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1.xml" ContentType="application/vnd.openxmlformats-officedocument.drawing+xml"/>
  <Override PartName="/xl/drawings/drawing1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0.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1.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3.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4.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5.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6.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7.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8.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9.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30.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31.xml" ContentType="application/vnd.openxmlformats-officedocument.drawing+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charlesel\Source\Ethiopia-HEP-Capacity-Analysis\ehep\tests\config\"/>
    </mc:Choice>
  </mc:AlternateContent>
  <xr:revisionPtr revIDLastSave="0" documentId="13_ncr:1_{E9540B24-FEA3-48C7-B113-F5356082D0AC}" xr6:coauthVersionLast="47" xr6:coauthVersionMax="47" xr10:uidLastSave="{00000000-0000-0000-0000-000000000000}"/>
  <bookViews>
    <workbookView xWindow="-195" yWindow="-195" windowWidth="51990" windowHeight="21390" tabRatio="830" activeTab="6" xr2:uid="{2F49C92C-A2E5-4A6B-9429-02A43E12B5B0}"/>
  </bookViews>
  <sheets>
    <sheet name="Scenarios_retain" sheetId="75" r:id="rId1"/>
    <sheet name="To Do or Upgrade" sheetId="64" r:id="rId2"/>
    <sheet name="Read Me" sheetId="77" r:id="rId3"/>
    <sheet name="Scenarios" sheetId="53" r:id="rId4"/>
    <sheet name="RegionSelect" sheetId="98" r:id="rId5"/>
    <sheet name="TotalPop" sheetId="54" r:id="rId6"/>
    <sheet name="StochasticParameters" sheetId="72" r:id="rId7"/>
    <sheet name="PopValues" sheetId="102" r:id="rId8"/>
    <sheet name="PopValues_retain" sheetId="56" r:id="rId9"/>
    <sheet name="SeasonalityCurves" sheetId="58" r:id="rId10"/>
    <sheet name="SeasonalityOffsets" sheetId="66" r:id="rId11"/>
    <sheet name="TaskValues_ref" sheetId="83" r:id="rId12"/>
    <sheet name="TV_Comprehensive" sheetId="86" r:id="rId13"/>
    <sheet name="TV_Merged" sheetId="96" r:id="rId14"/>
    <sheet name="Cadres_Comprehensive" sheetId="90" r:id="rId15"/>
    <sheet name="TV_Basic" sheetId="87" r:id="rId16"/>
    <sheet name="NCD age group" sheetId="105" r:id="rId17"/>
    <sheet name="Cadres_Basic" sheetId="91" r:id="rId18"/>
    <sheet name="Cadres_Merged" sheetId="97" r:id="rId19"/>
    <sheet name="Staffing Models" sheetId="82" r:id="rId20"/>
    <sheet name="Fertility Mortality Rates" sheetId="103" r:id="rId21"/>
    <sheet name="RegionalData" sheetId="99" r:id="rId22"/>
    <sheet name="Work time" sheetId="47" r:id="rId23"/>
    <sheet name="AgeSpecific Fertility" sheetId="67" r:id="rId24"/>
    <sheet name="RuralUrban Mortality" sheetId="73" r:id="rId25"/>
    <sheet name="Age band mort calcs" sheetId="78" r:id="rId26"/>
    <sheet name="Data dictionary Scenarios" sheetId="63" r:id="rId27"/>
    <sheet name="Ratios" sheetId="71" r:id="rId28"/>
    <sheet name="Services summary" sheetId="25" r:id="rId29"/>
    <sheet name="Tasks_previous" sheetId="57" r:id="rId30"/>
    <sheet name="TaskValues" sheetId="95" r:id="rId31"/>
    <sheet name="Tasks_previous (2)" sheetId="85" r:id="rId32"/>
    <sheet name="Lookup" sheetId="84" r:id="rId33"/>
    <sheet name="Prevalences" sheetId="31" r:id="rId34"/>
    <sheet name="DALYs " sheetId="62" r:id="rId35"/>
    <sheet name="CEA" sheetId="59" r:id="rId36"/>
    <sheet name="Ssn TB" sheetId="61" r:id="rId37"/>
    <sheet name="Ssn Births" sheetId="100" r:id="rId38"/>
    <sheet name="Ssn Diarrhea" sheetId="101" r:id="rId39"/>
    <sheet name="Ssn Malaria" sheetId="52" r:id="rId40"/>
    <sheet name="Ssn Nutr" sheetId="51" r:id="rId41"/>
    <sheet name="Ssn Measles" sheetId="50" r:id="rId42"/>
    <sheet name="Staffing" sheetId="21" r:id="rId43"/>
    <sheet name="Services ref" sheetId="22" r:id="rId44"/>
    <sheet name="Coverage impacts" sheetId="24" r:id="rId45"/>
    <sheet name="Demographics_Total" sheetId="26" r:id="rId46"/>
    <sheet name="PopRegional2020" sheetId="104" r:id="rId47"/>
    <sheet name="Pop_female_2020" sheetId="106" r:id="rId48"/>
    <sheet name="Pop_male_2020" sheetId="107" r:id="rId49"/>
    <sheet name="Pop M" sheetId="18" r:id="rId50"/>
    <sheet name="Pop F" sheetId="19" r:id="rId51"/>
    <sheet name="TB Incidence" sheetId="41" r:id="rId52"/>
    <sheet name="Malaria Incid" sheetId="43" r:id="rId53"/>
    <sheet name="FP mod" sheetId="7" r:id="rId54"/>
    <sheet name="unmet need" sheetId="10" r:id="rId55"/>
    <sheet name="HIV Prev" sheetId="17" r:id="rId56"/>
    <sheet name="HIV Incid" sheetId="37" r:id="rId57"/>
    <sheet name="mort infant" sheetId="9" r:id="rId58"/>
    <sheet name="mort 1-5" sheetId="16" r:id="rId59"/>
    <sheet name="mort 5-9" sheetId="14" r:id="rId60"/>
    <sheet name="mort 10-14" sheetId="15" r:id="rId61"/>
    <sheet name="mort 15-19" sheetId="20" r:id="rId62"/>
    <sheet name="mort 20-24" sheetId="13" r:id="rId63"/>
    <sheet name="mort adult f" sheetId="11" r:id="rId64"/>
    <sheet name="mort adult m" sheetId="12" r:id="rId65"/>
    <sheet name="AggregateDALYs" sheetId="68" r:id="rId66"/>
  </sheets>
  <externalReferences>
    <externalReference r:id="rId67"/>
  </externalReferences>
  <definedNames>
    <definedName name="_xlnm._FilterDatabase" localSheetId="46" hidden="1">PopRegional2020!$A$1:$G$575</definedName>
    <definedName name="_xlnm._FilterDatabase" localSheetId="29" hidden="1">Tasks_previous!$A$1:$S$103</definedName>
    <definedName name="_xlnm._FilterDatabase" localSheetId="31" hidden="1">'Tasks_previous (2)'!$A$1:$E$21</definedName>
    <definedName name="_xlnm._FilterDatabase" localSheetId="11" hidden="1">TaskValues_ref!$A$1:$AA$242</definedName>
    <definedName name="_xlnm._FilterDatabase" localSheetId="13" hidden="1">TV_Merged!$A$1:$S$136</definedName>
    <definedName name="hours" localSheetId="1">'[1]Inputs Assump'!$C$16</definedName>
    <definedName name="hours">#REF!</definedName>
    <definedName name="select_pop" localSheetId="1">'[1]Inputs Assump'!$C$4</definedName>
    <definedName name="select_pop">#REF!</definedName>
    <definedName name="total_pop" localSheetId="1">[1]Demographics_Total!$CZ$3</definedName>
    <definedName name="total_pop" localSheetId="5">TotalPop!#REF!</definedName>
    <definedName name="total_pop">Demographics_Total!$CZ$3</definedName>
    <definedName name="total_pop2">[1]Demographics_Total!$CZ$3</definedName>
    <definedName name="weeks" localSheetId="1">'[1]Inputs Assump'!$C$14</definedName>
    <definedName name="weeks">#REF!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233" i="83" l="1"/>
  <c r="V232" i="83"/>
  <c r="T128" i="91"/>
  <c r="T129" i="91"/>
  <c r="T130" i="91"/>
  <c r="T131" i="91"/>
  <c r="T132" i="91"/>
  <c r="R128" i="91"/>
  <c r="R129" i="91"/>
  <c r="R130" i="91"/>
  <c r="R131" i="91"/>
  <c r="R132" i="91"/>
  <c r="O128" i="91"/>
  <c r="O129" i="91"/>
  <c r="O130" i="91"/>
  <c r="O131" i="91"/>
  <c r="O132" i="91"/>
  <c r="M128" i="91"/>
  <c r="M129" i="91"/>
  <c r="M130" i="91"/>
  <c r="M131" i="91"/>
  <c r="M132" i="91"/>
  <c r="I128" i="91"/>
  <c r="I129" i="91"/>
  <c r="I130" i="91"/>
  <c r="I131" i="91"/>
  <c r="I132" i="91"/>
  <c r="E128" i="91"/>
  <c r="E129" i="91"/>
  <c r="E130" i="91"/>
  <c r="E131" i="91"/>
  <c r="E132" i="91"/>
  <c r="B128" i="91"/>
  <c r="B129" i="91"/>
  <c r="B130" i="91"/>
  <c r="B131" i="91"/>
  <c r="B132" i="91"/>
  <c r="M112" i="91"/>
  <c r="R112" i="91"/>
  <c r="T112" i="91"/>
  <c r="M113" i="91"/>
  <c r="R113" i="91"/>
  <c r="T113" i="91"/>
  <c r="M114" i="91"/>
  <c r="R114" i="91"/>
  <c r="T114" i="91"/>
  <c r="M115" i="91"/>
  <c r="R115" i="91"/>
  <c r="T115" i="91"/>
  <c r="M116" i="91"/>
  <c r="R116" i="91"/>
  <c r="T116" i="91"/>
  <c r="M117" i="91"/>
  <c r="R117" i="91"/>
  <c r="T117" i="91"/>
  <c r="M118" i="91"/>
  <c r="R118" i="91"/>
  <c r="T118" i="91"/>
  <c r="M119" i="91"/>
  <c r="R119" i="91"/>
  <c r="T119" i="91"/>
  <c r="M120" i="91"/>
  <c r="R120" i="91"/>
  <c r="T120" i="91"/>
  <c r="M121" i="91"/>
  <c r="R121" i="91"/>
  <c r="T121" i="91"/>
  <c r="O112" i="91"/>
  <c r="O113" i="91"/>
  <c r="O114" i="91"/>
  <c r="O115" i="91"/>
  <c r="O116" i="91"/>
  <c r="O117" i="91"/>
  <c r="O118" i="91"/>
  <c r="O119" i="91"/>
  <c r="O120" i="91"/>
  <c r="O121" i="91"/>
  <c r="I112" i="91"/>
  <c r="I113" i="91"/>
  <c r="I114" i="91"/>
  <c r="I115" i="91"/>
  <c r="I116" i="91"/>
  <c r="I117" i="91"/>
  <c r="I118" i="91"/>
  <c r="I119" i="91"/>
  <c r="I120" i="91"/>
  <c r="I121" i="91"/>
  <c r="E112" i="91"/>
  <c r="E113" i="91"/>
  <c r="E114" i="91"/>
  <c r="E115" i="91"/>
  <c r="E116" i="91"/>
  <c r="E117" i="91"/>
  <c r="E118" i="91"/>
  <c r="E119" i="91"/>
  <c r="E120" i="91"/>
  <c r="E121" i="91"/>
  <c r="B112" i="91"/>
  <c r="B113" i="91"/>
  <c r="B114" i="91"/>
  <c r="B115" i="91"/>
  <c r="B116" i="91"/>
  <c r="B117" i="91"/>
  <c r="B118" i="91"/>
  <c r="B119" i="91"/>
  <c r="B120" i="91"/>
  <c r="B121" i="91"/>
  <c r="O78" i="97"/>
  <c r="O79" i="97"/>
  <c r="O80" i="97"/>
  <c r="O81" i="97"/>
  <c r="O82" i="97"/>
  <c r="O83" i="97"/>
  <c r="O84" i="97"/>
  <c r="O85" i="97"/>
  <c r="O86" i="97"/>
  <c r="O87" i="97"/>
  <c r="L78" i="97"/>
  <c r="L79" i="97"/>
  <c r="L80" i="97"/>
  <c r="L81" i="97"/>
  <c r="L82" i="97"/>
  <c r="L83" i="97"/>
  <c r="L84" i="97"/>
  <c r="L85" i="97"/>
  <c r="L86" i="97"/>
  <c r="L87" i="97"/>
  <c r="H78" i="97"/>
  <c r="H79" i="97"/>
  <c r="H80" i="97"/>
  <c r="H81" i="97"/>
  <c r="H82" i="97"/>
  <c r="H83" i="97"/>
  <c r="H84" i="97"/>
  <c r="H85" i="97"/>
  <c r="H86" i="97"/>
  <c r="H87" i="97"/>
  <c r="E78" i="97"/>
  <c r="E79" i="97"/>
  <c r="E80" i="97"/>
  <c r="E81" i="97"/>
  <c r="E82" i="97"/>
  <c r="E83" i="97"/>
  <c r="E84" i="97"/>
  <c r="E85" i="97"/>
  <c r="E86" i="97"/>
  <c r="E87" i="97"/>
  <c r="B78" i="97"/>
  <c r="B79" i="97"/>
  <c r="B80" i="97"/>
  <c r="B81" i="97"/>
  <c r="B82" i="97"/>
  <c r="B83" i="97"/>
  <c r="B84" i="97"/>
  <c r="B85" i="97"/>
  <c r="B86" i="97"/>
  <c r="B87" i="97"/>
  <c r="Y142" i="90"/>
  <c r="Y143" i="90"/>
  <c r="Y144" i="90"/>
  <c r="Y145" i="90"/>
  <c r="Y146" i="90"/>
  <c r="R142" i="90"/>
  <c r="R143" i="90"/>
  <c r="R144" i="90"/>
  <c r="R145" i="90"/>
  <c r="R146" i="90"/>
  <c r="J142" i="90"/>
  <c r="J143" i="90"/>
  <c r="J144" i="90"/>
  <c r="J145" i="90"/>
  <c r="J146" i="90"/>
  <c r="E142" i="90"/>
  <c r="E143" i="90"/>
  <c r="E144" i="90"/>
  <c r="E145" i="90"/>
  <c r="E146" i="90"/>
  <c r="B142" i="90"/>
  <c r="B143" i="90"/>
  <c r="B144" i="90"/>
  <c r="B145" i="90"/>
  <c r="B146" i="90"/>
  <c r="Y126" i="90"/>
  <c r="Y127" i="90"/>
  <c r="Y128" i="90"/>
  <c r="Y129" i="90"/>
  <c r="Y130" i="90"/>
  <c r="Y131" i="90"/>
  <c r="Y132" i="90"/>
  <c r="Y133" i="90"/>
  <c r="Y134" i="90"/>
  <c r="Y135" i="90"/>
  <c r="R126" i="90"/>
  <c r="R127" i="90"/>
  <c r="R128" i="90"/>
  <c r="R129" i="90"/>
  <c r="R130" i="90"/>
  <c r="R131" i="90"/>
  <c r="R132" i="90"/>
  <c r="R133" i="90"/>
  <c r="R134" i="90"/>
  <c r="R135" i="90"/>
  <c r="J126" i="90"/>
  <c r="J127" i="90"/>
  <c r="J128" i="90"/>
  <c r="J129" i="90"/>
  <c r="J130" i="90"/>
  <c r="J131" i="90"/>
  <c r="J132" i="90"/>
  <c r="J133" i="90"/>
  <c r="J134" i="90"/>
  <c r="J135" i="90"/>
  <c r="E126" i="90"/>
  <c r="E127" i="90"/>
  <c r="E128" i="90"/>
  <c r="E129" i="90"/>
  <c r="E130" i="90"/>
  <c r="E131" i="90"/>
  <c r="E132" i="90"/>
  <c r="E133" i="90"/>
  <c r="E134" i="90"/>
  <c r="E135" i="90"/>
  <c r="B126" i="90"/>
  <c r="B127" i="90"/>
  <c r="B128" i="90"/>
  <c r="B129" i="90"/>
  <c r="B130" i="90"/>
  <c r="B131" i="90"/>
  <c r="B132" i="90"/>
  <c r="B133" i="90"/>
  <c r="B134" i="90"/>
  <c r="B135" i="90"/>
  <c r="O167" i="83"/>
  <c r="O166" i="83"/>
  <c r="O165" i="83"/>
  <c r="O164" i="83"/>
  <c r="O163" i="83"/>
  <c r="O162" i="83"/>
  <c r="O839" i="99"/>
  <c r="C839" i="99"/>
  <c r="O838" i="99"/>
  <c r="C838" i="99"/>
  <c r="O837" i="99"/>
  <c r="C837" i="99"/>
  <c r="O836" i="99"/>
  <c r="C836" i="99"/>
  <c r="O835" i="99"/>
  <c r="C835" i="99"/>
  <c r="O834" i="99"/>
  <c r="C834" i="99"/>
  <c r="O831" i="99"/>
  <c r="S129" i="87"/>
  <c r="S130" i="87"/>
  <c r="S131" i="87"/>
  <c r="S132" i="87"/>
  <c r="S133" i="87"/>
  <c r="R129" i="87"/>
  <c r="R130" i="87"/>
  <c r="R131" i="87"/>
  <c r="R132" i="87"/>
  <c r="R133" i="87"/>
  <c r="Q129" i="87"/>
  <c r="Q130" i="87"/>
  <c r="Q131" i="87"/>
  <c r="Q132" i="87"/>
  <c r="Q133" i="87"/>
  <c r="P133" i="87"/>
  <c r="P129" i="87"/>
  <c r="P130" i="87"/>
  <c r="P131" i="87"/>
  <c r="P132" i="87"/>
  <c r="O129" i="87"/>
  <c r="O130" i="87"/>
  <c r="O131" i="87"/>
  <c r="O132" i="87"/>
  <c r="O133" i="87"/>
  <c r="N129" i="87"/>
  <c r="N130" i="87"/>
  <c r="N131" i="87"/>
  <c r="N132" i="87"/>
  <c r="N133" i="87"/>
  <c r="M129" i="87"/>
  <c r="M130" i="87"/>
  <c r="M131" i="87"/>
  <c r="M132" i="87"/>
  <c r="M133" i="87"/>
  <c r="L129" i="87"/>
  <c r="L130" i="87"/>
  <c r="L131" i="87"/>
  <c r="L132" i="87"/>
  <c r="L133" i="87"/>
  <c r="N163" i="83"/>
  <c r="K129" i="87" s="1"/>
  <c r="N164" i="83"/>
  <c r="K130" i="87"/>
  <c r="N165" i="83"/>
  <c r="K131" i="87" s="1"/>
  <c r="N166" i="83"/>
  <c r="K132" i="87" s="1"/>
  <c r="N167" i="83"/>
  <c r="K133" i="87" s="1"/>
  <c r="J129" i="87"/>
  <c r="J130" i="87"/>
  <c r="J131" i="87"/>
  <c r="J132" i="87"/>
  <c r="J133" i="87"/>
  <c r="I129" i="87"/>
  <c r="I130" i="87"/>
  <c r="I131" i="87"/>
  <c r="I132" i="87"/>
  <c r="I133" i="87"/>
  <c r="H129" i="87"/>
  <c r="H130" i="87"/>
  <c r="H131" i="87"/>
  <c r="H132" i="87"/>
  <c r="H133" i="87"/>
  <c r="G129" i="87"/>
  <c r="G130" i="87"/>
  <c r="G131" i="87"/>
  <c r="G132" i="87"/>
  <c r="G133" i="87"/>
  <c r="F129" i="87"/>
  <c r="F130" i="87"/>
  <c r="F131" i="87"/>
  <c r="F132" i="87"/>
  <c r="F133" i="87"/>
  <c r="S147" i="86"/>
  <c r="S146" i="86"/>
  <c r="S145" i="86"/>
  <c r="S144" i="86"/>
  <c r="S143" i="86"/>
  <c r="R147" i="86"/>
  <c r="R146" i="86"/>
  <c r="R145" i="86"/>
  <c r="R144" i="86"/>
  <c r="R143" i="86"/>
  <c r="Q147" i="86"/>
  <c r="Q146" i="86"/>
  <c r="Q145" i="86"/>
  <c r="Q144" i="86"/>
  <c r="Q143" i="86"/>
  <c r="P147" i="86"/>
  <c r="P146" i="86"/>
  <c r="P145" i="86"/>
  <c r="P144" i="86"/>
  <c r="P143" i="86"/>
  <c r="O147" i="86"/>
  <c r="O146" i="86"/>
  <c r="O145" i="86"/>
  <c r="O144" i="86"/>
  <c r="O143" i="86"/>
  <c r="N147" i="86"/>
  <c r="N146" i="86"/>
  <c r="N145" i="86"/>
  <c r="N144" i="86"/>
  <c r="N143" i="86"/>
  <c r="M147" i="86"/>
  <c r="M146" i="86"/>
  <c r="M145" i="86"/>
  <c r="M144" i="86"/>
  <c r="M143" i="86"/>
  <c r="L147" i="86"/>
  <c r="L146" i="86"/>
  <c r="L145" i="86"/>
  <c r="L144" i="86"/>
  <c r="L143" i="86"/>
  <c r="K146" i="86"/>
  <c r="K144" i="86"/>
  <c r="J147" i="86"/>
  <c r="J146" i="86"/>
  <c r="J145" i="86"/>
  <c r="J144" i="86"/>
  <c r="J143" i="86"/>
  <c r="I147" i="86"/>
  <c r="I146" i="86"/>
  <c r="I145" i="86"/>
  <c r="I144" i="86"/>
  <c r="I143" i="86"/>
  <c r="H147" i="86"/>
  <c r="H146" i="86"/>
  <c r="H145" i="86"/>
  <c r="H144" i="86"/>
  <c r="H143" i="86"/>
  <c r="G147" i="86"/>
  <c r="G146" i="86"/>
  <c r="G145" i="86"/>
  <c r="G144" i="86"/>
  <c r="G143" i="86"/>
  <c r="F147" i="86"/>
  <c r="F146" i="86"/>
  <c r="F145" i="86"/>
  <c r="F144" i="86"/>
  <c r="F143" i="86"/>
  <c r="N162" i="83"/>
  <c r="C194" i="99"/>
  <c r="C195" i="99"/>
  <c r="C196" i="99"/>
  <c r="C197" i="99"/>
  <c r="O3" i="99"/>
  <c r="Q3" i="99"/>
  <c r="O4" i="99"/>
  <c r="O5" i="99"/>
  <c r="Q5" i="99"/>
  <c r="O6" i="99"/>
  <c r="O7" i="99"/>
  <c r="Q7" i="99"/>
  <c r="O8" i="99"/>
  <c r="O9" i="99"/>
  <c r="Q9" i="99"/>
  <c r="O10" i="99"/>
  <c r="O11" i="99"/>
  <c r="Q11" i="99"/>
  <c r="O12" i="99"/>
  <c r="O13" i="99"/>
  <c r="Q13" i="99"/>
  <c r="O14" i="99"/>
  <c r="O15" i="99"/>
  <c r="Q15" i="99"/>
  <c r="O16" i="99"/>
  <c r="O17" i="99"/>
  <c r="Q17" i="99"/>
  <c r="O18" i="99"/>
  <c r="O19" i="99"/>
  <c r="Q19" i="99"/>
  <c r="O20" i="99"/>
  <c r="O21" i="99"/>
  <c r="Q21" i="99"/>
  <c r="O22" i="99"/>
  <c r="O23" i="99"/>
  <c r="Q23" i="99"/>
  <c r="O24" i="99"/>
  <c r="O25" i="99"/>
  <c r="Q25" i="99"/>
  <c r="O26" i="99"/>
  <c r="O27" i="99"/>
  <c r="Q27" i="99"/>
  <c r="O28" i="99"/>
  <c r="O29" i="99"/>
  <c r="Q29" i="99"/>
  <c r="O30" i="99"/>
  <c r="O31" i="99"/>
  <c r="Q31" i="99"/>
  <c r="O32" i="99"/>
  <c r="O33" i="99"/>
  <c r="Q33" i="99"/>
  <c r="O34" i="99"/>
  <c r="O35" i="99"/>
  <c r="Q35" i="99"/>
  <c r="O36" i="99"/>
  <c r="O37" i="99"/>
  <c r="Q37" i="99"/>
  <c r="O38" i="99"/>
  <c r="O39" i="99"/>
  <c r="Q39" i="99"/>
  <c r="O40" i="99"/>
  <c r="O41" i="99"/>
  <c r="Q41" i="99"/>
  <c r="O42" i="99"/>
  <c r="O43" i="99"/>
  <c r="Q43" i="99"/>
  <c r="O44" i="99"/>
  <c r="O45" i="99"/>
  <c r="Q45" i="99"/>
  <c r="O46" i="99"/>
  <c r="O47" i="99"/>
  <c r="Q47" i="99"/>
  <c r="O48" i="99"/>
  <c r="O49" i="99"/>
  <c r="Q49" i="99"/>
  <c r="O50" i="99"/>
  <c r="O51" i="99"/>
  <c r="Q51" i="99"/>
  <c r="O52" i="99"/>
  <c r="O53" i="99"/>
  <c r="Q53" i="99"/>
  <c r="O54" i="99"/>
  <c r="O55" i="99"/>
  <c r="Q55" i="99"/>
  <c r="O56" i="99"/>
  <c r="O57" i="99"/>
  <c r="Q57" i="99"/>
  <c r="O58" i="99"/>
  <c r="O59" i="99"/>
  <c r="Q59" i="99"/>
  <c r="O60" i="99"/>
  <c r="O61" i="99"/>
  <c r="Q61" i="99"/>
  <c r="O62" i="99"/>
  <c r="O63" i="99"/>
  <c r="Q63" i="99"/>
  <c r="O64" i="99"/>
  <c r="O65" i="99"/>
  <c r="Q65" i="99"/>
  <c r="O66" i="99"/>
  <c r="O67" i="99"/>
  <c r="Q67" i="99"/>
  <c r="O68" i="99"/>
  <c r="O69" i="99"/>
  <c r="Q69" i="99"/>
  <c r="O70" i="99"/>
  <c r="O71" i="99"/>
  <c r="Q71" i="99"/>
  <c r="O72" i="99"/>
  <c r="O73" i="99"/>
  <c r="Q73" i="99"/>
  <c r="O74" i="99"/>
  <c r="O75" i="99"/>
  <c r="Q75" i="99"/>
  <c r="O76" i="99"/>
  <c r="O77" i="99"/>
  <c r="Q77" i="99"/>
  <c r="O78" i="99"/>
  <c r="O79" i="99"/>
  <c r="Q79" i="99"/>
  <c r="O80" i="99"/>
  <c r="O81" i="99"/>
  <c r="Q81" i="99"/>
  <c r="O82" i="99"/>
  <c r="O83" i="99"/>
  <c r="Q83" i="99"/>
  <c r="O84" i="99"/>
  <c r="O85" i="99"/>
  <c r="Q85" i="99"/>
  <c r="O86" i="99"/>
  <c r="O87" i="99"/>
  <c r="Q87" i="99"/>
  <c r="O88" i="99"/>
  <c r="O89" i="99"/>
  <c r="Q89" i="99"/>
  <c r="O90" i="99"/>
  <c r="O91" i="99"/>
  <c r="Q91" i="99"/>
  <c r="O92" i="99"/>
  <c r="O93" i="99"/>
  <c r="Q93" i="99"/>
  <c r="O94" i="99"/>
  <c r="O95" i="99"/>
  <c r="Q95" i="99"/>
  <c r="O96" i="99"/>
  <c r="O97" i="99"/>
  <c r="Q97" i="99"/>
  <c r="O98" i="99"/>
  <c r="O99" i="99"/>
  <c r="Q99" i="99"/>
  <c r="O100" i="99"/>
  <c r="O101" i="99"/>
  <c r="Q101" i="99"/>
  <c r="O102" i="99"/>
  <c r="O103" i="99"/>
  <c r="Q103" i="99"/>
  <c r="O104" i="99"/>
  <c r="O105" i="99"/>
  <c r="Q105" i="99"/>
  <c r="O106" i="99"/>
  <c r="O107" i="99"/>
  <c r="Q107" i="99"/>
  <c r="O108" i="99"/>
  <c r="O109" i="99"/>
  <c r="Q109" i="99"/>
  <c r="O110" i="99"/>
  <c r="O111" i="99"/>
  <c r="Q111" i="99"/>
  <c r="O112" i="99"/>
  <c r="O113" i="99"/>
  <c r="O114" i="99"/>
  <c r="Q114" i="99"/>
  <c r="O115" i="99"/>
  <c r="O116" i="99"/>
  <c r="Q116" i="99"/>
  <c r="O117" i="99"/>
  <c r="O118" i="99"/>
  <c r="Q118" i="99"/>
  <c r="O119" i="99"/>
  <c r="O120" i="99"/>
  <c r="Q120" i="99"/>
  <c r="O121" i="99"/>
  <c r="O122" i="99"/>
  <c r="Q122" i="99"/>
  <c r="O123" i="99"/>
  <c r="O124" i="99"/>
  <c r="Q124" i="99"/>
  <c r="O125" i="99"/>
  <c r="O126" i="99"/>
  <c r="O127" i="99"/>
  <c r="Q127" i="99"/>
  <c r="O128" i="99"/>
  <c r="O129" i="99"/>
  <c r="Q129" i="99"/>
  <c r="O130" i="99"/>
  <c r="O131" i="99"/>
  <c r="Q131" i="99"/>
  <c r="O132" i="99"/>
  <c r="O133" i="99"/>
  <c r="Q133" i="99"/>
  <c r="O134" i="99"/>
  <c r="O135" i="99"/>
  <c r="Q135" i="99"/>
  <c r="O136" i="99"/>
  <c r="O137" i="99"/>
  <c r="Q137" i="99"/>
  <c r="O138" i="99"/>
  <c r="O139" i="99"/>
  <c r="Q139" i="99"/>
  <c r="O140" i="99"/>
  <c r="O141" i="99"/>
  <c r="Q141" i="99"/>
  <c r="O142" i="99"/>
  <c r="O143" i="99"/>
  <c r="Q143" i="99"/>
  <c r="O144" i="99"/>
  <c r="O145" i="99"/>
  <c r="Q145" i="99"/>
  <c r="O146" i="99"/>
  <c r="O147" i="99"/>
  <c r="Q147" i="99"/>
  <c r="O148" i="99"/>
  <c r="O149" i="99"/>
  <c r="Q149" i="99"/>
  <c r="O150" i="99"/>
  <c r="O151" i="99"/>
  <c r="Q151" i="99"/>
  <c r="O152" i="99"/>
  <c r="O153" i="99"/>
  <c r="Q153" i="99"/>
  <c r="O154" i="99"/>
  <c r="Q154" i="99"/>
  <c r="O155" i="99"/>
  <c r="O156" i="99"/>
  <c r="Q156" i="99"/>
  <c r="O157" i="99"/>
  <c r="O158" i="99"/>
  <c r="Q158" i="99"/>
  <c r="O159" i="99"/>
  <c r="O160" i="99"/>
  <c r="Q160" i="99"/>
  <c r="O161" i="99"/>
  <c r="O162" i="99"/>
  <c r="Q162" i="99"/>
  <c r="O163" i="99"/>
  <c r="O164" i="99"/>
  <c r="Q164" i="99"/>
  <c r="O165" i="99"/>
  <c r="O166" i="99"/>
  <c r="O167" i="99"/>
  <c r="Q167" i="99"/>
  <c r="O168" i="99"/>
  <c r="O169" i="99"/>
  <c r="Q169" i="99"/>
  <c r="O170" i="99"/>
  <c r="O171" i="99"/>
  <c r="Q171" i="99"/>
  <c r="O172" i="99"/>
  <c r="O173" i="99"/>
  <c r="Q173" i="99"/>
  <c r="O174" i="99"/>
  <c r="O175" i="99"/>
  <c r="Q175" i="99"/>
  <c r="O176" i="99"/>
  <c r="O177" i="99"/>
  <c r="Q177" i="99"/>
  <c r="O178" i="99"/>
  <c r="O179" i="99"/>
  <c r="O180" i="99"/>
  <c r="O181" i="99"/>
  <c r="Q181" i="99"/>
  <c r="O182" i="99"/>
  <c r="O183" i="99"/>
  <c r="Q183" i="99"/>
  <c r="O184" i="99"/>
  <c r="O185" i="99"/>
  <c r="Q185" i="99"/>
  <c r="O186" i="99"/>
  <c r="O187" i="99"/>
  <c r="Q187" i="99"/>
  <c r="O188" i="99"/>
  <c r="O189" i="99"/>
  <c r="Q189" i="99"/>
  <c r="O190" i="99"/>
  <c r="O191" i="99"/>
  <c r="Q191" i="99"/>
  <c r="O192" i="99"/>
  <c r="Q192" i="99"/>
  <c r="O193" i="99"/>
  <c r="I194" i="99"/>
  <c r="O194" i="99"/>
  <c r="O195" i="99"/>
  <c r="O196" i="99"/>
  <c r="O197" i="99"/>
  <c r="C198" i="99"/>
  <c r="O198" i="99"/>
  <c r="C199" i="99"/>
  <c r="O199" i="99"/>
  <c r="C200" i="99"/>
  <c r="O200" i="99"/>
  <c r="C201" i="99"/>
  <c r="O201" i="99"/>
  <c r="C202" i="99"/>
  <c r="O202" i="99"/>
  <c r="C203" i="99"/>
  <c r="O203" i="99"/>
  <c r="C204" i="99"/>
  <c r="O204" i="99"/>
  <c r="C205" i="99"/>
  <c r="O205" i="99"/>
  <c r="C223" i="99"/>
  <c r="O223" i="99"/>
  <c r="C224" i="99"/>
  <c r="O224" i="99"/>
  <c r="C225" i="99"/>
  <c r="O225" i="99"/>
  <c r="C226" i="99"/>
  <c r="O226" i="99"/>
  <c r="C227" i="99"/>
  <c r="O227" i="99"/>
  <c r="C228" i="99"/>
  <c r="O228" i="99"/>
  <c r="C229" i="99"/>
  <c r="O229" i="99"/>
  <c r="C230" i="99"/>
  <c r="O230" i="99"/>
  <c r="C231" i="99"/>
  <c r="O231" i="99"/>
  <c r="C232" i="99"/>
  <c r="O232" i="99"/>
  <c r="C233" i="99"/>
  <c r="O233" i="99"/>
  <c r="C234" i="99"/>
  <c r="O234" i="99"/>
  <c r="C235" i="99"/>
  <c r="O235" i="99"/>
  <c r="C236" i="99"/>
  <c r="O236" i="99"/>
  <c r="C237" i="99"/>
  <c r="O237" i="99"/>
  <c r="C238" i="99"/>
  <c r="O238" i="99"/>
  <c r="Q240" i="99"/>
  <c r="Q242" i="99"/>
  <c r="Q244" i="99"/>
  <c r="Q246" i="99"/>
  <c r="Q248" i="99"/>
  <c r="Q250" i="99"/>
  <c r="Q252" i="99"/>
  <c r="Q254" i="99"/>
  <c r="Q256" i="99"/>
  <c r="Q258" i="99"/>
  <c r="Q260" i="99"/>
  <c r="Q262" i="99"/>
  <c r="C264" i="99"/>
  <c r="O264" i="99"/>
  <c r="Q264" i="99"/>
  <c r="O265" i="99"/>
  <c r="C266" i="99"/>
  <c r="O266" i="99"/>
  <c r="Q266" i="99"/>
  <c r="O267" i="99"/>
  <c r="C268" i="99"/>
  <c r="O268" i="99"/>
  <c r="Q268" i="99"/>
  <c r="O269" i="99"/>
  <c r="C270" i="99"/>
  <c r="O270" i="99"/>
  <c r="Q270" i="99"/>
  <c r="O271" i="99"/>
  <c r="C272" i="99"/>
  <c r="O272" i="99"/>
  <c r="Q272" i="99"/>
  <c r="O273" i="99"/>
  <c r="C274" i="99"/>
  <c r="O274" i="99"/>
  <c r="Q274" i="99"/>
  <c r="O275" i="99"/>
  <c r="C276" i="99"/>
  <c r="O276" i="99"/>
  <c r="Q276" i="99"/>
  <c r="O277" i="99"/>
  <c r="C278" i="99"/>
  <c r="O278" i="99"/>
  <c r="Q278" i="99"/>
  <c r="O279" i="99"/>
  <c r="C280" i="99"/>
  <c r="O280" i="99"/>
  <c r="Q280" i="99"/>
  <c r="O281" i="99"/>
  <c r="C282" i="99"/>
  <c r="O282" i="99"/>
  <c r="Q282" i="99"/>
  <c r="O283" i="99"/>
  <c r="C284" i="99"/>
  <c r="O284" i="99"/>
  <c r="Q284" i="99"/>
  <c r="O285" i="99"/>
  <c r="C286" i="99"/>
  <c r="O286" i="99"/>
  <c r="Q286" i="99"/>
  <c r="O287" i="99"/>
  <c r="C288" i="99"/>
  <c r="O288" i="99"/>
  <c r="Q288" i="99"/>
  <c r="O289" i="99"/>
  <c r="C290" i="99"/>
  <c r="O290" i="99"/>
  <c r="Q290" i="99"/>
  <c r="O291" i="99"/>
  <c r="C292" i="99"/>
  <c r="O292" i="99"/>
  <c r="Q292" i="99"/>
  <c r="O293" i="99"/>
  <c r="C294" i="99"/>
  <c r="O294" i="99"/>
  <c r="Q294" i="99"/>
  <c r="O295" i="99"/>
  <c r="C296" i="99"/>
  <c r="O296" i="99"/>
  <c r="Q296" i="99"/>
  <c r="O297" i="99"/>
  <c r="C298" i="99"/>
  <c r="O298" i="99"/>
  <c r="Q298" i="99"/>
  <c r="O299" i="99"/>
  <c r="C300" i="99"/>
  <c r="O300" i="99"/>
  <c r="Q300" i="99"/>
  <c r="O301" i="99"/>
  <c r="C302" i="99"/>
  <c r="O302" i="99"/>
  <c r="Q302" i="99"/>
  <c r="O303" i="99"/>
  <c r="C304" i="99"/>
  <c r="O304" i="99"/>
  <c r="Q304" i="99"/>
  <c r="O305" i="99"/>
  <c r="C306" i="99"/>
  <c r="O306" i="99"/>
  <c r="Q306" i="99"/>
  <c r="O307" i="99"/>
  <c r="C308" i="99"/>
  <c r="O308" i="99"/>
  <c r="Q308" i="99"/>
  <c r="O309" i="99"/>
  <c r="C310" i="99"/>
  <c r="O310" i="99"/>
  <c r="Q310" i="99"/>
  <c r="O311" i="99"/>
  <c r="C312" i="99"/>
  <c r="O312" i="99"/>
  <c r="Q312" i="99"/>
  <c r="O313" i="99"/>
  <c r="C314" i="99"/>
  <c r="O314" i="99"/>
  <c r="Q314" i="99"/>
  <c r="O315" i="99"/>
  <c r="C316" i="99"/>
  <c r="O316" i="99"/>
  <c r="Q316" i="99"/>
  <c r="O317" i="99"/>
  <c r="C318" i="99"/>
  <c r="O318" i="99"/>
  <c r="Q318" i="99"/>
  <c r="O319" i="99"/>
  <c r="O320" i="99"/>
  <c r="Q320" i="99"/>
  <c r="O321" i="99"/>
  <c r="O322" i="99"/>
  <c r="Q322" i="99"/>
  <c r="O323" i="99"/>
  <c r="O324" i="99"/>
  <c r="Q324" i="99"/>
  <c r="O325" i="99"/>
  <c r="O326" i="99"/>
  <c r="Q326" i="99"/>
  <c r="O327" i="99"/>
  <c r="O328" i="99"/>
  <c r="Q328" i="99"/>
  <c r="O329" i="99"/>
  <c r="O330" i="99"/>
  <c r="Q330" i="99"/>
  <c r="O331" i="99"/>
  <c r="O332" i="99"/>
  <c r="Q332" i="99"/>
  <c r="O333" i="99"/>
  <c r="O334" i="99"/>
  <c r="Q334" i="99"/>
  <c r="O335" i="99"/>
  <c r="O336" i="99"/>
  <c r="Q336" i="99"/>
  <c r="O337" i="99"/>
  <c r="O338" i="99"/>
  <c r="Q338" i="99"/>
  <c r="O339" i="99"/>
  <c r="O340" i="99"/>
  <c r="Q340" i="99"/>
  <c r="O341" i="99"/>
  <c r="O342" i="99"/>
  <c r="Q342" i="99"/>
  <c r="O343" i="99"/>
  <c r="O344" i="99"/>
  <c r="Q344" i="99"/>
  <c r="O345" i="99"/>
  <c r="O346" i="99"/>
  <c r="Q346" i="99"/>
  <c r="O347" i="99"/>
  <c r="C348" i="99"/>
  <c r="O348" i="99"/>
  <c r="Q348" i="99"/>
  <c r="O349" i="99"/>
  <c r="C350" i="99"/>
  <c r="O350" i="99"/>
  <c r="Q350" i="99"/>
  <c r="O351" i="99"/>
  <c r="C352" i="99"/>
  <c r="O352" i="99"/>
  <c r="Q352" i="99"/>
  <c r="O353" i="99"/>
  <c r="C354" i="99"/>
  <c r="O354" i="99"/>
  <c r="Q354" i="99"/>
  <c r="O355" i="99"/>
  <c r="C356" i="99"/>
  <c r="O356" i="99"/>
  <c r="Q356" i="99"/>
  <c r="O357" i="99"/>
  <c r="C358" i="99"/>
  <c r="O358" i="99"/>
  <c r="Q358" i="99"/>
  <c r="O359" i="99"/>
  <c r="C360" i="99"/>
  <c r="O360" i="99"/>
  <c r="Q360" i="99"/>
  <c r="O361" i="99"/>
  <c r="C362" i="99"/>
  <c r="O362" i="99"/>
  <c r="Q362" i="99"/>
  <c r="O363" i="99"/>
  <c r="C364" i="99"/>
  <c r="O364" i="99"/>
  <c r="Q364" i="99"/>
  <c r="O365" i="99"/>
  <c r="C366" i="99"/>
  <c r="O366" i="99"/>
  <c r="Q366" i="99"/>
  <c r="O367" i="99"/>
  <c r="C368" i="99"/>
  <c r="O368" i="99"/>
  <c r="Q368" i="99"/>
  <c r="O369" i="99"/>
  <c r="C370" i="99"/>
  <c r="O370" i="99"/>
  <c r="Q370" i="99"/>
  <c r="O371" i="99"/>
  <c r="C372" i="99"/>
  <c r="O372" i="99"/>
  <c r="Q372" i="99"/>
  <c r="O373" i="99"/>
  <c r="C374" i="99"/>
  <c r="O374" i="99"/>
  <c r="Q374" i="99"/>
  <c r="O375" i="99"/>
  <c r="C377" i="99"/>
  <c r="O377" i="99"/>
  <c r="C378" i="99"/>
  <c r="O378" i="99"/>
  <c r="C379" i="99"/>
  <c r="O379" i="99"/>
  <c r="C380" i="99"/>
  <c r="O380" i="99"/>
  <c r="C381" i="99"/>
  <c r="O381" i="99"/>
  <c r="C382" i="99"/>
  <c r="O382" i="99"/>
  <c r="C383" i="99"/>
  <c r="O383" i="99"/>
  <c r="C384" i="99"/>
  <c r="O384" i="99"/>
  <c r="C385" i="99"/>
  <c r="O385" i="99"/>
  <c r="C386" i="99"/>
  <c r="O386" i="99"/>
  <c r="C387" i="99"/>
  <c r="O387" i="99"/>
  <c r="C388" i="99"/>
  <c r="O388" i="99"/>
  <c r="C389" i="99"/>
  <c r="I389" i="99"/>
  <c r="O389" i="99"/>
  <c r="C390" i="99"/>
  <c r="O390" i="99"/>
  <c r="C391" i="99"/>
  <c r="O391" i="99"/>
  <c r="Q391" i="99"/>
  <c r="O392" i="99"/>
  <c r="C393" i="99"/>
  <c r="O393" i="99"/>
  <c r="Q393" i="99"/>
  <c r="O394" i="99"/>
  <c r="C395" i="99"/>
  <c r="O395" i="99"/>
  <c r="Q395" i="99"/>
  <c r="O396" i="99"/>
  <c r="C397" i="99"/>
  <c r="O397" i="99"/>
  <c r="Q397" i="99"/>
  <c r="O398" i="99"/>
  <c r="C399" i="99"/>
  <c r="O399" i="99"/>
  <c r="Q399" i="99"/>
  <c r="O400" i="99"/>
  <c r="C401" i="99"/>
  <c r="O401" i="99"/>
  <c r="Q401" i="99"/>
  <c r="O402" i="99"/>
  <c r="C403" i="99"/>
  <c r="O403" i="99"/>
  <c r="Q403" i="99"/>
  <c r="O404" i="99"/>
  <c r="C405" i="99"/>
  <c r="O405" i="99"/>
  <c r="Q405" i="99"/>
  <c r="O406" i="99"/>
  <c r="C407" i="99"/>
  <c r="O407" i="99"/>
  <c r="Q407" i="99"/>
  <c r="O408" i="99"/>
  <c r="C409" i="99"/>
  <c r="O409" i="99"/>
  <c r="Q409" i="99"/>
  <c r="O410" i="99"/>
  <c r="C411" i="99"/>
  <c r="O411" i="99"/>
  <c r="Q411" i="99"/>
  <c r="O412" i="99"/>
  <c r="C413" i="99"/>
  <c r="O413" i="99"/>
  <c r="Q413" i="99"/>
  <c r="O414" i="99"/>
  <c r="C415" i="99"/>
  <c r="O415" i="99"/>
  <c r="Q415" i="99"/>
  <c r="O416" i="99"/>
  <c r="C417" i="99"/>
  <c r="O417" i="99"/>
  <c r="Q417" i="99"/>
  <c r="O418" i="99"/>
  <c r="C419" i="99"/>
  <c r="O419" i="99"/>
  <c r="C420" i="99"/>
  <c r="O420" i="99"/>
  <c r="C421" i="99"/>
  <c r="O421" i="99"/>
  <c r="C422" i="99"/>
  <c r="O422" i="99"/>
  <c r="C423" i="99"/>
  <c r="O423" i="99"/>
  <c r="C424" i="99"/>
  <c r="O424" i="99"/>
  <c r="C425" i="99"/>
  <c r="O425" i="99"/>
  <c r="C426" i="99"/>
  <c r="O426" i="99"/>
  <c r="C427" i="99"/>
  <c r="O427" i="99"/>
  <c r="C428" i="99"/>
  <c r="O428" i="99"/>
  <c r="C429" i="99"/>
  <c r="O429" i="99"/>
  <c r="C430" i="99"/>
  <c r="O430" i="99"/>
  <c r="C431" i="99"/>
  <c r="O431" i="99"/>
  <c r="C432" i="99"/>
  <c r="O432" i="99"/>
  <c r="C433" i="99"/>
  <c r="O433" i="99"/>
  <c r="C434" i="99"/>
  <c r="O434" i="99"/>
  <c r="C435" i="99"/>
  <c r="O435" i="99"/>
  <c r="C436" i="99"/>
  <c r="O436" i="99"/>
  <c r="C437" i="99"/>
  <c r="O437" i="99"/>
  <c r="C438" i="99"/>
  <c r="O438" i="99"/>
  <c r="C439" i="99"/>
  <c r="O439" i="99"/>
  <c r="C440" i="99"/>
  <c r="O440" i="99"/>
  <c r="C441" i="99"/>
  <c r="O441" i="99"/>
  <c r="C442" i="99"/>
  <c r="O442" i="99"/>
  <c r="C443" i="99"/>
  <c r="O443" i="99"/>
  <c r="C444" i="99"/>
  <c r="O444" i="99"/>
  <c r="C445" i="99"/>
  <c r="O445" i="99"/>
  <c r="C446" i="99"/>
  <c r="O446" i="99"/>
  <c r="C447" i="99"/>
  <c r="O447" i="99"/>
  <c r="C448" i="99"/>
  <c r="O448" i="99"/>
  <c r="C449" i="99"/>
  <c r="O449" i="99"/>
  <c r="C450" i="99"/>
  <c r="O450" i="99"/>
  <c r="C451" i="99"/>
  <c r="O451" i="99"/>
  <c r="C452" i="99"/>
  <c r="O452" i="99"/>
  <c r="C453" i="99"/>
  <c r="O453" i="99"/>
  <c r="C454" i="99"/>
  <c r="O454" i="99"/>
  <c r="C455" i="99"/>
  <c r="O455" i="99"/>
  <c r="C456" i="99"/>
  <c r="O456" i="99"/>
  <c r="C457" i="99"/>
  <c r="O457" i="99"/>
  <c r="C458" i="99"/>
  <c r="O458" i="99"/>
  <c r="C459" i="99"/>
  <c r="O459" i="99"/>
  <c r="C460" i="99"/>
  <c r="O460" i="99"/>
  <c r="C461" i="99"/>
  <c r="O461" i="99"/>
  <c r="C462" i="99"/>
  <c r="O462" i="99"/>
  <c r="C463" i="99"/>
  <c r="O463" i="99"/>
  <c r="C464" i="99"/>
  <c r="O464" i="99"/>
  <c r="C465" i="99"/>
  <c r="O465" i="99"/>
  <c r="C466" i="99"/>
  <c r="O466" i="99"/>
  <c r="C467" i="99"/>
  <c r="O467" i="99"/>
  <c r="C468" i="99"/>
  <c r="O468" i="99"/>
  <c r="C469" i="99"/>
  <c r="O469" i="99"/>
  <c r="C470" i="99"/>
  <c r="O470" i="99"/>
  <c r="C471" i="99"/>
  <c r="O471" i="99"/>
  <c r="C472" i="99"/>
  <c r="O472" i="99"/>
  <c r="C473" i="99"/>
  <c r="O473" i="99"/>
  <c r="C474" i="99"/>
  <c r="O474" i="99"/>
  <c r="O475" i="99"/>
  <c r="C476" i="99"/>
  <c r="O476" i="99"/>
  <c r="C477" i="99"/>
  <c r="O477" i="99"/>
  <c r="C478" i="99"/>
  <c r="O478" i="99"/>
  <c r="C479" i="99"/>
  <c r="O479" i="99"/>
  <c r="C480" i="99"/>
  <c r="O480" i="99"/>
  <c r="C481" i="99"/>
  <c r="O481" i="99"/>
  <c r="C482" i="99"/>
  <c r="O482" i="99"/>
  <c r="C483" i="99"/>
  <c r="O483" i="99"/>
  <c r="C484" i="99"/>
  <c r="O484" i="99"/>
  <c r="C485" i="99"/>
  <c r="O485" i="99"/>
  <c r="C486" i="99"/>
  <c r="O486" i="99"/>
  <c r="C487" i="99"/>
  <c r="O487" i="99"/>
  <c r="C488" i="99"/>
  <c r="O488" i="99"/>
  <c r="C489" i="99"/>
  <c r="O489" i="99"/>
  <c r="C490" i="99"/>
  <c r="O490" i="99"/>
  <c r="C491" i="99"/>
  <c r="O491" i="99"/>
  <c r="C492" i="99"/>
  <c r="O492" i="99"/>
  <c r="C493" i="99"/>
  <c r="O493" i="99"/>
  <c r="C494" i="99"/>
  <c r="O494" i="99"/>
  <c r="C495" i="99"/>
  <c r="O495" i="99"/>
  <c r="C496" i="99"/>
  <c r="O496" i="99"/>
  <c r="C497" i="99"/>
  <c r="O497" i="99"/>
  <c r="C498" i="99"/>
  <c r="O498" i="99"/>
  <c r="C499" i="99"/>
  <c r="O499" i="99"/>
  <c r="C500" i="99"/>
  <c r="O500" i="99"/>
  <c r="C501" i="99"/>
  <c r="O501" i="99"/>
  <c r="C502" i="99"/>
  <c r="O502" i="99"/>
  <c r="C503" i="99"/>
  <c r="O503" i="99"/>
  <c r="C505" i="99"/>
  <c r="O505" i="99"/>
  <c r="C506" i="99"/>
  <c r="O506" i="99"/>
  <c r="C507" i="99"/>
  <c r="O507" i="99"/>
  <c r="C508" i="99"/>
  <c r="O508" i="99"/>
  <c r="C509" i="99"/>
  <c r="O509" i="99"/>
  <c r="C510" i="99"/>
  <c r="O510" i="99"/>
  <c r="C511" i="99"/>
  <c r="O511" i="99"/>
  <c r="C512" i="99"/>
  <c r="O512" i="99"/>
  <c r="Q513" i="99"/>
  <c r="Q515" i="99"/>
  <c r="Q517" i="99"/>
  <c r="Q519" i="99"/>
  <c r="Q521" i="99"/>
  <c r="Q523" i="99"/>
  <c r="Q525" i="99"/>
  <c r="Q527" i="99"/>
  <c r="Q529" i="99"/>
  <c r="Q531" i="99"/>
  <c r="Q533" i="99"/>
  <c r="Q535" i="99"/>
  <c r="Q537" i="99"/>
  <c r="Q539" i="99"/>
  <c r="C541" i="99"/>
  <c r="O541" i="99"/>
  <c r="Q541" i="99"/>
  <c r="O542" i="99"/>
  <c r="Q542" i="99"/>
  <c r="O543" i="99"/>
  <c r="C544" i="99"/>
  <c r="O544" i="99"/>
  <c r="Q544" i="99"/>
  <c r="O545" i="99"/>
  <c r="Q545" i="99"/>
  <c r="O546" i="99"/>
  <c r="C547" i="99"/>
  <c r="O547" i="99"/>
  <c r="Q547" i="99"/>
  <c r="O548" i="99"/>
  <c r="Q548" i="99"/>
  <c r="O549" i="99"/>
  <c r="C550" i="99"/>
  <c r="O550" i="99"/>
  <c r="Q550" i="99"/>
  <c r="O551" i="99"/>
  <c r="Q551" i="99"/>
  <c r="O552" i="99"/>
  <c r="C553" i="99"/>
  <c r="O553" i="99"/>
  <c r="Q553" i="99"/>
  <c r="O554" i="99"/>
  <c r="Q554" i="99"/>
  <c r="O555" i="99"/>
  <c r="C556" i="99"/>
  <c r="O556" i="99"/>
  <c r="Q556" i="99"/>
  <c r="O557" i="99"/>
  <c r="Q557" i="99"/>
  <c r="O558" i="99"/>
  <c r="C559" i="99"/>
  <c r="O559" i="99"/>
  <c r="Q559" i="99"/>
  <c r="O560" i="99"/>
  <c r="Q560" i="99"/>
  <c r="O561" i="99"/>
  <c r="C562" i="99"/>
  <c r="O562" i="99"/>
  <c r="Q562" i="99"/>
  <c r="O563" i="99"/>
  <c r="Q563" i="99"/>
  <c r="O564" i="99"/>
  <c r="C565" i="99"/>
  <c r="O565" i="99"/>
  <c r="Q565" i="99"/>
  <c r="O566" i="99"/>
  <c r="Q566" i="99"/>
  <c r="O567" i="99"/>
  <c r="C568" i="99"/>
  <c r="O568" i="99"/>
  <c r="Q568" i="99"/>
  <c r="O569" i="99"/>
  <c r="Q569" i="99"/>
  <c r="O570" i="99"/>
  <c r="C571" i="99"/>
  <c r="O571" i="99"/>
  <c r="Q571" i="99"/>
  <c r="O572" i="99"/>
  <c r="Q572" i="99"/>
  <c r="O573" i="99"/>
  <c r="C574" i="99"/>
  <c r="O574" i="99"/>
  <c r="Q574" i="99"/>
  <c r="O575" i="99"/>
  <c r="Q575" i="99"/>
  <c r="O576" i="99"/>
  <c r="C577" i="99"/>
  <c r="O577" i="99"/>
  <c r="Q577" i="99"/>
  <c r="O578" i="99"/>
  <c r="Q578" i="99"/>
  <c r="O579" i="99"/>
  <c r="C580" i="99"/>
  <c r="O580" i="99"/>
  <c r="Q580" i="99"/>
  <c r="O581" i="99"/>
  <c r="Q581" i="99"/>
  <c r="O582" i="99"/>
  <c r="C583" i="99"/>
  <c r="O583" i="99"/>
  <c r="C584" i="99"/>
  <c r="I584" i="99"/>
  <c r="O584" i="99"/>
  <c r="C585" i="99"/>
  <c r="I585" i="99"/>
  <c r="O585" i="99"/>
  <c r="C586" i="99"/>
  <c r="I586" i="99"/>
  <c r="O586" i="99"/>
  <c r="C587" i="99"/>
  <c r="I587" i="99"/>
  <c r="O587" i="99"/>
  <c r="C588" i="99"/>
  <c r="I588" i="99"/>
  <c r="O588" i="99"/>
  <c r="C589" i="99"/>
  <c r="I589" i="99"/>
  <c r="O589" i="99"/>
  <c r="C590" i="99"/>
  <c r="I590" i="99"/>
  <c r="O590" i="99"/>
  <c r="C591" i="99"/>
  <c r="I591" i="99"/>
  <c r="O591" i="99"/>
  <c r="C592" i="99"/>
  <c r="I592" i="99"/>
  <c r="O592" i="99"/>
  <c r="C593" i="99"/>
  <c r="I593" i="99"/>
  <c r="O593" i="99"/>
  <c r="C594" i="99"/>
  <c r="I594" i="99"/>
  <c r="O594" i="99"/>
  <c r="C595" i="99"/>
  <c r="I595" i="99"/>
  <c r="O595" i="99"/>
  <c r="C596" i="99"/>
  <c r="I596" i="99"/>
  <c r="O596" i="99"/>
  <c r="C597" i="99"/>
  <c r="O597" i="99"/>
  <c r="Q597" i="99"/>
  <c r="O598" i="99"/>
  <c r="Q598" i="99"/>
  <c r="O599" i="99"/>
  <c r="C600" i="99"/>
  <c r="O600" i="99"/>
  <c r="Q600" i="99"/>
  <c r="O601" i="99"/>
  <c r="Q601" i="99"/>
  <c r="O602" i="99"/>
  <c r="C603" i="99"/>
  <c r="O603" i="99"/>
  <c r="Q603" i="99"/>
  <c r="O604" i="99"/>
  <c r="Q604" i="99"/>
  <c r="O605" i="99"/>
  <c r="C606" i="99"/>
  <c r="O606" i="99"/>
  <c r="Q606" i="99"/>
  <c r="O607" i="99"/>
  <c r="Q607" i="99"/>
  <c r="O608" i="99"/>
  <c r="C609" i="99"/>
  <c r="O609" i="99"/>
  <c r="Q609" i="99"/>
  <c r="O610" i="99"/>
  <c r="Q610" i="99"/>
  <c r="O611" i="99"/>
  <c r="C612" i="99"/>
  <c r="O612" i="99"/>
  <c r="Q612" i="99"/>
  <c r="O613" i="99"/>
  <c r="Q613" i="99"/>
  <c r="O614" i="99"/>
  <c r="C615" i="99"/>
  <c r="O615" i="99"/>
  <c r="Q615" i="99"/>
  <c r="O616" i="99"/>
  <c r="Q616" i="99"/>
  <c r="O617" i="99"/>
  <c r="C618" i="99"/>
  <c r="O618" i="99"/>
  <c r="Q618" i="99"/>
  <c r="O619" i="99"/>
  <c r="Q619" i="99"/>
  <c r="O620" i="99"/>
  <c r="C621" i="99"/>
  <c r="O621" i="99"/>
  <c r="Q621" i="99"/>
  <c r="O622" i="99"/>
  <c r="Q622" i="99"/>
  <c r="O623" i="99"/>
  <c r="C624" i="99"/>
  <c r="O624" i="99"/>
  <c r="Q624" i="99"/>
  <c r="O625" i="99"/>
  <c r="Q625" i="99"/>
  <c r="O626" i="99"/>
  <c r="C627" i="99"/>
  <c r="O627" i="99"/>
  <c r="Q627" i="99"/>
  <c r="O628" i="99"/>
  <c r="Q628" i="99"/>
  <c r="O629" i="99"/>
  <c r="C630" i="99"/>
  <c r="O630" i="99"/>
  <c r="Q630" i="99"/>
  <c r="O631" i="99"/>
  <c r="Q631" i="99"/>
  <c r="O632" i="99"/>
  <c r="C633" i="99"/>
  <c r="O633" i="99"/>
  <c r="Q633" i="99"/>
  <c r="O634" i="99"/>
  <c r="Q634" i="99"/>
  <c r="O635" i="99"/>
  <c r="C636" i="99"/>
  <c r="O636" i="99"/>
  <c r="Q636" i="99"/>
  <c r="O637" i="99"/>
  <c r="Q637" i="99"/>
  <c r="O638" i="99"/>
  <c r="C639" i="99"/>
  <c r="O639" i="99"/>
  <c r="O640" i="99"/>
  <c r="C641" i="99"/>
  <c r="O641" i="99"/>
  <c r="O642" i="99"/>
  <c r="C643" i="99"/>
  <c r="O643" i="99"/>
  <c r="O644" i="99"/>
  <c r="C645" i="99"/>
  <c r="O645" i="99"/>
  <c r="O646" i="99"/>
  <c r="C647" i="99"/>
  <c r="O647" i="99"/>
  <c r="O648" i="99"/>
  <c r="C649" i="99"/>
  <c r="O649" i="99"/>
  <c r="O650" i="99"/>
  <c r="C651" i="99"/>
  <c r="O651" i="99"/>
  <c r="O652" i="99"/>
  <c r="C653" i="99"/>
  <c r="O653" i="99"/>
  <c r="O654" i="99"/>
  <c r="C655" i="99"/>
  <c r="O655" i="99"/>
  <c r="O656" i="99"/>
  <c r="C657" i="99"/>
  <c r="O657" i="99"/>
  <c r="O658" i="99"/>
  <c r="C659" i="99"/>
  <c r="O659" i="99"/>
  <c r="O660" i="99"/>
  <c r="C661" i="99"/>
  <c r="O661" i="99"/>
  <c r="O662" i="99"/>
  <c r="C663" i="99"/>
  <c r="O663" i="99"/>
  <c r="O664" i="99"/>
  <c r="C665" i="99"/>
  <c r="O665" i="99"/>
  <c r="O666" i="99"/>
  <c r="C667" i="99"/>
  <c r="O667" i="99"/>
  <c r="O668" i="99"/>
  <c r="C669" i="99"/>
  <c r="O669" i="99"/>
  <c r="O670" i="99"/>
  <c r="C671" i="99"/>
  <c r="O671" i="99"/>
  <c r="O672" i="99"/>
  <c r="C673" i="99"/>
  <c r="O673" i="99"/>
  <c r="O674" i="99"/>
  <c r="C675" i="99"/>
  <c r="O675" i="99"/>
  <c r="O676" i="99"/>
  <c r="C677" i="99"/>
  <c r="O677" i="99"/>
  <c r="O678" i="99"/>
  <c r="C679" i="99"/>
  <c r="O679" i="99"/>
  <c r="O680" i="99"/>
  <c r="C681" i="99"/>
  <c r="O681" i="99"/>
  <c r="O682" i="99"/>
  <c r="C683" i="99"/>
  <c r="O683" i="99"/>
  <c r="O684" i="99"/>
  <c r="C685" i="99"/>
  <c r="O685" i="99"/>
  <c r="O686" i="99"/>
  <c r="C687" i="99"/>
  <c r="O687" i="99"/>
  <c r="O688" i="99"/>
  <c r="C689" i="99"/>
  <c r="O689" i="99"/>
  <c r="O690" i="99"/>
  <c r="C691" i="99"/>
  <c r="O691" i="99"/>
  <c r="O692" i="99"/>
  <c r="C693" i="99"/>
  <c r="O693" i="99"/>
  <c r="O694" i="99"/>
  <c r="C695" i="99"/>
  <c r="O695" i="99"/>
  <c r="C696" i="99"/>
  <c r="O696" i="99"/>
  <c r="O697" i="99"/>
  <c r="O698" i="99"/>
  <c r="C699" i="99"/>
  <c r="O699" i="99"/>
  <c r="O700" i="99"/>
  <c r="C701" i="99"/>
  <c r="O701" i="99"/>
  <c r="O702" i="99"/>
  <c r="C703" i="99"/>
  <c r="O703" i="99"/>
  <c r="O704" i="99"/>
  <c r="C705" i="99"/>
  <c r="O705" i="99"/>
  <c r="O706" i="99"/>
  <c r="C707" i="99"/>
  <c r="O707" i="99"/>
  <c r="O708" i="99"/>
  <c r="C709" i="99"/>
  <c r="O709" i="99"/>
  <c r="O710" i="99"/>
  <c r="C711" i="99"/>
  <c r="O711" i="99"/>
  <c r="O712" i="99"/>
  <c r="C713" i="99"/>
  <c r="O713" i="99"/>
  <c r="O714" i="99"/>
  <c r="C715" i="99"/>
  <c r="O715" i="99"/>
  <c r="O716" i="99"/>
  <c r="C717" i="99"/>
  <c r="O717" i="99"/>
  <c r="O718" i="99"/>
  <c r="C719" i="99"/>
  <c r="O719" i="99"/>
  <c r="O720" i="99"/>
  <c r="C721" i="99"/>
  <c r="O721" i="99"/>
  <c r="C722" i="99"/>
  <c r="O722" i="99"/>
  <c r="C723" i="99"/>
  <c r="O723" i="99"/>
  <c r="C724" i="99"/>
  <c r="O724" i="99"/>
  <c r="C725" i="99"/>
  <c r="O725" i="99"/>
  <c r="C726" i="99"/>
  <c r="O726" i="99"/>
  <c r="C727" i="99"/>
  <c r="O727" i="99"/>
  <c r="C728" i="99"/>
  <c r="O728" i="99"/>
  <c r="C729" i="99"/>
  <c r="O729" i="99"/>
  <c r="C730" i="99"/>
  <c r="O730" i="99"/>
  <c r="C731" i="99"/>
  <c r="O731" i="99"/>
  <c r="C732" i="99"/>
  <c r="O732" i="99"/>
  <c r="C733" i="99"/>
  <c r="O733" i="99"/>
  <c r="C734" i="99"/>
  <c r="O734" i="99"/>
  <c r="O740" i="99"/>
  <c r="O741" i="99"/>
  <c r="O742" i="99"/>
  <c r="O743" i="99"/>
  <c r="Q743" i="99"/>
  <c r="O744" i="99"/>
  <c r="O745" i="99"/>
  <c r="O746" i="99"/>
  <c r="O747" i="99"/>
  <c r="C748" i="99"/>
  <c r="O748" i="99"/>
  <c r="Q748" i="99"/>
  <c r="O749" i="99"/>
  <c r="O750" i="99"/>
  <c r="O751" i="99"/>
  <c r="O752" i="99"/>
  <c r="C753" i="99"/>
  <c r="O753" i="99"/>
  <c r="Q753" i="99"/>
  <c r="O754" i="99"/>
  <c r="O755" i="99"/>
  <c r="O756" i="99"/>
  <c r="O757" i="99"/>
  <c r="C758" i="99"/>
  <c r="O758" i="99"/>
  <c r="Q758" i="99"/>
  <c r="O759" i="99"/>
  <c r="O760" i="99"/>
  <c r="O761" i="99"/>
  <c r="O762" i="99"/>
  <c r="C763" i="99"/>
  <c r="O763" i="99"/>
  <c r="Q763" i="99"/>
  <c r="O764" i="99"/>
  <c r="O765" i="99"/>
  <c r="O766" i="99"/>
  <c r="O767" i="99"/>
  <c r="C768" i="99"/>
  <c r="O768" i="99"/>
  <c r="Q768" i="99"/>
  <c r="O769" i="99"/>
  <c r="O770" i="99"/>
  <c r="O771" i="99"/>
  <c r="O772" i="99"/>
  <c r="C773" i="99"/>
  <c r="O773" i="99"/>
  <c r="Q773" i="99"/>
  <c r="O774" i="99"/>
  <c r="O775" i="99"/>
  <c r="O776" i="99"/>
  <c r="O777" i="99"/>
  <c r="C778" i="99"/>
  <c r="O778" i="99"/>
  <c r="Q778" i="99"/>
  <c r="O779" i="99"/>
  <c r="O780" i="99"/>
  <c r="O781" i="99"/>
  <c r="O782" i="99"/>
  <c r="C783" i="99"/>
  <c r="O783" i="99"/>
  <c r="Q783" i="99"/>
  <c r="O784" i="99"/>
  <c r="O785" i="99"/>
  <c r="O786" i="99"/>
  <c r="O787" i="99"/>
  <c r="C788" i="99"/>
  <c r="O788" i="99"/>
  <c r="Q788" i="99"/>
  <c r="O789" i="99"/>
  <c r="O790" i="99"/>
  <c r="C791" i="99"/>
  <c r="O791" i="99"/>
  <c r="Q791" i="99"/>
  <c r="O792" i="99"/>
  <c r="O793" i="99"/>
  <c r="O794" i="99"/>
  <c r="O795" i="99"/>
  <c r="C796" i="99"/>
  <c r="O796" i="99"/>
  <c r="Q796" i="99"/>
  <c r="Q800" i="99"/>
  <c r="C801" i="99"/>
  <c r="O801" i="99"/>
  <c r="C802" i="99"/>
  <c r="O802" i="99"/>
  <c r="O803" i="99"/>
  <c r="O804" i="99"/>
  <c r="O805" i="99"/>
  <c r="O806" i="99"/>
  <c r="O807" i="99"/>
  <c r="O808" i="99"/>
  <c r="O809" i="99"/>
  <c r="O810" i="99"/>
  <c r="O811" i="99"/>
  <c r="O812" i="99"/>
  <c r="O813" i="99"/>
  <c r="O814" i="99"/>
  <c r="C821" i="99"/>
  <c r="O821" i="99"/>
  <c r="C822" i="99"/>
  <c r="O822" i="99"/>
  <c r="C823" i="99"/>
  <c r="O823" i="99"/>
  <c r="C824" i="99"/>
  <c r="O824" i="99"/>
  <c r="C825" i="99"/>
  <c r="O825" i="99"/>
  <c r="C826" i="99"/>
  <c r="O826" i="99"/>
  <c r="C827" i="99"/>
  <c r="O827" i="99"/>
  <c r="C828" i="99"/>
  <c r="O828" i="99"/>
  <c r="C829" i="99"/>
  <c r="O829" i="99"/>
  <c r="C830" i="99"/>
  <c r="O830" i="99"/>
  <c r="C841" i="99"/>
  <c r="O841" i="99"/>
  <c r="Q841" i="99"/>
  <c r="O842" i="99"/>
  <c r="C843" i="99"/>
  <c r="O843" i="99"/>
  <c r="Q843" i="99"/>
  <c r="O844" i="99"/>
  <c r="C845" i="99"/>
  <c r="O845" i="99"/>
  <c r="Q845" i="99"/>
  <c r="O846" i="99"/>
  <c r="C847" i="99"/>
  <c r="O847" i="99"/>
  <c r="Q847" i="99"/>
  <c r="O848" i="99"/>
  <c r="C849" i="99"/>
  <c r="O849" i="99"/>
  <c r="Q849" i="99"/>
  <c r="O850" i="99"/>
  <c r="C851" i="99"/>
  <c r="O851" i="99"/>
  <c r="Q851" i="99"/>
  <c r="O852" i="99"/>
  <c r="C853" i="99"/>
  <c r="O853" i="99"/>
  <c r="Q853" i="99"/>
  <c r="O854" i="99"/>
  <c r="C855" i="99"/>
  <c r="O855" i="99"/>
  <c r="Q855" i="99"/>
  <c r="O856" i="99"/>
  <c r="C857" i="99"/>
  <c r="O857" i="99"/>
  <c r="Q857" i="99"/>
  <c r="O858" i="99"/>
  <c r="C859" i="99"/>
  <c r="O859" i="99"/>
  <c r="Q859" i="99"/>
  <c r="O860" i="99"/>
  <c r="C861" i="99"/>
  <c r="O861" i="99"/>
  <c r="Q861" i="99"/>
  <c r="O862" i="99"/>
  <c r="C863" i="99"/>
  <c r="O863" i="99"/>
  <c r="Q863" i="99"/>
  <c r="O864" i="99"/>
  <c r="C865" i="99"/>
  <c r="O865" i="99"/>
  <c r="Q865" i="99"/>
  <c r="O866" i="99"/>
  <c r="C867" i="99"/>
  <c r="O867" i="99"/>
  <c r="Q867" i="99"/>
  <c r="O868" i="99"/>
  <c r="C869" i="99"/>
  <c r="O869" i="99"/>
  <c r="C881" i="99"/>
  <c r="O881" i="99"/>
  <c r="O882" i="99"/>
  <c r="O883" i="99"/>
  <c r="O884" i="99"/>
  <c r="O885" i="99"/>
  <c r="O886" i="99"/>
  <c r="C887" i="99"/>
  <c r="O887" i="99"/>
  <c r="C888" i="99"/>
  <c r="O888" i="99"/>
  <c r="C889" i="99"/>
  <c r="O889" i="99"/>
  <c r="C890" i="99"/>
  <c r="O890" i="99"/>
  <c r="C891" i="99"/>
  <c r="O891" i="99"/>
  <c r="C892" i="99"/>
  <c r="O892" i="99"/>
  <c r="C893" i="99"/>
  <c r="O893" i="99"/>
  <c r="C894" i="99"/>
  <c r="O894" i="99"/>
  <c r="C895" i="99"/>
  <c r="O895" i="99"/>
  <c r="C896" i="99"/>
  <c r="O896" i="99"/>
  <c r="C897" i="99"/>
  <c r="O897" i="99"/>
  <c r="C898" i="99"/>
  <c r="O898" i="99"/>
  <c r="C908" i="99"/>
  <c r="I908" i="99"/>
  <c r="O908" i="99"/>
  <c r="Q908" i="99"/>
  <c r="C909" i="99"/>
  <c r="O909" i="99"/>
  <c r="C910" i="99"/>
  <c r="O910" i="99"/>
  <c r="C911" i="99"/>
  <c r="O911" i="99"/>
  <c r="C912" i="99"/>
  <c r="O912" i="99"/>
  <c r="C913" i="99"/>
  <c r="O913" i="99"/>
  <c r="C914" i="99"/>
  <c r="O914" i="99"/>
  <c r="C915" i="99"/>
  <c r="O915" i="99"/>
  <c r="C916" i="99"/>
  <c r="O916" i="99"/>
  <c r="C917" i="99"/>
  <c r="O917" i="99"/>
  <c r="C918" i="99"/>
  <c r="O918" i="99"/>
  <c r="C919" i="99"/>
  <c r="O919" i="99"/>
  <c r="C920" i="99"/>
  <c r="O920" i="99"/>
  <c r="C921" i="99"/>
  <c r="O921" i="99"/>
  <c r="C922" i="99"/>
  <c r="O922" i="99"/>
  <c r="C923" i="99"/>
  <c r="O923" i="99"/>
  <c r="C924" i="99"/>
  <c r="O924" i="99"/>
  <c r="C925" i="99"/>
  <c r="O925" i="99"/>
  <c r="C926" i="99"/>
  <c r="O926" i="99"/>
  <c r="C927" i="99"/>
  <c r="O927" i="99"/>
  <c r="C928" i="99"/>
  <c r="O928" i="99"/>
  <c r="C929" i="99"/>
  <c r="O929" i="99"/>
  <c r="C930" i="99"/>
  <c r="O930" i="99"/>
  <c r="C931" i="99"/>
  <c r="O931" i="99"/>
  <c r="C932" i="99"/>
  <c r="O932" i="99"/>
  <c r="C933" i="99"/>
  <c r="O933" i="99"/>
  <c r="C934" i="99"/>
  <c r="O934" i="99"/>
  <c r="C935" i="99"/>
  <c r="O935" i="99"/>
  <c r="C936" i="99"/>
  <c r="O936" i="99"/>
  <c r="C937" i="99"/>
  <c r="O937" i="99"/>
  <c r="C938" i="99"/>
  <c r="O938" i="99"/>
  <c r="C939" i="99"/>
  <c r="O939" i="99"/>
  <c r="C940" i="99"/>
  <c r="O940" i="99"/>
  <c r="C941" i="99"/>
  <c r="O941" i="99"/>
  <c r="C942" i="99"/>
  <c r="O942" i="99"/>
  <c r="C943" i="99"/>
  <c r="O943" i="99"/>
  <c r="C944" i="99"/>
  <c r="O944" i="99"/>
  <c r="C945" i="99"/>
  <c r="O945" i="99"/>
  <c r="C946" i="99"/>
  <c r="O946" i="99"/>
  <c r="C947" i="99"/>
  <c r="O947" i="99"/>
  <c r="C948" i="99"/>
  <c r="O948" i="99"/>
  <c r="C949" i="99"/>
  <c r="O949" i="99"/>
  <c r="C950" i="99"/>
  <c r="I950" i="99"/>
  <c r="O950" i="99"/>
  <c r="C951" i="99"/>
  <c r="I951" i="99"/>
  <c r="O951" i="99"/>
  <c r="C952" i="99"/>
  <c r="I952" i="99"/>
  <c r="O952" i="99"/>
  <c r="C953" i="99"/>
  <c r="I953" i="99"/>
  <c r="O953" i="99"/>
  <c r="C954" i="99"/>
  <c r="I954" i="99"/>
  <c r="O954" i="99"/>
  <c r="C955" i="99"/>
  <c r="I955" i="99"/>
  <c r="O955" i="99"/>
  <c r="C956" i="99"/>
  <c r="I956" i="99"/>
  <c r="O956" i="99"/>
  <c r="C957" i="99"/>
  <c r="I957" i="99"/>
  <c r="O957" i="99"/>
  <c r="C958" i="99"/>
  <c r="I958" i="99"/>
  <c r="O958" i="99"/>
  <c r="C959" i="99"/>
  <c r="I959" i="99"/>
  <c r="O959" i="99"/>
  <c r="C960" i="99"/>
  <c r="I960" i="99"/>
  <c r="O960" i="99"/>
  <c r="C961" i="99"/>
  <c r="I961" i="99"/>
  <c r="O961" i="99"/>
  <c r="C962" i="99"/>
  <c r="O962" i="99"/>
  <c r="O155" i="83"/>
  <c r="O154" i="83"/>
  <c r="O153" i="83"/>
  <c r="O152" i="83"/>
  <c r="O151" i="83"/>
  <c r="O150" i="83"/>
  <c r="O149" i="83"/>
  <c r="O148" i="83"/>
  <c r="O147" i="83"/>
  <c r="O146" i="83"/>
  <c r="O145" i="83"/>
  <c r="E16" i="83"/>
  <c r="E17" i="83"/>
  <c r="E18" i="83"/>
  <c r="E19" i="83"/>
  <c r="N2" i="83"/>
  <c r="N3" i="83"/>
  <c r="N4" i="83"/>
  <c r="N5" i="83"/>
  <c r="N6" i="83"/>
  <c r="C2" i="98"/>
  <c r="O11" i="83" s="1"/>
  <c r="N7" i="83"/>
  <c r="N8" i="83"/>
  <c r="N9" i="83"/>
  <c r="K122" i="96" s="1"/>
  <c r="V9" i="83"/>
  <c r="N10" i="83"/>
  <c r="N11" i="83"/>
  <c r="N12" i="83"/>
  <c r="S12" i="83"/>
  <c r="N13" i="83"/>
  <c r="N14" i="83"/>
  <c r="N15" i="83"/>
  <c r="N16" i="83"/>
  <c r="N17" i="83"/>
  <c r="N18" i="83"/>
  <c r="N19" i="83"/>
  <c r="N20" i="83"/>
  <c r="N21" i="83"/>
  <c r="N22" i="83"/>
  <c r="O22" i="83"/>
  <c r="N23" i="83"/>
  <c r="N24" i="83"/>
  <c r="E25" i="83"/>
  <c r="N25" i="83"/>
  <c r="K26" i="83"/>
  <c r="L26" i="83"/>
  <c r="M26" i="83"/>
  <c r="N26" i="83"/>
  <c r="E27" i="83"/>
  <c r="N27" i="83"/>
  <c r="E28" i="83"/>
  <c r="N28" i="83"/>
  <c r="E29" i="83"/>
  <c r="N29" i="83"/>
  <c r="E30" i="83"/>
  <c r="N30" i="83"/>
  <c r="S30" i="83"/>
  <c r="E31" i="83"/>
  <c r="N31" i="83"/>
  <c r="N32" i="83"/>
  <c r="N33" i="83"/>
  <c r="E34" i="83"/>
  <c r="N34" i="83"/>
  <c r="E35" i="83"/>
  <c r="N35" i="83"/>
  <c r="E36" i="83"/>
  <c r="N36" i="83"/>
  <c r="N37" i="83"/>
  <c r="N38" i="83"/>
  <c r="N39" i="83"/>
  <c r="N40" i="83"/>
  <c r="N41" i="83"/>
  <c r="N42" i="83"/>
  <c r="N43" i="83"/>
  <c r="N44" i="83"/>
  <c r="N45" i="83"/>
  <c r="N46" i="83"/>
  <c r="N47" i="83"/>
  <c r="N48" i="83"/>
  <c r="N49" i="83"/>
  <c r="N50" i="83"/>
  <c r="N51" i="83"/>
  <c r="E52" i="83"/>
  <c r="N52" i="83"/>
  <c r="E53" i="83"/>
  <c r="N53" i="83"/>
  <c r="Q53" i="83"/>
  <c r="E54" i="83"/>
  <c r="N54" i="83"/>
  <c r="Q54" i="83"/>
  <c r="E55" i="83"/>
  <c r="N55" i="83"/>
  <c r="E56" i="83"/>
  <c r="N56" i="83"/>
  <c r="E57" i="83"/>
  <c r="N57" i="83"/>
  <c r="E58" i="83"/>
  <c r="N58" i="83"/>
  <c r="E59" i="83"/>
  <c r="N59" i="83"/>
  <c r="U59" i="83"/>
  <c r="E60" i="83"/>
  <c r="N60" i="83"/>
  <c r="E61" i="83"/>
  <c r="N61" i="83"/>
  <c r="E62" i="83"/>
  <c r="N62" i="83"/>
  <c r="E63" i="83"/>
  <c r="N63" i="83"/>
  <c r="E64" i="83"/>
  <c r="N64" i="83"/>
  <c r="E65" i="83"/>
  <c r="N65" i="83"/>
  <c r="E66" i="83"/>
  <c r="N66" i="83"/>
  <c r="E67" i="83"/>
  <c r="N67" i="83"/>
  <c r="E68" i="83"/>
  <c r="N68" i="83"/>
  <c r="S68" i="83"/>
  <c r="E69" i="83"/>
  <c r="N69" i="83"/>
  <c r="S69" i="83"/>
  <c r="E70" i="83"/>
  <c r="N70" i="83"/>
  <c r="S70" i="83"/>
  <c r="E71" i="83"/>
  <c r="N71" i="83"/>
  <c r="S71" i="83"/>
  <c r="E72" i="83"/>
  <c r="N72" i="83"/>
  <c r="E73" i="83"/>
  <c r="N73" i="83"/>
  <c r="E74" i="83"/>
  <c r="N74" i="83"/>
  <c r="E75" i="83"/>
  <c r="N75" i="83"/>
  <c r="U75" i="83"/>
  <c r="N76" i="83"/>
  <c r="E77" i="83"/>
  <c r="N77" i="83"/>
  <c r="E78" i="83"/>
  <c r="N78" i="83"/>
  <c r="E79" i="83"/>
  <c r="N79" i="83"/>
  <c r="E80" i="83"/>
  <c r="N80" i="83"/>
  <c r="E81" i="83"/>
  <c r="N81" i="83"/>
  <c r="N82" i="83"/>
  <c r="E83" i="83"/>
  <c r="N83" i="83"/>
  <c r="S83" i="83"/>
  <c r="N84" i="83"/>
  <c r="S84" i="83"/>
  <c r="N85" i="83"/>
  <c r="S85" i="83"/>
  <c r="E86" i="83"/>
  <c r="N86" i="83"/>
  <c r="E87" i="83"/>
  <c r="N87" i="83"/>
  <c r="E88" i="83"/>
  <c r="N88" i="83"/>
  <c r="E89" i="83"/>
  <c r="N89" i="83"/>
  <c r="E90" i="83"/>
  <c r="N90" i="83"/>
  <c r="E91" i="83"/>
  <c r="N91" i="83"/>
  <c r="E92" i="83"/>
  <c r="N92" i="83"/>
  <c r="E93" i="83"/>
  <c r="N93" i="83"/>
  <c r="E94" i="83"/>
  <c r="N94" i="83"/>
  <c r="E95" i="83"/>
  <c r="N95" i="83"/>
  <c r="E96" i="83"/>
  <c r="N96" i="83"/>
  <c r="E97" i="83"/>
  <c r="N97" i="83"/>
  <c r="E98" i="83"/>
  <c r="N98" i="83"/>
  <c r="E99" i="83"/>
  <c r="N99" i="83"/>
  <c r="E100" i="83"/>
  <c r="N100" i="83"/>
  <c r="E101" i="83"/>
  <c r="N101" i="83"/>
  <c r="E102" i="83"/>
  <c r="N102" i="83"/>
  <c r="E103" i="83"/>
  <c r="N103" i="83"/>
  <c r="E104" i="83"/>
  <c r="N104" i="83"/>
  <c r="E105" i="83"/>
  <c r="N105" i="83"/>
  <c r="E106" i="83"/>
  <c r="N106" i="83"/>
  <c r="E107" i="83"/>
  <c r="N107" i="83"/>
  <c r="E108" i="83"/>
  <c r="N108" i="83"/>
  <c r="N109" i="83"/>
  <c r="N110" i="83"/>
  <c r="N111" i="83"/>
  <c r="S111" i="83"/>
  <c r="E112" i="83"/>
  <c r="N112" i="83"/>
  <c r="E113" i="83"/>
  <c r="N113" i="83"/>
  <c r="S114" i="83"/>
  <c r="S113" i="83"/>
  <c r="E114" i="83"/>
  <c r="N114" i="83"/>
  <c r="E115" i="83"/>
  <c r="N115" i="83"/>
  <c r="S115" i="83"/>
  <c r="V115" i="83"/>
  <c r="E116" i="83"/>
  <c r="N116" i="83"/>
  <c r="S116" i="83"/>
  <c r="V116" i="83"/>
  <c r="E117" i="83"/>
  <c r="N117" i="83"/>
  <c r="S117" i="83"/>
  <c r="E118" i="83"/>
  <c r="N118" i="83"/>
  <c r="S118" i="83"/>
  <c r="E119" i="83"/>
  <c r="N119" i="83"/>
  <c r="S119" i="83"/>
  <c r="E120" i="83"/>
  <c r="N120" i="83"/>
  <c r="N121" i="83"/>
  <c r="N122" i="83"/>
  <c r="S122" i="83"/>
  <c r="N123" i="83"/>
  <c r="S123" i="83"/>
  <c r="N124" i="83"/>
  <c r="N125" i="83"/>
  <c r="N126" i="83"/>
  <c r="K131" i="96" s="1"/>
  <c r="S126" i="83"/>
  <c r="N127" i="83"/>
  <c r="S127" i="83"/>
  <c r="E128" i="83"/>
  <c r="N128" i="83"/>
  <c r="E129" i="83"/>
  <c r="N129" i="83"/>
  <c r="E130" i="83"/>
  <c r="N130" i="83"/>
  <c r="N131" i="83"/>
  <c r="N132" i="83"/>
  <c r="Q132" i="83"/>
  <c r="S132" i="83"/>
  <c r="N133" i="83"/>
  <c r="S133" i="83"/>
  <c r="E134" i="83"/>
  <c r="N134" i="83"/>
  <c r="S134" i="83"/>
  <c r="T134" i="83"/>
  <c r="E135" i="83"/>
  <c r="N135" i="83"/>
  <c r="N136" i="83"/>
  <c r="N137" i="83"/>
  <c r="N138" i="83"/>
  <c r="K74" i="96" s="1"/>
  <c r="N139" i="83"/>
  <c r="E140" i="83"/>
  <c r="N140" i="83"/>
  <c r="E141" i="83"/>
  <c r="N141" i="83"/>
  <c r="Q141" i="83"/>
  <c r="E142" i="83"/>
  <c r="N142" i="83"/>
  <c r="K77" i="96" s="1"/>
  <c r="E143" i="83"/>
  <c r="N143" i="83"/>
  <c r="N144" i="83"/>
  <c r="N145" i="83"/>
  <c r="N146" i="83"/>
  <c r="K127" i="86" s="1"/>
  <c r="N147" i="83"/>
  <c r="N148" i="83"/>
  <c r="K81" i="96" s="1"/>
  <c r="N149" i="83"/>
  <c r="K116" i="87" s="1"/>
  <c r="N150" i="83"/>
  <c r="N151" i="83"/>
  <c r="K118" i="87" s="1"/>
  <c r="N152" i="83"/>
  <c r="K85" i="96" s="1"/>
  <c r="N153" i="83"/>
  <c r="K86" i="96" s="1"/>
  <c r="N154" i="83"/>
  <c r="K135" i="86" s="1"/>
  <c r="N155" i="83"/>
  <c r="E156" i="83"/>
  <c r="N156" i="83"/>
  <c r="K89" i="96" s="1"/>
  <c r="E157" i="83"/>
  <c r="N157" i="83"/>
  <c r="Q157" i="83"/>
  <c r="E158" i="83"/>
  <c r="N158" i="83"/>
  <c r="O158" i="83"/>
  <c r="E159" i="83"/>
  <c r="N159" i="83"/>
  <c r="K90" i="96" s="1"/>
  <c r="E160" i="83"/>
  <c r="N160" i="83"/>
  <c r="Q160" i="83"/>
  <c r="N161" i="83"/>
  <c r="E168" i="83"/>
  <c r="N168" i="83"/>
  <c r="O168" i="83"/>
  <c r="E169" i="83"/>
  <c r="N169" i="83"/>
  <c r="E170" i="83"/>
  <c r="N170" i="83"/>
  <c r="E171" i="83"/>
  <c r="N171" i="83"/>
  <c r="O171" i="83"/>
  <c r="S171" i="83"/>
  <c r="N172" i="83"/>
  <c r="N173" i="83"/>
  <c r="N174" i="83"/>
  <c r="D175" i="83"/>
  <c r="E175" i="83"/>
  <c r="N175" i="83"/>
  <c r="D176" i="83"/>
  <c r="E176" i="83"/>
  <c r="N176" i="83"/>
  <c r="K96" i="96" s="1"/>
  <c r="D177" i="83"/>
  <c r="E177" i="83"/>
  <c r="N177" i="83"/>
  <c r="D178" i="83"/>
  <c r="E178" i="83"/>
  <c r="N178" i="83"/>
  <c r="D179" i="83"/>
  <c r="E179" i="83"/>
  <c r="N179" i="83"/>
  <c r="E180" i="83"/>
  <c r="N180" i="83"/>
  <c r="O180" i="83"/>
  <c r="L100" i="96" s="1"/>
  <c r="S180" i="83"/>
  <c r="D181" i="83"/>
  <c r="E181" i="83"/>
  <c r="N181" i="83"/>
  <c r="K101" i="96" s="1"/>
  <c r="D182" i="83"/>
  <c r="E182" i="83"/>
  <c r="N182" i="83"/>
  <c r="D183" i="83"/>
  <c r="E183" i="83"/>
  <c r="N183" i="83"/>
  <c r="O183" i="83"/>
  <c r="D184" i="83"/>
  <c r="E184" i="83"/>
  <c r="N184" i="83"/>
  <c r="D185" i="83"/>
  <c r="E185" i="83"/>
  <c r="N185" i="83"/>
  <c r="O185" i="83"/>
  <c r="N186" i="83"/>
  <c r="O186" i="83"/>
  <c r="N187" i="83"/>
  <c r="N188" i="83"/>
  <c r="N189" i="83"/>
  <c r="N190" i="83"/>
  <c r="N191" i="83"/>
  <c r="N192" i="83"/>
  <c r="N193" i="83"/>
  <c r="N194" i="83"/>
  <c r="N195" i="83"/>
  <c r="N196" i="83"/>
  <c r="N197" i="83"/>
  <c r="E198" i="83"/>
  <c r="N198" i="83"/>
  <c r="U198" i="83"/>
  <c r="N199" i="83"/>
  <c r="N200" i="83"/>
  <c r="N201" i="83"/>
  <c r="N202" i="83"/>
  <c r="D203" i="83"/>
  <c r="E203" i="83"/>
  <c r="N203" i="83"/>
  <c r="D204" i="83"/>
  <c r="E204" i="83"/>
  <c r="N204" i="83"/>
  <c r="K170" i="86" s="1"/>
  <c r="D205" i="83"/>
  <c r="E205" i="83"/>
  <c r="N205" i="83"/>
  <c r="O205" i="83"/>
  <c r="D206" i="83"/>
  <c r="E206" i="83"/>
  <c r="N206" i="83"/>
  <c r="D207" i="83"/>
  <c r="E207" i="83"/>
  <c r="N207" i="83"/>
  <c r="D208" i="83"/>
  <c r="E208" i="83"/>
  <c r="N208" i="83"/>
  <c r="D209" i="83"/>
  <c r="E209" i="83"/>
  <c r="N209" i="83"/>
  <c r="K108" i="96" s="1"/>
  <c r="D210" i="83"/>
  <c r="E210" i="83"/>
  <c r="N210" i="83"/>
  <c r="D211" i="83"/>
  <c r="E211" i="83"/>
  <c r="N211" i="83"/>
  <c r="O211" i="83"/>
  <c r="D212" i="83"/>
  <c r="E212" i="83"/>
  <c r="N212" i="83"/>
  <c r="S212" i="83"/>
  <c r="D213" i="83"/>
  <c r="E213" i="83"/>
  <c r="N213" i="83"/>
  <c r="D214" i="83"/>
  <c r="E214" i="83"/>
  <c r="N214" i="83"/>
  <c r="D215" i="83"/>
  <c r="E215" i="83"/>
  <c r="N215" i="83"/>
  <c r="D216" i="83"/>
  <c r="E216" i="83"/>
  <c r="N216" i="83"/>
  <c r="D217" i="83"/>
  <c r="E217" i="83"/>
  <c r="N217" i="83"/>
  <c r="O217" i="83"/>
  <c r="D218" i="83"/>
  <c r="E218" i="83"/>
  <c r="N218" i="83"/>
  <c r="D219" i="83"/>
  <c r="E219" i="83"/>
  <c r="N219" i="83"/>
  <c r="D220" i="83"/>
  <c r="E220" i="83"/>
  <c r="N220" i="83"/>
  <c r="O220" i="83"/>
  <c r="D221" i="83"/>
  <c r="E221" i="83"/>
  <c r="N221" i="83"/>
  <c r="K114" i="96" s="1"/>
  <c r="D222" i="83"/>
  <c r="E222" i="83"/>
  <c r="N222" i="83"/>
  <c r="D223" i="83"/>
  <c r="E223" i="83"/>
  <c r="N223" i="83"/>
  <c r="O223" i="83"/>
  <c r="D224" i="83"/>
  <c r="E224" i="83"/>
  <c r="N224" i="83"/>
  <c r="D225" i="83"/>
  <c r="E225" i="83"/>
  <c r="N225" i="83"/>
  <c r="D226" i="83"/>
  <c r="E226" i="83"/>
  <c r="N226" i="83"/>
  <c r="D227" i="83"/>
  <c r="E227" i="83"/>
  <c r="N227" i="83"/>
  <c r="D228" i="83"/>
  <c r="E228" i="83"/>
  <c r="N228" i="83"/>
  <c r="D229" i="83"/>
  <c r="E229" i="83"/>
  <c r="N229" i="83"/>
  <c r="O229" i="83"/>
  <c r="N230" i="83"/>
  <c r="N231" i="83"/>
  <c r="K116" i="96" s="1"/>
  <c r="N232" i="83"/>
  <c r="N233" i="83"/>
  <c r="N234" i="83"/>
  <c r="N235" i="83"/>
  <c r="O235" i="83"/>
  <c r="P235" i="83"/>
  <c r="Q235" i="83"/>
  <c r="R235" i="83"/>
  <c r="S235" i="83"/>
  <c r="T235" i="83"/>
  <c r="U235" i="83"/>
  <c r="V235" i="83"/>
  <c r="Q133" i="96" s="1"/>
  <c r="W235" i="83"/>
  <c r="X235" i="83"/>
  <c r="Y235" i="83"/>
  <c r="Z235" i="83"/>
  <c r="N236" i="83"/>
  <c r="O236" i="83"/>
  <c r="L134" i="96" s="1"/>
  <c r="P236" i="83"/>
  <c r="Q236" i="83"/>
  <c r="R236" i="83"/>
  <c r="S236" i="83"/>
  <c r="T236" i="83"/>
  <c r="U236" i="83"/>
  <c r="V236" i="83"/>
  <c r="Q194" i="86" s="1"/>
  <c r="W236" i="83"/>
  <c r="X236" i="83"/>
  <c r="Y236" i="83"/>
  <c r="Z236" i="83"/>
  <c r="N237" i="83"/>
  <c r="K179" i="87" s="1"/>
  <c r="W237" i="83"/>
  <c r="N238" i="83"/>
  <c r="K180" i="87" s="1"/>
  <c r="W238" i="83"/>
  <c r="N239" i="83"/>
  <c r="K197" i="86" s="1"/>
  <c r="W239" i="83"/>
  <c r="N240" i="83"/>
  <c r="W240" i="83"/>
  <c r="N241" i="83"/>
  <c r="K199" i="86" s="1"/>
  <c r="W241" i="83"/>
  <c r="N242" i="83"/>
  <c r="K200" i="86" s="1"/>
  <c r="W242" i="83"/>
  <c r="S113" i="87"/>
  <c r="S114" i="87"/>
  <c r="S115" i="87"/>
  <c r="S116" i="87"/>
  <c r="S117" i="87"/>
  <c r="S118" i="87"/>
  <c r="S119" i="87"/>
  <c r="S120" i="87"/>
  <c r="S121" i="87"/>
  <c r="S122" i="87"/>
  <c r="R113" i="87"/>
  <c r="R114" i="87"/>
  <c r="R115" i="87"/>
  <c r="R116" i="87"/>
  <c r="R117" i="87"/>
  <c r="R118" i="87"/>
  <c r="R119" i="87"/>
  <c r="R120" i="87"/>
  <c r="R121" i="87"/>
  <c r="R122" i="87"/>
  <c r="Q113" i="87"/>
  <c r="Q114" i="87"/>
  <c r="Q115" i="87"/>
  <c r="Q116" i="87"/>
  <c r="Q117" i="87"/>
  <c r="Q118" i="87"/>
  <c r="Q119" i="87"/>
  <c r="Q120" i="87"/>
  <c r="Q121" i="87"/>
  <c r="Q122" i="87"/>
  <c r="P113" i="87"/>
  <c r="P114" i="87"/>
  <c r="P115" i="87"/>
  <c r="P116" i="87"/>
  <c r="P117" i="87"/>
  <c r="P118" i="87"/>
  <c r="P119" i="87"/>
  <c r="P120" i="87"/>
  <c r="P121" i="87"/>
  <c r="P122" i="87"/>
  <c r="O113" i="87"/>
  <c r="O114" i="87"/>
  <c r="O115" i="87"/>
  <c r="O116" i="87"/>
  <c r="O117" i="87"/>
  <c r="O118" i="87"/>
  <c r="O119" i="87"/>
  <c r="O120" i="87"/>
  <c r="O121" i="87"/>
  <c r="O122" i="87"/>
  <c r="N113" i="87"/>
  <c r="N114" i="87"/>
  <c r="N115" i="87"/>
  <c r="N116" i="87"/>
  <c r="N117" i="87"/>
  <c r="N118" i="87"/>
  <c r="N119" i="87"/>
  <c r="N120" i="87"/>
  <c r="N121" i="87"/>
  <c r="N122" i="87"/>
  <c r="M113" i="87"/>
  <c r="M114" i="87"/>
  <c r="M115" i="87"/>
  <c r="M116" i="87"/>
  <c r="M117" i="87"/>
  <c r="M118" i="87"/>
  <c r="M119" i="87"/>
  <c r="M120" i="87"/>
  <c r="M121" i="87"/>
  <c r="M122" i="87"/>
  <c r="L113" i="87"/>
  <c r="L114" i="87"/>
  <c r="L115" i="87"/>
  <c r="L116" i="87"/>
  <c r="L117" i="87"/>
  <c r="L118" i="87"/>
  <c r="L119" i="87"/>
  <c r="L120" i="87"/>
  <c r="L121" i="87"/>
  <c r="L122" i="87"/>
  <c r="K114" i="87"/>
  <c r="K117" i="87"/>
  <c r="K122" i="87"/>
  <c r="J113" i="87"/>
  <c r="J114" i="87"/>
  <c r="J115" i="87"/>
  <c r="J116" i="87"/>
  <c r="J117" i="87"/>
  <c r="J118" i="87"/>
  <c r="J119" i="87"/>
  <c r="J120" i="87"/>
  <c r="J121" i="87"/>
  <c r="J122" i="87"/>
  <c r="I113" i="87"/>
  <c r="I114" i="87"/>
  <c r="I115" i="87"/>
  <c r="I116" i="87"/>
  <c r="I117" i="87"/>
  <c r="I118" i="87"/>
  <c r="I119" i="87"/>
  <c r="I120" i="87"/>
  <c r="I121" i="87"/>
  <c r="I122" i="87"/>
  <c r="H113" i="87"/>
  <c r="H114" i="87"/>
  <c r="H115" i="87"/>
  <c r="H116" i="87"/>
  <c r="H117" i="87"/>
  <c r="H118" i="87"/>
  <c r="H119" i="87"/>
  <c r="H120" i="87"/>
  <c r="H121" i="87"/>
  <c r="H122" i="87"/>
  <c r="G113" i="87"/>
  <c r="G114" i="87"/>
  <c r="G115" i="87"/>
  <c r="G116" i="87"/>
  <c r="G117" i="87"/>
  <c r="G118" i="87"/>
  <c r="G119" i="87"/>
  <c r="G120" i="87"/>
  <c r="G121" i="87"/>
  <c r="G122" i="87"/>
  <c r="F113" i="87"/>
  <c r="F114" i="87"/>
  <c r="F115" i="87"/>
  <c r="F116" i="87"/>
  <c r="F117" i="87"/>
  <c r="F118" i="87"/>
  <c r="F119" i="87"/>
  <c r="F120" i="87"/>
  <c r="F121" i="87"/>
  <c r="F122" i="87"/>
  <c r="S79" i="96"/>
  <c r="S80" i="96"/>
  <c r="S81" i="96"/>
  <c r="S82" i="96"/>
  <c r="S83" i="96"/>
  <c r="S84" i="96"/>
  <c r="S85" i="96"/>
  <c r="S86" i="96"/>
  <c r="S87" i="96"/>
  <c r="S88" i="96"/>
  <c r="R79" i="96"/>
  <c r="R80" i="96"/>
  <c r="R81" i="96"/>
  <c r="R82" i="96"/>
  <c r="R83" i="96"/>
  <c r="R84" i="96"/>
  <c r="R85" i="96"/>
  <c r="R86" i="96"/>
  <c r="R87" i="96"/>
  <c r="R88" i="96"/>
  <c r="Q79" i="96"/>
  <c r="Q80" i="96"/>
  <c r="Q81" i="96"/>
  <c r="Q82" i="96"/>
  <c r="Q83" i="96"/>
  <c r="Q84" i="96"/>
  <c r="Q85" i="96"/>
  <c r="Q86" i="96"/>
  <c r="Q87" i="96"/>
  <c r="Q88" i="96"/>
  <c r="P79" i="96"/>
  <c r="P80" i="96"/>
  <c r="P81" i="96"/>
  <c r="P82" i="96"/>
  <c r="P83" i="96"/>
  <c r="P84" i="96"/>
  <c r="P85" i="96"/>
  <c r="P86" i="96"/>
  <c r="P87" i="96"/>
  <c r="P88" i="96"/>
  <c r="O79" i="96"/>
  <c r="O80" i="96"/>
  <c r="O81" i="96"/>
  <c r="O82" i="96"/>
  <c r="O83" i="96"/>
  <c r="O84" i="96"/>
  <c r="O85" i="96"/>
  <c r="O86" i="96"/>
  <c r="O87" i="96"/>
  <c r="O88" i="96"/>
  <c r="N79" i="96"/>
  <c r="N80" i="96"/>
  <c r="N81" i="96"/>
  <c r="N82" i="96"/>
  <c r="N83" i="96"/>
  <c r="N84" i="96"/>
  <c r="N85" i="96"/>
  <c r="N86" i="96"/>
  <c r="N87" i="96"/>
  <c r="N88" i="96"/>
  <c r="M79" i="96"/>
  <c r="M80" i="96"/>
  <c r="M81" i="96"/>
  <c r="M82" i="96"/>
  <c r="M83" i="96"/>
  <c r="M84" i="96"/>
  <c r="M85" i="96"/>
  <c r="M86" i="96"/>
  <c r="M87" i="96"/>
  <c r="M88" i="96"/>
  <c r="L79" i="96"/>
  <c r="L80" i="96"/>
  <c r="L81" i="96"/>
  <c r="L82" i="96"/>
  <c r="L83" i="96"/>
  <c r="L84" i="96"/>
  <c r="L85" i="96"/>
  <c r="L86" i="96"/>
  <c r="L87" i="96"/>
  <c r="L88" i="96"/>
  <c r="K79" i="96"/>
  <c r="K80" i="96"/>
  <c r="K83" i="96"/>
  <c r="K88" i="96"/>
  <c r="J79" i="96"/>
  <c r="J80" i="96"/>
  <c r="J81" i="96"/>
  <c r="J82" i="96"/>
  <c r="J83" i="96"/>
  <c r="J84" i="96"/>
  <c r="J85" i="96"/>
  <c r="J86" i="96"/>
  <c r="J87" i="96"/>
  <c r="J88" i="96"/>
  <c r="I79" i="96"/>
  <c r="I80" i="96"/>
  <c r="I81" i="96"/>
  <c r="I82" i="96"/>
  <c r="I83" i="96"/>
  <c r="I84" i="96"/>
  <c r="I85" i="96"/>
  <c r="I86" i="96"/>
  <c r="I87" i="96"/>
  <c r="I88" i="96"/>
  <c r="H79" i="96"/>
  <c r="H80" i="96"/>
  <c r="H81" i="96"/>
  <c r="H82" i="96"/>
  <c r="H83" i="96"/>
  <c r="H84" i="96"/>
  <c r="H85" i="96"/>
  <c r="H86" i="96"/>
  <c r="H87" i="96"/>
  <c r="H88" i="96"/>
  <c r="G79" i="96"/>
  <c r="G80" i="96"/>
  <c r="G81" i="96"/>
  <c r="G82" i="96"/>
  <c r="G83" i="96"/>
  <c r="G84" i="96"/>
  <c r="G85" i="96"/>
  <c r="G86" i="96"/>
  <c r="G87" i="96"/>
  <c r="G88" i="96"/>
  <c r="F79" i="96"/>
  <c r="F80" i="96"/>
  <c r="F81" i="96"/>
  <c r="F82" i="96"/>
  <c r="F83" i="96"/>
  <c r="F84" i="96"/>
  <c r="F85" i="96"/>
  <c r="F86" i="96"/>
  <c r="F87" i="96"/>
  <c r="F88" i="96"/>
  <c r="S127" i="86"/>
  <c r="S128" i="86"/>
  <c r="S129" i="86"/>
  <c r="S130" i="86"/>
  <c r="S131" i="86"/>
  <c r="S132" i="86"/>
  <c r="S133" i="86"/>
  <c r="S134" i="86"/>
  <c r="S135" i="86"/>
  <c r="S136" i="86"/>
  <c r="R127" i="86"/>
  <c r="R128" i="86"/>
  <c r="R129" i="86"/>
  <c r="R130" i="86"/>
  <c r="R131" i="86"/>
  <c r="R132" i="86"/>
  <c r="R133" i="86"/>
  <c r="R134" i="86"/>
  <c r="R135" i="86"/>
  <c r="R136" i="86"/>
  <c r="Q127" i="86"/>
  <c r="Q128" i="86"/>
  <c r="Q129" i="86"/>
  <c r="Q130" i="86"/>
  <c r="Q131" i="86"/>
  <c r="Q132" i="86"/>
  <c r="Q133" i="86"/>
  <c r="Q134" i="86"/>
  <c r="Q135" i="86"/>
  <c r="Q136" i="86"/>
  <c r="P127" i="86"/>
  <c r="P128" i="86"/>
  <c r="P129" i="86"/>
  <c r="P130" i="86"/>
  <c r="P131" i="86"/>
  <c r="P132" i="86"/>
  <c r="P133" i="86"/>
  <c r="P134" i="86"/>
  <c r="P135" i="86"/>
  <c r="P136" i="86"/>
  <c r="O127" i="86"/>
  <c r="O128" i="86"/>
  <c r="O129" i="86"/>
  <c r="O130" i="86"/>
  <c r="O131" i="86"/>
  <c r="O132" i="86"/>
  <c r="O133" i="86"/>
  <c r="O134" i="86"/>
  <c r="O135" i="86"/>
  <c r="O136" i="86"/>
  <c r="N127" i="86"/>
  <c r="N128" i="86"/>
  <c r="N129" i="86"/>
  <c r="N130" i="86"/>
  <c r="N131" i="86"/>
  <c r="N132" i="86"/>
  <c r="N133" i="86"/>
  <c r="N134" i="86"/>
  <c r="N135" i="86"/>
  <c r="N136" i="86"/>
  <c r="M127" i="86"/>
  <c r="M128" i="86"/>
  <c r="M129" i="86"/>
  <c r="M130" i="86"/>
  <c r="M131" i="86"/>
  <c r="M132" i="86"/>
  <c r="M133" i="86"/>
  <c r="M134" i="86"/>
  <c r="M135" i="86"/>
  <c r="M136" i="86"/>
  <c r="L127" i="86"/>
  <c r="L128" i="86"/>
  <c r="L129" i="86"/>
  <c r="L130" i="86"/>
  <c r="L131" i="86"/>
  <c r="L132" i="86"/>
  <c r="L133" i="86"/>
  <c r="L134" i="86"/>
  <c r="L135" i="86"/>
  <c r="L136" i="86"/>
  <c r="K128" i="86"/>
  <c r="K130" i="86"/>
  <c r="K131" i="86"/>
  <c r="K134" i="86"/>
  <c r="K136" i="86"/>
  <c r="J127" i="86"/>
  <c r="J128" i="86"/>
  <c r="J129" i="86"/>
  <c r="J130" i="86"/>
  <c r="J131" i="86"/>
  <c r="J132" i="86"/>
  <c r="J133" i="86"/>
  <c r="J134" i="86"/>
  <c r="J135" i="86"/>
  <c r="J136" i="86"/>
  <c r="E137" i="86"/>
  <c r="J137" i="86"/>
  <c r="I127" i="86"/>
  <c r="I128" i="86"/>
  <c r="I129" i="86"/>
  <c r="I130" i="86"/>
  <c r="I131" i="86"/>
  <c r="I132" i="86"/>
  <c r="I133" i="86"/>
  <c r="I134" i="86"/>
  <c r="I135" i="86"/>
  <c r="I136" i="86"/>
  <c r="H127" i="86"/>
  <c r="H128" i="86"/>
  <c r="H129" i="86"/>
  <c r="H130" i="86"/>
  <c r="H131" i="86"/>
  <c r="H132" i="86"/>
  <c r="H133" i="86"/>
  <c r="H134" i="86"/>
  <c r="H135" i="86"/>
  <c r="H136" i="86"/>
  <c r="G127" i="86"/>
  <c r="G128" i="86"/>
  <c r="G129" i="86"/>
  <c r="G130" i="86"/>
  <c r="G131" i="86"/>
  <c r="G132" i="86"/>
  <c r="G133" i="86"/>
  <c r="G134" i="86"/>
  <c r="G135" i="86"/>
  <c r="G136" i="86"/>
  <c r="F127" i="86"/>
  <c r="F128" i="86"/>
  <c r="F129" i="86"/>
  <c r="F130" i="86"/>
  <c r="F131" i="86"/>
  <c r="F132" i="86"/>
  <c r="F133" i="86"/>
  <c r="F134" i="86"/>
  <c r="F135" i="86"/>
  <c r="F136" i="86"/>
  <c r="B3" i="54"/>
  <c r="B4" i="54"/>
  <c r="B5" i="54"/>
  <c r="B6" i="54"/>
  <c r="B7" i="54"/>
  <c r="B8" i="54"/>
  <c r="B9" i="54"/>
  <c r="B10" i="54"/>
  <c r="B11" i="54"/>
  <c r="B12" i="54"/>
  <c r="B13" i="54"/>
  <c r="B14" i="54"/>
  <c r="B15" i="54"/>
  <c r="B16" i="54"/>
  <c r="B17" i="54"/>
  <c r="B18" i="54"/>
  <c r="B19" i="54"/>
  <c r="B20" i="54"/>
  <c r="B21" i="54"/>
  <c r="B22" i="54"/>
  <c r="B23" i="54"/>
  <c r="B24" i="54"/>
  <c r="B25" i="54"/>
  <c r="B26" i="54"/>
  <c r="B27" i="54"/>
  <c r="B28" i="54"/>
  <c r="B29" i="54"/>
  <c r="B30" i="54"/>
  <c r="B31" i="54"/>
  <c r="B32" i="54"/>
  <c r="B33" i="54"/>
  <c r="B34" i="54"/>
  <c r="B35" i="54"/>
  <c r="B36" i="54"/>
  <c r="B37" i="54"/>
  <c r="B38" i="54"/>
  <c r="B39" i="54"/>
  <c r="B40" i="54"/>
  <c r="B41" i="54"/>
  <c r="B42" i="54"/>
  <c r="B43" i="54"/>
  <c r="B44" i="54"/>
  <c r="B45" i="54"/>
  <c r="B46" i="54"/>
  <c r="B47" i="54"/>
  <c r="B48" i="54"/>
  <c r="B49" i="54"/>
  <c r="B50" i="54"/>
  <c r="B51" i="54"/>
  <c r="B52" i="54"/>
  <c r="B53" i="54"/>
  <c r="B54" i="54"/>
  <c r="B55" i="54"/>
  <c r="B56" i="54"/>
  <c r="B57" i="54"/>
  <c r="B58" i="54"/>
  <c r="B59" i="54"/>
  <c r="B60" i="54"/>
  <c r="B61" i="54"/>
  <c r="B62" i="54"/>
  <c r="B63" i="54"/>
  <c r="B64" i="54"/>
  <c r="B65" i="54"/>
  <c r="B66" i="54"/>
  <c r="B67" i="54"/>
  <c r="B68" i="54"/>
  <c r="B69" i="54"/>
  <c r="B70" i="54"/>
  <c r="B71" i="54"/>
  <c r="B72" i="54"/>
  <c r="B73" i="54"/>
  <c r="B74" i="54"/>
  <c r="B75" i="54"/>
  <c r="B76" i="54"/>
  <c r="B77" i="54"/>
  <c r="B78" i="54"/>
  <c r="B79" i="54"/>
  <c r="B80" i="54"/>
  <c r="B81" i="54"/>
  <c r="B82" i="54"/>
  <c r="B83" i="54"/>
  <c r="B84" i="54"/>
  <c r="B85" i="54"/>
  <c r="B86" i="54"/>
  <c r="B87" i="54"/>
  <c r="B88" i="54"/>
  <c r="B89" i="54"/>
  <c r="B90" i="54"/>
  <c r="B91" i="54"/>
  <c r="B92" i="54"/>
  <c r="B93" i="54"/>
  <c r="B94" i="54"/>
  <c r="B95" i="54"/>
  <c r="B96" i="54"/>
  <c r="B97" i="54"/>
  <c r="B98" i="54"/>
  <c r="B99" i="54"/>
  <c r="B100" i="54"/>
  <c r="B101" i="54"/>
  <c r="B102" i="54"/>
  <c r="B2" i="54"/>
  <c r="A3" i="107"/>
  <c r="A4" i="107"/>
  <c r="A5" i="107"/>
  <c r="A6" i="107"/>
  <c r="A7" i="107"/>
  <c r="A8" i="107"/>
  <c r="A9" i="107"/>
  <c r="A10" i="107"/>
  <c r="A11" i="107"/>
  <c r="A12" i="107"/>
  <c r="A13" i="107"/>
  <c r="A14" i="107"/>
  <c r="A15" i="107"/>
  <c r="A16" i="107"/>
  <c r="A17" i="107"/>
  <c r="A18" i="107"/>
  <c r="A19" i="107"/>
  <c r="A20" i="107"/>
  <c r="A21" i="107"/>
  <c r="A22" i="107"/>
  <c r="A23" i="107"/>
  <c r="A24" i="107"/>
  <c r="A25" i="107"/>
  <c r="A26" i="107"/>
  <c r="A27" i="107"/>
  <c r="A28" i="107"/>
  <c r="A29" i="107"/>
  <c r="A30" i="107"/>
  <c r="A31" i="107"/>
  <c r="A32" i="107"/>
  <c r="A33" i="107"/>
  <c r="A34" i="107"/>
  <c r="A35" i="107"/>
  <c r="A36" i="107"/>
  <c r="A37" i="107"/>
  <c r="A38" i="107"/>
  <c r="A39" i="107"/>
  <c r="A40" i="107"/>
  <c r="A41" i="107"/>
  <c r="A42" i="107"/>
  <c r="A43" i="107"/>
  <c r="A44" i="107"/>
  <c r="A45" i="107"/>
  <c r="A46" i="107"/>
  <c r="A47" i="107"/>
  <c r="A48" i="107"/>
  <c r="A49" i="107"/>
  <c r="A50" i="107"/>
  <c r="A51" i="107"/>
  <c r="A52" i="107"/>
  <c r="A53" i="107"/>
  <c r="A54" i="107"/>
  <c r="A55" i="107"/>
  <c r="A56" i="107"/>
  <c r="A57" i="107"/>
  <c r="A58" i="107"/>
  <c r="A59" i="107"/>
  <c r="A60" i="107"/>
  <c r="A61" i="107"/>
  <c r="A62" i="107"/>
  <c r="A63" i="107"/>
  <c r="A64" i="107"/>
  <c r="A65" i="107"/>
  <c r="A66" i="107"/>
  <c r="A67" i="107"/>
  <c r="A68" i="107"/>
  <c r="A69" i="107"/>
  <c r="A70" i="107"/>
  <c r="A71" i="107"/>
  <c r="A72" i="107"/>
  <c r="A73" i="107"/>
  <c r="A74" i="107"/>
  <c r="A75" i="107"/>
  <c r="A76" i="107"/>
  <c r="A77" i="107"/>
  <c r="A78" i="107"/>
  <c r="A79" i="107"/>
  <c r="A80" i="107"/>
  <c r="A81" i="107"/>
  <c r="A82" i="107"/>
  <c r="A83" i="107"/>
  <c r="A84" i="107"/>
  <c r="A85" i="107"/>
  <c r="A86" i="107"/>
  <c r="A87" i="107"/>
  <c r="A88" i="107"/>
  <c r="A89" i="107"/>
  <c r="A90" i="107"/>
  <c r="A91" i="107"/>
  <c r="A92" i="107"/>
  <c r="A93" i="107"/>
  <c r="A94" i="107"/>
  <c r="A95" i="107"/>
  <c r="A96" i="107"/>
  <c r="A97" i="107"/>
  <c r="A98" i="107"/>
  <c r="A99" i="107"/>
  <c r="A100" i="107"/>
  <c r="A101" i="107"/>
  <c r="A102" i="107"/>
  <c r="A103" i="107"/>
  <c r="A104" i="107"/>
  <c r="A105" i="107"/>
  <c r="A106" i="107"/>
  <c r="A107" i="107"/>
  <c r="A108" i="107"/>
  <c r="A109" i="107"/>
  <c r="A110" i="107"/>
  <c r="A111" i="107"/>
  <c r="A112" i="107"/>
  <c r="A113" i="107"/>
  <c r="A114" i="107"/>
  <c r="A115" i="107"/>
  <c r="A116" i="107"/>
  <c r="A117" i="107"/>
  <c r="A118" i="107"/>
  <c r="A119" i="107"/>
  <c r="A120" i="107"/>
  <c r="A121" i="107"/>
  <c r="A122" i="107"/>
  <c r="A123" i="107"/>
  <c r="A124" i="107"/>
  <c r="A125" i="107"/>
  <c r="A126" i="107"/>
  <c r="A127" i="107"/>
  <c r="A128" i="107"/>
  <c r="A129" i="107"/>
  <c r="A130" i="107"/>
  <c r="A131" i="107"/>
  <c r="A132" i="107"/>
  <c r="A133" i="107"/>
  <c r="A134" i="107"/>
  <c r="A135" i="107"/>
  <c r="A136" i="107"/>
  <c r="A137" i="107"/>
  <c r="A138" i="107"/>
  <c r="A139" i="107"/>
  <c r="A140" i="107"/>
  <c r="A141" i="107"/>
  <c r="A142" i="107"/>
  <c r="A143" i="107"/>
  <c r="A144" i="107"/>
  <c r="A145" i="107"/>
  <c r="A146" i="107"/>
  <c r="A147" i="107"/>
  <c r="A148" i="107"/>
  <c r="A149" i="107"/>
  <c r="A150" i="107"/>
  <c r="A151" i="107"/>
  <c r="A152" i="107"/>
  <c r="A153" i="107"/>
  <c r="A154" i="107"/>
  <c r="A155" i="107"/>
  <c r="A156" i="107"/>
  <c r="A157" i="107"/>
  <c r="A158" i="107"/>
  <c r="A159" i="107"/>
  <c r="A160" i="107"/>
  <c r="A161" i="107"/>
  <c r="A162" i="107"/>
  <c r="A163" i="107"/>
  <c r="A164" i="107"/>
  <c r="A165" i="107"/>
  <c r="A166" i="107"/>
  <c r="A167" i="107"/>
  <c r="A168" i="107"/>
  <c r="A169" i="107"/>
  <c r="A170" i="107"/>
  <c r="A171" i="107"/>
  <c r="A172" i="107"/>
  <c r="A173" i="107"/>
  <c r="A174" i="107"/>
  <c r="A175" i="107"/>
  <c r="A176" i="107"/>
  <c r="A177" i="107"/>
  <c r="A178" i="107"/>
  <c r="A179" i="107"/>
  <c r="A180" i="107"/>
  <c r="A181" i="107"/>
  <c r="A182" i="107"/>
  <c r="A183" i="107"/>
  <c r="A184" i="107"/>
  <c r="A185" i="107"/>
  <c r="A186" i="107"/>
  <c r="A187" i="107"/>
  <c r="A188" i="107"/>
  <c r="A189" i="107"/>
  <c r="A190" i="107"/>
  <c r="A191" i="107"/>
  <c r="A192" i="107"/>
  <c r="A193" i="107"/>
  <c r="A194" i="107"/>
  <c r="A195" i="107"/>
  <c r="A196" i="107"/>
  <c r="A197" i="107"/>
  <c r="A198" i="107"/>
  <c r="A199" i="107"/>
  <c r="A200" i="107"/>
  <c r="A201" i="107"/>
  <c r="A202" i="107"/>
  <c r="A203" i="107"/>
  <c r="A204" i="107"/>
  <c r="A205" i="107"/>
  <c r="A206" i="107"/>
  <c r="A207" i="107"/>
  <c r="A208" i="107"/>
  <c r="A209" i="107"/>
  <c r="A210" i="107"/>
  <c r="A211" i="107"/>
  <c r="A212" i="107"/>
  <c r="A213" i="107"/>
  <c r="A214" i="107"/>
  <c r="A215" i="107"/>
  <c r="A216" i="107"/>
  <c r="A217" i="107"/>
  <c r="A218" i="107"/>
  <c r="A219" i="107"/>
  <c r="A220" i="107"/>
  <c r="A221" i="107"/>
  <c r="A222" i="107"/>
  <c r="A223" i="107"/>
  <c r="A224" i="107"/>
  <c r="A225" i="107"/>
  <c r="A226" i="107"/>
  <c r="A227" i="107"/>
  <c r="A228" i="107"/>
  <c r="A229" i="107"/>
  <c r="A230" i="107"/>
  <c r="A231" i="107"/>
  <c r="A232" i="107"/>
  <c r="A233" i="107"/>
  <c r="A234" i="107"/>
  <c r="A235" i="107"/>
  <c r="A236" i="107"/>
  <c r="A237" i="107"/>
  <c r="A238" i="107"/>
  <c r="A239" i="107"/>
  <c r="A240" i="107"/>
  <c r="A241" i="107"/>
  <c r="A242" i="107"/>
  <c r="A243" i="107"/>
  <c r="A244" i="107"/>
  <c r="A245" i="107"/>
  <c r="A246" i="107"/>
  <c r="A247" i="107"/>
  <c r="A248" i="107"/>
  <c r="A249" i="107"/>
  <c r="A250" i="107"/>
  <c r="A251" i="107"/>
  <c r="A252" i="107"/>
  <c r="A253" i="107"/>
  <c r="A254" i="107"/>
  <c r="A255" i="107"/>
  <c r="A256" i="107"/>
  <c r="A257" i="107"/>
  <c r="A258" i="107"/>
  <c r="A259" i="107"/>
  <c r="A260" i="107"/>
  <c r="A261" i="107"/>
  <c r="A262" i="107"/>
  <c r="A263" i="107"/>
  <c r="A264" i="107"/>
  <c r="A265" i="107"/>
  <c r="A266" i="107"/>
  <c r="A267" i="107"/>
  <c r="A268" i="107"/>
  <c r="A269" i="107"/>
  <c r="A270" i="107"/>
  <c r="A271" i="107"/>
  <c r="A272" i="107"/>
  <c r="A273" i="107"/>
  <c r="A274" i="107"/>
  <c r="A275" i="107"/>
  <c r="A276" i="107"/>
  <c r="A277" i="107"/>
  <c r="A278" i="107"/>
  <c r="A279" i="107"/>
  <c r="A280" i="107"/>
  <c r="A281" i="107"/>
  <c r="A282" i="107"/>
  <c r="A283" i="107"/>
  <c r="A284" i="107"/>
  <c r="A285" i="107"/>
  <c r="A286" i="107"/>
  <c r="A287" i="107"/>
  <c r="A288" i="107"/>
  <c r="A289" i="107"/>
  <c r="A290" i="107"/>
  <c r="A291" i="107"/>
  <c r="A292" i="107"/>
  <c r="A293" i="107"/>
  <c r="A294" i="107"/>
  <c r="A295" i="107"/>
  <c r="A296" i="107"/>
  <c r="A297" i="107"/>
  <c r="A298" i="107"/>
  <c r="A299" i="107"/>
  <c r="A300" i="107"/>
  <c r="A301" i="107"/>
  <c r="A302" i="107"/>
  <c r="A303" i="107"/>
  <c r="A304" i="107"/>
  <c r="A305" i="107"/>
  <c r="A306" i="107"/>
  <c r="A307" i="107"/>
  <c r="A308" i="107"/>
  <c r="A309" i="107"/>
  <c r="A310" i="107"/>
  <c r="A311" i="107"/>
  <c r="A312" i="107"/>
  <c r="A313" i="107"/>
  <c r="A314" i="107"/>
  <c r="A315" i="107"/>
  <c r="A316" i="107"/>
  <c r="A317" i="107"/>
  <c r="A318" i="107"/>
  <c r="A319" i="107"/>
  <c r="A320" i="107"/>
  <c r="A321" i="107"/>
  <c r="A322" i="107"/>
  <c r="A323" i="107"/>
  <c r="A324" i="107"/>
  <c r="A325" i="107"/>
  <c r="A326" i="107"/>
  <c r="A327" i="107"/>
  <c r="A328" i="107"/>
  <c r="A329" i="107"/>
  <c r="A330" i="107"/>
  <c r="A331" i="107"/>
  <c r="A332" i="107"/>
  <c r="A333" i="107"/>
  <c r="A334" i="107"/>
  <c r="A335" i="107"/>
  <c r="A336" i="107"/>
  <c r="A337" i="107"/>
  <c r="A338" i="107"/>
  <c r="A339" i="107"/>
  <c r="A340" i="107"/>
  <c r="A341" i="107"/>
  <c r="A342" i="107"/>
  <c r="A343" i="107"/>
  <c r="A344" i="107"/>
  <c r="A345" i="107"/>
  <c r="A346" i="107"/>
  <c r="A347" i="107"/>
  <c r="A348" i="107"/>
  <c r="A349" i="107"/>
  <c r="A350" i="107"/>
  <c r="A351" i="107"/>
  <c r="A352" i="107"/>
  <c r="A353" i="107"/>
  <c r="A354" i="107"/>
  <c r="A355" i="107"/>
  <c r="A356" i="107"/>
  <c r="A357" i="107"/>
  <c r="A358" i="107"/>
  <c r="A359" i="107"/>
  <c r="A360" i="107"/>
  <c r="A361" i="107"/>
  <c r="A362" i="107"/>
  <c r="A363" i="107"/>
  <c r="A364" i="107"/>
  <c r="A365" i="107"/>
  <c r="A366" i="107"/>
  <c r="A367" i="107"/>
  <c r="A368" i="107"/>
  <c r="A369" i="107"/>
  <c r="A370" i="107"/>
  <c r="A371" i="107"/>
  <c r="A372" i="107"/>
  <c r="A373" i="107"/>
  <c r="A374" i="107"/>
  <c r="A375" i="107"/>
  <c r="A376" i="107"/>
  <c r="A377" i="107"/>
  <c r="A378" i="107"/>
  <c r="A379" i="107"/>
  <c r="A380" i="107"/>
  <c r="A381" i="107"/>
  <c r="A382" i="107"/>
  <c r="A383" i="107"/>
  <c r="A384" i="107"/>
  <c r="A385" i="107"/>
  <c r="A386" i="107"/>
  <c r="A387" i="107"/>
  <c r="A388" i="107"/>
  <c r="A389" i="107"/>
  <c r="A390" i="107"/>
  <c r="A391" i="107"/>
  <c r="A392" i="107"/>
  <c r="A393" i="107"/>
  <c r="A394" i="107"/>
  <c r="A395" i="107"/>
  <c r="A396" i="107"/>
  <c r="A397" i="107"/>
  <c r="A398" i="107"/>
  <c r="A399" i="107"/>
  <c r="A400" i="107"/>
  <c r="A401" i="107"/>
  <c r="A402" i="107"/>
  <c r="A403" i="107"/>
  <c r="A404" i="107"/>
  <c r="A405" i="107"/>
  <c r="A406" i="107"/>
  <c r="A407" i="107"/>
  <c r="A408" i="107"/>
  <c r="A409" i="107"/>
  <c r="A410" i="107"/>
  <c r="A411" i="107"/>
  <c r="A412" i="107"/>
  <c r="A413" i="107"/>
  <c r="A414" i="107"/>
  <c r="A415" i="107"/>
  <c r="A416" i="107"/>
  <c r="A417" i="107"/>
  <c r="A418" i="107"/>
  <c r="A419" i="107"/>
  <c r="A420" i="107"/>
  <c r="A421" i="107"/>
  <c r="A422" i="107"/>
  <c r="A423" i="107"/>
  <c r="A424" i="107"/>
  <c r="A425" i="107"/>
  <c r="A426" i="107"/>
  <c r="A427" i="107"/>
  <c r="A428" i="107"/>
  <c r="A429" i="107"/>
  <c r="A430" i="107"/>
  <c r="A431" i="107"/>
  <c r="A432" i="107"/>
  <c r="A433" i="107"/>
  <c r="A434" i="107"/>
  <c r="A435" i="107"/>
  <c r="A436" i="107"/>
  <c r="A437" i="107"/>
  <c r="A438" i="107"/>
  <c r="A439" i="107"/>
  <c r="A440" i="107"/>
  <c r="A441" i="107"/>
  <c r="A442" i="107"/>
  <c r="A443" i="107"/>
  <c r="A444" i="107"/>
  <c r="A445" i="107"/>
  <c r="A446" i="107"/>
  <c r="A447" i="107"/>
  <c r="A448" i="107"/>
  <c r="A449" i="107"/>
  <c r="A450" i="107"/>
  <c r="A451" i="107"/>
  <c r="A452" i="107"/>
  <c r="A453" i="107"/>
  <c r="A454" i="107"/>
  <c r="A455" i="107"/>
  <c r="A456" i="107"/>
  <c r="A457" i="107"/>
  <c r="A458" i="107"/>
  <c r="A459" i="107"/>
  <c r="A460" i="107"/>
  <c r="A461" i="107"/>
  <c r="A462" i="107"/>
  <c r="A463" i="107"/>
  <c r="A464" i="107"/>
  <c r="A465" i="107"/>
  <c r="A466" i="107"/>
  <c r="A467" i="107"/>
  <c r="A468" i="107"/>
  <c r="A469" i="107"/>
  <c r="A470" i="107"/>
  <c r="A471" i="107"/>
  <c r="A472" i="107"/>
  <c r="A473" i="107"/>
  <c r="A474" i="107"/>
  <c r="A475" i="107"/>
  <c r="A476" i="107"/>
  <c r="A477" i="107"/>
  <c r="A478" i="107"/>
  <c r="A479" i="107"/>
  <c r="A480" i="107"/>
  <c r="A481" i="107"/>
  <c r="A482" i="107"/>
  <c r="A483" i="107"/>
  <c r="A484" i="107"/>
  <c r="A485" i="107"/>
  <c r="A486" i="107"/>
  <c r="A487" i="107"/>
  <c r="A488" i="107"/>
  <c r="A489" i="107"/>
  <c r="A490" i="107"/>
  <c r="A491" i="107"/>
  <c r="A492" i="107"/>
  <c r="A493" i="107"/>
  <c r="A494" i="107"/>
  <c r="A495" i="107"/>
  <c r="A496" i="107"/>
  <c r="A497" i="107"/>
  <c r="A498" i="107"/>
  <c r="A499" i="107"/>
  <c r="A500" i="107"/>
  <c r="A501" i="107"/>
  <c r="A502" i="107"/>
  <c r="A503" i="107"/>
  <c r="A504" i="107"/>
  <c r="A505" i="107"/>
  <c r="A506" i="107"/>
  <c r="A507" i="107"/>
  <c r="A508" i="107"/>
  <c r="A509" i="107"/>
  <c r="A510" i="107"/>
  <c r="A511" i="107"/>
  <c r="A512" i="107"/>
  <c r="A513" i="107"/>
  <c r="A514" i="107"/>
  <c r="A515" i="107"/>
  <c r="A516" i="107"/>
  <c r="A517" i="107"/>
  <c r="A518" i="107"/>
  <c r="A519" i="107"/>
  <c r="A520" i="107"/>
  <c r="A521" i="107"/>
  <c r="A522" i="107"/>
  <c r="A523" i="107"/>
  <c r="A524" i="107"/>
  <c r="A525" i="107"/>
  <c r="A526" i="107"/>
  <c r="A527" i="107"/>
  <c r="A528" i="107"/>
  <c r="A529" i="107"/>
  <c r="A530" i="107"/>
  <c r="A531" i="107"/>
  <c r="A532" i="107"/>
  <c r="A533" i="107"/>
  <c r="A534" i="107"/>
  <c r="A535" i="107"/>
  <c r="A536" i="107"/>
  <c r="A537" i="107"/>
  <c r="A538" i="107"/>
  <c r="A539" i="107"/>
  <c r="A540" i="107"/>
  <c r="A541" i="107"/>
  <c r="A542" i="107"/>
  <c r="A543" i="107"/>
  <c r="A544" i="107"/>
  <c r="A545" i="107"/>
  <c r="A546" i="107"/>
  <c r="A547" i="107"/>
  <c r="A548" i="107"/>
  <c r="A549" i="107"/>
  <c r="A550" i="107"/>
  <c r="A551" i="107"/>
  <c r="A552" i="107"/>
  <c r="A553" i="107"/>
  <c r="A554" i="107"/>
  <c r="A555" i="107"/>
  <c r="A556" i="107"/>
  <c r="A557" i="107"/>
  <c r="A558" i="107"/>
  <c r="A559" i="107"/>
  <c r="A560" i="107"/>
  <c r="A561" i="107"/>
  <c r="A562" i="107"/>
  <c r="A563" i="107"/>
  <c r="A564" i="107"/>
  <c r="A565" i="107"/>
  <c r="A566" i="107"/>
  <c r="A567" i="107"/>
  <c r="A568" i="107"/>
  <c r="A569" i="107"/>
  <c r="A570" i="107"/>
  <c r="A571" i="107"/>
  <c r="A572" i="107"/>
  <c r="A573" i="107"/>
  <c r="A574" i="107"/>
  <c r="A575" i="107"/>
  <c r="A576" i="107"/>
  <c r="A577" i="107"/>
  <c r="A578" i="107"/>
  <c r="A579" i="107"/>
  <c r="A580" i="107"/>
  <c r="A581" i="107"/>
  <c r="A582" i="107"/>
  <c r="A583" i="107"/>
  <c r="A584" i="107"/>
  <c r="A585" i="107"/>
  <c r="A586" i="107"/>
  <c r="A587" i="107"/>
  <c r="A588" i="107"/>
  <c r="A589" i="107"/>
  <c r="A590" i="107"/>
  <c r="A591" i="107"/>
  <c r="A592" i="107"/>
  <c r="A593" i="107"/>
  <c r="A594" i="107"/>
  <c r="A595" i="107"/>
  <c r="A596" i="107"/>
  <c r="A597" i="107"/>
  <c r="A598" i="107"/>
  <c r="A599" i="107"/>
  <c r="A600" i="107"/>
  <c r="A601" i="107"/>
  <c r="A602" i="107"/>
  <c r="A603" i="107"/>
  <c r="A604" i="107"/>
  <c r="A605" i="107"/>
  <c r="A606" i="107"/>
  <c r="A607" i="107"/>
  <c r="A608" i="107"/>
  <c r="A609" i="107"/>
  <c r="A610" i="107"/>
  <c r="A611" i="107"/>
  <c r="A612" i="107"/>
  <c r="A613" i="107"/>
  <c r="A614" i="107"/>
  <c r="A615" i="107"/>
  <c r="A616" i="107"/>
  <c r="A617" i="107"/>
  <c r="A618" i="107"/>
  <c r="A619" i="107"/>
  <c r="A620" i="107"/>
  <c r="A621" i="107"/>
  <c r="A622" i="107"/>
  <c r="A623" i="107"/>
  <c r="A624" i="107"/>
  <c r="A625" i="107"/>
  <c r="A626" i="107"/>
  <c r="A627" i="107"/>
  <c r="A628" i="107"/>
  <c r="A629" i="107"/>
  <c r="A630" i="107"/>
  <c r="A631" i="107"/>
  <c r="A632" i="107"/>
  <c r="A633" i="107"/>
  <c r="A634" i="107"/>
  <c r="A635" i="107"/>
  <c r="A636" i="107"/>
  <c r="A637" i="107"/>
  <c r="A638" i="107"/>
  <c r="A639" i="107"/>
  <c r="A640" i="107"/>
  <c r="A641" i="107"/>
  <c r="A642" i="107"/>
  <c r="A643" i="107"/>
  <c r="A644" i="107"/>
  <c r="A645" i="107"/>
  <c r="A646" i="107"/>
  <c r="A647" i="107"/>
  <c r="A648" i="107"/>
  <c r="A649" i="107"/>
  <c r="A650" i="107"/>
  <c r="A651" i="107"/>
  <c r="A652" i="107"/>
  <c r="A653" i="107"/>
  <c r="A654" i="107"/>
  <c r="A655" i="107"/>
  <c r="A656" i="107"/>
  <c r="A657" i="107"/>
  <c r="A658" i="107"/>
  <c r="A659" i="107"/>
  <c r="A660" i="107"/>
  <c r="A661" i="107"/>
  <c r="A662" i="107"/>
  <c r="A663" i="107"/>
  <c r="A664" i="107"/>
  <c r="A665" i="107"/>
  <c r="A666" i="107"/>
  <c r="A667" i="107"/>
  <c r="A668" i="107"/>
  <c r="A669" i="107"/>
  <c r="A670" i="107"/>
  <c r="A671" i="107"/>
  <c r="A672" i="107"/>
  <c r="A673" i="107"/>
  <c r="A674" i="107"/>
  <c r="A675" i="107"/>
  <c r="A676" i="107"/>
  <c r="A677" i="107"/>
  <c r="A678" i="107"/>
  <c r="A679" i="107"/>
  <c r="A680" i="107"/>
  <c r="A681" i="107"/>
  <c r="A682" i="107"/>
  <c r="A683" i="107"/>
  <c r="A684" i="107"/>
  <c r="A685" i="107"/>
  <c r="A686" i="107"/>
  <c r="A687" i="107"/>
  <c r="A688" i="107"/>
  <c r="A689" i="107"/>
  <c r="A690" i="107"/>
  <c r="A691" i="107"/>
  <c r="A692" i="107"/>
  <c r="A693" i="107"/>
  <c r="A694" i="107"/>
  <c r="A695" i="107"/>
  <c r="A696" i="107"/>
  <c r="A697" i="107"/>
  <c r="A698" i="107"/>
  <c r="A699" i="107"/>
  <c r="A700" i="107"/>
  <c r="A701" i="107"/>
  <c r="A702" i="107"/>
  <c r="A703" i="107"/>
  <c r="A704" i="107"/>
  <c r="A705" i="107"/>
  <c r="A706" i="107"/>
  <c r="A707" i="107"/>
  <c r="A708" i="107"/>
  <c r="A709" i="107"/>
  <c r="A710" i="107"/>
  <c r="A711" i="107"/>
  <c r="A712" i="107"/>
  <c r="A713" i="107"/>
  <c r="A714" i="107"/>
  <c r="A715" i="107"/>
  <c r="A716" i="107"/>
  <c r="A717" i="107"/>
  <c r="A718" i="107"/>
  <c r="A719" i="107"/>
  <c r="A720" i="107"/>
  <c r="A721" i="107"/>
  <c r="A722" i="107"/>
  <c r="A723" i="107"/>
  <c r="A724" i="107"/>
  <c r="A725" i="107"/>
  <c r="A726" i="107"/>
  <c r="A727" i="107"/>
  <c r="A728" i="107"/>
  <c r="A729" i="107"/>
  <c r="A730" i="107"/>
  <c r="A731" i="107"/>
  <c r="A732" i="107"/>
  <c r="A733" i="107"/>
  <c r="A734" i="107"/>
  <c r="A735" i="107"/>
  <c r="A736" i="107"/>
  <c r="A737" i="107"/>
  <c r="A738" i="107"/>
  <c r="A739" i="107"/>
  <c r="A740" i="107"/>
  <c r="A741" i="107"/>
  <c r="A742" i="107"/>
  <c r="A743" i="107"/>
  <c r="A744" i="107"/>
  <c r="A745" i="107"/>
  <c r="A746" i="107"/>
  <c r="A747" i="107"/>
  <c r="A748" i="107"/>
  <c r="A749" i="107"/>
  <c r="A750" i="107"/>
  <c r="A751" i="107"/>
  <c r="A752" i="107"/>
  <c r="A753" i="107"/>
  <c r="A754" i="107"/>
  <c r="A755" i="107"/>
  <c r="A756" i="107"/>
  <c r="A757" i="107"/>
  <c r="A758" i="107"/>
  <c r="A759" i="107"/>
  <c r="A760" i="107"/>
  <c r="A761" i="107"/>
  <c r="A762" i="107"/>
  <c r="A763" i="107"/>
  <c r="A764" i="107"/>
  <c r="A765" i="107"/>
  <c r="A766" i="107"/>
  <c r="A767" i="107"/>
  <c r="A768" i="107"/>
  <c r="A769" i="107"/>
  <c r="A770" i="107"/>
  <c r="A771" i="107"/>
  <c r="A772" i="107"/>
  <c r="A773" i="107"/>
  <c r="A774" i="107"/>
  <c r="A775" i="107"/>
  <c r="A776" i="107"/>
  <c r="A777" i="107"/>
  <c r="A778" i="107"/>
  <c r="A779" i="107"/>
  <c r="A780" i="107"/>
  <c r="A781" i="107"/>
  <c r="A782" i="107"/>
  <c r="A783" i="107"/>
  <c r="A784" i="107"/>
  <c r="A785" i="107"/>
  <c r="A786" i="107"/>
  <c r="A787" i="107"/>
  <c r="A788" i="107"/>
  <c r="A789" i="107"/>
  <c r="A790" i="107"/>
  <c r="A791" i="107"/>
  <c r="A792" i="107"/>
  <c r="A793" i="107"/>
  <c r="A794" i="107"/>
  <c r="A795" i="107"/>
  <c r="A796" i="107"/>
  <c r="A797" i="107"/>
  <c r="A798" i="107"/>
  <c r="A799" i="107"/>
  <c r="A800" i="107"/>
  <c r="A801" i="107"/>
  <c r="A802" i="107"/>
  <c r="A803" i="107"/>
  <c r="A804" i="107"/>
  <c r="A805" i="107"/>
  <c r="A806" i="107"/>
  <c r="A807" i="107"/>
  <c r="A808" i="107"/>
  <c r="A809" i="107"/>
  <c r="A810" i="107"/>
  <c r="A811" i="107"/>
  <c r="A812" i="107"/>
  <c r="A813" i="107"/>
  <c r="A814" i="107"/>
  <c r="A815" i="107"/>
  <c r="A816" i="107"/>
  <c r="A817" i="107"/>
  <c r="A818" i="107"/>
  <c r="A819" i="107"/>
  <c r="A820" i="107"/>
  <c r="A821" i="107"/>
  <c r="A822" i="107"/>
  <c r="A823" i="107"/>
  <c r="A824" i="107"/>
  <c r="A825" i="107"/>
  <c r="A826" i="107"/>
  <c r="A827" i="107"/>
  <c r="A828" i="107"/>
  <c r="A829" i="107"/>
  <c r="A830" i="107"/>
  <c r="A831" i="107"/>
  <c r="A832" i="107"/>
  <c r="A833" i="107"/>
  <c r="A834" i="107"/>
  <c r="A835" i="107"/>
  <c r="A836" i="107"/>
  <c r="A837" i="107"/>
  <c r="A838" i="107"/>
  <c r="A839" i="107"/>
  <c r="A840" i="107"/>
  <c r="A841" i="107"/>
  <c r="A842" i="107"/>
  <c r="A843" i="107"/>
  <c r="A844" i="107"/>
  <c r="A845" i="107"/>
  <c r="A846" i="107"/>
  <c r="A847" i="107"/>
  <c r="A848" i="107"/>
  <c r="A849" i="107"/>
  <c r="A850" i="107"/>
  <c r="A851" i="107"/>
  <c r="A852" i="107"/>
  <c r="A853" i="107"/>
  <c r="A854" i="107"/>
  <c r="A855" i="107"/>
  <c r="A856" i="107"/>
  <c r="A857" i="107"/>
  <c r="A858" i="107"/>
  <c r="A859" i="107"/>
  <c r="A860" i="107"/>
  <c r="A861" i="107"/>
  <c r="A862" i="107"/>
  <c r="A863" i="107"/>
  <c r="A864" i="107"/>
  <c r="A865" i="107"/>
  <c r="A866" i="107"/>
  <c r="A867" i="107"/>
  <c r="A868" i="107"/>
  <c r="A869" i="107"/>
  <c r="A870" i="107"/>
  <c r="A871" i="107"/>
  <c r="A872" i="107"/>
  <c r="A873" i="107"/>
  <c r="A874" i="107"/>
  <c r="A875" i="107"/>
  <c r="A876" i="107"/>
  <c r="A877" i="107"/>
  <c r="A878" i="107"/>
  <c r="A879" i="107"/>
  <c r="A880" i="107"/>
  <c r="A881" i="107"/>
  <c r="A882" i="107"/>
  <c r="A883" i="107"/>
  <c r="A884" i="107"/>
  <c r="A885" i="107"/>
  <c r="A886" i="107"/>
  <c r="A887" i="107"/>
  <c r="A888" i="107"/>
  <c r="A889" i="107"/>
  <c r="A890" i="107"/>
  <c r="A891" i="107"/>
  <c r="A892" i="107"/>
  <c r="A893" i="107"/>
  <c r="A894" i="107"/>
  <c r="A895" i="107"/>
  <c r="A896" i="107"/>
  <c r="A897" i="107"/>
  <c r="A898" i="107"/>
  <c r="A899" i="107"/>
  <c r="A900" i="107"/>
  <c r="A901" i="107"/>
  <c r="A902" i="107"/>
  <c r="A903" i="107"/>
  <c r="A904" i="107"/>
  <c r="A905" i="107"/>
  <c r="A906" i="107"/>
  <c r="A907" i="107"/>
  <c r="A908" i="107"/>
  <c r="A909" i="107"/>
  <c r="A910" i="107"/>
  <c r="A911" i="107"/>
  <c r="A912" i="107"/>
  <c r="A913" i="107"/>
  <c r="A914" i="107"/>
  <c r="A915" i="107"/>
  <c r="A916" i="107"/>
  <c r="A917" i="107"/>
  <c r="A918" i="107"/>
  <c r="A919" i="107"/>
  <c r="A920" i="107"/>
  <c r="A921" i="107"/>
  <c r="A922" i="107"/>
  <c r="A923" i="107"/>
  <c r="A924" i="107"/>
  <c r="A925" i="107"/>
  <c r="A926" i="107"/>
  <c r="A927" i="107"/>
  <c r="A928" i="107"/>
  <c r="A929" i="107"/>
  <c r="A930" i="107"/>
  <c r="A931" i="107"/>
  <c r="A932" i="107"/>
  <c r="A933" i="107"/>
  <c r="A934" i="107"/>
  <c r="A935" i="107"/>
  <c r="A936" i="107"/>
  <c r="A937" i="107"/>
  <c r="A938" i="107"/>
  <c r="A939" i="107"/>
  <c r="A940" i="107"/>
  <c r="A941" i="107"/>
  <c r="A942" i="107"/>
  <c r="A943" i="107"/>
  <c r="A944" i="107"/>
  <c r="A945" i="107"/>
  <c r="A946" i="107"/>
  <c r="A947" i="107"/>
  <c r="A948" i="107"/>
  <c r="A949" i="107"/>
  <c r="A950" i="107"/>
  <c r="A951" i="107"/>
  <c r="A952" i="107"/>
  <c r="A953" i="107"/>
  <c r="A954" i="107"/>
  <c r="A955" i="107"/>
  <c r="A956" i="107"/>
  <c r="A957" i="107"/>
  <c r="A958" i="107"/>
  <c r="A959" i="107"/>
  <c r="A960" i="107"/>
  <c r="A961" i="107"/>
  <c r="A962" i="107"/>
  <c r="A963" i="107"/>
  <c r="A964" i="107"/>
  <c r="A965" i="107"/>
  <c r="A966" i="107"/>
  <c r="A967" i="107"/>
  <c r="A968" i="107"/>
  <c r="A969" i="107"/>
  <c r="A970" i="107"/>
  <c r="A971" i="107"/>
  <c r="A972" i="107"/>
  <c r="A973" i="107"/>
  <c r="A974" i="107"/>
  <c r="A975" i="107"/>
  <c r="A976" i="107"/>
  <c r="A977" i="107"/>
  <c r="A978" i="107"/>
  <c r="A979" i="107"/>
  <c r="A980" i="107"/>
  <c r="A981" i="107"/>
  <c r="A982" i="107"/>
  <c r="A983" i="107"/>
  <c r="A984" i="107"/>
  <c r="A985" i="107"/>
  <c r="A986" i="107"/>
  <c r="A987" i="107"/>
  <c r="A988" i="107"/>
  <c r="A989" i="107"/>
  <c r="A990" i="107"/>
  <c r="A991" i="107"/>
  <c r="A992" i="107"/>
  <c r="A993" i="107"/>
  <c r="A994" i="107"/>
  <c r="A995" i="107"/>
  <c r="A996" i="107"/>
  <c r="A997" i="107"/>
  <c r="A998" i="107"/>
  <c r="A999" i="107"/>
  <c r="A1000" i="107"/>
  <c r="A1001" i="107"/>
  <c r="A1002" i="107"/>
  <c r="A1003" i="107"/>
  <c r="A1004" i="107"/>
  <c r="A1005" i="107"/>
  <c r="A1006" i="107"/>
  <c r="A1007" i="107"/>
  <c r="A1008" i="107"/>
  <c r="A1009" i="107"/>
  <c r="A1010" i="107"/>
  <c r="A1011" i="107"/>
  <c r="A1012" i="107"/>
  <c r="A1013" i="107"/>
  <c r="A1014" i="107"/>
  <c r="A1015" i="107"/>
  <c r="A1016" i="107"/>
  <c r="A1017" i="107"/>
  <c r="A1018" i="107"/>
  <c r="A1019" i="107"/>
  <c r="A1020" i="107"/>
  <c r="A1021" i="107"/>
  <c r="A1022" i="107"/>
  <c r="A1023" i="107"/>
  <c r="A1024" i="107"/>
  <c r="A1025" i="107"/>
  <c r="A1026" i="107"/>
  <c r="A1027" i="107"/>
  <c r="A1028" i="107"/>
  <c r="A1029" i="107"/>
  <c r="A1030" i="107"/>
  <c r="A1031" i="107"/>
  <c r="A1032" i="107"/>
  <c r="A1033" i="107"/>
  <c r="A1034" i="107"/>
  <c r="A1035" i="107"/>
  <c r="A1036" i="107"/>
  <c r="A1037" i="107"/>
  <c r="A1038" i="107"/>
  <c r="A1039" i="107"/>
  <c r="A1040" i="107"/>
  <c r="A1041" i="107"/>
  <c r="A1042" i="107"/>
  <c r="A1043" i="107"/>
  <c r="A1044" i="107"/>
  <c r="A1045" i="107"/>
  <c r="A1046" i="107"/>
  <c r="A1047" i="107"/>
  <c r="A1048" i="107"/>
  <c r="A1049" i="107"/>
  <c r="A1050" i="107"/>
  <c r="A1051" i="107"/>
  <c r="A1052" i="107"/>
  <c r="A1053" i="107"/>
  <c r="A1054" i="107"/>
  <c r="A1055" i="107"/>
  <c r="A1056" i="107"/>
  <c r="A1057" i="107"/>
  <c r="A1058" i="107"/>
  <c r="A1059" i="107"/>
  <c r="A1060" i="107"/>
  <c r="A1061" i="107"/>
  <c r="A1062" i="107"/>
  <c r="A1063" i="107"/>
  <c r="A1064" i="107"/>
  <c r="A1065" i="107"/>
  <c r="A1066" i="107"/>
  <c r="A1067" i="107"/>
  <c r="A1068" i="107"/>
  <c r="A1069" i="107"/>
  <c r="A1070" i="107"/>
  <c r="A1071" i="107"/>
  <c r="A1072" i="107"/>
  <c r="A1073" i="107"/>
  <c r="A1074" i="107"/>
  <c r="A1075" i="107"/>
  <c r="A1076" i="107"/>
  <c r="A1077" i="107"/>
  <c r="A1078" i="107"/>
  <c r="A1079" i="107"/>
  <c r="A1080" i="107"/>
  <c r="A1081" i="107"/>
  <c r="A1082" i="107"/>
  <c r="A1083" i="107"/>
  <c r="A1084" i="107"/>
  <c r="A1085" i="107"/>
  <c r="A1086" i="107"/>
  <c r="A1087" i="107"/>
  <c r="A1088" i="107"/>
  <c r="A1089" i="107"/>
  <c r="A1090" i="107"/>
  <c r="A1091" i="107"/>
  <c r="A1092" i="107"/>
  <c r="A1093" i="107"/>
  <c r="A1094" i="107"/>
  <c r="A1095" i="107"/>
  <c r="A1096" i="107"/>
  <c r="A1097" i="107"/>
  <c r="A1098" i="107"/>
  <c r="A1099" i="107"/>
  <c r="A1100" i="107"/>
  <c r="A1101" i="107"/>
  <c r="A1102" i="107"/>
  <c r="A1103" i="107"/>
  <c r="A1104" i="107"/>
  <c r="A1105" i="107"/>
  <c r="A1106" i="107"/>
  <c r="A1107" i="107"/>
  <c r="A1108" i="107"/>
  <c r="A1109" i="107"/>
  <c r="A1110" i="107"/>
  <c r="A1111" i="107"/>
  <c r="A1112" i="107"/>
  <c r="A1113" i="107"/>
  <c r="A1114" i="107"/>
  <c r="A1115" i="107"/>
  <c r="A1116" i="107"/>
  <c r="A1117" i="107"/>
  <c r="A1118" i="107"/>
  <c r="A1119" i="107"/>
  <c r="A1120" i="107"/>
  <c r="A1121" i="107"/>
  <c r="A1122" i="107"/>
  <c r="A1123" i="107"/>
  <c r="A1124" i="107"/>
  <c r="A1125" i="107"/>
  <c r="A1126" i="107"/>
  <c r="A1127" i="107"/>
  <c r="A1128" i="107"/>
  <c r="A1129" i="107"/>
  <c r="A1130" i="107"/>
  <c r="A1131" i="107"/>
  <c r="A1132" i="107"/>
  <c r="A1133" i="107"/>
  <c r="A1134" i="107"/>
  <c r="A1135" i="107"/>
  <c r="A1136" i="107"/>
  <c r="A1137" i="107"/>
  <c r="A1138" i="107"/>
  <c r="A1139" i="107"/>
  <c r="A1140" i="107"/>
  <c r="A1141" i="107"/>
  <c r="A1142" i="107"/>
  <c r="A1143" i="107"/>
  <c r="A1144" i="107"/>
  <c r="A1145" i="107"/>
  <c r="A1146" i="107"/>
  <c r="A1147" i="107"/>
  <c r="A1148" i="107"/>
  <c r="A1149" i="107"/>
  <c r="A1150" i="107"/>
  <c r="A1151" i="107"/>
  <c r="A1152" i="107"/>
  <c r="A1153" i="107"/>
  <c r="A1154" i="107"/>
  <c r="A1155" i="107"/>
  <c r="A1156" i="107"/>
  <c r="A1157" i="107"/>
  <c r="A1158" i="107"/>
  <c r="A1159" i="107"/>
  <c r="A1160" i="107"/>
  <c r="A1161" i="107"/>
  <c r="A1162" i="107"/>
  <c r="A1163" i="107"/>
  <c r="A1164" i="107"/>
  <c r="A1165" i="107"/>
  <c r="A1166" i="107"/>
  <c r="A1167" i="107"/>
  <c r="A1168" i="107"/>
  <c r="A1169" i="107"/>
  <c r="A1170" i="107"/>
  <c r="A1171" i="107"/>
  <c r="A1172" i="107"/>
  <c r="A1173" i="107"/>
  <c r="A1174" i="107"/>
  <c r="A1175" i="107"/>
  <c r="A1176" i="107"/>
  <c r="A1177" i="107"/>
  <c r="A1178" i="107"/>
  <c r="A1179" i="107"/>
  <c r="A1180" i="107"/>
  <c r="A1181" i="107"/>
  <c r="A1182" i="107"/>
  <c r="A1183" i="107"/>
  <c r="A1184" i="107"/>
  <c r="A1185" i="107"/>
  <c r="A1186" i="107"/>
  <c r="A1187" i="107"/>
  <c r="A1188" i="107"/>
  <c r="A1189" i="107"/>
  <c r="A1190" i="107"/>
  <c r="A1191" i="107"/>
  <c r="A1192" i="107"/>
  <c r="A1193" i="107"/>
  <c r="A1194" i="107"/>
  <c r="A1195" i="107"/>
  <c r="A1196" i="107"/>
  <c r="A1197" i="107"/>
  <c r="A1198" i="107"/>
  <c r="A1199" i="107"/>
  <c r="A1200" i="107"/>
  <c r="A1201" i="107"/>
  <c r="A1202" i="107"/>
  <c r="A1203" i="107"/>
  <c r="A1204" i="107"/>
  <c r="A1205" i="107"/>
  <c r="A1206" i="107"/>
  <c r="A1207" i="107"/>
  <c r="A1208" i="107"/>
  <c r="A1209" i="107"/>
  <c r="A1210" i="107"/>
  <c r="A1211" i="107"/>
  <c r="A1212" i="107"/>
  <c r="A1213" i="107"/>
  <c r="A2" i="107"/>
  <c r="C3" i="54"/>
  <c r="C4" i="54"/>
  <c r="C5" i="54"/>
  <c r="C6" i="54"/>
  <c r="C7" i="54"/>
  <c r="C8" i="54"/>
  <c r="C9" i="54"/>
  <c r="C10" i="54"/>
  <c r="C11" i="54"/>
  <c r="C12" i="54"/>
  <c r="C13" i="54"/>
  <c r="C14" i="54"/>
  <c r="C15" i="54"/>
  <c r="C16" i="54"/>
  <c r="C17" i="54"/>
  <c r="C18" i="54"/>
  <c r="C19" i="54"/>
  <c r="C20" i="54"/>
  <c r="C21" i="54"/>
  <c r="C22" i="54"/>
  <c r="C23" i="54"/>
  <c r="C24" i="54"/>
  <c r="C25" i="54"/>
  <c r="C26" i="54"/>
  <c r="C27" i="54"/>
  <c r="C28" i="54"/>
  <c r="C29" i="54"/>
  <c r="C30" i="54"/>
  <c r="C31" i="54"/>
  <c r="C32" i="54"/>
  <c r="C33" i="54"/>
  <c r="C34" i="54"/>
  <c r="C35" i="54"/>
  <c r="C36" i="54"/>
  <c r="C37" i="54"/>
  <c r="C38" i="54"/>
  <c r="C39" i="54"/>
  <c r="C40" i="54"/>
  <c r="C41" i="54"/>
  <c r="C42" i="54"/>
  <c r="C43" i="54"/>
  <c r="C44" i="54"/>
  <c r="C45" i="54"/>
  <c r="C46" i="54"/>
  <c r="C47" i="54"/>
  <c r="C48" i="54"/>
  <c r="C49" i="54"/>
  <c r="C50" i="54"/>
  <c r="C51" i="54"/>
  <c r="C52" i="54"/>
  <c r="C53" i="54"/>
  <c r="C54" i="54"/>
  <c r="C55" i="54"/>
  <c r="C56" i="54"/>
  <c r="C57" i="54"/>
  <c r="C58" i="54"/>
  <c r="C59" i="54"/>
  <c r="C60" i="54"/>
  <c r="C61" i="54"/>
  <c r="C62" i="54"/>
  <c r="C63" i="54"/>
  <c r="C64" i="54"/>
  <c r="C65" i="54"/>
  <c r="C66" i="54"/>
  <c r="C67" i="54"/>
  <c r="C68" i="54"/>
  <c r="C69" i="54"/>
  <c r="C70" i="54"/>
  <c r="C71" i="54"/>
  <c r="C72" i="54"/>
  <c r="C73" i="54"/>
  <c r="C74" i="54"/>
  <c r="C75" i="54"/>
  <c r="C76" i="54"/>
  <c r="C77" i="54"/>
  <c r="C78" i="54"/>
  <c r="C79" i="54"/>
  <c r="C80" i="54"/>
  <c r="C81" i="54"/>
  <c r="C82" i="54"/>
  <c r="C83" i="54"/>
  <c r="C84" i="54"/>
  <c r="C85" i="54"/>
  <c r="C86" i="54"/>
  <c r="C87" i="54"/>
  <c r="C88" i="54"/>
  <c r="C89" i="54"/>
  <c r="C90" i="54"/>
  <c r="C91" i="54"/>
  <c r="C92" i="54"/>
  <c r="C93" i="54"/>
  <c r="C94" i="54"/>
  <c r="C95" i="54"/>
  <c r="C96" i="54"/>
  <c r="C97" i="54"/>
  <c r="C98" i="54"/>
  <c r="C99" i="54"/>
  <c r="C100" i="54"/>
  <c r="C101" i="54"/>
  <c r="C102" i="54"/>
  <c r="C2" i="54"/>
  <c r="A3" i="106"/>
  <c r="A4" i="106"/>
  <c r="A5" i="106"/>
  <c r="A6" i="106"/>
  <c r="A7" i="106"/>
  <c r="A8" i="106"/>
  <c r="A9" i="106"/>
  <c r="A10" i="106"/>
  <c r="A11" i="106"/>
  <c r="A12" i="106"/>
  <c r="A13" i="106"/>
  <c r="A14" i="106"/>
  <c r="A15" i="106"/>
  <c r="A16" i="106"/>
  <c r="A17" i="106"/>
  <c r="A18" i="106"/>
  <c r="A19" i="106"/>
  <c r="A20" i="106"/>
  <c r="A21" i="106"/>
  <c r="A22" i="106"/>
  <c r="A23" i="106"/>
  <c r="A24" i="106"/>
  <c r="A25" i="106"/>
  <c r="A26" i="106"/>
  <c r="A27" i="106"/>
  <c r="A28" i="106"/>
  <c r="A29" i="106"/>
  <c r="A30" i="106"/>
  <c r="A31" i="106"/>
  <c r="A32" i="106"/>
  <c r="A33" i="106"/>
  <c r="A34" i="106"/>
  <c r="A35" i="106"/>
  <c r="A36" i="106"/>
  <c r="A37" i="106"/>
  <c r="A38" i="106"/>
  <c r="A39" i="106"/>
  <c r="A40" i="106"/>
  <c r="A41" i="106"/>
  <c r="A42" i="106"/>
  <c r="A43" i="106"/>
  <c r="A44" i="106"/>
  <c r="A45" i="106"/>
  <c r="A46" i="106"/>
  <c r="A47" i="106"/>
  <c r="A48" i="106"/>
  <c r="A49" i="106"/>
  <c r="A50" i="106"/>
  <c r="A51" i="106"/>
  <c r="A52" i="106"/>
  <c r="A53" i="106"/>
  <c r="A54" i="106"/>
  <c r="A55" i="106"/>
  <c r="A56" i="106"/>
  <c r="A57" i="106"/>
  <c r="A58" i="106"/>
  <c r="A59" i="106"/>
  <c r="A60" i="106"/>
  <c r="A61" i="106"/>
  <c r="A62" i="106"/>
  <c r="A63" i="106"/>
  <c r="A64" i="106"/>
  <c r="A65" i="106"/>
  <c r="A66" i="106"/>
  <c r="A67" i="106"/>
  <c r="A68" i="106"/>
  <c r="A69" i="106"/>
  <c r="A70" i="106"/>
  <c r="A71" i="106"/>
  <c r="A72" i="106"/>
  <c r="A73" i="106"/>
  <c r="A74" i="106"/>
  <c r="A75" i="106"/>
  <c r="A76" i="106"/>
  <c r="A77" i="106"/>
  <c r="A78" i="106"/>
  <c r="A79" i="106"/>
  <c r="A80" i="106"/>
  <c r="A81" i="106"/>
  <c r="A82" i="106"/>
  <c r="A83" i="106"/>
  <c r="A84" i="106"/>
  <c r="A85" i="106"/>
  <c r="A86" i="106"/>
  <c r="A87" i="106"/>
  <c r="A88" i="106"/>
  <c r="A89" i="106"/>
  <c r="A90" i="106"/>
  <c r="A91" i="106"/>
  <c r="A92" i="106"/>
  <c r="A93" i="106"/>
  <c r="A94" i="106"/>
  <c r="A95" i="106"/>
  <c r="A96" i="106"/>
  <c r="A97" i="106"/>
  <c r="A98" i="106"/>
  <c r="A99" i="106"/>
  <c r="A100" i="106"/>
  <c r="A101" i="106"/>
  <c r="A102" i="106"/>
  <c r="A103" i="106"/>
  <c r="A104" i="106"/>
  <c r="A105" i="106"/>
  <c r="A106" i="106"/>
  <c r="A107" i="106"/>
  <c r="A108" i="106"/>
  <c r="A109" i="106"/>
  <c r="A110" i="106"/>
  <c r="A111" i="106"/>
  <c r="A112" i="106"/>
  <c r="A113" i="106"/>
  <c r="A114" i="106"/>
  <c r="A115" i="106"/>
  <c r="A116" i="106"/>
  <c r="A117" i="106"/>
  <c r="A118" i="106"/>
  <c r="A119" i="106"/>
  <c r="A120" i="106"/>
  <c r="A121" i="106"/>
  <c r="A122" i="106"/>
  <c r="A123" i="106"/>
  <c r="A124" i="106"/>
  <c r="A125" i="106"/>
  <c r="A126" i="106"/>
  <c r="A127" i="106"/>
  <c r="A128" i="106"/>
  <c r="A129" i="106"/>
  <c r="A130" i="106"/>
  <c r="A131" i="106"/>
  <c r="A132" i="106"/>
  <c r="A133" i="106"/>
  <c r="A134" i="106"/>
  <c r="A135" i="106"/>
  <c r="A136" i="106"/>
  <c r="A137" i="106"/>
  <c r="A138" i="106"/>
  <c r="A139" i="106"/>
  <c r="A140" i="106"/>
  <c r="A141" i="106"/>
  <c r="A142" i="106"/>
  <c r="A143" i="106"/>
  <c r="A144" i="106"/>
  <c r="A145" i="106"/>
  <c r="A146" i="106"/>
  <c r="A147" i="106"/>
  <c r="A148" i="106"/>
  <c r="A149" i="106"/>
  <c r="A150" i="106"/>
  <c r="A151" i="106"/>
  <c r="A152" i="106"/>
  <c r="A153" i="106"/>
  <c r="A154" i="106"/>
  <c r="A155" i="106"/>
  <c r="A156" i="106"/>
  <c r="A157" i="106"/>
  <c r="A158" i="106"/>
  <c r="A159" i="106"/>
  <c r="A160" i="106"/>
  <c r="A161" i="106"/>
  <c r="A162" i="106"/>
  <c r="A163" i="106"/>
  <c r="A164" i="106"/>
  <c r="A165" i="106"/>
  <c r="A166" i="106"/>
  <c r="A167" i="106"/>
  <c r="A168" i="106"/>
  <c r="A169" i="106"/>
  <c r="A170" i="106"/>
  <c r="A171" i="106"/>
  <c r="A172" i="106"/>
  <c r="A173" i="106"/>
  <c r="A174" i="106"/>
  <c r="A175" i="106"/>
  <c r="A176" i="106"/>
  <c r="A177" i="106"/>
  <c r="A178" i="106"/>
  <c r="A179" i="106"/>
  <c r="A180" i="106"/>
  <c r="A181" i="106"/>
  <c r="A182" i="106"/>
  <c r="A183" i="106"/>
  <c r="A184" i="106"/>
  <c r="A185" i="106"/>
  <c r="A186" i="106"/>
  <c r="A187" i="106"/>
  <c r="A188" i="106"/>
  <c r="A189" i="106"/>
  <c r="A190" i="106"/>
  <c r="A191" i="106"/>
  <c r="A192" i="106"/>
  <c r="A193" i="106"/>
  <c r="A194" i="106"/>
  <c r="A195" i="106"/>
  <c r="A196" i="106"/>
  <c r="A197" i="106"/>
  <c r="A198" i="106"/>
  <c r="A199" i="106"/>
  <c r="A200" i="106"/>
  <c r="A201" i="106"/>
  <c r="A202" i="106"/>
  <c r="A203" i="106"/>
  <c r="A204" i="106"/>
  <c r="A205" i="106"/>
  <c r="A206" i="106"/>
  <c r="A207" i="106"/>
  <c r="A208" i="106"/>
  <c r="A209" i="106"/>
  <c r="A210" i="106"/>
  <c r="A211" i="106"/>
  <c r="A212" i="106"/>
  <c r="A213" i="106"/>
  <c r="A214" i="106"/>
  <c r="A215" i="106"/>
  <c r="A216" i="106"/>
  <c r="A217" i="106"/>
  <c r="A218" i="106"/>
  <c r="A219" i="106"/>
  <c r="A220" i="106"/>
  <c r="A221" i="106"/>
  <c r="A222" i="106"/>
  <c r="A223" i="106"/>
  <c r="A224" i="106"/>
  <c r="A225" i="106"/>
  <c r="A226" i="106"/>
  <c r="A227" i="106"/>
  <c r="A228" i="106"/>
  <c r="A229" i="106"/>
  <c r="A230" i="106"/>
  <c r="A231" i="106"/>
  <c r="A232" i="106"/>
  <c r="A233" i="106"/>
  <c r="A234" i="106"/>
  <c r="A235" i="106"/>
  <c r="A236" i="106"/>
  <c r="A237" i="106"/>
  <c r="A238" i="106"/>
  <c r="A239" i="106"/>
  <c r="A240" i="106"/>
  <c r="A241" i="106"/>
  <c r="A242" i="106"/>
  <c r="A243" i="106"/>
  <c r="A244" i="106"/>
  <c r="A245" i="106"/>
  <c r="A246" i="106"/>
  <c r="A247" i="106"/>
  <c r="A248" i="106"/>
  <c r="A249" i="106"/>
  <c r="A250" i="106"/>
  <c r="A251" i="106"/>
  <c r="A252" i="106"/>
  <c r="A253" i="106"/>
  <c r="A254" i="106"/>
  <c r="A255" i="106"/>
  <c r="A256" i="106"/>
  <c r="A257" i="106"/>
  <c r="A258" i="106"/>
  <c r="A259" i="106"/>
  <c r="A260" i="106"/>
  <c r="A261" i="106"/>
  <c r="A262" i="106"/>
  <c r="A263" i="106"/>
  <c r="A264" i="106"/>
  <c r="A265" i="106"/>
  <c r="A266" i="106"/>
  <c r="A267" i="106"/>
  <c r="A268" i="106"/>
  <c r="A269" i="106"/>
  <c r="A270" i="106"/>
  <c r="A271" i="106"/>
  <c r="A272" i="106"/>
  <c r="A273" i="106"/>
  <c r="A274" i="106"/>
  <c r="A275" i="106"/>
  <c r="A276" i="106"/>
  <c r="A277" i="106"/>
  <c r="A278" i="106"/>
  <c r="A279" i="106"/>
  <c r="A280" i="106"/>
  <c r="A281" i="106"/>
  <c r="A282" i="106"/>
  <c r="A283" i="106"/>
  <c r="A284" i="106"/>
  <c r="A285" i="106"/>
  <c r="A286" i="106"/>
  <c r="A287" i="106"/>
  <c r="A288" i="106"/>
  <c r="A289" i="106"/>
  <c r="A290" i="106"/>
  <c r="A291" i="106"/>
  <c r="A292" i="106"/>
  <c r="A293" i="106"/>
  <c r="A294" i="106"/>
  <c r="A295" i="106"/>
  <c r="A296" i="106"/>
  <c r="A297" i="106"/>
  <c r="A298" i="106"/>
  <c r="A299" i="106"/>
  <c r="A300" i="106"/>
  <c r="A301" i="106"/>
  <c r="A302" i="106"/>
  <c r="A303" i="106"/>
  <c r="A304" i="106"/>
  <c r="A305" i="106"/>
  <c r="A306" i="106"/>
  <c r="A307" i="106"/>
  <c r="A308" i="106"/>
  <c r="A309" i="106"/>
  <c r="A310" i="106"/>
  <c r="A311" i="106"/>
  <c r="A312" i="106"/>
  <c r="A313" i="106"/>
  <c r="A314" i="106"/>
  <c r="A315" i="106"/>
  <c r="A316" i="106"/>
  <c r="A317" i="106"/>
  <c r="A318" i="106"/>
  <c r="A319" i="106"/>
  <c r="A320" i="106"/>
  <c r="A321" i="106"/>
  <c r="A322" i="106"/>
  <c r="A323" i="106"/>
  <c r="A324" i="106"/>
  <c r="A325" i="106"/>
  <c r="A326" i="106"/>
  <c r="A327" i="106"/>
  <c r="A328" i="106"/>
  <c r="A329" i="106"/>
  <c r="A330" i="106"/>
  <c r="A331" i="106"/>
  <c r="A332" i="106"/>
  <c r="A333" i="106"/>
  <c r="A334" i="106"/>
  <c r="A335" i="106"/>
  <c r="A336" i="106"/>
  <c r="A337" i="106"/>
  <c r="A338" i="106"/>
  <c r="A339" i="106"/>
  <c r="A340" i="106"/>
  <c r="A341" i="106"/>
  <c r="A342" i="106"/>
  <c r="A343" i="106"/>
  <c r="A344" i="106"/>
  <c r="A345" i="106"/>
  <c r="A346" i="106"/>
  <c r="A347" i="106"/>
  <c r="A348" i="106"/>
  <c r="A349" i="106"/>
  <c r="A350" i="106"/>
  <c r="A351" i="106"/>
  <c r="A352" i="106"/>
  <c r="A353" i="106"/>
  <c r="A354" i="106"/>
  <c r="A355" i="106"/>
  <c r="A356" i="106"/>
  <c r="A357" i="106"/>
  <c r="A358" i="106"/>
  <c r="A359" i="106"/>
  <c r="A360" i="106"/>
  <c r="A361" i="106"/>
  <c r="A362" i="106"/>
  <c r="A363" i="106"/>
  <c r="A364" i="106"/>
  <c r="A365" i="106"/>
  <c r="A366" i="106"/>
  <c r="A367" i="106"/>
  <c r="A368" i="106"/>
  <c r="A369" i="106"/>
  <c r="A370" i="106"/>
  <c r="A371" i="106"/>
  <c r="A372" i="106"/>
  <c r="A373" i="106"/>
  <c r="A374" i="106"/>
  <c r="A375" i="106"/>
  <c r="A376" i="106"/>
  <c r="A377" i="106"/>
  <c r="A378" i="106"/>
  <c r="A379" i="106"/>
  <c r="A380" i="106"/>
  <c r="A381" i="106"/>
  <c r="A382" i="106"/>
  <c r="A383" i="106"/>
  <c r="A384" i="106"/>
  <c r="A385" i="106"/>
  <c r="A386" i="106"/>
  <c r="A387" i="106"/>
  <c r="A388" i="106"/>
  <c r="A389" i="106"/>
  <c r="A390" i="106"/>
  <c r="A391" i="106"/>
  <c r="A392" i="106"/>
  <c r="A393" i="106"/>
  <c r="A394" i="106"/>
  <c r="A395" i="106"/>
  <c r="A396" i="106"/>
  <c r="A397" i="106"/>
  <c r="A398" i="106"/>
  <c r="A399" i="106"/>
  <c r="A400" i="106"/>
  <c r="A401" i="106"/>
  <c r="A402" i="106"/>
  <c r="A403" i="106"/>
  <c r="A404" i="106"/>
  <c r="A405" i="106"/>
  <c r="A406" i="106"/>
  <c r="A407" i="106"/>
  <c r="A408" i="106"/>
  <c r="A409" i="106"/>
  <c r="A410" i="106"/>
  <c r="A411" i="106"/>
  <c r="A412" i="106"/>
  <c r="A413" i="106"/>
  <c r="A414" i="106"/>
  <c r="A415" i="106"/>
  <c r="A416" i="106"/>
  <c r="A417" i="106"/>
  <c r="A418" i="106"/>
  <c r="A419" i="106"/>
  <c r="A420" i="106"/>
  <c r="A421" i="106"/>
  <c r="A422" i="106"/>
  <c r="A423" i="106"/>
  <c r="A424" i="106"/>
  <c r="A425" i="106"/>
  <c r="A426" i="106"/>
  <c r="A427" i="106"/>
  <c r="A428" i="106"/>
  <c r="A429" i="106"/>
  <c r="A430" i="106"/>
  <c r="A431" i="106"/>
  <c r="A432" i="106"/>
  <c r="A433" i="106"/>
  <c r="A434" i="106"/>
  <c r="A435" i="106"/>
  <c r="A436" i="106"/>
  <c r="A437" i="106"/>
  <c r="A438" i="106"/>
  <c r="A439" i="106"/>
  <c r="A440" i="106"/>
  <c r="A441" i="106"/>
  <c r="A442" i="106"/>
  <c r="A443" i="106"/>
  <c r="A444" i="106"/>
  <c r="A445" i="106"/>
  <c r="A446" i="106"/>
  <c r="A447" i="106"/>
  <c r="A448" i="106"/>
  <c r="A449" i="106"/>
  <c r="A450" i="106"/>
  <c r="A451" i="106"/>
  <c r="A452" i="106"/>
  <c r="A453" i="106"/>
  <c r="A454" i="106"/>
  <c r="A455" i="106"/>
  <c r="A456" i="106"/>
  <c r="A457" i="106"/>
  <c r="A458" i="106"/>
  <c r="A459" i="106"/>
  <c r="A460" i="106"/>
  <c r="A461" i="106"/>
  <c r="A462" i="106"/>
  <c r="A463" i="106"/>
  <c r="A464" i="106"/>
  <c r="A465" i="106"/>
  <c r="A466" i="106"/>
  <c r="A467" i="106"/>
  <c r="A468" i="106"/>
  <c r="A469" i="106"/>
  <c r="A470" i="106"/>
  <c r="A471" i="106"/>
  <c r="A472" i="106"/>
  <c r="A473" i="106"/>
  <c r="A474" i="106"/>
  <c r="A475" i="106"/>
  <c r="A476" i="106"/>
  <c r="A477" i="106"/>
  <c r="A478" i="106"/>
  <c r="A479" i="106"/>
  <c r="A480" i="106"/>
  <c r="A481" i="106"/>
  <c r="A482" i="106"/>
  <c r="A483" i="106"/>
  <c r="A484" i="106"/>
  <c r="A485" i="106"/>
  <c r="A486" i="106"/>
  <c r="A487" i="106"/>
  <c r="A488" i="106"/>
  <c r="A489" i="106"/>
  <c r="A490" i="106"/>
  <c r="A491" i="106"/>
  <c r="A492" i="106"/>
  <c r="A493" i="106"/>
  <c r="A494" i="106"/>
  <c r="A495" i="106"/>
  <c r="A496" i="106"/>
  <c r="A497" i="106"/>
  <c r="A498" i="106"/>
  <c r="A499" i="106"/>
  <c r="A500" i="106"/>
  <c r="A501" i="106"/>
  <c r="A502" i="106"/>
  <c r="A503" i="106"/>
  <c r="A504" i="106"/>
  <c r="A505" i="106"/>
  <c r="A506" i="106"/>
  <c r="A507" i="106"/>
  <c r="A508" i="106"/>
  <c r="A509" i="106"/>
  <c r="A510" i="106"/>
  <c r="A511" i="106"/>
  <c r="A512" i="106"/>
  <c r="A513" i="106"/>
  <c r="A514" i="106"/>
  <c r="A515" i="106"/>
  <c r="A516" i="106"/>
  <c r="A517" i="106"/>
  <c r="A518" i="106"/>
  <c r="A519" i="106"/>
  <c r="A520" i="106"/>
  <c r="A521" i="106"/>
  <c r="A522" i="106"/>
  <c r="A523" i="106"/>
  <c r="A524" i="106"/>
  <c r="A525" i="106"/>
  <c r="A526" i="106"/>
  <c r="A527" i="106"/>
  <c r="A528" i="106"/>
  <c r="A529" i="106"/>
  <c r="A530" i="106"/>
  <c r="A531" i="106"/>
  <c r="A532" i="106"/>
  <c r="A533" i="106"/>
  <c r="A534" i="106"/>
  <c r="A535" i="106"/>
  <c r="A536" i="106"/>
  <c r="A537" i="106"/>
  <c r="A538" i="106"/>
  <c r="A539" i="106"/>
  <c r="A540" i="106"/>
  <c r="A541" i="106"/>
  <c r="A542" i="106"/>
  <c r="A543" i="106"/>
  <c r="A544" i="106"/>
  <c r="A545" i="106"/>
  <c r="A546" i="106"/>
  <c r="A547" i="106"/>
  <c r="A548" i="106"/>
  <c r="A549" i="106"/>
  <c r="A550" i="106"/>
  <c r="A551" i="106"/>
  <c r="A552" i="106"/>
  <c r="A553" i="106"/>
  <c r="A554" i="106"/>
  <c r="A555" i="106"/>
  <c r="A556" i="106"/>
  <c r="A557" i="106"/>
  <c r="A558" i="106"/>
  <c r="A559" i="106"/>
  <c r="A560" i="106"/>
  <c r="A561" i="106"/>
  <c r="A562" i="106"/>
  <c r="A563" i="106"/>
  <c r="A564" i="106"/>
  <c r="A565" i="106"/>
  <c r="A566" i="106"/>
  <c r="A567" i="106"/>
  <c r="A568" i="106"/>
  <c r="A569" i="106"/>
  <c r="A570" i="106"/>
  <c r="A571" i="106"/>
  <c r="A572" i="106"/>
  <c r="A573" i="106"/>
  <c r="A574" i="106"/>
  <c r="A575" i="106"/>
  <c r="A576" i="106"/>
  <c r="A577" i="106"/>
  <c r="A578" i="106"/>
  <c r="A579" i="106"/>
  <c r="A580" i="106"/>
  <c r="A581" i="106"/>
  <c r="A582" i="106"/>
  <c r="A583" i="106"/>
  <c r="A584" i="106"/>
  <c r="A585" i="106"/>
  <c r="A586" i="106"/>
  <c r="A587" i="106"/>
  <c r="A588" i="106"/>
  <c r="A589" i="106"/>
  <c r="A590" i="106"/>
  <c r="A591" i="106"/>
  <c r="A592" i="106"/>
  <c r="A593" i="106"/>
  <c r="A594" i="106"/>
  <c r="A595" i="106"/>
  <c r="A596" i="106"/>
  <c r="A597" i="106"/>
  <c r="A598" i="106"/>
  <c r="A599" i="106"/>
  <c r="A600" i="106"/>
  <c r="A601" i="106"/>
  <c r="A602" i="106"/>
  <c r="A603" i="106"/>
  <c r="A604" i="106"/>
  <c r="A605" i="106"/>
  <c r="A606" i="106"/>
  <c r="A607" i="106"/>
  <c r="A608" i="106"/>
  <c r="A609" i="106"/>
  <c r="A610" i="106"/>
  <c r="A611" i="106"/>
  <c r="A612" i="106"/>
  <c r="A613" i="106"/>
  <c r="A614" i="106"/>
  <c r="A615" i="106"/>
  <c r="A616" i="106"/>
  <c r="A617" i="106"/>
  <c r="A618" i="106"/>
  <c r="A619" i="106"/>
  <c r="A620" i="106"/>
  <c r="A621" i="106"/>
  <c r="A622" i="106"/>
  <c r="A623" i="106"/>
  <c r="A624" i="106"/>
  <c r="A625" i="106"/>
  <c r="A626" i="106"/>
  <c r="A627" i="106"/>
  <c r="A628" i="106"/>
  <c r="A629" i="106"/>
  <c r="A630" i="106"/>
  <c r="A631" i="106"/>
  <c r="A632" i="106"/>
  <c r="A633" i="106"/>
  <c r="A634" i="106"/>
  <c r="A635" i="106"/>
  <c r="A636" i="106"/>
  <c r="A637" i="106"/>
  <c r="A638" i="106"/>
  <c r="A639" i="106"/>
  <c r="A640" i="106"/>
  <c r="A641" i="106"/>
  <c r="A642" i="106"/>
  <c r="A643" i="106"/>
  <c r="A644" i="106"/>
  <c r="A645" i="106"/>
  <c r="A646" i="106"/>
  <c r="A647" i="106"/>
  <c r="A648" i="106"/>
  <c r="A649" i="106"/>
  <c r="A650" i="106"/>
  <c r="A651" i="106"/>
  <c r="A652" i="106"/>
  <c r="A653" i="106"/>
  <c r="A654" i="106"/>
  <c r="A655" i="106"/>
  <c r="A656" i="106"/>
  <c r="A657" i="106"/>
  <c r="A658" i="106"/>
  <c r="A659" i="106"/>
  <c r="A660" i="106"/>
  <c r="A661" i="106"/>
  <c r="A662" i="106"/>
  <c r="A663" i="106"/>
  <c r="A664" i="106"/>
  <c r="A665" i="106"/>
  <c r="A666" i="106"/>
  <c r="A667" i="106"/>
  <c r="A668" i="106"/>
  <c r="A669" i="106"/>
  <c r="A670" i="106"/>
  <c r="A671" i="106"/>
  <c r="A672" i="106"/>
  <c r="A673" i="106"/>
  <c r="A674" i="106"/>
  <c r="A675" i="106"/>
  <c r="A676" i="106"/>
  <c r="A677" i="106"/>
  <c r="A678" i="106"/>
  <c r="A679" i="106"/>
  <c r="A680" i="106"/>
  <c r="A681" i="106"/>
  <c r="A682" i="106"/>
  <c r="A683" i="106"/>
  <c r="A684" i="106"/>
  <c r="A685" i="106"/>
  <c r="A686" i="106"/>
  <c r="A687" i="106"/>
  <c r="A688" i="106"/>
  <c r="A689" i="106"/>
  <c r="A690" i="106"/>
  <c r="A691" i="106"/>
  <c r="A692" i="106"/>
  <c r="A693" i="106"/>
  <c r="A694" i="106"/>
  <c r="A695" i="106"/>
  <c r="A696" i="106"/>
  <c r="A697" i="106"/>
  <c r="A698" i="106"/>
  <c r="A699" i="106"/>
  <c r="A700" i="106"/>
  <c r="A701" i="106"/>
  <c r="A702" i="106"/>
  <c r="A703" i="106"/>
  <c r="A704" i="106"/>
  <c r="A705" i="106"/>
  <c r="A706" i="106"/>
  <c r="A707" i="106"/>
  <c r="A708" i="106"/>
  <c r="A709" i="106"/>
  <c r="A710" i="106"/>
  <c r="A711" i="106"/>
  <c r="A712" i="106"/>
  <c r="A713" i="106"/>
  <c r="A714" i="106"/>
  <c r="A715" i="106"/>
  <c r="A716" i="106"/>
  <c r="A717" i="106"/>
  <c r="A718" i="106"/>
  <c r="A719" i="106"/>
  <c r="A720" i="106"/>
  <c r="A721" i="106"/>
  <c r="A722" i="106"/>
  <c r="A723" i="106"/>
  <c r="A724" i="106"/>
  <c r="A725" i="106"/>
  <c r="A726" i="106"/>
  <c r="A727" i="106"/>
  <c r="A728" i="106"/>
  <c r="A729" i="106"/>
  <c r="A730" i="106"/>
  <c r="A731" i="106"/>
  <c r="A732" i="106"/>
  <c r="A733" i="106"/>
  <c r="A734" i="106"/>
  <c r="A735" i="106"/>
  <c r="A736" i="106"/>
  <c r="A737" i="106"/>
  <c r="A738" i="106"/>
  <c r="A739" i="106"/>
  <c r="A740" i="106"/>
  <c r="A741" i="106"/>
  <c r="A742" i="106"/>
  <c r="A743" i="106"/>
  <c r="A744" i="106"/>
  <c r="A745" i="106"/>
  <c r="A746" i="106"/>
  <c r="A747" i="106"/>
  <c r="A748" i="106"/>
  <c r="A749" i="106"/>
  <c r="A750" i="106"/>
  <c r="A751" i="106"/>
  <c r="A752" i="106"/>
  <c r="A753" i="106"/>
  <c r="A754" i="106"/>
  <c r="A755" i="106"/>
  <c r="A756" i="106"/>
  <c r="A757" i="106"/>
  <c r="A758" i="106"/>
  <c r="A759" i="106"/>
  <c r="A760" i="106"/>
  <c r="A761" i="106"/>
  <c r="A762" i="106"/>
  <c r="A763" i="106"/>
  <c r="A764" i="106"/>
  <c r="A765" i="106"/>
  <c r="A766" i="106"/>
  <c r="A767" i="106"/>
  <c r="A768" i="106"/>
  <c r="A769" i="106"/>
  <c r="A770" i="106"/>
  <c r="A771" i="106"/>
  <c r="A772" i="106"/>
  <c r="A773" i="106"/>
  <c r="A774" i="106"/>
  <c r="A775" i="106"/>
  <c r="A776" i="106"/>
  <c r="A777" i="106"/>
  <c r="A778" i="106"/>
  <c r="A779" i="106"/>
  <c r="A780" i="106"/>
  <c r="A781" i="106"/>
  <c r="A782" i="106"/>
  <c r="A783" i="106"/>
  <c r="A784" i="106"/>
  <c r="A785" i="106"/>
  <c r="A786" i="106"/>
  <c r="A787" i="106"/>
  <c r="A788" i="106"/>
  <c r="A789" i="106"/>
  <c r="A790" i="106"/>
  <c r="A791" i="106"/>
  <c r="A792" i="106"/>
  <c r="A793" i="106"/>
  <c r="A794" i="106"/>
  <c r="A795" i="106"/>
  <c r="A796" i="106"/>
  <c r="A797" i="106"/>
  <c r="A798" i="106"/>
  <c r="A799" i="106"/>
  <c r="A800" i="106"/>
  <c r="A801" i="106"/>
  <c r="A802" i="106"/>
  <c r="A803" i="106"/>
  <c r="A804" i="106"/>
  <c r="A805" i="106"/>
  <c r="A806" i="106"/>
  <c r="A807" i="106"/>
  <c r="A808" i="106"/>
  <c r="A809" i="106"/>
  <c r="A810" i="106"/>
  <c r="A811" i="106"/>
  <c r="A812" i="106"/>
  <c r="A813" i="106"/>
  <c r="A814" i="106"/>
  <c r="A815" i="106"/>
  <c r="A816" i="106"/>
  <c r="A817" i="106"/>
  <c r="A818" i="106"/>
  <c r="A819" i="106"/>
  <c r="A820" i="106"/>
  <c r="A821" i="106"/>
  <c r="A822" i="106"/>
  <c r="A823" i="106"/>
  <c r="A824" i="106"/>
  <c r="A825" i="106"/>
  <c r="A826" i="106"/>
  <c r="A827" i="106"/>
  <c r="A828" i="106"/>
  <c r="A829" i="106"/>
  <c r="A830" i="106"/>
  <c r="A831" i="106"/>
  <c r="A832" i="106"/>
  <c r="A833" i="106"/>
  <c r="A834" i="106"/>
  <c r="A835" i="106"/>
  <c r="A836" i="106"/>
  <c r="A837" i="106"/>
  <c r="A838" i="106"/>
  <c r="A839" i="106"/>
  <c r="A840" i="106"/>
  <c r="A841" i="106"/>
  <c r="A842" i="106"/>
  <c r="A843" i="106"/>
  <c r="A844" i="106"/>
  <c r="A845" i="106"/>
  <c r="A846" i="106"/>
  <c r="A847" i="106"/>
  <c r="A848" i="106"/>
  <c r="A849" i="106"/>
  <c r="A850" i="106"/>
  <c r="A851" i="106"/>
  <c r="A852" i="106"/>
  <c r="A853" i="106"/>
  <c r="A854" i="106"/>
  <c r="A855" i="106"/>
  <c r="A856" i="106"/>
  <c r="A857" i="106"/>
  <c r="A858" i="106"/>
  <c r="A859" i="106"/>
  <c r="A860" i="106"/>
  <c r="A861" i="106"/>
  <c r="A862" i="106"/>
  <c r="A863" i="106"/>
  <c r="A864" i="106"/>
  <c r="A865" i="106"/>
  <c r="A866" i="106"/>
  <c r="A867" i="106"/>
  <c r="A868" i="106"/>
  <c r="A869" i="106"/>
  <c r="A870" i="106"/>
  <c r="A871" i="106"/>
  <c r="A872" i="106"/>
  <c r="A873" i="106"/>
  <c r="A874" i="106"/>
  <c r="A875" i="106"/>
  <c r="A876" i="106"/>
  <c r="A877" i="106"/>
  <c r="A878" i="106"/>
  <c r="A879" i="106"/>
  <c r="A880" i="106"/>
  <c r="A881" i="106"/>
  <c r="A882" i="106"/>
  <c r="A883" i="106"/>
  <c r="A884" i="106"/>
  <c r="A885" i="106"/>
  <c r="A886" i="106"/>
  <c r="A887" i="106"/>
  <c r="A888" i="106"/>
  <c r="A889" i="106"/>
  <c r="A890" i="106"/>
  <c r="A891" i="106"/>
  <c r="A892" i="106"/>
  <c r="A893" i="106"/>
  <c r="A894" i="106"/>
  <c r="A895" i="106"/>
  <c r="A896" i="106"/>
  <c r="A897" i="106"/>
  <c r="A898" i="106"/>
  <c r="A899" i="106"/>
  <c r="A900" i="106"/>
  <c r="A901" i="106"/>
  <c r="A902" i="106"/>
  <c r="A903" i="106"/>
  <c r="A904" i="106"/>
  <c r="A905" i="106"/>
  <c r="A906" i="106"/>
  <c r="A907" i="106"/>
  <c r="A908" i="106"/>
  <c r="A909" i="106"/>
  <c r="A910" i="106"/>
  <c r="A911" i="106"/>
  <c r="A912" i="106"/>
  <c r="A913" i="106"/>
  <c r="A914" i="106"/>
  <c r="A915" i="106"/>
  <c r="A916" i="106"/>
  <c r="A917" i="106"/>
  <c r="A918" i="106"/>
  <c r="A919" i="106"/>
  <c r="A920" i="106"/>
  <c r="A921" i="106"/>
  <c r="A922" i="106"/>
  <c r="A923" i="106"/>
  <c r="A924" i="106"/>
  <c r="A925" i="106"/>
  <c r="A926" i="106"/>
  <c r="A927" i="106"/>
  <c r="A928" i="106"/>
  <c r="A929" i="106"/>
  <c r="A930" i="106"/>
  <c r="A931" i="106"/>
  <c r="A932" i="106"/>
  <c r="A933" i="106"/>
  <c r="A934" i="106"/>
  <c r="A935" i="106"/>
  <c r="A936" i="106"/>
  <c r="A937" i="106"/>
  <c r="A938" i="106"/>
  <c r="A939" i="106"/>
  <c r="A940" i="106"/>
  <c r="A941" i="106"/>
  <c r="A942" i="106"/>
  <c r="A943" i="106"/>
  <c r="A944" i="106"/>
  <c r="A945" i="106"/>
  <c r="A946" i="106"/>
  <c r="A947" i="106"/>
  <c r="A948" i="106"/>
  <c r="A949" i="106"/>
  <c r="A950" i="106"/>
  <c r="A951" i="106"/>
  <c r="A952" i="106"/>
  <c r="A953" i="106"/>
  <c r="A954" i="106"/>
  <c r="A955" i="106"/>
  <c r="A956" i="106"/>
  <c r="A957" i="106"/>
  <c r="A958" i="106"/>
  <c r="A959" i="106"/>
  <c r="A960" i="106"/>
  <c r="A961" i="106"/>
  <c r="A962" i="106"/>
  <c r="A963" i="106"/>
  <c r="A964" i="106"/>
  <c r="A965" i="106"/>
  <c r="A966" i="106"/>
  <c r="A967" i="106"/>
  <c r="A968" i="106"/>
  <c r="A969" i="106"/>
  <c r="A970" i="106"/>
  <c r="A971" i="106"/>
  <c r="A972" i="106"/>
  <c r="A973" i="106"/>
  <c r="A974" i="106"/>
  <c r="A975" i="106"/>
  <c r="A976" i="106"/>
  <c r="A977" i="106"/>
  <c r="A978" i="106"/>
  <c r="A979" i="106"/>
  <c r="A980" i="106"/>
  <c r="A981" i="106"/>
  <c r="A982" i="106"/>
  <c r="A983" i="106"/>
  <c r="A984" i="106"/>
  <c r="A985" i="106"/>
  <c r="A986" i="106"/>
  <c r="A987" i="106"/>
  <c r="A988" i="106"/>
  <c r="A989" i="106"/>
  <c r="A990" i="106"/>
  <c r="A991" i="106"/>
  <c r="A992" i="106"/>
  <c r="A993" i="106"/>
  <c r="A994" i="106"/>
  <c r="A995" i="106"/>
  <c r="A996" i="106"/>
  <c r="A997" i="106"/>
  <c r="A998" i="106"/>
  <c r="A999" i="106"/>
  <c r="A1000" i="106"/>
  <c r="A1001" i="106"/>
  <c r="A1002" i="106"/>
  <c r="A1003" i="106"/>
  <c r="A1004" i="106"/>
  <c r="A1005" i="106"/>
  <c r="A1006" i="106"/>
  <c r="A1007" i="106"/>
  <c r="A1008" i="106"/>
  <c r="A1009" i="106"/>
  <c r="A1010" i="106"/>
  <c r="A1011" i="106"/>
  <c r="A1012" i="106"/>
  <c r="A1013" i="106"/>
  <c r="A1014" i="106"/>
  <c r="A1015" i="106"/>
  <c r="A1016" i="106"/>
  <c r="A1017" i="106"/>
  <c r="A1018" i="106"/>
  <c r="A1019" i="106"/>
  <c r="A1020" i="106"/>
  <c r="A1021" i="106"/>
  <c r="A1022" i="106"/>
  <c r="A1023" i="106"/>
  <c r="A1024" i="106"/>
  <c r="A1025" i="106"/>
  <c r="A1026" i="106"/>
  <c r="A1027" i="106"/>
  <c r="A1028" i="106"/>
  <c r="A1029" i="106"/>
  <c r="A1030" i="106"/>
  <c r="A1031" i="106"/>
  <c r="A1032" i="106"/>
  <c r="A1033" i="106"/>
  <c r="A1034" i="106"/>
  <c r="A1035" i="106"/>
  <c r="A1036" i="106"/>
  <c r="A1037" i="106"/>
  <c r="A1038" i="106"/>
  <c r="A1039" i="106"/>
  <c r="A1040" i="106"/>
  <c r="A1041" i="106"/>
  <c r="A1042" i="106"/>
  <c r="A1043" i="106"/>
  <c r="A1044" i="106"/>
  <c r="A1045" i="106"/>
  <c r="A1046" i="106"/>
  <c r="A1047" i="106"/>
  <c r="A1048" i="106"/>
  <c r="A1049" i="106"/>
  <c r="A1050" i="106"/>
  <c r="A1051" i="106"/>
  <c r="A1052" i="106"/>
  <c r="A1053" i="106"/>
  <c r="A1054" i="106"/>
  <c r="A1055" i="106"/>
  <c r="A1056" i="106"/>
  <c r="A1057" i="106"/>
  <c r="A1058" i="106"/>
  <c r="A1059" i="106"/>
  <c r="A1060" i="106"/>
  <c r="A1061" i="106"/>
  <c r="A1062" i="106"/>
  <c r="A1063" i="106"/>
  <c r="A1064" i="106"/>
  <c r="A1065" i="106"/>
  <c r="A1066" i="106"/>
  <c r="A1067" i="106"/>
  <c r="A1068" i="106"/>
  <c r="A1069" i="106"/>
  <c r="A1070" i="106"/>
  <c r="A1071" i="106"/>
  <c r="A1072" i="106"/>
  <c r="A1073" i="106"/>
  <c r="A1074" i="106"/>
  <c r="A1075" i="106"/>
  <c r="A1076" i="106"/>
  <c r="A1077" i="106"/>
  <c r="A1078" i="106"/>
  <c r="A1079" i="106"/>
  <c r="A1080" i="106"/>
  <c r="A1081" i="106"/>
  <c r="A1082" i="106"/>
  <c r="A1083" i="106"/>
  <c r="A1084" i="106"/>
  <c r="A1085" i="106"/>
  <c r="A1086" i="106"/>
  <c r="A1087" i="106"/>
  <c r="A1088" i="106"/>
  <c r="A1089" i="106"/>
  <c r="A1090" i="106"/>
  <c r="A1091" i="106"/>
  <c r="A1092" i="106"/>
  <c r="A1093" i="106"/>
  <c r="A1094" i="106"/>
  <c r="A1095" i="106"/>
  <c r="A1096" i="106"/>
  <c r="A1097" i="106"/>
  <c r="A1098" i="106"/>
  <c r="A1099" i="106"/>
  <c r="A1100" i="106"/>
  <c r="A1101" i="106"/>
  <c r="A1102" i="106"/>
  <c r="A1103" i="106"/>
  <c r="A1104" i="106"/>
  <c r="A1105" i="106"/>
  <c r="A1106" i="106"/>
  <c r="A1107" i="106"/>
  <c r="A1108" i="106"/>
  <c r="A1109" i="106"/>
  <c r="A1110" i="106"/>
  <c r="A1111" i="106"/>
  <c r="A1112" i="106"/>
  <c r="A1113" i="106"/>
  <c r="A1114" i="106"/>
  <c r="A1115" i="106"/>
  <c r="A1116" i="106"/>
  <c r="A1117" i="106"/>
  <c r="A1118" i="106"/>
  <c r="A1119" i="106"/>
  <c r="A1120" i="106"/>
  <c r="A1121" i="106"/>
  <c r="A1122" i="106"/>
  <c r="A1123" i="106"/>
  <c r="A1124" i="106"/>
  <c r="A1125" i="106"/>
  <c r="A1126" i="106"/>
  <c r="A1127" i="106"/>
  <c r="A1128" i="106"/>
  <c r="A1129" i="106"/>
  <c r="A1130" i="106"/>
  <c r="A1131" i="106"/>
  <c r="A1132" i="106"/>
  <c r="A1133" i="106"/>
  <c r="A1134" i="106"/>
  <c r="A1135" i="106"/>
  <c r="A1136" i="106"/>
  <c r="A1137" i="106"/>
  <c r="A1138" i="106"/>
  <c r="A1139" i="106"/>
  <c r="A1140" i="106"/>
  <c r="A1141" i="106"/>
  <c r="A1142" i="106"/>
  <c r="A1143" i="106"/>
  <c r="A1144" i="106"/>
  <c r="A1145" i="106"/>
  <c r="A1146" i="106"/>
  <c r="A1147" i="106"/>
  <c r="A1148" i="106"/>
  <c r="A1149" i="106"/>
  <c r="A1150" i="106"/>
  <c r="A1151" i="106"/>
  <c r="A1152" i="106"/>
  <c r="A1153" i="106"/>
  <c r="A1154" i="106"/>
  <c r="A1155" i="106"/>
  <c r="A1156" i="106"/>
  <c r="A1157" i="106"/>
  <c r="A1158" i="106"/>
  <c r="A1159" i="106"/>
  <c r="A1160" i="106"/>
  <c r="A1161" i="106"/>
  <c r="A1162" i="106"/>
  <c r="A1163" i="106"/>
  <c r="A1164" i="106"/>
  <c r="A1165" i="106"/>
  <c r="A1166" i="106"/>
  <c r="A1167" i="106"/>
  <c r="A1168" i="106"/>
  <c r="A1169" i="106"/>
  <c r="A1170" i="106"/>
  <c r="A1171" i="106"/>
  <c r="A1172" i="106"/>
  <c r="A1173" i="106"/>
  <c r="A1174" i="106"/>
  <c r="A1175" i="106"/>
  <c r="A1176" i="106"/>
  <c r="A1177" i="106"/>
  <c r="A1178" i="106"/>
  <c r="A1179" i="106"/>
  <c r="A1180" i="106"/>
  <c r="A1181" i="106"/>
  <c r="A1182" i="106"/>
  <c r="A1183" i="106"/>
  <c r="A1184" i="106"/>
  <c r="A1185" i="106"/>
  <c r="A1186" i="106"/>
  <c r="A1187" i="106"/>
  <c r="A1188" i="106"/>
  <c r="A1189" i="106"/>
  <c r="A1190" i="106"/>
  <c r="A1191" i="106"/>
  <c r="A1192" i="106"/>
  <c r="A1193" i="106"/>
  <c r="A1194" i="106"/>
  <c r="A1195" i="106"/>
  <c r="A1196" i="106"/>
  <c r="A1197" i="106"/>
  <c r="A1198" i="106"/>
  <c r="A1199" i="106"/>
  <c r="A1200" i="106"/>
  <c r="A1201" i="106"/>
  <c r="A1202" i="106"/>
  <c r="A1203" i="106"/>
  <c r="A1204" i="106"/>
  <c r="A1205" i="106"/>
  <c r="A1206" i="106"/>
  <c r="A1207" i="106"/>
  <c r="A1208" i="106"/>
  <c r="A1209" i="106"/>
  <c r="A1210" i="106"/>
  <c r="A1211" i="106"/>
  <c r="A1212" i="106"/>
  <c r="A1213" i="106"/>
  <c r="A2" i="106"/>
  <c r="G25" i="104"/>
  <c r="E2" i="104"/>
  <c r="E3" i="104"/>
  <c r="E4" i="104"/>
  <c r="E5" i="104"/>
  <c r="G2" i="104"/>
  <c r="G3" i="104"/>
  <c r="E6" i="104"/>
  <c r="E7" i="104"/>
  <c r="E8" i="104"/>
  <c r="E9" i="104"/>
  <c r="E10" i="104"/>
  <c r="E11" i="104"/>
  <c r="E12" i="104"/>
  <c r="E13" i="104"/>
  <c r="E14" i="104"/>
  <c r="E15" i="104"/>
  <c r="E16" i="104"/>
  <c r="E17" i="104"/>
  <c r="E18" i="104"/>
  <c r="E19" i="104"/>
  <c r="E20" i="104"/>
  <c r="E21" i="104"/>
  <c r="E22" i="104"/>
  <c r="E23" i="104"/>
  <c r="E24" i="104"/>
  <c r="E25" i="104"/>
  <c r="E26" i="104"/>
  <c r="G26" i="104"/>
  <c r="E27" i="104"/>
  <c r="E28" i="104"/>
  <c r="E29" i="104"/>
  <c r="E30" i="104"/>
  <c r="E31" i="104"/>
  <c r="E32" i="104"/>
  <c r="E33" i="104"/>
  <c r="E34" i="104"/>
  <c r="E35" i="104"/>
  <c r="E36" i="104"/>
  <c r="E37" i="104"/>
  <c r="E38" i="104"/>
  <c r="E39" i="104"/>
  <c r="E40" i="104"/>
  <c r="E41" i="104"/>
  <c r="E42" i="104"/>
  <c r="E43" i="104"/>
  <c r="E44" i="104"/>
  <c r="E45" i="104"/>
  <c r="E46" i="104"/>
  <c r="E47" i="104"/>
  <c r="E48" i="104"/>
  <c r="E49" i="104"/>
  <c r="E50" i="104"/>
  <c r="G50" i="104"/>
  <c r="E51" i="104"/>
  <c r="E52" i="104"/>
  <c r="E53" i="104"/>
  <c r="E54" i="104"/>
  <c r="E55" i="104"/>
  <c r="E56" i="104"/>
  <c r="E57" i="104"/>
  <c r="E58" i="104"/>
  <c r="E59" i="104"/>
  <c r="E60" i="104"/>
  <c r="E61" i="104"/>
  <c r="E62" i="104"/>
  <c r="E63" i="104"/>
  <c r="E64" i="104"/>
  <c r="E65" i="104"/>
  <c r="E66" i="104"/>
  <c r="E67" i="104"/>
  <c r="H20" i="104"/>
  <c r="G67" i="104"/>
  <c r="E68" i="104"/>
  <c r="H21" i="104"/>
  <c r="G68" i="104"/>
  <c r="E69" i="104"/>
  <c r="H22" i="104"/>
  <c r="G69" i="104"/>
  <c r="E70" i="104"/>
  <c r="H23" i="104"/>
  <c r="G70" i="104"/>
  <c r="E71" i="104"/>
  <c r="H24" i="104"/>
  <c r="G71" i="104"/>
  <c r="E72" i="104"/>
  <c r="E73" i="104"/>
  <c r="E74" i="104"/>
  <c r="G74" i="104"/>
  <c r="E75" i="104"/>
  <c r="E76" i="104"/>
  <c r="E77" i="104"/>
  <c r="E78" i="104"/>
  <c r="E79" i="104"/>
  <c r="E80" i="104"/>
  <c r="E81" i="104"/>
  <c r="E82" i="104"/>
  <c r="E83" i="104"/>
  <c r="E84" i="104"/>
  <c r="E85" i="104"/>
  <c r="E86" i="104"/>
  <c r="E87" i="104"/>
  <c r="E88" i="104"/>
  <c r="E89" i="104"/>
  <c r="E90" i="104"/>
  <c r="E91" i="104"/>
  <c r="H43" i="104"/>
  <c r="G91" i="104"/>
  <c r="E92" i="104"/>
  <c r="H44" i="104"/>
  <c r="G92" i="104"/>
  <c r="E93" i="104"/>
  <c r="H45" i="104"/>
  <c r="G93" i="104"/>
  <c r="E94" i="104"/>
  <c r="H46" i="104"/>
  <c r="G94" i="104"/>
  <c r="E95" i="104"/>
  <c r="H47" i="104"/>
  <c r="G95" i="104"/>
  <c r="E96" i="104"/>
  <c r="E97" i="104"/>
  <c r="E98" i="104"/>
  <c r="G98" i="104"/>
  <c r="E99" i="104"/>
  <c r="E100" i="104"/>
  <c r="E101" i="104"/>
  <c r="E102" i="104"/>
  <c r="E103" i="104"/>
  <c r="E104" i="104"/>
  <c r="E105" i="104"/>
  <c r="E106" i="104"/>
  <c r="E107" i="104"/>
  <c r="E108" i="104"/>
  <c r="E109" i="104"/>
  <c r="E110" i="104"/>
  <c r="E111" i="104"/>
  <c r="E112" i="104"/>
  <c r="E113" i="104"/>
  <c r="E114" i="104"/>
  <c r="E115" i="104"/>
  <c r="G115" i="104"/>
  <c r="E116" i="104"/>
  <c r="G116" i="104"/>
  <c r="E117" i="104"/>
  <c r="G117" i="104"/>
  <c r="E118" i="104"/>
  <c r="G118" i="104"/>
  <c r="E119" i="104"/>
  <c r="G119" i="104"/>
  <c r="E120" i="104"/>
  <c r="E121" i="104"/>
  <c r="E122" i="104"/>
  <c r="G122" i="104"/>
  <c r="E123" i="104"/>
  <c r="E124" i="104"/>
  <c r="E125" i="104"/>
  <c r="E126" i="104"/>
  <c r="E127" i="104"/>
  <c r="E128" i="104"/>
  <c r="E129" i="104"/>
  <c r="E130" i="104"/>
  <c r="E131" i="104"/>
  <c r="E132" i="104"/>
  <c r="E133" i="104"/>
  <c r="E134" i="104"/>
  <c r="E135" i="104"/>
  <c r="E136" i="104"/>
  <c r="E137" i="104"/>
  <c r="E138" i="104"/>
  <c r="E139" i="104"/>
  <c r="G139" i="104"/>
  <c r="E140" i="104"/>
  <c r="G140" i="104"/>
  <c r="E141" i="104"/>
  <c r="G141" i="104"/>
  <c r="E142" i="104"/>
  <c r="G142" i="104"/>
  <c r="E143" i="104"/>
  <c r="G143" i="104"/>
  <c r="E144" i="104"/>
  <c r="E145" i="104"/>
  <c r="E146" i="104"/>
  <c r="G146" i="104"/>
  <c r="E147" i="104"/>
  <c r="E148" i="104"/>
  <c r="E149" i="104"/>
  <c r="E150" i="104"/>
  <c r="E151" i="104"/>
  <c r="E152" i="104"/>
  <c r="E153" i="104"/>
  <c r="E154" i="104"/>
  <c r="E155" i="104"/>
  <c r="E156" i="104"/>
  <c r="E157" i="104"/>
  <c r="E158" i="104"/>
  <c r="E159" i="104"/>
  <c r="E160" i="104"/>
  <c r="E161" i="104"/>
  <c r="E162" i="104"/>
  <c r="E163" i="104"/>
  <c r="G163" i="104"/>
  <c r="E164" i="104"/>
  <c r="G164" i="104"/>
  <c r="E165" i="104"/>
  <c r="G165" i="104"/>
  <c r="E166" i="104"/>
  <c r="G166" i="104"/>
  <c r="E167" i="104"/>
  <c r="G167" i="104"/>
  <c r="E168" i="104"/>
  <c r="E169" i="104"/>
  <c r="E170" i="104"/>
  <c r="G170" i="104"/>
  <c r="E171" i="104"/>
  <c r="E172" i="104"/>
  <c r="E173" i="104"/>
  <c r="E174" i="104"/>
  <c r="E175" i="104"/>
  <c r="E176" i="104"/>
  <c r="E177" i="104"/>
  <c r="E178" i="104"/>
  <c r="E179" i="104"/>
  <c r="E180" i="104"/>
  <c r="E181" i="104"/>
  <c r="E182" i="104"/>
  <c r="E183" i="104"/>
  <c r="E184" i="104"/>
  <c r="E185" i="104"/>
  <c r="E186" i="104"/>
  <c r="E187" i="104"/>
  <c r="G187" i="104"/>
  <c r="E188" i="104"/>
  <c r="G188" i="104"/>
  <c r="E189" i="104"/>
  <c r="G189" i="104"/>
  <c r="E190" i="104"/>
  <c r="G190" i="104"/>
  <c r="E191" i="104"/>
  <c r="G191" i="104"/>
  <c r="E192" i="104"/>
  <c r="E193" i="104"/>
  <c r="E194" i="104"/>
  <c r="G194" i="104"/>
  <c r="E195" i="104"/>
  <c r="E196" i="104"/>
  <c r="E197" i="104"/>
  <c r="E198" i="104"/>
  <c r="E199" i="104"/>
  <c r="E200" i="104"/>
  <c r="E201" i="104"/>
  <c r="E202" i="104"/>
  <c r="E203" i="104"/>
  <c r="E204" i="104"/>
  <c r="E205" i="104"/>
  <c r="E206" i="104"/>
  <c r="E207" i="104"/>
  <c r="E208" i="104"/>
  <c r="E209" i="104"/>
  <c r="E210" i="104"/>
  <c r="E211" i="104"/>
  <c r="G211" i="104"/>
  <c r="E212" i="104"/>
  <c r="G212" i="104"/>
  <c r="E213" i="104"/>
  <c r="G213" i="104"/>
  <c r="E214" i="104"/>
  <c r="G214" i="104"/>
  <c r="E215" i="104"/>
  <c r="G215" i="104"/>
  <c r="E216" i="104"/>
  <c r="E217" i="104"/>
  <c r="E218" i="104"/>
  <c r="G218" i="104"/>
  <c r="E219" i="104"/>
  <c r="E220" i="104"/>
  <c r="E221" i="104"/>
  <c r="E222" i="104"/>
  <c r="E223" i="104"/>
  <c r="E224" i="104"/>
  <c r="E225" i="104"/>
  <c r="E226" i="104"/>
  <c r="E227" i="104"/>
  <c r="E228" i="104"/>
  <c r="E229" i="104"/>
  <c r="E230" i="104"/>
  <c r="E231" i="104"/>
  <c r="E232" i="104"/>
  <c r="E233" i="104"/>
  <c r="E234" i="104"/>
  <c r="E235" i="104"/>
  <c r="G235" i="104"/>
  <c r="E236" i="104"/>
  <c r="G236" i="104"/>
  <c r="E237" i="104"/>
  <c r="G237" i="104"/>
  <c r="E238" i="104"/>
  <c r="G238" i="104"/>
  <c r="E239" i="104"/>
  <c r="G239" i="104"/>
  <c r="E240" i="104"/>
  <c r="E241" i="104"/>
  <c r="E242" i="104"/>
  <c r="G242" i="104"/>
  <c r="E243" i="104"/>
  <c r="E244" i="104"/>
  <c r="E245" i="104"/>
  <c r="E246" i="104"/>
  <c r="E247" i="104"/>
  <c r="E248" i="104"/>
  <c r="E249" i="104"/>
  <c r="E250" i="104"/>
  <c r="E251" i="104"/>
  <c r="E252" i="104"/>
  <c r="E253" i="104"/>
  <c r="E254" i="104"/>
  <c r="E255" i="104"/>
  <c r="E256" i="104"/>
  <c r="E257" i="104"/>
  <c r="E258" i="104"/>
  <c r="E259" i="104"/>
  <c r="G259" i="104"/>
  <c r="E260" i="104"/>
  <c r="G260" i="104"/>
  <c r="E261" i="104"/>
  <c r="G261" i="104"/>
  <c r="E262" i="104"/>
  <c r="G262" i="104"/>
  <c r="E263" i="104"/>
  <c r="G263" i="104"/>
  <c r="E264" i="104"/>
  <c r="E265" i="104"/>
  <c r="E266" i="104"/>
  <c r="G266" i="104"/>
  <c r="E267" i="104"/>
  <c r="E268" i="104"/>
  <c r="E269" i="104"/>
  <c r="E270" i="104"/>
  <c r="E271" i="104"/>
  <c r="E272" i="104"/>
  <c r="E273" i="104"/>
  <c r="E274" i="104"/>
  <c r="E275" i="104"/>
  <c r="E276" i="104"/>
  <c r="E277" i="104"/>
  <c r="E278" i="104"/>
  <c r="E279" i="104"/>
  <c r="E280" i="104"/>
  <c r="E281" i="104"/>
  <c r="E282" i="104"/>
  <c r="E283" i="104"/>
  <c r="G283" i="104"/>
  <c r="E284" i="104"/>
  <c r="G284" i="104"/>
  <c r="E285" i="104"/>
  <c r="G285" i="104"/>
  <c r="E286" i="104"/>
  <c r="G286" i="104"/>
  <c r="E287" i="104"/>
  <c r="G287" i="104"/>
  <c r="E288" i="104"/>
  <c r="E289" i="104"/>
  <c r="E290" i="104"/>
  <c r="G290" i="104"/>
  <c r="E291" i="104"/>
  <c r="E292" i="104"/>
  <c r="E293" i="104"/>
  <c r="E294" i="104"/>
  <c r="E295" i="104"/>
  <c r="E296" i="104"/>
  <c r="E297" i="104"/>
  <c r="E298" i="104"/>
  <c r="E299" i="104"/>
  <c r="E300" i="104"/>
  <c r="E301" i="104"/>
  <c r="E302" i="104"/>
  <c r="E303" i="104"/>
  <c r="E304" i="104"/>
  <c r="E305" i="104"/>
  <c r="E306" i="104"/>
  <c r="E307" i="104"/>
  <c r="G307" i="104"/>
  <c r="E308" i="104"/>
  <c r="G308" i="104"/>
  <c r="E309" i="104"/>
  <c r="G309" i="104"/>
  <c r="E310" i="104"/>
  <c r="G310" i="104"/>
  <c r="E311" i="104"/>
  <c r="G311" i="104"/>
  <c r="E312" i="104"/>
  <c r="E313" i="104"/>
  <c r="E314" i="104"/>
  <c r="G314" i="104"/>
  <c r="E315" i="104"/>
  <c r="E316" i="104"/>
  <c r="E317" i="104"/>
  <c r="E318" i="104"/>
  <c r="E319" i="104"/>
  <c r="E320" i="104"/>
  <c r="E321" i="104"/>
  <c r="E322" i="104"/>
  <c r="E323" i="104"/>
  <c r="E324" i="104"/>
  <c r="E325" i="104"/>
  <c r="E326" i="104"/>
  <c r="E327" i="104"/>
  <c r="E328" i="104"/>
  <c r="E329" i="104"/>
  <c r="E330" i="104"/>
  <c r="E331" i="104"/>
  <c r="G331" i="104"/>
  <c r="E332" i="104"/>
  <c r="G332" i="104"/>
  <c r="E333" i="104"/>
  <c r="G333" i="104"/>
  <c r="E334" i="104"/>
  <c r="G334" i="104"/>
  <c r="E335" i="104"/>
  <c r="G335" i="104"/>
  <c r="E336" i="104"/>
  <c r="E337" i="104"/>
  <c r="E338" i="104"/>
  <c r="G338" i="104"/>
  <c r="E339" i="104"/>
  <c r="E340" i="104"/>
  <c r="E341" i="104"/>
  <c r="E342" i="104"/>
  <c r="E343" i="104"/>
  <c r="E344" i="104"/>
  <c r="E345" i="104"/>
  <c r="E346" i="104"/>
  <c r="E347" i="104"/>
  <c r="E348" i="104"/>
  <c r="E349" i="104"/>
  <c r="E350" i="104"/>
  <c r="E351" i="104"/>
  <c r="E352" i="104"/>
  <c r="E353" i="104"/>
  <c r="E354" i="104"/>
  <c r="E355" i="104"/>
  <c r="G355" i="104"/>
  <c r="E356" i="104"/>
  <c r="G356" i="104"/>
  <c r="E357" i="104"/>
  <c r="G357" i="104"/>
  <c r="E358" i="104"/>
  <c r="G358" i="104"/>
  <c r="E359" i="104"/>
  <c r="G359" i="104"/>
  <c r="E360" i="104"/>
  <c r="E361" i="104"/>
  <c r="E362" i="104"/>
  <c r="G362" i="104"/>
  <c r="E363" i="104"/>
  <c r="E364" i="104"/>
  <c r="E365" i="104"/>
  <c r="E366" i="104"/>
  <c r="E367" i="104"/>
  <c r="E368" i="104"/>
  <c r="E369" i="104"/>
  <c r="E370" i="104"/>
  <c r="E371" i="104"/>
  <c r="E372" i="104"/>
  <c r="E373" i="104"/>
  <c r="E374" i="104"/>
  <c r="E375" i="104"/>
  <c r="E376" i="104"/>
  <c r="E377" i="104"/>
  <c r="E378" i="104"/>
  <c r="E379" i="104"/>
  <c r="G379" i="104"/>
  <c r="E380" i="104"/>
  <c r="G380" i="104"/>
  <c r="E381" i="104"/>
  <c r="G381" i="104"/>
  <c r="E382" i="104"/>
  <c r="G382" i="104"/>
  <c r="E383" i="104"/>
  <c r="G383" i="104"/>
  <c r="E384" i="104"/>
  <c r="E385" i="104"/>
  <c r="E386" i="104"/>
  <c r="G386" i="104"/>
  <c r="E387" i="104"/>
  <c r="E388" i="104"/>
  <c r="E389" i="104"/>
  <c r="E390" i="104"/>
  <c r="E391" i="104"/>
  <c r="E392" i="104"/>
  <c r="E393" i="104"/>
  <c r="E394" i="104"/>
  <c r="E395" i="104"/>
  <c r="E396" i="104"/>
  <c r="E397" i="104"/>
  <c r="E398" i="104"/>
  <c r="E399" i="104"/>
  <c r="E400" i="104"/>
  <c r="E401" i="104"/>
  <c r="E402" i="104"/>
  <c r="E403" i="104"/>
  <c r="G403" i="104"/>
  <c r="E404" i="104"/>
  <c r="G404" i="104"/>
  <c r="E405" i="104"/>
  <c r="G405" i="104"/>
  <c r="E406" i="104"/>
  <c r="G406" i="104"/>
  <c r="E407" i="104"/>
  <c r="G407" i="104"/>
  <c r="E408" i="104"/>
  <c r="E409" i="104"/>
  <c r="E410" i="104"/>
  <c r="G410" i="104"/>
  <c r="E411" i="104"/>
  <c r="E412" i="104"/>
  <c r="E413" i="104"/>
  <c r="E414" i="104"/>
  <c r="E415" i="104"/>
  <c r="E416" i="104"/>
  <c r="E417" i="104"/>
  <c r="E418" i="104"/>
  <c r="E419" i="104"/>
  <c r="E420" i="104"/>
  <c r="E421" i="104"/>
  <c r="E422" i="104"/>
  <c r="E423" i="104"/>
  <c r="E424" i="104"/>
  <c r="E425" i="104"/>
  <c r="E426" i="104"/>
  <c r="E427" i="104"/>
  <c r="G427" i="104"/>
  <c r="E428" i="104"/>
  <c r="G428" i="104"/>
  <c r="E429" i="104"/>
  <c r="G429" i="104"/>
  <c r="E430" i="104"/>
  <c r="G430" i="104"/>
  <c r="E431" i="104"/>
  <c r="G431" i="104"/>
  <c r="E432" i="104"/>
  <c r="E433" i="104"/>
  <c r="E434" i="104"/>
  <c r="G434" i="104"/>
  <c r="E435" i="104"/>
  <c r="E436" i="104"/>
  <c r="E437" i="104"/>
  <c r="E438" i="104"/>
  <c r="E439" i="104"/>
  <c r="E440" i="104"/>
  <c r="E441" i="104"/>
  <c r="E442" i="104"/>
  <c r="E443" i="104"/>
  <c r="E444" i="104"/>
  <c r="E445" i="104"/>
  <c r="E446" i="104"/>
  <c r="E447" i="104"/>
  <c r="E448" i="104"/>
  <c r="E449" i="104"/>
  <c r="E450" i="104"/>
  <c r="E451" i="104"/>
  <c r="G451" i="104"/>
  <c r="E452" i="104"/>
  <c r="G452" i="104"/>
  <c r="E453" i="104"/>
  <c r="G453" i="104"/>
  <c r="E454" i="104"/>
  <c r="G454" i="104"/>
  <c r="E455" i="104"/>
  <c r="G455" i="104"/>
  <c r="E456" i="104"/>
  <c r="E457" i="104"/>
  <c r="E458" i="104"/>
  <c r="G458" i="104"/>
  <c r="E459" i="104"/>
  <c r="E460" i="104"/>
  <c r="E461" i="104"/>
  <c r="E462" i="104"/>
  <c r="E463" i="104"/>
  <c r="E464" i="104"/>
  <c r="E465" i="104"/>
  <c r="E466" i="104"/>
  <c r="E467" i="104"/>
  <c r="E468" i="104"/>
  <c r="E469" i="104"/>
  <c r="E470" i="104"/>
  <c r="E471" i="104"/>
  <c r="E472" i="104"/>
  <c r="E473" i="104"/>
  <c r="E474" i="104"/>
  <c r="E475" i="104"/>
  <c r="G475" i="104"/>
  <c r="E476" i="104"/>
  <c r="G476" i="104"/>
  <c r="E477" i="104"/>
  <c r="G477" i="104"/>
  <c r="E478" i="104"/>
  <c r="G478" i="104"/>
  <c r="E479" i="104"/>
  <c r="G479" i="104"/>
  <c r="E480" i="104"/>
  <c r="E481" i="104"/>
  <c r="E482" i="104"/>
  <c r="G482" i="104"/>
  <c r="E483" i="104"/>
  <c r="E484" i="104"/>
  <c r="E485" i="104"/>
  <c r="E486" i="104"/>
  <c r="E487" i="104"/>
  <c r="E488" i="104"/>
  <c r="E489" i="104"/>
  <c r="E490" i="104"/>
  <c r="E491" i="104"/>
  <c r="E492" i="104"/>
  <c r="E493" i="104"/>
  <c r="E494" i="104"/>
  <c r="E495" i="104"/>
  <c r="E496" i="104"/>
  <c r="E497" i="104"/>
  <c r="E498" i="104"/>
  <c r="E499" i="104"/>
  <c r="G499" i="104"/>
  <c r="E500" i="104"/>
  <c r="G500" i="104"/>
  <c r="E501" i="104"/>
  <c r="G501" i="104"/>
  <c r="E502" i="104"/>
  <c r="G502" i="104"/>
  <c r="E503" i="104"/>
  <c r="G503" i="104"/>
  <c r="E504" i="104"/>
  <c r="E505" i="104"/>
  <c r="E506" i="104"/>
  <c r="G506" i="104"/>
  <c r="E507" i="104"/>
  <c r="E508" i="104"/>
  <c r="E509" i="104"/>
  <c r="E510" i="104"/>
  <c r="E511" i="104"/>
  <c r="E512" i="104"/>
  <c r="E513" i="104"/>
  <c r="E514" i="104"/>
  <c r="E515" i="104"/>
  <c r="E516" i="104"/>
  <c r="E517" i="104"/>
  <c r="E518" i="104"/>
  <c r="E519" i="104"/>
  <c r="E520" i="104"/>
  <c r="E521" i="104"/>
  <c r="E522" i="104"/>
  <c r="E523" i="104"/>
  <c r="G523" i="104"/>
  <c r="E524" i="104"/>
  <c r="G524" i="104"/>
  <c r="E525" i="104"/>
  <c r="G525" i="104"/>
  <c r="E526" i="104"/>
  <c r="G526" i="104"/>
  <c r="E527" i="104"/>
  <c r="G527" i="104"/>
  <c r="E528" i="104"/>
  <c r="E529" i="104"/>
  <c r="E530" i="104"/>
  <c r="G530" i="104"/>
  <c r="E531" i="104"/>
  <c r="E532" i="104"/>
  <c r="E533" i="104"/>
  <c r="E534" i="104"/>
  <c r="E535" i="104"/>
  <c r="E536" i="104"/>
  <c r="E537" i="104"/>
  <c r="E538" i="104"/>
  <c r="E539" i="104"/>
  <c r="E540" i="104"/>
  <c r="E541" i="104"/>
  <c r="E542" i="104"/>
  <c r="E543" i="104"/>
  <c r="E544" i="104"/>
  <c r="E545" i="104"/>
  <c r="E546" i="104"/>
  <c r="E547" i="104"/>
  <c r="G547" i="104"/>
  <c r="E548" i="104"/>
  <c r="G548" i="104"/>
  <c r="E549" i="104"/>
  <c r="G549" i="104"/>
  <c r="E550" i="104"/>
  <c r="G550" i="104"/>
  <c r="E551" i="104"/>
  <c r="G551" i="104"/>
  <c r="E552" i="104"/>
  <c r="E553" i="104"/>
  <c r="E554" i="104"/>
  <c r="G554" i="104"/>
  <c r="E555" i="104"/>
  <c r="E556" i="104"/>
  <c r="E557" i="104"/>
  <c r="E558" i="104"/>
  <c r="E559" i="104"/>
  <c r="E560" i="104"/>
  <c r="E561" i="104"/>
  <c r="E562" i="104"/>
  <c r="E563" i="104"/>
  <c r="E564" i="104"/>
  <c r="E565" i="104"/>
  <c r="E566" i="104"/>
  <c r="E567" i="104"/>
  <c r="E568" i="104"/>
  <c r="E569" i="104"/>
  <c r="E570" i="104"/>
  <c r="E571" i="104"/>
  <c r="G571" i="104"/>
  <c r="E572" i="104"/>
  <c r="G572" i="104"/>
  <c r="E573" i="104"/>
  <c r="G573" i="104"/>
  <c r="E574" i="104"/>
  <c r="G574" i="104"/>
  <c r="E575" i="104"/>
  <c r="G575" i="104"/>
  <c r="B16" i="26"/>
  <c r="B18" i="26" s="1"/>
  <c r="B19" i="26" s="1"/>
  <c r="B8" i="26"/>
  <c r="B10" i="26" s="1"/>
  <c r="I8" i="26"/>
  <c r="I9" i="26" s="1"/>
  <c r="I10" i="26" s="1"/>
  <c r="D8" i="26"/>
  <c r="D9" i="26" s="1"/>
  <c r="D10" i="26" s="1"/>
  <c r="D3" i="26" s="1"/>
  <c r="I16" i="26"/>
  <c r="I17" i="26" s="1"/>
  <c r="I18" i="26" s="1"/>
  <c r="D16" i="26"/>
  <c r="D17" i="26" s="1"/>
  <c r="D18" i="26" s="1"/>
  <c r="D4" i="26" s="1"/>
  <c r="B42" i="100"/>
  <c r="B43" i="100"/>
  <c r="B44" i="100"/>
  <c r="B45" i="100"/>
  <c r="B46" i="100"/>
  <c r="B47" i="100"/>
  <c r="B48" i="100"/>
  <c r="B49" i="100"/>
  <c r="B50" i="100"/>
  <c r="B51" i="100"/>
  <c r="B52" i="100"/>
  <c r="B53" i="100"/>
  <c r="B54" i="100"/>
  <c r="B55" i="100"/>
  <c r="B56" i="100"/>
  <c r="B57" i="100"/>
  <c r="B58" i="100"/>
  <c r="B59" i="100"/>
  <c r="B60" i="100"/>
  <c r="B61" i="100"/>
  <c r="B62" i="100"/>
  <c r="B63" i="100"/>
  <c r="B64" i="100"/>
  <c r="B65" i="100"/>
  <c r="B66" i="100"/>
  <c r="B67" i="100"/>
  <c r="B68" i="100"/>
  <c r="B69" i="100"/>
  <c r="B70" i="100"/>
  <c r="B71" i="100"/>
  <c r="B72" i="100"/>
  <c r="B73" i="100"/>
  <c r="B74" i="100"/>
  <c r="B75" i="100"/>
  <c r="B76" i="100"/>
  <c r="B77" i="100"/>
  <c r="B78" i="100"/>
  <c r="B79" i="100"/>
  <c r="B80" i="100"/>
  <c r="B81" i="100"/>
  <c r="B82" i="100"/>
  <c r="B83" i="100"/>
  <c r="B84" i="100"/>
  <c r="B85" i="100"/>
  <c r="B86" i="100"/>
  <c r="B87" i="100"/>
  <c r="B88" i="100"/>
  <c r="B89" i="100"/>
  <c r="B90" i="100"/>
  <c r="B91" i="100"/>
  <c r="B92" i="100"/>
  <c r="B93" i="100"/>
  <c r="B94" i="100"/>
  <c r="B95" i="100"/>
  <c r="B96" i="100"/>
  <c r="B97" i="100"/>
  <c r="B98" i="100"/>
  <c r="B99" i="100"/>
  <c r="B100" i="100"/>
  <c r="B101" i="100"/>
  <c r="B102" i="100"/>
  <c r="B103" i="100"/>
  <c r="B104" i="100"/>
  <c r="B105" i="100"/>
  <c r="B106" i="100"/>
  <c r="B107" i="100"/>
  <c r="B108" i="100"/>
  <c r="B109" i="100"/>
  <c r="B110" i="100"/>
  <c r="B111" i="100"/>
  <c r="B112" i="100"/>
  <c r="B113" i="100"/>
  <c r="B114" i="100"/>
  <c r="B115" i="100"/>
  <c r="B116" i="100"/>
  <c r="B117" i="100"/>
  <c r="B118" i="100"/>
  <c r="B119" i="100"/>
  <c r="B120" i="100"/>
  <c r="B121" i="100"/>
  <c r="B122" i="100"/>
  <c r="B123" i="100"/>
  <c r="B124" i="100"/>
  <c r="B125" i="100"/>
  <c r="B126" i="100"/>
  <c r="B127" i="100"/>
  <c r="B128" i="100"/>
  <c r="B129" i="100"/>
  <c r="B130" i="100"/>
  <c r="B131" i="100"/>
  <c r="B132" i="100"/>
  <c r="B133" i="100"/>
  <c r="B134" i="100"/>
  <c r="B135" i="100"/>
  <c r="B136" i="100"/>
  <c r="B137" i="100"/>
  <c r="B138" i="100"/>
  <c r="B139" i="100"/>
  <c r="B140" i="100"/>
  <c r="B141" i="100"/>
  <c r="B142" i="100"/>
  <c r="B143" i="100"/>
  <c r="B144" i="100"/>
  <c r="B145" i="100"/>
  <c r="B146" i="100"/>
  <c r="B147" i="100"/>
  <c r="B148" i="100"/>
  <c r="B149" i="100"/>
  <c r="B150" i="100"/>
  <c r="B151" i="100"/>
  <c r="B152" i="100"/>
  <c r="B153" i="100"/>
  <c r="B154" i="100"/>
  <c r="B155" i="100"/>
  <c r="B156" i="100"/>
  <c r="B157" i="100"/>
  <c r="B158" i="100"/>
  <c r="B159" i="100"/>
  <c r="B160" i="100"/>
  <c r="B161" i="100"/>
  <c r="B162" i="100"/>
  <c r="B163" i="100"/>
  <c r="B164" i="100"/>
  <c r="B165" i="100"/>
  <c r="B166" i="100"/>
  <c r="B167" i="100"/>
  <c r="B168" i="100"/>
  <c r="B169" i="100"/>
  <c r="B38" i="100"/>
  <c r="B39" i="100"/>
  <c r="B40" i="100"/>
  <c r="B41" i="100"/>
  <c r="G21" i="104"/>
  <c r="G20" i="104"/>
  <c r="G22" i="104"/>
  <c r="G23" i="104"/>
  <c r="G24" i="104"/>
  <c r="D4" i="104"/>
  <c r="D5" i="104"/>
  <c r="D6" i="104"/>
  <c r="D7" i="104"/>
  <c r="G4" i="104"/>
  <c r="G5" i="104"/>
  <c r="G6" i="104"/>
  <c r="G7" i="104"/>
  <c r="D8" i="104"/>
  <c r="G8" i="104"/>
  <c r="D9" i="104"/>
  <c r="G9" i="104"/>
  <c r="D10" i="104"/>
  <c r="G10" i="104"/>
  <c r="D11" i="104"/>
  <c r="G11" i="104"/>
  <c r="D12" i="104"/>
  <c r="G12" i="104"/>
  <c r="D13" i="104"/>
  <c r="G13" i="104"/>
  <c r="D14" i="104"/>
  <c r="G14" i="104"/>
  <c r="D15" i="104"/>
  <c r="G15" i="104"/>
  <c r="D16" i="104"/>
  <c r="G16" i="104"/>
  <c r="D17" i="104"/>
  <c r="G17" i="104"/>
  <c r="D18" i="104"/>
  <c r="G18" i="104"/>
  <c r="D19" i="104"/>
  <c r="G19" i="104"/>
  <c r="D20" i="104"/>
  <c r="D21" i="104"/>
  <c r="D22" i="104"/>
  <c r="D23" i="104"/>
  <c r="D24" i="104"/>
  <c r="D27" i="104"/>
  <c r="G27" i="104"/>
  <c r="D28" i="104"/>
  <c r="G28" i="104"/>
  <c r="D29" i="104"/>
  <c r="G29" i="104"/>
  <c r="D30" i="104"/>
  <c r="G30" i="104"/>
  <c r="D31" i="104"/>
  <c r="G31" i="104"/>
  <c r="D32" i="104"/>
  <c r="G32" i="104"/>
  <c r="D33" i="104"/>
  <c r="G33" i="104"/>
  <c r="D34" i="104"/>
  <c r="G34" i="104"/>
  <c r="D35" i="104"/>
  <c r="G35" i="104"/>
  <c r="D36" i="104"/>
  <c r="G36" i="104"/>
  <c r="D37" i="104"/>
  <c r="G37" i="104"/>
  <c r="D38" i="104"/>
  <c r="G38" i="104"/>
  <c r="D39" i="104"/>
  <c r="G39" i="104"/>
  <c r="D40" i="104"/>
  <c r="G40" i="104"/>
  <c r="D41" i="104"/>
  <c r="G41" i="104"/>
  <c r="D42" i="104"/>
  <c r="G42" i="104"/>
  <c r="D43" i="104"/>
  <c r="G43" i="104"/>
  <c r="D44" i="104"/>
  <c r="G44" i="104"/>
  <c r="D45" i="104"/>
  <c r="G45" i="104"/>
  <c r="D46" i="104"/>
  <c r="G46" i="104"/>
  <c r="D47" i="104"/>
  <c r="G47" i="104"/>
  <c r="CX16" i="26"/>
  <c r="CU16" i="26"/>
  <c r="CP16" i="26"/>
  <c r="CK16" i="26"/>
  <c r="CF16" i="26"/>
  <c r="CA16" i="26"/>
  <c r="BV16" i="26"/>
  <c r="BQ16" i="26"/>
  <c r="BL16" i="26"/>
  <c r="BL17" i="26" s="1"/>
  <c r="BL18" i="26" s="1"/>
  <c r="BG16" i="26"/>
  <c r="BG17" i="26" s="1"/>
  <c r="BG18" i="26" s="1"/>
  <c r="BB16" i="26"/>
  <c r="BB17" i="26" s="1"/>
  <c r="BB18" i="26" s="1"/>
  <c r="AW16" i="26"/>
  <c r="AW17" i="26" s="1"/>
  <c r="AW18" i="26" s="1"/>
  <c r="AR16" i="26"/>
  <c r="AM16" i="26"/>
  <c r="AM17" i="26" s="1"/>
  <c r="AM18" i="26" s="1"/>
  <c r="AH16" i="26"/>
  <c r="AH17" i="26" s="1"/>
  <c r="AH18" i="26" s="1"/>
  <c r="AH4" i="26" s="1"/>
  <c r="AC16" i="26"/>
  <c r="X16" i="26"/>
  <c r="X17" i="26" s="1"/>
  <c r="X18" i="26" s="1"/>
  <c r="X4" i="26" s="1"/>
  <c r="S16" i="26"/>
  <c r="S17" i="26" s="1"/>
  <c r="S18" i="26" s="1"/>
  <c r="N16" i="26"/>
  <c r="N17" i="26" s="1"/>
  <c r="N18" i="26" s="1"/>
  <c r="N4" i="26" s="1"/>
  <c r="CX8" i="26"/>
  <c r="CU8" i="26"/>
  <c r="CP8" i="26"/>
  <c r="CK8" i="26"/>
  <c r="CF8" i="26"/>
  <c r="CA8" i="26"/>
  <c r="BV8" i="26"/>
  <c r="BQ8" i="26"/>
  <c r="BL8" i="26"/>
  <c r="BL9" i="26" s="1"/>
  <c r="BL10" i="26" s="1"/>
  <c r="BG8" i="26"/>
  <c r="BG9" i="26" s="1"/>
  <c r="BG10" i="26" s="1"/>
  <c r="BB8" i="26"/>
  <c r="BB9" i="26" s="1"/>
  <c r="BB10" i="26" s="1"/>
  <c r="AW8" i="26"/>
  <c r="AR8" i="26"/>
  <c r="AR9" i="26" s="1"/>
  <c r="AR10" i="26" s="1"/>
  <c r="AM8" i="26"/>
  <c r="AM9" i="26" s="1"/>
  <c r="AM10" i="26" s="1"/>
  <c r="AH8" i="26"/>
  <c r="AH9" i="26" s="1"/>
  <c r="AH10" i="26" s="1"/>
  <c r="AC8" i="26"/>
  <c r="X8" i="26"/>
  <c r="X9" i="26" s="1"/>
  <c r="X10" i="26" s="1"/>
  <c r="S8" i="26"/>
  <c r="S9" i="26" s="1"/>
  <c r="S10" i="26" s="1"/>
  <c r="N8" i="26"/>
  <c r="N9" i="26" s="1"/>
  <c r="N10" i="26" s="1"/>
  <c r="H572" i="104"/>
  <c r="H573" i="104"/>
  <c r="H574" i="104"/>
  <c r="H575" i="104"/>
  <c r="H571" i="104"/>
  <c r="H548" i="104"/>
  <c r="H549" i="104"/>
  <c r="H550" i="104"/>
  <c r="H551" i="104"/>
  <c r="H547" i="104"/>
  <c r="H524" i="104"/>
  <c r="H525" i="104"/>
  <c r="H526" i="104"/>
  <c r="H527" i="104"/>
  <c r="H523" i="104"/>
  <c r="H500" i="104"/>
  <c r="H501" i="104"/>
  <c r="H502" i="104"/>
  <c r="H503" i="104"/>
  <c r="H499" i="104"/>
  <c r="H476" i="104"/>
  <c r="H477" i="104"/>
  <c r="H478" i="104"/>
  <c r="H479" i="104"/>
  <c r="H475" i="104"/>
  <c r="H452" i="104"/>
  <c r="H453" i="104"/>
  <c r="H454" i="104"/>
  <c r="H455" i="104"/>
  <c r="H451" i="104"/>
  <c r="H428" i="104"/>
  <c r="H429" i="104"/>
  <c r="H430" i="104"/>
  <c r="H431" i="104"/>
  <c r="H427" i="104"/>
  <c r="H404" i="104"/>
  <c r="H405" i="104"/>
  <c r="H406" i="104"/>
  <c r="H407" i="104"/>
  <c r="H403" i="104"/>
  <c r="H380" i="104"/>
  <c r="H381" i="104"/>
  <c r="H382" i="104"/>
  <c r="H383" i="104"/>
  <c r="H379" i="104"/>
  <c r="H356" i="104"/>
  <c r="H357" i="104"/>
  <c r="H358" i="104"/>
  <c r="H359" i="104"/>
  <c r="H355" i="104"/>
  <c r="H332" i="104"/>
  <c r="H333" i="104"/>
  <c r="H334" i="104"/>
  <c r="H335" i="104"/>
  <c r="H331" i="104"/>
  <c r="H308" i="104"/>
  <c r="H309" i="104"/>
  <c r="H310" i="104"/>
  <c r="H311" i="104"/>
  <c r="H307" i="104"/>
  <c r="H284" i="104"/>
  <c r="H285" i="104"/>
  <c r="H286" i="104"/>
  <c r="H287" i="104"/>
  <c r="H283" i="104"/>
  <c r="H260" i="104"/>
  <c r="H261" i="104"/>
  <c r="H262" i="104"/>
  <c r="H263" i="104"/>
  <c r="H259" i="104"/>
  <c r="H236" i="104"/>
  <c r="H237" i="104"/>
  <c r="H238" i="104"/>
  <c r="H239" i="104"/>
  <c r="H235" i="104"/>
  <c r="H212" i="104"/>
  <c r="H213" i="104"/>
  <c r="H214" i="104"/>
  <c r="H215" i="104"/>
  <c r="H211" i="104"/>
  <c r="H188" i="104"/>
  <c r="H189" i="104"/>
  <c r="H190" i="104"/>
  <c r="H191" i="104"/>
  <c r="H187" i="104"/>
  <c r="H164" i="104"/>
  <c r="H165" i="104"/>
  <c r="H166" i="104"/>
  <c r="H167" i="104"/>
  <c r="H163" i="104"/>
  <c r="H140" i="104"/>
  <c r="H141" i="104"/>
  <c r="H142" i="104"/>
  <c r="H143" i="104"/>
  <c r="H139" i="104"/>
  <c r="H116" i="104"/>
  <c r="H117" i="104"/>
  <c r="H118" i="104"/>
  <c r="H119" i="104"/>
  <c r="H115" i="104"/>
  <c r="H92" i="104"/>
  <c r="H93" i="104"/>
  <c r="H94" i="104"/>
  <c r="H95" i="104"/>
  <c r="H91" i="104"/>
  <c r="H68" i="104"/>
  <c r="H69" i="104"/>
  <c r="H70" i="104"/>
  <c r="H71" i="104"/>
  <c r="H67" i="104"/>
  <c r="K173" i="103"/>
  <c r="K184" i="103"/>
  <c r="L173" i="103"/>
  <c r="L184" i="103"/>
  <c r="K174" i="103"/>
  <c r="K185" i="103"/>
  <c r="L174" i="103"/>
  <c r="L185" i="103"/>
  <c r="K165" i="103"/>
  <c r="K176" i="103"/>
  <c r="L165" i="103"/>
  <c r="L176" i="103"/>
  <c r="K166" i="103"/>
  <c r="K177" i="103"/>
  <c r="L166" i="103"/>
  <c r="L177" i="103"/>
  <c r="K167" i="103"/>
  <c r="K178" i="103"/>
  <c r="L167" i="103"/>
  <c r="L178" i="103"/>
  <c r="K168" i="103"/>
  <c r="K179" i="103"/>
  <c r="L168" i="103"/>
  <c r="L179" i="103"/>
  <c r="K169" i="103"/>
  <c r="K180" i="103"/>
  <c r="L169" i="103"/>
  <c r="L180" i="103"/>
  <c r="K170" i="103"/>
  <c r="K181" i="103"/>
  <c r="L170" i="103"/>
  <c r="L181" i="103"/>
  <c r="K171" i="103"/>
  <c r="K182" i="103"/>
  <c r="L171" i="103"/>
  <c r="L182" i="103"/>
  <c r="K172" i="103"/>
  <c r="K183" i="103"/>
  <c r="L172" i="103"/>
  <c r="L183" i="103"/>
  <c r="L164" i="103"/>
  <c r="L175" i="103"/>
  <c r="K164" i="103"/>
  <c r="K175" i="103"/>
  <c r="L143" i="103"/>
  <c r="L154" i="103"/>
  <c r="L144" i="103"/>
  <c r="L155" i="103"/>
  <c r="L145" i="103"/>
  <c r="L156" i="103"/>
  <c r="L146" i="103"/>
  <c r="L157" i="103"/>
  <c r="L147" i="103"/>
  <c r="L158" i="103"/>
  <c r="L148" i="103"/>
  <c r="L159" i="103"/>
  <c r="L149" i="103"/>
  <c r="L160" i="103"/>
  <c r="L150" i="103"/>
  <c r="L161" i="103"/>
  <c r="L151" i="103"/>
  <c r="L162" i="103"/>
  <c r="L152" i="103"/>
  <c r="L163" i="103"/>
  <c r="K143" i="103"/>
  <c r="K154" i="103"/>
  <c r="K144" i="103"/>
  <c r="K155" i="103"/>
  <c r="K145" i="103"/>
  <c r="K156" i="103"/>
  <c r="K146" i="103"/>
  <c r="K157" i="103"/>
  <c r="K147" i="103"/>
  <c r="K158" i="103"/>
  <c r="K148" i="103"/>
  <c r="K159" i="103"/>
  <c r="K149" i="103"/>
  <c r="K160" i="103"/>
  <c r="K150" i="103"/>
  <c r="K161" i="103"/>
  <c r="K151" i="103"/>
  <c r="K162" i="103"/>
  <c r="K152" i="103"/>
  <c r="K163" i="103"/>
  <c r="L142" i="103"/>
  <c r="L153" i="103"/>
  <c r="K142" i="103"/>
  <c r="K153" i="103"/>
  <c r="AR17" i="26"/>
  <c r="AR18" i="26" s="1"/>
  <c r="BQ17" i="26"/>
  <c r="BQ18" i="26" s="1"/>
  <c r="AW9" i="26"/>
  <c r="AW10" i="26" s="1"/>
  <c r="L120" i="103"/>
  <c r="K120" i="103"/>
  <c r="K119" i="103"/>
  <c r="L119" i="103"/>
  <c r="L118" i="103"/>
  <c r="K118" i="103"/>
  <c r="K117" i="103"/>
  <c r="L117" i="103"/>
  <c r="L116" i="103"/>
  <c r="K116" i="103"/>
  <c r="K115" i="103"/>
  <c r="L115" i="103"/>
  <c r="L114" i="103"/>
  <c r="K114" i="103"/>
  <c r="L110" i="103"/>
  <c r="K110" i="103"/>
  <c r="K109" i="103"/>
  <c r="L109" i="103"/>
  <c r="L108" i="103"/>
  <c r="K108" i="103"/>
  <c r="K107" i="103"/>
  <c r="L107" i="103"/>
  <c r="L106" i="103"/>
  <c r="K106" i="103"/>
  <c r="K105" i="103"/>
  <c r="L105" i="103"/>
  <c r="L104" i="103"/>
  <c r="K104" i="103"/>
  <c r="L100" i="103"/>
  <c r="K100" i="103"/>
  <c r="K99" i="103"/>
  <c r="L99" i="103"/>
  <c r="L98" i="103"/>
  <c r="K98" i="103"/>
  <c r="K97" i="103"/>
  <c r="L97" i="103"/>
  <c r="L96" i="103"/>
  <c r="K96" i="103"/>
  <c r="K95" i="103"/>
  <c r="L95" i="103"/>
  <c r="L94" i="103"/>
  <c r="K94" i="103"/>
  <c r="L90" i="103"/>
  <c r="K90" i="103"/>
  <c r="K89" i="103"/>
  <c r="L89" i="103"/>
  <c r="L88" i="103"/>
  <c r="K88" i="103"/>
  <c r="K87" i="103"/>
  <c r="L87" i="103"/>
  <c r="L86" i="103"/>
  <c r="K86" i="103"/>
  <c r="K85" i="103"/>
  <c r="L85" i="103"/>
  <c r="L84" i="103"/>
  <c r="K84" i="103"/>
  <c r="K80" i="103"/>
  <c r="L80" i="103"/>
  <c r="L79" i="103"/>
  <c r="K79" i="103"/>
  <c r="K78" i="103"/>
  <c r="L78" i="103"/>
  <c r="L77" i="103"/>
  <c r="K77" i="103"/>
  <c r="K76" i="103"/>
  <c r="L76" i="103"/>
  <c r="L75" i="103"/>
  <c r="K75" i="103"/>
  <c r="L74" i="103"/>
  <c r="K74" i="103"/>
  <c r="K70" i="103"/>
  <c r="L70" i="103"/>
  <c r="L69" i="103"/>
  <c r="K69" i="103"/>
  <c r="K68" i="103"/>
  <c r="L68" i="103"/>
  <c r="L67" i="103"/>
  <c r="K67" i="103"/>
  <c r="K66" i="103"/>
  <c r="L66" i="103"/>
  <c r="L65" i="103"/>
  <c r="K65" i="103"/>
  <c r="L64" i="103"/>
  <c r="K64" i="103"/>
  <c r="K60" i="103"/>
  <c r="L60" i="103"/>
  <c r="L59" i="103"/>
  <c r="K59" i="103"/>
  <c r="K58" i="103"/>
  <c r="L58" i="103"/>
  <c r="L57" i="103"/>
  <c r="K57" i="103"/>
  <c r="K56" i="103"/>
  <c r="L56" i="103"/>
  <c r="L55" i="103"/>
  <c r="K55" i="103"/>
  <c r="L54" i="103"/>
  <c r="K54" i="103"/>
  <c r="K50" i="103"/>
  <c r="L50" i="103"/>
  <c r="L49" i="103"/>
  <c r="K49" i="103"/>
  <c r="K48" i="103"/>
  <c r="L48" i="103"/>
  <c r="L47" i="103"/>
  <c r="K47" i="103"/>
  <c r="K46" i="103"/>
  <c r="K45" i="103"/>
  <c r="L46" i="103"/>
  <c r="L45" i="103"/>
  <c r="L44" i="103"/>
  <c r="K44" i="103"/>
  <c r="L40" i="103"/>
  <c r="K40" i="103"/>
  <c r="K39" i="103"/>
  <c r="L39" i="103"/>
  <c r="L38" i="103"/>
  <c r="K38" i="103"/>
  <c r="K37" i="103"/>
  <c r="L37" i="103"/>
  <c r="L36" i="103"/>
  <c r="K36" i="103"/>
  <c r="K35" i="103"/>
  <c r="L35" i="103"/>
  <c r="L34" i="103"/>
  <c r="K34" i="103"/>
  <c r="K30" i="103"/>
  <c r="L30" i="103"/>
  <c r="L29" i="103"/>
  <c r="K29" i="103"/>
  <c r="L28" i="103"/>
  <c r="K28" i="103"/>
  <c r="K27" i="103"/>
  <c r="L27" i="103"/>
  <c r="L26" i="103"/>
  <c r="K26" i="103"/>
  <c r="K25" i="103"/>
  <c r="L25" i="103"/>
  <c r="L24" i="103"/>
  <c r="K24" i="103"/>
  <c r="L20" i="103"/>
  <c r="K20" i="103"/>
  <c r="L19" i="103"/>
  <c r="K19" i="103"/>
  <c r="K18" i="103"/>
  <c r="L18" i="103"/>
  <c r="L17" i="103"/>
  <c r="K17" i="103"/>
  <c r="K16" i="103"/>
  <c r="L16" i="103"/>
  <c r="L15" i="103"/>
  <c r="K15" i="103"/>
  <c r="L14" i="103"/>
  <c r="K14" i="103"/>
  <c r="L10" i="103"/>
  <c r="K10" i="103"/>
  <c r="L9" i="103"/>
  <c r="K9" i="103"/>
  <c r="L8" i="103"/>
  <c r="K8" i="103"/>
  <c r="L7" i="103"/>
  <c r="K7" i="103"/>
  <c r="L6" i="103"/>
  <c r="K6" i="103"/>
  <c r="K5" i="103"/>
  <c r="K4" i="103"/>
  <c r="L5" i="103"/>
  <c r="L4" i="103"/>
  <c r="I2" i="103"/>
  <c r="I3" i="103"/>
  <c r="I4" i="103"/>
  <c r="I5" i="103"/>
  <c r="I6" i="103"/>
  <c r="I7" i="103"/>
  <c r="I8" i="103"/>
  <c r="I9" i="103"/>
  <c r="I10" i="103"/>
  <c r="I11" i="103"/>
  <c r="I12" i="103"/>
  <c r="I13" i="103"/>
  <c r="I14" i="103"/>
  <c r="I15" i="103"/>
  <c r="I16" i="103"/>
  <c r="I17" i="103"/>
  <c r="I18" i="103"/>
  <c r="I19" i="103"/>
  <c r="I20" i="103"/>
  <c r="I21" i="103"/>
  <c r="I22" i="103"/>
  <c r="I23" i="103"/>
  <c r="I24" i="103"/>
  <c r="I25" i="103"/>
  <c r="I26" i="103"/>
  <c r="I27" i="103"/>
  <c r="I28" i="103"/>
  <c r="I29" i="103"/>
  <c r="I30" i="103"/>
  <c r="I31" i="103"/>
  <c r="I32" i="103"/>
  <c r="I33" i="103"/>
  <c r="I34" i="103"/>
  <c r="I35" i="103"/>
  <c r="I36" i="103"/>
  <c r="I37" i="103"/>
  <c r="I38" i="103"/>
  <c r="I39" i="103"/>
  <c r="I40" i="103"/>
  <c r="I41" i="103"/>
  <c r="I42" i="103"/>
  <c r="I43" i="103"/>
  <c r="I44" i="103"/>
  <c r="I45" i="103"/>
  <c r="I46" i="103"/>
  <c r="I47" i="103"/>
  <c r="I48" i="103"/>
  <c r="I49" i="103"/>
  <c r="I50" i="103"/>
  <c r="I51" i="103"/>
  <c r="I52" i="103"/>
  <c r="I53" i="103"/>
  <c r="I54" i="103"/>
  <c r="I55" i="103"/>
  <c r="I56" i="103"/>
  <c r="I57" i="103"/>
  <c r="I58" i="103"/>
  <c r="I59" i="103"/>
  <c r="I60" i="103"/>
  <c r="I61" i="103"/>
  <c r="I62" i="103"/>
  <c r="I63" i="103"/>
  <c r="I64" i="103"/>
  <c r="I65" i="103"/>
  <c r="I66" i="103"/>
  <c r="I67" i="103"/>
  <c r="I68" i="103"/>
  <c r="I69" i="103"/>
  <c r="I70" i="103"/>
  <c r="I71" i="103"/>
  <c r="I72" i="103"/>
  <c r="I73" i="103"/>
  <c r="I74" i="103"/>
  <c r="I75" i="103"/>
  <c r="I76" i="103"/>
  <c r="I77" i="103"/>
  <c r="I78" i="103"/>
  <c r="I79" i="103"/>
  <c r="I80" i="103"/>
  <c r="I81" i="103"/>
  <c r="I82" i="103"/>
  <c r="I83" i="103"/>
  <c r="I84" i="103"/>
  <c r="I85" i="103"/>
  <c r="I86" i="103"/>
  <c r="I87" i="103"/>
  <c r="I88" i="103"/>
  <c r="I89" i="103"/>
  <c r="I90" i="103"/>
  <c r="I91" i="103"/>
  <c r="I92" i="103"/>
  <c r="I93" i="103"/>
  <c r="I94" i="103"/>
  <c r="I95" i="103"/>
  <c r="I96" i="103"/>
  <c r="I97" i="103"/>
  <c r="I98" i="103"/>
  <c r="I99" i="103"/>
  <c r="I100" i="103"/>
  <c r="I101" i="103"/>
  <c r="I102" i="103"/>
  <c r="I103" i="103"/>
  <c r="I104" i="103"/>
  <c r="I105" i="103"/>
  <c r="I106" i="103"/>
  <c r="I107" i="103"/>
  <c r="I108" i="103"/>
  <c r="I109" i="103"/>
  <c r="I110" i="103"/>
  <c r="I111" i="103"/>
  <c r="I112" i="103"/>
  <c r="I113" i="103"/>
  <c r="I114" i="103"/>
  <c r="I115" i="103"/>
  <c r="I116" i="103"/>
  <c r="I117" i="103"/>
  <c r="I118" i="103"/>
  <c r="I119" i="103"/>
  <c r="I120" i="103"/>
  <c r="I121" i="103"/>
  <c r="I122" i="103"/>
  <c r="K122" i="103"/>
  <c r="L122" i="103"/>
  <c r="I123" i="103"/>
  <c r="K123" i="103"/>
  <c r="L123" i="103"/>
  <c r="I124" i="103"/>
  <c r="K124" i="103"/>
  <c r="L124" i="103"/>
  <c r="I125" i="103"/>
  <c r="K125" i="103"/>
  <c r="L125" i="103"/>
  <c r="I126" i="103"/>
  <c r="K126" i="103"/>
  <c r="L126" i="103"/>
  <c r="I127" i="103"/>
  <c r="K127" i="103"/>
  <c r="L127" i="103"/>
  <c r="I128" i="103"/>
  <c r="L128" i="103"/>
  <c r="I129" i="103"/>
  <c r="L129" i="103"/>
  <c r="I130" i="103"/>
  <c r="L130" i="103"/>
  <c r="I131" i="103"/>
  <c r="L131" i="103"/>
  <c r="I132" i="103"/>
  <c r="K132" i="103"/>
  <c r="L132" i="103"/>
  <c r="I133" i="103"/>
  <c r="K133" i="103"/>
  <c r="L133" i="103"/>
  <c r="I134" i="103"/>
  <c r="K134" i="103"/>
  <c r="L134" i="103"/>
  <c r="I135" i="103"/>
  <c r="K135" i="103"/>
  <c r="L135" i="103"/>
  <c r="I136" i="103"/>
  <c r="K136" i="103"/>
  <c r="L136" i="103"/>
  <c r="I137" i="103"/>
  <c r="K137" i="103"/>
  <c r="L137" i="103"/>
  <c r="I138" i="103"/>
  <c r="L138" i="103"/>
  <c r="I139" i="103"/>
  <c r="L139" i="103"/>
  <c r="I140" i="103"/>
  <c r="L140" i="103"/>
  <c r="I141" i="103"/>
  <c r="L141" i="103"/>
  <c r="I142" i="103"/>
  <c r="I143" i="103"/>
  <c r="I164" i="103"/>
  <c r="I165" i="103"/>
  <c r="I144" i="103"/>
  <c r="I166" i="103"/>
  <c r="I145" i="103"/>
  <c r="I167" i="103"/>
  <c r="I146" i="103"/>
  <c r="I168" i="103"/>
  <c r="I147" i="103"/>
  <c r="I169" i="103"/>
  <c r="I148" i="103"/>
  <c r="I170" i="103"/>
  <c r="I149" i="103"/>
  <c r="I171" i="103"/>
  <c r="I150" i="103"/>
  <c r="I172" i="103"/>
  <c r="I151" i="103"/>
  <c r="I173" i="103"/>
  <c r="I152" i="103"/>
  <c r="I174" i="103"/>
  <c r="I153" i="103"/>
  <c r="I175" i="103"/>
  <c r="I154" i="103"/>
  <c r="I176" i="103"/>
  <c r="I155" i="103"/>
  <c r="I177" i="103"/>
  <c r="I156" i="103"/>
  <c r="I178" i="103"/>
  <c r="I157" i="103"/>
  <c r="I179" i="103"/>
  <c r="I158" i="103"/>
  <c r="I180" i="103"/>
  <c r="I159" i="103"/>
  <c r="I181" i="103"/>
  <c r="I160" i="103"/>
  <c r="I182" i="103"/>
  <c r="I161" i="103"/>
  <c r="I183" i="103"/>
  <c r="I162" i="103"/>
  <c r="I184" i="103"/>
  <c r="I163" i="103"/>
  <c r="I185" i="103"/>
  <c r="H22" i="102"/>
  <c r="H23" i="102"/>
  <c r="H24" i="102"/>
  <c r="H25" i="102"/>
  <c r="H26" i="102"/>
  <c r="H27" i="102"/>
  <c r="H28" i="102"/>
  <c r="H29" i="102"/>
  <c r="H30" i="102"/>
  <c r="H31" i="102"/>
  <c r="G22" i="102"/>
  <c r="G23" i="102"/>
  <c r="G24" i="102"/>
  <c r="G25" i="102"/>
  <c r="G26" i="102"/>
  <c r="G27" i="102"/>
  <c r="H13" i="102"/>
  <c r="H14" i="102"/>
  <c r="H15" i="102"/>
  <c r="H16" i="102"/>
  <c r="H17" i="102"/>
  <c r="H18" i="102"/>
  <c r="H19" i="102"/>
  <c r="H20" i="102"/>
  <c r="H21" i="102"/>
  <c r="G13" i="102"/>
  <c r="G14" i="102"/>
  <c r="G15" i="102"/>
  <c r="G16" i="102"/>
  <c r="G17" i="102"/>
  <c r="H12" i="102"/>
  <c r="G12" i="102"/>
  <c r="H3" i="102"/>
  <c r="H4" i="102"/>
  <c r="H5" i="102"/>
  <c r="H6" i="102"/>
  <c r="H7" i="102"/>
  <c r="H8" i="102"/>
  <c r="H9" i="102"/>
  <c r="H10" i="102"/>
  <c r="H11" i="102"/>
  <c r="G3" i="102"/>
  <c r="G4" i="102"/>
  <c r="G5" i="102"/>
  <c r="G6" i="102"/>
  <c r="G7" i="102"/>
  <c r="G8" i="102"/>
  <c r="G9" i="102"/>
  <c r="G10" i="102"/>
  <c r="G11" i="102"/>
  <c r="G2" i="102"/>
  <c r="H2" i="102"/>
  <c r="F3" i="58"/>
  <c r="F4" i="58"/>
  <c r="F5" i="58"/>
  <c r="F6" i="58"/>
  <c r="F7" i="58"/>
  <c r="F8" i="58"/>
  <c r="F9" i="58"/>
  <c r="F10" i="58"/>
  <c r="F11" i="58"/>
  <c r="F12" i="58"/>
  <c r="F13" i="58"/>
  <c r="F2" i="58"/>
  <c r="C3" i="101"/>
  <c r="C4" i="101"/>
  <c r="C5" i="101"/>
  <c r="C6" i="101"/>
  <c r="C7" i="101"/>
  <c r="C8" i="101"/>
  <c r="C9" i="101"/>
  <c r="C10" i="101"/>
  <c r="C11" i="101"/>
  <c r="C12" i="101"/>
  <c r="C13" i="101"/>
  <c r="C2" i="101"/>
  <c r="B4" i="101"/>
  <c r="B5" i="101"/>
  <c r="B6" i="101"/>
  <c r="B7" i="101"/>
  <c r="B8" i="101"/>
  <c r="B9" i="101"/>
  <c r="B10" i="101"/>
  <c r="B11" i="101"/>
  <c r="B12" i="101"/>
  <c r="B13" i="101"/>
  <c r="B3" i="101"/>
  <c r="B2" i="101"/>
  <c r="E3" i="58"/>
  <c r="E4" i="58"/>
  <c r="E5" i="58"/>
  <c r="E6" i="58"/>
  <c r="E7" i="58"/>
  <c r="E8" i="58"/>
  <c r="E9" i="58"/>
  <c r="E10" i="58"/>
  <c r="E11" i="58"/>
  <c r="E12" i="58"/>
  <c r="E13" i="58"/>
  <c r="E2" i="58"/>
  <c r="AZ3" i="61"/>
  <c r="AZ4" i="61"/>
  <c r="AZ5" i="61"/>
  <c r="AZ6" i="61"/>
  <c r="AZ7" i="61"/>
  <c r="AZ8" i="61"/>
  <c r="AZ9" i="61"/>
  <c r="AZ10" i="61"/>
  <c r="AZ11" i="61"/>
  <c r="AZ12" i="61"/>
  <c r="AZ13" i="61"/>
  <c r="AZ2" i="61"/>
  <c r="AY2" i="61"/>
  <c r="AY3" i="61"/>
  <c r="AY4" i="61"/>
  <c r="AY5" i="61"/>
  <c r="BA6" i="61"/>
  <c r="BA3" i="61"/>
  <c r="BA4" i="61"/>
  <c r="BA12" i="61"/>
  <c r="BA13" i="61"/>
  <c r="BA2" i="61"/>
  <c r="BA5" i="61"/>
  <c r="AY6" i="61"/>
  <c r="AY7" i="61"/>
  <c r="BA9" i="61"/>
  <c r="BA7" i="61"/>
  <c r="AY8" i="61"/>
  <c r="BA8" i="61"/>
  <c r="AY9" i="61"/>
  <c r="AY10" i="61"/>
  <c r="BA10" i="61"/>
  <c r="AY11" i="61"/>
  <c r="BA11" i="61"/>
  <c r="AY12" i="61"/>
  <c r="AY13" i="61"/>
  <c r="C3" i="58"/>
  <c r="C4" i="58"/>
  <c r="C5" i="58"/>
  <c r="C6" i="58"/>
  <c r="C7" i="58"/>
  <c r="C8" i="58"/>
  <c r="C9" i="58"/>
  <c r="C10" i="58"/>
  <c r="C11" i="58"/>
  <c r="C12" i="58"/>
  <c r="C13" i="58"/>
  <c r="C2" i="58"/>
  <c r="AD3" i="51"/>
  <c r="AD4" i="51"/>
  <c r="AD5" i="51"/>
  <c r="AD6" i="51"/>
  <c r="AD7" i="51"/>
  <c r="AD8" i="51"/>
  <c r="AD9" i="51"/>
  <c r="AD10" i="51"/>
  <c r="AD11" i="51"/>
  <c r="AD12" i="51"/>
  <c r="AD13" i="51"/>
  <c r="AD2" i="51"/>
  <c r="B3" i="58"/>
  <c r="B4" i="58"/>
  <c r="B5" i="58"/>
  <c r="B6" i="58"/>
  <c r="B7" i="58"/>
  <c r="B8" i="58"/>
  <c r="B9" i="58"/>
  <c r="B10" i="58"/>
  <c r="B11" i="58"/>
  <c r="B12" i="58"/>
  <c r="B13" i="58"/>
  <c r="B2" i="58"/>
  <c r="AC3" i="51"/>
  <c r="AC4" i="51"/>
  <c r="AC5" i="51"/>
  <c r="AC6" i="51"/>
  <c r="AC7" i="51"/>
  <c r="AC8" i="51"/>
  <c r="AC9" i="51"/>
  <c r="AC10" i="51"/>
  <c r="AC11" i="51"/>
  <c r="AC12" i="51"/>
  <c r="AC13" i="51"/>
  <c r="AC2" i="51"/>
  <c r="AS3" i="52"/>
  <c r="AS4" i="52"/>
  <c r="AS5" i="52"/>
  <c r="AS6" i="52"/>
  <c r="AS7" i="52"/>
  <c r="AS8" i="52"/>
  <c r="AS9" i="52"/>
  <c r="AS10" i="52"/>
  <c r="AS11" i="52"/>
  <c r="AS12" i="52"/>
  <c r="AS13" i="52"/>
  <c r="AS2" i="52"/>
  <c r="AR3" i="52"/>
  <c r="AR4" i="52"/>
  <c r="AR5" i="52"/>
  <c r="AR6" i="52"/>
  <c r="AR7" i="52"/>
  <c r="AR8" i="52"/>
  <c r="AR9" i="52"/>
  <c r="AR10" i="52"/>
  <c r="AR11" i="52"/>
  <c r="AR12" i="52"/>
  <c r="AR13" i="52"/>
  <c r="AR2" i="52"/>
  <c r="D3" i="58"/>
  <c r="D4" i="58"/>
  <c r="D5" i="58"/>
  <c r="D6" i="58"/>
  <c r="D7" i="58"/>
  <c r="D8" i="58"/>
  <c r="D9" i="58"/>
  <c r="D10" i="58"/>
  <c r="D11" i="58"/>
  <c r="D12" i="58"/>
  <c r="D13" i="58"/>
  <c r="D2" i="58"/>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P2" i="53"/>
  <c r="P3" i="53" s="1"/>
  <c r="P4" i="53" s="1"/>
  <c r="S13" i="96"/>
  <c r="R13" i="96"/>
  <c r="Q13" i="96"/>
  <c r="P13" i="96"/>
  <c r="O13" i="96"/>
  <c r="N13" i="96"/>
  <c r="M13" i="96"/>
  <c r="L13" i="96"/>
  <c r="K13" i="96"/>
  <c r="J13" i="96"/>
  <c r="I13" i="96"/>
  <c r="H13" i="96"/>
  <c r="G13" i="96"/>
  <c r="F13" i="96"/>
  <c r="S23" i="86"/>
  <c r="R23" i="86"/>
  <c r="Q23" i="86"/>
  <c r="P23" i="86"/>
  <c r="O23" i="86"/>
  <c r="N23" i="86"/>
  <c r="M23" i="86"/>
  <c r="L23" i="86"/>
  <c r="K23" i="86"/>
  <c r="J23" i="86"/>
  <c r="I23" i="86"/>
  <c r="H23" i="86"/>
  <c r="G23" i="86"/>
  <c r="F23" i="86"/>
  <c r="S17" i="87"/>
  <c r="R17" i="87"/>
  <c r="Q17" i="87"/>
  <c r="P17" i="87"/>
  <c r="O17" i="87"/>
  <c r="N17" i="87"/>
  <c r="M17" i="87"/>
  <c r="L17" i="87"/>
  <c r="K17" i="87"/>
  <c r="J17" i="87"/>
  <c r="I17" i="87"/>
  <c r="H17" i="87"/>
  <c r="G17" i="87"/>
  <c r="F17" i="87"/>
  <c r="B17" i="56"/>
  <c r="J116" i="96"/>
  <c r="J115" i="96"/>
  <c r="G181" i="87"/>
  <c r="H181" i="87"/>
  <c r="I181" i="87"/>
  <c r="J181" i="87"/>
  <c r="L181" i="87"/>
  <c r="M181" i="87"/>
  <c r="N181" i="87"/>
  <c r="O181" i="87"/>
  <c r="P181" i="87"/>
  <c r="Q181" i="87"/>
  <c r="R181" i="87"/>
  <c r="S181" i="87"/>
  <c r="G182" i="87"/>
  <c r="H182" i="87"/>
  <c r="I182" i="87"/>
  <c r="J182" i="87"/>
  <c r="K182" i="87"/>
  <c r="L182" i="87"/>
  <c r="M182" i="87"/>
  <c r="N182" i="87"/>
  <c r="O182" i="87"/>
  <c r="P182" i="87"/>
  <c r="Q182" i="87"/>
  <c r="R182" i="87"/>
  <c r="S182" i="87"/>
  <c r="G183" i="87"/>
  <c r="H183" i="87"/>
  <c r="I183" i="87"/>
  <c r="J183" i="87"/>
  <c r="K183" i="87"/>
  <c r="L183" i="87"/>
  <c r="M183" i="87"/>
  <c r="N183" i="87"/>
  <c r="O183" i="87"/>
  <c r="P183" i="87"/>
  <c r="Q183" i="87"/>
  <c r="R183" i="87"/>
  <c r="S183" i="87"/>
  <c r="G184" i="87"/>
  <c r="H184" i="87"/>
  <c r="I184" i="87"/>
  <c r="J184" i="87"/>
  <c r="L184" i="87"/>
  <c r="M184" i="87"/>
  <c r="N184" i="87"/>
  <c r="O184" i="87"/>
  <c r="P184" i="87"/>
  <c r="Q184" i="87"/>
  <c r="R184" i="87"/>
  <c r="S184" i="87"/>
  <c r="AE63" i="47"/>
  <c r="AE65" i="47"/>
  <c r="AD55" i="47"/>
  <c r="G170" i="91"/>
  <c r="F170" i="91"/>
  <c r="U190" i="90"/>
  <c r="W190" i="90"/>
  <c r="V190" i="90"/>
  <c r="T190" i="90"/>
  <c r="S190" i="90"/>
  <c r="P190" i="90"/>
  <c r="O190" i="90"/>
  <c r="N190" i="90"/>
  <c r="M190" i="90"/>
  <c r="L190" i="90"/>
  <c r="K190" i="90"/>
  <c r="T173" i="91"/>
  <c r="T174" i="91"/>
  <c r="T175" i="91"/>
  <c r="T176" i="91"/>
  <c r="O173" i="91"/>
  <c r="O174" i="91"/>
  <c r="O175" i="91"/>
  <c r="O176" i="91"/>
  <c r="I173" i="91"/>
  <c r="I174" i="91"/>
  <c r="I175" i="91"/>
  <c r="E173" i="91"/>
  <c r="E174" i="91"/>
  <c r="O134" i="97"/>
  <c r="O135" i="97"/>
  <c r="L134" i="97"/>
  <c r="L135" i="97"/>
  <c r="H134" i="97"/>
  <c r="H135" i="97"/>
  <c r="E134" i="97"/>
  <c r="E135" i="97"/>
  <c r="Y193" i="90"/>
  <c r="Y194" i="90"/>
  <c r="Y195" i="90"/>
  <c r="Y196" i="90"/>
  <c r="Y197" i="90"/>
  <c r="Y198" i="90"/>
  <c r="R198" i="90"/>
  <c r="R197" i="90"/>
  <c r="R196" i="90"/>
  <c r="R195" i="90"/>
  <c r="R194" i="90"/>
  <c r="R193" i="90"/>
  <c r="J196" i="90"/>
  <c r="J195" i="90"/>
  <c r="J194" i="90"/>
  <c r="J193" i="90"/>
  <c r="E193" i="90"/>
  <c r="E194" i="90"/>
  <c r="S136" i="96"/>
  <c r="R136" i="96"/>
  <c r="Q136" i="96"/>
  <c r="P136" i="96"/>
  <c r="O136" i="96"/>
  <c r="N136" i="96"/>
  <c r="M136" i="96"/>
  <c r="L136" i="96"/>
  <c r="J136" i="96"/>
  <c r="I136" i="96"/>
  <c r="H136" i="96"/>
  <c r="G136" i="96"/>
  <c r="S135" i="96"/>
  <c r="R135" i="96"/>
  <c r="Q135" i="96"/>
  <c r="P135" i="96"/>
  <c r="O135" i="96"/>
  <c r="N135" i="96"/>
  <c r="M135" i="96"/>
  <c r="L135" i="96"/>
  <c r="K135" i="96"/>
  <c r="J135" i="96"/>
  <c r="I135" i="96"/>
  <c r="H135" i="96"/>
  <c r="G135" i="96"/>
  <c r="S180" i="87"/>
  <c r="R180" i="87"/>
  <c r="Q180" i="87"/>
  <c r="P180" i="87"/>
  <c r="O180" i="87"/>
  <c r="N180" i="87"/>
  <c r="M180" i="87"/>
  <c r="L180" i="87"/>
  <c r="J180" i="87"/>
  <c r="I180" i="87"/>
  <c r="H180" i="87"/>
  <c r="G180" i="87"/>
  <c r="S179" i="87"/>
  <c r="R179" i="87"/>
  <c r="Q179" i="87"/>
  <c r="P179" i="87"/>
  <c r="O179" i="87"/>
  <c r="N179" i="87"/>
  <c r="M179" i="87"/>
  <c r="L179" i="87"/>
  <c r="J179" i="87"/>
  <c r="I179" i="87"/>
  <c r="H179" i="87"/>
  <c r="G179" i="87"/>
  <c r="S200" i="86"/>
  <c r="R200" i="86"/>
  <c r="Q200" i="86"/>
  <c r="P200" i="86"/>
  <c r="O200" i="86"/>
  <c r="N200" i="86"/>
  <c r="M200" i="86"/>
  <c r="L200" i="86"/>
  <c r="J200" i="86"/>
  <c r="I200" i="86"/>
  <c r="H200" i="86"/>
  <c r="G200" i="86"/>
  <c r="S199" i="86"/>
  <c r="R199" i="86"/>
  <c r="Q199" i="86"/>
  <c r="P199" i="86"/>
  <c r="O199" i="86"/>
  <c r="N199" i="86"/>
  <c r="M199" i="86"/>
  <c r="L199" i="86"/>
  <c r="J199" i="86"/>
  <c r="I199" i="86"/>
  <c r="H199" i="86"/>
  <c r="G199" i="86"/>
  <c r="S198" i="86"/>
  <c r="R198" i="86"/>
  <c r="Q198" i="86"/>
  <c r="P198" i="86"/>
  <c r="O198" i="86"/>
  <c r="N198" i="86"/>
  <c r="M198" i="86"/>
  <c r="L198" i="86"/>
  <c r="K198" i="86"/>
  <c r="J198" i="86"/>
  <c r="I198" i="86"/>
  <c r="H198" i="86"/>
  <c r="G198" i="86"/>
  <c r="S197" i="86"/>
  <c r="R197" i="86"/>
  <c r="Q197" i="86"/>
  <c r="P197" i="86"/>
  <c r="O197" i="86"/>
  <c r="N197" i="86"/>
  <c r="M197" i="86"/>
  <c r="L197" i="86"/>
  <c r="J197" i="86"/>
  <c r="I197" i="86"/>
  <c r="H197" i="86"/>
  <c r="G197" i="86"/>
  <c r="S196" i="86"/>
  <c r="R196" i="86"/>
  <c r="Q196" i="86"/>
  <c r="P196" i="86"/>
  <c r="O196" i="86"/>
  <c r="N196" i="86"/>
  <c r="M196" i="86"/>
  <c r="L196" i="86"/>
  <c r="K196" i="86"/>
  <c r="J196" i="86"/>
  <c r="I196" i="86"/>
  <c r="H196" i="86"/>
  <c r="G196" i="86"/>
  <c r="S195" i="86"/>
  <c r="R195" i="86"/>
  <c r="Q195" i="86"/>
  <c r="P195" i="86"/>
  <c r="O195" i="86"/>
  <c r="N195" i="86"/>
  <c r="M195" i="86"/>
  <c r="L195" i="86"/>
  <c r="J195" i="86"/>
  <c r="I195" i="86"/>
  <c r="H195" i="86"/>
  <c r="G195" i="86"/>
  <c r="AF65" i="47"/>
  <c r="AF63" i="47"/>
  <c r="AD53" i="47"/>
  <c r="AF61" i="47"/>
  <c r="AE61" i="47"/>
  <c r="AD54" i="47"/>
  <c r="AA44" i="47"/>
  <c r="AA58" i="47"/>
  <c r="AA48" i="47"/>
  <c r="AA59" i="47"/>
  <c r="AA49" i="47"/>
  <c r="AA60" i="47"/>
  <c r="AA61" i="47"/>
  <c r="AC58" i="47"/>
  <c r="Y44" i="47"/>
  <c r="Y58" i="47"/>
  <c r="Y48" i="47"/>
  <c r="Y59" i="47"/>
  <c r="Y49" i="47"/>
  <c r="Y60" i="47"/>
  <c r="Y61" i="47"/>
  <c r="AA50" i="47"/>
  <c r="AF46" i="47"/>
  <c r="AE53" i="47"/>
  <c r="Y47" i="47"/>
  <c r="AA47" i="47"/>
  <c r="AA71" i="47"/>
  <c r="AA46" i="47"/>
  <c r="AA70" i="47"/>
  <c r="AA72" i="47"/>
  <c r="Z47" i="47"/>
  <c r="Z71" i="47"/>
  <c r="Z46" i="47"/>
  <c r="Z70" i="47"/>
  <c r="Z72" i="47"/>
  <c r="Y71" i="47"/>
  <c r="Y46" i="47"/>
  <c r="Y70" i="47"/>
  <c r="Y72" i="47"/>
  <c r="Y50" i="47"/>
  <c r="Y64" i="47"/>
  <c r="Y45" i="47"/>
  <c r="Y65" i="47"/>
  <c r="Y52" i="47"/>
  <c r="Y66" i="47"/>
  <c r="Y67" i="47"/>
  <c r="AA64" i="47"/>
  <c r="AA45" i="47"/>
  <c r="AA65" i="47"/>
  <c r="AA52" i="47"/>
  <c r="AA66" i="47"/>
  <c r="AA67" i="47"/>
  <c r="Z50" i="47"/>
  <c r="Z64" i="47"/>
  <c r="Z45" i="47"/>
  <c r="Z65" i="47"/>
  <c r="Z52" i="47"/>
  <c r="Z66" i="47"/>
  <c r="Z67" i="47"/>
  <c r="X65" i="47"/>
  <c r="X71" i="47"/>
  <c r="AD46" i="47"/>
  <c r="Z44" i="47"/>
  <c r="Z58" i="47"/>
  <c r="Z48" i="47"/>
  <c r="Z59" i="47"/>
  <c r="Z49" i="47"/>
  <c r="Z60" i="47"/>
  <c r="Z61" i="47"/>
  <c r="O133" i="97"/>
  <c r="L133" i="97"/>
  <c r="H133" i="97"/>
  <c r="E133" i="97"/>
  <c r="O132" i="97"/>
  <c r="L132" i="97"/>
  <c r="H132" i="97"/>
  <c r="E132" i="97"/>
  <c r="M172" i="91"/>
  <c r="T172" i="91"/>
  <c r="O172" i="91"/>
  <c r="I172" i="91"/>
  <c r="E172" i="91"/>
  <c r="M171" i="91"/>
  <c r="R171" i="91"/>
  <c r="T171" i="91"/>
  <c r="O171" i="91"/>
  <c r="I171" i="91"/>
  <c r="E171" i="91"/>
  <c r="Y192" i="90"/>
  <c r="Y191" i="90"/>
  <c r="R191" i="90"/>
  <c r="R192" i="90"/>
  <c r="J192" i="90"/>
  <c r="J191" i="90"/>
  <c r="E192" i="90"/>
  <c r="E191" i="90"/>
  <c r="S134" i="96"/>
  <c r="R134" i="96"/>
  <c r="Q134" i="96"/>
  <c r="P134" i="96"/>
  <c r="O134" i="96"/>
  <c r="N134" i="96"/>
  <c r="M134" i="96"/>
  <c r="K134" i="96"/>
  <c r="J134" i="96"/>
  <c r="I134" i="96"/>
  <c r="H134" i="96"/>
  <c r="G134" i="96"/>
  <c r="F134" i="96"/>
  <c r="S133" i="96"/>
  <c r="R133" i="96"/>
  <c r="P133" i="96"/>
  <c r="O133" i="96"/>
  <c r="N133" i="96"/>
  <c r="M133" i="96"/>
  <c r="L133" i="96"/>
  <c r="K133" i="96"/>
  <c r="J133" i="96"/>
  <c r="I133" i="96"/>
  <c r="H133" i="96"/>
  <c r="G133" i="96"/>
  <c r="F133" i="96"/>
  <c r="S178" i="87"/>
  <c r="R178" i="87"/>
  <c r="Q178" i="87"/>
  <c r="P178" i="87"/>
  <c r="O178" i="87"/>
  <c r="N178" i="87"/>
  <c r="M178" i="87"/>
  <c r="K178" i="87"/>
  <c r="J178" i="87"/>
  <c r="I178" i="87"/>
  <c r="H178" i="87"/>
  <c r="G178" i="87"/>
  <c r="F178" i="87"/>
  <c r="S177" i="87"/>
  <c r="R177" i="87"/>
  <c r="Q177" i="87"/>
  <c r="P177" i="87"/>
  <c r="O177" i="87"/>
  <c r="N177" i="87"/>
  <c r="M177" i="87"/>
  <c r="L177" i="87"/>
  <c r="K177" i="87"/>
  <c r="J177" i="87"/>
  <c r="I177" i="87"/>
  <c r="H177" i="87"/>
  <c r="G177" i="87"/>
  <c r="F177" i="87"/>
  <c r="S194" i="86"/>
  <c r="R194" i="86"/>
  <c r="P194" i="86"/>
  <c r="O194" i="86"/>
  <c r="N194" i="86"/>
  <c r="M194" i="86"/>
  <c r="K194" i="86"/>
  <c r="J194" i="86"/>
  <c r="I194" i="86"/>
  <c r="H194" i="86"/>
  <c r="G194" i="86"/>
  <c r="F194" i="86"/>
  <c r="S193" i="86"/>
  <c r="R193" i="86"/>
  <c r="P193" i="86"/>
  <c r="O193" i="86"/>
  <c r="N193" i="86"/>
  <c r="M193" i="86"/>
  <c r="L193" i="86"/>
  <c r="K193" i="86"/>
  <c r="J193" i="86"/>
  <c r="I193" i="86"/>
  <c r="H193" i="86"/>
  <c r="G193" i="86"/>
  <c r="F193" i="86"/>
  <c r="K192" i="86"/>
  <c r="M91" i="91"/>
  <c r="R91" i="91"/>
  <c r="T91" i="91"/>
  <c r="O91" i="91"/>
  <c r="I91" i="91"/>
  <c r="M41" i="91"/>
  <c r="R41" i="91"/>
  <c r="T41" i="91"/>
  <c r="O41" i="91"/>
  <c r="I41" i="91"/>
  <c r="M25" i="91"/>
  <c r="R25" i="91"/>
  <c r="T25" i="91"/>
  <c r="O25" i="91"/>
  <c r="I25" i="91"/>
  <c r="M24" i="91"/>
  <c r="R24" i="91"/>
  <c r="T24" i="91"/>
  <c r="O24" i="91"/>
  <c r="I24" i="91"/>
  <c r="M22" i="91"/>
  <c r="R22" i="91"/>
  <c r="T22" i="91"/>
  <c r="O22" i="91"/>
  <c r="I22" i="91"/>
  <c r="M19" i="91"/>
  <c r="R19" i="91"/>
  <c r="T19" i="91"/>
  <c r="O19" i="91"/>
  <c r="I19" i="91"/>
  <c r="M18" i="91"/>
  <c r="R18" i="91"/>
  <c r="T18" i="91"/>
  <c r="O18" i="91"/>
  <c r="I18" i="91"/>
  <c r="M16" i="91"/>
  <c r="R16" i="91"/>
  <c r="T16" i="91"/>
  <c r="O16" i="91"/>
  <c r="I16" i="91"/>
  <c r="M15" i="91"/>
  <c r="R15" i="91"/>
  <c r="T15" i="91"/>
  <c r="O15" i="91"/>
  <c r="I15" i="91"/>
  <c r="M14" i="91"/>
  <c r="R14" i="91"/>
  <c r="T14" i="91"/>
  <c r="O14" i="91"/>
  <c r="I14" i="91"/>
  <c r="M6" i="91"/>
  <c r="R6" i="91"/>
  <c r="T6" i="91"/>
  <c r="O6" i="91"/>
  <c r="I6" i="91"/>
  <c r="M127" i="91"/>
  <c r="R127" i="91"/>
  <c r="T127" i="91"/>
  <c r="O127" i="91"/>
  <c r="I127" i="91"/>
  <c r="M126" i="91"/>
  <c r="R126" i="91"/>
  <c r="T126" i="91"/>
  <c r="O126" i="91"/>
  <c r="I126" i="91"/>
  <c r="M125" i="91"/>
  <c r="R125" i="91"/>
  <c r="T125" i="91"/>
  <c r="O125" i="91"/>
  <c r="I125" i="91"/>
  <c r="M124" i="91"/>
  <c r="R124" i="91"/>
  <c r="T124" i="91"/>
  <c r="O124" i="91"/>
  <c r="I124" i="91"/>
  <c r="M123" i="91"/>
  <c r="R123" i="91"/>
  <c r="T123" i="91"/>
  <c r="O123" i="91"/>
  <c r="I123" i="91"/>
  <c r="M122" i="91"/>
  <c r="R122" i="91"/>
  <c r="T122" i="91"/>
  <c r="O122" i="91"/>
  <c r="I122" i="91"/>
  <c r="M111" i="91"/>
  <c r="R111" i="91"/>
  <c r="T111" i="91"/>
  <c r="O111" i="91"/>
  <c r="I111" i="91"/>
  <c r="M110" i="91"/>
  <c r="R110" i="91"/>
  <c r="T110" i="91"/>
  <c r="O110" i="91"/>
  <c r="I110" i="91"/>
  <c r="M97" i="91"/>
  <c r="R97" i="91"/>
  <c r="T97" i="91"/>
  <c r="O97" i="91"/>
  <c r="I97" i="91"/>
  <c r="M96" i="91"/>
  <c r="R96" i="91"/>
  <c r="T96" i="91"/>
  <c r="O96" i="91"/>
  <c r="I96" i="91"/>
  <c r="M89" i="91"/>
  <c r="R89" i="91"/>
  <c r="T89" i="91"/>
  <c r="O89" i="91"/>
  <c r="I89" i="91"/>
  <c r="M88" i="91"/>
  <c r="R88" i="91"/>
  <c r="T88" i="91"/>
  <c r="O88" i="91"/>
  <c r="I88" i="91"/>
  <c r="I77" i="91"/>
  <c r="M77" i="91"/>
  <c r="O77" i="91"/>
  <c r="R77" i="91"/>
  <c r="T77" i="91"/>
  <c r="M76" i="91"/>
  <c r="R76" i="91"/>
  <c r="T76" i="91"/>
  <c r="O76" i="91"/>
  <c r="I76" i="91"/>
  <c r="M59" i="91"/>
  <c r="R59" i="91"/>
  <c r="T59" i="91"/>
  <c r="O59" i="91"/>
  <c r="I59" i="91"/>
  <c r="M68" i="91"/>
  <c r="R68" i="91"/>
  <c r="T68" i="91"/>
  <c r="O68" i="91"/>
  <c r="I68" i="91"/>
  <c r="M67" i="91"/>
  <c r="R67" i="91"/>
  <c r="T67" i="91"/>
  <c r="O67" i="91"/>
  <c r="I67" i="91"/>
  <c r="M66" i="91"/>
  <c r="R66" i="91"/>
  <c r="T66" i="91"/>
  <c r="O66" i="91"/>
  <c r="I66" i="91"/>
  <c r="M65" i="91"/>
  <c r="R65" i="91"/>
  <c r="T65" i="91"/>
  <c r="O65" i="91"/>
  <c r="I65" i="91"/>
  <c r="M60" i="91"/>
  <c r="R60" i="91"/>
  <c r="T60" i="91"/>
  <c r="O60" i="91"/>
  <c r="I60" i="91"/>
  <c r="M56" i="91"/>
  <c r="R56" i="91"/>
  <c r="T56" i="91"/>
  <c r="O56" i="91"/>
  <c r="I56" i="91"/>
  <c r="M55" i="91"/>
  <c r="R55" i="91"/>
  <c r="T55" i="91"/>
  <c r="O55" i="91"/>
  <c r="I55" i="91"/>
  <c r="M54" i="91"/>
  <c r="R54" i="91"/>
  <c r="T54" i="91"/>
  <c r="O54" i="91"/>
  <c r="I54" i="91"/>
  <c r="M53" i="91"/>
  <c r="R53" i="91"/>
  <c r="T53" i="91"/>
  <c r="O53" i="91"/>
  <c r="I53" i="91"/>
  <c r="M52" i="91"/>
  <c r="R52" i="91"/>
  <c r="T52" i="91"/>
  <c r="O52" i="91"/>
  <c r="I52" i="91"/>
  <c r="M49" i="91"/>
  <c r="R49" i="91"/>
  <c r="T49" i="91"/>
  <c r="O49" i="91"/>
  <c r="I49" i="91"/>
  <c r="M48" i="91"/>
  <c r="R48" i="91"/>
  <c r="T48" i="91"/>
  <c r="O48" i="91"/>
  <c r="I48" i="91"/>
  <c r="M44" i="91"/>
  <c r="R44" i="91"/>
  <c r="T44" i="91"/>
  <c r="O44" i="91"/>
  <c r="I44" i="91"/>
  <c r="M21" i="91"/>
  <c r="M147" i="91"/>
  <c r="R147" i="91"/>
  <c r="T147" i="91"/>
  <c r="O147" i="91"/>
  <c r="M146" i="91"/>
  <c r="R146" i="91"/>
  <c r="T146" i="91"/>
  <c r="O146" i="91"/>
  <c r="M141" i="91"/>
  <c r="R141" i="91"/>
  <c r="T141" i="91"/>
  <c r="O141" i="91"/>
  <c r="I141" i="91"/>
  <c r="M142" i="91"/>
  <c r="R142" i="91"/>
  <c r="T142" i="91"/>
  <c r="O142" i="91"/>
  <c r="I142" i="91"/>
  <c r="M166" i="91"/>
  <c r="R166" i="91"/>
  <c r="T166" i="91"/>
  <c r="O166" i="91"/>
  <c r="I166" i="91"/>
  <c r="E166" i="91"/>
  <c r="E160" i="91"/>
  <c r="I160" i="91"/>
  <c r="O160" i="91"/>
  <c r="R160" i="91"/>
  <c r="T160" i="91"/>
  <c r="M157" i="91"/>
  <c r="R157" i="91"/>
  <c r="T157" i="91"/>
  <c r="O157" i="91"/>
  <c r="I157" i="91"/>
  <c r="E157" i="91"/>
  <c r="M149" i="91"/>
  <c r="R149" i="91"/>
  <c r="T149" i="91"/>
  <c r="O149" i="91"/>
  <c r="I149" i="91"/>
  <c r="E149" i="91"/>
  <c r="E148" i="91"/>
  <c r="I148" i="91"/>
  <c r="M148" i="91"/>
  <c r="O148" i="91"/>
  <c r="R148" i="91"/>
  <c r="T148" i="91"/>
  <c r="E147" i="91"/>
  <c r="I147" i="91"/>
  <c r="M144" i="91"/>
  <c r="R144" i="91"/>
  <c r="T144" i="91"/>
  <c r="O144" i="91"/>
  <c r="I144" i="91"/>
  <c r="E144" i="91"/>
  <c r="M138" i="91"/>
  <c r="R138" i="91"/>
  <c r="T138" i="91"/>
  <c r="O138" i="91"/>
  <c r="I138" i="91"/>
  <c r="E138" i="91"/>
  <c r="M137" i="91"/>
  <c r="R137" i="91"/>
  <c r="T137" i="91"/>
  <c r="O137" i="91"/>
  <c r="I137" i="91"/>
  <c r="E137" i="91"/>
  <c r="M136" i="91"/>
  <c r="R136" i="91"/>
  <c r="T136" i="91"/>
  <c r="O136" i="91"/>
  <c r="I136" i="91"/>
  <c r="E136" i="91"/>
  <c r="M135" i="91"/>
  <c r="R135" i="91"/>
  <c r="T135" i="91"/>
  <c r="O135" i="91"/>
  <c r="I135" i="91"/>
  <c r="E135" i="91"/>
  <c r="M134" i="91"/>
  <c r="R134" i="91"/>
  <c r="T134" i="91"/>
  <c r="O134" i="91"/>
  <c r="I134" i="91"/>
  <c r="E134" i="91"/>
  <c r="M133" i="91"/>
  <c r="R133" i="91"/>
  <c r="T133" i="91"/>
  <c r="O133" i="91"/>
  <c r="I133" i="91"/>
  <c r="E133" i="91"/>
  <c r="M109" i="91"/>
  <c r="R109" i="91"/>
  <c r="T109" i="91"/>
  <c r="O109" i="91"/>
  <c r="I109" i="91"/>
  <c r="E109" i="91"/>
  <c r="M108" i="91"/>
  <c r="R108" i="91"/>
  <c r="T108" i="91"/>
  <c r="O108" i="91"/>
  <c r="I108" i="91"/>
  <c r="E108" i="91"/>
  <c r="M107" i="91"/>
  <c r="R107" i="91"/>
  <c r="T107" i="91"/>
  <c r="O107" i="91"/>
  <c r="I107" i="91"/>
  <c r="E107" i="91"/>
  <c r="M106" i="91"/>
  <c r="R106" i="91"/>
  <c r="T106" i="91"/>
  <c r="O106" i="91"/>
  <c r="I106" i="91"/>
  <c r="E106" i="91"/>
  <c r="M105" i="91"/>
  <c r="R105" i="91"/>
  <c r="T105" i="91"/>
  <c r="O105" i="91"/>
  <c r="I105" i="91"/>
  <c r="E105" i="91"/>
  <c r="M103" i="91"/>
  <c r="R103" i="91"/>
  <c r="T103" i="91"/>
  <c r="O103" i="91"/>
  <c r="I103" i="91"/>
  <c r="E103" i="91"/>
  <c r="E99" i="91"/>
  <c r="I99" i="91"/>
  <c r="M99" i="91"/>
  <c r="O99" i="91"/>
  <c r="R99" i="91"/>
  <c r="T99" i="91"/>
  <c r="E100" i="91"/>
  <c r="I100" i="91"/>
  <c r="M100" i="91"/>
  <c r="O100" i="91"/>
  <c r="R100" i="91"/>
  <c r="T100" i="91"/>
  <c r="M98" i="91"/>
  <c r="R98" i="91"/>
  <c r="T98" i="91"/>
  <c r="O98" i="91"/>
  <c r="I98" i="91"/>
  <c r="E98" i="91"/>
  <c r="M95" i="91"/>
  <c r="R95" i="91"/>
  <c r="T95" i="91"/>
  <c r="O95" i="91"/>
  <c r="I95" i="91"/>
  <c r="E95" i="91"/>
  <c r="M94" i="91"/>
  <c r="R94" i="91"/>
  <c r="T94" i="91"/>
  <c r="O94" i="91"/>
  <c r="I94" i="91"/>
  <c r="E94" i="91"/>
  <c r="M93" i="91"/>
  <c r="R93" i="91"/>
  <c r="T93" i="91"/>
  <c r="O93" i="91"/>
  <c r="I93" i="91"/>
  <c r="E93" i="91"/>
  <c r="M87" i="91"/>
  <c r="R87" i="91"/>
  <c r="T87" i="91"/>
  <c r="O87" i="91"/>
  <c r="I87" i="91"/>
  <c r="E87" i="91"/>
  <c r="M86" i="91"/>
  <c r="R86" i="91"/>
  <c r="T86" i="91"/>
  <c r="O86" i="91"/>
  <c r="I86" i="91"/>
  <c r="E86" i="91"/>
  <c r="M85" i="91"/>
  <c r="R85" i="91"/>
  <c r="T85" i="91"/>
  <c r="O85" i="91"/>
  <c r="I85" i="91"/>
  <c r="E85" i="91"/>
  <c r="M84" i="91"/>
  <c r="R84" i="91"/>
  <c r="T84" i="91"/>
  <c r="O84" i="91"/>
  <c r="I84" i="91"/>
  <c r="E84" i="91"/>
  <c r="M83" i="91"/>
  <c r="R83" i="91"/>
  <c r="T83" i="91"/>
  <c r="O83" i="91"/>
  <c r="I83" i="91"/>
  <c r="E83" i="91"/>
  <c r="M82" i="91"/>
  <c r="R82" i="91"/>
  <c r="T82" i="91"/>
  <c r="O82" i="91"/>
  <c r="I82" i="91"/>
  <c r="E82" i="91"/>
  <c r="M81" i="91"/>
  <c r="R81" i="91"/>
  <c r="T81" i="91"/>
  <c r="O81" i="91"/>
  <c r="I81" i="91"/>
  <c r="E81" i="91"/>
  <c r="M80" i="91"/>
  <c r="R80" i="91"/>
  <c r="T80" i="91"/>
  <c r="O80" i="91"/>
  <c r="I80" i="91"/>
  <c r="E80" i="91"/>
  <c r="M78" i="91"/>
  <c r="R78" i="91"/>
  <c r="T78" i="91"/>
  <c r="O78" i="91"/>
  <c r="I78" i="91"/>
  <c r="E78" i="91"/>
  <c r="M75" i="91"/>
  <c r="R75" i="91"/>
  <c r="T75" i="91"/>
  <c r="O75" i="91"/>
  <c r="I75" i="91"/>
  <c r="E75" i="91"/>
  <c r="M74" i="91"/>
  <c r="R74" i="91"/>
  <c r="T74" i="91"/>
  <c r="O74" i="91"/>
  <c r="I74" i="91"/>
  <c r="E74" i="91"/>
  <c r="M73" i="91"/>
  <c r="R73" i="91"/>
  <c r="T73" i="91"/>
  <c r="O73" i="91"/>
  <c r="I73" i="91"/>
  <c r="E73" i="91"/>
  <c r="M71" i="91"/>
  <c r="R71" i="91"/>
  <c r="T71" i="91"/>
  <c r="O71" i="91"/>
  <c r="I71" i="91"/>
  <c r="E71" i="91"/>
  <c r="M70" i="91"/>
  <c r="R70" i="91"/>
  <c r="T70" i="91"/>
  <c r="O70" i="91"/>
  <c r="I70" i="91"/>
  <c r="E70" i="91"/>
  <c r="M69" i="91"/>
  <c r="R69" i="91"/>
  <c r="T69" i="91"/>
  <c r="O69" i="91"/>
  <c r="I69" i="91"/>
  <c r="E69" i="91"/>
  <c r="M64" i="91"/>
  <c r="R64" i="91"/>
  <c r="T64" i="91"/>
  <c r="O64" i="91"/>
  <c r="I64" i="91"/>
  <c r="E64" i="91"/>
  <c r="M63" i="91"/>
  <c r="R63" i="91"/>
  <c r="T63" i="91"/>
  <c r="O63" i="91"/>
  <c r="I63" i="91"/>
  <c r="E63" i="91"/>
  <c r="M62" i="91"/>
  <c r="R62" i="91"/>
  <c r="T62" i="91"/>
  <c r="O62" i="91"/>
  <c r="I62" i="91"/>
  <c r="E62" i="91"/>
  <c r="M61" i="91"/>
  <c r="R61" i="91"/>
  <c r="T61" i="91"/>
  <c r="O61" i="91"/>
  <c r="I61" i="91"/>
  <c r="E61" i="91"/>
  <c r="M58" i="91"/>
  <c r="R58" i="91"/>
  <c r="T58" i="91"/>
  <c r="O58" i="91"/>
  <c r="I58" i="91"/>
  <c r="E58" i="91"/>
  <c r="M57" i="91"/>
  <c r="R57" i="91"/>
  <c r="T57" i="91"/>
  <c r="O57" i="91"/>
  <c r="I57" i="91"/>
  <c r="E57" i="91"/>
  <c r="M51" i="91"/>
  <c r="R51" i="91"/>
  <c r="T51" i="91"/>
  <c r="O51" i="91"/>
  <c r="I51" i="91"/>
  <c r="E51" i="91"/>
  <c r="M50" i="91"/>
  <c r="R50" i="91"/>
  <c r="T50" i="91"/>
  <c r="O50" i="91"/>
  <c r="I50" i="91"/>
  <c r="E50" i="91"/>
  <c r="M47" i="91"/>
  <c r="R47" i="91"/>
  <c r="T47" i="91"/>
  <c r="O47" i="91"/>
  <c r="I47" i="91"/>
  <c r="E47" i="91"/>
  <c r="M46" i="91"/>
  <c r="R46" i="91"/>
  <c r="T46" i="91"/>
  <c r="O46" i="91"/>
  <c r="I46" i="91"/>
  <c r="E46" i="91"/>
  <c r="M45" i="91"/>
  <c r="R45" i="91"/>
  <c r="T45" i="91"/>
  <c r="O45" i="91"/>
  <c r="I45" i="91"/>
  <c r="E45" i="91"/>
  <c r="M43" i="91"/>
  <c r="R43" i="91"/>
  <c r="T43" i="91"/>
  <c r="O43" i="91"/>
  <c r="I43" i="91"/>
  <c r="E43" i="91"/>
  <c r="E41" i="91"/>
  <c r="M35" i="91"/>
  <c r="R35" i="91"/>
  <c r="T35" i="91"/>
  <c r="O35" i="91"/>
  <c r="I35" i="91"/>
  <c r="E35" i="91"/>
  <c r="M33" i="91"/>
  <c r="R33" i="91"/>
  <c r="T33" i="91"/>
  <c r="O33" i="91"/>
  <c r="I33" i="91"/>
  <c r="E33" i="91"/>
  <c r="M34" i="91"/>
  <c r="R34" i="91"/>
  <c r="T34" i="91"/>
  <c r="O34" i="91"/>
  <c r="I34" i="91"/>
  <c r="E34" i="91"/>
  <c r="M32" i="91"/>
  <c r="R32" i="91"/>
  <c r="T32" i="91"/>
  <c r="O32" i="91"/>
  <c r="I32" i="91"/>
  <c r="E32" i="91"/>
  <c r="M31" i="91"/>
  <c r="R31" i="91"/>
  <c r="T31" i="91"/>
  <c r="O31" i="91"/>
  <c r="I31" i="91"/>
  <c r="E31" i="91"/>
  <c r="M30" i="91"/>
  <c r="R30" i="91"/>
  <c r="T30" i="91"/>
  <c r="O30" i="91"/>
  <c r="I30" i="91"/>
  <c r="E30" i="91"/>
  <c r="M29" i="91"/>
  <c r="R29" i="91"/>
  <c r="T29" i="91"/>
  <c r="O29" i="91"/>
  <c r="I29" i="91"/>
  <c r="E29" i="91"/>
  <c r="M28" i="91"/>
  <c r="R28" i="91"/>
  <c r="T28" i="91"/>
  <c r="O28" i="91"/>
  <c r="I28" i="91"/>
  <c r="E28" i="91"/>
  <c r="M27" i="91"/>
  <c r="R27" i="91"/>
  <c r="T27" i="91"/>
  <c r="O27" i="91"/>
  <c r="I27" i="91"/>
  <c r="E27" i="91"/>
  <c r="M26" i="91"/>
  <c r="R26" i="91"/>
  <c r="T26" i="91"/>
  <c r="O26" i="91"/>
  <c r="I26" i="91"/>
  <c r="E26" i="91"/>
  <c r="E25" i="91"/>
  <c r="E24" i="91"/>
  <c r="M23" i="91"/>
  <c r="R23" i="91"/>
  <c r="T23" i="91"/>
  <c r="O23" i="91"/>
  <c r="I23" i="91"/>
  <c r="E23" i="91"/>
  <c r="M20" i="91"/>
  <c r="R20" i="91"/>
  <c r="T20" i="91"/>
  <c r="O20" i="91"/>
  <c r="I20" i="91"/>
  <c r="E20" i="91"/>
  <c r="M17" i="91"/>
  <c r="R17" i="91"/>
  <c r="T17" i="91"/>
  <c r="O17" i="91"/>
  <c r="I17" i="91"/>
  <c r="E17" i="91"/>
  <c r="M4" i="91"/>
  <c r="R4" i="91"/>
  <c r="T4" i="91"/>
  <c r="O4" i="91"/>
  <c r="I4" i="91"/>
  <c r="E4" i="91"/>
  <c r="M3" i="91"/>
  <c r="R3" i="91"/>
  <c r="T3" i="91"/>
  <c r="O3" i="91"/>
  <c r="I3" i="91"/>
  <c r="E3" i="91"/>
  <c r="M5" i="91"/>
  <c r="R5" i="91"/>
  <c r="M7" i="91"/>
  <c r="R7" i="91"/>
  <c r="M8" i="91"/>
  <c r="R8" i="91"/>
  <c r="M9" i="91"/>
  <c r="R9" i="91"/>
  <c r="M10" i="91"/>
  <c r="R10" i="91"/>
  <c r="M11" i="91"/>
  <c r="R11" i="91"/>
  <c r="M12" i="91"/>
  <c r="R12" i="91"/>
  <c r="M13" i="91"/>
  <c r="R13" i="91"/>
  <c r="R21" i="91"/>
  <c r="M36" i="91"/>
  <c r="R36" i="91"/>
  <c r="M37" i="91"/>
  <c r="R37" i="91"/>
  <c r="M38" i="91"/>
  <c r="R38" i="91"/>
  <c r="M39" i="91"/>
  <c r="R39" i="91"/>
  <c r="M40" i="91"/>
  <c r="R40" i="91"/>
  <c r="M42" i="91"/>
  <c r="R42" i="91"/>
  <c r="M72" i="91"/>
  <c r="R72" i="91"/>
  <c r="M79" i="91"/>
  <c r="R79" i="91"/>
  <c r="M90" i="91"/>
  <c r="R90" i="91"/>
  <c r="M92" i="91"/>
  <c r="R92" i="91"/>
  <c r="M101" i="91"/>
  <c r="R101" i="91"/>
  <c r="M102" i="91"/>
  <c r="R102" i="91"/>
  <c r="M104" i="91"/>
  <c r="R104" i="91"/>
  <c r="M139" i="91"/>
  <c r="R139" i="91"/>
  <c r="M140" i="91"/>
  <c r="R140" i="91"/>
  <c r="M143" i="91"/>
  <c r="R143" i="91"/>
  <c r="M145" i="91"/>
  <c r="R145" i="91"/>
  <c r="M150" i="91"/>
  <c r="R150" i="91"/>
  <c r="M151" i="91"/>
  <c r="R151" i="91"/>
  <c r="M153" i="91"/>
  <c r="R153" i="91"/>
  <c r="R154" i="91"/>
  <c r="R155" i="91"/>
  <c r="R156" i="91"/>
  <c r="M158" i="91"/>
  <c r="R158" i="91"/>
  <c r="M159" i="91"/>
  <c r="R159" i="91"/>
  <c r="R161" i="91"/>
  <c r="M162" i="91"/>
  <c r="R162" i="91"/>
  <c r="M163" i="91"/>
  <c r="R163" i="91"/>
  <c r="R164" i="91"/>
  <c r="M165" i="91"/>
  <c r="R165" i="91"/>
  <c r="R167" i="91"/>
  <c r="M168" i="91"/>
  <c r="R168" i="91"/>
  <c r="M169" i="91"/>
  <c r="R169" i="91"/>
  <c r="M2" i="91"/>
  <c r="R2" i="91"/>
  <c r="Y163" i="90"/>
  <c r="R163" i="90"/>
  <c r="J163" i="90"/>
  <c r="E163" i="90"/>
  <c r="Y164" i="90"/>
  <c r="R164" i="90"/>
  <c r="J164" i="90"/>
  <c r="E164" i="90"/>
  <c r="Y162" i="90"/>
  <c r="R162" i="90"/>
  <c r="J162" i="90"/>
  <c r="E162" i="90"/>
  <c r="Y161" i="90"/>
  <c r="R161" i="90"/>
  <c r="J161" i="90"/>
  <c r="E161" i="90"/>
  <c r="Y159" i="90"/>
  <c r="R159" i="90"/>
  <c r="J159" i="90"/>
  <c r="E159" i="90"/>
  <c r="Y158" i="90"/>
  <c r="R158" i="90"/>
  <c r="J158" i="90"/>
  <c r="E158" i="90"/>
  <c r="Y155" i="90"/>
  <c r="R155" i="90"/>
  <c r="J155" i="90"/>
  <c r="E155" i="90"/>
  <c r="Y152" i="90"/>
  <c r="R152" i="90"/>
  <c r="J152" i="90"/>
  <c r="E152" i="90"/>
  <c r="Y150" i="90"/>
  <c r="R150" i="90"/>
  <c r="J150" i="90"/>
  <c r="E150" i="90"/>
  <c r="Y149" i="90"/>
  <c r="R149" i="90"/>
  <c r="J149" i="90"/>
  <c r="E149" i="90"/>
  <c r="Y141" i="90"/>
  <c r="R141" i="90"/>
  <c r="J141" i="90"/>
  <c r="E141" i="90"/>
  <c r="Y140" i="90"/>
  <c r="R140" i="90"/>
  <c r="J140" i="90"/>
  <c r="E140" i="90"/>
  <c r="Y139" i="90"/>
  <c r="R139" i="90"/>
  <c r="J139" i="90"/>
  <c r="E139" i="90"/>
  <c r="Y138" i="90"/>
  <c r="R138" i="90"/>
  <c r="J138" i="90"/>
  <c r="E138" i="90"/>
  <c r="Y160" i="90"/>
  <c r="R160" i="90"/>
  <c r="J160" i="90"/>
  <c r="E160" i="90"/>
  <c r="Y154" i="90"/>
  <c r="R154" i="90"/>
  <c r="J154" i="90"/>
  <c r="E154" i="90"/>
  <c r="Y153" i="90"/>
  <c r="R153" i="90"/>
  <c r="J153" i="90"/>
  <c r="E153" i="90"/>
  <c r="Y151" i="90"/>
  <c r="R151" i="90"/>
  <c r="J151" i="90"/>
  <c r="E151" i="90"/>
  <c r="Y148" i="90"/>
  <c r="R148" i="90"/>
  <c r="J148" i="90"/>
  <c r="E148" i="90"/>
  <c r="Y147" i="90"/>
  <c r="R147" i="90"/>
  <c r="J147" i="90"/>
  <c r="E147" i="90"/>
  <c r="Y121" i="90"/>
  <c r="R121" i="90"/>
  <c r="J121" i="90"/>
  <c r="E121" i="90"/>
  <c r="Y117" i="90"/>
  <c r="R117" i="90"/>
  <c r="J117" i="90"/>
  <c r="E117" i="90"/>
  <c r="Y116" i="90"/>
  <c r="R116" i="90"/>
  <c r="J116" i="90"/>
  <c r="E116" i="90"/>
  <c r="Y108" i="90"/>
  <c r="R108" i="90"/>
  <c r="J108" i="90"/>
  <c r="E108" i="90"/>
  <c r="W157" i="90"/>
  <c r="Y157" i="90"/>
  <c r="R157" i="90"/>
  <c r="J157" i="90"/>
  <c r="E157" i="90"/>
  <c r="Y112" i="90"/>
  <c r="R112" i="90"/>
  <c r="J112" i="90"/>
  <c r="E112" i="90"/>
  <c r="Y113" i="90"/>
  <c r="R113" i="90"/>
  <c r="J113" i="90"/>
  <c r="E113" i="90"/>
  <c r="Y120" i="90"/>
  <c r="R120" i="90"/>
  <c r="J120" i="90"/>
  <c r="E120" i="90"/>
  <c r="Y119" i="90"/>
  <c r="R119" i="90"/>
  <c r="J119" i="90"/>
  <c r="E119" i="90"/>
  <c r="Y81" i="90"/>
  <c r="R81" i="90"/>
  <c r="J81" i="90"/>
  <c r="E81" i="90"/>
  <c r="Y80" i="90"/>
  <c r="R80" i="90"/>
  <c r="J80" i="90"/>
  <c r="E80" i="90"/>
  <c r="Y72" i="90"/>
  <c r="R72" i="90"/>
  <c r="J72" i="90"/>
  <c r="E72" i="90"/>
  <c r="Y70" i="90"/>
  <c r="R70" i="90"/>
  <c r="J70" i="90"/>
  <c r="E70" i="90"/>
  <c r="Y68" i="90"/>
  <c r="R68" i="90"/>
  <c r="J68" i="90"/>
  <c r="E68" i="90"/>
  <c r="Y93" i="90"/>
  <c r="R93" i="90"/>
  <c r="J93" i="90"/>
  <c r="E93" i="90"/>
  <c r="Y94" i="90"/>
  <c r="R94" i="90"/>
  <c r="J94" i="90"/>
  <c r="E94" i="90"/>
  <c r="Y84" i="90"/>
  <c r="R84" i="90"/>
  <c r="J84" i="90"/>
  <c r="E84" i="90"/>
  <c r="Y83" i="90"/>
  <c r="R83" i="90"/>
  <c r="J83" i="90"/>
  <c r="E83" i="90"/>
  <c r="Y82" i="90"/>
  <c r="R82" i="90"/>
  <c r="J82" i="90"/>
  <c r="E82" i="90"/>
  <c r="Y79" i="90"/>
  <c r="R79" i="90"/>
  <c r="J79" i="90"/>
  <c r="E79" i="90"/>
  <c r="Y78" i="90"/>
  <c r="R78" i="90"/>
  <c r="J78" i="90"/>
  <c r="E78" i="90"/>
  <c r="Y66" i="90"/>
  <c r="R66" i="90"/>
  <c r="J66" i="90"/>
  <c r="E66" i="90"/>
  <c r="Y60" i="90"/>
  <c r="R60" i="90"/>
  <c r="J60" i="90"/>
  <c r="E60" i="90"/>
  <c r="Y59" i="90"/>
  <c r="R59" i="90"/>
  <c r="J59" i="90"/>
  <c r="E59" i="90"/>
  <c r="Y53" i="90"/>
  <c r="R53" i="90"/>
  <c r="J53" i="90"/>
  <c r="E53" i="90"/>
  <c r="Y42" i="90"/>
  <c r="R42" i="90"/>
  <c r="J42" i="90"/>
  <c r="E42" i="90"/>
  <c r="Y41" i="90"/>
  <c r="R41" i="90"/>
  <c r="J41" i="90"/>
  <c r="E41" i="90"/>
  <c r="Y33" i="90"/>
  <c r="R33" i="90"/>
  <c r="J33" i="90"/>
  <c r="E33" i="90"/>
  <c r="Y32" i="90"/>
  <c r="R32" i="90"/>
  <c r="J32" i="90"/>
  <c r="E32" i="90"/>
  <c r="R165" i="90"/>
  <c r="J165" i="90"/>
  <c r="E165" i="90"/>
  <c r="E45" i="90"/>
  <c r="E44" i="90"/>
  <c r="W71" i="90"/>
  <c r="W73" i="90"/>
  <c r="W74" i="90"/>
  <c r="W105" i="90"/>
  <c r="W114" i="90"/>
  <c r="W156" i="90"/>
  <c r="W167" i="90"/>
  <c r="W168" i="90"/>
  <c r="W169" i="90"/>
  <c r="W170" i="90"/>
  <c r="W172" i="90"/>
  <c r="W176" i="90"/>
  <c r="W177" i="90"/>
  <c r="W178" i="90"/>
  <c r="W181" i="90"/>
  <c r="W182" i="90"/>
  <c r="W184" i="90"/>
  <c r="W187" i="90"/>
  <c r="B3" i="90"/>
  <c r="B4" i="90"/>
  <c r="B5" i="90"/>
  <c r="B6" i="90"/>
  <c r="B7" i="90"/>
  <c r="B8" i="90"/>
  <c r="B9" i="90"/>
  <c r="B10" i="90"/>
  <c r="B11" i="90"/>
  <c r="B12" i="90"/>
  <c r="B13" i="90"/>
  <c r="B14" i="90"/>
  <c r="B15" i="90"/>
  <c r="B16" i="90"/>
  <c r="B17" i="90"/>
  <c r="B18" i="90"/>
  <c r="B19" i="90"/>
  <c r="B20" i="90"/>
  <c r="B21" i="90"/>
  <c r="B22" i="90"/>
  <c r="B23" i="90"/>
  <c r="B24" i="90"/>
  <c r="B25" i="90"/>
  <c r="B26" i="90"/>
  <c r="B27" i="90"/>
  <c r="B28" i="90"/>
  <c r="B29" i="90"/>
  <c r="B30" i="90"/>
  <c r="B31" i="90"/>
  <c r="B32" i="90"/>
  <c r="B33" i="90"/>
  <c r="B34" i="90"/>
  <c r="B35" i="90"/>
  <c r="B36" i="90"/>
  <c r="B37" i="90"/>
  <c r="B38" i="90"/>
  <c r="B39" i="90"/>
  <c r="B40" i="90"/>
  <c r="B41" i="90"/>
  <c r="B42" i="90"/>
  <c r="B43" i="90"/>
  <c r="B44" i="90"/>
  <c r="B45" i="90"/>
  <c r="B46" i="90"/>
  <c r="B47" i="90"/>
  <c r="B48" i="90"/>
  <c r="B49" i="90"/>
  <c r="B50" i="90"/>
  <c r="B51" i="90"/>
  <c r="B52" i="90"/>
  <c r="B53" i="90"/>
  <c r="B54" i="90"/>
  <c r="B55" i="90"/>
  <c r="B56" i="90"/>
  <c r="B57" i="90"/>
  <c r="B58" i="90"/>
  <c r="B59" i="90"/>
  <c r="B60" i="90"/>
  <c r="B61" i="90"/>
  <c r="B62" i="90"/>
  <c r="B63" i="90"/>
  <c r="B64" i="90"/>
  <c r="B65" i="90"/>
  <c r="B66" i="90"/>
  <c r="B67" i="90"/>
  <c r="B68" i="90"/>
  <c r="B69" i="90"/>
  <c r="B70" i="90"/>
  <c r="B71" i="90"/>
  <c r="B72" i="90"/>
  <c r="B73" i="90"/>
  <c r="B74" i="90"/>
  <c r="B75" i="90"/>
  <c r="B76" i="90"/>
  <c r="B77" i="90"/>
  <c r="B78" i="90"/>
  <c r="B79" i="90"/>
  <c r="B80" i="90"/>
  <c r="B81" i="90"/>
  <c r="B82" i="90"/>
  <c r="B83" i="90"/>
  <c r="B84" i="90"/>
  <c r="B85" i="90"/>
  <c r="B86" i="90"/>
  <c r="B87" i="90"/>
  <c r="B88" i="90"/>
  <c r="B89" i="90"/>
  <c r="B90" i="90"/>
  <c r="B91" i="90"/>
  <c r="B92" i="90"/>
  <c r="B93" i="90"/>
  <c r="B94" i="90"/>
  <c r="B95" i="90"/>
  <c r="B96" i="90"/>
  <c r="B97" i="90"/>
  <c r="B98" i="90"/>
  <c r="B99" i="90"/>
  <c r="B100" i="90"/>
  <c r="B101" i="90"/>
  <c r="B102" i="90"/>
  <c r="B103" i="90"/>
  <c r="B104" i="90"/>
  <c r="B105" i="90"/>
  <c r="B106" i="90"/>
  <c r="B107" i="90"/>
  <c r="B108" i="90"/>
  <c r="B109" i="90"/>
  <c r="B110" i="90"/>
  <c r="B111" i="90"/>
  <c r="B112" i="90"/>
  <c r="B113" i="90"/>
  <c r="B114" i="90"/>
  <c r="B115" i="90"/>
  <c r="B116" i="90"/>
  <c r="B117" i="90"/>
  <c r="B118" i="90"/>
  <c r="B119" i="90"/>
  <c r="B120" i="90"/>
  <c r="B121" i="90"/>
  <c r="B122" i="90"/>
  <c r="B123" i="90"/>
  <c r="B124" i="90"/>
  <c r="B125" i="90"/>
  <c r="B136" i="90"/>
  <c r="B137" i="90"/>
  <c r="B138" i="90"/>
  <c r="B139" i="90"/>
  <c r="B140" i="90"/>
  <c r="B141" i="90"/>
  <c r="B147" i="90"/>
  <c r="B148" i="90"/>
  <c r="B149" i="90"/>
  <c r="B150" i="90"/>
  <c r="B151" i="90"/>
  <c r="B152" i="90"/>
  <c r="B153" i="90"/>
  <c r="B154" i="90"/>
  <c r="B155" i="90"/>
  <c r="B156" i="90"/>
  <c r="B157" i="90"/>
  <c r="B158" i="90"/>
  <c r="B159" i="90"/>
  <c r="B160" i="90"/>
  <c r="B161" i="90"/>
  <c r="B162" i="90"/>
  <c r="B163" i="90"/>
  <c r="B164" i="90"/>
  <c r="B165" i="90"/>
  <c r="B166" i="90"/>
  <c r="B167" i="90"/>
  <c r="B168" i="90"/>
  <c r="B169" i="90"/>
  <c r="B170" i="90"/>
  <c r="B171" i="90"/>
  <c r="B172" i="90"/>
  <c r="B173" i="90"/>
  <c r="B174" i="90"/>
  <c r="B175" i="90"/>
  <c r="B176" i="90"/>
  <c r="B177" i="90"/>
  <c r="B178" i="90"/>
  <c r="B179" i="90"/>
  <c r="B180" i="90"/>
  <c r="B181" i="90"/>
  <c r="B182" i="90"/>
  <c r="B183" i="90"/>
  <c r="B184" i="90"/>
  <c r="B185" i="90"/>
  <c r="B186" i="90"/>
  <c r="B187" i="90"/>
  <c r="B188" i="90"/>
  <c r="B189" i="90"/>
  <c r="B190" i="90"/>
  <c r="B2" i="90"/>
  <c r="B3" i="91"/>
  <c r="B4" i="91"/>
  <c r="B5" i="91"/>
  <c r="B6" i="91"/>
  <c r="B7" i="91"/>
  <c r="B8" i="91"/>
  <c r="B9" i="91"/>
  <c r="B10" i="91"/>
  <c r="B11" i="91"/>
  <c r="B12" i="91"/>
  <c r="B13" i="91"/>
  <c r="B14" i="91"/>
  <c r="B15" i="91"/>
  <c r="B16" i="91"/>
  <c r="B17" i="91"/>
  <c r="B18" i="91"/>
  <c r="B19" i="91"/>
  <c r="B20" i="91"/>
  <c r="B21" i="91"/>
  <c r="B22" i="91"/>
  <c r="B23" i="91"/>
  <c r="B24" i="91"/>
  <c r="B25" i="91"/>
  <c r="B26" i="91"/>
  <c r="B27" i="91"/>
  <c r="B28" i="91"/>
  <c r="B29" i="91"/>
  <c r="B30" i="91"/>
  <c r="B31" i="91"/>
  <c r="B32" i="91"/>
  <c r="B33" i="91"/>
  <c r="B34" i="91"/>
  <c r="B35" i="91"/>
  <c r="B36" i="91"/>
  <c r="B37" i="91"/>
  <c r="B38" i="91"/>
  <c r="B39" i="91"/>
  <c r="B40" i="91"/>
  <c r="B41" i="91"/>
  <c r="B42" i="91"/>
  <c r="B43" i="91"/>
  <c r="B44" i="91"/>
  <c r="B45" i="91"/>
  <c r="B46" i="91"/>
  <c r="B47" i="91"/>
  <c r="B48" i="91"/>
  <c r="B49" i="91"/>
  <c r="B50" i="91"/>
  <c r="B51" i="91"/>
  <c r="B52" i="91"/>
  <c r="B53" i="91"/>
  <c r="B54" i="91"/>
  <c r="B55" i="91"/>
  <c r="B56" i="91"/>
  <c r="B57" i="91"/>
  <c r="B58" i="91"/>
  <c r="B59" i="91"/>
  <c r="B60" i="91"/>
  <c r="B61" i="91"/>
  <c r="B62" i="91"/>
  <c r="B63" i="91"/>
  <c r="B64" i="91"/>
  <c r="B65" i="91"/>
  <c r="B66" i="91"/>
  <c r="B67" i="91"/>
  <c r="B68" i="91"/>
  <c r="B69" i="91"/>
  <c r="B70" i="91"/>
  <c r="B71" i="91"/>
  <c r="B72" i="91"/>
  <c r="B73" i="91"/>
  <c r="B74" i="91"/>
  <c r="B75" i="91"/>
  <c r="B76" i="91"/>
  <c r="B77" i="91"/>
  <c r="B78" i="91"/>
  <c r="B79" i="91"/>
  <c r="B80" i="91"/>
  <c r="B81" i="91"/>
  <c r="B82" i="91"/>
  <c r="B83" i="91"/>
  <c r="B84" i="91"/>
  <c r="B85" i="91"/>
  <c r="B86" i="91"/>
  <c r="B87" i="91"/>
  <c r="B88" i="91"/>
  <c r="B89" i="91"/>
  <c r="B90" i="91"/>
  <c r="B91" i="91"/>
  <c r="B92" i="91"/>
  <c r="B93" i="91"/>
  <c r="B94" i="91"/>
  <c r="B95" i="91"/>
  <c r="B96" i="91"/>
  <c r="B97" i="91"/>
  <c r="B98" i="91"/>
  <c r="B99" i="91"/>
  <c r="B100" i="91"/>
  <c r="B101" i="91"/>
  <c r="B102" i="91"/>
  <c r="B103" i="91"/>
  <c r="B104" i="91"/>
  <c r="B105" i="91"/>
  <c r="B106" i="91"/>
  <c r="B107" i="91"/>
  <c r="B108" i="91"/>
  <c r="B109" i="91"/>
  <c r="B110" i="91"/>
  <c r="B111" i="91"/>
  <c r="B122" i="91"/>
  <c r="B123" i="91"/>
  <c r="B124" i="91"/>
  <c r="B125" i="91"/>
  <c r="B126" i="91"/>
  <c r="B127" i="91"/>
  <c r="B133" i="91"/>
  <c r="B134" i="91"/>
  <c r="B135" i="91"/>
  <c r="B136" i="91"/>
  <c r="B137" i="91"/>
  <c r="B138" i="91"/>
  <c r="B139" i="91"/>
  <c r="B140" i="91"/>
  <c r="B141" i="91"/>
  <c r="B142" i="91"/>
  <c r="B143" i="91"/>
  <c r="B144" i="91"/>
  <c r="B145" i="91"/>
  <c r="B146" i="91"/>
  <c r="B147" i="91"/>
  <c r="B148" i="91"/>
  <c r="B149" i="91"/>
  <c r="B150" i="91"/>
  <c r="B151" i="91"/>
  <c r="B152" i="91"/>
  <c r="B153" i="91"/>
  <c r="B154" i="91"/>
  <c r="B155" i="91"/>
  <c r="B156" i="91"/>
  <c r="B157" i="91"/>
  <c r="B158" i="91"/>
  <c r="B159" i="91"/>
  <c r="B160" i="91"/>
  <c r="B161" i="91"/>
  <c r="B162" i="91"/>
  <c r="B163" i="91"/>
  <c r="B164" i="91"/>
  <c r="B165" i="91"/>
  <c r="B166" i="91"/>
  <c r="B167" i="91"/>
  <c r="B168" i="91"/>
  <c r="B169" i="91"/>
  <c r="B170" i="91"/>
  <c r="B2" i="91"/>
  <c r="F3" i="96"/>
  <c r="B3" i="97"/>
  <c r="F4" i="96"/>
  <c r="B4" i="97"/>
  <c r="F5" i="96"/>
  <c r="B5" i="97"/>
  <c r="F6" i="96"/>
  <c r="B6" i="97"/>
  <c r="F7" i="96"/>
  <c r="B7" i="97"/>
  <c r="F8" i="96"/>
  <c r="B8" i="97"/>
  <c r="F9" i="96"/>
  <c r="B9" i="97"/>
  <c r="F10" i="96"/>
  <c r="B10" i="97"/>
  <c r="F11" i="96"/>
  <c r="B11" i="97"/>
  <c r="F12" i="96"/>
  <c r="B12" i="97"/>
  <c r="F14" i="96"/>
  <c r="B13" i="97"/>
  <c r="F15" i="96"/>
  <c r="B14" i="97"/>
  <c r="F16" i="96"/>
  <c r="B15" i="97"/>
  <c r="F17" i="96"/>
  <c r="B16" i="97"/>
  <c r="F18" i="96"/>
  <c r="B17" i="97"/>
  <c r="F19" i="96"/>
  <c r="B18" i="97"/>
  <c r="F20" i="96"/>
  <c r="B19" i="97"/>
  <c r="F21" i="96"/>
  <c r="B20" i="97"/>
  <c r="F22" i="96"/>
  <c r="B21" i="97"/>
  <c r="F23" i="96"/>
  <c r="B22" i="97"/>
  <c r="F24" i="96"/>
  <c r="B23" i="97"/>
  <c r="F25" i="96"/>
  <c r="B24" i="97"/>
  <c r="F26" i="96"/>
  <c r="B25" i="97"/>
  <c r="F27" i="96"/>
  <c r="B26" i="97"/>
  <c r="F28" i="96"/>
  <c r="B27" i="97"/>
  <c r="F29" i="96"/>
  <c r="B28" i="97"/>
  <c r="F30" i="96"/>
  <c r="B29" i="97"/>
  <c r="F31" i="96"/>
  <c r="B30" i="97"/>
  <c r="F32" i="96"/>
  <c r="B31" i="97"/>
  <c r="F33" i="96"/>
  <c r="B32" i="97"/>
  <c r="F34" i="96"/>
  <c r="B33" i="97"/>
  <c r="F35" i="96"/>
  <c r="B34" i="97"/>
  <c r="F36" i="96"/>
  <c r="B35" i="97"/>
  <c r="F37" i="96"/>
  <c r="B36" i="97"/>
  <c r="F38" i="96"/>
  <c r="B37" i="97"/>
  <c r="F39" i="96"/>
  <c r="B38" i="97"/>
  <c r="F40" i="96"/>
  <c r="B39" i="97"/>
  <c r="F41" i="96"/>
  <c r="B40" i="97"/>
  <c r="F42" i="96"/>
  <c r="B41" i="97"/>
  <c r="F43" i="96"/>
  <c r="B42" i="97"/>
  <c r="F44" i="96"/>
  <c r="B43" i="97"/>
  <c r="F45" i="96"/>
  <c r="B44" i="97"/>
  <c r="F46" i="96"/>
  <c r="B45" i="97"/>
  <c r="F47" i="96"/>
  <c r="B46" i="97"/>
  <c r="F48" i="96"/>
  <c r="B47" i="97"/>
  <c r="F49" i="96"/>
  <c r="B48" i="97"/>
  <c r="F50" i="96"/>
  <c r="B49" i="97"/>
  <c r="F51" i="96"/>
  <c r="B50" i="97"/>
  <c r="F52" i="96"/>
  <c r="B51" i="97"/>
  <c r="F53" i="96"/>
  <c r="B52" i="97"/>
  <c r="F54" i="96"/>
  <c r="B53" i="97"/>
  <c r="F55" i="96"/>
  <c r="B54" i="97"/>
  <c r="F56" i="96"/>
  <c r="B55" i="97"/>
  <c r="F57" i="96"/>
  <c r="B56" i="97"/>
  <c r="F58" i="96"/>
  <c r="B57" i="97"/>
  <c r="F59" i="96"/>
  <c r="B58" i="97"/>
  <c r="F60" i="96"/>
  <c r="B59" i="97"/>
  <c r="F61" i="96"/>
  <c r="B60" i="97"/>
  <c r="F62" i="96"/>
  <c r="B61" i="97"/>
  <c r="F63" i="96"/>
  <c r="B62" i="97"/>
  <c r="F64" i="96"/>
  <c r="B63" i="97"/>
  <c r="F65" i="96"/>
  <c r="B64" i="97"/>
  <c r="F66" i="96"/>
  <c r="B65" i="97"/>
  <c r="F67" i="96"/>
  <c r="B66" i="97"/>
  <c r="F68" i="96"/>
  <c r="B67" i="97"/>
  <c r="F69" i="96"/>
  <c r="B68" i="97"/>
  <c r="F70" i="96"/>
  <c r="B69" i="97"/>
  <c r="F71" i="96"/>
  <c r="B70" i="97"/>
  <c r="F72" i="96"/>
  <c r="B71" i="97"/>
  <c r="F73" i="96"/>
  <c r="B72" i="97"/>
  <c r="F74" i="96"/>
  <c r="B73" i="97"/>
  <c r="F75" i="96"/>
  <c r="B74" i="97"/>
  <c r="F76" i="96"/>
  <c r="B75" i="97"/>
  <c r="F77" i="96"/>
  <c r="B76" i="97"/>
  <c r="F78" i="96"/>
  <c r="B77" i="97"/>
  <c r="F89" i="96"/>
  <c r="B88" i="97"/>
  <c r="F90" i="96"/>
  <c r="B89" i="97"/>
  <c r="F91" i="96"/>
  <c r="B90" i="97"/>
  <c r="F92" i="96"/>
  <c r="B91" i="97"/>
  <c r="F93" i="96"/>
  <c r="B92" i="97"/>
  <c r="F94" i="96"/>
  <c r="B93" i="97"/>
  <c r="F95" i="96"/>
  <c r="B94" i="97"/>
  <c r="F96" i="96"/>
  <c r="B95" i="97"/>
  <c r="F97" i="96"/>
  <c r="B96" i="97"/>
  <c r="F98" i="96"/>
  <c r="B97" i="97"/>
  <c r="F99" i="96"/>
  <c r="B98" i="97"/>
  <c r="F100" i="96"/>
  <c r="B99" i="97"/>
  <c r="F101" i="96"/>
  <c r="B100" i="97"/>
  <c r="F102" i="96"/>
  <c r="B101" i="97"/>
  <c r="F103" i="96"/>
  <c r="B102" i="97"/>
  <c r="F104" i="96"/>
  <c r="B103" i="97"/>
  <c r="F105" i="96"/>
  <c r="B104" i="97"/>
  <c r="F106" i="96"/>
  <c r="B105" i="97"/>
  <c r="F107" i="96"/>
  <c r="B106" i="97"/>
  <c r="F108" i="96"/>
  <c r="B107" i="97"/>
  <c r="F109" i="96"/>
  <c r="B108" i="97"/>
  <c r="F110" i="96"/>
  <c r="B109" i="97"/>
  <c r="F111" i="96"/>
  <c r="B110" i="97"/>
  <c r="F112" i="96"/>
  <c r="B111" i="97"/>
  <c r="F113" i="96"/>
  <c r="B112" i="97"/>
  <c r="F114" i="96"/>
  <c r="B113" i="97"/>
  <c r="F115" i="96"/>
  <c r="B114" i="97"/>
  <c r="F116" i="96"/>
  <c r="B115" i="97"/>
  <c r="F117" i="96"/>
  <c r="B116" i="97"/>
  <c r="F118" i="96"/>
  <c r="B117" i="97"/>
  <c r="F119" i="96"/>
  <c r="B118" i="97"/>
  <c r="F120" i="96"/>
  <c r="B119" i="97"/>
  <c r="F121" i="96"/>
  <c r="B120" i="97"/>
  <c r="F122" i="96"/>
  <c r="B121" i="97"/>
  <c r="F123" i="96"/>
  <c r="B122" i="97"/>
  <c r="F124" i="96"/>
  <c r="B123" i="97"/>
  <c r="F125" i="96"/>
  <c r="B124" i="97"/>
  <c r="F126" i="96"/>
  <c r="B125" i="97"/>
  <c r="F127" i="96"/>
  <c r="B126" i="97"/>
  <c r="F128" i="96"/>
  <c r="B127" i="97"/>
  <c r="F129" i="96"/>
  <c r="B128" i="97"/>
  <c r="F130" i="96"/>
  <c r="B129" i="97"/>
  <c r="F131" i="96"/>
  <c r="B130" i="97"/>
  <c r="F132" i="96"/>
  <c r="B131" i="97"/>
  <c r="F2" i="96"/>
  <c r="B2" i="97"/>
  <c r="O116" i="97"/>
  <c r="L116" i="97"/>
  <c r="H116" i="97"/>
  <c r="E116" i="97"/>
  <c r="O115" i="97"/>
  <c r="L115" i="97"/>
  <c r="H115" i="97"/>
  <c r="E115" i="97"/>
  <c r="O114" i="97"/>
  <c r="L114" i="97"/>
  <c r="H114" i="97"/>
  <c r="E114" i="97"/>
  <c r="O113" i="97"/>
  <c r="L113" i="97"/>
  <c r="H113" i="97"/>
  <c r="E113" i="97"/>
  <c r="O112" i="97"/>
  <c r="L112" i="97"/>
  <c r="H112" i="97"/>
  <c r="E112" i="97"/>
  <c r="O111" i="97"/>
  <c r="L111" i="97"/>
  <c r="H111" i="97"/>
  <c r="E111" i="97"/>
  <c r="O110" i="97"/>
  <c r="L110" i="97"/>
  <c r="H110" i="97"/>
  <c r="E110" i="97"/>
  <c r="O109" i="97"/>
  <c r="L109" i="97"/>
  <c r="H109" i="97"/>
  <c r="E109" i="97"/>
  <c r="O108" i="97"/>
  <c r="L108" i="97"/>
  <c r="H108" i="97"/>
  <c r="E108" i="97"/>
  <c r="O107" i="97"/>
  <c r="L107" i="97"/>
  <c r="H107" i="97"/>
  <c r="E107" i="97"/>
  <c r="O106" i="97"/>
  <c r="L106" i="97"/>
  <c r="H106" i="97"/>
  <c r="E106" i="97"/>
  <c r="O105" i="97"/>
  <c r="L105" i="97"/>
  <c r="H105" i="97"/>
  <c r="E105" i="97"/>
  <c r="O104" i="97"/>
  <c r="L104" i="97"/>
  <c r="H104" i="97"/>
  <c r="E104" i="97"/>
  <c r="O103" i="97"/>
  <c r="L103" i="97"/>
  <c r="H103" i="97"/>
  <c r="E103" i="97"/>
  <c r="O102" i="97"/>
  <c r="L102" i="97"/>
  <c r="H102" i="97"/>
  <c r="E102" i="97"/>
  <c r="O101" i="97"/>
  <c r="L101" i="97"/>
  <c r="H101" i="97"/>
  <c r="E101" i="97"/>
  <c r="O100" i="97"/>
  <c r="L100" i="97"/>
  <c r="H100" i="97"/>
  <c r="E100" i="97"/>
  <c r="O99" i="97"/>
  <c r="L99" i="97"/>
  <c r="H99" i="97"/>
  <c r="E99" i="97"/>
  <c r="O98" i="97"/>
  <c r="L98" i="97"/>
  <c r="H98" i="97"/>
  <c r="E98" i="97"/>
  <c r="O97" i="97"/>
  <c r="L97" i="97"/>
  <c r="H97" i="97"/>
  <c r="E97" i="97"/>
  <c r="O96" i="97"/>
  <c r="L96" i="97"/>
  <c r="H96" i="97"/>
  <c r="E96" i="97"/>
  <c r="O95" i="97"/>
  <c r="L95" i="97"/>
  <c r="H95" i="97"/>
  <c r="E95" i="97"/>
  <c r="O94" i="97"/>
  <c r="L94" i="97"/>
  <c r="H94" i="97"/>
  <c r="E94" i="97"/>
  <c r="O93" i="97"/>
  <c r="L93" i="97"/>
  <c r="H93" i="97"/>
  <c r="E93" i="97"/>
  <c r="O92" i="97"/>
  <c r="L92" i="97"/>
  <c r="H92" i="97"/>
  <c r="E92" i="97"/>
  <c r="O91" i="97"/>
  <c r="L91" i="97"/>
  <c r="H91" i="97"/>
  <c r="E91" i="97"/>
  <c r="O90" i="97"/>
  <c r="L90" i="97"/>
  <c r="H90" i="97"/>
  <c r="E90" i="97"/>
  <c r="O89" i="97"/>
  <c r="L89" i="97"/>
  <c r="H89" i="97"/>
  <c r="E89" i="97"/>
  <c r="O88" i="97"/>
  <c r="L88" i="97"/>
  <c r="H88" i="97"/>
  <c r="E88" i="97"/>
  <c r="O77" i="97"/>
  <c r="L77" i="97"/>
  <c r="H77" i="97"/>
  <c r="E77" i="97"/>
  <c r="O76" i="97"/>
  <c r="L76" i="97"/>
  <c r="H76" i="97"/>
  <c r="E76" i="97"/>
  <c r="O75" i="97"/>
  <c r="L75" i="97"/>
  <c r="H75" i="97"/>
  <c r="E75" i="97"/>
  <c r="O74" i="97"/>
  <c r="L74" i="97"/>
  <c r="H74" i="97"/>
  <c r="E74" i="97"/>
  <c r="O73" i="97"/>
  <c r="L73" i="97"/>
  <c r="H73" i="97"/>
  <c r="E73" i="97"/>
  <c r="O72" i="97"/>
  <c r="L72" i="97"/>
  <c r="H72" i="97"/>
  <c r="E72" i="97"/>
  <c r="O71" i="97"/>
  <c r="L71" i="97"/>
  <c r="H71" i="97"/>
  <c r="E71" i="97"/>
  <c r="O70" i="97"/>
  <c r="L70" i="97"/>
  <c r="H70" i="97"/>
  <c r="E70" i="97"/>
  <c r="O69" i="97"/>
  <c r="L69" i="97"/>
  <c r="H69" i="97"/>
  <c r="E69" i="97"/>
  <c r="O68" i="97"/>
  <c r="L68" i="97"/>
  <c r="H68" i="97"/>
  <c r="E68" i="97"/>
  <c r="O67" i="97"/>
  <c r="L67" i="97"/>
  <c r="H67" i="97"/>
  <c r="E67" i="97"/>
  <c r="O66" i="97"/>
  <c r="L66" i="97"/>
  <c r="H66" i="97"/>
  <c r="E66" i="97"/>
  <c r="O65" i="97"/>
  <c r="L65" i="97"/>
  <c r="H65" i="97"/>
  <c r="E65" i="97"/>
  <c r="O64" i="97"/>
  <c r="L64" i="97"/>
  <c r="H64" i="97"/>
  <c r="E64" i="97"/>
  <c r="O63" i="97"/>
  <c r="L63" i="97"/>
  <c r="H63" i="97"/>
  <c r="E63" i="97"/>
  <c r="O62" i="97"/>
  <c r="L62" i="97"/>
  <c r="H62" i="97"/>
  <c r="E62" i="97"/>
  <c r="O61" i="97"/>
  <c r="L61" i="97"/>
  <c r="H61" i="97"/>
  <c r="E61" i="97"/>
  <c r="O60" i="97"/>
  <c r="L60" i="97"/>
  <c r="H60" i="97"/>
  <c r="E60" i="97"/>
  <c r="O59" i="97"/>
  <c r="L59" i="97"/>
  <c r="H59" i="97"/>
  <c r="E59" i="97"/>
  <c r="O58" i="97"/>
  <c r="L58" i="97"/>
  <c r="H58" i="97"/>
  <c r="E58" i="97"/>
  <c r="O57" i="97"/>
  <c r="L57" i="97"/>
  <c r="H57" i="97"/>
  <c r="E57" i="97"/>
  <c r="O56" i="97"/>
  <c r="L56" i="97"/>
  <c r="H56" i="97"/>
  <c r="E56" i="97"/>
  <c r="O55" i="97"/>
  <c r="L55" i="97"/>
  <c r="H55" i="97"/>
  <c r="E55" i="97"/>
  <c r="O54" i="97"/>
  <c r="L54" i="97"/>
  <c r="H54" i="97"/>
  <c r="E54" i="97"/>
  <c r="O53" i="97"/>
  <c r="L53" i="97"/>
  <c r="H53" i="97"/>
  <c r="E53" i="97"/>
  <c r="O52" i="97"/>
  <c r="L52" i="97"/>
  <c r="H52" i="97"/>
  <c r="E52" i="97"/>
  <c r="O51" i="97"/>
  <c r="L51" i="97"/>
  <c r="H51" i="97"/>
  <c r="E51" i="97"/>
  <c r="O50" i="97"/>
  <c r="L50" i="97"/>
  <c r="H50" i="97"/>
  <c r="E50" i="97"/>
  <c r="O49" i="97"/>
  <c r="L49" i="97"/>
  <c r="H49" i="97"/>
  <c r="E49" i="97"/>
  <c r="O48" i="97"/>
  <c r="L48" i="97"/>
  <c r="H48" i="97"/>
  <c r="E48" i="97"/>
  <c r="O47" i="97"/>
  <c r="L47" i="97"/>
  <c r="H47" i="97"/>
  <c r="E47" i="97"/>
  <c r="O46" i="97"/>
  <c r="L46" i="97"/>
  <c r="H46" i="97"/>
  <c r="E46" i="97"/>
  <c r="O45" i="97"/>
  <c r="L45" i="97"/>
  <c r="H45" i="97"/>
  <c r="E45" i="97"/>
  <c r="O44" i="97"/>
  <c r="L44" i="97"/>
  <c r="H44" i="97"/>
  <c r="E44" i="97"/>
  <c r="O43" i="97"/>
  <c r="L43" i="97"/>
  <c r="H43" i="97"/>
  <c r="E43" i="97"/>
  <c r="O42" i="97"/>
  <c r="L42" i="97"/>
  <c r="H42" i="97"/>
  <c r="E42" i="97"/>
  <c r="O41" i="97"/>
  <c r="L41" i="97"/>
  <c r="H41" i="97"/>
  <c r="E41" i="97"/>
  <c r="O40" i="97"/>
  <c r="L40" i="97"/>
  <c r="H40" i="97"/>
  <c r="E40" i="97"/>
  <c r="O39" i="97"/>
  <c r="L39" i="97"/>
  <c r="H39" i="97"/>
  <c r="E39" i="97"/>
  <c r="O38" i="97"/>
  <c r="L38" i="97"/>
  <c r="H38" i="97"/>
  <c r="E38" i="97"/>
  <c r="O37" i="97"/>
  <c r="L37" i="97"/>
  <c r="H37" i="97"/>
  <c r="E37" i="97"/>
  <c r="O36" i="97"/>
  <c r="L36" i="97"/>
  <c r="H36" i="97"/>
  <c r="E36" i="97"/>
  <c r="O35" i="97"/>
  <c r="L35" i="97"/>
  <c r="H35" i="97"/>
  <c r="E35" i="97"/>
  <c r="O34" i="97"/>
  <c r="L34" i="97"/>
  <c r="H34" i="97"/>
  <c r="E34" i="97"/>
  <c r="O33" i="97"/>
  <c r="L33" i="97"/>
  <c r="H33" i="97"/>
  <c r="E33" i="97"/>
  <c r="O32" i="97"/>
  <c r="L32" i="97"/>
  <c r="H32" i="97"/>
  <c r="E32" i="97"/>
  <c r="O31" i="97"/>
  <c r="L31" i="97"/>
  <c r="H31" i="97"/>
  <c r="E31" i="97"/>
  <c r="O30" i="97"/>
  <c r="L30" i="97"/>
  <c r="H30" i="97"/>
  <c r="E30" i="97"/>
  <c r="O29" i="97"/>
  <c r="L29" i="97"/>
  <c r="H29" i="97"/>
  <c r="E29" i="97"/>
  <c r="O28" i="97"/>
  <c r="L28" i="97"/>
  <c r="H28" i="97"/>
  <c r="E28" i="97"/>
  <c r="O27" i="97"/>
  <c r="L27" i="97"/>
  <c r="H27" i="97"/>
  <c r="E27" i="97"/>
  <c r="O26" i="97"/>
  <c r="L26" i="97"/>
  <c r="H26" i="97"/>
  <c r="E26" i="97"/>
  <c r="O25" i="97"/>
  <c r="L25" i="97"/>
  <c r="H25" i="97"/>
  <c r="E25" i="97"/>
  <c r="O24" i="97"/>
  <c r="L24" i="97"/>
  <c r="H24" i="97"/>
  <c r="E24" i="97"/>
  <c r="O23" i="97"/>
  <c r="L23" i="97"/>
  <c r="H23" i="97"/>
  <c r="E23" i="97"/>
  <c r="O22" i="97"/>
  <c r="L22" i="97"/>
  <c r="H22" i="97"/>
  <c r="E22" i="97"/>
  <c r="O21" i="97"/>
  <c r="L21" i="97"/>
  <c r="H21" i="97"/>
  <c r="E21" i="97"/>
  <c r="O20" i="97"/>
  <c r="L20" i="97"/>
  <c r="H20" i="97"/>
  <c r="E20" i="97"/>
  <c r="O19" i="97"/>
  <c r="L19" i="97"/>
  <c r="H19" i="97"/>
  <c r="E19" i="97"/>
  <c r="O18" i="97"/>
  <c r="L18" i="97"/>
  <c r="H18" i="97"/>
  <c r="E18" i="97"/>
  <c r="O17" i="97"/>
  <c r="L17" i="97"/>
  <c r="H17" i="97"/>
  <c r="E17" i="97"/>
  <c r="O16" i="97"/>
  <c r="L16" i="97"/>
  <c r="H16" i="97"/>
  <c r="E16" i="97"/>
  <c r="O15" i="97"/>
  <c r="L15" i="97"/>
  <c r="H15" i="97"/>
  <c r="E15" i="97"/>
  <c r="O14" i="97"/>
  <c r="L14" i="97"/>
  <c r="H14" i="97"/>
  <c r="E14" i="97"/>
  <c r="O13" i="97"/>
  <c r="L13" i="97"/>
  <c r="H13" i="97"/>
  <c r="E13" i="97"/>
  <c r="O12" i="97"/>
  <c r="L12" i="97"/>
  <c r="H12" i="97"/>
  <c r="E12" i="97"/>
  <c r="O11" i="97"/>
  <c r="L11" i="97"/>
  <c r="H11" i="97"/>
  <c r="E11" i="97"/>
  <c r="O10" i="97"/>
  <c r="L10" i="97"/>
  <c r="H10" i="97"/>
  <c r="E10" i="97"/>
  <c r="O9" i="97"/>
  <c r="L9" i="97"/>
  <c r="H9" i="97"/>
  <c r="E9" i="97"/>
  <c r="O8" i="97"/>
  <c r="L8" i="97"/>
  <c r="H8" i="97"/>
  <c r="E8" i="97"/>
  <c r="O7" i="97"/>
  <c r="L7" i="97"/>
  <c r="H7" i="97"/>
  <c r="E7" i="97"/>
  <c r="O6" i="97"/>
  <c r="L6" i="97"/>
  <c r="H6" i="97"/>
  <c r="E6" i="97"/>
  <c r="O5" i="97"/>
  <c r="L5" i="97"/>
  <c r="H5" i="97"/>
  <c r="E5" i="97"/>
  <c r="O4" i="97"/>
  <c r="L4" i="97"/>
  <c r="H4" i="97"/>
  <c r="E4" i="97"/>
  <c r="O3" i="97"/>
  <c r="L3" i="97"/>
  <c r="H3" i="97"/>
  <c r="E3" i="97"/>
  <c r="O2" i="97"/>
  <c r="L2" i="97"/>
  <c r="H2" i="97"/>
  <c r="E2" i="97"/>
  <c r="K123" i="96"/>
  <c r="K121" i="96"/>
  <c r="K120" i="96"/>
  <c r="K119" i="96"/>
  <c r="K118" i="96"/>
  <c r="S117" i="96"/>
  <c r="R117" i="96"/>
  <c r="Q117" i="96"/>
  <c r="P117" i="96"/>
  <c r="O117" i="96"/>
  <c r="N117" i="96"/>
  <c r="M117" i="96"/>
  <c r="L117" i="96"/>
  <c r="K117" i="96"/>
  <c r="J117" i="96"/>
  <c r="I117" i="96"/>
  <c r="H117" i="96"/>
  <c r="G117" i="96"/>
  <c r="S116" i="96"/>
  <c r="R116" i="96"/>
  <c r="Q116" i="96"/>
  <c r="P116" i="96"/>
  <c r="O116" i="96"/>
  <c r="N116" i="96"/>
  <c r="M116" i="96"/>
  <c r="L116" i="96"/>
  <c r="I116" i="96"/>
  <c r="H116" i="96"/>
  <c r="G116" i="96"/>
  <c r="S115" i="96"/>
  <c r="R115" i="96"/>
  <c r="Q115" i="96"/>
  <c r="P115" i="96"/>
  <c r="O115" i="96"/>
  <c r="N115" i="96"/>
  <c r="M115" i="96"/>
  <c r="L115" i="96"/>
  <c r="K115" i="96"/>
  <c r="I115" i="96"/>
  <c r="H115" i="96"/>
  <c r="G115" i="96"/>
  <c r="S114" i="96"/>
  <c r="R114" i="96"/>
  <c r="Q114" i="96"/>
  <c r="P114" i="96"/>
  <c r="O114" i="96"/>
  <c r="N114" i="96"/>
  <c r="M114" i="96"/>
  <c r="L114" i="96"/>
  <c r="J114" i="96"/>
  <c r="I114" i="96"/>
  <c r="H114" i="96"/>
  <c r="G114" i="96"/>
  <c r="S113" i="96"/>
  <c r="R113" i="96"/>
  <c r="Q113" i="96"/>
  <c r="P113" i="96"/>
  <c r="O113" i="96"/>
  <c r="N113" i="96"/>
  <c r="M113" i="96"/>
  <c r="L113" i="96"/>
  <c r="K113" i="96"/>
  <c r="J113" i="96"/>
  <c r="I113" i="96"/>
  <c r="H113" i="96"/>
  <c r="G113" i="96"/>
  <c r="S112" i="96"/>
  <c r="R112" i="96"/>
  <c r="Q112" i="96"/>
  <c r="P112" i="96"/>
  <c r="O112" i="96"/>
  <c r="N112" i="96"/>
  <c r="M112" i="96"/>
  <c r="L112" i="96"/>
  <c r="K112" i="96"/>
  <c r="J112" i="96"/>
  <c r="I112" i="96"/>
  <c r="H112" i="96"/>
  <c r="G112" i="96"/>
  <c r="S111" i="96"/>
  <c r="R111" i="96"/>
  <c r="Q111" i="96"/>
  <c r="P111" i="96"/>
  <c r="O111" i="96"/>
  <c r="N111" i="96"/>
  <c r="M111" i="96"/>
  <c r="L111" i="96"/>
  <c r="K111" i="96"/>
  <c r="J111" i="96"/>
  <c r="I111" i="96"/>
  <c r="H111" i="96"/>
  <c r="G111" i="96"/>
  <c r="S110" i="96"/>
  <c r="R110" i="96"/>
  <c r="Q110" i="96"/>
  <c r="P110" i="96"/>
  <c r="O110" i="96"/>
  <c r="N110" i="96"/>
  <c r="M110" i="96"/>
  <c r="L110" i="96"/>
  <c r="K110" i="96"/>
  <c r="J110" i="96"/>
  <c r="I110" i="96"/>
  <c r="H110" i="96"/>
  <c r="G110" i="96"/>
  <c r="S109" i="96"/>
  <c r="R109" i="96"/>
  <c r="Q109" i="96"/>
  <c r="P109" i="96"/>
  <c r="O109" i="96"/>
  <c r="N109" i="96"/>
  <c r="M109" i="96"/>
  <c r="L109" i="96"/>
  <c r="K109" i="96"/>
  <c r="J109" i="96"/>
  <c r="I109" i="96"/>
  <c r="H109" i="96"/>
  <c r="G109" i="96"/>
  <c r="S108" i="96"/>
  <c r="R108" i="96"/>
  <c r="Q108" i="96"/>
  <c r="P108" i="96"/>
  <c r="O108" i="96"/>
  <c r="N108" i="96"/>
  <c r="M108" i="96"/>
  <c r="L108" i="96"/>
  <c r="J108" i="96"/>
  <c r="I108" i="96"/>
  <c r="H108" i="96"/>
  <c r="G108" i="96"/>
  <c r="S107" i="96"/>
  <c r="R107" i="96"/>
  <c r="Q107" i="96"/>
  <c r="P107" i="96"/>
  <c r="O107" i="96"/>
  <c r="N107" i="96"/>
  <c r="M107" i="96"/>
  <c r="L107" i="96"/>
  <c r="K107" i="96"/>
  <c r="J107" i="96"/>
  <c r="I107" i="96"/>
  <c r="H107" i="96"/>
  <c r="G107" i="96"/>
  <c r="S106" i="96"/>
  <c r="R106" i="96"/>
  <c r="Q106" i="96"/>
  <c r="P106" i="96"/>
  <c r="O106" i="96"/>
  <c r="N106" i="96"/>
  <c r="M106" i="96"/>
  <c r="L106" i="96"/>
  <c r="K106" i="96"/>
  <c r="J106" i="96"/>
  <c r="I106" i="96"/>
  <c r="H106" i="96"/>
  <c r="G106" i="96"/>
  <c r="S105" i="96"/>
  <c r="R105" i="96"/>
  <c r="Q105" i="96"/>
  <c r="P105" i="96"/>
  <c r="O105" i="96"/>
  <c r="N105" i="96"/>
  <c r="M105" i="96"/>
  <c r="L105" i="96"/>
  <c r="K105" i="96"/>
  <c r="J105" i="96"/>
  <c r="I105" i="96"/>
  <c r="H105" i="96"/>
  <c r="G105" i="96"/>
  <c r="S104" i="96"/>
  <c r="R104" i="96"/>
  <c r="Q104" i="96"/>
  <c r="P104" i="96"/>
  <c r="O104" i="96"/>
  <c r="N104" i="96"/>
  <c r="M104" i="96"/>
  <c r="K104" i="96"/>
  <c r="J104" i="96"/>
  <c r="I104" i="96"/>
  <c r="H104" i="96"/>
  <c r="G104" i="96"/>
  <c r="S103" i="96"/>
  <c r="R103" i="96"/>
  <c r="Q103" i="96"/>
  <c r="P103" i="96"/>
  <c r="O103" i="96"/>
  <c r="N103" i="96"/>
  <c r="M103" i="96"/>
  <c r="L103" i="96"/>
  <c r="K103" i="96"/>
  <c r="J103" i="96"/>
  <c r="I103" i="96"/>
  <c r="H103" i="96"/>
  <c r="G103" i="96"/>
  <c r="S102" i="96"/>
  <c r="R102" i="96"/>
  <c r="Q102" i="96"/>
  <c r="P102" i="96"/>
  <c r="O102" i="96"/>
  <c r="N102" i="96"/>
  <c r="M102" i="96"/>
  <c r="L102" i="96"/>
  <c r="K102" i="96"/>
  <c r="J102" i="96"/>
  <c r="I102" i="96"/>
  <c r="H102" i="96"/>
  <c r="G102" i="96"/>
  <c r="S101" i="96"/>
  <c r="R101" i="96"/>
  <c r="Q101" i="96"/>
  <c r="P101" i="96"/>
  <c r="O101" i="96"/>
  <c r="N101" i="96"/>
  <c r="M101" i="96"/>
  <c r="L101" i="96"/>
  <c r="J101" i="96"/>
  <c r="I101" i="96"/>
  <c r="H101" i="96"/>
  <c r="G101" i="96"/>
  <c r="S100" i="96"/>
  <c r="R100" i="96"/>
  <c r="Q100" i="96"/>
  <c r="P100" i="96"/>
  <c r="O100" i="96"/>
  <c r="N100" i="96"/>
  <c r="M100" i="96"/>
  <c r="K100" i="96"/>
  <c r="J100" i="96"/>
  <c r="I100" i="96"/>
  <c r="H100" i="96"/>
  <c r="G100" i="96"/>
  <c r="S99" i="96"/>
  <c r="R99" i="96"/>
  <c r="Q99" i="96"/>
  <c r="P99" i="96"/>
  <c r="O99" i="96"/>
  <c r="N99" i="96"/>
  <c r="M99" i="96"/>
  <c r="L99" i="96"/>
  <c r="K99" i="96"/>
  <c r="J99" i="96"/>
  <c r="I99" i="96"/>
  <c r="H99" i="96"/>
  <c r="G99" i="96"/>
  <c r="S98" i="96"/>
  <c r="R98" i="96"/>
  <c r="Q98" i="96"/>
  <c r="P98" i="96"/>
  <c r="O98" i="96"/>
  <c r="N98" i="96"/>
  <c r="M98" i="96"/>
  <c r="L98" i="96"/>
  <c r="K98" i="96"/>
  <c r="J98" i="96"/>
  <c r="I98" i="96"/>
  <c r="H98" i="96"/>
  <c r="G98" i="96"/>
  <c r="S97" i="96"/>
  <c r="R97" i="96"/>
  <c r="Q97" i="96"/>
  <c r="P97" i="96"/>
  <c r="O97" i="96"/>
  <c r="N97" i="96"/>
  <c r="M97" i="96"/>
  <c r="L97" i="96"/>
  <c r="K97" i="96"/>
  <c r="J97" i="96"/>
  <c r="I97" i="96"/>
  <c r="H97" i="96"/>
  <c r="G97" i="96"/>
  <c r="S96" i="96"/>
  <c r="R96" i="96"/>
  <c r="Q96" i="96"/>
  <c r="P96" i="96"/>
  <c r="O96" i="96"/>
  <c r="N96" i="96"/>
  <c r="M96" i="96"/>
  <c r="L96" i="96"/>
  <c r="J96" i="96"/>
  <c r="I96" i="96"/>
  <c r="H96" i="96"/>
  <c r="G96" i="96"/>
  <c r="S95" i="96"/>
  <c r="R95" i="96"/>
  <c r="Q95" i="96"/>
  <c r="P95" i="96"/>
  <c r="O95" i="96"/>
  <c r="N95" i="96"/>
  <c r="M95" i="96"/>
  <c r="L95" i="96"/>
  <c r="K95" i="96"/>
  <c r="J95" i="96"/>
  <c r="I95" i="96"/>
  <c r="H95" i="96"/>
  <c r="G95" i="96"/>
  <c r="S94" i="96"/>
  <c r="R94" i="96"/>
  <c r="Q94" i="96"/>
  <c r="P94" i="96"/>
  <c r="O94" i="96"/>
  <c r="N94" i="96"/>
  <c r="M94" i="96"/>
  <c r="K94" i="96"/>
  <c r="J94" i="96"/>
  <c r="I94" i="96"/>
  <c r="H94" i="96"/>
  <c r="G94" i="96"/>
  <c r="S93" i="96"/>
  <c r="R93" i="96"/>
  <c r="Q93" i="96"/>
  <c r="P93" i="96"/>
  <c r="O93" i="96"/>
  <c r="N93" i="96"/>
  <c r="M93" i="96"/>
  <c r="L93" i="96"/>
  <c r="K93" i="96"/>
  <c r="J93" i="96"/>
  <c r="I93" i="96"/>
  <c r="H93" i="96"/>
  <c r="G93" i="96"/>
  <c r="S92" i="96"/>
  <c r="R92" i="96"/>
  <c r="Q92" i="96"/>
  <c r="P92" i="96"/>
  <c r="O92" i="96"/>
  <c r="N92" i="96"/>
  <c r="M92" i="96"/>
  <c r="L92" i="96"/>
  <c r="K92" i="96"/>
  <c r="J92" i="96"/>
  <c r="I92" i="96"/>
  <c r="H92" i="96"/>
  <c r="G92" i="96"/>
  <c r="S91" i="96"/>
  <c r="R91" i="96"/>
  <c r="Q91" i="96"/>
  <c r="P91" i="96"/>
  <c r="O91" i="96"/>
  <c r="N91" i="96"/>
  <c r="M91" i="96"/>
  <c r="L91" i="96"/>
  <c r="K91" i="96"/>
  <c r="J91" i="96"/>
  <c r="I91" i="96"/>
  <c r="H91" i="96"/>
  <c r="G91" i="96"/>
  <c r="S90" i="96"/>
  <c r="R90" i="96"/>
  <c r="Q90" i="96"/>
  <c r="P90" i="96"/>
  <c r="O90" i="96"/>
  <c r="N90" i="96"/>
  <c r="M90" i="96"/>
  <c r="L90" i="96"/>
  <c r="J90" i="96"/>
  <c r="I90" i="96"/>
  <c r="H90" i="96"/>
  <c r="G90" i="96"/>
  <c r="S89" i="96"/>
  <c r="R89" i="96"/>
  <c r="Q89" i="96"/>
  <c r="P89" i="96"/>
  <c r="O89" i="96"/>
  <c r="N89" i="96"/>
  <c r="M89" i="96"/>
  <c r="L89" i="96"/>
  <c r="J89" i="96"/>
  <c r="I89" i="96"/>
  <c r="H89" i="96"/>
  <c r="G89" i="96"/>
  <c r="S78" i="96"/>
  <c r="R78" i="96"/>
  <c r="Q78" i="96"/>
  <c r="P78" i="96"/>
  <c r="O78" i="96"/>
  <c r="N78" i="96"/>
  <c r="M78" i="96"/>
  <c r="L78" i="96"/>
  <c r="K78" i="96"/>
  <c r="J78" i="96"/>
  <c r="I78" i="96"/>
  <c r="H78" i="96"/>
  <c r="G78" i="96"/>
  <c r="S77" i="96"/>
  <c r="R77" i="96"/>
  <c r="Q77" i="96"/>
  <c r="P77" i="96"/>
  <c r="O77" i="96"/>
  <c r="N77" i="96"/>
  <c r="M77" i="96"/>
  <c r="L77" i="96"/>
  <c r="J77" i="96"/>
  <c r="I77" i="96"/>
  <c r="H77" i="96"/>
  <c r="G77" i="96"/>
  <c r="S76" i="96"/>
  <c r="R76" i="96"/>
  <c r="Q76" i="96"/>
  <c r="P76" i="96"/>
  <c r="O76" i="96"/>
  <c r="N76" i="96"/>
  <c r="M76" i="96"/>
  <c r="L76" i="96"/>
  <c r="K76" i="96"/>
  <c r="J76" i="96"/>
  <c r="I76" i="96"/>
  <c r="H76" i="96"/>
  <c r="G76" i="96"/>
  <c r="S75" i="96"/>
  <c r="R75" i="96"/>
  <c r="Q75" i="96"/>
  <c r="P75" i="96"/>
  <c r="O75" i="96"/>
  <c r="N75" i="96"/>
  <c r="M75" i="96"/>
  <c r="L75" i="96"/>
  <c r="K75" i="96"/>
  <c r="J75" i="96"/>
  <c r="I75" i="96"/>
  <c r="H75" i="96"/>
  <c r="G75" i="96"/>
  <c r="S74" i="96"/>
  <c r="R74" i="96"/>
  <c r="Q74" i="96"/>
  <c r="P74" i="96"/>
  <c r="O74" i="96"/>
  <c r="N74" i="96"/>
  <c r="M74" i="96"/>
  <c r="L74" i="96"/>
  <c r="J74" i="96"/>
  <c r="I74" i="96"/>
  <c r="H74" i="96"/>
  <c r="G74" i="96"/>
  <c r="S73" i="96"/>
  <c r="R73" i="96"/>
  <c r="Q73" i="96"/>
  <c r="P73" i="96"/>
  <c r="O73" i="96"/>
  <c r="N73" i="96"/>
  <c r="M73" i="96"/>
  <c r="L73" i="96"/>
  <c r="K73" i="96"/>
  <c r="J73" i="96"/>
  <c r="I73" i="96"/>
  <c r="H73" i="96"/>
  <c r="G73" i="96"/>
  <c r="S72" i="96"/>
  <c r="R72" i="96"/>
  <c r="Q72" i="96"/>
  <c r="P72" i="96"/>
  <c r="O72" i="96"/>
  <c r="N72" i="96"/>
  <c r="M72" i="96"/>
  <c r="L72" i="96"/>
  <c r="K72" i="96"/>
  <c r="J72" i="96"/>
  <c r="I72" i="96"/>
  <c r="H72" i="96"/>
  <c r="G72" i="96"/>
  <c r="S71" i="96"/>
  <c r="R71" i="96"/>
  <c r="Q71" i="96"/>
  <c r="P71" i="96"/>
  <c r="O71" i="96"/>
  <c r="N71" i="96"/>
  <c r="M71" i="96"/>
  <c r="K71" i="96"/>
  <c r="J71" i="96"/>
  <c r="I71" i="96"/>
  <c r="H71" i="96"/>
  <c r="G71" i="96"/>
  <c r="S70" i="96"/>
  <c r="R70" i="96"/>
  <c r="Q70" i="96"/>
  <c r="P70" i="96"/>
  <c r="O70" i="96"/>
  <c r="N70" i="96"/>
  <c r="M70" i="96"/>
  <c r="K70" i="96"/>
  <c r="J70" i="96"/>
  <c r="I70" i="96"/>
  <c r="H70" i="96"/>
  <c r="G70" i="96"/>
  <c r="S69" i="96"/>
  <c r="R69" i="96"/>
  <c r="Q69" i="96"/>
  <c r="P69" i="96"/>
  <c r="O69" i="96"/>
  <c r="N69" i="96"/>
  <c r="M69" i="96"/>
  <c r="L69" i="96"/>
  <c r="K69" i="96"/>
  <c r="J69" i="96"/>
  <c r="I69" i="96"/>
  <c r="H69" i="96"/>
  <c r="G69" i="96"/>
  <c r="S68" i="96"/>
  <c r="R68" i="96"/>
  <c r="Q68" i="96"/>
  <c r="P68" i="96"/>
  <c r="O68" i="96"/>
  <c r="N68" i="96"/>
  <c r="M68" i="96"/>
  <c r="L68" i="96"/>
  <c r="K68" i="96"/>
  <c r="J68" i="96"/>
  <c r="I68" i="96"/>
  <c r="H68" i="96"/>
  <c r="G68" i="96"/>
  <c r="S67" i="96"/>
  <c r="R67" i="96"/>
  <c r="Q67" i="96"/>
  <c r="P67" i="96"/>
  <c r="O67" i="96"/>
  <c r="N67" i="96"/>
  <c r="M67" i="96"/>
  <c r="L67" i="96"/>
  <c r="K67" i="96"/>
  <c r="J67" i="96"/>
  <c r="I67" i="96"/>
  <c r="H67" i="96"/>
  <c r="G67" i="96"/>
  <c r="S132" i="96"/>
  <c r="R132" i="96"/>
  <c r="K132" i="96"/>
  <c r="J132" i="96"/>
  <c r="I132" i="96"/>
  <c r="H132" i="96"/>
  <c r="G132" i="96"/>
  <c r="S131" i="96"/>
  <c r="R131" i="96"/>
  <c r="J131" i="96"/>
  <c r="I131" i="96"/>
  <c r="H131" i="96"/>
  <c r="G131" i="96"/>
  <c r="S130" i="96"/>
  <c r="R130" i="96"/>
  <c r="K130" i="96"/>
  <c r="J130" i="96"/>
  <c r="I130" i="96"/>
  <c r="H130" i="96"/>
  <c r="G130" i="96"/>
  <c r="S129" i="96"/>
  <c r="R129" i="96"/>
  <c r="K129" i="96"/>
  <c r="J129" i="96"/>
  <c r="I129" i="96"/>
  <c r="H129" i="96"/>
  <c r="G129" i="96"/>
  <c r="S128" i="96"/>
  <c r="R128" i="96"/>
  <c r="K128" i="96"/>
  <c r="J128" i="96"/>
  <c r="I128" i="96"/>
  <c r="H128" i="96"/>
  <c r="G128" i="96"/>
  <c r="S66" i="96"/>
  <c r="R66" i="96"/>
  <c r="Q66" i="96"/>
  <c r="P66" i="96"/>
  <c r="O66" i="96"/>
  <c r="N66" i="96"/>
  <c r="M66" i="96"/>
  <c r="K66" i="96"/>
  <c r="J66" i="96"/>
  <c r="I66" i="96"/>
  <c r="H66" i="96"/>
  <c r="G66" i="96"/>
  <c r="S65" i="96"/>
  <c r="R65" i="96"/>
  <c r="Q65" i="96"/>
  <c r="P65" i="96"/>
  <c r="O65" i="96"/>
  <c r="N65" i="96"/>
  <c r="M65" i="96"/>
  <c r="K65" i="96"/>
  <c r="J65" i="96"/>
  <c r="I65" i="96"/>
  <c r="H65" i="96"/>
  <c r="G65" i="96"/>
  <c r="S64" i="96"/>
  <c r="R64" i="96"/>
  <c r="Q64" i="96"/>
  <c r="P64" i="96"/>
  <c r="O64" i="96"/>
  <c r="N64" i="96"/>
  <c r="M64" i="96"/>
  <c r="K64" i="96"/>
  <c r="J64" i="96"/>
  <c r="I64" i="96"/>
  <c r="H64" i="96"/>
  <c r="G64" i="96"/>
  <c r="S63" i="96"/>
  <c r="R63" i="96"/>
  <c r="Q63" i="96"/>
  <c r="P63" i="96"/>
  <c r="O63" i="96"/>
  <c r="N63" i="96"/>
  <c r="M63" i="96"/>
  <c r="L63" i="96"/>
  <c r="K63" i="96"/>
  <c r="J63" i="96"/>
  <c r="I63" i="96"/>
  <c r="H63" i="96"/>
  <c r="G63" i="96"/>
  <c r="S62" i="96"/>
  <c r="R62" i="96"/>
  <c r="Q62" i="96"/>
  <c r="P62" i="96"/>
  <c r="O62" i="96"/>
  <c r="N62" i="96"/>
  <c r="M62" i="96"/>
  <c r="L62" i="96"/>
  <c r="K62" i="96"/>
  <c r="J62" i="96"/>
  <c r="I62" i="96"/>
  <c r="H62" i="96"/>
  <c r="G62" i="96"/>
  <c r="S61" i="96"/>
  <c r="R61" i="96"/>
  <c r="Q61" i="96"/>
  <c r="P61" i="96"/>
  <c r="O61" i="96"/>
  <c r="N61" i="96"/>
  <c r="M61" i="96"/>
  <c r="L61" i="96"/>
  <c r="K61" i="96"/>
  <c r="J61" i="96"/>
  <c r="I61" i="96"/>
  <c r="H61" i="96"/>
  <c r="G61" i="96"/>
  <c r="S60" i="96"/>
  <c r="R60" i="96"/>
  <c r="Q60" i="96"/>
  <c r="P60" i="96"/>
  <c r="O60" i="96"/>
  <c r="N60" i="96"/>
  <c r="M60" i="96"/>
  <c r="L60" i="96"/>
  <c r="K60" i="96"/>
  <c r="J60" i="96"/>
  <c r="I60" i="96"/>
  <c r="H60" i="96"/>
  <c r="G60" i="96"/>
  <c r="S59" i="96"/>
  <c r="R59" i="96"/>
  <c r="Q59" i="96"/>
  <c r="P59" i="96"/>
  <c r="O59" i="96"/>
  <c r="N59" i="96"/>
  <c r="M59" i="96"/>
  <c r="L59" i="96"/>
  <c r="K59" i="96"/>
  <c r="J59" i="96"/>
  <c r="I59" i="96"/>
  <c r="H59" i="96"/>
  <c r="G59" i="96"/>
  <c r="S58" i="96"/>
  <c r="R58" i="96"/>
  <c r="Q58" i="96"/>
  <c r="P58" i="96"/>
  <c r="O58" i="96"/>
  <c r="N58" i="96"/>
  <c r="M58" i="96"/>
  <c r="L58" i="96"/>
  <c r="K58" i="96"/>
  <c r="J58" i="96"/>
  <c r="I58" i="96"/>
  <c r="H58" i="96"/>
  <c r="G58" i="96"/>
  <c r="S57" i="96"/>
  <c r="R57" i="96"/>
  <c r="Q57" i="96"/>
  <c r="P57" i="96"/>
  <c r="O57" i="96"/>
  <c r="N57" i="96"/>
  <c r="M57" i="96"/>
  <c r="L57" i="96"/>
  <c r="K57" i="96"/>
  <c r="J57" i="96"/>
  <c r="I57" i="96"/>
  <c r="H57" i="96"/>
  <c r="G57" i="96"/>
  <c r="S56" i="96"/>
  <c r="R56" i="96"/>
  <c r="Q56" i="96"/>
  <c r="P56" i="96"/>
  <c r="O56" i="96"/>
  <c r="N56" i="96"/>
  <c r="M56" i="96"/>
  <c r="L56" i="96"/>
  <c r="K56" i="96"/>
  <c r="J56" i="96"/>
  <c r="I56" i="96"/>
  <c r="H56" i="96"/>
  <c r="G56" i="96"/>
  <c r="S55" i="96"/>
  <c r="R55" i="96"/>
  <c r="Q55" i="96"/>
  <c r="P55" i="96"/>
  <c r="O55" i="96"/>
  <c r="N55" i="96"/>
  <c r="M55" i="96"/>
  <c r="L55" i="96"/>
  <c r="K55" i="96"/>
  <c r="J55" i="96"/>
  <c r="I55" i="96"/>
  <c r="H55" i="96"/>
  <c r="G55" i="96"/>
  <c r="S54" i="96"/>
  <c r="R54" i="96"/>
  <c r="Q54" i="96"/>
  <c r="P54" i="96"/>
  <c r="O54" i="96"/>
  <c r="N54" i="96"/>
  <c r="M54" i="96"/>
  <c r="L54" i="96"/>
  <c r="K54" i="96"/>
  <c r="J54" i="96"/>
  <c r="I54" i="96"/>
  <c r="H54" i="96"/>
  <c r="G54" i="96"/>
  <c r="S53" i="96"/>
  <c r="R53" i="96"/>
  <c r="Q53" i="96"/>
  <c r="P53" i="96"/>
  <c r="O53" i="96"/>
  <c r="N53" i="96"/>
  <c r="M53" i="96"/>
  <c r="L53" i="96"/>
  <c r="K53" i="96"/>
  <c r="J53" i="96"/>
  <c r="I53" i="96"/>
  <c r="H53" i="96"/>
  <c r="G53" i="96"/>
  <c r="S52" i="96"/>
  <c r="R52" i="96"/>
  <c r="Q52" i="96"/>
  <c r="P52" i="96"/>
  <c r="O52" i="96"/>
  <c r="N52" i="96"/>
  <c r="M52" i="96"/>
  <c r="L52" i="96"/>
  <c r="K52" i="96"/>
  <c r="J52" i="96"/>
  <c r="I52" i="96"/>
  <c r="H52" i="96"/>
  <c r="G52" i="96"/>
  <c r="S51" i="96"/>
  <c r="R51" i="96"/>
  <c r="Q51" i="96"/>
  <c r="P51" i="96"/>
  <c r="O51" i="96"/>
  <c r="N51" i="96"/>
  <c r="M51" i="96"/>
  <c r="L51" i="96"/>
  <c r="K51" i="96"/>
  <c r="J51" i="96"/>
  <c r="I51" i="96"/>
  <c r="H51" i="96"/>
  <c r="G51" i="96"/>
  <c r="S50" i="96"/>
  <c r="R50" i="96"/>
  <c r="Q50" i="96"/>
  <c r="P50" i="96"/>
  <c r="O50" i="96"/>
  <c r="N50" i="96"/>
  <c r="M50" i="96"/>
  <c r="L50" i="96"/>
  <c r="K50" i="96"/>
  <c r="J50" i="96"/>
  <c r="I50" i="96"/>
  <c r="H50" i="96"/>
  <c r="G50" i="96"/>
  <c r="S49" i="96"/>
  <c r="R49" i="96"/>
  <c r="Q49" i="96"/>
  <c r="P49" i="96"/>
  <c r="O49" i="96"/>
  <c r="N49" i="96"/>
  <c r="M49" i="96"/>
  <c r="L49" i="96"/>
  <c r="K49" i="96"/>
  <c r="J49" i="96"/>
  <c r="I49" i="96"/>
  <c r="H49" i="96"/>
  <c r="G49" i="96"/>
  <c r="S124" i="96"/>
  <c r="R124" i="96"/>
  <c r="K124" i="96"/>
  <c r="J124" i="96"/>
  <c r="I124" i="96"/>
  <c r="H124" i="96"/>
  <c r="G124" i="96"/>
  <c r="S48" i="96"/>
  <c r="R48" i="96"/>
  <c r="Q48" i="96"/>
  <c r="P48" i="96"/>
  <c r="O48" i="96"/>
  <c r="N48" i="96"/>
  <c r="M48" i="96"/>
  <c r="L48" i="96"/>
  <c r="K48" i="96"/>
  <c r="J48" i="96"/>
  <c r="I48" i="96"/>
  <c r="H48" i="96"/>
  <c r="G48" i="96"/>
  <c r="S47" i="96"/>
  <c r="R47" i="96"/>
  <c r="Q47" i="96"/>
  <c r="P47" i="96"/>
  <c r="O47" i="96"/>
  <c r="N47" i="96"/>
  <c r="M47" i="96"/>
  <c r="L47" i="96"/>
  <c r="K47" i="96"/>
  <c r="J47" i="96"/>
  <c r="I47" i="96"/>
  <c r="H47" i="96"/>
  <c r="G47" i="96"/>
  <c r="S46" i="96"/>
  <c r="R46" i="96"/>
  <c r="Q46" i="96"/>
  <c r="P46" i="96"/>
  <c r="O46" i="96"/>
  <c r="N46" i="96"/>
  <c r="M46" i="96"/>
  <c r="L46" i="96"/>
  <c r="K46" i="96"/>
  <c r="J46" i="96"/>
  <c r="I46" i="96"/>
  <c r="H46" i="96"/>
  <c r="G46" i="96"/>
  <c r="S45" i="96"/>
  <c r="R45" i="96"/>
  <c r="Q45" i="96"/>
  <c r="P45" i="96"/>
  <c r="O45" i="96"/>
  <c r="N45" i="96"/>
  <c r="M45" i="96"/>
  <c r="L45" i="96"/>
  <c r="K45" i="96"/>
  <c r="J45" i="96"/>
  <c r="I45" i="96"/>
  <c r="H45" i="96"/>
  <c r="G45" i="96"/>
  <c r="S44" i="96"/>
  <c r="R44" i="96"/>
  <c r="Q44" i="96"/>
  <c r="P44" i="96"/>
  <c r="O44" i="96"/>
  <c r="N44" i="96"/>
  <c r="M44" i="96"/>
  <c r="L44" i="96"/>
  <c r="K44" i="96"/>
  <c r="J44" i="96"/>
  <c r="I44" i="96"/>
  <c r="H44" i="96"/>
  <c r="G44" i="96"/>
  <c r="S43" i="96"/>
  <c r="R43" i="96"/>
  <c r="Q43" i="96"/>
  <c r="P43" i="96"/>
  <c r="O43" i="96"/>
  <c r="N43" i="96"/>
  <c r="M43" i="96"/>
  <c r="L43" i="96"/>
  <c r="K43" i="96"/>
  <c r="J43" i="96"/>
  <c r="I43" i="96"/>
  <c r="H43" i="96"/>
  <c r="G43" i="96"/>
  <c r="S42" i="96"/>
  <c r="R42" i="96"/>
  <c r="Q42" i="96"/>
  <c r="P42" i="96"/>
  <c r="O42" i="96"/>
  <c r="N42" i="96"/>
  <c r="M42" i="96"/>
  <c r="K42" i="96"/>
  <c r="J42" i="96"/>
  <c r="I42" i="96"/>
  <c r="H42" i="96"/>
  <c r="G42" i="96"/>
  <c r="S41" i="96"/>
  <c r="R41" i="96"/>
  <c r="Q41" i="96"/>
  <c r="P41" i="96"/>
  <c r="O41" i="96"/>
  <c r="N41" i="96"/>
  <c r="M41" i="96"/>
  <c r="L41" i="96"/>
  <c r="K41" i="96"/>
  <c r="J41" i="96"/>
  <c r="I41" i="96"/>
  <c r="H41" i="96"/>
  <c r="G41" i="96"/>
  <c r="S40" i="96"/>
  <c r="R40" i="96"/>
  <c r="Q40" i="96"/>
  <c r="P40" i="96"/>
  <c r="O40" i="96"/>
  <c r="N40" i="96"/>
  <c r="M40" i="96"/>
  <c r="L40" i="96"/>
  <c r="K40" i="96"/>
  <c r="J40" i="96"/>
  <c r="I40" i="96"/>
  <c r="H40" i="96"/>
  <c r="G40" i="96"/>
  <c r="S39" i="96"/>
  <c r="R39" i="96"/>
  <c r="Q39" i="96"/>
  <c r="P39" i="96"/>
  <c r="O39" i="96"/>
  <c r="N39" i="96"/>
  <c r="M39" i="96"/>
  <c r="L39" i="96"/>
  <c r="K39" i="96"/>
  <c r="J39" i="96"/>
  <c r="I39" i="96"/>
  <c r="H39" i="96"/>
  <c r="G39" i="96"/>
  <c r="S38" i="96"/>
  <c r="R38" i="96"/>
  <c r="Q38" i="96"/>
  <c r="P38" i="96"/>
  <c r="O38" i="96"/>
  <c r="N38" i="96"/>
  <c r="M38" i="96"/>
  <c r="L38" i="96"/>
  <c r="K38" i="96"/>
  <c r="J38" i="96"/>
  <c r="I38" i="96"/>
  <c r="H38" i="96"/>
  <c r="G38" i="96"/>
  <c r="S37" i="96"/>
  <c r="R37" i="96"/>
  <c r="Q37" i="96"/>
  <c r="P37" i="96"/>
  <c r="O37" i="96"/>
  <c r="N37" i="96"/>
  <c r="M37" i="96"/>
  <c r="L37" i="96"/>
  <c r="K37" i="96"/>
  <c r="J37" i="96"/>
  <c r="I37" i="96"/>
  <c r="H37" i="96"/>
  <c r="G37" i="96"/>
  <c r="S36" i="96"/>
  <c r="R36" i="96"/>
  <c r="Q36" i="96"/>
  <c r="P36" i="96"/>
  <c r="O36" i="96"/>
  <c r="N36" i="96"/>
  <c r="M36" i="96"/>
  <c r="L36" i="96"/>
  <c r="K36" i="96"/>
  <c r="J36" i="96"/>
  <c r="I36" i="96"/>
  <c r="H36" i="96"/>
  <c r="G36" i="96"/>
  <c r="S35" i="96"/>
  <c r="R35" i="96"/>
  <c r="Q35" i="96"/>
  <c r="P35" i="96"/>
  <c r="O35" i="96"/>
  <c r="N35" i="96"/>
  <c r="M35" i="96"/>
  <c r="L35" i="96"/>
  <c r="K35" i="96"/>
  <c r="J35" i="96"/>
  <c r="I35" i="96"/>
  <c r="H35" i="96"/>
  <c r="G35" i="96"/>
  <c r="S34" i="96"/>
  <c r="R34" i="96"/>
  <c r="Q34" i="96"/>
  <c r="P34" i="96"/>
  <c r="O34" i="96"/>
  <c r="N34" i="96"/>
  <c r="M34" i="96"/>
  <c r="L34" i="96"/>
  <c r="K34" i="96"/>
  <c r="J34" i="96"/>
  <c r="I34" i="96"/>
  <c r="H34" i="96"/>
  <c r="G34" i="96"/>
  <c r="S33" i="96"/>
  <c r="R33" i="96"/>
  <c r="Q33" i="96"/>
  <c r="P33" i="96"/>
  <c r="O33" i="96"/>
  <c r="N33" i="96"/>
  <c r="M33" i="96"/>
  <c r="K33" i="96"/>
  <c r="J33" i="96"/>
  <c r="I33" i="96"/>
  <c r="H33" i="96"/>
  <c r="G33" i="96"/>
  <c r="S32" i="96"/>
  <c r="R32" i="96"/>
  <c r="Q32" i="96"/>
  <c r="P32" i="96"/>
  <c r="O32" i="96"/>
  <c r="N32" i="96"/>
  <c r="M32" i="96"/>
  <c r="L32" i="96"/>
  <c r="K32" i="96"/>
  <c r="J32" i="96"/>
  <c r="I32" i="96"/>
  <c r="H32" i="96"/>
  <c r="G32" i="96"/>
  <c r="S31" i="96"/>
  <c r="R31" i="96"/>
  <c r="Q31" i="96"/>
  <c r="P31" i="96"/>
  <c r="O31" i="96"/>
  <c r="N31" i="96"/>
  <c r="M31" i="96"/>
  <c r="K31" i="96"/>
  <c r="J31" i="96"/>
  <c r="I31" i="96"/>
  <c r="H31" i="96"/>
  <c r="G31" i="96"/>
  <c r="S30" i="96"/>
  <c r="R30" i="96"/>
  <c r="Q30" i="96"/>
  <c r="P30" i="96"/>
  <c r="O30" i="96"/>
  <c r="N30" i="96"/>
  <c r="M30" i="96"/>
  <c r="K30" i="96"/>
  <c r="J30" i="96"/>
  <c r="I30" i="96"/>
  <c r="H30" i="96"/>
  <c r="G30" i="96"/>
  <c r="S29" i="96"/>
  <c r="R29" i="96"/>
  <c r="Q29" i="96"/>
  <c r="P29" i="96"/>
  <c r="O29" i="96"/>
  <c r="N29" i="96"/>
  <c r="M29" i="96"/>
  <c r="L29" i="96"/>
  <c r="K29" i="96"/>
  <c r="J29" i="96"/>
  <c r="I29" i="96"/>
  <c r="H29" i="96"/>
  <c r="G29" i="96"/>
  <c r="S28" i="96"/>
  <c r="R28" i="96"/>
  <c r="Q28" i="96"/>
  <c r="P28" i="96"/>
  <c r="O28" i="96"/>
  <c r="N28" i="96"/>
  <c r="M28" i="96"/>
  <c r="K28" i="96"/>
  <c r="J28" i="96"/>
  <c r="I28" i="96"/>
  <c r="H28" i="96"/>
  <c r="G28" i="96"/>
  <c r="S27" i="96"/>
  <c r="R27" i="96"/>
  <c r="Q27" i="96"/>
  <c r="P27" i="96"/>
  <c r="O27" i="96"/>
  <c r="N27" i="96"/>
  <c r="M27" i="96"/>
  <c r="L27" i="96"/>
  <c r="K27" i="96"/>
  <c r="J27" i="96"/>
  <c r="I27" i="96"/>
  <c r="H27" i="96"/>
  <c r="G27" i="96"/>
  <c r="S26" i="96"/>
  <c r="R26" i="96"/>
  <c r="Q26" i="96"/>
  <c r="P26" i="96"/>
  <c r="O26" i="96"/>
  <c r="N26" i="96"/>
  <c r="M26" i="96"/>
  <c r="L26" i="96"/>
  <c r="K26" i="96"/>
  <c r="J26" i="96"/>
  <c r="I26" i="96"/>
  <c r="H26" i="96"/>
  <c r="G26" i="96"/>
  <c r="S25" i="96"/>
  <c r="R25" i="96"/>
  <c r="Q25" i="96"/>
  <c r="P25" i="96"/>
  <c r="O25" i="96"/>
  <c r="N25" i="96"/>
  <c r="M25" i="96"/>
  <c r="L25" i="96"/>
  <c r="K25" i="96"/>
  <c r="J25" i="96"/>
  <c r="I25" i="96"/>
  <c r="H25" i="96"/>
  <c r="G25" i="96"/>
  <c r="S24" i="96"/>
  <c r="R24" i="96"/>
  <c r="Q24" i="96"/>
  <c r="P24" i="96"/>
  <c r="O24" i="96"/>
  <c r="N24" i="96"/>
  <c r="M24" i="96"/>
  <c r="K24" i="96"/>
  <c r="J24" i="96"/>
  <c r="I24" i="96"/>
  <c r="H24" i="96"/>
  <c r="G24" i="96"/>
  <c r="S23" i="96"/>
  <c r="R23" i="96"/>
  <c r="Q23" i="96"/>
  <c r="P23" i="96"/>
  <c r="O23" i="96"/>
  <c r="N23" i="96"/>
  <c r="M23" i="96"/>
  <c r="L23" i="96"/>
  <c r="K23" i="96"/>
  <c r="J23" i="96"/>
  <c r="I23" i="96"/>
  <c r="H23" i="96"/>
  <c r="G23" i="96"/>
  <c r="S22" i="96"/>
  <c r="R22" i="96"/>
  <c r="Q22" i="96"/>
  <c r="P22" i="96"/>
  <c r="O22" i="96"/>
  <c r="N22" i="96"/>
  <c r="M22" i="96"/>
  <c r="L22" i="96"/>
  <c r="K22" i="96"/>
  <c r="J22" i="96"/>
  <c r="I22" i="96"/>
  <c r="H22" i="96"/>
  <c r="G22" i="96"/>
  <c r="S21" i="96"/>
  <c r="R21" i="96"/>
  <c r="Q21" i="96"/>
  <c r="P21" i="96"/>
  <c r="O21" i="96"/>
  <c r="N21" i="96"/>
  <c r="M21" i="96"/>
  <c r="L21" i="96"/>
  <c r="K21" i="96"/>
  <c r="J21" i="96"/>
  <c r="I21" i="96"/>
  <c r="H21" i="96"/>
  <c r="G21" i="96"/>
  <c r="S20" i="96"/>
  <c r="R20" i="96"/>
  <c r="Q20" i="96"/>
  <c r="P20" i="96"/>
  <c r="O20" i="96"/>
  <c r="N20" i="96"/>
  <c r="M20" i="96"/>
  <c r="L20" i="96"/>
  <c r="K20" i="96"/>
  <c r="J20" i="96"/>
  <c r="I20" i="96"/>
  <c r="H20" i="96"/>
  <c r="G20" i="96"/>
  <c r="S19" i="96"/>
  <c r="R19" i="96"/>
  <c r="Q19" i="96"/>
  <c r="P19" i="96"/>
  <c r="O19" i="96"/>
  <c r="N19" i="96"/>
  <c r="M19" i="96"/>
  <c r="L19" i="96"/>
  <c r="K19" i="96"/>
  <c r="J19" i="96"/>
  <c r="I19" i="96"/>
  <c r="H19" i="96"/>
  <c r="G19" i="96"/>
  <c r="S18" i="96"/>
  <c r="R18" i="96"/>
  <c r="Q18" i="96"/>
  <c r="P18" i="96"/>
  <c r="O18" i="96"/>
  <c r="N18" i="96"/>
  <c r="M18" i="96"/>
  <c r="L18" i="96"/>
  <c r="K18" i="96"/>
  <c r="J18" i="96"/>
  <c r="I18" i="96"/>
  <c r="H18" i="96"/>
  <c r="G18" i="96"/>
  <c r="S17" i="96"/>
  <c r="R17" i="96"/>
  <c r="Q17" i="96"/>
  <c r="P17" i="96"/>
  <c r="O17" i="96"/>
  <c r="N17" i="96"/>
  <c r="M17" i="96"/>
  <c r="L17" i="96"/>
  <c r="K17" i="96"/>
  <c r="J17" i="96"/>
  <c r="I17" i="96"/>
  <c r="H17" i="96"/>
  <c r="G17" i="96"/>
  <c r="S16" i="96"/>
  <c r="R16" i="96"/>
  <c r="Q16" i="96"/>
  <c r="P16" i="96"/>
  <c r="O16" i="96"/>
  <c r="N16" i="96"/>
  <c r="M16" i="96"/>
  <c r="K16" i="96"/>
  <c r="J16" i="96"/>
  <c r="I16" i="96"/>
  <c r="H16" i="96"/>
  <c r="G16" i="96"/>
  <c r="S15" i="96"/>
  <c r="R15" i="96"/>
  <c r="Q15" i="96"/>
  <c r="P15" i="96"/>
  <c r="O15" i="96"/>
  <c r="N15" i="96"/>
  <c r="M15" i="96"/>
  <c r="K15" i="96"/>
  <c r="J15" i="96"/>
  <c r="I15" i="96"/>
  <c r="H15" i="96"/>
  <c r="G15" i="96"/>
  <c r="S14" i="96"/>
  <c r="R14" i="96"/>
  <c r="Q14" i="96"/>
  <c r="P14" i="96"/>
  <c r="O14" i="96"/>
  <c r="N14" i="96"/>
  <c r="M14" i="96"/>
  <c r="L14" i="96"/>
  <c r="K14" i="96"/>
  <c r="J14" i="96"/>
  <c r="I14" i="96"/>
  <c r="H14" i="96"/>
  <c r="G14" i="96"/>
  <c r="S127" i="96"/>
  <c r="R127" i="96"/>
  <c r="K127" i="96"/>
  <c r="J127" i="96"/>
  <c r="I127" i="96"/>
  <c r="H127" i="96"/>
  <c r="G127" i="96"/>
  <c r="S126" i="96"/>
  <c r="R126" i="96"/>
  <c r="K126" i="96"/>
  <c r="J126" i="96"/>
  <c r="I126" i="96"/>
  <c r="H126" i="96"/>
  <c r="G126" i="96"/>
  <c r="S125" i="96"/>
  <c r="R125" i="96"/>
  <c r="K125" i="96"/>
  <c r="J125" i="96"/>
  <c r="I125" i="96"/>
  <c r="H125" i="96"/>
  <c r="G125" i="96"/>
  <c r="S12" i="96"/>
  <c r="R12" i="96"/>
  <c r="Q12" i="96"/>
  <c r="P12" i="96"/>
  <c r="O12" i="96"/>
  <c r="N12" i="96"/>
  <c r="M12" i="96"/>
  <c r="K12" i="96"/>
  <c r="J12" i="96"/>
  <c r="I12" i="96"/>
  <c r="H12" i="96"/>
  <c r="G12" i="96"/>
  <c r="S11" i="96"/>
  <c r="R11" i="96"/>
  <c r="Q11" i="96"/>
  <c r="P11" i="96"/>
  <c r="O11" i="96"/>
  <c r="N11" i="96"/>
  <c r="M11" i="96"/>
  <c r="L11" i="96"/>
  <c r="K11" i="96"/>
  <c r="J11" i="96"/>
  <c r="I11" i="96"/>
  <c r="H11" i="96"/>
  <c r="G11" i="96"/>
  <c r="S10" i="96"/>
  <c r="R10" i="96"/>
  <c r="Q10" i="96"/>
  <c r="P10" i="96"/>
  <c r="O10" i="96"/>
  <c r="N10" i="96"/>
  <c r="M10" i="96"/>
  <c r="L10" i="96"/>
  <c r="K10" i="96"/>
  <c r="J10" i="96"/>
  <c r="I10" i="96"/>
  <c r="H10" i="96"/>
  <c r="G10" i="96"/>
  <c r="S9" i="96"/>
  <c r="R9" i="96"/>
  <c r="Q9" i="96"/>
  <c r="P9" i="96"/>
  <c r="O9" i="96"/>
  <c r="N9" i="96"/>
  <c r="M9" i="96"/>
  <c r="L9" i="96"/>
  <c r="K9" i="96"/>
  <c r="J9" i="96"/>
  <c r="I9" i="96"/>
  <c r="H9" i="96"/>
  <c r="G9" i="96"/>
  <c r="S8" i="96"/>
  <c r="R8" i="96"/>
  <c r="Q8" i="96"/>
  <c r="P8" i="96"/>
  <c r="O8" i="96"/>
  <c r="N8" i="96"/>
  <c r="M8" i="96"/>
  <c r="L8" i="96"/>
  <c r="K8" i="96"/>
  <c r="J8" i="96"/>
  <c r="I8" i="96"/>
  <c r="H8" i="96"/>
  <c r="G8" i="96"/>
  <c r="S7" i="96"/>
  <c r="R7" i="96"/>
  <c r="Q7" i="96"/>
  <c r="P7" i="96"/>
  <c r="O7" i="96"/>
  <c r="N7" i="96"/>
  <c r="M7" i="96"/>
  <c r="L7" i="96"/>
  <c r="K7" i="96"/>
  <c r="J7" i="96"/>
  <c r="I7" i="96"/>
  <c r="H7" i="96"/>
  <c r="G7" i="96"/>
  <c r="S6" i="96"/>
  <c r="R6" i="96"/>
  <c r="Q6" i="96"/>
  <c r="P6" i="96"/>
  <c r="O6" i="96"/>
  <c r="N6" i="96"/>
  <c r="M6" i="96"/>
  <c r="L6" i="96"/>
  <c r="K6" i="96"/>
  <c r="J6" i="96"/>
  <c r="I6" i="96"/>
  <c r="H6" i="96"/>
  <c r="G6" i="96"/>
  <c r="S5" i="96"/>
  <c r="R5" i="96"/>
  <c r="Q5" i="96"/>
  <c r="P5" i="96"/>
  <c r="O5" i="96"/>
  <c r="N5" i="96"/>
  <c r="M5" i="96"/>
  <c r="L5" i="96"/>
  <c r="K5" i="96"/>
  <c r="J5" i="96"/>
  <c r="I5" i="96"/>
  <c r="H5" i="96"/>
  <c r="G5" i="96"/>
  <c r="S4" i="96"/>
  <c r="R4" i="96"/>
  <c r="Q4" i="96"/>
  <c r="P4" i="96"/>
  <c r="O4" i="96"/>
  <c r="N4" i="96"/>
  <c r="M4" i="96"/>
  <c r="L4" i="96"/>
  <c r="K4" i="96"/>
  <c r="J4" i="96"/>
  <c r="I4" i="96"/>
  <c r="H4" i="96"/>
  <c r="G4" i="96"/>
  <c r="S3" i="96"/>
  <c r="R3" i="96"/>
  <c r="Q3" i="96"/>
  <c r="P3" i="96"/>
  <c r="O3" i="96"/>
  <c r="N3" i="96"/>
  <c r="M3" i="96"/>
  <c r="L3" i="96"/>
  <c r="K3" i="96"/>
  <c r="J3" i="96"/>
  <c r="I3" i="96"/>
  <c r="H3" i="96"/>
  <c r="G3" i="96"/>
  <c r="S2" i="96"/>
  <c r="R2" i="96"/>
  <c r="Q2" i="96"/>
  <c r="P2" i="96"/>
  <c r="O2" i="96"/>
  <c r="N2" i="96"/>
  <c r="M2" i="96"/>
  <c r="L2" i="96"/>
  <c r="K2" i="96"/>
  <c r="J2" i="96"/>
  <c r="I2" i="96"/>
  <c r="H2" i="96"/>
  <c r="G2" i="96"/>
  <c r="F3" i="86"/>
  <c r="F4" i="86"/>
  <c r="F5" i="86"/>
  <c r="F6" i="86"/>
  <c r="F7" i="86"/>
  <c r="F8" i="86"/>
  <c r="F9" i="86"/>
  <c r="F10" i="86"/>
  <c r="F11" i="86"/>
  <c r="F12" i="86"/>
  <c r="F13" i="86"/>
  <c r="F14" i="86"/>
  <c r="F15" i="86"/>
  <c r="E16" i="86"/>
  <c r="F16" i="86"/>
  <c r="E17" i="86"/>
  <c r="F17" i="86"/>
  <c r="E18" i="86"/>
  <c r="F18" i="86"/>
  <c r="E19" i="86"/>
  <c r="F19" i="86"/>
  <c r="F20" i="86"/>
  <c r="F21" i="86"/>
  <c r="F22" i="86"/>
  <c r="E24" i="86"/>
  <c r="F24" i="86"/>
  <c r="F25" i="86"/>
  <c r="E26" i="86"/>
  <c r="F26" i="86"/>
  <c r="E27" i="86"/>
  <c r="F27" i="86"/>
  <c r="E28" i="86"/>
  <c r="F28" i="86"/>
  <c r="E29" i="86"/>
  <c r="F29" i="86"/>
  <c r="E30" i="86"/>
  <c r="F30" i="86"/>
  <c r="E31" i="86"/>
  <c r="F31" i="86"/>
  <c r="E32" i="86"/>
  <c r="F32" i="86"/>
  <c r="E33" i="86"/>
  <c r="F33" i="86"/>
  <c r="F34" i="86"/>
  <c r="F35" i="86"/>
  <c r="F36" i="86"/>
  <c r="F37" i="86"/>
  <c r="F38" i="86"/>
  <c r="F39" i="86"/>
  <c r="F40" i="86"/>
  <c r="F41" i="86"/>
  <c r="F42" i="86"/>
  <c r="F43" i="86"/>
  <c r="F44" i="86"/>
  <c r="F45" i="86"/>
  <c r="F46" i="86"/>
  <c r="E47" i="86"/>
  <c r="F47" i="86"/>
  <c r="E48" i="86"/>
  <c r="F48" i="86"/>
  <c r="E49" i="86"/>
  <c r="F49" i="86"/>
  <c r="E50" i="86"/>
  <c r="F50" i="86"/>
  <c r="E51" i="86"/>
  <c r="F51" i="86"/>
  <c r="E52" i="86"/>
  <c r="F52" i="86"/>
  <c r="E53" i="86"/>
  <c r="F53" i="86"/>
  <c r="E54" i="86"/>
  <c r="F54" i="86"/>
  <c r="E55" i="86"/>
  <c r="F55" i="86"/>
  <c r="E56" i="86"/>
  <c r="F56" i="86"/>
  <c r="E57" i="86"/>
  <c r="F57" i="86"/>
  <c r="E58" i="86"/>
  <c r="F58" i="86"/>
  <c r="E59" i="86"/>
  <c r="F59" i="86"/>
  <c r="E60" i="86"/>
  <c r="F60" i="86"/>
  <c r="E61" i="86"/>
  <c r="F61" i="86"/>
  <c r="E62" i="86"/>
  <c r="F62" i="86"/>
  <c r="E63" i="86"/>
  <c r="F63" i="86"/>
  <c r="E64" i="86"/>
  <c r="F64" i="86"/>
  <c r="E65" i="86"/>
  <c r="F65" i="86"/>
  <c r="E66" i="86"/>
  <c r="F66" i="86"/>
  <c r="E67" i="86"/>
  <c r="F67" i="86"/>
  <c r="E68" i="86"/>
  <c r="F68" i="86"/>
  <c r="E69" i="86"/>
  <c r="F69" i="86"/>
  <c r="E70" i="86"/>
  <c r="F70" i="86"/>
  <c r="E71" i="86"/>
  <c r="F71" i="86"/>
  <c r="E72" i="86"/>
  <c r="F72" i="86"/>
  <c r="E73" i="86"/>
  <c r="F73" i="86"/>
  <c r="E74" i="86"/>
  <c r="F74" i="86"/>
  <c r="E75" i="86"/>
  <c r="F75" i="86"/>
  <c r="F76" i="86"/>
  <c r="F77" i="86"/>
  <c r="F78" i="86"/>
  <c r="E79" i="86"/>
  <c r="F79" i="86"/>
  <c r="E80" i="86"/>
  <c r="F80" i="86"/>
  <c r="E81" i="86"/>
  <c r="F81" i="86"/>
  <c r="E82" i="86"/>
  <c r="F82" i="86"/>
  <c r="E83" i="86"/>
  <c r="F83" i="86"/>
  <c r="E84" i="86"/>
  <c r="F84" i="86"/>
  <c r="E85" i="86"/>
  <c r="F85" i="86"/>
  <c r="E86" i="86"/>
  <c r="F86" i="86"/>
  <c r="E87" i="86"/>
  <c r="F87" i="86"/>
  <c r="E88" i="86"/>
  <c r="F88" i="86"/>
  <c r="E89" i="86"/>
  <c r="F89" i="86"/>
  <c r="E90" i="86"/>
  <c r="F90" i="86"/>
  <c r="E91" i="86"/>
  <c r="F91" i="86"/>
  <c r="E92" i="86"/>
  <c r="F92" i="86"/>
  <c r="E93" i="86"/>
  <c r="F93" i="86"/>
  <c r="E94" i="86"/>
  <c r="F94" i="86"/>
  <c r="E95" i="86"/>
  <c r="F95" i="86"/>
  <c r="F96" i="86"/>
  <c r="F97" i="86"/>
  <c r="E98" i="86"/>
  <c r="F98" i="86"/>
  <c r="E99" i="86"/>
  <c r="F99" i="86"/>
  <c r="E100" i="86"/>
  <c r="F100" i="86"/>
  <c r="E101" i="86"/>
  <c r="F101" i="86"/>
  <c r="E102" i="86"/>
  <c r="F102" i="86"/>
  <c r="E103" i="86"/>
  <c r="F103" i="86"/>
  <c r="E104" i="86"/>
  <c r="F104" i="86"/>
  <c r="E105" i="86"/>
  <c r="F105" i="86"/>
  <c r="E106" i="86"/>
  <c r="F106" i="86"/>
  <c r="F107" i="86"/>
  <c r="F108" i="86"/>
  <c r="F109" i="86"/>
  <c r="F110" i="86"/>
  <c r="F111" i="86"/>
  <c r="E112" i="86"/>
  <c r="F112" i="86"/>
  <c r="E113" i="86"/>
  <c r="F113" i="86"/>
  <c r="E114" i="86"/>
  <c r="F114" i="86"/>
  <c r="F115" i="86"/>
  <c r="F116" i="86"/>
  <c r="E117" i="86"/>
  <c r="F117" i="86"/>
  <c r="E118" i="86"/>
  <c r="F118" i="86"/>
  <c r="F119" i="86"/>
  <c r="F120" i="86"/>
  <c r="F121" i="86"/>
  <c r="E122" i="86"/>
  <c r="F122" i="86"/>
  <c r="E123" i="86"/>
  <c r="F123" i="86"/>
  <c r="E124" i="86"/>
  <c r="F124" i="86"/>
  <c r="E125" i="86"/>
  <c r="F125" i="86"/>
  <c r="F126" i="86"/>
  <c r="F137" i="86"/>
  <c r="E138" i="86"/>
  <c r="F138" i="86"/>
  <c r="E139" i="86"/>
  <c r="F139" i="86"/>
  <c r="E140" i="86"/>
  <c r="F140" i="86"/>
  <c r="E141" i="86"/>
  <c r="F141" i="86"/>
  <c r="F142" i="86"/>
  <c r="E148" i="86"/>
  <c r="F148" i="86"/>
  <c r="E149" i="86"/>
  <c r="F149" i="86"/>
  <c r="E150" i="86"/>
  <c r="F150" i="86"/>
  <c r="E151" i="86"/>
  <c r="F151" i="86"/>
  <c r="F152" i="86"/>
  <c r="F153" i="86"/>
  <c r="E154" i="86"/>
  <c r="F154" i="86"/>
  <c r="E155" i="86"/>
  <c r="F155" i="86"/>
  <c r="E156" i="86"/>
  <c r="F156" i="86"/>
  <c r="E157" i="86"/>
  <c r="F157" i="86"/>
  <c r="E158" i="86"/>
  <c r="F158" i="86"/>
  <c r="E159" i="86"/>
  <c r="F159" i="86"/>
  <c r="D160" i="86"/>
  <c r="E160" i="86"/>
  <c r="F160" i="86"/>
  <c r="D161" i="86"/>
  <c r="E161" i="86"/>
  <c r="F161" i="86"/>
  <c r="D162" i="86"/>
  <c r="E162" i="86"/>
  <c r="F162" i="86"/>
  <c r="D163" i="86"/>
  <c r="E163" i="86"/>
  <c r="F163" i="86"/>
  <c r="D164" i="86"/>
  <c r="E164" i="86"/>
  <c r="F164" i="86"/>
  <c r="F165" i="86"/>
  <c r="F166" i="86"/>
  <c r="E167" i="86"/>
  <c r="F167" i="86"/>
  <c r="F168" i="86"/>
  <c r="D169" i="86"/>
  <c r="E169" i="86"/>
  <c r="F169" i="86"/>
  <c r="D170" i="86"/>
  <c r="E170" i="86"/>
  <c r="F170" i="86"/>
  <c r="D171" i="86"/>
  <c r="E171" i="86"/>
  <c r="F171" i="86"/>
  <c r="D172" i="86"/>
  <c r="E172" i="86"/>
  <c r="F172" i="86"/>
  <c r="D173" i="86"/>
  <c r="E173" i="86"/>
  <c r="F173" i="86"/>
  <c r="D174" i="86"/>
  <c r="E174" i="86"/>
  <c r="F174" i="86"/>
  <c r="D175" i="86"/>
  <c r="E175" i="86"/>
  <c r="F175" i="86"/>
  <c r="D176" i="86"/>
  <c r="E176" i="86"/>
  <c r="F176" i="86"/>
  <c r="D177" i="86"/>
  <c r="E177" i="86"/>
  <c r="F177" i="86"/>
  <c r="D178" i="86"/>
  <c r="E178" i="86"/>
  <c r="F178" i="86"/>
  <c r="D179" i="86"/>
  <c r="E179" i="86"/>
  <c r="F179" i="86"/>
  <c r="D180" i="86"/>
  <c r="E180" i="86"/>
  <c r="F180" i="86"/>
  <c r="D181" i="86"/>
  <c r="E181" i="86"/>
  <c r="F181" i="86"/>
  <c r="D182" i="86"/>
  <c r="E182" i="86"/>
  <c r="F182" i="86"/>
  <c r="D183" i="86"/>
  <c r="E183" i="86"/>
  <c r="F183" i="86"/>
  <c r="D184" i="86"/>
  <c r="E184" i="86"/>
  <c r="F184" i="86"/>
  <c r="D185" i="86"/>
  <c r="E185" i="86"/>
  <c r="F185" i="86"/>
  <c r="D186" i="86"/>
  <c r="E186" i="86"/>
  <c r="F186" i="86"/>
  <c r="D187" i="86"/>
  <c r="E187" i="86"/>
  <c r="F187" i="86"/>
  <c r="D188" i="86"/>
  <c r="E188" i="86"/>
  <c r="F188" i="86"/>
  <c r="F189" i="86"/>
  <c r="F190" i="86"/>
  <c r="F191" i="86"/>
  <c r="F192" i="86"/>
  <c r="F2" i="86"/>
  <c r="F176" i="87"/>
  <c r="F175" i="87"/>
  <c r="F174" i="87"/>
  <c r="F173" i="87"/>
  <c r="F172" i="87"/>
  <c r="F171" i="87"/>
  <c r="F170" i="87"/>
  <c r="F169" i="87"/>
  <c r="D150" i="87"/>
  <c r="D151" i="87"/>
  <c r="D152" i="87"/>
  <c r="D153" i="87"/>
  <c r="D154" i="87"/>
  <c r="D155" i="87"/>
  <c r="D156" i="87"/>
  <c r="D157" i="87"/>
  <c r="D158" i="87"/>
  <c r="D159" i="87"/>
  <c r="D160" i="87"/>
  <c r="D161" i="87"/>
  <c r="D162" i="87"/>
  <c r="D163" i="87"/>
  <c r="D164" i="87"/>
  <c r="D165" i="87"/>
  <c r="D166" i="87"/>
  <c r="D167" i="87"/>
  <c r="D168" i="87"/>
  <c r="E168" i="87"/>
  <c r="F168" i="87"/>
  <c r="E167" i="87"/>
  <c r="F167" i="87"/>
  <c r="E166" i="87"/>
  <c r="F166" i="87"/>
  <c r="E165" i="87"/>
  <c r="F165" i="87"/>
  <c r="E164" i="87"/>
  <c r="F164" i="87"/>
  <c r="E163" i="87"/>
  <c r="F163" i="87"/>
  <c r="E162" i="87"/>
  <c r="F162" i="87"/>
  <c r="E161" i="87"/>
  <c r="F161" i="87"/>
  <c r="E160" i="87"/>
  <c r="F160" i="87"/>
  <c r="E159" i="87"/>
  <c r="F159" i="87"/>
  <c r="E158" i="87"/>
  <c r="F158" i="87"/>
  <c r="E157" i="87"/>
  <c r="F157" i="87"/>
  <c r="E156" i="87"/>
  <c r="F156" i="87"/>
  <c r="E155" i="87"/>
  <c r="F155" i="87"/>
  <c r="E154" i="87"/>
  <c r="F154" i="87"/>
  <c r="E153" i="87"/>
  <c r="F153" i="87"/>
  <c r="E152" i="87"/>
  <c r="F152" i="87"/>
  <c r="E151" i="87"/>
  <c r="F151" i="87"/>
  <c r="E150" i="87"/>
  <c r="F150" i="87"/>
  <c r="F149" i="87"/>
  <c r="F148" i="87"/>
  <c r="E147" i="87"/>
  <c r="F147" i="87"/>
  <c r="E146" i="87"/>
  <c r="F146" i="87"/>
  <c r="E145" i="87"/>
  <c r="F145" i="87"/>
  <c r="E144" i="87"/>
  <c r="F144" i="87"/>
  <c r="E143" i="87"/>
  <c r="F143" i="87"/>
  <c r="E142" i="87"/>
  <c r="F142" i="87"/>
  <c r="E141" i="87"/>
  <c r="F141" i="87"/>
  <c r="E140" i="87"/>
  <c r="F140" i="87"/>
  <c r="E139" i="87"/>
  <c r="F139" i="87"/>
  <c r="E138" i="87"/>
  <c r="F138" i="87"/>
  <c r="F137" i="87"/>
  <c r="F136" i="87"/>
  <c r="E135" i="87"/>
  <c r="F135" i="87"/>
  <c r="E134" i="87"/>
  <c r="F134" i="87"/>
  <c r="F128" i="87"/>
  <c r="E127" i="87"/>
  <c r="F127" i="87"/>
  <c r="E126" i="87"/>
  <c r="F126" i="87"/>
  <c r="E125" i="87"/>
  <c r="F125" i="87"/>
  <c r="E124" i="87"/>
  <c r="F124" i="87"/>
  <c r="E123" i="87"/>
  <c r="F123" i="87"/>
  <c r="F112" i="87"/>
  <c r="E111" i="87"/>
  <c r="F111" i="87"/>
  <c r="E110" i="87"/>
  <c r="F110" i="87"/>
  <c r="E109" i="87"/>
  <c r="F109" i="87"/>
  <c r="F108" i="87"/>
  <c r="F107" i="87"/>
  <c r="F106" i="87"/>
  <c r="E105" i="87"/>
  <c r="F105" i="87"/>
  <c r="E104" i="87"/>
  <c r="F104" i="87"/>
  <c r="F103" i="87"/>
  <c r="F102" i="87"/>
  <c r="E101" i="87"/>
  <c r="F101" i="87"/>
  <c r="E100" i="87"/>
  <c r="F100" i="87"/>
  <c r="E99" i="87"/>
  <c r="F99" i="87"/>
  <c r="F98" i="87"/>
  <c r="F97" i="87"/>
  <c r="F96" i="87"/>
  <c r="F95" i="87"/>
  <c r="F94" i="87"/>
  <c r="E93" i="87"/>
  <c r="F93" i="87"/>
  <c r="E92" i="87"/>
  <c r="F92" i="87"/>
  <c r="E91" i="87"/>
  <c r="F91" i="87"/>
  <c r="E90" i="87"/>
  <c r="F90" i="87"/>
  <c r="E89" i="87"/>
  <c r="F89" i="87"/>
  <c r="E88" i="87"/>
  <c r="F88" i="87"/>
  <c r="E87" i="87"/>
  <c r="F87" i="87"/>
  <c r="E86" i="87"/>
  <c r="F86" i="87"/>
  <c r="E85" i="87"/>
  <c r="F85" i="87"/>
  <c r="E84" i="87"/>
  <c r="F84" i="87"/>
  <c r="E83" i="87"/>
  <c r="F83" i="87"/>
  <c r="E82" i="87"/>
  <c r="F82" i="87"/>
  <c r="E81" i="87"/>
  <c r="F81" i="87"/>
  <c r="E80" i="87"/>
  <c r="F80" i="87"/>
  <c r="E79" i="87"/>
  <c r="F79" i="87"/>
  <c r="E78" i="87"/>
  <c r="F78" i="87"/>
  <c r="E77" i="87"/>
  <c r="F77" i="87"/>
  <c r="E76" i="87"/>
  <c r="F76" i="87"/>
  <c r="E75" i="87"/>
  <c r="F75" i="87"/>
  <c r="E74" i="87"/>
  <c r="F74" i="87"/>
  <c r="E73" i="87"/>
  <c r="F73" i="87"/>
  <c r="E72" i="87"/>
  <c r="F72" i="87"/>
  <c r="E71" i="87"/>
  <c r="F71" i="87"/>
  <c r="E70" i="87"/>
  <c r="F70" i="87"/>
  <c r="F69" i="87"/>
  <c r="F68" i="87"/>
  <c r="F67" i="87"/>
  <c r="E66" i="87"/>
  <c r="F66" i="87"/>
  <c r="E65" i="87"/>
  <c r="F65" i="87"/>
  <c r="E64" i="87"/>
  <c r="F64" i="87"/>
  <c r="E63" i="87"/>
  <c r="F63" i="87"/>
  <c r="E62" i="87"/>
  <c r="F62" i="87"/>
  <c r="E61" i="87"/>
  <c r="F61" i="87"/>
  <c r="E60" i="87"/>
  <c r="F60" i="87"/>
  <c r="E59" i="87"/>
  <c r="F59" i="87"/>
  <c r="E58" i="87"/>
  <c r="F58" i="87"/>
  <c r="E57" i="87"/>
  <c r="F57" i="87"/>
  <c r="E56" i="87"/>
  <c r="F56" i="87"/>
  <c r="E55" i="87"/>
  <c r="F55" i="87"/>
  <c r="E54" i="87"/>
  <c r="F54" i="87"/>
  <c r="E53" i="87"/>
  <c r="F53" i="87"/>
  <c r="E52" i="87"/>
  <c r="F52" i="87"/>
  <c r="E51" i="87"/>
  <c r="F51" i="87"/>
  <c r="E50" i="87"/>
  <c r="F50" i="87"/>
  <c r="E49" i="87"/>
  <c r="F49" i="87"/>
  <c r="E48" i="87"/>
  <c r="F48" i="87"/>
  <c r="E47" i="87"/>
  <c r="F47" i="87"/>
  <c r="E46" i="87"/>
  <c r="F46" i="87"/>
  <c r="E45" i="87"/>
  <c r="F45" i="87"/>
  <c r="E44" i="87"/>
  <c r="F44" i="87"/>
  <c r="E43" i="87"/>
  <c r="F43" i="87"/>
  <c r="E42" i="87"/>
  <c r="F42" i="87"/>
  <c r="E41" i="87"/>
  <c r="F41" i="87"/>
  <c r="E40" i="87"/>
  <c r="F40" i="87"/>
  <c r="F39" i="87"/>
  <c r="F38" i="87"/>
  <c r="F37" i="87"/>
  <c r="F36" i="87"/>
  <c r="F35" i="87"/>
  <c r="F34" i="87"/>
  <c r="F33" i="87"/>
  <c r="F32" i="87"/>
  <c r="F31" i="87"/>
  <c r="F30" i="87"/>
  <c r="F29" i="87"/>
  <c r="F28" i="87"/>
  <c r="F27" i="87"/>
  <c r="E26" i="87"/>
  <c r="F26" i="87"/>
  <c r="E25" i="87"/>
  <c r="F25" i="87"/>
  <c r="E24" i="87"/>
  <c r="F24" i="87"/>
  <c r="E23" i="87"/>
  <c r="F23" i="87"/>
  <c r="E22" i="87"/>
  <c r="F22" i="87"/>
  <c r="E21" i="87"/>
  <c r="F21" i="87"/>
  <c r="E20" i="87"/>
  <c r="F20" i="87"/>
  <c r="E19" i="87"/>
  <c r="F19" i="87"/>
  <c r="F18" i="87"/>
  <c r="F16" i="87"/>
  <c r="F15" i="87"/>
  <c r="F14" i="87"/>
  <c r="E13" i="87"/>
  <c r="F13" i="87"/>
  <c r="E12" i="87"/>
  <c r="F12" i="87"/>
  <c r="E11" i="87"/>
  <c r="F11" i="87"/>
  <c r="E10" i="87"/>
  <c r="F10" i="87"/>
  <c r="F9" i="87"/>
  <c r="F8" i="87"/>
  <c r="F7" i="87"/>
  <c r="F6" i="87"/>
  <c r="F5" i="87"/>
  <c r="F4" i="87"/>
  <c r="F3" i="87"/>
  <c r="F2" i="87"/>
  <c r="K176" i="87"/>
  <c r="K175" i="87"/>
  <c r="K174" i="87"/>
  <c r="K173" i="87"/>
  <c r="K172" i="87"/>
  <c r="E22" i="91"/>
  <c r="O21" i="91"/>
  <c r="I21" i="91"/>
  <c r="E21" i="91"/>
  <c r="E19" i="91"/>
  <c r="E18" i="91"/>
  <c r="E16" i="91"/>
  <c r="T170" i="91"/>
  <c r="O170" i="91"/>
  <c r="I170" i="91"/>
  <c r="E170" i="91"/>
  <c r="T169" i="91"/>
  <c r="O169" i="91"/>
  <c r="I169" i="91"/>
  <c r="E169" i="91"/>
  <c r="T168" i="91"/>
  <c r="O168" i="91"/>
  <c r="I168" i="91"/>
  <c r="E168" i="91"/>
  <c r="T167" i="91"/>
  <c r="O167" i="91"/>
  <c r="I167" i="91"/>
  <c r="E167" i="91"/>
  <c r="T165" i="91"/>
  <c r="O165" i="91"/>
  <c r="I165" i="91"/>
  <c r="E165" i="91"/>
  <c r="T164" i="91"/>
  <c r="O164" i="91"/>
  <c r="I164" i="91"/>
  <c r="E164" i="91"/>
  <c r="T163" i="91"/>
  <c r="O163" i="91"/>
  <c r="I163" i="91"/>
  <c r="E163" i="91"/>
  <c r="T162" i="91"/>
  <c r="O162" i="91"/>
  <c r="I162" i="91"/>
  <c r="E162" i="91"/>
  <c r="T161" i="91"/>
  <c r="O161" i="91"/>
  <c r="I161" i="91"/>
  <c r="E161" i="91"/>
  <c r="T159" i="91"/>
  <c r="O159" i="91"/>
  <c r="I159" i="91"/>
  <c r="E159" i="91"/>
  <c r="T158" i="91"/>
  <c r="O158" i="91"/>
  <c r="I158" i="91"/>
  <c r="E158" i="91"/>
  <c r="T156" i="91"/>
  <c r="O156" i="91"/>
  <c r="I156" i="91"/>
  <c r="E156" i="91"/>
  <c r="T155" i="91"/>
  <c r="O155" i="91"/>
  <c r="I155" i="91"/>
  <c r="E155" i="91"/>
  <c r="T154" i="91"/>
  <c r="O154" i="91"/>
  <c r="I154" i="91"/>
  <c r="E154" i="91"/>
  <c r="T153" i="91"/>
  <c r="O153" i="91"/>
  <c r="I153" i="91"/>
  <c r="E153" i="91"/>
  <c r="T152" i="91"/>
  <c r="O152" i="91"/>
  <c r="I152" i="91"/>
  <c r="E152" i="91"/>
  <c r="T151" i="91"/>
  <c r="O151" i="91"/>
  <c r="I151" i="91"/>
  <c r="E151" i="91"/>
  <c r="T150" i="91"/>
  <c r="O150" i="91"/>
  <c r="I150" i="91"/>
  <c r="E150" i="91"/>
  <c r="I146" i="91"/>
  <c r="E146" i="91"/>
  <c r="T145" i="91"/>
  <c r="O145" i="91"/>
  <c r="I145" i="91"/>
  <c r="E145" i="91"/>
  <c r="T143" i="91"/>
  <c r="O143" i="91"/>
  <c r="I143" i="91"/>
  <c r="E143" i="91"/>
  <c r="E142" i="91"/>
  <c r="E141" i="91"/>
  <c r="T140" i="91"/>
  <c r="O140" i="91"/>
  <c r="I140" i="91"/>
  <c r="E140" i="91"/>
  <c r="T139" i="91"/>
  <c r="O139" i="91"/>
  <c r="I139" i="91"/>
  <c r="E139" i="91"/>
  <c r="E127" i="91"/>
  <c r="E126" i="91"/>
  <c r="E125" i="91"/>
  <c r="E124" i="91"/>
  <c r="E123" i="91"/>
  <c r="E122" i="91"/>
  <c r="E111" i="91"/>
  <c r="E110" i="91"/>
  <c r="T104" i="91"/>
  <c r="O104" i="91"/>
  <c r="I104" i="91"/>
  <c r="E104" i="91"/>
  <c r="T102" i="91"/>
  <c r="O102" i="91"/>
  <c r="I102" i="91"/>
  <c r="E102" i="91"/>
  <c r="T101" i="91"/>
  <c r="O101" i="91"/>
  <c r="I101" i="91"/>
  <c r="E101" i="91"/>
  <c r="E97" i="91"/>
  <c r="E96" i="91"/>
  <c r="T92" i="91"/>
  <c r="O92" i="91"/>
  <c r="I92" i="91"/>
  <c r="E92" i="91"/>
  <c r="E91" i="91"/>
  <c r="T90" i="91"/>
  <c r="O90" i="91"/>
  <c r="I90" i="91"/>
  <c r="E90" i="91"/>
  <c r="E89" i="91"/>
  <c r="E88" i="91"/>
  <c r="T79" i="91"/>
  <c r="O79" i="91"/>
  <c r="I79" i="91"/>
  <c r="E79" i="91"/>
  <c r="E77" i="91"/>
  <c r="E76" i="91"/>
  <c r="T72" i="91"/>
  <c r="O72" i="91"/>
  <c r="I72" i="91"/>
  <c r="E72" i="91"/>
  <c r="E68" i="91"/>
  <c r="E67" i="91"/>
  <c r="E66" i="91"/>
  <c r="E65" i="91"/>
  <c r="E60" i="91"/>
  <c r="E59" i="91"/>
  <c r="E56" i="91"/>
  <c r="E55" i="91"/>
  <c r="E54" i="91"/>
  <c r="E53" i="91"/>
  <c r="E52" i="91"/>
  <c r="E49" i="91"/>
  <c r="E48" i="91"/>
  <c r="E44" i="91"/>
  <c r="T42" i="91"/>
  <c r="O42" i="91"/>
  <c r="I42" i="91"/>
  <c r="E42" i="91"/>
  <c r="T40" i="91"/>
  <c r="O40" i="91"/>
  <c r="I40" i="91"/>
  <c r="E40" i="91"/>
  <c r="T39" i="91"/>
  <c r="O39" i="91"/>
  <c r="I39" i="91"/>
  <c r="E39" i="91"/>
  <c r="T38" i="91"/>
  <c r="O38" i="91"/>
  <c r="I38" i="91"/>
  <c r="E38" i="91"/>
  <c r="T37" i="91"/>
  <c r="O37" i="91"/>
  <c r="I37" i="91"/>
  <c r="E37" i="91"/>
  <c r="T36" i="91"/>
  <c r="O36" i="91"/>
  <c r="I36" i="91"/>
  <c r="E36" i="91"/>
  <c r="T21" i="91"/>
  <c r="E15" i="91"/>
  <c r="E14" i="91"/>
  <c r="T13" i="91"/>
  <c r="O13" i="91"/>
  <c r="I13" i="91"/>
  <c r="E13" i="91"/>
  <c r="T12" i="91"/>
  <c r="O12" i="91"/>
  <c r="I12" i="91"/>
  <c r="E12" i="91"/>
  <c r="T11" i="91"/>
  <c r="O11" i="91"/>
  <c r="I11" i="91"/>
  <c r="E11" i="91"/>
  <c r="T10" i="91"/>
  <c r="O10" i="91"/>
  <c r="I10" i="91"/>
  <c r="E10" i="91"/>
  <c r="T9" i="91"/>
  <c r="O9" i="91"/>
  <c r="I9" i="91"/>
  <c r="E9" i="91"/>
  <c r="T8" i="91"/>
  <c r="O8" i="91"/>
  <c r="I8" i="91"/>
  <c r="E8" i="91"/>
  <c r="T7" i="91"/>
  <c r="O7" i="91"/>
  <c r="I7" i="91"/>
  <c r="E7" i="91"/>
  <c r="E6" i="91"/>
  <c r="T5" i="91"/>
  <c r="O5" i="91"/>
  <c r="I5" i="91"/>
  <c r="E5" i="91"/>
  <c r="T2" i="91"/>
  <c r="O2" i="91"/>
  <c r="I2" i="91"/>
  <c r="E2" i="91"/>
  <c r="Y3" i="90"/>
  <c r="Y4" i="90"/>
  <c r="Y5" i="90"/>
  <c r="Y6" i="90"/>
  <c r="Y7" i="90"/>
  <c r="Y8" i="90"/>
  <c r="Y9" i="90"/>
  <c r="Y10" i="90"/>
  <c r="Y11" i="90"/>
  <c r="Y12" i="90"/>
  <c r="Y13" i="90"/>
  <c r="Y14" i="90"/>
  <c r="Y15" i="90"/>
  <c r="Y16" i="90"/>
  <c r="Y17" i="90"/>
  <c r="Y18" i="90"/>
  <c r="Y19" i="90"/>
  <c r="Y20" i="90"/>
  <c r="Y21" i="90"/>
  <c r="Y22" i="90"/>
  <c r="Y23" i="90"/>
  <c r="Y24" i="90"/>
  <c r="Y25" i="90"/>
  <c r="Y26" i="90"/>
  <c r="Y27" i="90"/>
  <c r="Y28" i="90"/>
  <c r="Y29" i="90"/>
  <c r="Y30" i="90"/>
  <c r="Y31" i="90"/>
  <c r="Y34" i="90"/>
  <c r="Y35" i="90"/>
  <c r="Y36" i="90"/>
  <c r="Y37" i="90"/>
  <c r="Y38" i="90"/>
  <c r="Y39" i="90"/>
  <c r="Y40" i="90"/>
  <c r="Y43" i="90"/>
  <c r="Y44" i="90"/>
  <c r="Y45" i="90"/>
  <c r="Y46" i="90"/>
  <c r="Y47" i="90"/>
  <c r="Y48" i="90"/>
  <c r="Y49" i="90"/>
  <c r="Y50" i="90"/>
  <c r="Y51" i="90"/>
  <c r="Y52" i="90"/>
  <c r="Y54" i="90"/>
  <c r="Y55" i="90"/>
  <c r="Y56" i="90"/>
  <c r="Y57" i="90"/>
  <c r="Y58" i="90"/>
  <c r="Y61" i="90"/>
  <c r="Y62" i="90"/>
  <c r="Y63" i="90"/>
  <c r="Y64" i="90"/>
  <c r="Y65" i="90"/>
  <c r="Y67" i="90"/>
  <c r="Y69" i="90"/>
  <c r="Y71" i="90"/>
  <c r="Y73" i="90"/>
  <c r="Y74" i="90"/>
  <c r="Y75" i="90"/>
  <c r="Y76" i="90"/>
  <c r="Y77" i="90"/>
  <c r="Y85" i="90"/>
  <c r="Y86" i="90"/>
  <c r="Y87" i="90"/>
  <c r="Y88" i="90"/>
  <c r="Y89" i="90"/>
  <c r="Y90" i="90"/>
  <c r="Y91" i="90"/>
  <c r="Y92" i="90"/>
  <c r="Y95" i="90"/>
  <c r="Y96" i="90"/>
  <c r="Y97" i="90"/>
  <c r="Y98" i="90"/>
  <c r="Y99" i="90"/>
  <c r="Y100" i="90"/>
  <c r="Y101" i="90"/>
  <c r="Y102" i="90"/>
  <c r="Y103" i="90"/>
  <c r="Y104" i="90"/>
  <c r="Y105" i="90"/>
  <c r="Y106" i="90"/>
  <c r="Y107" i="90"/>
  <c r="Y109" i="90"/>
  <c r="Y110" i="90"/>
  <c r="Y111" i="90"/>
  <c r="Y114" i="90"/>
  <c r="Y115" i="90"/>
  <c r="Y118" i="90"/>
  <c r="Y122" i="90"/>
  <c r="Y123" i="90"/>
  <c r="Y124" i="90"/>
  <c r="Y125" i="90"/>
  <c r="Y136" i="90"/>
  <c r="Y137" i="90"/>
  <c r="Y156" i="90"/>
  <c r="Y165" i="90"/>
  <c r="Y166" i="90"/>
  <c r="Y167" i="90"/>
  <c r="Y168" i="90"/>
  <c r="Y169" i="90"/>
  <c r="Y170" i="90"/>
  <c r="Y171" i="90"/>
  <c r="Y172" i="90"/>
  <c r="Y173" i="90"/>
  <c r="Y174" i="90"/>
  <c r="Y175" i="90"/>
  <c r="Y176" i="90"/>
  <c r="Y177" i="90"/>
  <c r="Y178" i="90"/>
  <c r="Y179" i="90"/>
  <c r="Y180" i="90"/>
  <c r="Y181" i="90"/>
  <c r="Y182" i="90"/>
  <c r="Y183" i="90"/>
  <c r="Y184" i="90"/>
  <c r="Y185" i="90"/>
  <c r="Y186" i="90"/>
  <c r="Y187" i="90"/>
  <c r="Y188" i="90"/>
  <c r="Y189" i="90"/>
  <c r="Y190" i="90"/>
  <c r="Y2" i="90"/>
  <c r="R3" i="90"/>
  <c r="R4" i="90"/>
  <c r="R5" i="90"/>
  <c r="R6" i="90"/>
  <c r="R7" i="90"/>
  <c r="R8" i="90"/>
  <c r="R9" i="90"/>
  <c r="R10" i="90"/>
  <c r="R11" i="90"/>
  <c r="R12" i="90"/>
  <c r="R13" i="90"/>
  <c r="R14" i="90"/>
  <c r="R15" i="90"/>
  <c r="R16" i="90"/>
  <c r="R17" i="90"/>
  <c r="R18" i="90"/>
  <c r="R19" i="90"/>
  <c r="R20" i="90"/>
  <c r="R21" i="90"/>
  <c r="R22" i="90"/>
  <c r="R23" i="90"/>
  <c r="R24" i="90"/>
  <c r="R25" i="90"/>
  <c r="R26" i="90"/>
  <c r="R27" i="90"/>
  <c r="R28" i="90"/>
  <c r="R29" i="90"/>
  <c r="R30" i="90"/>
  <c r="R31" i="90"/>
  <c r="R34" i="90"/>
  <c r="R35" i="90"/>
  <c r="R36" i="90"/>
  <c r="R37" i="90"/>
  <c r="R38" i="90"/>
  <c r="R39" i="90"/>
  <c r="R40" i="90"/>
  <c r="R43" i="90"/>
  <c r="R44" i="90"/>
  <c r="R45" i="90"/>
  <c r="R46" i="90"/>
  <c r="R47" i="90"/>
  <c r="R48" i="90"/>
  <c r="R49" i="90"/>
  <c r="R50" i="90"/>
  <c r="R51" i="90"/>
  <c r="R52" i="90"/>
  <c r="R54" i="90"/>
  <c r="R55" i="90"/>
  <c r="R56" i="90"/>
  <c r="R57" i="90"/>
  <c r="R58" i="90"/>
  <c r="R61" i="90"/>
  <c r="R62" i="90"/>
  <c r="R63" i="90"/>
  <c r="R64" i="90"/>
  <c r="R65" i="90"/>
  <c r="R67" i="90"/>
  <c r="R69" i="90"/>
  <c r="R71" i="90"/>
  <c r="R73" i="90"/>
  <c r="R74" i="90"/>
  <c r="R75" i="90"/>
  <c r="R76" i="90"/>
  <c r="R77" i="90"/>
  <c r="R85" i="90"/>
  <c r="R86" i="90"/>
  <c r="R87" i="90"/>
  <c r="R88" i="90"/>
  <c r="R89" i="90"/>
  <c r="R90" i="90"/>
  <c r="R91" i="90"/>
  <c r="R92" i="90"/>
  <c r="R95" i="90"/>
  <c r="R96" i="90"/>
  <c r="R97" i="90"/>
  <c r="R98" i="90"/>
  <c r="R99" i="90"/>
  <c r="R100" i="90"/>
  <c r="R101" i="90"/>
  <c r="R102" i="90"/>
  <c r="R103" i="90"/>
  <c r="R104" i="90"/>
  <c r="R105" i="90"/>
  <c r="R106" i="90"/>
  <c r="R107" i="90"/>
  <c r="R109" i="90"/>
  <c r="R110" i="90"/>
  <c r="R111" i="90"/>
  <c r="R114" i="90"/>
  <c r="R115" i="90"/>
  <c r="R118" i="90"/>
  <c r="R122" i="90"/>
  <c r="R123" i="90"/>
  <c r="R124" i="90"/>
  <c r="R125" i="90"/>
  <c r="R136" i="90"/>
  <c r="R137" i="90"/>
  <c r="R156" i="90"/>
  <c r="R166" i="90"/>
  <c r="R167" i="90"/>
  <c r="R168" i="90"/>
  <c r="R169" i="90"/>
  <c r="R170" i="90"/>
  <c r="R171" i="90"/>
  <c r="R172" i="90"/>
  <c r="R173" i="90"/>
  <c r="R174" i="90"/>
  <c r="R175" i="90"/>
  <c r="R176" i="90"/>
  <c r="R177" i="90"/>
  <c r="R178" i="90"/>
  <c r="R179" i="90"/>
  <c r="R180" i="90"/>
  <c r="R181" i="90"/>
  <c r="R182" i="90"/>
  <c r="R183" i="90"/>
  <c r="R184" i="90"/>
  <c r="R185" i="90"/>
  <c r="R186" i="90"/>
  <c r="R187" i="90"/>
  <c r="R188" i="90"/>
  <c r="R189" i="90"/>
  <c r="R190" i="90"/>
  <c r="R2" i="90"/>
  <c r="J3" i="90"/>
  <c r="J4" i="90"/>
  <c r="J5" i="90"/>
  <c r="J6" i="90"/>
  <c r="J7" i="90"/>
  <c r="J8" i="90"/>
  <c r="J9" i="90"/>
  <c r="J10" i="90"/>
  <c r="J11" i="90"/>
  <c r="J12" i="90"/>
  <c r="J13" i="90"/>
  <c r="J14" i="90"/>
  <c r="J15" i="90"/>
  <c r="J16" i="90"/>
  <c r="J17" i="90"/>
  <c r="J18" i="90"/>
  <c r="J19" i="90"/>
  <c r="J20" i="90"/>
  <c r="J21" i="90"/>
  <c r="J22" i="90"/>
  <c r="J23" i="90"/>
  <c r="J24" i="90"/>
  <c r="J25" i="90"/>
  <c r="J26" i="90"/>
  <c r="J27" i="90"/>
  <c r="J28" i="90"/>
  <c r="J29" i="90"/>
  <c r="J30" i="90"/>
  <c r="J31" i="90"/>
  <c r="J34" i="90"/>
  <c r="J35" i="90"/>
  <c r="J36" i="90"/>
  <c r="J37" i="90"/>
  <c r="J38" i="90"/>
  <c r="J39" i="90"/>
  <c r="J40" i="90"/>
  <c r="J43" i="90"/>
  <c r="J44" i="90"/>
  <c r="J45" i="90"/>
  <c r="J46" i="90"/>
  <c r="J47" i="90"/>
  <c r="J48" i="90"/>
  <c r="J49" i="90"/>
  <c r="J50" i="90"/>
  <c r="J51" i="90"/>
  <c r="J52" i="90"/>
  <c r="J54" i="90"/>
  <c r="J55" i="90"/>
  <c r="J56" i="90"/>
  <c r="J57" i="90"/>
  <c r="J58" i="90"/>
  <c r="J61" i="90"/>
  <c r="J62" i="90"/>
  <c r="J63" i="90"/>
  <c r="J64" i="90"/>
  <c r="J65" i="90"/>
  <c r="J67" i="90"/>
  <c r="J69" i="90"/>
  <c r="J71" i="90"/>
  <c r="J73" i="90"/>
  <c r="J74" i="90"/>
  <c r="J75" i="90"/>
  <c r="J76" i="90"/>
  <c r="J77" i="90"/>
  <c r="J85" i="90"/>
  <c r="J86" i="90"/>
  <c r="J87" i="90"/>
  <c r="J88" i="90"/>
  <c r="J89" i="90"/>
  <c r="J90" i="90"/>
  <c r="J91" i="90"/>
  <c r="J92" i="90"/>
  <c r="J95" i="90"/>
  <c r="J96" i="90"/>
  <c r="J97" i="90"/>
  <c r="J98" i="90"/>
  <c r="J99" i="90"/>
  <c r="J100" i="90"/>
  <c r="J101" i="90"/>
  <c r="J102" i="90"/>
  <c r="J103" i="90"/>
  <c r="J104" i="90"/>
  <c r="J105" i="90"/>
  <c r="J106" i="90"/>
  <c r="J107" i="90"/>
  <c r="J109" i="90"/>
  <c r="J110" i="90"/>
  <c r="J111" i="90"/>
  <c r="J114" i="90"/>
  <c r="J115" i="90"/>
  <c r="J118" i="90"/>
  <c r="J122" i="90"/>
  <c r="J123" i="90"/>
  <c r="J124" i="90"/>
  <c r="J125" i="90"/>
  <c r="J136" i="90"/>
  <c r="J137" i="90"/>
  <c r="J156" i="90"/>
  <c r="J166" i="90"/>
  <c r="J167" i="90"/>
  <c r="J168" i="90"/>
  <c r="J169" i="90"/>
  <c r="J170" i="90"/>
  <c r="J171" i="90"/>
  <c r="J172" i="90"/>
  <c r="J173" i="90"/>
  <c r="J174" i="90"/>
  <c r="J175" i="90"/>
  <c r="J176" i="90"/>
  <c r="J177" i="90"/>
  <c r="J178" i="90"/>
  <c r="J179" i="90"/>
  <c r="J180" i="90"/>
  <c r="J181" i="90"/>
  <c r="J182" i="90"/>
  <c r="J183" i="90"/>
  <c r="J184" i="90"/>
  <c r="J185" i="90"/>
  <c r="J186" i="90"/>
  <c r="J187" i="90"/>
  <c r="J188" i="90"/>
  <c r="J189" i="90"/>
  <c r="J190" i="90"/>
  <c r="J2" i="90"/>
  <c r="E3" i="90"/>
  <c r="E4" i="90"/>
  <c r="E5" i="90"/>
  <c r="E6" i="90"/>
  <c r="E7" i="90"/>
  <c r="E8" i="90"/>
  <c r="E9" i="90"/>
  <c r="E10" i="90"/>
  <c r="E11" i="90"/>
  <c r="E12" i="90"/>
  <c r="E13" i="90"/>
  <c r="E14" i="90"/>
  <c r="E15" i="90"/>
  <c r="E16" i="90"/>
  <c r="E17" i="90"/>
  <c r="E18" i="90"/>
  <c r="E19" i="90"/>
  <c r="E20" i="90"/>
  <c r="E21" i="90"/>
  <c r="E22" i="90"/>
  <c r="E23" i="90"/>
  <c r="E24" i="90"/>
  <c r="E25" i="90"/>
  <c r="E26" i="90"/>
  <c r="E27" i="90"/>
  <c r="E28" i="90"/>
  <c r="E29" i="90"/>
  <c r="E30" i="90"/>
  <c r="E31" i="90"/>
  <c r="E34" i="90"/>
  <c r="E35" i="90"/>
  <c r="E36" i="90"/>
  <c r="E37" i="90"/>
  <c r="E38" i="90"/>
  <c r="E39" i="90"/>
  <c r="E40" i="90"/>
  <c r="E43" i="90"/>
  <c r="E46" i="90"/>
  <c r="E47" i="90"/>
  <c r="E48" i="90"/>
  <c r="E49" i="90"/>
  <c r="E50" i="90"/>
  <c r="E51" i="90"/>
  <c r="E52" i="90"/>
  <c r="E54" i="90"/>
  <c r="E55" i="90"/>
  <c r="E56" i="90"/>
  <c r="E57" i="90"/>
  <c r="E58" i="90"/>
  <c r="E61" i="90"/>
  <c r="E62" i="90"/>
  <c r="E63" i="90"/>
  <c r="E64" i="90"/>
  <c r="E65" i="90"/>
  <c r="E67" i="90"/>
  <c r="E69" i="90"/>
  <c r="E71" i="90"/>
  <c r="E73" i="90"/>
  <c r="E74" i="90"/>
  <c r="E75" i="90"/>
  <c r="E76" i="90"/>
  <c r="E77" i="90"/>
  <c r="E85" i="90"/>
  <c r="E86" i="90"/>
  <c r="E87" i="90"/>
  <c r="E88" i="90"/>
  <c r="E89" i="90"/>
  <c r="E90" i="90"/>
  <c r="E91" i="90"/>
  <c r="E92" i="90"/>
  <c r="E95" i="90"/>
  <c r="E96" i="90"/>
  <c r="E97" i="90"/>
  <c r="E98" i="90"/>
  <c r="E99" i="90"/>
  <c r="E100" i="90"/>
  <c r="E101" i="90"/>
  <c r="E102" i="90"/>
  <c r="E103" i="90"/>
  <c r="E104" i="90"/>
  <c r="E105" i="90"/>
  <c r="E106" i="90"/>
  <c r="E107" i="90"/>
  <c r="E109" i="90"/>
  <c r="E110" i="90"/>
  <c r="E111" i="90"/>
  <c r="E114" i="90"/>
  <c r="E115" i="90"/>
  <c r="E118" i="90"/>
  <c r="E122" i="90"/>
  <c r="E123" i="90"/>
  <c r="E124" i="90"/>
  <c r="E125" i="90"/>
  <c r="E136" i="90"/>
  <c r="E137" i="90"/>
  <c r="E156" i="90"/>
  <c r="E166" i="90"/>
  <c r="E167" i="90"/>
  <c r="E168" i="90"/>
  <c r="E169" i="90"/>
  <c r="E170" i="90"/>
  <c r="E171" i="90"/>
  <c r="E172" i="90"/>
  <c r="E173" i="90"/>
  <c r="E174" i="90"/>
  <c r="E175" i="90"/>
  <c r="E176" i="90"/>
  <c r="E177" i="90"/>
  <c r="E178" i="90"/>
  <c r="E179" i="90"/>
  <c r="E180" i="90"/>
  <c r="E181" i="90"/>
  <c r="E182" i="90"/>
  <c r="E183" i="90"/>
  <c r="E184" i="90"/>
  <c r="E185" i="90"/>
  <c r="E186" i="90"/>
  <c r="E187" i="90"/>
  <c r="E188" i="90"/>
  <c r="E189" i="90"/>
  <c r="E190" i="90"/>
  <c r="E2" i="90"/>
  <c r="K3" i="86"/>
  <c r="L3" i="86"/>
  <c r="M3" i="86"/>
  <c r="N3" i="86"/>
  <c r="O3" i="86"/>
  <c r="P3" i="86"/>
  <c r="Q3" i="86"/>
  <c r="R3" i="86"/>
  <c r="S3" i="86"/>
  <c r="K4" i="86"/>
  <c r="L4" i="86"/>
  <c r="M4" i="86"/>
  <c r="N4" i="86"/>
  <c r="O4" i="86"/>
  <c r="P4" i="86"/>
  <c r="Q4" i="86"/>
  <c r="R4" i="86"/>
  <c r="S4" i="86"/>
  <c r="K5" i="86"/>
  <c r="L5" i="86"/>
  <c r="M5" i="86"/>
  <c r="N5" i="86"/>
  <c r="O5" i="86"/>
  <c r="P5" i="86"/>
  <c r="Q5" i="86"/>
  <c r="R5" i="86"/>
  <c r="S5" i="86"/>
  <c r="K6" i="86"/>
  <c r="M6" i="86"/>
  <c r="N6" i="86"/>
  <c r="O6" i="86"/>
  <c r="P6" i="86"/>
  <c r="Q6" i="86"/>
  <c r="R6" i="86"/>
  <c r="S6" i="86"/>
  <c r="K7" i="86"/>
  <c r="L7" i="86"/>
  <c r="M7" i="86"/>
  <c r="N7" i="86"/>
  <c r="O7" i="86"/>
  <c r="P7" i="86"/>
  <c r="Q7" i="86"/>
  <c r="R7" i="86"/>
  <c r="S7" i="86"/>
  <c r="K8" i="86"/>
  <c r="L8" i="86"/>
  <c r="M8" i="86"/>
  <c r="N8" i="86"/>
  <c r="O8" i="86"/>
  <c r="P8" i="86"/>
  <c r="Q8" i="86"/>
  <c r="R8" i="86"/>
  <c r="S8" i="86"/>
  <c r="K9" i="86"/>
  <c r="M9" i="86"/>
  <c r="N9" i="86"/>
  <c r="O9" i="86"/>
  <c r="P9" i="86"/>
  <c r="Q9" i="86"/>
  <c r="R9" i="86"/>
  <c r="S9" i="86"/>
  <c r="K10" i="86"/>
  <c r="M10" i="86"/>
  <c r="N10" i="86"/>
  <c r="O10" i="86"/>
  <c r="P10" i="86"/>
  <c r="Q10" i="86"/>
  <c r="R10" i="86"/>
  <c r="S10" i="86"/>
  <c r="K11" i="86"/>
  <c r="M11" i="86"/>
  <c r="N11" i="86"/>
  <c r="O11" i="86"/>
  <c r="P11" i="86"/>
  <c r="Q11" i="86"/>
  <c r="R11" i="86"/>
  <c r="S11" i="86"/>
  <c r="K12" i="86"/>
  <c r="M12" i="86"/>
  <c r="N12" i="86"/>
  <c r="O12" i="86"/>
  <c r="P12" i="86"/>
  <c r="Q12" i="86"/>
  <c r="R12" i="86"/>
  <c r="S12" i="86"/>
  <c r="K13" i="86"/>
  <c r="L13" i="86"/>
  <c r="M13" i="86"/>
  <c r="N13" i="86"/>
  <c r="O13" i="86"/>
  <c r="P13" i="86"/>
  <c r="Q13" i="86"/>
  <c r="R13" i="86"/>
  <c r="S13" i="86"/>
  <c r="K14" i="86"/>
  <c r="L14" i="86"/>
  <c r="M14" i="86"/>
  <c r="N14" i="86"/>
  <c r="O14" i="86"/>
  <c r="P14" i="86"/>
  <c r="Q14" i="86"/>
  <c r="R14" i="86"/>
  <c r="S14" i="86"/>
  <c r="K15" i="86"/>
  <c r="L15" i="86"/>
  <c r="M15" i="86"/>
  <c r="N15" i="86"/>
  <c r="O15" i="86"/>
  <c r="P15" i="86"/>
  <c r="Q15" i="86"/>
  <c r="R15" i="86"/>
  <c r="S15" i="86"/>
  <c r="K16" i="86"/>
  <c r="L16" i="86"/>
  <c r="M16" i="86"/>
  <c r="N16" i="86"/>
  <c r="O16" i="86"/>
  <c r="P16" i="86"/>
  <c r="Q16" i="86"/>
  <c r="R16" i="86"/>
  <c r="S16" i="86"/>
  <c r="K17" i="86"/>
  <c r="L17" i="86"/>
  <c r="M17" i="86"/>
  <c r="N17" i="86"/>
  <c r="O17" i="86"/>
  <c r="P17" i="86"/>
  <c r="Q17" i="86"/>
  <c r="R17" i="86"/>
  <c r="S17" i="86"/>
  <c r="K18" i="86"/>
  <c r="L18" i="86"/>
  <c r="M18" i="86"/>
  <c r="N18" i="86"/>
  <c r="O18" i="86"/>
  <c r="P18" i="86"/>
  <c r="Q18" i="86"/>
  <c r="R18" i="86"/>
  <c r="S18" i="86"/>
  <c r="K19" i="86"/>
  <c r="L19" i="86"/>
  <c r="M19" i="86"/>
  <c r="N19" i="86"/>
  <c r="O19" i="86"/>
  <c r="P19" i="86"/>
  <c r="Q19" i="86"/>
  <c r="R19" i="86"/>
  <c r="S19" i="86"/>
  <c r="K20" i="86"/>
  <c r="L20" i="86"/>
  <c r="M20" i="86"/>
  <c r="N20" i="86"/>
  <c r="O20" i="86"/>
  <c r="P20" i="86"/>
  <c r="Q20" i="86"/>
  <c r="R20" i="86"/>
  <c r="S20" i="86"/>
  <c r="K21" i="86"/>
  <c r="L21" i="86"/>
  <c r="M21" i="86"/>
  <c r="N21" i="86"/>
  <c r="O21" i="86"/>
  <c r="P21" i="86"/>
  <c r="Q21" i="86"/>
  <c r="R21" i="86"/>
  <c r="S21" i="86"/>
  <c r="K22" i="86"/>
  <c r="M22" i="86"/>
  <c r="N22" i="86"/>
  <c r="O22" i="86"/>
  <c r="P22" i="86"/>
  <c r="Q22" i="86"/>
  <c r="R22" i="86"/>
  <c r="S22" i="86"/>
  <c r="K24" i="86"/>
  <c r="L24" i="86"/>
  <c r="M24" i="86"/>
  <c r="N24" i="86"/>
  <c r="O24" i="86"/>
  <c r="P24" i="86"/>
  <c r="Q24" i="86"/>
  <c r="R24" i="86"/>
  <c r="S24" i="86"/>
  <c r="K25" i="86"/>
  <c r="L25" i="86"/>
  <c r="M25" i="86"/>
  <c r="N25" i="86"/>
  <c r="O25" i="86"/>
  <c r="P25" i="86"/>
  <c r="Q25" i="86"/>
  <c r="R25" i="86"/>
  <c r="S25" i="86"/>
  <c r="K26" i="86"/>
  <c r="M26" i="86"/>
  <c r="N26" i="86"/>
  <c r="O26" i="86"/>
  <c r="P26" i="86"/>
  <c r="Q26" i="86"/>
  <c r="R26" i="86"/>
  <c r="S26" i="86"/>
  <c r="K27" i="86"/>
  <c r="M27" i="86"/>
  <c r="N27" i="86"/>
  <c r="O27" i="86"/>
  <c r="P27" i="86"/>
  <c r="Q27" i="86"/>
  <c r="R27" i="86"/>
  <c r="S27" i="86"/>
  <c r="K28" i="86"/>
  <c r="L28" i="86"/>
  <c r="M28" i="86"/>
  <c r="N28" i="86"/>
  <c r="O28" i="86"/>
  <c r="P28" i="86"/>
  <c r="Q28" i="86"/>
  <c r="R28" i="86"/>
  <c r="S28" i="86"/>
  <c r="K29" i="86"/>
  <c r="M29" i="86"/>
  <c r="N29" i="86"/>
  <c r="O29" i="86"/>
  <c r="P29" i="86"/>
  <c r="Q29" i="86"/>
  <c r="R29" i="86"/>
  <c r="S29" i="86"/>
  <c r="K30" i="86"/>
  <c r="L30" i="86"/>
  <c r="M30" i="86"/>
  <c r="N30" i="86"/>
  <c r="O30" i="86"/>
  <c r="P30" i="86"/>
  <c r="Q30" i="86"/>
  <c r="R30" i="86"/>
  <c r="S30" i="86"/>
  <c r="K31" i="86"/>
  <c r="M31" i="86"/>
  <c r="N31" i="86"/>
  <c r="O31" i="86"/>
  <c r="P31" i="86"/>
  <c r="Q31" i="86"/>
  <c r="R31" i="86"/>
  <c r="S31" i="86"/>
  <c r="K32" i="86"/>
  <c r="M32" i="86"/>
  <c r="N32" i="86"/>
  <c r="O32" i="86"/>
  <c r="P32" i="86"/>
  <c r="Q32" i="86"/>
  <c r="R32" i="86"/>
  <c r="S32" i="86"/>
  <c r="K33" i="86"/>
  <c r="L33" i="86"/>
  <c r="M33" i="86"/>
  <c r="N33" i="86"/>
  <c r="O33" i="86"/>
  <c r="P33" i="86"/>
  <c r="Q33" i="86"/>
  <c r="R33" i="86"/>
  <c r="S33" i="86"/>
  <c r="K34" i="86"/>
  <c r="L34" i="86"/>
  <c r="M34" i="86"/>
  <c r="N34" i="86"/>
  <c r="O34" i="86"/>
  <c r="P34" i="86"/>
  <c r="Q34" i="86"/>
  <c r="R34" i="86"/>
  <c r="S34" i="86"/>
  <c r="K35" i="86"/>
  <c r="M35" i="86"/>
  <c r="N35" i="86"/>
  <c r="O35" i="86"/>
  <c r="P35" i="86"/>
  <c r="Q35" i="86"/>
  <c r="R35" i="86"/>
  <c r="S35" i="86"/>
  <c r="K36" i="86"/>
  <c r="L36" i="86"/>
  <c r="M36" i="86"/>
  <c r="N36" i="86"/>
  <c r="O36" i="86"/>
  <c r="P36" i="86"/>
  <c r="Q36" i="86"/>
  <c r="R36" i="86"/>
  <c r="S36" i="86"/>
  <c r="K37" i="86"/>
  <c r="L37" i="86"/>
  <c r="M37" i="86"/>
  <c r="N37" i="86"/>
  <c r="O37" i="86"/>
  <c r="P37" i="86"/>
  <c r="Q37" i="86"/>
  <c r="R37" i="86"/>
  <c r="S37" i="86"/>
  <c r="K38" i="86"/>
  <c r="L38" i="86"/>
  <c r="M38" i="86"/>
  <c r="N38" i="86"/>
  <c r="O38" i="86"/>
  <c r="P38" i="86"/>
  <c r="Q38" i="86"/>
  <c r="R38" i="86"/>
  <c r="S38" i="86"/>
  <c r="K39" i="86"/>
  <c r="L39" i="86"/>
  <c r="M39" i="86"/>
  <c r="N39" i="86"/>
  <c r="O39" i="86"/>
  <c r="P39" i="86"/>
  <c r="Q39" i="86"/>
  <c r="R39" i="86"/>
  <c r="S39" i="86"/>
  <c r="K40" i="86"/>
  <c r="M40" i="86"/>
  <c r="N40" i="86"/>
  <c r="O40" i="86"/>
  <c r="P40" i="86"/>
  <c r="Q40" i="86"/>
  <c r="R40" i="86"/>
  <c r="S40" i="86"/>
  <c r="K41" i="86"/>
  <c r="L41" i="86"/>
  <c r="M41" i="86"/>
  <c r="N41" i="86"/>
  <c r="O41" i="86"/>
  <c r="P41" i="86"/>
  <c r="Q41" i="86"/>
  <c r="R41" i="86"/>
  <c r="S41" i="86"/>
  <c r="K42" i="86"/>
  <c r="L42" i="86"/>
  <c r="M42" i="86"/>
  <c r="N42" i="86"/>
  <c r="O42" i="86"/>
  <c r="P42" i="86"/>
  <c r="Q42" i="86"/>
  <c r="R42" i="86"/>
  <c r="S42" i="86"/>
  <c r="K43" i="86"/>
  <c r="L43" i="86"/>
  <c r="M43" i="86"/>
  <c r="N43" i="86"/>
  <c r="O43" i="86"/>
  <c r="P43" i="86"/>
  <c r="Q43" i="86"/>
  <c r="R43" i="86"/>
  <c r="S43" i="86"/>
  <c r="K44" i="86"/>
  <c r="M44" i="86"/>
  <c r="N44" i="86"/>
  <c r="O44" i="86"/>
  <c r="P44" i="86"/>
  <c r="Q44" i="86"/>
  <c r="R44" i="86"/>
  <c r="S44" i="86"/>
  <c r="K45" i="86"/>
  <c r="L45" i="86"/>
  <c r="M45" i="86"/>
  <c r="N45" i="86"/>
  <c r="O45" i="86"/>
  <c r="P45" i="86"/>
  <c r="Q45" i="86"/>
  <c r="R45" i="86"/>
  <c r="S45" i="86"/>
  <c r="K46" i="86"/>
  <c r="M46" i="86"/>
  <c r="N46" i="86"/>
  <c r="O46" i="86"/>
  <c r="P46" i="86"/>
  <c r="Q46" i="86"/>
  <c r="R46" i="86"/>
  <c r="S46" i="86"/>
  <c r="K47" i="86"/>
  <c r="M47" i="86"/>
  <c r="N47" i="86"/>
  <c r="O47" i="86"/>
  <c r="P47" i="86"/>
  <c r="Q47" i="86"/>
  <c r="R47" i="86"/>
  <c r="S47" i="86"/>
  <c r="K48" i="86"/>
  <c r="M48" i="86"/>
  <c r="N48" i="86"/>
  <c r="O48" i="86"/>
  <c r="P48" i="86"/>
  <c r="Q48" i="86"/>
  <c r="R48" i="86"/>
  <c r="S48" i="86"/>
  <c r="K49" i="86"/>
  <c r="M49" i="86"/>
  <c r="N49" i="86"/>
  <c r="O49" i="86"/>
  <c r="P49" i="86"/>
  <c r="Q49" i="86"/>
  <c r="R49" i="86"/>
  <c r="S49" i="86"/>
  <c r="K50" i="86"/>
  <c r="L50" i="86"/>
  <c r="M50" i="86"/>
  <c r="N50" i="86"/>
  <c r="O50" i="86"/>
  <c r="P50" i="86"/>
  <c r="Q50" i="86"/>
  <c r="R50" i="86"/>
  <c r="S50" i="86"/>
  <c r="K51" i="86"/>
  <c r="M51" i="86"/>
  <c r="N51" i="86"/>
  <c r="O51" i="86"/>
  <c r="P51" i="86"/>
  <c r="Q51" i="86"/>
  <c r="R51" i="86"/>
  <c r="S51" i="86"/>
  <c r="K52" i="86"/>
  <c r="M52" i="86"/>
  <c r="N52" i="86"/>
  <c r="O52" i="86"/>
  <c r="P52" i="86"/>
  <c r="Q52" i="86"/>
  <c r="R52" i="86"/>
  <c r="S52" i="86"/>
  <c r="K53" i="86"/>
  <c r="L53" i="86"/>
  <c r="M53" i="86"/>
  <c r="N53" i="86"/>
  <c r="O53" i="86"/>
  <c r="P53" i="86"/>
  <c r="Q53" i="86"/>
  <c r="R53" i="86"/>
  <c r="S53" i="86"/>
  <c r="K54" i="86"/>
  <c r="M54" i="86"/>
  <c r="N54" i="86"/>
  <c r="O54" i="86"/>
  <c r="P54" i="86"/>
  <c r="Q54" i="86"/>
  <c r="R54" i="86"/>
  <c r="S54" i="86"/>
  <c r="K55" i="86"/>
  <c r="L55" i="86"/>
  <c r="M55" i="86"/>
  <c r="N55" i="86"/>
  <c r="O55" i="86"/>
  <c r="P55" i="86"/>
  <c r="Q55" i="86"/>
  <c r="R55" i="86"/>
  <c r="S55" i="86"/>
  <c r="K56" i="86"/>
  <c r="L56" i="86"/>
  <c r="M56" i="86"/>
  <c r="N56" i="86"/>
  <c r="O56" i="86"/>
  <c r="P56" i="86"/>
  <c r="Q56" i="86"/>
  <c r="R56" i="86"/>
  <c r="S56" i="86"/>
  <c r="K57" i="86"/>
  <c r="L57" i="86"/>
  <c r="M57" i="86"/>
  <c r="N57" i="86"/>
  <c r="O57" i="86"/>
  <c r="P57" i="86"/>
  <c r="Q57" i="86"/>
  <c r="R57" i="86"/>
  <c r="S57" i="86"/>
  <c r="K58" i="86"/>
  <c r="L58" i="86"/>
  <c r="M58" i="86"/>
  <c r="N58" i="86"/>
  <c r="O58" i="86"/>
  <c r="P58" i="86"/>
  <c r="Q58" i="86"/>
  <c r="R58" i="86"/>
  <c r="S58" i="86"/>
  <c r="K59" i="86"/>
  <c r="L59" i="86"/>
  <c r="M59" i="86"/>
  <c r="N59" i="86"/>
  <c r="O59" i="86"/>
  <c r="P59" i="86"/>
  <c r="Q59" i="86"/>
  <c r="R59" i="86"/>
  <c r="S59" i="86"/>
  <c r="K60" i="86"/>
  <c r="L60" i="86"/>
  <c r="M60" i="86"/>
  <c r="N60" i="86"/>
  <c r="O60" i="86"/>
  <c r="P60" i="86"/>
  <c r="Q60" i="86"/>
  <c r="R60" i="86"/>
  <c r="S60" i="86"/>
  <c r="K61" i="86"/>
  <c r="L61" i="86"/>
  <c r="M61" i="86"/>
  <c r="N61" i="86"/>
  <c r="O61" i="86"/>
  <c r="P61" i="86"/>
  <c r="Q61" i="86"/>
  <c r="R61" i="86"/>
  <c r="S61" i="86"/>
  <c r="K62" i="86"/>
  <c r="M62" i="86"/>
  <c r="N62" i="86"/>
  <c r="O62" i="86"/>
  <c r="P62" i="86"/>
  <c r="Q62" i="86"/>
  <c r="R62" i="86"/>
  <c r="S62" i="86"/>
  <c r="K63" i="86"/>
  <c r="M63" i="86"/>
  <c r="N63" i="86"/>
  <c r="O63" i="86"/>
  <c r="P63" i="86"/>
  <c r="Q63" i="86"/>
  <c r="R63" i="86"/>
  <c r="S63" i="86"/>
  <c r="K64" i="86"/>
  <c r="M64" i="86"/>
  <c r="N64" i="86"/>
  <c r="O64" i="86"/>
  <c r="P64" i="86"/>
  <c r="Q64" i="86"/>
  <c r="R64" i="86"/>
  <c r="S64" i="86"/>
  <c r="K65" i="86"/>
  <c r="M65" i="86"/>
  <c r="N65" i="86"/>
  <c r="O65" i="86"/>
  <c r="P65" i="86"/>
  <c r="Q65" i="86"/>
  <c r="R65" i="86"/>
  <c r="S65" i="86"/>
  <c r="K66" i="86"/>
  <c r="M66" i="86"/>
  <c r="N66" i="86"/>
  <c r="O66" i="86"/>
  <c r="P66" i="86"/>
  <c r="Q66" i="86"/>
  <c r="R66" i="86"/>
  <c r="S66" i="86"/>
  <c r="K67" i="86"/>
  <c r="L67" i="86"/>
  <c r="M67" i="86"/>
  <c r="N67" i="86"/>
  <c r="O67" i="86"/>
  <c r="P67" i="86"/>
  <c r="Q67" i="86"/>
  <c r="R67" i="86"/>
  <c r="S67" i="86"/>
  <c r="K68" i="86"/>
  <c r="L68" i="86"/>
  <c r="M68" i="86"/>
  <c r="N68" i="86"/>
  <c r="O68" i="86"/>
  <c r="P68" i="86"/>
  <c r="Q68" i="86"/>
  <c r="R68" i="86"/>
  <c r="S68" i="86"/>
  <c r="K69" i="86"/>
  <c r="L69" i="86"/>
  <c r="M69" i="86"/>
  <c r="N69" i="86"/>
  <c r="O69" i="86"/>
  <c r="P69" i="86"/>
  <c r="Q69" i="86"/>
  <c r="R69" i="86"/>
  <c r="S69" i="86"/>
  <c r="K70" i="86"/>
  <c r="L70" i="86"/>
  <c r="M70" i="86"/>
  <c r="N70" i="86"/>
  <c r="O70" i="86"/>
  <c r="P70" i="86"/>
  <c r="Q70" i="86"/>
  <c r="R70" i="86"/>
  <c r="S70" i="86"/>
  <c r="K71" i="86"/>
  <c r="L71" i="86"/>
  <c r="M71" i="86"/>
  <c r="N71" i="86"/>
  <c r="O71" i="86"/>
  <c r="P71" i="86"/>
  <c r="Q71" i="86"/>
  <c r="R71" i="86"/>
  <c r="S71" i="86"/>
  <c r="K72" i="86"/>
  <c r="L72" i="86"/>
  <c r="M72" i="86"/>
  <c r="N72" i="86"/>
  <c r="O72" i="86"/>
  <c r="P72" i="86"/>
  <c r="Q72" i="86"/>
  <c r="R72" i="86"/>
  <c r="S72" i="86"/>
  <c r="K73" i="86"/>
  <c r="L73" i="86"/>
  <c r="M73" i="86"/>
  <c r="N73" i="86"/>
  <c r="O73" i="86"/>
  <c r="P73" i="86"/>
  <c r="Q73" i="86"/>
  <c r="R73" i="86"/>
  <c r="S73" i="86"/>
  <c r="K74" i="86"/>
  <c r="L74" i="86"/>
  <c r="M74" i="86"/>
  <c r="N74" i="86"/>
  <c r="O74" i="86"/>
  <c r="P74" i="86"/>
  <c r="Q74" i="86"/>
  <c r="R74" i="86"/>
  <c r="S74" i="86"/>
  <c r="K75" i="86"/>
  <c r="M75" i="86"/>
  <c r="N75" i="86"/>
  <c r="O75" i="86"/>
  <c r="P75" i="86"/>
  <c r="Q75" i="86"/>
  <c r="R75" i="86"/>
  <c r="S75" i="86"/>
  <c r="K76" i="86"/>
  <c r="M76" i="86"/>
  <c r="N76" i="86"/>
  <c r="O76" i="86"/>
  <c r="P76" i="86"/>
  <c r="Q76" i="86"/>
  <c r="R76" i="86"/>
  <c r="S76" i="86"/>
  <c r="K77" i="86"/>
  <c r="M77" i="86"/>
  <c r="N77" i="86"/>
  <c r="O77" i="86"/>
  <c r="P77" i="86"/>
  <c r="Q77" i="86"/>
  <c r="R77" i="86"/>
  <c r="S77" i="86"/>
  <c r="K78" i="86"/>
  <c r="M78" i="86"/>
  <c r="N78" i="86"/>
  <c r="O78" i="86"/>
  <c r="P78" i="86"/>
  <c r="Q78" i="86"/>
  <c r="R78" i="86"/>
  <c r="S78" i="86"/>
  <c r="K79" i="86"/>
  <c r="L79" i="86"/>
  <c r="M79" i="86"/>
  <c r="N79" i="86"/>
  <c r="O79" i="86"/>
  <c r="P79" i="86"/>
  <c r="Q79" i="86"/>
  <c r="R79" i="86"/>
  <c r="S79" i="86"/>
  <c r="K80" i="86"/>
  <c r="L80" i="86"/>
  <c r="M80" i="86"/>
  <c r="N80" i="86"/>
  <c r="O80" i="86"/>
  <c r="P80" i="86"/>
  <c r="Q80" i="86"/>
  <c r="R80" i="86"/>
  <c r="S80" i="86"/>
  <c r="K81" i="86"/>
  <c r="L81" i="86"/>
  <c r="M81" i="86"/>
  <c r="N81" i="86"/>
  <c r="O81" i="86"/>
  <c r="P81" i="86"/>
  <c r="Q81" i="86"/>
  <c r="R81" i="86"/>
  <c r="S81" i="86"/>
  <c r="K82" i="86"/>
  <c r="L82" i="86"/>
  <c r="M82" i="86"/>
  <c r="N82" i="86"/>
  <c r="O82" i="86"/>
  <c r="P82" i="86"/>
  <c r="Q82" i="86"/>
  <c r="R82" i="86"/>
  <c r="S82" i="86"/>
  <c r="K83" i="86"/>
  <c r="L83" i="86"/>
  <c r="M83" i="86"/>
  <c r="N83" i="86"/>
  <c r="O83" i="86"/>
  <c r="P83" i="86"/>
  <c r="Q83" i="86"/>
  <c r="R83" i="86"/>
  <c r="S83" i="86"/>
  <c r="K84" i="86"/>
  <c r="L84" i="86"/>
  <c r="M84" i="86"/>
  <c r="N84" i="86"/>
  <c r="O84" i="86"/>
  <c r="P84" i="86"/>
  <c r="Q84" i="86"/>
  <c r="R84" i="86"/>
  <c r="S84" i="86"/>
  <c r="K85" i="86"/>
  <c r="L85" i="86"/>
  <c r="M85" i="86"/>
  <c r="N85" i="86"/>
  <c r="O85" i="86"/>
  <c r="P85" i="86"/>
  <c r="Q85" i="86"/>
  <c r="R85" i="86"/>
  <c r="S85" i="86"/>
  <c r="K86" i="86"/>
  <c r="L86" i="86"/>
  <c r="M86" i="86"/>
  <c r="N86" i="86"/>
  <c r="O86" i="86"/>
  <c r="P86" i="86"/>
  <c r="Q86" i="86"/>
  <c r="R86" i="86"/>
  <c r="S86" i="86"/>
  <c r="K87" i="86"/>
  <c r="L87" i="86"/>
  <c r="M87" i="86"/>
  <c r="N87" i="86"/>
  <c r="O87" i="86"/>
  <c r="P87" i="86"/>
  <c r="Q87" i="86"/>
  <c r="R87" i="86"/>
  <c r="S87" i="86"/>
  <c r="K88" i="86"/>
  <c r="L88" i="86"/>
  <c r="M88" i="86"/>
  <c r="N88" i="86"/>
  <c r="O88" i="86"/>
  <c r="P88" i="86"/>
  <c r="Q88" i="86"/>
  <c r="R88" i="86"/>
  <c r="S88" i="86"/>
  <c r="K89" i="86"/>
  <c r="L89" i="86"/>
  <c r="M89" i="86"/>
  <c r="N89" i="86"/>
  <c r="O89" i="86"/>
  <c r="P89" i="86"/>
  <c r="Q89" i="86"/>
  <c r="R89" i="86"/>
  <c r="S89" i="86"/>
  <c r="K90" i="86"/>
  <c r="L90" i="86"/>
  <c r="M90" i="86"/>
  <c r="N90" i="86"/>
  <c r="O90" i="86"/>
  <c r="P90" i="86"/>
  <c r="Q90" i="86"/>
  <c r="R90" i="86"/>
  <c r="S90" i="86"/>
  <c r="K91" i="86"/>
  <c r="L91" i="86"/>
  <c r="M91" i="86"/>
  <c r="N91" i="86"/>
  <c r="O91" i="86"/>
  <c r="P91" i="86"/>
  <c r="Q91" i="86"/>
  <c r="R91" i="86"/>
  <c r="S91" i="86"/>
  <c r="K92" i="86"/>
  <c r="L92" i="86"/>
  <c r="M92" i="86"/>
  <c r="N92" i="86"/>
  <c r="O92" i="86"/>
  <c r="P92" i="86"/>
  <c r="Q92" i="86"/>
  <c r="R92" i="86"/>
  <c r="S92" i="86"/>
  <c r="K93" i="86"/>
  <c r="L93" i="86"/>
  <c r="M93" i="86"/>
  <c r="N93" i="86"/>
  <c r="O93" i="86"/>
  <c r="P93" i="86"/>
  <c r="Q93" i="86"/>
  <c r="R93" i="86"/>
  <c r="S93" i="86"/>
  <c r="K94" i="86"/>
  <c r="L94" i="86"/>
  <c r="M94" i="86"/>
  <c r="N94" i="86"/>
  <c r="O94" i="86"/>
  <c r="P94" i="86"/>
  <c r="Q94" i="86"/>
  <c r="R94" i="86"/>
  <c r="S94" i="86"/>
  <c r="K95" i="86"/>
  <c r="L95" i="86"/>
  <c r="M95" i="86"/>
  <c r="N95" i="86"/>
  <c r="O95" i="86"/>
  <c r="P95" i="86"/>
  <c r="Q95" i="86"/>
  <c r="R95" i="86"/>
  <c r="S95" i="86"/>
  <c r="K96" i="86"/>
  <c r="M96" i="86"/>
  <c r="N96" i="86"/>
  <c r="O96" i="86"/>
  <c r="P96" i="86"/>
  <c r="Q96" i="86"/>
  <c r="R96" i="86"/>
  <c r="S96" i="86"/>
  <c r="K97" i="86"/>
  <c r="M97" i="86"/>
  <c r="N97" i="86"/>
  <c r="O97" i="86"/>
  <c r="P97" i="86"/>
  <c r="Q97" i="86"/>
  <c r="R97" i="86"/>
  <c r="S97" i="86"/>
  <c r="K98" i="86"/>
  <c r="L98" i="86"/>
  <c r="M98" i="86"/>
  <c r="N98" i="86"/>
  <c r="O98" i="86"/>
  <c r="P98" i="86"/>
  <c r="Q98" i="86"/>
  <c r="R98" i="86"/>
  <c r="S98" i="86"/>
  <c r="K99" i="86"/>
  <c r="M99" i="86"/>
  <c r="N99" i="86"/>
  <c r="O99" i="86"/>
  <c r="P99" i="86"/>
  <c r="Q99" i="86"/>
  <c r="R99" i="86"/>
  <c r="S99" i="86"/>
  <c r="K100" i="86"/>
  <c r="M100" i="86"/>
  <c r="N100" i="86"/>
  <c r="O100" i="86"/>
  <c r="P100" i="86"/>
  <c r="Q100" i="86"/>
  <c r="R100" i="86"/>
  <c r="S100" i="86"/>
  <c r="K101" i="86"/>
  <c r="L101" i="86"/>
  <c r="M101" i="86"/>
  <c r="N101" i="86"/>
  <c r="O101" i="86"/>
  <c r="P101" i="86"/>
  <c r="Q101" i="86"/>
  <c r="R101" i="86"/>
  <c r="S101" i="86"/>
  <c r="K102" i="86"/>
  <c r="L102" i="86"/>
  <c r="M102" i="86"/>
  <c r="N102" i="86"/>
  <c r="O102" i="86"/>
  <c r="P102" i="86"/>
  <c r="Q102" i="86"/>
  <c r="R102" i="86"/>
  <c r="S102" i="86"/>
  <c r="K103" i="86"/>
  <c r="M103" i="86"/>
  <c r="N103" i="86"/>
  <c r="O103" i="86"/>
  <c r="P103" i="86"/>
  <c r="Q103" i="86"/>
  <c r="R103" i="86"/>
  <c r="S103" i="86"/>
  <c r="K104" i="86"/>
  <c r="L104" i="86"/>
  <c r="M104" i="86"/>
  <c r="N104" i="86"/>
  <c r="O104" i="86"/>
  <c r="P104" i="86"/>
  <c r="Q104" i="86"/>
  <c r="R104" i="86"/>
  <c r="S104" i="86"/>
  <c r="K105" i="86"/>
  <c r="M105" i="86"/>
  <c r="N105" i="86"/>
  <c r="O105" i="86"/>
  <c r="P105" i="86"/>
  <c r="Q105" i="86"/>
  <c r="R105" i="86"/>
  <c r="S105" i="86"/>
  <c r="K106" i="86"/>
  <c r="M106" i="86"/>
  <c r="N106" i="86"/>
  <c r="O106" i="86"/>
  <c r="P106" i="86"/>
  <c r="Q106" i="86"/>
  <c r="R106" i="86"/>
  <c r="S106" i="86"/>
  <c r="K107" i="86"/>
  <c r="M107" i="86"/>
  <c r="N107" i="86"/>
  <c r="O107" i="86"/>
  <c r="P107" i="86"/>
  <c r="Q107" i="86"/>
  <c r="R107" i="86"/>
  <c r="S107" i="86"/>
  <c r="K108" i="86"/>
  <c r="M108" i="86"/>
  <c r="N108" i="86"/>
  <c r="O108" i="86"/>
  <c r="P108" i="86"/>
  <c r="Q108" i="86"/>
  <c r="R108" i="86"/>
  <c r="S108" i="86"/>
  <c r="K109" i="86"/>
  <c r="M109" i="86"/>
  <c r="N109" i="86"/>
  <c r="O109" i="86"/>
  <c r="P109" i="86"/>
  <c r="Q109" i="86"/>
  <c r="R109" i="86"/>
  <c r="S109" i="86"/>
  <c r="K110" i="86"/>
  <c r="M110" i="86"/>
  <c r="N110" i="86"/>
  <c r="O110" i="86"/>
  <c r="P110" i="86"/>
  <c r="Q110" i="86"/>
  <c r="R110" i="86"/>
  <c r="S110" i="86"/>
  <c r="K111" i="86"/>
  <c r="M111" i="86"/>
  <c r="N111" i="86"/>
  <c r="O111" i="86"/>
  <c r="P111" i="86"/>
  <c r="Q111" i="86"/>
  <c r="R111" i="86"/>
  <c r="S111" i="86"/>
  <c r="K112" i="86"/>
  <c r="L112" i="86"/>
  <c r="M112" i="86"/>
  <c r="N112" i="86"/>
  <c r="O112" i="86"/>
  <c r="P112" i="86"/>
  <c r="Q112" i="86"/>
  <c r="R112" i="86"/>
  <c r="S112" i="86"/>
  <c r="K113" i="86"/>
  <c r="L113" i="86"/>
  <c r="M113" i="86"/>
  <c r="N113" i="86"/>
  <c r="O113" i="86"/>
  <c r="P113" i="86"/>
  <c r="Q113" i="86"/>
  <c r="R113" i="86"/>
  <c r="S113" i="86"/>
  <c r="K114" i="86"/>
  <c r="L114" i="86"/>
  <c r="M114" i="86"/>
  <c r="N114" i="86"/>
  <c r="O114" i="86"/>
  <c r="P114" i="86"/>
  <c r="Q114" i="86"/>
  <c r="R114" i="86"/>
  <c r="S114" i="86"/>
  <c r="K115" i="86"/>
  <c r="M115" i="86"/>
  <c r="N115" i="86"/>
  <c r="O115" i="86"/>
  <c r="P115" i="86"/>
  <c r="Q115" i="86"/>
  <c r="R115" i="86"/>
  <c r="S115" i="86"/>
  <c r="K116" i="86"/>
  <c r="M116" i="86"/>
  <c r="N116" i="86"/>
  <c r="O116" i="86"/>
  <c r="P116" i="86"/>
  <c r="Q116" i="86"/>
  <c r="R116" i="86"/>
  <c r="S116" i="86"/>
  <c r="K117" i="86"/>
  <c r="M117" i="86"/>
  <c r="N117" i="86"/>
  <c r="O117" i="86"/>
  <c r="P117" i="86"/>
  <c r="Q117" i="86"/>
  <c r="R117" i="86"/>
  <c r="S117" i="86"/>
  <c r="K118" i="86"/>
  <c r="L118" i="86"/>
  <c r="M118" i="86"/>
  <c r="N118" i="86"/>
  <c r="O118" i="86"/>
  <c r="P118" i="86"/>
  <c r="Q118" i="86"/>
  <c r="R118" i="86"/>
  <c r="S118" i="86"/>
  <c r="K119" i="86"/>
  <c r="L119" i="86"/>
  <c r="M119" i="86"/>
  <c r="N119" i="86"/>
  <c r="O119" i="86"/>
  <c r="P119" i="86"/>
  <c r="Q119" i="86"/>
  <c r="R119" i="86"/>
  <c r="S119" i="86"/>
  <c r="K120" i="86"/>
  <c r="L120" i="86"/>
  <c r="M120" i="86"/>
  <c r="N120" i="86"/>
  <c r="O120" i="86"/>
  <c r="P120" i="86"/>
  <c r="Q120" i="86"/>
  <c r="R120" i="86"/>
  <c r="S120" i="86"/>
  <c r="K121" i="86"/>
  <c r="L121" i="86"/>
  <c r="M121" i="86"/>
  <c r="N121" i="86"/>
  <c r="O121" i="86"/>
  <c r="P121" i="86"/>
  <c r="Q121" i="86"/>
  <c r="R121" i="86"/>
  <c r="S121" i="86"/>
  <c r="K122" i="86"/>
  <c r="L122" i="86"/>
  <c r="M122" i="86"/>
  <c r="N122" i="86"/>
  <c r="O122" i="86"/>
  <c r="P122" i="86"/>
  <c r="Q122" i="86"/>
  <c r="R122" i="86"/>
  <c r="S122" i="86"/>
  <c r="K123" i="86"/>
  <c r="L123" i="86"/>
  <c r="M123" i="86"/>
  <c r="N123" i="86"/>
  <c r="O123" i="86"/>
  <c r="P123" i="86"/>
  <c r="Q123" i="86"/>
  <c r="R123" i="86"/>
  <c r="S123" i="86"/>
  <c r="K124" i="86"/>
  <c r="L124" i="86"/>
  <c r="M124" i="86"/>
  <c r="N124" i="86"/>
  <c r="O124" i="86"/>
  <c r="P124" i="86"/>
  <c r="Q124" i="86"/>
  <c r="R124" i="86"/>
  <c r="S124" i="86"/>
  <c r="K125" i="86"/>
  <c r="L125" i="86"/>
  <c r="M125" i="86"/>
  <c r="N125" i="86"/>
  <c r="O125" i="86"/>
  <c r="P125" i="86"/>
  <c r="Q125" i="86"/>
  <c r="R125" i="86"/>
  <c r="S125" i="86"/>
  <c r="K126" i="86"/>
  <c r="L126" i="86"/>
  <c r="M126" i="86"/>
  <c r="N126" i="86"/>
  <c r="O126" i="86"/>
  <c r="P126" i="86"/>
  <c r="Q126" i="86"/>
  <c r="R126" i="86"/>
  <c r="S126" i="86"/>
  <c r="K137" i="86"/>
  <c r="L137" i="86"/>
  <c r="M137" i="86"/>
  <c r="N137" i="86"/>
  <c r="O137" i="86"/>
  <c r="P137" i="86"/>
  <c r="Q137" i="86"/>
  <c r="R137" i="86"/>
  <c r="S137" i="86"/>
  <c r="K138" i="86"/>
  <c r="L138" i="86"/>
  <c r="M138" i="86"/>
  <c r="N138" i="86"/>
  <c r="O138" i="86"/>
  <c r="P138" i="86"/>
  <c r="Q138" i="86"/>
  <c r="R138" i="86"/>
  <c r="S138" i="86"/>
  <c r="K139" i="86"/>
  <c r="L139" i="86"/>
  <c r="M139" i="86"/>
  <c r="N139" i="86"/>
  <c r="O139" i="86"/>
  <c r="P139" i="86"/>
  <c r="Q139" i="86"/>
  <c r="R139" i="86"/>
  <c r="S139" i="86"/>
  <c r="K140" i="86"/>
  <c r="L140" i="86"/>
  <c r="M140" i="86"/>
  <c r="N140" i="86"/>
  <c r="O140" i="86"/>
  <c r="P140" i="86"/>
  <c r="Q140" i="86"/>
  <c r="R140" i="86"/>
  <c r="S140" i="86"/>
  <c r="K141" i="86"/>
  <c r="L141" i="86"/>
  <c r="M141" i="86"/>
  <c r="N141" i="86"/>
  <c r="O141" i="86"/>
  <c r="P141" i="86"/>
  <c r="Q141" i="86"/>
  <c r="R141" i="86"/>
  <c r="S141" i="86"/>
  <c r="K142" i="86"/>
  <c r="L142" i="86"/>
  <c r="M142" i="86"/>
  <c r="N142" i="86"/>
  <c r="O142" i="86"/>
  <c r="P142" i="86"/>
  <c r="Q142" i="86"/>
  <c r="R142" i="86"/>
  <c r="S142" i="86"/>
  <c r="K148" i="86"/>
  <c r="L148" i="86"/>
  <c r="M148" i="86"/>
  <c r="N148" i="86"/>
  <c r="O148" i="86"/>
  <c r="P148" i="86"/>
  <c r="Q148" i="86"/>
  <c r="R148" i="86"/>
  <c r="S148" i="86"/>
  <c r="K149" i="86"/>
  <c r="L149" i="86"/>
  <c r="M149" i="86"/>
  <c r="N149" i="86"/>
  <c r="O149" i="86"/>
  <c r="P149" i="86"/>
  <c r="Q149" i="86"/>
  <c r="R149" i="86"/>
  <c r="S149" i="86"/>
  <c r="K150" i="86"/>
  <c r="M150" i="86"/>
  <c r="N150" i="86"/>
  <c r="O150" i="86"/>
  <c r="P150" i="86"/>
  <c r="Q150" i="86"/>
  <c r="R150" i="86"/>
  <c r="S150" i="86"/>
  <c r="K151" i="86"/>
  <c r="L151" i="86"/>
  <c r="M151" i="86"/>
  <c r="N151" i="86"/>
  <c r="O151" i="86"/>
  <c r="P151" i="86"/>
  <c r="Q151" i="86"/>
  <c r="R151" i="86"/>
  <c r="S151" i="86"/>
  <c r="K152" i="86"/>
  <c r="L152" i="86"/>
  <c r="M152" i="86"/>
  <c r="N152" i="86"/>
  <c r="O152" i="86"/>
  <c r="P152" i="86"/>
  <c r="Q152" i="86"/>
  <c r="R152" i="86"/>
  <c r="S152" i="86"/>
  <c r="K153" i="86"/>
  <c r="M153" i="86"/>
  <c r="N153" i="86"/>
  <c r="O153" i="86"/>
  <c r="P153" i="86"/>
  <c r="Q153" i="86"/>
  <c r="R153" i="86"/>
  <c r="S153" i="86"/>
  <c r="K154" i="86"/>
  <c r="L154" i="86"/>
  <c r="M154" i="86"/>
  <c r="N154" i="86"/>
  <c r="O154" i="86"/>
  <c r="P154" i="86"/>
  <c r="Q154" i="86"/>
  <c r="R154" i="86"/>
  <c r="S154" i="86"/>
  <c r="K155" i="86"/>
  <c r="L155" i="86"/>
  <c r="M155" i="86"/>
  <c r="N155" i="86"/>
  <c r="O155" i="86"/>
  <c r="P155" i="86"/>
  <c r="Q155" i="86"/>
  <c r="R155" i="86"/>
  <c r="S155" i="86"/>
  <c r="K156" i="86"/>
  <c r="L156" i="86"/>
  <c r="M156" i="86"/>
  <c r="N156" i="86"/>
  <c r="O156" i="86"/>
  <c r="P156" i="86"/>
  <c r="Q156" i="86"/>
  <c r="R156" i="86"/>
  <c r="S156" i="86"/>
  <c r="K157" i="86"/>
  <c r="L157" i="86"/>
  <c r="M157" i="86"/>
  <c r="N157" i="86"/>
  <c r="O157" i="86"/>
  <c r="P157" i="86"/>
  <c r="Q157" i="86"/>
  <c r="R157" i="86"/>
  <c r="S157" i="86"/>
  <c r="K158" i="86"/>
  <c r="L158" i="86"/>
  <c r="M158" i="86"/>
  <c r="N158" i="86"/>
  <c r="O158" i="86"/>
  <c r="P158" i="86"/>
  <c r="Q158" i="86"/>
  <c r="R158" i="86"/>
  <c r="S158" i="86"/>
  <c r="K159" i="86"/>
  <c r="L159" i="86"/>
  <c r="M159" i="86"/>
  <c r="N159" i="86"/>
  <c r="O159" i="86"/>
  <c r="P159" i="86"/>
  <c r="Q159" i="86"/>
  <c r="R159" i="86"/>
  <c r="S159" i="86"/>
  <c r="K160" i="86"/>
  <c r="L160" i="86"/>
  <c r="M160" i="86"/>
  <c r="N160" i="86"/>
  <c r="O160" i="86"/>
  <c r="P160" i="86"/>
  <c r="Q160" i="86"/>
  <c r="R160" i="86"/>
  <c r="S160" i="86"/>
  <c r="K161" i="86"/>
  <c r="L161" i="86"/>
  <c r="M161" i="86"/>
  <c r="N161" i="86"/>
  <c r="O161" i="86"/>
  <c r="P161" i="86"/>
  <c r="Q161" i="86"/>
  <c r="R161" i="86"/>
  <c r="S161" i="86"/>
  <c r="K162" i="86"/>
  <c r="L162" i="86"/>
  <c r="M162" i="86"/>
  <c r="N162" i="86"/>
  <c r="O162" i="86"/>
  <c r="P162" i="86"/>
  <c r="Q162" i="86"/>
  <c r="R162" i="86"/>
  <c r="S162" i="86"/>
  <c r="K163" i="86"/>
  <c r="L163" i="86"/>
  <c r="M163" i="86"/>
  <c r="N163" i="86"/>
  <c r="O163" i="86"/>
  <c r="P163" i="86"/>
  <c r="Q163" i="86"/>
  <c r="R163" i="86"/>
  <c r="S163" i="86"/>
  <c r="K164" i="86"/>
  <c r="L164" i="86"/>
  <c r="M164" i="86"/>
  <c r="N164" i="86"/>
  <c r="O164" i="86"/>
  <c r="P164" i="86"/>
  <c r="Q164" i="86"/>
  <c r="R164" i="86"/>
  <c r="S164" i="86"/>
  <c r="K165" i="86"/>
  <c r="L165" i="86"/>
  <c r="M165" i="86"/>
  <c r="N165" i="86"/>
  <c r="O165" i="86"/>
  <c r="P165" i="86"/>
  <c r="Q165" i="86"/>
  <c r="R165" i="86"/>
  <c r="S165" i="86"/>
  <c r="K166" i="86"/>
  <c r="M166" i="86"/>
  <c r="N166" i="86"/>
  <c r="O166" i="86"/>
  <c r="P166" i="86"/>
  <c r="Q166" i="86"/>
  <c r="R166" i="86"/>
  <c r="S166" i="86"/>
  <c r="K167" i="86"/>
  <c r="L167" i="86"/>
  <c r="M167" i="86"/>
  <c r="N167" i="86"/>
  <c r="O167" i="86"/>
  <c r="P167" i="86"/>
  <c r="Q167" i="86"/>
  <c r="R167" i="86"/>
  <c r="S167" i="86"/>
  <c r="K168" i="86"/>
  <c r="L168" i="86"/>
  <c r="M168" i="86"/>
  <c r="N168" i="86"/>
  <c r="O168" i="86"/>
  <c r="P168" i="86"/>
  <c r="Q168" i="86"/>
  <c r="R168" i="86"/>
  <c r="S168" i="86"/>
  <c r="K169" i="86"/>
  <c r="M169" i="86"/>
  <c r="N169" i="86"/>
  <c r="O169" i="86"/>
  <c r="P169" i="86"/>
  <c r="Q169" i="86"/>
  <c r="R169" i="86"/>
  <c r="S169" i="86"/>
  <c r="L170" i="86"/>
  <c r="M170" i="86"/>
  <c r="N170" i="86"/>
  <c r="O170" i="86"/>
  <c r="P170" i="86"/>
  <c r="Q170" i="86"/>
  <c r="R170" i="86"/>
  <c r="S170" i="86"/>
  <c r="K171" i="86"/>
  <c r="L171" i="86"/>
  <c r="M171" i="86"/>
  <c r="N171" i="86"/>
  <c r="O171" i="86"/>
  <c r="P171" i="86"/>
  <c r="Q171" i="86"/>
  <c r="R171" i="86"/>
  <c r="S171" i="86"/>
  <c r="K172" i="86"/>
  <c r="L172" i="86"/>
  <c r="M172" i="86"/>
  <c r="N172" i="86"/>
  <c r="O172" i="86"/>
  <c r="P172" i="86"/>
  <c r="Q172" i="86"/>
  <c r="R172" i="86"/>
  <c r="S172" i="86"/>
  <c r="K173" i="86"/>
  <c r="L173" i="86"/>
  <c r="M173" i="86"/>
  <c r="N173" i="86"/>
  <c r="O173" i="86"/>
  <c r="P173" i="86"/>
  <c r="Q173" i="86"/>
  <c r="R173" i="86"/>
  <c r="S173" i="86"/>
  <c r="K174" i="86"/>
  <c r="L174" i="86"/>
  <c r="M174" i="86"/>
  <c r="N174" i="86"/>
  <c r="O174" i="86"/>
  <c r="P174" i="86"/>
  <c r="Q174" i="86"/>
  <c r="R174" i="86"/>
  <c r="S174" i="86"/>
  <c r="K175" i="86"/>
  <c r="L175" i="86"/>
  <c r="M175" i="86"/>
  <c r="N175" i="86"/>
  <c r="O175" i="86"/>
  <c r="P175" i="86"/>
  <c r="Q175" i="86"/>
  <c r="R175" i="86"/>
  <c r="S175" i="86"/>
  <c r="K176" i="86"/>
  <c r="L176" i="86"/>
  <c r="M176" i="86"/>
  <c r="N176" i="86"/>
  <c r="O176" i="86"/>
  <c r="P176" i="86"/>
  <c r="Q176" i="86"/>
  <c r="R176" i="86"/>
  <c r="S176" i="86"/>
  <c r="K177" i="86"/>
  <c r="L177" i="86"/>
  <c r="M177" i="86"/>
  <c r="N177" i="86"/>
  <c r="O177" i="86"/>
  <c r="P177" i="86"/>
  <c r="Q177" i="86"/>
  <c r="R177" i="86"/>
  <c r="S177" i="86"/>
  <c r="K178" i="86"/>
  <c r="L178" i="86"/>
  <c r="M178" i="86"/>
  <c r="N178" i="86"/>
  <c r="O178" i="86"/>
  <c r="P178" i="86"/>
  <c r="Q178" i="86"/>
  <c r="R178" i="86"/>
  <c r="S178" i="86"/>
  <c r="K179" i="86"/>
  <c r="L179" i="86"/>
  <c r="M179" i="86"/>
  <c r="N179" i="86"/>
  <c r="O179" i="86"/>
  <c r="P179" i="86"/>
  <c r="Q179" i="86"/>
  <c r="R179" i="86"/>
  <c r="S179" i="86"/>
  <c r="K180" i="86"/>
  <c r="L180" i="86"/>
  <c r="M180" i="86"/>
  <c r="N180" i="86"/>
  <c r="O180" i="86"/>
  <c r="P180" i="86"/>
  <c r="Q180" i="86"/>
  <c r="R180" i="86"/>
  <c r="S180" i="86"/>
  <c r="K181" i="86"/>
  <c r="L181" i="86"/>
  <c r="M181" i="86"/>
  <c r="N181" i="86"/>
  <c r="O181" i="86"/>
  <c r="P181" i="86"/>
  <c r="Q181" i="86"/>
  <c r="R181" i="86"/>
  <c r="S181" i="86"/>
  <c r="K182" i="86"/>
  <c r="L182" i="86"/>
  <c r="M182" i="86"/>
  <c r="N182" i="86"/>
  <c r="O182" i="86"/>
  <c r="P182" i="86"/>
  <c r="Q182" i="86"/>
  <c r="R182" i="86"/>
  <c r="S182" i="86"/>
  <c r="K183" i="86"/>
  <c r="L183" i="86"/>
  <c r="M183" i="86"/>
  <c r="N183" i="86"/>
  <c r="O183" i="86"/>
  <c r="P183" i="86"/>
  <c r="Q183" i="86"/>
  <c r="R183" i="86"/>
  <c r="S183" i="86"/>
  <c r="K184" i="86"/>
  <c r="L184" i="86"/>
  <c r="M184" i="86"/>
  <c r="N184" i="86"/>
  <c r="O184" i="86"/>
  <c r="P184" i="86"/>
  <c r="Q184" i="86"/>
  <c r="R184" i="86"/>
  <c r="S184" i="86"/>
  <c r="K185" i="86"/>
  <c r="L185" i="86"/>
  <c r="M185" i="86"/>
  <c r="N185" i="86"/>
  <c r="O185" i="86"/>
  <c r="P185" i="86"/>
  <c r="Q185" i="86"/>
  <c r="R185" i="86"/>
  <c r="S185" i="86"/>
  <c r="K186" i="86"/>
  <c r="L186" i="86"/>
  <c r="M186" i="86"/>
  <c r="N186" i="86"/>
  <c r="O186" i="86"/>
  <c r="P186" i="86"/>
  <c r="Q186" i="86"/>
  <c r="R186" i="86"/>
  <c r="S186" i="86"/>
  <c r="K187" i="86"/>
  <c r="L187" i="86"/>
  <c r="M187" i="86"/>
  <c r="N187" i="86"/>
  <c r="O187" i="86"/>
  <c r="P187" i="86"/>
  <c r="Q187" i="86"/>
  <c r="R187" i="86"/>
  <c r="S187" i="86"/>
  <c r="K188" i="86"/>
  <c r="L188" i="86"/>
  <c r="M188" i="86"/>
  <c r="N188" i="86"/>
  <c r="O188" i="86"/>
  <c r="P188" i="86"/>
  <c r="Q188" i="86"/>
  <c r="R188" i="86"/>
  <c r="S188" i="86"/>
  <c r="K189" i="86"/>
  <c r="L189" i="86"/>
  <c r="M189" i="86"/>
  <c r="N189" i="86"/>
  <c r="O189" i="86"/>
  <c r="P189" i="86"/>
  <c r="Q189" i="86"/>
  <c r="R189" i="86"/>
  <c r="S189" i="86"/>
  <c r="K190" i="86"/>
  <c r="L190" i="86"/>
  <c r="M190" i="86"/>
  <c r="N190" i="86"/>
  <c r="O190" i="86"/>
  <c r="P190" i="86"/>
  <c r="Q190" i="86"/>
  <c r="R190" i="86"/>
  <c r="S190" i="86"/>
  <c r="K191" i="86"/>
  <c r="L191" i="86"/>
  <c r="M191" i="86"/>
  <c r="N191" i="86"/>
  <c r="O191" i="86"/>
  <c r="P191" i="86"/>
  <c r="Q191" i="86"/>
  <c r="R191" i="86"/>
  <c r="S191" i="86"/>
  <c r="S2" i="86"/>
  <c r="R2" i="86"/>
  <c r="Q2" i="86"/>
  <c r="P2" i="86"/>
  <c r="O2" i="86"/>
  <c r="N2" i="86"/>
  <c r="M2" i="86"/>
  <c r="L2" i="86"/>
  <c r="K2" i="86"/>
  <c r="S3" i="87"/>
  <c r="S4" i="87"/>
  <c r="S5" i="87"/>
  <c r="S6" i="87"/>
  <c r="S7" i="87"/>
  <c r="S8" i="87"/>
  <c r="S9" i="87"/>
  <c r="S10" i="87"/>
  <c r="S11" i="87"/>
  <c r="S12" i="87"/>
  <c r="S13" i="87"/>
  <c r="S14" i="87"/>
  <c r="S15" i="87"/>
  <c r="S16" i="87"/>
  <c r="S18" i="87"/>
  <c r="S19" i="87"/>
  <c r="S20" i="87"/>
  <c r="S21" i="87"/>
  <c r="S22" i="87"/>
  <c r="S23" i="87"/>
  <c r="S24" i="87"/>
  <c r="S25" i="87"/>
  <c r="S26" i="87"/>
  <c r="S27" i="87"/>
  <c r="S28" i="87"/>
  <c r="S29" i="87"/>
  <c r="S30" i="87"/>
  <c r="S31" i="87"/>
  <c r="S32" i="87"/>
  <c r="S33" i="87"/>
  <c r="S34" i="87"/>
  <c r="S35" i="87"/>
  <c r="S36" i="87"/>
  <c r="S37" i="87"/>
  <c r="S38" i="87"/>
  <c r="S39" i="87"/>
  <c r="S40" i="87"/>
  <c r="S41" i="87"/>
  <c r="S42" i="87"/>
  <c r="S43" i="87"/>
  <c r="S44" i="87"/>
  <c r="S45" i="87"/>
  <c r="S46" i="87"/>
  <c r="S47" i="87"/>
  <c r="S48" i="87"/>
  <c r="S49" i="87"/>
  <c r="S50" i="87"/>
  <c r="S51" i="87"/>
  <c r="S52" i="87"/>
  <c r="S53" i="87"/>
  <c r="S54" i="87"/>
  <c r="S55" i="87"/>
  <c r="S56" i="87"/>
  <c r="S57" i="87"/>
  <c r="S58" i="87"/>
  <c r="S59" i="87"/>
  <c r="S60" i="87"/>
  <c r="S61" i="87"/>
  <c r="S62" i="87"/>
  <c r="S63" i="87"/>
  <c r="S64" i="87"/>
  <c r="S65" i="87"/>
  <c r="S66" i="87"/>
  <c r="S67" i="87"/>
  <c r="S68" i="87"/>
  <c r="S69" i="87"/>
  <c r="S70" i="87"/>
  <c r="S71" i="87"/>
  <c r="S72" i="87"/>
  <c r="S73" i="87"/>
  <c r="S74" i="87"/>
  <c r="S75" i="87"/>
  <c r="S76" i="87"/>
  <c r="S77" i="87"/>
  <c r="S78" i="87"/>
  <c r="S79" i="87"/>
  <c r="S80" i="87"/>
  <c r="S81" i="87"/>
  <c r="S82" i="87"/>
  <c r="S83" i="87"/>
  <c r="S84" i="87"/>
  <c r="S85" i="87"/>
  <c r="S86" i="87"/>
  <c r="S87" i="87"/>
  <c r="S88" i="87"/>
  <c r="S89" i="87"/>
  <c r="S90" i="87"/>
  <c r="S91" i="87"/>
  <c r="S92" i="87"/>
  <c r="S93" i="87"/>
  <c r="S94" i="87"/>
  <c r="S95" i="87"/>
  <c r="S96" i="87"/>
  <c r="S97" i="87"/>
  <c r="S98" i="87"/>
  <c r="S99" i="87"/>
  <c r="S100" i="87"/>
  <c r="S101" i="87"/>
  <c r="S102" i="87"/>
  <c r="S103" i="87"/>
  <c r="S104" i="87"/>
  <c r="S105" i="87"/>
  <c r="S106" i="87"/>
  <c r="S107" i="87"/>
  <c r="S108" i="87"/>
  <c r="S109" i="87"/>
  <c r="S110" i="87"/>
  <c r="S111" i="87"/>
  <c r="S112" i="87"/>
  <c r="S123" i="87"/>
  <c r="S124" i="87"/>
  <c r="S125" i="87"/>
  <c r="S126" i="87"/>
  <c r="S127" i="87"/>
  <c r="S128" i="87"/>
  <c r="S134" i="87"/>
  <c r="S135" i="87"/>
  <c r="S136" i="87"/>
  <c r="S137" i="87"/>
  <c r="S138" i="87"/>
  <c r="S139" i="87"/>
  <c r="S140" i="87"/>
  <c r="S141" i="87"/>
  <c r="S142" i="87"/>
  <c r="S143" i="87"/>
  <c r="S144" i="87"/>
  <c r="S145" i="87"/>
  <c r="S146" i="87"/>
  <c r="S147" i="87"/>
  <c r="S148" i="87"/>
  <c r="S149" i="87"/>
  <c r="S150" i="87"/>
  <c r="S151" i="87"/>
  <c r="S152" i="87"/>
  <c r="S153" i="87"/>
  <c r="S154" i="87"/>
  <c r="S155" i="87"/>
  <c r="S156" i="87"/>
  <c r="S157" i="87"/>
  <c r="S158" i="87"/>
  <c r="S159" i="87"/>
  <c r="S160" i="87"/>
  <c r="S161" i="87"/>
  <c r="S162" i="87"/>
  <c r="S163" i="87"/>
  <c r="S164" i="87"/>
  <c r="S165" i="87"/>
  <c r="S166" i="87"/>
  <c r="S167" i="87"/>
  <c r="S168" i="87"/>
  <c r="S169" i="87"/>
  <c r="S170" i="87"/>
  <c r="S171" i="87"/>
  <c r="S2" i="87"/>
  <c r="R3" i="87"/>
  <c r="R4" i="87"/>
  <c r="R5" i="87"/>
  <c r="R6" i="87"/>
  <c r="R7" i="87"/>
  <c r="R8" i="87"/>
  <c r="R9" i="87"/>
  <c r="R10" i="87"/>
  <c r="R11" i="87"/>
  <c r="R12" i="87"/>
  <c r="R13" i="87"/>
  <c r="R14" i="87"/>
  <c r="R15" i="87"/>
  <c r="R16" i="87"/>
  <c r="R18" i="87"/>
  <c r="R19" i="87"/>
  <c r="R20" i="87"/>
  <c r="R21" i="87"/>
  <c r="R22" i="87"/>
  <c r="R23" i="87"/>
  <c r="R24" i="87"/>
  <c r="R25" i="87"/>
  <c r="R26" i="87"/>
  <c r="R27" i="87"/>
  <c r="R28" i="87"/>
  <c r="R29" i="87"/>
  <c r="R30" i="87"/>
  <c r="R31" i="87"/>
  <c r="R32" i="87"/>
  <c r="R33" i="87"/>
  <c r="R34" i="87"/>
  <c r="R35" i="87"/>
  <c r="R36" i="87"/>
  <c r="R37" i="87"/>
  <c r="R38" i="87"/>
  <c r="R39" i="87"/>
  <c r="R40" i="87"/>
  <c r="R41" i="87"/>
  <c r="R42" i="87"/>
  <c r="R43" i="87"/>
  <c r="R44" i="87"/>
  <c r="R45" i="87"/>
  <c r="R46" i="87"/>
  <c r="R47" i="87"/>
  <c r="R48" i="87"/>
  <c r="R49" i="87"/>
  <c r="R50" i="87"/>
  <c r="R51" i="87"/>
  <c r="R52" i="87"/>
  <c r="R53" i="87"/>
  <c r="R54" i="87"/>
  <c r="R55" i="87"/>
  <c r="R56" i="87"/>
  <c r="R57" i="87"/>
  <c r="R58" i="87"/>
  <c r="R59" i="87"/>
  <c r="R60" i="87"/>
  <c r="R61" i="87"/>
  <c r="R62" i="87"/>
  <c r="R63" i="87"/>
  <c r="R64" i="87"/>
  <c r="R65" i="87"/>
  <c r="R66" i="87"/>
  <c r="R67" i="87"/>
  <c r="R68" i="87"/>
  <c r="R69" i="87"/>
  <c r="R70" i="87"/>
  <c r="R71" i="87"/>
  <c r="R72" i="87"/>
  <c r="R73" i="87"/>
  <c r="R74" i="87"/>
  <c r="R75" i="87"/>
  <c r="R76" i="87"/>
  <c r="R77" i="87"/>
  <c r="R78" i="87"/>
  <c r="R79" i="87"/>
  <c r="R80" i="87"/>
  <c r="R81" i="87"/>
  <c r="R82" i="87"/>
  <c r="R83" i="87"/>
  <c r="R84" i="87"/>
  <c r="R85" i="87"/>
  <c r="R86" i="87"/>
  <c r="R87" i="87"/>
  <c r="R88" i="87"/>
  <c r="R89" i="87"/>
  <c r="R90" i="87"/>
  <c r="R91" i="87"/>
  <c r="R92" i="87"/>
  <c r="R93" i="87"/>
  <c r="R94" i="87"/>
  <c r="R95" i="87"/>
  <c r="R96" i="87"/>
  <c r="R97" i="87"/>
  <c r="R98" i="87"/>
  <c r="R99" i="87"/>
  <c r="R100" i="87"/>
  <c r="R101" i="87"/>
  <c r="R102" i="87"/>
  <c r="R103" i="87"/>
  <c r="R104" i="87"/>
  <c r="R105" i="87"/>
  <c r="R106" i="87"/>
  <c r="R107" i="87"/>
  <c r="R108" i="87"/>
  <c r="R109" i="87"/>
  <c r="R110" i="87"/>
  <c r="R111" i="87"/>
  <c r="R112" i="87"/>
  <c r="R123" i="87"/>
  <c r="R124" i="87"/>
  <c r="R125" i="87"/>
  <c r="R126" i="87"/>
  <c r="R127" i="87"/>
  <c r="R128" i="87"/>
  <c r="R134" i="87"/>
  <c r="R135" i="87"/>
  <c r="R136" i="87"/>
  <c r="R137" i="87"/>
  <c r="R138" i="87"/>
  <c r="R139" i="87"/>
  <c r="R140" i="87"/>
  <c r="R141" i="87"/>
  <c r="R142" i="87"/>
  <c r="R143" i="87"/>
  <c r="R144" i="87"/>
  <c r="R145" i="87"/>
  <c r="R146" i="87"/>
  <c r="R147" i="87"/>
  <c r="R148" i="87"/>
  <c r="R149" i="87"/>
  <c r="R150" i="87"/>
  <c r="R151" i="87"/>
  <c r="R152" i="87"/>
  <c r="R153" i="87"/>
  <c r="R154" i="87"/>
  <c r="R155" i="87"/>
  <c r="R156" i="87"/>
  <c r="R157" i="87"/>
  <c r="R158" i="87"/>
  <c r="R159" i="87"/>
  <c r="R160" i="87"/>
  <c r="R161" i="87"/>
  <c r="R162" i="87"/>
  <c r="R163" i="87"/>
  <c r="R164" i="87"/>
  <c r="R165" i="87"/>
  <c r="R166" i="87"/>
  <c r="R167" i="87"/>
  <c r="R168" i="87"/>
  <c r="R169" i="87"/>
  <c r="R170" i="87"/>
  <c r="R171" i="87"/>
  <c r="R2" i="87"/>
  <c r="Q3" i="87"/>
  <c r="Q4" i="87"/>
  <c r="Q5" i="87"/>
  <c r="Q6" i="87"/>
  <c r="Q7" i="87"/>
  <c r="Q8" i="87"/>
  <c r="Q9" i="87"/>
  <c r="Q10" i="87"/>
  <c r="Q11" i="87"/>
  <c r="Q12" i="87"/>
  <c r="Q13" i="87"/>
  <c r="Q14" i="87"/>
  <c r="Q15" i="87"/>
  <c r="Q16" i="87"/>
  <c r="Q18" i="87"/>
  <c r="Q19" i="87"/>
  <c r="Q20" i="87"/>
  <c r="Q21" i="87"/>
  <c r="Q22" i="87"/>
  <c r="Q23" i="87"/>
  <c r="Q24" i="87"/>
  <c r="Q25" i="87"/>
  <c r="Q26" i="87"/>
  <c r="Q27" i="87"/>
  <c r="Q28" i="87"/>
  <c r="Q29" i="87"/>
  <c r="Q30" i="87"/>
  <c r="Q31" i="87"/>
  <c r="Q32" i="87"/>
  <c r="Q33" i="87"/>
  <c r="Q34" i="87"/>
  <c r="Q35" i="87"/>
  <c r="Q36" i="87"/>
  <c r="Q37" i="87"/>
  <c r="Q38" i="87"/>
  <c r="Q39" i="87"/>
  <c r="Q40" i="87"/>
  <c r="Q41" i="87"/>
  <c r="Q42" i="87"/>
  <c r="Q43" i="87"/>
  <c r="Q44" i="87"/>
  <c r="Q45" i="87"/>
  <c r="Q46" i="87"/>
  <c r="Q47" i="87"/>
  <c r="Q48" i="87"/>
  <c r="Q49" i="87"/>
  <c r="Q50" i="87"/>
  <c r="Q51" i="87"/>
  <c r="Q52" i="87"/>
  <c r="Q53" i="87"/>
  <c r="Q54" i="87"/>
  <c r="Q55" i="87"/>
  <c r="Q56" i="87"/>
  <c r="Q57" i="87"/>
  <c r="Q58" i="87"/>
  <c r="Q59" i="87"/>
  <c r="Q60" i="87"/>
  <c r="Q61" i="87"/>
  <c r="Q62" i="87"/>
  <c r="Q63" i="87"/>
  <c r="Q64" i="87"/>
  <c r="Q65" i="87"/>
  <c r="Q66" i="87"/>
  <c r="Q67" i="87"/>
  <c r="Q68" i="87"/>
  <c r="Q69" i="87"/>
  <c r="Q70" i="87"/>
  <c r="Q71" i="87"/>
  <c r="Q72" i="87"/>
  <c r="Q73" i="87"/>
  <c r="Q74" i="87"/>
  <c r="Q75" i="87"/>
  <c r="Q76" i="87"/>
  <c r="Q77" i="87"/>
  <c r="Q78" i="87"/>
  <c r="Q79" i="87"/>
  <c r="Q80" i="87"/>
  <c r="Q81" i="87"/>
  <c r="Q82" i="87"/>
  <c r="Q83" i="87"/>
  <c r="Q84" i="87"/>
  <c r="Q85" i="87"/>
  <c r="Q86" i="87"/>
  <c r="Q87" i="87"/>
  <c r="Q88" i="87"/>
  <c r="Q89" i="87"/>
  <c r="Q90" i="87"/>
  <c r="Q91" i="87"/>
  <c r="Q92" i="87"/>
  <c r="Q93" i="87"/>
  <c r="Q94" i="87"/>
  <c r="Q95" i="87"/>
  <c r="Q96" i="87"/>
  <c r="Q97" i="87"/>
  <c r="Q98" i="87"/>
  <c r="Q99" i="87"/>
  <c r="Q100" i="87"/>
  <c r="Q101" i="87"/>
  <c r="Q102" i="87"/>
  <c r="Q103" i="87"/>
  <c r="Q104" i="87"/>
  <c r="Q105" i="87"/>
  <c r="Q106" i="87"/>
  <c r="Q107" i="87"/>
  <c r="Q108" i="87"/>
  <c r="Q109" i="87"/>
  <c r="Q110" i="87"/>
  <c r="Q111" i="87"/>
  <c r="Q112" i="87"/>
  <c r="Q123" i="87"/>
  <c r="Q124" i="87"/>
  <c r="Q125" i="87"/>
  <c r="Q126" i="87"/>
  <c r="Q127" i="87"/>
  <c r="Q128" i="87"/>
  <c r="Q134" i="87"/>
  <c r="Q135" i="87"/>
  <c r="Q136" i="87"/>
  <c r="Q137" i="87"/>
  <c r="Q138" i="87"/>
  <c r="Q139" i="87"/>
  <c r="Q140" i="87"/>
  <c r="Q141" i="87"/>
  <c r="Q142" i="87"/>
  <c r="Q143" i="87"/>
  <c r="Q144" i="87"/>
  <c r="Q145" i="87"/>
  <c r="Q146" i="87"/>
  <c r="Q147" i="87"/>
  <c r="Q148" i="87"/>
  <c r="Q149" i="87"/>
  <c r="Q150" i="87"/>
  <c r="Q151" i="87"/>
  <c r="Q152" i="87"/>
  <c r="Q153" i="87"/>
  <c r="Q154" i="87"/>
  <c r="Q155" i="87"/>
  <c r="Q156" i="87"/>
  <c r="Q157" i="87"/>
  <c r="Q158" i="87"/>
  <c r="Q159" i="87"/>
  <c r="Q160" i="87"/>
  <c r="Q161" i="87"/>
  <c r="Q162" i="87"/>
  <c r="Q163" i="87"/>
  <c r="Q164" i="87"/>
  <c r="Q165" i="87"/>
  <c r="Q166" i="87"/>
  <c r="Q167" i="87"/>
  <c r="Q168" i="87"/>
  <c r="Q169" i="87"/>
  <c r="Q170" i="87"/>
  <c r="Q171" i="87"/>
  <c r="Q2" i="87"/>
  <c r="P3" i="87"/>
  <c r="P4" i="87"/>
  <c r="P5" i="87"/>
  <c r="P6" i="87"/>
  <c r="P7" i="87"/>
  <c r="P8" i="87"/>
  <c r="P9" i="87"/>
  <c r="P10" i="87"/>
  <c r="P11" i="87"/>
  <c r="P12" i="87"/>
  <c r="P13" i="87"/>
  <c r="P14" i="87"/>
  <c r="P15" i="87"/>
  <c r="P16" i="87"/>
  <c r="P18" i="87"/>
  <c r="P19" i="87"/>
  <c r="P20" i="87"/>
  <c r="P21" i="87"/>
  <c r="P22" i="87"/>
  <c r="P23" i="87"/>
  <c r="P24" i="87"/>
  <c r="P25" i="87"/>
  <c r="P26" i="87"/>
  <c r="P27" i="87"/>
  <c r="P28" i="87"/>
  <c r="P29" i="87"/>
  <c r="P30" i="87"/>
  <c r="P31" i="87"/>
  <c r="P32" i="87"/>
  <c r="P33" i="87"/>
  <c r="P34" i="87"/>
  <c r="P35" i="87"/>
  <c r="P36" i="87"/>
  <c r="P37" i="87"/>
  <c r="P38" i="87"/>
  <c r="P39" i="87"/>
  <c r="P40" i="87"/>
  <c r="P41" i="87"/>
  <c r="P42" i="87"/>
  <c r="P43" i="87"/>
  <c r="P44" i="87"/>
  <c r="P45" i="87"/>
  <c r="P46" i="87"/>
  <c r="P47" i="87"/>
  <c r="P48" i="87"/>
  <c r="P49" i="87"/>
  <c r="P50" i="87"/>
  <c r="P51" i="87"/>
  <c r="P52" i="87"/>
  <c r="P53" i="87"/>
  <c r="P54" i="87"/>
  <c r="P55" i="87"/>
  <c r="P56" i="87"/>
  <c r="P57" i="87"/>
  <c r="P58" i="87"/>
  <c r="P59" i="87"/>
  <c r="P60" i="87"/>
  <c r="P61" i="87"/>
  <c r="P62" i="87"/>
  <c r="P63" i="87"/>
  <c r="P64" i="87"/>
  <c r="P65" i="87"/>
  <c r="P66" i="87"/>
  <c r="P67" i="87"/>
  <c r="P68" i="87"/>
  <c r="P69" i="87"/>
  <c r="P70" i="87"/>
  <c r="P71" i="87"/>
  <c r="P72" i="87"/>
  <c r="P73" i="87"/>
  <c r="P74" i="87"/>
  <c r="P75" i="87"/>
  <c r="P76" i="87"/>
  <c r="P77" i="87"/>
  <c r="P78" i="87"/>
  <c r="P79" i="87"/>
  <c r="P80" i="87"/>
  <c r="P81" i="87"/>
  <c r="P82" i="87"/>
  <c r="P83" i="87"/>
  <c r="P84" i="87"/>
  <c r="P85" i="87"/>
  <c r="P86" i="87"/>
  <c r="P87" i="87"/>
  <c r="P88" i="87"/>
  <c r="P89" i="87"/>
  <c r="P90" i="87"/>
  <c r="P91" i="87"/>
  <c r="P92" i="87"/>
  <c r="P93" i="87"/>
  <c r="P94" i="87"/>
  <c r="P95" i="87"/>
  <c r="P96" i="87"/>
  <c r="P97" i="87"/>
  <c r="P98" i="87"/>
  <c r="P99" i="87"/>
  <c r="P100" i="87"/>
  <c r="P101" i="87"/>
  <c r="P102" i="87"/>
  <c r="P103" i="87"/>
  <c r="P104" i="87"/>
  <c r="P105" i="87"/>
  <c r="P106" i="87"/>
  <c r="P107" i="87"/>
  <c r="P108" i="87"/>
  <c r="P109" i="87"/>
  <c r="P110" i="87"/>
  <c r="P111" i="87"/>
  <c r="P112" i="87"/>
  <c r="P123" i="87"/>
  <c r="P124" i="87"/>
  <c r="P125" i="87"/>
  <c r="P126" i="87"/>
  <c r="P127" i="87"/>
  <c r="P128" i="87"/>
  <c r="P134" i="87"/>
  <c r="P135" i="87"/>
  <c r="P136" i="87"/>
  <c r="P137" i="87"/>
  <c r="P138" i="87"/>
  <c r="P139" i="87"/>
  <c r="P140" i="87"/>
  <c r="P141" i="87"/>
  <c r="P142" i="87"/>
  <c r="P143" i="87"/>
  <c r="P144" i="87"/>
  <c r="P145" i="87"/>
  <c r="P146" i="87"/>
  <c r="P147" i="87"/>
  <c r="P148" i="87"/>
  <c r="P149" i="87"/>
  <c r="P150" i="87"/>
  <c r="P151" i="87"/>
  <c r="P152" i="87"/>
  <c r="P153" i="87"/>
  <c r="P154" i="87"/>
  <c r="P155" i="87"/>
  <c r="P156" i="87"/>
  <c r="P157" i="87"/>
  <c r="P158" i="87"/>
  <c r="P159" i="87"/>
  <c r="P160" i="87"/>
  <c r="P161" i="87"/>
  <c r="P162" i="87"/>
  <c r="P163" i="87"/>
  <c r="P164" i="87"/>
  <c r="P165" i="87"/>
  <c r="P166" i="87"/>
  <c r="P167" i="87"/>
  <c r="P168" i="87"/>
  <c r="P169" i="87"/>
  <c r="P170" i="87"/>
  <c r="P171" i="87"/>
  <c r="P2" i="87"/>
  <c r="O3" i="87"/>
  <c r="O4" i="87"/>
  <c r="O5" i="87"/>
  <c r="O6" i="87"/>
  <c r="O7" i="87"/>
  <c r="O8" i="87"/>
  <c r="O9" i="87"/>
  <c r="O10" i="87"/>
  <c r="O11" i="87"/>
  <c r="O12" i="87"/>
  <c r="O13" i="87"/>
  <c r="O14" i="87"/>
  <c r="O15" i="87"/>
  <c r="O16" i="87"/>
  <c r="O18" i="87"/>
  <c r="O19" i="87"/>
  <c r="O20" i="87"/>
  <c r="O21" i="87"/>
  <c r="O22" i="87"/>
  <c r="O23" i="87"/>
  <c r="O24" i="87"/>
  <c r="O25" i="87"/>
  <c r="O26" i="87"/>
  <c r="O27" i="87"/>
  <c r="O28" i="87"/>
  <c r="O29" i="87"/>
  <c r="O30" i="87"/>
  <c r="O31" i="87"/>
  <c r="O32" i="87"/>
  <c r="O33" i="87"/>
  <c r="O34" i="87"/>
  <c r="O35" i="87"/>
  <c r="O36" i="87"/>
  <c r="O37" i="87"/>
  <c r="O38" i="87"/>
  <c r="O39" i="87"/>
  <c r="O40" i="87"/>
  <c r="O41" i="87"/>
  <c r="O42" i="87"/>
  <c r="O43" i="87"/>
  <c r="O44" i="87"/>
  <c r="O45" i="87"/>
  <c r="O46" i="87"/>
  <c r="O47" i="87"/>
  <c r="O48" i="87"/>
  <c r="O49" i="87"/>
  <c r="O50" i="87"/>
  <c r="O51" i="87"/>
  <c r="O52" i="87"/>
  <c r="O53" i="87"/>
  <c r="O54" i="87"/>
  <c r="O55" i="87"/>
  <c r="O56" i="87"/>
  <c r="O57" i="87"/>
  <c r="O58" i="87"/>
  <c r="O59" i="87"/>
  <c r="O60" i="87"/>
  <c r="O61" i="87"/>
  <c r="O62" i="87"/>
  <c r="O63" i="87"/>
  <c r="O64" i="87"/>
  <c r="O65" i="87"/>
  <c r="O66" i="87"/>
  <c r="O67" i="87"/>
  <c r="O68" i="87"/>
  <c r="O69" i="87"/>
  <c r="O70" i="87"/>
  <c r="O71" i="87"/>
  <c r="O72" i="87"/>
  <c r="O73" i="87"/>
  <c r="O74" i="87"/>
  <c r="O75" i="87"/>
  <c r="O76" i="87"/>
  <c r="O77" i="87"/>
  <c r="O78" i="87"/>
  <c r="O79" i="87"/>
  <c r="O80" i="87"/>
  <c r="O81" i="87"/>
  <c r="O82" i="87"/>
  <c r="O83" i="87"/>
  <c r="O84" i="87"/>
  <c r="O85" i="87"/>
  <c r="O86" i="87"/>
  <c r="O87" i="87"/>
  <c r="O88" i="87"/>
  <c r="O89" i="87"/>
  <c r="O90" i="87"/>
  <c r="O91" i="87"/>
  <c r="O92" i="87"/>
  <c r="O93" i="87"/>
  <c r="O94" i="87"/>
  <c r="O95" i="87"/>
  <c r="O96" i="87"/>
  <c r="O97" i="87"/>
  <c r="O98" i="87"/>
  <c r="O99" i="87"/>
  <c r="O100" i="87"/>
  <c r="O101" i="87"/>
  <c r="O102" i="87"/>
  <c r="O103" i="87"/>
  <c r="O104" i="87"/>
  <c r="O105" i="87"/>
  <c r="O106" i="87"/>
  <c r="O107" i="87"/>
  <c r="O108" i="87"/>
  <c r="O109" i="87"/>
  <c r="O110" i="87"/>
  <c r="O111" i="87"/>
  <c r="O112" i="87"/>
  <c r="O123" i="87"/>
  <c r="O124" i="87"/>
  <c r="O125" i="87"/>
  <c r="O126" i="87"/>
  <c r="O127" i="87"/>
  <c r="O128" i="87"/>
  <c r="O134" i="87"/>
  <c r="O135" i="87"/>
  <c r="O136" i="87"/>
  <c r="O137" i="87"/>
  <c r="O138" i="87"/>
  <c r="O139" i="87"/>
  <c r="O140" i="87"/>
  <c r="O141" i="87"/>
  <c r="O142" i="87"/>
  <c r="O143" i="87"/>
  <c r="O144" i="87"/>
  <c r="O145" i="87"/>
  <c r="O146" i="87"/>
  <c r="O147" i="87"/>
  <c r="O148" i="87"/>
  <c r="O149" i="87"/>
  <c r="O150" i="87"/>
  <c r="O151" i="87"/>
  <c r="O152" i="87"/>
  <c r="O153" i="87"/>
  <c r="O154" i="87"/>
  <c r="O155" i="87"/>
  <c r="O156" i="87"/>
  <c r="O157" i="87"/>
  <c r="O158" i="87"/>
  <c r="O159" i="87"/>
  <c r="O160" i="87"/>
  <c r="O161" i="87"/>
  <c r="O162" i="87"/>
  <c r="O163" i="87"/>
  <c r="O164" i="87"/>
  <c r="O165" i="87"/>
  <c r="O166" i="87"/>
  <c r="O167" i="87"/>
  <c r="O168" i="87"/>
  <c r="O169" i="87"/>
  <c r="O170" i="87"/>
  <c r="O171" i="87"/>
  <c r="O2" i="87"/>
  <c r="N3" i="87"/>
  <c r="N4" i="87"/>
  <c r="N5" i="87"/>
  <c r="N6" i="87"/>
  <c r="N7" i="87"/>
  <c r="N8" i="87"/>
  <c r="N9" i="87"/>
  <c r="N10" i="87"/>
  <c r="N11" i="87"/>
  <c r="N12" i="87"/>
  <c r="N13" i="87"/>
  <c r="N14" i="87"/>
  <c r="N15" i="87"/>
  <c r="N16" i="87"/>
  <c r="N18" i="87"/>
  <c r="N19" i="87"/>
  <c r="N20" i="87"/>
  <c r="N21" i="87"/>
  <c r="N22" i="87"/>
  <c r="N23" i="87"/>
  <c r="N24" i="87"/>
  <c r="N25" i="87"/>
  <c r="N26" i="87"/>
  <c r="N27" i="87"/>
  <c r="N28" i="87"/>
  <c r="N29" i="87"/>
  <c r="N30" i="87"/>
  <c r="N31" i="87"/>
  <c r="N32" i="87"/>
  <c r="N33" i="87"/>
  <c r="N34" i="87"/>
  <c r="N35" i="87"/>
  <c r="N36" i="87"/>
  <c r="N37" i="87"/>
  <c r="N38" i="87"/>
  <c r="N39" i="87"/>
  <c r="N40" i="87"/>
  <c r="N41" i="87"/>
  <c r="N42" i="87"/>
  <c r="N43" i="87"/>
  <c r="N44" i="87"/>
  <c r="N45" i="87"/>
  <c r="N46" i="87"/>
  <c r="N47" i="87"/>
  <c r="N48" i="87"/>
  <c r="N49" i="87"/>
  <c r="N50" i="87"/>
  <c r="N51" i="87"/>
  <c r="N52" i="87"/>
  <c r="N53" i="87"/>
  <c r="N54" i="87"/>
  <c r="N55" i="87"/>
  <c r="N56" i="87"/>
  <c r="N57" i="87"/>
  <c r="N58" i="87"/>
  <c r="N59" i="87"/>
  <c r="N60" i="87"/>
  <c r="N61" i="87"/>
  <c r="N62" i="87"/>
  <c r="N63" i="87"/>
  <c r="N64" i="87"/>
  <c r="N65" i="87"/>
  <c r="N66" i="87"/>
  <c r="N67" i="87"/>
  <c r="N68" i="87"/>
  <c r="N69" i="87"/>
  <c r="N70" i="87"/>
  <c r="N71" i="87"/>
  <c r="N72" i="87"/>
  <c r="N73" i="87"/>
  <c r="N74" i="87"/>
  <c r="N75" i="87"/>
  <c r="N76" i="87"/>
  <c r="N77" i="87"/>
  <c r="N78" i="87"/>
  <c r="N79" i="87"/>
  <c r="N80" i="87"/>
  <c r="N81" i="87"/>
  <c r="N82" i="87"/>
  <c r="N83" i="87"/>
  <c r="N84" i="87"/>
  <c r="N85" i="87"/>
  <c r="N86" i="87"/>
  <c r="N87" i="87"/>
  <c r="N88" i="87"/>
  <c r="N89" i="87"/>
  <c r="N90" i="87"/>
  <c r="N91" i="87"/>
  <c r="N92" i="87"/>
  <c r="N93" i="87"/>
  <c r="N94" i="87"/>
  <c r="N95" i="87"/>
  <c r="N96" i="87"/>
  <c r="N97" i="87"/>
  <c r="N98" i="87"/>
  <c r="N99" i="87"/>
  <c r="N100" i="87"/>
  <c r="N101" i="87"/>
  <c r="N102" i="87"/>
  <c r="N103" i="87"/>
  <c r="N104" i="87"/>
  <c r="N105" i="87"/>
  <c r="N106" i="87"/>
  <c r="N107" i="87"/>
  <c r="N108" i="87"/>
  <c r="N109" i="87"/>
  <c r="N110" i="87"/>
  <c r="N111" i="87"/>
  <c r="N112" i="87"/>
  <c r="N123" i="87"/>
  <c r="N124" i="87"/>
  <c r="N125" i="87"/>
  <c r="N126" i="87"/>
  <c r="N127" i="87"/>
  <c r="N128" i="87"/>
  <c r="N134" i="87"/>
  <c r="N135" i="87"/>
  <c r="N136" i="87"/>
  <c r="N137" i="87"/>
  <c r="N138" i="87"/>
  <c r="N139" i="87"/>
  <c r="N140" i="87"/>
  <c r="N141" i="87"/>
  <c r="N142" i="87"/>
  <c r="N143" i="87"/>
  <c r="N144" i="87"/>
  <c r="N145" i="87"/>
  <c r="N146" i="87"/>
  <c r="N147" i="87"/>
  <c r="N148" i="87"/>
  <c r="N149" i="87"/>
  <c r="N150" i="87"/>
  <c r="N151" i="87"/>
  <c r="N152" i="87"/>
  <c r="N153" i="87"/>
  <c r="N154" i="87"/>
  <c r="N155" i="87"/>
  <c r="N156" i="87"/>
  <c r="N157" i="87"/>
  <c r="N158" i="87"/>
  <c r="N159" i="87"/>
  <c r="N160" i="87"/>
  <c r="N161" i="87"/>
  <c r="N162" i="87"/>
  <c r="N163" i="87"/>
  <c r="N164" i="87"/>
  <c r="N165" i="87"/>
  <c r="N166" i="87"/>
  <c r="N167" i="87"/>
  <c r="N168" i="87"/>
  <c r="N169" i="87"/>
  <c r="N170" i="87"/>
  <c r="N171" i="87"/>
  <c r="N2" i="87"/>
  <c r="M3" i="87"/>
  <c r="M4" i="87"/>
  <c r="M5" i="87"/>
  <c r="M6" i="87"/>
  <c r="M7" i="87"/>
  <c r="M8" i="87"/>
  <c r="M9" i="87"/>
  <c r="M10" i="87"/>
  <c r="M11" i="87"/>
  <c r="M12" i="87"/>
  <c r="M13" i="87"/>
  <c r="M14" i="87"/>
  <c r="M15" i="87"/>
  <c r="M16" i="87"/>
  <c r="M18" i="87"/>
  <c r="M19" i="87"/>
  <c r="M20" i="87"/>
  <c r="M21" i="87"/>
  <c r="M22" i="87"/>
  <c r="M23" i="87"/>
  <c r="M24" i="87"/>
  <c r="M25" i="87"/>
  <c r="M26" i="87"/>
  <c r="M27" i="87"/>
  <c r="M28" i="87"/>
  <c r="M29" i="87"/>
  <c r="M30" i="87"/>
  <c r="M31" i="87"/>
  <c r="M32" i="87"/>
  <c r="M33" i="87"/>
  <c r="M34" i="87"/>
  <c r="M35" i="87"/>
  <c r="M36" i="87"/>
  <c r="M37" i="87"/>
  <c r="M38" i="87"/>
  <c r="M39" i="87"/>
  <c r="M40" i="87"/>
  <c r="M41" i="87"/>
  <c r="M42" i="87"/>
  <c r="M43" i="87"/>
  <c r="M44" i="87"/>
  <c r="M45" i="87"/>
  <c r="M46" i="87"/>
  <c r="M47" i="87"/>
  <c r="M48" i="87"/>
  <c r="M49" i="87"/>
  <c r="M50" i="87"/>
  <c r="M51" i="87"/>
  <c r="M52" i="87"/>
  <c r="M53" i="87"/>
  <c r="M54" i="87"/>
  <c r="M55" i="87"/>
  <c r="M56" i="87"/>
  <c r="M57" i="87"/>
  <c r="M58" i="87"/>
  <c r="M59" i="87"/>
  <c r="M60" i="87"/>
  <c r="M61" i="87"/>
  <c r="M62" i="87"/>
  <c r="M63" i="87"/>
  <c r="M64" i="87"/>
  <c r="M65" i="87"/>
  <c r="M66" i="87"/>
  <c r="M67" i="87"/>
  <c r="M68" i="87"/>
  <c r="M69" i="87"/>
  <c r="M70" i="87"/>
  <c r="M71" i="87"/>
  <c r="M72" i="87"/>
  <c r="M73" i="87"/>
  <c r="M74" i="87"/>
  <c r="M75" i="87"/>
  <c r="M76" i="87"/>
  <c r="M77" i="87"/>
  <c r="M78" i="87"/>
  <c r="M79" i="87"/>
  <c r="M80" i="87"/>
  <c r="M81" i="87"/>
  <c r="M82" i="87"/>
  <c r="M83" i="87"/>
  <c r="M84" i="87"/>
  <c r="M85" i="87"/>
  <c r="M86" i="87"/>
  <c r="M87" i="87"/>
  <c r="M88" i="87"/>
  <c r="M89" i="87"/>
  <c r="M90" i="87"/>
  <c r="M91" i="87"/>
  <c r="M92" i="87"/>
  <c r="M93" i="87"/>
  <c r="M94" i="87"/>
  <c r="M95" i="87"/>
  <c r="M96" i="87"/>
  <c r="M97" i="87"/>
  <c r="M98" i="87"/>
  <c r="M99" i="87"/>
  <c r="M100" i="87"/>
  <c r="M101" i="87"/>
  <c r="M102" i="87"/>
  <c r="M103" i="87"/>
  <c r="M104" i="87"/>
  <c r="M105" i="87"/>
  <c r="M106" i="87"/>
  <c r="M107" i="87"/>
  <c r="M108" i="87"/>
  <c r="M109" i="87"/>
  <c r="M110" i="87"/>
  <c r="M111" i="87"/>
  <c r="M112" i="87"/>
  <c r="M123" i="87"/>
  <c r="M124" i="87"/>
  <c r="M125" i="87"/>
  <c r="M126" i="87"/>
  <c r="M127" i="87"/>
  <c r="M128" i="87"/>
  <c r="M134" i="87"/>
  <c r="M135" i="87"/>
  <c r="M136" i="87"/>
  <c r="M137" i="87"/>
  <c r="M138" i="87"/>
  <c r="M139" i="87"/>
  <c r="M140" i="87"/>
  <c r="M141" i="87"/>
  <c r="M142" i="87"/>
  <c r="M143" i="87"/>
  <c r="M144" i="87"/>
  <c r="M145" i="87"/>
  <c r="M146" i="87"/>
  <c r="M147" i="87"/>
  <c r="M148" i="87"/>
  <c r="M149" i="87"/>
  <c r="M150" i="87"/>
  <c r="M151" i="87"/>
  <c r="M152" i="87"/>
  <c r="M153" i="87"/>
  <c r="M154" i="87"/>
  <c r="M155" i="87"/>
  <c r="M156" i="87"/>
  <c r="M157" i="87"/>
  <c r="M158" i="87"/>
  <c r="M159" i="87"/>
  <c r="M160" i="87"/>
  <c r="M161" i="87"/>
  <c r="M162" i="87"/>
  <c r="M163" i="87"/>
  <c r="M164" i="87"/>
  <c r="M165" i="87"/>
  <c r="M166" i="87"/>
  <c r="M167" i="87"/>
  <c r="M168" i="87"/>
  <c r="M169" i="87"/>
  <c r="M170" i="87"/>
  <c r="M171" i="87"/>
  <c r="M2" i="87"/>
  <c r="L3" i="87"/>
  <c r="L4" i="87"/>
  <c r="L7" i="87"/>
  <c r="L8" i="87"/>
  <c r="L9" i="87"/>
  <c r="L10" i="87"/>
  <c r="L11" i="87"/>
  <c r="L12" i="87"/>
  <c r="L13" i="87"/>
  <c r="L14" i="87"/>
  <c r="L15" i="87"/>
  <c r="L18" i="87"/>
  <c r="L21" i="87"/>
  <c r="L23" i="87"/>
  <c r="L26" i="87"/>
  <c r="L27" i="87"/>
  <c r="L28" i="87"/>
  <c r="L29" i="87"/>
  <c r="L30" i="87"/>
  <c r="L31" i="87"/>
  <c r="L32" i="87"/>
  <c r="L34" i="87"/>
  <c r="L35" i="87"/>
  <c r="L36" i="87"/>
  <c r="L38" i="87"/>
  <c r="L42" i="87"/>
  <c r="L44" i="87"/>
  <c r="L46" i="87"/>
  <c r="L47" i="87"/>
  <c r="L48" i="87"/>
  <c r="L49" i="87"/>
  <c r="L50" i="87"/>
  <c r="L51" i="87"/>
  <c r="L52" i="87"/>
  <c r="L58" i="87"/>
  <c r="L59" i="87"/>
  <c r="L60" i="87"/>
  <c r="L61" i="87"/>
  <c r="L62" i="87"/>
  <c r="L63" i="87"/>
  <c r="L64" i="87"/>
  <c r="L65" i="87"/>
  <c r="L70" i="87"/>
  <c r="L71" i="87"/>
  <c r="L72" i="87"/>
  <c r="L73" i="87"/>
  <c r="L74" i="87"/>
  <c r="L75" i="87"/>
  <c r="L76" i="87"/>
  <c r="L77" i="87"/>
  <c r="L78" i="87"/>
  <c r="L79" i="87"/>
  <c r="L80" i="87"/>
  <c r="L81" i="87"/>
  <c r="L82" i="87"/>
  <c r="L83" i="87"/>
  <c r="L84" i="87"/>
  <c r="L85" i="87"/>
  <c r="L86" i="87"/>
  <c r="L87" i="87"/>
  <c r="L90" i="87"/>
  <c r="L91" i="87"/>
  <c r="L99" i="87"/>
  <c r="L100" i="87"/>
  <c r="L101" i="87"/>
  <c r="L105" i="87"/>
  <c r="L106" i="87"/>
  <c r="L107" i="87"/>
  <c r="L108" i="87"/>
  <c r="L109" i="87"/>
  <c r="L110" i="87"/>
  <c r="L111" i="87"/>
  <c r="L112" i="87"/>
  <c r="L123" i="87"/>
  <c r="L124" i="87"/>
  <c r="L125" i="87"/>
  <c r="L126" i="87"/>
  <c r="L127" i="87"/>
  <c r="L128" i="87"/>
  <c r="L134" i="87"/>
  <c r="L135" i="87"/>
  <c r="L136" i="87"/>
  <c r="L138" i="87"/>
  <c r="L139" i="87"/>
  <c r="L140" i="87"/>
  <c r="L141" i="87"/>
  <c r="L142" i="87"/>
  <c r="L143" i="87"/>
  <c r="L144" i="87"/>
  <c r="L145" i="87"/>
  <c r="L146" i="87"/>
  <c r="L147" i="87"/>
  <c r="L148" i="87"/>
  <c r="L149" i="87"/>
  <c r="L151" i="87"/>
  <c r="L152" i="87"/>
  <c r="L153" i="87"/>
  <c r="L154" i="87"/>
  <c r="L155" i="87"/>
  <c r="L156" i="87"/>
  <c r="L157" i="87"/>
  <c r="L158" i="87"/>
  <c r="L159" i="87"/>
  <c r="L160" i="87"/>
  <c r="L161" i="87"/>
  <c r="L162" i="87"/>
  <c r="L163" i="87"/>
  <c r="L164" i="87"/>
  <c r="L165" i="87"/>
  <c r="L166" i="87"/>
  <c r="L167" i="87"/>
  <c r="L168" i="87"/>
  <c r="L169" i="87"/>
  <c r="L170" i="87"/>
  <c r="L171" i="87"/>
  <c r="L2" i="87"/>
  <c r="K3" i="87"/>
  <c r="K4" i="87"/>
  <c r="K5" i="87"/>
  <c r="K6" i="87"/>
  <c r="K7" i="87"/>
  <c r="K8" i="87"/>
  <c r="K9" i="87"/>
  <c r="K10" i="87"/>
  <c r="K11" i="87"/>
  <c r="K12" i="87"/>
  <c r="K13" i="87"/>
  <c r="K14" i="87"/>
  <c r="K15" i="87"/>
  <c r="K16" i="87"/>
  <c r="K18" i="87"/>
  <c r="K19" i="87"/>
  <c r="K20" i="87"/>
  <c r="K21" i="87"/>
  <c r="K22" i="87"/>
  <c r="K23" i="87"/>
  <c r="K24" i="87"/>
  <c r="K25" i="87"/>
  <c r="K26" i="87"/>
  <c r="K27" i="87"/>
  <c r="K28" i="87"/>
  <c r="K29" i="87"/>
  <c r="K30" i="87"/>
  <c r="K31" i="87"/>
  <c r="K32" i="87"/>
  <c r="K33" i="87"/>
  <c r="K34" i="87"/>
  <c r="K35" i="87"/>
  <c r="K36" i="87"/>
  <c r="K37" i="87"/>
  <c r="K38" i="87"/>
  <c r="K39" i="87"/>
  <c r="K40" i="87"/>
  <c r="K41" i="87"/>
  <c r="K42" i="87"/>
  <c r="K43" i="87"/>
  <c r="K44" i="87"/>
  <c r="K45" i="87"/>
  <c r="K46" i="87"/>
  <c r="K47" i="87"/>
  <c r="K48" i="87"/>
  <c r="K49" i="87"/>
  <c r="K50" i="87"/>
  <c r="K51" i="87"/>
  <c r="K52" i="87"/>
  <c r="K53" i="87"/>
  <c r="K54" i="87"/>
  <c r="K55" i="87"/>
  <c r="K56" i="87"/>
  <c r="K57" i="87"/>
  <c r="K58" i="87"/>
  <c r="K59" i="87"/>
  <c r="K60" i="87"/>
  <c r="K61" i="87"/>
  <c r="K62" i="87"/>
  <c r="K63" i="87"/>
  <c r="K64" i="87"/>
  <c r="K65" i="87"/>
  <c r="K66" i="87"/>
  <c r="K67" i="87"/>
  <c r="K68" i="87"/>
  <c r="K69" i="87"/>
  <c r="K70" i="87"/>
  <c r="K71" i="87"/>
  <c r="K72" i="87"/>
  <c r="K73" i="87"/>
  <c r="K74" i="87"/>
  <c r="K75" i="87"/>
  <c r="K76" i="87"/>
  <c r="K77" i="87"/>
  <c r="K78" i="87"/>
  <c r="K79" i="87"/>
  <c r="K80" i="87"/>
  <c r="K81" i="87"/>
  <c r="K82" i="87"/>
  <c r="K83" i="87"/>
  <c r="K84" i="87"/>
  <c r="K85" i="87"/>
  <c r="K86" i="87"/>
  <c r="K87" i="87"/>
  <c r="K88" i="87"/>
  <c r="K89" i="87"/>
  <c r="K90" i="87"/>
  <c r="K91" i="87"/>
  <c r="K92" i="87"/>
  <c r="K93" i="87"/>
  <c r="K94" i="87"/>
  <c r="K95" i="87"/>
  <c r="K96" i="87"/>
  <c r="K97" i="87"/>
  <c r="K98" i="87"/>
  <c r="K99" i="87"/>
  <c r="K100" i="87"/>
  <c r="K101" i="87"/>
  <c r="K102" i="87"/>
  <c r="K103" i="87"/>
  <c r="K104" i="87"/>
  <c r="K105" i="87"/>
  <c r="K106" i="87"/>
  <c r="K107" i="87"/>
  <c r="K108" i="87"/>
  <c r="K109" i="87"/>
  <c r="K110" i="87"/>
  <c r="K111" i="87"/>
  <c r="K112" i="87"/>
  <c r="K123" i="87"/>
  <c r="K124" i="87"/>
  <c r="K125" i="87"/>
  <c r="K126" i="87"/>
  <c r="K127" i="87"/>
  <c r="K128" i="87"/>
  <c r="K134" i="87"/>
  <c r="K135" i="87"/>
  <c r="K136" i="87"/>
  <c r="K137" i="87"/>
  <c r="K138" i="87"/>
  <c r="K139" i="87"/>
  <c r="K140" i="87"/>
  <c r="K141" i="87"/>
  <c r="K142" i="87"/>
  <c r="K143" i="87"/>
  <c r="K144" i="87"/>
  <c r="K145" i="87"/>
  <c r="K146" i="87"/>
  <c r="K147" i="87"/>
  <c r="K148" i="87"/>
  <c r="K149" i="87"/>
  <c r="K150" i="87"/>
  <c r="K151" i="87"/>
  <c r="K152" i="87"/>
  <c r="K153" i="87"/>
  <c r="K154" i="87"/>
  <c r="K155" i="87"/>
  <c r="K156" i="87"/>
  <c r="K157" i="87"/>
  <c r="K158" i="87"/>
  <c r="K159" i="87"/>
  <c r="K160" i="87"/>
  <c r="K161" i="87"/>
  <c r="K162" i="87"/>
  <c r="K163" i="87"/>
  <c r="K164" i="87"/>
  <c r="K165" i="87"/>
  <c r="K166" i="87"/>
  <c r="K167" i="87"/>
  <c r="K168" i="87"/>
  <c r="K169" i="87"/>
  <c r="K170" i="87"/>
  <c r="K171" i="87"/>
  <c r="K2" i="87"/>
  <c r="G3" i="86"/>
  <c r="H3" i="86"/>
  <c r="I3" i="86"/>
  <c r="J3" i="86"/>
  <c r="G4" i="86"/>
  <c r="H4" i="86"/>
  <c r="I4" i="86"/>
  <c r="J4" i="86"/>
  <c r="G5" i="86"/>
  <c r="H5" i="86"/>
  <c r="I5" i="86"/>
  <c r="J5" i="86"/>
  <c r="G6" i="86"/>
  <c r="H6" i="86"/>
  <c r="I6" i="86"/>
  <c r="J6" i="86"/>
  <c r="G7" i="86"/>
  <c r="H7" i="86"/>
  <c r="I7" i="86"/>
  <c r="J7" i="86"/>
  <c r="G8" i="86"/>
  <c r="H8" i="86"/>
  <c r="I8" i="86"/>
  <c r="J8" i="86"/>
  <c r="G9" i="86"/>
  <c r="H9" i="86"/>
  <c r="I9" i="86"/>
  <c r="J9" i="86"/>
  <c r="G10" i="86"/>
  <c r="H10" i="86"/>
  <c r="I10" i="86"/>
  <c r="J10" i="86"/>
  <c r="G11" i="86"/>
  <c r="H11" i="86"/>
  <c r="I11" i="86"/>
  <c r="J11" i="86"/>
  <c r="G12" i="86"/>
  <c r="H12" i="86"/>
  <c r="I12" i="86"/>
  <c r="J12" i="86"/>
  <c r="G13" i="86"/>
  <c r="H13" i="86"/>
  <c r="I13" i="86"/>
  <c r="J13" i="86"/>
  <c r="G14" i="86"/>
  <c r="H14" i="86"/>
  <c r="I14" i="86"/>
  <c r="J14" i="86"/>
  <c r="G15" i="86"/>
  <c r="H15" i="86"/>
  <c r="I15" i="86"/>
  <c r="J15" i="86"/>
  <c r="G16" i="86"/>
  <c r="H16" i="86"/>
  <c r="I16" i="86"/>
  <c r="J16" i="86"/>
  <c r="G17" i="86"/>
  <c r="H17" i="86"/>
  <c r="I17" i="86"/>
  <c r="J17" i="86"/>
  <c r="G18" i="86"/>
  <c r="H18" i="86"/>
  <c r="I18" i="86"/>
  <c r="J18" i="86"/>
  <c r="G19" i="86"/>
  <c r="H19" i="86"/>
  <c r="I19" i="86"/>
  <c r="J19" i="86"/>
  <c r="G20" i="86"/>
  <c r="H20" i="86"/>
  <c r="I20" i="86"/>
  <c r="J20" i="86"/>
  <c r="G21" i="86"/>
  <c r="H21" i="86"/>
  <c r="I21" i="86"/>
  <c r="J21" i="86"/>
  <c r="G22" i="86"/>
  <c r="H22" i="86"/>
  <c r="I22" i="86"/>
  <c r="J22" i="86"/>
  <c r="G24" i="86"/>
  <c r="H24" i="86"/>
  <c r="I24" i="86"/>
  <c r="J24" i="86"/>
  <c r="G25" i="86"/>
  <c r="H25" i="86"/>
  <c r="I25" i="86"/>
  <c r="J25" i="86"/>
  <c r="G26" i="86"/>
  <c r="H26" i="86"/>
  <c r="I26" i="86"/>
  <c r="J26" i="86"/>
  <c r="G27" i="86"/>
  <c r="H27" i="86"/>
  <c r="I27" i="86"/>
  <c r="J27" i="86"/>
  <c r="G28" i="86"/>
  <c r="H28" i="86"/>
  <c r="I28" i="86"/>
  <c r="J28" i="86"/>
  <c r="G29" i="86"/>
  <c r="H29" i="86"/>
  <c r="I29" i="86"/>
  <c r="J29" i="86"/>
  <c r="G30" i="86"/>
  <c r="H30" i="86"/>
  <c r="I30" i="86"/>
  <c r="J30" i="86"/>
  <c r="G31" i="86"/>
  <c r="H31" i="86"/>
  <c r="I31" i="86"/>
  <c r="J31" i="86"/>
  <c r="G32" i="86"/>
  <c r="H32" i="86"/>
  <c r="I32" i="86"/>
  <c r="J32" i="86"/>
  <c r="G33" i="86"/>
  <c r="H33" i="86"/>
  <c r="I33" i="86"/>
  <c r="J33" i="86"/>
  <c r="G34" i="86"/>
  <c r="H34" i="86"/>
  <c r="I34" i="86"/>
  <c r="J34" i="86"/>
  <c r="G35" i="86"/>
  <c r="H35" i="86"/>
  <c r="I35" i="86"/>
  <c r="J35" i="86"/>
  <c r="G36" i="86"/>
  <c r="H36" i="86"/>
  <c r="I36" i="86"/>
  <c r="J36" i="86"/>
  <c r="G37" i="86"/>
  <c r="H37" i="86"/>
  <c r="I37" i="86"/>
  <c r="J37" i="86"/>
  <c r="G38" i="86"/>
  <c r="H38" i="86"/>
  <c r="I38" i="86"/>
  <c r="J38" i="86"/>
  <c r="G39" i="86"/>
  <c r="H39" i="86"/>
  <c r="I39" i="86"/>
  <c r="J39" i="86"/>
  <c r="G40" i="86"/>
  <c r="H40" i="86"/>
  <c r="I40" i="86"/>
  <c r="J40" i="86"/>
  <c r="G41" i="86"/>
  <c r="H41" i="86"/>
  <c r="I41" i="86"/>
  <c r="J41" i="86"/>
  <c r="G42" i="86"/>
  <c r="H42" i="86"/>
  <c r="I42" i="86"/>
  <c r="J42" i="86"/>
  <c r="G43" i="86"/>
  <c r="H43" i="86"/>
  <c r="I43" i="86"/>
  <c r="J43" i="86"/>
  <c r="G44" i="86"/>
  <c r="H44" i="86"/>
  <c r="I44" i="86"/>
  <c r="J44" i="86"/>
  <c r="G45" i="86"/>
  <c r="H45" i="86"/>
  <c r="I45" i="86"/>
  <c r="J45" i="86"/>
  <c r="G46" i="86"/>
  <c r="H46" i="86"/>
  <c r="I46" i="86"/>
  <c r="J46" i="86"/>
  <c r="G47" i="86"/>
  <c r="H47" i="86"/>
  <c r="I47" i="86"/>
  <c r="J47" i="86"/>
  <c r="G48" i="86"/>
  <c r="H48" i="86"/>
  <c r="I48" i="86"/>
  <c r="J48" i="86"/>
  <c r="G49" i="86"/>
  <c r="H49" i="86"/>
  <c r="I49" i="86"/>
  <c r="J49" i="86"/>
  <c r="G50" i="86"/>
  <c r="H50" i="86"/>
  <c r="I50" i="86"/>
  <c r="J50" i="86"/>
  <c r="G51" i="86"/>
  <c r="H51" i="86"/>
  <c r="I51" i="86"/>
  <c r="J51" i="86"/>
  <c r="G52" i="86"/>
  <c r="H52" i="86"/>
  <c r="I52" i="86"/>
  <c r="J52" i="86"/>
  <c r="G53" i="86"/>
  <c r="H53" i="86"/>
  <c r="I53" i="86"/>
  <c r="J53" i="86"/>
  <c r="G54" i="86"/>
  <c r="H54" i="86"/>
  <c r="I54" i="86"/>
  <c r="J54" i="86"/>
  <c r="G55" i="86"/>
  <c r="H55" i="86"/>
  <c r="I55" i="86"/>
  <c r="J55" i="86"/>
  <c r="G56" i="86"/>
  <c r="H56" i="86"/>
  <c r="I56" i="86"/>
  <c r="J56" i="86"/>
  <c r="G57" i="86"/>
  <c r="H57" i="86"/>
  <c r="I57" i="86"/>
  <c r="J57" i="86"/>
  <c r="G58" i="86"/>
  <c r="H58" i="86"/>
  <c r="I58" i="86"/>
  <c r="J58" i="86"/>
  <c r="G59" i="86"/>
  <c r="H59" i="86"/>
  <c r="I59" i="86"/>
  <c r="J59" i="86"/>
  <c r="G60" i="86"/>
  <c r="H60" i="86"/>
  <c r="I60" i="86"/>
  <c r="J60" i="86"/>
  <c r="G61" i="86"/>
  <c r="H61" i="86"/>
  <c r="I61" i="86"/>
  <c r="J61" i="86"/>
  <c r="G62" i="86"/>
  <c r="H62" i="86"/>
  <c r="I62" i="86"/>
  <c r="J62" i="86"/>
  <c r="G63" i="86"/>
  <c r="H63" i="86"/>
  <c r="I63" i="86"/>
  <c r="J63" i="86"/>
  <c r="G64" i="86"/>
  <c r="H64" i="86"/>
  <c r="I64" i="86"/>
  <c r="J64" i="86"/>
  <c r="G65" i="86"/>
  <c r="H65" i="86"/>
  <c r="I65" i="86"/>
  <c r="J65" i="86"/>
  <c r="G66" i="86"/>
  <c r="H66" i="86"/>
  <c r="I66" i="86"/>
  <c r="J66" i="86"/>
  <c r="G67" i="86"/>
  <c r="H67" i="86"/>
  <c r="I67" i="86"/>
  <c r="J67" i="86"/>
  <c r="G68" i="86"/>
  <c r="H68" i="86"/>
  <c r="I68" i="86"/>
  <c r="J68" i="86"/>
  <c r="G69" i="86"/>
  <c r="H69" i="86"/>
  <c r="I69" i="86"/>
  <c r="J69" i="86"/>
  <c r="G70" i="86"/>
  <c r="H70" i="86"/>
  <c r="I70" i="86"/>
  <c r="J70" i="86"/>
  <c r="G71" i="86"/>
  <c r="H71" i="86"/>
  <c r="I71" i="86"/>
  <c r="J71" i="86"/>
  <c r="G72" i="86"/>
  <c r="H72" i="86"/>
  <c r="I72" i="86"/>
  <c r="J72" i="86"/>
  <c r="G73" i="86"/>
  <c r="H73" i="86"/>
  <c r="I73" i="86"/>
  <c r="J73" i="86"/>
  <c r="G74" i="86"/>
  <c r="H74" i="86"/>
  <c r="I74" i="86"/>
  <c r="J74" i="86"/>
  <c r="G75" i="86"/>
  <c r="H75" i="86"/>
  <c r="I75" i="86"/>
  <c r="J75" i="86"/>
  <c r="G76" i="86"/>
  <c r="H76" i="86"/>
  <c r="I76" i="86"/>
  <c r="J76" i="86"/>
  <c r="G77" i="86"/>
  <c r="H77" i="86"/>
  <c r="I77" i="86"/>
  <c r="J77" i="86"/>
  <c r="G78" i="86"/>
  <c r="H78" i="86"/>
  <c r="I78" i="86"/>
  <c r="J78" i="86"/>
  <c r="G79" i="86"/>
  <c r="H79" i="86"/>
  <c r="I79" i="86"/>
  <c r="J79" i="86"/>
  <c r="G80" i="86"/>
  <c r="H80" i="86"/>
  <c r="I80" i="86"/>
  <c r="J80" i="86"/>
  <c r="G81" i="86"/>
  <c r="H81" i="86"/>
  <c r="I81" i="86"/>
  <c r="J81" i="86"/>
  <c r="G82" i="86"/>
  <c r="H82" i="86"/>
  <c r="I82" i="86"/>
  <c r="J82" i="86"/>
  <c r="G83" i="86"/>
  <c r="H83" i="86"/>
  <c r="I83" i="86"/>
  <c r="J83" i="86"/>
  <c r="G84" i="86"/>
  <c r="H84" i="86"/>
  <c r="I84" i="86"/>
  <c r="J84" i="86"/>
  <c r="G85" i="86"/>
  <c r="H85" i="86"/>
  <c r="I85" i="86"/>
  <c r="J85" i="86"/>
  <c r="G86" i="86"/>
  <c r="H86" i="86"/>
  <c r="I86" i="86"/>
  <c r="J86" i="86"/>
  <c r="G87" i="86"/>
  <c r="H87" i="86"/>
  <c r="I87" i="86"/>
  <c r="J87" i="86"/>
  <c r="G88" i="86"/>
  <c r="H88" i="86"/>
  <c r="I88" i="86"/>
  <c r="J88" i="86"/>
  <c r="G89" i="86"/>
  <c r="H89" i="86"/>
  <c r="I89" i="86"/>
  <c r="J89" i="86"/>
  <c r="G90" i="86"/>
  <c r="H90" i="86"/>
  <c r="I90" i="86"/>
  <c r="J90" i="86"/>
  <c r="G91" i="86"/>
  <c r="H91" i="86"/>
  <c r="I91" i="86"/>
  <c r="J91" i="86"/>
  <c r="G92" i="86"/>
  <c r="H92" i="86"/>
  <c r="I92" i="86"/>
  <c r="J92" i="86"/>
  <c r="G93" i="86"/>
  <c r="H93" i="86"/>
  <c r="I93" i="86"/>
  <c r="J93" i="86"/>
  <c r="G94" i="86"/>
  <c r="H94" i="86"/>
  <c r="I94" i="86"/>
  <c r="J94" i="86"/>
  <c r="G95" i="86"/>
  <c r="H95" i="86"/>
  <c r="I95" i="86"/>
  <c r="J95" i="86"/>
  <c r="G96" i="86"/>
  <c r="H96" i="86"/>
  <c r="I96" i="86"/>
  <c r="J96" i="86"/>
  <c r="G97" i="86"/>
  <c r="H97" i="86"/>
  <c r="I97" i="86"/>
  <c r="J97" i="86"/>
  <c r="G98" i="86"/>
  <c r="H98" i="86"/>
  <c r="I98" i="86"/>
  <c r="J98" i="86"/>
  <c r="G99" i="86"/>
  <c r="H99" i="86"/>
  <c r="I99" i="86"/>
  <c r="J99" i="86"/>
  <c r="G100" i="86"/>
  <c r="H100" i="86"/>
  <c r="I100" i="86"/>
  <c r="J100" i="86"/>
  <c r="G101" i="86"/>
  <c r="H101" i="86"/>
  <c r="I101" i="86"/>
  <c r="J101" i="86"/>
  <c r="G102" i="86"/>
  <c r="H102" i="86"/>
  <c r="I102" i="86"/>
  <c r="J102" i="86"/>
  <c r="G103" i="86"/>
  <c r="H103" i="86"/>
  <c r="I103" i="86"/>
  <c r="J103" i="86"/>
  <c r="G104" i="86"/>
  <c r="H104" i="86"/>
  <c r="I104" i="86"/>
  <c r="J104" i="86"/>
  <c r="G105" i="86"/>
  <c r="H105" i="86"/>
  <c r="I105" i="86"/>
  <c r="J105" i="86"/>
  <c r="G106" i="86"/>
  <c r="H106" i="86"/>
  <c r="I106" i="86"/>
  <c r="J106" i="86"/>
  <c r="G107" i="86"/>
  <c r="H107" i="86"/>
  <c r="I107" i="86"/>
  <c r="J107" i="86"/>
  <c r="G108" i="86"/>
  <c r="H108" i="86"/>
  <c r="I108" i="86"/>
  <c r="J108" i="86"/>
  <c r="G109" i="86"/>
  <c r="H109" i="86"/>
  <c r="I109" i="86"/>
  <c r="J109" i="86"/>
  <c r="G110" i="86"/>
  <c r="H110" i="86"/>
  <c r="I110" i="86"/>
  <c r="J110" i="86"/>
  <c r="G111" i="86"/>
  <c r="H111" i="86"/>
  <c r="I111" i="86"/>
  <c r="J111" i="86"/>
  <c r="G112" i="86"/>
  <c r="H112" i="86"/>
  <c r="I112" i="86"/>
  <c r="J112" i="86"/>
  <c r="G113" i="86"/>
  <c r="H113" i="86"/>
  <c r="I113" i="86"/>
  <c r="J113" i="86"/>
  <c r="G114" i="86"/>
  <c r="H114" i="86"/>
  <c r="I114" i="86"/>
  <c r="J114" i="86"/>
  <c r="G115" i="86"/>
  <c r="H115" i="86"/>
  <c r="I115" i="86"/>
  <c r="J115" i="86"/>
  <c r="G116" i="86"/>
  <c r="H116" i="86"/>
  <c r="I116" i="86"/>
  <c r="J116" i="86"/>
  <c r="G117" i="86"/>
  <c r="H117" i="86"/>
  <c r="I117" i="86"/>
  <c r="J117" i="86"/>
  <c r="G118" i="86"/>
  <c r="H118" i="86"/>
  <c r="I118" i="86"/>
  <c r="J118" i="86"/>
  <c r="G119" i="86"/>
  <c r="H119" i="86"/>
  <c r="I119" i="86"/>
  <c r="J119" i="86"/>
  <c r="G120" i="86"/>
  <c r="H120" i="86"/>
  <c r="I120" i="86"/>
  <c r="J120" i="86"/>
  <c r="G121" i="86"/>
  <c r="H121" i="86"/>
  <c r="I121" i="86"/>
  <c r="J121" i="86"/>
  <c r="G122" i="86"/>
  <c r="H122" i="86"/>
  <c r="I122" i="86"/>
  <c r="J122" i="86"/>
  <c r="G123" i="86"/>
  <c r="H123" i="86"/>
  <c r="I123" i="86"/>
  <c r="J123" i="86"/>
  <c r="G124" i="86"/>
  <c r="H124" i="86"/>
  <c r="I124" i="86"/>
  <c r="J124" i="86"/>
  <c r="G125" i="86"/>
  <c r="H125" i="86"/>
  <c r="I125" i="86"/>
  <c r="J125" i="86"/>
  <c r="G126" i="86"/>
  <c r="H126" i="86"/>
  <c r="I126" i="86"/>
  <c r="J126" i="86"/>
  <c r="G137" i="86"/>
  <c r="H137" i="86"/>
  <c r="I137" i="86"/>
  <c r="G138" i="86"/>
  <c r="H138" i="86"/>
  <c r="I138" i="86"/>
  <c r="J138" i="86"/>
  <c r="G139" i="86"/>
  <c r="H139" i="86"/>
  <c r="I139" i="86"/>
  <c r="J139" i="86"/>
  <c r="G140" i="86"/>
  <c r="H140" i="86"/>
  <c r="I140" i="86"/>
  <c r="J140" i="86"/>
  <c r="G141" i="86"/>
  <c r="H141" i="86"/>
  <c r="I141" i="86"/>
  <c r="J141" i="86"/>
  <c r="G142" i="86"/>
  <c r="H142" i="86"/>
  <c r="I142" i="86"/>
  <c r="J142" i="86"/>
  <c r="G148" i="86"/>
  <c r="H148" i="86"/>
  <c r="I148" i="86"/>
  <c r="J148" i="86"/>
  <c r="G149" i="86"/>
  <c r="H149" i="86"/>
  <c r="I149" i="86"/>
  <c r="J149" i="86"/>
  <c r="G150" i="86"/>
  <c r="H150" i="86"/>
  <c r="I150" i="86"/>
  <c r="J150" i="86"/>
  <c r="G151" i="86"/>
  <c r="H151" i="86"/>
  <c r="I151" i="86"/>
  <c r="J151" i="86"/>
  <c r="G152" i="86"/>
  <c r="H152" i="86"/>
  <c r="I152" i="86"/>
  <c r="J152" i="86"/>
  <c r="G153" i="86"/>
  <c r="H153" i="86"/>
  <c r="I153" i="86"/>
  <c r="J153" i="86"/>
  <c r="G154" i="86"/>
  <c r="H154" i="86"/>
  <c r="I154" i="86"/>
  <c r="J154" i="86"/>
  <c r="G155" i="86"/>
  <c r="H155" i="86"/>
  <c r="I155" i="86"/>
  <c r="J155" i="86"/>
  <c r="G156" i="86"/>
  <c r="H156" i="86"/>
  <c r="I156" i="86"/>
  <c r="J156" i="86"/>
  <c r="G157" i="86"/>
  <c r="H157" i="86"/>
  <c r="I157" i="86"/>
  <c r="J157" i="86"/>
  <c r="G158" i="86"/>
  <c r="H158" i="86"/>
  <c r="I158" i="86"/>
  <c r="J158" i="86"/>
  <c r="G159" i="86"/>
  <c r="H159" i="86"/>
  <c r="I159" i="86"/>
  <c r="J159" i="86"/>
  <c r="G160" i="86"/>
  <c r="H160" i="86"/>
  <c r="I160" i="86"/>
  <c r="J160" i="86"/>
  <c r="G161" i="86"/>
  <c r="H161" i="86"/>
  <c r="I161" i="86"/>
  <c r="J161" i="86"/>
  <c r="G162" i="86"/>
  <c r="H162" i="86"/>
  <c r="I162" i="86"/>
  <c r="J162" i="86"/>
  <c r="G163" i="86"/>
  <c r="H163" i="86"/>
  <c r="I163" i="86"/>
  <c r="J163" i="86"/>
  <c r="G164" i="86"/>
  <c r="H164" i="86"/>
  <c r="I164" i="86"/>
  <c r="J164" i="86"/>
  <c r="G165" i="86"/>
  <c r="H165" i="86"/>
  <c r="I165" i="86"/>
  <c r="J165" i="86"/>
  <c r="G166" i="86"/>
  <c r="H166" i="86"/>
  <c r="I166" i="86"/>
  <c r="J166" i="86"/>
  <c r="G167" i="86"/>
  <c r="H167" i="86"/>
  <c r="I167" i="86"/>
  <c r="J167" i="86"/>
  <c r="G168" i="86"/>
  <c r="H168" i="86"/>
  <c r="I168" i="86"/>
  <c r="J168" i="86"/>
  <c r="G169" i="86"/>
  <c r="H169" i="86"/>
  <c r="I169" i="86"/>
  <c r="J169" i="86"/>
  <c r="G170" i="86"/>
  <c r="H170" i="86"/>
  <c r="I170" i="86"/>
  <c r="J170" i="86"/>
  <c r="G171" i="86"/>
  <c r="H171" i="86"/>
  <c r="I171" i="86"/>
  <c r="J171" i="86"/>
  <c r="G172" i="86"/>
  <c r="H172" i="86"/>
  <c r="I172" i="86"/>
  <c r="J172" i="86"/>
  <c r="G173" i="86"/>
  <c r="H173" i="86"/>
  <c r="I173" i="86"/>
  <c r="J173" i="86"/>
  <c r="G174" i="86"/>
  <c r="H174" i="86"/>
  <c r="I174" i="86"/>
  <c r="J174" i="86"/>
  <c r="G175" i="86"/>
  <c r="H175" i="86"/>
  <c r="I175" i="86"/>
  <c r="J175" i="86"/>
  <c r="G176" i="86"/>
  <c r="H176" i="86"/>
  <c r="I176" i="86"/>
  <c r="J176" i="86"/>
  <c r="G177" i="86"/>
  <c r="H177" i="86"/>
  <c r="I177" i="86"/>
  <c r="J177" i="86"/>
  <c r="G178" i="86"/>
  <c r="H178" i="86"/>
  <c r="I178" i="86"/>
  <c r="J178" i="86"/>
  <c r="G179" i="86"/>
  <c r="H179" i="86"/>
  <c r="I179" i="86"/>
  <c r="J179" i="86"/>
  <c r="G180" i="86"/>
  <c r="H180" i="86"/>
  <c r="I180" i="86"/>
  <c r="J180" i="86"/>
  <c r="G181" i="86"/>
  <c r="H181" i="86"/>
  <c r="I181" i="86"/>
  <c r="J181" i="86"/>
  <c r="G182" i="86"/>
  <c r="H182" i="86"/>
  <c r="I182" i="86"/>
  <c r="J182" i="86"/>
  <c r="G183" i="86"/>
  <c r="H183" i="86"/>
  <c r="I183" i="86"/>
  <c r="J183" i="86"/>
  <c r="G184" i="86"/>
  <c r="H184" i="86"/>
  <c r="I184" i="86"/>
  <c r="J184" i="86"/>
  <c r="G185" i="86"/>
  <c r="H185" i="86"/>
  <c r="I185" i="86"/>
  <c r="J185" i="86"/>
  <c r="G186" i="86"/>
  <c r="H186" i="86"/>
  <c r="I186" i="86"/>
  <c r="J186" i="86"/>
  <c r="G187" i="86"/>
  <c r="H187" i="86"/>
  <c r="I187" i="86"/>
  <c r="J187" i="86"/>
  <c r="G188" i="86"/>
  <c r="H188" i="86"/>
  <c r="I188" i="86"/>
  <c r="J188" i="86"/>
  <c r="G189" i="86"/>
  <c r="H189" i="86"/>
  <c r="I189" i="86"/>
  <c r="J189" i="86"/>
  <c r="G190" i="86"/>
  <c r="H190" i="86"/>
  <c r="I190" i="86"/>
  <c r="J190" i="86"/>
  <c r="G191" i="86"/>
  <c r="H191" i="86"/>
  <c r="I191" i="86"/>
  <c r="J191" i="86"/>
  <c r="J2" i="86"/>
  <c r="I2" i="86"/>
  <c r="H2" i="86"/>
  <c r="G2" i="86"/>
  <c r="J2" i="87"/>
  <c r="J3" i="87"/>
  <c r="J4" i="87"/>
  <c r="J5" i="87"/>
  <c r="J6" i="87"/>
  <c r="J7" i="87"/>
  <c r="J8" i="87"/>
  <c r="J9" i="87"/>
  <c r="J10" i="87"/>
  <c r="J11" i="87"/>
  <c r="J12" i="87"/>
  <c r="J13" i="87"/>
  <c r="J14" i="87"/>
  <c r="J15" i="87"/>
  <c r="J16" i="87"/>
  <c r="J18" i="87"/>
  <c r="J19" i="87"/>
  <c r="J20" i="87"/>
  <c r="J21" i="87"/>
  <c r="J22" i="87"/>
  <c r="J23" i="87"/>
  <c r="J24" i="87"/>
  <c r="J25" i="87"/>
  <c r="J26" i="87"/>
  <c r="J27" i="87"/>
  <c r="J28" i="87"/>
  <c r="J29" i="87"/>
  <c r="J30" i="87"/>
  <c r="J31" i="87"/>
  <c r="J32" i="87"/>
  <c r="J33" i="87"/>
  <c r="J34" i="87"/>
  <c r="J35" i="87"/>
  <c r="J36" i="87"/>
  <c r="J37" i="87"/>
  <c r="J38" i="87"/>
  <c r="J39" i="87"/>
  <c r="J40" i="87"/>
  <c r="J41" i="87"/>
  <c r="J42" i="87"/>
  <c r="J43" i="87"/>
  <c r="J44" i="87"/>
  <c r="J45" i="87"/>
  <c r="J46" i="87"/>
  <c r="J47" i="87"/>
  <c r="J48" i="87"/>
  <c r="J49" i="87"/>
  <c r="J50" i="87"/>
  <c r="J51" i="87"/>
  <c r="J52" i="87"/>
  <c r="J53" i="87"/>
  <c r="J54" i="87"/>
  <c r="J55" i="87"/>
  <c r="J56" i="87"/>
  <c r="J57" i="87"/>
  <c r="J58" i="87"/>
  <c r="J59" i="87"/>
  <c r="J60" i="87"/>
  <c r="J61" i="87"/>
  <c r="J62" i="87"/>
  <c r="J63" i="87"/>
  <c r="J64" i="87"/>
  <c r="J65" i="87"/>
  <c r="J66" i="87"/>
  <c r="J67" i="87"/>
  <c r="J68" i="87"/>
  <c r="J69" i="87"/>
  <c r="J70" i="87"/>
  <c r="J71" i="87"/>
  <c r="J72" i="87"/>
  <c r="J73" i="87"/>
  <c r="J74" i="87"/>
  <c r="J75" i="87"/>
  <c r="J76" i="87"/>
  <c r="J77" i="87"/>
  <c r="J78" i="87"/>
  <c r="J79" i="87"/>
  <c r="J80" i="87"/>
  <c r="J81" i="87"/>
  <c r="J82" i="87"/>
  <c r="J83" i="87"/>
  <c r="J84" i="87"/>
  <c r="J85" i="87"/>
  <c r="J86" i="87"/>
  <c r="J87" i="87"/>
  <c r="J88" i="87"/>
  <c r="J89" i="87"/>
  <c r="J90" i="87"/>
  <c r="J91" i="87"/>
  <c r="J92" i="87"/>
  <c r="J93" i="87"/>
  <c r="J94" i="87"/>
  <c r="J95" i="87"/>
  <c r="J96" i="87"/>
  <c r="J97" i="87"/>
  <c r="J98" i="87"/>
  <c r="J99" i="87"/>
  <c r="J100" i="87"/>
  <c r="J101" i="87"/>
  <c r="J102" i="87"/>
  <c r="J103" i="87"/>
  <c r="J104" i="87"/>
  <c r="J105" i="87"/>
  <c r="J106" i="87"/>
  <c r="J107" i="87"/>
  <c r="J108" i="87"/>
  <c r="J109" i="87"/>
  <c r="J110" i="87"/>
  <c r="J111" i="87"/>
  <c r="J112" i="87"/>
  <c r="J123" i="87"/>
  <c r="J124" i="87"/>
  <c r="J125" i="87"/>
  <c r="J126" i="87"/>
  <c r="J127" i="87"/>
  <c r="J128" i="87"/>
  <c r="J134" i="87"/>
  <c r="J135" i="87"/>
  <c r="J136" i="87"/>
  <c r="J137" i="87"/>
  <c r="J138" i="87"/>
  <c r="J139" i="87"/>
  <c r="J140" i="87"/>
  <c r="J141" i="87"/>
  <c r="J142" i="87"/>
  <c r="J143" i="87"/>
  <c r="J144" i="87"/>
  <c r="J145" i="87"/>
  <c r="J146" i="87"/>
  <c r="J147" i="87"/>
  <c r="J148" i="87"/>
  <c r="J149" i="87"/>
  <c r="J150" i="87"/>
  <c r="J151" i="87"/>
  <c r="J152" i="87"/>
  <c r="J153" i="87"/>
  <c r="J154" i="87"/>
  <c r="J155" i="87"/>
  <c r="J156" i="87"/>
  <c r="J157" i="87"/>
  <c r="J158" i="87"/>
  <c r="J159" i="87"/>
  <c r="J160" i="87"/>
  <c r="J161" i="87"/>
  <c r="J162" i="87"/>
  <c r="J163" i="87"/>
  <c r="J164" i="87"/>
  <c r="J165" i="87"/>
  <c r="J166" i="87"/>
  <c r="J167" i="87"/>
  <c r="J168" i="87"/>
  <c r="J169" i="87"/>
  <c r="J170" i="87"/>
  <c r="J171" i="87"/>
  <c r="I3" i="87"/>
  <c r="I4" i="87"/>
  <c r="I5" i="87"/>
  <c r="I6" i="87"/>
  <c r="I7" i="87"/>
  <c r="I8" i="87"/>
  <c r="I9" i="87"/>
  <c r="I10" i="87"/>
  <c r="I11" i="87"/>
  <c r="I12" i="87"/>
  <c r="I13" i="87"/>
  <c r="I14" i="87"/>
  <c r="I15" i="87"/>
  <c r="I16" i="87"/>
  <c r="I18" i="87"/>
  <c r="I19" i="87"/>
  <c r="I20" i="87"/>
  <c r="I21" i="87"/>
  <c r="I22" i="87"/>
  <c r="I23" i="87"/>
  <c r="I24" i="87"/>
  <c r="I25" i="87"/>
  <c r="I26" i="87"/>
  <c r="I27" i="87"/>
  <c r="I28" i="87"/>
  <c r="I29" i="87"/>
  <c r="I30" i="87"/>
  <c r="I31" i="87"/>
  <c r="I32" i="87"/>
  <c r="I33" i="87"/>
  <c r="I34" i="87"/>
  <c r="I35" i="87"/>
  <c r="I36" i="87"/>
  <c r="I37" i="87"/>
  <c r="I38" i="87"/>
  <c r="I39" i="87"/>
  <c r="I40" i="87"/>
  <c r="I41" i="87"/>
  <c r="I42" i="87"/>
  <c r="I43" i="87"/>
  <c r="I44" i="87"/>
  <c r="I45" i="87"/>
  <c r="I46" i="87"/>
  <c r="I47" i="87"/>
  <c r="I48" i="87"/>
  <c r="I49" i="87"/>
  <c r="I50" i="87"/>
  <c r="I51" i="87"/>
  <c r="I52" i="87"/>
  <c r="I53" i="87"/>
  <c r="I54" i="87"/>
  <c r="I55" i="87"/>
  <c r="I56" i="87"/>
  <c r="I57" i="87"/>
  <c r="I58" i="87"/>
  <c r="I59" i="87"/>
  <c r="I60" i="87"/>
  <c r="I61" i="87"/>
  <c r="I62" i="87"/>
  <c r="I63" i="87"/>
  <c r="I64" i="87"/>
  <c r="I65" i="87"/>
  <c r="I66" i="87"/>
  <c r="I67" i="87"/>
  <c r="I68" i="87"/>
  <c r="I69" i="87"/>
  <c r="I70" i="87"/>
  <c r="I71" i="87"/>
  <c r="I72" i="87"/>
  <c r="I73" i="87"/>
  <c r="I74" i="87"/>
  <c r="I75" i="87"/>
  <c r="I76" i="87"/>
  <c r="I77" i="87"/>
  <c r="I78" i="87"/>
  <c r="I79" i="87"/>
  <c r="I80" i="87"/>
  <c r="I81" i="87"/>
  <c r="I82" i="87"/>
  <c r="I83" i="87"/>
  <c r="I84" i="87"/>
  <c r="I85" i="87"/>
  <c r="I86" i="87"/>
  <c r="I87" i="87"/>
  <c r="I88" i="87"/>
  <c r="I89" i="87"/>
  <c r="I90" i="87"/>
  <c r="I91" i="87"/>
  <c r="I92" i="87"/>
  <c r="I93" i="87"/>
  <c r="I94" i="87"/>
  <c r="I95" i="87"/>
  <c r="I96" i="87"/>
  <c r="I97" i="87"/>
  <c r="I98" i="87"/>
  <c r="I99" i="87"/>
  <c r="I100" i="87"/>
  <c r="I101" i="87"/>
  <c r="I102" i="87"/>
  <c r="I103" i="87"/>
  <c r="I104" i="87"/>
  <c r="I105" i="87"/>
  <c r="I106" i="87"/>
  <c r="I107" i="87"/>
  <c r="I108" i="87"/>
  <c r="I109" i="87"/>
  <c r="I110" i="87"/>
  <c r="I111" i="87"/>
  <c r="I112" i="87"/>
  <c r="I123" i="87"/>
  <c r="I124" i="87"/>
  <c r="I125" i="87"/>
  <c r="I126" i="87"/>
  <c r="I127" i="87"/>
  <c r="I128" i="87"/>
  <c r="I134" i="87"/>
  <c r="I135" i="87"/>
  <c r="I136" i="87"/>
  <c r="I137" i="87"/>
  <c r="I138" i="87"/>
  <c r="I139" i="87"/>
  <c r="I140" i="87"/>
  <c r="I141" i="87"/>
  <c r="I142" i="87"/>
  <c r="I143" i="87"/>
  <c r="I144" i="87"/>
  <c r="I145" i="87"/>
  <c r="I146" i="87"/>
  <c r="I147" i="87"/>
  <c r="I148" i="87"/>
  <c r="I149" i="87"/>
  <c r="I150" i="87"/>
  <c r="I151" i="87"/>
  <c r="I152" i="87"/>
  <c r="I153" i="87"/>
  <c r="I154" i="87"/>
  <c r="I155" i="87"/>
  <c r="I156" i="87"/>
  <c r="I157" i="87"/>
  <c r="I158" i="87"/>
  <c r="I159" i="87"/>
  <c r="I160" i="87"/>
  <c r="I161" i="87"/>
  <c r="I162" i="87"/>
  <c r="I163" i="87"/>
  <c r="I164" i="87"/>
  <c r="I165" i="87"/>
  <c r="I166" i="87"/>
  <c r="I167" i="87"/>
  <c r="I168" i="87"/>
  <c r="I169" i="87"/>
  <c r="I170" i="87"/>
  <c r="I171" i="87"/>
  <c r="I2" i="87"/>
  <c r="H3" i="87"/>
  <c r="H4" i="87"/>
  <c r="H5" i="87"/>
  <c r="H6" i="87"/>
  <c r="H7" i="87"/>
  <c r="H8" i="87"/>
  <c r="H9" i="87"/>
  <c r="H10" i="87"/>
  <c r="H11" i="87"/>
  <c r="H12" i="87"/>
  <c r="H13" i="87"/>
  <c r="H14" i="87"/>
  <c r="H15" i="87"/>
  <c r="H16" i="87"/>
  <c r="H18" i="87"/>
  <c r="H19" i="87"/>
  <c r="H20" i="87"/>
  <c r="H21" i="87"/>
  <c r="H22" i="87"/>
  <c r="H23" i="87"/>
  <c r="H24" i="87"/>
  <c r="H25" i="87"/>
  <c r="H26" i="87"/>
  <c r="H27" i="87"/>
  <c r="H28" i="87"/>
  <c r="H29" i="87"/>
  <c r="H30" i="87"/>
  <c r="H31" i="87"/>
  <c r="H32" i="87"/>
  <c r="H33" i="87"/>
  <c r="H34" i="87"/>
  <c r="H35" i="87"/>
  <c r="H36" i="87"/>
  <c r="H37" i="87"/>
  <c r="H38" i="87"/>
  <c r="H39" i="87"/>
  <c r="H40" i="87"/>
  <c r="H41" i="87"/>
  <c r="H42" i="87"/>
  <c r="H43" i="87"/>
  <c r="H44" i="87"/>
  <c r="H45" i="87"/>
  <c r="H46" i="87"/>
  <c r="H47" i="87"/>
  <c r="H48" i="87"/>
  <c r="H49" i="87"/>
  <c r="H50" i="87"/>
  <c r="H51" i="87"/>
  <c r="H52" i="87"/>
  <c r="H53" i="87"/>
  <c r="H54" i="87"/>
  <c r="H55" i="87"/>
  <c r="H56" i="87"/>
  <c r="H57" i="87"/>
  <c r="H58" i="87"/>
  <c r="H59" i="87"/>
  <c r="H60" i="87"/>
  <c r="H61" i="87"/>
  <c r="H62" i="87"/>
  <c r="H63" i="87"/>
  <c r="H64" i="87"/>
  <c r="H65" i="87"/>
  <c r="H66" i="87"/>
  <c r="H67" i="87"/>
  <c r="H68" i="87"/>
  <c r="H69" i="87"/>
  <c r="H70" i="87"/>
  <c r="H71" i="87"/>
  <c r="H72" i="87"/>
  <c r="H73" i="87"/>
  <c r="H74" i="87"/>
  <c r="H75" i="87"/>
  <c r="H76" i="87"/>
  <c r="H77" i="87"/>
  <c r="H78" i="87"/>
  <c r="H79" i="87"/>
  <c r="H80" i="87"/>
  <c r="H81" i="87"/>
  <c r="H82" i="87"/>
  <c r="H83" i="87"/>
  <c r="H84" i="87"/>
  <c r="H85" i="87"/>
  <c r="H86" i="87"/>
  <c r="H87" i="87"/>
  <c r="H88" i="87"/>
  <c r="H89" i="87"/>
  <c r="H90" i="87"/>
  <c r="H91" i="87"/>
  <c r="H92" i="87"/>
  <c r="H93" i="87"/>
  <c r="H94" i="87"/>
  <c r="H95" i="87"/>
  <c r="H96" i="87"/>
  <c r="H97" i="87"/>
  <c r="H98" i="87"/>
  <c r="H99" i="87"/>
  <c r="H100" i="87"/>
  <c r="H101" i="87"/>
  <c r="H102" i="87"/>
  <c r="H103" i="87"/>
  <c r="H104" i="87"/>
  <c r="H105" i="87"/>
  <c r="H106" i="87"/>
  <c r="H107" i="87"/>
  <c r="H108" i="87"/>
  <c r="H109" i="87"/>
  <c r="H110" i="87"/>
  <c r="H111" i="87"/>
  <c r="H112" i="87"/>
  <c r="H123" i="87"/>
  <c r="H124" i="87"/>
  <c r="H125" i="87"/>
  <c r="H126" i="87"/>
  <c r="H127" i="87"/>
  <c r="H128" i="87"/>
  <c r="H134" i="87"/>
  <c r="H135" i="87"/>
  <c r="H136" i="87"/>
  <c r="H137" i="87"/>
  <c r="H138" i="87"/>
  <c r="H139" i="87"/>
  <c r="H140" i="87"/>
  <c r="H141" i="87"/>
  <c r="H142" i="87"/>
  <c r="H143" i="87"/>
  <c r="H144" i="87"/>
  <c r="H145" i="87"/>
  <c r="H146" i="87"/>
  <c r="H147" i="87"/>
  <c r="H148" i="87"/>
  <c r="H149" i="87"/>
  <c r="H150" i="87"/>
  <c r="H151" i="87"/>
  <c r="H152" i="87"/>
  <c r="H153" i="87"/>
  <c r="H154" i="87"/>
  <c r="H155" i="87"/>
  <c r="H156" i="87"/>
  <c r="H157" i="87"/>
  <c r="H158" i="87"/>
  <c r="H159" i="87"/>
  <c r="H160" i="87"/>
  <c r="H161" i="87"/>
  <c r="H162" i="87"/>
  <c r="H163" i="87"/>
  <c r="H164" i="87"/>
  <c r="H165" i="87"/>
  <c r="H166" i="87"/>
  <c r="H167" i="87"/>
  <c r="H168" i="87"/>
  <c r="H169" i="87"/>
  <c r="H170" i="87"/>
  <c r="H171" i="87"/>
  <c r="H2" i="87"/>
  <c r="G171" i="87"/>
  <c r="G170" i="87"/>
  <c r="G169" i="87"/>
  <c r="G168" i="87"/>
  <c r="G167" i="87"/>
  <c r="G166" i="87"/>
  <c r="G165" i="87"/>
  <c r="G164" i="87"/>
  <c r="G163" i="87"/>
  <c r="G162" i="87"/>
  <c r="G161" i="87"/>
  <c r="G160" i="87"/>
  <c r="G159" i="87"/>
  <c r="G158" i="87"/>
  <c r="G157" i="87"/>
  <c r="G156" i="87"/>
  <c r="G155" i="87"/>
  <c r="G154" i="87"/>
  <c r="G153" i="87"/>
  <c r="G152" i="87"/>
  <c r="G151" i="87"/>
  <c r="G150" i="87"/>
  <c r="G149" i="87"/>
  <c r="G148" i="87"/>
  <c r="G147" i="87"/>
  <c r="G146" i="87"/>
  <c r="G145" i="87"/>
  <c r="G144" i="87"/>
  <c r="G143" i="87"/>
  <c r="G142" i="87"/>
  <c r="G141" i="87"/>
  <c r="G140" i="87"/>
  <c r="G139" i="87"/>
  <c r="G138" i="87"/>
  <c r="G137" i="87"/>
  <c r="G136" i="87"/>
  <c r="G135" i="87"/>
  <c r="G134" i="87"/>
  <c r="G128" i="87"/>
  <c r="G127" i="87"/>
  <c r="G126" i="87"/>
  <c r="G125" i="87"/>
  <c r="G124" i="87"/>
  <c r="G123" i="87"/>
  <c r="G112" i="87"/>
  <c r="G111" i="87"/>
  <c r="G110" i="87"/>
  <c r="G109" i="87"/>
  <c r="G108" i="87"/>
  <c r="G107" i="87"/>
  <c r="G106" i="87"/>
  <c r="G105" i="87"/>
  <c r="G104" i="87"/>
  <c r="G103" i="87"/>
  <c r="G102" i="87"/>
  <c r="G101" i="87"/>
  <c r="G100" i="87"/>
  <c r="G99" i="87"/>
  <c r="G98" i="87"/>
  <c r="G97" i="87"/>
  <c r="G96" i="87"/>
  <c r="G95" i="87"/>
  <c r="G94" i="87"/>
  <c r="G93" i="87"/>
  <c r="G92" i="87"/>
  <c r="G91" i="87"/>
  <c r="G90" i="87"/>
  <c r="G89" i="87"/>
  <c r="G88" i="87"/>
  <c r="G87" i="87"/>
  <c r="G86" i="87"/>
  <c r="G85" i="87"/>
  <c r="G84" i="87"/>
  <c r="G83" i="87"/>
  <c r="G82" i="87"/>
  <c r="G81" i="87"/>
  <c r="G80" i="87"/>
  <c r="G79" i="87"/>
  <c r="G78" i="87"/>
  <c r="G77" i="87"/>
  <c r="G76" i="87"/>
  <c r="G75" i="87"/>
  <c r="G74" i="87"/>
  <c r="G73" i="87"/>
  <c r="G72" i="87"/>
  <c r="G71" i="87"/>
  <c r="G70" i="87"/>
  <c r="G69" i="87"/>
  <c r="G68" i="87"/>
  <c r="G67" i="87"/>
  <c r="G66" i="87"/>
  <c r="G65" i="87"/>
  <c r="G64" i="87"/>
  <c r="G63" i="87"/>
  <c r="G62" i="87"/>
  <c r="G61" i="87"/>
  <c r="G60" i="87"/>
  <c r="G59" i="87"/>
  <c r="G58" i="87"/>
  <c r="G57" i="87"/>
  <c r="G56" i="87"/>
  <c r="G55" i="87"/>
  <c r="G54" i="87"/>
  <c r="G53" i="87"/>
  <c r="G52" i="87"/>
  <c r="G51" i="87"/>
  <c r="G50" i="87"/>
  <c r="G49" i="87"/>
  <c r="G48" i="87"/>
  <c r="G47" i="87"/>
  <c r="G46" i="87"/>
  <c r="G45" i="87"/>
  <c r="G44" i="87"/>
  <c r="G43" i="87"/>
  <c r="G42" i="87"/>
  <c r="G41" i="87"/>
  <c r="G40" i="87"/>
  <c r="G39" i="87"/>
  <c r="G38" i="87"/>
  <c r="G37" i="87"/>
  <c r="G36" i="87"/>
  <c r="G35" i="87"/>
  <c r="G34" i="87"/>
  <c r="G33" i="87"/>
  <c r="G32" i="87"/>
  <c r="G31" i="87"/>
  <c r="G30" i="87"/>
  <c r="G29" i="87"/>
  <c r="G28" i="87"/>
  <c r="G27" i="87"/>
  <c r="G26" i="87"/>
  <c r="G25" i="87"/>
  <c r="G24" i="87"/>
  <c r="G23" i="87"/>
  <c r="G22" i="87"/>
  <c r="G21" i="87"/>
  <c r="G20" i="87"/>
  <c r="G19" i="87"/>
  <c r="G18" i="87"/>
  <c r="G16" i="87"/>
  <c r="G15" i="87"/>
  <c r="G14" i="87"/>
  <c r="G13" i="87"/>
  <c r="G12" i="87"/>
  <c r="G11" i="87"/>
  <c r="G10" i="87"/>
  <c r="G9" i="87"/>
  <c r="G8" i="87"/>
  <c r="G7" i="87"/>
  <c r="G6" i="87"/>
  <c r="G5" i="87"/>
  <c r="G4" i="87"/>
  <c r="G3" i="87"/>
  <c r="G2" i="87"/>
  <c r="AD469" i="31"/>
  <c r="AD470" i="31"/>
  <c r="AD471" i="31"/>
  <c r="B453" i="31"/>
  <c r="B465" i="31"/>
  <c r="B464" i="31"/>
  <c r="AN391" i="31"/>
  <c r="AN390" i="31"/>
  <c r="AN384" i="31"/>
  <c r="N397" i="31"/>
  <c r="N398" i="31"/>
  <c r="N399" i="31"/>
  <c r="M399" i="31"/>
  <c r="L399" i="31"/>
  <c r="B317" i="31"/>
  <c r="B318" i="31"/>
  <c r="AL255" i="31"/>
  <c r="O40" i="57"/>
  <c r="P38" i="57"/>
  <c r="O36" i="57"/>
  <c r="H74" i="57"/>
  <c r="AP52" i="31"/>
  <c r="AM96" i="31"/>
  <c r="H70" i="57"/>
  <c r="H64" i="57"/>
  <c r="D189" i="83"/>
  <c r="D190" i="83"/>
  <c r="D191" i="83"/>
  <c r="D192" i="83"/>
  <c r="D193" i="83"/>
  <c r="D194" i="83"/>
  <c r="D195" i="83"/>
  <c r="D196" i="83"/>
  <c r="D197" i="83"/>
  <c r="L44" i="57"/>
  <c r="J44" i="57"/>
  <c r="H44" i="57"/>
  <c r="L50" i="57"/>
  <c r="H50" i="57"/>
  <c r="L77" i="57"/>
  <c r="H77" i="57"/>
  <c r="H56" i="31"/>
  <c r="T51" i="31"/>
  <c r="T52" i="31"/>
  <c r="H57" i="31"/>
  <c r="H58" i="31"/>
  <c r="O53" i="31"/>
  <c r="M53" i="31"/>
  <c r="N53" i="31"/>
  <c r="P53" i="31"/>
  <c r="Q53" i="31"/>
  <c r="R53" i="31"/>
  <c r="O57" i="31"/>
  <c r="Q57" i="31"/>
  <c r="H97" i="57"/>
  <c r="N57" i="31"/>
  <c r="P57" i="31"/>
  <c r="H94" i="57"/>
  <c r="R57" i="31"/>
  <c r="T72" i="31"/>
  <c r="S71" i="31"/>
  <c r="H90" i="57"/>
  <c r="H89" i="57"/>
  <c r="H86" i="57"/>
  <c r="H24" i="57"/>
  <c r="H8" i="57"/>
  <c r="H72" i="57"/>
  <c r="H71" i="57"/>
  <c r="H13" i="68"/>
  <c r="S9" i="57"/>
  <c r="C13" i="68" s="1"/>
  <c r="D13" i="68" s="1"/>
  <c r="S73" i="57"/>
  <c r="R9" i="57"/>
  <c r="B13" i="68" s="1"/>
  <c r="R73" i="57"/>
  <c r="D2" i="54"/>
  <c r="D3" i="54"/>
  <c r="D4" i="54"/>
  <c r="D5" i="54"/>
  <c r="D6" i="54"/>
  <c r="D7" i="54"/>
  <c r="D8" i="54"/>
  <c r="D9" i="54"/>
  <c r="D10" i="54"/>
  <c r="D11" i="54"/>
  <c r="D12" i="54"/>
  <c r="D13" i="54"/>
  <c r="D14" i="54"/>
  <c r="D15" i="54"/>
  <c r="D16" i="54"/>
  <c r="D17" i="54"/>
  <c r="D18" i="54"/>
  <c r="D19" i="54"/>
  <c r="D20" i="54"/>
  <c r="D21" i="54"/>
  <c r="D22" i="54"/>
  <c r="D23" i="54"/>
  <c r="D24" i="54"/>
  <c r="AC9" i="26"/>
  <c r="AC10" i="26" s="1"/>
  <c r="AC17" i="26"/>
  <c r="AC18" i="26" s="1"/>
  <c r="D25" i="54"/>
  <c r="D26" i="54"/>
  <c r="D27" i="54"/>
  <c r="D28" i="54"/>
  <c r="D29" i="54"/>
  <c r="D30" i="54"/>
  <c r="D31" i="54"/>
  <c r="D32" i="54"/>
  <c r="D33" i="54"/>
  <c r="D34" i="54"/>
  <c r="D35" i="54"/>
  <c r="D36" i="54"/>
  <c r="D37" i="54"/>
  <c r="D38" i="54"/>
  <c r="D39" i="54"/>
  <c r="D40" i="54"/>
  <c r="D41" i="54"/>
  <c r="D42" i="54"/>
  <c r="D43" i="54"/>
  <c r="D44" i="54"/>
  <c r="D45" i="54"/>
  <c r="D46" i="54"/>
  <c r="D47" i="54"/>
  <c r="D48" i="54"/>
  <c r="D49" i="54"/>
  <c r="D50" i="54"/>
  <c r="D51" i="54"/>
  <c r="D52" i="54"/>
  <c r="D53" i="54"/>
  <c r="D54" i="54"/>
  <c r="D55" i="54"/>
  <c r="D56" i="54"/>
  <c r="D57" i="54"/>
  <c r="D58" i="54"/>
  <c r="D59" i="54"/>
  <c r="D60" i="54"/>
  <c r="D61" i="54"/>
  <c r="D62" i="54"/>
  <c r="D63" i="54"/>
  <c r="D64" i="54"/>
  <c r="BQ9" i="26"/>
  <c r="BQ10" i="26" s="1"/>
  <c r="D65" i="54"/>
  <c r="D66" i="54"/>
  <c r="D67" i="54"/>
  <c r="D68" i="54"/>
  <c r="D69" i="54"/>
  <c r="BV9" i="26"/>
  <c r="BV10" i="26" s="1"/>
  <c r="BV17" i="26"/>
  <c r="BV18" i="26" s="1"/>
  <c r="D70" i="54"/>
  <c r="D71" i="54"/>
  <c r="D72" i="54"/>
  <c r="D73" i="54"/>
  <c r="D74" i="54"/>
  <c r="CA9" i="26"/>
  <c r="CA10" i="26" s="1"/>
  <c r="CA17" i="26"/>
  <c r="CA18" i="26" s="1"/>
  <c r="D75" i="54"/>
  <c r="D76" i="54"/>
  <c r="D77" i="54"/>
  <c r="D78" i="54"/>
  <c r="D79" i="54"/>
  <c r="CF9" i="26"/>
  <c r="CF10" i="26" s="1"/>
  <c r="CF17" i="26"/>
  <c r="CF18" i="26" s="1"/>
  <c r="CF4" i="26" s="1"/>
  <c r="D80" i="54"/>
  <c r="D81" i="54"/>
  <c r="D82" i="54"/>
  <c r="D83" i="54"/>
  <c r="D84" i="54"/>
  <c r="CK9" i="26"/>
  <c r="CK10" i="26" s="1"/>
  <c r="CK3" i="26" s="1"/>
  <c r="CK17" i="26"/>
  <c r="CK18" i="26" s="1"/>
  <c r="D85" i="54"/>
  <c r="D86" i="54"/>
  <c r="D87" i="54"/>
  <c r="D88" i="54"/>
  <c r="D89" i="54"/>
  <c r="CP9" i="26"/>
  <c r="CP10" i="26" s="1"/>
  <c r="CP17" i="26"/>
  <c r="CP18" i="26" s="1"/>
  <c r="D90" i="54"/>
  <c r="D91" i="54"/>
  <c r="D92" i="54"/>
  <c r="D93" i="54"/>
  <c r="D94" i="54"/>
  <c r="CU9" i="26"/>
  <c r="CU10" i="26" s="1"/>
  <c r="CU17" i="26"/>
  <c r="CU18" i="26" s="1"/>
  <c r="D95" i="54"/>
  <c r="D96" i="54"/>
  <c r="D97" i="54"/>
  <c r="D98" i="54"/>
  <c r="D99" i="54"/>
  <c r="CX9" i="26"/>
  <c r="CX10" i="26" s="1"/>
  <c r="CX17" i="26"/>
  <c r="CX18" i="26" s="1"/>
  <c r="CX19" i="26" s="1"/>
  <c r="CX20" i="26" s="1"/>
  <c r="D100" i="54"/>
  <c r="D101" i="54"/>
  <c r="D102" i="54"/>
  <c r="S2" i="57"/>
  <c r="S3" i="57"/>
  <c r="S4" i="57"/>
  <c r="S5" i="57"/>
  <c r="S6" i="57"/>
  <c r="S23" i="57" s="1"/>
  <c r="S38" i="57"/>
  <c r="S39" i="57"/>
  <c r="S68" i="57"/>
  <c r="S69" i="57" s="1"/>
  <c r="S70" i="57"/>
  <c r="R2" i="57"/>
  <c r="R3" i="57"/>
  <c r="R4" i="57"/>
  <c r="R21" i="57" s="1"/>
  <c r="R5" i="57"/>
  <c r="R22" i="57" s="1"/>
  <c r="R6" i="57"/>
  <c r="R38" i="57"/>
  <c r="R39" i="57"/>
  <c r="R68" i="57"/>
  <c r="R69" i="57" s="1"/>
  <c r="R70" i="57"/>
  <c r="P260" i="31"/>
  <c r="O256" i="31"/>
  <c r="H76" i="57"/>
  <c r="H11" i="68"/>
  <c r="S76" i="57"/>
  <c r="S82" i="57" s="1"/>
  <c r="C11" i="68" s="1"/>
  <c r="D11" i="68" s="1"/>
  <c r="S67" i="57"/>
  <c r="S78" i="57"/>
  <c r="S84" i="57" s="1"/>
  <c r="C5" i="68" s="1"/>
  <c r="D5" i="68" s="1"/>
  <c r="S60" i="57"/>
  <c r="S55" i="57"/>
  <c r="S61" i="57" s="1"/>
  <c r="R76" i="57"/>
  <c r="R82" i="57" s="1"/>
  <c r="B11" i="68" s="1"/>
  <c r="R67" i="57"/>
  <c r="R78" i="57"/>
  <c r="R84" i="57" s="1"/>
  <c r="B5" i="68" s="1"/>
  <c r="R60" i="57"/>
  <c r="R55" i="57"/>
  <c r="R61" i="57" s="1"/>
  <c r="H51" i="57"/>
  <c r="K173" i="31"/>
  <c r="K174" i="31"/>
  <c r="K179" i="31"/>
  <c r="H56" i="57"/>
  <c r="H57" i="57"/>
  <c r="H80" i="57"/>
  <c r="H10" i="68"/>
  <c r="S74" i="57"/>
  <c r="S80" i="57" s="1"/>
  <c r="C10" i="68" s="1"/>
  <c r="D10" i="68" s="1"/>
  <c r="S83" i="57"/>
  <c r="S50" i="57"/>
  <c r="S56" i="57" s="1"/>
  <c r="S51" i="57"/>
  <c r="S57" i="57" s="1"/>
  <c r="R74" i="57"/>
  <c r="R80" i="57" s="1"/>
  <c r="B10" i="68" s="1"/>
  <c r="E10" i="68" s="1"/>
  <c r="R83" i="57"/>
  <c r="R50" i="57"/>
  <c r="R56" i="57" s="1"/>
  <c r="R51" i="57"/>
  <c r="R57" i="57" s="1"/>
  <c r="B8" i="68" s="1"/>
  <c r="H98" i="57"/>
  <c r="M144" i="31"/>
  <c r="H62" i="57"/>
  <c r="H9" i="68"/>
  <c r="S62" i="57"/>
  <c r="C9" i="68" s="1"/>
  <c r="D9" i="68" s="1"/>
  <c r="S98" i="57"/>
  <c r="R62" i="57"/>
  <c r="B9" i="68" s="1"/>
  <c r="E9" i="68" s="1"/>
  <c r="R98" i="57"/>
  <c r="H8" i="68"/>
  <c r="R100" i="57"/>
  <c r="H7" i="68"/>
  <c r="S64" i="57"/>
  <c r="C7" i="68" s="1"/>
  <c r="D7" i="68" s="1"/>
  <c r="S10" i="57"/>
  <c r="S27" i="57" s="1"/>
  <c r="R64" i="57"/>
  <c r="B7" i="68" s="1"/>
  <c r="R10" i="57"/>
  <c r="H6" i="68"/>
  <c r="S8" i="57"/>
  <c r="R8" i="57"/>
  <c r="H20" i="57"/>
  <c r="H5" i="68"/>
  <c r="C217" i="31"/>
  <c r="H33" i="57"/>
  <c r="H52" i="57"/>
  <c r="H53" i="57"/>
  <c r="H58" i="57"/>
  <c r="H59" i="57"/>
  <c r="H61" i="57"/>
  <c r="H4" i="68"/>
  <c r="S17" i="57"/>
  <c r="S34" i="57" s="1"/>
  <c r="C4" i="68" s="1"/>
  <c r="D4" i="68" s="1"/>
  <c r="O63" i="57"/>
  <c r="O83" i="57"/>
  <c r="M63" i="57"/>
  <c r="M83" i="57"/>
  <c r="R17" i="57"/>
  <c r="R34" i="57" s="1"/>
  <c r="B4" i="68" s="1"/>
  <c r="S11" i="57"/>
  <c r="C3" i="68" s="1"/>
  <c r="D3" i="68" s="1"/>
  <c r="S63" i="57"/>
  <c r="R11" i="57"/>
  <c r="B3" i="68" s="1"/>
  <c r="R63" i="57"/>
  <c r="H45" i="57"/>
  <c r="H48" i="57"/>
  <c r="H46" i="57"/>
  <c r="H2" i="68"/>
  <c r="S45" i="57"/>
  <c r="C2" i="68" s="1"/>
  <c r="D2" i="68" s="1"/>
  <c r="S49" i="57"/>
  <c r="R45" i="57"/>
  <c r="B2" i="68" s="1"/>
  <c r="R49" i="57"/>
  <c r="S103" i="57"/>
  <c r="R103" i="57"/>
  <c r="Q56" i="31"/>
  <c r="H103" i="57"/>
  <c r="S102" i="57"/>
  <c r="R102" i="57"/>
  <c r="O56" i="31"/>
  <c r="H102" i="57"/>
  <c r="S101" i="57"/>
  <c r="R101" i="57"/>
  <c r="S100" i="57"/>
  <c r="P56" i="31"/>
  <c r="H100" i="57"/>
  <c r="S99" i="57"/>
  <c r="R99" i="57"/>
  <c r="N56" i="31"/>
  <c r="H99" i="57"/>
  <c r="S97" i="57"/>
  <c r="R97" i="57"/>
  <c r="S96" i="57"/>
  <c r="R96" i="57"/>
  <c r="S95" i="57"/>
  <c r="R95" i="57"/>
  <c r="H95" i="57"/>
  <c r="S94" i="57"/>
  <c r="R94" i="57"/>
  <c r="S93" i="57"/>
  <c r="R93" i="57"/>
  <c r="S92" i="57"/>
  <c r="R92" i="57"/>
  <c r="S90" i="57"/>
  <c r="R90" i="57"/>
  <c r="S89" i="57"/>
  <c r="R89" i="57"/>
  <c r="H87" i="57"/>
  <c r="S85" i="57"/>
  <c r="R85" i="57"/>
  <c r="S81" i="57"/>
  <c r="R81" i="57"/>
  <c r="S79" i="57"/>
  <c r="R79" i="57"/>
  <c r="S77" i="57"/>
  <c r="R77" i="57"/>
  <c r="S75" i="57"/>
  <c r="R75" i="57"/>
  <c r="S72" i="57"/>
  <c r="R72" i="57"/>
  <c r="S71" i="57"/>
  <c r="R71" i="57"/>
  <c r="H68" i="57"/>
  <c r="AO53" i="31"/>
  <c r="H67" i="57"/>
  <c r="S66" i="57"/>
  <c r="R66" i="57"/>
  <c r="H66" i="57"/>
  <c r="S65" i="57"/>
  <c r="R65" i="57"/>
  <c r="H65" i="57"/>
  <c r="N152" i="31"/>
  <c r="H63" i="57"/>
  <c r="L158" i="31"/>
  <c r="J62" i="57"/>
  <c r="S48" i="57"/>
  <c r="R48" i="57"/>
  <c r="S47" i="57"/>
  <c r="R47" i="57"/>
  <c r="S46" i="57"/>
  <c r="R46" i="57"/>
  <c r="S44" i="57"/>
  <c r="R44" i="57"/>
  <c r="S43" i="57"/>
  <c r="R43" i="57"/>
  <c r="S42" i="57"/>
  <c r="R42" i="57"/>
  <c r="AE55" i="47"/>
  <c r="O41" i="57"/>
  <c r="AE54" i="47"/>
  <c r="P39" i="57"/>
  <c r="S37" i="57"/>
  <c r="R37" i="57"/>
  <c r="O37" i="57"/>
  <c r="S36" i="57"/>
  <c r="R36" i="57"/>
  <c r="S18" i="57"/>
  <c r="S35" i="57" s="1"/>
  <c r="R18" i="57"/>
  <c r="R35" i="57" s="1"/>
  <c r="S16" i="57"/>
  <c r="S33" i="57" s="1"/>
  <c r="R16" i="57"/>
  <c r="R33" i="57" s="1"/>
  <c r="S15" i="57"/>
  <c r="S32" i="57" s="1"/>
  <c r="R15" i="57"/>
  <c r="R32" i="57" s="1"/>
  <c r="S14" i="57"/>
  <c r="S31" i="57" s="1"/>
  <c r="R14" i="57"/>
  <c r="R31" i="57" s="1"/>
  <c r="S13" i="57"/>
  <c r="S30" i="57" s="1"/>
  <c r="R13" i="57"/>
  <c r="R30" i="57" s="1"/>
  <c r="S12" i="57"/>
  <c r="S29" i="57" s="1"/>
  <c r="R12" i="57"/>
  <c r="R29" i="57" s="1"/>
  <c r="L37" i="25"/>
  <c r="L33" i="25"/>
  <c r="BA34" i="21"/>
  <c r="BA33" i="21"/>
  <c r="C22" i="56"/>
  <c r="B22" i="56"/>
  <c r="C21" i="56"/>
  <c r="B21" i="56"/>
  <c r="C20" i="56"/>
  <c r="B20" i="56"/>
  <c r="C19" i="56"/>
  <c r="B19" i="56"/>
  <c r="C18" i="56"/>
  <c r="B18" i="56"/>
  <c r="C17" i="56"/>
  <c r="C5" i="56"/>
  <c r="B5" i="56"/>
  <c r="I10" i="56"/>
  <c r="I9" i="56"/>
  <c r="H9" i="56"/>
  <c r="H10" i="56"/>
  <c r="B9" i="56"/>
  <c r="BB286" i="9"/>
  <c r="F11" i="68"/>
  <c r="N102" i="57"/>
  <c r="N98" i="57"/>
  <c r="N97" i="57"/>
  <c r="O93" i="57"/>
  <c r="N93" i="57"/>
  <c r="M93" i="57"/>
  <c r="L93" i="57"/>
  <c r="H93" i="57"/>
  <c r="F93" i="57"/>
  <c r="O92" i="57"/>
  <c r="N92" i="57"/>
  <c r="M92" i="57"/>
  <c r="L92" i="57"/>
  <c r="H92" i="57"/>
  <c r="F92" i="57"/>
  <c r="O91" i="57"/>
  <c r="N91" i="57"/>
  <c r="M91" i="57"/>
  <c r="L91" i="57"/>
  <c r="H91" i="57"/>
  <c r="F91" i="57"/>
  <c r="O66" i="57"/>
  <c r="O85" i="57"/>
  <c r="M66" i="57"/>
  <c r="M85" i="57"/>
  <c r="L65" i="57"/>
  <c r="L66" i="57"/>
  <c r="L85" i="57"/>
  <c r="H85" i="57"/>
  <c r="F85" i="57"/>
  <c r="O67" i="57"/>
  <c r="O84" i="57"/>
  <c r="M84" i="57"/>
  <c r="L78" i="57"/>
  <c r="L67" i="57"/>
  <c r="L84" i="57"/>
  <c r="H78" i="57"/>
  <c r="H84" i="57"/>
  <c r="F84" i="57"/>
  <c r="L63" i="57"/>
  <c r="L83" i="57"/>
  <c r="J77" i="57"/>
  <c r="J63" i="57"/>
  <c r="J83" i="57"/>
  <c r="H83" i="57"/>
  <c r="F83" i="57"/>
  <c r="O56" i="57"/>
  <c r="O60" i="57"/>
  <c r="O61" i="57"/>
  <c r="O82" i="57"/>
  <c r="N82" i="57"/>
  <c r="L51" i="57"/>
  <c r="L52" i="57"/>
  <c r="L53" i="57"/>
  <c r="L55" i="57"/>
  <c r="L56" i="57"/>
  <c r="L57" i="57"/>
  <c r="L58" i="57"/>
  <c r="L59" i="57"/>
  <c r="L61" i="57"/>
  <c r="L82" i="57"/>
  <c r="H82" i="57"/>
  <c r="F82" i="57"/>
  <c r="D80" i="57"/>
  <c r="D81" i="57"/>
  <c r="D82" i="57"/>
  <c r="O52" i="57"/>
  <c r="O58" i="57"/>
  <c r="O53" i="57"/>
  <c r="O59" i="57"/>
  <c r="O81" i="57"/>
  <c r="N81" i="57"/>
  <c r="L80" i="57"/>
  <c r="L75" i="57"/>
  <c r="L81" i="57"/>
  <c r="H75" i="57"/>
  <c r="H81" i="57"/>
  <c r="F69" i="57"/>
  <c r="F72" i="57"/>
  <c r="F73" i="57"/>
  <c r="F75" i="57"/>
  <c r="F81" i="57"/>
  <c r="O57" i="57"/>
  <c r="O80" i="57"/>
  <c r="M56" i="57"/>
  <c r="M57" i="57"/>
  <c r="M80" i="57"/>
  <c r="F80" i="57"/>
  <c r="D72" i="57"/>
  <c r="D74" i="57"/>
  <c r="D73" i="57"/>
  <c r="D75" i="57"/>
  <c r="D76" i="57"/>
  <c r="O72" i="57"/>
  <c r="O73" i="57"/>
  <c r="N73" i="57"/>
  <c r="L71" i="57"/>
  <c r="L72" i="57"/>
  <c r="L73" i="57"/>
  <c r="H73" i="57"/>
  <c r="E72" i="57"/>
  <c r="E73" i="57"/>
  <c r="C72" i="57"/>
  <c r="C73" i="57"/>
  <c r="B72" i="57"/>
  <c r="B73" i="57"/>
  <c r="M72" i="57"/>
  <c r="L69" i="57"/>
  <c r="H69" i="57"/>
  <c r="N67" i="57"/>
  <c r="M61" i="57"/>
  <c r="H60" i="57"/>
  <c r="R53" i="57"/>
  <c r="R59" i="57" s="1"/>
  <c r="R52" i="57"/>
  <c r="R58" i="57" s="1"/>
  <c r="M53" i="57"/>
  <c r="M52" i="57"/>
  <c r="M58" i="57"/>
  <c r="M59" i="57"/>
  <c r="H55" i="57"/>
  <c r="O54" i="57"/>
  <c r="H54" i="57"/>
  <c r="O49" i="57"/>
  <c r="M49" i="57"/>
  <c r="L47" i="57"/>
  <c r="L45" i="57"/>
  <c r="L48" i="57"/>
  <c r="L46" i="57"/>
  <c r="L49" i="57"/>
  <c r="H47" i="57"/>
  <c r="H49" i="57"/>
  <c r="O48" i="57"/>
  <c r="M48" i="57"/>
  <c r="O47" i="57"/>
  <c r="M47" i="57"/>
  <c r="J47" i="57"/>
  <c r="Q43" i="57"/>
  <c r="L37" i="57"/>
  <c r="O35" i="57"/>
  <c r="M35" i="57"/>
  <c r="L33" i="57"/>
  <c r="L17" i="57"/>
  <c r="L34" i="57"/>
  <c r="L18" i="57"/>
  <c r="L35" i="57"/>
  <c r="H16" i="57"/>
  <c r="H17" i="57"/>
  <c r="H34" i="57"/>
  <c r="H18" i="57"/>
  <c r="H35" i="57"/>
  <c r="F32" i="57"/>
  <c r="F16" i="57"/>
  <c r="F33" i="57"/>
  <c r="F17" i="57"/>
  <c r="F34" i="57"/>
  <c r="F18" i="57"/>
  <c r="F35" i="57"/>
  <c r="O34" i="57"/>
  <c r="M34" i="57"/>
  <c r="O33" i="57"/>
  <c r="M33" i="57"/>
  <c r="O32" i="57"/>
  <c r="M32" i="57"/>
  <c r="L32" i="57"/>
  <c r="H32" i="57"/>
  <c r="O31" i="57"/>
  <c r="M31" i="57"/>
  <c r="L31" i="57"/>
  <c r="H31" i="57"/>
  <c r="F31" i="57"/>
  <c r="O30" i="57"/>
  <c r="M30" i="57"/>
  <c r="L30" i="57"/>
  <c r="H30" i="57"/>
  <c r="F30" i="57"/>
  <c r="O29" i="57"/>
  <c r="M29" i="57"/>
  <c r="L29" i="57"/>
  <c r="H29" i="57"/>
  <c r="F29" i="57"/>
  <c r="R28" i="57"/>
  <c r="O28" i="57"/>
  <c r="M28" i="57"/>
  <c r="L28" i="57"/>
  <c r="H28" i="57"/>
  <c r="F28" i="57"/>
  <c r="R27" i="57"/>
  <c r="O27" i="57"/>
  <c r="M27" i="57"/>
  <c r="L27" i="57"/>
  <c r="H27" i="57"/>
  <c r="F27" i="57"/>
  <c r="S26" i="57"/>
  <c r="R26" i="57"/>
  <c r="O26" i="57"/>
  <c r="M26" i="57"/>
  <c r="L26" i="57"/>
  <c r="H26" i="57"/>
  <c r="F26" i="57"/>
  <c r="S25" i="57"/>
  <c r="R25" i="57"/>
  <c r="O25" i="57"/>
  <c r="M25" i="57"/>
  <c r="L25" i="57"/>
  <c r="H25" i="57"/>
  <c r="F25" i="57"/>
  <c r="O24" i="57"/>
  <c r="M24" i="57"/>
  <c r="L24" i="57"/>
  <c r="F24" i="57"/>
  <c r="R23" i="57"/>
  <c r="O23" i="57"/>
  <c r="M23" i="57"/>
  <c r="L23" i="57"/>
  <c r="H23" i="57"/>
  <c r="F23" i="57"/>
  <c r="S22" i="57"/>
  <c r="O22" i="57"/>
  <c r="M22" i="57"/>
  <c r="L22" i="57"/>
  <c r="H22" i="57"/>
  <c r="F22" i="57"/>
  <c r="S21" i="57"/>
  <c r="O21" i="57"/>
  <c r="M21" i="57"/>
  <c r="L21" i="57"/>
  <c r="H21" i="57"/>
  <c r="F21" i="57"/>
  <c r="S20" i="57"/>
  <c r="R20" i="57"/>
  <c r="O20" i="57"/>
  <c r="M20" i="57"/>
  <c r="L20" i="57"/>
  <c r="F20" i="57"/>
  <c r="S19" i="57"/>
  <c r="R19" i="57"/>
  <c r="O19" i="57"/>
  <c r="M19" i="57"/>
  <c r="L19" i="57"/>
  <c r="H19" i="57"/>
  <c r="F19" i="57"/>
  <c r="B14" i="56"/>
  <c r="B13" i="56"/>
  <c r="B12" i="56"/>
  <c r="B11" i="56"/>
  <c r="B10" i="56"/>
  <c r="I14" i="56"/>
  <c r="I13" i="56"/>
  <c r="I12" i="56"/>
  <c r="I11" i="56"/>
  <c r="BM272" i="15"/>
  <c r="BM272" i="12"/>
  <c r="BM272" i="11"/>
  <c r="BM272" i="20"/>
  <c r="BM272" i="14"/>
  <c r="BM272" i="16"/>
  <c r="BK87" i="78"/>
  <c r="BJ87" i="78"/>
  <c r="BI87" i="78"/>
  <c r="BH87" i="78"/>
  <c r="BG87" i="78"/>
  <c r="BF87" i="78"/>
  <c r="BE87" i="78"/>
  <c r="BD87" i="78"/>
  <c r="BC87" i="78"/>
  <c r="BB87" i="78"/>
  <c r="BA87" i="78"/>
  <c r="AZ87" i="78"/>
  <c r="AY87" i="78"/>
  <c r="AX87" i="78"/>
  <c r="AW87" i="78"/>
  <c r="AV87" i="78"/>
  <c r="AU87" i="78"/>
  <c r="AT87" i="78"/>
  <c r="AS87" i="78"/>
  <c r="AR87" i="78"/>
  <c r="BK86" i="78"/>
  <c r="BJ86" i="78"/>
  <c r="BI86" i="78"/>
  <c r="BH86" i="78"/>
  <c r="BG86" i="78"/>
  <c r="BF86" i="78"/>
  <c r="BE86" i="78"/>
  <c r="BD86" i="78"/>
  <c r="BC86" i="78"/>
  <c r="BB86" i="78"/>
  <c r="BA86" i="78"/>
  <c r="AZ86" i="78"/>
  <c r="AY86" i="78"/>
  <c r="AX86" i="78"/>
  <c r="AW86" i="78"/>
  <c r="AV86" i="78"/>
  <c r="AU86" i="78"/>
  <c r="AT86" i="78"/>
  <c r="AS86" i="78"/>
  <c r="AR86" i="78"/>
  <c r="BK85" i="78"/>
  <c r="BJ85" i="78"/>
  <c r="BI85" i="78"/>
  <c r="BH85" i="78"/>
  <c r="BG85" i="78"/>
  <c r="BF85" i="78"/>
  <c r="BE85" i="78"/>
  <c r="BD85" i="78"/>
  <c r="BC85" i="78"/>
  <c r="BB85" i="78"/>
  <c r="BA85" i="78"/>
  <c r="AZ85" i="78"/>
  <c r="AY85" i="78"/>
  <c r="AX85" i="78"/>
  <c r="AW85" i="78"/>
  <c r="AV85" i="78"/>
  <c r="AU85" i="78"/>
  <c r="AT85" i="78"/>
  <c r="AS85" i="78"/>
  <c r="AR85" i="78"/>
  <c r="BK84" i="78"/>
  <c r="BJ84" i="78"/>
  <c r="BI84" i="78"/>
  <c r="BH84" i="78"/>
  <c r="BG84" i="78"/>
  <c r="BF84" i="78"/>
  <c r="BE84" i="78"/>
  <c r="BD84" i="78"/>
  <c r="BC84" i="78"/>
  <c r="BB84" i="78"/>
  <c r="BA84" i="78"/>
  <c r="AZ84" i="78"/>
  <c r="AY84" i="78"/>
  <c r="AX84" i="78"/>
  <c r="AW84" i="78"/>
  <c r="AV84" i="78"/>
  <c r="AU84" i="78"/>
  <c r="AT84" i="78"/>
  <c r="AS84" i="78"/>
  <c r="AR84" i="78"/>
  <c r="BK83" i="78"/>
  <c r="BJ83" i="78"/>
  <c r="BI83" i="78"/>
  <c r="BH83" i="78"/>
  <c r="BG83" i="78"/>
  <c r="BF83" i="78"/>
  <c r="BE83" i="78"/>
  <c r="BD83" i="78"/>
  <c r="BC83" i="78"/>
  <c r="BB83" i="78"/>
  <c r="BA83" i="78"/>
  <c r="AZ83" i="78"/>
  <c r="AY83" i="78"/>
  <c r="AX83" i="78"/>
  <c r="AW83" i="78"/>
  <c r="AV83" i="78"/>
  <c r="AU83" i="78"/>
  <c r="AT83" i="78"/>
  <c r="AS83" i="78"/>
  <c r="AR83" i="78"/>
  <c r="BK82" i="78"/>
  <c r="BJ82" i="78"/>
  <c r="BI82" i="78"/>
  <c r="BH82" i="78"/>
  <c r="BG82" i="78"/>
  <c r="BF82" i="78"/>
  <c r="BE82" i="78"/>
  <c r="BD82" i="78"/>
  <c r="BC82" i="78"/>
  <c r="BB82" i="78"/>
  <c r="BA82" i="78"/>
  <c r="AZ82" i="78"/>
  <c r="AY82" i="78"/>
  <c r="AX82" i="78"/>
  <c r="AW82" i="78"/>
  <c r="AV82" i="78"/>
  <c r="AU82" i="78"/>
  <c r="AT82" i="78"/>
  <c r="AS82" i="78"/>
  <c r="AR82" i="78"/>
  <c r="BK81" i="78"/>
  <c r="BJ81" i="78"/>
  <c r="BI81" i="78"/>
  <c r="BH81" i="78"/>
  <c r="BG81" i="78"/>
  <c r="BF81" i="78"/>
  <c r="BE81" i="78"/>
  <c r="BD81" i="78"/>
  <c r="BC81" i="78"/>
  <c r="BB81" i="78"/>
  <c r="BA81" i="78"/>
  <c r="AZ81" i="78"/>
  <c r="AY81" i="78"/>
  <c r="AX81" i="78"/>
  <c r="AW81" i="78"/>
  <c r="AV81" i="78"/>
  <c r="AU81" i="78"/>
  <c r="AT81" i="78"/>
  <c r="AS81" i="78"/>
  <c r="AR81" i="78"/>
  <c r="BK80" i="78"/>
  <c r="BJ80" i="78"/>
  <c r="BI80" i="78"/>
  <c r="BH80" i="78"/>
  <c r="BG80" i="78"/>
  <c r="BF80" i="78"/>
  <c r="BE80" i="78"/>
  <c r="BD80" i="78"/>
  <c r="BC80" i="78"/>
  <c r="BB80" i="78"/>
  <c r="BA80" i="78"/>
  <c r="AZ80" i="78"/>
  <c r="AY80" i="78"/>
  <c r="AX80" i="78"/>
  <c r="AW80" i="78"/>
  <c r="AV80" i="78"/>
  <c r="AU80" i="78"/>
  <c r="AT80" i="78"/>
  <c r="AS80" i="78"/>
  <c r="AR80" i="78"/>
  <c r="BK79" i="78"/>
  <c r="BJ79" i="78"/>
  <c r="BI79" i="78"/>
  <c r="BH79" i="78"/>
  <c r="BG79" i="78"/>
  <c r="BF79" i="78"/>
  <c r="BE79" i="78"/>
  <c r="BD79" i="78"/>
  <c r="BC79" i="78"/>
  <c r="BB79" i="78"/>
  <c r="BA79" i="78"/>
  <c r="AZ79" i="78"/>
  <c r="AY79" i="78"/>
  <c r="AX79" i="78"/>
  <c r="AW79" i="78"/>
  <c r="AV79" i="78"/>
  <c r="AU79" i="78"/>
  <c r="AT79" i="78"/>
  <c r="AS79" i="78"/>
  <c r="AR79" i="78"/>
  <c r="BK78" i="78"/>
  <c r="BJ78" i="78"/>
  <c r="BI78" i="78"/>
  <c r="BH78" i="78"/>
  <c r="BG78" i="78"/>
  <c r="BF78" i="78"/>
  <c r="BE78" i="78"/>
  <c r="BD78" i="78"/>
  <c r="BC78" i="78"/>
  <c r="BB78" i="78"/>
  <c r="BA78" i="78"/>
  <c r="AZ78" i="78"/>
  <c r="AY78" i="78"/>
  <c r="AX78" i="78"/>
  <c r="AW78" i="78"/>
  <c r="AV78" i="78"/>
  <c r="AU78" i="78"/>
  <c r="AT78" i="78"/>
  <c r="AS78" i="78"/>
  <c r="AR78" i="78"/>
  <c r="BK77" i="78"/>
  <c r="BJ77" i="78"/>
  <c r="BI77" i="78"/>
  <c r="BH77" i="78"/>
  <c r="BG77" i="78"/>
  <c r="BF77" i="78"/>
  <c r="BE77" i="78"/>
  <c r="BD77" i="78"/>
  <c r="BC77" i="78"/>
  <c r="BB77" i="78"/>
  <c r="BA77" i="78"/>
  <c r="AZ77" i="78"/>
  <c r="AY77" i="78"/>
  <c r="AX77" i="78"/>
  <c r="AW77" i="78"/>
  <c r="AV77" i="78"/>
  <c r="AU77" i="78"/>
  <c r="AT77" i="78"/>
  <c r="AS77" i="78"/>
  <c r="AR77" i="78"/>
  <c r="BK76" i="78"/>
  <c r="BJ76" i="78"/>
  <c r="BI76" i="78"/>
  <c r="BH76" i="78"/>
  <c r="BG76" i="78"/>
  <c r="BF76" i="78"/>
  <c r="BE76" i="78"/>
  <c r="BD76" i="78"/>
  <c r="BC76" i="78"/>
  <c r="BB76" i="78"/>
  <c r="BA76" i="78"/>
  <c r="AZ76" i="78"/>
  <c r="AY76" i="78"/>
  <c r="AX76" i="78"/>
  <c r="AW76" i="78"/>
  <c r="AV76" i="78"/>
  <c r="AU76" i="78"/>
  <c r="AT76" i="78"/>
  <c r="AS76" i="78"/>
  <c r="AR76" i="78"/>
  <c r="BK75" i="78"/>
  <c r="BJ75" i="78"/>
  <c r="BI75" i="78"/>
  <c r="BH75" i="78"/>
  <c r="BG75" i="78"/>
  <c r="BF75" i="78"/>
  <c r="BE75" i="78"/>
  <c r="BD75" i="78"/>
  <c r="BC75" i="78"/>
  <c r="BB75" i="78"/>
  <c r="BA75" i="78"/>
  <c r="AZ75" i="78"/>
  <c r="AY75" i="78"/>
  <c r="AX75" i="78"/>
  <c r="AW75" i="78"/>
  <c r="AV75" i="78"/>
  <c r="AU75" i="78"/>
  <c r="AT75" i="78"/>
  <c r="AS75" i="78"/>
  <c r="AR75" i="78"/>
  <c r="BK74" i="78"/>
  <c r="BJ74" i="78"/>
  <c r="BI74" i="78"/>
  <c r="BH74" i="78"/>
  <c r="BG74" i="78"/>
  <c r="BF74" i="78"/>
  <c r="BE74" i="78"/>
  <c r="BD74" i="78"/>
  <c r="BC74" i="78"/>
  <c r="BB74" i="78"/>
  <c r="BA74" i="78"/>
  <c r="AZ74" i="78"/>
  <c r="AY74" i="78"/>
  <c r="AX74" i="78"/>
  <c r="AW74" i="78"/>
  <c r="AV74" i="78"/>
  <c r="AU74" i="78"/>
  <c r="AT74" i="78"/>
  <c r="AS74" i="78"/>
  <c r="AR74" i="78"/>
  <c r="BK73" i="78"/>
  <c r="BJ73" i="78"/>
  <c r="BI73" i="78"/>
  <c r="BH73" i="78"/>
  <c r="BG73" i="78"/>
  <c r="BF73" i="78"/>
  <c r="BE73" i="78"/>
  <c r="BD73" i="78"/>
  <c r="BC73" i="78"/>
  <c r="BB73" i="78"/>
  <c r="BA73" i="78"/>
  <c r="AZ73" i="78"/>
  <c r="AY73" i="78"/>
  <c r="AX73" i="78"/>
  <c r="AW73" i="78"/>
  <c r="AV73" i="78"/>
  <c r="AU73" i="78"/>
  <c r="AT73" i="78"/>
  <c r="AS73" i="78"/>
  <c r="AR73" i="78"/>
  <c r="AP87" i="78"/>
  <c r="AO87" i="78"/>
  <c r="AN87" i="78"/>
  <c r="AM87" i="78"/>
  <c r="AL87" i="78"/>
  <c r="AK87" i="78"/>
  <c r="AJ87" i="78"/>
  <c r="AI87" i="78"/>
  <c r="AH87" i="78"/>
  <c r="AG87" i="78"/>
  <c r="AF87" i="78"/>
  <c r="AE87" i="78"/>
  <c r="AD87" i="78"/>
  <c r="AC87" i="78"/>
  <c r="AB87" i="78"/>
  <c r="AA87" i="78"/>
  <c r="Z87" i="78"/>
  <c r="Y87" i="78"/>
  <c r="X87" i="78"/>
  <c r="W87" i="78"/>
  <c r="AP86" i="78"/>
  <c r="AO86" i="78"/>
  <c r="AN86" i="78"/>
  <c r="AM86" i="78"/>
  <c r="AL86" i="78"/>
  <c r="AK86" i="78"/>
  <c r="AJ86" i="78"/>
  <c r="AI86" i="78"/>
  <c r="AH86" i="78"/>
  <c r="AG86" i="78"/>
  <c r="AF86" i="78"/>
  <c r="AE86" i="78"/>
  <c r="AD86" i="78"/>
  <c r="AC86" i="78"/>
  <c r="AB86" i="78"/>
  <c r="AA86" i="78"/>
  <c r="Z86" i="78"/>
  <c r="Y86" i="78"/>
  <c r="X86" i="78"/>
  <c r="W86" i="78"/>
  <c r="AP85" i="78"/>
  <c r="AO85" i="78"/>
  <c r="AN85" i="78"/>
  <c r="AM85" i="78"/>
  <c r="AL85" i="78"/>
  <c r="AK85" i="78"/>
  <c r="AJ85" i="78"/>
  <c r="AI85" i="78"/>
  <c r="AH85" i="78"/>
  <c r="AG85" i="78"/>
  <c r="AF85" i="78"/>
  <c r="AE85" i="78"/>
  <c r="AD85" i="78"/>
  <c r="AC85" i="78"/>
  <c r="AB85" i="78"/>
  <c r="AA85" i="78"/>
  <c r="Z85" i="78"/>
  <c r="Y85" i="78"/>
  <c r="X85" i="78"/>
  <c r="W85" i="78"/>
  <c r="AP84" i="78"/>
  <c r="AO84" i="78"/>
  <c r="AN84" i="78"/>
  <c r="AM84" i="78"/>
  <c r="AL84" i="78"/>
  <c r="AK84" i="78"/>
  <c r="AJ84" i="78"/>
  <c r="AI84" i="78"/>
  <c r="AH84" i="78"/>
  <c r="AG84" i="78"/>
  <c r="AF84" i="78"/>
  <c r="AE84" i="78"/>
  <c r="AD84" i="78"/>
  <c r="AC84" i="78"/>
  <c r="AB84" i="78"/>
  <c r="AA84" i="78"/>
  <c r="Z84" i="78"/>
  <c r="Y84" i="78"/>
  <c r="X84" i="78"/>
  <c r="W84" i="78"/>
  <c r="AP83" i="78"/>
  <c r="AO83" i="78"/>
  <c r="AN83" i="78"/>
  <c r="AM83" i="78"/>
  <c r="AL83" i="78"/>
  <c r="AK83" i="78"/>
  <c r="AJ83" i="78"/>
  <c r="AI83" i="78"/>
  <c r="AH83" i="78"/>
  <c r="AG83" i="78"/>
  <c r="AF83" i="78"/>
  <c r="AE83" i="78"/>
  <c r="AD83" i="78"/>
  <c r="AC83" i="78"/>
  <c r="AB83" i="78"/>
  <c r="AA83" i="78"/>
  <c r="Z83" i="78"/>
  <c r="Y83" i="78"/>
  <c r="X83" i="78"/>
  <c r="W83" i="78"/>
  <c r="AP82" i="78"/>
  <c r="AO82" i="78"/>
  <c r="AN82" i="78"/>
  <c r="AM82" i="78"/>
  <c r="AL82" i="78"/>
  <c r="AK82" i="78"/>
  <c r="AJ82" i="78"/>
  <c r="AI82" i="78"/>
  <c r="AH82" i="78"/>
  <c r="AG82" i="78"/>
  <c r="AF82" i="78"/>
  <c r="AE82" i="78"/>
  <c r="AD82" i="78"/>
  <c r="AC82" i="78"/>
  <c r="AB82" i="78"/>
  <c r="AA82" i="78"/>
  <c r="Z82" i="78"/>
  <c r="Y82" i="78"/>
  <c r="X82" i="78"/>
  <c r="W82" i="78"/>
  <c r="AP81" i="78"/>
  <c r="AO81" i="78"/>
  <c r="AN81" i="78"/>
  <c r="AM81" i="78"/>
  <c r="AL81" i="78"/>
  <c r="AK81" i="78"/>
  <c r="AJ81" i="78"/>
  <c r="AI81" i="78"/>
  <c r="AH81" i="78"/>
  <c r="AG81" i="78"/>
  <c r="AF81" i="78"/>
  <c r="AE81" i="78"/>
  <c r="AD81" i="78"/>
  <c r="AC81" i="78"/>
  <c r="AB81" i="78"/>
  <c r="AA81" i="78"/>
  <c r="Z81" i="78"/>
  <c r="Y81" i="78"/>
  <c r="X81" i="78"/>
  <c r="W81" i="78"/>
  <c r="AP80" i="78"/>
  <c r="AO80" i="78"/>
  <c r="AN80" i="78"/>
  <c r="AM80" i="78"/>
  <c r="AL80" i="78"/>
  <c r="AK80" i="78"/>
  <c r="AJ80" i="78"/>
  <c r="AI80" i="78"/>
  <c r="AH80" i="78"/>
  <c r="AG80" i="78"/>
  <c r="AF80" i="78"/>
  <c r="AE80" i="78"/>
  <c r="AD80" i="78"/>
  <c r="AC80" i="78"/>
  <c r="AB80" i="78"/>
  <c r="AA80" i="78"/>
  <c r="Z80" i="78"/>
  <c r="Y80" i="78"/>
  <c r="X80" i="78"/>
  <c r="W80" i="78"/>
  <c r="AP79" i="78"/>
  <c r="AO79" i="78"/>
  <c r="AN79" i="78"/>
  <c r="AM79" i="78"/>
  <c r="AL79" i="78"/>
  <c r="AK79" i="78"/>
  <c r="AJ79" i="78"/>
  <c r="AI79" i="78"/>
  <c r="AH79" i="78"/>
  <c r="AG79" i="78"/>
  <c r="AF79" i="78"/>
  <c r="AE79" i="78"/>
  <c r="AD79" i="78"/>
  <c r="AC79" i="78"/>
  <c r="AB79" i="78"/>
  <c r="AA79" i="78"/>
  <c r="Z79" i="78"/>
  <c r="Y79" i="78"/>
  <c r="X79" i="78"/>
  <c r="W79" i="78"/>
  <c r="AP78" i="78"/>
  <c r="AO78" i="78"/>
  <c r="AN78" i="78"/>
  <c r="AM78" i="78"/>
  <c r="AL78" i="78"/>
  <c r="AK78" i="78"/>
  <c r="AJ78" i="78"/>
  <c r="AI78" i="78"/>
  <c r="AH78" i="78"/>
  <c r="AG78" i="78"/>
  <c r="AF78" i="78"/>
  <c r="AE78" i="78"/>
  <c r="AD78" i="78"/>
  <c r="AC78" i="78"/>
  <c r="AB78" i="78"/>
  <c r="AA78" i="78"/>
  <c r="Z78" i="78"/>
  <c r="Y78" i="78"/>
  <c r="X78" i="78"/>
  <c r="W78" i="78"/>
  <c r="AP77" i="78"/>
  <c r="AO77" i="78"/>
  <c r="AN77" i="78"/>
  <c r="AM77" i="78"/>
  <c r="AL77" i="78"/>
  <c r="AK77" i="78"/>
  <c r="AJ77" i="78"/>
  <c r="AI77" i="78"/>
  <c r="AH77" i="78"/>
  <c r="AG77" i="78"/>
  <c r="AF77" i="78"/>
  <c r="AE77" i="78"/>
  <c r="AD77" i="78"/>
  <c r="AC77" i="78"/>
  <c r="AB77" i="78"/>
  <c r="AA77" i="78"/>
  <c r="Z77" i="78"/>
  <c r="Y77" i="78"/>
  <c r="X77" i="78"/>
  <c r="W77" i="78"/>
  <c r="AP76" i="78"/>
  <c r="AO76" i="78"/>
  <c r="AN76" i="78"/>
  <c r="AM76" i="78"/>
  <c r="AL76" i="78"/>
  <c r="AK76" i="78"/>
  <c r="AJ76" i="78"/>
  <c r="AI76" i="78"/>
  <c r="AH76" i="78"/>
  <c r="AG76" i="78"/>
  <c r="AF76" i="78"/>
  <c r="AE76" i="78"/>
  <c r="AD76" i="78"/>
  <c r="AC76" i="78"/>
  <c r="AB76" i="78"/>
  <c r="AA76" i="78"/>
  <c r="Z76" i="78"/>
  <c r="Y76" i="78"/>
  <c r="X76" i="78"/>
  <c r="W76" i="78"/>
  <c r="AP75" i="78"/>
  <c r="AO75" i="78"/>
  <c r="AN75" i="78"/>
  <c r="AM75" i="78"/>
  <c r="AL75" i="78"/>
  <c r="AK75" i="78"/>
  <c r="AJ75" i="78"/>
  <c r="AI75" i="78"/>
  <c r="AH75" i="78"/>
  <c r="AG75" i="78"/>
  <c r="AF75" i="78"/>
  <c r="AE75" i="78"/>
  <c r="AD75" i="78"/>
  <c r="AC75" i="78"/>
  <c r="AB75" i="78"/>
  <c r="AA75" i="78"/>
  <c r="Z75" i="78"/>
  <c r="Y75" i="78"/>
  <c r="X75" i="78"/>
  <c r="W75" i="78"/>
  <c r="AP74" i="78"/>
  <c r="AO74" i="78"/>
  <c r="AN74" i="78"/>
  <c r="AM74" i="78"/>
  <c r="AL74" i="78"/>
  <c r="AK74" i="78"/>
  <c r="AJ74" i="78"/>
  <c r="AI74" i="78"/>
  <c r="AH74" i="78"/>
  <c r="AG74" i="78"/>
  <c r="AF74" i="78"/>
  <c r="AE74" i="78"/>
  <c r="AD74" i="78"/>
  <c r="AC74" i="78"/>
  <c r="AB74" i="78"/>
  <c r="AA74" i="78"/>
  <c r="Z74" i="78"/>
  <c r="Y74" i="78"/>
  <c r="X74" i="78"/>
  <c r="W74" i="78"/>
  <c r="AP73" i="78"/>
  <c r="AO73" i="78"/>
  <c r="AN73" i="78"/>
  <c r="AM73" i="78"/>
  <c r="AL73" i="78"/>
  <c r="AK73" i="78"/>
  <c r="AJ73" i="78"/>
  <c r="AI73" i="78"/>
  <c r="AH73" i="78"/>
  <c r="AG73" i="78"/>
  <c r="AF73" i="78"/>
  <c r="AE73" i="78"/>
  <c r="AD73" i="78"/>
  <c r="AC73" i="78"/>
  <c r="AB73" i="78"/>
  <c r="AA73" i="78"/>
  <c r="Z73" i="78"/>
  <c r="Y73" i="78"/>
  <c r="X73" i="78"/>
  <c r="W73" i="78"/>
  <c r="U87" i="78"/>
  <c r="T87" i="78"/>
  <c r="S87" i="78"/>
  <c r="R87" i="78"/>
  <c r="Q87" i="78"/>
  <c r="P87" i="78"/>
  <c r="O87" i="78"/>
  <c r="N87" i="78"/>
  <c r="M87" i="78"/>
  <c r="L87" i="78"/>
  <c r="K87" i="78"/>
  <c r="J87" i="78"/>
  <c r="I87" i="78"/>
  <c r="H87" i="78"/>
  <c r="G87" i="78"/>
  <c r="F87" i="78"/>
  <c r="E87" i="78"/>
  <c r="D87" i="78"/>
  <c r="C87" i="78"/>
  <c r="B87" i="78"/>
  <c r="U86" i="78"/>
  <c r="T86" i="78"/>
  <c r="S86" i="78"/>
  <c r="R86" i="78"/>
  <c r="Q86" i="78"/>
  <c r="P86" i="78"/>
  <c r="O86" i="78"/>
  <c r="N86" i="78"/>
  <c r="M86" i="78"/>
  <c r="L86" i="78"/>
  <c r="K86" i="78"/>
  <c r="J86" i="78"/>
  <c r="I86" i="78"/>
  <c r="H86" i="78"/>
  <c r="G86" i="78"/>
  <c r="F86" i="78"/>
  <c r="E86" i="78"/>
  <c r="D86" i="78"/>
  <c r="C86" i="78"/>
  <c r="B86" i="78"/>
  <c r="U85" i="78"/>
  <c r="T85" i="78"/>
  <c r="S85" i="78"/>
  <c r="R85" i="78"/>
  <c r="Q85" i="78"/>
  <c r="P85" i="78"/>
  <c r="O85" i="78"/>
  <c r="N85" i="78"/>
  <c r="M85" i="78"/>
  <c r="L85" i="78"/>
  <c r="K85" i="78"/>
  <c r="J85" i="78"/>
  <c r="I85" i="78"/>
  <c r="H85" i="78"/>
  <c r="G85" i="78"/>
  <c r="F85" i="78"/>
  <c r="E85" i="78"/>
  <c r="D85" i="78"/>
  <c r="C85" i="78"/>
  <c r="B85" i="78"/>
  <c r="U84" i="78"/>
  <c r="T84" i="78"/>
  <c r="S84" i="78"/>
  <c r="R84" i="78"/>
  <c r="Q84" i="78"/>
  <c r="P84" i="78"/>
  <c r="O84" i="78"/>
  <c r="N84" i="78"/>
  <c r="M84" i="78"/>
  <c r="L84" i="78"/>
  <c r="K84" i="78"/>
  <c r="J84" i="78"/>
  <c r="I84" i="78"/>
  <c r="H84" i="78"/>
  <c r="G84" i="78"/>
  <c r="F84" i="78"/>
  <c r="E84" i="78"/>
  <c r="D84" i="78"/>
  <c r="C84" i="78"/>
  <c r="B84" i="78"/>
  <c r="U83" i="78"/>
  <c r="T83" i="78"/>
  <c r="S83" i="78"/>
  <c r="R83" i="78"/>
  <c r="Q83" i="78"/>
  <c r="P83" i="78"/>
  <c r="O83" i="78"/>
  <c r="N83" i="78"/>
  <c r="M83" i="78"/>
  <c r="L83" i="78"/>
  <c r="K83" i="78"/>
  <c r="J83" i="78"/>
  <c r="I83" i="78"/>
  <c r="H83" i="78"/>
  <c r="G83" i="78"/>
  <c r="F83" i="78"/>
  <c r="E83" i="78"/>
  <c r="D83" i="78"/>
  <c r="C83" i="78"/>
  <c r="B83" i="78"/>
  <c r="U82" i="78"/>
  <c r="T82" i="78"/>
  <c r="S82" i="78"/>
  <c r="R82" i="78"/>
  <c r="Q82" i="78"/>
  <c r="P82" i="78"/>
  <c r="O82" i="78"/>
  <c r="N82" i="78"/>
  <c r="M82" i="78"/>
  <c r="L82" i="78"/>
  <c r="K82" i="78"/>
  <c r="J82" i="78"/>
  <c r="I82" i="78"/>
  <c r="H82" i="78"/>
  <c r="G82" i="78"/>
  <c r="F82" i="78"/>
  <c r="E82" i="78"/>
  <c r="D82" i="78"/>
  <c r="C82" i="78"/>
  <c r="B82" i="78"/>
  <c r="U81" i="78"/>
  <c r="T81" i="78"/>
  <c r="S81" i="78"/>
  <c r="R81" i="78"/>
  <c r="Q81" i="78"/>
  <c r="P81" i="78"/>
  <c r="O81" i="78"/>
  <c r="N81" i="78"/>
  <c r="M81" i="78"/>
  <c r="L81" i="78"/>
  <c r="K81" i="78"/>
  <c r="J81" i="78"/>
  <c r="I81" i="78"/>
  <c r="H81" i="78"/>
  <c r="G81" i="78"/>
  <c r="F81" i="78"/>
  <c r="E81" i="78"/>
  <c r="D81" i="78"/>
  <c r="C81" i="78"/>
  <c r="B81" i="78"/>
  <c r="U80" i="78"/>
  <c r="T80" i="78"/>
  <c r="S80" i="78"/>
  <c r="R80" i="78"/>
  <c r="Q80" i="78"/>
  <c r="P80" i="78"/>
  <c r="O80" i="78"/>
  <c r="N80" i="78"/>
  <c r="M80" i="78"/>
  <c r="L80" i="78"/>
  <c r="K80" i="78"/>
  <c r="J80" i="78"/>
  <c r="I80" i="78"/>
  <c r="H80" i="78"/>
  <c r="G80" i="78"/>
  <c r="F80" i="78"/>
  <c r="E80" i="78"/>
  <c r="D80" i="78"/>
  <c r="C80" i="78"/>
  <c r="B80" i="78"/>
  <c r="U79" i="78"/>
  <c r="T79" i="78"/>
  <c r="S79" i="78"/>
  <c r="R79" i="78"/>
  <c r="Q79" i="78"/>
  <c r="P79" i="78"/>
  <c r="O79" i="78"/>
  <c r="N79" i="78"/>
  <c r="M79" i="78"/>
  <c r="L79" i="78"/>
  <c r="K79" i="78"/>
  <c r="J79" i="78"/>
  <c r="I79" i="78"/>
  <c r="H79" i="78"/>
  <c r="G79" i="78"/>
  <c r="F79" i="78"/>
  <c r="E79" i="78"/>
  <c r="D79" i="78"/>
  <c r="C79" i="78"/>
  <c r="B79" i="78"/>
  <c r="U78" i="78"/>
  <c r="T78" i="78"/>
  <c r="S78" i="78"/>
  <c r="R78" i="78"/>
  <c r="Q78" i="78"/>
  <c r="P78" i="78"/>
  <c r="O78" i="78"/>
  <c r="N78" i="78"/>
  <c r="M78" i="78"/>
  <c r="L78" i="78"/>
  <c r="K78" i="78"/>
  <c r="J78" i="78"/>
  <c r="I78" i="78"/>
  <c r="H78" i="78"/>
  <c r="G78" i="78"/>
  <c r="F78" i="78"/>
  <c r="E78" i="78"/>
  <c r="D78" i="78"/>
  <c r="C78" i="78"/>
  <c r="B78" i="78"/>
  <c r="U77" i="78"/>
  <c r="T77" i="78"/>
  <c r="S77" i="78"/>
  <c r="R77" i="78"/>
  <c r="Q77" i="78"/>
  <c r="P77" i="78"/>
  <c r="O77" i="78"/>
  <c r="N77" i="78"/>
  <c r="M77" i="78"/>
  <c r="L77" i="78"/>
  <c r="K77" i="78"/>
  <c r="J77" i="78"/>
  <c r="I77" i="78"/>
  <c r="H77" i="78"/>
  <c r="G77" i="78"/>
  <c r="F77" i="78"/>
  <c r="E77" i="78"/>
  <c r="D77" i="78"/>
  <c r="C77" i="78"/>
  <c r="B77" i="78"/>
  <c r="U76" i="78"/>
  <c r="T76" i="78"/>
  <c r="S76" i="78"/>
  <c r="R76" i="78"/>
  <c r="Q76" i="78"/>
  <c r="P76" i="78"/>
  <c r="O76" i="78"/>
  <c r="N76" i="78"/>
  <c r="M76" i="78"/>
  <c r="L76" i="78"/>
  <c r="K76" i="78"/>
  <c r="J76" i="78"/>
  <c r="I76" i="78"/>
  <c r="H76" i="78"/>
  <c r="G76" i="78"/>
  <c r="F76" i="78"/>
  <c r="E76" i="78"/>
  <c r="D76" i="78"/>
  <c r="C76" i="78"/>
  <c r="B76" i="78"/>
  <c r="U75" i="78"/>
  <c r="T75" i="78"/>
  <c r="S75" i="78"/>
  <c r="R75" i="78"/>
  <c r="Q75" i="78"/>
  <c r="P75" i="78"/>
  <c r="O75" i="78"/>
  <c r="N75" i="78"/>
  <c r="M75" i="78"/>
  <c r="L75" i="78"/>
  <c r="K75" i="78"/>
  <c r="J75" i="78"/>
  <c r="I75" i="78"/>
  <c r="H75" i="78"/>
  <c r="G75" i="78"/>
  <c r="F75" i="78"/>
  <c r="E75" i="78"/>
  <c r="D75" i="78"/>
  <c r="C75" i="78"/>
  <c r="B75" i="78"/>
  <c r="U74" i="78"/>
  <c r="T74" i="78"/>
  <c r="S74" i="78"/>
  <c r="R74" i="78"/>
  <c r="Q74" i="78"/>
  <c r="P74" i="78"/>
  <c r="O74" i="78"/>
  <c r="N74" i="78"/>
  <c r="M74" i="78"/>
  <c r="L74" i="78"/>
  <c r="K74" i="78"/>
  <c r="J74" i="78"/>
  <c r="I74" i="78"/>
  <c r="H74" i="78"/>
  <c r="G74" i="78"/>
  <c r="F74" i="78"/>
  <c r="E74" i="78"/>
  <c r="D74" i="78"/>
  <c r="C74" i="78"/>
  <c r="B74" i="78"/>
  <c r="U73" i="78"/>
  <c r="T73" i="78"/>
  <c r="S73" i="78"/>
  <c r="R73" i="78"/>
  <c r="Q73" i="78"/>
  <c r="P73" i="78"/>
  <c r="O73" i="78"/>
  <c r="N73" i="78"/>
  <c r="M73" i="78"/>
  <c r="L73" i="78"/>
  <c r="K73" i="78"/>
  <c r="J73" i="78"/>
  <c r="I73" i="78"/>
  <c r="H73" i="78"/>
  <c r="G73" i="78"/>
  <c r="F73" i="78"/>
  <c r="E73" i="78"/>
  <c r="D73" i="78"/>
  <c r="C73" i="78"/>
  <c r="B73" i="78"/>
  <c r="BC67" i="78"/>
  <c r="AZ67" i="78"/>
  <c r="AV67" i="78"/>
  <c r="AH67" i="78"/>
  <c r="AE67" i="78"/>
  <c r="AA67" i="78"/>
  <c r="E24" i="78"/>
  <c r="E23" i="78"/>
  <c r="E22" i="78"/>
  <c r="E18" i="78"/>
  <c r="E17" i="78"/>
  <c r="E16" i="78"/>
  <c r="BB49" i="78"/>
  <c r="AG49" i="78"/>
  <c r="BB64" i="78"/>
  <c r="AU64" i="78"/>
  <c r="BC64" i="78"/>
  <c r="AX64" i="78"/>
  <c r="AZ64" i="78"/>
  <c r="AT64" i="78"/>
  <c r="AY64" i="78"/>
  <c r="AV64" i="78"/>
  <c r="BB63" i="78"/>
  <c r="AU63" i="78"/>
  <c r="BC63" i="78"/>
  <c r="AX63" i="78"/>
  <c r="AZ63" i="78"/>
  <c r="AT63" i="78"/>
  <c r="AY63" i="78"/>
  <c r="AV63" i="78"/>
  <c r="BB62" i="78"/>
  <c r="AU62" i="78"/>
  <c r="BC62" i="78"/>
  <c r="AX62" i="78"/>
  <c r="AZ62" i="78"/>
  <c r="AT62" i="78"/>
  <c r="AY62" i="78"/>
  <c r="AV62" i="78"/>
  <c r="BB61" i="78"/>
  <c r="AU61" i="78"/>
  <c r="BC61" i="78"/>
  <c r="AX61" i="78"/>
  <c r="AZ61" i="78"/>
  <c r="AT61" i="78"/>
  <c r="AY61" i="78"/>
  <c r="AV61" i="78"/>
  <c r="BB60" i="78"/>
  <c r="AU60" i="78"/>
  <c r="BC60" i="78"/>
  <c r="AX60" i="78"/>
  <c r="AZ60" i="78"/>
  <c r="AT60" i="78"/>
  <c r="AY60" i="78"/>
  <c r="AV60" i="78"/>
  <c r="BB59" i="78"/>
  <c r="AU59" i="78"/>
  <c r="BC59" i="78"/>
  <c r="AX59" i="78"/>
  <c r="AZ59" i="78"/>
  <c r="AT59" i="78"/>
  <c r="AY59" i="78"/>
  <c r="AV59" i="78"/>
  <c r="BB58" i="78"/>
  <c r="AU58" i="78"/>
  <c r="BC58" i="78"/>
  <c r="AX58" i="78"/>
  <c r="AZ58" i="78"/>
  <c r="AT58" i="78"/>
  <c r="AY58" i="78"/>
  <c r="AV58" i="78"/>
  <c r="BB57" i="78"/>
  <c r="AU57" i="78"/>
  <c r="BC57" i="78"/>
  <c r="AX57" i="78"/>
  <c r="AZ57" i="78"/>
  <c r="AT57" i="78"/>
  <c r="AY57" i="78"/>
  <c r="AV57" i="78"/>
  <c r="BB56" i="78"/>
  <c r="AU56" i="78"/>
  <c r="BC56" i="78"/>
  <c r="AX56" i="78"/>
  <c r="AZ56" i="78"/>
  <c r="AT56" i="78"/>
  <c r="AY56" i="78"/>
  <c r="AV56" i="78"/>
  <c r="BB55" i="78"/>
  <c r="AU55" i="78"/>
  <c r="BC55" i="78"/>
  <c r="AX55" i="78"/>
  <c r="AZ55" i="78"/>
  <c r="AT55" i="78"/>
  <c r="AY55" i="78"/>
  <c r="AV55" i="78"/>
  <c r="BB54" i="78"/>
  <c r="AU54" i="78"/>
  <c r="BC54" i="78"/>
  <c r="AX54" i="78"/>
  <c r="AZ54" i="78"/>
  <c r="AT54" i="78"/>
  <c r="AY54" i="78"/>
  <c r="AV54" i="78"/>
  <c r="BB53" i="78"/>
  <c r="AU53" i="78"/>
  <c r="BC53" i="78"/>
  <c r="AX53" i="78"/>
  <c r="AZ53" i="78"/>
  <c r="AT53" i="78"/>
  <c r="AY53" i="78"/>
  <c r="AV53" i="78"/>
  <c r="BB52" i="78"/>
  <c r="AU52" i="78"/>
  <c r="BC52" i="78"/>
  <c r="AX52" i="78"/>
  <c r="AZ52" i="78"/>
  <c r="AT52" i="78"/>
  <c r="AY52" i="78"/>
  <c r="AV52" i="78"/>
  <c r="BB51" i="78"/>
  <c r="AU51" i="78"/>
  <c r="BC51" i="78"/>
  <c r="AX51" i="78"/>
  <c r="AZ51" i="78"/>
  <c r="AT51" i="78"/>
  <c r="AY51" i="78"/>
  <c r="AV51" i="78"/>
  <c r="BB50" i="78"/>
  <c r="AU50" i="78"/>
  <c r="BC50" i="78"/>
  <c r="AX50" i="78"/>
  <c r="AZ50" i="78"/>
  <c r="AT50" i="78"/>
  <c r="AY50" i="78"/>
  <c r="AV50" i="78"/>
  <c r="AU49" i="78"/>
  <c r="BC49" i="78"/>
  <c r="AX49" i="78"/>
  <c r="AZ49" i="78"/>
  <c r="AT49" i="78"/>
  <c r="AY49" i="78"/>
  <c r="AV49" i="78"/>
  <c r="AG64" i="78"/>
  <c r="Z64" i="78"/>
  <c r="AH64" i="78"/>
  <c r="AC64" i="78"/>
  <c r="AE64" i="78"/>
  <c r="Y64" i="78"/>
  <c r="AD64" i="78"/>
  <c r="AA64" i="78"/>
  <c r="AG63" i="78"/>
  <c r="Z63" i="78"/>
  <c r="AH63" i="78"/>
  <c r="AC63" i="78"/>
  <c r="AE63" i="78"/>
  <c r="Y63" i="78"/>
  <c r="AD63" i="78"/>
  <c r="AA63" i="78"/>
  <c r="AG62" i="78"/>
  <c r="Z62" i="78"/>
  <c r="AH62" i="78"/>
  <c r="AC62" i="78"/>
  <c r="AE62" i="78"/>
  <c r="Y62" i="78"/>
  <c r="AD62" i="78"/>
  <c r="AA62" i="78"/>
  <c r="AG61" i="78"/>
  <c r="Z61" i="78"/>
  <c r="AH61" i="78"/>
  <c r="AC61" i="78"/>
  <c r="AE61" i="78"/>
  <c r="Y61" i="78"/>
  <c r="AD61" i="78"/>
  <c r="AA61" i="78"/>
  <c r="AG60" i="78"/>
  <c r="Z60" i="78"/>
  <c r="AH60" i="78"/>
  <c r="AC60" i="78"/>
  <c r="AE60" i="78"/>
  <c r="Y60" i="78"/>
  <c r="AD60" i="78"/>
  <c r="AA60" i="78"/>
  <c r="AG59" i="78"/>
  <c r="Z59" i="78"/>
  <c r="AH59" i="78"/>
  <c r="AC59" i="78"/>
  <c r="AE59" i="78"/>
  <c r="Y59" i="78"/>
  <c r="AD59" i="78"/>
  <c r="AA59" i="78"/>
  <c r="AG58" i="78"/>
  <c r="Z58" i="78"/>
  <c r="AH58" i="78"/>
  <c r="AC58" i="78"/>
  <c r="AE58" i="78"/>
  <c r="Y58" i="78"/>
  <c r="AD58" i="78"/>
  <c r="AA58" i="78"/>
  <c r="AG57" i="78"/>
  <c r="Z57" i="78"/>
  <c r="AH57" i="78"/>
  <c r="AC57" i="78"/>
  <c r="AE57" i="78"/>
  <c r="Y57" i="78"/>
  <c r="AD57" i="78"/>
  <c r="AA57" i="78"/>
  <c r="AG56" i="78"/>
  <c r="Z56" i="78"/>
  <c r="AH56" i="78"/>
  <c r="AC56" i="78"/>
  <c r="AE56" i="78"/>
  <c r="Y56" i="78"/>
  <c r="AD56" i="78"/>
  <c r="AA56" i="78"/>
  <c r="AG55" i="78"/>
  <c r="Z55" i="78"/>
  <c r="AH55" i="78"/>
  <c r="AC55" i="78"/>
  <c r="AE55" i="78"/>
  <c r="Y55" i="78"/>
  <c r="AD55" i="78"/>
  <c r="AA55" i="78"/>
  <c r="AG54" i="78"/>
  <c r="Z54" i="78"/>
  <c r="AH54" i="78"/>
  <c r="AC54" i="78"/>
  <c r="AE54" i="78"/>
  <c r="Y54" i="78"/>
  <c r="AD54" i="78"/>
  <c r="AA54" i="78"/>
  <c r="AG53" i="78"/>
  <c r="Z53" i="78"/>
  <c r="AH53" i="78"/>
  <c r="AC53" i="78"/>
  <c r="AE53" i="78"/>
  <c r="Y53" i="78"/>
  <c r="AD53" i="78"/>
  <c r="AA53" i="78"/>
  <c r="AG52" i="78"/>
  <c r="Z52" i="78"/>
  <c r="AH52" i="78"/>
  <c r="AC52" i="78"/>
  <c r="AE52" i="78"/>
  <c r="Y52" i="78"/>
  <c r="AD52" i="78"/>
  <c r="AA52" i="78"/>
  <c r="AG51" i="78"/>
  <c r="Z51" i="78"/>
  <c r="AH51" i="78"/>
  <c r="AC51" i="78"/>
  <c r="AE51" i="78"/>
  <c r="Y51" i="78"/>
  <c r="AD51" i="78"/>
  <c r="AA51" i="78"/>
  <c r="AG50" i="78"/>
  <c r="Z50" i="78"/>
  <c r="AH50" i="78"/>
  <c r="AC50" i="78"/>
  <c r="AE50" i="78"/>
  <c r="Y50" i="78"/>
  <c r="AD50" i="78"/>
  <c r="AA50" i="78"/>
  <c r="Z49" i="78"/>
  <c r="AH49" i="78"/>
  <c r="AC49" i="78"/>
  <c r="AE49" i="78"/>
  <c r="Y49" i="78"/>
  <c r="AD49" i="78"/>
  <c r="AA49" i="78"/>
  <c r="C16" i="56"/>
  <c r="C27" i="56"/>
  <c r="C28" i="56"/>
  <c r="C29" i="56"/>
  <c r="C30" i="56"/>
  <c r="I275" i="20"/>
  <c r="I275" i="12"/>
  <c r="B12" i="78"/>
  <c r="I275" i="11"/>
  <c r="B11" i="78"/>
  <c r="J66" i="78"/>
  <c r="L50" i="78"/>
  <c r="E50" i="78"/>
  <c r="M50" i="78"/>
  <c r="L51" i="78"/>
  <c r="E51" i="78"/>
  <c r="M51" i="78"/>
  <c r="L52" i="78"/>
  <c r="E52" i="78"/>
  <c r="M52" i="78"/>
  <c r="L53" i="78"/>
  <c r="E53" i="78"/>
  <c r="M53" i="78"/>
  <c r="L54" i="78"/>
  <c r="E54" i="78"/>
  <c r="M54" i="78"/>
  <c r="L55" i="78"/>
  <c r="E55" i="78"/>
  <c r="M55" i="78"/>
  <c r="L56" i="78"/>
  <c r="E56" i="78"/>
  <c r="M56" i="78"/>
  <c r="L57" i="78"/>
  <c r="E57" i="78"/>
  <c r="M57" i="78"/>
  <c r="L58" i="78"/>
  <c r="E58" i="78"/>
  <c r="M58" i="78"/>
  <c r="L59" i="78"/>
  <c r="E59" i="78"/>
  <c r="M59" i="78"/>
  <c r="L60" i="78"/>
  <c r="E60" i="78"/>
  <c r="M60" i="78"/>
  <c r="L61" i="78"/>
  <c r="E61" i="78"/>
  <c r="M61" i="78"/>
  <c r="L62" i="78"/>
  <c r="E62" i="78"/>
  <c r="M62" i="78"/>
  <c r="L63" i="78"/>
  <c r="E63" i="78"/>
  <c r="M63" i="78"/>
  <c r="L64" i="78"/>
  <c r="E64" i="78"/>
  <c r="M64" i="78"/>
  <c r="L49" i="78"/>
  <c r="E49" i="78"/>
  <c r="M49" i="78"/>
  <c r="H50" i="78"/>
  <c r="J50" i="78"/>
  <c r="H51" i="78"/>
  <c r="J51" i="78"/>
  <c r="H52" i="78"/>
  <c r="J52" i="78"/>
  <c r="H53" i="78"/>
  <c r="J53" i="78"/>
  <c r="H54" i="78"/>
  <c r="J54" i="78"/>
  <c r="H55" i="78"/>
  <c r="J55" i="78"/>
  <c r="H56" i="78"/>
  <c r="J56" i="78"/>
  <c r="H57" i="78"/>
  <c r="J57" i="78"/>
  <c r="H58" i="78"/>
  <c r="J58" i="78"/>
  <c r="H59" i="78"/>
  <c r="J59" i="78"/>
  <c r="H60" i="78"/>
  <c r="J60" i="78"/>
  <c r="H61" i="78"/>
  <c r="J61" i="78"/>
  <c r="H62" i="78"/>
  <c r="J62" i="78"/>
  <c r="H63" i="78"/>
  <c r="J63" i="78"/>
  <c r="H64" i="78"/>
  <c r="J64" i="78"/>
  <c r="H49" i="78"/>
  <c r="J49" i="78"/>
  <c r="D50" i="78"/>
  <c r="I50" i="78"/>
  <c r="D51" i="78"/>
  <c r="I51" i="78"/>
  <c r="D52" i="78"/>
  <c r="I52" i="78"/>
  <c r="D53" i="78"/>
  <c r="I53" i="78"/>
  <c r="D54" i="78"/>
  <c r="I54" i="78"/>
  <c r="D55" i="78"/>
  <c r="I55" i="78"/>
  <c r="D56" i="78"/>
  <c r="I56" i="78"/>
  <c r="D57" i="78"/>
  <c r="I57" i="78"/>
  <c r="D58" i="78"/>
  <c r="I58" i="78"/>
  <c r="D59" i="78"/>
  <c r="I59" i="78"/>
  <c r="D60" i="78"/>
  <c r="I60" i="78"/>
  <c r="D61" i="78"/>
  <c r="I61" i="78"/>
  <c r="D62" i="78"/>
  <c r="I62" i="78"/>
  <c r="D63" i="78"/>
  <c r="I63" i="78"/>
  <c r="D64" i="78"/>
  <c r="I64" i="78"/>
  <c r="D49" i="78"/>
  <c r="I49" i="78"/>
  <c r="F50" i="78"/>
  <c r="F51" i="78"/>
  <c r="F52" i="78"/>
  <c r="F53" i="78"/>
  <c r="F54" i="78"/>
  <c r="F55" i="78"/>
  <c r="F56" i="78"/>
  <c r="F57" i="78"/>
  <c r="F58" i="78"/>
  <c r="F59" i="78"/>
  <c r="F60" i="78"/>
  <c r="F61" i="78"/>
  <c r="F62" i="78"/>
  <c r="F63" i="78"/>
  <c r="F64" i="78"/>
  <c r="F49" i="78"/>
  <c r="B7" i="78"/>
  <c r="B9" i="78"/>
  <c r="B8" i="78"/>
  <c r="B2" i="78"/>
  <c r="B3" i="78"/>
  <c r="B6" i="78"/>
  <c r="I275" i="15"/>
  <c r="B5" i="78"/>
  <c r="B4" i="78"/>
  <c r="C15" i="56"/>
  <c r="C23" i="56"/>
  <c r="C24" i="56"/>
  <c r="C25" i="56"/>
  <c r="C26" i="56"/>
  <c r="H14" i="56"/>
  <c r="H13" i="56"/>
  <c r="B15" i="56"/>
  <c r="G22" i="56"/>
  <c r="G21" i="56"/>
  <c r="G20" i="56"/>
  <c r="G19" i="56"/>
  <c r="G18" i="56"/>
  <c r="G17" i="56"/>
  <c r="G5" i="56"/>
  <c r="E22" i="56"/>
  <c r="E21" i="56"/>
  <c r="E20" i="56"/>
  <c r="E19" i="56"/>
  <c r="E18" i="56"/>
  <c r="E17" i="56"/>
  <c r="E5" i="56"/>
  <c r="D5" i="56"/>
  <c r="J45" i="67"/>
  <c r="I45" i="67"/>
  <c r="H45" i="67"/>
  <c r="G45" i="67"/>
  <c r="F45" i="67"/>
  <c r="E45" i="67"/>
  <c r="D45" i="67"/>
  <c r="J44" i="67"/>
  <c r="I44" i="67"/>
  <c r="H44" i="67"/>
  <c r="G44" i="67"/>
  <c r="F44" i="67"/>
  <c r="E44" i="67"/>
  <c r="D44" i="67"/>
  <c r="J43" i="67"/>
  <c r="I43" i="67"/>
  <c r="H43" i="67"/>
  <c r="G43" i="67"/>
  <c r="F43" i="67"/>
  <c r="E43" i="67"/>
  <c r="D43" i="67"/>
  <c r="J42" i="67"/>
  <c r="I42" i="67"/>
  <c r="H42" i="67"/>
  <c r="G42" i="67"/>
  <c r="F42" i="67"/>
  <c r="E42" i="67"/>
  <c r="D42" i="67"/>
  <c r="J41" i="67"/>
  <c r="I41" i="67"/>
  <c r="H41" i="67"/>
  <c r="G41" i="67"/>
  <c r="F41" i="67"/>
  <c r="E41" i="67"/>
  <c r="D41" i="67"/>
  <c r="J40" i="67"/>
  <c r="I40" i="67"/>
  <c r="H40" i="67"/>
  <c r="G40" i="67"/>
  <c r="F40" i="67"/>
  <c r="E40" i="67"/>
  <c r="D40" i="67"/>
  <c r="J39" i="67"/>
  <c r="I39" i="67"/>
  <c r="H39" i="67"/>
  <c r="G39" i="67"/>
  <c r="F39" i="67"/>
  <c r="E39" i="67"/>
  <c r="D39" i="67"/>
  <c r="D28" i="67"/>
  <c r="D27" i="67"/>
  <c r="D24" i="67"/>
  <c r="J30" i="67"/>
  <c r="I30" i="67"/>
  <c r="H30" i="67"/>
  <c r="G30" i="67"/>
  <c r="F30" i="67"/>
  <c r="E30" i="67"/>
  <c r="D30" i="67"/>
  <c r="J29" i="67"/>
  <c r="I29" i="67"/>
  <c r="H29" i="67"/>
  <c r="G29" i="67"/>
  <c r="F29" i="67"/>
  <c r="E29" i="67"/>
  <c r="D29" i="67"/>
  <c r="J28" i="67"/>
  <c r="I28" i="67"/>
  <c r="H28" i="67"/>
  <c r="G28" i="67"/>
  <c r="F28" i="67"/>
  <c r="E28" i="67"/>
  <c r="J27" i="67"/>
  <c r="I27" i="67"/>
  <c r="H27" i="67"/>
  <c r="G27" i="67"/>
  <c r="F27" i="67"/>
  <c r="E27" i="67"/>
  <c r="J26" i="67"/>
  <c r="I26" i="67"/>
  <c r="H26" i="67"/>
  <c r="G26" i="67"/>
  <c r="F26" i="67"/>
  <c r="E26" i="67"/>
  <c r="D26" i="67"/>
  <c r="I25" i="67"/>
  <c r="H25" i="67"/>
  <c r="G25" i="67"/>
  <c r="F25" i="67"/>
  <c r="E25" i="67"/>
  <c r="D25" i="67"/>
  <c r="I24" i="67"/>
  <c r="H24" i="67"/>
  <c r="G24" i="67"/>
  <c r="F24" i="67"/>
  <c r="E24" i="67"/>
  <c r="J15" i="67"/>
  <c r="I15" i="67"/>
  <c r="H15" i="67"/>
  <c r="G15" i="67"/>
  <c r="F15" i="67"/>
  <c r="E15" i="67"/>
  <c r="J14" i="67"/>
  <c r="I14" i="67"/>
  <c r="H14" i="67"/>
  <c r="G14" i="67"/>
  <c r="F14" i="67"/>
  <c r="E14" i="67"/>
  <c r="J13" i="67"/>
  <c r="I13" i="67"/>
  <c r="H13" i="67"/>
  <c r="G13" i="67"/>
  <c r="F13" i="67"/>
  <c r="E13" i="67"/>
  <c r="D15" i="67"/>
  <c r="D14" i="67"/>
  <c r="D13" i="67"/>
  <c r="J12" i="67"/>
  <c r="I12" i="67"/>
  <c r="H12" i="67"/>
  <c r="G12" i="67"/>
  <c r="F12" i="67"/>
  <c r="E12" i="67"/>
  <c r="D12" i="67"/>
  <c r="J11" i="67"/>
  <c r="I11" i="67"/>
  <c r="H11" i="67"/>
  <c r="G11" i="67"/>
  <c r="F11" i="67"/>
  <c r="E11" i="67"/>
  <c r="D11" i="67"/>
  <c r="J10" i="67"/>
  <c r="I10" i="67"/>
  <c r="H10" i="67"/>
  <c r="G10" i="67"/>
  <c r="F10" i="67"/>
  <c r="E10" i="67"/>
  <c r="D10" i="67"/>
  <c r="J9" i="67"/>
  <c r="I9" i="67"/>
  <c r="H9" i="67"/>
  <c r="G9" i="67"/>
  <c r="F9" i="67"/>
  <c r="E9" i="67"/>
  <c r="D9" i="67"/>
  <c r="D22" i="56"/>
  <c r="D21" i="56"/>
  <c r="D20" i="56"/>
  <c r="D19" i="56"/>
  <c r="D18" i="56"/>
  <c r="D17" i="56"/>
  <c r="E14" i="56"/>
  <c r="D14" i="56"/>
  <c r="E13" i="56"/>
  <c r="D13" i="56"/>
  <c r="G10" i="56"/>
  <c r="E10" i="56"/>
  <c r="F10" i="56"/>
  <c r="D10" i="56"/>
  <c r="G9" i="56"/>
  <c r="E9" i="56"/>
  <c r="F9" i="56"/>
  <c r="D9" i="56"/>
  <c r="AE73" i="73"/>
  <c r="AD73" i="73"/>
  <c r="AC73" i="73"/>
  <c r="AE50" i="73"/>
  <c r="AD50" i="73"/>
  <c r="AC50" i="73"/>
  <c r="AI24" i="73"/>
  <c r="AH24" i="73"/>
  <c r="AG24" i="73"/>
  <c r="AF24" i="73"/>
  <c r="AE24" i="73"/>
  <c r="AD24" i="73"/>
  <c r="AC24" i="73"/>
  <c r="AI12" i="73"/>
  <c r="AH12" i="73"/>
  <c r="AG12" i="73"/>
  <c r="AF12" i="73"/>
  <c r="AE12" i="73"/>
  <c r="AD12" i="73"/>
  <c r="AC12" i="73"/>
  <c r="AC68" i="73"/>
  <c r="AE71" i="73"/>
  <c r="AD71" i="73"/>
  <c r="AC71" i="73"/>
  <c r="AE70" i="73"/>
  <c r="AD70" i="73"/>
  <c r="AC70" i="73"/>
  <c r="AE69" i="73"/>
  <c r="AD69" i="73"/>
  <c r="AC69" i="73"/>
  <c r="AE68" i="73"/>
  <c r="AD68" i="73"/>
  <c r="AE45" i="73"/>
  <c r="AD45" i="73"/>
  <c r="AC45" i="73"/>
  <c r="AI8" i="73"/>
  <c r="AH8" i="73"/>
  <c r="AG8" i="73"/>
  <c r="AF8" i="73"/>
  <c r="AE8" i="73"/>
  <c r="AD8" i="73"/>
  <c r="AC8" i="73"/>
  <c r="AI20" i="73"/>
  <c r="AH20" i="73"/>
  <c r="AG20" i="73"/>
  <c r="AF20" i="73"/>
  <c r="AE20" i="73"/>
  <c r="AD20" i="73"/>
  <c r="AC20" i="73"/>
  <c r="AE48" i="73"/>
  <c r="AD48" i="73"/>
  <c r="AC48" i="73"/>
  <c r="AE47" i="73"/>
  <c r="AD47" i="73"/>
  <c r="AC47" i="73"/>
  <c r="AE46" i="73"/>
  <c r="AD46" i="73"/>
  <c r="AC46" i="73"/>
  <c r="AI22" i="73"/>
  <c r="AH22" i="73"/>
  <c r="AG22" i="73"/>
  <c r="AF22" i="73"/>
  <c r="AE22" i="73"/>
  <c r="AD22" i="73"/>
  <c r="AC22" i="73"/>
  <c r="AI21" i="73"/>
  <c r="AH21" i="73"/>
  <c r="AG21" i="73"/>
  <c r="AF21" i="73"/>
  <c r="AE21" i="73"/>
  <c r="AD21" i="73"/>
  <c r="AC21" i="73"/>
  <c r="AI10" i="73"/>
  <c r="AH10" i="73"/>
  <c r="AG10" i="73"/>
  <c r="AF10" i="73"/>
  <c r="AE10" i="73"/>
  <c r="AD10" i="73"/>
  <c r="AI9" i="73"/>
  <c r="AH9" i="73"/>
  <c r="AG9" i="73"/>
  <c r="AF9" i="73"/>
  <c r="AE9" i="73"/>
  <c r="AD9" i="73"/>
  <c r="AC10" i="73"/>
  <c r="AC9" i="73"/>
  <c r="Y11" i="73"/>
  <c r="X11" i="73"/>
  <c r="W11" i="73"/>
  <c r="V11" i="73"/>
  <c r="U11" i="73"/>
  <c r="T11" i="73"/>
  <c r="S11" i="73"/>
  <c r="Y10" i="73"/>
  <c r="X10" i="73"/>
  <c r="W10" i="73"/>
  <c r="V10" i="73"/>
  <c r="U10" i="73"/>
  <c r="T10" i="73"/>
  <c r="S10" i="73"/>
  <c r="Y9" i="73"/>
  <c r="X9" i="73"/>
  <c r="W9" i="73"/>
  <c r="V9" i="73"/>
  <c r="U9" i="73"/>
  <c r="T9" i="73"/>
  <c r="S9" i="73"/>
  <c r="Y8" i="73"/>
  <c r="X8" i="73"/>
  <c r="W8" i="73"/>
  <c r="V8" i="73"/>
  <c r="U8" i="73"/>
  <c r="T8" i="73"/>
  <c r="S8" i="73"/>
  <c r="Y23" i="73"/>
  <c r="X23" i="73"/>
  <c r="W23" i="73"/>
  <c r="V23" i="73"/>
  <c r="U23" i="73"/>
  <c r="T23" i="73"/>
  <c r="S23" i="73"/>
  <c r="Y22" i="73"/>
  <c r="X22" i="73"/>
  <c r="W22" i="73"/>
  <c r="V22" i="73"/>
  <c r="U22" i="73"/>
  <c r="T22" i="73"/>
  <c r="S22" i="73"/>
  <c r="Y21" i="73"/>
  <c r="X21" i="73"/>
  <c r="W21" i="73"/>
  <c r="V21" i="73"/>
  <c r="U21" i="73"/>
  <c r="T21" i="73"/>
  <c r="S21" i="73"/>
  <c r="Y20" i="73"/>
  <c r="X20" i="73"/>
  <c r="W20" i="73"/>
  <c r="V20" i="73"/>
  <c r="U20" i="73"/>
  <c r="T20" i="73"/>
  <c r="S20" i="73"/>
  <c r="U49" i="73"/>
  <c r="T49" i="73"/>
  <c r="S49" i="73"/>
  <c r="U48" i="73"/>
  <c r="T48" i="73"/>
  <c r="S48" i="73"/>
  <c r="U47" i="73"/>
  <c r="T47" i="73"/>
  <c r="S47" i="73"/>
  <c r="U46" i="73"/>
  <c r="T46" i="73"/>
  <c r="S46" i="73"/>
  <c r="U45" i="73"/>
  <c r="T45" i="73"/>
  <c r="S45" i="73"/>
  <c r="U72" i="73"/>
  <c r="T72" i="73"/>
  <c r="S72" i="73"/>
  <c r="U71" i="73"/>
  <c r="T71" i="73"/>
  <c r="S71" i="73"/>
  <c r="U70" i="73"/>
  <c r="T70" i="73"/>
  <c r="S70" i="73"/>
  <c r="U69" i="73"/>
  <c r="T69" i="73"/>
  <c r="S69" i="73"/>
  <c r="U68" i="73"/>
  <c r="T68" i="73"/>
  <c r="S68" i="73"/>
  <c r="O72" i="73"/>
  <c r="N72" i="73"/>
  <c r="M72" i="73"/>
  <c r="O71" i="73"/>
  <c r="N71" i="73"/>
  <c r="M71" i="73"/>
  <c r="O70" i="73"/>
  <c r="N70" i="73"/>
  <c r="M70" i="73"/>
  <c r="O69" i="73"/>
  <c r="N69" i="73"/>
  <c r="M69" i="73"/>
  <c r="O68" i="73"/>
  <c r="N68" i="73"/>
  <c r="M68" i="73"/>
  <c r="F5" i="56"/>
  <c r="F22" i="56"/>
  <c r="F21" i="56"/>
  <c r="F20" i="56"/>
  <c r="F18" i="56"/>
  <c r="F19" i="56"/>
  <c r="F17" i="56"/>
  <c r="U21" i="52"/>
  <c r="V21" i="52"/>
  <c r="W21" i="52"/>
  <c r="X21" i="52"/>
  <c r="Y21" i="52"/>
  <c r="Z21" i="52"/>
  <c r="AA21" i="52"/>
  <c r="AB21" i="52"/>
  <c r="AC21" i="52"/>
  <c r="U5" i="52"/>
  <c r="V5" i="52"/>
  <c r="W5" i="52"/>
  <c r="X5" i="52"/>
  <c r="Y5" i="52"/>
  <c r="Z5" i="52"/>
  <c r="AA5" i="52"/>
  <c r="AN21" i="52"/>
  <c r="AL21" i="52"/>
  <c r="AO21" i="52"/>
  <c r="U22" i="52"/>
  <c r="V22" i="52"/>
  <c r="W22" i="52"/>
  <c r="X22" i="52"/>
  <c r="Y22" i="52"/>
  <c r="Z22" i="52"/>
  <c r="AA22" i="52"/>
  <c r="AB22" i="52"/>
  <c r="AC22" i="52"/>
  <c r="U6" i="52"/>
  <c r="V6" i="52"/>
  <c r="W6" i="52"/>
  <c r="X6" i="52"/>
  <c r="Y6" i="52"/>
  <c r="Z6" i="52"/>
  <c r="AA6" i="52"/>
  <c r="AN22" i="52"/>
  <c r="AL22" i="52"/>
  <c r="AO22" i="52"/>
  <c r="U23" i="52"/>
  <c r="V23" i="52"/>
  <c r="W23" i="52"/>
  <c r="X23" i="52"/>
  <c r="Y23" i="52"/>
  <c r="Z23" i="52"/>
  <c r="AA23" i="52"/>
  <c r="AB23" i="52"/>
  <c r="AC23" i="52"/>
  <c r="U7" i="52"/>
  <c r="V7" i="52"/>
  <c r="W7" i="52"/>
  <c r="X7" i="52"/>
  <c r="Y7" i="52"/>
  <c r="Z7" i="52"/>
  <c r="AA7" i="52"/>
  <c r="AN23" i="52"/>
  <c r="AL23" i="52"/>
  <c r="AO23" i="52"/>
  <c r="U24" i="52"/>
  <c r="V24" i="52"/>
  <c r="W24" i="52"/>
  <c r="X24" i="52"/>
  <c r="Y24" i="52"/>
  <c r="Z24" i="52"/>
  <c r="AA24" i="52"/>
  <c r="AB24" i="52"/>
  <c r="AC24" i="52"/>
  <c r="U8" i="52"/>
  <c r="V8" i="52"/>
  <c r="W8" i="52"/>
  <c r="X8" i="52"/>
  <c r="Y8" i="52"/>
  <c r="Z8" i="52"/>
  <c r="AA8" i="52"/>
  <c r="AN24" i="52"/>
  <c r="AL24" i="52"/>
  <c r="AO24" i="52"/>
  <c r="U25" i="52"/>
  <c r="V25" i="52"/>
  <c r="W25" i="52"/>
  <c r="X25" i="52"/>
  <c r="Y25" i="52"/>
  <c r="Z25" i="52"/>
  <c r="AA25" i="52"/>
  <c r="AB25" i="52"/>
  <c r="AC25" i="52"/>
  <c r="U9" i="52"/>
  <c r="V9" i="52"/>
  <c r="W9" i="52"/>
  <c r="X9" i="52"/>
  <c r="Y9" i="52"/>
  <c r="Z9" i="52"/>
  <c r="AA9" i="52"/>
  <c r="AN25" i="52"/>
  <c r="AL25" i="52"/>
  <c r="AO25" i="52"/>
  <c r="U26" i="52"/>
  <c r="V26" i="52"/>
  <c r="W26" i="52"/>
  <c r="X26" i="52"/>
  <c r="Y26" i="52"/>
  <c r="Z26" i="52"/>
  <c r="AA26" i="52"/>
  <c r="AB26" i="52"/>
  <c r="AC26" i="52"/>
  <c r="U10" i="52"/>
  <c r="V10" i="52"/>
  <c r="W10" i="52"/>
  <c r="X10" i="52"/>
  <c r="Y10" i="52"/>
  <c r="Z10" i="52"/>
  <c r="AA10" i="52"/>
  <c r="AN26" i="52"/>
  <c r="AL26" i="52"/>
  <c r="AO26" i="52"/>
  <c r="U27" i="52"/>
  <c r="V27" i="52"/>
  <c r="W27" i="52"/>
  <c r="X27" i="52"/>
  <c r="Y27" i="52"/>
  <c r="Z27" i="52"/>
  <c r="AA27" i="52"/>
  <c r="AB27" i="52"/>
  <c r="AC27" i="52"/>
  <c r="U11" i="52"/>
  <c r="V11" i="52"/>
  <c r="W11" i="52"/>
  <c r="X11" i="52"/>
  <c r="Y11" i="52"/>
  <c r="Z11" i="52"/>
  <c r="AA11" i="52"/>
  <c r="AN27" i="52"/>
  <c r="AL27" i="52"/>
  <c r="AO27" i="52"/>
  <c r="U28" i="52"/>
  <c r="V28" i="52"/>
  <c r="W28" i="52"/>
  <c r="X28" i="52"/>
  <c r="Y28" i="52"/>
  <c r="Z28" i="52"/>
  <c r="AA28" i="52"/>
  <c r="AB28" i="52"/>
  <c r="AC28" i="52"/>
  <c r="U12" i="52"/>
  <c r="V12" i="52"/>
  <c r="W12" i="52"/>
  <c r="X12" i="52"/>
  <c r="Y12" i="52"/>
  <c r="Z12" i="52"/>
  <c r="AA12" i="52"/>
  <c r="AN28" i="52"/>
  <c r="AL28" i="52"/>
  <c r="AO28" i="52"/>
  <c r="U29" i="52"/>
  <c r="V29" i="52"/>
  <c r="W29" i="52"/>
  <c r="X29" i="52"/>
  <c r="Y29" i="52"/>
  <c r="Z29" i="52"/>
  <c r="AA29" i="52"/>
  <c r="AB29" i="52"/>
  <c r="AC29" i="52"/>
  <c r="U13" i="52"/>
  <c r="V13" i="52"/>
  <c r="W13" i="52"/>
  <c r="X13" i="52"/>
  <c r="Y13" i="52"/>
  <c r="Z13" i="52"/>
  <c r="AA13" i="52"/>
  <c r="AN29" i="52"/>
  <c r="AL29" i="52"/>
  <c r="AO29" i="52"/>
  <c r="U30" i="52"/>
  <c r="V30" i="52"/>
  <c r="W30" i="52"/>
  <c r="X30" i="52"/>
  <c r="Y30" i="52"/>
  <c r="Z30" i="52"/>
  <c r="AA30" i="52"/>
  <c r="AB30" i="52"/>
  <c r="AC30" i="52"/>
  <c r="U14" i="52"/>
  <c r="V14" i="52"/>
  <c r="W14" i="52"/>
  <c r="X14" i="52"/>
  <c r="Y14" i="52"/>
  <c r="Z14" i="52"/>
  <c r="AA14" i="52"/>
  <c r="AN30" i="52"/>
  <c r="AL30" i="52"/>
  <c r="AO30" i="52"/>
  <c r="U31" i="52"/>
  <c r="V31" i="52"/>
  <c r="W31" i="52"/>
  <c r="X31" i="52"/>
  <c r="Y31" i="52"/>
  <c r="Z31" i="52"/>
  <c r="AA31" i="52"/>
  <c r="AB31" i="52"/>
  <c r="AC31" i="52"/>
  <c r="U15" i="52"/>
  <c r="V15" i="52"/>
  <c r="W15" i="52"/>
  <c r="X15" i="52"/>
  <c r="Y15" i="52"/>
  <c r="Z15" i="52"/>
  <c r="AA15" i="52"/>
  <c r="AN31" i="52"/>
  <c r="AL31" i="52"/>
  <c r="AO31" i="52"/>
  <c r="U32" i="52"/>
  <c r="V32" i="52"/>
  <c r="W32" i="52"/>
  <c r="X32" i="52"/>
  <c r="Y32" i="52"/>
  <c r="Z32" i="52"/>
  <c r="AA32" i="52"/>
  <c r="AB32" i="52"/>
  <c r="AC32" i="52"/>
  <c r="U16" i="52"/>
  <c r="V16" i="52"/>
  <c r="W16" i="52"/>
  <c r="X16" i="52"/>
  <c r="Y16" i="52"/>
  <c r="Z16" i="52"/>
  <c r="AA16" i="52"/>
  <c r="AN32" i="52"/>
  <c r="AL32" i="52"/>
  <c r="AO32" i="52"/>
  <c r="AO34" i="52"/>
  <c r="B10" i="72"/>
  <c r="E48" i="67"/>
  <c r="E49" i="67"/>
  <c r="F48" i="67"/>
  <c r="F49" i="67"/>
  <c r="G48" i="67"/>
  <c r="G49" i="67"/>
  <c r="H48" i="67"/>
  <c r="H49" i="67"/>
  <c r="I48" i="67"/>
  <c r="I49" i="67"/>
  <c r="D48" i="67"/>
  <c r="D49" i="67"/>
  <c r="I47" i="67"/>
  <c r="H47" i="67"/>
  <c r="G47" i="67"/>
  <c r="F47" i="67"/>
  <c r="E47" i="67"/>
  <c r="D47" i="67"/>
  <c r="D60" i="67"/>
  <c r="J62" i="67"/>
  <c r="I62" i="67"/>
  <c r="H62" i="67"/>
  <c r="G62" i="67"/>
  <c r="F62" i="67"/>
  <c r="E62" i="67"/>
  <c r="D62" i="67"/>
  <c r="J61" i="67"/>
  <c r="I61" i="67"/>
  <c r="H61" i="67"/>
  <c r="G61" i="67"/>
  <c r="F61" i="67"/>
  <c r="E61" i="67"/>
  <c r="D61" i="67"/>
  <c r="J60" i="67"/>
  <c r="I60" i="67"/>
  <c r="H60" i="67"/>
  <c r="G60" i="67"/>
  <c r="F60" i="67"/>
  <c r="E60" i="67"/>
  <c r="J59" i="67"/>
  <c r="I59" i="67"/>
  <c r="H59" i="67"/>
  <c r="G59" i="67"/>
  <c r="F59" i="67"/>
  <c r="E59" i="67"/>
  <c r="D59" i="67"/>
  <c r="J58" i="67"/>
  <c r="I58" i="67"/>
  <c r="H58" i="67"/>
  <c r="G58" i="67"/>
  <c r="F58" i="67"/>
  <c r="E58" i="67"/>
  <c r="D58" i="67"/>
  <c r="J57" i="67"/>
  <c r="I57" i="67"/>
  <c r="H57" i="67"/>
  <c r="G57" i="67"/>
  <c r="F57" i="67"/>
  <c r="E57" i="67"/>
  <c r="D57" i="67"/>
  <c r="J56" i="67"/>
  <c r="I56" i="67"/>
  <c r="H56" i="67"/>
  <c r="G56" i="67"/>
  <c r="F56" i="67"/>
  <c r="E56" i="67"/>
  <c r="D56" i="67"/>
  <c r="J55" i="67"/>
  <c r="I55" i="67"/>
  <c r="H55" i="67"/>
  <c r="G55" i="67"/>
  <c r="F55" i="67"/>
  <c r="E55" i="67"/>
  <c r="D55" i="67"/>
  <c r="J54" i="67"/>
  <c r="I54" i="67"/>
  <c r="H54" i="67"/>
  <c r="G54" i="67"/>
  <c r="F54" i="67"/>
  <c r="E54" i="67"/>
  <c r="D54" i="67"/>
  <c r="J53" i="67"/>
  <c r="I53" i="67"/>
  <c r="H53" i="67"/>
  <c r="G53" i="67"/>
  <c r="F53" i="67"/>
  <c r="E53" i="67"/>
  <c r="D53" i="67"/>
  <c r="J52" i="67"/>
  <c r="I52" i="67"/>
  <c r="H52" i="67"/>
  <c r="G52" i="67"/>
  <c r="F52" i="67"/>
  <c r="E52" i="67"/>
  <c r="D52" i="67"/>
  <c r="I30" i="71"/>
  <c r="G50" i="67"/>
  <c r="I50" i="67"/>
  <c r="D50" i="67"/>
  <c r="H50" i="67"/>
  <c r="E50" i="67"/>
  <c r="F50" i="67"/>
  <c r="BL274" i="37"/>
  <c r="BK274" i="37"/>
  <c r="BJ274" i="37"/>
  <c r="BI274" i="37"/>
  <c r="BH274" i="37"/>
  <c r="BI275" i="37"/>
  <c r="BG274" i="37"/>
  <c r="BF274" i="37"/>
  <c r="BE274" i="37"/>
  <c r="BD274" i="37"/>
  <c r="BC274" i="37"/>
  <c r="BI273" i="37"/>
  <c r="BE273" i="37"/>
  <c r="BL272" i="37"/>
  <c r="BL273" i="37"/>
  <c r="BK272" i="37"/>
  <c r="BJ272" i="37"/>
  <c r="BK273" i="37"/>
  <c r="BI272" i="37"/>
  <c r="BH272" i="37"/>
  <c r="BH273" i="37"/>
  <c r="BG272" i="37"/>
  <c r="BF272" i="37"/>
  <c r="BG273" i="37"/>
  <c r="BE272" i="37"/>
  <c r="BD272" i="37"/>
  <c r="BD273" i="37"/>
  <c r="BC272" i="37"/>
  <c r="BD275" i="37"/>
  <c r="BL275" i="37"/>
  <c r="BF275" i="37"/>
  <c r="BJ275" i="37"/>
  <c r="BE275" i="37"/>
  <c r="BG275" i="37"/>
  <c r="BM274" i="37"/>
  <c r="BK275" i="37"/>
  <c r="BM273" i="37"/>
  <c r="M275" i="37"/>
  <c r="M276" i="37"/>
  <c r="M277" i="37"/>
  <c r="M278" i="37"/>
  <c r="M279" i="37"/>
  <c r="M280" i="37"/>
  <c r="M281" i="37"/>
  <c r="M282" i="37"/>
  <c r="M283" i="37"/>
  <c r="M284" i="37"/>
  <c r="M285" i="37"/>
  <c r="M286" i="37"/>
  <c r="M287" i="37"/>
  <c r="M288" i="37"/>
  <c r="M289" i="37"/>
  <c r="M290" i="37"/>
  <c r="M291" i="37"/>
  <c r="M292" i="37"/>
  <c r="M293" i="37"/>
  <c r="M294" i="37"/>
  <c r="M295" i="37"/>
  <c r="BF273" i="37"/>
  <c r="BH275" i="37"/>
  <c r="BM275" i="37"/>
  <c r="I275" i="37"/>
  <c r="BJ273" i="37"/>
  <c r="I276" i="37"/>
  <c r="I277" i="37"/>
  <c r="I278" i="37"/>
  <c r="I279" i="37"/>
  <c r="I280" i="37"/>
  <c r="I281" i="37"/>
  <c r="I282" i="37"/>
  <c r="I283" i="37"/>
  <c r="I284" i="37"/>
  <c r="I285" i="37"/>
  <c r="I286" i="37"/>
  <c r="I287" i="37"/>
  <c r="I288" i="37"/>
  <c r="I289" i="37"/>
  <c r="I290" i="37"/>
  <c r="I291" i="37"/>
  <c r="I292" i="37"/>
  <c r="I293" i="37"/>
  <c r="I294" i="37"/>
  <c r="I295" i="37"/>
  <c r="L54" i="25"/>
  <c r="L43" i="25"/>
  <c r="K46" i="25"/>
  <c r="J46" i="25"/>
  <c r="I46" i="25"/>
  <c r="L45" i="25"/>
  <c r="L46" i="25"/>
  <c r="K45" i="25"/>
  <c r="J45" i="25"/>
  <c r="I45" i="25"/>
  <c r="K26" i="25"/>
  <c r="J26" i="25"/>
  <c r="J3" i="25"/>
  <c r="J5" i="25"/>
  <c r="J6" i="25"/>
  <c r="J8" i="25"/>
  <c r="J9" i="25"/>
  <c r="J16" i="25"/>
  <c r="J17" i="25"/>
  <c r="J18" i="25"/>
  <c r="J19" i="25"/>
  <c r="J20" i="25"/>
  <c r="J37" i="25"/>
  <c r="J41" i="25"/>
  <c r="J42" i="25"/>
  <c r="J43" i="25"/>
  <c r="J52" i="25"/>
  <c r="J2" i="25"/>
  <c r="K3" i="25"/>
  <c r="K5" i="25"/>
  <c r="K2" i="25"/>
  <c r="K52" i="25"/>
  <c r="L52" i="25"/>
  <c r="Q524" i="62"/>
  <c r="Q523" i="62"/>
  <c r="Q522" i="62"/>
  <c r="Q521" i="62"/>
  <c r="Q520" i="62"/>
  <c r="Q519" i="62"/>
  <c r="Q518" i="62"/>
  <c r="K54" i="25"/>
  <c r="B522" i="62"/>
  <c r="O477" i="62"/>
  <c r="O478" i="62"/>
  <c r="O479" i="62"/>
  <c r="O476" i="62"/>
  <c r="K9" i="25"/>
  <c r="L9" i="25"/>
  <c r="K457" i="62"/>
  <c r="K43" i="25"/>
  <c r="AD435" i="62"/>
  <c r="AC435" i="62"/>
  <c r="AE434" i="62"/>
  <c r="AD433" i="62"/>
  <c r="AC433" i="62"/>
  <c r="AD431" i="62"/>
  <c r="AC431" i="62"/>
  <c r="AD429" i="62"/>
  <c r="AC429" i="62"/>
  <c r="AD428" i="62"/>
  <c r="AC428" i="62"/>
  <c r="AD427" i="62"/>
  <c r="AC427" i="62"/>
  <c r="AD426" i="62"/>
  <c r="AC426" i="62"/>
  <c r="AD425" i="62"/>
  <c r="AC425" i="62"/>
  <c r="N434" i="62"/>
  <c r="L434" i="62"/>
  <c r="N432" i="62"/>
  <c r="L432" i="62"/>
  <c r="N430" i="62"/>
  <c r="M430" i="62"/>
  <c r="L430" i="62"/>
  <c r="AA428" i="62"/>
  <c r="AA427" i="62"/>
  <c r="AA426" i="62"/>
  <c r="AA425" i="62"/>
  <c r="Z428" i="62"/>
  <c r="K42" i="25"/>
  <c r="L42" i="25"/>
  <c r="O412" i="62"/>
  <c r="O410" i="62"/>
  <c r="O409" i="62"/>
  <c r="N408" i="62"/>
  <c r="N409" i="62"/>
  <c r="K41" i="25"/>
  <c r="L41" i="25"/>
  <c r="G382" i="62"/>
  <c r="E383" i="62"/>
  <c r="Q344" i="62"/>
  <c r="Q345" i="62"/>
  <c r="Q346" i="62"/>
  <c r="Q343" i="62"/>
  <c r="O346" i="62"/>
  <c r="O345" i="62"/>
  <c r="O344" i="62"/>
  <c r="I37" i="25"/>
  <c r="K37" i="25"/>
  <c r="F335" i="62"/>
  <c r="F334" i="62"/>
  <c r="F333" i="62"/>
  <c r="F332" i="62"/>
  <c r="H325" i="62"/>
  <c r="E325" i="62"/>
  <c r="E324" i="62"/>
  <c r="K33" i="25"/>
  <c r="K20" i="25"/>
  <c r="K19" i="25"/>
  <c r="K18" i="25"/>
  <c r="K17" i="25"/>
  <c r="K16" i="25"/>
  <c r="K8" i="25"/>
  <c r="K6" i="25"/>
  <c r="B8" i="56"/>
  <c r="B7" i="56"/>
  <c r="B6" i="56"/>
  <c r="I285" i="62"/>
  <c r="I287" i="62"/>
  <c r="M303" i="62"/>
  <c r="AM24" i="52"/>
  <c r="AM27" i="52"/>
  <c r="AM28" i="52"/>
  <c r="AM29" i="52"/>
  <c r="AM22" i="52"/>
  <c r="AM23" i="52"/>
  <c r="AM25" i="52"/>
  <c r="AM26" i="52"/>
  <c r="AM30" i="52"/>
  <c r="AM31" i="52"/>
  <c r="AM32" i="52"/>
  <c r="AM21" i="52"/>
  <c r="C6" i="56"/>
  <c r="C7" i="56"/>
  <c r="C8" i="56"/>
  <c r="J33" i="25"/>
  <c r="L26" i="25"/>
  <c r="J54" i="25"/>
  <c r="M253" i="62"/>
  <c r="R250" i="62"/>
  <c r="M251" i="62"/>
  <c r="P184" i="62"/>
  <c r="P185" i="62"/>
  <c r="L20" i="25"/>
  <c r="G226" i="62"/>
  <c r="L18" i="25"/>
  <c r="L17" i="25"/>
  <c r="L16" i="25"/>
  <c r="D187" i="62"/>
  <c r="D188" i="62"/>
  <c r="L8" i="25"/>
  <c r="B177" i="62"/>
  <c r="L166" i="62"/>
  <c r="O137" i="62"/>
  <c r="O138" i="62"/>
  <c r="G117" i="62"/>
  <c r="I211" i="31"/>
  <c r="O117" i="62"/>
  <c r="O120" i="62"/>
  <c r="C85" i="62"/>
  <c r="C84" i="62"/>
  <c r="J120" i="62"/>
  <c r="S6" i="62"/>
  <c r="S7" i="62"/>
  <c r="S8" i="62"/>
  <c r="S9" i="62"/>
  <c r="S10" i="62"/>
  <c r="S11" i="62"/>
  <c r="S12" i="62"/>
  <c r="S13" i="62"/>
  <c r="S14" i="62"/>
  <c r="S15" i="62"/>
  <c r="S16" i="62"/>
  <c r="S17" i="62"/>
  <c r="S18" i="62"/>
  <c r="S19" i="62"/>
  <c r="S20" i="62"/>
  <c r="S21" i="62"/>
  <c r="S22" i="62"/>
  <c r="S45" i="62"/>
  <c r="C99" i="62"/>
  <c r="O109" i="62"/>
  <c r="O108" i="62"/>
  <c r="O107" i="62"/>
  <c r="O106" i="62"/>
  <c r="O105" i="62"/>
  <c r="O104" i="62"/>
  <c r="O103" i="62"/>
  <c r="P109" i="62"/>
  <c r="P108" i="62"/>
  <c r="P107" i="62"/>
  <c r="P106" i="62"/>
  <c r="P105" i="62"/>
  <c r="P104" i="62"/>
  <c r="P103" i="62"/>
  <c r="E101" i="62"/>
  <c r="J121" i="62"/>
  <c r="J123" i="62"/>
  <c r="E79" i="62"/>
  <c r="E106" i="62"/>
  <c r="I29" i="31"/>
  <c r="I31" i="31"/>
  <c r="U45" i="62"/>
  <c r="E99" i="62"/>
  <c r="I28" i="31"/>
  <c r="T45" i="62"/>
  <c r="D99" i="62"/>
  <c r="I30" i="31"/>
  <c r="P45" i="62"/>
  <c r="B99" i="62"/>
  <c r="R52" i="62"/>
  <c r="R53" i="62"/>
  <c r="P52" i="62"/>
  <c r="P53" i="62"/>
  <c r="M29" i="62"/>
  <c r="L32" i="62"/>
  <c r="T7" i="62"/>
  <c r="T8" i="62"/>
  <c r="T9" i="62"/>
  <c r="T10" i="62"/>
  <c r="U10" i="62"/>
  <c r="V10" i="62"/>
  <c r="T11" i="62"/>
  <c r="T12" i="62"/>
  <c r="T13" i="62"/>
  <c r="T14" i="62"/>
  <c r="T15" i="62"/>
  <c r="T16" i="62"/>
  <c r="T17" i="62"/>
  <c r="U17" i="62"/>
  <c r="V17" i="62"/>
  <c r="T18" i="62"/>
  <c r="T19" i="62"/>
  <c r="T20" i="62"/>
  <c r="T21" i="62"/>
  <c r="T22" i="62"/>
  <c r="T6" i="62"/>
  <c r="I17" i="62"/>
  <c r="I16" i="62"/>
  <c r="I15" i="62"/>
  <c r="I14" i="62"/>
  <c r="I13" i="62"/>
  <c r="I12" i="62"/>
  <c r="I11" i="62"/>
  <c r="I10" i="62"/>
  <c r="I9" i="62"/>
  <c r="I8" i="62"/>
  <c r="I7" i="62"/>
  <c r="I6" i="62"/>
  <c r="AV44" i="61"/>
  <c r="AT39" i="61"/>
  <c r="F36" i="59"/>
  <c r="F35" i="59"/>
  <c r="E13" i="59"/>
  <c r="I10" i="59"/>
  <c r="I9" i="59"/>
  <c r="I8" i="59"/>
  <c r="I7" i="59"/>
  <c r="I6" i="59"/>
  <c r="E10" i="59"/>
  <c r="E9" i="59"/>
  <c r="E8" i="59"/>
  <c r="E7" i="59"/>
  <c r="E6" i="59"/>
  <c r="F10" i="59"/>
  <c r="G10" i="59"/>
  <c r="H10" i="59"/>
  <c r="F9" i="59"/>
  <c r="G9" i="59"/>
  <c r="H9" i="59"/>
  <c r="F8" i="59"/>
  <c r="G8" i="59"/>
  <c r="H8" i="59"/>
  <c r="F7" i="59"/>
  <c r="G7" i="59"/>
  <c r="H7" i="59"/>
  <c r="F6" i="59"/>
  <c r="G6" i="59"/>
  <c r="G13" i="59"/>
  <c r="G14" i="59"/>
  <c r="E14" i="59"/>
  <c r="Y13" i="51"/>
  <c r="P25" i="50"/>
  <c r="O25" i="50"/>
  <c r="N25" i="50"/>
  <c r="M25" i="50"/>
  <c r="L25" i="50"/>
  <c r="K25" i="50"/>
  <c r="J25" i="50"/>
  <c r="I25" i="50"/>
  <c r="H25" i="50"/>
  <c r="G25" i="50"/>
  <c r="F25" i="50"/>
  <c r="E25" i="50"/>
  <c r="R56" i="31"/>
  <c r="M56" i="31"/>
  <c r="BM276" i="7"/>
  <c r="BM278" i="7"/>
  <c r="BM277" i="7"/>
  <c r="BK278" i="7"/>
  <c r="BJ278" i="7"/>
  <c r="BI278" i="7"/>
  <c r="BK277" i="7"/>
  <c r="BJ277" i="7"/>
  <c r="BI277" i="7"/>
  <c r="BI276" i="7"/>
  <c r="B4" i="56"/>
  <c r="C3" i="56"/>
  <c r="C14" i="56"/>
  <c r="C13" i="56"/>
  <c r="C12" i="56"/>
  <c r="C11" i="56"/>
  <c r="C10" i="56"/>
  <c r="C9" i="56"/>
  <c r="B16" i="56"/>
  <c r="H12" i="56"/>
  <c r="H11" i="56"/>
  <c r="U9" i="62"/>
  <c r="V9" i="62"/>
  <c r="C86" i="62"/>
  <c r="U11" i="62"/>
  <c r="V11" i="62"/>
  <c r="U15" i="62"/>
  <c r="V15" i="62"/>
  <c r="U7" i="62"/>
  <c r="V7" i="62"/>
  <c r="U18" i="62"/>
  <c r="V18" i="62"/>
  <c r="U21" i="62"/>
  <c r="V21" i="62"/>
  <c r="U13" i="62"/>
  <c r="V13" i="62"/>
  <c r="Q51" i="62"/>
  <c r="Q52" i="62"/>
  <c r="Q53" i="62"/>
  <c r="Q106" i="62"/>
  <c r="Q105" i="62"/>
  <c r="Q103" i="62"/>
  <c r="Q104" i="62"/>
  <c r="Q107" i="62"/>
  <c r="Q108" i="62"/>
  <c r="U6" i="62"/>
  <c r="V6" i="62"/>
  <c r="Q109" i="62"/>
  <c r="U20" i="62"/>
  <c r="V20" i="62"/>
  <c r="U12" i="62"/>
  <c r="V12" i="62"/>
  <c r="U8" i="62"/>
  <c r="V8" i="62"/>
  <c r="U19" i="62"/>
  <c r="V19" i="62"/>
  <c r="U16" i="62"/>
  <c r="V16" i="62"/>
  <c r="U22" i="62"/>
  <c r="V22" i="62"/>
  <c r="U14" i="62"/>
  <c r="V14" i="62"/>
  <c r="F13" i="59"/>
  <c r="F14" i="59"/>
  <c r="H6" i="59"/>
  <c r="E88" i="62"/>
  <c r="E87" i="62"/>
  <c r="R108" i="62"/>
  <c r="R106" i="62"/>
  <c r="R109" i="62"/>
  <c r="R107" i="62"/>
  <c r="R104" i="62"/>
  <c r="R103" i="62"/>
  <c r="R105" i="62"/>
  <c r="I3" i="62"/>
  <c r="J6" i="62"/>
  <c r="L6" i="62"/>
  <c r="I13" i="59"/>
  <c r="I14" i="59"/>
  <c r="H13" i="59"/>
  <c r="H14" i="59"/>
  <c r="Z24" i="51"/>
  <c r="Y24" i="51"/>
  <c r="Z23" i="51"/>
  <c r="Y23" i="51"/>
  <c r="Z22" i="51"/>
  <c r="Y22" i="51"/>
  <c r="Z21" i="51"/>
  <c r="Y21" i="51"/>
  <c r="Z20" i="51"/>
  <c r="Y20" i="51"/>
  <c r="Z19" i="51"/>
  <c r="Y19" i="51"/>
  <c r="Z18" i="51"/>
  <c r="Y18" i="51"/>
  <c r="Z17" i="51"/>
  <c r="Y17" i="51"/>
  <c r="Z16" i="51"/>
  <c r="Y16" i="51"/>
  <c r="Z15" i="51"/>
  <c r="Y15" i="51"/>
  <c r="Z14" i="51"/>
  <c r="Y14" i="51"/>
  <c r="Z13" i="51"/>
  <c r="U13" i="51"/>
  <c r="V13" i="51"/>
  <c r="N35" i="51"/>
  <c r="N34" i="51"/>
  <c r="N33" i="51"/>
  <c r="N32" i="51"/>
  <c r="N31" i="51"/>
  <c r="N30" i="51"/>
  <c r="N29" i="51"/>
  <c r="N28" i="51"/>
  <c r="N27" i="51"/>
  <c r="N26" i="51"/>
  <c r="N25" i="51"/>
  <c r="N24" i="51"/>
  <c r="M25" i="51"/>
  <c r="M26" i="51"/>
  <c r="M27" i="51"/>
  <c r="M28" i="51"/>
  <c r="M29" i="51"/>
  <c r="M30" i="51"/>
  <c r="M31" i="51"/>
  <c r="M32" i="51"/>
  <c r="M33" i="51"/>
  <c r="M34" i="51"/>
  <c r="M35" i="51"/>
  <c r="M24" i="51"/>
  <c r="E15" i="50"/>
  <c r="F15" i="50"/>
  <c r="G15" i="50"/>
  <c r="H15" i="50"/>
  <c r="I15" i="50"/>
  <c r="J15" i="50"/>
  <c r="K15" i="50"/>
  <c r="L15" i="50"/>
  <c r="M15" i="50"/>
  <c r="N15" i="50"/>
  <c r="O15" i="50"/>
  <c r="P15" i="50"/>
  <c r="E16" i="50"/>
  <c r="F16" i="50"/>
  <c r="G16" i="50"/>
  <c r="H16" i="50"/>
  <c r="I16" i="50"/>
  <c r="J16" i="50"/>
  <c r="K16" i="50"/>
  <c r="L16" i="50"/>
  <c r="M16" i="50"/>
  <c r="N16" i="50"/>
  <c r="O16" i="50"/>
  <c r="P16" i="50"/>
  <c r="E17" i="50"/>
  <c r="F17" i="50"/>
  <c r="G17" i="50"/>
  <c r="H17" i="50"/>
  <c r="I17" i="50"/>
  <c r="J17" i="50"/>
  <c r="K17" i="50"/>
  <c r="L17" i="50"/>
  <c r="M17" i="50"/>
  <c r="N17" i="50"/>
  <c r="O17" i="50"/>
  <c r="P17" i="50"/>
  <c r="E18" i="50"/>
  <c r="F18" i="50"/>
  <c r="G18" i="50"/>
  <c r="H18" i="50"/>
  <c r="I18" i="50"/>
  <c r="J18" i="50"/>
  <c r="K18" i="50"/>
  <c r="L18" i="50"/>
  <c r="M18" i="50"/>
  <c r="N18" i="50"/>
  <c r="O18" i="50"/>
  <c r="P18" i="50"/>
  <c r="E19" i="50"/>
  <c r="F19" i="50"/>
  <c r="G19" i="50"/>
  <c r="H19" i="50"/>
  <c r="I19" i="50"/>
  <c r="J19" i="50"/>
  <c r="K19" i="50"/>
  <c r="L19" i="50"/>
  <c r="M19" i="50"/>
  <c r="N19" i="50"/>
  <c r="O19" i="50"/>
  <c r="P19" i="50"/>
  <c r="E20" i="50"/>
  <c r="F20" i="50"/>
  <c r="G20" i="50"/>
  <c r="H20" i="50"/>
  <c r="I20" i="50"/>
  <c r="J20" i="50"/>
  <c r="K20" i="50"/>
  <c r="L20" i="50"/>
  <c r="M20" i="50"/>
  <c r="N20" i="50"/>
  <c r="O20" i="50"/>
  <c r="P20" i="50"/>
  <c r="E21" i="50"/>
  <c r="F21" i="50"/>
  <c r="G21" i="50"/>
  <c r="H21" i="50"/>
  <c r="I21" i="50"/>
  <c r="J21" i="50"/>
  <c r="K21" i="50"/>
  <c r="L21" i="50"/>
  <c r="M21" i="50"/>
  <c r="N21" i="50"/>
  <c r="O21" i="50"/>
  <c r="P21" i="50"/>
  <c r="E22" i="50"/>
  <c r="F22" i="50"/>
  <c r="G22" i="50"/>
  <c r="H22" i="50"/>
  <c r="I22" i="50"/>
  <c r="J22" i="50"/>
  <c r="K22" i="50"/>
  <c r="L22" i="50"/>
  <c r="M22" i="50"/>
  <c r="N22" i="50"/>
  <c r="O22" i="50"/>
  <c r="P22" i="50"/>
  <c r="E23" i="50"/>
  <c r="F23" i="50"/>
  <c r="G23" i="50"/>
  <c r="H23" i="50"/>
  <c r="I23" i="50"/>
  <c r="J23" i="50"/>
  <c r="K23" i="50"/>
  <c r="L23" i="50"/>
  <c r="M23" i="50"/>
  <c r="N23" i="50"/>
  <c r="O23" i="50"/>
  <c r="P23" i="50"/>
  <c r="P259" i="31"/>
  <c r="P261" i="31"/>
  <c r="AD45" i="47"/>
  <c r="AF50" i="47"/>
  <c r="AE50" i="47"/>
  <c r="O27" i="47"/>
  <c r="O24" i="47"/>
  <c r="N28" i="47"/>
  <c r="T30" i="47"/>
  <c r="O26" i="47"/>
  <c r="T29" i="47"/>
  <c r="O25" i="47"/>
  <c r="R28" i="47"/>
  <c r="T27" i="47"/>
  <c r="O23" i="47"/>
  <c r="AE46" i="47"/>
  <c r="AF45" i="47"/>
  <c r="AE45" i="47"/>
  <c r="AA53" i="47"/>
  <c r="AF44" i="47"/>
  <c r="Z53" i="47"/>
  <c r="AE44" i="47"/>
  <c r="Y53" i="47"/>
  <c r="AD44" i="47"/>
  <c r="AA43" i="47"/>
  <c r="AA51" i="47"/>
  <c r="AF43" i="47"/>
  <c r="Z43" i="47"/>
  <c r="Z51" i="47"/>
  <c r="AE43" i="47"/>
  <c r="Y43" i="47"/>
  <c r="Y51" i="47"/>
  <c r="AD43" i="47"/>
  <c r="CZ16" i="26"/>
  <c r="CZ17" i="26"/>
  <c r="O217" i="31"/>
  <c r="BH272" i="7"/>
  <c r="BH273" i="7"/>
  <c r="BI272" i="7"/>
  <c r="BI273" i="7"/>
  <c r="BJ272" i="7"/>
  <c r="BJ273" i="7"/>
  <c r="BK272" i="7"/>
  <c r="BK273" i="7"/>
  <c r="BH276" i="7"/>
  <c r="BL276" i="7"/>
  <c r="BK276" i="7"/>
  <c r="BJ276" i="7"/>
  <c r="Q142" i="31"/>
  <c r="Q143" i="31"/>
  <c r="N144" i="31"/>
  <c r="Q144" i="31"/>
  <c r="N145" i="31"/>
  <c r="I275" i="43"/>
  <c r="BM272" i="43"/>
  <c r="BK272" i="43"/>
  <c r="BJ272" i="43"/>
  <c r="BI272" i="43"/>
  <c r="BH272" i="43"/>
  <c r="BG272" i="43"/>
  <c r="BF272" i="43"/>
  <c r="BE272" i="43"/>
  <c r="BD272" i="43"/>
  <c r="BC272" i="43"/>
  <c r="I275" i="17"/>
  <c r="BM272" i="41"/>
  <c r="I275" i="41"/>
  <c r="I276" i="41"/>
  <c r="I277" i="41"/>
  <c r="I278" i="41"/>
  <c r="I279" i="41"/>
  <c r="I280" i="41"/>
  <c r="I281" i="41"/>
  <c r="I282" i="41"/>
  <c r="I283" i="41"/>
  <c r="I284" i="41"/>
  <c r="I285" i="41"/>
  <c r="I286" i="41"/>
  <c r="I287" i="41"/>
  <c r="I288" i="41"/>
  <c r="I289" i="41"/>
  <c r="I290" i="41"/>
  <c r="I291" i="41"/>
  <c r="I292" i="41"/>
  <c r="I293" i="41"/>
  <c r="I294" i="41"/>
  <c r="I295" i="41"/>
  <c r="BL272" i="41"/>
  <c r="BK272" i="41"/>
  <c r="BJ272" i="41"/>
  <c r="BI272" i="41"/>
  <c r="BH272" i="41"/>
  <c r="BG272" i="41"/>
  <c r="BF272" i="41"/>
  <c r="BE272" i="41"/>
  <c r="BD272" i="41"/>
  <c r="BC272" i="41"/>
  <c r="BM272" i="17"/>
  <c r="I276" i="17"/>
  <c r="I277" i="17"/>
  <c r="I278" i="17"/>
  <c r="I279" i="17"/>
  <c r="I280" i="17"/>
  <c r="I281" i="17"/>
  <c r="I282" i="17"/>
  <c r="I283" i="17"/>
  <c r="I284" i="17"/>
  <c r="I285" i="17"/>
  <c r="I286" i="17"/>
  <c r="I287" i="17"/>
  <c r="I288" i="17"/>
  <c r="I289" i="17"/>
  <c r="I290" i="17"/>
  <c r="I291" i="17"/>
  <c r="I292" i="17"/>
  <c r="I293" i="17"/>
  <c r="I294" i="17"/>
  <c r="I295" i="17"/>
  <c r="BL272" i="17"/>
  <c r="BK272" i="17"/>
  <c r="BJ272" i="17"/>
  <c r="BI272" i="17"/>
  <c r="BH272" i="17"/>
  <c r="BG272" i="17"/>
  <c r="BF272" i="17"/>
  <c r="BE272" i="17"/>
  <c r="BD272" i="17"/>
  <c r="BC272" i="17"/>
  <c r="E89" i="62"/>
  <c r="G91" i="62"/>
  <c r="S111" i="62"/>
  <c r="E102" i="62"/>
  <c r="E103" i="62"/>
  <c r="J7" i="62"/>
  <c r="L7" i="62"/>
  <c r="N143" i="31"/>
  <c r="G228" i="62"/>
  <c r="M143" i="31"/>
  <c r="M57" i="31"/>
  <c r="AM83" i="31"/>
  <c r="CY8" i="26"/>
  <c r="U23" i="51"/>
  <c r="V17" i="51"/>
  <c r="V23" i="51"/>
  <c r="U17" i="51"/>
  <c r="V20" i="51"/>
  <c r="V16" i="51"/>
  <c r="U24" i="51"/>
  <c r="W17" i="51"/>
  <c r="U20" i="51"/>
  <c r="U16" i="51"/>
  <c r="V19" i="51"/>
  <c r="V15" i="51"/>
  <c r="U19" i="51"/>
  <c r="U15" i="51"/>
  <c r="V22" i="51"/>
  <c r="V18" i="51"/>
  <c r="V14" i="51"/>
  <c r="V24" i="51"/>
  <c r="U22" i="51"/>
  <c r="U18" i="51"/>
  <c r="U14" i="51"/>
  <c r="V21" i="51"/>
  <c r="U21" i="51"/>
  <c r="O28" i="47"/>
  <c r="CY16" i="26"/>
  <c r="I275" i="7"/>
  <c r="I276" i="7"/>
  <c r="I277" i="7"/>
  <c r="I278" i="7"/>
  <c r="I279" i="7"/>
  <c r="I280" i="7"/>
  <c r="I281" i="7"/>
  <c r="I282" i="7"/>
  <c r="I283" i="7"/>
  <c r="I284" i="7"/>
  <c r="I285" i="7"/>
  <c r="I286" i="7"/>
  <c r="I287" i="7"/>
  <c r="I288" i="7"/>
  <c r="I289" i="7"/>
  <c r="I290" i="7"/>
  <c r="I291" i="7"/>
  <c r="I292" i="7"/>
  <c r="I293" i="7"/>
  <c r="I294" i="7"/>
  <c r="I295" i="7"/>
  <c r="I276" i="43"/>
  <c r="I277" i="43"/>
  <c r="I278" i="43"/>
  <c r="I279" i="43"/>
  <c r="I280" i="43"/>
  <c r="I281" i="43"/>
  <c r="I282" i="43"/>
  <c r="I283" i="43"/>
  <c r="I284" i="43"/>
  <c r="I285" i="43"/>
  <c r="I286" i="43"/>
  <c r="I287" i="43"/>
  <c r="I288" i="43"/>
  <c r="I289" i="43"/>
  <c r="I290" i="43"/>
  <c r="I291" i="43"/>
  <c r="I292" i="43"/>
  <c r="I293" i="43"/>
  <c r="I294" i="43"/>
  <c r="I295" i="43"/>
  <c r="I276" i="12"/>
  <c r="I277" i="12"/>
  <c r="I278" i="12"/>
  <c r="I279" i="12"/>
  <c r="I280" i="12"/>
  <c r="I281" i="12"/>
  <c r="I282" i="12"/>
  <c r="I283" i="12"/>
  <c r="I284" i="12"/>
  <c r="I285" i="12"/>
  <c r="I286" i="12"/>
  <c r="I287" i="12"/>
  <c r="I288" i="12"/>
  <c r="I289" i="12"/>
  <c r="I290" i="12"/>
  <c r="I291" i="12"/>
  <c r="I292" i="12"/>
  <c r="I293" i="12"/>
  <c r="I294" i="12"/>
  <c r="I295" i="12"/>
  <c r="I276" i="11"/>
  <c r="I277" i="11"/>
  <c r="I278" i="11"/>
  <c r="I279" i="11"/>
  <c r="I280" i="11"/>
  <c r="I281" i="11"/>
  <c r="I282" i="11"/>
  <c r="I283" i="11"/>
  <c r="I284" i="11"/>
  <c r="I285" i="11"/>
  <c r="I286" i="11"/>
  <c r="I287" i="11"/>
  <c r="I288" i="11"/>
  <c r="I289" i="11"/>
  <c r="I290" i="11"/>
  <c r="I291" i="11"/>
  <c r="I292" i="11"/>
  <c r="I293" i="11"/>
  <c r="I294" i="11"/>
  <c r="I295" i="11"/>
  <c r="I276" i="20"/>
  <c r="I277" i="20"/>
  <c r="I278" i="20"/>
  <c r="I279" i="20"/>
  <c r="I280" i="20"/>
  <c r="I281" i="20"/>
  <c r="I282" i="20"/>
  <c r="I283" i="20"/>
  <c r="I284" i="20"/>
  <c r="I285" i="20"/>
  <c r="I286" i="20"/>
  <c r="I287" i="20"/>
  <c r="I288" i="20"/>
  <c r="I289" i="20"/>
  <c r="I290" i="20"/>
  <c r="I291" i="20"/>
  <c r="I292" i="20"/>
  <c r="I293" i="20"/>
  <c r="I294" i="20"/>
  <c r="I295" i="20"/>
  <c r="I276" i="15"/>
  <c r="I277" i="15"/>
  <c r="I278" i="15"/>
  <c r="I279" i="15"/>
  <c r="I280" i="15"/>
  <c r="I281" i="15"/>
  <c r="I282" i="15"/>
  <c r="I283" i="15"/>
  <c r="I284" i="15"/>
  <c r="I285" i="15"/>
  <c r="I286" i="15"/>
  <c r="I287" i="15"/>
  <c r="I288" i="15"/>
  <c r="I289" i="15"/>
  <c r="I290" i="15"/>
  <c r="I291" i="15"/>
  <c r="I292" i="15"/>
  <c r="I293" i="15"/>
  <c r="I294" i="15"/>
  <c r="I295" i="15"/>
  <c r="BL272" i="20"/>
  <c r="BK272" i="20"/>
  <c r="BJ272" i="20"/>
  <c r="BI272" i="20"/>
  <c r="BH272" i="20"/>
  <c r="BG272" i="20"/>
  <c r="BF272" i="20"/>
  <c r="BE272" i="20"/>
  <c r="BD272" i="20"/>
  <c r="BC272" i="20"/>
  <c r="BL272" i="12"/>
  <c r="BK272" i="12"/>
  <c r="BJ272" i="12"/>
  <c r="BI272" i="12"/>
  <c r="BH272" i="12"/>
  <c r="BG272" i="12"/>
  <c r="BF272" i="12"/>
  <c r="BE272" i="12"/>
  <c r="BD272" i="12"/>
  <c r="BC272" i="12"/>
  <c r="BL272" i="11"/>
  <c r="BK272" i="11"/>
  <c r="BJ272" i="11"/>
  <c r="BI272" i="11"/>
  <c r="BH272" i="11"/>
  <c r="BG272" i="11"/>
  <c r="BF272" i="11"/>
  <c r="BE272" i="11"/>
  <c r="BD272" i="11"/>
  <c r="BC272" i="11"/>
  <c r="BM272" i="13"/>
  <c r="I275" i="13"/>
  <c r="I276" i="13"/>
  <c r="I277" i="13"/>
  <c r="I278" i="13"/>
  <c r="I279" i="13"/>
  <c r="I280" i="13"/>
  <c r="I281" i="13"/>
  <c r="I282" i="13"/>
  <c r="I283" i="13"/>
  <c r="I284" i="13"/>
  <c r="I285" i="13"/>
  <c r="I286" i="13"/>
  <c r="I287" i="13"/>
  <c r="I288" i="13"/>
  <c r="I289" i="13"/>
  <c r="I290" i="13"/>
  <c r="I291" i="13"/>
  <c r="I292" i="13"/>
  <c r="I293" i="13"/>
  <c r="I294" i="13"/>
  <c r="I295" i="13"/>
  <c r="BL272" i="13"/>
  <c r="BK272" i="13"/>
  <c r="BJ272" i="13"/>
  <c r="BI272" i="13"/>
  <c r="BH272" i="13"/>
  <c r="BG272" i="13"/>
  <c r="BF272" i="13"/>
  <c r="BE272" i="13"/>
  <c r="BD272" i="13"/>
  <c r="BC272" i="13"/>
  <c r="BL272" i="15"/>
  <c r="BK272" i="15"/>
  <c r="BJ272" i="15"/>
  <c r="BI272" i="15"/>
  <c r="BH272" i="15"/>
  <c r="BG272" i="15"/>
  <c r="BF272" i="15"/>
  <c r="BE272" i="15"/>
  <c r="BD272" i="15"/>
  <c r="BC272" i="15"/>
  <c r="BL272" i="14"/>
  <c r="I275" i="14"/>
  <c r="I276" i="14"/>
  <c r="I277" i="14"/>
  <c r="I278" i="14"/>
  <c r="I279" i="14"/>
  <c r="I280" i="14"/>
  <c r="I281" i="14"/>
  <c r="I282" i="14"/>
  <c r="I283" i="14"/>
  <c r="I284" i="14"/>
  <c r="I285" i="14"/>
  <c r="I286" i="14"/>
  <c r="I287" i="14"/>
  <c r="I288" i="14"/>
  <c r="I289" i="14"/>
  <c r="I290" i="14"/>
  <c r="I291" i="14"/>
  <c r="I292" i="14"/>
  <c r="I293" i="14"/>
  <c r="I294" i="14"/>
  <c r="I295" i="14"/>
  <c r="BK272" i="14"/>
  <c r="BJ272" i="14"/>
  <c r="BI272" i="14"/>
  <c r="BH272" i="14"/>
  <c r="BG272" i="14"/>
  <c r="BF272" i="14"/>
  <c r="BE272" i="14"/>
  <c r="BD272" i="14"/>
  <c r="BC272" i="14"/>
  <c r="I275" i="16"/>
  <c r="I276" i="16"/>
  <c r="I277" i="16"/>
  <c r="I278" i="16"/>
  <c r="I279" i="16"/>
  <c r="I280" i="16"/>
  <c r="I281" i="16"/>
  <c r="I282" i="16"/>
  <c r="I283" i="16"/>
  <c r="I284" i="16"/>
  <c r="I285" i="16"/>
  <c r="I286" i="16"/>
  <c r="I287" i="16"/>
  <c r="I288" i="16"/>
  <c r="I289" i="16"/>
  <c r="I290" i="16"/>
  <c r="I291" i="16"/>
  <c r="I292" i="16"/>
  <c r="I293" i="16"/>
  <c r="I294" i="16"/>
  <c r="I295" i="16"/>
  <c r="BL272" i="16"/>
  <c r="BK272" i="16"/>
  <c r="BJ272" i="16"/>
  <c r="BI272" i="16"/>
  <c r="BH272" i="16"/>
  <c r="BG272" i="16"/>
  <c r="BF272" i="16"/>
  <c r="BE272" i="16"/>
  <c r="BD272" i="16"/>
  <c r="BC272" i="16"/>
  <c r="BM272" i="9"/>
  <c r="BL272" i="9"/>
  <c r="BK272" i="9"/>
  <c r="BJ272" i="9"/>
  <c r="BI272" i="9"/>
  <c r="BH272" i="9"/>
  <c r="BG272" i="9"/>
  <c r="BF272" i="9"/>
  <c r="BE272" i="9"/>
  <c r="BD272" i="9"/>
  <c r="BC272" i="9"/>
  <c r="I275" i="9"/>
  <c r="I276" i="9"/>
  <c r="I277" i="9"/>
  <c r="I278" i="9"/>
  <c r="I279" i="9"/>
  <c r="I280" i="9"/>
  <c r="I281" i="9"/>
  <c r="I282" i="9"/>
  <c r="I283" i="9"/>
  <c r="I284" i="9"/>
  <c r="I285" i="9"/>
  <c r="I286" i="9"/>
  <c r="I287" i="9"/>
  <c r="I288" i="9"/>
  <c r="I289" i="9"/>
  <c r="I290" i="9"/>
  <c r="I291" i="9"/>
  <c r="I292" i="9"/>
  <c r="I293" i="9"/>
  <c r="I294" i="9"/>
  <c r="I295" i="9"/>
  <c r="L5" i="25"/>
  <c r="G90" i="62"/>
  <c r="J8" i="62"/>
  <c r="J9" i="62"/>
  <c r="W24" i="51"/>
  <c r="W21" i="51"/>
  <c r="X22" i="51"/>
  <c r="W20" i="51"/>
  <c r="X21" i="51"/>
  <c r="W15" i="51"/>
  <c r="X23" i="51"/>
  <c r="W13" i="51"/>
  <c r="W14" i="51"/>
  <c r="W19" i="51"/>
  <c r="X13" i="51"/>
  <c r="W18" i="51"/>
  <c r="X15" i="51"/>
  <c r="X16" i="51"/>
  <c r="X17" i="51"/>
  <c r="W16" i="51"/>
  <c r="X18" i="51"/>
  <c r="W22" i="51"/>
  <c r="X19" i="51"/>
  <c r="X14" i="51"/>
  <c r="X24" i="51"/>
  <c r="X20" i="51"/>
  <c r="W23" i="51"/>
  <c r="G92" i="62"/>
  <c r="B94" i="62"/>
  <c r="B98" i="62"/>
  <c r="L8" i="62"/>
  <c r="L19" i="25"/>
  <c r="J10" i="62"/>
  <c r="L9" i="62"/>
  <c r="L2" i="25"/>
  <c r="C98" i="62"/>
  <c r="D98" i="62"/>
  <c r="L10" i="62"/>
  <c r="L3" i="25"/>
  <c r="J11" i="62"/>
  <c r="E108" i="62"/>
  <c r="J12" i="62"/>
  <c r="L11" i="62"/>
  <c r="J13" i="62"/>
  <c r="L12" i="62"/>
  <c r="J14" i="62"/>
  <c r="L13" i="62"/>
  <c r="J15" i="62"/>
  <c r="L14" i="62"/>
  <c r="J16" i="62"/>
  <c r="L15" i="62"/>
  <c r="J17" i="62"/>
  <c r="L17" i="62"/>
  <c r="L6" i="25"/>
  <c r="L16" i="62"/>
  <c r="K176" i="31"/>
  <c r="E107" i="62"/>
  <c r="E109" i="62"/>
  <c r="E110" i="62"/>
  <c r="K10" i="25"/>
  <c r="J10" i="25"/>
  <c r="R86" i="57"/>
  <c r="R87" i="57"/>
  <c r="L10" i="25"/>
  <c r="S86" i="57"/>
  <c r="S87" i="57"/>
  <c r="R88" i="57"/>
  <c r="R91" i="57"/>
  <c r="S88" i="57"/>
  <c r="S91" i="57"/>
  <c r="C6" i="68"/>
  <c r="D6" i="68"/>
  <c r="B6" i="68"/>
  <c r="L178" i="87" l="1"/>
  <c r="L194" i="86"/>
  <c r="Q193" i="86"/>
  <c r="AI10" i="26"/>
  <c r="AI3" i="26" s="1"/>
  <c r="K143" i="86"/>
  <c r="D18" i="75"/>
  <c r="K195" i="86"/>
  <c r="CB10" i="26"/>
  <c r="CB3" i="26" s="1"/>
  <c r="K120" i="87"/>
  <c r="S52" i="57"/>
  <c r="S58" i="57" s="1"/>
  <c r="K181" i="87"/>
  <c r="O119" i="83"/>
  <c r="L105" i="86" s="1"/>
  <c r="O124" i="83"/>
  <c r="O49" i="83"/>
  <c r="O35" i="83"/>
  <c r="K82" i="96"/>
  <c r="O81" i="83"/>
  <c r="O53" i="83"/>
  <c r="K136" i="96"/>
  <c r="K184" i="87"/>
  <c r="O203" i="83"/>
  <c r="O132" i="83"/>
  <c r="O85" i="83"/>
  <c r="O28" i="83"/>
  <c r="C12" i="68"/>
  <c r="D12" i="68" s="1"/>
  <c r="K132" i="86"/>
  <c r="K84" i="96"/>
  <c r="O6" i="83"/>
  <c r="L6" i="86" s="1"/>
  <c r="O84" i="83"/>
  <c r="O10" i="83"/>
  <c r="O111" i="83"/>
  <c r="L97" i="86" s="1"/>
  <c r="O187" i="83"/>
  <c r="L166" i="86" s="1"/>
  <c r="O174" i="83"/>
  <c r="O170" i="83"/>
  <c r="L150" i="86" s="1"/>
  <c r="O120" i="83"/>
  <c r="O52" i="83"/>
  <c r="G3" i="68"/>
  <c r="O114" i="83"/>
  <c r="O110" i="83"/>
  <c r="L96" i="86" s="1"/>
  <c r="O83" i="83"/>
  <c r="CX3" i="26"/>
  <c r="CX11" i="26"/>
  <c r="CX12" i="26" s="1"/>
  <c r="E8" i="68"/>
  <c r="C8" i="68"/>
  <c r="D8" i="68" s="1"/>
  <c r="L11" i="86"/>
  <c r="O12" i="83"/>
  <c r="S28" i="57"/>
  <c r="S53" i="57"/>
  <c r="S59" i="57" s="1"/>
  <c r="G6" i="68"/>
  <c r="E6" i="68" s="1"/>
  <c r="K87" i="96"/>
  <c r="K115" i="87"/>
  <c r="B12" i="68"/>
  <c r="G2" i="68"/>
  <c r="G11" i="68" s="1"/>
  <c r="E11" i="68" s="1"/>
  <c r="G12" i="68"/>
  <c r="T18" i="26"/>
  <c r="T4" i="26" s="1"/>
  <c r="K129" i="86"/>
  <c r="K113" i="87"/>
  <c r="K121" i="87"/>
  <c r="O67" i="83"/>
  <c r="O9" i="83"/>
  <c r="L9" i="86" s="1"/>
  <c r="E3" i="68"/>
  <c r="O34" i="83"/>
  <c r="O30" i="83"/>
  <c r="O27" i="83"/>
  <c r="K147" i="86"/>
  <c r="C16" i="78"/>
  <c r="O69" i="83"/>
  <c r="O59" i="83"/>
  <c r="O56" i="83"/>
  <c r="O51" i="83"/>
  <c r="C15" i="78"/>
  <c r="D16" i="78" s="1"/>
  <c r="B15" i="78" s="1"/>
  <c r="C22" i="78"/>
  <c r="C21" i="78"/>
  <c r="O44" i="83"/>
  <c r="O23" i="83"/>
  <c r="CU4" i="26"/>
  <c r="CQ18" i="26"/>
  <c r="CQ4" i="26" s="1"/>
  <c r="BQ3" i="26"/>
  <c r="BM10" i="26"/>
  <c r="BM3" i="26" s="1"/>
  <c r="BB3" i="26"/>
  <c r="AX10" i="26"/>
  <c r="AX3" i="26" s="1"/>
  <c r="N3" i="26"/>
  <c r="J10" i="26"/>
  <c r="J3" i="26" s="1"/>
  <c r="AI18" i="26"/>
  <c r="AI4" i="26" s="1"/>
  <c r="AM4" i="26"/>
  <c r="CQ10" i="26"/>
  <c r="CQ3" i="26" s="1"/>
  <c r="CU3" i="26"/>
  <c r="BW18" i="26"/>
  <c r="BW4" i="26" s="1"/>
  <c r="CA4" i="26"/>
  <c r="BB4" i="26"/>
  <c r="AX18" i="26"/>
  <c r="AX4" i="26" s="1"/>
  <c r="O10" i="26"/>
  <c r="O3" i="26" s="1"/>
  <c r="S3" i="26"/>
  <c r="BC10" i="26"/>
  <c r="BC3" i="26" s="1"/>
  <c r="BG3" i="26"/>
  <c r="CA3" i="26"/>
  <c r="BW10" i="26"/>
  <c r="BW3" i="26" s="1"/>
  <c r="CC10" i="26"/>
  <c r="CC3" i="26" s="1"/>
  <c r="BV3" i="26"/>
  <c r="BR10" i="26"/>
  <c r="BR3" i="26" s="1"/>
  <c r="G7" i="68"/>
  <c r="E7" i="68" s="1"/>
  <c r="AD18" i="26"/>
  <c r="AD4" i="26" s="1"/>
  <c r="Y18" i="26"/>
  <c r="Y4" i="26" s="1"/>
  <c r="AC4" i="26"/>
  <c r="AN18" i="26"/>
  <c r="AN4" i="26" s="1"/>
  <c r="AR4" i="26"/>
  <c r="X3" i="26"/>
  <c r="T10" i="26"/>
  <c r="T3" i="26" s="1"/>
  <c r="BL3" i="26"/>
  <c r="BH10" i="26"/>
  <c r="BH3" i="26" s="1"/>
  <c r="AS18" i="26"/>
  <c r="AS4" i="26" s="1"/>
  <c r="AW4" i="26"/>
  <c r="C10" i="26"/>
  <c r="I3" i="26"/>
  <c r="E10" i="26"/>
  <c r="E3" i="26" s="1"/>
  <c r="AN10" i="26"/>
  <c r="AN3" i="26" s="1"/>
  <c r="AR3" i="26"/>
  <c r="AH3" i="26"/>
  <c r="AD10" i="26"/>
  <c r="AD3" i="26" s="1"/>
  <c r="BG4" i="26"/>
  <c r="BC18" i="26"/>
  <c r="BC4" i="26" s="1"/>
  <c r="B3" i="26"/>
  <c r="B11" i="26"/>
  <c r="BM18" i="26"/>
  <c r="BM4" i="26" s="1"/>
  <c r="BQ4" i="26"/>
  <c r="CV18" i="26"/>
  <c r="CV4" i="26" s="1"/>
  <c r="CL18" i="26"/>
  <c r="CL4" i="26" s="1"/>
  <c r="CP4" i="26"/>
  <c r="CK4" i="26"/>
  <c r="CG18" i="26"/>
  <c r="CG4" i="26" s="1"/>
  <c r="O18" i="26"/>
  <c r="O4" i="26" s="1"/>
  <c r="S4" i="26"/>
  <c r="I4" i="26"/>
  <c r="C18" i="26"/>
  <c r="E18" i="26"/>
  <c r="E4" i="26" s="1"/>
  <c r="J18" i="26"/>
  <c r="J4" i="26" s="1"/>
  <c r="CL10" i="26"/>
  <c r="CF3" i="26"/>
  <c r="BR18" i="26"/>
  <c r="BR4" i="26" s="1"/>
  <c r="Y10" i="26"/>
  <c r="Y3" i="26" s="1"/>
  <c r="AM3" i="26"/>
  <c r="BL4" i="26"/>
  <c r="BH18" i="26"/>
  <c r="BH4" i="26" s="1"/>
  <c r="O126" i="83"/>
  <c r="K145" i="86"/>
  <c r="G4" i="68"/>
  <c r="CV10" i="26"/>
  <c r="CV3" i="26" s="1"/>
  <c r="CP3" i="26"/>
  <c r="CB18" i="26"/>
  <c r="CB4" i="26" s="1"/>
  <c r="AC3" i="26"/>
  <c r="AW3" i="26"/>
  <c r="AS10" i="26"/>
  <c r="AS3" i="26" s="1"/>
  <c r="K133" i="86"/>
  <c r="K119" i="87"/>
  <c r="CG10" i="26"/>
  <c r="CG3" i="26" s="1"/>
  <c r="CX4" i="26"/>
  <c r="BV4" i="26"/>
  <c r="AJ10" i="26"/>
  <c r="AJ3" i="26" s="1"/>
  <c r="B4" i="26"/>
  <c r="CH18" i="26" l="1"/>
  <c r="CH4" i="26" s="1"/>
  <c r="BS18" i="26"/>
  <c r="BS4" i="26" s="1"/>
  <c r="O54" i="83"/>
  <c r="L49" i="86" s="1"/>
  <c r="L41" i="87"/>
  <c r="L48" i="86"/>
  <c r="D22" i="78"/>
  <c r="B21" i="78" s="1"/>
  <c r="L66" i="87"/>
  <c r="L75" i="86"/>
  <c r="L32" i="86"/>
  <c r="L16" i="96"/>
  <c r="L25" i="87"/>
  <c r="L37" i="87"/>
  <c r="L44" i="86"/>
  <c r="L28" i="96"/>
  <c r="CM18" i="26"/>
  <c r="CM4" i="26" s="1"/>
  <c r="BN10" i="26"/>
  <c r="BN3" i="26" s="1"/>
  <c r="AE18" i="26"/>
  <c r="AE4" i="26" s="1"/>
  <c r="O122" i="83"/>
  <c r="L96" i="87"/>
  <c r="L109" i="86"/>
  <c r="CR18" i="26"/>
  <c r="CR4" i="26" s="1"/>
  <c r="U18" i="26"/>
  <c r="U4" i="26" s="1"/>
  <c r="L94" i="96"/>
  <c r="L137" i="87"/>
  <c r="L153" i="86"/>
  <c r="L67" i="87"/>
  <c r="L76" i="86"/>
  <c r="L20" i="87"/>
  <c r="L27" i="86"/>
  <c r="L69" i="87"/>
  <c r="L78" i="86"/>
  <c r="O113" i="83"/>
  <c r="L100" i="86"/>
  <c r="L89" i="87"/>
  <c r="L5" i="87"/>
  <c r="L10" i="86"/>
  <c r="O133" i="83"/>
  <c r="L115" i="86"/>
  <c r="L102" i="87"/>
  <c r="O134" i="83"/>
  <c r="L70" i="96"/>
  <c r="P18" i="26"/>
  <c r="L68" i="87"/>
  <c r="L77" i="86"/>
  <c r="L169" i="86"/>
  <c r="L104" i="96"/>
  <c r="L150" i="87"/>
  <c r="F10" i="26"/>
  <c r="F3" i="26" s="1"/>
  <c r="E12" i="68"/>
  <c r="L40" i="87"/>
  <c r="L47" i="86"/>
  <c r="L31" i="96"/>
  <c r="BD18" i="26"/>
  <c r="BD4" i="26" s="1"/>
  <c r="O117" i="83"/>
  <c r="L65" i="96" s="1"/>
  <c r="L93" i="87"/>
  <c r="L66" i="96"/>
  <c r="L106" i="86"/>
  <c r="K18" i="26"/>
  <c r="K4" i="26" s="1"/>
  <c r="AE10" i="26"/>
  <c r="AE3" i="26" s="1"/>
  <c r="L46" i="86"/>
  <c r="L30" i="96"/>
  <c r="L39" i="87"/>
  <c r="L29" i="86"/>
  <c r="L22" i="87"/>
  <c r="L15" i="96"/>
  <c r="CR10" i="26"/>
  <c r="CR3" i="26" s="1"/>
  <c r="AT18" i="26"/>
  <c r="AT4" i="26" s="1"/>
  <c r="O57" i="83"/>
  <c r="L51" i="86"/>
  <c r="L24" i="87"/>
  <c r="L31" i="86"/>
  <c r="L54" i="86"/>
  <c r="L45" i="87"/>
  <c r="G5" i="68"/>
  <c r="E5" i="68" s="1"/>
  <c r="E2" i="68"/>
  <c r="L12" i="86"/>
  <c r="L6" i="87"/>
  <c r="L16" i="87"/>
  <c r="L22" i="86"/>
  <c r="L12" i="96"/>
  <c r="O70" i="83"/>
  <c r="L64" i="86"/>
  <c r="L55" i="87"/>
  <c r="L33" i="87"/>
  <c r="L24" i="96"/>
  <c r="L40" i="86"/>
  <c r="L103" i="86"/>
  <c r="O68" i="83"/>
  <c r="O71" i="83"/>
  <c r="L62" i="86"/>
  <c r="L53" i="87"/>
  <c r="CN18" i="26"/>
  <c r="CO18" i="26" s="1"/>
  <c r="CO4" i="26" s="1"/>
  <c r="BI10" i="26"/>
  <c r="BI3" i="26" s="1"/>
  <c r="AY18" i="26"/>
  <c r="CD10" i="26"/>
  <c r="CE10" i="26" s="1"/>
  <c r="CE3" i="26" s="1"/>
  <c r="L19" i="87"/>
  <c r="L26" i="86"/>
  <c r="BT18" i="26"/>
  <c r="O127" i="83"/>
  <c r="L97" i="87"/>
  <c r="L110" i="86"/>
  <c r="CM10" i="26"/>
  <c r="CL3" i="26"/>
  <c r="AY10" i="26"/>
  <c r="CC18" i="26"/>
  <c r="K138" i="103"/>
  <c r="G28" i="102" s="1"/>
  <c r="B22" i="78"/>
  <c r="B27" i="56"/>
  <c r="C4" i="26"/>
  <c r="BX10" i="26"/>
  <c r="K128" i="103"/>
  <c r="G18" i="102" s="1"/>
  <c r="B16" i="78"/>
  <c r="B23" i="56"/>
  <c r="CI18" i="26"/>
  <c r="AF18" i="26"/>
  <c r="CS18" i="26"/>
  <c r="AO18" i="26"/>
  <c r="K10" i="26"/>
  <c r="AK10" i="26"/>
  <c r="V18" i="26"/>
  <c r="AT10" i="26"/>
  <c r="U10" i="26"/>
  <c r="BS10" i="26"/>
  <c r="P10" i="26"/>
  <c r="BX18" i="26"/>
  <c r="CW10" i="26"/>
  <c r="CW3" i="26" s="1"/>
  <c r="BO10" i="26"/>
  <c r="G13" i="68"/>
  <c r="E13" i="68" s="1"/>
  <c r="E4" i="68"/>
  <c r="BI18" i="26"/>
  <c r="CN4" i="26"/>
  <c r="BE18" i="26"/>
  <c r="BD10" i="26"/>
  <c r="CH10" i="26"/>
  <c r="CF11" i="26" s="1"/>
  <c r="CF12" i="26" s="1"/>
  <c r="CW18" i="26"/>
  <c r="CW4" i="26" s="1"/>
  <c r="F18" i="26"/>
  <c r="D19" i="26" s="1"/>
  <c r="BN18" i="26"/>
  <c r="AO10" i="26"/>
  <c r="C3" i="26"/>
  <c r="Z10" i="26"/>
  <c r="Z18" i="26"/>
  <c r="AJ18" i="26"/>
  <c r="D11" i="26" l="1"/>
  <c r="D12" i="26" s="1"/>
  <c r="CD3" i="26"/>
  <c r="L92" i="87"/>
  <c r="AU18" i="26"/>
  <c r="AF10" i="26"/>
  <c r="L18" i="26"/>
  <c r="L107" i="86"/>
  <c r="O123" i="83"/>
  <c r="L94" i="87"/>
  <c r="CS10" i="26"/>
  <c r="CS3" i="26" s="1"/>
  <c r="BJ10" i="26"/>
  <c r="BK10" i="26" s="1"/>
  <c r="BK3" i="26" s="1"/>
  <c r="G10" i="26"/>
  <c r="CP19" i="26"/>
  <c r="CP20" i="26" s="1"/>
  <c r="P4" i="26"/>
  <c r="Q18" i="26"/>
  <c r="L117" i="86"/>
  <c r="L104" i="87"/>
  <c r="L88" i="87"/>
  <c r="L64" i="96"/>
  <c r="L99" i="86"/>
  <c r="L71" i="96"/>
  <c r="L116" i="86"/>
  <c r="L103" i="87"/>
  <c r="L52" i="86"/>
  <c r="L43" i="87"/>
  <c r="L33" i="96"/>
  <c r="AY4" i="26"/>
  <c r="AZ18" i="26"/>
  <c r="L42" i="96"/>
  <c r="L66" i="86"/>
  <c r="L57" i="87"/>
  <c r="L63" i="86"/>
  <c r="L54" i="87"/>
  <c r="L56" i="87"/>
  <c r="L65" i="86"/>
  <c r="D20" i="26"/>
  <c r="BE4" i="26"/>
  <c r="BF18" i="26"/>
  <c r="BF4" i="26" s="1"/>
  <c r="L4" i="26"/>
  <c r="M18" i="26"/>
  <c r="M4" i="26" s="1"/>
  <c r="AF4" i="26"/>
  <c r="AG18" i="26"/>
  <c r="AG4" i="26" s="1"/>
  <c r="AY3" i="26"/>
  <c r="AZ10" i="26"/>
  <c r="BX4" i="26"/>
  <c r="BY18" i="26"/>
  <c r="AK3" i="26"/>
  <c r="AL10" i="26"/>
  <c r="AL3" i="26" s="1"/>
  <c r="L98" i="87"/>
  <c r="L111" i="86"/>
  <c r="AO3" i="26"/>
  <c r="AP10" i="26"/>
  <c r="P3" i="26"/>
  <c r="Q10" i="26"/>
  <c r="K3" i="26"/>
  <c r="L10" i="26"/>
  <c r="AF3" i="26"/>
  <c r="AG10" i="26"/>
  <c r="AG3" i="26" s="1"/>
  <c r="BT4" i="26"/>
  <c r="BU18" i="26"/>
  <c r="BU4" i="26" s="1"/>
  <c r="BN4" i="26"/>
  <c r="BO18" i="26"/>
  <c r="BI4" i="26"/>
  <c r="BJ18" i="26"/>
  <c r="BS3" i="26"/>
  <c r="BT10" i="26"/>
  <c r="CI4" i="26"/>
  <c r="CJ18" i="26"/>
  <c r="CJ4" i="26" s="1"/>
  <c r="B24" i="78"/>
  <c r="K139" i="103"/>
  <c r="G29" i="102" s="1"/>
  <c r="B23" i="78"/>
  <c r="B28" i="56"/>
  <c r="AJ4" i="26"/>
  <c r="AK18" i="26"/>
  <c r="F4" i="26"/>
  <c r="G18" i="26"/>
  <c r="U3" i="26"/>
  <c r="V10" i="26"/>
  <c r="AO4" i="26"/>
  <c r="AP18" i="26"/>
  <c r="Z4" i="26"/>
  <c r="AA18" i="26"/>
  <c r="AU4" i="26"/>
  <c r="AV18" i="26"/>
  <c r="AV4" i="26" s="1"/>
  <c r="CS4" i="26"/>
  <c r="CT18" i="26"/>
  <c r="CT4" i="26" s="1"/>
  <c r="B17" i="78"/>
  <c r="K129" i="103"/>
  <c r="G19" i="102" s="1"/>
  <c r="B18" i="78"/>
  <c r="B24" i="56"/>
  <c r="Z3" i="26"/>
  <c r="AA10" i="26"/>
  <c r="CH3" i="26"/>
  <c r="CI10" i="26"/>
  <c r="AT3" i="26"/>
  <c r="AU10" i="26"/>
  <c r="CM3" i="26"/>
  <c r="CN10" i="26"/>
  <c r="BD3" i="26"/>
  <c r="BE10" i="26"/>
  <c r="BO3" i="26"/>
  <c r="BP10" i="26"/>
  <c r="BP3" i="26" s="1"/>
  <c r="V4" i="26"/>
  <c r="W18" i="26"/>
  <c r="W4" i="26" s="1"/>
  <c r="BX3" i="26"/>
  <c r="BY10" i="26"/>
  <c r="CC4" i="26"/>
  <c r="CD18" i="26"/>
  <c r="CT10" i="26" l="1"/>
  <c r="CT3" i="26" s="1"/>
  <c r="BJ3" i="26"/>
  <c r="L95" i="87"/>
  <c r="L108" i="86"/>
  <c r="AH19" i="26"/>
  <c r="AH20" i="26" s="1"/>
  <c r="N19" i="26"/>
  <c r="N20" i="26" s="1"/>
  <c r="Q4" i="26"/>
  <c r="R18" i="26"/>
  <c r="R4" i="26" s="1"/>
  <c r="H10" i="26"/>
  <c r="G3" i="26"/>
  <c r="BQ11" i="26"/>
  <c r="BQ12" i="26" s="1"/>
  <c r="BV19" i="26"/>
  <c r="BV20" i="26" s="1"/>
  <c r="AH11" i="26"/>
  <c r="AH12" i="26" s="1"/>
  <c r="BA18" i="26"/>
  <c r="BA4" i="26" s="1"/>
  <c r="AZ4" i="26"/>
  <c r="CD4" i="26"/>
  <c r="CE18" i="26"/>
  <c r="CE4" i="26" s="1"/>
  <c r="CN3" i="26"/>
  <c r="CO10" i="26"/>
  <c r="CO3" i="26" s="1"/>
  <c r="AW19" i="26"/>
  <c r="AW20" i="26" s="1"/>
  <c r="G4" i="26"/>
  <c r="H18" i="26"/>
  <c r="H4" i="26" s="1"/>
  <c r="BT3" i="26"/>
  <c r="BU10" i="26"/>
  <c r="BU3" i="26" s="1"/>
  <c r="AP3" i="26"/>
  <c r="AQ10" i="26"/>
  <c r="AQ3" i="26" s="1"/>
  <c r="K140" i="103"/>
  <c r="G30" i="102" s="1"/>
  <c r="B29" i="56"/>
  <c r="BY4" i="26"/>
  <c r="BZ18" i="26"/>
  <c r="BZ4" i="26" s="1"/>
  <c r="BY3" i="26"/>
  <c r="BZ10" i="26"/>
  <c r="BZ3" i="26" s="1"/>
  <c r="BE3" i="26"/>
  <c r="BF10" i="26"/>
  <c r="BF3" i="26" s="1"/>
  <c r="AU3" i="26"/>
  <c r="AV10" i="26"/>
  <c r="AV3" i="26" s="1"/>
  <c r="B26" i="56"/>
  <c r="K131" i="103"/>
  <c r="G21" i="102" s="1"/>
  <c r="K141" i="103"/>
  <c r="G31" i="102" s="1"/>
  <c r="B30" i="56"/>
  <c r="AZ3" i="26"/>
  <c r="BA10" i="26"/>
  <c r="BA3" i="26" s="1"/>
  <c r="AA4" i="26"/>
  <c r="AB18" i="26"/>
  <c r="AB4" i="26" s="1"/>
  <c r="AK4" i="26"/>
  <c r="AL18" i="26"/>
  <c r="AL4" i="26" s="1"/>
  <c r="BJ4" i="26"/>
  <c r="BK18" i="26"/>
  <c r="BK4" i="26" s="1"/>
  <c r="BG19" i="26"/>
  <c r="BG20" i="26" s="1"/>
  <c r="CI3" i="26"/>
  <c r="CJ10" i="26"/>
  <c r="CJ3" i="26" s="1"/>
  <c r="K130" i="103"/>
  <c r="G20" i="102" s="1"/>
  <c r="B25" i="56"/>
  <c r="CK19" i="26"/>
  <c r="CK20" i="26" s="1"/>
  <c r="X19" i="26"/>
  <c r="X20" i="26" s="1"/>
  <c r="AP4" i="26"/>
  <c r="AQ18" i="26"/>
  <c r="AQ4" i="26" s="1"/>
  <c r="BO4" i="26"/>
  <c r="BP18" i="26"/>
  <c r="BP4" i="26" s="1"/>
  <c r="L3" i="26"/>
  <c r="M10" i="26"/>
  <c r="M3" i="26" s="1"/>
  <c r="BL11" i="26"/>
  <c r="BL12" i="26" s="1"/>
  <c r="AA3" i="26"/>
  <c r="AB10" i="26"/>
  <c r="AB3" i="26" s="1"/>
  <c r="CU19" i="26"/>
  <c r="CU20" i="26" s="1"/>
  <c r="V3" i="26"/>
  <c r="W10" i="26"/>
  <c r="W3" i="26" s="1"/>
  <c r="CU11" i="26"/>
  <c r="CU12" i="26" s="1"/>
  <c r="Q3" i="26"/>
  <c r="R10" i="26"/>
  <c r="R3" i="26" s="1"/>
  <c r="AM11" i="26"/>
  <c r="AM12" i="26" s="1"/>
  <c r="O116" i="62" l="1"/>
  <c r="J119" i="62" s="1"/>
  <c r="J124" i="62" s="1"/>
  <c r="G126" i="62" s="1"/>
  <c r="K7" i="25" s="1"/>
  <c r="J7" i="25" s="1"/>
  <c r="R7" i="57" s="1"/>
  <c r="R24" i="57" s="1"/>
  <c r="BB19" i="26"/>
  <c r="BB20" i="26" s="1"/>
  <c r="H3" i="26"/>
  <c r="CZ3" i="26" s="1"/>
  <c r="K20" i="71" s="1"/>
  <c r="K22" i="71" s="1"/>
  <c r="I11" i="26"/>
  <c r="I12" i="26" s="1"/>
  <c r="S19" i="26"/>
  <c r="S20" i="26" s="1"/>
  <c r="BQ19" i="26"/>
  <c r="BQ20" i="26" s="1"/>
  <c r="AM19" i="26"/>
  <c r="AM20" i="26" s="1"/>
  <c r="CK11" i="26"/>
  <c r="CK12" i="26" s="1"/>
  <c r="S7" i="57"/>
  <c r="S24" i="57" s="1"/>
  <c r="CA11" i="26"/>
  <c r="CA12" i="26" s="1"/>
  <c r="AR11" i="26"/>
  <c r="AR12" i="26" s="1"/>
  <c r="X11" i="26"/>
  <c r="X12" i="26" s="1"/>
  <c r="N11" i="26"/>
  <c r="AC19" i="26"/>
  <c r="AC20" i="26" s="1"/>
  <c r="S11" i="26"/>
  <c r="S12" i="26" s="1"/>
  <c r="BL19" i="26"/>
  <c r="BL20" i="26" s="1"/>
  <c r="AW11" i="26"/>
  <c r="AW12" i="26" s="1"/>
  <c r="BB11" i="26"/>
  <c r="BB12" i="26" s="1"/>
  <c r="CA19" i="26"/>
  <c r="CA20" i="26" s="1"/>
  <c r="BV11" i="26"/>
  <c r="BV12" i="26" s="1"/>
  <c r="CP11" i="26"/>
  <c r="CP12" i="26" s="1"/>
  <c r="AC11" i="26"/>
  <c r="AC12" i="26" s="1"/>
  <c r="BG11" i="26"/>
  <c r="BG12" i="26" s="1"/>
  <c r="I19" i="26"/>
  <c r="CF19" i="26"/>
  <c r="CF20" i="26" s="1"/>
  <c r="AR19" i="26"/>
  <c r="AR20" i="26" s="1"/>
  <c r="L7" i="25" l="1"/>
  <c r="N12" i="26"/>
  <c r="CY11" i="26"/>
  <c r="CY12" i="26" s="1"/>
  <c r="I20" i="26"/>
  <c r="CY19" i="26"/>
  <c r="CY20" i="2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801" authorId="0" shapeId="0" xr:uid="{6A7DF735-E6EE-4803-904D-04A59C06E61D}">
      <text>
        <r>
          <rPr>
            <b/>
            <sz val="9"/>
            <color indexed="81"/>
            <rFont val="Tahoma"/>
            <family val="2"/>
          </rPr>
          <t>Rui Han (AgileOne):</t>
        </r>
        <r>
          <rPr>
            <sz val="9"/>
            <color indexed="81"/>
            <rFont val="Tahoma"/>
            <family val="2"/>
          </rPr>
          <t xml:space="preserve">
reported in 2020, twice the size of estimated using 2019 data and trend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tc={7F77FEEC-88F9-4F88-8839-9639A17C957D}</author>
    <author>tc={82732C44-A3E7-473B-8D3E-79170C0C2A89}</author>
  </authors>
  <commentList>
    <comment ref="B97" authorId="0" shapeId="0" xr:uid="{7F77FEEC-88F9-4F88-8839-9639A17C957D}">
      <text>
        <t>[Threaded comment]
Your version of Excel allows you to read this threaded comment; however, any edits to it will get removed if the file is opened in a newer version of Excel. Learn more: https://go.microsoft.com/fwlink/?linkid=870924
Comment:
    https://my.clevelandclinic.org/health/drugs/3977-birth-control-the-pill#:~:text=The%20pill%20has%20the%20potential,an%20unintended%20pregnancy%20every%20year.</t>
      </text>
    </comment>
    <comment ref="C97" authorId="1" shapeId="0" xr:uid="{82732C44-A3E7-473B-8D3E-79170C0C2A89}">
      <text>
        <t>[Threaded comment]
Your version of Excel allows you to read this threaded comment; however, any edits to it will get removed if the file is opened in a newer version of Excel. Learn more: https://go.microsoft.com/fwlink/?linkid=870924
Comment:
    https://www.plannedparenthood.org/learn/birth-control/condom/how-effective-are-condoms</t>
      </text>
    </comment>
  </commentList>
</comments>
</file>

<file path=xl/sharedStrings.xml><?xml version="1.0" encoding="utf-8"?>
<sst xmlns="http://schemas.openxmlformats.org/spreadsheetml/2006/main" count="68868" uniqueCount="3489">
  <si>
    <t>Structural Improvements (fix eventually)</t>
  </si>
  <si>
    <t>Demographics Total</t>
  </si>
  <si>
    <t>* assuming a flat /5 allocation to first pyramid</t>
  </si>
  <si>
    <t>FH.FP</t>
  </si>
  <si>
    <t>* should I add post-partum FP as a separate source?</t>
  </si>
  <si>
    <t>DPC.TB</t>
  </si>
  <si>
    <t>* not accounting for change in positive test rate over time (assuming parallel to case rates)</t>
  </si>
  <si>
    <t>DPC.M</t>
  </si>
  <si>
    <t>* not accounting for testing of negatives</t>
  </si>
  <si>
    <t>* not changing malaria positivity rate over time (assuming parallel to case rates)</t>
  </si>
  <si>
    <t>FHS.MC</t>
  </si>
  <si>
    <t>* unclear if adults should also be treated by HEW for pneumonia + diarrhea.</t>
  </si>
  <si>
    <t>DPC.HIV</t>
  </si>
  <si>
    <t>* not accounting for testing of negative symptomatics</t>
  </si>
  <si>
    <t>Household visits</t>
  </si>
  <si>
    <t>Add visits (1 hr/hh/yr) - break this out from model family work?</t>
  </si>
  <si>
    <t>DPC.H/CVD/D</t>
  </si>
  <si>
    <t>* what level of treatment and follow up does HEW do?</t>
  </si>
  <si>
    <t>* further break out overhead. 2 weeks every 1-2 years for training e.g. per Exemplars report.</t>
  </si>
  <si>
    <t>* using 18 year-old women cohort as proxy for new marriages.</t>
  </si>
  <si>
    <t>FHS.Im</t>
  </si>
  <si>
    <t>* using the 20-year old cohort as proxy for women of child bearing age.</t>
  </si>
  <si>
    <t>FHS.FP</t>
  </si>
  <si>
    <t>* using the 18 year-old cohort as proxy for women eligible to initiate.</t>
  </si>
  <si>
    <t>DPC.MH</t>
  </si>
  <si>
    <t>* using 30-year old cohort for mental health incidence (assumes 1 initiation only for each prevalence - an underestimate)</t>
  </si>
  <si>
    <t>DPC.H</t>
  </si>
  <si>
    <t>* assuming not changing the level of hypertension over time</t>
  </si>
  <si>
    <t>DPC.DB</t>
  </si>
  <si>
    <t>* assuming not changing the level of diabetes over time</t>
  </si>
  <si>
    <t>DPC.CVD</t>
  </si>
  <si>
    <t>* assuming not changing the level of CVD over time</t>
  </si>
  <si>
    <t>* assuming not changing the level of mental health needs over time</t>
  </si>
  <si>
    <t>Inputs Assump</t>
  </si>
  <si>
    <t>* rural portion of total population is fixed at 2020 level</t>
  </si>
  <si>
    <t>* malaria population at-risk fixed at 2020 level (68%)</t>
  </si>
  <si>
    <t>* not accounting for growth in demand for FP.  (WB open data set suggests no change in demand)</t>
  </si>
  <si>
    <t>* rate for sick child care visits is assumed to be 5.0 appropriate visits in 2020 and then decrease 2%/year, based on DHS + guesswork.</t>
  </si>
  <si>
    <t>* TB case detection rates could be incorporated (WB open data)</t>
  </si>
  <si>
    <t xml:space="preserve">* total population pyramid, not different for national vs. rural. </t>
  </si>
  <si>
    <t>* technically, premarital will find positives, which will be double counted then in the new cases.</t>
  </si>
  <si>
    <t>Estimates need improvement (soon)</t>
  </si>
  <si>
    <t>* rate for pneumonia + diarrhea is childhood deaths. This is an underestimate of total cases that should be treated.</t>
  </si>
  <si>
    <t>* not accounting for multiple initiations over life course</t>
  </si>
  <si>
    <t>* malaria burden should be different all/rural.</t>
  </si>
  <si>
    <t>Overhead</t>
  </si>
  <si>
    <t>Add overhead (training, paperwork, etc.)</t>
  </si>
  <si>
    <t>Features (nice to have)</t>
  </si>
  <si>
    <t>Results</t>
  </si>
  <si>
    <t>Option to run all four combinations and plot for comparison?</t>
  </si>
  <si>
    <t>Structure</t>
  </si>
  <si>
    <t>Seasonality to disease burden. How do they stack?</t>
  </si>
  <si>
    <t>Stochasticicity to pop size, disease burden, growth rates/trends.</t>
  </si>
  <si>
    <t>Stochasticity to age at which diseases appear (e.g. cohorts for FP demand)</t>
  </si>
  <si>
    <t>Different service packages for urban vs. rural</t>
  </si>
  <si>
    <t>Scope</t>
  </si>
  <si>
    <t>Differentiate public vs. private &amp; care seeking rates.</t>
  </si>
  <si>
    <t>Add a summary # of individual contacts per week, to compare to the '20 per week' per the Exemplars report.</t>
  </si>
  <si>
    <t>Divide out preventative vs. curative services in the time totals.</t>
  </si>
  <si>
    <t xml:space="preserve">Option to turn on/off mortality rate decreases </t>
  </si>
  <si>
    <t>Option to turn on/off population growth</t>
  </si>
  <si>
    <t>Option to turn on/off fertility drop</t>
  </si>
  <si>
    <t>Option to turn on/off improvements in malaria, TB, HIV</t>
  </si>
  <si>
    <t>Add plot ratio relative to 1.0</t>
  </si>
  <si>
    <t>Compare results by category (% allocation) to study results.</t>
  </si>
  <si>
    <t>Pregnancy</t>
  </si>
  <si>
    <t>Family planning</t>
  </si>
  <si>
    <t>Sick child</t>
  </si>
  <si>
    <t>Immunization</t>
  </si>
  <si>
    <t>Malaria</t>
  </si>
  <si>
    <t>Nutrition</t>
  </si>
  <si>
    <t>UniqueID</t>
  </si>
  <si>
    <t>WeeksPerYr</t>
  </si>
  <si>
    <t>HrsPerWeek</t>
  </si>
  <si>
    <t>BaselinePop</t>
  </si>
  <si>
    <t>PopType</t>
  </si>
  <si>
    <t>o_PopGrowth</t>
  </si>
  <si>
    <t>o_Seasonality</t>
  </si>
  <si>
    <t>o_Fertility_decr</t>
  </si>
  <si>
    <t>o_MHIVTB_decr</t>
  </si>
  <si>
    <t>o_ChildDis_decr</t>
  </si>
  <si>
    <t>Notes</t>
  </si>
  <si>
    <t>National</t>
  </si>
  <si>
    <t>ExpectedValue_RuralRatio</t>
  </si>
  <si>
    <t>Rural</t>
  </si>
  <si>
    <t>Baseline analysis of expected outcomes. Include in GR change components analysis.</t>
  </si>
  <si>
    <t>ExpectedValue_NtlRatio</t>
  </si>
  <si>
    <t>Validation of outcome consistency with rural.</t>
  </si>
  <si>
    <t>NoChangeBaseline_RR</t>
  </si>
  <si>
    <t>For GR change components analysis.</t>
  </si>
  <si>
    <t>p_Seasonality_RR</t>
  </si>
  <si>
    <t>p_Demographics_RR</t>
  </si>
  <si>
    <t>p_ChildHealthImp_RR</t>
  </si>
  <si>
    <t>NoFertilityChange_RuralRatio</t>
  </si>
  <si>
    <t>For fertility sensitivity + GR change components analyses.</t>
  </si>
  <si>
    <t>NoChangeBaseline_NR</t>
  </si>
  <si>
    <t>optional as time for comparison to rural</t>
  </si>
  <si>
    <t>p_Seasonality_NR</t>
  </si>
  <si>
    <t>p_Demographics_NR</t>
  </si>
  <si>
    <t>p_ChildHealthImp_NR</t>
  </si>
  <si>
    <t>Column Name</t>
  </si>
  <si>
    <t>Description</t>
  </si>
  <si>
    <t>Value type</t>
  </si>
  <si>
    <t>Number of working weeks per year, for calculating FTEs.</t>
  </si>
  <si>
    <t>integer</t>
  </si>
  <si>
    <t>Number of working hours per week, including overhead time, for calculating FTEs.</t>
  </si>
  <si>
    <t>Total baseline population for this scenario.</t>
  </si>
  <si>
    <t>Options: national, rural, urban. Used to determine which row to use in TaskValues sheet.</t>
  </si>
  <si>
    <t>string</t>
  </si>
  <si>
    <t>If true, turn on population growth. If false, normalize annual population to year 1 value.</t>
  </si>
  <si>
    <t>true/false</t>
  </si>
  <si>
    <t>If true, apply monthly seasonality. If not, all months have equal expected demand across a year.</t>
  </si>
  <si>
    <t>If true, fertility levels decreasing at pace. If false, hold fertility constant at 2019 value.</t>
  </si>
  <si>
    <t>If true, Malaria, TB, HIV decreasing at pace. If false, hold constant at 2019 value.</t>
  </si>
  <si>
    <t>If true, child diarrhea, pneumo, nutrition decreasing. If false, hold constant at 2019 value.</t>
  </si>
  <si>
    <t>Age</t>
  </si>
  <si>
    <t>Male</t>
  </si>
  <si>
    <t>Female</t>
  </si>
  <si>
    <t>Total</t>
  </si>
  <si>
    <t>&lt;1</t>
  </si>
  <si>
    <t>Parameter</t>
  </si>
  <si>
    <t>Value2020</t>
  </si>
  <si>
    <t>AnnualChange</t>
  </si>
  <si>
    <t>Fertility rate per woman</t>
  </si>
  <si>
    <t>Years of fertility</t>
  </si>
  <si>
    <t>Annual birth rate per adult woman</t>
  </si>
  <si>
    <t>Annual birth rate per adolescent 15-19</t>
  </si>
  <si>
    <t>Mortality infants</t>
  </si>
  <si>
    <t>Mortality 1-4yr</t>
  </si>
  <si>
    <t>Mortality 5-9yr</t>
  </si>
  <si>
    <t>Mortality 10-14yr</t>
  </si>
  <si>
    <t>Mortality 15-19yr</t>
  </si>
  <si>
    <t>Mortality 20-24yr</t>
  </si>
  <si>
    <t>Mortality adultF</t>
  </si>
  <si>
    <t>Mortality adultM</t>
  </si>
  <si>
    <t>Indicator</t>
  </si>
  <si>
    <t>CommonName</t>
  </si>
  <si>
    <t>ClinicalOrNon</t>
  </si>
  <si>
    <t>ClinicalCat</t>
  </si>
  <si>
    <t>ServiceCat</t>
  </si>
  <si>
    <t>RelevantPop</t>
  </si>
  <si>
    <t>Geography</t>
  </si>
  <si>
    <t>StartingRateInPop</t>
  </si>
  <si>
    <t>RateType</t>
  </si>
  <si>
    <t>RateMultiplier</t>
  </si>
  <si>
    <t>MultiplierReason</t>
  </si>
  <si>
    <t>AnnualDeltaRatio</t>
  </si>
  <si>
    <t>NumContactsPerUnit</t>
  </si>
  <si>
    <t>NumContactsAnnual</t>
  </si>
  <si>
    <t>MinsPerContact</t>
  </si>
  <si>
    <t>HoursPerWeek</t>
  </si>
  <si>
    <t>FTEratio</t>
  </si>
  <si>
    <t>FH.MC.1</t>
  </si>
  <si>
    <t>ANC</t>
  </si>
  <si>
    <t>Clinical</t>
  </si>
  <si>
    <t>Adult Preventive</t>
  </si>
  <si>
    <t>births</t>
  </si>
  <si>
    <t>FH.MC.2</t>
  </si>
  <si>
    <t>SBA</t>
  </si>
  <si>
    <t>FH.MC.3</t>
  </si>
  <si>
    <t>Newborn</t>
  </si>
  <si>
    <t>Child Preventive</t>
  </si>
  <si>
    <t>FH.MC.4</t>
  </si>
  <si>
    <t>Counseling</t>
  </si>
  <si>
    <t>FH.MC.5</t>
  </si>
  <si>
    <t>Postnatal</t>
  </si>
  <si>
    <t>FH.MC.6</t>
  </si>
  <si>
    <t>Pneumonia</t>
  </si>
  <si>
    <t>Child Acute</t>
  </si>
  <si>
    <t>1-4</t>
  </si>
  <si>
    <t>FH.MC.7</t>
  </si>
  <si>
    <t>Diarrhea</t>
  </si>
  <si>
    <t>FH.MC.8</t>
  </si>
  <si>
    <t>Parasites</t>
  </si>
  <si>
    <t>Prevalence</t>
  </si>
  <si>
    <t>FH.Im.1</t>
  </si>
  <si>
    <t>RI birth</t>
  </si>
  <si>
    <t>FH.Im.2</t>
  </si>
  <si>
    <t>RI 1st year</t>
  </si>
  <si>
    <t>1 yo</t>
  </si>
  <si>
    <t>FH.Im.3</t>
  </si>
  <si>
    <t>RI 2nd year</t>
  </si>
  <si>
    <t>2 yo</t>
  </si>
  <si>
    <t>FH.Im.4</t>
  </si>
  <si>
    <t>RI Td CBA</t>
  </si>
  <si>
    <t>FH.Im.5</t>
  </si>
  <si>
    <t>RI HPV</t>
  </si>
  <si>
    <t>15 yo girls</t>
  </si>
  <si>
    <t>FH.N.1</t>
  </si>
  <si>
    <t>Well child check</t>
  </si>
  <si>
    <t>FH.N.2</t>
  </si>
  <si>
    <t>Malnutrition</t>
  </si>
  <si>
    <t>Travel</t>
  </si>
  <si>
    <t>Non-productive</t>
  </si>
  <si>
    <t>-</t>
  </si>
  <si>
    <t>MHH</t>
  </si>
  <si>
    <t>MHH and outreach</t>
  </si>
  <si>
    <t>DPC.TB.1</t>
  </si>
  <si>
    <t>TB test initiation</t>
  </si>
  <si>
    <t>Adult Acute</t>
  </si>
  <si>
    <t>Tuberculosis</t>
  </si>
  <si>
    <t>adults 18+</t>
  </si>
  <si>
    <t>Positivity</t>
  </si>
  <si>
    <t>DPC.TB.2</t>
  </si>
  <si>
    <t>TB case followup</t>
  </si>
  <si>
    <t>TB contact tracing</t>
  </si>
  <si>
    <t>Public Health</t>
  </si>
  <si>
    <t>Malaria RDT</t>
  </si>
  <si>
    <t>Treat &amp; refer</t>
  </si>
  <si>
    <t>1-18</t>
  </si>
  <si>
    <t>DPC.M.3</t>
  </si>
  <si>
    <t>Contact tracing</t>
  </si>
  <si>
    <t>all</t>
  </si>
  <si>
    <t>DPC.FA.1</t>
  </si>
  <si>
    <t>First aid</t>
  </si>
  <si>
    <t>First Aid</t>
  </si>
  <si>
    <t>Not all require care</t>
  </si>
  <si>
    <t>DPC.H.1</t>
  </si>
  <si>
    <t>Hypertension dx</t>
  </si>
  <si>
    <t>Adult Chronic</t>
  </si>
  <si>
    <t>NCDs</t>
  </si>
  <si>
    <t>50 yo adults</t>
  </si>
  <si>
    <t>Assumed incidence same as prev</t>
  </si>
  <si>
    <t>DPC.H.2</t>
  </si>
  <si>
    <t>Hypertension followup</t>
  </si>
  <si>
    <t>DPC.CVD.1</t>
  </si>
  <si>
    <t>CVD referrals</t>
  </si>
  <si>
    <t>DPC.D.1</t>
  </si>
  <si>
    <t>Diabetes dx</t>
  </si>
  <si>
    <t>Diabetes followup</t>
  </si>
  <si>
    <t>DPC.MH.2</t>
  </si>
  <si>
    <t>Mental health dx</t>
  </si>
  <si>
    <t>Mental health</t>
  </si>
  <si>
    <t>30 yo adults</t>
  </si>
  <si>
    <t>DPC.MH.3</t>
  </si>
  <si>
    <t>Mental health followup</t>
  </si>
  <si>
    <t>DPC.NTD.3</t>
  </si>
  <si>
    <t>NTD symptom treatment</t>
  </si>
  <si>
    <t>NTDs (LF)</t>
  </si>
  <si>
    <t>DPC.HIV.1</t>
  </si>
  <si>
    <t>HIV dx</t>
  </si>
  <si>
    <t>HIV</t>
  </si>
  <si>
    <t>Incidence new cases</t>
  </si>
  <si>
    <t>DPC.HIV.3</t>
  </si>
  <si>
    <t>HIV counseling</t>
  </si>
  <si>
    <t>DPC.HIV.2</t>
  </si>
  <si>
    <t>HIV premarital</t>
  </si>
  <si>
    <t>18 yo women</t>
  </si>
  <si>
    <t>FH.FP.1</t>
  </si>
  <si>
    <t>Consult first time</t>
  </si>
  <si>
    <t>Consult postpartum</t>
  </si>
  <si>
    <t>all eligible pop</t>
  </si>
  <si>
    <t>Consult switch</t>
  </si>
  <si>
    <t>women 15-49</t>
  </si>
  <si>
    <t>Calc rate</t>
  </si>
  <si>
    <t>Consult discontinue</t>
  </si>
  <si>
    <t>FH.FP.2</t>
  </si>
  <si>
    <t>Oral / Pills</t>
  </si>
  <si>
    <t>Prevalence calc</t>
  </si>
  <si>
    <t>FH.FP.3</t>
  </si>
  <si>
    <t>Injection</t>
  </si>
  <si>
    <t>FH.FP.4</t>
  </si>
  <si>
    <t>Condoms</t>
  </si>
  <si>
    <t>FH.FP.5</t>
  </si>
  <si>
    <t>IUCD</t>
  </si>
  <si>
    <t>FH.FP.6</t>
  </si>
  <si>
    <t>Implants</t>
  </si>
  <si>
    <t>Month</t>
  </si>
  <si>
    <t>TB</t>
  </si>
  <si>
    <t>Jan</t>
  </si>
  <si>
    <t>Feb</t>
  </si>
  <si>
    <t>Mar</t>
  </si>
  <si>
    <t>Apr</t>
  </si>
  <si>
    <t>May</t>
  </si>
  <si>
    <t>June</t>
  </si>
  <si>
    <t>July</t>
  </si>
  <si>
    <t>Aug</t>
  </si>
  <si>
    <t>Sept</t>
  </si>
  <si>
    <t>Oct</t>
  </si>
  <si>
    <t>Nov</t>
  </si>
  <si>
    <t>Dec</t>
  </si>
  <si>
    <t>Task</t>
  </si>
  <si>
    <t>Curve</t>
  </si>
  <si>
    <t>Offset1</t>
  </si>
  <si>
    <t>Offset2</t>
  </si>
  <si>
    <t>Offset3</t>
  </si>
  <si>
    <t>Offset4</t>
  </si>
  <si>
    <t>Antenatal care</t>
  </si>
  <si>
    <t>Births</t>
  </si>
  <si>
    <t>Assisted delivery</t>
  </si>
  <si>
    <t>Newborn care</t>
  </si>
  <si>
    <t>Counseling &amp; monitoring post-birth</t>
  </si>
  <si>
    <t>Postnatal care</t>
  </si>
  <si>
    <t>At/near birth</t>
  </si>
  <si>
    <t>1st year visits</t>
  </si>
  <si>
    <t>2nd year visits</t>
  </si>
  <si>
    <t>Td</t>
  </si>
  <si>
    <t>Weight &amp; height tracking</t>
  </si>
  <si>
    <t>Diagnosis malnutrition</t>
  </si>
  <si>
    <t>FH.N.3</t>
  </si>
  <si>
    <t>Treatment malnutrition</t>
  </si>
  <si>
    <t>FH.N.4</t>
  </si>
  <si>
    <t>Followup malnutrition</t>
  </si>
  <si>
    <t>DPC.M.1</t>
  </si>
  <si>
    <t>Malaria testing</t>
  </si>
  <si>
    <t>DPC.M.2</t>
  </si>
  <si>
    <t>Treatment &amp;/or referral</t>
  </si>
  <si>
    <t>TB sample collection &amp; result return</t>
  </si>
  <si>
    <t>Follow up &amp; referrals for treatment-resistent</t>
  </si>
  <si>
    <t>DPC.TB.3</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</si>
  <si>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</si>
  <si>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</si>
  <si>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</si>
  <si>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</si>
  <si>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</si>
  <si>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</si>
  <si>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</si>
  <si>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</si>
  <si>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</si>
  <si>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</si>
  <si>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</si>
  <si>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</si>
  <si>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</si>
  <si>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</si>
  <si>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</si>
  <si>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</si>
  <si>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</si>
  <si>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</si>
  <si>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</si>
  <si>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</si>
  <si>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</si>
  <si>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</si>
  <si>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</si>
  <si>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</si>
  <si>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</si>
  <si>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</si>
  <si>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Urban</t>
  </si>
  <si>
    <t>national</t>
  </si>
  <si>
    <t>urban</t>
  </si>
  <si>
    <t>rural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</si>
  <si>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</si>
  <si>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</si>
  <si>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</si>
  <si>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</si>
  <si>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</si>
  <si>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</si>
  <si>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</si>
  <si>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</si>
  <si>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</si>
  <si>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</si>
  <si>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</si>
  <si>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</si>
  <si>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</si>
  <si>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</si>
  <si>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</si>
  <si>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</si>
  <si>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</si>
  <si>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</si>
  <si>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</si>
  <si>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</si>
  <si>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</si>
  <si>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Addis-only verbal autopsy study</t>
  </si>
  <si>
    <t>https://bmcpublichealth.biomedcentral.com/articles/10.1186/s12889-020-08944-7</t>
  </si>
  <si>
    <t>https://journals.plos.org/plosone/article?id=10.1371/journal.pone.0202240</t>
  </si>
  <si>
    <t>Injury</t>
  </si>
  <si>
    <t>Fatality</t>
  </si>
  <si>
    <t>RTA</t>
  </si>
  <si>
    <t>(rate per 100k)</t>
  </si>
  <si>
    <t>Avg adult mortality per 1k (prob dying ages 15-60)</t>
  </si>
  <si>
    <t>Rate per 100k per year</t>
  </si>
  <si>
    <t>* should be 8-12% of total mortality.</t>
  </si>
  <si>
    <t>mortality rate</t>
  </si>
  <si>
    <t>rural % of total pop</t>
  </si>
  <si>
    <t>WB OpenData</t>
  </si>
  <si>
    <t>rural % of injuries</t>
  </si>
  <si>
    <t>see left</t>
  </si>
  <si>
    <t>rural risk ratio</t>
  </si>
  <si>
    <t>Assume that injuries managed by a HEW would be those &lt; 30 days</t>
  </si>
  <si>
    <t>Ethiopia DHS 2016</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</si>
  <si>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</si>
  <si>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</si>
  <si>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</si>
  <si>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</si>
  <si>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</si>
  <si>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</si>
  <si>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</si>
  <si>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DHS 2019</t>
  </si>
  <si>
    <t>DHS 2016</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</si>
  <si>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</si>
  <si>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</si>
  <si>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</si>
  <si>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</si>
  <si>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</si>
  <si>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</si>
  <si>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https://www.sciencedirect.com/science/article/abs/pii/S0941950018300733?via%3Dihub</t>
  </si>
  <si>
    <t>https://parasitesandvectors.biomedcentral.com/articles/10.1186/1756-3305-5-240/tables/1</t>
  </si>
  <si>
    <t>M cases</t>
  </si>
  <si>
    <t>treatment</t>
  </si>
  <si>
    <t>hookworm</t>
  </si>
  <si>
    <t>anthemlinthic medications (anti worm)</t>
  </si>
  <si>
    <t>ascariasis</t>
  </si>
  <si>
    <t>trichuriasis</t>
  </si>
  <si>
    <t>schistomiasis</t>
  </si>
  <si>
    <t>antiparasitic</t>
  </si>
  <si>
    <t>lyphatic filariasis</t>
  </si>
  <si>
    <t>annual antibiotics + antiparasitics</t>
  </si>
  <si>
    <t>Onchocerciasis</t>
  </si>
  <si>
    <t>antibiotics + antiparasitics every 6 months until cleared</t>
  </si>
  <si>
    <t>Podoconiosis</t>
  </si>
  <si>
    <t>not once established</t>
  </si>
  <si>
    <t>Trachoma</t>
  </si>
  <si>
    <t>antibiotics</t>
  </si>
  <si>
    <t>cases</t>
  </si>
  <si>
    <t>Total pop 2015</t>
  </si>
  <si>
    <t>ratio</t>
  </si>
  <si>
    <t xml:space="preserve">BUT - how many of these are 'new' cases that would require treatment once high performance was established? </t>
  </si>
  <si>
    <t>http://ghdx.healthdata.org/gbd-results-tool?params=gbd-api-2019-permalink/031c527df8462e76e5a08e885a3bb3b4</t>
  </si>
  <si>
    <t>rate per 100k pop</t>
  </si>
  <si>
    <t>number</t>
  </si>
  <si>
    <t>(both are incidences)</t>
  </si>
  <si>
    <t>Leishmaniasis</t>
  </si>
  <si>
    <t>Cystic echinococcosis</t>
  </si>
  <si>
    <t>Rabies</t>
  </si>
  <si>
    <t>Hookworm</t>
  </si>
  <si>
    <t>These diseases have not been eliminated, so it is unclear why IHME estimates are zero.</t>
  </si>
  <si>
    <t>Ascariasis</t>
  </si>
  <si>
    <t>Trichuriasis</t>
  </si>
  <si>
    <t>Ref ID</t>
  </si>
  <si>
    <t>Category</t>
  </si>
  <si>
    <t>Package</t>
  </si>
  <si>
    <t>Service/Activity</t>
  </si>
  <si>
    <t>Population</t>
  </si>
  <si>
    <t>Visit count/frequency</t>
  </si>
  <si>
    <t>Time to complete</t>
  </si>
  <si>
    <t>DALYs</t>
  </si>
  <si>
    <t>Family health services</t>
  </si>
  <si>
    <t>Maternal &amp; child health</t>
  </si>
  <si>
    <t>Birth cohort</t>
  </si>
  <si>
    <t>4 visits / birth</t>
  </si>
  <si>
    <t>10 min</t>
  </si>
  <si>
    <t>* optionally, could use DALYs for ANC+PNC together from Bangladesh paper</t>
  </si>
  <si>
    <t>1 visit / birth</t>
  </si>
  <si>
    <t>4 hours</t>
  </si>
  <si>
    <t>included in counseling</t>
  </si>
  <si>
    <t>2 home visits / birth</t>
  </si>
  <si>
    <t>60 min</t>
  </si>
  <si>
    <t>https://www.bmj.com/content/bmj/suppl/2005/11/10/331.7525.1107.DC1/adamt1_t5.pdf</t>
  </si>
  <si>
    <t>Treatment - child pneumonia (ICCM)</t>
  </si>
  <si>
    <t>New cases</t>
  </si>
  <si>
    <t>2 visits</t>
  </si>
  <si>
    <t>5 min</t>
  </si>
  <si>
    <t>Treatment - child diarrhea (ICCM)</t>
  </si>
  <si>
    <t>Consultation</t>
  </si>
  <si>
    <t>All using mod. contraception</t>
  </si>
  <si>
    <t>1 time per user</t>
  </si>
  <si>
    <t>15 min</t>
  </si>
  <si>
    <t>Oral (pills)</t>
  </si>
  <si>
    <t>Users</t>
  </si>
  <si>
    <t>4 times / year</t>
  </si>
  <si>
    <t>1 / 5 years (range 3-7)</t>
  </si>
  <si>
    <t>Implant</t>
  </si>
  <si>
    <t>1 / 3 Years (nexplanon)</t>
  </si>
  <si>
    <t>Included in newborn care</t>
  </si>
  <si>
    <t>&lt;1 year-old</t>
  </si>
  <si>
    <t>4 visits</t>
  </si>
  <si>
    <t>1 year-old</t>
  </si>
  <si>
    <t>1 visit</t>
  </si>
  <si>
    <t>Women child-bearing age</t>
  </si>
  <si>
    <t>HPV girls</t>
  </si>
  <si>
    <t>15-y/o cohort</t>
  </si>
  <si>
    <t>N/A provision in schools</t>
  </si>
  <si>
    <t>FH.AR.1</t>
  </si>
  <si>
    <t>Adolescent reproductive health</t>
  </si>
  <si>
    <t>Outreach educ. on FP &amp; STIs</t>
  </si>
  <si>
    <t>15-19 y/o</t>
  </si>
  <si>
    <t>???</t>
  </si>
  <si>
    <t>FH.AR.2</t>
  </si>
  <si>
    <t>Promote RH services</t>
  </si>
  <si>
    <t>Included in outreach</t>
  </si>
  <si>
    <t>FH.AR.3</t>
  </si>
  <si>
    <t>Provide RH services</t>
  </si>
  <si>
    <t>Included in FP &amp; ANC</t>
  </si>
  <si>
    <t>HEC.1</t>
  </si>
  <si>
    <t>Health education &amp; communication</t>
  </si>
  <si>
    <t>Community education, outreach, &amp; mobilization</t>
  </si>
  <si>
    <t>HEC.2</t>
  </si>
  <si>
    <t>Train model families</t>
  </si>
  <si>
    <t>HEC.3</t>
  </si>
  <si>
    <t>Advise/support model families</t>
  </si>
  <si>
    <t>Disease prevention &amp; control</t>
  </si>
  <si>
    <t>HIV/AIDS prevention &amp; control</t>
  </si>
  <si>
    <t>HIV testing</t>
  </si>
  <si>
    <t>Symptomatics</t>
  </si>
  <si>
    <t>Pre-marital HIV testing</t>
  </si>
  <si>
    <t>18 y/o /2 (approximation)</t>
  </si>
  <si>
    <t>1 visit x 2 people</t>
  </si>
  <si>
    <t>New positive cases</t>
  </si>
  <si>
    <t>DPC.HIV.4</t>
  </si>
  <si>
    <t>Referrals</t>
  </si>
  <si>
    <t>Included in counseling</t>
  </si>
  <si>
    <t>TB prevention &amp; control</t>
  </si>
  <si>
    <t>Identification of cases</t>
  </si>
  <si>
    <t>Included in home visits</t>
  </si>
  <si>
    <t>Symptomatics (12% true positive)</t>
  </si>
  <si>
    <t>https://www.ncbi.nlm.nih.gov/pmc/articles/PMC5704104/</t>
  </si>
  <si>
    <t>30 min</t>
  </si>
  <si>
    <t>Malaria prevention &amp; control</t>
  </si>
  <si>
    <t>Education re bed nets</t>
  </si>
  <si>
    <t>Family unit</t>
  </si>
  <si>
    <t>Time: https://www.cdc.gov/malaria/diagnosis_treatment/diagnosis.html#:~:text=Such%20immunologic%20(%E2%80%9Cimmunochromatographic%E2%80%9D),microscopic%20diagnosis%20is%20not%20available.</t>
  </si>
  <si>
    <t>Provide first aid &amp; refer</t>
  </si>
  <si>
    <t>Incidents</t>
  </si>
  <si>
    <t>Hypertension management</t>
  </si>
  <si>
    <t>Diagnosis &amp; initiation</t>
  </si>
  <si>
    <t>Follow-up</t>
  </si>
  <si>
    <t>Existing cases (adults)</t>
  </si>
  <si>
    <t>1 visit / year</t>
  </si>
  <si>
    <t>Cardiovascular disease</t>
  </si>
  <si>
    <t>Risk identification &amp; referral</t>
  </si>
  <si>
    <t>Diabetes</t>
  </si>
  <si>
    <t>DPC.D.2</t>
  </si>
  <si>
    <t>DPC.CC.1</t>
  </si>
  <si>
    <t>Cervical cancer screening</t>
  </si>
  <si>
    <t>Assumed HEW provides referral only during other contacts</t>
  </si>
  <si>
    <t>DPC.TC.1</t>
  </si>
  <si>
    <t>Tobacco control</t>
  </si>
  <si>
    <t>Presumed part of home visit/education</t>
  </si>
  <si>
    <t>DPC.NTD.1</t>
  </si>
  <si>
    <t>NTDs</t>
  </si>
  <si>
    <t>Social mobilization for campaigns</t>
  </si>
  <si>
    <t>Assumed HEW provides mobilization as part of other outreach and services</t>
  </si>
  <si>
    <t>DPC.NTD.2</t>
  </si>
  <si>
    <t>Case management (other than lymphadema?)</t>
  </si>
  <si>
    <t>Lymphedema management (LF / podoconiosis)</t>
  </si>
  <si>
    <t>2 visits / year</t>
  </si>
  <si>
    <t>DPC.MH.1</t>
  </si>
  <si>
    <t>Behavior change education</t>
  </si>
  <si>
    <t>Assumed HEW provides education as part of other outreach and services</t>
  </si>
  <si>
    <t>Identify suspected cases &amp; link to services</t>
  </si>
  <si>
    <t>Follow up treatment adherence</t>
  </si>
  <si>
    <t>HES.ED.1</t>
  </si>
  <si>
    <t>Hygiene &amp; environmental sanitation</t>
  </si>
  <si>
    <t>Excreta disposal</t>
  </si>
  <si>
    <t>HES.WM.1</t>
  </si>
  <si>
    <t>Waste management</t>
  </si>
  <si>
    <t>HES.WS.1</t>
  </si>
  <si>
    <t>Water safety</t>
  </si>
  <si>
    <t>HES.FH.1</t>
  </si>
  <si>
    <t>Food hygiene</t>
  </si>
  <si>
    <t>HES.HH.1</t>
  </si>
  <si>
    <t>Healthy home</t>
  </si>
  <si>
    <t>HES.ARC.1</t>
  </si>
  <si>
    <t>Arthropods &amp; rodent control</t>
  </si>
  <si>
    <t>HES.PH.1</t>
  </si>
  <si>
    <t>Personal hygiene</t>
  </si>
  <si>
    <t>HES.IH.1</t>
  </si>
  <si>
    <t>Institutional hygiene</t>
  </si>
  <si>
    <t>Other.1</t>
  </si>
  <si>
    <t>Disease surveillance reporting</t>
  </si>
  <si>
    <t>Other.2</t>
  </si>
  <si>
    <t>Vital registry</t>
  </si>
  <si>
    <t>Other.3</t>
  </si>
  <si>
    <t>Self-education/in-service</t>
  </si>
  <si>
    <t>Other.4</t>
  </si>
  <si>
    <t xml:space="preserve">Lead HDA </t>
  </si>
  <si>
    <t>Other.5</t>
  </si>
  <si>
    <t>Other administrative</t>
  </si>
  <si>
    <t>https://www.bmj.com/content/331/7525/1107##</t>
  </si>
  <si>
    <t>AFR-e countries:</t>
  </si>
  <si>
    <t>Botswana, Burundi, Central African Republic, Congo, Côte d'Ivoire, Democratic Republic Of The Congo, Eritrea, Ethiopia, Mozambique, Namibia, Rwanda, South Africa, Swaziland, Uganda, United Republic of Tanzania, Zambia, Zimbabwe</t>
  </si>
  <si>
    <t xml:space="preserve">Birth cohort in 2000: </t>
  </si>
  <si>
    <t>million</t>
  </si>
  <si>
    <t>Pop 2000 U5</t>
  </si>
  <si>
    <t>Net DALYs</t>
  </si>
  <si>
    <t>Coverage</t>
  </si>
  <si>
    <t>DALYs per capita at 100% coverage</t>
  </si>
  <si>
    <t>M</t>
  </si>
  <si>
    <t>F</t>
  </si>
  <si>
    <t>Pop 2000 &lt;1</t>
  </si>
  <si>
    <t>A1</t>
  </si>
  <si>
    <t>Botswana</t>
  </si>
  <si>
    <t>A2</t>
  </si>
  <si>
    <t>Burundi</t>
  </si>
  <si>
    <t>A3</t>
  </si>
  <si>
    <t>Central African Republic</t>
  </si>
  <si>
    <t>A4</t>
  </si>
  <si>
    <t>Congo</t>
  </si>
  <si>
    <t>A5</t>
  </si>
  <si>
    <t>Côte d'Ivoire</t>
  </si>
  <si>
    <t>A6</t>
  </si>
  <si>
    <t>Democratic Republic Of The Congo</t>
  </si>
  <si>
    <t>A7</t>
  </si>
  <si>
    <t>Eritrea</t>
  </si>
  <si>
    <t>A8</t>
  </si>
  <si>
    <t>Ethiopia</t>
  </si>
  <si>
    <t>A9</t>
  </si>
  <si>
    <t>Mozambique</t>
  </si>
  <si>
    <t>A10</t>
  </si>
  <si>
    <t>Namibia</t>
  </si>
  <si>
    <t>A11</t>
  </si>
  <si>
    <t>Rwanda</t>
  </si>
  <si>
    <t>A12</t>
  </si>
  <si>
    <t>South Africa</t>
  </si>
  <si>
    <t>Eswatini</t>
  </si>
  <si>
    <t>Uganda</t>
  </si>
  <si>
    <t>United Republic of Tanzania</t>
  </si>
  <si>
    <t>Zambia</t>
  </si>
  <si>
    <t>Zimbabwe</t>
  </si>
  <si>
    <t>https://www.ncbi.nlm.nih.gov/pmc/articles/PMC3335866/</t>
  </si>
  <si>
    <t>Reduction in neonatal mortality</t>
  </si>
  <si>
    <t>Currently mortality per birth</t>
  </si>
  <si>
    <t>Current life expectancy</t>
  </si>
  <si>
    <t>https://data.worldbank.org/indicator/SP.DYN.LE00.IN?locations=ET</t>
  </si>
  <si>
    <t>alt: LE was this in 2012</t>
  </si>
  <si>
    <t>DALYs per birth</t>
  </si>
  <si>
    <t>** compared to value above, is very high</t>
  </si>
  <si>
    <t>https://ijponline.biomedcentral.com/articles/10.1186/s13052-020-00893-6</t>
  </si>
  <si>
    <t>https://www.ncbi.nlm.nih.gov/pmc/articles/PMC7853458/</t>
  </si>
  <si>
    <t>oral</t>
  </si>
  <si>
    <t>condom</t>
  </si>
  <si>
    <t>injectable</t>
  </si>
  <si>
    <t>implant</t>
  </si>
  <si>
    <t>Unit cost</t>
  </si>
  <si>
    <t>% of pop</t>
  </si>
  <si>
    <t>FP</t>
  </si>
  <si>
    <t>TT</t>
  </si>
  <si>
    <t>ICER</t>
  </si>
  <si>
    <t>cost per life-year</t>
  </si>
  <si>
    <t>per woman served</t>
  </si>
  <si>
    <t>Units per life saved</t>
  </si>
  <si>
    <t>Life-years gained per service unit</t>
  </si>
  <si>
    <t>** compared to .32 from other paper, is low….</t>
  </si>
  <si>
    <t>** compared to calc below, is low</t>
  </si>
  <si>
    <t>FP value calculation</t>
  </si>
  <si>
    <t>* the whole package of FP is in/out.</t>
  </si>
  <si>
    <t>(maternal mortality per year / births per year) * probability of getting pregnant if not using FP * effectiveness * years of duration * remaining life expectancy</t>
  </si>
  <si>
    <t>Note: this is the approach used in references of this comprehensive review: https://europepmc.org/article/NBK/nbk361909</t>
  </si>
  <si>
    <t>maternal mortality per birth</t>
  </si>
  <si>
    <t>https://data.worldbank.org/indicator/SH.STA.MMRT?locations=ET</t>
  </si>
  <si>
    <t>probability of pregnancy | no FP</t>
  </si>
  <si>
    <t>https://www.who.int/news/item/25-10-2019-high-rates-of-unintended-pregnancies-linked-to-gaps-in-family-planning-services-new-who-study</t>
  </si>
  <si>
    <t>year 0</t>
  </si>
  <si>
    <t>year 1</t>
  </si>
  <si>
    <t>year 2</t>
  </si>
  <si>
    <t>year 3</t>
  </si>
  <si>
    <t>starting women</t>
  </si>
  <si>
    <t>discontinue</t>
  </si>
  <si>
    <t>switch</t>
  </si>
  <si>
    <t>remain</t>
  </si>
  <si>
    <t>assume that after 3 years, need a new consultation to check in anyway</t>
  </si>
  <si>
    <t>years of coverage per consultation</t>
  </si>
  <si>
    <t>implant/IUD</t>
  </si>
  <si>
    <t>effectiveness</t>
  </si>
  <si>
    <t>https://www.plannedparenthood.org/learn/birth-control</t>
  </si>
  <si>
    <t>years of duration</t>
  </si>
  <si>
    <t>% of FP mix</t>
  </si>
  <si>
    <t>life expectancy at birth</t>
  </si>
  <si>
    <t>average age contraception user</t>
  </si>
  <si>
    <t>% any modern</t>
  </si>
  <si>
    <t># in pop</t>
  </si>
  <si>
    <t># mod FP</t>
  </si>
  <si>
    <t>% of mod FP</t>
  </si>
  <si>
    <t>Avg Age</t>
  </si>
  <si>
    <t>remaining life expectancy</t>
  </si>
  <si>
    <t>15-19</t>
  </si>
  <si>
    <t>20-24</t>
  </si>
  <si>
    <t>Calcs</t>
  </si>
  <si>
    <t>25-29</t>
  </si>
  <si>
    <t>Annual mat mort no FP</t>
  </si>
  <si>
    <t>per woman</t>
  </si>
  <si>
    <t>30-34</t>
  </si>
  <si>
    <t>FP effectiveness</t>
  </si>
  <si>
    <t>35-39</t>
  </si>
  <si>
    <t>Years of protection</t>
  </si>
  <si>
    <t>40-44</t>
  </si>
  <si>
    <t>Net maternal lives saved rate</t>
  </si>
  <si>
    <t>45-49</t>
  </si>
  <si>
    <t>Years of maternal lives saved</t>
  </si>
  <si>
    <t>Weighted avg</t>
  </si>
  <si>
    <t>Pneumonias</t>
  </si>
  <si>
    <t>https://www.ncbi.nlm.nih.gov/pmc/articles/PMC2686204/pdf/08-050872.pdf</t>
  </si>
  <si>
    <t>annual incidence</t>
  </si>
  <si>
    <t>calc from DHS * UN pops = number of pneumonias in U5 per year</t>
  </si>
  <si>
    <t>Disability</t>
  </si>
  <si>
    <t>annual deaths</t>
  </si>
  <si>
    <t>pneumococcus + Hib in Ethiopia, GBD 2019, under 5</t>
  </si>
  <si>
    <t>Mortality</t>
  </si>
  <si>
    <t>Underlying mortality rate</t>
  </si>
  <si>
    <t>For comparison only:</t>
  </si>
  <si>
    <t>Reduction in rate</t>
  </si>
  <si>
    <t>of ED visits for pneumonia 65+ in USA result in mortality</t>
  </si>
  <si>
    <t>Life expectancy</t>
  </si>
  <si>
    <t>https://www.cdc.gov/nchs/fastats/pneumonia.htm</t>
  </si>
  <si>
    <t>Avg age</t>
  </si>
  <si>
    <t>Life years remaining</t>
  </si>
  <si>
    <t>Net impact</t>
  </si>
  <si>
    <t>Total DALY</t>
  </si>
  <si>
    <t>Td (preg women)</t>
  </si>
  <si>
    <t>https://www.ncbi.nlm.nih.gov/pmc/articles/PMC6661540/pdf/czz034.pdf</t>
  </si>
  <si>
    <t>Pop cov</t>
  </si>
  <si>
    <t>** Much lower than value from the WHO estimates for Africa region.</t>
  </si>
  <si>
    <t>** Using this value, which aligns better as expected to other interventions.</t>
  </si>
  <si>
    <t>Paper looks at the effects of a 20% increase in coverage.</t>
  </si>
  <si>
    <t>https://www.ncbi.nlm.nih.gov/pmc/articles/PMC3791651/pdf/BLT.12.117127.pdf</t>
  </si>
  <si>
    <t>HC included pregnancy surveillance + two home visits ANC, and 3 home visits PNC for neonatal care.</t>
  </si>
  <si>
    <t xml:space="preserve">Described as health assessment of the neonate, initial dose of antibiotics for severe illness, referral and followup. </t>
  </si>
  <si>
    <t>Number of live births HC</t>
  </si>
  <si>
    <t>DALYs per 1000 neonates</t>
  </si>
  <si>
    <t>avoided</t>
  </si>
  <si>
    <t>per birth</t>
  </si>
  <si>
    <t>** This is 2.5x higher than the WHO estimates for Africa region.</t>
  </si>
  <si>
    <t>https://www.psi.org/wp-content/uploads/2020/05/DALY_Brief_ORS_June-2011_FINAL.pdf</t>
  </si>
  <si>
    <t>for ORS in DRC</t>
  </si>
  <si>
    <t>https://www.thelancet.com/journals/langlo/article/PIIS2214-109X(14)70237-2/fulltext#%20</t>
  </si>
  <si>
    <t>Updated paper:</t>
  </si>
  <si>
    <t>HPV vax cohort</t>
  </si>
  <si>
    <t>https://doi.org/10.1016/S2214-109X(20)30022-X</t>
  </si>
  <si>
    <t>Eth $/DALY</t>
  </si>
  <si>
    <t>Net cost</t>
  </si>
  <si>
    <t>cost per capita</t>
  </si>
  <si>
    <t>DALY/capita</t>
  </si>
  <si>
    <t xml:space="preserve">VIMC modeled impact dataset from 2020-10-27 download from portal. </t>
  </si>
  <si>
    <t>https://elifesciences.org/articles/67635</t>
  </si>
  <si>
    <t>Vaccine</t>
  </si>
  <si>
    <t>DALYs rate per dose, Ethiopia</t>
  </si>
  <si>
    <t>Reference paper</t>
  </si>
  <si>
    <t>HepB</t>
  </si>
  <si>
    <t>HepB_BD</t>
  </si>
  <si>
    <t>Hib3</t>
  </si>
  <si>
    <t>HPV</t>
  </si>
  <si>
    <t>MCV1</t>
  </si>
  <si>
    <t>MCV2</t>
  </si>
  <si>
    <t>MenA</t>
  </si>
  <si>
    <t>PCV3</t>
  </si>
  <si>
    <t>Rota</t>
  </si>
  <si>
    <t>https://academic.oup.com/heapol/article/28/4/386/966295</t>
  </si>
  <si>
    <t>** This intervention is more intensive than HEP will probably deliver.</t>
  </si>
  <si>
    <t>May need to adjust down the impact.</t>
  </si>
  <si>
    <t>** Also, risk that these children may be more severely malnourished than the prevalence rates I'm using.</t>
  </si>
  <si>
    <t># Treated in community</t>
  </si>
  <si>
    <t>DALYs averted</t>
  </si>
  <si>
    <t>DALYs/Treatment</t>
  </si>
  <si>
    <t>HIV Testing</t>
  </si>
  <si>
    <t>Calculation:</t>
  </si>
  <si>
    <t>DALYs = DALY of a person getting on treatment * probability of a positive test * sensitivity of test</t>
  </si>
  <si>
    <t>For general population testing, p(positive) is the prevalence rate.</t>
  </si>
  <si>
    <t>For symptomatic/at-risk population testing, p(positive) is much (how much?) higher.</t>
  </si>
  <si>
    <t>https://www.ncbi.nlm.nih.gov/pmc/articles/PMC4384819/</t>
  </si>
  <si>
    <t>https://www.differentiatedservicedelivery.org/Portals/0/adam/Content/i58JJqqeREehR20m2O88hA/File/ethiopia_art_guidelines_2017.pdf</t>
  </si>
  <si>
    <t>Therefore, use the all-positive-are-eligible scenario.</t>
  </si>
  <si>
    <t>Total DALYs (10k)</t>
  </si>
  <si>
    <t>status quo</t>
  </si>
  <si>
    <t>at 52% coverage</t>
  </si>
  <si>
    <t>home HTC</t>
  </si>
  <si>
    <t>at 78% coverage</t>
  </si>
  <si>
    <t>delta</t>
  </si>
  <si>
    <t>DALYs saved</t>
  </si>
  <si>
    <t>population</t>
  </si>
  <si>
    <t>DALYs per pop initatied, accrued over 10 years</t>
  </si>
  <si>
    <t>https://pubmed.ncbi.nlm.nih.gov/27124900/</t>
  </si>
  <si>
    <t>Indicates that test sensitivity is &gt;90% (possibly &gt;97% in LMIC).</t>
  </si>
  <si>
    <t>Thus, not going to use adjustment factor in calculation.</t>
  </si>
  <si>
    <t>https://academic.oup.com/cid/article/70/12/2561/5538386</t>
  </si>
  <si>
    <t>LF management</t>
  </si>
  <si>
    <t>DALYS per person infected with LF, lifetime</t>
  </si>
  <si>
    <t>remaining life after chronic moderate/severe infection. (Data was presented at a conference, but can't access.)</t>
  </si>
  <si>
    <t>https://www.ncbi.nlm.nih.gov/pmc/articles/PMC5062793/</t>
  </si>
  <si>
    <t>annaul days of losst productivity prevented through this program</t>
  </si>
  <si>
    <t>portion of year affected</t>
  </si>
  <si>
    <t>on same magnitude as DALYs above. Since these are DALYs want to calc, can't use this directly bc/ not LY lost - only productivity</t>
  </si>
  <si>
    <t>this study is in same ballpark as above, so use the more formal calc</t>
  </si>
  <si>
    <t>TOTAL</t>
  </si>
  <si>
    <t>DPC</t>
  </si>
  <si>
    <t>Malaria CM</t>
  </si>
  <si>
    <t>Diarrheal CM</t>
  </si>
  <si>
    <t>ICER for all HEP that was costed</t>
  </si>
  <si>
    <t>USD per life saved</t>
  </si>
  <si>
    <t>Portions of total cost</t>
  </si>
  <si>
    <t>capacity building</t>
  </si>
  <si>
    <t>equipment</t>
  </si>
  <si>
    <t>personnel costs</t>
  </si>
  <si>
    <t>drug and supply</t>
  </si>
  <si>
    <t>building</t>
  </si>
  <si>
    <t>If had to double the staff to deliver the same services, would cost:</t>
  </si>
  <si>
    <t>of baseline</t>
  </si>
  <si>
    <t>* all costs per life saved are still very affordable.</t>
  </si>
  <si>
    <t>*** Is this a fair comparison? Actually, may underestimate because they aren't assuming enough supplies, etc. for everyone…</t>
  </si>
  <si>
    <t>https://journals.plos.org/plosone/article?id=10.1371/journal.pone.0246207#sec021</t>
  </si>
  <si>
    <t>https://www.who.int/bulletin/volumes/93/9/14-144899.pdf</t>
  </si>
  <si>
    <t>Salary of Health Extension Workers, 2018 Ethiopian Birr</t>
  </si>
  <si>
    <t>Column1</t>
  </si>
  <si>
    <t>Annual salary (ETB)</t>
  </si>
  <si>
    <t>Monthly salary (ETB)</t>
  </si>
  <si>
    <t>Annual salary (USD) 2018</t>
  </si>
  <si>
    <t>Health Extension Workers  level 3</t>
  </si>
  <si>
    <t>Health Extension Workers  level 4</t>
  </si>
  <si>
    <t>Exchange rate 2018</t>
  </si>
  <si>
    <t>Why are these pay rates so different between reports? Suggests salaries have not increased over time?</t>
  </si>
  <si>
    <t>i.e. they were $2400 in 2004, but have dereased in relative value due to no raises?</t>
  </si>
  <si>
    <t>https://www.exemplars.health/-/media/files/egh/resources/community-health-workers/ethiopia/perrychwprogramsinbrazilethiopiaandnepal2016.pdf</t>
  </si>
  <si>
    <t>https://pubmed.ncbi.nlm.nih.gov/27658649/</t>
  </si>
  <si>
    <t>Calculation to estimate weighted average, to compare to reported 32.0 hours to see if this is correct. Does not align well.</t>
  </si>
  <si>
    <t>Avg Hrs</t>
  </si>
  <si>
    <t>N</t>
  </si>
  <si>
    <t>% urban</t>
  </si>
  <si>
    <t>Amhara</t>
  </si>
  <si>
    <t>Tigray</t>
  </si>
  <si>
    <t>SNNP</t>
  </si>
  <si>
    <t>From Wikipedia</t>
  </si>
  <si>
    <t>Oromia</t>
  </si>
  <si>
    <t>pop R</t>
  </si>
  <si>
    <t>pop U</t>
  </si>
  <si>
    <t>Addis</t>
  </si>
  <si>
    <t>Wtd Avg</t>
  </si>
  <si>
    <t>Addis Ababa</t>
  </si>
  <si>
    <t>hours per week</t>
  </si>
  <si>
    <t>(see table 3 - 31:57)</t>
  </si>
  <si>
    <t>% of work time</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</si>
  <si>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</si>
  <si>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</si>
  <si>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</si>
  <si>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</si>
  <si>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</si>
  <si>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</si>
  <si>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</si>
  <si>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</si>
  <si>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</si>
  <si>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</si>
  <si>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</si>
  <si>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</si>
  <si>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</si>
  <si>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</si>
  <si>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</si>
  <si>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</si>
  <si>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</si>
  <si>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</si>
  <si>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</si>
  <si>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</si>
  <si>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https://pubmed.ncbi.nlm.nih.gov/32398196/</t>
  </si>
  <si>
    <t>Cape town</t>
  </si>
  <si>
    <t>Harere, Zimb</t>
  </si>
  <si>
    <t>Seasonal adjustment rate</t>
  </si>
  <si>
    <t>mm</t>
  </si>
  <si>
    <t>inches</t>
  </si>
  <si>
    <t>adults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</si>
  <si>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</si>
  <si>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</si>
  <si>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</si>
  <si>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</si>
  <si>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</si>
  <si>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</si>
  <si>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</si>
  <si>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</si>
  <si>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</si>
  <si>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</si>
  <si>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</si>
  <si>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</si>
  <si>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</si>
  <si>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</si>
  <si>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</si>
  <si>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</si>
  <si>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</si>
  <si>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</si>
  <si>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</si>
  <si>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</si>
  <si>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</si>
  <si>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</si>
  <si>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</si>
  <si>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</si>
  <si>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</si>
  <si>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</si>
  <si>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</si>
  <si>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</si>
  <si>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</si>
  <si>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</si>
  <si>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</si>
  <si>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</si>
  <si>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</si>
  <si>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</si>
  <si>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</si>
  <si>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</si>
  <si>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</si>
  <si>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</si>
  <si>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</si>
  <si>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https://www.ncbi.nlm.nih.gov/pmc/articles/PMC4488986/</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</si>
  <si>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</si>
  <si>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</si>
  <si>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</si>
  <si>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</si>
  <si>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</si>
  <si>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</si>
  <si>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</si>
  <si>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</si>
  <si>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</si>
  <si>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</si>
  <si>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</si>
  <si>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</si>
  <si>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</si>
  <si>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</si>
  <si>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</si>
  <si>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</si>
  <si>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</si>
  <si>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</si>
  <si>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https://d1u4sg1s9ptc4z.cloudfront.net/uploads/2021/03/fy-2019-ethiopia-malaria-operational-plan.pdf</t>
  </si>
  <si>
    <t>Source: Paper (downloaded from BMGF library) - Childhood health and prenatal exposure to seasonal food scarcity in Ethiopia</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</si>
  <si>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</si>
  <si>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</si>
  <si>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</si>
  <si>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</si>
  <si>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</si>
  <si>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</si>
  <si>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</si>
  <si>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</si>
  <si>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</si>
  <si>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</si>
  <si>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</si>
  <si>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</si>
  <si>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</si>
  <si>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</si>
  <si>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Should this be offset for cummulative exposure?</t>
  </si>
  <si>
    <t>I.e. after months of food shortage, more likely to be malnurished than in first month?</t>
  </si>
  <si>
    <t>Region</t>
  </si>
  <si>
    <t>ISO3</t>
  </si>
  <si>
    <t>Country</t>
  </si>
  <si>
    <t>Year</t>
  </si>
  <si>
    <t>AFR</t>
  </si>
  <si>
    <t>ETH</t>
  </si>
  <si>
    <t>COVID distortion</t>
  </si>
  <si>
    <t/>
  </si>
  <si>
    <t>Source: https://www.who.int/teams/immunization-vaccines-and-biologicals/immunization-analysis-and-insights/surveillance/monitoring/provisional-monthly-measles-and-rubella-data</t>
  </si>
  <si>
    <t>(currently 2 HEW per health post)</t>
  </si>
  <si>
    <t>2021 - HEP 2020-2035 plan - Ethiopia government</t>
  </si>
  <si>
    <t>2016 - WB report</t>
  </si>
  <si>
    <t>2016 WHO report</t>
  </si>
  <si>
    <t>HSDP - Govt of Ethiopia, October 2015</t>
  </si>
  <si>
    <t>Havard review / blog post</t>
  </si>
  <si>
    <t>Lit review - evaluation through 2018</t>
  </si>
  <si>
    <t>USAID factsheet on malaria</t>
  </si>
  <si>
    <t>Blog post on HEW during COVID</t>
  </si>
  <si>
    <t>Government Ethiopia blog post, 2019</t>
  </si>
  <si>
    <t>https://openknowledge.worldbank.org/bitstream/handle/10986/24119/9781464808159.pdf</t>
  </si>
  <si>
    <t>https://www.who.int/evidence/sure/pbimprovinghealthextensionprogramethiopia.pdf</t>
  </si>
  <si>
    <t>https://www.globalfinancingfacility.org/sites/gff_new/files/Ethiopia-health-system-transformation-plan.pdf</t>
  </si>
  <si>
    <t>http://www.hhpronline.org/articles/2016/12/17/the-health-extension-program-of-ethiopia</t>
  </si>
  <si>
    <t>https://www.ncbi.nlm.nih.gov/pmc/articles/PMC6434624/pdf/12992_2019_Article_470.pdf</t>
  </si>
  <si>
    <t>https://www.usaid.gov/sites/default/files/documents/Ethiopia-Fact-Sheet_PMI_July-2020.pdf</t>
  </si>
  <si>
    <t>https://www.internationalhealthpolicies.org/featured-article/meeting-old-demands-and-rising-to-new-challenges-revisiting-the-role-of-ethiopian-health-extension-workers-in-the-prevention-and-control-of-ncds-amid-covid-19/</t>
  </si>
  <si>
    <t>https://www.moh.gov.et/ejcc/en/node/177</t>
  </si>
  <si>
    <t>4B. Malaria ICCM (diagnostic, treatment, and follow-up)</t>
  </si>
  <si>
    <t>10B. Pneumonia treatment</t>
  </si>
  <si>
    <t>10B. Severe acute malnutrition (evaluation &amp; treatment)</t>
  </si>
  <si>
    <t>5B. NCDs</t>
  </si>
  <si>
    <t>- Prevention of NCDS</t>
  </si>
  <si>
    <t>- Diagnosis of NCDs</t>
  </si>
  <si>
    <t>- Referrals for NCDs</t>
  </si>
  <si>
    <t>17. Mental health</t>
  </si>
  <si>
    <t>3B. Institutional hygiene and sanitation</t>
  </si>
  <si>
    <t>- Education and outreach</t>
  </si>
  <si>
    <t>18. HIV</t>
  </si>
  <si>
    <t>- Testing</t>
  </si>
  <si>
    <t>- Counseling</t>
  </si>
  <si>
    <t>- Referrals</t>
  </si>
  <si>
    <t>11B. Expansion of FP services</t>
  </si>
  <si>
    <t>- Implants</t>
  </si>
  <si>
    <t>- IUCDs</t>
  </si>
  <si>
    <t>7B. Expansion of ANC services</t>
  </si>
  <si>
    <t>- PMTCT</t>
  </si>
  <si>
    <t>Systematic literature review</t>
  </si>
  <si>
    <t>World Bank report 2016</t>
  </si>
  <si>
    <t>HEW evaluation deck from ETH</t>
  </si>
  <si>
    <t>https://www.moh.gov.et/ejcc/sites/default/files/2019-10/2_Packages%20and%20implementation.pdf</t>
  </si>
  <si>
    <t>* Probably more in this paper. Are also data on lack of effects.</t>
  </si>
  <si>
    <t>* Was also current service availability SARA survey results in strategic plan?</t>
  </si>
  <si>
    <t>HEW impact on TB referral and diagnosis, Ethiopian trial</t>
  </si>
  <si>
    <t>** probably more in this deck we can use</t>
  </si>
  <si>
    <t>Yes</t>
  </si>
  <si>
    <t>Age (years)</t>
  </si>
  <si>
    <t>2020 Pop</t>
  </si>
  <si>
    <t>TotalPop</t>
  </si>
  <si>
    <t>FEMALE</t>
  </si>
  <si>
    <t>MALE</t>
  </si>
  <si>
    <t>0-4</t>
  </si>
  <si>
    <t>5-9</t>
  </si>
  <si>
    <t>10-14</t>
  </si>
  <si>
    <t>50-54</t>
  </si>
  <si>
    <t>55-59</t>
  </si>
  <si>
    <t>60-64</t>
  </si>
  <si>
    <t>65-69</t>
  </si>
  <si>
    <t>70-74</t>
  </si>
  <si>
    <t>75-79</t>
  </si>
  <si>
    <t>80-84</t>
  </si>
  <si>
    <t>85-89</t>
  </si>
  <si>
    <t>90-94</t>
  </si>
  <si>
    <t>95-99</t>
  </si>
  <si>
    <t>100+</t>
  </si>
  <si>
    <t xml:space="preserve">Bucket/5 </t>
  </si>
  <si>
    <t>adjust F</t>
  </si>
  <si>
    <t>adjust M</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</si>
  <si>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</si>
  <si>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</si>
  <si>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</si>
  <si>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</si>
  <si>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</si>
  <si>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</si>
  <si>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</si>
  <si>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</si>
  <si>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</si>
  <si>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</si>
  <si>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</si>
  <si>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</si>
  <si>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</si>
  <si>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Country code</t>
  </si>
  <si>
    <t>Type</t>
  </si>
  <si>
    <t>Parent code</t>
  </si>
  <si>
    <t>Reference date (as of 1 July)</t>
  </si>
  <si>
    <t>Estimates</t>
  </si>
  <si>
    <t>WORLD</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</si>
  <si>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</si>
  <si>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</si>
  <si>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</si>
  <si>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</si>
  <si>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</si>
  <si>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</si>
  <si>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</si>
  <si>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</si>
  <si>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</si>
  <si>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</si>
  <si>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</si>
  <si>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</si>
  <si>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</si>
  <si>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</si>
  <si>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</si>
  <si>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</si>
  <si>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</si>
  <si>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</si>
  <si>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</si>
  <si>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</si>
  <si>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</si>
  <si>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</si>
  <si>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</si>
  <si>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</si>
  <si>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</si>
  <si>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</si>
  <si>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</si>
  <si>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</si>
  <si>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</si>
  <si>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</si>
  <si>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</si>
  <si>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</si>
  <si>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</si>
  <si>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Asia</t>
  </si>
  <si>
    <t>k</t>
  </si>
  <si>
    <t>Europe</t>
  </si>
  <si>
    <t>l</t>
  </si>
  <si>
    <t>Latin America and the Caribbean</t>
  </si>
  <si>
    <t>m</t>
  </si>
  <si>
    <t>Northern America</t>
  </si>
  <si>
    <t>n</t>
  </si>
  <si>
    <t>Oceania</t>
  </si>
  <si>
    <t>o</t>
  </si>
  <si>
    <t>Sustainable Development Goal (SDG) regions</t>
  </si>
  <si>
    <t>p</t>
  </si>
  <si>
    <t>SUB-SAHARAN AFRICA</t>
  </si>
  <si>
    <t>SDG region</t>
  </si>
  <si>
    <t>Eastern Africa</t>
  </si>
  <si>
    <t>Subregion</t>
  </si>
  <si>
    <t>Country/Area</t>
  </si>
  <si>
    <t>Comoros</t>
  </si>
  <si>
    <t>Djibouti</t>
  </si>
  <si>
    <t>Kenya</t>
  </si>
  <si>
    <t>Madagascar</t>
  </si>
  <si>
    <t>Mauritius</t>
  </si>
  <si>
    <t>Mayotte</t>
  </si>
  <si>
    <t>Réunion</t>
  </si>
  <si>
    <t>Seychelles</t>
  </si>
  <si>
    <t>Somalia</t>
  </si>
  <si>
    <t>South Sudan</t>
  </si>
  <si>
    <t>Middle Africa</t>
  </si>
  <si>
    <t>Angola</t>
  </si>
  <si>
    <t>Cameroon</t>
  </si>
  <si>
    <t>Chad</t>
  </si>
  <si>
    <t>Democratic Republic of the Congo</t>
  </si>
  <si>
    <t>Equatorial Guinea</t>
  </si>
  <si>
    <t>Gabon</t>
  </si>
  <si>
    <t>Sao Tome and Principe</t>
  </si>
  <si>
    <t>Southern Africa</t>
  </si>
  <si>
    <t>Lesotho</t>
  </si>
  <si>
    <t>Western Africa</t>
  </si>
  <si>
    <t>Benin</t>
  </si>
  <si>
    <t>Burkina Faso</t>
  </si>
  <si>
    <t>Cabo Verde</t>
  </si>
  <si>
    <t>Gambia</t>
  </si>
  <si>
    <t>Ghana</t>
  </si>
  <si>
    <t>Guinea</t>
  </si>
  <si>
    <t>Guinea-Bissau</t>
  </si>
  <si>
    <t>Liberia</t>
  </si>
  <si>
    <t>Mali</t>
  </si>
  <si>
    <t>Mauritania</t>
  </si>
  <si>
    <t>Niger</t>
  </si>
  <si>
    <t>Nigeria</t>
  </si>
  <si>
    <t>Senegal</t>
  </si>
  <si>
    <t>Sierra Leone</t>
  </si>
  <si>
    <t>Togo</t>
  </si>
  <si>
    <t>NORTHERN AFRICA AND WESTERN ASIA</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</si>
  <si>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</si>
  <si>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</si>
  <si>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</si>
  <si>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</si>
  <si>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</si>
  <si>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</si>
  <si>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</si>
  <si>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</si>
  <si>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</si>
  <si>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</si>
  <si>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</si>
  <si>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</si>
  <si>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</si>
  <si>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</si>
  <si>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</si>
  <si>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</si>
  <si>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</si>
  <si>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</si>
  <si>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</si>
  <si>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</si>
  <si>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</si>
  <si>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</si>
  <si>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</si>
  <si>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</si>
  <si>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</si>
  <si>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</si>
  <si>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</si>
  <si>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AND SOUTHERN ASIA</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</si>
  <si>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</si>
  <si>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</si>
  <si>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</si>
  <si>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</si>
  <si>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</si>
  <si>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</si>
  <si>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</si>
  <si>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</si>
  <si>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</si>
  <si>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</si>
  <si>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</si>
  <si>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</si>
  <si>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</si>
  <si>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</si>
  <si>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</si>
  <si>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</si>
  <si>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AND SOUTH-EASTERN ASIA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</si>
  <si>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</si>
  <si>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</si>
  <si>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</si>
  <si>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</si>
  <si>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</si>
  <si>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</si>
  <si>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</si>
  <si>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</si>
  <si>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</si>
  <si>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</si>
  <si>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</si>
  <si>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</si>
  <si>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</si>
  <si>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</si>
  <si>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</si>
  <si>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</si>
  <si>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</si>
  <si>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</si>
  <si>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</si>
  <si>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</si>
  <si>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</si>
  <si>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LATIN AMERICA AND THE CARIBBEAN</t>
  </si>
  <si>
    <t>Caribbean</t>
  </si>
  <si>
    <t>Antigua and Barbuda</t>
  </si>
  <si>
    <t>Aruba</t>
  </si>
  <si>
    <t>Bahamas</t>
  </si>
  <si>
    <t>Barbados</t>
  </si>
  <si>
    <t>Cuba</t>
  </si>
  <si>
    <t>Curaçao</t>
  </si>
  <si>
    <t>Dominican Republic</t>
  </si>
  <si>
    <t>Grenada</t>
  </si>
  <si>
    <t>Guadeloupe</t>
  </si>
  <si>
    <t>Haiti</t>
  </si>
  <si>
    <t>Jamaica</t>
  </si>
  <si>
    <t>Martinique</t>
  </si>
  <si>
    <t>Puerto Rico</t>
  </si>
  <si>
    <t>Saint Lucia</t>
  </si>
  <si>
    <t>Saint Vincent and the Grenadines</t>
  </si>
  <si>
    <t>Trinidad and Tobago</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</si>
  <si>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</si>
  <si>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</si>
  <si>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</si>
  <si>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</si>
  <si>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</si>
  <si>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</si>
  <si>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</si>
  <si>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</si>
  <si>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</si>
  <si>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</si>
  <si>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</si>
  <si>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</si>
  <si>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</si>
  <si>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</si>
  <si>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</si>
  <si>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</si>
  <si>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</si>
  <si>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French Guiana</t>
  </si>
  <si>
    <t>Guyana</t>
  </si>
  <si>
    <t>Paraguay</t>
  </si>
  <si>
    <t>Peru</t>
  </si>
  <si>
    <t>Suriname</t>
  </si>
  <si>
    <t>Uruguay</t>
  </si>
  <si>
    <t>Venezuela (Bolivarian Republic of)</t>
  </si>
  <si>
    <t>AUSTRALIA/NEW ZEALAND</t>
  </si>
  <si>
    <t>Australia</t>
  </si>
  <si>
    <t>New Zealand</t>
  </si>
  <si>
    <t>OCEANIA (EXCLUDING AUSTRALIA AND NEW ZEALAND)</t>
  </si>
  <si>
    <t>Melanesia</t>
  </si>
  <si>
    <t>Fiji</t>
  </si>
  <si>
    <t>New Caledonia</t>
  </si>
  <si>
    <t>Papua New Guinea</t>
  </si>
  <si>
    <t>Solomon Islands</t>
  </si>
  <si>
    <t>Vanuatu</t>
  </si>
  <si>
    <t>Micronesia</t>
  </si>
  <si>
    <t>Guam</t>
  </si>
  <si>
    <t>Kiribati</t>
  </si>
  <si>
    <t>Micronesia (Fed. States of)</t>
  </si>
  <si>
    <t>Polynesia</t>
  </si>
  <si>
    <t>French Polynesia</t>
  </si>
  <si>
    <t>Samoa</t>
  </si>
  <si>
    <t>Tonga</t>
  </si>
  <si>
    <t>EUROPE AND NORTHERN AMERICA</t>
  </si>
  <si>
    <t>EUROPE</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</si>
  <si>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</si>
  <si>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</si>
  <si>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</si>
  <si>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</si>
  <si>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</si>
  <si>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</si>
  <si>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</si>
  <si>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</si>
  <si>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</si>
  <si>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</si>
  <si>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</si>
  <si>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</si>
  <si>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</si>
  <si>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</si>
  <si>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</si>
  <si>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</si>
  <si>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Finland</t>
  </si>
  <si>
    <t>Iceland</t>
  </si>
  <si>
    <t>Ireland</t>
  </si>
  <si>
    <t>Latvia</t>
  </si>
  <si>
    <t>Lithuania</t>
  </si>
  <si>
    <t>Norway</t>
  </si>
  <si>
    <t>Sweden</t>
  </si>
  <si>
    <t>United Kingdom</t>
  </si>
  <si>
    <t>Southern Europe</t>
  </si>
  <si>
    <t>Albania</t>
  </si>
  <si>
    <t>Bosnia and Herzegovina</t>
  </si>
  <si>
    <t>Croatia</t>
  </si>
  <si>
    <t>Greece</t>
  </si>
  <si>
    <t>Italy</t>
  </si>
  <si>
    <t>Malta</t>
  </si>
  <si>
    <t>Montenegro</t>
  </si>
  <si>
    <t>North Macedonia</t>
  </si>
  <si>
    <t>Portugal</t>
  </si>
  <si>
    <t>Serbia</t>
  </si>
  <si>
    <t>Slovenia</t>
  </si>
  <si>
    <t>Spain</t>
  </si>
  <si>
    <t>Western Europe</t>
  </si>
  <si>
    <t>Austria</t>
  </si>
  <si>
    <t>Belgium</t>
  </si>
  <si>
    <t>France</t>
  </si>
  <si>
    <t>Germany</t>
  </si>
  <si>
    <t>Luxembourg</t>
  </si>
  <si>
    <t>Netherlands</t>
  </si>
  <si>
    <t>Switzerland</t>
  </si>
  <si>
    <t>NORTHERN AMERICA</t>
  </si>
  <si>
    <t>Canada</t>
  </si>
  <si>
    <t>United States of America</t>
  </si>
  <si>
    <t>File POP/7-3: Female population by five-year age group, region, subregion and country, 1950-2100 (thousands)</t>
  </si>
  <si>
    <t>POP/DB/WPP/Rev.2019/POP/F07-3</t>
  </si>
  <si>
    <t>Female population by five-year age group (thousands)</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</si>
  <si>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</si>
  <si>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</si>
  <si>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</si>
  <si>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</si>
  <si>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</si>
  <si>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</si>
  <si>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</si>
  <si>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</si>
  <si>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</si>
  <si>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</si>
  <si>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</si>
  <si>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</si>
  <si>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</si>
  <si>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</si>
  <si>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</si>
  <si>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</si>
  <si>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</si>
  <si>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</si>
  <si>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</si>
  <si>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</si>
  <si>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</si>
  <si>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</si>
  <si>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</si>
  <si>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</si>
  <si>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</si>
  <si>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</si>
  <si>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</si>
  <si>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</si>
  <si>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</si>
  <si>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</si>
  <si>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</si>
  <si>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</si>
  <si>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</si>
  <si>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</si>
  <si>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</si>
  <si>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</si>
  <si>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</si>
  <si>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</si>
  <si>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</si>
  <si>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</si>
  <si>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</si>
  <si>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</si>
  <si>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</si>
  <si>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</si>
  <si>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</si>
  <si>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</si>
  <si>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</si>
  <si>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</si>
  <si>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</si>
  <si>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</si>
  <si>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</si>
  <si>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</si>
  <si>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</si>
  <si>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</si>
  <si>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</si>
  <si>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</si>
  <si>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</si>
  <si>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</si>
  <si>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</si>
  <si>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</si>
  <si>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</si>
  <si>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</si>
  <si>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</si>
  <si>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</si>
  <si>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</si>
  <si>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</si>
  <si>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</si>
  <si>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</si>
  <si>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ABW</t>
  </si>
  <si>
    <t>Incidence of tuberculosis (per 100,000 people)</t>
  </si>
  <si>
    <t>SH.TBS.INCD</t>
  </si>
  <si>
    <t>Africa Eastern and Southern</t>
  </si>
  <si>
    <t>AFE</t>
  </si>
  <si>
    <t>AFG</t>
  </si>
  <si>
    <t>Africa Western and Central</t>
  </si>
  <si>
    <t>AFW</t>
  </si>
  <si>
    <t>AGO</t>
  </si>
  <si>
    <t>ALB</t>
  </si>
  <si>
    <t>Andorra</t>
  </si>
  <si>
    <t>AND</t>
  </si>
  <si>
    <t>Arab World</t>
  </si>
  <si>
    <t>ARB</t>
  </si>
  <si>
    <t>ARE</t>
  </si>
  <si>
    <t>ARG</t>
  </si>
  <si>
    <t>ARM</t>
  </si>
  <si>
    <t>American Samoa</t>
  </si>
  <si>
    <t>ASM</t>
  </si>
  <si>
    <t>ATG</t>
  </si>
  <si>
    <t>AUS</t>
  </si>
  <si>
    <t>AUT</t>
  </si>
  <si>
    <t>AZE</t>
  </si>
  <si>
    <t>BDI</t>
  </si>
  <si>
    <t>BEL</t>
  </si>
  <si>
    <t>BEN</t>
  </si>
  <si>
    <t>BFA</t>
  </si>
  <si>
    <t>BGD</t>
  </si>
  <si>
    <t>BGR</t>
  </si>
  <si>
    <t>BHR</t>
  </si>
  <si>
    <t>Bahamas, The</t>
  </si>
  <si>
    <t>BHS</t>
  </si>
  <si>
    <t>BIH</t>
  </si>
  <si>
    <t>BLR</t>
  </si>
  <si>
    <t>BLZ</t>
  </si>
  <si>
    <t>Bermuda</t>
  </si>
  <si>
    <t>BMU</t>
  </si>
  <si>
    <t>Bolivia</t>
  </si>
  <si>
    <t>BOL</t>
  </si>
  <si>
    <t>BRA</t>
  </si>
  <si>
    <t>BRB</t>
  </si>
  <si>
    <t>BRN</t>
  </si>
  <si>
    <t>BTN</t>
  </si>
  <si>
    <t>BWA</t>
  </si>
  <si>
    <t>CAF</t>
  </si>
  <si>
    <t>CAN</t>
  </si>
  <si>
    <t>Central Europe and the Baltics</t>
  </si>
  <si>
    <t>CEB</t>
  </si>
  <si>
    <t>CHE</t>
  </si>
  <si>
    <t>CHI</t>
  </si>
  <si>
    <t>CHL</t>
  </si>
  <si>
    <t>CHN</t>
  </si>
  <si>
    <t>Cote d'Ivoire</t>
  </si>
  <si>
    <t>CIV</t>
  </si>
  <si>
    <t>CMR</t>
  </si>
  <si>
    <t>Congo, Dem. Rep.</t>
  </si>
  <si>
    <t>COD</t>
  </si>
  <si>
    <t>Congo, Rep.</t>
  </si>
  <si>
    <t>COG</t>
  </si>
  <si>
    <t>COL</t>
  </si>
  <si>
    <t>COM</t>
  </si>
  <si>
    <t>CPV</t>
  </si>
  <si>
    <t>CRI</t>
  </si>
  <si>
    <t>Caribbean small states</t>
  </si>
  <si>
    <t>CSS</t>
  </si>
  <si>
    <t>CUB</t>
  </si>
  <si>
    <t>Curacao</t>
  </si>
  <si>
    <t>CUW</t>
  </si>
  <si>
    <t>Cayman Islands</t>
  </si>
  <si>
    <t>CYM</t>
  </si>
  <si>
    <t>CYP</t>
  </si>
  <si>
    <t>Czech Republic</t>
  </si>
  <si>
    <t>CZE</t>
  </si>
  <si>
    <t>DEU</t>
  </si>
  <si>
    <t>DJI</t>
  </si>
  <si>
    <t>Dominica</t>
  </si>
  <si>
    <t>DMA</t>
  </si>
  <si>
    <t>DNK</t>
  </si>
  <si>
    <t>DOM</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</si>
  <si>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</si>
  <si>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</si>
  <si>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</si>
  <si>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</si>
  <si>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</si>
  <si>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</si>
  <si>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</si>
  <si>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</si>
  <si>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</si>
  <si>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</si>
  <si>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</si>
  <si>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t>
  </si>
  <si>
    <t>Egypt, Arab Rep.</t>
  </si>
  <si>
    <t>EGY</t>
  </si>
  <si>
    <t>Euro area</t>
  </si>
  <si>
    <t>EMU</t>
  </si>
  <si>
    <t>ERI</t>
  </si>
  <si>
    <t>ESP</t>
  </si>
  <si>
    <t>EST</t>
  </si>
  <si>
    <t>European Union</t>
  </si>
  <si>
    <t>EUU</t>
  </si>
  <si>
    <t>Fragile and conflict affected situations</t>
  </si>
  <si>
    <t>FCS</t>
  </si>
  <si>
    <t>FIN</t>
  </si>
  <si>
    <t>FJI</t>
  </si>
  <si>
    <t>FRA</t>
  </si>
  <si>
    <t>Faroe Islands</t>
  </si>
  <si>
    <t>FRO</t>
  </si>
  <si>
    <t>Micronesia, Fed. Sts.</t>
  </si>
  <si>
    <t>FSM</t>
  </si>
  <si>
    <t>GAB</t>
  </si>
  <si>
    <t>GBR</t>
  </si>
  <si>
    <t>GEO</t>
  </si>
  <si>
    <t>GHA</t>
  </si>
  <si>
    <t>Gibraltar</t>
  </si>
  <si>
    <t>GIB</t>
  </si>
  <si>
    <t>GIN</t>
  </si>
  <si>
    <t>Gambia, The</t>
  </si>
  <si>
    <t>GMB</t>
  </si>
  <si>
    <t>GNB</t>
  </si>
  <si>
    <t>GNQ</t>
  </si>
  <si>
    <t>GRC</t>
  </si>
  <si>
    <t>GRD</t>
  </si>
  <si>
    <t>Greenland</t>
  </si>
  <si>
    <t>GRL</t>
  </si>
  <si>
    <t>GTM</t>
  </si>
  <si>
    <t>GUM</t>
  </si>
  <si>
    <t>GUY</t>
  </si>
  <si>
    <t>High income</t>
  </si>
  <si>
    <t>HIC</t>
  </si>
  <si>
    <t>Hong Kong SAR, China</t>
  </si>
  <si>
    <t>HKG</t>
  </si>
  <si>
    <t>HND</t>
  </si>
  <si>
    <t>Heavily indebted poor countries (HIPC)</t>
  </si>
  <si>
    <t>HPC</t>
  </si>
  <si>
    <t>HRV</t>
  </si>
  <si>
    <t>HTI</t>
  </si>
  <si>
    <t>HUN</t>
  </si>
  <si>
    <t>IBRD only</t>
  </si>
  <si>
    <t>IBD</t>
  </si>
  <si>
    <t>IDA &amp; IBRD total</t>
  </si>
  <si>
    <t>IBT</t>
  </si>
  <si>
    <t>IDA total</t>
  </si>
  <si>
    <t>IDA</t>
  </si>
  <si>
    <t>IDA blend</t>
  </si>
  <si>
    <t>IDB</t>
  </si>
  <si>
    <t>IDN</t>
  </si>
  <si>
    <t>IDA only</t>
  </si>
  <si>
    <t>IDX</t>
  </si>
  <si>
    <t>Isle of Man</t>
  </si>
  <si>
    <t>IMN</t>
  </si>
  <si>
    <t>IND</t>
  </si>
  <si>
    <t>Not classified</t>
  </si>
  <si>
    <t>INX</t>
  </si>
  <si>
    <t>IRL</t>
  </si>
  <si>
    <t>Iran, Islamic Rep.</t>
  </si>
  <si>
    <t>IRN</t>
  </si>
  <si>
    <t>IRQ</t>
  </si>
  <si>
    <t>ISL</t>
  </si>
  <si>
    <t>ISR</t>
  </si>
  <si>
    <t>ITA</t>
  </si>
  <si>
    <t>JAM</t>
  </si>
  <si>
    <t>JOR</t>
  </si>
  <si>
    <t>JPN</t>
  </si>
  <si>
    <t>KAZ</t>
  </si>
  <si>
    <t>KEN</t>
  </si>
  <si>
    <t>Kyrgyz Republic</t>
  </si>
  <si>
    <t>KGZ</t>
  </si>
  <si>
    <t>KHM</t>
  </si>
  <si>
    <t>KIR</t>
  </si>
  <si>
    <t>St. Kitts and Nevis</t>
  </si>
  <si>
    <t>KNA</t>
  </si>
  <si>
    <t>Korea, Rep.</t>
  </si>
  <si>
    <t>KOR</t>
  </si>
  <si>
    <t>KWT</t>
  </si>
  <si>
    <t>Latin America &amp; Caribbean (excluding high income)</t>
  </si>
  <si>
    <t>LAC</t>
  </si>
  <si>
    <t>Lao PDR</t>
  </si>
  <si>
    <t>LAO</t>
  </si>
  <si>
    <t>LBN</t>
  </si>
  <si>
    <t>LBR</t>
  </si>
  <si>
    <t>LBY</t>
  </si>
  <si>
    <t>St. Lucia</t>
  </si>
  <si>
    <t>LCA</t>
  </si>
  <si>
    <t>Latin America &amp; Caribbean</t>
  </si>
  <si>
    <t>LCN</t>
  </si>
  <si>
    <t>Least developed countries: UN classification</t>
  </si>
  <si>
    <t>LDC</t>
  </si>
  <si>
    <t>Low income</t>
  </si>
  <si>
    <t>LIC</t>
  </si>
  <si>
    <t>Liechtenstein</t>
  </si>
  <si>
    <t>LIE</t>
  </si>
  <si>
    <t>LKA</t>
  </si>
  <si>
    <t>Lower middle income</t>
  </si>
  <si>
    <t>LMC</t>
  </si>
  <si>
    <t>Low &amp; middle income</t>
  </si>
  <si>
    <t>LMY</t>
  </si>
  <si>
    <t>LSO</t>
  </si>
  <si>
    <t>Late-demographic dividend</t>
  </si>
  <si>
    <t>LTE</t>
  </si>
  <si>
    <t>LTU</t>
  </si>
  <si>
    <t>LUX</t>
  </si>
  <si>
    <t>LVA</t>
  </si>
  <si>
    <t>Macao SAR, China</t>
  </si>
  <si>
    <t>MAC</t>
  </si>
  <si>
    <t>St. Martin (French part)</t>
  </si>
  <si>
    <t>MAF</t>
  </si>
  <si>
    <t>MAR</t>
  </si>
  <si>
    <t>Monaco</t>
  </si>
  <si>
    <t>MCO</t>
  </si>
  <si>
    <t>Moldova</t>
  </si>
  <si>
    <t>MDA</t>
  </si>
  <si>
    <t>MDG</t>
  </si>
  <si>
    <t>MDV</t>
  </si>
  <si>
    <t>Middle East &amp; North Africa</t>
  </si>
  <si>
    <t>MEA</t>
  </si>
  <si>
    <t>MEX</t>
  </si>
  <si>
    <t>Marshall Islands</t>
  </si>
  <si>
    <t>MHL</t>
  </si>
  <si>
    <t>Middle income</t>
  </si>
  <si>
    <t>MIC</t>
  </si>
  <si>
    <t>MKD</t>
  </si>
  <si>
    <t>MLI</t>
  </si>
  <si>
    <t>MLT</t>
  </si>
  <si>
    <t>MMR</t>
  </si>
  <si>
    <t>Middle East &amp; North Africa (excluding high income)</t>
  </si>
  <si>
    <t>MNA</t>
  </si>
  <si>
    <t>MNE</t>
  </si>
  <si>
    <t>MNG</t>
  </si>
  <si>
    <t>Northern Mariana Islands</t>
  </si>
  <si>
    <t>MNP</t>
  </si>
  <si>
    <t>MOZ</t>
  </si>
  <si>
    <t>MRT</t>
  </si>
  <si>
    <t>MUS</t>
  </si>
  <si>
    <t>MWI</t>
  </si>
  <si>
    <t>MYS</t>
  </si>
  <si>
    <t>North America</t>
  </si>
  <si>
    <t>NAC</t>
  </si>
  <si>
    <t>NAM</t>
  </si>
  <si>
    <t>NCL</t>
  </si>
  <si>
    <t>NER</t>
  </si>
  <si>
    <t>NGA</t>
  </si>
  <si>
    <t>NIC</t>
  </si>
  <si>
    <t>NLD</t>
  </si>
  <si>
    <t>NOR</t>
  </si>
  <si>
    <t>NPL</t>
  </si>
  <si>
    <t>Nauru</t>
  </si>
  <si>
    <t>NRU</t>
  </si>
  <si>
    <t>NZL</t>
  </si>
  <si>
    <t>OECD members</t>
  </si>
  <si>
    <t>OED</t>
  </si>
  <si>
    <t>OMN</t>
  </si>
  <si>
    <t>Other small states</t>
  </si>
  <si>
    <t>OSS</t>
  </si>
  <si>
    <t>PAK</t>
  </si>
  <si>
    <t>PAN</t>
  </si>
  <si>
    <t>PER</t>
  </si>
  <si>
    <t>PHL</t>
  </si>
  <si>
    <t>Palau</t>
  </si>
  <si>
    <t>PLW</t>
  </si>
  <si>
    <t>PNG</t>
  </si>
  <si>
    <t>POL</t>
  </si>
  <si>
    <t>Pre-demographic dividend</t>
  </si>
  <si>
    <t>PRE</t>
  </si>
  <si>
    <t>PRI</t>
  </si>
  <si>
    <t>Korea, Dem. People's Rep.</t>
  </si>
  <si>
    <t>PRK</t>
  </si>
  <si>
    <t>PRT</t>
  </si>
  <si>
    <t>PRY</t>
  </si>
  <si>
    <t>West Bank and Gaza</t>
  </si>
  <si>
    <t>PSE</t>
  </si>
  <si>
    <t>Pacific island small states</t>
  </si>
  <si>
    <t>PSS</t>
  </si>
  <si>
    <t>Post-demographic dividend</t>
  </si>
  <si>
    <t>PST</t>
  </si>
  <si>
    <t>PYF</t>
  </si>
  <si>
    <t>QAT</t>
  </si>
  <si>
    <t>ROU</t>
  </si>
  <si>
    <t>RUS</t>
  </si>
  <si>
    <t>RWA</t>
  </si>
  <si>
    <t>South Asia</t>
  </si>
  <si>
    <t>SAS</t>
  </si>
  <si>
    <t>SAU</t>
  </si>
  <si>
    <t>SDN</t>
  </si>
  <si>
    <t>SEN</t>
  </si>
  <si>
    <t>SGP</t>
  </si>
  <si>
    <t>SLB</t>
  </si>
  <si>
    <t>SLE</t>
  </si>
  <si>
    <t>SLV</t>
  </si>
  <si>
    <t>San Marino</t>
  </si>
  <si>
    <t>SMR</t>
  </si>
  <si>
    <t>SOM</t>
  </si>
  <si>
    <t>SRB</t>
  </si>
  <si>
    <t>Sub-Saharan Africa (excluding high income)</t>
  </si>
  <si>
    <t>SSA</t>
  </si>
  <si>
    <t>SSD</t>
  </si>
  <si>
    <t>Sub-Saharan Africa</t>
  </si>
  <si>
    <t>SSF</t>
  </si>
  <si>
    <t>Small states</t>
  </si>
  <si>
    <t>SST</t>
  </si>
  <si>
    <t>STP</t>
  </si>
  <si>
    <t>SUR</t>
  </si>
  <si>
    <t>Slovak Republic</t>
  </si>
  <si>
    <t>SVK</t>
  </si>
  <si>
    <t>SVN</t>
  </si>
  <si>
    <t>SWE</t>
  </si>
  <si>
    <t>SWZ</t>
  </si>
  <si>
    <t>Sint Maarten (Dutch part)</t>
  </si>
  <si>
    <t>SXM</t>
  </si>
  <si>
    <t>SYC</t>
  </si>
  <si>
    <t>SYR</t>
  </si>
  <si>
    <t>Turks and Caicos Islands</t>
  </si>
  <si>
    <t>TCA</t>
  </si>
  <si>
    <t>TCD</t>
  </si>
  <si>
    <t>East Asia &amp; Pacific (IDA &amp; IBRD countries)</t>
  </si>
  <si>
    <t>TEA</t>
  </si>
  <si>
    <t>Europe &amp; Central Asia (IDA &amp; IBRD countries)</t>
  </si>
  <si>
    <t>TEC</t>
  </si>
  <si>
    <t>TGO</t>
  </si>
  <si>
    <t>THA</t>
  </si>
  <si>
    <t>TJK</t>
  </si>
  <si>
    <t>TKM</t>
  </si>
  <si>
    <t>Latin America &amp; the Caribbean (IDA &amp; IBRD countries)</t>
  </si>
  <si>
    <t>TLA</t>
  </si>
  <si>
    <t>TLS</t>
  </si>
  <si>
    <t>Middle East &amp; North Africa (IDA &amp; IBRD countries)</t>
  </si>
  <si>
    <t>TMN</t>
  </si>
  <si>
    <t>TON</t>
  </si>
  <si>
    <t>South Asia (IDA &amp; IBRD)</t>
  </si>
  <si>
    <t>TSA</t>
  </si>
  <si>
    <t>Sub-Saharan Africa (IDA &amp; IBRD countries)</t>
  </si>
  <si>
    <t>TSS</t>
  </si>
  <si>
    <t>TTO</t>
  </si>
  <si>
    <t>TUN</t>
  </si>
  <si>
    <t>TUR</t>
  </si>
  <si>
    <t>Tuvalu</t>
  </si>
  <si>
    <t>TUV</t>
  </si>
  <si>
    <t>Tanzania</t>
  </si>
  <si>
    <t>TZA</t>
  </si>
  <si>
    <t>UGA</t>
  </si>
  <si>
    <t>UKR</t>
  </si>
  <si>
    <t>Upper middle income</t>
  </si>
  <si>
    <t>UMC</t>
  </si>
  <si>
    <t>URY</t>
  </si>
  <si>
    <t>United States</t>
  </si>
  <si>
    <t>USA</t>
  </si>
  <si>
    <t>UZB</t>
  </si>
  <si>
    <t>St. Vincent and the Grenadines</t>
  </si>
  <si>
    <t>VCT</t>
  </si>
  <si>
    <t>Venezuela, RB</t>
  </si>
  <si>
    <t>VEN</t>
  </si>
  <si>
    <t>British Virgin Islands</t>
  </si>
  <si>
    <t>VGB</t>
  </si>
  <si>
    <t>Virgin Islands (U.S.)</t>
  </si>
  <si>
    <t>VIR</t>
  </si>
  <si>
    <t>Vietnam</t>
  </si>
  <si>
    <t>VNM</t>
  </si>
  <si>
    <t>VUT</t>
  </si>
  <si>
    <t>WLD</t>
  </si>
  <si>
    <t>WSM</t>
  </si>
  <si>
    <t>Kosovo</t>
  </si>
  <si>
    <t>XKX</t>
  </si>
  <si>
    <t>Yemen, Rep.</t>
  </si>
  <si>
    <t>YEM</t>
  </si>
  <si>
    <t>ZAF</t>
  </si>
  <si>
    <t>ZMB</t>
  </si>
  <si>
    <t>ZWE</t>
  </si>
  <si>
    <t>Ratio</t>
  </si>
  <si>
    <t>* using last 6 years bc/ of stability</t>
  </si>
  <si>
    <t>Projection</t>
  </si>
  <si>
    <t>Incidence of malaria (per 1,000 population at risk)</t>
  </si>
  <si>
    <t>SH.MLR.INCD.P3</t>
  </si>
  <si>
    <t>* using 10 years bc/ of variability, reduces drop rate to be conservative</t>
  </si>
  <si>
    <t>Contraceptive prevalence, modern methods (% of women ages 15-49)</t>
  </si>
  <si>
    <t>SP.DYN.CONM.ZS</t>
  </si>
  <si>
    <t>*** modern contraceptive use (mcpr)</t>
  </si>
  <si>
    <t>*** unmet need</t>
  </si>
  <si>
    <t>*** total demand seems to not be changing.</t>
  </si>
  <si>
    <t>Thus, skip the growth rate bc/ increases in MCPR are coming out of the demand, not new demand.</t>
  </si>
  <si>
    <t>mcpr</t>
  </si>
  <si>
    <t>unmet need</t>
  </si>
  <si>
    <t>total demand</t>
  </si>
  <si>
    <t>Unmet need for contraception (% of married women ages 15-49)</t>
  </si>
  <si>
    <t>SP.UWT.TFRT</t>
  </si>
  <si>
    <t>Prevalence of HIV, total (% of population ages 15-49)</t>
  </si>
  <si>
    <t>SH.DYN.AIDS.ZS</t>
  </si>
  <si>
    <t>* using all data bc/ of cyclicality of estimates</t>
  </si>
  <si>
    <t>Incidence of HIV, ages 15-49 (per 1,000 uninfected population ages 15-49)</t>
  </si>
  <si>
    <t>SH.HIV.INCD.ZS</t>
  </si>
  <si>
    <t>Ratio to Prevalence</t>
  </si>
  <si>
    <t>Ratio to Prevalence Projection</t>
  </si>
  <si>
    <t>* using last 5 years to avoid over/under-estimating</t>
  </si>
  <si>
    <t>Mortality rate, infant (per 1,000 live births)</t>
  </si>
  <si>
    <t>SP.DYN.IMRT.IN</t>
  </si>
  <si>
    <t>* using last year only bc/ of trend</t>
  </si>
  <si>
    <t>Mortality rate, under-5 (per 1,000 live births)</t>
  </si>
  <si>
    <t>SH.DYN.MORT</t>
  </si>
  <si>
    <t>Probability of dying among children ages 5-9 years (per 1,000)</t>
  </si>
  <si>
    <t>SH.DYN.0509</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</si>
  <si>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</si>
  <si>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</si>
  <si>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</si>
  <si>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</si>
  <si>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</si>
  <si>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</si>
  <si>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</si>
  <si>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</si>
  <si>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</si>
  <si>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</si>
  <si>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7 years bc/ stable</t>
  </si>
  <si>
    <t>Mortality rate, adult, male (per 1,000 male adults)</t>
  </si>
  <si>
    <t>SP.DYN.AMRT.MA</t>
  </si>
  <si>
    <t>Community/H2H</t>
  </si>
  <si>
    <t>Health post</t>
  </si>
  <si>
    <t>Outreach</t>
  </si>
  <si>
    <t>ICF, 2015. The DHS Program STATcompiler. Funded by USAID. http://www.statcompiler.com. December 16 2021</t>
  </si>
  <si>
    <t>Age-specific fertility rate for the three years preceding the survey for age group 45-49 expressed per 1,000 women</t>
  </si>
  <si>
    <t>Age specific fertility rate: 45-49</t>
  </si>
  <si>
    <t>Age-specific fertility rate for the three years preceding the survey for age group 40-44 expressed per 1,000 women</t>
  </si>
  <si>
    <t>Age specific fertility rate: 40-44</t>
  </si>
  <si>
    <t>Age-specific fertility rate for the three years preceding the survey for age group 35-39 expressed per 1,000 women</t>
  </si>
  <si>
    <t>Age specific fertility rate: 35-39</t>
  </si>
  <si>
    <t>Age-specific fertility rate for the three years preceding the survey for age group 30-34 expressed per 1,000 women</t>
  </si>
  <si>
    <t>Age specific fertility rate: 30-34</t>
  </si>
  <si>
    <t>Age-specific fertility rate for the three years preceding the survey for age group 25-29 expressed per 1,000 women</t>
  </si>
  <si>
    <t>Age specific fertility rate: 25-29</t>
  </si>
  <si>
    <t>Age-specific fertility rate for the three years preceding the survey for age group 20-24 expressed per 1,000 women</t>
  </si>
  <si>
    <t>Age specific fertility rate: 20-24</t>
  </si>
  <si>
    <t>Age-specific fertility rate for the three years preceding the survey for age group 15-19 expressed per 1,000 women</t>
  </si>
  <si>
    <t>Age specific fertility rate: 15-19</t>
  </si>
  <si>
    <t>Total fertility rate for the three years preceding the survey for age group 15-49 expressed per woman</t>
  </si>
  <si>
    <t>Total fertility rate 15-49</t>
  </si>
  <si>
    <t>2000 DHS</t>
  </si>
  <si>
    <t>2005 DHS</t>
  </si>
  <si>
    <t>2011 DHS</t>
  </si>
  <si>
    <t>2016 DHS</t>
  </si>
  <si>
    <t>2019 DHS</t>
  </si>
  <si>
    <t>Survey</t>
  </si>
  <si>
    <t>2019/2016</t>
  </si>
  <si>
    <t>2016/2011</t>
  </si>
  <si>
    <t>2011/2005</t>
  </si>
  <si>
    <t>2005/2000</t>
  </si>
  <si>
    <t>2019/2000</t>
  </si>
  <si>
    <t>annualized ratios</t>
  </si>
  <si>
    <t>Population served (Number of births)</t>
  </si>
  <si>
    <t>Annual birth rate per woman 25-29</t>
  </si>
  <si>
    <t>Annual birth rate per woman 20-24</t>
  </si>
  <si>
    <t>Annual birth rate per woman 30-34</t>
  </si>
  <si>
    <t>Annual birth rate per woman 35-39</t>
  </si>
  <si>
    <t>Annual birth rate per woman 40-44</t>
  </si>
  <si>
    <t>Annual birth rate per woman 45-49</t>
  </si>
  <si>
    <t>* DALYs only include avoided maternal mortality due to unintended pregnancies. Includes all FP impact in the consultation, weighted by type use mix.</t>
  </si>
  <si>
    <t>* DALYs are per person getting on treatment. This only applies to new cases, not to tests.</t>
  </si>
  <si>
    <t>Attribution factor</t>
  </si>
  <si>
    <t>* DALYs as a package. No direct DALYs, but have to do testing to find cases.</t>
  </si>
  <si>
    <t>* attributing a quarter of the benefit to CHW, since they cannot treat the most severe cases themselves if they need hospitalization</t>
  </si>
  <si>
    <t>* Attributing a quarter of the benefit to CHW, since there is substantial follow-on resources that are needed in order to gain the DALYs. However, case finding is key, so they get much credit.</t>
  </si>
  <si>
    <t>Reference</t>
  </si>
  <si>
    <t>* required for other nutrition activities to occur</t>
  </si>
  <si>
    <t>testing positivity rate</t>
  </si>
  <si>
    <t>Identification of new cases</t>
  </si>
  <si>
    <t>Improved treatment success, fully attributable to CHW</t>
  </si>
  <si>
    <t>Pre-intervention rate</t>
  </si>
  <si>
    <t>Post-intervention rate</t>
  </si>
  <si>
    <t>Ratio of case identification</t>
  </si>
  <si>
    <t>smear-positive</t>
  </si>
  <si>
    <t>all TB</t>
  </si>
  <si>
    <t>Per-case attributable fraction</t>
  </si>
  <si>
    <t>percent found due to CHW</t>
  </si>
  <si>
    <t>Cases found and successfully treated, pre</t>
  </si>
  <si>
    <t>Cases found and successfully treated, post</t>
  </si>
  <si>
    <t>Net successes</t>
  </si>
  <si>
    <t>proportion of value attributable to CHW intervention</t>
  </si>
  <si>
    <t>https://www.who.int/choice/publications/p_2005_MDG_series_TB.pdf</t>
  </si>
  <si>
    <t>Minimal 95%</t>
  </si>
  <si>
    <t>Full 95%</t>
  </si>
  <si>
    <t>Minimal plus resistant 95%</t>
  </si>
  <si>
    <t>Full combo 95%</t>
  </si>
  <si>
    <t># treated (M)</t>
  </si>
  <si>
    <t>DALYs (M)</t>
  </si>
  <si>
    <t>DALYS per</t>
  </si>
  <si>
    <t>** using this value because it is the most conservative, plus it aligns with the attribution calc above (which was for all cases, both pos and neg).</t>
  </si>
  <si>
    <t>12 visits</t>
  </si>
  <si>
    <t>monthly screenings' per https://academic.oup.com/heapol/article/28/4/386/966295 to achieve the stated DALYs</t>
  </si>
  <si>
    <t>weekly visits per paper above</t>
  </si>
  <si>
    <t>https://www.sciencedirect.com/science/article/pii/S1098301521001479</t>
  </si>
  <si>
    <t>Economic per episode</t>
  </si>
  <si>
    <t>Economic per DALY</t>
  </si>
  <si>
    <t>DALY / episode (calc)</t>
  </si>
  <si>
    <t>cases per DALY</t>
  </si>
  <si>
    <t>Evidence that thi work can be done by CHW in Ethiopia: https://onlinelibrary.wiley.com/doi/full/10.1111/j.1365-3156.2009.02447.x</t>
  </si>
  <si>
    <t>Testing is a prerequisite for treatment/referral. There are CEA for testing vs. presumptive treatment, but hard to find DALY calculations. Maybe from here: https://onlinelibrary.wiley.com/doi/full/10.1111/j.1365-3156.2009.02447.x</t>
  </si>
  <si>
    <t>https://www.ncbi.nlm.nih.gov/pmc/articles/PMC5551200/</t>
  </si>
  <si>
    <t>RTA=road traffic accident</t>
  </si>
  <si>
    <t>8-30 days</t>
  </si>
  <si>
    <t>1-7 days</t>
  </si>
  <si>
    <t>days out</t>
  </si>
  <si>
    <t>average</t>
  </si>
  <si>
    <t>days</t>
  </si>
  <si>
    <t>DALYs per incident</t>
  </si>
  <si>
    <t>OR Adjusted</t>
  </si>
  <si>
    <t>DALYs per incident, avoided due to good first aid for minor injuries</t>
  </si>
  <si>
    <t>* assuming people will come for first aid if need care but not severe. DALYs are the attributable part of improved care.</t>
  </si>
  <si>
    <t>Cardiovascular risk / hypertension</t>
  </si>
  <si>
    <t>https://www.sciencedirect.com/science/article/pii/S2214109X18304509</t>
  </si>
  <si>
    <t>baseline</t>
  </si>
  <si>
    <t>WHO PEN</t>
  </si>
  <si>
    <t>SA PC 101</t>
  </si>
  <si>
    <t>DALY</t>
  </si>
  <si>
    <t>DALYs per 1k pop per year</t>
  </si>
  <si>
    <t>hypertension</t>
  </si>
  <si>
    <t>dyslipidaemia</t>
  </si>
  <si>
    <t>diabetes</t>
  </si>
  <si>
    <t>prevalence</t>
  </si>
  <si>
    <t>DALYS per 1k pop per year</t>
  </si>
  <si>
    <t xml:space="preserve">Baseline </t>
  </si>
  <si>
    <t>CVD</t>
  </si>
  <si>
    <t>CHF</t>
  </si>
  <si>
    <t>Renal</t>
  </si>
  <si>
    <t>WHO PEN @70%</t>
  </si>
  <si>
    <t>SA PC 101 @70%</t>
  </si>
  <si>
    <t>WHO PEN @100%</t>
  </si>
  <si>
    <t>SA PC 101 @100%</t>
  </si>
  <si>
    <t>Db Retinopathy</t>
  </si>
  <si>
    <t>Db Neuropathy</t>
  </si>
  <si>
    <t>modeled coverage</t>
  </si>
  <si>
    <t>increment</t>
  </si>
  <si>
    <t>calc prev access</t>
  </si>
  <si>
    <t>calc 70% access</t>
  </si>
  <si>
    <t>* This is thus an under-estimate of the benefits.</t>
  </si>
  <si>
    <t>total per 1k pop per year</t>
  </si>
  <si>
    <t>assumed remaining life-years after diagnosis/treatment</t>
  </si>
  <si>
    <t>per person across their remaining lifetime</t>
  </si>
  <si>
    <t>hypertension rate</t>
  </si>
  <si>
    <t>per person treated, across their remaining lifetime</t>
  </si>
  <si>
    <t>* This is an underestimate because other diseases of lower prevalence rates (e.g. diabetes 15%)</t>
  </si>
  <si>
    <t xml:space="preserve">* The calc below assumes that coverage scaled up from zero to 70% in the model and thus accomplished those DALY savings. </t>
  </si>
  <si>
    <t>* To balance out the under-estimations in the calcs, going to use the more optimistic scenario.</t>
  </si>
  <si>
    <t>Plus, countries likely to adopt WHO standards rather than a SA-specific package.</t>
  </si>
  <si>
    <t>* unable to find a more specific paper on a per-disease basis, so aggregating the package of NCD care.</t>
  </si>
  <si>
    <t>* attiributing 25% of DALYs since finding is the first step and CHW have role to play in adherence. But also, much more work to be done over lifetime.</t>
  </si>
  <si>
    <t>Treatment - parasites (part of ICCM)</t>
  </si>
  <si>
    <t>https://www.givewell.org/international/technical/programs/deworming/cost-effectiveness</t>
  </si>
  <si>
    <t>De-worming</t>
  </si>
  <si>
    <t>https://www.ncbi.nlm.nih.gov/pmc/articles/PMC6348213/</t>
  </si>
  <si>
    <t>https://www.ncbi.nlm.nih.gov/pmc/articles/PMC8133870/</t>
  </si>
  <si>
    <t>All 3 of these are highly prevalent in Ethiopian society, so using a mean.</t>
  </si>
  <si>
    <t>https://www.ncbi.nlm.nih.gov/pmc/articles/PMC6082161/</t>
  </si>
  <si>
    <t>Roundworm</t>
  </si>
  <si>
    <t>Whipworm</t>
  </si>
  <si>
    <t>Blood fluke</t>
  </si>
  <si>
    <t>Cases</t>
  </si>
  <si>
    <t>calc D/C</t>
  </si>
  <si>
    <t>* These estimates conflict with the GiveWell values above. However, since these are strictly pulled from the GBD with its known limitations, will use the other values which come from WHO instead.</t>
  </si>
  <si>
    <t>Mental Health</t>
  </si>
  <si>
    <t>Depression</t>
  </si>
  <si>
    <t>https://www.cambridge.org/core/journals/the-british-journal-of-psychiatry/article/reducing-the-global-burden-of-depression/67B13E3506CF1DD31456F2F5F671DF58</t>
  </si>
  <si>
    <t>Ethiopia is AfrE</t>
  </si>
  <si>
    <t>days gain</t>
  </si>
  <si>
    <t>* Choosing meds only, as a reasonable standard of care that could be provided in LMIC if diagnostic capacity was available but intensive therapy was not.</t>
  </si>
  <si>
    <t>* Opting to use depression as the proxy for mental health, since it is highly comorbid with other issues such as substance abuse, plus it the most common of issues.</t>
  </si>
  <si>
    <t>For comparison, IHME's GBD disability weights from 2017. Using the WHO values from 2000 to be consistent with their other estimates.</t>
  </si>
  <si>
    <t>Attributed DALYs</t>
  </si>
  <si>
    <t>Attributed DALYs per hour</t>
  </si>
  <si>
    <t>DALYs per</t>
  </si>
  <si>
    <t>Health_area</t>
  </si>
  <si>
    <t>DALYs_per</t>
  </si>
  <si>
    <t>Attributed_per</t>
  </si>
  <si>
    <t>DALYs_perhour</t>
  </si>
  <si>
    <t>DALYs/Child screened + treated</t>
  </si>
  <si>
    <t>DALYs_attr</t>
  </si>
  <si>
    <t>Diagnose &amp; treat DALYs</t>
  </si>
  <si>
    <t>* included in good clinical practice for known cases</t>
  </si>
  <si>
    <t>* attributing 75% because identifying and referring is the most challenging part for a stigmatized health need</t>
  </si>
  <si>
    <t>Malnutrition treatment</t>
  </si>
  <si>
    <t>Malnutrition diagnose</t>
  </si>
  <si>
    <t>Malnutrition followup</t>
  </si>
  <si>
    <t>FH.FP.1A</t>
  </si>
  <si>
    <t>FH.FP.1B</t>
  </si>
  <si>
    <t>FH.FP.1C</t>
  </si>
  <si>
    <t>FH.FP.1D</t>
  </si>
  <si>
    <t>DPC.M.1AdTP</t>
  </si>
  <si>
    <t>DPC.M.2AdTP</t>
  </si>
  <si>
    <t>DPC.M.1ChTP</t>
  </si>
  <si>
    <t>DPC.M.2ChTP</t>
  </si>
  <si>
    <t>DPC.M.1neg</t>
  </si>
  <si>
    <t>True negatives</t>
  </si>
  <si>
    <t>Incidence</t>
  </si>
  <si>
    <t>Incidence rate per 1k pop</t>
  </si>
  <si>
    <t>Yr-on-yr ratio incidence</t>
  </si>
  <si>
    <t>Yr-on-yr ratio to inc/prev</t>
  </si>
  <si>
    <t>administration</t>
  </si>
  <si>
    <t>record keeping</t>
  </si>
  <si>
    <t>calculation</t>
  </si>
  <si>
    <t>2015 population</t>
  </si>
  <si>
    <t>HEW in country</t>
  </si>
  <si>
    <t>(from paper)</t>
  </si>
  <si>
    <t>weekly hours per FTE</t>
  </si>
  <si>
    <t>Administration</t>
  </si>
  <si>
    <t>annual hours per capita</t>
  </si>
  <si>
    <t>Does record keeping include referrals, etc.? If yes, double counting.</t>
  </si>
  <si>
    <t>Scale efficiency with growing population, but also last-mile effects to reach the currently missed.</t>
  </si>
  <si>
    <t>Record keeping</t>
  </si>
  <si>
    <t>Model households</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</si>
  <si>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</si>
  <si>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</si>
  <si>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</si>
  <si>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</si>
  <si>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</si>
  <si>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</si>
  <si>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</si>
  <si>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</si>
  <si>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</si>
  <si>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</si>
  <si>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Value</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</si>
  <si>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</si>
  <si>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</si>
  <si>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</si>
  <si>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</si>
  <si>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</si>
  <si>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</si>
  <si>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</si>
  <si>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</si>
  <si>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</si>
  <si>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</si>
  <si>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Characteristic</t>
  </si>
  <si>
    <t>Region : Tigray (L1)</t>
  </si>
  <si>
    <t>Region : Afar (L1)</t>
  </si>
  <si>
    <t>Region : Amhara (L1)</t>
  </si>
  <si>
    <t>Region : Oromia (L1)</t>
  </si>
  <si>
    <t>Region : Somali (L1)</t>
  </si>
  <si>
    <t>Region : Benishangul-Gumuz (L1)</t>
  </si>
  <si>
    <t>Region : SNNPR (L1)</t>
  </si>
  <si>
    <t>Region : Gambela (L1)</t>
  </si>
  <si>
    <t>Region : Harari (L1)</t>
  </si>
  <si>
    <t>Region : Addis Ababa (L1)</t>
  </si>
  <si>
    <t>Region : Dire Dawa (L1)</t>
  </si>
  <si>
    <t>stddev 2019</t>
  </si>
  <si>
    <t>stddev ratios</t>
  </si>
  <si>
    <t>range 2019</t>
  </si>
  <si>
    <t>range/value 2019</t>
  </si>
  <si>
    <t>stdev</t>
  </si>
  <si>
    <t>stdev/mean</t>
  </si>
  <si>
    <t>This calculation assumes that regional variation is stochastic, and not specific.</t>
  </si>
  <si>
    <t>Without a better source, seems a reasonable start.</t>
  </si>
  <si>
    <t>The paper does not report CI for the incidence, so no way to carry true CI forward.</t>
  </si>
  <si>
    <t>Since rainfall is the driver for both nutrition and malaria, maybe okay to consider this representative.</t>
  </si>
  <si>
    <t>Ignore_nationalrates</t>
  </si>
  <si>
    <t>Ignore_ruralrates</t>
  </si>
  <si>
    <t>Ignore_nationalDelta</t>
  </si>
  <si>
    <t>Ignore_ruraldelta</t>
  </si>
  <si>
    <t>Under-five mortality rate</t>
  </si>
  <si>
    <t>Five years preceding the survey</t>
  </si>
  <si>
    <t>Residence</t>
  </si>
  <si>
    <t>59 (CI: 48 – 70)</t>
  </si>
  <si>
    <t>46 (CI: 24 – 68)</t>
  </si>
  <si>
    <t>64 (CI: 51 – 76)</t>
  </si>
  <si>
    <t>67 (CI: 58 – 76)</t>
  </si>
  <si>
    <t>49 (CI: 28 – 70)</t>
  </si>
  <si>
    <t>69 (CI: 59 – 79)</t>
  </si>
  <si>
    <t>88 (CI: 79 – 97)</t>
  </si>
  <si>
    <t>69 (CI: 44 – 93)</t>
  </si>
  <si>
    <t>91 (CI: 82 – 100)</t>
  </si>
  <si>
    <t>123 (CI: 113 – 134)</t>
  </si>
  <si>
    <t>94 (CI: 68 – 119)</t>
  </si>
  <si>
    <t>126 (CI: 115 – 137)</t>
  </si>
  <si>
    <t>166 (CI: 155 – 177)</t>
  </si>
  <si>
    <t>135 (CI: 111 – 159)</t>
  </si>
  <si>
    <t>170 (CI: 158 – 182)</t>
  </si>
  <si>
    <t>ICF, 2015. The DHS Program STATcompiler. Funded by USAID. http://www.statcompiler.com. January 11 2022</t>
  </si>
  <si>
    <t>Adult female mortality rate for the seven years preceding the survey expressed per 1,000 women-years of exposure</t>
  </si>
  <si>
    <t>Adult female mortality rate</t>
  </si>
  <si>
    <t>Age (5-year groups)</t>
  </si>
  <si>
    <t>Adult male mortality rate for the seven years preceding the survey expressed per 1,000 men-years of exposure</t>
  </si>
  <si>
    <t>Adult male mortality rate</t>
  </si>
  <si>
    <t>Probability of dying before the fifth birthday in the five or ten years preceding the survey, per 1,000 live births. Estimates are given for ten year periods for all characteristics, but for five year periods only for the national total, by residence, and by sex.</t>
  </si>
  <si>
    <t>Probability of dying between the first birthday and the fifth birthday in the five or ten years preceding the survey), per 1,000 children surviving to their first birthday. Estimates are given for ten year periods for all characteristics, but for five year periods only for the national total, by residence, and by sex.</t>
  </si>
  <si>
    <t>Child mortality rate</t>
  </si>
  <si>
    <t>80 (CI: 71 – 89)</t>
  </si>
  <si>
    <t>77 (CI: 68 – 85)</t>
  </si>
  <si>
    <t>53 (CI: 46 – 59)</t>
  </si>
  <si>
    <t>23 (CI: 12 – 33)</t>
  </si>
  <si>
    <t>50 (CI: 44 – 57)</t>
  </si>
  <si>
    <t>32 (CI: 26 – 38)</t>
  </si>
  <si>
    <t>20 (CI: 10 – 31)</t>
  </si>
  <si>
    <t>31 (CI: 25 – 36)</t>
  </si>
  <si>
    <t>21 (CI: 16 – 27)</t>
  </si>
  <si>
    <t>7 (CI: 1 – 12)</t>
  </si>
  <si>
    <t>20 (CI: 15 – 25)</t>
  </si>
  <si>
    <t>13 (CI: 9 – 17)</t>
  </si>
  <si>
    <t>14 (CI: 5 – 23)</t>
  </si>
  <si>
    <t>Probability of dying before the first birthday (in the five years preceding the survey) per 1,000 live births</t>
  </si>
  <si>
    <t>Infant mortality rate (5 year periods)</t>
  </si>
  <si>
    <t>97 (CI: 89 – 105)</t>
  </si>
  <si>
    <t>77 (CI: 69 – 85)</t>
  </si>
  <si>
    <t>59 (CI: 53 – 66)</t>
  </si>
  <si>
    <t>48 (CI: 41 – 55)</t>
  </si>
  <si>
    <t>47 (CI: 36 – 57)</t>
  </si>
  <si>
    <t>Five year periods</t>
  </si>
  <si>
    <t>* This seems to be the same as Under-5, minus child 1-5. Use the urban/rural split values instead of these.</t>
  </si>
  <si>
    <t>Child mortality rate (ages 1-4)</t>
  </si>
  <si>
    <t>Under-five mortality rate (ages &lt;5)</t>
  </si>
  <si>
    <t>Infant mortality (ages &lt;1)</t>
  </si>
  <si>
    <t>RAW DATA</t>
  </si>
  <si>
    <t>DATA FORMATTING</t>
  </si>
  <si>
    <t>PER YEAR RISK RATE, per 1000 population</t>
  </si>
  <si>
    <t>ANNUAL DELTA RATIO</t>
  </si>
  <si>
    <t>16/11</t>
  </si>
  <si>
    <t>11/5</t>
  </si>
  <si>
    <t>5/0</t>
  </si>
  <si>
    <t>19/16</t>
  </si>
  <si>
    <t>DHS</t>
  </si>
  <si>
    <t>Offset5</t>
  </si>
  <si>
    <t>Offset6</t>
  </si>
  <si>
    <t>time per 10 people</t>
  </si>
  <si>
    <t>Annual birth rate per woman 20-29</t>
  </si>
  <si>
    <t>Annual birth rate per woman 30-39</t>
  </si>
  <si>
    <t>Annual birth rate per woman 40-49</t>
  </si>
  <si>
    <t>Version 1.1 of the R Model Inputs.xlsx file.</t>
  </si>
  <si>
    <t>Format update date: 1/24/2022.</t>
  </si>
  <si>
    <t>Tabs titled with "_retain" are not used directly by the model, but hold historical copies of the input sheets, which have been modified for scenario analysis.</t>
  </si>
  <si>
    <t>Tabs Scenarios, TotalPop, PopValues, TaskValues, StochasticParameters, SeasonalityCurves, and SeasonalityOffsets are inputs into the model.</t>
  </si>
  <si>
    <t>Remaining tabs are source data or calculation checks to validate those input tabs.</t>
  </si>
  <si>
    <t>PopCheck_NationalTotal</t>
  </si>
  <si>
    <t>For calibration checks.</t>
  </si>
  <si>
    <t>2019/2011</t>
  </si>
  <si>
    <t>2019/2005</t>
  </si>
  <si>
    <t>Runs from 1st draft Gates Review deck</t>
  </si>
  <si>
    <t>Relevant Pop</t>
  </si>
  <si>
    <t>% of Total Pop</t>
  </si>
  <si>
    <t>Incidence Rate</t>
  </si>
  <si>
    <t>DALYs_Magnitude_p1k</t>
  </si>
  <si>
    <t>birth cohort</t>
  </si>
  <si>
    <t>age 1</t>
  </si>
  <si>
    <t xml:space="preserve">### Choosing the 2005--&gt;2019 delta fertility rates because they best match birth numbers to UN Population projections through 2035. Did a comparison across all of the possible DHS deltas to 2019 and 2005 had the best match. </t>
  </si>
  <si>
    <t>###This is reasonable because it represents recent time but has enough years to be less sensitive to short-term fluctuations.</t>
  </si>
  <si>
    <t>Mortality 60-74yr M</t>
  </si>
  <si>
    <t>Mortality 75+ M</t>
  </si>
  <si>
    <t>Mortality 60-74yr F</t>
  </si>
  <si>
    <t>Mortality 75+ F</t>
  </si>
  <si>
    <t>Mortality 20-34yr</t>
  </si>
  <si>
    <t>DHS, up to age 60 only</t>
  </si>
  <si>
    <t>Mortality 35-49yr F</t>
  </si>
  <si>
    <t>Mortality rate 35-60yr F (calc)</t>
  </si>
  <si>
    <t>Per 1k pop</t>
  </si>
  <si>
    <t>Mortality 25-29 yr</t>
  </si>
  <si>
    <t>Mortality 30-34 yr</t>
  </si>
  <si>
    <t>assumed flat 20-34, per UN pop calculated crude mortality rates</t>
  </si>
  <si>
    <t>Assumed</t>
  </si>
  <si>
    <t>pop 1k</t>
  </si>
  <si>
    <t>portion</t>
  </si>
  <si>
    <t>mort ratio</t>
  </si>
  <si>
    <t>50-60</t>
  </si>
  <si>
    <t>35-50</t>
  </si>
  <si>
    <t>Mortality 50-59yr F</t>
  </si>
  <si>
    <t>60-74</t>
  </si>
  <si>
    <t>ratio to 35-50</t>
  </si>
  <si>
    <t>ratio to 50-60</t>
  </si>
  <si>
    <t>75+</t>
  </si>
  <si>
    <t>Mortality rate 35-60yr M (calc)</t>
  </si>
  <si>
    <t>Mortality 35-49yr M</t>
  </si>
  <si>
    <t>Mortality 50-59yr M</t>
  </si>
  <si>
    <t>Crude mortality rate, Total Population</t>
  </si>
  <si>
    <t>Crude mortality rate, Female Population</t>
  </si>
  <si>
    <t>Crude mortality rate, Male Population</t>
  </si>
  <si>
    <t>http://apps.who.int/iris/bitstream/handle/10665/275474/9789241550369-eng.pdf</t>
  </si>
  <si>
    <t>Works with code versions up through at least 0.2.5</t>
  </si>
  <si>
    <t>Declines in mortality</t>
  </si>
  <si>
    <t>* using last 2 years bc/ stable but small step change</t>
  </si>
  <si>
    <t>Probability of dying between age 5-9 years of age expressed per 1,000 children aged 5, if subject to age-specific mortality rates of the specified year.</t>
  </si>
  <si>
    <t>Source for col D-G</t>
  </si>
  <si>
    <t>Source for col B/C</t>
  </si>
  <si>
    <t>WB Open data</t>
  </si>
  <si>
    <t>mortality rate, per 1k live births</t>
  </si>
  <si>
    <t>Source definition</t>
  </si>
  <si>
    <t>Column B definition</t>
  </si>
  <si>
    <t>mortality rate, per pregnancy</t>
  </si>
  <si>
    <t>mortality rate per year per 1k</t>
  </si>
  <si>
    <t>probability of a newborn dying before age 5, per 1k live births</t>
  </si>
  <si>
    <t>Calculated/UN Pop</t>
  </si>
  <si>
    <t>probability of dying, per 1k pop</t>
  </si>
  <si>
    <t>Ignore_MortEst2020</t>
  </si>
  <si>
    <t>Ignore_MortReport2020</t>
  </si>
  <si>
    <t>Using 2019 reported, because in all likelihood lost 2020/2021 progress due to COVID.</t>
  </si>
  <si>
    <t>NoFertilityChange_NR</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</si>
  <si>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</si>
  <si>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</si>
  <si>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</si>
  <si>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</si>
  <si>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</si>
  <si>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VALUE of HRH to outcomes</t>
  </si>
  <si>
    <t>From: Labor Market Analysis Report for Ethiopia 2020 - not for distribution/publication, but maybe we could replicate these calcs approx?</t>
  </si>
  <si>
    <t>Shared by Susna with strict DND.</t>
  </si>
  <si>
    <t>sheet_TaskValues</t>
  </si>
  <si>
    <t>sheet_PopValues</t>
  </si>
  <si>
    <t>sheet_SeasonalityCurves</t>
  </si>
  <si>
    <t>PopValues</t>
  </si>
  <si>
    <t>SeasonalityCurves</t>
  </si>
  <si>
    <t>Runs from final GR deck - Feb 2022</t>
  </si>
  <si>
    <t>Original planning set</t>
  </si>
  <si>
    <t>Pop</t>
  </si>
  <si>
    <t>Hours/Wk</t>
  </si>
  <si>
    <t>Weeks/yr</t>
  </si>
  <si>
    <t>Midwife</t>
  </si>
  <si>
    <t>Health officer</t>
  </si>
  <si>
    <t>Level 4 HEW</t>
  </si>
  <si>
    <t>Family Health professional</t>
  </si>
  <si>
    <t>Comprehensive nurse</t>
  </si>
  <si>
    <t>Environmental health professional</t>
  </si>
  <si>
    <t>Comprehensive HP</t>
  </si>
  <si>
    <t>Basic HP</t>
  </si>
  <si>
    <t>Nurse</t>
  </si>
  <si>
    <t>Merged HP</t>
  </si>
  <si>
    <t>Family Health Packages</t>
  </si>
  <si>
    <t>Maternal &amp; newborn</t>
  </si>
  <si>
    <t>FH.MN.ANC.1</t>
  </si>
  <si>
    <t>Official Reference</t>
  </si>
  <si>
    <t>ANC visits</t>
  </si>
  <si>
    <t>Clinical Category</t>
  </si>
  <si>
    <t>Service Category</t>
  </si>
  <si>
    <t>Comprehensive</t>
  </si>
  <si>
    <t>Basic</t>
  </si>
  <si>
    <t>Merged</t>
  </si>
  <si>
    <t>ANC rapid testing</t>
  </si>
  <si>
    <t>Delivery</t>
  </si>
  <si>
    <t>Active management 3rd stage</t>
  </si>
  <si>
    <t>Normal labor management</t>
  </si>
  <si>
    <t>Emergency OB</t>
  </si>
  <si>
    <t>Pre-referral for complications</t>
  </si>
  <si>
    <t>FH.MN.D.3</t>
  </si>
  <si>
    <t>FH.MN.D.4</t>
  </si>
  <si>
    <t>FH.MN.D.5</t>
  </si>
  <si>
    <t>FH.MN.D.6</t>
  </si>
  <si>
    <t>References/Notes</t>
  </si>
  <si>
    <t>Shifted some minutes to D.5</t>
  </si>
  <si>
    <t>PNC</t>
  </si>
  <si>
    <t>PNC home visits</t>
  </si>
  <si>
    <t>Maternal sepsis</t>
  </si>
  <si>
    <t>Mastitis</t>
  </si>
  <si>
    <t>Postpartum haemorrhage</t>
  </si>
  <si>
    <t>Pre-referral PPH</t>
  </si>
  <si>
    <t>FH.MN.PNC.7</t>
  </si>
  <si>
    <t>FH.MN.PNC.8</t>
  </si>
  <si>
    <t>FH.MN.PNC.9</t>
  </si>
  <si>
    <t>FH.MN.PNC.10</t>
  </si>
  <si>
    <t>incidence</t>
  </si>
  <si>
    <t>Included in ANC time</t>
  </si>
  <si>
    <t>Included in PNC time</t>
  </si>
  <si>
    <t>FH.MN.ANC.2</t>
  </si>
  <si>
    <t>3 inpt days for 20% of PPH cases. https://www.bmj.com/content/bmj/suppl/2005/11/10/331.7525.1107.DC1/adamt1_t5.pdf</t>
  </si>
  <si>
    <t>New?</t>
  </si>
  <si>
    <t>only 20% of cases need IP care</t>
  </si>
  <si>
    <t>FH.MN.PNC.11</t>
  </si>
  <si>
    <t>can take time to resolve, so assuming follow-ups</t>
  </si>
  <si>
    <t>7 inpt days https://www.bmj.com/content/bmj/suppl/2005/11/10/331.7525.1107.DC1/adamt1_t5.pdf</t>
  </si>
  <si>
    <t>https://archpublichealth.biomedcentral.com/articles/10.1186/s13690-021-00732-y#:~:text=This%20study%20has%20showed%20that,Nigeria%2011.4%25%20%5B21%5D.</t>
  </si>
  <si>
    <t>Surveillance</t>
  </si>
  <si>
    <t>FH.MN.S.12</t>
  </si>
  <si>
    <t>Mortality surveillance</t>
  </si>
  <si>
    <t>ID fistula and prolapse</t>
  </si>
  <si>
    <t>Promote cervical cancer ID and treat</t>
  </si>
  <si>
    <t>Included in record keeping</t>
  </si>
  <si>
    <t>Included in PNC</t>
  </si>
  <si>
    <t>Newborn and child health</t>
  </si>
  <si>
    <t>Chlorhexidine</t>
  </si>
  <si>
    <t>Kangaroo care</t>
  </si>
  <si>
    <t>Refer congenital anomalies</t>
  </si>
  <si>
    <t>ICCM childhood illness</t>
  </si>
  <si>
    <t>IMNCI</t>
  </si>
  <si>
    <t>Treat moderate malnutrition</t>
  </si>
  <si>
    <t>Treat severe malnutrition</t>
  </si>
  <si>
    <t>Deworming &amp; VitA</t>
  </si>
  <si>
    <t>Paediatric palliative</t>
  </si>
  <si>
    <t>Pharyngitis, tonsillitis, sinusitis</t>
  </si>
  <si>
    <t>Well child check &amp; growth monitoring</t>
  </si>
  <si>
    <t>FH.MN.19A</t>
  </si>
  <si>
    <t>FH.MN.21A</t>
  </si>
  <si>
    <t>FH.MN.19B</t>
  </si>
  <si>
    <t>FH.MN.19C</t>
  </si>
  <si>
    <t>DHS-reported prevalence</t>
  </si>
  <si>
    <t>broken out by disease below</t>
  </si>
  <si>
    <t>included in 15</t>
  </si>
  <si>
    <t>Unclear what this means?</t>
  </si>
  <si>
    <t>https://pubmed.ncbi.nlm.nih.gov/28596966/#:~:text=Result%3A%20The%20prevalence%20of%20malnutrition,of%20children%20in%20rural%20Ethiopia.</t>
  </si>
  <si>
    <t>Assuming longer time bc/ of diagnosis process</t>
  </si>
  <si>
    <t>EPI</t>
  </si>
  <si>
    <t>Unlisted</t>
  </si>
  <si>
    <t>Scabies</t>
  </si>
  <si>
    <t>Child abuse</t>
  </si>
  <si>
    <t>Social services</t>
  </si>
  <si>
    <t>Sexual health</t>
  </si>
  <si>
    <t>Promotion of immunization</t>
  </si>
  <si>
    <t>Routine immunization</t>
  </si>
  <si>
    <t>SIAs</t>
  </si>
  <si>
    <t>RI adverse effects</t>
  </si>
  <si>
    <t>Outbreak detection &amp; response</t>
  </si>
  <si>
    <t>Mobiliation &amp; promotion of EPI</t>
  </si>
  <si>
    <t>VPD surveillance</t>
  </si>
  <si>
    <t>Non-clinical</t>
  </si>
  <si>
    <t>Included in education/outreach</t>
  </si>
  <si>
    <t>broken out by age below</t>
  </si>
  <si>
    <t>Included in ANC</t>
  </si>
  <si>
    <t>Included in school/outreach time</t>
  </si>
  <si>
    <t>FH.EPI.31</t>
  </si>
  <si>
    <t>FH.EPI.33</t>
  </si>
  <si>
    <t>FH.EPI.34</t>
  </si>
  <si>
    <t>FH.EPI.35</t>
  </si>
  <si>
    <t>FH.EPI.36</t>
  </si>
  <si>
    <t>FH.EPI.37</t>
  </si>
  <si>
    <t>FH.EPI.32A</t>
  </si>
  <si>
    <t>FH.EPI.32B</t>
  </si>
  <si>
    <t>FH.EPI.32C</t>
  </si>
  <si>
    <t>FH.EPI.32D</t>
  </si>
  <si>
    <t>Assuming 2 SIA per year</t>
  </si>
  <si>
    <t>Detection incl. in paperwork, response incl. in SIAs</t>
  </si>
  <si>
    <t>Included in overhead time</t>
  </si>
  <si>
    <t>AYH and FP</t>
  </si>
  <si>
    <t>FP counseling</t>
  </si>
  <si>
    <t>Provision of contraceptives</t>
  </si>
  <si>
    <t>Psycho-social counseling</t>
  </si>
  <si>
    <t>Abortion care &amp; referral</t>
  </si>
  <si>
    <t>Post-abortion follow-up</t>
  </si>
  <si>
    <t>Education on menstration</t>
  </si>
  <si>
    <t>Treatment of menstrual problems</t>
  </si>
  <si>
    <t>Promote self-breast exam</t>
  </si>
  <si>
    <t>HPV vacination</t>
  </si>
  <si>
    <t>Education on health &amp; wellbeing</t>
  </si>
  <si>
    <t>Adolescent SRH</t>
  </si>
  <si>
    <t>Provision of adolescent-friendly contraceptives</t>
  </si>
  <si>
    <t>Education about GBV</t>
  </si>
  <si>
    <t>Community dialogue about GBV</t>
  </si>
  <si>
    <t>Pregnancy test for GBV</t>
  </si>
  <si>
    <t>Emergency GBV response</t>
  </si>
  <si>
    <t>Medical treatment for GBV</t>
  </si>
  <si>
    <t>Psycho-social support for GBV</t>
  </si>
  <si>
    <t>Adovacy against HTP</t>
  </si>
  <si>
    <t>Prevention of teen pregnancy</t>
  </si>
  <si>
    <t>Folic acid</t>
  </si>
  <si>
    <t>Removal of implants and IUCD</t>
  </si>
  <si>
    <t>Provision of implants and IUCD</t>
  </si>
  <si>
    <t>FP consult first time</t>
  </si>
  <si>
    <t>FP consult postpartum</t>
  </si>
  <si>
    <t>FP consult switch</t>
  </si>
  <si>
    <t>FH.FP.38A</t>
  </si>
  <si>
    <t>FH.FP.38B</t>
  </si>
  <si>
    <t>FH.FP.38C</t>
  </si>
  <si>
    <t>Broken out by type below</t>
  </si>
  <si>
    <t>likelihood of seeking care</t>
  </si>
  <si>
    <t>Included in MHH time</t>
  </si>
  <si>
    <t>Included in other FP and SRH time</t>
  </si>
  <si>
    <t>SRH counseling for men</t>
  </si>
  <si>
    <t>HIV test for GBV</t>
  </si>
  <si>
    <t>Promote breast feeding</t>
  </si>
  <si>
    <t>Nutritional screening during pregnancy</t>
  </si>
  <si>
    <t>Monthly monitoring</t>
  </si>
  <si>
    <t>MUAC and oedema screening</t>
  </si>
  <si>
    <t>Treat malnourished mothers</t>
  </si>
  <si>
    <t>Anaemia</t>
  </si>
  <si>
    <t>Promote nutrition for MNC</t>
  </si>
  <si>
    <t>Education re nutrition</t>
  </si>
  <si>
    <t>Calcium supplementation</t>
  </si>
  <si>
    <t>Nutrition for HIV+ women</t>
  </si>
  <si>
    <t>Promote iodized salt &amp; fortified food</t>
  </si>
  <si>
    <t>Nutrition outreach</t>
  </si>
  <si>
    <t>Promote gender equity &amp; empowerment</t>
  </si>
  <si>
    <t>Nutritional disaster response</t>
  </si>
  <si>
    <t>Multisectoral nutrition intervention</t>
  </si>
  <si>
    <t>Breast feeding technique</t>
  </si>
  <si>
    <t>Acute malnutrition</t>
  </si>
  <si>
    <t>Counsel complementary feeding</t>
  </si>
  <si>
    <t>Timely complementary feeding</t>
  </si>
  <si>
    <t>Promote BF during child illness</t>
  </si>
  <si>
    <t>Promote BF until 24 months</t>
  </si>
  <si>
    <t>Educate on complementary foods</t>
  </si>
  <si>
    <t>Nutrition education for children</t>
  </si>
  <si>
    <t>Nutrition in schools</t>
  </si>
  <si>
    <t>Food diversification</t>
  </si>
  <si>
    <t>School-based de-worming</t>
  </si>
  <si>
    <t>School nutrition clubs</t>
  </si>
  <si>
    <t>School gardening programs</t>
  </si>
  <si>
    <t>School nutrition demonstrations</t>
  </si>
  <si>
    <t>Included in MHH</t>
  </si>
  <si>
    <t>Included in FH.MN.21/22</t>
  </si>
  <si>
    <t>Not a responsibility</t>
  </si>
  <si>
    <t>Cannot plan ahead for this</t>
  </si>
  <si>
    <t>Major Communicable Diseases</t>
  </si>
  <si>
    <t>HIV/ADIS and STI</t>
  </si>
  <si>
    <t>Disease Prevention &amp; Control</t>
  </si>
  <si>
    <t>STI management</t>
  </si>
  <si>
    <t>STI prevention for sex workers</t>
  </si>
  <si>
    <t>Risk reduction</t>
  </si>
  <si>
    <t>HIV self-testing</t>
  </si>
  <si>
    <t>HIV linkages</t>
  </si>
  <si>
    <t>Post-exposure prophylaxis</t>
  </si>
  <si>
    <t>ART refilling/adherence</t>
  </si>
  <si>
    <t>HIV voluntary counseling &amp; testing</t>
  </si>
  <si>
    <t>HIV provider-initiated counseling &amp; testing</t>
  </si>
  <si>
    <t>incidence (currently all new)</t>
  </si>
  <si>
    <t>no marginal over FH.STI.96</t>
  </si>
  <si>
    <t>negative test results</t>
  </si>
  <si>
    <t>Vector control</t>
  </si>
  <si>
    <t>Malaria surveillance</t>
  </si>
  <si>
    <t>Treat &amp; refer severe cases</t>
  </si>
  <si>
    <t>RDT &amp; treat uncomplicated cases</t>
  </si>
  <si>
    <t>DPC.Mlr.103A</t>
  </si>
  <si>
    <t>DPC.Mlr.103B</t>
  </si>
  <si>
    <t>DPC.Mlr.104A</t>
  </si>
  <si>
    <t>DPC.Mlr.104B</t>
  </si>
  <si>
    <t>DPC.Mlr.103C</t>
  </si>
  <si>
    <t>Uncomplicated malaria in adults</t>
  </si>
  <si>
    <t>Uncomplicated malaria in children</t>
  </si>
  <si>
    <t>Testing non-malaria cases</t>
  </si>
  <si>
    <t>Severe malaria in adults</t>
  </si>
  <si>
    <t>Severe malaria in children</t>
  </si>
  <si>
    <t>Assuming 1 campaign per year</t>
  </si>
  <si>
    <t>one per household</t>
  </si>
  <si>
    <t>Included in paperwork</t>
  </si>
  <si>
    <t>TB and leprosy</t>
  </si>
  <si>
    <t>Screening for TB &amp; leprosy</t>
  </si>
  <si>
    <t>Treatment (DOT)</t>
  </si>
  <si>
    <t>HIV prevention for TB patients</t>
  </si>
  <si>
    <t>Included in outreach/education</t>
  </si>
  <si>
    <t>positivity rates</t>
  </si>
  <si>
    <t>DPC.TB.108A</t>
  </si>
  <si>
    <t>DPC.TB.108B</t>
  </si>
  <si>
    <t>Testing</t>
  </si>
  <si>
    <t>Follow-up and linkage for positives</t>
  </si>
  <si>
    <t>Broken out into testing and followup</t>
  </si>
  <si>
    <t>Non-communicable diseases (NCDs)</t>
  </si>
  <si>
    <t>Drug use</t>
  </si>
  <si>
    <t>Promote protection from tobacco smoke</t>
  </si>
  <si>
    <t>Campaigns re: alcohol use</t>
  </si>
  <si>
    <t>Community-level physical activity</t>
  </si>
  <si>
    <t>DPC.Drug.112</t>
  </si>
  <si>
    <t>DPC.Drug.113</t>
  </si>
  <si>
    <t>DPC.Drug.114</t>
  </si>
  <si>
    <t>Cancers</t>
  </si>
  <si>
    <t>Awareness on risk factors</t>
  </si>
  <si>
    <t>Breast cancer education</t>
  </si>
  <si>
    <t>Clinical breast exams</t>
  </si>
  <si>
    <t>Palliative care for cancer</t>
  </si>
  <si>
    <t>Screening for common cancers</t>
  </si>
  <si>
    <t>Assumed six months of visits</t>
  </si>
  <si>
    <t>Hypertension</t>
  </si>
  <si>
    <t>Asthma &amp; COPD</t>
  </si>
  <si>
    <t>Ophthalmolic</t>
  </si>
  <si>
    <t>Musculo-skeletal &amp; trauma</t>
  </si>
  <si>
    <t>Lifestyle counseling</t>
  </si>
  <si>
    <t>Hypertension screening</t>
  </si>
  <si>
    <t>Hypertension routine care</t>
  </si>
  <si>
    <t>Screening for type 2 diabetes</t>
  </si>
  <si>
    <t>Diabetes routine care</t>
  </si>
  <si>
    <t>Smoking cessation</t>
  </si>
  <si>
    <t>Prevention of risk factors</t>
  </si>
  <si>
    <t>Dx &amp; treat mild asthma</t>
  </si>
  <si>
    <t>Dx &amp; refer severe asthma</t>
  </si>
  <si>
    <t>Awareness</t>
  </si>
  <si>
    <t>School-based mental health programs</t>
  </si>
  <si>
    <t>Workplace stress reduction</t>
  </si>
  <si>
    <t>Identify &amp; assess drug use</t>
  </si>
  <si>
    <t>Safer storage of pesticides</t>
  </si>
  <si>
    <t>Emergency poisoning response</t>
  </si>
  <si>
    <t>Awareness &amp; screening for cataracts</t>
  </si>
  <si>
    <t>Awareness of eye glasses</t>
  </si>
  <si>
    <t>School screenings for vision impairment</t>
  </si>
  <si>
    <t>Opportunistic screenings for vision impairment</t>
  </si>
  <si>
    <t>Awareness &amp; screening for glaucoma</t>
  </si>
  <si>
    <t>Common eye infection treatment</t>
  </si>
  <si>
    <t>Laceration &amp; wound care</t>
  </si>
  <si>
    <t>Non-op fracture and dislocation care</t>
  </si>
  <si>
    <t>Draining superficial abscesses</t>
  </si>
  <si>
    <t>Prevention of ENT blockages</t>
  </si>
  <si>
    <t>Management of ENT blockages</t>
  </si>
  <si>
    <t>Acute musculosekeletal injury</t>
  </si>
  <si>
    <t>Minor surgeries</t>
  </si>
  <si>
    <t>Mass casualty management</t>
  </si>
  <si>
    <t>Dx, emergency response zoonotic diseases</t>
  </si>
  <si>
    <t>Public health</t>
  </si>
  <si>
    <t>Assume DOT 1st 2 months, then sporadic after. Effectiveness: https://www.ncbi.nlm.nih.gov/pmc/articles/PMC4460720/    https://bmcinfectdis.biomedcentral.com/articles/10.1186/s12879-015-0945-5#:~:text=DOT%20was%20defined%20as%20a,by%20a%20government%20health%20worker.</t>
  </si>
  <si>
    <t>15 yo</t>
  </si>
  <si>
    <t>18 yo adults</t>
  </si>
  <si>
    <t>assumed incidence = prevalence</t>
  </si>
  <si>
    <t>https://journals.plos.org/plosone/article?id=10.1371/journal.pone.0262566#pone.0262566.s001</t>
  </si>
  <si>
    <t>https://www.healthline.com/health/severe-asthma/facts-statistics-you#prevalence</t>
  </si>
  <si>
    <t>of all adults with asthma (HIC) are severe</t>
  </si>
  <si>
    <t>women, smokers, and those with lose adherence tend to have higher risk of severity</t>
  </si>
  <si>
    <t>indoor allergens also contribute.</t>
  </si>
  <si>
    <t>Since many of these causes exist in ethiopia, rounding this rate up for severity.</t>
  </si>
  <si>
    <t>severe % of all cases</t>
  </si>
  <si>
    <t>prevalence of smokers</t>
  </si>
  <si>
    <t>trying to quit at any one time</t>
  </si>
  <si>
    <t>Replaced COPD from previous model</t>
  </si>
  <si>
    <t>DPC.MH.130A</t>
  </si>
  <si>
    <t>DPC.MH.130B</t>
  </si>
  <si>
    <t>Generate community awareness</t>
  </si>
  <si>
    <t>Identify &amp; link to care</t>
  </si>
  <si>
    <t>Included in DPC.MH.130B</t>
  </si>
  <si>
    <t>Basic wound management</t>
  </si>
  <si>
    <t>Other Outpatient Services</t>
  </si>
  <si>
    <t>Assorted adult outpatient</t>
  </si>
  <si>
    <t>Not listed</t>
  </si>
  <si>
    <t>DPC.NTD.156</t>
  </si>
  <si>
    <t>Surveillance for NTDs</t>
  </si>
  <si>
    <t>Lymphatic filariasis</t>
  </si>
  <si>
    <t>Schistosomiasis</t>
  </si>
  <si>
    <t>Soil transmitted helminths</t>
  </si>
  <si>
    <t>Guinea worm elimination</t>
  </si>
  <si>
    <t>LF MDA</t>
  </si>
  <si>
    <t>LF screening &amp; referral</t>
  </si>
  <si>
    <t>Oncho MDA</t>
  </si>
  <si>
    <t>LLINs and IRS</t>
  </si>
  <si>
    <t>Promote water and sanitation</t>
  </si>
  <si>
    <t>Dx &amp; treat trachoma</t>
  </si>
  <si>
    <t>Trochomatous trichiasis surgery</t>
  </si>
  <si>
    <t>Trachoma MDA</t>
  </si>
  <si>
    <t>Promote face washing</t>
  </si>
  <si>
    <t>Schisto behavior change</t>
  </si>
  <si>
    <t>Trachoma behavior change</t>
  </si>
  <si>
    <t>Scabies behavior change</t>
  </si>
  <si>
    <t>Oncho behavior change</t>
  </si>
  <si>
    <t>LF behavior change</t>
  </si>
  <si>
    <t>Snail control</t>
  </si>
  <si>
    <t>Schisto MDA</t>
  </si>
  <si>
    <t>STH behavior change</t>
  </si>
  <si>
    <t>STH MDA</t>
  </si>
  <si>
    <t>STH dx &amp; treat in pregnancy</t>
  </si>
  <si>
    <t>Scabies MDA</t>
  </si>
  <si>
    <t>Dx &amp; treat scabies</t>
  </si>
  <si>
    <t>GW vector control</t>
  </si>
  <si>
    <t>Dx and refer GW</t>
  </si>
  <si>
    <t>GW behavior change</t>
  </si>
  <si>
    <t>GW surveillance</t>
  </si>
  <si>
    <t>Podoconiosis elimination</t>
  </si>
  <si>
    <t>Podo behavior change</t>
  </si>
  <si>
    <t>Hygiene &amp; Environmental Health</t>
  </si>
  <si>
    <t>Model household program</t>
  </si>
  <si>
    <t>184-200</t>
  </si>
  <si>
    <t>Health Education &amp; Promotion</t>
  </si>
  <si>
    <t>201-210</t>
  </si>
  <si>
    <t>Split the ~ 'half time' MHH across these two buckets of work.</t>
  </si>
  <si>
    <t>Identify &amp; refer infectious lymphadema</t>
  </si>
  <si>
    <t>https://systematicreviewsjournal.biomedcentral.com/articles/10.1186/s13643-018-0842-2</t>
  </si>
  <si>
    <t>Obstetric complications</t>
  </si>
  <si>
    <t>Is this all happening at this facility? "Administration of a
prophylactic oxytocic, cord
clamping and delivery of
the placenta by controlled
cord traction"</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</si>
  <si>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</si>
  <si>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</si>
  <si>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</si>
  <si>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</si>
  <si>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https://www.ncbi.nlm.nih.gov/pmc/articles/PMC7254678/pdf/12879_2020_Article_5106.pdf</t>
  </si>
  <si>
    <t>Scabies prevalence rates</t>
  </si>
  <si>
    <t>https://www.unicef.org/ethiopia/child-protection</t>
  </si>
  <si>
    <t>experienced violence</t>
  </si>
  <si>
    <t>report</t>
  </si>
  <si>
    <t>annual rate of reported violence, multiplied up for m+f, applied to a single year age group</t>
  </si>
  <si>
    <t xml:space="preserve">Unclear what this means? </t>
  </si>
  <si>
    <t>Unclear what this means? Find a better prevalence.</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</si>
  <si>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</si>
  <si>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</si>
  <si>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</si>
  <si>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</si>
  <si>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</si>
  <si>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of all immunization session result in an ADE response needed from the clinician.</t>
  </si>
  <si>
    <t>https://www.who.int/bulletin/archives/78(2)205.pdf</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</si>
  <si>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</si>
  <si>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</si>
  <si>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</si>
  <si>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</si>
  <si>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</si>
  <si>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using the lower range of menstraul irregularities, on the assumption that in less-medicalized environments, women are less likely to seek care or be defined as having a problem</t>
  </si>
  <si>
    <t>Assuming one visit every 5 years for symptom management.</t>
  </si>
  <si>
    <t>https://pubmed.ncbi.nlm.nih.gov/29929452/</t>
  </si>
  <si>
    <t>lifetime prevalence of rape</t>
  </si>
  <si>
    <t>assuming rape happens during fertile window, 15-49, this is the number of years of risk</t>
  </si>
  <si>
    <t>minimum annual risk of rape</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</si>
  <si>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</si>
  <si>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</si>
  <si>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</si>
  <si>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Violence against women rate</t>
  </si>
  <si>
    <t>using rape as proxy</t>
  </si>
  <si>
    <t>not all cases seek health system response</t>
  </si>
  <si>
    <t>https://www.sciencedirect.com/science/article/pii/S266614972100013X</t>
  </si>
  <si>
    <t>maternal malnourishment</t>
  </si>
  <si>
    <t>U5</t>
  </si>
  <si>
    <t>5-18</t>
  </si>
  <si>
    <t>FH.Ntr.69B</t>
  </si>
  <si>
    <t>FH.Ntr.69C</t>
  </si>
  <si>
    <t>Anaemia severe U5</t>
  </si>
  <si>
    <t>Anaemia severe children</t>
  </si>
  <si>
    <t>Anaemia severe adults</t>
  </si>
  <si>
    <t>STI rates</t>
  </si>
  <si>
    <t>Women</t>
  </si>
  <si>
    <t>Men</t>
  </si>
  <si>
    <t>ages 15-49</t>
  </si>
  <si>
    <t>men 15-49</t>
  </si>
  <si>
    <t>DPC.STI.93A</t>
  </si>
  <si>
    <t>DPC.STI.93B</t>
  </si>
  <si>
    <t>STI management, women</t>
  </si>
  <si>
    <t>STI management, men</t>
  </si>
  <si>
    <t>https://www.iccp-portal.org/sites/default/files/plans/NCCP%20Ethiopia%20Final%20261015.pdf</t>
  </si>
  <si>
    <t>https://gco.iarc.fr/today/data/factsheets/populations/231-ethiopia-fact-sheets.pdf</t>
  </si>
  <si>
    <t>Estimates that the National cancer plan was built on, but updated:</t>
  </si>
  <si>
    <t>Cancer deaths</t>
  </si>
  <si>
    <t>Death incidence</t>
  </si>
  <si>
    <t>(total)</t>
  </si>
  <si>
    <t>(of total pop. This will rise as pop ages.)</t>
  </si>
  <si>
    <t>not all cases will be alive for duration of year</t>
  </si>
  <si>
    <t>professional exam q2 years</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</si>
  <si>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</si>
  <si>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</si>
  <si>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</si>
  <si>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</si>
  <si>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women 30-49</t>
  </si>
  <si>
    <t>guidelines indicate once every 5 years for cervical screening</t>
  </si>
  <si>
    <t>all eligible population</t>
  </si>
  <si>
    <t>https://tobaccoatlas.org/wp-content/uploads/pdf/ethiopia-country-facts.pdf</t>
  </si>
  <si>
    <t>Men are most of the smokers in Ethiopia.</t>
  </si>
  <si>
    <t>From the American Cancer Society</t>
  </si>
  <si>
    <t>of adult men</t>
  </si>
  <si>
    <t>men 18+</t>
  </si>
  <si>
    <t>Cataract surgey rates are much lower than the estimated need.</t>
  </si>
  <si>
    <t>https://www.ncbi.nlm.nih.gov/pmc/articles/PMC3842739/</t>
  </si>
  <si>
    <t>https://iovs.arvojournals.org/article.aspx?articleid=2579547</t>
  </si>
  <si>
    <t>CSR, 2006</t>
  </si>
  <si>
    <t>GNI, 2006</t>
  </si>
  <si>
    <t>GNI, 2020</t>
  </si>
  <si>
    <t>CSR, 2020 Est</t>
  </si>
  <si>
    <t>CSR, 2006 Est</t>
  </si>
  <si>
    <t>The first paper suggests capacity in SNNR was used at 53% utilization, so there was capacity available to increase cases.</t>
  </si>
  <si>
    <t>Thus, having a ~50% increase in provision is not unreasonable.</t>
  </si>
  <si>
    <t>estimated surgery rate</t>
  </si>
  <si>
    <t>Annual incr. %</t>
  </si>
  <si>
    <t>guideline screening rate, once every 5 years</t>
  </si>
  <si>
    <t>Included in 139</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</si>
  <si>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</si>
  <si>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</si>
  <si>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</si>
  <si>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</si>
  <si>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children 0-9</t>
  </si>
  <si>
    <t>children 5-9</t>
  </si>
  <si>
    <t>children 10-14</t>
  </si>
  <si>
    <t>adults 15-19</t>
  </si>
  <si>
    <t>Annual delta represents anticipated growth for GNI which is confounded with population pyramids</t>
  </si>
  <si>
    <t>DPC.FA.basic</t>
  </si>
  <si>
    <t>Basic first aid</t>
  </si>
  <si>
    <t>DPC.FA.adv</t>
  </si>
  <si>
    <t>Advanced first aid</t>
  </si>
  <si>
    <t>not all cases will seek treatment</t>
  </si>
  <si>
    <t>percent of households with at least one injury</t>
  </si>
  <si>
    <t>this is known to be a minimum because some may have more than one</t>
  </si>
  <si>
    <t>household size</t>
  </si>
  <si>
    <t>minimum annual rate of injury per capita</t>
  </si>
  <si>
    <t>this should shift with the population age and with development, but unclear how. Leave flat for now.</t>
  </si>
  <si>
    <t>consider &lt;7 basic</t>
  </si>
  <si>
    <t>consider 8-30 days advanced first aid</t>
  </si>
  <si>
    <t>assume remainder are severe enough they go straight to hospital</t>
  </si>
  <si>
    <t>basic first aid rate</t>
  </si>
  <si>
    <t>advanced first aid rate</t>
  </si>
  <si>
    <t>Included in DPC.FA.x</t>
  </si>
  <si>
    <t>https://journals.plos.org/plosone/article?id=10.1371/journal.pone.0243863#:~:text=In%20Ethiopia%2C%20trachoma%20is%20the,widely%20distributed%20in%20the%20country.</t>
  </si>
  <si>
    <t>trachoma</t>
  </si>
  <si>
    <t>graduated</t>
  </si>
  <si>
    <t>non-graduated</t>
  </si>
  <si>
    <t>values above are for ages 1-9</t>
  </si>
  <si>
    <t>so annualized risk of acquisition is</t>
  </si>
  <si>
    <t>These numbers are for Amhara, where they have been doing MDAs. Since MDA is on the task list, presumably endemic places will reach this level of disease.</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</si>
  <si>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</si>
  <si>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</si>
  <si>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</si>
  <si>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</si>
  <si>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incidence, for those at risk</t>
  </si>
  <si>
    <t>very low incidence</t>
  </si>
  <si>
    <t>FH.Ntr.69A</t>
  </si>
  <si>
    <t>once every 35 years</t>
  </si>
  <si>
    <t>rate is for adults 1549, not only women</t>
  </si>
  <si>
    <t>ComprehensiveModel</t>
  </si>
  <si>
    <t>MHH_HEH</t>
  </si>
  <si>
    <t>MHH_HEP</t>
  </si>
  <si>
    <t>20_HEW</t>
  </si>
  <si>
    <t>20_TOTAL</t>
  </si>
  <si>
    <t>20_Unassigned</t>
  </si>
  <si>
    <t>FH.MN.15</t>
  </si>
  <si>
    <t>FH.MN.16</t>
  </si>
  <si>
    <t>FH.MN.17</t>
  </si>
  <si>
    <t>FH.MN.18</t>
  </si>
  <si>
    <t>FH.MN.20</t>
  </si>
  <si>
    <t>FH.MN.21</t>
  </si>
  <si>
    <t>FH.MN.22</t>
  </si>
  <si>
    <t>FH.MN.23</t>
  </si>
  <si>
    <t>FH.MN.24</t>
  </si>
  <si>
    <t>FH.MN.25</t>
  </si>
  <si>
    <t>FH.MN.28</t>
  </si>
  <si>
    <t>FH.MN.29</t>
  </si>
  <si>
    <t>FH.MN.30</t>
  </si>
  <si>
    <t>FH.FP.39</t>
  </si>
  <si>
    <t>FH.FP.40</t>
  </si>
  <si>
    <t>FH.FP.41</t>
  </si>
  <si>
    <t>FH.FP.42</t>
  </si>
  <si>
    <t>FH.FP.43</t>
  </si>
  <si>
    <t>FH.FP.44</t>
  </si>
  <si>
    <t>FH.FP.45</t>
  </si>
  <si>
    <t>FH.FP.46</t>
  </si>
  <si>
    <t>FH.FP.47</t>
  </si>
  <si>
    <t>FH.FP.48</t>
  </si>
  <si>
    <t>FH.FP.49</t>
  </si>
  <si>
    <t>FH.FP.50</t>
  </si>
  <si>
    <t>FH.FP.51</t>
  </si>
  <si>
    <t>FH.FP.52</t>
  </si>
  <si>
    <t>FH.FP.53</t>
  </si>
  <si>
    <t>FH.FP.54</t>
  </si>
  <si>
    <t>FH.FP.55</t>
  </si>
  <si>
    <t>FH.FP.56</t>
  </si>
  <si>
    <t>FH.FP.57</t>
  </si>
  <si>
    <t>FH.FP.58</t>
  </si>
  <si>
    <t>FH.FP.59</t>
  </si>
  <si>
    <t>FH.FP.60</t>
  </si>
  <si>
    <t>FH.FP.61</t>
  </si>
  <si>
    <t>FH.FP.62</t>
  </si>
  <si>
    <t>FH.Ntr.64</t>
  </si>
  <si>
    <t>FH.Ntr.65</t>
  </si>
  <si>
    <t>FH.Ntr.66</t>
  </si>
  <si>
    <t>FH.Ntr.67</t>
  </si>
  <si>
    <t>FH.Ntr.68</t>
  </si>
  <si>
    <t>FH.Ntr.70</t>
  </si>
  <si>
    <t>FH.Ntr.71</t>
  </si>
  <si>
    <t>FH.Ntr.72</t>
  </si>
  <si>
    <t>FH.Ntr.73</t>
  </si>
  <si>
    <t>FH.Ntr.74</t>
  </si>
  <si>
    <t>FH.Ntr.75</t>
  </si>
  <si>
    <t>FH.Ntr.76</t>
  </si>
  <si>
    <t>FH.Ntr.77</t>
  </si>
  <si>
    <t>FH.Ntr.78</t>
  </si>
  <si>
    <t>FH.Ntr.79</t>
  </si>
  <si>
    <t>FH.Ntr.80</t>
  </si>
  <si>
    <t>FH.Ntr.81</t>
  </si>
  <si>
    <t>FH.Ntr.82</t>
  </si>
  <si>
    <t>FH.Ntr.83</t>
  </si>
  <si>
    <t>FH.Ntr.84</t>
  </si>
  <si>
    <t>FH.Ntr.85</t>
  </si>
  <si>
    <t>FH.Ntr.86</t>
  </si>
  <si>
    <t>DPC.STI.94</t>
  </si>
  <si>
    <t>DPC.STI.95</t>
  </si>
  <si>
    <t>DPC.STI.96</t>
  </si>
  <si>
    <t>DPC.STI.97</t>
  </si>
  <si>
    <t>DPC.STI.98</t>
  </si>
  <si>
    <t>DPC.STI.99</t>
  </si>
  <si>
    <t>DPC.STI.100</t>
  </si>
  <si>
    <t>DPC.STI.101</t>
  </si>
  <si>
    <t>DPC.Mlr.102</t>
  </si>
  <si>
    <t>DPC.Mlr.105</t>
  </si>
  <si>
    <t>DPC.Mlr.106</t>
  </si>
  <si>
    <t>DPC.Mlr.107</t>
  </si>
  <si>
    <t>DPC.TB.109</t>
  </si>
  <si>
    <t>DPC.TB.110</t>
  </si>
  <si>
    <t>DPC.Cncr.115</t>
  </si>
  <si>
    <t>DPC.Cncr.116</t>
  </si>
  <si>
    <t>DPC.Cncr.117</t>
  </si>
  <si>
    <t>DPC.Cncr.118</t>
  </si>
  <si>
    <t>DPC.Cncr.119</t>
  </si>
  <si>
    <t>DPC.Hyp.120</t>
  </si>
  <si>
    <t>DPC.Hyp.121</t>
  </si>
  <si>
    <t>DPC.Hyp.122</t>
  </si>
  <si>
    <t>DPC.Dbt.123</t>
  </si>
  <si>
    <t>DPC.Dbt.124</t>
  </si>
  <si>
    <t>DPC.Dbt.125</t>
  </si>
  <si>
    <t>DPC.Asth.126</t>
  </si>
  <si>
    <t>DPC.Asth.127</t>
  </si>
  <si>
    <t>DPC.Asth.128</t>
  </si>
  <si>
    <t>DPC.Asth.129</t>
  </si>
  <si>
    <t>DPC.MH.131</t>
  </si>
  <si>
    <t>DPC.MH.132</t>
  </si>
  <si>
    <t>DPC.MH.133</t>
  </si>
  <si>
    <t>DPC.MH.134</t>
  </si>
  <si>
    <t>DPC.MH.135</t>
  </si>
  <si>
    <t>DPC.Oph.136</t>
  </si>
  <si>
    <t>DPC.Oph.137</t>
  </si>
  <si>
    <t>DPC.Oph.138</t>
  </si>
  <si>
    <t>DPC.Oph.139</t>
  </si>
  <si>
    <t>DPC.Oph.140</t>
  </si>
  <si>
    <t>DPC.Oph.141</t>
  </si>
  <si>
    <t>DPC.OutPt.152</t>
  </si>
  <si>
    <t>DPC.NTD.157</t>
  </si>
  <si>
    <t>DPC.NTD.158</t>
  </si>
  <si>
    <t>DPC.NTD.159</t>
  </si>
  <si>
    <t>DPC.NTD.160</t>
  </si>
  <si>
    <t>DPC.NTD.161</t>
  </si>
  <si>
    <t>DPC.NTD.162</t>
  </si>
  <si>
    <t>DPC.NTD.163</t>
  </si>
  <si>
    <t>DPC.NTD.164</t>
  </si>
  <si>
    <t>DPC.NTD.165</t>
  </si>
  <si>
    <t>DPC.NTD.166</t>
  </si>
  <si>
    <t>DPC.NTD.167</t>
  </si>
  <si>
    <t>DPC.NTD.168</t>
  </si>
  <si>
    <t>DPC.NTD.169</t>
  </si>
  <si>
    <t>DPC.NTD.170</t>
  </si>
  <si>
    <t>DPC.NTD.171</t>
  </si>
  <si>
    <t>DPC.NTD.172</t>
  </si>
  <si>
    <t>DPC.NTD.173</t>
  </si>
  <si>
    <t>DPC.NTD.174</t>
  </si>
  <si>
    <t>DPC.NTD.175</t>
  </si>
  <si>
    <t>DPC.NTD.176</t>
  </si>
  <si>
    <t>25_HealthOfficer</t>
  </si>
  <si>
    <t>25_HEW</t>
  </si>
  <si>
    <t>30_FamilyHealth</t>
  </si>
  <si>
    <t>25_Nurse</t>
  </si>
  <si>
    <t>25_Unassigned</t>
  </si>
  <si>
    <t>25_TOTAL</t>
  </si>
  <si>
    <t>30_HealthOfficer</t>
  </si>
  <si>
    <t>30_HEW</t>
  </si>
  <si>
    <t>30_Nurse</t>
  </si>
  <si>
    <t>30_EnvironHealth</t>
  </si>
  <si>
    <t>30_Unassigned</t>
  </si>
  <si>
    <t>30_TOTAL</t>
  </si>
  <si>
    <t>35_HealthOfficer</t>
  </si>
  <si>
    <t>35_FamilyHealth</t>
  </si>
  <si>
    <t>35_Nurse</t>
  </si>
  <si>
    <t>35_EnvironHealth</t>
  </si>
  <si>
    <t>35_Unassigned</t>
  </si>
  <si>
    <t>35_TOTAL</t>
  </si>
  <si>
    <t>FH.MN.S.13</t>
  </si>
  <si>
    <t>FH.MN.S.14</t>
  </si>
  <si>
    <t>Test additional</t>
  </si>
  <si>
    <t>Included in other contraceptives</t>
  </si>
  <si>
    <t>TV_Comprehensive</t>
  </si>
  <si>
    <t>BasicModel</t>
  </si>
  <si>
    <t>TV_Basic</t>
  </si>
  <si>
    <t>HOLD</t>
  </si>
  <si>
    <t>Ref</t>
  </si>
  <si>
    <t>Cat</t>
  </si>
  <si>
    <t>Num</t>
  </si>
  <si>
    <t>Assuming a visit once every five years. This is probably not enough.</t>
  </si>
  <si>
    <t>MergedModel</t>
  </si>
  <si>
    <t>TV_Merged</t>
  </si>
  <si>
    <t>sheet_Cadre</t>
  </si>
  <si>
    <t>Cadres_Comprehensive</t>
  </si>
  <si>
    <t>Cadres_Basic</t>
  </si>
  <si>
    <t>Cadres_Merged</t>
  </si>
  <si>
    <t>DeliveryModel</t>
  </si>
  <si>
    <t>Preventive</t>
  </si>
  <si>
    <t>Chronic</t>
  </si>
  <si>
    <t>Acute</t>
  </si>
  <si>
    <t>25_Midwife</t>
  </si>
  <si>
    <t>30_Midwife</t>
  </si>
  <si>
    <t>35_Midwife</t>
  </si>
  <si>
    <t>Travel_HEH</t>
  </si>
  <si>
    <t>Travel_HEP</t>
  </si>
  <si>
    <t>Travel HEH</t>
  </si>
  <si>
    <t>Travel HEP</t>
  </si>
  <si>
    <t>Per staff</t>
  </si>
  <si>
    <t>total per person</t>
  </si>
  <si>
    <t>HEW only</t>
  </si>
  <si>
    <t>Per facility</t>
  </si>
  <si>
    <t>total per HEW/FHP</t>
  </si>
  <si>
    <t>Community relationships</t>
  </si>
  <si>
    <t>Facility tasks</t>
  </si>
  <si>
    <t>annual per capita</t>
  </si>
  <si>
    <t>ALL</t>
  </si>
  <si>
    <t>RURAL</t>
  </si>
  <si>
    <t>Overhead per staff</t>
  </si>
  <si>
    <t>incl. in MHH</t>
  </si>
  <si>
    <t>already tagged in</t>
  </si>
  <si>
    <t>Travel_DontUse</t>
  </si>
  <si>
    <t>Overhead_staff1</t>
  </si>
  <si>
    <t>Overhead_staff2</t>
  </si>
  <si>
    <t>Overhead_staff3</t>
  </si>
  <si>
    <t>Overhead_staff4</t>
  </si>
  <si>
    <t>Overhead_staff5</t>
  </si>
  <si>
    <t>Overhead_staff6</t>
  </si>
  <si>
    <t>Overhead staff 1</t>
  </si>
  <si>
    <t>Overhead staff 2</t>
  </si>
  <si>
    <t>Overhead staff 3</t>
  </si>
  <si>
    <t>Overhead staff 4</t>
  </si>
  <si>
    <t>Overhead staff 5</t>
  </si>
  <si>
    <t>Overhead staff 6</t>
  </si>
  <si>
    <t>Included in screening</t>
  </si>
  <si>
    <t>adults 35+</t>
  </si>
  <si>
    <t>screen every adult every 5 years</t>
  </si>
  <si>
    <t>every 5 years</t>
  </si>
  <si>
    <t>Same as ICCM.</t>
  </si>
  <si>
    <t>Pneumonia (ARI)</t>
  </si>
  <si>
    <t>FH.MN.19D</t>
  </si>
  <si>
    <t>Fever, excluding diarrhea and ARI</t>
  </si>
  <si>
    <t>Geography_dontedit</t>
  </si>
  <si>
    <t>sourceID</t>
  </si>
  <si>
    <t>ValueCode</t>
  </si>
  <si>
    <t>LookupVal</t>
  </si>
  <si>
    <t>SourcePop</t>
  </si>
  <si>
    <t>DataYear</t>
  </si>
  <si>
    <t>95%CI</t>
  </si>
  <si>
    <t>ValueDescription</t>
  </si>
  <si>
    <t>ValueType</t>
  </si>
  <si>
    <t>AnnualDeltaRatioDescription</t>
  </si>
  <si>
    <t>Coverage/usage</t>
  </si>
  <si>
    <t>adminLevel</t>
  </si>
  <si>
    <t>adminCode</t>
  </si>
  <si>
    <t>adminNameAsUsed</t>
  </si>
  <si>
    <t>Demog1</t>
  </si>
  <si>
    <t>Demography</t>
  </si>
  <si>
    <t>% of population</t>
  </si>
  <si>
    <t>rural population</t>
  </si>
  <si>
    <t>ET</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</si>
  <si>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</si>
  <si>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</si>
  <si>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</si>
  <si>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</si>
  <si>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</si>
  <si>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</si>
  <si>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</si>
  <si>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</si>
  <si>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</si>
  <si>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</si>
  <si>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</si>
  <si>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</si>
  <si>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</si>
  <si>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</si>
  <si>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</si>
  <si>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</si>
  <si>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</si>
  <si>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ETU</t>
  </si>
  <si>
    <t>ET01</t>
  </si>
  <si>
    <t>ET02</t>
  </si>
  <si>
    <t>Afar</t>
  </si>
  <si>
    <t>ET03</t>
  </si>
  <si>
    <t>ET04</t>
  </si>
  <si>
    <t>ET05</t>
  </si>
  <si>
    <t>Somali</t>
  </si>
  <si>
    <t>per 1000 women ages 45-49, assumed value</t>
  </si>
  <si>
    <t>ET06</t>
  </si>
  <si>
    <t>Benishangul Gumuz</t>
  </si>
  <si>
    <t>ET07</t>
  </si>
  <si>
    <t>SNNPR</t>
  </si>
  <si>
    <t>ET12</t>
  </si>
  <si>
    <t>Gambela</t>
  </si>
  <si>
    <t>ET13</t>
  </si>
  <si>
    <t>Harari</t>
  </si>
  <si>
    <t>ET14</t>
  </si>
  <si>
    <t>ET15</t>
  </si>
  <si>
    <t>Dire Dawa</t>
  </si>
  <si>
    <t>MND3a</t>
  </si>
  <si>
    <t>VC1</t>
  </si>
  <si>
    <t>hospital delivery</t>
  </si>
  <si>
    <t>Number of hospital delivery with obstetric complications</t>
  </si>
  <si>
    <t>count</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</si>
  <si>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</si>
  <si>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</si>
  <si>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</si>
  <si>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</si>
  <si>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</si>
  <si>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</si>
  <si>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</si>
  <si>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</si>
  <si>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</si>
  <si>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</si>
  <si>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</si>
  <si>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</si>
  <si>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</si>
  <si>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</si>
  <si>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</si>
  <si>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(8.46, 21.16)</t>
  </si>
  <si>
    <t>% of post partum women at hospitals</t>
  </si>
  <si>
    <t>pooled prevalence</t>
  </si>
  <si>
    <t>2018-2019</t>
  </si>
  <si>
    <t>(3.69, 33.39)</t>
  </si>
  <si>
    <t>% of post partum women visiting hospitals</t>
  </si>
  <si>
    <t>(5.64, 11.11)</t>
  </si>
  <si>
    <t>% of post partum women who gave birth at the hospital</t>
  </si>
  <si>
    <t>(9.79, 16.06)</t>
  </si>
  <si>
    <t>PNC2</t>
  </si>
  <si>
    <t>VC3</t>
  </si>
  <si>
    <t>1994-1998</t>
  </si>
  <si>
    <t>% of breastfeeding women</t>
  </si>
  <si>
    <t>PNC3</t>
  </si>
  <si>
    <t>VC4</t>
  </si>
  <si>
    <t>2014-2021</t>
  </si>
  <si>
    <t>(7.07, 9.4)</t>
  </si>
  <si>
    <t>2017-2021</t>
  </si>
  <si>
    <t>(6.53, 13.43)</t>
  </si>
  <si>
    <t>(6.54, 9.03)</t>
  </si>
  <si>
    <t>(8.14, 13.18)</t>
  </si>
  <si>
    <t>(4.95, 10.32)</t>
  </si>
  <si>
    <t>2018-2018</t>
  </si>
  <si>
    <t>(5.38, 10.10)</t>
  </si>
  <si>
    <t>(0, 17.60)</t>
  </si>
  <si>
    <t>(8.74, 17.26)</t>
  </si>
  <si>
    <t>(1.86, 4.34)</t>
  </si>
  <si>
    <t>(10.31, 15.49)</t>
  </si>
  <si>
    <t>Para1</t>
  </si>
  <si>
    <t>VC5</t>
  </si>
  <si>
    <t>children</t>
  </si>
  <si>
    <t>2009-2019</t>
  </si>
  <si>
    <t>% of primary school children</t>
  </si>
  <si>
    <t>Ntr1</t>
  </si>
  <si>
    <t>ages 0-59 mos</t>
  </si>
  <si>
    <t>% of under 5 children</t>
  </si>
  <si>
    <t>Ntr4</t>
  </si>
  <si>
    <t>pravalence of anthropometric failure</t>
  </si>
  <si>
    <t>VC6</t>
  </si>
  <si>
    <t>Affar</t>
  </si>
  <si>
    <t>VC7</t>
  </si>
  <si>
    <t>VC8</t>
  </si>
  <si>
    <t>Child mortality rate, probability of dying between the first birthday and the fifth birthday in the ten years preceding the survey</t>
  </si>
  <si>
    <t>ages 1-4</t>
  </si>
  <si>
    <t>(11, 18)</t>
  </si>
  <si>
    <t>per 1,000 children surviving to their first birthday</t>
  </si>
  <si>
    <t>mortality</t>
  </si>
  <si>
    <t>(6, 19)</t>
  </si>
  <si>
    <t>(11, 19)</t>
  </si>
  <si>
    <t>(0, 12)</t>
  </si>
  <si>
    <t>(4, 21)</t>
  </si>
  <si>
    <t>(4, 19)</t>
  </si>
  <si>
    <t>(6, 16)</t>
  </si>
  <si>
    <t>(20, 44)</t>
  </si>
  <si>
    <t>(8, 26)</t>
  </si>
  <si>
    <t>(14, 27)</t>
  </si>
  <si>
    <t>(21, 56)</t>
  </si>
  <si>
    <t>(4, 28)</t>
  </si>
  <si>
    <t>(0, 11)</t>
  </si>
  <si>
    <t>(0, 40)</t>
  </si>
  <si>
    <t>Sca1</t>
  </si>
  <si>
    <t>2017-2020</t>
  </si>
  <si>
    <t>Sca2</t>
  </si>
  <si>
    <t>VC9</t>
  </si>
  <si>
    <t>DPC.NTD.177</t>
  </si>
  <si>
    <t>incidence, proxy</t>
  </si>
  <si>
    <t>assume no change</t>
  </si>
  <si>
    <t>ChAb1</t>
  </si>
  <si>
    <t>VC10</t>
  </si>
  <si>
    <t>% of girls reporting*% help-seeking*multiple to adjust to both girls and boys</t>
  </si>
  <si>
    <t>Immu1</t>
  </si>
  <si>
    <t>VC11</t>
  </si>
  <si>
    <t>% of all immunization session result in an ADE response needed from the clinician</t>
  </si>
  <si>
    <t>educated guess incidence</t>
  </si>
  <si>
    <t>VC12</t>
  </si>
  <si>
    <t>Total demand for family planning, total (all women)</t>
  </si>
  <si>
    <t>% of all reproductive age women</t>
  </si>
  <si>
    <t>VC13</t>
  </si>
  <si>
    <t>% of all reproductive age women; demand for fp and method not available for 2019; contraception switch data at national level only, regional might be available in DHS datafile</t>
  </si>
  <si>
    <t>VC14</t>
  </si>
  <si>
    <t>VC15</t>
  </si>
  <si>
    <t>FP3</t>
  </si>
  <si>
    <t>VC16</t>
  </si>
  <si>
    <t>% of pregnancies</t>
  </si>
  <si>
    <t>FP6</t>
  </si>
  <si>
    <t>abortion per 100 pregnancies</t>
  </si>
  <si>
    <t>SH1</t>
  </si>
  <si>
    <t>VC17</t>
  </si>
  <si>
    <t>% of women 15-49</t>
  </si>
  <si>
    <t>GBV1</t>
  </si>
  <si>
    <t>% lifetime prevalence</t>
  </si>
  <si>
    <t>VC18</t>
  </si>
  <si>
    <t>Women who experienced sexual violence in past 12 months</t>
  </si>
  <si>
    <t>VC19</t>
  </si>
  <si>
    <t>Physical violence in the past 12 months often or sometimes</t>
  </si>
  <si>
    <t>Ntr3</t>
  </si>
  <si>
    <t>VC20</t>
  </si>
  <si>
    <t>Treat malnourish mothers</t>
  </si>
  <si>
    <t>2012-2019</t>
  </si>
  <si>
    <t>2017-2019</t>
  </si>
  <si>
    <t>Women BMI &lt; 18.5</t>
  </si>
  <si>
    <t>VC21</t>
  </si>
  <si>
    <t>&lt;5</t>
  </si>
  <si>
    <t>% of children age 6-59 months</t>
  </si>
  <si>
    <t>ENMS2016</t>
  </si>
  <si>
    <t>VC22</t>
  </si>
  <si>
    <t>% of children 5-15</t>
  </si>
  <si>
    <t>estimated</t>
  </si>
  <si>
    <t>VC23</t>
  </si>
  <si>
    <t>% of men and women 15+</t>
  </si>
  <si>
    <t>VC24</t>
  </si>
  <si>
    <t>Women reporting an STI, genital dicharge, or a sore or ulcer</t>
  </si>
  <si>
    <t>VC25</t>
  </si>
  <si>
    <t>% of men 15-49</t>
  </si>
  <si>
    <t>Men reporting an STI, genital dicharge, or a sore or ulcer</t>
  </si>
  <si>
    <t>HIV1</t>
  </si>
  <si>
    <t>VC26</t>
  </si>
  <si>
    <t>incidence of HIV per 1000 uninfected population ages 15-49</t>
  </si>
  <si>
    <t>average yr-on-yr 2011-2019</t>
  </si>
  <si>
    <t>HIV2</t>
  </si>
  <si>
    <t>VC27</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</si>
  <si>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</si>
  <si>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</si>
  <si>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</si>
  <si>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</si>
  <si>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</si>
  <si>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</si>
  <si>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</si>
  <si>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</si>
  <si>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</si>
  <si>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</si>
  <si>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</si>
  <si>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</si>
  <si>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</si>
  <si>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</si>
  <si>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</si>
  <si>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</si>
  <si>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</si>
  <si>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</si>
  <si>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</si>
  <si>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</si>
  <si>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VC28</t>
  </si>
  <si>
    <t>mean number of household members</t>
  </si>
  <si>
    <t>per capita</t>
  </si>
  <si>
    <t>Mlr1</t>
  </si>
  <si>
    <t>Malaria pooled prevalence</t>
  </si>
  <si>
    <t>2010-2020</t>
  </si>
  <si>
    <t>% of population at risk</t>
  </si>
  <si>
    <t>no uniform time trend from 2011 to 2018</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</si>
  <si>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</si>
  <si>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</si>
  <si>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</si>
  <si>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</si>
  <si>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</si>
  <si>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</si>
  <si>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</si>
  <si>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</si>
  <si>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</si>
  <si>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</si>
  <si>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</si>
  <si>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</si>
  <si>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</si>
  <si>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</si>
  <si>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VC30</t>
  </si>
  <si>
    <t>World Development Indicators, Incidence of malaria</t>
  </si>
  <si>
    <t>at risk</t>
  </si>
  <si>
    <t>number of new cases of malaria in a year per 1,000 population at risk</t>
  </si>
  <si>
    <t>time trend on malaria not reliable?</t>
  </si>
  <si>
    <t>TB1</t>
  </si>
  <si>
    <t>VC32</t>
  </si>
  <si>
    <t>per 100,000 people</t>
  </si>
  <si>
    <t>average yr-on-yr 2014-2019</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</si>
  <si>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</si>
  <si>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</si>
  <si>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</si>
  <si>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</si>
  <si>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</si>
  <si>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</si>
  <si>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</si>
  <si>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</si>
  <si>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</si>
  <si>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</si>
  <si>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</si>
  <si>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</si>
  <si>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</si>
  <si>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</si>
  <si>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</si>
  <si>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</si>
  <si>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</si>
  <si>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</si>
  <si>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</si>
  <si>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</si>
  <si>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</si>
  <si>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</si>
  <si>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</si>
  <si>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</si>
  <si>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</si>
  <si>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</si>
  <si>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</si>
  <si>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</si>
  <si>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</si>
  <si>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</si>
  <si>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</si>
  <si>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</si>
  <si>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Dbt3</t>
  </si>
  <si>
    <t>VC35</t>
  </si>
  <si>
    <t>ages 15-24</t>
  </si>
  <si>
    <t>prevalence assumed to be unchanged for age group</t>
  </si>
  <si>
    <t>ages 25-34</t>
  </si>
  <si>
    <t>ages 35-44</t>
  </si>
  <si>
    <t>ages 45-54</t>
  </si>
  <si>
    <t>ages 55-64</t>
  </si>
  <si>
    <t>ages 65+</t>
  </si>
  <si>
    <t>Asth1</t>
  </si>
  <si>
    <t>Asthma</t>
  </si>
  <si>
    <t>Men, 15+</t>
  </si>
  <si>
    <t>% of male population ages 15+</t>
  </si>
  <si>
    <t>VC36</t>
  </si>
  <si>
    <t>Men who smoke any type of tobacco</t>
  </si>
  <si>
    <t>prevalence of male smokers</t>
  </si>
  <si>
    <t>Asth2</t>
  </si>
  <si>
    <t>VC37a</t>
  </si>
  <si>
    <t>1997-2019</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</si>
  <si>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</si>
  <si>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</si>
  <si>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</si>
  <si>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</si>
  <si>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</si>
  <si>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</si>
  <si>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</si>
  <si>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</si>
  <si>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</si>
  <si>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</si>
  <si>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</si>
  <si>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</si>
  <si>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</si>
  <si>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</si>
  <si>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</si>
  <si>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</si>
  <si>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Cncr1</t>
  </si>
  <si>
    <t>VC33</t>
  </si>
  <si>
    <t>Estimated deaths from cancer per 100,000 people</t>
  </si>
  <si>
    <t>(42.65, 47.69)</t>
  </si>
  <si>
    <t>per 100,000 population</t>
  </si>
  <si>
    <t>Estimated deaths from cancer per 100,000 men</t>
  </si>
  <si>
    <t>Men, all</t>
  </si>
  <si>
    <t>(29.80, 36.32)</t>
  </si>
  <si>
    <t>Men, ages 0-19</t>
  </si>
  <si>
    <t>Estimated deaths from cancer per 100,000 women</t>
  </si>
  <si>
    <t>Women, all</t>
  </si>
  <si>
    <t>(53.65, 61.42)</t>
  </si>
  <si>
    <t>Women, ages 0-19</t>
  </si>
  <si>
    <t>MH1</t>
  </si>
  <si>
    <t>VC38</t>
  </si>
  <si>
    <t>MH3</t>
  </si>
  <si>
    <t>choose depression episodes reporting</t>
  </si>
  <si>
    <t>Oph1</t>
  </si>
  <si>
    <t>per 1,000,000 population</t>
  </si>
  <si>
    <t>reported surgery rate</t>
  </si>
  <si>
    <t>Oph2</t>
  </si>
  <si>
    <t>VC39</t>
  </si>
  <si>
    <t>estimated based on correlation between CSR and GNI, GNI2006 of 180, GNI2020 of 890</t>
  </si>
  <si>
    <t>estimated CSR2006 = 0.172*180+283.13 = 314</t>
  </si>
  <si>
    <t>Oph4</t>
  </si>
  <si>
    <t>VC40</t>
  </si>
  <si>
    <t>ages 0-9</t>
  </si>
  <si>
    <t>2006-2013</t>
  </si>
  <si>
    <t>% of children 0-9</t>
  </si>
  <si>
    <t>DHS2016</t>
  </si>
  <si>
    <t>VC41</t>
  </si>
  <si>
    <t>% of households with injury/regional household size*injury last less than 7 days</t>
  </si>
  <si>
    <t>VC42</t>
  </si>
  <si>
    <t>% of households with injury/regional household size*injury last 8 to 30 days</t>
  </si>
  <si>
    <t>NTD2</t>
  </si>
  <si>
    <t>VC43</t>
  </si>
  <si>
    <t>15+</t>
  </si>
  <si>
    <t>average prevalence of endemic districts adjusted by proportion of at risk population</t>
  </si>
  <si>
    <t>NTD5</t>
  </si>
  <si>
    <t>VC44</t>
  </si>
  <si>
    <t>ages 1-9</t>
  </si>
  <si>
    <t>annualized risk of acquisition</t>
  </si>
  <si>
    <t>(0.775%, 1.3125%)</t>
  </si>
  <si>
    <t>NTD6</t>
  </si>
  <si>
    <t>NTD7</t>
  </si>
  <si>
    <t>NTD8</t>
  </si>
  <si>
    <t>VC45</t>
  </si>
  <si>
    <t>2000-2019</t>
  </si>
  <si>
    <t>% of school-aged children; also used for pregnant women</t>
  </si>
  <si>
    <t>VC46</t>
  </si>
  <si>
    <t>TB2</t>
  </si>
  <si>
    <t>TB incidence rate per 100,000 population</t>
  </si>
  <si>
    <t>VC32ET01</t>
  </si>
  <si>
    <t>VC32ET02</t>
  </si>
  <si>
    <t>VC32ET03</t>
  </si>
  <si>
    <t>VC32ET04</t>
  </si>
  <si>
    <t>VC32ET05</t>
  </si>
  <si>
    <t>VC32ET06</t>
  </si>
  <si>
    <t>VC32ET07</t>
  </si>
  <si>
    <t>VC32ET12</t>
  </si>
  <si>
    <t>VC32ET13</t>
  </si>
  <si>
    <t>VC32ET14</t>
  </si>
  <si>
    <t>VC32ET15</t>
  </si>
  <si>
    <t>SSnMalaria</t>
  </si>
  <si>
    <t>SsnBirths</t>
  </si>
  <si>
    <t>SsnNutr</t>
  </si>
  <si>
    <t>SSnTB</t>
  </si>
  <si>
    <t>SsnTB Normalize to 1</t>
  </si>
  <si>
    <t>Starting Age</t>
  </si>
  <si>
    <t>Ending Age</t>
  </si>
  <si>
    <t>SSnDiarrhea</t>
  </si>
  <si>
    <t>Sidama</t>
  </si>
  <si>
    <t>SsnDiarrhea Normalize to 1</t>
  </si>
  <si>
    <t>Label</t>
  </si>
  <si>
    <t>Sex</t>
  </si>
  <si>
    <t>Annual birth rate male</t>
  </si>
  <si>
    <t>Fertility</t>
  </si>
  <si>
    <t>Age specific fertility rate: 0-14</t>
  </si>
  <si>
    <t>AnnualBirthRate15_19</t>
  </si>
  <si>
    <t>AnnualBirthRate20_24</t>
  </si>
  <si>
    <t>AnnualBirthRate25_29</t>
  </si>
  <si>
    <t>AnnualBirthRate30_34</t>
  </si>
  <si>
    <t>AnnualBirthRate35_39</t>
  </si>
  <si>
    <t>AnnualBirthRate40_44</t>
  </si>
  <si>
    <t>AnnualBirthRate45_49</t>
  </si>
  <si>
    <t>Age specific fertility rate: 50-100</t>
  </si>
  <si>
    <t>BandStart</t>
  </si>
  <si>
    <t>BandEnd</t>
  </si>
  <si>
    <t>InitValue</t>
  </si>
  <si>
    <t>ChangeRate</t>
  </si>
  <si>
    <t>BR0000</t>
  </si>
  <si>
    <t>BR0014</t>
  </si>
  <si>
    <t>BR1519</t>
  </si>
  <si>
    <t>BR2024</t>
  </si>
  <si>
    <t>BR2529</t>
  </si>
  <si>
    <t>BR3034</t>
  </si>
  <si>
    <t>BR3539</t>
  </si>
  <si>
    <t>BR4044</t>
  </si>
  <si>
    <t>BR4549</t>
  </si>
  <si>
    <t>BR5000</t>
  </si>
  <si>
    <t>DR0104F</t>
  </si>
  <si>
    <t>DR0509F</t>
  </si>
  <si>
    <t>DR1014F</t>
  </si>
  <si>
    <t>DR1519F</t>
  </si>
  <si>
    <t>DR2034F</t>
  </si>
  <si>
    <t>DR3549F</t>
  </si>
  <si>
    <t>DR5059F</t>
  </si>
  <si>
    <t>DR6074F</t>
  </si>
  <si>
    <t>DR7500F</t>
  </si>
  <si>
    <t>DR0104M</t>
  </si>
  <si>
    <t>DR0509M</t>
  </si>
  <si>
    <t>DR1014M</t>
  </si>
  <si>
    <t>DR1519M</t>
  </si>
  <si>
    <t>DR2034M</t>
  </si>
  <si>
    <t>DR3549M</t>
  </si>
  <si>
    <t>DR5059M</t>
  </si>
  <si>
    <t>DR6074M</t>
  </si>
  <si>
    <t>DR7500M</t>
  </si>
  <si>
    <t>Mortality infants F</t>
  </si>
  <si>
    <t>Mortality 1-4yr F</t>
  </si>
  <si>
    <t>Mortality 5-9yr F</t>
  </si>
  <si>
    <t>Mortality 10-14yr F</t>
  </si>
  <si>
    <t>Mortality 15-19yr F</t>
  </si>
  <si>
    <t>Mortality 20-34yr F</t>
  </si>
  <si>
    <t>Mortality infants M</t>
  </si>
  <si>
    <t>Mortality 1-4yr M</t>
  </si>
  <si>
    <t>Mortality 5-9yr M</t>
  </si>
  <si>
    <t>Mortality 10-14yr M</t>
  </si>
  <si>
    <t>Mortality 15-19yr M</t>
  </si>
  <si>
    <t>Mortality 20-34yr M</t>
  </si>
  <si>
    <t>MortalityInfantsF</t>
  </si>
  <si>
    <t>Mortality1_4F</t>
  </si>
  <si>
    <t>Mortality5_9F</t>
  </si>
  <si>
    <t>Mortality10_14F</t>
  </si>
  <si>
    <t>Mortality15_19F</t>
  </si>
  <si>
    <t>Mortality20_34F</t>
  </si>
  <si>
    <t>Mortality35_49F</t>
  </si>
  <si>
    <t>Mortality50_59F</t>
  </si>
  <si>
    <t>Mortality60_74F</t>
  </si>
  <si>
    <t>Mortality75+F</t>
  </si>
  <si>
    <t>MortalityInfantsM</t>
  </si>
  <si>
    <t>Mortality1_4M</t>
  </si>
  <si>
    <t>Mortality5_9M</t>
  </si>
  <si>
    <t>Mortality10_14M</t>
  </si>
  <si>
    <t>Mortality15_19M</t>
  </si>
  <si>
    <t>Mortality20_34M</t>
  </si>
  <si>
    <t>Mortality35_49M</t>
  </si>
  <si>
    <t>Mortality50_59M</t>
  </si>
  <si>
    <t>Mortality60_74M</t>
  </si>
  <si>
    <t>Mortality75+M</t>
  </si>
  <si>
    <t>DR0000M</t>
  </si>
  <si>
    <t>DR0000F</t>
  </si>
  <si>
    <t>Infant mortality rate, probability of dying before the first birthday in the ten years preceding the survey</t>
  </si>
  <si>
    <t>(45, 63)</t>
  </si>
  <si>
    <t xml:space="preserve"> per 1,000 live births</t>
  </si>
  <si>
    <t>(55, 67)</t>
  </si>
  <si>
    <t>(20, 50)</t>
  </si>
  <si>
    <t>(45, 74)</t>
  </si>
  <si>
    <t>(50, 70)</t>
  </si>
  <si>
    <t>(69, 83)</t>
  </si>
  <si>
    <t>(18, 57)</t>
  </si>
  <si>
    <t>(32, 53)</t>
  </si>
  <si>
    <t>(28, 64)</t>
  </si>
  <si>
    <t>(50, 77)</t>
  </si>
  <si>
    <t>(41, 76)</t>
  </si>
  <si>
    <t>(54, 80)</t>
  </si>
  <si>
    <t>(44, 79)</t>
  </si>
  <si>
    <t>(61, 84)</t>
  </si>
  <si>
    <t>(49, 94)</t>
  </si>
  <si>
    <t>(55, 79)</t>
  </si>
  <si>
    <t>(52, 96)</t>
  </si>
  <si>
    <t>(63, 105)</t>
  </si>
  <si>
    <t>(21, 53)</t>
  </si>
  <si>
    <t>(66, 90)</t>
  </si>
  <si>
    <t>(27, 73)</t>
  </si>
  <si>
    <t>(41, 72)</t>
  </si>
  <si>
    <t>(34, 65)</t>
  </si>
  <si>
    <t>(42, 73)</t>
  </si>
  <si>
    <t>(8, 34)</t>
  </si>
  <si>
    <t>(17, 38)</t>
  </si>
  <si>
    <t>(34, 87)</t>
  </si>
  <si>
    <t>(40, 93)</t>
  </si>
  <si>
    <t>(18, 26)</t>
  </si>
  <si>
    <t>(15, 36)</t>
  </si>
  <si>
    <t>(18, 27)</t>
  </si>
  <si>
    <t>(16, 30)</t>
  </si>
  <si>
    <t>(39, 93)</t>
  </si>
  <si>
    <t>(12, 26)</t>
  </si>
  <si>
    <t>(13, 27)</t>
  </si>
  <si>
    <t>(22, 57)</t>
  </si>
  <si>
    <t>(57, 102)</t>
  </si>
  <si>
    <t>(15, 35)</t>
  </si>
  <si>
    <t>(35, 67)</t>
  </si>
  <si>
    <t>(19, 61)</t>
  </si>
  <si>
    <t>(4, 23)</t>
  </si>
  <si>
    <t>(18, 38)</t>
  </si>
  <si>
    <t>sex</t>
  </si>
  <si>
    <t>age_group</t>
  </si>
  <si>
    <t>year</t>
  </si>
  <si>
    <t>population_estimate</t>
  </si>
  <si>
    <t>80+</t>
  </si>
  <si>
    <t>&lt;1 year</t>
  </si>
  <si>
    <t>AddisAbeba</t>
  </si>
  <si>
    <t>Benshangul-Gumaz</t>
  </si>
  <si>
    <t>DireDawa</t>
  </si>
  <si>
    <t>GambelaPeoples</t>
  </si>
  <si>
    <t>HarariPeople</t>
  </si>
  <si>
    <t>SouthernNations,NationalitiesandPeoples</t>
  </si>
  <si>
    <t>https://doi.org/10.1186/s41182-018-0101-1</t>
  </si>
  <si>
    <t>proportion of 80+ female population</t>
  </si>
  <si>
    <t>proportion of 80+ male population</t>
  </si>
  <si>
    <t>tigray</t>
  </si>
  <si>
    <t>afar</t>
  </si>
  <si>
    <t>amhara</t>
  </si>
  <si>
    <t>oromia</t>
  </si>
  <si>
    <t>somali</t>
  </si>
  <si>
    <t>benishangul</t>
  </si>
  <si>
    <t>snnpr</t>
  </si>
  <si>
    <t>gambela</t>
  </si>
  <si>
    <t>harari</t>
  </si>
  <si>
    <t>addis ababa</t>
  </si>
  <si>
    <t>dire dawa</t>
  </si>
  <si>
    <t>DPC.Cncr.119A</t>
  </si>
  <si>
    <t>DPC.Cncr.119B</t>
  </si>
  <si>
    <t>DPC.Cncr.119C</t>
  </si>
  <si>
    <t>DPC.Cncr.119D</t>
  </si>
  <si>
    <t>DPC.Cncr.119E</t>
  </si>
  <si>
    <t>DPC.Cncr.119F</t>
  </si>
  <si>
    <t>DPC.Cncr.119G</t>
  </si>
  <si>
    <t>DPC.Cncr.119H</t>
  </si>
  <si>
    <t>women 20-30</t>
  </si>
  <si>
    <t>men 20-30</t>
  </si>
  <si>
    <t>women 30-40</t>
  </si>
  <si>
    <t>men 30-40</t>
  </si>
  <si>
    <t>women 40-50</t>
  </si>
  <si>
    <t>men 40-50</t>
  </si>
  <si>
    <t>women 50-60</t>
  </si>
  <si>
    <t>men 50-60</t>
  </si>
  <si>
    <t>DPC.Cncr.119I</t>
  </si>
  <si>
    <t>DPC.Cncr.119J</t>
  </si>
  <si>
    <t>DPC.Cncr.119K</t>
  </si>
  <si>
    <t>women 60-70</t>
  </si>
  <si>
    <t>men 60-70</t>
  </si>
  <si>
    <t>adults 70+</t>
  </si>
  <si>
    <t>DPC.Dbt.125A</t>
  </si>
  <si>
    <t>DPC.Dbt.125B</t>
  </si>
  <si>
    <t>DPC.Dbt.125C</t>
  </si>
  <si>
    <t>DPC.Dbt.125D</t>
  </si>
  <si>
    <t>DPC.Dbt.125E</t>
  </si>
  <si>
    <t>adults 15-34</t>
  </si>
  <si>
    <t>adults 35-44</t>
  </si>
  <si>
    <t>adults 45-54</t>
  </si>
  <si>
    <t>adults 55-64</t>
  </si>
  <si>
    <t>adults 65+</t>
  </si>
  <si>
    <t>DPC.Hyp.122F</t>
  </si>
  <si>
    <t>DPC.Hyp.122A</t>
  </si>
  <si>
    <t>DPC.Hyp.122B</t>
  </si>
  <si>
    <t>DPC.Hyp.122C</t>
  </si>
  <si>
    <t>DPC.Hyp.122D</t>
  </si>
  <si>
    <t>DPC.Hyp.122E</t>
  </si>
  <si>
    <t>adults 15-24</t>
  </si>
  <si>
    <t>adults 25-34</t>
  </si>
  <si>
    <t>adults 18-30</t>
  </si>
  <si>
    <t>adults 31-44</t>
  </si>
  <si>
    <t>adults 65-74</t>
  </si>
  <si>
    <t>adults 75+</t>
  </si>
  <si>
    <t>DPC.MH.130C</t>
  </si>
  <si>
    <t>DPC.MH.130D</t>
  </si>
  <si>
    <t>DPC.MH.130E</t>
  </si>
  <si>
    <t>DPC.MH.130F</t>
  </si>
  <si>
    <t>DPC.MH.130G</t>
  </si>
  <si>
    <t>pop_linear</t>
  </si>
  <si>
    <t>pop_spline</t>
  </si>
  <si>
    <t>source: HEP capacity projection\Data\ETH DHS\By region\"Ethiopia_birth_month_20211110</t>
  </si>
  <si>
    <t>adults 50+</t>
  </si>
  <si>
    <t>Palliative care for cancer, men &amp; women 70+</t>
  </si>
  <si>
    <t>VC33a</t>
  </si>
  <si>
    <t>VC33b</t>
  </si>
  <si>
    <t>VC33c</t>
  </si>
  <si>
    <t>VC33d</t>
  </si>
  <si>
    <t>VC33e</t>
  </si>
  <si>
    <t>VC33f</t>
  </si>
  <si>
    <t>VC33g</t>
  </si>
  <si>
    <t>VC33h</t>
  </si>
  <si>
    <t>VC33i</t>
  </si>
  <si>
    <t>VC33j</t>
  </si>
  <si>
    <t>VC33k</t>
  </si>
  <si>
    <t>Broken out by age below</t>
  </si>
  <si>
    <t>Men, ages 20-29</t>
  </si>
  <si>
    <t>Men, ages 30-39</t>
  </si>
  <si>
    <t>Men, ages 40-49</t>
  </si>
  <si>
    <t>Men, ages 50-59</t>
  </si>
  <si>
    <t>Men, ages 60-69</t>
  </si>
  <si>
    <t>Women, ages 20-29</t>
  </si>
  <si>
    <t>Women, ages 30-39</t>
  </si>
  <si>
    <t>Women, ages 40-49</t>
  </si>
  <si>
    <t>Women, ages 50-59</t>
  </si>
  <si>
    <t>Women, ages 60-69</t>
  </si>
  <si>
    <t>Adults, ages 70-85+</t>
  </si>
  <si>
    <t>Palliative care for cancer, men 20-29</t>
  </si>
  <si>
    <t>Palliative care for cancer, men 30-39</t>
  </si>
  <si>
    <t>Palliative care for cancer, men 40-49</t>
  </si>
  <si>
    <t>Palliative care for cancer, men 50-59</t>
  </si>
  <si>
    <t>Palliative care for cancer, men 60-69</t>
  </si>
  <si>
    <t>Palliative care for cancer, women 20-29</t>
  </si>
  <si>
    <t>Palliative care for cancer, women 30-39</t>
  </si>
  <si>
    <t>Palliative care for cancer, women 40-49</t>
  </si>
  <si>
    <t>Palliative care for cancer, women 50-59</t>
  </si>
  <si>
    <t>Palliative care for cancer, women 60-69</t>
  </si>
  <si>
    <t>Diabetes routine care, ages 35-44</t>
  </si>
  <si>
    <t>Diabetes routine care, ages 45-54</t>
  </si>
  <si>
    <t>Diabetes routine care, ages 55-64</t>
  </si>
  <si>
    <t>Diabetes routine care, ages 65+</t>
  </si>
  <si>
    <t>Diabetes routine care, ages 15-24</t>
  </si>
  <si>
    <t>Diabetes routine care, ages 25-34</t>
  </si>
  <si>
    <t>DPC.Dbt.125F</t>
  </si>
  <si>
    <t>VC35a</t>
  </si>
  <si>
    <t>VC35b</t>
  </si>
  <si>
    <t>VC35c</t>
  </si>
  <si>
    <t>VC35d</t>
  </si>
  <si>
    <t>VC35e</t>
  </si>
  <si>
    <t>VC35f</t>
  </si>
  <si>
    <t>Men, ages 15+</t>
  </si>
  <si>
    <t>Women, ages 15+</t>
  </si>
  <si>
    <t>% of female population ages 15+</t>
  </si>
  <si>
    <t>% of population 15-24</t>
  </si>
  <si>
    <t>% of population 25-34</t>
  </si>
  <si>
    <t>% of population 35-44</t>
  </si>
  <si>
    <t>% of population 45-54</t>
  </si>
  <si>
    <t>% of population 55-64</t>
  </si>
  <si>
    <t>% of population 65+</t>
  </si>
  <si>
    <t>women 20-29</t>
  </si>
  <si>
    <t>men 20-29</t>
  </si>
  <si>
    <t>women 30-39</t>
  </si>
  <si>
    <t>men 30-39</t>
  </si>
  <si>
    <t>women 40-49</t>
  </si>
  <si>
    <t>men 40-49</t>
  </si>
  <si>
    <t>women 50-59</t>
  </si>
  <si>
    <t>men 50-59</t>
  </si>
  <si>
    <t>women 60-69</t>
  </si>
  <si>
    <t>men 60-69</t>
  </si>
  <si>
    <t>annual hours per capita per HEW</t>
  </si>
  <si>
    <t>Relevant Population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</si>
</sst>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6" formatCode="&quot;$&quot;#,##0_);[Red]\(&quot;$&quot;#,##0\)"/>
    <numFmt numFmtId="8" formatCode="&quot;$&quot;#,##0.00_);[Red]\(&quot;$&quot;#,##0.00\)"/>
    <numFmt numFmtId="44" formatCode="_(&quot;$&quot;* #,##0.00_);_(&quot;$&quot;* \(#,##0.00\);_(&quot;$&quot;* &quot;-&quot;??_);_(@_)"/>
    <numFmt numFmtId="43" formatCode="_(* #,##0.00_);_(* \(#,##0.00\);_(* &quot;-&quot;??_);_(@_)"/>
    <numFmt numFmtId="164" formatCode="0.0%"/>
    <numFmt numFmtId="165" formatCode="_(* #,##0.0_);_(* \(#,##0.0\);_(* &quot;-&quot;??_);_(@_)"/>
    <numFmt numFmtId="166" formatCode="_(* #,##0_);_(* \(#,##0\);_(* &quot;-&quot;??_);_(@_)"/>
    <numFmt numFmtId="167" formatCode="#\ ###\ ###\ ##0;\-#\ ###\ ###\ ##0;0"/>
    <numFmt numFmtId="168" formatCode="0.0"/>
    <numFmt numFmtId="169" formatCode="_(* #,##0.000_);_(* \(#,##0.000\);_(* &quot;-&quot;??_);_(@_)"/>
    <numFmt numFmtId="170" formatCode="0.000%"/>
    <numFmt numFmtId="171" formatCode="_(* #,##0.0000_);_(* \(#,##0.0000\);_(* &quot;-&quot;??_);_(@_)"/>
    <numFmt numFmtId="172" formatCode="_(* #,##0.0000000_);_(* \(#,##0.0000000\);_(* &quot;-&quot;??_);_(@_)"/>
    <numFmt numFmtId="173" formatCode="_(* #,##0.00000000_);_(* \(#,##0.00000000\);_(* &quot;-&quot;??_);_(@_)"/>
    <numFmt numFmtId="174" formatCode="0.000000000"/>
    <numFmt numFmtId="175" formatCode="0.0000"/>
    <numFmt numFmtId="176" formatCode="0.000"/>
    <numFmt numFmtId="177" formatCode="0.00000000"/>
    <numFmt numFmtId="178" formatCode="_(* #,##0.00000_);_(* \(#,##0.00000\);_(* &quot;-&quot;??_);_(@_)"/>
    <numFmt numFmtId="179" formatCode="0.000000"/>
    <numFmt numFmtId="180" formatCode="_(* #,##0.000000_);_(* \(#,##0.000000\);_(* &quot;-&quot;??_);_(@_)"/>
    <numFmt numFmtId="181" formatCode="0.00000"/>
  </numFmts>
  <fonts count="39" x14ac:knownFonts="1">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7"/>
      <color rgb="FF50595E"/>
      <name val="Arial"/>
      <family val="2"/>
    </font>
    <font>
      <sz val="8"/>
      <color theme="1"/>
      <name val="Calibri"/>
      <family val="2"/>
      <scheme val="minor"/>
    </font>
    <font>
      <sz val="9"/>
      <color theme="1"/>
      <name val="Arial"/>
      <family val="2"/>
    </font>
    <font>
      <b/>
      <sz val="9"/>
      <color theme="1"/>
      <name val="Arial"/>
      <family val="2"/>
    </font>
    <font>
      <i/>
      <sz val="8"/>
      <color theme="1"/>
      <name val="Arial"/>
      <family val="2"/>
    </font>
    <font>
      <b/>
      <sz val="10"/>
      <color theme="1"/>
      <name val="Arial"/>
      <family val="2"/>
    </font>
    <font>
      <b/>
      <i/>
      <sz val="10"/>
      <color theme="1"/>
      <name val="Arial"/>
      <family val="2"/>
    </font>
    <font>
      <b/>
      <sz val="12"/>
      <color theme="1"/>
      <name val="Arial"/>
      <family val="2"/>
    </font>
    <font>
      <sz val="11"/>
      <color theme="5" tint="-0.249977111117893"/>
      <name val="Calibri"/>
      <family val="2"/>
      <scheme val="minor"/>
    </font>
    <font>
      <u/>
      <sz val="11"/>
      <color theme="10"/>
      <name val="Calibri"/>
      <family val="2"/>
      <scheme val="minor"/>
    </font>
    <font>
      <sz val="11"/>
      <name val="Calibri"/>
      <family val="2"/>
      <scheme val="minor"/>
    </font>
    <font>
      <b/>
      <u/>
      <sz val="11"/>
      <color theme="1"/>
      <name val="Calibri"/>
      <family val="2"/>
      <scheme val="minor"/>
    </font>
    <font>
      <i/>
      <sz val="11"/>
      <color theme="1"/>
      <name val="Calibri"/>
      <family val="2"/>
      <scheme val="minor"/>
    </font>
    <font>
      <sz val="10"/>
      <name val="Arial"/>
      <family val="2"/>
    </font>
    <font>
      <sz val="11"/>
      <color rgb="FFFF0000"/>
      <name val="Calibri"/>
      <family val="2"/>
      <scheme val="minor"/>
    </font>
    <font>
      <i/>
      <sz val="11"/>
      <color rgb="FFFF0000"/>
      <name val="Calibri"/>
      <family val="2"/>
      <scheme val="minor"/>
    </font>
    <font>
      <b/>
      <sz val="12"/>
      <color theme="1"/>
      <name val="Times New Roman"/>
      <family val="1"/>
    </font>
    <font>
      <sz val="12"/>
      <color theme="1"/>
      <name val="Times New Roman"/>
      <family val="1"/>
    </font>
    <font>
      <sz val="12"/>
      <name val="Times New Roman"/>
      <family val="1"/>
    </font>
    <font>
      <b/>
      <sz val="11"/>
      <name val="Arial"/>
      <family val="2"/>
      <charset val="204"/>
    </font>
    <font>
      <sz val="10"/>
      <name val="Arial"/>
      <family val="2"/>
      <charset val="204"/>
    </font>
    <font>
      <sz val="9"/>
      <color rgb="FF000000"/>
      <name val="Arial"/>
      <family val="2"/>
    </font>
    <font>
      <sz val="11"/>
      <color rgb="FF9C0006"/>
      <name val="Calibri"/>
      <family val="2"/>
      <scheme val="minor"/>
    </font>
    <font>
      <sz val="11"/>
      <color rgb="FFC00000"/>
      <name val="Calibri"/>
      <family val="2"/>
      <scheme val="minor"/>
    </font>
    <font>
      <u/>
      <sz val="11"/>
      <color theme="1"/>
      <name val="Calibri"/>
      <family val="2"/>
      <scheme val="minor"/>
    </font>
    <font>
      <strike/>
      <sz val="11"/>
      <color theme="1"/>
      <name val="Calibri"/>
      <family val="2"/>
      <scheme val="minor"/>
    </font>
    <font>
      <strike/>
      <sz val="11"/>
      <name val="Calibri"/>
      <family val="2"/>
      <scheme val="minor"/>
    </font>
    <font>
      <sz val="12"/>
      <color theme="1"/>
      <name val="Calibri"/>
      <family val="2"/>
      <scheme val="minor"/>
    </font>
    <font>
      <sz val="10"/>
      <color rgb="FFFF0000"/>
      <name val="Arial"/>
      <family val="2"/>
    </font>
    <font>
      <b/>
      <u/>
      <sz val="11"/>
      <name val="Calibri"/>
      <family val="2"/>
      <scheme val="minor"/>
    </font>
    <font>
      <b/>
      <sz val="11"/>
      <color theme="1"/>
      <name val="Calibri"/>
      <family val="2"/>
      <scheme val="minor"/>
    </font>
    <font>
      <b/>
      <sz val="9"/>
      <color indexed="81"/>
      <name val="Tahoma"/>
      <family val="2"/>
    </font>
    <font>
      <sz val="9"/>
      <color indexed="81"/>
      <name val="Tahoma"/>
      <family val="2"/>
    </font>
    <font>
      <sz val="8"/>
      <name val="Calibri"/>
      <family val="2"/>
      <scheme val="minor"/>
    </font>
    <font>
      <u/>
      <sz val="11"/>
      <name val="Calibri"/>
      <family val="2"/>
      <scheme val="minor"/>
    </font>
  </fonts>
  <fills count="24">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rgb="FFCCFF99"/>
        <bgColor indexed="64"/>
      </patternFill>
    </fill>
    <fill>
      <patternFill patternType="solid">
        <fgColor rgb="FFFFFF99"/>
        <bgColor indexed="64"/>
      </patternFill>
    </fill>
    <fill>
      <patternFill patternType="solid">
        <fgColor rgb="FFCCFFFF"/>
        <bgColor indexed="64"/>
      </patternFill>
    </fill>
    <fill>
      <patternFill patternType="solid">
        <fgColor rgb="FFFFCC00"/>
        <bgColor indexed="64"/>
      </patternFill>
    </fill>
    <fill>
      <patternFill patternType="solid">
        <fgColor indexed="44"/>
        <bgColor indexed="64"/>
      </patternFill>
    </fill>
    <fill>
      <patternFill patternType="solid">
        <fgColor indexed="41"/>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rgb="FFFFFFFF"/>
        <bgColor indexed="64"/>
      </patternFill>
    </fill>
    <fill>
      <patternFill patternType="solid">
        <fgColor rgb="FFE9F0F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bgColor indexed="64"/>
      </patternFill>
    </fill>
    <fill>
      <patternFill patternType="solid">
        <fgColor theme="5" tint="0.59999389629810485"/>
        <bgColor indexed="64"/>
      </patternFill>
    </fill>
    <fill>
      <patternFill patternType="solid">
        <fgColor rgb="FFC00000"/>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rgb="FF92D050"/>
        <bgColor indexed="64"/>
      </patternFill>
    </fill>
  </fills>
  <borders count="3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dotted">
        <color auto="1"/>
      </left>
      <right style="dotted">
        <color auto="1"/>
      </right>
      <top style="dotted">
        <color auto="1"/>
      </top>
      <bottom style="dotted">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dotted">
        <color auto="1"/>
      </left>
      <right style="dotted">
        <color auto="1"/>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dotted">
        <color auto="1"/>
      </left>
      <right style="dotted">
        <color auto="1"/>
      </right>
      <top style="dotted">
        <color auto="1"/>
      </top>
      <bottom/>
      <diagonal/>
    </border>
    <border>
      <left style="dotted">
        <color auto="1"/>
      </left>
      <right style="dotted">
        <color auto="1"/>
      </right>
      <top/>
      <bottom style="dotted">
        <color auto="1"/>
      </bottom>
      <diagonal/>
    </border>
    <border>
      <left/>
      <right style="thin">
        <color indexed="64"/>
      </right>
      <top/>
      <bottom style="thin">
        <color indexed="64"/>
      </bottom>
      <diagonal/>
    </border>
    <border>
      <left/>
      <right style="medium">
        <color rgb="FF6B7779"/>
      </right>
      <top/>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style="medium">
        <color rgb="FF6B7779"/>
      </right>
      <top/>
      <bottom style="medium">
        <color rgb="FF6B7779"/>
      </bottom>
      <diagonal/>
    </border>
    <border>
      <left/>
      <right/>
      <top/>
      <bottom style="medium">
        <color rgb="FF6B7779"/>
      </bottom>
      <diagonal/>
    </border>
    <border>
      <left style="dotted">
        <color auto="1"/>
      </left>
      <right/>
      <top style="dotted">
        <color auto="1"/>
      </top>
      <bottom style="dotted">
        <color auto="1"/>
      </bottom>
      <diagonal/>
    </border>
    <border>
      <left/>
      <right style="dotted">
        <color auto="1"/>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s>
  <cellStyleXfs count="12">
    <xf numFmtId="0" fontId="0" fillId="0" borderId="0"/>
    <xf numFmtId="43" fontId="2" fillId="0" borderId="0" applyFont="0" applyFill="0" applyBorder="0" applyAlignment="0" applyProtection="0"/>
    <xf numFmtId="9" fontId="2" fillId="0" borderId="0" applyFont="0" applyFill="0" applyBorder="0" applyAlignment="0" applyProtection="0"/>
    <xf numFmtId="0" fontId="3" fillId="0" borderId="0"/>
    <xf numFmtId="0" fontId="5" fillId="0" borderId="0"/>
    <xf numFmtId="0" fontId="13" fillId="0" borderId="0" applyNumberFormat="0" applyFill="0" applyBorder="0" applyAlignment="0" applyProtection="0"/>
    <xf numFmtId="0" fontId="17" fillId="0" borderId="0"/>
    <xf numFmtId="44" fontId="2" fillId="0" borderId="0" applyFont="0" applyFill="0" applyBorder="0" applyAlignment="0" applyProtection="0"/>
    <xf numFmtId="0" fontId="23" fillId="0" borderId="16">
      <alignment vertical="top" wrapText="1"/>
    </xf>
    <xf numFmtId="0" fontId="24" fillId="0" borderId="23">
      <alignment vertical="top"/>
    </xf>
    <xf numFmtId="0" fontId="31" fillId="0" borderId="0"/>
    <xf numFmtId="9" fontId="1" fillId="0" borderId="0" applyFont="0" applyFill="0" applyBorder="0" applyAlignment="0" applyProtection="0"/>
  </cellStyleXfs>
  <cellXfs count="439">
    <xf numFmtId="0" fontId="0" fillId="0" borderId="0" xfId="0"/>
    <xf numFmtId="0" fontId="3" fillId="0" borderId="0" xfId="3"/>
    <xf numFmtId="164" fontId="3" fillId="2" borderId="0" xfId="3" applyNumberFormat="1" applyFill="1"/>
    <xf numFmtId="43" fontId="0" fillId="0" borderId="0" xfId="0" applyNumberFormat="1"/>
    <xf numFmtId="14" fontId="0" fillId="0" borderId="0" xfId="0" applyNumberFormat="1"/>
    <xf numFmtId="0" fontId="0" fillId="5" borderId="0" xfId="0" applyFill="1"/>
    <xf numFmtId="166" fontId="0" fillId="0" borderId="0" xfId="1" applyNumberFormat="1" applyFont="1"/>
    <xf numFmtId="0" fontId="5" fillId="0" borderId="0" xfId="4"/>
    <xf numFmtId="167" fontId="6" fillId="0" borderId="0" xfId="4" applyNumberFormat="1" applyFont="1" applyAlignment="1">
      <alignment horizontal="right"/>
    </xf>
    <xf numFmtId="0" fontId="6" fillId="0" borderId="0" xfId="4" applyFont="1" applyAlignment="1">
      <alignment horizontal="center"/>
    </xf>
    <xf numFmtId="0" fontId="6" fillId="0" borderId="0" xfId="4" applyFont="1" applyAlignment="1">
      <alignment horizontal="left"/>
    </xf>
    <xf numFmtId="0" fontId="6" fillId="0" borderId="0" xfId="4" applyFont="1" applyAlignment="1">
      <alignment horizontal="left" wrapText="1" indent="5"/>
    </xf>
    <xf numFmtId="0" fontId="6" fillId="0" borderId="0" xfId="4" applyFont="1" applyAlignment="1">
      <alignment horizontal="right"/>
    </xf>
    <xf numFmtId="167" fontId="6" fillId="6" borderId="0" xfId="4" applyNumberFormat="1" applyFont="1" applyFill="1" applyAlignment="1">
      <alignment horizontal="right"/>
    </xf>
    <xf numFmtId="0" fontId="6" fillId="6" borderId="0" xfId="4" applyFont="1" applyFill="1" applyAlignment="1">
      <alignment horizontal="center"/>
    </xf>
    <xf numFmtId="0" fontId="6" fillId="6" borderId="0" xfId="4" applyFont="1" applyFill="1" applyAlignment="1">
      <alignment horizontal="left"/>
    </xf>
    <xf numFmtId="0" fontId="7" fillId="6" borderId="0" xfId="4" applyFont="1" applyFill="1" applyAlignment="1">
      <alignment horizontal="left" wrapText="1" indent="4"/>
    </xf>
    <xf numFmtId="0" fontId="6" fillId="6" borderId="0" xfId="4" applyFont="1" applyFill="1" applyAlignment="1">
      <alignment horizontal="right"/>
    </xf>
    <xf numFmtId="0" fontId="6" fillId="0" borderId="0" xfId="4" applyFont="1" applyAlignment="1">
      <alignment horizontal="left" wrapText="1" indent="6"/>
    </xf>
    <xf numFmtId="167" fontId="6" fillId="7" borderId="0" xfId="4" applyNumberFormat="1" applyFont="1" applyFill="1" applyAlignment="1">
      <alignment horizontal="right"/>
    </xf>
    <xf numFmtId="0" fontId="6" fillId="7" borderId="0" xfId="4" applyFont="1" applyFill="1" applyAlignment="1">
      <alignment horizontal="center"/>
    </xf>
    <xf numFmtId="0" fontId="6" fillId="7" borderId="0" xfId="4" applyFont="1" applyFill="1" applyAlignment="1">
      <alignment horizontal="left"/>
    </xf>
    <xf numFmtId="0" fontId="7" fillId="7" borderId="0" xfId="4" applyFont="1" applyFill="1" applyAlignment="1">
      <alignment horizontal="left" wrapText="1" indent="5"/>
    </xf>
    <xf numFmtId="0" fontId="6" fillId="7" borderId="0" xfId="4" applyFont="1" applyFill="1" applyAlignment="1">
      <alignment horizontal="right"/>
    </xf>
    <xf numFmtId="167" fontId="6" fillId="8" borderId="0" xfId="4" applyNumberFormat="1" applyFont="1" applyFill="1" applyAlignment="1">
      <alignment horizontal="right"/>
    </xf>
    <xf numFmtId="0" fontId="6" fillId="8" borderId="0" xfId="4" applyFont="1" applyFill="1" applyAlignment="1">
      <alignment horizontal="center"/>
    </xf>
    <xf numFmtId="0" fontId="6" fillId="8" borderId="0" xfId="4" applyFont="1" applyFill="1" applyAlignment="1">
      <alignment horizontal="left"/>
    </xf>
    <xf numFmtId="0" fontId="7" fillId="8" borderId="0" xfId="4" applyFont="1" applyFill="1" applyAlignment="1">
      <alignment horizontal="left" wrapText="1" indent="3"/>
    </xf>
    <xf numFmtId="0" fontId="6" fillId="8" borderId="0" xfId="4" applyFont="1" applyFill="1" applyAlignment="1">
      <alignment horizontal="right"/>
    </xf>
    <xf numFmtId="0" fontId="7" fillId="7" borderId="0" xfId="4" applyFont="1" applyFill="1" applyAlignment="1">
      <alignment horizontal="left" wrapText="1" indent="4"/>
    </xf>
    <xf numFmtId="0" fontId="6" fillId="0" borderId="0" xfId="4" applyFont="1" applyAlignment="1">
      <alignment horizontal="left" wrapText="1" indent="4"/>
    </xf>
    <xf numFmtId="167" fontId="6" fillId="9" borderId="0" xfId="4" applyNumberFormat="1" applyFont="1" applyFill="1" applyAlignment="1">
      <alignment horizontal="right"/>
    </xf>
    <xf numFmtId="0" fontId="6" fillId="9" borderId="0" xfId="4" applyFont="1" applyFill="1" applyAlignment="1">
      <alignment horizontal="center"/>
    </xf>
    <xf numFmtId="0" fontId="6" fillId="9" borderId="0" xfId="4" applyFont="1" applyFill="1" applyAlignment="1">
      <alignment horizontal="left"/>
    </xf>
    <xf numFmtId="0" fontId="7" fillId="9" borderId="0" xfId="4" applyFont="1" applyFill="1" applyAlignment="1">
      <alignment horizontal="left" wrapText="1" indent="2"/>
    </xf>
    <xf numFmtId="0" fontId="6" fillId="9" borderId="0" xfId="4" applyFont="1" applyFill="1" applyAlignment="1">
      <alignment horizontal="right"/>
    </xf>
    <xf numFmtId="0" fontId="6" fillId="0" borderId="0" xfId="4" applyFont="1" applyAlignment="1">
      <alignment horizontal="left" wrapText="1" indent="3"/>
    </xf>
    <xf numFmtId="0" fontId="7" fillId="0" borderId="0" xfId="4" applyFont="1" applyAlignment="1">
      <alignment horizontal="left" wrapText="1" indent="1"/>
    </xf>
    <xf numFmtId="0" fontId="7" fillId="10" borderId="1" xfId="4" quotePrefix="1" applyFont="1" applyFill="1" applyBorder="1" applyAlignment="1">
      <alignment horizontal="center" vertical="center"/>
    </xf>
    <xf numFmtId="0" fontId="7" fillId="10" borderId="2" xfId="4" quotePrefix="1" applyFont="1" applyFill="1" applyBorder="1" applyAlignment="1">
      <alignment horizontal="center" vertical="center" wrapText="1"/>
    </xf>
    <xf numFmtId="0" fontId="7" fillId="10" borderId="2" xfId="4" quotePrefix="1" applyFont="1" applyFill="1" applyBorder="1" applyAlignment="1">
      <alignment horizontal="center" vertical="center"/>
    </xf>
    <xf numFmtId="0" fontId="7" fillId="10" borderId="2" xfId="4" applyFont="1" applyFill="1" applyBorder="1" applyAlignment="1">
      <alignment horizontal="center" vertical="center"/>
    </xf>
    <xf numFmtId="0" fontId="7" fillId="10" borderId="3" xfId="4" applyFont="1" applyFill="1" applyBorder="1" applyAlignment="1">
      <alignment horizontal="left"/>
    </xf>
    <xf numFmtId="0" fontId="7" fillId="10" borderId="4" xfId="4" applyFont="1" applyFill="1" applyBorder="1" applyAlignment="1">
      <alignment horizontal="left"/>
    </xf>
    <xf numFmtId="0" fontId="7" fillId="10" borderId="5" xfId="4" applyFont="1" applyFill="1" applyBorder="1" applyAlignment="1">
      <alignment horizontal="left"/>
    </xf>
    <xf numFmtId="0" fontId="7" fillId="10" borderId="6" xfId="4" applyFont="1" applyFill="1" applyBorder="1" applyAlignment="1">
      <alignment horizontal="center" vertical="center"/>
    </xf>
    <xf numFmtId="0" fontId="7" fillId="11" borderId="0" xfId="4" applyFont="1" applyFill="1"/>
    <xf numFmtId="166" fontId="0" fillId="0" borderId="0" xfId="0" applyNumberFormat="1"/>
    <xf numFmtId="0" fontId="0" fillId="3" borderId="0" xfId="0" applyFill="1"/>
    <xf numFmtId="0" fontId="4" fillId="0" borderId="0" xfId="0" applyFont="1"/>
    <xf numFmtId="0" fontId="0" fillId="0" borderId="0" xfId="3" applyFont="1"/>
    <xf numFmtId="0" fontId="0" fillId="2" borderId="0" xfId="3" applyFont="1" applyFill="1"/>
    <xf numFmtId="0" fontId="0" fillId="2" borderId="0" xfId="0" applyFill="1"/>
    <xf numFmtId="0" fontId="0" fillId="0" borderId="0" xfId="0" quotePrefix="1"/>
    <xf numFmtId="9" fontId="0" fillId="0" borderId="0" xfId="0" applyNumberFormat="1"/>
    <xf numFmtId="0" fontId="0" fillId="0" borderId="0" xfId="0" applyAlignment="1">
      <alignment horizontal="center"/>
    </xf>
    <xf numFmtId="0" fontId="12" fillId="0" borderId="0" xfId="0" applyFont="1"/>
    <xf numFmtId="0" fontId="13" fillId="0" borderId="0" xfId="5"/>
    <xf numFmtId="0" fontId="14" fillId="0" borderId="0" xfId="0" applyFont="1"/>
    <xf numFmtId="0" fontId="0" fillId="12" borderId="0" xfId="0" applyFill="1"/>
    <xf numFmtId="168" fontId="0" fillId="0" borderId="0" xfId="0" applyNumberFormat="1"/>
    <xf numFmtId="9" fontId="0" fillId="0" borderId="0" xfId="2" applyFont="1"/>
    <xf numFmtId="0" fontId="0" fillId="3" borderId="0" xfId="0" applyFill="1" applyAlignment="1">
      <alignment horizontal="center"/>
    </xf>
    <xf numFmtId="0" fontId="12" fillId="3" borderId="8" xfId="0" applyFont="1" applyFill="1" applyBorder="1"/>
    <xf numFmtId="0" fontId="0" fillId="0" borderId="12" xfId="0" applyBorder="1"/>
    <xf numFmtId="165" fontId="0" fillId="0" borderId="0" xfId="1" applyNumberFormat="1" applyFont="1" applyBorder="1"/>
    <xf numFmtId="0" fontId="0" fillId="0" borderId="0" xfId="0" applyAlignment="1">
      <alignment horizontal="left"/>
    </xf>
    <xf numFmtId="0" fontId="0" fillId="3" borderId="8" xfId="0" applyFill="1" applyBorder="1"/>
    <xf numFmtId="10" fontId="0" fillId="0" borderId="0" xfId="0" applyNumberFormat="1"/>
    <xf numFmtId="9" fontId="0" fillId="0" borderId="13" xfId="0" applyNumberFormat="1" applyBorder="1"/>
    <xf numFmtId="165" fontId="0" fillId="0" borderId="13" xfId="1" applyNumberFormat="1" applyFont="1" applyBorder="1"/>
    <xf numFmtId="0" fontId="15" fillId="0" borderId="0" xfId="0" applyFont="1"/>
    <xf numFmtId="164" fontId="0" fillId="12" borderId="0" xfId="2" applyNumberFormat="1" applyFont="1" applyFill="1"/>
    <xf numFmtId="166" fontId="0" fillId="12" borderId="0" xfId="1" applyNumberFormat="1" applyFont="1" applyFill="1"/>
    <xf numFmtId="43" fontId="0" fillId="12" borderId="0" xfId="1" applyFont="1" applyFill="1"/>
    <xf numFmtId="10" fontId="0" fillId="0" borderId="0" xfId="2" applyNumberFormat="1" applyFont="1"/>
    <xf numFmtId="164" fontId="0" fillId="0" borderId="0" xfId="2" applyNumberFormat="1" applyFont="1" applyFill="1"/>
    <xf numFmtId="0" fontId="14" fillId="3" borderId="8" xfId="0" applyFont="1" applyFill="1" applyBorder="1"/>
    <xf numFmtId="0" fontId="14" fillId="3" borderId="8" xfId="0" applyFont="1" applyFill="1" applyBorder="1" applyAlignment="1">
      <alignment horizontal="left"/>
    </xf>
    <xf numFmtId="0" fontId="0" fillId="0" borderId="8" xfId="0" applyBorder="1"/>
    <xf numFmtId="0" fontId="12" fillId="0" borderId="8" xfId="0" applyFont="1" applyBorder="1"/>
    <xf numFmtId="0" fontId="14" fillId="0" borderId="8" xfId="0" applyFont="1" applyBorder="1"/>
    <xf numFmtId="0" fontId="0" fillId="3" borderId="8" xfId="0" applyFill="1" applyBorder="1" applyAlignment="1">
      <alignment horizontal="left"/>
    </xf>
    <xf numFmtId="0" fontId="0" fillId="0" borderId="8" xfId="0" applyBorder="1" applyAlignment="1">
      <alignment horizontal="left"/>
    </xf>
    <xf numFmtId="164" fontId="0" fillId="0" borderId="0" xfId="0" applyNumberFormat="1"/>
    <xf numFmtId="9" fontId="0" fillId="12" borderId="0" xfId="0" applyNumberFormat="1" applyFill="1"/>
    <xf numFmtId="0" fontId="16" fillId="0" borderId="0" xfId="0" applyFont="1"/>
    <xf numFmtId="0" fontId="16" fillId="0" borderId="0" xfId="3" applyFont="1"/>
    <xf numFmtId="43" fontId="0" fillId="0" borderId="12" xfId="1" applyFont="1" applyBorder="1"/>
    <xf numFmtId="43" fontId="0" fillId="0" borderId="0" xfId="1" applyFont="1"/>
    <xf numFmtId="165" fontId="0" fillId="0" borderId="0" xfId="1" applyNumberFormat="1" applyFont="1"/>
    <xf numFmtId="164" fontId="0" fillId="0" borderId="0" xfId="2" applyNumberFormat="1" applyFont="1"/>
    <xf numFmtId="0" fontId="0" fillId="0" borderId="9" xfId="0" applyBorder="1"/>
    <xf numFmtId="0" fontId="0" fillId="0" borderId="14" xfId="0" applyBorder="1"/>
    <xf numFmtId="165" fontId="0" fillId="0" borderId="15" xfId="1" applyNumberFormat="1" applyFont="1" applyBorder="1"/>
    <xf numFmtId="0" fontId="0" fillId="0" borderId="15" xfId="0" applyBorder="1"/>
    <xf numFmtId="0" fontId="0" fillId="0" borderId="16" xfId="0" applyBorder="1"/>
    <xf numFmtId="0" fontId="0" fillId="0" borderId="10" xfId="0" applyBorder="1"/>
    <xf numFmtId="10" fontId="0" fillId="0" borderId="12" xfId="0" applyNumberFormat="1" applyBorder="1"/>
    <xf numFmtId="9" fontId="0" fillId="0" borderId="14" xfId="0" applyNumberFormat="1" applyBorder="1"/>
    <xf numFmtId="165" fontId="0" fillId="0" borderId="12" xfId="1" applyNumberFormat="1" applyFont="1" applyBorder="1"/>
    <xf numFmtId="165" fontId="0" fillId="0" borderId="14" xfId="1" applyNumberFormat="1" applyFont="1" applyBorder="1"/>
    <xf numFmtId="10" fontId="0" fillId="0" borderId="15" xfId="0" applyNumberFormat="1" applyBorder="1"/>
    <xf numFmtId="10" fontId="0" fillId="0" borderId="13" xfId="0" applyNumberFormat="1" applyBorder="1"/>
    <xf numFmtId="10" fontId="0" fillId="0" borderId="16" xfId="0" applyNumberFormat="1" applyBorder="1"/>
    <xf numFmtId="43" fontId="0" fillId="0" borderId="0" xfId="1" applyFont="1" applyBorder="1"/>
    <xf numFmtId="43" fontId="0" fillId="0" borderId="13" xfId="1" applyFont="1" applyBorder="1"/>
    <xf numFmtId="43" fontId="0" fillId="0" borderId="15" xfId="1" applyFont="1" applyBorder="1"/>
    <xf numFmtId="43" fontId="0" fillId="0" borderId="16" xfId="1" applyFont="1" applyBorder="1"/>
    <xf numFmtId="165" fontId="0" fillId="0" borderId="16" xfId="1" applyNumberFormat="1" applyFont="1" applyBorder="1"/>
    <xf numFmtId="3" fontId="0" fillId="0" borderId="0" xfId="0" applyNumberFormat="1"/>
    <xf numFmtId="0" fontId="0" fillId="0" borderId="18" xfId="0" applyBorder="1"/>
    <xf numFmtId="0" fontId="0" fillId="0" borderId="19" xfId="0" applyBorder="1"/>
    <xf numFmtId="0" fontId="0" fillId="0" borderId="20" xfId="0" applyBorder="1"/>
    <xf numFmtId="170" fontId="0" fillId="0" borderId="0" xfId="0" applyNumberFormat="1"/>
    <xf numFmtId="10" fontId="0" fillId="12" borderId="0" xfId="0" applyNumberFormat="1" applyFill="1"/>
    <xf numFmtId="10" fontId="0" fillId="12" borderId="0" xfId="2" applyNumberFormat="1" applyFont="1" applyFill="1"/>
    <xf numFmtId="0" fontId="0" fillId="2" borderId="8" xfId="0" applyFill="1" applyBorder="1"/>
    <xf numFmtId="43" fontId="17" fillId="0" borderId="0" xfId="1" applyFont="1"/>
    <xf numFmtId="0" fontId="17" fillId="0" borderId="0" xfId="6"/>
    <xf numFmtId="43" fontId="0" fillId="0" borderId="9" xfId="1" applyFont="1" applyBorder="1"/>
    <xf numFmtId="43" fontId="0" fillId="0" borderId="10" xfId="1" applyFont="1" applyBorder="1"/>
    <xf numFmtId="43" fontId="0" fillId="0" borderId="11" xfId="1" applyFont="1" applyBorder="1"/>
    <xf numFmtId="43" fontId="0" fillId="0" borderId="14" xfId="1" applyFont="1" applyBorder="1"/>
    <xf numFmtId="1" fontId="0" fillId="0" borderId="0" xfId="0" applyNumberFormat="1"/>
    <xf numFmtId="173" fontId="0" fillId="0" borderId="0" xfId="0" applyNumberFormat="1"/>
    <xf numFmtId="174" fontId="0" fillId="0" borderId="0" xfId="0" applyNumberFormat="1"/>
    <xf numFmtId="0" fontId="18" fillId="0" borderId="0" xfId="0" applyFont="1"/>
    <xf numFmtId="172" fontId="14" fillId="0" borderId="0" xfId="0" applyNumberFormat="1" applyFont="1"/>
    <xf numFmtId="0" fontId="14" fillId="3" borderId="7" xfId="0" applyFont="1" applyFill="1" applyBorder="1"/>
    <xf numFmtId="0" fontId="14" fillId="5" borderId="0" xfId="0" applyFont="1" applyFill="1"/>
    <xf numFmtId="0" fontId="14" fillId="0" borderId="0" xfId="0" quotePrefix="1" applyFont="1"/>
    <xf numFmtId="0" fontId="14" fillId="13" borderId="0" xfId="0" applyFont="1" applyFill="1"/>
    <xf numFmtId="0" fontId="14" fillId="5" borderId="0" xfId="0" quotePrefix="1" applyFont="1" applyFill="1"/>
    <xf numFmtId="175" fontId="14" fillId="13" borderId="0" xfId="0" applyNumberFormat="1" applyFont="1" applyFill="1"/>
    <xf numFmtId="176" fontId="14" fillId="0" borderId="0" xfId="0" applyNumberFormat="1" applyFont="1"/>
    <xf numFmtId="176" fontId="14" fillId="0" borderId="0" xfId="0" quotePrefix="1" applyNumberFormat="1" applyFont="1"/>
    <xf numFmtId="172" fontId="14" fillId="13" borderId="0" xfId="0" applyNumberFormat="1" applyFont="1" applyFill="1"/>
    <xf numFmtId="175" fontId="14" fillId="0" borderId="0" xfId="0" applyNumberFormat="1" applyFont="1"/>
    <xf numFmtId="43" fontId="14" fillId="0" borderId="0" xfId="1" applyFont="1"/>
    <xf numFmtId="16" fontId="14" fillId="0" borderId="0" xfId="0" quotePrefix="1" applyNumberFormat="1" applyFont="1"/>
    <xf numFmtId="171" fontId="14" fillId="0" borderId="0" xfId="0" applyNumberFormat="1" applyFont="1"/>
    <xf numFmtId="173" fontId="14" fillId="0" borderId="0" xfId="0" applyNumberFormat="1" applyFont="1"/>
    <xf numFmtId="177" fontId="14" fillId="0" borderId="0" xfId="0" applyNumberFormat="1" applyFont="1"/>
    <xf numFmtId="43" fontId="14" fillId="3" borderId="7" xfId="1" applyFont="1" applyFill="1" applyBorder="1"/>
    <xf numFmtId="171" fontId="14" fillId="0" borderId="0" xfId="1" applyNumberFormat="1" applyFont="1"/>
    <xf numFmtId="171" fontId="14" fillId="0" borderId="0" xfId="1" applyNumberFormat="1" applyFont="1" applyFill="1"/>
    <xf numFmtId="43" fontId="14" fillId="5" borderId="0" xfId="1" applyFont="1" applyFill="1"/>
    <xf numFmtId="164" fontId="0" fillId="2" borderId="0" xfId="3" applyNumberFormat="1" applyFont="1" applyFill="1"/>
    <xf numFmtId="164" fontId="14" fillId="0" borderId="0" xfId="2" applyNumberFormat="1" applyFont="1" applyFill="1"/>
    <xf numFmtId="9" fontId="14" fillId="0" borderId="0" xfId="2" applyFont="1" applyFill="1"/>
    <xf numFmtId="169" fontId="14" fillId="0" borderId="0" xfId="1" applyNumberFormat="1" applyFont="1" applyFill="1"/>
    <xf numFmtId="0" fontId="14" fillId="5" borderId="0" xfId="1" applyNumberFormat="1" applyFont="1" applyFill="1"/>
    <xf numFmtId="43" fontId="0" fillId="0" borderId="0" xfId="2" applyNumberFormat="1" applyFont="1"/>
    <xf numFmtId="0" fontId="19" fillId="0" borderId="0" xfId="0" applyFont="1"/>
    <xf numFmtId="164" fontId="1" fillId="3" borderId="0" xfId="2" applyNumberFormat="1" applyFont="1" applyFill="1"/>
    <xf numFmtId="43" fontId="1" fillId="4" borderId="0" xfId="1" applyFont="1" applyFill="1"/>
    <xf numFmtId="164" fontId="1" fillId="0" borderId="0" xfId="2" applyNumberFormat="1" applyFont="1"/>
    <xf numFmtId="169" fontId="1" fillId="4" borderId="0" xfId="1" applyNumberFormat="1" applyFont="1" applyFill="1"/>
    <xf numFmtId="0" fontId="0" fillId="4" borderId="8" xfId="0" applyFill="1" applyBorder="1"/>
    <xf numFmtId="0" fontId="12" fillId="4" borderId="8" xfId="0" applyFont="1" applyFill="1" applyBorder="1"/>
    <xf numFmtId="44" fontId="0" fillId="0" borderId="0" xfId="7" applyFont="1"/>
    <xf numFmtId="0" fontId="21" fillId="0" borderId="0" xfId="0" applyFont="1"/>
    <xf numFmtId="0" fontId="21" fillId="0" borderId="0" xfId="0" applyFont="1" applyAlignment="1">
      <alignment wrapText="1"/>
    </xf>
    <xf numFmtId="1" fontId="21" fillId="0" borderId="0" xfId="0" applyNumberFormat="1" applyFont="1"/>
    <xf numFmtId="0" fontId="22" fillId="0" borderId="0" xfId="0" applyFont="1"/>
    <xf numFmtId="0" fontId="25" fillId="14" borderId="25" xfId="0" applyFont="1" applyFill="1" applyBorder="1" applyAlignment="1">
      <alignment horizontal="left" vertical="top" wrapText="1"/>
    </xf>
    <xf numFmtId="0" fontId="25" fillId="14" borderId="26" xfId="0" applyFont="1" applyFill="1" applyBorder="1" applyAlignment="1">
      <alignment horizontal="left" vertical="top" wrapText="1"/>
    </xf>
    <xf numFmtId="0" fontId="25" fillId="15" borderId="27" xfId="0" applyFont="1" applyFill="1" applyBorder="1" applyAlignment="1">
      <alignment horizontal="left" vertical="top" wrapText="1"/>
    </xf>
    <xf numFmtId="0" fontId="25" fillId="14" borderId="27" xfId="0" applyFont="1" applyFill="1" applyBorder="1" applyAlignment="1">
      <alignment horizontal="left" vertical="top" wrapText="1"/>
    </xf>
    <xf numFmtId="0" fontId="25" fillId="14" borderId="28" xfId="0" applyFont="1" applyFill="1" applyBorder="1" applyAlignment="1">
      <alignment horizontal="left" vertical="top" wrapText="1"/>
    </xf>
    <xf numFmtId="0" fontId="25" fillId="14" borderId="0" xfId="0" applyFont="1" applyFill="1" applyAlignment="1">
      <alignment horizontal="left" vertical="top" wrapText="1"/>
    </xf>
    <xf numFmtId="0" fontId="0" fillId="0" borderId="30" xfId="0" applyBorder="1" applyAlignment="1">
      <alignment horizontal="center"/>
    </xf>
    <xf numFmtId="166" fontId="25" fillId="15" borderId="24" xfId="1" applyNumberFormat="1" applyFont="1" applyFill="1" applyBorder="1" applyAlignment="1">
      <alignment horizontal="left" vertical="top" wrapText="1"/>
    </xf>
    <xf numFmtId="166" fontId="25" fillId="14" borderId="24" xfId="1" applyNumberFormat="1" applyFont="1" applyFill="1" applyBorder="1" applyAlignment="1">
      <alignment horizontal="left" vertical="top" wrapText="1"/>
    </xf>
    <xf numFmtId="166" fontId="25" fillId="14" borderId="29" xfId="1" applyNumberFormat="1" applyFont="1" applyFill="1" applyBorder="1" applyAlignment="1">
      <alignment horizontal="left" vertical="top" wrapText="1"/>
    </xf>
    <xf numFmtId="169" fontId="0" fillId="0" borderId="0" xfId="1" applyNumberFormat="1" applyFont="1"/>
    <xf numFmtId="0" fontId="0" fillId="0" borderId="0" xfId="0" applyAlignment="1">
      <alignment wrapText="1"/>
    </xf>
    <xf numFmtId="43" fontId="14" fillId="0" borderId="0" xfId="0" applyNumberFormat="1" applyFont="1"/>
    <xf numFmtId="0" fontId="27" fillId="0" borderId="0" xfId="0" applyFont="1"/>
    <xf numFmtId="0" fontId="0" fillId="16" borderId="0" xfId="0" applyFill="1"/>
    <xf numFmtId="176" fontId="0" fillId="0" borderId="0" xfId="0" applyNumberFormat="1"/>
    <xf numFmtId="0" fontId="0" fillId="0" borderId="7" xfId="0" applyBorder="1"/>
    <xf numFmtId="43" fontId="0" fillId="17" borderId="0" xfId="0" applyNumberFormat="1" applyFill="1"/>
    <xf numFmtId="178" fontId="0" fillId="0" borderId="0" xfId="0" applyNumberFormat="1"/>
    <xf numFmtId="9" fontId="0" fillId="17" borderId="0" xfId="0" applyNumberFormat="1" applyFill="1"/>
    <xf numFmtId="0" fontId="28" fillId="0" borderId="0" xfId="0" applyFont="1"/>
    <xf numFmtId="0" fontId="14" fillId="0" borderId="8" xfId="0" applyFont="1" applyBorder="1" applyAlignment="1">
      <alignment horizontal="left"/>
    </xf>
    <xf numFmtId="0" fontId="0" fillId="17" borderId="0" xfId="0" applyFill="1"/>
    <xf numFmtId="166" fontId="26" fillId="0" borderId="0" xfId="1" applyNumberFormat="1" applyFont="1" applyFill="1"/>
    <xf numFmtId="171" fontId="0" fillId="17" borderId="0" xfId="0" applyNumberFormat="1" applyFill="1"/>
    <xf numFmtId="178" fontId="0" fillId="17" borderId="0" xfId="1" applyNumberFormat="1" applyFont="1" applyFill="1"/>
    <xf numFmtId="6" fontId="0" fillId="0" borderId="0" xfId="0" applyNumberFormat="1"/>
    <xf numFmtId="8" fontId="0" fillId="0" borderId="0" xfId="0" applyNumberFormat="1"/>
    <xf numFmtId="171" fontId="14" fillId="0" borderId="8" xfId="1" applyNumberFormat="1" applyFont="1" applyBorder="1"/>
    <xf numFmtId="171" fontId="0" fillId="0" borderId="0" xfId="1" applyNumberFormat="1" applyFont="1"/>
    <xf numFmtId="0" fontId="13" fillId="0" borderId="0" xfId="5" applyAlignment="1">
      <alignment horizontal="left" vertical="center" indent="2"/>
    </xf>
    <xf numFmtId="43" fontId="0" fillId="16" borderId="0" xfId="1" applyFont="1" applyFill="1"/>
    <xf numFmtId="0" fontId="0" fillId="16" borderId="7" xfId="0" applyFill="1" applyBorder="1"/>
    <xf numFmtId="0" fontId="29" fillId="0" borderId="0" xfId="0" applyFont="1"/>
    <xf numFmtId="0" fontId="30" fillId="0" borderId="0" xfId="0" applyFont="1"/>
    <xf numFmtId="178" fontId="0" fillId="0" borderId="0" xfId="1" applyNumberFormat="1" applyFont="1"/>
    <xf numFmtId="0" fontId="31" fillId="0" borderId="0" xfId="10"/>
    <xf numFmtId="0" fontId="31" fillId="12" borderId="0" xfId="10" applyFill="1"/>
    <xf numFmtId="171" fontId="31" fillId="0" borderId="0" xfId="1" applyNumberFormat="1" applyFont="1"/>
    <xf numFmtId="171" fontId="31" fillId="12" borderId="0" xfId="1" applyNumberFormat="1" applyFont="1" applyFill="1"/>
    <xf numFmtId="0" fontId="12" fillId="0" borderId="8" xfId="0" applyFont="1" applyBorder="1" applyAlignment="1">
      <alignment horizontal="right"/>
    </xf>
    <xf numFmtId="0" fontId="14" fillId="3" borderId="31" xfId="0" applyFont="1" applyFill="1" applyBorder="1"/>
    <xf numFmtId="0" fontId="12" fillId="0" borderId="31" xfId="0" applyFont="1" applyBorder="1"/>
    <xf numFmtId="0" fontId="14" fillId="0" borderId="31" xfId="0" applyFont="1" applyBorder="1"/>
    <xf numFmtId="0" fontId="12" fillId="3" borderId="31" xfId="0" applyFont="1" applyFill="1" applyBorder="1"/>
    <xf numFmtId="0" fontId="0" fillId="3" borderId="31" xfId="0" applyFill="1" applyBorder="1"/>
    <xf numFmtId="0" fontId="0" fillId="0" borderId="32" xfId="0" applyBorder="1"/>
    <xf numFmtId="171" fontId="14" fillId="3" borderId="22" xfId="1" applyNumberFormat="1" applyFont="1" applyFill="1" applyBorder="1"/>
    <xf numFmtId="0" fontId="14" fillId="3" borderId="22" xfId="0" applyFont="1" applyFill="1" applyBorder="1"/>
    <xf numFmtId="9" fontId="12" fillId="0" borderId="8" xfId="0" applyNumberFormat="1" applyFont="1" applyBorder="1" applyAlignment="1">
      <alignment horizontal="right"/>
    </xf>
    <xf numFmtId="0" fontId="14" fillId="0" borderId="8" xfId="0" applyFont="1" applyBorder="1" applyAlignment="1">
      <alignment wrapText="1"/>
    </xf>
    <xf numFmtId="0" fontId="12" fillId="3" borderId="8" xfId="0" applyFont="1" applyFill="1" applyBorder="1" applyAlignment="1">
      <alignment horizontal="right"/>
    </xf>
    <xf numFmtId="171" fontId="14" fillId="3" borderId="8" xfId="1" applyNumberFormat="1" applyFont="1" applyFill="1" applyBorder="1"/>
    <xf numFmtId="0" fontId="14" fillId="3" borderId="8" xfId="0" applyFont="1" applyFill="1" applyBorder="1" applyAlignment="1">
      <alignment horizontal="right"/>
    </xf>
    <xf numFmtId="0" fontId="0" fillId="3" borderId="8" xfId="0" applyFill="1" applyBorder="1" applyAlignment="1">
      <alignment horizontal="right"/>
    </xf>
    <xf numFmtId="171" fontId="14" fillId="0" borderId="8" xfId="1" applyNumberFormat="1" applyFont="1" applyBorder="1" applyAlignment="1">
      <alignment horizontal="right"/>
    </xf>
    <xf numFmtId="171" fontId="14" fillId="0" borderId="17" xfId="1" applyNumberFormat="1" applyFont="1" applyBorder="1" applyAlignment="1">
      <alignment horizontal="right" vertical="center"/>
    </xf>
    <xf numFmtId="9" fontId="0" fillId="0" borderId="8" xfId="0" applyNumberFormat="1" applyBorder="1" applyAlignment="1">
      <alignment horizontal="right"/>
    </xf>
    <xf numFmtId="9" fontId="12" fillId="13" borderId="8" xfId="0" applyNumberFormat="1" applyFont="1" applyFill="1" applyBorder="1" applyAlignment="1">
      <alignment horizontal="right"/>
    </xf>
    <xf numFmtId="171" fontId="14" fillId="0" borderId="8" xfId="1" applyNumberFormat="1" applyFont="1" applyBorder="1" applyAlignment="1">
      <alignment wrapText="1"/>
    </xf>
    <xf numFmtId="179" fontId="0" fillId="0" borderId="0" xfId="0" applyNumberFormat="1"/>
    <xf numFmtId="9" fontId="0" fillId="12" borderId="0" xfId="2" applyFont="1" applyFill="1"/>
    <xf numFmtId="9" fontId="0" fillId="0" borderId="21" xfId="0" applyNumberFormat="1" applyBorder="1"/>
    <xf numFmtId="168" fontId="0" fillId="12" borderId="0" xfId="0" applyNumberFormat="1" applyFill="1"/>
    <xf numFmtId="0" fontId="14" fillId="0" borderId="8" xfId="0" quotePrefix="1" applyFont="1" applyBorder="1"/>
    <xf numFmtId="169" fontId="0" fillId="12" borderId="0" xfId="1" applyNumberFormat="1" applyFont="1" applyFill="1"/>
    <xf numFmtId="43" fontId="0" fillId="12" borderId="0" xfId="0" applyNumberFormat="1" applyFill="1"/>
    <xf numFmtId="171" fontId="14" fillId="3" borderId="17" xfId="1" applyNumberFormat="1" applyFont="1" applyFill="1" applyBorder="1" applyAlignment="1">
      <alignment horizontal="right" vertical="center"/>
    </xf>
    <xf numFmtId="171" fontId="12" fillId="0" borderId="8" xfId="1" applyNumberFormat="1" applyFont="1" applyFill="1" applyBorder="1" applyAlignment="1">
      <alignment horizontal="right"/>
    </xf>
    <xf numFmtId="171" fontId="12" fillId="3" borderId="8" xfId="1" applyNumberFormat="1" applyFont="1" applyFill="1" applyBorder="1" applyAlignment="1">
      <alignment horizontal="right"/>
    </xf>
    <xf numFmtId="171" fontId="0" fillId="3" borderId="8" xfId="1" applyNumberFormat="1" applyFont="1" applyFill="1" applyBorder="1" applyAlignment="1">
      <alignment horizontal="right"/>
    </xf>
    <xf numFmtId="171" fontId="0" fillId="0" borderId="0" xfId="0" applyNumberFormat="1"/>
    <xf numFmtId="0" fontId="14" fillId="3" borderId="22" xfId="0" applyFont="1" applyFill="1" applyBorder="1" applyAlignment="1">
      <alignment horizontal="left"/>
    </xf>
    <xf numFmtId="9" fontId="0" fillId="0" borderId="8" xfId="0" applyNumberFormat="1" applyBorder="1"/>
    <xf numFmtId="171" fontId="12" fillId="0" borderId="21" xfId="1" applyNumberFormat="1" applyFont="1" applyFill="1" applyBorder="1" applyAlignment="1"/>
    <xf numFmtId="171" fontId="14" fillId="0" borderId="8" xfId="1" applyNumberFormat="1" applyFont="1" applyBorder="1" applyAlignment="1"/>
    <xf numFmtId="171" fontId="14" fillId="0" borderId="21" xfId="1" applyNumberFormat="1" applyFont="1" applyBorder="1" applyAlignment="1"/>
    <xf numFmtId="171" fontId="14" fillId="0" borderId="8" xfId="1" applyNumberFormat="1" applyFont="1" applyBorder="1" applyAlignment="1">
      <alignment vertical="center"/>
    </xf>
    <xf numFmtId="9" fontId="12" fillId="13" borderId="8" xfId="0" applyNumberFormat="1" applyFont="1" applyFill="1" applyBorder="1"/>
    <xf numFmtId="9" fontId="12" fillId="13" borderId="21" xfId="0" applyNumberFormat="1" applyFont="1" applyFill="1" applyBorder="1"/>
    <xf numFmtId="171" fontId="14" fillId="0" borderId="21" xfId="1" applyNumberFormat="1" applyFont="1" applyBorder="1" applyAlignment="1">
      <alignment vertical="center"/>
    </xf>
    <xf numFmtId="0" fontId="12" fillId="0" borderId="22" xfId="0" applyFont="1" applyBorder="1" applyAlignment="1">
      <alignment horizontal="right"/>
    </xf>
    <xf numFmtId="171" fontId="12" fillId="0" borderId="22" xfId="1" applyNumberFormat="1" applyFont="1" applyFill="1" applyBorder="1" applyAlignment="1">
      <alignment horizontal="right"/>
    </xf>
    <xf numFmtId="171" fontId="14" fillId="0" borderId="22" xfId="1" applyNumberFormat="1" applyFont="1" applyBorder="1"/>
    <xf numFmtId="171" fontId="12" fillId="0" borderId="8" xfId="1" applyNumberFormat="1" applyFont="1" applyFill="1" applyBorder="1" applyAlignment="1"/>
    <xf numFmtId="9" fontId="12" fillId="0" borderId="8" xfId="0" applyNumberFormat="1" applyFont="1" applyBorder="1"/>
    <xf numFmtId="171" fontId="14" fillId="3" borderId="7" xfId="1" applyNumberFormat="1" applyFont="1" applyFill="1" applyBorder="1"/>
    <xf numFmtId="166" fontId="18" fillId="0" borderId="0" xfId="1" applyNumberFormat="1" applyFont="1"/>
    <xf numFmtId="43" fontId="1" fillId="3" borderId="0" xfId="1" applyFont="1" applyFill="1"/>
    <xf numFmtId="43" fontId="31" fillId="0" borderId="0" xfId="1" applyFont="1"/>
    <xf numFmtId="0" fontId="0" fillId="0" borderId="11" xfId="0" applyBorder="1"/>
    <xf numFmtId="0" fontId="0" fillId="0" borderId="13" xfId="0" applyBorder="1"/>
    <xf numFmtId="43" fontId="19" fillId="0" borderId="0" xfId="1" applyFont="1" applyBorder="1"/>
    <xf numFmtId="43" fontId="0" fillId="12" borderId="0" xfId="1" applyFont="1" applyFill="1" applyBorder="1"/>
    <xf numFmtId="173" fontId="0" fillId="0" borderId="0" xfId="1" applyNumberFormat="1" applyFont="1"/>
    <xf numFmtId="175" fontId="14" fillId="5" borderId="0" xfId="0" applyNumberFormat="1" applyFont="1" applyFill="1"/>
    <xf numFmtId="166" fontId="14" fillId="0" borderId="0" xfId="0" applyNumberFormat="1" applyFont="1"/>
    <xf numFmtId="169" fontId="29" fillId="0" borderId="0" xfId="1" applyNumberFormat="1" applyFont="1"/>
    <xf numFmtId="173" fontId="29" fillId="0" borderId="0" xfId="1" applyNumberFormat="1" applyFont="1"/>
    <xf numFmtId="173" fontId="29" fillId="0" borderId="0" xfId="0" applyNumberFormat="1" applyFont="1"/>
    <xf numFmtId="0" fontId="0" fillId="0" borderId="0" xfId="0" applyAlignment="1">
      <alignment horizontal="center" vertical="center"/>
    </xf>
    <xf numFmtId="0" fontId="31" fillId="0" borderId="0" xfId="10" applyAlignment="1">
      <alignment wrapText="1"/>
    </xf>
    <xf numFmtId="0" fontId="14" fillId="0" borderId="0" xfId="0" applyFont="1" applyAlignment="1">
      <alignment wrapText="1"/>
    </xf>
    <xf numFmtId="43" fontId="28" fillId="0" borderId="0" xfId="1" applyFont="1"/>
    <xf numFmtId="16" fontId="0" fillId="0" borderId="0" xfId="1" quotePrefix="1" applyNumberFormat="1" applyFont="1"/>
    <xf numFmtId="43" fontId="0" fillId="0" borderId="0" xfId="1" quotePrefix="1" applyFont="1"/>
    <xf numFmtId="171" fontId="28" fillId="0" borderId="0" xfId="1" applyNumberFormat="1" applyFont="1"/>
    <xf numFmtId="180" fontId="28" fillId="0" borderId="0" xfId="1" applyNumberFormat="1" applyFont="1"/>
    <xf numFmtId="180" fontId="0" fillId="0" borderId="0" xfId="1" applyNumberFormat="1" applyFont="1"/>
    <xf numFmtId="171" fontId="0" fillId="2" borderId="0" xfId="0" applyNumberFormat="1" applyFill="1"/>
    <xf numFmtId="43" fontId="0" fillId="2" borderId="0" xfId="0" applyNumberFormat="1" applyFill="1"/>
    <xf numFmtId="43" fontId="0" fillId="2" borderId="0" xfId="1" applyFont="1" applyFill="1"/>
    <xf numFmtId="171" fontId="0" fillId="2" borderId="0" xfId="1" applyNumberFormat="1" applyFont="1" applyFill="1"/>
    <xf numFmtId="180" fontId="0" fillId="2" borderId="0" xfId="1" applyNumberFormat="1" applyFont="1" applyFill="1"/>
    <xf numFmtId="0" fontId="0" fillId="18" borderId="0" xfId="0" applyFill="1"/>
    <xf numFmtId="49" fontId="7" fillId="10" borderId="4" xfId="0" applyNumberFormat="1" applyFont="1" applyFill="1" applyBorder="1"/>
    <xf numFmtId="0" fontId="7" fillId="10" borderId="1" xfId="0" applyFont="1" applyFill="1" applyBorder="1" applyAlignment="1">
      <alignment horizontal="center"/>
    </xf>
    <xf numFmtId="10" fontId="6" fillId="0" borderId="0" xfId="2" applyNumberFormat="1" applyFont="1" applyAlignment="1">
      <alignment horizontal="right"/>
    </xf>
    <xf numFmtId="10" fontId="0" fillId="0" borderId="0" xfId="1" applyNumberFormat="1" applyFont="1"/>
    <xf numFmtId="43" fontId="0" fillId="18" borderId="0" xfId="1" applyFont="1" applyFill="1"/>
    <xf numFmtId="173" fontId="0" fillId="18" borderId="0" xfId="1" applyNumberFormat="1" applyFont="1" applyFill="1"/>
    <xf numFmtId="164" fontId="6" fillId="0" borderId="0" xfId="2" applyNumberFormat="1" applyFont="1" applyAlignment="1">
      <alignment horizontal="right"/>
    </xf>
    <xf numFmtId="43" fontId="0" fillId="0" borderId="0" xfId="1" applyFont="1" applyFill="1"/>
    <xf numFmtId="10" fontId="0" fillId="0" borderId="0" xfId="1" applyNumberFormat="1" applyFont="1" applyFill="1"/>
    <xf numFmtId="0" fontId="32" fillId="0" borderId="0" xfId="0" applyFont="1"/>
    <xf numFmtId="174" fontId="29" fillId="0" borderId="0" xfId="0" applyNumberFormat="1" applyFont="1"/>
    <xf numFmtId="169" fontId="0" fillId="0" borderId="0" xfId="0" applyNumberFormat="1"/>
    <xf numFmtId="173" fontId="1" fillId="0" borderId="0" xfId="1" applyNumberFormat="1" applyFont="1"/>
    <xf numFmtId="168" fontId="3" fillId="0" borderId="0" xfId="3" applyNumberFormat="1"/>
    <xf numFmtId="0" fontId="33" fillId="0" borderId="0" xfId="0" applyFont="1"/>
    <xf numFmtId="0" fontId="15" fillId="0" borderId="0" xfId="0" applyFont="1" applyAlignment="1">
      <alignment wrapText="1"/>
    </xf>
    <xf numFmtId="0" fontId="0" fillId="16" borderId="12" xfId="0" applyFill="1" applyBorder="1"/>
    <xf numFmtId="0" fontId="0" fillId="16" borderId="13" xfId="0" applyFill="1" applyBorder="1"/>
    <xf numFmtId="0" fontId="14" fillId="3" borderId="7" xfId="0" applyFont="1" applyFill="1" applyBorder="1" applyAlignment="1">
      <alignment wrapText="1"/>
    </xf>
    <xf numFmtId="43" fontId="14" fillId="3" borderId="7" xfId="1" applyFont="1" applyFill="1" applyBorder="1" applyAlignment="1">
      <alignment wrapText="1"/>
    </xf>
    <xf numFmtId="0" fontId="14" fillId="3" borderId="33" xfId="0" applyFont="1" applyFill="1" applyBorder="1" applyAlignment="1">
      <alignment wrapText="1"/>
    </xf>
    <xf numFmtId="0" fontId="14" fillId="3" borderId="34" xfId="0" applyFont="1" applyFill="1" applyBorder="1" applyAlignment="1">
      <alignment wrapText="1"/>
    </xf>
    <xf numFmtId="0" fontId="14" fillId="3" borderId="35" xfId="0" applyFont="1" applyFill="1" applyBorder="1" applyAlignment="1">
      <alignment wrapText="1"/>
    </xf>
    <xf numFmtId="0" fontId="14" fillId="3" borderId="36" xfId="0" applyFont="1" applyFill="1" applyBorder="1" applyAlignment="1">
      <alignment wrapText="1"/>
    </xf>
    <xf numFmtId="0" fontId="13" fillId="0" borderId="8" xfId="5" applyBorder="1"/>
    <xf numFmtId="10" fontId="0" fillId="17" borderId="0" xfId="0" applyNumberFormat="1" applyFill="1"/>
    <xf numFmtId="171" fontId="1" fillId="0" borderId="0" xfId="1" applyNumberFormat="1" applyFont="1"/>
    <xf numFmtId="171" fontId="14" fillId="3" borderId="7" xfId="1" applyNumberFormat="1" applyFont="1" applyFill="1" applyBorder="1" applyAlignment="1">
      <alignment wrapText="1"/>
    </xf>
    <xf numFmtId="171" fontId="18" fillId="0" borderId="0" xfId="1" applyNumberFormat="1" applyFont="1"/>
    <xf numFmtId="171" fontId="0" fillId="0" borderId="0" xfId="1" applyNumberFormat="1" applyFont="1" applyFill="1" applyBorder="1"/>
    <xf numFmtId="0" fontId="0" fillId="19" borderId="0" xfId="0" applyFill="1"/>
    <xf numFmtId="171" fontId="0" fillId="19" borderId="0" xfId="1" applyNumberFormat="1" applyFont="1" applyFill="1"/>
    <xf numFmtId="166" fontId="14" fillId="3" borderId="7" xfId="1" applyNumberFormat="1" applyFont="1" applyFill="1" applyBorder="1" applyAlignment="1">
      <alignment wrapText="1"/>
    </xf>
    <xf numFmtId="166" fontId="14" fillId="0" borderId="0" xfId="1" applyNumberFormat="1" applyFont="1"/>
    <xf numFmtId="166" fontId="0" fillId="5" borderId="0" xfId="1" applyNumberFormat="1" applyFont="1" applyFill="1"/>
    <xf numFmtId="171" fontId="0" fillId="0" borderId="0" xfId="1" applyNumberFormat="1" applyFont="1" applyFill="1"/>
    <xf numFmtId="166" fontId="0" fillId="0" borderId="0" xfId="1" applyNumberFormat="1" applyFont="1" applyFill="1"/>
    <xf numFmtId="0" fontId="0" fillId="19" borderId="12" xfId="0" applyFill="1" applyBorder="1"/>
    <xf numFmtId="171" fontId="0" fillId="5" borderId="0" xfId="1" applyNumberFormat="1" applyFont="1" applyFill="1"/>
    <xf numFmtId="0" fontId="0" fillId="0" borderId="0" xfId="1" applyNumberFormat="1" applyFont="1"/>
    <xf numFmtId="171" fontId="14" fillId="5" borderId="0" xfId="1" applyNumberFormat="1" applyFont="1" applyFill="1"/>
    <xf numFmtId="0" fontId="0" fillId="5" borderId="13" xfId="0" applyFill="1" applyBorder="1"/>
    <xf numFmtId="43" fontId="0" fillId="5" borderId="0" xfId="1" applyFont="1" applyFill="1"/>
    <xf numFmtId="0" fontId="0" fillId="0" borderId="13" xfId="0" applyBorder="1" applyAlignment="1">
      <alignment horizontal="left"/>
    </xf>
    <xf numFmtId="0" fontId="0" fillId="19" borderId="13" xfId="0" applyFill="1" applyBorder="1" applyAlignment="1">
      <alignment horizontal="left"/>
    </xf>
    <xf numFmtId="166" fontId="14" fillId="5" borderId="0" xfId="1" applyNumberFormat="1" applyFont="1" applyFill="1" applyBorder="1"/>
    <xf numFmtId="170" fontId="0" fillId="17" borderId="0" xfId="2" applyNumberFormat="1" applyFont="1" applyFill="1"/>
    <xf numFmtId="171" fontId="18" fillId="5" borderId="0" xfId="1" applyNumberFormat="1" applyFont="1" applyFill="1"/>
    <xf numFmtId="0" fontId="14" fillId="3" borderId="33" xfId="0" applyFont="1" applyFill="1" applyBorder="1" applyAlignment="1">
      <alignment textRotation="90" wrapText="1"/>
    </xf>
    <xf numFmtId="0" fontId="14" fillId="3" borderId="34" xfId="0" applyFont="1" applyFill="1" applyBorder="1" applyAlignment="1">
      <alignment textRotation="90" wrapText="1"/>
    </xf>
    <xf numFmtId="0" fontId="14" fillId="3" borderId="35" xfId="0" applyFont="1" applyFill="1" applyBorder="1" applyAlignment="1">
      <alignment textRotation="90" wrapText="1"/>
    </xf>
    <xf numFmtId="164" fontId="0" fillId="17" borderId="0" xfId="0" applyNumberFormat="1" applyFill="1"/>
    <xf numFmtId="16" fontId="0" fillId="0" borderId="0" xfId="0" quotePrefix="1" applyNumberFormat="1"/>
    <xf numFmtId="43" fontId="0" fillId="19" borderId="0" xfId="1" applyFont="1" applyFill="1"/>
    <xf numFmtId="43" fontId="0" fillId="17" borderId="0" xfId="1" applyFont="1" applyFill="1"/>
    <xf numFmtId="171" fontId="18" fillId="20" borderId="0" xfId="1" applyNumberFormat="1" applyFont="1" applyFill="1"/>
    <xf numFmtId="0" fontId="18" fillId="0" borderId="0" xfId="0" applyFont="1" applyAlignment="1">
      <alignment horizontal="left"/>
    </xf>
    <xf numFmtId="0" fontId="18" fillId="0" borderId="13" xfId="0" applyFont="1" applyBorder="1"/>
    <xf numFmtId="43" fontId="18" fillId="0" borderId="0" xfId="1" applyFont="1"/>
    <xf numFmtId="2" fontId="18" fillId="0" borderId="0" xfId="1" applyNumberFormat="1" applyFont="1"/>
    <xf numFmtId="175" fontId="0" fillId="5" borderId="0" xfId="0" applyNumberFormat="1" applyFill="1"/>
    <xf numFmtId="0" fontId="18" fillId="0" borderId="12" xfId="0" applyFont="1" applyBorder="1"/>
    <xf numFmtId="0" fontId="18" fillId="0" borderId="13" xfId="0" applyFont="1" applyBorder="1" applyAlignment="1">
      <alignment horizontal="left"/>
    </xf>
    <xf numFmtId="0" fontId="14" fillId="0" borderId="12" xfId="0" applyFont="1" applyBorder="1"/>
    <xf numFmtId="0" fontId="14" fillId="0" borderId="13" xfId="0" applyFont="1" applyBorder="1"/>
    <xf numFmtId="165" fontId="0" fillId="0" borderId="0" xfId="0" applyNumberFormat="1"/>
    <xf numFmtId="165" fontId="0" fillId="0" borderId="10" xfId="0" applyNumberFormat="1" applyBorder="1"/>
    <xf numFmtId="165" fontId="0" fillId="0" borderId="11" xfId="0" applyNumberFormat="1" applyBorder="1"/>
    <xf numFmtId="165" fontId="0" fillId="0" borderId="13" xfId="0" applyNumberFormat="1" applyBorder="1"/>
    <xf numFmtId="165" fontId="0" fillId="0" borderId="15" xfId="0" applyNumberFormat="1" applyBorder="1"/>
    <xf numFmtId="165" fontId="0" fillId="0" borderId="16" xfId="0" applyNumberFormat="1" applyBorder="1"/>
    <xf numFmtId="0" fontId="14" fillId="2" borderId="0" xfId="0" applyFont="1" applyFill="1"/>
    <xf numFmtId="0" fontId="14" fillId="3" borderId="0" xfId="0" applyFont="1" applyFill="1" applyAlignment="1">
      <alignment wrapText="1"/>
    </xf>
    <xf numFmtId="0" fontId="34" fillId="5" borderId="0" xfId="0" applyFont="1" applyFill="1"/>
    <xf numFmtId="0" fontId="34" fillId="0" borderId="0" xfId="0" applyFont="1"/>
    <xf numFmtId="0" fontId="34" fillId="12" borderId="0" xfId="0" applyFont="1" applyFill="1"/>
    <xf numFmtId="49" fontId="34" fillId="0" borderId="0" xfId="0" applyNumberFormat="1" applyFont="1"/>
    <xf numFmtId="164" fontId="34" fillId="12" borderId="0" xfId="11" applyNumberFormat="1" applyFont="1" applyFill="1"/>
    <xf numFmtId="0" fontId="0" fillId="21" borderId="0" xfId="0" applyFill="1"/>
    <xf numFmtId="49" fontId="0" fillId="21" borderId="0" xfId="0" applyNumberFormat="1" applyFill="1"/>
    <xf numFmtId="2" fontId="0" fillId="21" borderId="0" xfId="11" applyNumberFormat="1" applyFont="1" applyFill="1"/>
    <xf numFmtId="49" fontId="0" fillId="0" borderId="0" xfId="0" applyNumberFormat="1"/>
    <xf numFmtId="175" fontId="0" fillId="0" borderId="0" xfId="0" applyNumberFormat="1"/>
    <xf numFmtId="2" fontId="0" fillId="0" borderId="0" xfId="0" applyNumberFormat="1"/>
    <xf numFmtId="2" fontId="0" fillId="0" borderId="0" xfId="11" applyNumberFormat="1" applyFont="1" applyFill="1"/>
    <xf numFmtId="0" fontId="0" fillId="0" borderId="0" xfId="0" applyAlignment="1">
      <alignment horizontal="right"/>
    </xf>
    <xf numFmtId="1" fontId="0" fillId="0" borderId="0" xfId="0" applyNumberFormat="1" applyAlignment="1">
      <alignment horizontal="right"/>
    </xf>
    <xf numFmtId="164" fontId="0" fillId="0" borderId="0" xfId="11" applyNumberFormat="1" applyFont="1"/>
    <xf numFmtId="0" fontId="0" fillId="22" borderId="0" xfId="0" applyFill="1"/>
    <xf numFmtId="49" fontId="0" fillId="22" borderId="0" xfId="0" applyNumberFormat="1" applyFill="1"/>
    <xf numFmtId="0" fontId="0" fillId="22" borderId="0" xfId="0" applyFill="1" applyAlignment="1">
      <alignment horizontal="right"/>
    </xf>
    <xf numFmtId="2" fontId="0" fillId="22" borderId="0" xfId="11" applyNumberFormat="1" applyFont="1" applyFill="1"/>
    <xf numFmtId="2" fontId="0" fillId="0" borderId="0" xfId="11" applyNumberFormat="1" applyFont="1"/>
    <xf numFmtId="9" fontId="0" fillId="0" borderId="0" xfId="11" applyFont="1"/>
    <xf numFmtId="164" fontId="0" fillId="21" borderId="0" xfId="11" applyNumberFormat="1" applyFont="1" applyFill="1"/>
    <xf numFmtId="164" fontId="0" fillId="0" borderId="0" xfId="11" applyNumberFormat="1" applyFont="1" applyFill="1"/>
    <xf numFmtId="164" fontId="0" fillId="22" borderId="0" xfId="11" applyNumberFormat="1" applyFont="1" applyFill="1"/>
    <xf numFmtId="2" fontId="0" fillId="13" borderId="0" xfId="11" applyNumberFormat="1" applyFont="1" applyFill="1"/>
    <xf numFmtId="2" fontId="0" fillId="22" borderId="0" xfId="0" applyNumberFormat="1" applyFill="1"/>
    <xf numFmtId="175" fontId="0" fillId="22" borderId="0" xfId="0" applyNumberFormat="1" applyFill="1"/>
    <xf numFmtId="181" fontId="0" fillId="0" borderId="0" xfId="0" applyNumberFormat="1"/>
    <xf numFmtId="0" fontId="0" fillId="23" borderId="0" xfId="0" applyFill="1"/>
    <xf numFmtId="176" fontId="0" fillId="0" borderId="0" xfId="0" applyNumberFormat="1" applyAlignment="1">
      <alignment horizontal="center"/>
    </xf>
    <xf numFmtId="0" fontId="0" fillId="13" borderId="0" xfId="0" applyFill="1"/>
    <xf numFmtId="49" fontId="0" fillId="0" borderId="0" xfId="0" quotePrefix="1" applyNumberFormat="1"/>
    <xf numFmtId="1" fontId="0" fillId="13" borderId="0" xfId="0" applyNumberFormat="1" applyFill="1"/>
    <xf numFmtId="49" fontId="0" fillId="13" borderId="0" xfId="0" quotePrefix="1" applyNumberFormat="1" applyFill="1"/>
    <xf numFmtId="0" fontId="0" fillId="13" borderId="0" xfId="0" quotePrefix="1" applyFill="1"/>
    <xf numFmtId="175" fontId="34" fillId="0" borderId="0" xfId="0" applyNumberFormat="1" applyFont="1" applyAlignment="1">
      <alignment horizontal="right"/>
    </xf>
    <xf numFmtId="175" fontId="0" fillId="0" borderId="0" xfId="1" applyNumberFormat="1" applyFont="1"/>
    <xf numFmtId="49" fontId="0" fillId="13" borderId="0" xfId="0" applyNumberFormat="1" applyFill="1"/>
    <xf numFmtId="1" fontId="0" fillId="13" borderId="0" xfId="0" quotePrefix="1" applyNumberFormat="1" applyFill="1"/>
    <xf numFmtId="0" fontId="34" fillId="23" borderId="0" xfId="0" applyFont="1" applyFill="1"/>
    <xf numFmtId="49" fontId="14" fillId="0" borderId="0" xfId="0" applyNumberFormat="1" applyFont="1"/>
    <xf numFmtId="2" fontId="14" fillId="0" borderId="0" xfId="0" applyNumberFormat="1" applyFont="1"/>
    <xf numFmtId="181" fontId="14" fillId="0" borderId="0" xfId="0" applyNumberFormat="1" applyFont="1"/>
    <xf numFmtId="2" fontId="14" fillId="0" borderId="0" xfId="11" applyNumberFormat="1" applyFont="1"/>
    <xf numFmtId="2" fontId="14" fillId="0" borderId="0" xfId="11" applyNumberFormat="1" applyFont="1" applyFill="1"/>
    <xf numFmtId="178" fontId="14" fillId="0" borderId="0" xfId="1" applyNumberFormat="1" applyFont="1" applyFill="1"/>
    <xf numFmtId="165" fontId="14" fillId="0" borderId="0" xfId="0" applyNumberFormat="1" applyFont="1"/>
    <xf numFmtId="0" fontId="38" fillId="0" borderId="7" xfId="0" applyFont="1" applyBorder="1"/>
    <xf numFmtId="0" fontId="14" fillId="3" borderId="7" xfId="0" applyFont="1" applyFill="1" applyBorder="1" applyAlignment="1">
      <alignment horizontal="left" wrapText="1"/>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31" fillId="0" borderId="0" xfId="10" applyAlignment="1">
      <alignment horizontal="center" vertical="center"/>
    </xf>
    <xf numFmtId="0" fontId="0" fillId="0" borderId="0" xfId="0" applyAlignment="1">
      <alignment horizontal="center" vertical="center"/>
    </xf>
    <xf numFmtId="0" fontId="0" fillId="0" borderId="12" xfId="0" applyBorder="1" applyAlignment="1">
      <alignment horizontal="center"/>
    </xf>
    <xf numFmtId="0" fontId="0" fillId="0" borderId="0" xfId="0" applyAlignment="1">
      <alignment horizontal="center"/>
    </xf>
    <xf numFmtId="0" fontId="0" fillId="0" borderId="13" xfId="0" applyBorder="1" applyAlignment="1">
      <alignment horizontal="center"/>
    </xf>
    <xf numFmtId="0" fontId="0" fillId="0" borderId="8" xfId="0" applyBorder="1" applyAlignment="1">
      <alignment horizontal="left" vertical="center" wrapText="1"/>
    </xf>
    <xf numFmtId="0" fontId="0" fillId="0" borderId="8" xfId="0" applyBorder="1" applyAlignment="1">
      <alignment horizontal="left" vertical="center"/>
    </xf>
    <xf numFmtId="0" fontId="0" fillId="3" borderId="8" xfId="0" applyFill="1" applyBorder="1" applyAlignment="1">
      <alignment horizontal="left" vertical="center"/>
    </xf>
    <xf numFmtId="0" fontId="0" fillId="3" borderId="8" xfId="0" applyFill="1" applyBorder="1" applyAlignment="1">
      <alignment horizontal="left" vertical="center" wrapText="1"/>
    </xf>
    <xf numFmtId="0" fontId="0" fillId="4" borderId="8" xfId="0" applyFill="1" applyBorder="1" applyAlignment="1">
      <alignment horizontal="left" vertical="center" wrapText="1"/>
    </xf>
    <xf numFmtId="0" fontId="0" fillId="0" borderId="21" xfId="0" applyBorder="1" applyAlignment="1">
      <alignment horizontal="left" wrapText="1"/>
    </xf>
    <xf numFmtId="0" fontId="0" fillId="0" borderId="22" xfId="0" applyBorder="1" applyAlignment="1">
      <alignment horizontal="left" wrapText="1"/>
    </xf>
    <xf numFmtId="0" fontId="0" fillId="0" borderId="21" xfId="0" applyBorder="1" applyAlignment="1">
      <alignment horizontal="left" vertical="center"/>
    </xf>
    <xf numFmtId="0" fontId="0" fillId="0" borderId="22" xfId="0" applyBorder="1" applyAlignment="1">
      <alignment horizontal="left" vertical="center"/>
    </xf>
    <xf numFmtId="0" fontId="0" fillId="0" borderId="21" xfId="0" applyBorder="1" applyAlignment="1">
      <alignment horizontal="center" vertical="center" wrapText="1"/>
    </xf>
    <xf numFmtId="0" fontId="0" fillId="0" borderId="17" xfId="0" applyBorder="1" applyAlignment="1">
      <alignment horizontal="center" vertical="center" wrapText="1"/>
    </xf>
    <xf numFmtId="0" fontId="0" fillId="0" borderId="22" xfId="0" applyBorder="1" applyAlignment="1">
      <alignment horizontal="center" vertical="center" wrapText="1"/>
    </xf>
    <xf numFmtId="0" fontId="0" fillId="0" borderId="21" xfId="0" applyBorder="1" applyAlignment="1">
      <alignment horizontal="left" vertical="center" wrapText="1"/>
    </xf>
    <xf numFmtId="0" fontId="0" fillId="0" borderId="17" xfId="0" applyBorder="1" applyAlignment="1">
      <alignment horizontal="left" vertical="center" wrapText="1"/>
    </xf>
    <xf numFmtId="0" fontId="0" fillId="0" borderId="22" xfId="0" applyBorder="1" applyAlignment="1">
      <alignment horizontal="left" vertical="center" wrapText="1"/>
    </xf>
    <xf numFmtId="0" fontId="0" fillId="0" borderId="0" xfId="0" applyAlignment="1">
      <alignment horizontal="left" wrapText="1"/>
    </xf>
    <xf numFmtId="0" fontId="18" fillId="0" borderId="0" xfId="0" applyFont="1" applyAlignment="1">
      <alignment horizontal="left" wrapText="1"/>
    </xf>
    <xf numFmtId="0" fontId="20" fillId="0" borderId="0" xfId="0" applyFont="1" applyAlignment="1">
      <alignment horizontal="center"/>
    </xf>
    <xf numFmtId="0" fontId="0" fillId="0" borderId="0" xfId="0" applyAlignment="1">
      <alignment horizontal="center" wrapText="1"/>
    </xf>
    <xf numFmtId="0" fontId="9" fillId="11" borderId="0" xfId="4" applyFont="1" applyFill="1" applyAlignment="1">
      <alignment horizontal="center"/>
    </xf>
    <xf numFmtId="0" fontId="7" fillId="11" borderId="0" xfId="4" applyFont="1" applyFill="1"/>
    <xf numFmtId="0" fontId="11" fillId="11" borderId="0" xfId="4" applyFont="1" applyFill="1" applyAlignment="1">
      <alignment horizontal="center"/>
    </xf>
    <xf numFmtId="0" fontId="6" fillId="11" borderId="0" xfId="4" quotePrefix="1" applyFont="1" applyFill="1" applyAlignment="1">
      <alignment horizontal="center"/>
    </xf>
    <xf numFmtId="0" fontId="8" fillId="11" borderId="0" xfId="4" applyFont="1" applyFill="1" applyAlignment="1">
      <alignment horizontal="center"/>
    </xf>
    <xf numFmtId="0" fontId="7" fillId="11" borderId="7" xfId="4" applyFont="1" applyFill="1" applyBorder="1"/>
    <xf numFmtId="0" fontId="10" fillId="11" borderId="0" xfId="4" applyFont="1" applyFill="1" applyAlignment="1">
      <alignment horizontal="center"/>
    </xf>
    <xf numFmtId="0" fontId="7" fillId="11" borderId="0" xfId="4" applyFont="1" applyFill="1" applyAlignment="1">
      <alignment horizontal="center"/>
    </xf>
    <xf numFmtId="0" fontId="6" fillId="11" borderId="0" xfId="4" applyFont="1" applyFill="1" applyAlignment="1">
      <alignment horizontal="center"/>
    </xf>
  </cellXfs>
  <cellStyles count="12">
    <cellStyle name="Comma" xfId="1" builtinId="3"/>
    <cellStyle name="Currency" xfId="7" builtinId="4"/>
    <cellStyle name="Data" xfId="9" xr:uid="{210BAF51-33D3-495B-9156-CBDCF2D0412F}"/>
    <cellStyle name="Header" xfId="8" xr:uid="{3562FB01-884A-4428-8FB5-9312164FC171}"/>
    <cellStyle name="Hyperlink" xfId="5" builtinId="8"/>
    <cellStyle name="Normal" xfId="0" builtinId="0"/>
    <cellStyle name="Normal 2" xfId="3" xr:uid="{AD9005C4-0ED4-489F-AE87-45875A5004F1}"/>
    <cellStyle name="Normal 2 2" xfId="6" xr:uid="{23A3D15C-159A-4404-B785-A9E7E7235E08}"/>
    <cellStyle name="Normal 3" xfId="4" xr:uid="{0BF7DB11-EC82-411C-A30D-E3B92EB716AD}"/>
    <cellStyle name="Normal 4" xfId="10" xr:uid="{BF3E4F93-5C6B-4114-BA74-D73A14FC022F}"/>
    <cellStyle name="Percent" xfId="2" builtinId="5"/>
    <cellStyle name="Percent 2" xfId="11" xr:uid="{E7101ED1-A99E-45FB-BE05-1D33D0EB1939}"/>
  </cellStyles>
  <dxfs count="317">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s>
  <tableStyles count="0" defaultTableStyle="TableStyleMedium2" defaultPivotStyle="PivotStyleLight16"/>
  <colors>
    <mruColors>
      <color rgb="FFBFBFBF"/>
      <color rgb="FF3333CC"/>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theme" Target="theme/theme1.xml"/><Relationship Id="rId7" Type="http://schemas.openxmlformats.org/officeDocument/2006/relationships/worksheet" Target="worksheets/sheet7.xml"/><Relationship Id="rId71"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externalLink" Target="externalLinks/externalLink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Annual</a:t>
            </a:r>
            <a:r>
              <a:rPr lang="en-US" baseline="0"/>
              <a:t> % per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v>2012</c:v>
          </c:tx>
          <c:spPr>
            <a:ln w="28575" cap="rnd">
              <a:solidFill>
                <a:schemeClr val="accent2"/>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Measles'!$D$16:$P$16</c15:sqref>
                  </c15:fullRef>
                </c:ext>
              </c:extLst>
              <c:f>'Ssn Measles'!$E$16:$P$16</c:f>
              <c:numCache>
                <c:formatCode>_(* #,##0.00_);_(* \(#,##0.00\);_(* "-"??_);_(@_)</c:formatCode>
                <c:ptCount val="12"/>
                <c:pt idx="0">
                  <c:v>0.45231370845101021</c:v>
                </c:pt>
                <c:pt idx="1">
                  <c:v>8.907234412339779E-2</c:v>
                </c:pt>
                <c:pt idx="2">
                  <c:v>6.7130132522268085E-2</c:v>
                </c:pt>
                <c:pt idx="3">
                  <c:v>8.3858353247881823E-2</c:v>
                </c:pt>
                <c:pt idx="4">
                  <c:v>8.2337605909189662E-2</c:v>
                </c:pt>
                <c:pt idx="5">
                  <c:v>3.2370193352161632E-2</c:v>
                </c:pt>
                <c:pt idx="6">
                  <c:v>3.7366934607864437E-2</c:v>
                </c:pt>
                <c:pt idx="7">
                  <c:v>2.0204214642624375E-2</c:v>
                </c:pt>
                <c:pt idx="8">
                  <c:v>2.5200955898327177E-2</c:v>
                </c:pt>
                <c:pt idx="9">
                  <c:v>3.1501194872908971E-2</c:v>
                </c:pt>
                <c:pt idx="10">
                  <c:v>5.1705409515533346E-2</c:v>
                </c:pt>
                <c:pt idx="11">
                  <c:v>2.6938952856832499E-2</c:v>
                </c:pt>
              </c:numCache>
            </c:numRef>
          </c:val>
          <c:smooth val="0"/>
          <c:extLst>
            <c:ext xmlns:c16="http://schemas.microsoft.com/office/drawing/2014/chart" uri="{C3380CC4-5D6E-409C-BE32-E72D297353CC}">
              <c16:uniqueId val="{00000000-6121-40E5-92B2-BE4FB5B57288}"/>
            </c:ext>
          </c:extLst>
        </c:ser>
        <c:ser>
          <c:idx val="2"/>
          <c:order val="1"/>
          <c:tx>
            <c:v>2013</c:v>
          </c:tx>
          <c:spPr>
            <a:ln w="28575" cap="rnd">
              <a:solidFill>
                <a:schemeClr val="accent3"/>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Measles'!$D$17:$P$17</c15:sqref>
                  </c15:fullRef>
                </c:ext>
              </c:extLst>
              <c:f>'Ssn Measles'!$E$17:$P$17</c:f>
              <c:numCache>
                <c:formatCode>_(* #,##0.00_);_(* \(#,##0.00\);_(* "-"??_);_(@_)</c:formatCode>
                <c:ptCount val="12"/>
                <c:pt idx="0">
                  <c:v>9.826967025791708E-2</c:v>
                </c:pt>
                <c:pt idx="1">
                  <c:v>9.5657851779301334E-2</c:v>
                </c:pt>
                <c:pt idx="2">
                  <c:v>6.5458700620306884E-2</c:v>
                </c:pt>
                <c:pt idx="3">
                  <c:v>5.5827619980411358E-2</c:v>
                </c:pt>
                <c:pt idx="4">
                  <c:v>3.5096310806398953E-2</c:v>
                </c:pt>
                <c:pt idx="5">
                  <c:v>2.3343127652628141E-2</c:v>
                </c:pt>
                <c:pt idx="6">
                  <c:v>1.4528240287300032E-2</c:v>
                </c:pt>
                <c:pt idx="7">
                  <c:v>2.6934378060724781E-2</c:v>
                </c:pt>
                <c:pt idx="8">
                  <c:v>7.0519098922624882E-2</c:v>
                </c:pt>
                <c:pt idx="9">
                  <c:v>0.15001632386549135</c:v>
                </c:pt>
                <c:pt idx="10">
                  <c:v>0.22102513875285668</c:v>
                </c:pt>
                <c:pt idx="11">
                  <c:v>0.14332353901403852</c:v>
                </c:pt>
              </c:numCache>
            </c:numRef>
          </c:val>
          <c:smooth val="0"/>
          <c:extLst>
            <c:ext xmlns:c16="http://schemas.microsoft.com/office/drawing/2014/chart" uri="{C3380CC4-5D6E-409C-BE32-E72D297353CC}">
              <c16:uniqueId val="{00000001-6121-40E5-92B2-BE4FB5B57288}"/>
            </c:ext>
          </c:extLst>
        </c:ser>
        <c:ser>
          <c:idx val="3"/>
          <c:order val="2"/>
          <c:tx>
            <c:v>2014</c:v>
          </c:tx>
          <c:spPr>
            <a:ln w="28575" cap="rnd">
              <a:solidFill>
                <a:schemeClr val="accent4"/>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Measles'!$D$18:$P$18</c15:sqref>
                  </c15:fullRef>
                </c:ext>
              </c:extLst>
              <c:f>'Ssn Measles'!$E$18:$P$18</c:f>
              <c:numCache>
                <c:formatCode>_(* #,##0.00_);_(* \(#,##0.00\);_(* "-"??_);_(@_)</c:formatCode>
                <c:ptCount val="12"/>
                <c:pt idx="0">
                  <c:v>0.15987394957983192</c:v>
                </c:pt>
                <c:pt idx="1">
                  <c:v>0.24460784313725489</c:v>
                </c:pt>
                <c:pt idx="2">
                  <c:v>0.23193277310924371</c:v>
                </c:pt>
                <c:pt idx="3">
                  <c:v>8.4733893557422973E-2</c:v>
                </c:pt>
                <c:pt idx="4">
                  <c:v>5.9733893557422972E-2</c:v>
                </c:pt>
                <c:pt idx="5">
                  <c:v>6.2885154061624648E-2</c:v>
                </c:pt>
                <c:pt idx="6">
                  <c:v>3.6134453781512609E-2</c:v>
                </c:pt>
                <c:pt idx="7">
                  <c:v>3.2563025210084036E-2</c:v>
                </c:pt>
                <c:pt idx="8">
                  <c:v>1.1974789915966387E-2</c:v>
                </c:pt>
                <c:pt idx="9">
                  <c:v>1.6526610644257703E-2</c:v>
                </c:pt>
                <c:pt idx="10">
                  <c:v>2.5280112044817928E-2</c:v>
                </c:pt>
                <c:pt idx="11">
                  <c:v>3.3753501400560222E-2</c:v>
                </c:pt>
              </c:numCache>
            </c:numRef>
          </c:val>
          <c:smooth val="0"/>
          <c:extLst>
            <c:ext xmlns:c16="http://schemas.microsoft.com/office/drawing/2014/chart" uri="{C3380CC4-5D6E-409C-BE32-E72D297353CC}">
              <c16:uniqueId val="{00000002-6121-40E5-92B2-BE4FB5B57288}"/>
            </c:ext>
          </c:extLst>
        </c:ser>
        <c:ser>
          <c:idx val="4"/>
          <c:order val="3"/>
          <c:tx>
            <c:v>2015</c:v>
          </c:tx>
          <c:spPr>
            <a:ln w="28575" cap="rnd">
              <a:solidFill>
                <a:schemeClr val="accent5"/>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Measles'!$D$19:$P$19</c15:sqref>
                  </c15:fullRef>
                </c:ext>
              </c:extLst>
              <c:f>'Ssn Measles'!$E$19:$P$19</c:f>
              <c:numCache>
                <c:formatCode>_(* #,##0.00_);_(* \(#,##0.00\);_(* "-"??_);_(@_)</c:formatCode>
                <c:ptCount val="12"/>
                <c:pt idx="0">
                  <c:v>0.12554843064461693</c:v>
                </c:pt>
                <c:pt idx="1">
                  <c:v>0.31156485543930701</c:v>
                </c:pt>
                <c:pt idx="2">
                  <c:v>0.15997300033749579</c:v>
                </c:pt>
                <c:pt idx="3">
                  <c:v>0.13730453369332885</c:v>
                </c:pt>
                <c:pt idx="4">
                  <c:v>4.5168185397682532E-2</c:v>
                </c:pt>
                <c:pt idx="5">
                  <c:v>3.0205872426594668E-2</c:v>
                </c:pt>
                <c:pt idx="6">
                  <c:v>1.619979750253122E-2</c:v>
                </c:pt>
                <c:pt idx="7">
                  <c:v>1.3499831252109349E-2</c:v>
                </c:pt>
                <c:pt idx="8">
                  <c:v>1.4793565080436494E-2</c:v>
                </c:pt>
                <c:pt idx="9">
                  <c:v>2.7280908988637644E-2</c:v>
                </c:pt>
                <c:pt idx="10">
                  <c:v>3.9374507818652267E-2</c:v>
                </c:pt>
                <c:pt idx="11">
                  <c:v>7.9086511418607272E-2</c:v>
                </c:pt>
              </c:numCache>
            </c:numRef>
          </c:val>
          <c:smooth val="0"/>
          <c:extLst>
            <c:ext xmlns:c16="http://schemas.microsoft.com/office/drawing/2014/chart" uri="{C3380CC4-5D6E-409C-BE32-E72D297353CC}">
              <c16:uniqueId val="{00000003-6121-40E5-92B2-BE4FB5B57288}"/>
            </c:ext>
          </c:extLst>
        </c:ser>
        <c:ser>
          <c:idx val="5"/>
          <c:order val="4"/>
          <c:tx>
            <c:v>2016</c:v>
          </c:tx>
          <c:spPr>
            <a:ln w="28575" cap="rnd">
              <a:solidFill>
                <a:schemeClr val="accent6"/>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Measles'!$D$20:$P$20</c15:sqref>
                  </c15:fullRef>
                </c:ext>
              </c:extLst>
              <c:f>'Ssn Measles'!$E$20:$P$20</c:f>
              <c:numCache>
                <c:formatCode>_(* #,##0.00_);_(* \(#,##0.00\);_(* "-"??_);_(@_)</c:formatCode>
                <c:ptCount val="12"/>
                <c:pt idx="0">
                  <c:v>0.2909369527145359</c:v>
                </c:pt>
                <c:pt idx="1">
                  <c:v>0.29575306479859897</c:v>
                </c:pt>
                <c:pt idx="2">
                  <c:v>0.16922066549912435</c:v>
                </c:pt>
                <c:pt idx="3">
                  <c:v>2.6707530647985988E-2</c:v>
                </c:pt>
                <c:pt idx="4">
                  <c:v>2.8239929947460597E-2</c:v>
                </c:pt>
                <c:pt idx="5">
                  <c:v>2.6269702276707531E-2</c:v>
                </c:pt>
                <c:pt idx="6">
                  <c:v>2.4737302977232926E-2</c:v>
                </c:pt>
                <c:pt idx="7">
                  <c:v>1.2915936952714535E-2</c:v>
                </c:pt>
                <c:pt idx="8">
                  <c:v>1.2697022767075307E-2</c:v>
                </c:pt>
                <c:pt idx="9">
                  <c:v>2.1015761821366025E-2</c:v>
                </c:pt>
                <c:pt idx="10">
                  <c:v>5.5385288966725045E-2</c:v>
                </c:pt>
                <c:pt idx="11">
                  <c:v>3.6120840630472856E-2</c:v>
                </c:pt>
              </c:numCache>
            </c:numRef>
          </c:val>
          <c:smooth val="0"/>
          <c:extLst>
            <c:ext xmlns:c16="http://schemas.microsoft.com/office/drawing/2014/chart" uri="{C3380CC4-5D6E-409C-BE32-E72D297353CC}">
              <c16:uniqueId val="{00000004-6121-40E5-92B2-BE4FB5B57288}"/>
            </c:ext>
          </c:extLst>
        </c:ser>
        <c:ser>
          <c:idx val="6"/>
          <c:order val="5"/>
          <c:tx>
            <c:v>2017</c:v>
          </c:tx>
          <c:spPr>
            <a:ln w="28575" cap="rnd">
              <a:solidFill>
                <a:schemeClr val="accent1">
                  <a:lumMod val="60000"/>
                </a:schemeClr>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Measles'!$D$21:$P$21</c15:sqref>
                  </c15:fullRef>
                </c:ext>
              </c:extLst>
              <c:f>'Ssn Measles'!$E$21:$P$21</c:f>
              <c:numCache>
                <c:formatCode>_(* #,##0.00_);_(* \(#,##0.00\);_(* "-"??_);_(@_)</c:formatCode>
                <c:ptCount val="12"/>
                <c:pt idx="0">
                  <c:v>0.11192468619246862</c:v>
                </c:pt>
                <c:pt idx="1">
                  <c:v>0.19717573221757323</c:v>
                </c:pt>
                <c:pt idx="2">
                  <c:v>0.12918410041841005</c:v>
                </c:pt>
                <c:pt idx="3">
                  <c:v>5.4916317991631797E-2</c:v>
                </c:pt>
                <c:pt idx="4">
                  <c:v>3.0334728033472803E-2</c:v>
                </c:pt>
                <c:pt idx="5">
                  <c:v>3.5041841004184102E-2</c:v>
                </c:pt>
                <c:pt idx="6">
                  <c:v>3.8702928870292884E-2</c:v>
                </c:pt>
                <c:pt idx="7">
                  <c:v>8.3158995815899583E-2</c:v>
                </c:pt>
                <c:pt idx="8">
                  <c:v>0.10303347280334728</c:v>
                </c:pt>
                <c:pt idx="9">
                  <c:v>6.6945606694560664E-2</c:v>
                </c:pt>
                <c:pt idx="10">
                  <c:v>4.5502092050209206E-2</c:v>
                </c:pt>
                <c:pt idx="11">
                  <c:v>0.10407949790794979</c:v>
                </c:pt>
              </c:numCache>
            </c:numRef>
          </c:val>
          <c:smooth val="0"/>
          <c:extLst>
            <c:ext xmlns:c16="http://schemas.microsoft.com/office/drawing/2014/chart" uri="{C3380CC4-5D6E-409C-BE32-E72D297353CC}">
              <c16:uniqueId val="{00000005-6121-40E5-92B2-BE4FB5B57288}"/>
            </c:ext>
          </c:extLst>
        </c:ser>
        <c:ser>
          <c:idx val="7"/>
          <c:order val="6"/>
          <c:tx>
            <c:v>2018</c:v>
          </c:tx>
          <c:spPr>
            <a:ln w="28575" cap="rnd">
              <a:solidFill>
                <a:schemeClr val="accent2">
                  <a:lumMod val="60000"/>
                </a:schemeClr>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Measles'!$D$22:$P$22</c15:sqref>
                  </c15:fullRef>
                </c:ext>
              </c:extLst>
              <c:f>'Ssn Measles'!$E$22:$P$22</c:f>
              <c:numCache>
                <c:formatCode>_(* #,##0.00_);_(* \(#,##0.00\);_(* "-"??_);_(@_)</c:formatCode>
                <c:ptCount val="12"/>
                <c:pt idx="0">
                  <c:v>0.13471502590673576</c:v>
                </c:pt>
                <c:pt idx="1">
                  <c:v>0.12657290895632864</c:v>
                </c:pt>
                <c:pt idx="2">
                  <c:v>0.1080680977054034</c:v>
                </c:pt>
                <c:pt idx="3">
                  <c:v>3.3308660251665435E-2</c:v>
                </c:pt>
                <c:pt idx="4">
                  <c:v>8.5862324204293114E-2</c:v>
                </c:pt>
                <c:pt idx="5">
                  <c:v>7.2538860103626937E-2</c:v>
                </c:pt>
                <c:pt idx="6">
                  <c:v>0.10140636565507032</c:v>
                </c:pt>
                <c:pt idx="7">
                  <c:v>3.84900074019245E-2</c:v>
                </c:pt>
                <c:pt idx="8">
                  <c:v>0.17468541820873426</c:v>
                </c:pt>
                <c:pt idx="9">
                  <c:v>0.12435233160621761</c:v>
                </c:pt>
                <c:pt idx="10">
                  <c:v>0</c:v>
                </c:pt>
                <c:pt idx="11">
                  <c:v>0</c:v>
                </c:pt>
              </c:numCache>
            </c:numRef>
          </c:val>
          <c:smooth val="0"/>
          <c:extLst>
            <c:ext xmlns:c16="http://schemas.microsoft.com/office/drawing/2014/chart" uri="{C3380CC4-5D6E-409C-BE32-E72D297353CC}">
              <c16:uniqueId val="{00000006-6121-40E5-92B2-BE4FB5B57288}"/>
            </c:ext>
          </c:extLst>
        </c:ser>
        <c:ser>
          <c:idx val="0"/>
          <c:order val="7"/>
          <c:tx>
            <c:v>2011</c:v>
          </c:tx>
          <c:spPr>
            <a:ln w="28575" cap="rnd">
              <a:solidFill>
                <a:schemeClr val="accent1"/>
              </a:solidFill>
              <a:round/>
            </a:ln>
            <a:effectLst/>
          </c:spPr>
          <c:marker>
            <c:symbol val="none"/>
          </c:marker>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'Ssn Measles'!$E$15:$P$15</c15:sqref>
                  </c15:fullRef>
                </c:ext>
              </c:extLst>
              <c:f>'Ssn Measles'!$F$15:$P$15</c:f>
              <c:numCache>
                <c:formatCode>_(* #,##0.00_);_(* \(#,##0.00\);_(* "-"??_);_(@_)</c:formatCode>
                <c:ptCount val="11"/>
                <c:pt idx="0">
                  <c:v>0.19377453729669097</c:v>
                </c:pt>
                <c:pt idx="1">
                  <c:v>0.19125070106561975</c:v>
                </c:pt>
                <c:pt idx="2">
                  <c:v>4.2063937184520471E-2</c:v>
                </c:pt>
                <c:pt idx="3">
                  <c:v>3.6735838474481211E-2</c:v>
                </c:pt>
                <c:pt idx="4">
                  <c:v>2.6079641054402691E-2</c:v>
                </c:pt>
                <c:pt idx="5">
                  <c:v>1.9629837352776219E-2</c:v>
                </c:pt>
                <c:pt idx="6">
                  <c:v>1.0095344924284913E-2</c:v>
                </c:pt>
                <c:pt idx="7">
                  <c:v>1.598429613011778E-2</c:v>
                </c:pt>
                <c:pt idx="8">
                  <c:v>1.8508132361189006E-2</c:v>
                </c:pt>
                <c:pt idx="9">
                  <c:v>5.9730790802019068E-2</c:v>
                </c:pt>
                <c:pt idx="10">
                  <c:v>2.8603477285473921E-2</c:v>
                </c:pt>
              </c:numCache>
            </c:numRef>
          </c:val>
          <c:smooth val="0"/>
          <c:extLst>
            <c:ext xmlns:c16="http://schemas.microsoft.com/office/drawing/2014/chart" uri="{C3380CC4-5D6E-409C-BE32-E72D297353CC}">
              <c16:uniqueId val="{00000007-6121-40E5-92B2-BE4FB5B57288}"/>
            </c:ext>
          </c:extLst>
        </c:ser>
        <c:dLbls>
          <c:showLegendKey val="0"/>
          <c:showVal val="0"/>
          <c:showCatName val="0"/>
          <c:showSerName val="0"/>
          <c:showPercent val="0"/>
          <c:showBubbleSize val="0"/>
        </c:dLbls>
        <c:smooth val="0"/>
        <c:axId val="460662335"/>
        <c:axId val="460663583"/>
      </c:lineChart>
      <c:catAx>
        <c:axId val="46066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63583"/>
        <c:crosses val="autoZero"/>
        <c:auto val="1"/>
        <c:lblAlgn val="ctr"/>
        <c:lblOffset val="100"/>
        <c:noMultiLvlLbl val="0"/>
      </c:catAx>
      <c:valAx>
        <c:axId val="460663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623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Ethiopia national female</a:t>
            </a:r>
            <a:r>
              <a:rPr lang="en-US" baseline="0"/>
              <a:t> pop 2020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3954459925918878E-2"/>
          <c:y val="0.12875085465355704"/>
          <c:w val="0.93250843644544434"/>
          <c:h val="0.82843921861209313"/>
        </c:manualLayout>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strRef>
              <c:f>PopRegional2020!$D$4:$D$24</c:f>
              <c:strCache>
                <c:ptCount val="21"/>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85-89</c:v>
                </c:pt>
                <c:pt idx="18">
                  <c:v>90-94</c:v>
                </c:pt>
                <c:pt idx="19">
                  <c:v>95-99</c:v>
                </c:pt>
                <c:pt idx="20">
                  <c:v>100+</c:v>
                </c:pt>
              </c:strCache>
            </c:strRef>
          </c:xVal>
          <c:yVal>
            <c:numRef>
              <c:f>PopRegional2020!$G$4:$G$24</c:f>
              <c:numCache>
                <c:formatCode>General</c:formatCode>
                <c:ptCount val="21"/>
                <c:pt idx="0">
                  <c:v>8271178</c:v>
                </c:pt>
                <c:pt idx="1">
                  <c:v>7525556</c:v>
                </c:pt>
                <c:pt idx="2">
                  <c:v>6854126</c:v>
                </c:pt>
                <c:pt idx="3">
                  <c:v>6432598</c:v>
                </c:pt>
                <c:pt idx="4">
                  <c:v>5816173</c:v>
                </c:pt>
                <c:pt idx="5">
                  <c:v>4802450</c:v>
                </c:pt>
                <c:pt idx="6">
                  <c:v>3757544</c:v>
                </c:pt>
                <c:pt idx="7">
                  <c:v>3182837</c:v>
                </c:pt>
                <c:pt idx="8">
                  <c:v>2488422</c:v>
                </c:pt>
                <c:pt idx="9">
                  <c:v>2033228</c:v>
                </c:pt>
                <c:pt idx="10">
                  <c:v>1660957</c:v>
                </c:pt>
                <c:pt idx="11">
                  <c:v>1316318</c:v>
                </c:pt>
                <c:pt idx="12">
                  <c:v>1109670</c:v>
                </c:pt>
                <c:pt idx="13">
                  <c:v>832543</c:v>
                </c:pt>
                <c:pt idx="14">
                  <c:v>648561</c:v>
                </c:pt>
                <c:pt idx="15">
                  <c:v>400726</c:v>
                </c:pt>
                <c:pt idx="16">
                  <c:v>202974</c:v>
                </c:pt>
                <c:pt idx="17">
                  <c:v>84730</c:v>
                </c:pt>
                <c:pt idx="18">
                  <c:v>22462</c:v>
                </c:pt>
                <c:pt idx="19">
                  <c:v>3432</c:v>
                </c:pt>
                <c:pt idx="20">
                  <c:v>263</c:v>
                </c:pt>
              </c:numCache>
            </c:numRef>
          </c:yVal>
          <c:smooth val="0"/>
          <c:extLst>
            <c:ext xmlns:c16="http://schemas.microsoft.com/office/drawing/2014/chart" uri="{C3380CC4-5D6E-409C-BE32-E72D297353CC}">
              <c16:uniqueId val="{00000000-3272-4950-8F9D-E3C0CF81852A}"/>
            </c:ext>
          </c:extLst>
        </c:ser>
        <c:dLbls>
          <c:showLegendKey val="0"/>
          <c:showVal val="0"/>
          <c:showCatName val="0"/>
          <c:showSerName val="0"/>
          <c:showPercent val="0"/>
          <c:showBubbleSize val="0"/>
        </c:dLbls>
        <c:axId val="1780698432"/>
        <c:axId val="1780705920"/>
      </c:scatterChart>
      <c:valAx>
        <c:axId val="1780698432"/>
        <c:scaling>
          <c:orientation val="minMax"/>
          <c:max val="22"/>
          <c:min val="0"/>
        </c:scaling>
        <c:delete val="0"/>
        <c:axPos val="b"/>
        <c:numFmt formatCode="General" sourceLinked="0"/>
        <c:majorTickMark val="none"/>
        <c:minorTickMark val="none"/>
        <c:tickLblPos val="none"/>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705920"/>
        <c:crosses val="autoZero"/>
        <c:crossBetween val="midCat"/>
      </c:valAx>
      <c:valAx>
        <c:axId val="1780705920"/>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698432"/>
        <c:crosses val="autoZero"/>
        <c:crossBetween val="midCat"/>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'FP mod'!$A$77:$D$77</c:f>
              <c:strCache>
                <c:ptCount val="4"/>
                <c:pt idx="0">
                  <c:v>Ethiopia</c:v>
                </c:pt>
                <c:pt idx="1">
                  <c:v>ETH</c:v>
                </c:pt>
                <c:pt idx="2">
                  <c:v>Contraceptive prevalence, modern methods (% of women ages 15-49)</c:v>
                </c:pt>
                <c:pt idx="3">
                  <c:v>SP.DYN.CONM.ZS</c:v>
                </c:pt>
              </c:strCache>
            </c:strRef>
          </c:tx>
          <c:spPr>
            <a:ln w="28575" cap="rnd">
              <a:solidFill>
                <a:schemeClr val="accent1"/>
              </a:solidFill>
              <a:round/>
            </a:ln>
            <a:effectLst/>
          </c:spPr>
          <c:marker>
            <c:symbol val="none"/>
          </c:marker>
          <c:val>
            <c:numRef>
              <c:f>'FP mod'!$E$77:$BM$77</c:f>
              <c:numCache>
                <c:formatCode>General</c:formatCode>
                <c:ptCount val="61"/>
                <c:pt idx="30">
                  <c:v>2.9</c:v>
                </c:pt>
                <c:pt idx="37">
                  <c:v>2.8</c:v>
                </c:pt>
                <c:pt idx="40">
                  <c:v>6.3</c:v>
                </c:pt>
                <c:pt idx="45">
                  <c:v>13.9</c:v>
                </c:pt>
                <c:pt idx="51">
                  <c:v>27.3</c:v>
                </c:pt>
                <c:pt idx="54">
                  <c:v>40.4</c:v>
                </c:pt>
                <c:pt idx="55">
                  <c:v>35.9</c:v>
                </c:pt>
                <c:pt idx="56">
                  <c:v>35.1</c:v>
                </c:pt>
                <c:pt idx="57">
                  <c:v>35.3211751208786</c:v>
                </c:pt>
                <c:pt idx="58">
                  <c:v>37.799999999999997</c:v>
                </c:pt>
                <c:pt idx="59">
                  <c:v>40.5</c:v>
                </c:pt>
              </c:numCache>
            </c:numRef>
          </c:val>
          <c:smooth val="0"/>
          <c:extLst>
            <c:ext xmlns:c16="http://schemas.microsoft.com/office/drawing/2014/chart" uri="{C3380CC4-5D6E-409C-BE32-E72D297353CC}">
              <c16:uniqueId val="{00000000-DACF-4184-B9B4-6EB24EB76A51}"/>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'FP mod'!$BB$276</c:f>
              <c:strCache>
                <c:ptCount val="1"/>
                <c:pt idx="0">
                  <c:v>Ratio</c:v>
                </c:pt>
              </c:strCache>
            </c:strRef>
          </c:tx>
          <c:spPr>
            <a:ln w="28575" cap="rnd">
              <a:solidFill>
                <a:schemeClr val="accent1"/>
              </a:solidFill>
              <a:round/>
            </a:ln>
            <a:effectLst/>
          </c:spPr>
          <c:marker>
            <c:symbol val="none"/>
          </c:marker>
          <c:val>
            <c:numRef>
              <c:f>'FP mod'!$BC$276:$BL$276</c:f>
              <c:numCache>
                <c:formatCode>0.0%</c:formatCode>
                <c:ptCount val="10"/>
                <c:pt idx="5">
                  <c:v>0.88861386138613863</c:v>
                </c:pt>
                <c:pt idx="6">
                  <c:v>0.97771587743732602</c:v>
                </c:pt>
                <c:pt idx="7">
                  <c:v>1.0063012854951168</c:v>
                </c:pt>
                <c:pt idx="8">
                  <c:v>1.0701795699219572</c:v>
                </c:pt>
                <c:pt idx="9">
                  <c:v>1.0714285714285716</c:v>
                </c:pt>
              </c:numCache>
            </c:numRef>
          </c:val>
          <c:smooth val="0"/>
          <c:extLst>
            <c:ext xmlns:c16="http://schemas.microsoft.com/office/drawing/2014/chart" uri="{C3380CC4-5D6E-409C-BE32-E72D297353CC}">
              <c16:uniqueId val="{00000000-1B3B-4461-A821-07C9E91241E5}"/>
            </c:ext>
          </c:extLst>
        </c:ser>
        <c:ser>
          <c:idx val="1"/>
          <c:order val="1"/>
          <c:tx>
            <c:strRef>
              <c:f>'FP mod'!$BB$277</c:f>
              <c:strCache>
                <c:ptCount val="1"/>
              </c:strCache>
            </c:strRef>
          </c:tx>
          <c:spPr>
            <a:ln w="28575" cap="rnd">
              <a:solidFill>
                <a:schemeClr val="accent2"/>
              </a:solidFill>
              <a:round/>
            </a:ln>
            <a:effectLst/>
          </c:spPr>
          <c:marker>
            <c:symbol val="none"/>
          </c:marker>
          <c:val>
            <c:numRef>
              <c:f>'FP mod'!$BC$277:$BL$277</c:f>
              <c:numCache>
                <c:formatCode>General</c:formatCode>
                <c:ptCount val="10"/>
                <c:pt idx="6" formatCode="0.0%">
                  <c:v>0.91393442622950827</c:v>
                </c:pt>
                <c:pt idx="7" formatCode="0.0%">
                  <c:v>1.0190226538372062</c:v>
                </c:pt>
                <c:pt idx="8" formatCode="0.0%">
                  <c:v>0.90652235518512225</c:v>
                </c:pt>
              </c:numCache>
            </c:numRef>
          </c:val>
          <c:smooth val="0"/>
          <c:extLst>
            <c:ext xmlns:c16="http://schemas.microsoft.com/office/drawing/2014/chart" uri="{C3380CC4-5D6E-409C-BE32-E72D297353CC}">
              <c16:uniqueId val="{00000001-2BCE-4A96-931C-79D3CAC65A1E}"/>
            </c:ext>
          </c:extLst>
        </c:ser>
        <c:ser>
          <c:idx val="2"/>
          <c:order val="2"/>
          <c:tx>
            <c:strRef>
              <c:f>'FP mod'!$BB$278</c:f>
              <c:strCache>
                <c:ptCount val="1"/>
              </c:strCache>
            </c:strRef>
          </c:tx>
          <c:spPr>
            <a:ln w="28575" cap="rnd">
              <a:solidFill>
                <a:schemeClr val="accent3"/>
              </a:solidFill>
              <a:round/>
            </a:ln>
            <a:effectLst/>
          </c:spPr>
          <c:marker>
            <c:symbol val="none"/>
          </c:marker>
          <c:val>
            <c:numRef>
              <c:f>'FP mod'!$BC$278:$BL$278</c:f>
              <c:numCache>
                <c:formatCode>General</c:formatCode>
                <c:ptCount val="10"/>
                <c:pt idx="6" formatCode="0.0%">
                  <c:v>0.95190713101160873</c:v>
                </c:pt>
                <c:pt idx="7" formatCode="0.0%">
                  <c:v>1.0112435592586813</c:v>
                </c:pt>
                <c:pt idx="8" formatCode="0.0%">
                  <c:v>1.006109352660109</c:v>
                </c:pt>
              </c:numCache>
            </c:numRef>
          </c:val>
          <c:smooth val="0"/>
          <c:extLst>
            <c:ext xmlns:c16="http://schemas.microsoft.com/office/drawing/2014/chart" uri="{C3380CC4-5D6E-409C-BE32-E72D297353CC}">
              <c16:uniqueId val="{00000002-2BCE-4A96-931C-79D3CAC65A1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'[1]HIV Incid'!$A$77:$D$77</c:f>
              <c:strCache>
                <c:ptCount val="1"/>
                <c:pt idx="0">
                  <c:v>Ethiopia ETH Incidence of HIV, ages 15-49 (per 1,000 uninfected population ages 15-49) SH.HIV.INCD.ZS</c:v>
                </c:pt>
              </c:strCache>
            </c:strRef>
          </c:tx>
          <c:spPr>
            <a:ln w="28575" cap="rnd">
              <a:solidFill>
                <a:schemeClr val="accent1"/>
              </a:solidFill>
              <a:round/>
            </a:ln>
            <a:effectLst/>
          </c:spPr>
          <c:marker>
            <c:symbol val="none"/>
          </c:marker>
          <c:val>
            <c:numRef>
              <c:f>'[1]HIV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26" Type="http://schemas.openxmlformats.org/officeDocument/2006/relationships/image" Target="../media/image49.png"/><Relationship Id="rId21" Type="http://schemas.openxmlformats.org/officeDocument/2006/relationships/image" Target="../media/image44.png"/><Relationship Id="rId42" Type="http://schemas.openxmlformats.org/officeDocument/2006/relationships/image" Target="../media/image65.png"/><Relationship Id="rId47" Type="http://schemas.openxmlformats.org/officeDocument/2006/relationships/image" Target="../media/image70.png"/><Relationship Id="rId63" Type="http://schemas.openxmlformats.org/officeDocument/2006/relationships/image" Target="../media/image86.png"/><Relationship Id="rId68" Type="http://schemas.openxmlformats.org/officeDocument/2006/relationships/image" Target="../media/image91.png"/><Relationship Id="rId2" Type="http://schemas.openxmlformats.org/officeDocument/2006/relationships/image" Target="../media/image25.png"/><Relationship Id="rId16" Type="http://schemas.openxmlformats.org/officeDocument/2006/relationships/image" Target="../media/image39.png"/><Relationship Id="rId29" Type="http://schemas.openxmlformats.org/officeDocument/2006/relationships/image" Target="../media/image52.png"/><Relationship Id="rId11" Type="http://schemas.openxmlformats.org/officeDocument/2006/relationships/image" Target="../media/image34.png"/><Relationship Id="rId24" Type="http://schemas.openxmlformats.org/officeDocument/2006/relationships/image" Target="../media/image47.png"/><Relationship Id="rId32" Type="http://schemas.openxmlformats.org/officeDocument/2006/relationships/image" Target="../media/image55.png"/><Relationship Id="rId37" Type="http://schemas.openxmlformats.org/officeDocument/2006/relationships/image" Target="../media/image60.png"/><Relationship Id="rId40" Type="http://schemas.openxmlformats.org/officeDocument/2006/relationships/image" Target="../media/image63.png"/><Relationship Id="rId45" Type="http://schemas.openxmlformats.org/officeDocument/2006/relationships/image" Target="../media/image68.png"/><Relationship Id="rId53" Type="http://schemas.openxmlformats.org/officeDocument/2006/relationships/image" Target="../media/image76.png"/><Relationship Id="rId58" Type="http://schemas.openxmlformats.org/officeDocument/2006/relationships/image" Target="../media/image81.png"/><Relationship Id="rId66" Type="http://schemas.openxmlformats.org/officeDocument/2006/relationships/image" Target="../media/image89.png"/><Relationship Id="rId74" Type="http://schemas.openxmlformats.org/officeDocument/2006/relationships/image" Target="../media/image97.png"/><Relationship Id="rId5" Type="http://schemas.openxmlformats.org/officeDocument/2006/relationships/image" Target="../media/image28.png"/><Relationship Id="rId61" Type="http://schemas.openxmlformats.org/officeDocument/2006/relationships/image" Target="../media/image84.png"/><Relationship Id="rId19" Type="http://schemas.openxmlformats.org/officeDocument/2006/relationships/image" Target="../media/image42.png"/><Relationship Id="rId14" Type="http://schemas.openxmlformats.org/officeDocument/2006/relationships/image" Target="../media/image37.png"/><Relationship Id="rId22" Type="http://schemas.openxmlformats.org/officeDocument/2006/relationships/image" Target="../media/image45.png"/><Relationship Id="rId27" Type="http://schemas.openxmlformats.org/officeDocument/2006/relationships/image" Target="../media/image50.png"/><Relationship Id="rId30" Type="http://schemas.openxmlformats.org/officeDocument/2006/relationships/image" Target="../media/image53.png"/><Relationship Id="rId35" Type="http://schemas.openxmlformats.org/officeDocument/2006/relationships/image" Target="../media/image58.png"/><Relationship Id="rId43" Type="http://schemas.openxmlformats.org/officeDocument/2006/relationships/image" Target="../media/image66.png"/><Relationship Id="rId48" Type="http://schemas.openxmlformats.org/officeDocument/2006/relationships/image" Target="../media/image71.png"/><Relationship Id="rId56" Type="http://schemas.openxmlformats.org/officeDocument/2006/relationships/image" Target="../media/image79.png"/><Relationship Id="rId64" Type="http://schemas.openxmlformats.org/officeDocument/2006/relationships/image" Target="../media/image87.png"/><Relationship Id="rId69" Type="http://schemas.openxmlformats.org/officeDocument/2006/relationships/image" Target="../media/image92.png"/><Relationship Id="rId8" Type="http://schemas.openxmlformats.org/officeDocument/2006/relationships/image" Target="../media/image31.png"/><Relationship Id="rId51" Type="http://schemas.openxmlformats.org/officeDocument/2006/relationships/image" Target="../media/image74.png"/><Relationship Id="rId72" Type="http://schemas.openxmlformats.org/officeDocument/2006/relationships/image" Target="../media/image95.png"/><Relationship Id="rId3" Type="http://schemas.openxmlformats.org/officeDocument/2006/relationships/image" Target="../media/image26.png"/><Relationship Id="rId12" Type="http://schemas.openxmlformats.org/officeDocument/2006/relationships/image" Target="../media/image35.png"/><Relationship Id="rId17" Type="http://schemas.openxmlformats.org/officeDocument/2006/relationships/image" Target="../media/image40.png"/><Relationship Id="rId25" Type="http://schemas.openxmlformats.org/officeDocument/2006/relationships/image" Target="../media/image48.png"/><Relationship Id="rId33" Type="http://schemas.openxmlformats.org/officeDocument/2006/relationships/image" Target="../media/image56.png"/><Relationship Id="rId38" Type="http://schemas.openxmlformats.org/officeDocument/2006/relationships/image" Target="../media/image61.png"/><Relationship Id="rId46" Type="http://schemas.openxmlformats.org/officeDocument/2006/relationships/image" Target="../media/image69.png"/><Relationship Id="rId59" Type="http://schemas.openxmlformats.org/officeDocument/2006/relationships/image" Target="../media/image82.png"/><Relationship Id="rId67" Type="http://schemas.openxmlformats.org/officeDocument/2006/relationships/image" Target="../media/image90.png"/><Relationship Id="rId20" Type="http://schemas.openxmlformats.org/officeDocument/2006/relationships/image" Target="../media/image43.png"/><Relationship Id="rId41" Type="http://schemas.openxmlformats.org/officeDocument/2006/relationships/image" Target="../media/image64.png"/><Relationship Id="rId54" Type="http://schemas.openxmlformats.org/officeDocument/2006/relationships/image" Target="../media/image77.png"/><Relationship Id="rId62" Type="http://schemas.openxmlformats.org/officeDocument/2006/relationships/image" Target="../media/image85.png"/><Relationship Id="rId70" Type="http://schemas.openxmlformats.org/officeDocument/2006/relationships/image" Target="../media/image93.png"/><Relationship Id="rId75" Type="http://schemas.openxmlformats.org/officeDocument/2006/relationships/image" Target="../media/image98.png"/><Relationship Id="rId1" Type="http://schemas.openxmlformats.org/officeDocument/2006/relationships/image" Target="../media/image24.png"/><Relationship Id="rId6" Type="http://schemas.openxmlformats.org/officeDocument/2006/relationships/image" Target="../media/image29.png"/><Relationship Id="rId15" Type="http://schemas.openxmlformats.org/officeDocument/2006/relationships/image" Target="../media/image38.png"/><Relationship Id="rId23" Type="http://schemas.openxmlformats.org/officeDocument/2006/relationships/image" Target="../media/image46.png"/><Relationship Id="rId28" Type="http://schemas.openxmlformats.org/officeDocument/2006/relationships/image" Target="../media/image51.png"/><Relationship Id="rId36" Type="http://schemas.openxmlformats.org/officeDocument/2006/relationships/image" Target="../media/image59.png"/><Relationship Id="rId49" Type="http://schemas.openxmlformats.org/officeDocument/2006/relationships/image" Target="../media/image72.png"/><Relationship Id="rId57" Type="http://schemas.openxmlformats.org/officeDocument/2006/relationships/image" Target="../media/image80.png"/><Relationship Id="rId10" Type="http://schemas.openxmlformats.org/officeDocument/2006/relationships/image" Target="../media/image33.png"/><Relationship Id="rId31" Type="http://schemas.openxmlformats.org/officeDocument/2006/relationships/image" Target="../media/image54.png"/><Relationship Id="rId44" Type="http://schemas.openxmlformats.org/officeDocument/2006/relationships/image" Target="../media/image67.png"/><Relationship Id="rId52" Type="http://schemas.openxmlformats.org/officeDocument/2006/relationships/image" Target="../media/image75.png"/><Relationship Id="rId60" Type="http://schemas.openxmlformats.org/officeDocument/2006/relationships/image" Target="../media/image83.png"/><Relationship Id="rId65" Type="http://schemas.openxmlformats.org/officeDocument/2006/relationships/image" Target="../media/image88.png"/><Relationship Id="rId73" Type="http://schemas.openxmlformats.org/officeDocument/2006/relationships/image" Target="../media/image96.png"/><Relationship Id="rId4" Type="http://schemas.openxmlformats.org/officeDocument/2006/relationships/image" Target="../media/image27.png"/><Relationship Id="rId9" Type="http://schemas.openxmlformats.org/officeDocument/2006/relationships/image" Target="../media/image32.png"/><Relationship Id="rId13" Type="http://schemas.openxmlformats.org/officeDocument/2006/relationships/image" Target="../media/image36.png"/><Relationship Id="rId18" Type="http://schemas.openxmlformats.org/officeDocument/2006/relationships/image" Target="../media/image41.png"/><Relationship Id="rId39" Type="http://schemas.openxmlformats.org/officeDocument/2006/relationships/image" Target="../media/image62.png"/><Relationship Id="rId34" Type="http://schemas.openxmlformats.org/officeDocument/2006/relationships/image" Target="../media/image57.png"/><Relationship Id="rId50" Type="http://schemas.openxmlformats.org/officeDocument/2006/relationships/image" Target="../media/image73.png"/><Relationship Id="rId55" Type="http://schemas.openxmlformats.org/officeDocument/2006/relationships/image" Target="../media/image78.png"/><Relationship Id="rId7" Type="http://schemas.openxmlformats.org/officeDocument/2006/relationships/image" Target="../media/image30.png"/><Relationship Id="rId71" Type="http://schemas.openxmlformats.org/officeDocument/2006/relationships/image" Target="../media/image94.png"/></Relationships>
</file>

<file path=xl/drawings/_rels/drawing7.xml.rels><?xml version="1.0" encoding="UTF-8" standalone="yes"?>
<Relationships xmlns="http://schemas.openxmlformats.org/package/2006/relationships"><Relationship Id="rId13" Type="http://schemas.openxmlformats.org/officeDocument/2006/relationships/image" Target="../media/image111.png"/><Relationship Id="rId18" Type="http://schemas.openxmlformats.org/officeDocument/2006/relationships/image" Target="../media/image116.png"/><Relationship Id="rId26" Type="http://schemas.openxmlformats.org/officeDocument/2006/relationships/image" Target="../media/image124.png"/><Relationship Id="rId39" Type="http://schemas.openxmlformats.org/officeDocument/2006/relationships/image" Target="../media/image136.png"/><Relationship Id="rId21" Type="http://schemas.openxmlformats.org/officeDocument/2006/relationships/image" Target="../media/image119.png"/><Relationship Id="rId34" Type="http://schemas.openxmlformats.org/officeDocument/2006/relationships/image" Target="../media/image131.png"/><Relationship Id="rId42" Type="http://schemas.openxmlformats.org/officeDocument/2006/relationships/image" Target="../media/image139.png"/><Relationship Id="rId7" Type="http://schemas.openxmlformats.org/officeDocument/2006/relationships/image" Target="../media/image105.png"/><Relationship Id="rId2" Type="http://schemas.openxmlformats.org/officeDocument/2006/relationships/image" Target="../media/image100.png"/><Relationship Id="rId16" Type="http://schemas.openxmlformats.org/officeDocument/2006/relationships/image" Target="../media/image114.png"/><Relationship Id="rId20" Type="http://schemas.openxmlformats.org/officeDocument/2006/relationships/image" Target="../media/image118.png"/><Relationship Id="rId29" Type="http://schemas.openxmlformats.org/officeDocument/2006/relationships/image" Target="../media/image127.png"/><Relationship Id="rId41" Type="http://schemas.openxmlformats.org/officeDocument/2006/relationships/image" Target="../media/image138.png"/><Relationship Id="rId1" Type="http://schemas.openxmlformats.org/officeDocument/2006/relationships/image" Target="../media/image99.png"/><Relationship Id="rId6" Type="http://schemas.openxmlformats.org/officeDocument/2006/relationships/image" Target="../media/image104.png"/><Relationship Id="rId11" Type="http://schemas.openxmlformats.org/officeDocument/2006/relationships/image" Target="../media/image109.png"/><Relationship Id="rId24" Type="http://schemas.openxmlformats.org/officeDocument/2006/relationships/image" Target="../media/image122.png"/><Relationship Id="rId32" Type="http://schemas.openxmlformats.org/officeDocument/2006/relationships/image" Target="../media/image129.png"/><Relationship Id="rId37" Type="http://schemas.openxmlformats.org/officeDocument/2006/relationships/image" Target="../media/image134.png"/><Relationship Id="rId40" Type="http://schemas.openxmlformats.org/officeDocument/2006/relationships/image" Target="../media/image137.png"/><Relationship Id="rId5" Type="http://schemas.openxmlformats.org/officeDocument/2006/relationships/image" Target="../media/image103.png"/><Relationship Id="rId15" Type="http://schemas.openxmlformats.org/officeDocument/2006/relationships/image" Target="../media/image113.png"/><Relationship Id="rId23" Type="http://schemas.openxmlformats.org/officeDocument/2006/relationships/image" Target="../media/image121.png"/><Relationship Id="rId28" Type="http://schemas.openxmlformats.org/officeDocument/2006/relationships/image" Target="../media/image126.png"/><Relationship Id="rId36" Type="http://schemas.openxmlformats.org/officeDocument/2006/relationships/image" Target="../media/image133.png"/><Relationship Id="rId10" Type="http://schemas.openxmlformats.org/officeDocument/2006/relationships/image" Target="../media/image108.png"/><Relationship Id="rId19" Type="http://schemas.openxmlformats.org/officeDocument/2006/relationships/image" Target="../media/image117.png"/><Relationship Id="rId31" Type="http://schemas.openxmlformats.org/officeDocument/2006/relationships/image" Target="../media/image128.png"/><Relationship Id="rId4" Type="http://schemas.openxmlformats.org/officeDocument/2006/relationships/image" Target="../media/image102.png"/><Relationship Id="rId9" Type="http://schemas.openxmlformats.org/officeDocument/2006/relationships/image" Target="../media/image107.png"/><Relationship Id="rId14" Type="http://schemas.openxmlformats.org/officeDocument/2006/relationships/image" Target="../media/image112.png"/><Relationship Id="rId22" Type="http://schemas.openxmlformats.org/officeDocument/2006/relationships/image" Target="../media/image120.png"/><Relationship Id="rId27" Type="http://schemas.openxmlformats.org/officeDocument/2006/relationships/image" Target="../media/image125.png"/><Relationship Id="rId30" Type="http://schemas.openxmlformats.org/officeDocument/2006/relationships/image" Target="../media/image40.png"/><Relationship Id="rId35" Type="http://schemas.openxmlformats.org/officeDocument/2006/relationships/image" Target="../media/image132.png"/><Relationship Id="rId43" Type="http://schemas.openxmlformats.org/officeDocument/2006/relationships/image" Target="../media/image140.png"/><Relationship Id="rId8" Type="http://schemas.openxmlformats.org/officeDocument/2006/relationships/image" Target="../media/image106.png"/><Relationship Id="rId3" Type="http://schemas.openxmlformats.org/officeDocument/2006/relationships/image" Target="../media/image101.png"/><Relationship Id="rId12" Type="http://schemas.openxmlformats.org/officeDocument/2006/relationships/image" Target="../media/image110.png"/><Relationship Id="rId17" Type="http://schemas.openxmlformats.org/officeDocument/2006/relationships/image" Target="../media/image115.png"/><Relationship Id="rId25" Type="http://schemas.openxmlformats.org/officeDocument/2006/relationships/image" Target="../media/image123.png"/><Relationship Id="rId33" Type="http://schemas.openxmlformats.org/officeDocument/2006/relationships/image" Target="../media/image130.png"/><Relationship Id="rId38" Type="http://schemas.openxmlformats.org/officeDocument/2006/relationships/image" Target="../media/image135.png"/></Relationships>
</file>

<file path=xl/drawings/_rels/drawing8.xml.rels><?xml version="1.0" encoding="UTF-8" standalone="yes"?>
<Relationships xmlns="http://schemas.openxmlformats.org/package/2006/relationships"><Relationship Id="rId2" Type="http://schemas.openxmlformats.org/officeDocument/2006/relationships/image" Target="../media/image142.png"/><Relationship Id="rId1" Type="http://schemas.openxmlformats.org/officeDocument/2006/relationships/image" Target="../media/image141.png"/></Relationships>
</file>

<file path=xl/drawings/_rels/drawing9.xml.rels><?xml version="1.0" encoding="UTF-8" standalone="yes"?>
<Relationships xmlns="http://schemas.openxmlformats.org/package/2006/relationships"><Relationship Id="rId8" Type="http://schemas.openxmlformats.org/officeDocument/2006/relationships/image" Target="../media/image150.png"/><Relationship Id="rId3" Type="http://schemas.openxmlformats.org/officeDocument/2006/relationships/image" Target="../media/image145.png"/><Relationship Id="rId7" Type="http://schemas.openxmlformats.org/officeDocument/2006/relationships/image" Target="../media/image149.png"/><Relationship Id="rId2" Type="http://schemas.openxmlformats.org/officeDocument/2006/relationships/image" Target="../media/image144.png"/><Relationship Id="rId1" Type="http://schemas.openxmlformats.org/officeDocument/2006/relationships/image" Target="../media/image143.png"/><Relationship Id="rId6" Type="http://schemas.openxmlformats.org/officeDocument/2006/relationships/image" Target="../media/image148.png"/><Relationship Id="rId5" Type="http://schemas.openxmlformats.org/officeDocument/2006/relationships/image" Target="../media/image147.png"/><Relationship Id="rId10" Type="http://schemas.openxmlformats.org/officeDocument/2006/relationships/image" Target="../media/image152.png"/><Relationship Id="rId4" Type="http://schemas.openxmlformats.org/officeDocument/2006/relationships/image" Target="../media/image146.png"/><Relationship Id="rId9" Type="http://schemas.openxmlformats.org/officeDocument/2006/relationships/image" Target="../media/image151.png"/></Relationships>
</file>

<file path=xl/drawings/_rels/drawing10.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154.png"/><Relationship Id="rId1" Type="http://schemas.openxmlformats.org/officeDocument/2006/relationships/image" Target="../media/image153.png"/><Relationship Id="rId5" Type="http://schemas.openxmlformats.org/officeDocument/2006/relationships/image" Target="../media/image155.png"/><Relationship Id="rId4" Type="http://schemas.openxmlformats.org/officeDocument/2006/relationships/chart" Target="../charts/chart2.xml"/></Relationships>
</file>

<file path=xl/drawings/_rels/drawing11.xml.rels><?xml version="1.0" encoding="UTF-8" standalone="yes"?>
<Relationships xmlns="http://schemas.openxmlformats.org/package/2006/relationships"><Relationship Id="rId3" Type="http://schemas.openxmlformats.org/officeDocument/2006/relationships/image" Target="../media/image158.png"/><Relationship Id="rId2" Type="http://schemas.openxmlformats.org/officeDocument/2006/relationships/image" Target="../media/image157.png"/><Relationship Id="rId1" Type="http://schemas.openxmlformats.org/officeDocument/2006/relationships/image" Target="../media/image156.png"/></Relationships>
</file>

<file path=xl/drawings/_rels/drawing1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3.xml.rels><?xml version="1.0" encoding="UTF-8" standalone="yes"?>
<Relationships xmlns="http://schemas.openxmlformats.org/package/2006/relationships"><Relationship Id="rId8" Type="http://schemas.openxmlformats.org/officeDocument/2006/relationships/image" Target="../media/image166.png"/><Relationship Id="rId3" Type="http://schemas.openxmlformats.org/officeDocument/2006/relationships/image" Target="../media/image161.png"/><Relationship Id="rId7" Type="http://schemas.openxmlformats.org/officeDocument/2006/relationships/image" Target="../media/image165.png"/><Relationship Id="rId12" Type="http://schemas.openxmlformats.org/officeDocument/2006/relationships/chart" Target="../charts/chart4.xml"/><Relationship Id="rId2" Type="http://schemas.openxmlformats.org/officeDocument/2006/relationships/image" Target="../media/image160.png"/><Relationship Id="rId1" Type="http://schemas.openxmlformats.org/officeDocument/2006/relationships/image" Target="../media/image159.png"/><Relationship Id="rId6" Type="http://schemas.openxmlformats.org/officeDocument/2006/relationships/image" Target="../media/image164.png"/><Relationship Id="rId11" Type="http://schemas.openxmlformats.org/officeDocument/2006/relationships/image" Target="../media/image169.png"/><Relationship Id="rId5" Type="http://schemas.openxmlformats.org/officeDocument/2006/relationships/image" Target="../media/image163.png"/><Relationship Id="rId10" Type="http://schemas.openxmlformats.org/officeDocument/2006/relationships/image" Target="../media/image168.png"/><Relationship Id="rId4" Type="http://schemas.openxmlformats.org/officeDocument/2006/relationships/image" Target="../media/image162.png"/><Relationship Id="rId9" Type="http://schemas.openxmlformats.org/officeDocument/2006/relationships/image" Target="../media/image167.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77.png"/><Relationship Id="rId13" Type="http://schemas.openxmlformats.org/officeDocument/2006/relationships/image" Target="../media/image181.png"/><Relationship Id="rId18" Type="http://schemas.openxmlformats.org/officeDocument/2006/relationships/image" Target="../media/image186.png"/><Relationship Id="rId3" Type="http://schemas.openxmlformats.org/officeDocument/2006/relationships/image" Target="../media/image172.png"/><Relationship Id="rId7" Type="http://schemas.openxmlformats.org/officeDocument/2006/relationships/image" Target="../media/image176.png"/><Relationship Id="rId12" Type="http://schemas.openxmlformats.org/officeDocument/2006/relationships/image" Target="../media/image180.png"/><Relationship Id="rId17" Type="http://schemas.openxmlformats.org/officeDocument/2006/relationships/image" Target="../media/image185.png"/><Relationship Id="rId2" Type="http://schemas.openxmlformats.org/officeDocument/2006/relationships/image" Target="../media/image171.png"/><Relationship Id="rId16" Type="http://schemas.openxmlformats.org/officeDocument/2006/relationships/image" Target="../media/image184.png"/><Relationship Id="rId1" Type="http://schemas.openxmlformats.org/officeDocument/2006/relationships/image" Target="../media/image170.png"/><Relationship Id="rId6" Type="http://schemas.openxmlformats.org/officeDocument/2006/relationships/image" Target="../media/image175.png"/><Relationship Id="rId11" Type="http://schemas.openxmlformats.org/officeDocument/2006/relationships/image" Target="../media/image179.png"/><Relationship Id="rId5" Type="http://schemas.openxmlformats.org/officeDocument/2006/relationships/image" Target="../media/image174.png"/><Relationship Id="rId15" Type="http://schemas.openxmlformats.org/officeDocument/2006/relationships/image" Target="../media/image183.png"/><Relationship Id="rId10" Type="http://schemas.openxmlformats.org/officeDocument/2006/relationships/image" Target="../media/image178.png"/><Relationship Id="rId4" Type="http://schemas.openxmlformats.org/officeDocument/2006/relationships/image" Target="../media/image173.png"/><Relationship Id="rId9" Type="http://schemas.openxmlformats.org/officeDocument/2006/relationships/image" Target="../media/image168.png"/><Relationship Id="rId14" Type="http://schemas.openxmlformats.org/officeDocument/2006/relationships/image" Target="../media/image182.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89.png"/><Relationship Id="rId2" Type="http://schemas.openxmlformats.org/officeDocument/2006/relationships/image" Target="../media/image188.png"/><Relationship Id="rId1" Type="http://schemas.openxmlformats.org/officeDocument/2006/relationships/image" Target="../media/image187.png"/><Relationship Id="rId5" Type="http://schemas.openxmlformats.org/officeDocument/2006/relationships/image" Target="../media/image191.png"/><Relationship Id="rId4" Type="http://schemas.openxmlformats.org/officeDocument/2006/relationships/image" Target="../media/image190.png"/></Relationships>
</file>

<file path=xl/drawings/_rels/drawing1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7.xml.rels><?xml version="1.0" encoding="UTF-8" standalone="yes"?>
<Relationships xmlns="http://schemas.openxmlformats.org/package/2006/relationships"><Relationship Id="rId1" Type="http://schemas.openxmlformats.org/officeDocument/2006/relationships/image" Target="../media/image192.GIF"/></Relationships>
</file>

<file path=xl/drawings/_rels/drawing18.xml.rels><?xml version="1.0" encoding="UTF-8" standalone="yes"?>
<Relationships xmlns="http://schemas.openxmlformats.org/package/2006/relationships"><Relationship Id="rId1" Type="http://schemas.openxmlformats.org/officeDocument/2006/relationships/image" Target="../media/image192.GIF"/></Relationships>
</file>

<file path=xl/drawings/_rels/drawing19.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23.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4" Type="http://schemas.openxmlformats.org/officeDocument/2006/relationships/chart" Target="../charts/chart17.xml"/></Relationships>
</file>

<file path=xl/drawings/_rels/drawing24.xml.rels><?xml version="1.0" encoding="UTF-8" standalone="yes"?>
<Relationships xmlns="http://schemas.openxmlformats.org/package/2006/relationships"><Relationship Id="rId3" Type="http://schemas.openxmlformats.org/officeDocument/2006/relationships/image" Target="../media/image193.png"/><Relationship Id="rId2" Type="http://schemas.openxmlformats.org/officeDocument/2006/relationships/chart" Target="../charts/chart19.xml"/><Relationship Id="rId1" Type="http://schemas.openxmlformats.org/officeDocument/2006/relationships/chart" Target="../charts/chart18.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_rels/drawing30.xml.rels><?xml version="1.0" encoding="UTF-8" standalone="yes"?>
<Relationships xmlns="http://schemas.openxmlformats.org/package/2006/relationships"><Relationship Id="rId2" Type="http://schemas.openxmlformats.org/officeDocument/2006/relationships/chart" Target="../charts/chart31.xml"/><Relationship Id="rId1" Type="http://schemas.openxmlformats.org/officeDocument/2006/relationships/chart" Target="../charts/chart30.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33.xml"/><Relationship Id="rId1"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editAs="oneCell">
    <xdr:from>
      <xdr:col>8</xdr:col>
      <xdr:colOff>1</xdr:colOff>
      <xdr:row>39</xdr:row>
      <xdr:rowOff>142875</xdr:rowOff>
    </xdr:from>
    <xdr:to>
      <xdr:col>17</xdr:col>
      <xdr:colOff>292101</xdr:colOff>
      <xdr:row>42</xdr:row>
      <xdr:rowOff>125437</xdr:rowOff>
    </xdr:to>
    <xdr:pic>
      <xdr:nvPicPr>
        <xdr:cNvPr id="2" name="Picture 1">
          <a:extLst>
            <a:ext uri="{FF2B5EF4-FFF2-40B4-BE49-F238E27FC236}">
              <a16:creationId xmlns:a16="http://schemas.microsoft.com/office/drawing/2014/main" id="{7BCC138E-3836-4021-82DE-DAE7CFC138E5}"/>
            </a:ext>
          </a:extLst>
        </xdr:cNvPr>
        <xdr:cNvPicPr>
          <a:picLocks noChangeAspect="1"/>
        </xdr:cNvPicPr>
      </xdr:nvPicPr>
      <xdr:blipFill>
        <a:blip xmlns:r="http://schemas.openxmlformats.org/officeDocument/2006/relationships" r:embed="rId1"/>
        <a:stretch>
          <a:fillRect/>
        </a:stretch>
      </xdr:blipFill>
      <xdr:spPr>
        <a:xfrm>
          <a:off x="8597901" y="5667375"/>
          <a:ext cx="5778500" cy="535012"/>
        </a:xfrm>
        <a:prstGeom prst="rect">
          <a:avLst/>
        </a:prstGeom>
      </xdr:spPr>
    </xdr:pic>
    <xdr:clientData/>
  </xdr:twoCellAnchor>
  <xdr:twoCellAnchor editAs="oneCell">
    <xdr:from>
      <xdr:col>7</xdr:col>
      <xdr:colOff>523875</xdr:colOff>
      <xdr:row>38</xdr:row>
      <xdr:rowOff>28575</xdr:rowOff>
    </xdr:from>
    <xdr:to>
      <xdr:col>16</xdr:col>
      <xdr:colOff>295275</xdr:colOff>
      <xdr:row>39</xdr:row>
      <xdr:rowOff>170927</xdr:rowOff>
    </xdr:to>
    <xdr:pic>
      <xdr:nvPicPr>
        <xdr:cNvPr id="3" name="Picture 2">
          <a:extLst>
            <a:ext uri="{FF2B5EF4-FFF2-40B4-BE49-F238E27FC236}">
              <a16:creationId xmlns:a16="http://schemas.microsoft.com/office/drawing/2014/main" id="{FD38D057-B578-4047-B4F9-671A535EE85F}"/>
            </a:ext>
          </a:extLst>
        </xdr:cNvPr>
        <xdr:cNvPicPr>
          <a:picLocks noChangeAspect="1"/>
        </xdr:cNvPicPr>
      </xdr:nvPicPr>
      <xdr:blipFill>
        <a:blip xmlns:r="http://schemas.openxmlformats.org/officeDocument/2006/relationships" r:embed="rId2"/>
        <a:stretch>
          <a:fillRect/>
        </a:stretch>
      </xdr:blipFill>
      <xdr:spPr>
        <a:xfrm>
          <a:off x="8512175" y="5368925"/>
          <a:ext cx="5257800" cy="3265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9</xdr:col>
      <xdr:colOff>218438</xdr:colOff>
      <xdr:row>47</xdr:row>
      <xdr:rowOff>18211</xdr:rowOff>
    </xdr:to>
    <xdr:pic>
      <xdr:nvPicPr>
        <xdr:cNvPr id="2" name="Picture 1">
          <a:extLst>
            <a:ext uri="{FF2B5EF4-FFF2-40B4-BE49-F238E27FC236}">
              <a16:creationId xmlns:a16="http://schemas.microsoft.com/office/drawing/2014/main" id="{EBD779BF-BDD2-46CF-A691-1E84D9401B2F}"/>
            </a:ext>
          </a:extLst>
        </xdr:cNvPr>
        <xdr:cNvPicPr>
          <a:picLocks noChangeAspect="1"/>
        </xdr:cNvPicPr>
      </xdr:nvPicPr>
      <xdr:blipFill>
        <a:blip xmlns:r="http://schemas.openxmlformats.org/officeDocument/2006/relationships" r:embed="rId1"/>
        <a:stretch>
          <a:fillRect/>
        </a:stretch>
      </xdr:blipFill>
      <xdr:spPr>
        <a:xfrm>
          <a:off x="609600" y="1809750"/>
          <a:ext cx="5095238" cy="671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683018</xdr:colOff>
      <xdr:row>14</xdr:row>
      <xdr:rowOff>120740</xdr:rowOff>
    </xdr:to>
    <xdr:pic>
      <xdr:nvPicPr>
        <xdr:cNvPr id="2" name="Picture 1">
          <a:extLst>
            <a:ext uri="{FF2B5EF4-FFF2-40B4-BE49-F238E27FC236}">
              <a16:creationId xmlns:a16="http://schemas.microsoft.com/office/drawing/2014/main" id="{573A261E-6ED3-45EF-9ED3-E94606FC9E1D}"/>
            </a:ext>
          </a:extLst>
        </xdr:cNvPr>
        <xdr:cNvPicPr>
          <a:picLocks noChangeAspect="1"/>
        </xdr:cNvPicPr>
      </xdr:nvPicPr>
      <xdr:blipFill>
        <a:blip xmlns:r="http://schemas.openxmlformats.org/officeDocument/2006/relationships" r:embed="rId1"/>
        <a:stretch>
          <a:fillRect/>
        </a:stretch>
      </xdr:blipFill>
      <xdr:spPr>
        <a:xfrm>
          <a:off x="609600" y="904875"/>
          <a:ext cx="7642618" cy="1752690"/>
        </a:xfrm>
        <a:prstGeom prst="rect">
          <a:avLst/>
        </a:prstGeom>
      </xdr:spPr>
    </xdr:pic>
    <xdr:clientData/>
  </xdr:twoCellAnchor>
  <xdr:twoCellAnchor editAs="oneCell">
    <xdr:from>
      <xdr:col>1</xdr:col>
      <xdr:colOff>9525</xdr:colOff>
      <xdr:row>31</xdr:row>
      <xdr:rowOff>152400</xdr:rowOff>
    </xdr:from>
    <xdr:to>
      <xdr:col>8</xdr:col>
      <xdr:colOff>568325</xdr:colOff>
      <xdr:row>38</xdr:row>
      <xdr:rowOff>54144</xdr:rowOff>
    </xdr:to>
    <xdr:pic>
      <xdr:nvPicPr>
        <xdr:cNvPr id="3" name="Picture 2">
          <a:extLst>
            <a:ext uri="{FF2B5EF4-FFF2-40B4-BE49-F238E27FC236}">
              <a16:creationId xmlns:a16="http://schemas.microsoft.com/office/drawing/2014/main" id="{BB27313C-27A7-4A33-935E-B207E5044BC7}"/>
            </a:ext>
          </a:extLst>
        </xdr:cNvPr>
        <xdr:cNvPicPr>
          <a:picLocks noChangeAspect="1"/>
        </xdr:cNvPicPr>
      </xdr:nvPicPr>
      <xdr:blipFill>
        <a:blip xmlns:r="http://schemas.openxmlformats.org/officeDocument/2006/relationships" r:embed="rId2"/>
        <a:stretch>
          <a:fillRect/>
        </a:stretch>
      </xdr:blipFill>
      <xdr:spPr>
        <a:xfrm>
          <a:off x="619125" y="5762625"/>
          <a:ext cx="4826000" cy="1168569"/>
        </a:xfrm>
        <a:prstGeom prst="rect">
          <a:avLst/>
        </a:prstGeom>
      </xdr:spPr>
    </xdr:pic>
    <xdr:clientData/>
  </xdr:twoCellAnchor>
  <xdr:twoCellAnchor editAs="oneCell">
    <xdr:from>
      <xdr:col>1</xdr:col>
      <xdr:colOff>0</xdr:colOff>
      <xdr:row>16</xdr:row>
      <xdr:rowOff>0</xdr:rowOff>
    </xdr:from>
    <xdr:to>
      <xdr:col>9</xdr:col>
      <xdr:colOff>600356</xdr:colOff>
      <xdr:row>30</xdr:row>
      <xdr:rowOff>162063</xdr:rowOff>
    </xdr:to>
    <xdr:pic>
      <xdr:nvPicPr>
        <xdr:cNvPr id="4" name="Picture 3">
          <a:extLst>
            <a:ext uri="{FF2B5EF4-FFF2-40B4-BE49-F238E27FC236}">
              <a16:creationId xmlns:a16="http://schemas.microsoft.com/office/drawing/2014/main" id="{A97F1932-5AFA-4E1F-86D1-D21FB3F91E18}"/>
            </a:ext>
          </a:extLst>
        </xdr:cNvPr>
        <xdr:cNvPicPr>
          <a:picLocks noChangeAspect="1"/>
        </xdr:cNvPicPr>
      </xdr:nvPicPr>
      <xdr:blipFill>
        <a:blip xmlns:r="http://schemas.openxmlformats.org/officeDocument/2006/relationships" r:embed="rId3"/>
        <a:stretch>
          <a:fillRect/>
        </a:stretch>
      </xdr:blipFill>
      <xdr:spPr>
        <a:xfrm>
          <a:off x="609600" y="2895600"/>
          <a:ext cx="5473981" cy="2692538"/>
        </a:xfrm>
        <a:prstGeom prst="rect">
          <a:avLst/>
        </a:prstGeom>
      </xdr:spPr>
    </xdr:pic>
    <xdr:clientData/>
  </xdr:twoCellAnchor>
  <xdr:twoCellAnchor editAs="oneCell">
    <xdr:from>
      <xdr:col>1</xdr:col>
      <xdr:colOff>34925</xdr:colOff>
      <xdr:row>39</xdr:row>
      <xdr:rowOff>19050</xdr:rowOff>
    </xdr:from>
    <xdr:to>
      <xdr:col>10</xdr:col>
      <xdr:colOff>16156</xdr:colOff>
      <xdr:row>52</xdr:row>
      <xdr:rowOff>171582</xdr:rowOff>
    </xdr:to>
    <xdr:pic>
      <xdr:nvPicPr>
        <xdr:cNvPr id="5" name="Picture 4">
          <a:extLst>
            <a:ext uri="{FF2B5EF4-FFF2-40B4-BE49-F238E27FC236}">
              <a16:creationId xmlns:a16="http://schemas.microsoft.com/office/drawing/2014/main" id="{F5D5752E-9AA7-4F6D-90AA-EC0FE2C1F3FB}"/>
            </a:ext>
          </a:extLst>
        </xdr:cNvPr>
        <xdr:cNvPicPr>
          <a:picLocks noChangeAspect="1"/>
        </xdr:cNvPicPr>
      </xdr:nvPicPr>
      <xdr:blipFill>
        <a:blip xmlns:r="http://schemas.openxmlformats.org/officeDocument/2006/relationships" r:embed="rId4"/>
        <a:stretch>
          <a:fillRect/>
        </a:stretch>
      </xdr:blipFill>
      <xdr:spPr>
        <a:xfrm>
          <a:off x="644525" y="7077075"/>
          <a:ext cx="5467631" cy="2562357"/>
        </a:xfrm>
        <a:prstGeom prst="rect">
          <a:avLst/>
        </a:prstGeom>
      </xdr:spPr>
    </xdr:pic>
    <xdr:clientData/>
  </xdr:twoCellAnchor>
  <xdr:twoCellAnchor editAs="oneCell">
    <xdr:from>
      <xdr:col>10</xdr:col>
      <xdr:colOff>25400</xdr:colOff>
      <xdr:row>39</xdr:row>
      <xdr:rowOff>38100</xdr:rowOff>
    </xdr:from>
    <xdr:to>
      <xdr:col>16</xdr:col>
      <xdr:colOff>581307</xdr:colOff>
      <xdr:row>51</xdr:row>
      <xdr:rowOff>158871</xdr:rowOff>
    </xdr:to>
    <xdr:pic>
      <xdr:nvPicPr>
        <xdr:cNvPr id="6" name="Picture 5">
          <a:extLst>
            <a:ext uri="{FF2B5EF4-FFF2-40B4-BE49-F238E27FC236}">
              <a16:creationId xmlns:a16="http://schemas.microsoft.com/office/drawing/2014/main" id="{6AA7AB8D-6C01-4DEA-8D66-7737235AF157}"/>
            </a:ext>
          </a:extLst>
        </xdr:cNvPr>
        <xdr:cNvPicPr>
          <a:picLocks noChangeAspect="1"/>
        </xdr:cNvPicPr>
      </xdr:nvPicPr>
      <xdr:blipFill>
        <a:blip xmlns:r="http://schemas.openxmlformats.org/officeDocument/2006/relationships" r:embed="rId5"/>
        <a:stretch>
          <a:fillRect/>
        </a:stretch>
      </xdr:blipFill>
      <xdr:spPr>
        <a:xfrm>
          <a:off x="6121400" y="7096125"/>
          <a:ext cx="5496207" cy="2349621"/>
        </a:xfrm>
        <a:prstGeom prst="rect">
          <a:avLst/>
        </a:prstGeom>
      </xdr:spPr>
    </xdr:pic>
    <xdr:clientData/>
  </xdr:twoCellAnchor>
  <xdr:twoCellAnchor editAs="oneCell">
    <xdr:from>
      <xdr:col>1</xdr:col>
      <xdr:colOff>38100</xdr:colOff>
      <xdr:row>53</xdr:row>
      <xdr:rowOff>142875</xdr:rowOff>
    </xdr:from>
    <xdr:to>
      <xdr:col>9</xdr:col>
      <xdr:colOff>578128</xdr:colOff>
      <xdr:row>70</xdr:row>
      <xdr:rowOff>74770</xdr:rowOff>
    </xdr:to>
    <xdr:pic>
      <xdr:nvPicPr>
        <xdr:cNvPr id="7" name="Picture 6">
          <a:extLst>
            <a:ext uri="{FF2B5EF4-FFF2-40B4-BE49-F238E27FC236}">
              <a16:creationId xmlns:a16="http://schemas.microsoft.com/office/drawing/2014/main" id="{9F33B8F7-4862-4653-BED8-5BD39177672C}"/>
            </a:ext>
          </a:extLst>
        </xdr:cNvPr>
        <xdr:cNvPicPr>
          <a:picLocks noChangeAspect="1"/>
        </xdr:cNvPicPr>
      </xdr:nvPicPr>
      <xdr:blipFill>
        <a:blip xmlns:r="http://schemas.openxmlformats.org/officeDocument/2006/relationships" r:embed="rId6"/>
        <a:stretch>
          <a:fillRect/>
        </a:stretch>
      </xdr:blipFill>
      <xdr:spPr>
        <a:xfrm>
          <a:off x="647700" y="9734550"/>
          <a:ext cx="5420003" cy="3067208"/>
        </a:xfrm>
        <a:prstGeom prst="rect">
          <a:avLst/>
        </a:prstGeom>
      </xdr:spPr>
    </xdr:pic>
    <xdr:clientData/>
  </xdr:twoCellAnchor>
  <xdr:twoCellAnchor editAs="oneCell">
    <xdr:from>
      <xdr:col>9</xdr:col>
      <xdr:colOff>590550</xdr:colOff>
      <xdr:row>52</xdr:row>
      <xdr:rowOff>171450</xdr:rowOff>
    </xdr:from>
    <xdr:to>
      <xdr:col>16</xdr:col>
      <xdr:colOff>435252</xdr:colOff>
      <xdr:row>66</xdr:row>
      <xdr:rowOff>33463</xdr:rowOff>
    </xdr:to>
    <xdr:pic>
      <xdr:nvPicPr>
        <xdr:cNvPr id="8" name="Picture 7">
          <a:extLst>
            <a:ext uri="{FF2B5EF4-FFF2-40B4-BE49-F238E27FC236}">
              <a16:creationId xmlns:a16="http://schemas.microsoft.com/office/drawing/2014/main" id="{A2A0A45C-BB44-41B0-AD17-E1A2EC591A69}"/>
            </a:ext>
          </a:extLst>
        </xdr:cNvPr>
        <xdr:cNvPicPr>
          <a:picLocks noChangeAspect="1"/>
        </xdr:cNvPicPr>
      </xdr:nvPicPr>
      <xdr:blipFill>
        <a:blip xmlns:r="http://schemas.openxmlformats.org/officeDocument/2006/relationships" r:embed="rId7"/>
        <a:stretch>
          <a:fillRect/>
        </a:stretch>
      </xdr:blipFill>
      <xdr:spPr>
        <a:xfrm>
          <a:off x="6076950" y="9582150"/>
          <a:ext cx="5400952" cy="2444876"/>
        </a:xfrm>
        <a:prstGeom prst="rect">
          <a:avLst/>
        </a:prstGeom>
      </xdr:spPr>
    </xdr:pic>
    <xdr:clientData/>
  </xdr:twoCellAnchor>
  <xdr:twoCellAnchor editAs="oneCell">
    <xdr:from>
      <xdr:col>15</xdr:col>
      <xdr:colOff>863600</xdr:colOff>
      <xdr:row>2</xdr:row>
      <xdr:rowOff>6350</xdr:rowOff>
    </xdr:from>
    <xdr:to>
      <xdr:col>23</xdr:col>
      <xdr:colOff>140970</xdr:colOff>
      <xdr:row>6</xdr:row>
      <xdr:rowOff>103000</xdr:rowOff>
    </xdr:to>
    <xdr:pic>
      <xdr:nvPicPr>
        <xdr:cNvPr id="9" name="Picture 8">
          <a:extLst>
            <a:ext uri="{FF2B5EF4-FFF2-40B4-BE49-F238E27FC236}">
              <a16:creationId xmlns:a16="http://schemas.microsoft.com/office/drawing/2014/main" id="{8AFE56CF-06D7-4A99-84FB-092535195781}"/>
            </a:ext>
          </a:extLst>
        </xdr:cNvPr>
        <xdr:cNvPicPr>
          <a:picLocks noChangeAspect="1"/>
        </xdr:cNvPicPr>
      </xdr:nvPicPr>
      <xdr:blipFill>
        <a:blip xmlns:r="http://schemas.openxmlformats.org/officeDocument/2006/relationships" r:embed="rId8"/>
        <a:stretch>
          <a:fillRect/>
        </a:stretch>
      </xdr:blipFill>
      <xdr:spPr>
        <a:xfrm>
          <a:off x="11049000" y="374650"/>
          <a:ext cx="5662295" cy="830075"/>
        </a:xfrm>
        <a:prstGeom prst="rect">
          <a:avLst/>
        </a:prstGeom>
      </xdr:spPr>
    </xdr:pic>
    <xdr:clientData/>
  </xdr:twoCellAnchor>
  <xdr:twoCellAnchor editAs="oneCell">
    <xdr:from>
      <xdr:col>16</xdr:col>
      <xdr:colOff>6350</xdr:colOff>
      <xdr:row>6</xdr:row>
      <xdr:rowOff>63500</xdr:rowOff>
    </xdr:from>
    <xdr:to>
      <xdr:col>23</xdr:col>
      <xdr:colOff>531503</xdr:colOff>
      <xdr:row>10</xdr:row>
      <xdr:rowOff>121533</xdr:rowOff>
    </xdr:to>
    <xdr:pic>
      <xdr:nvPicPr>
        <xdr:cNvPr id="10" name="Picture 9">
          <a:extLst>
            <a:ext uri="{FF2B5EF4-FFF2-40B4-BE49-F238E27FC236}">
              <a16:creationId xmlns:a16="http://schemas.microsoft.com/office/drawing/2014/main" id="{50936BAD-09D7-4934-9E28-6027B15F307A}"/>
            </a:ext>
          </a:extLst>
        </xdr:cNvPr>
        <xdr:cNvPicPr>
          <a:picLocks noChangeAspect="1"/>
        </xdr:cNvPicPr>
      </xdr:nvPicPr>
      <xdr:blipFill>
        <a:blip xmlns:r="http://schemas.openxmlformats.org/officeDocument/2006/relationships" r:embed="rId9"/>
        <a:stretch>
          <a:fillRect/>
        </a:stretch>
      </xdr:blipFill>
      <xdr:spPr>
        <a:xfrm>
          <a:off x="11061700" y="1168400"/>
          <a:ext cx="6036953" cy="797808"/>
        </a:xfrm>
        <a:prstGeom prst="rect">
          <a:avLst/>
        </a:prstGeom>
      </xdr:spPr>
    </xdr:pic>
    <xdr:clientData/>
  </xdr:twoCellAnchor>
  <xdr:twoCellAnchor editAs="oneCell">
    <xdr:from>
      <xdr:col>16</xdr:col>
      <xdr:colOff>1</xdr:colOff>
      <xdr:row>11</xdr:row>
      <xdr:rowOff>0</xdr:rowOff>
    </xdr:from>
    <xdr:to>
      <xdr:col>23</xdr:col>
      <xdr:colOff>561976</xdr:colOff>
      <xdr:row>13</xdr:row>
      <xdr:rowOff>102330</xdr:rowOff>
    </xdr:to>
    <xdr:pic>
      <xdr:nvPicPr>
        <xdr:cNvPr id="11" name="Picture 10">
          <a:extLst>
            <a:ext uri="{FF2B5EF4-FFF2-40B4-BE49-F238E27FC236}">
              <a16:creationId xmlns:a16="http://schemas.microsoft.com/office/drawing/2014/main" id="{88C16BB1-3EDE-4C6E-B38B-118F1FD3F836}"/>
            </a:ext>
          </a:extLst>
        </xdr:cNvPr>
        <xdr:cNvPicPr>
          <a:picLocks noChangeAspect="1"/>
        </xdr:cNvPicPr>
      </xdr:nvPicPr>
      <xdr:blipFill>
        <a:blip xmlns:r="http://schemas.openxmlformats.org/officeDocument/2006/relationships" r:embed="rId10"/>
        <a:stretch>
          <a:fillRect/>
        </a:stretch>
      </xdr:blipFill>
      <xdr:spPr>
        <a:xfrm>
          <a:off x="11055351" y="2025650"/>
          <a:ext cx="6070600" cy="467455"/>
        </a:xfrm>
        <a:prstGeom prst="rect">
          <a:avLst/>
        </a:prstGeom>
      </xdr:spPr>
    </xdr:pic>
    <xdr:clientData/>
  </xdr:twoCellAnchor>
  <xdr:twoCellAnchor editAs="oneCell">
    <xdr:from>
      <xdr:col>23</xdr:col>
      <xdr:colOff>556953</xdr:colOff>
      <xdr:row>2</xdr:row>
      <xdr:rowOff>0</xdr:rowOff>
    </xdr:from>
    <xdr:to>
      <xdr:col>30</xdr:col>
      <xdr:colOff>429839</xdr:colOff>
      <xdr:row>18</xdr:row>
      <xdr:rowOff>105607</xdr:rowOff>
    </xdr:to>
    <xdr:pic>
      <xdr:nvPicPr>
        <xdr:cNvPr id="12" name="Picture 11">
          <a:extLst>
            <a:ext uri="{FF2B5EF4-FFF2-40B4-BE49-F238E27FC236}">
              <a16:creationId xmlns:a16="http://schemas.microsoft.com/office/drawing/2014/main" id="{681A5280-D0BD-47C8-BA19-48ACDCA40EF1}"/>
            </a:ext>
          </a:extLst>
        </xdr:cNvPr>
        <xdr:cNvPicPr>
          <a:picLocks noChangeAspect="1"/>
        </xdr:cNvPicPr>
      </xdr:nvPicPr>
      <xdr:blipFill>
        <a:blip xmlns:r="http://schemas.openxmlformats.org/officeDocument/2006/relationships" r:embed="rId11"/>
        <a:stretch>
          <a:fillRect/>
        </a:stretch>
      </xdr:blipFill>
      <xdr:spPr>
        <a:xfrm>
          <a:off x="17124103" y="368300"/>
          <a:ext cx="4460761" cy="3055182"/>
        </a:xfrm>
        <a:prstGeom prst="rect">
          <a:avLst/>
        </a:prstGeom>
      </xdr:spPr>
    </xdr:pic>
    <xdr:clientData/>
  </xdr:twoCellAnchor>
  <xdr:twoCellAnchor editAs="oneCell">
    <xdr:from>
      <xdr:col>16</xdr:col>
      <xdr:colOff>1</xdr:colOff>
      <xdr:row>14</xdr:row>
      <xdr:rowOff>0</xdr:rowOff>
    </xdr:from>
    <xdr:to>
      <xdr:col>23</xdr:col>
      <xdr:colOff>409576</xdr:colOff>
      <xdr:row>17</xdr:row>
      <xdr:rowOff>66008</xdr:rowOff>
    </xdr:to>
    <xdr:pic>
      <xdr:nvPicPr>
        <xdr:cNvPr id="13" name="Picture 12">
          <a:extLst>
            <a:ext uri="{FF2B5EF4-FFF2-40B4-BE49-F238E27FC236}">
              <a16:creationId xmlns:a16="http://schemas.microsoft.com/office/drawing/2014/main" id="{4E511019-B34E-40B6-B3A3-1A2B4386AD37}"/>
            </a:ext>
          </a:extLst>
        </xdr:cNvPr>
        <xdr:cNvPicPr>
          <a:picLocks noChangeAspect="1"/>
        </xdr:cNvPicPr>
      </xdr:nvPicPr>
      <xdr:blipFill>
        <a:blip xmlns:r="http://schemas.openxmlformats.org/officeDocument/2006/relationships" r:embed="rId12"/>
        <a:stretch>
          <a:fillRect/>
        </a:stretch>
      </xdr:blipFill>
      <xdr:spPr>
        <a:xfrm>
          <a:off x="11055351" y="2578100"/>
          <a:ext cx="5918200" cy="62163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222660</xdr:colOff>
      <xdr:row>1</xdr:row>
      <xdr:rowOff>12700</xdr:rowOff>
    </xdr:from>
    <xdr:to>
      <xdr:col>15</xdr:col>
      <xdr:colOff>319263</xdr:colOff>
      <xdr:row>15</xdr:row>
      <xdr:rowOff>153219</xdr:rowOff>
    </xdr:to>
    <xdr:pic>
      <xdr:nvPicPr>
        <xdr:cNvPr id="2" name="Picture 1">
          <a:extLst>
            <a:ext uri="{FF2B5EF4-FFF2-40B4-BE49-F238E27FC236}">
              <a16:creationId xmlns:a16="http://schemas.microsoft.com/office/drawing/2014/main" id="{8777FBDC-AA40-4E65-83E3-F7C6DD5E70B4}"/>
            </a:ext>
          </a:extLst>
        </xdr:cNvPr>
        <xdr:cNvPicPr>
          <a:picLocks noChangeAspect="1"/>
        </xdr:cNvPicPr>
      </xdr:nvPicPr>
      <xdr:blipFill>
        <a:blip xmlns:r="http://schemas.openxmlformats.org/officeDocument/2006/relationships" r:embed="rId1"/>
        <a:stretch>
          <a:fillRect/>
        </a:stretch>
      </xdr:blipFill>
      <xdr:spPr>
        <a:xfrm>
          <a:off x="7290210" y="196850"/>
          <a:ext cx="3744678" cy="27186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63500</xdr:colOff>
      <xdr:row>2</xdr:row>
      <xdr:rowOff>27975</xdr:rowOff>
    </xdr:from>
    <xdr:to>
      <xdr:col>7</xdr:col>
      <xdr:colOff>222250</xdr:colOff>
      <xdr:row>16</xdr:row>
      <xdr:rowOff>59805</xdr:rowOff>
    </xdr:to>
    <xdr:pic>
      <xdr:nvPicPr>
        <xdr:cNvPr id="2" name="Picture 1">
          <a:extLst>
            <a:ext uri="{FF2B5EF4-FFF2-40B4-BE49-F238E27FC236}">
              <a16:creationId xmlns:a16="http://schemas.microsoft.com/office/drawing/2014/main" id="{9A562D18-DDE8-4960-96DF-8FC2D8939BA8}"/>
            </a:ext>
          </a:extLst>
        </xdr:cNvPr>
        <xdr:cNvPicPr>
          <a:picLocks noChangeAspect="1"/>
        </xdr:cNvPicPr>
      </xdr:nvPicPr>
      <xdr:blipFill>
        <a:blip xmlns:r="http://schemas.openxmlformats.org/officeDocument/2006/relationships" r:embed="rId1"/>
        <a:stretch>
          <a:fillRect/>
        </a:stretch>
      </xdr:blipFill>
      <xdr:spPr>
        <a:xfrm>
          <a:off x="673100" y="396275"/>
          <a:ext cx="3816350" cy="2609930"/>
        </a:xfrm>
        <a:prstGeom prst="rect">
          <a:avLst/>
        </a:prstGeom>
      </xdr:spPr>
    </xdr:pic>
    <xdr:clientData/>
  </xdr:twoCellAnchor>
  <xdr:twoCellAnchor editAs="oneCell">
    <xdr:from>
      <xdr:col>1</xdr:col>
      <xdr:colOff>0</xdr:colOff>
      <xdr:row>19</xdr:row>
      <xdr:rowOff>0</xdr:rowOff>
    </xdr:from>
    <xdr:to>
      <xdr:col>9</xdr:col>
      <xdr:colOff>78752</xdr:colOff>
      <xdr:row>24</xdr:row>
      <xdr:rowOff>117345</xdr:rowOff>
    </xdr:to>
    <xdr:pic>
      <xdr:nvPicPr>
        <xdr:cNvPr id="3" name="Picture 2">
          <a:extLst>
            <a:ext uri="{FF2B5EF4-FFF2-40B4-BE49-F238E27FC236}">
              <a16:creationId xmlns:a16="http://schemas.microsoft.com/office/drawing/2014/main" id="{CFE95DFC-17C4-4E62-8DBF-865D2EBD58B0}"/>
            </a:ext>
          </a:extLst>
        </xdr:cNvPr>
        <xdr:cNvPicPr>
          <a:picLocks noChangeAspect="1"/>
        </xdr:cNvPicPr>
      </xdr:nvPicPr>
      <xdr:blipFill>
        <a:blip xmlns:r="http://schemas.openxmlformats.org/officeDocument/2006/relationships" r:embed="rId2"/>
        <a:stretch>
          <a:fillRect/>
        </a:stretch>
      </xdr:blipFill>
      <xdr:spPr>
        <a:xfrm>
          <a:off x="609600" y="3498850"/>
          <a:ext cx="4980952" cy="1038095"/>
        </a:xfrm>
        <a:prstGeom prst="rect">
          <a:avLst/>
        </a:prstGeom>
      </xdr:spPr>
    </xdr:pic>
    <xdr:clientData/>
  </xdr:twoCellAnchor>
  <xdr:twoCellAnchor editAs="oneCell">
    <xdr:from>
      <xdr:col>1</xdr:col>
      <xdr:colOff>6350</xdr:colOff>
      <xdr:row>28</xdr:row>
      <xdr:rowOff>88900</xdr:rowOff>
    </xdr:from>
    <xdr:to>
      <xdr:col>7</xdr:col>
      <xdr:colOff>348750</xdr:colOff>
      <xdr:row>56</xdr:row>
      <xdr:rowOff>104129</xdr:rowOff>
    </xdr:to>
    <xdr:pic>
      <xdr:nvPicPr>
        <xdr:cNvPr id="5" name="Picture 4">
          <a:extLst>
            <a:ext uri="{FF2B5EF4-FFF2-40B4-BE49-F238E27FC236}">
              <a16:creationId xmlns:a16="http://schemas.microsoft.com/office/drawing/2014/main" id="{0FB3E231-44A8-425A-9B49-D47B49F7C28B}"/>
            </a:ext>
          </a:extLst>
        </xdr:cNvPr>
        <xdr:cNvPicPr>
          <a:picLocks noChangeAspect="1"/>
        </xdr:cNvPicPr>
      </xdr:nvPicPr>
      <xdr:blipFill>
        <a:blip xmlns:r="http://schemas.openxmlformats.org/officeDocument/2006/relationships" r:embed="rId3"/>
        <a:stretch>
          <a:fillRect/>
        </a:stretch>
      </xdr:blipFill>
      <xdr:spPr>
        <a:xfrm>
          <a:off x="615950" y="5245100"/>
          <a:ext cx="4000000" cy="5171429"/>
        </a:xfrm>
        <a:prstGeom prst="rect">
          <a:avLst/>
        </a:prstGeom>
      </xdr:spPr>
    </xdr:pic>
    <xdr:clientData/>
  </xdr:twoCellAnchor>
  <xdr:twoCellAnchor editAs="oneCell">
    <xdr:from>
      <xdr:col>0</xdr:col>
      <xdr:colOff>584200</xdr:colOff>
      <xdr:row>58</xdr:row>
      <xdr:rowOff>162430</xdr:rowOff>
    </xdr:from>
    <xdr:to>
      <xdr:col>10</xdr:col>
      <xdr:colOff>133350</xdr:colOff>
      <xdr:row>70</xdr:row>
      <xdr:rowOff>40957</xdr:rowOff>
    </xdr:to>
    <xdr:pic>
      <xdr:nvPicPr>
        <xdr:cNvPr id="6" name="Picture 5">
          <a:extLst>
            <a:ext uri="{FF2B5EF4-FFF2-40B4-BE49-F238E27FC236}">
              <a16:creationId xmlns:a16="http://schemas.microsoft.com/office/drawing/2014/main" id="{813C48C4-C53F-4A4D-A4D1-98C1E74125B7}"/>
            </a:ext>
          </a:extLst>
        </xdr:cNvPr>
        <xdr:cNvPicPr>
          <a:picLocks noChangeAspect="1"/>
        </xdr:cNvPicPr>
      </xdr:nvPicPr>
      <xdr:blipFill>
        <a:blip xmlns:r="http://schemas.openxmlformats.org/officeDocument/2006/relationships" r:embed="rId4"/>
        <a:stretch>
          <a:fillRect/>
        </a:stretch>
      </xdr:blipFill>
      <xdr:spPr>
        <a:xfrm>
          <a:off x="584200" y="10843130"/>
          <a:ext cx="5670550" cy="2088327"/>
        </a:xfrm>
        <a:prstGeom prst="rect">
          <a:avLst/>
        </a:prstGeom>
      </xdr:spPr>
    </xdr:pic>
    <xdr:clientData/>
  </xdr:twoCellAnchor>
  <xdr:twoCellAnchor editAs="oneCell">
    <xdr:from>
      <xdr:col>1</xdr:col>
      <xdr:colOff>25401</xdr:colOff>
      <xdr:row>74</xdr:row>
      <xdr:rowOff>57150</xdr:rowOff>
    </xdr:from>
    <xdr:to>
      <xdr:col>9</xdr:col>
      <xdr:colOff>509413</xdr:colOff>
      <xdr:row>98</xdr:row>
      <xdr:rowOff>66031</xdr:rowOff>
    </xdr:to>
    <xdr:pic>
      <xdr:nvPicPr>
        <xdr:cNvPr id="7" name="Picture 6">
          <a:extLst>
            <a:ext uri="{FF2B5EF4-FFF2-40B4-BE49-F238E27FC236}">
              <a16:creationId xmlns:a16="http://schemas.microsoft.com/office/drawing/2014/main" id="{4F398AD1-21B2-4934-8BA9-637836E3AD8F}"/>
            </a:ext>
          </a:extLst>
        </xdr:cNvPr>
        <xdr:cNvPicPr>
          <a:picLocks noChangeAspect="1"/>
        </xdr:cNvPicPr>
      </xdr:nvPicPr>
      <xdr:blipFill>
        <a:blip xmlns:r="http://schemas.openxmlformats.org/officeDocument/2006/relationships" r:embed="rId5"/>
        <a:stretch>
          <a:fillRect/>
        </a:stretch>
      </xdr:blipFill>
      <xdr:spPr>
        <a:xfrm>
          <a:off x="635001" y="13684250"/>
          <a:ext cx="5386212" cy="4428481"/>
        </a:xfrm>
        <a:prstGeom prst="rect">
          <a:avLst/>
        </a:prstGeom>
      </xdr:spPr>
    </xdr:pic>
    <xdr:clientData/>
  </xdr:twoCellAnchor>
  <xdr:twoCellAnchor editAs="oneCell">
    <xdr:from>
      <xdr:col>10</xdr:col>
      <xdr:colOff>0</xdr:colOff>
      <xdr:row>74</xdr:row>
      <xdr:rowOff>57150</xdr:rowOff>
    </xdr:from>
    <xdr:to>
      <xdr:col>18</xdr:col>
      <xdr:colOff>148545</xdr:colOff>
      <xdr:row>98</xdr:row>
      <xdr:rowOff>37550</xdr:rowOff>
    </xdr:to>
    <xdr:pic>
      <xdr:nvPicPr>
        <xdr:cNvPr id="8" name="Picture 7">
          <a:extLst>
            <a:ext uri="{FF2B5EF4-FFF2-40B4-BE49-F238E27FC236}">
              <a16:creationId xmlns:a16="http://schemas.microsoft.com/office/drawing/2014/main" id="{6ABB225F-473C-4BDE-9B13-F5C581A60E93}"/>
            </a:ext>
          </a:extLst>
        </xdr:cNvPr>
        <xdr:cNvPicPr>
          <a:picLocks noChangeAspect="1"/>
        </xdr:cNvPicPr>
      </xdr:nvPicPr>
      <xdr:blipFill>
        <a:blip xmlns:r="http://schemas.openxmlformats.org/officeDocument/2006/relationships" r:embed="rId6"/>
        <a:stretch>
          <a:fillRect/>
        </a:stretch>
      </xdr:blipFill>
      <xdr:spPr>
        <a:xfrm>
          <a:off x="6121400" y="13684250"/>
          <a:ext cx="5438095" cy="4400000"/>
        </a:xfrm>
        <a:prstGeom prst="rect">
          <a:avLst/>
        </a:prstGeom>
      </xdr:spPr>
    </xdr:pic>
    <xdr:clientData/>
  </xdr:twoCellAnchor>
  <xdr:twoCellAnchor editAs="oneCell">
    <xdr:from>
      <xdr:col>1</xdr:col>
      <xdr:colOff>234950</xdr:colOff>
      <xdr:row>98</xdr:row>
      <xdr:rowOff>139700</xdr:rowOff>
    </xdr:from>
    <xdr:to>
      <xdr:col>9</xdr:col>
      <xdr:colOff>173862</xdr:colOff>
      <xdr:row>103</xdr:row>
      <xdr:rowOff>34613</xdr:rowOff>
    </xdr:to>
    <xdr:pic>
      <xdr:nvPicPr>
        <xdr:cNvPr id="9" name="Picture 8">
          <a:extLst>
            <a:ext uri="{FF2B5EF4-FFF2-40B4-BE49-F238E27FC236}">
              <a16:creationId xmlns:a16="http://schemas.microsoft.com/office/drawing/2014/main" id="{7B24B6BF-994F-4BBA-85F8-714B7A62D35E}"/>
            </a:ext>
          </a:extLst>
        </xdr:cNvPr>
        <xdr:cNvPicPr>
          <a:picLocks noChangeAspect="1"/>
        </xdr:cNvPicPr>
      </xdr:nvPicPr>
      <xdr:blipFill>
        <a:blip xmlns:r="http://schemas.openxmlformats.org/officeDocument/2006/relationships" r:embed="rId7"/>
        <a:stretch>
          <a:fillRect/>
        </a:stretch>
      </xdr:blipFill>
      <xdr:spPr>
        <a:xfrm>
          <a:off x="844550" y="18186400"/>
          <a:ext cx="4841112" cy="81566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6350</xdr:colOff>
      <xdr:row>12</xdr:row>
      <xdr:rowOff>19050</xdr:rowOff>
    </xdr:from>
    <xdr:to>
      <xdr:col>5</xdr:col>
      <xdr:colOff>354696</xdr:colOff>
      <xdr:row>25</xdr:row>
      <xdr:rowOff>66801</xdr:rowOff>
    </xdr:to>
    <xdr:pic>
      <xdr:nvPicPr>
        <xdr:cNvPr id="3" name="Picture 2">
          <a:extLst>
            <a:ext uri="{FF2B5EF4-FFF2-40B4-BE49-F238E27FC236}">
              <a16:creationId xmlns:a16="http://schemas.microsoft.com/office/drawing/2014/main" id="{0E7C9CFB-8DF8-48E2-A442-1C6507ADD8B9}"/>
            </a:ext>
          </a:extLst>
        </xdr:cNvPr>
        <xdr:cNvPicPr>
          <a:picLocks noChangeAspect="1"/>
        </xdr:cNvPicPr>
      </xdr:nvPicPr>
      <xdr:blipFill>
        <a:blip xmlns:r="http://schemas.openxmlformats.org/officeDocument/2006/relationships" r:embed="rId1"/>
        <a:stretch>
          <a:fillRect/>
        </a:stretch>
      </xdr:blipFill>
      <xdr:spPr>
        <a:xfrm>
          <a:off x="615950" y="4622800"/>
          <a:ext cx="2997354" cy="2444876"/>
        </a:xfrm>
        <a:prstGeom prst="rect">
          <a:avLst/>
        </a:prstGeom>
      </xdr:spPr>
    </xdr:pic>
    <xdr:clientData/>
  </xdr:twoCellAnchor>
  <xdr:twoCellAnchor editAs="oneCell">
    <xdr:from>
      <xdr:col>5</xdr:col>
      <xdr:colOff>584200</xdr:colOff>
      <xdr:row>12</xdr:row>
      <xdr:rowOff>44450</xdr:rowOff>
    </xdr:from>
    <xdr:to>
      <xdr:col>10</xdr:col>
      <xdr:colOff>162059</xdr:colOff>
      <xdr:row>25</xdr:row>
      <xdr:rowOff>95376</xdr:rowOff>
    </xdr:to>
    <xdr:pic>
      <xdr:nvPicPr>
        <xdr:cNvPr id="4" name="Picture 3">
          <a:extLst>
            <a:ext uri="{FF2B5EF4-FFF2-40B4-BE49-F238E27FC236}">
              <a16:creationId xmlns:a16="http://schemas.microsoft.com/office/drawing/2014/main" id="{841091EE-C5B6-427B-92C9-321155E5ABB6}"/>
            </a:ext>
          </a:extLst>
        </xdr:cNvPr>
        <xdr:cNvPicPr>
          <a:picLocks noChangeAspect="1"/>
        </xdr:cNvPicPr>
      </xdr:nvPicPr>
      <xdr:blipFill>
        <a:blip xmlns:r="http://schemas.openxmlformats.org/officeDocument/2006/relationships" r:embed="rId2"/>
        <a:stretch>
          <a:fillRect/>
        </a:stretch>
      </xdr:blipFill>
      <xdr:spPr>
        <a:xfrm>
          <a:off x="3632200" y="4648200"/>
          <a:ext cx="2629035" cy="2444876"/>
        </a:xfrm>
        <a:prstGeom prst="rect">
          <a:avLst/>
        </a:prstGeom>
      </xdr:spPr>
    </xdr:pic>
    <xdr:clientData/>
  </xdr:twoCellAnchor>
  <xdr:twoCellAnchor editAs="oneCell">
    <xdr:from>
      <xdr:col>10</xdr:col>
      <xdr:colOff>171450</xdr:colOff>
      <xdr:row>12</xdr:row>
      <xdr:rowOff>19050</xdr:rowOff>
    </xdr:from>
    <xdr:to>
      <xdr:col>16</xdr:col>
      <xdr:colOff>693473</xdr:colOff>
      <xdr:row>14</xdr:row>
      <xdr:rowOff>57171</xdr:rowOff>
    </xdr:to>
    <xdr:pic>
      <xdr:nvPicPr>
        <xdr:cNvPr id="5" name="Picture 4">
          <a:extLst>
            <a:ext uri="{FF2B5EF4-FFF2-40B4-BE49-F238E27FC236}">
              <a16:creationId xmlns:a16="http://schemas.microsoft.com/office/drawing/2014/main" id="{631873F0-978E-48EE-9751-88EF32B00E90}"/>
            </a:ext>
          </a:extLst>
        </xdr:cNvPr>
        <xdr:cNvPicPr>
          <a:picLocks noChangeAspect="1"/>
        </xdr:cNvPicPr>
      </xdr:nvPicPr>
      <xdr:blipFill>
        <a:blip xmlns:r="http://schemas.openxmlformats.org/officeDocument/2006/relationships" r:embed="rId3"/>
        <a:stretch>
          <a:fillRect/>
        </a:stretch>
      </xdr:blipFill>
      <xdr:spPr>
        <a:xfrm>
          <a:off x="6267450" y="4622800"/>
          <a:ext cx="5150115" cy="406421"/>
        </a:xfrm>
        <a:prstGeom prst="rect">
          <a:avLst/>
        </a:prstGeom>
      </xdr:spPr>
    </xdr:pic>
    <xdr:clientData/>
  </xdr:twoCellAnchor>
  <xdr:twoCellAnchor editAs="oneCell">
    <xdr:from>
      <xdr:col>10</xdr:col>
      <xdr:colOff>457200</xdr:colOff>
      <xdr:row>14</xdr:row>
      <xdr:rowOff>114300</xdr:rowOff>
    </xdr:from>
    <xdr:to>
      <xdr:col>18</xdr:col>
      <xdr:colOff>334744</xdr:colOff>
      <xdr:row>38</xdr:row>
      <xdr:rowOff>47849</xdr:rowOff>
    </xdr:to>
    <xdr:pic>
      <xdr:nvPicPr>
        <xdr:cNvPr id="6" name="Picture 5">
          <a:extLst>
            <a:ext uri="{FF2B5EF4-FFF2-40B4-BE49-F238E27FC236}">
              <a16:creationId xmlns:a16="http://schemas.microsoft.com/office/drawing/2014/main" id="{F48A506C-2669-40D5-A9C8-F0DEA8771485}"/>
            </a:ext>
          </a:extLst>
        </xdr:cNvPr>
        <xdr:cNvPicPr>
          <a:picLocks noChangeAspect="1"/>
        </xdr:cNvPicPr>
      </xdr:nvPicPr>
      <xdr:blipFill>
        <a:blip xmlns:r="http://schemas.openxmlformats.org/officeDocument/2006/relationships" r:embed="rId4"/>
        <a:stretch>
          <a:fillRect/>
        </a:stretch>
      </xdr:blipFill>
      <xdr:spPr>
        <a:xfrm>
          <a:off x="6553200" y="5086350"/>
          <a:ext cx="6039160" cy="4349974"/>
        </a:xfrm>
        <a:prstGeom prst="rect">
          <a:avLst/>
        </a:prstGeom>
      </xdr:spPr>
    </xdr:pic>
    <xdr:clientData/>
  </xdr:twoCellAnchor>
  <xdr:twoCellAnchor editAs="oneCell">
    <xdr:from>
      <xdr:col>0</xdr:col>
      <xdr:colOff>171450</xdr:colOff>
      <xdr:row>41</xdr:row>
      <xdr:rowOff>88900</xdr:rowOff>
    </xdr:from>
    <xdr:to>
      <xdr:col>4</xdr:col>
      <xdr:colOff>11769</xdr:colOff>
      <xdr:row>52</xdr:row>
      <xdr:rowOff>123931</xdr:rowOff>
    </xdr:to>
    <xdr:pic>
      <xdr:nvPicPr>
        <xdr:cNvPr id="8" name="Picture 7">
          <a:extLst>
            <a:ext uri="{FF2B5EF4-FFF2-40B4-BE49-F238E27FC236}">
              <a16:creationId xmlns:a16="http://schemas.microsoft.com/office/drawing/2014/main" id="{3FACDD34-18D1-47B7-B58D-C50438311312}"/>
            </a:ext>
          </a:extLst>
        </xdr:cNvPr>
        <xdr:cNvPicPr>
          <a:picLocks noChangeAspect="1"/>
        </xdr:cNvPicPr>
      </xdr:nvPicPr>
      <xdr:blipFill>
        <a:blip xmlns:r="http://schemas.openxmlformats.org/officeDocument/2006/relationships" r:embed="rId5"/>
        <a:stretch>
          <a:fillRect/>
        </a:stretch>
      </xdr:blipFill>
      <xdr:spPr>
        <a:xfrm>
          <a:off x="171450" y="5797550"/>
          <a:ext cx="2482978" cy="2057506"/>
        </a:xfrm>
        <a:prstGeom prst="rect">
          <a:avLst/>
        </a:prstGeom>
      </xdr:spPr>
    </xdr:pic>
    <xdr:clientData/>
  </xdr:twoCellAnchor>
  <xdr:twoCellAnchor editAs="oneCell">
    <xdr:from>
      <xdr:col>0</xdr:col>
      <xdr:colOff>101600</xdr:colOff>
      <xdr:row>52</xdr:row>
      <xdr:rowOff>82550</xdr:rowOff>
    </xdr:from>
    <xdr:to>
      <xdr:col>4</xdr:col>
      <xdr:colOff>1187</xdr:colOff>
      <xdr:row>63</xdr:row>
      <xdr:rowOff>28676</xdr:rowOff>
    </xdr:to>
    <xdr:pic>
      <xdr:nvPicPr>
        <xdr:cNvPr id="9" name="Picture 8">
          <a:extLst>
            <a:ext uri="{FF2B5EF4-FFF2-40B4-BE49-F238E27FC236}">
              <a16:creationId xmlns:a16="http://schemas.microsoft.com/office/drawing/2014/main" id="{43AFAC62-A88D-4493-8B15-E0C1EC32AEFD}"/>
            </a:ext>
          </a:extLst>
        </xdr:cNvPr>
        <xdr:cNvPicPr>
          <a:picLocks noChangeAspect="1"/>
        </xdr:cNvPicPr>
      </xdr:nvPicPr>
      <xdr:blipFill>
        <a:blip xmlns:r="http://schemas.openxmlformats.org/officeDocument/2006/relationships" r:embed="rId6"/>
        <a:stretch>
          <a:fillRect/>
        </a:stretch>
      </xdr:blipFill>
      <xdr:spPr>
        <a:xfrm>
          <a:off x="101600" y="7816850"/>
          <a:ext cx="2502029" cy="1968601"/>
        </a:xfrm>
        <a:prstGeom prst="rect">
          <a:avLst/>
        </a:prstGeom>
      </xdr:spPr>
    </xdr:pic>
    <xdr:clientData/>
  </xdr:twoCellAnchor>
  <xdr:twoCellAnchor editAs="oneCell">
    <xdr:from>
      <xdr:col>4</xdr:col>
      <xdr:colOff>266700</xdr:colOff>
      <xdr:row>41</xdr:row>
      <xdr:rowOff>146050</xdr:rowOff>
    </xdr:from>
    <xdr:to>
      <xdr:col>10</xdr:col>
      <xdr:colOff>276413</xdr:colOff>
      <xdr:row>51</xdr:row>
      <xdr:rowOff>38189</xdr:rowOff>
    </xdr:to>
    <xdr:pic>
      <xdr:nvPicPr>
        <xdr:cNvPr id="10" name="Picture 9">
          <a:extLst>
            <a:ext uri="{FF2B5EF4-FFF2-40B4-BE49-F238E27FC236}">
              <a16:creationId xmlns:a16="http://schemas.microsoft.com/office/drawing/2014/main" id="{03ED09A1-38D9-4334-A320-FFFB202EA209}"/>
            </a:ext>
          </a:extLst>
        </xdr:cNvPr>
        <xdr:cNvPicPr>
          <a:picLocks noChangeAspect="1"/>
        </xdr:cNvPicPr>
      </xdr:nvPicPr>
      <xdr:blipFill>
        <a:blip xmlns:r="http://schemas.openxmlformats.org/officeDocument/2006/relationships" r:embed="rId7"/>
        <a:stretch>
          <a:fillRect/>
        </a:stretch>
      </xdr:blipFill>
      <xdr:spPr>
        <a:xfrm>
          <a:off x="2705100" y="5854700"/>
          <a:ext cx="3664138" cy="1733639"/>
        </a:xfrm>
        <a:prstGeom prst="rect">
          <a:avLst/>
        </a:prstGeom>
      </xdr:spPr>
    </xdr:pic>
    <xdr:clientData/>
  </xdr:twoCellAnchor>
  <xdr:twoCellAnchor editAs="oneCell">
    <xdr:from>
      <xdr:col>17</xdr:col>
      <xdr:colOff>14817</xdr:colOff>
      <xdr:row>35</xdr:row>
      <xdr:rowOff>74083</xdr:rowOff>
    </xdr:from>
    <xdr:to>
      <xdr:col>24</xdr:col>
      <xdr:colOff>122994</xdr:colOff>
      <xdr:row>42</xdr:row>
      <xdr:rowOff>131303</xdr:rowOff>
    </xdr:to>
    <xdr:pic>
      <xdr:nvPicPr>
        <xdr:cNvPr id="11" name="Picture 10">
          <a:extLst>
            <a:ext uri="{FF2B5EF4-FFF2-40B4-BE49-F238E27FC236}">
              <a16:creationId xmlns:a16="http://schemas.microsoft.com/office/drawing/2014/main" id="{1C4EB083-4CD4-4314-8CF0-58DD6F61AE4B}"/>
            </a:ext>
          </a:extLst>
        </xdr:cNvPr>
        <xdr:cNvPicPr>
          <a:picLocks noChangeAspect="1"/>
        </xdr:cNvPicPr>
      </xdr:nvPicPr>
      <xdr:blipFill>
        <a:blip xmlns:r="http://schemas.openxmlformats.org/officeDocument/2006/relationships" r:embed="rId8"/>
        <a:stretch>
          <a:fillRect/>
        </a:stretch>
      </xdr:blipFill>
      <xdr:spPr>
        <a:xfrm>
          <a:off x="10862734" y="6371166"/>
          <a:ext cx="4421943" cy="1316637"/>
        </a:xfrm>
        <a:prstGeom prst="rect">
          <a:avLst/>
        </a:prstGeom>
      </xdr:spPr>
    </xdr:pic>
    <xdr:clientData/>
  </xdr:twoCellAnchor>
  <xdr:twoCellAnchor editAs="oneCell">
    <xdr:from>
      <xdr:col>10</xdr:col>
      <xdr:colOff>1114424</xdr:colOff>
      <xdr:row>57</xdr:row>
      <xdr:rowOff>176743</xdr:rowOff>
    </xdr:from>
    <xdr:to>
      <xdr:col>18</xdr:col>
      <xdr:colOff>465666</xdr:colOff>
      <xdr:row>68</xdr:row>
      <xdr:rowOff>26786</xdr:rowOff>
    </xdr:to>
    <xdr:pic>
      <xdr:nvPicPr>
        <xdr:cNvPr id="12" name="Picture 11">
          <a:extLst>
            <a:ext uri="{FF2B5EF4-FFF2-40B4-BE49-F238E27FC236}">
              <a16:creationId xmlns:a16="http://schemas.microsoft.com/office/drawing/2014/main" id="{EA8E5BFD-CDB8-4119-9CE6-FDA146539E13}"/>
            </a:ext>
          </a:extLst>
        </xdr:cNvPr>
        <xdr:cNvPicPr>
          <a:picLocks noChangeAspect="1"/>
        </xdr:cNvPicPr>
      </xdr:nvPicPr>
      <xdr:blipFill>
        <a:blip xmlns:r="http://schemas.openxmlformats.org/officeDocument/2006/relationships" r:embed="rId9"/>
        <a:stretch>
          <a:fillRect/>
        </a:stretch>
      </xdr:blipFill>
      <xdr:spPr>
        <a:xfrm>
          <a:off x="7453841" y="10431993"/>
          <a:ext cx="5553075" cy="1829126"/>
        </a:xfrm>
        <a:prstGeom prst="rect">
          <a:avLst/>
        </a:prstGeom>
      </xdr:spPr>
    </xdr:pic>
    <xdr:clientData/>
  </xdr:twoCellAnchor>
  <xdr:twoCellAnchor editAs="oneCell">
    <xdr:from>
      <xdr:col>0</xdr:col>
      <xdr:colOff>158750</xdr:colOff>
      <xdr:row>63</xdr:row>
      <xdr:rowOff>88900</xdr:rowOff>
    </xdr:from>
    <xdr:to>
      <xdr:col>9</xdr:col>
      <xdr:colOff>11927</xdr:colOff>
      <xdr:row>88</xdr:row>
      <xdr:rowOff>66910</xdr:rowOff>
    </xdr:to>
    <xdr:pic>
      <xdr:nvPicPr>
        <xdr:cNvPr id="13" name="Picture 12">
          <a:extLst>
            <a:ext uri="{FF2B5EF4-FFF2-40B4-BE49-F238E27FC236}">
              <a16:creationId xmlns:a16="http://schemas.microsoft.com/office/drawing/2014/main" id="{A876D112-A559-4C95-B3E1-789589AF58E4}"/>
            </a:ext>
          </a:extLst>
        </xdr:cNvPr>
        <xdr:cNvPicPr>
          <a:picLocks noChangeAspect="1"/>
        </xdr:cNvPicPr>
      </xdr:nvPicPr>
      <xdr:blipFill>
        <a:blip xmlns:r="http://schemas.openxmlformats.org/officeDocument/2006/relationships" r:embed="rId10"/>
        <a:stretch>
          <a:fillRect/>
        </a:stretch>
      </xdr:blipFill>
      <xdr:spPr>
        <a:xfrm>
          <a:off x="158750" y="11690350"/>
          <a:ext cx="5543835" cy="4578585"/>
        </a:xfrm>
        <a:prstGeom prst="rect">
          <a:avLst/>
        </a:prstGeom>
      </xdr:spPr>
    </xdr:pic>
    <xdr:clientData/>
  </xdr:twoCellAnchor>
  <xdr:twoCellAnchor editAs="oneCell">
    <xdr:from>
      <xdr:col>0</xdr:col>
      <xdr:colOff>596900</xdr:colOff>
      <xdr:row>25</xdr:row>
      <xdr:rowOff>63500</xdr:rowOff>
    </xdr:from>
    <xdr:to>
      <xdr:col>4</xdr:col>
      <xdr:colOff>581025</xdr:colOff>
      <xdr:row>38</xdr:row>
      <xdr:rowOff>38305</xdr:rowOff>
    </xdr:to>
    <xdr:pic>
      <xdr:nvPicPr>
        <xdr:cNvPr id="14" name="Picture 13">
          <a:extLst>
            <a:ext uri="{FF2B5EF4-FFF2-40B4-BE49-F238E27FC236}">
              <a16:creationId xmlns:a16="http://schemas.microsoft.com/office/drawing/2014/main" id="{41E05690-5DC6-42EA-A986-C5C104A1D47B}"/>
            </a:ext>
          </a:extLst>
        </xdr:cNvPr>
        <xdr:cNvPicPr>
          <a:picLocks noChangeAspect="1"/>
        </xdr:cNvPicPr>
      </xdr:nvPicPr>
      <xdr:blipFill>
        <a:blip xmlns:r="http://schemas.openxmlformats.org/officeDocument/2006/relationships" r:embed="rId11"/>
        <a:stretch>
          <a:fillRect/>
        </a:stretch>
      </xdr:blipFill>
      <xdr:spPr>
        <a:xfrm>
          <a:off x="596900" y="4667250"/>
          <a:ext cx="2622550" cy="2368755"/>
        </a:xfrm>
        <a:prstGeom prst="rect">
          <a:avLst/>
        </a:prstGeom>
      </xdr:spPr>
    </xdr:pic>
    <xdr:clientData/>
  </xdr:twoCellAnchor>
  <xdr:twoCellAnchor editAs="oneCell">
    <xdr:from>
      <xdr:col>1</xdr:col>
      <xdr:colOff>0</xdr:colOff>
      <xdr:row>93</xdr:row>
      <xdr:rowOff>0</xdr:rowOff>
    </xdr:from>
    <xdr:to>
      <xdr:col>9</xdr:col>
      <xdr:colOff>495586</xdr:colOff>
      <xdr:row>98</xdr:row>
      <xdr:rowOff>76251</xdr:rowOff>
    </xdr:to>
    <xdr:pic>
      <xdr:nvPicPr>
        <xdr:cNvPr id="15" name="Picture 14">
          <a:extLst>
            <a:ext uri="{FF2B5EF4-FFF2-40B4-BE49-F238E27FC236}">
              <a16:creationId xmlns:a16="http://schemas.microsoft.com/office/drawing/2014/main" id="{16A77709-D6DF-4D65-803C-428E9BE739DA}"/>
            </a:ext>
          </a:extLst>
        </xdr:cNvPr>
        <xdr:cNvPicPr>
          <a:picLocks noChangeAspect="1"/>
        </xdr:cNvPicPr>
      </xdr:nvPicPr>
      <xdr:blipFill>
        <a:blip xmlns:r="http://schemas.openxmlformats.org/officeDocument/2006/relationships" r:embed="rId12"/>
        <a:stretch>
          <a:fillRect/>
        </a:stretch>
      </xdr:blipFill>
      <xdr:spPr>
        <a:xfrm>
          <a:off x="609600" y="17125950"/>
          <a:ext cx="5569236" cy="997001"/>
        </a:xfrm>
        <a:prstGeom prst="rect">
          <a:avLst/>
        </a:prstGeom>
      </xdr:spPr>
    </xdr:pic>
    <xdr:clientData/>
  </xdr:twoCellAnchor>
  <xdr:twoCellAnchor editAs="oneCell">
    <xdr:from>
      <xdr:col>1</xdr:col>
      <xdr:colOff>0</xdr:colOff>
      <xdr:row>101</xdr:row>
      <xdr:rowOff>19050</xdr:rowOff>
    </xdr:from>
    <xdr:to>
      <xdr:col>7</xdr:col>
      <xdr:colOff>505049</xdr:colOff>
      <xdr:row>106</xdr:row>
      <xdr:rowOff>85776</xdr:rowOff>
    </xdr:to>
    <xdr:pic>
      <xdr:nvPicPr>
        <xdr:cNvPr id="16" name="Picture 15">
          <a:extLst>
            <a:ext uri="{FF2B5EF4-FFF2-40B4-BE49-F238E27FC236}">
              <a16:creationId xmlns:a16="http://schemas.microsoft.com/office/drawing/2014/main" id="{507A7B31-3D5A-4600-B0ED-76675D186627}"/>
            </a:ext>
          </a:extLst>
        </xdr:cNvPr>
        <xdr:cNvPicPr>
          <a:picLocks noChangeAspect="1"/>
        </xdr:cNvPicPr>
      </xdr:nvPicPr>
      <xdr:blipFill>
        <a:blip xmlns:r="http://schemas.openxmlformats.org/officeDocument/2006/relationships" r:embed="rId13"/>
        <a:stretch>
          <a:fillRect/>
        </a:stretch>
      </xdr:blipFill>
      <xdr:spPr>
        <a:xfrm>
          <a:off x="609600" y="18618200"/>
          <a:ext cx="4362674" cy="990651"/>
        </a:xfrm>
        <a:prstGeom prst="rect">
          <a:avLst/>
        </a:prstGeom>
      </xdr:spPr>
    </xdr:pic>
    <xdr:clientData/>
  </xdr:twoCellAnchor>
  <xdr:twoCellAnchor editAs="oneCell">
    <xdr:from>
      <xdr:col>1</xdr:col>
      <xdr:colOff>57150</xdr:colOff>
      <xdr:row>130</xdr:row>
      <xdr:rowOff>44450</xdr:rowOff>
    </xdr:from>
    <xdr:to>
      <xdr:col>11</xdr:col>
      <xdr:colOff>1407</xdr:colOff>
      <xdr:row>137</xdr:row>
      <xdr:rowOff>28641</xdr:rowOff>
    </xdr:to>
    <xdr:pic>
      <xdr:nvPicPr>
        <xdr:cNvPr id="17" name="Picture 16">
          <a:extLst>
            <a:ext uri="{FF2B5EF4-FFF2-40B4-BE49-F238E27FC236}">
              <a16:creationId xmlns:a16="http://schemas.microsoft.com/office/drawing/2014/main" id="{55B0D498-4FF5-4DB2-8487-ED8621D1EA21}"/>
            </a:ext>
          </a:extLst>
        </xdr:cNvPr>
        <xdr:cNvPicPr>
          <a:picLocks noChangeAspect="1"/>
        </xdr:cNvPicPr>
      </xdr:nvPicPr>
      <xdr:blipFill>
        <a:blip xmlns:r="http://schemas.openxmlformats.org/officeDocument/2006/relationships" r:embed="rId14"/>
        <a:stretch>
          <a:fillRect/>
        </a:stretch>
      </xdr:blipFill>
      <xdr:spPr>
        <a:xfrm>
          <a:off x="666750" y="20300950"/>
          <a:ext cx="6788499" cy="1276416"/>
        </a:xfrm>
        <a:prstGeom prst="rect">
          <a:avLst/>
        </a:prstGeom>
      </xdr:spPr>
    </xdr:pic>
    <xdr:clientData/>
  </xdr:twoCellAnchor>
  <xdr:twoCellAnchor editAs="oneCell">
    <xdr:from>
      <xdr:col>1</xdr:col>
      <xdr:colOff>50800</xdr:colOff>
      <xdr:row>140</xdr:row>
      <xdr:rowOff>19050</xdr:rowOff>
    </xdr:from>
    <xdr:to>
      <xdr:col>9</xdr:col>
      <xdr:colOff>335768</xdr:colOff>
      <xdr:row>144</xdr:row>
      <xdr:rowOff>142919</xdr:rowOff>
    </xdr:to>
    <xdr:pic>
      <xdr:nvPicPr>
        <xdr:cNvPr id="18" name="Picture 17">
          <a:extLst>
            <a:ext uri="{FF2B5EF4-FFF2-40B4-BE49-F238E27FC236}">
              <a16:creationId xmlns:a16="http://schemas.microsoft.com/office/drawing/2014/main" id="{658271B8-CA5C-4230-8A96-566428DF6AAD}"/>
            </a:ext>
          </a:extLst>
        </xdr:cNvPr>
        <xdr:cNvPicPr>
          <a:picLocks noChangeAspect="1"/>
        </xdr:cNvPicPr>
      </xdr:nvPicPr>
      <xdr:blipFill>
        <a:blip xmlns:r="http://schemas.openxmlformats.org/officeDocument/2006/relationships" r:embed="rId15"/>
        <a:stretch>
          <a:fillRect/>
        </a:stretch>
      </xdr:blipFill>
      <xdr:spPr>
        <a:xfrm>
          <a:off x="660400" y="22117050"/>
          <a:ext cx="5372376" cy="863644"/>
        </a:xfrm>
        <a:prstGeom prst="rect">
          <a:avLst/>
        </a:prstGeom>
      </xdr:spPr>
    </xdr:pic>
    <xdr:clientData/>
  </xdr:twoCellAnchor>
  <xdr:twoCellAnchor editAs="oneCell">
    <xdr:from>
      <xdr:col>0</xdr:col>
      <xdr:colOff>603250</xdr:colOff>
      <xdr:row>145</xdr:row>
      <xdr:rowOff>44450</xdr:rowOff>
    </xdr:from>
    <xdr:to>
      <xdr:col>9</xdr:col>
      <xdr:colOff>259566</xdr:colOff>
      <xdr:row>149</xdr:row>
      <xdr:rowOff>19086</xdr:rowOff>
    </xdr:to>
    <xdr:pic>
      <xdr:nvPicPr>
        <xdr:cNvPr id="19" name="Picture 18">
          <a:extLst>
            <a:ext uri="{FF2B5EF4-FFF2-40B4-BE49-F238E27FC236}">
              <a16:creationId xmlns:a16="http://schemas.microsoft.com/office/drawing/2014/main" id="{7B542976-24DA-4C4C-AED7-9957B04D1EDD}"/>
            </a:ext>
          </a:extLst>
        </xdr:cNvPr>
        <xdr:cNvPicPr>
          <a:picLocks noChangeAspect="1"/>
        </xdr:cNvPicPr>
      </xdr:nvPicPr>
      <xdr:blipFill>
        <a:blip xmlns:r="http://schemas.openxmlformats.org/officeDocument/2006/relationships" r:embed="rId16"/>
        <a:stretch>
          <a:fillRect/>
        </a:stretch>
      </xdr:blipFill>
      <xdr:spPr>
        <a:xfrm>
          <a:off x="603250" y="23063200"/>
          <a:ext cx="5340624" cy="711237"/>
        </a:xfrm>
        <a:prstGeom prst="rect">
          <a:avLst/>
        </a:prstGeom>
      </xdr:spPr>
    </xdr:pic>
    <xdr:clientData/>
  </xdr:twoCellAnchor>
  <xdr:twoCellAnchor editAs="oneCell">
    <xdr:from>
      <xdr:col>0</xdr:col>
      <xdr:colOff>571500</xdr:colOff>
      <xdr:row>153</xdr:row>
      <xdr:rowOff>137584</xdr:rowOff>
    </xdr:from>
    <xdr:to>
      <xdr:col>10</xdr:col>
      <xdr:colOff>68031</xdr:colOff>
      <xdr:row>159</xdr:row>
      <xdr:rowOff>163041</xdr:rowOff>
    </xdr:to>
    <xdr:pic>
      <xdr:nvPicPr>
        <xdr:cNvPr id="21" name="Picture 20">
          <a:extLst>
            <a:ext uri="{FF2B5EF4-FFF2-40B4-BE49-F238E27FC236}">
              <a16:creationId xmlns:a16="http://schemas.microsoft.com/office/drawing/2014/main" id="{EFAD8DCA-A0C1-4CAC-9E30-C9BCC52E4367}"/>
            </a:ext>
          </a:extLst>
        </xdr:cNvPr>
        <xdr:cNvPicPr>
          <a:picLocks noChangeAspect="1"/>
        </xdr:cNvPicPr>
      </xdr:nvPicPr>
      <xdr:blipFill>
        <a:blip xmlns:r="http://schemas.openxmlformats.org/officeDocument/2006/relationships" r:embed="rId17"/>
        <a:stretch>
          <a:fillRect/>
        </a:stretch>
      </xdr:blipFill>
      <xdr:spPr>
        <a:xfrm>
          <a:off x="571500" y="27664834"/>
          <a:ext cx="5829598" cy="1104957"/>
        </a:xfrm>
        <a:prstGeom prst="rect">
          <a:avLst/>
        </a:prstGeom>
      </xdr:spPr>
    </xdr:pic>
    <xdr:clientData/>
  </xdr:twoCellAnchor>
  <xdr:twoCellAnchor editAs="oneCell">
    <xdr:from>
      <xdr:col>0</xdr:col>
      <xdr:colOff>584200</xdr:colOff>
      <xdr:row>149</xdr:row>
      <xdr:rowOff>158750</xdr:rowOff>
    </xdr:from>
    <xdr:to>
      <xdr:col>10</xdr:col>
      <xdr:colOff>126241</xdr:colOff>
      <xdr:row>153</xdr:row>
      <xdr:rowOff>76234</xdr:rowOff>
    </xdr:to>
    <xdr:pic>
      <xdr:nvPicPr>
        <xdr:cNvPr id="22" name="Picture 21">
          <a:extLst>
            <a:ext uri="{FF2B5EF4-FFF2-40B4-BE49-F238E27FC236}">
              <a16:creationId xmlns:a16="http://schemas.microsoft.com/office/drawing/2014/main" id="{3F6E2031-0BAF-4F69-993C-3AE90E27B7F3}"/>
            </a:ext>
          </a:extLst>
        </xdr:cNvPr>
        <xdr:cNvPicPr>
          <a:picLocks noChangeAspect="1"/>
        </xdr:cNvPicPr>
      </xdr:nvPicPr>
      <xdr:blipFill>
        <a:blip xmlns:r="http://schemas.openxmlformats.org/officeDocument/2006/relationships" r:embed="rId18"/>
        <a:stretch>
          <a:fillRect/>
        </a:stretch>
      </xdr:blipFill>
      <xdr:spPr>
        <a:xfrm>
          <a:off x="584200" y="23914100"/>
          <a:ext cx="5835950" cy="654084"/>
        </a:xfrm>
        <a:prstGeom prst="rect">
          <a:avLst/>
        </a:prstGeom>
      </xdr:spPr>
    </xdr:pic>
    <xdr:clientData/>
  </xdr:twoCellAnchor>
  <xdr:twoCellAnchor editAs="oneCell">
    <xdr:from>
      <xdr:col>1</xdr:col>
      <xdr:colOff>42334</xdr:colOff>
      <xdr:row>164</xdr:row>
      <xdr:rowOff>70556</xdr:rowOff>
    </xdr:from>
    <xdr:to>
      <xdr:col>9</xdr:col>
      <xdr:colOff>340354</xdr:colOff>
      <xdr:row>167</xdr:row>
      <xdr:rowOff>174307</xdr:rowOff>
    </xdr:to>
    <xdr:pic>
      <xdr:nvPicPr>
        <xdr:cNvPr id="23" name="Picture 22">
          <a:extLst>
            <a:ext uri="{FF2B5EF4-FFF2-40B4-BE49-F238E27FC236}">
              <a16:creationId xmlns:a16="http://schemas.microsoft.com/office/drawing/2014/main" id="{994FA090-AACC-48B6-9541-4D94D780B124}"/>
            </a:ext>
          </a:extLst>
        </xdr:cNvPr>
        <xdr:cNvPicPr>
          <a:picLocks noChangeAspect="1"/>
        </xdr:cNvPicPr>
      </xdr:nvPicPr>
      <xdr:blipFill>
        <a:blip xmlns:r="http://schemas.openxmlformats.org/officeDocument/2006/relationships" r:embed="rId19"/>
        <a:stretch>
          <a:fillRect/>
        </a:stretch>
      </xdr:blipFill>
      <xdr:spPr>
        <a:xfrm>
          <a:off x="649112" y="26486556"/>
          <a:ext cx="5353325" cy="654084"/>
        </a:xfrm>
        <a:prstGeom prst="rect">
          <a:avLst/>
        </a:prstGeom>
      </xdr:spPr>
    </xdr:pic>
    <xdr:clientData/>
  </xdr:twoCellAnchor>
  <xdr:twoCellAnchor editAs="oneCell">
    <xdr:from>
      <xdr:col>1</xdr:col>
      <xdr:colOff>42333</xdr:colOff>
      <xdr:row>107</xdr:row>
      <xdr:rowOff>7055</xdr:rowOff>
    </xdr:from>
    <xdr:to>
      <xdr:col>7</xdr:col>
      <xdr:colOff>369572</xdr:colOff>
      <xdr:row>127</xdr:row>
      <xdr:rowOff>30882</xdr:rowOff>
    </xdr:to>
    <xdr:pic>
      <xdr:nvPicPr>
        <xdr:cNvPr id="24" name="Picture 23">
          <a:extLst>
            <a:ext uri="{FF2B5EF4-FFF2-40B4-BE49-F238E27FC236}">
              <a16:creationId xmlns:a16="http://schemas.microsoft.com/office/drawing/2014/main" id="{4B081A3E-B08F-4406-820C-D866A2FDCA0C}"/>
            </a:ext>
          </a:extLst>
        </xdr:cNvPr>
        <xdr:cNvPicPr>
          <a:picLocks noChangeAspect="1"/>
        </xdr:cNvPicPr>
      </xdr:nvPicPr>
      <xdr:blipFill>
        <a:blip xmlns:r="http://schemas.openxmlformats.org/officeDocument/2006/relationships" r:embed="rId20"/>
        <a:stretch>
          <a:fillRect/>
        </a:stretch>
      </xdr:blipFill>
      <xdr:spPr>
        <a:xfrm>
          <a:off x="649111" y="19635611"/>
          <a:ext cx="4172164" cy="3695890"/>
        </a:xfrm>
        <a:prstGeom prst="rect">
          <a:avLst/>
        </a:prstGeom>
      </xdr:spPr>
    </xdr:pic>
    <xdr:clientData/>
  </xdr:twoCellAnchor>
  <xdr:twoCellAnchor editAs="oneCell">
    <xdr:from>
      <xdr:col>1</xdr:col>
      <xdr:colOff>0</xdr:colOff>
      <xdr:row>171</xdr:row>
      <xdr:rowOff>0</xdr:rowOff>
    </xdr:from>
    <xdr:to>
      <xdr:col>9</xdr:col>
      <xdr:colOff>77007</xdr:colOff>
      <xdr:row>175</xdr:row>
      <xdr:rowOff>0</xdr:rowOff>
    </xdr:to>
    <xdr:pic>
      <xdr:nvPicPr>
        <xdr:cNvPr id="25" name="Picture 24">
          <a:extLst>
            <a:ext uri="{FF2B5EF4-FFF2-40B4-BE49-F238E27FC236}">
              <a16:creationId xmlns:a16="http://schemas.microsoft.com/office/drawing/2014/main" id="{41790449-2C4C-4BEC-AB9D-D0E553347B58}"/>
            </a:ext>
          </a:extLst>
        </xdr:cNvPr>
        <xdr:cNvPicPr>
          <a:picLocks noChangeAspect="1"/>
        </xdr:cNvPicPr>
      </xdr:nvPicPr>
      <xdr:blipFill>
        <a:blip xmlns:r="http://schemas.openxmlformats.org/officeDocument/2006/relationships" r:embed="rId21"/>
        <a:stretch>
          <a:fillRect/>
        </a:stretch>
      </xdr:blipFill>
      <xdr:spPr>
        <a:xfrm>
          <a:off x="606778" y="31369000"/>
          <a:ext cx="5125962" cy="733778"/>
        </a:xfrm>
        <a:prstGeom prst="rect">
          <a:avLst/>
        </a:prstGeom>
      </xdr:spPr>
    </xdr:pic>
    <xdr:clientData/>
  </xdr:twoCellAnchor>
  <xdr:twoCellAnchor editAs="oneCell">
    <xdr:from>
      <xdr:col>1</xdr:col>
      <xdr:colOff>0</xdr:colOff>
      <xdr:row>184</xdr:row>
      <xdr:rowOff>63499</xdr:rowOff>
    </xdr:from>
    <xdr:to>
      <xdr:col>10</xdr:col>
      <xdr:colOff>259595</xdr:colOff>
      <xdr:row>188</xdr:row>
      <xdr:rowOff>21907</xdr:rowOff>
    </xdr:to>
    <xdr:pic>
      <xdr:nvPicPr>
        <xdr:cNvPr id="27" name="Picture 26">
          <a:extLst>
            <a:ext uri="{FF2B5EF4-FFF2-40B4-BE49-F238E27FC236}">
              <a16:creationId xmlns:a16="http://schemas.microsoft.com/office/drawing/2014/main" id="{37574605-B9F0-4462-A27B-E17659F440F5}"/>
            </a:ext>
          </a:extLst>
        </xdr:cNvPr>
        <xdr:cNvPicPr>
          <a:picLocks noChangeAspect="1"/>
        </xdr:cNvPicPr>
      </xdr:nvPicPr>
      <xdr:blipFill>
        <a:blip xmlns:r="http://schemas.openxmlformats.org/officeDocument/2006/relationships" r:embed="rId22"/>
        <a:stretch>
          <a:fillRect/>
        </a:stretch>
      </xdr:blipFill>
      <xdr:spPr>
        <a:xfrm>
          <a:off x="606778" y="33817277"/>
          <a:ext cx="5924854" cy="692186"/>
        </a:xfrm>
        <a:prstGeom prst="rect">
          <a:avLst/>
        </a:prstGeom>
      </xdr:spPr>
    </xdr:pic>
    <xdr:clientData/>
  </xdr:twoCellAnchor>
  <xdr:twoCellAnchor editAs="oneCell">
    <xdr:from>
      <xdr:col>1</xdr:col>
      <xdr:colOff>7055</xdr:colOff>
      <xdr:row>192</xdr:row>
      <xdr:rowOff>7055</xdr:rowOff>
    </xdr:from>
    <xdr:to>
      <xdr:col>6</xdr:col>
      <xdr:colOff>150457</xdr:colOff>
      <xdr:row>213</xdr:row>
      <xdr:rowOff>88748</xdr:rowOff>
    </xdr:to>
    <xdr:pic>
      <xdr:nvPicPr>
        <xdr:cNvPr id="28" name="Picture 27">
          <a:extLst>
            <a:ext uri="{FF2B5EF4-FFF2-40B4-BE49-F238E27FC236}">
              <a16:creationId xmlns:a16="http://schemas.microsoft.com/office/drawing/2014/main" id="{2EB42D37-24DF-4948-A34D-B5D6FD661DE7}"/>
            </a:ext>
          </a:extLst>
        </xdr:cNvPr>
        <xdr:cNvPicPr>
          <a:picLocks noChangeAspect="1"/>
        </xdr:cNvPicPr>
      </xdr:nvPicPr>
      <xdr:blipFill>
        <a:blip xmlns:r="http://schemas.openxmlformats.org/officeDocument/2006/relationships" r:embed="rId23"/>
        <a:stretch>
          <a:fillRect/>
        </a:stretch>
      </xdr:blipFill>
      <xdr:spPr>
        <a:xfrm>
          <a:off x="613833" y="35228388"/>
          <a:ext cx="3378374" cy="3930852"/>
        </a:xfrm>
        <a:prstGeom prst="rect">
          <a:avLst/>
        </a:prstGeom>
      </xdr:spPr>
    </xdr:pic>
    <xdr:clientData/>
  </xdr:twoCellAnchor>
  <xdr:twoCellAnchor editAs="oneCell">
    <xdr:from>
      <xdr:col>6</xdr:col>
      <xdr:colOff>437442</xdr:colOff>
      <xdr:row>191</xdr:row>
      <xdr:rowOff>162277</xdr:rowOff>
    </xdr:from>
    <xdr:to>
      <xdr:col>11</xdr:col>
      <xdr:colOff>258760</xdr:colOff>
      <xdr:row>208</xdr:row>
      <xdr:rowOff>12500</xdr:rowOff>
    </xdr:to>
    <xdr:pic>
      <xdr:nvPicPr>
        <xdr:cNvPr id="29" name="Picture 28">
          <a:extLst>
            <a:ext uri="{FF2B5EF4-FFF2-40B4-BE49-F238E27FC236}">
              <a16:creationId xmlns:a16="http://schemas.microsoft.com/office/drawing/2014/main" id="{143759CE-7D1E-44F8-9A1F-DF6EDB8C36D1}"/>
            </a:ext>
          </a:extLst>
        </xdr:cNvPr>
        <xdr:cNvPicPr>
          <a:picLocks noChangeAspect="1"/>
        </xdr:cNvPicPr>
      </xdr:nvPicPr>
      <xdr:blipFill>
        <a:blip xmlns:r="http://schemas.openxmlformats.org/officeDocument/2006/relationships" r:embed="rId24"/>
        <a:stretch>
          <a:fillRect/>
        </a:stretch>
      </xdr:blipFill>
      <xdr:spPr>
        <a:xfrm>
          <a:off x="4078109" y="35200166"/>
          <a:ext cx="3416476" cy="2971953"/>
        </a:xfrm>
        <a:prstGeom prst="rect">
          <a:avLst/>
        </a:prstGeom>
      </xdr:spPr>
    </xdr:pic>
    <xdr:clientData/>
  </xdr:twoCellAnchor>
  <xdr:twoCellAnchor editAs="oneCell">
    <xdr:from>
      <xdr:col>12</xdr:col>
      <xdr:colOff>275167</xdr:colOff>
      <xdr:row>191</xdr:row>
      <xdr:rowOff>134055</xdr:rowOff>
    </xdr:from>
    <xdr:to>
      <xdr:col>17</xdr:col>
      <xdr:colOff>47624</xdr:colOff>
      <xdr:row>214</xdr:row>
      <xdr:rowOff>74297</xdr:rowOff>
    </xdr:to>
    <xdr:pic>
      <xdr:nvPicPr>
        <xdr:cNvPr id="30" name="Picture 29">
          <a:extLst>
            <a:ext uri="{FF2B5EF4-FFF2-40B4-BE49-F238E27FC236}">
              <a16:creationId xmlns:a16="http://schemas.microsoft.com/office/drawing/2014/main" id="{B6882A09-6676-4E49-B56C-1D6612934703}"/>
            </a:ext>
          </a:extLst>
        </xdr:cNvPr>
        <xdr:cNvPicPr>
          <a:picLocks noChangeAspect="1"/>
        </xdr:cNvPicPr>
      </xdr:nvPicPr>
      <xdr:blipFill rotWithShape="1">
        <a:blip xmlns:r="http://schemas.openxmlformats.org/officeDocument/2006/relationships" r:embed="rId25"/>
        <a:srcRect r="13526"/>
        <a:stretch/>
      </xdr:blipFill>
      <xdr:spPr>
        <a:xfrm>
          <a:off x="7556500" y="35171944"/>
          <a:ext cx="3492500" cy="4159464"/>
        </a:xfrm>
        <a:prstGeom prst="rect">
          <a:avLst/>
        </a:prstGeom>
      </xdr:spPr>
    </xdr:pic>
    <xdr:clientData/>
  </xdr:twoCellAnchor>
  <xdr:twoCellAnchor editAs="oneCell">
    <xdr:from>
      <xdr:col>26</xdr:col>
      <xdr:colOff>0</xdr:colOff>
      <xdr:row>13</xdr:row>
      <xdr:rowOff>0</xdr:rowOff>
    </xdr:from>
    <xdr:to>
      <xdr:col>38</xdr:col>
      <xdr:colOff>390924</xdr:colOff>
      <xdr:row>31</xdr:row>
      <xdr:rowOff>66845</xdr:rowOff>
    </xdr:to>
    <xdr:pic>
      <xdr:nvPicPr>
        <xdr:cNvPr id="7" name="Picture 6">
          <a:extLst>
            <a:ext uri="{FF2B5EF4-FFF2-40B4-BE49-F238E27FC236}">
              <a16:creationId xmlns:a16="http://schemas.microsoft.com/office/drawing/2014/main" id="{C9D57291-75A9-4955-A809-FF50D7C0902B}"/>
            </a:ext>
          </a:extLst>
        </xdr:cNvPr>
        <xdr:cNvPicPr>
          <a:picLocks noChangeAspect="1"/>
        </xdr:cNvPicPr>
      </xdr:nvPicPr>
      <xdr:blipFill>
        <a:blip xmlns:r="http://schemas.openxmlformats.org/officeDocument/2006/relationships" r:embed="rId26"/>
        <a:stretch>
          <a:fillRect/>
        </a:stretch>
      </xdr:blipFill>
      <xdr:spPr>
        <a:xfrm>
          <a:off x="16065500" y="2338917"/>
          <a:ext cx="7760099" cy="3302170"/>
        </a:xfrm>
        <a:prstGeom prst="rect">
          <a:avLst/>
        </a:prstGeom>
      </xdr:spPr>
    </xdr:pic>
    <xdr:clientData/>
  </xdr:twoCellAnchor>
  <xdr:twoCellAnchor editAs="oneCell">
    <xdr:from>
      <xdr:col>26</xdr:col>
      <xdr:colOff>21167</xdr:colOff>
      <xdr:row>36</xdr:row>
      <xdr:rowOff>31750</xdr:rowOff>
    </xdr:from>
    <xdr:to>
      <xdr:col>37</xdr:col>
      <xdr:colOff>381365</xdr:colOff>
      <xdr:row>40</xdr:row>
      <xdr:rowOff>39195</xdr:rowOff>
    </xdr:to>
    <xdr:pic>
      <xdr:nvPicPr>
        <xdr:cNvPr id="20" name="Picture 19">
          <a:extLst>
            <a:ext uri="{FF2B5EF4-FFF2-40B4-BE49-F238E27FC236}">
              <a16:creationId xmlns:a16="http://schemas.microsoft.com/office/drawing/2014/main" id="{10E871E3-AD5B-4809-BCA9-CE8F049683E5}"/>
            </a:ext>
          </a:extLst>
        </xdr:cNvPr>
        <xdr:cNvPicPr>
          <a:picLocks noChangeAspect="1"/>
        </xdr:cNvPicPr>
      </xdr:nvPicPr>
      <xdr:blipFill>
        <a:blip xmlns:r="http://schemas.openxmlformats.org/officeDocument/2006/relationships" r:embed="rId27"/>
        <a:stretch>
          <a:fillRect/>
        </a:stretch>
      </xdr:blipFill>
      <xdr:spPr>
        <a:xfrm>
          <a:off x="16086667" y="6508750"/>
          <a:ext cx="7112366" cy="727112"/>
        </a:xfrm>
        <a:prstGeom prst="rect">
          <a:avLst/>
        </a:prstGeom>
      </xdr:spPr>
    </xdr:pic>
    <xdr:clientData/>
  </xdr:twoCellAnchor>
  <xdr:twoCellAnchor editAs="oneCell">
    <xdr:from>
      <xdr:col>26</xdr:col>
      <xdr:colOff>0</xdr:colOff>
      <xdr:row>43</xdr:row>
      <xdr:rowOff>0</xdr:rowOff>
    </xdr:from>
    <xdr:to>
      <xdr:col>37</xdr:col>
      <xdr:colOff>350672</xdr:colOff>
      <xdr:row>56</xdr:row>
      <xdr:rowOff>102785</xdr:rowOff>
    </xdr:to>
    <xdr:pic>
      <xdr:nvPicPr>
        <xdr:cNvPr id="26" name="Picture 25">
          <a:extLst>
            <a:ext uri="{FF2B5EF4-FFF2-40B4-BE49-F238E27FC236}">
              <a16:creationId xmlns:a16="http://schemas.microsoft.com/office/drawing/2014/main" id="{A2B7B7A4-4D53-4A54-9FB9-B68FCABB6CB5}"/>
            </a:ext>
          </a:extLst>
        </xdr:cNvPr>
        <xdr:cNvPicPr>
          <a:picLocks noChangeAspect="1"/>
        </xdr:cNvPicPr>
      </xdr:nvPicPr>
      <xdr:blipFill>
        <a:blip xmlns:r="http://schemas.openxmlformats.org/officeDocument/2006/relationships" r:embed="rId28"/>
        <a:stretch>
          <a:fillRect/>
        </a:stretch>
      </xdr:blipFill>
      <xdr:spPr>
        <a:xfrm>
          <a:off x="16065500" y="7736417"/>
          <a:ext cx="7106015" cy="2444876"/>
        </a:xfrm>
        <a:prstGeom prst="rect">
          <a:avLst/>
        </a:prstGeom>
      </xdr:spPr>
    </xdr:pic>
    <xdr:clientData/>
  </xdr:twoCellAnchor>
  <xdr:twoCellAnchor editAs="oneCell">
    <xdr:from>
      <xdr:col>26</xdr:col>
      <xdr:colOff>0</xdr:colOff>
      <xdr:row>62</xdr:row>
      <xdr:rowOff>0</xdr:rowOff>
    </xdr:from>
    <xdr:to>
      <xdr:col>37</xdr:col>
      <xdr:colOff>341147</xdr:colOff>
      <xdr:row>71</xdr:row>
      <xdr:rowOff>162016</xdr:rowOff>
    </xdr:to>
    <xdr:pic>
      <xdr:nvPicPr>
        <xdr:cNvPr id="31" name="Picture 30">
          <a:extLst>
            <a:ext uri="{FF2B5EF4-FFF2-40B4-BE49-F238E27FC236}">
              <a16:creationId xmlns:a16="http://schemas.microsoft.com/office/drawing/2014/main" id="{EAE1DA93-2247-43DC-85DA-4A9CCE5E8609}"/>
            </a:ext>
          </a:extLst>
        </xdr:cNvPr>
        <xdr:cNvPicPr>
          <a:picLocks noChangeAspect="1"/>
        </xdr:cNvPicPr>
      </xdr:nvPicPr>
      <xdr:blipFill>
        <a:blip xmlns:r="http://schemas.openxmlformats.org/officeDocument/2006/relationships" r:embed="rId29"/>
        <a:stretch>
          <a:fillRect/>
        </a:stretch>
      </xdr:blipFill>
      <xdr:spPr>
        <a:xfrm>
          <a:off x="16065500" y="11154833"/>
          <a:ext cx="7093315" cy="1778091"/>
        </a:xfrm>
        <a:prstGeom prst="rect">
          <a:avLst/>
        </a:prstGeom>
      </xdr:spPr>
    </xdr:pic>
    <xdr:clientData/>
  </xdr:twoCellAnchor>
  <xdr:twoCellAnchor editAs="oneCell">
    <xdr:from>
      <xdr:col>26</xdr:col>
      <xdr:colOff>0</xdr:colOff>
      <xdr:row>75</xdr:row>
      <xdr:rowOff>0</xdr:rowOff>
    </xdr:from>
    <xdr:to>
      <xdr:col>33</xdr:col>
      <xdr:colOff>313503</xdr:colOff>
      <xdr:row>89</xdr:row>
      <xdr:rowOff>103852</xdr:rowOff>
    </xdr:to>
    <xdr:pic>
      <xdr:nvPicPr>
        <xdr:cNvPr id="32" name="Picture 31">
          <a:extLst>
            <a:ext uri="{FF2B5EF4-FFF2-40B4-BE49-F238E27FC236}">
              <a16:creationId xmlns:a16="http://schemas.microsoft.com/office/drawing/2014/main" id="{2869E2E5-5C8C-47F2-AEB1-C7067E01E811}"/>
            </a:ext>
          </a:extLst>
        </xdr:cNvPr>
        <xdr:cNvPicPr>
          <a:picLocks noChangeAspect="1"/>
        </xdr:cNvPicPr>
      </xdr:nvPicPr>
      <xdr:blipFill>
        <a:blip xmlns:r="http://schemas.openxmlformats.org/officeDocument/2006/relationships" r:embed="rId30"/>
        <a:stretch>
          <a:fillRect/>
        </a:stretch>
      </xdr:blipFill>
      <xdr:spPr>
        <a:xfrm>
          <a:off x="16065500" y="13493750"/>
          <a:ext cx="4616687" cy="2629035"/>
        </a:xfrm>
        <a:prstGeom prst="rect">
          <a:avLst/>
        </a:prstGeom>
      </xdr:spPr>
    </xdr:pic>
    <xdr:clientData/>
  </xdr:twoCellAnchor>
  <xdr:twoCellAnchor editAs="oneCell">
    <xdr:from>
      <xdr:col>26</xdr:col>
      <xdr:colOff>21167</xdr:colOff>
      <xdr:row>92</xdr:row>
      <xdr:rowOff>52917</xdr:rowOff>
    </xdr:from>
    <xdr:to>
      <xdr:col>36</xdr:col>
      <xdr:colOff>544325</xdr:colOff>
      <xdr:row>99</xdr:row>
      <xdr:rowOff>34989</xdr:rowOff>
    </xdr:to>
    <xdr:pic>
      <xdr:nvPicPr>
        <xdr:cNvPr id="33" name="Picture 32">
          <a:extLst>
            <a:ext uri="{FF2B5EF4-FFF2-40B4-BE49-F238E27FC236}">
              <a16:creationId xmlns:a16="http://schemas.microsoft.com/office/drawing/2014/main" id="{023651F4-3E99-43CA-BC11-C1268F3CBBF5}"/>
            </a:ext>
          </a:extLst>
        </xdr:cNvPr>
        <xdr:cNvPicPr>
          <a:picLocks noChangeAspect="1"/>
        </xdr:cNvPicPr>
      </xdr:nvPicPr>
      <xdr:blipFill>
        <a:blip xmlns:r="http://schemas.openxmlformats.org/officeDocument/2006/relationships" r:embed="rId31"/>
        <a:stretch>
          <a:fillRect/>
        </a:stretch>
      </xdr:blipFill>
      <xdr:spPr>
        <a:xfrm>
          <a:off x="16086667" y="16605250"/>
          <a:ext cx="6655142" cy="1241489"/>
        </a:xfrm>
        <a:prstGeom prst="rect">
          <a:avLst/>
        </a:prstGeom>
      </xdr:spPr>
    </xdr:pic>
    <xdr:clientData/>
  </xdr:twoCellAnchor>
  <xdr:twoCellAnchor editAs="oneCell">
    <xdr:from>
      <xdr:col>26</xdr:col>
      <xdr:colOff>0</xdr:colOff>
      <xdr:row>100</xdr:row>
      <xdr:rowOff>0</xdr:rowOff>
    </xdr:from>
    <xdr:to>
      <xdr:col>37</xdr:col>
      <xdr:colOff>8460</xdr:colOff>
      <xdr:row>107</xdr:row>
      <xdr:rowOff>83678</xdr:rowOff>
    </xdr:to>
    <xdr:pic>
      <xdr:nvPicPr>
        <xdr:cNvPr id="34" name="Picture 33">
          <a:extLst>
            <a:ext uri="{FF2B5EF4-FFF2-40B4-BE49-F238E27FC236}">
              <a16:creationId xmlns:a16="http://schemas.microsoft.com/office/drawing/2014/main" id="{93C82BBE-487E-4464-882A-C002B2E1CAA7}"/>
            </a:ext>
          </a:extLst>
        </xdr:cNvPr>
        <xdr:cNvPicPr>
          <a:picLocks noChangeAspect="1"/>
        </xdr:cNvPicPr>
      </xdr:nvPicPr>
      <xdr:blipFill>
        <a:blip xmlns:r="http://schemas.openxmlformats.org/officeDocument/2006/relationships" r:embed="rId32"/>
        <a:stretch>
          <a:fillRect/>
        </a:stretch>
      </xdr:blipFill>
      <xdr:spPr>
        <a:xfrm>
          <a:off x="16065500" y="17991667"/>
          <a:ext cx="6750397" cy="1339919"/>
        </a:xfrm>
        <a:prstGeom prst="rect">
          <a:avLst/>
        </a:prstGeom>
      </xdr:spPr>
    </xdr:pic>
    <xdr:clientData/>
  </xdr:twoCellAnchor>
  <xdr:twoCellAnchor editAs="oneCell">
    <xdr:from>
      <xdr:col>1</xdr:col>
      <xdr:colOff>56444</xdr:colOff>
      <xdr:row>228</xdr:row>
      <xdr:rowOff>77612</xdr:rowOff>
    </xdr:from>
    <xdr:to>
      <xdr:col>6</xdr:col>
      <xdr:colOff>580730</xdr:colOff>
      <xdr:row>232</xdr:row>
      <xdr:rowOff>46215</xdr:rowOff>
    </xdr:to>
    <xdr:pic>
      <xdr:nvPicPr>
        <xdr:cNvPr id="2" name="Picture 1">
          <a:extLst>
            <a:ext uri="{FF2B5EF4-FFF2-40B4-BE49-F238E27FC236}">
              <a16:creationId xmlns:a16="http://schemas.microsoft.com/office/drawing/2014/main" id="{C550477E-AC38-4C03-A871-D63CDE62FA2B}"/>
            </a:ext>
          </a:extLst>
        </xdr:cNvPr>
        <xdr:cNvPicPr>
          <a:picLocks noChangeAspect="1"/>
        </xdr:cNvPicPr>
      </xdr:nvPicPr>
      <xdr:blipFill>
        <a:blip xmlns:r="http://schemas.openxmlformats.org/officeDocument/2006/relationships" r:embed="rId33"/>
        <a:stretch>
          <a:fillRect/>
        </a:stretch>
      </xdr:blipFill>
      <xdr:spPr>
        <a:xfrm>
          <a:off x="663222" y="41902945"/>
          <a:ext cx="3755377" cy="705556"/>
        </a:xfrm>
        <a:prstGeom prst="rect">
          <a:avLst/>
        </a:prstGeom>
      </xdr:spPr>
    </xdr:pic>
    <xdr:clientData/>
  </xdr:twoCellAnchor>
  <xdr:twoCellAnchor editAs="oneCell">
    <xdr:from>
      <xdr:col>1</xdr:col>
      <xdr:colOff>1</xdr:colOff>
      <xdr:row>235</xdr:row>
      <xdr:rowOff>0</xdr:rowOff>
    </xdr:from>
    <xdr:to>
      <xdr:col>8</xdr:col>
      <xdr:colOff>502908</xdr:colOff>
      <xdr:row>242</xdr:row>
      <xdr:rowOff>0</xdr:rowOff>
    </xdr:to>
    <xdr:pic>
      <xdr:nvPicPr>
        <xdr:cNvPr id="35" name="Picture 34">
          <a:extLst>
            <a:ext uri="{FF2B5EF4-FFF2-40B4-BE49-F238E27FC236}">
              <a16:creationId xmlns:a16="http://schemas.microsoft.com/office/drawing/2014/main" id="{7FCCD952-4E17-4D45-BFBF-E76139757FDF}"/>
            </a:ext>
          </a:extLst>
        </xdr:cNvPr>
        <xdr:cNvPicPr>
          <a:picLocks noChangeAspect="1"/>
        </xdr:cNvPicPr>
      </xdr:nvPicPr>
      <xdr:blipFill>
        <a:blip xmlns:r="http://schemas.openxmlformats.org/officeDocument/2006/relationships" r:embed="rId34"/>
        <a:stretch>
          <a:fillRect/>
        </a:stretch>
      </xdr:blipFill>
      <xdr:spPr>
        <a:xfrm>
          <a:off x="606779" y="43109444"/>
          <a:ext cx="4941204" cy="1284112"/>
        </a:xfrm>
        <a:prstGeom prst="rect">
          <a:avLst/>
        </a:prstGeom>
      </xdr:spPr>
    </xdr:pic>
    <xdr:clientData/>
  </xdr:twoCellAnchor>
  <xdr:twoCellAnchor editAs="oneCell">
    <xdr:from>
      <xdr:col>1</xdr:col>
      <xdr:colOff>35278</xdr:colOff>
      <xdr:row>244</xdr:row>
      <xdr:rowOff>70556</xdr:rowOff>
    </xdr:from>
    <xdr:to>
      <xdr:col>12</xdr:col>
      <xdr:colOff>513660</xdr:colOff>
      <xdr:row>269</xdr:row>
      <xdr:rowOff>50389</xdr:rowOff>
    </xdr:to>
    <xdr:pic>
      <xdr:nvPicPr>
        <xdr:cNvPr id="36" name="Picture 35">
          <a:extLst>
            <a:ext uri="{FF2B5EF4-FFF2-40B4-BE49-F238E27FC236}">
              <a16:creationId xmlns:a16="http://schemas.microsoft.com/office/drawing/2014/main" id="{C0D57CB2-C5E7-4FC3-972E-012FF32841AE}"/>
            </a:ext>
          </a:extLst>
        </xdr:cNvPr>
        <xdr:cNvPicPr>
          <a:picLocks noChangeAspect="1"/>
        </xdr:cNvPicPr>
      </xdr:nvPicPr>
      <xdr:blipFill>
        <a:blip xmlns:r="http://schemas.openxmlformats.org/officeDocument/2006/relationships" r:embed="rId35"/>
        <a:stretch>
          <a:fillRect/>
        </a:stretch>
      </xdr:blipFill>
      <xdr:spPr>
        <a:xfrm>
          <a:off x="642056" y="44831000"/>
          <a:ext cx="7901531" cy="4562770"/>
        </a:xfrm>
        <a:prstGeom prst="rect">
          <a:avLst/>
        </a:prstGeom>
      </xdr:spPr>
    </xdr:pic>
    <xdr:clientData/>
  </xdr:twoCellAnchor>
  <xdr:twoCellAnchor editAs="oneCell">
    <xdr:from>
      <xdr:col>26</xdr:col>
      <xdr:colOff>0</xdr:colOff>
      <xdr:row>113</xdr:row>
      <xdr:rowOff>0</xdr:rowOff>
    </xdr:from>
    <xdr:to>
      <xdr:col>38</xdr:col>
      <xdr:colOff>122888</xdr:colOff>
      <xdr:row>132</xdr:row>
      <xdr:rowOff>162535</xdr:rowOff>
    </xdr:to>
    <xdr:pic>
      <xdr:nvPicPr>
        <xdr:cNvPr id="37" name="Picture 36">
          <a:extLst>
            <a:ext uri="{FF2B5EF4-FFF2-40B4-BE49-F238E27FC236}">
              <a16:creationId xmlns:a16="http://schemas.microsoft.com/office/drawing/2014/main" id="{CE28D901-71DB-455F-B4F6-864849FA582A}"/>
            </a:ext>
          </a:extLst>
        </xdr:cNvPr>
        <xdr:cNvPicPr>
          <a:picLocks noChangeAspect="1"/>
        </xdr:cNvPicPr>
      </xdr:nvPicPr>
      <xdr:blipFill>
        <a:blip xmlns:r="http://schemas.openxmlformats.org/officeDocument/2006/relationships" r:embed="rId36"/>
        <a:stretch>
          <a:fillRect/>
        </a:stretch>
      </xdr:blipFill>
      <xdr:spPr>
        <a:xfrm>
          <a:off x="16943917" y="20330583"/>
          <a:ext cx="7495238" cy="3580952"/>
        </a:xfrm>
        <a:prstGeom prst="rect">
          <a:avLst/>
        </a:prstGeom>
      </xdr:spPr>
    </xdr:pic>
    <xdr:clientData/>
  </xdr:twoCellAnchor>
  <xdr:twoCellAnchor editAs="oneCell">
    <xdr:from>
      <xdr:col>26</xdr:col>
      <xdr:colOff>0</xdr:colOff>
      <xdr:row>136</xdr:row>
      <xdr:rowOff>0</xdr:rowOff>
    </xdr:from>
    <xdr:to>
      <xdr:col>37</xdr:col>
      <xdr:colOff>352595</xdr:colOff>
      <xdr:row>163</xdr:row>
      <xdr:rowOff>132726</xdr:rowOff>
    </xdr:to>
    <xdr:pic>
      <xdr:nvPicPr>
        <xdr:cNvPr id="38" name="Picture 37">
          <a:extLst>
            <a:ext uri="{FF2B5EF4-FFF2-40B4-BE49-F238E27FC236}">
              <a16:creationId xmlns:a16="http://schemas.microsoft.com/office/drawing/2014/main" id="{49911A8A-AA91-4EA2-B68A-3BD03679FB21}"/>
            </a:ext>
          </a:extLst>
        </xdr:cNvPr>
        <xdr:cNvPicPr>
          <a:picLocks noChangeAspect="1"/>
        </xdr:cNvPicPr>
      </xdr:nvPicPr>
      <xdr:blipFill>
        <a:blip xmlns:r="http://schemas.openxmlformats.org/officeDocument/2006/relationships" r:embed="rId37"/>
        <a:stretch>
          <a:fillRect/>
        </a:stretch>
      </xdr:blipFill>
      <xdr:spPr>
        <a:xfrm>
          <a:off x="16943917" y="24468667"/>
          <a:ext cx="7104762" cy="4990476"/>
        </a:xfrm>
        <a:prstGeom prst="rect">
          <a:avLst/>
        </a:prstGeom>
      </xdr:spPr>
    </xdr:pic>
    <xdr:clientData/>
  </xdr:twoCellAnchor>
  <xdr:twoCellAnchor editAs="oneCell">
    <xdr:from>
      <xdr:col>26</xdr:col>
      <xdr:colOff>0</xdr:colOff>
      <xdr:row>171</xdr:row>
      <xdr:rowOff>0</xdr:rowOff>
    </xdr:from>
    <xdr:to>
      <xdr:col>33</xdr:col>
      <xdr:colOff>239674</xdr:colOff>
      <xdr:row>177</xdr:row>
      <xdr:rowOff>12563</xdr:rowOff>
    </xdr:to>
    <xdr:pic>
      <xdr:nvPicPr>
        <xdr:cNvPr id="39" name="Picture 38">
          <a:extLst>
            <a:ext uri="{FF2B5EF4-FFF2-40B4-BE49-F238E27FC236}">
              <a16:creationId xmlns:a16="http://schemas.microsoft.com/office/drawing/2014/main" id="{325F8534-93DA-448D-803E-8D0A4FF5E6E3}"/>
            </a:ext>
          </a:extLst>
        </xdr:cNvPr>
        <xdr:cNvPicPr>
          <a:picLocks noChangeAspect="1"/>
        </xdr:cNvPicPr>
      </xdr:nvPicPr>
      <xdr:blipFill>
        <a:blip xmlns:r="http://schemas.openxmlformats.org/officeDocument/2006/relationships" r:embed="rId38"/>
        <a:stretch>
          <a:fillRect/>
        </a:stretch>
      </xdr:blipFill>
      <xdr:spPr>
        <a:xfrm>
          <a:off x="16943917" y="30765750"/>
          <a:ext cx="4533333" cy="1095238"/>
        </a:xfrm>
        <a:prstGeom prst="rect">
          <a:avLst/>
        </a:prstGeom>
      </xdr:spPr>
    </xdr:pic>
    <xdr:clientData/>
  </xdr:twoCellAnchor>
  <xdr:twoCellAnchor editAs="oneCell">
    <xdr:from>
      <xdr:col>26</xdr:col>
      <xdr:colOff>0</xdr:colOff>
      <xdr:row>191</xdr:row>
      <xdr:rowOff>1</xdr:rowOff>
    </xdr:from>
    <xdr:to>
      <xdr:col>36</xdr:col>
      <xdr:colOff>359832</xdr:colOff>
      <xdr:row>201</xdr:row>
      <xdr:rowOff>158948</xdr:rowOff>
    </xdr:to>
    <xdr:pic>
      <xdr:nvPicPr>
        <xdr:cNvPr id="40" name="Picture 39">
          <a:extLst>
            <a:ext uri="{FF2B5EF4-FFF2-40B4-BE49-F238E27FC236}">
              <a16:creationId xmlns:a16="http://schemas.microsoft.com/office/drawing/2014/main" id="{EB8B28A3-7FCA-4E78-BF83-495D9D3A2186}"/>
            </a:ext>
          </a:extLst>
        </xdr:cNvPr>
        <xdr:cNvPicPr>
          <a:picLocks noChangeAspect="1"/>
        </xdr:cNvPicPr>
      </xdr:nvPicPr>
      <xdr:blipFill>
        <a:blip xmlns:r="http://schemas.openxmlformats.org/officeDocument/2006/relationships" r:embed="rId39"/>
        <a:stretch>
          <a:fillRect/>
        </a:stretch>
      </xdr:blipFill>
      <xdr:spPr>
        <a:xfrm>
          <a:off x="16943917" y="34364084"/>
          <a:ext cx="6498166" cy="1958114"/>
        </a:xfrm>
        <a:prstGeom prst="rect">
          <a:avLst/>
        </a:prstGeom>
      </xdr:spPr>
    </xdr:pic>
    <xdr:clientData/>
  </xdr:twoCellAnchor>
  <xdr:twoCellAnchor editAs="oneCell">
    <xdr:from>
      <xdr:col>26</xdr:col>
      <xdr:colOff>52916</xdr:colOff>
      <xdr:row>206</xdr:row>
      <xdr:rowOff>84667</xdr:rowOff>
    </xdr:from>
    <xdr:to>
      <xdr:col>35</xdr:col>
      <xdr:colOff>235038</xdr:colOff>
      <xdr:row>212</xdr:row>
      <xdr:rowOff>124698</xdr:rowOff>
    </xdr:to>
    <xdr:pic>
      <xdr:nvPicPr>
        <xdr:cNvPr id="41" name="Picture 40">
          <a:extLst>
            <a:ext uri="{FF2B5EF4-FFF2-40B4-BE49-F238E27FC236}">
              <a16:creationId xmlns:a16="http://schemas.microsoft.com/office/drawing/2014/main" id="{A92F5FAD-28C4-46B3-970E-5931589F0C7E}"/>
            </a:ext>
          </a:extLst>
        </xdr:cNvPr>
        <xdr:cNvPicPr>
          <a:picLocks noChangeAspect="1"/>
        </xdr:cNvPicPr>
      </xdr:nvPicPr>
      <xdr:blipFill>
        <a:blip xmlns:r="http://schemas.openxmlformats.org/officeDocument/2006/relationships" r:embed="rId40"/>
        <a:stretch>
          <a:fillRect/>
        </a:stretch>
      </xdr:blipFill>
      <xdr:spPr>
        <a:xfrm>
          <a:off x="16996833" y="37147500"/>
          <a:ext cx="5703447" cy="1116356"/>
        </a:xfrm>
        <a:prstGeom prst="rect">
          <a:avLst/>
        </a:prstGeom>
      </xdr:spPr>
    </xdr:pic>
    <xdr:clientData/>
  </xdr:twoCellAnchor>
  <xdr:twoCellAnchor editAs="oneCell">
    <xdr:from>
      <xdr:col>26</xdr:col>
      <xdr:colOff>1</xdr:colOff>
      <xdr:row>217</xdr:row>
      <xdr:rowOff>0</xdr:rowOff>
    </xdr:from>
    <xdr:to>
      <xdr:col>37</xdr:col>
      <xdr:colOff>0</xdr:colOff>
      <xdr:row>225</xdr:row>
      <xdr:rowOff>1300</xdr:rowOff>
    </xdr:to>
    <xdr:pic>
      <xdr:nvPicPr>
        <xdr:cNvPr id="42" name="Picture 41">
          <a:extLst>
            <a:ext uri="{FF2B5EF4-FFF2-40B4-BE49-F238E27FC236}">
              <a16:creationId xmlns:a16="http://schemas.microsoft.com/office/drawing/2014/main" id="{35289EA3-B6AE-4ECE-A50D-A15B574A0DB2}"/>
            </a:ext>
          </a:extLst>
        </xdr:cNvPr>
        <xdr:cNvPicPr>
          <a:picLocks noChangeAspect="1"/>
        </xdr:cNvPicPr>
      </xdr:nvPicPr>
      <xdr:blipFill>
        <a:blip xmlns:r="http://schemas.openxmlformats.org/officeDocument/2006/relationships" r:embed="rId41"/>
        <a:stretch>
          <a:fillRect/>
        </a:stretch>
      </xdr:blipFill>
      <xdr:spPr>
        <a:xfrm>
          <a:off x="16943918" y="39041917"/>
          <a:ext cx="6752166" cy="1440633"/>
        </a:xfrm>
        <a:prstGeom prst="rect">
          <a:avLst/>
        </a:prstGeom>
      </xdr:spPr>
    </xdr:pic>
    <xdr:clientData/>
  </xdr:twoCellAnchor>
  <xdr:twoCellAnchor editAs="oneCell">
    <xdr:from>
      <xdr:col>26</xdr:col>
      <xdr:colOff>74083</xdr:colOff>
      <xdr:row>228</xdr:row>
      <xdr:rowOff>112536</xdr:rowOff>
    </xdr:from>
    <xdr:to>
      <xdr:col>33</xdr:col>
      <xdr:colOff>143932</xdr:colOff>
      <xdr:row>246</xdr:row>
      <xdr:rowOff>26924</xdr:rowOff>
    </xdr:to>
    <xdr:pic>
      <xdr:nvPicPr>
        <xdr:cNvPr id="43" name="Picture 42">
          <a:extLst>
            <a:ext uri="{FF2B5EF4-FFF2-40B4-BE49-F238E27FC236}">
              <a16:creationId xmlns:a16="http://schemas.microsoft.com/office/drawing/2014/main" id="{A508F8DC-93B0-44EC-89A4-52DC8A343A49}"/>
            </a:ext>
          </a:extLst>
        </xdr:cNvPr>
        <xdr:cNvPicPr>
          <a:picLocks noChangeAspect="1"/>
        </xdr:cNvPicPr>
      </xdr:nvPicPr>
      <xdr:blipFill>
        <a:blip xmlns:r="http://schemas.openxmlformats.org/officeDocument/2006/relationships" r:embed="rId42"/>
        <a:stretch>
          <a:fillRect/>
        </a:stretch>
      </xdr:blipFill>
      <xdr:spPr>
        <a:xfrm>
          <a:off x="17018000" y="41133536"/>
          <a:ext cx="4363508" cy="3149713"/>
        </a:xfrm>
        <a:prstGeom prst="rect">
          <a:avLst/>
        </a:prstGeom>
      </xdr:spPr>
    </xdr:pic>
    <xdr:clientData/>
  </xdr:twoCellAnchor>
  <xdr:twoCellAnchor editAs="oneCell">
    <xdr:from>
      <xdr:col>34</xdr:col>
      <xdr:colOff>0</xdr:colOff>
      <xdr:row>229</xdr:row>
      <xdr:rowOff>0</xdr:rowOff>
    </xdr:from>
    <xdr:to>
      <xdr:col>42</xdr:col>
      <xdr:colOff>293158</xdr:colOff>
      <xdr:row>236</xdr:row>
      <xdr:rowOff>125202</xdr:rowOff>
    </xdr:to>
    <xdr:pic>
      <xdr:nvPicPr>
        <xdr:cNvPr id="44" name="Picture 43">
          <a:extLst>
            <a:ext uri="{FF2B5EF4-FFF2-40B4-BE49-F238E27FC236}">
              <a16:creationId xmlns:a16="http://schemas.microsoft.com/office/drawing/2014/main" id="{27FEBC51-92B8-4DC2-96CC-EC849DC4A37C}"/>
            </a:ext>
          </a:extLst>
        </xdr:cNvPr>
        <xdr:cNvPicPr>
          <a:picLocks noChangeAspect="1"/>
        </xdr:cNvPicPr>
      </xdr:nvPicPr>
      <xdr:blipFill>
        <a:blip xmlns:r="http://schemas.openxmlformats.org/officeDocument/2006/relationships" r:embed="rId43"/>
        <a:stretch>
          <a:fillRect/>
        </a:stretch>
      </xdr:blipFill>
      <xdr:spPr>
        <a:xfrm>
          <a:off x="21854583" y="41200917"/>
          <a:ext cx="5683250" cy="1387793"/>
        </a:xfrm>
        <a:prstGeom prst="rect">
          <a:avLst/>
        </a:prstGeom>
      </xdr:spPr>
    </xdr:pic>
    <xdr:clientData/>
  </xdr:twoCellAnchor>
  <xdr:twoCellAnchor editAs="oneCell">
    <xdr:from>
      <xdr:col>26</xdr:col>
      <xdr:colOff>1</xdr:colOff>
      <xdr:row>251</xdr:row>
      <xdr:rowOff>0</xdr:rowOff>
    </xdr:from>
    <xdr:to>
      <xdr:col>36</xdr:col>
      <xdr:colOff>179917</xdr:colOff>
      <xdr:row>262</xdr:row>
      <xdr:rowOff>87733</xdr:rowOff>
    </xdr:to>
    <xdr:pic>
      <xdr:nvPicPr>
        <xdr:cNvPr id="45" name="Picture 44">
          <a:extLst>
            <a:ext uri="{FF2B5EF4-FFF2-40B4-BE49-F238E27FC236}">
              <a16:creationId xmlns:a16="http://schemas.microsoft.com/office/drawing/2014/main" id="{364C44B6-F258-43E3-8A76-3370CE59B03B}"/>
            </a:ext>
          </a:extLst>
        </xdr:cNvPr>
        <xdr:cNvPicPr>
          <a:picLocks noChangeAspect="1"/>
        </xdr:cNvPicPr>
      </xdr:nvPicPr>
      <xdr:blipFill>
        <a:blip xmlns:r="http://schemas.openxmlformats.org/officeDocument/2006/relationships" r:embed="rId44"/>
        <a:stretch>
          <a:fillRect/>
        </a:stretch>
      </xdr:blipFill>
      <xdr:spPr>
        <a:xfrm>
          <a:off x="16943918" y="45159083"/>
          <a:ext cx="6318250" cy="2066817"/>
        </a:xfrm>
        <a:prstGeom prst="rect">
          <a:avLst/>
        </a:prstGeom>
      </xdr:spPr>
    </xdr:pic>
    <xdr:clientData/>
  </xdr:twoCellAnchor>
  <xdr:twoCellAnchor editAs="oneCell">
    <xdr:from>
      <xdr:col>25</xdr:col>
      <xdr:colOff>592667</xdr:colOff>
      <xdr:row>274</xdr:row>
      <xdr:rowOff>45507</xdr:rowOff>
    </xdr:from>
    <xdr:to>
      <xdr:col>37</xdr:col>
      <xdr:colOff>26971</xdr:colOff>
      <xdr:row>291</xdr:row>
      <xdr:rowOff>154035</xdr:rowOff>
    </xdr:to>
    <xdr:pic>
      <xdr:nvPicPr>
        <xdr:cNvPr id="46" name="Picture 45">
          <a:extLst>
            <a:ext uri="{FF2B5EF4-FFF2-40B4-BE49-F238E27FC236}">
              <a16:creationId xmlns:a16="http://schemas.microsoft.com/office/drawing/2014/main" id="{B9AC73C5-8783-404F-B552-76D55150FAC4}"/>
            </a:ext>
          </a:extLst>
        </xdr:cNvPr>
        <xdr:cNvPicPr>
          <a:picLocks noChangeAspect="1"/>
        </xdr:cNvPicPr>
      </xdr:nvPicPr>
      <xdr:blipFill>
        <a:blip xmlns:r="http://schemas.openxmlformats.org/officeDocument/2006/relationships" r:embed="rId45"/>
        <a:stretch>
          <a:fillRect/>
        </a:stretch>
      </xdr:blipFill>
      <xdr:spPr>
        <a:xfrm>
          <a:off x="16922750" y="49342674"/>
          <a:ext cx="6800304" cy="3167111"/>
        </a:xfrm>
        <a:prstGeom prst="rect">
          <a:avLst/>
        </a:prstGeom>
      </xdr:spPr>
    </xdr:pic>
    <xdr:clientData/>
  </xdr:twoCellAnchor>
  <xdr:twoCellAnchor editAs="oneCell">
    <xdr:from>
      <xdr:col>36</xdr:col>
      <xdr:colOff>560918</xdr:colOff>
      <xdr:row>274</xdr:row>
      <xdr:rowOff>21167</xdr:rowOff>
    </xdr:from>
    <xdr:to>
      <xdr:col>45</xdr:col>
      <xdr:colOff>306918</xdr:colOff>
      <xdr:row>295</xdr:row>
      <xdr:rowOff>140603</xdr:rowOff>
    </xdr:to>
    <xdr:pic>
      <xdr:nvPicPr>
        <xdr:cNvPr id="47" name="Picture 46">
          <a:extLst>
            <a:ext uri="{FF2B5EF4-FFF2-40B4-BE49-F238E27FC236}">
              <a16:creationId xmlns:a16="http://schemas.microsoft.com/office/drawing/2014/main" id="{B63ADCE4-D8F8-4954-801D-7BB0EBB8D17B}"/>
            </a:ext>
          </a:extLst>
        </xdr:cNvPr>
        <xdr:cNvPicPr>
          <a:picLocks noChangeAspect="1"/>
        </xdr:cNvPicPr>
      </xdr:nvPicPr>
      <xdr:blipFill>
        <a:blip xmlns:r="http://schemas.openxmlformats.org/officeDocument/2006/relationships" r:embed="rId46"/>
        <a:stretch>
          <a:fillRect/>
        </a:stretch>
      </xdr:blipFill>
      <xdr:spPr>
        <a:xfrm>
          <a:off x="23643168" y="49318334"/>
          <a:ext cx="5746750" cy="3894511"/>
        </a:xfrm>
        <a:prstGeom prst="rect">
          <a:avLst/>
        </a:prstGeom>
      </xdr:spPr>
    </xdr:pic>
    <xdr:clientData/>
  </xdr:twoCellAnchor>
  <xdr:twoCellAnchor editAs="oneCell">
    <xdr:from>
      <xdr:col>1</xdr:col>
      <xdr:colOff>0</xdr:colOff>
      <xdr:row>285</xdr:row>
      <xdr:rowOff>0</xdr:rowOff>
    </xdr:from>
    <xdr:to>
      <xdr:col>4</xdr:col>
      <xdr:colOff>487962</xdr:colOff>
      <xdr:row>295</xdr:row>
      <xdr:rowOff>102658</xdr:rowOff>
    </xdr:to>
    <xdr:pic>
      <xdr:nvPicPr>
        <xdr:cNvPr id="48" name="Picture 47">
          <a:extLst>
            <a:ext uri="{FF2B5EF4-FFF2-40B4-BE49-F238E27FC236}">
              <a16:creationId xmlns:a16="http://schemas.microsoft.com/office/drawing/2014/main" id="{1368A158-1182-4F06-B3A6-6605ACCED899}"/>
            </a:ext>
          </a:extLst>
        </xdr:cNvPr>
        <xdr:cNvPicPr>
          <a:picLocks noChangeAspect="1"/>
        </xdr:cNvPicPr>
      </xdr:nvPicPr>
      <xdr:blipFill>
        <a:blip xmlns:r="http://schemas.openxmlformats.org/officeDocument/2006/relationships" r:embed="rId47"/>
        <a:stretch>
          <a:fillRect/>
        </a:stretch>
      </xdr:blipFill>
      <xdr:spPr>
        <a:xfrm>
          <a:off x="613833" y="51276250"/>
          <a:ext cx="2533721" cy="1905000"/>
        </a:xfrm>
        <a:prstGeom prst="rect">
          <a:avLst/>
        </a:prstGeom>
      </xdr:spPr>
    </xdr:pic>
    <xdr:clientData/>
  </xdr:twoCellAnchor>
  <xdr:twoCellAnchor editAs="oneCell">
    <xdr:from>
      <xdr:col>5</xdr:col>
      <xdr:colOff>42333</xdr:colOff>
      <xdr:row>286</xdr:row>
      <xdr:rowOff>74084</xdr:rowOff>
    </xdr:from>
    <xdr:to>
      <xdr:col>9</xdr:col>
      <xdr:colOff>568325</xdr:colOff>
      <xdr:row>297</xdr:row>
      <xdr:rowOff>107063</xdr:rowOff>
    </xdr:to>
    <xdr:pic>
      <xdr:nvPicPr>
        <xdr:cNvPr id="49" name="Picture 48">
          <a:extLst>
            <a:ext uri="{FF2B5EF4-FFF2-40B4-BE49-F238E27FC236}">
              <a16:creationId xmlns:a16="http://schemas.microsoft.com/office/drawing/2014/main" id="{C7FDD401-2E5B-4D79-BD28-BA6080FAB00E}"/>
            </a:ext>
          </a:extLst>
        </xdr:cNvPr>
        <xdr:cNvPicPr>
          <a:picLocks noChangeAspect="1"/>
        </xdr:cNvPicPr>
      </xdr:nvPicPr>
      <xdr:blipFill>
        <a:blip xmlns:r="http://schemas.openxmlformats.org/officeDocument/2006/relationships" r:embed="rId48"/>
        <a:stretch>
          <a:fillRect/>
        </a:stretch>
      </xdr:blipFill>
      <xdr:spPr>
        <a:xfrm>
          <a:off x="3312583" y="51530251"/>
          <a:ext cx="2981325" cy="2008887"/>
        </a:xfrm>
        <a:prstGeom prst="rect">
          <a:avLst/>
        </a:prstGeom>
      </xdr:spPr>
    </xdr:pic>
    <xdr:clientData/>
  </xdr:twoCellAnchor>
  <xdr:twoCellAnchor editAs="oneCell">
    <xdr:from>
      <xdr:col>1</xdr:col>
      <xdr:colOff>10585</xdr:colOff>
      <xdr:row>300</xdr:row>
      <xdr:rowOff>68454</xdr:rowOff>
    </xdr:from>
    <xdr:to>
      <xdr:col>6</xdr:col>
      <xdr:colOff>296335</xdr:colOff>
      <xdr:row>306</xdr:row>
      <xdr:rowOff>2838</xdr:rowOff>
    </xdr:to>
    <xdr:pic>
      <xdr:nvPicPr>
        <xdr:cNvPr id="50" name="Picture 49">
          <a:extLst>
            <a:ext uri="{FF2B5EF4-FFF2-40B4-BE49-F238E27FC236}">
              <a16:creationId xmlns:a16="http://schemas.microsoft.com/office/drawing/2014/main" id="{4C330DDA-880E-45DE-973F-636953F7B198}"/>
            </a:ext>
          </a:extLst>
        </xdr:cNvPr>
        <xdr:cNvPicPr>
          <a:picLocks noChangeAspect="1"/>
        </xdr:cNvPicPr>
      </xdr:nvPicPr>
      <xdr:blipFill>
        <a:blip xmlns:r="http://schemas.openxmlformats.org/officeDocument/2006/relationships" r:embed="rId49"/>
        <a:stretch>
          <a:fillRect/>
        </a:stretch>
      </xdr:blipFill>
      <xdr:spPr>
        <a:xfrm>
          <a:off x="624418" y="54043454"/>
          <a:ext cx="3556000" cy="1013884"/>
        </a:xfrm>
        <a:prstGeom prst="rect">
          <a:avLst/>
        </a:prstGeom>
      </xdr:spPr>
    </xdr:pic>
    <xdr:clientData/>
  </xdr:twoCellAnchor>
  <xdr:twoCellAnchor editAs="oneCell">
    <xdr:from>
      <xdr:col>1</xdr:col>
      <xdr:colOff>10583</xdr:colOff>
      <xdr:row>308</xdr:row>
      <xdr:rowOff>105834</xdr:rowOff>
    </xdr:from>
    <xdr:to>
      <xdr:col>10</xdr:col>
      <xdr:colOff>515408</xdr:colOff>
      <xdr:row>314</xdr:row>
      <xdr:rowOff>87806</xdr:rowOff>
    </xdr:to>
    <xdr:pic>
      <xdr:nvPicPr>
        <xdr:cNvPr id="51" name="Picture 50">
          <a:extLst>
            <a:ext uri="{FF2B5EF4-FFF2-40B4-BE49-F238E27FC236}">
              <a16:creationId xmlns:a16="http://schemas.microsoft.com/office/drawing/2014/main" id="{C94B5ADB-68B5-4634-8958-C6A53D4BFF99}"/>
            </a:ext>
          </a:extLst>
        </xdr:cNvPr>
        <xdr:cNvPicPr>
          <a:picLocks noChangeAspect="1"/>
        </xdr:cNvPicPr>
      </xdr:nvPicPr>
      <xdr:blipFill>
        <a:blip xmlns:r="http://schemas.openxmlformats.org/officeDocument/2006/relationships" r:embed="rId50"/>
        <a:stretch>
          <a:fillRect/>
        </a:stretch>
      </xdr:blipFill>
      <xdr:spPr>
        <a:xfrm>
          <a:off x="624416" y="55520167"/>
          <a:ext cx="6230409" cy="1061472"/>
        </a:xfrm>
        <a:prstGeom prst="rect">
          <a:avLst/>
        </a:prstGeom>
      </xdr:spPr>
    </xdr:pic>
    <xdr:clientData/>
  </xdr:twoCellAnchor>
  <xdr:twoCellAnchor editAs="oneCell">
    <xdr:from>
      <xdr:col>10</xdr:col>
      <xdr:colOff>684741</xdr:colOff>
      <xdr:row>308</xdr:row>
      <xdr:rowOff>106144</xdr:rowOff>
    </xdr:from>
    <xdr:to>
      <xdr:col>21</xdr:col>
      <xdr:colOff>524932</xdr:colOff>
      <xdr:row>329</xdr:row>
      <xdr:rowOff>130325</xdr:rowOff>
    </xdr:to>
    <xdr:pic>
      <xdr:nvPicPr>
        <xdr:cNvPr id="52" name="Picture 51">
          <a:extLst>
            <a:ext uri="{FF2B5EF4-FFF2-40B4-BE49-F238E27FC236}">
              <a16:creationId xmlns:a16="http://schemas.microsoft.com/office/drawing/2014/main" id="{1699B6B3-C826-43DF-A5DD-481120BBF7AD}"/>
            </a:ext>
          </a:extLst>
        </xdr:cNvPr>
        <xdr:cNvPicPr>
          <a:picLocks noChangeAspect="1"/>
        </xdr:cNvPicPr>
      </xdr:nvPicPr>
      <xdr:blipFill>
        <a:blip xmlns:r="http://schemas.openxmlformats.org/officeDocument/2006/relationships" r:embed="rId51"/>
        <a:stretch>
          <a:fillRect/>
        </a:stretch>
      </xdr:blipFill>
      <xdr:spPr>
        <a:xfrm>
          <a:off x="7024158" y="55520477"/>
          <a:ext cx="7841191" cy="3802431"/>
        </a:xfrm>
        <a:prstGeom prst="rect">
          <a:avLst/>
        </a:prstGeom>
      </xdr:spPr>
    </xdr:pic>
    <xdr:clientData/>
  </xdr:twoCellAnchor>
  <xdr:twoCellAnchor editAs="oneCell">
    <xdr:from>
      <xdr:col>26</xdr:col>
      <xdr:colOff>0</xdr:colOff>
      <xdr:row>301</xdr:row>
      <xdr:rowOff>0</xdr:rowOff>
    </xdr:from>
    <xdr:to>
      <xdr:col>34</xdr:col>
      <xdr:colOff>497416</xdr:colOff>
      <xdr:row>316</xdr:row>
      <xdr:rowOff>26983</xdr:rowOff>
    </xdr:to>
    <xdr:pic>
      <xdr:nvPicPr>
        <xdr:cNvPr id="53" name="Picture 52">
          <a:extLst>
            <a:ext uri="{FF2B5EF4-FFF2-40B4-BE49-F238E27FC236}">
              <a16:creationId xmlns:a16="http://schemas.microsoft.com/office/drawing/2014/main" id="{F0155D61-4E79-4E1D-A84C-E7A6F143670F}"/>
            </a:ext>
          </a:extLst>
        </xdr:cNvPr>
        <xdr:cNvPicPr>
          <a:picLocks noChangeAspect="1"/>
        </xdr:cNvPicPr>
      </xdr:nvPicPr>
      <xdr:blipFill>
        <a:blip xmlns:r="http://schemas.openxmlformats.org/officeDocument/2006/relationships" r:embed="rId52"/>
        <a:stretch>
          <a:fillRect/>
        </a:stretch>
      </xdr:blipFill>
      <xdr:spPr>
        <a:xfrm>
          <a:off x="16943917" y="54154917"/>
          <a:ext cx="5408083" cy="2732083"/>
        </a:xfrm>
        <a:prstGeom prst="rect">
          <a:avLst/>
        </a:prstGeom>
      </xdr:spPr>
    </xdr:pic>
    <xdr:clientData/>
  </xdr:twoCellAnchor>
  <xdr:twoCellAnchor editAs="oneCell">
    <xdr:from>
      <xdr:col>34</xdr:col>
      <xdr:colOff>243417</xdr:colOff>
      <xdr:row>323</xdr:row>
      <xdr:rowOff>3816</xdr:rowOff>
    </xdr:from>
    <xdr:to>
      <xdr:col>37</xdr:col>
      <xdr:colOff>172508</xdr:colOff>
      <xdr:row>332</xdr:row>
      <xdr:rowOff>49315</xdr:rowOff>
    </xdr:to>
    <xdr:pic>
      <xdr:nvPicPr>
        <xdr:cNvPr id="55" name="Picture 54">
          <a:extLst>
            <a:ext uri="{FF2B5EF4-FFF2-40B4-BE49-F238E27FC236}">
              <a16:creationId xmlns:a16="http://schemas.microsoft.com/office/drawing/2014/main" id="{AAA16ACF-097F-402B-BBF8-B29C8C302368}"/>
            </a:ext>
          </a:extLst>
        </xdr:cNvPr>
        <xdr:cNvPicPr>
          <a:picLocks noChangeAspect="1"/>
        </xdr:cNvPicPr>
      </xdr:nvPicPr>
      <xdr:blipFill>
        <a:blip xmlns:r="http://schemas.openxmlformats.org/officeDocument/2006/relationships" r:embed="rId53"/>
        <a:stretch>
          <a:fillRect/>
        </a:stretch>
      </xdr:blipFill>
      <xdr:spPr>
        <a:xfrm>
          <a:off x="22098000" y="58116899"/>
          <a:ext cx="1770591" cy="1658399"/>
        </a:xfrm>
        <a:prstGeom prst="rect">
          <a:avLst/>
        </a:prstGeom>
      </xdr:spPr>
    </xdr:pic>
    <xdr:clientData/>
  </xdr:twoCellAnchor>
  <xdr:twoCellAnchor editAs="oneCell">
    <xdr:from>
      <xdr:col>27</xdr:col>
      <xdr:colOff>0</xdr:colOff>
      <xdr:row>333</xdr:row>
      <xdr:rowOff>0</xdr:rowOff>
    </xdr:from>
    <xdr:to>
      <xdr:col>33</xdr:col>
      <xdr:colOff>88429</xdr:colOff>
      <xdr:row>338</xdr:row>
      <xdr:rowOff>160734</xdr:rowOff>
    </xdr:to>
    <xdr:pic>
      <xdr:nvPicPr>
        <xdr:cNvPr id="56" name="Picture 55">
          <a:extLst>
            <a:ext uri="{FF2B5EF4-FFF2-40B4-BE49-F238E27FC236}">
              <a16:creationId xmlns:a16="http://schemas.microsoft.com/office/drawing/2014/main" id="{551A54B5-50F5-4FB8-878D-A83AF06020A0}"/>
            </a:ext>
          </a:extLst>
        </xdr:cNvPr>
        <xdr:cNvPicPr>
          <a:picLocks noChangeAspect="1"/>
        </xdr:cNvPicPr>
      </xdr:nvPicPr>
      <xdr:blipFill>
        <a:blip xmlns:r="http://schemas.openxmlformats.org/officeDocument/2006/relationships" r:embed="rId54"/>
        <a:stretch>
          <a:fillRect/>
        </a:stretch>
      </xdr:blipFill>
      <xdr:spPr>
        <a:xfrm>
          <a:off x="17557750" y="59912250"/>
          <a:ext cx="3771429" cy="1066667"/>
        </a:xfrm>
        <a:prstGeom prst="rect">
          <a:avLst/>
        </a:prstGeom>
      </xdr:spPr>
    </xdr:pic>
    <xdr:clientData/>
  </xdr:twoCellAnchor>
  <xdr:twoCellAnchor editAs="oneCell">
    <xdr:from>
      <xdr:col>35</xdr:col>
      <xdr:colOff>564092</xdr:colOff>
      <xdr:row>338</xdr:row>
      <xdr:rowOff>129836</xdr:rowOff>
    </xdr:from>
    <xdr:to>
      <xdr:col>44</xdr:col>
      <xdr:colOff>49741</xdr:colOff>
      <xdr:row>341</xdr:row>
      <xdr:rowOff>79293</xdr:rowOff>
    </xdr:to>
    <xdr:pic>
      <xdr:nvPicPr>
        <xdr:cNvPr id="57" name="Picture 56">
          <a:extLst>
            <a:ext uri="{FF2B5EF4-FFF2-40B4-BE49-F238E27FC236}">
              <a16:creationId xmlns:a16="http://schemas.microsoft.com/office/drawing/2014/main" id="{4BA5C772-FAEE-4C35-8D5A-22A81C2142F0}"/>
            </a:ext>
          </a:extLst>
        </xdr:cNvPr>
        <xdr:cNvPicPr>
          <a:picLocks noChangeAspect="1"/>
        </xdr:cNvPicPr>
      </xdr:nvPicPr>
      <xdr:blipFill>
        <a:blip xmlns:r="http://schemas.openxmlformats.org/officeDocument/2006/relationships" r:embed="rId55"/>
        <a:stretch>
          <a:fillRect/>
        </a:stretch>
      </xdr:blipFill>
      <xdr:spPr>
        <a:xfrm>
          <a:off x="23032509" y="60941669"/>
          <a:ext cx="5480049" cy="489207"/>
        </a:xfrm>
        <a:prstGeom prst="rect">
          <a:avLst/>
        </a:prstGeom>
      </xdr:spPr>
    </xdr:pic>
    <xdr:clientData/>
  </xdr:twoCellAnchor>
  <xdr:twoCellAnchor editAs="oneCell">
    <xdr:from>
      <xdr:col>35</xdr:col>
      <xdr:colOff>529168</xdr:colOff>
      <xdr:row>341</xdr:row>
      <xdr:rowOff>157914</xdr:rowOff>
    </xdr:from>
    <xdr:to>
      <xdr:col>44</xdr:col>
      <xdr:colOff>7083</xdr:colOff>
      <xdr:row>349</xdr:row>
      <xdr:rowOff>49515</xdr:rowOff>
    </xdr:to>
    <xdr:pic>
      <xdr:nvPicPr>
        <xdr:cNvPr id="58" name="Picture 57">
          <a:extLst>
            <a:ext uri="{FF2B5EF4-FFF2-40B4-BE49-F238E27FC236}">
              <a16:creationId xmlns:a16="http://schemas.microsoft.com/office/drawing/2014/main" id="{EB76EA90-452A-4829-AADA-40B9B5330F19}"/>
            </a:ext>
          </a:extLst>
        </xdr:cNvPr>
        <xdr:cNvPicPr>
          <a:picLocks noChangeAspect="1"/>
        </xdr:cNvPicPr>
      </xdr:nvPicPr>
      <xdr:blipFill>
        <a:blip xmlns:r="http://schemas.openxmlformats.org/officeDocument/2006/relationships" r:embed="rId56"/>
        <a:stretch>
          <a:fillRect/>
        </a:stretch>
      </xdr:blipFill>
      <xdr:spPr>
        <a:xfrm>
          <a:off x="22997585" y="61509497"/>
          <a:ext cx="5478665" cy="1330935"/>
        </a:xfrm>
        <a:prstGeom prst="rect">
          <a:avLst/>
        </a:prstGeom>
      </xdr:spPr>
    </xdr:pic>
    <xdr:clientData/>
  </xdr:twoCellAnchor>
  <xdr:twoCellAnchor editAs="oneCell">
    <xdr:from>
      <xdr:col>26</xdr:col>
      <xdr:colOff>455084</xdr:colOff>
      <xdr:row>339</xdr:row>
      <xdr:rowOff>70820</xdr:rowOff>
    </xdr:from>
    <xdr:to>
      <xdr:col>35</xdr:col>
      <xdr:colOff>420158</xdr:colOff>
      <xdr:row>352</xdr:row>
      <xdr:rowOff>29246</xdr:rowOff>
    </xdr:to>
    <xdr:pic>
      <xdr:nvPicPr>
        <xdr:cNvPr id="59" name="Picture 58">
          <a:extLst>
            <a:ext uri="{FF2B5EF4-FFF2-40B4-BE49-F238E27FC236}">
              <a16:creationId xmlns:a16="http://schemas.microsoft.com/office/drawing/2014/main" id="{41CF0FF7-BB02-4590-A07C-0B0FA60AEE5C}"/>
            </a:ext>
          </a:extLst>
        </xdr:cNvPr>
        <xdr:cNvPicPr>
          <a:picLocks noChangeAspect="1"/>
        </xdr:cNvPicPr>
      </xdr:nvPicPr>
      <xdr:blipFill>
        <a:blip xmlns:r="http://schemas.openxmlformats.org/officeDocument/2006/relationships" r:embed="rId57"/>
        <a:stretch>
          <a:fillRect/>
        </a:stretch>
      </xdr:blipFill>
      <xdr:spPr>
        <a:xfrm>
          <a:off x="17399001" y="61062570"/>
          <a:ext cx="5489574" cy="2297343"/>
        </a:xfrm>
        <a:prstGeom prst="rect">
          <a:avLst/>
        </a:prstGeom>
      </xdr:spPr>
    </xdr:pic>
    <xdr:clientData/>
  </xdr:twoCellAnchor>
  <xdr:twoCellAnchor editAs="oneCell">
    <xdr:from>
      <xdr:col>27</xdr:col>
      <xdr:colOff>52916</xdr:colOff>
      <xdr:row>325</xdr:row>
      <xdr:rowOff>98426</xdr:rowOff>
    </xdr:from>
    <xdr:to>
      <xdr:col>33</xdr:col>
      <xdr:colOff>173091</xdr:colOff>
      <xdr:row>332</xdr:row>
      <xdr:rowOff>67583</xdr:rowOff>
    </xdr:to>
    <xdr:pic>
      <xdr:nvPicPr>
        <xdr:cNvPr id="60" name="Picture 59">
          <a:extLst>
            <a:ext uri="{FF2B5EF4-FFF2-40B4-BE49-F238E27FC236}">
              <a16:creationId xmlns:a16="http://schemas.microsoft.com/office/drawing/2014/main" id="{88D43AC8-EDD5-430B-8498-F60B87F8358A}"/>
            </a:ext>
          </a:extLst>
        </xdr:cNvPr>
        <xdr:cNvPicPr>
          <a:picLocks noChangeAspect="1"/>
        </xdr:cNvPicPr>
      </xdr:nvPicPr>
      <xdr:blipFill>
        <a:blip xmlns:r="http://schemas.openxmlformats.org/officeDocument/2006/relationships" r:embed="rId58"/>
        <a:stretch>
          <a:fillRect/>
        </a:stretch>
      </xdr:blipFill>
      <xdr:spPr>
        <a:xfrm>
          <a:off x="17610666" y="58571343"/>
          <a:ext cx="3803175" cy="1222223"/>
        </a:xfrm>
        <a:prstGeom prst="rect">
          <a:avLst/>
        </a:prstGeom>
      </xdr:spPr>
    </xdr:pic>
    <xdr:clientData/>
  </xdr:twoCellAnchor>
  <xdr:twoCellAnchor editAs="oneCell">
    <xdr:from>
      <xdr:col>1</xdr:col>
      <xdr:colOff>10583</xdr:colOff>
      <xdr:row>337</xdr:row>
      <xdr:rowOff>56090</xdr:rowOff>
    </xdr:from>
    <xdr:to>
      <xdr:col>8</xdr:col>
      <xdr:colOff>95022</xdr:colOff>
      <xdr:row>366</xdr:row>
      <xdr:rowOff>124920</xdr:rowOff>
    </xdr:to>
    <xdr:pic>
      <xdr:nvPicPr>
        <xdr:cNvPr id="61" name="Picture 60">
          <a:extLst>
            <a:ext uri="{FF2B5EF4-FFF2-40B4-BE49-F238E27FC236}">
              <a16:creationId xmlns:a16="http://schemas.microsoft.com/office/drawing/2014/main" id="{60C75F0F-A4BF-4852-BFCC-9C9CA3BC0708}"/>
            </a:ext>
          </a:extLst>
        </xdr:cNvPr>
        <xdr:cNvPicPr>
          <a:picLocks noChangeAspect="1"/>
        </xdr:cNvPicPr>
      </xdr:nvPicPr>
      <xdr:blipFill>
        <a:blip xmlns:r="http://schemas.openxmlformats.org/officeDocument/2006/relationships" r:embed="rId59"/>
        <a:stretch>
          <a:fillRect/>
        </a:stretch>
      </xdr:blipFill>
      <xdr:spPr>
        <a:xfrm>
          <a:off x="624416" y="60688007"/>
          <a:ext cx="4582356" cy="5280063"/>
        </a:xfrm>
        <a:prstGeom prst="rect">
          <a:avLst/>
        </a:prstGeom>
      </xdr:spPr>
    </xdr:pic>
    <xdr:clientData/>
  </xdr:twoCellAnchor>
  <xdr:twoCellAnchor editAs="oneCell">
    <xdr:from>
      <xdr:col>1</xdr:col>
      <xdr:colOff>0</xdr:colOff>
      <xdr:row>370</xdr:row>
      <xdr:rowOff>0</xdr:rowOff>
    </xdr:from>
    <xdr:to>
      <xdr:col>8</xdr:col>
      <xdr:colOff>74083</xdr:colOff>
      <xdr:row>400</xdr:row>
      <xdr:rowOff>134949</xdr:rowOff>
    </xdr:to>
    <xdr:pic>
      <xdr:nvPicPr>
        <xdr:cNvPr id="63" name="Picture 62">
          <a:extLst>
            <a:ext uri="{FF2B5EF4-FFF2-40B4-BE49-F238E27FC236}">
              <a16:creationId xmlns:a16="http://schemas.microsoft.com/office/drawing/2014/main" id="{D10BEC69-7363-4237-A414-E4939B7C69DE}"/>
            </a:ext>
          </a:extLst>
        </xdr:cNvPr>
        <xdr:cNvPicPr>
          <a:picLocks noChangeAspect="1"/>
        </xdr:cNvPicPr>
      </xdr:nvPicPr>
      <xdr:blipFill>
        <a:blip xmlns:r="http://schemas.openxmlformats.org/officeDocument/2006/relationships" r:embed="rId60"/>
        <a:stretch>
          <a:fillRect/>
        </a:stretch>
      </xdr:blipFill>
      <xdr:spPr>
        <a:xfrm>
          <a:off x="613833" y="66569167"/>
          <a:ext cx="4572000" cy="5532449"/>
        </a:xfrm>
        <a:prstGeom prst="rect">
          <a:avLst/>
        </a:prstGeom>
      </xdr:spPr>
    </xdr:pic>
    <xdr:clientData/>
  </xdr:twoCellAnchor>
  <xdr:twoCellAnchor editAs="oneCell">
    <xdr:from>
      <xdr:col>0</xdr:col>
      <xdr:colOff>582084</xdr:colOff>
      <xdr:row>409</xdr:row>
      <xdr:rowOff>129256</xdr:rowOff>
    </xdr:from>
    <xdr:to>
      <xdr:col>8</xdr:col>
      <xdr:colOff>113243</xdr:colOff>
      <xdr:row>421</xdr:row>
      <xdr:rowOff>59931</xdr:rowOff>
    </xdr:to>
    <xdr:pic>
      <xdr:nvPicPr>
        <xdr:cNvPr id="64" name="Picture 63">
          <a:extLst>
            <a:ext uri="{FF2B5EF4-FFF2-40B4-BE49-F238E27FC236}">
              <a16:creationId xmlns:a16="http://schemas.microsoft.com/office/drawing/2014/main" id="{7D28211C-D42E-4EDA-8394-8CE0013A6DA6}"/>
            </a:ext>
          </a:extLst>
        </xdr:cNvPr>
        <xdr:cNvPicPr>
          <a:picLocks noChangeAspect="1"/>
        </xdr:cNvPicPr>
      </xdr:nvPicPr>
      <xdr:blipFill>
        <a:blip xmlns:r="http://schemas.openxmlformats.org/officeDocument/2006/relationships" r:embed="rId61"/>
        <a:stretch>
          <a:fillRect/>
        </a:stretch>
      </xdr:blipFill>
      <xdr:spPr>
        <a:xfrm>
          <a:off x="582084" y="73715173"/>
          <a:ext cx="4642909" cy="2089675"/>
        </a:xfrm>
        <a:prstGeom prst="rect">
          <a:avLst/>
        </a:prstGeom>
      </xdr:spPr>
    </xdr:pic>
    <xdr:clientData/>
  </xdr:twoCellAnchor>
  <xdr:twoCellAnchor editAs="oneCell">
    <xdr:from>
      <xdr:col>10</xdr:col>
      <xdr:colOff>52918</xdr:colOff>
      <xdr:row>403</xdr:row>
      <xdr:rowOff>42332</xdr:rowOff>
    </xdr:from>
    <xdr:to>
      <xdr:col>16</xdr:col>
      <xdr:colOff>473076</xdr:colOff>
      <xdr:row>408</xdr:row>
      <xdr:rowOff>173553</xdr:rowOff>
    </xdr:to>
    <xdr:pic>
      <xdr:nvPicPr>
        <xdr:cNvPr id="65" name="Picture 64">
          <a:extLst>
            <a:ext uri="{FF2B5EF4-FFF2-40B4-BE49-F238E27FC236}">
              <a16:creationId xmlns:a16="http://schemas.microsoft.com/office/drawing/2014/main" id="{B2DB2D0B-394F-4BF0-BE3D-43617C725EAA}"/>
            </a:ext>
          </a:extLst>
        </xdr:cNvPr>
        <xdr:cNvPicPr>
          <a:picLocks noChangeAspect="1"/>
        </xdr:cNvPicPr>
      </xdr:nvPicPr>
      <xdr:blipFill>
        <a:blip xmlns:r="http://schemas.openxmlformats.org/officeDocument/2006/relationships" r:embed="rId62"/>
        <a:stretch>
          <a:fillRect/>
        </a:stretch>
      </xdr:blipFill>
      <xdr:spPr>
        <a:xfrm>
          <a:off x="6392335" y="72548749"/>
          <a:ext cx="5069416" cy="1030804"/>
        </a:xfrm>
        <a:prstGeom prst="rect">
          <a:avLst/>
        </a:prstGeom>
      </xdr:spPr>
    </xdr:pic>
    <xdr:clientData/>
  </xdr:twoCellAnchor>
  <xdr:twoCellAnchor editAs="oneCell">
    <xdr:from>
      <xdr:col>26</xdr:col>
      <xdr:colOff>0</xdr:colOff>
      <xdr:row>358</xdr:row>
      <xdr:rowOff>0</xdr:rowOff>
    </xdr:from>
    <xdr:to>
      <xdr:col>34</xdr:col>
      <xdr:colOff>200445</xdr:colOff>
      <xdr:row>376</xdr:row>
      <xdr:rowOff>37690</xdr:rowOff>
    </xdr:to>
    <xdr:pic>
      <xdr:nvPicPr>
        <xdr:cNvPr id="66" name="Picture 65">
          <a:extLst>
            <a:ext uri="{FF2B5EF4-FFF2-40B4-BE49-F238E27FC236}">
              <a16:creationId xmlns:a16="http://schemas.microsoft.com/office/drawing/2014/main" id="{C2CF5723-13A4-4A35-A07D-D62C2FABC84F}"/>
            </a:ext>
          </a:extLst>
        </xdr:cNvPr>
        <xdr:cNvPicPr>
          <a:picLocks noChangeAspect="1"/>
        </xdr:cNvPicPr>
      </xdr:nvPicPr>
      <xdr:blipFill>
        <a:blip xmlns:r="http://schemas.openxmlformats.org/officeDocument/2006/relationships" r:embed="rId63"/>
        <a:stretch>
          <a:fillRect/>
        </a:stretch>
      </xdr:blipFill>
      <xdr:spPr>
        <a:xfrm>
          <a:off x="16943917" y="64410167"/>
          <a:ext cx="5104762" cy="3276190"/>
        </a:xfrm>
        <a:prstGeom prst="rect">
          <a:avLst/>
        </a:prstGeom>
      </xdr:spPr>
    </xdr:pic>
    <xdr:clientData/>
  </xdr:twoCellAnchor>
  <xdr:twoCellAnchor editAs="oneCell">
    <xdr:from>
      <xdr:col>26</xdr:col>
      <xdr:colOff>31750</xdr:colOff>
      <xdr:row>382</xdr:row>
      <xdr:rowOff>95250</xdr:rowOff>
    </xdr:from>
    <xdr:to>
      <xdr:col>36</xdr:col>
      <xdr:colOff>610877</xdr:colOff>
      <xdr:row>395</xdr:row>
      <xdr:rowOff>162684</xdr:rowOff>
    </xdr:to>
    <xdr:pic>
      <xdr:nvPicPr>
        <xdr:cNvPr id="54" name="Picture 53">
          <a:extLst>
            <a:ext uri="{FF2B5EF4-FFF2-40B4-BE49-F238E27FC236}">
              <a16:creationId xmlns:a16="http://schemas.microsoft.com/office/drawing/2014/main" id="{05CE1C21-4D70-43FA-A31C-814E292CDC76}"/>
            </a:ext>
          </a:extLst>
        </xdr:cNvPr>
        <xdr:cNvPicPr>
          <a:picLocks noChangeAspect="1"/>
        </xdr:cNvPicPr>
      </xdr:nvPicPr>
      <xdr:blipFill>
        <a:blip xmlns:r="http://schemas.openxmlformats.org/officeDocument/2006/relationships" r:embed="rId64"/>
        <a:stretch>
          <a:fillRect/>
        </a:stretch>
      </xdr:blipFill>
      <xdr:spPr>
        <a:xfrm>
          <a:off x="16975667" y="68823417"/>
          <a:ext cx="6717461" cy="2403175"/>
        </a:xfrm>
        <a:prstGeom prst="rect">
          <a:avLst/>
        </a:prstGeom>
      </xdr:spPr>
    </xdr:pic>
    <xdr:clientData/>
  </xdr:twoCellAnchor>
  <xdr:twoCellAnchor editAs="oneCell">
    <xdr:from>
      <xdr:col>25</xdr:col>
      <xdr:colOff>589492</xdr:colOff>
      <xdr:row>402</xdr:row>
      <xdr:rowOff>10584</xdr:rowOff>
    </xdr:from>
    <xdr:to>
      <xdr:col>36</xdr:col>
      <xdr:colOff>450025</xdr:colOff>
      <xdr:row>408</xdr:row>
      <xdr:rowOff>134259</xdr:rowOff>
    </xdr:to>
    <xdr:pic>
      <xdr:nvPicPr>
        <xdr:cNvPr id="62" name="Picture 61">
          <a:extLst>
            <a:ext uri="{FF2B5EF4-FFF2-40B4-BE49-F238E27FC236}">
              <a16:creationId xmlns:a16="http://schemas.microsoft.com/office/drawing/2014/main" id="{959B7174-BAF9-41CC-8841-193FA9E79B37}"/>
            </a:ext>
          </a:extLst>
        </xdr:cNvPr>
        <xdr:cNvPicPr>
          <a:picLocks noChangeAspect="1"/>
        </xdr:cNvPicPr>
      </xdr:nvPicPr>
      <xdr:blipFill>
        <a:blip xmlns:r="http://schemas.openxmlformats.org/officeDocument/2006/relationships" r:embed="rId65"/>
        <a:stretch>
          <a:fillRect/>
        </a:stretch>
      </xdr:blipFill>
      <xdr:spPr>
        <a:xfrm>
          <a:off x="16919575" y="72337084"/>
          <a:ext cx="6609525" cy="1203175"/>
        </a:xfrm>
        <a:prstGeom prst="rect">
          <a:avLst/>
        </a:prstGeom>
      </xdr:spPr>
    </xdr:pic>
    <xdr:clientData/>
  </xdr:twoCellAnchor>
  <xdr:twoCellAnchor editAs="oneCell">
    <xdr:from>
      <xdr:col>26</xdr:col>
      <xdr:colOff>52916</xdr:colOff>
      <xdr:row>395</xdr:row>
      <xdr:rowOff>169334</xdr:rowOff>
    </xdr:from>
    <xdr:to>
      <xdr:col>36</xdr:col>
      <xdr:colOff>352677</xdr:colOff>
      <xdr:row>398</xdr:row>
      <xdr:rowOff>86727</xdr:rowOff>
    </xdr:to>
    <xdr:pic>
      <xdr:nvPicPr>
        <xdr:cNvPr id="67" name="Picture 66">
          <a:extLst>
            <a:ext uri="{FF2B5EF4-FFF2-40B4-BE49-F238E27FC236}">
              <a16:creationId xmlns:a16="http://schemas.microsoft.com/office/drawing/2014/main" id="{036F5F91-7517-4286-B8CA-A7AEFC2FB8F4}"/>
            </a:ext>
          </a:extLst>
        </xdr:cNvPr>
        <xdr:cNvPicPr>
          <a:picLocks noChangeAspect="1"/>
        </xdr:cNvPicPr>
      </xdr:nvPicPr>
      <xdr:blipFill>
        <a:blip xmlns:r="http://schemas.openxmlformats.org/officeDocument/2006/relationships" r:embed="rId66"/>
        <a:stretch>
          <a:fillRect/>
        </a:stretch>
      </xdr:blipFill>
      <xdr:spPr>
        <a:xfrm>
          <a:off x="16996833" y="71236417"/>
          <a:ext cx="6431745" cy="457143"/>
        </a:xfrm>
        <a:prstGeom prst="rect">
          <a:avLst/>
        </a:prstGeom>
      </xdr:spPr>
    </xdr:pic>
    <xdr:clientData/>
  </xdr:twoCellAnchor>
  <xdr:twoCellAnchor editAs="oneCell">
    <xdr:from>
      <xdr:col>26</xdr:col>
      <xdr:colOff>0</xdr:colOff>
      <xdr:row>415</xdr:row>
      <xdr:rowOff>0</xdr:rowOff>
    </xdr:from>
    <xdr:to>
      <xdr:col>33</xdr:col>
      <xdr:colOff>601579</xdr:colOff>
      <xdr:row>444</xdr:row>
      <xdr:rowOff>115750</xdr:rowOff>
    </xdr:to>
    <xdr:pic>
      <xdr:nvPicPr>
        <xdr:cNvPr id="68" name="Picture 67">
          <a:extLst>
            <a:ext uri="{FF2B5EF4-FFF2-40B4-BE49-F238E27FC236}">
              <a16:creationId xmlns:a16="http://schemas.microsoft.com/office/drawing/2014/main" id="{8149ADAB-B9BE-4373-845A-D240E2AF726B}"/>
            </a:ext>
          </a:extLst>
        </xdr:cNvPr>
        <xdr:cNvPicPr>
          <a:picLocks noChangeAspect="1"/>
        </xdr:cNvPicPr>
      </xdr:nvPicPr>
      <xdr:blipFill>
        <a:blip xmlns:r="http://schemas.openxmlformats.org/officeDocument/2006/relationships" r:embed="rId67"/>
        <a:stretch>
          <a:fillRect/>
        </a:stretch>
      </xdr:blipFill>
      <xdr:spPr>
        <a:xfrm>
          <a:off x="16943917" y="74665417"/>
          <a:ext cx="4895238" cy="5333333"/>
        </a:xfrm>
        <a:prstGeom prst="rect">
          <a:avLst/>
        </a:prstGeom>
      </xdr:spPr>
    </xdr:pic>
    <xdr:clientData/>
  </xdr:twoCellAnchor>
  <xdr:twoCellAnchor editAs="oneCell">
    <xdr:from>
      <xdr:col>1</xdr:col>
      <xdr:colOff>21167</xdr:colOff>
      <xdr:row>425</xdr:row>
      <xdr:rowOff>52917</xdr:rowOff>
    </xdr:from>
    <xdr:to>
      <xdr:col>10</xdr:col>
      <xdr:colOff>171773</xdr:colOff>
      <xdr:row>429</xdr:row>
      <xdr:rowOff>107854</xdr:rowOff>
    </xdr:to>
    <xdr:pic>
      <xdr:nvPicPr>
        <xdr:cNvPr id="69" name="Picture 68">
          <a:extLst>
            <a:ext uri="{FF2B5EF4-FFF2-40B4-BE49-F238E27FC236}">
              <a16:creationId xmlns:a16="http://schemas.microsoft.com/office/drawing/2014/main" id="{3E6CDFC2-0B4C-4868-810A-B252051EA726}"/>
            </a:ext>
          </a:extLst>
        </xdr:cNvPr>
        <xdr:cNvPicPr>
          <a:picLocks noChangeAspect="1"/>
        </xdr:cNvPicPr>
      </xdr:nvPicPr>
      <xdr:blipFill>
        <a:blip xmlns:r="http://schemas.openxmlformats.org/officeDocument/2006/relationships" r:embed="rId68"/>
        <a:stretch>
          <a:fillRect/>
        </a:stretch>
      </xdr:blipFill>
      <xdr:spPr>
        <a:xfrm>
          <a:off x="635000" y="76517500"/>
          <a:ext cx="5876190" cy="768254"/>
        </a:xfrm>
        <a:prstGeom prst="rect">
          <a:avLst/>
        </a:prstGeom>
      </xdr:spPr>
    </xdr:pic>
    <xdr:clientData/>
  </xdr:twoCellAnchor>
  <xdr:twoCellAnchor editAs="oneCell">
    <xdr:from>
      <xdr:col>1</xdr:col>
      <xdr:colOff>0</xdr:colOff>
      <xdr:row>430</xdr:row>
      <xdr:rowOff>0</xdr:rowOff>
    </xdr:from>
    <xdr:to>
      <xdr:col>10</xdr:col>
      <xdr:colOff>55368</xdr:colOff>
      <xdr:row>440</xdr:row>
      <xdr:rowOff>86548</xdr:rowOff>
    </xdr:to>
    <xdr:pic>
      <xdr:nvPicPr>
        <xdr:cNvPr id="70" name="Picture 69">
          <a:extLst>
            <a:ext uri="{FF2B5EF4-FFF2-40B4-BE49-F238E27FC236}">
              <a16:creationId xmlns:a16="http://schemas.microsoft.com/office/drawing/2014/main" id="{B529B928-6C1C-45D8-B43E-20BDF480E6A0}"/>
            </a:ext>
          </a:extLst>
        </xdr:cNvPr>
        <xdr:cNvPicPr>
          <a:picLocks noChangeAspect="1"/>
        </xdr:cNvPicPr>
      </xdr:nvPicPr>
      <xdr:blipFill>
        <a:blip xmlns:r="http://schemas.openxmlformats.org/officeDocument/2006/relationships" r:embed="rId69"/>
        <a:stretch>
          <a:fillRect/>
        </a:stretch>
      </xdr:blipFill>
      <xdr:spPr>
        <a:xfrm>
          <a:off x="613833" y="77364167"/>
          <a:ext cx="5780952" cy="1885714"/>
        </a:xfrm>
        <a:prstGeom prst="rect">
          <a:avLst/>
        </a:prstGeom>
      </xdr:spPr>
    </xdr:pic>
    <xdr:clientData/>
  </xdr:twoCellAnchor>
  <xdr:twoCellAnchor editAs="oneCell">
    <xdr:from>
      <xdr:col>10</xdr:col>
      <xdr:colOff>285750</xdr:colOff>
      <xdr:row>425</xdr:row>
      <xdr:rowOff>21167</xdr:rowOff>
    </xdr:from>
    <xdr:to>
      <xdr:col>13</xdr:col>
      <xdr:colOff>371158</xdr:colOff>
      <xdr:row>447</xdr:row>
      <xdr:rowOff>145539</xdr:rowOff>
    </xdr:to>
    <xdr:pic>
      <xdr:nvPicPr>
        <xdr:cNvPr id="71" name="Picture 70">
          <a:extLst>
            <a:ext uri="{FF2B5EF4-FFF2-40B4-BE49-F238E27FC236}">
              <a16:creationId xmlns:a16="http://schemas.microsoft.com/office/drawing/2014/main" id="{6D86BA92-ACDB-4389-966C-D91C3FDDA8B5}"/>
            </a:ext>
          </a:extLst>
        </xdr:cNvPr>
        <xdr:cNvPicPr>
          <a:picLocks noChangeAspect="1"/>
        </xdr:cNvPicPr>
      </xdr:nvPicPr>
      <xdr:blipFill>
        <a:blip xmlns:r="http://schemas.openxmlformats.org/officeDocument/2006/relationships" r:embed="rId70"/>
        <a:stretch>
          <a:fillRect/>
        </a:stretch>
      </xdr:blipFill>
      <xdr:spPr>
        <a:xfrm>
          <a:off x="6625167" y="76485750"/>
          <a:ext cx="2530158" cy="4082539"/>
        </a:xfrm>
        <a:prstGeom prst="rect">
          <a:avLst/>
        </a:prstGeom>
      </xdr:spPr>
    </xdr:pic>
    <xdr:clientData/>
  </xdr:twoCellAnchor>
  <xdr:twoCellAnchor editAs="oneCell">
    <xdr:from>
      <xdr:col>1</xdr:col>
      <xdr:colOff>95250</xdr:colOff>
      <xdr:row>441</xdr:row>
      <xdr:rowOff>0</xdr:rowOff>
    </xdr:from>
    <xdr:to>
      <xdr:col>5</xdr:col>
      <xdr:colOff>426134</xdr:colOff>
      <xdr:row>446</xdr:row>
      <xdr:rowOff>68671</xdr:rowOff>
    </xdr:to>
    <xdr:pic>
      <xdr:nvPicPr>
        <xdr:cNvPr id="72" name="Picture 71">
          <a:extLst>
            <a:ext uri="{FF2B5EF4-FFF2-40B4-BE49-F238E27FC236}">
              <a16:creationId xmlns:a16="http://schemas.microsoft.com/office/drawing/2014/main" id="{B9DB872F-3846-4F0F-803B-030859A41A0D}"/>
            </a:ext>
          </a:extLst>
        </xdr:cNvPr>
        <xdr:cNvPicPr>
          <a:picLocks noChangeAspect="1"/>
        </xdr:cNvPicPr>
      </xdr:nvPicPr>
      <xdr:blipFill>
        <a:blip xmlns:r="http://schemas.openxmlformats.org/officeDocument/2006/relationships" r:embed="rId71"/>
        <a:stretch>
          <a:fillRect/>
        </a:stretch>
      </xdr:blipFill>
      <xdr:spPr>
        <a:xfrm>
          <a:off x="709083" y="79343250"/>
          <a:ext cx="2987301" cy="968254"/>
        </a:xfrm>
        <a:prstGeom prst="rect">
          <a:avLst/>
        </a:prstGeom>
      </xdr:spPr>
    </xdr:pic>
    <xdr:clientData/>
  </xdr:twoCellAnchor>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72"/>
        <a:stretch>
          <a:fillRect/>
        </a:stretch>
      </xdr:blipFill>
      <xdr:spPr>
        <a:xfrm>
          <a:off x="1227667" y="81862083"/>
          <a:ext cx="5914286" cy="628571"/>
        </a:xfrm>
        <a:prstGeom prst="rect">
          <a:avLst/>
        </a:prstGeom>
      </xdr:spPr>
    </xdr:pic>
    <xdr:clientData/>
  </xdr:twoCellAnchor>
  <xdr:twoCellAnchor editAs="oneCell">
    <xdr:from>
      <xdr:col>18</xdr:col>
      <xdr:colOff>0</xdr:colOff>
      <xdr:row>449</xdr:row>
      <xdr:rowOff>0</xdr:rowOff>
    </xdr:from>
    <xdr:to>
      <xdr:col>29</xdr:col>
      <xdr:colOff>259883</xdr:colOff>
      <xdr:row>458</xdr:row>
      <xdr:rowOff>74084</xdr:rowOff>
    </xdr:to>
    <xdr:pic>
      <xdr:nvPicPr>
        <xdr:cNvPr id="74" name="Picture 73">
          <a:extLst>
            <a:ext uri="{FF2B5EF4-FFF2-40B4-BE49-F238E27FC236}">
              <a16:creationId xmlns:a16="http://schemas.microsoft.com/office/drawing/2014/main" id="{1CFBEB60-967B-49ED-B11A-D132E723E00F}"/>
            </a:ext>
          </a:extLst>
        </xdr:cNvPr>
        <xdr:cNvPicPr>
          <a:picLocks noChangeAspect="1"/>
        </xdr:cNvPicPr>
      </xdr:nvPicPr>
      <xdr:blipFill>
        <a:blip xmlns:r="http://schemas.openxmlformats.org/officeDocument/2006/relationships" r:embed="rId73"/>
        <a:stretch>
          <a:fillRect/>
        </a:stretch>
      </xdr:blipFill>
      <xdr:spPr>
        <a:xfrm>
          <a:off x="12530667" y="80782583"/>
          <a:ext cx="6980299" cy="1693334"/>
        </a:xfrm>
        <a:prstGeom prst="rect">
          <a:avLst/>
        </a:prstGeom>
      </xdr:spPr>
    </xdr:pic>
    <xdr:clientData/>
  </xdr:twoCellAnchor>
  <xdr:twoCellAnchor editAs="oneCell">
    <xdr:from>
      <xdr:col>18</xdr:col>
      <xdr:colOff>42333</xdr:colOff>
      <xdr:row>458</xdr:row>
      <xdr:rowOff>137584</xdr:rowOff>
    </xdr:from>
    <xdr:to>
      <xdr:col>28</xdr:col>
      <xdr:colOff>255058</xdr:colOff>
      <xdr:row>471</xdr:row>
      <xdr:rowOff>9844</xdr:rowOff>
    </xdr:to>
    <xdr:pic>
      <xdr:nvPicPr>
        <xdr:cNvPr id="75" name="Picture 74">
          <a:extLst>
            <a:ext uri="{FF2B5EF4-FFF2-40B4-BE49-F238E27FC236}">
              <a16:creationId xmlns:a16="http://schemas.microsoft.com/office/drawing/2014/main" id="{00F77FE2-3C30-43FF-8323-0D9BAFCE28AD}"/>
            </a:ext>
          </a:extLst>
        </xdr:cNvPr>
        <xdr:cNvPicPr>
          <a:picLocks noChangeAspect="1"/>
        </xdr:cNvPicPr>
      </xdr:nvPicPr>
      <xdr:blipFill>
        <a:blip xmlns:r="http://schemas.openxmlformats.org/officeDocument/2006/relationships" r:embed="rId74"/>
        <a:stretch>
          <a:fillRect/>
        </a:stretch>
      </xdr:blipFill>
      <xdr:spPr>
        <a:xfrm>
          <a:off x="12573000" y="82539417"/>
          <a:ext cx="6325658" cy="2204827"/>
        </a:xfrm>
        <a:prstGeom prst="rect">
          <a:avLst/>
        </a:prstGeom>
      </xdr:spPr>
    </xdr:pic>
    <xdr:clientData/>
  </xdr:twoCellAnchor>
  <xdr:twoCellAnchor editAs="oneCell">
    <xdr:from>
      <xdr:col>0</xdr:col>
      <xdr:colOff>571501</xdr:colOff>
      <xdr:row>470</xdr:row>
      <xdr:rowOff>145263</xdr:rowOff>
    </xdr:from>
    <xdr:to>
      <xdr:col>8</xdr:col>
      <xdr:colOff>359835</xdr:colOff>
      <xdr:row>477</xdr:row>
      <xdr:rowOff>120338</xdr:rowOff>
    </xdr:to>
    <xdr:pic>
      <xdr:nvPicPr>
        <xdr:cNvPr id="76" name="Picture 75">
          <a:extLst>
            <a:ext uri="{FF2B5EF4-FFF2-40B4-BE49-F238E27FC236}">
              <a16:creationId xmlns:a16="http://schemas.microsoft.com/office/drawing/2014/main" id="{775F64A3-D4C7-4E20-96EB-05333AA91A4A}"/>
            </a:ext>
          </a:extLst>
        </xdr:cNvPr>
        <xdr:cNvPicPr>
          <a:picLocks noChangeAspect="1"/>
        </xdr:cNvPicPr>
      </xdr:nvPicPr>
      <xdr:blipFill>
        <a:blip xmlns:r="http://schemas.openxmlformats.org/officeDocument/2006/relationships" r:embed="rId75"/>
        <a:stretch>
          <a:fillRect/>
        </a:stretch>
      </xdr:blipFill>
      <xdr:spPr>
        <a:xfrm>
          <a:off x="571501" y="84706096"/>
          <a:ext cx="4900084" cy="123449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57150</xdr:colOff>
      <xdr:row>1</xdr:row>
      <xdr:rowOff>82550</xdr:rowOff>
    </xdr:from>
    <xdr:to>
      <xdr:col>4</xdr:col>
      <xdr:colOff>420048</xdr:colOff>
      <xdr:row>23</xdr:row>
      <xdr:rowOff>27436</xdr:rowOff>
    </xdr:to>
    <xdr:pic>
      <xdr:nvPicPr>
        <xdr:cNvPr id="2" name="Picture 1">
          <a:extLst>
            <a:ext uri="{FF2B5EF4-FFF2-40B4-BE49-F238E27FC236}">
              <a16:creationId xmlns:a16="http://schemas.microsoft.com/office/drawing/2014/main" id="{A6038C54-6D62-4E8F-A048-2E49F385C753}"/>
            </a:ext>
          </a:extLst>
        </xdr:cNvPr>
        <xdr:cNvPicPr>
          <a:picLocks noChangeAspect="1"/>
        </xdr:cNvPicPr>
      </xdr:nvPicPr>
      <xdr:blipFill>
        <a:blip xmlns:r="http://schemas.openxmlformats.org/officeDocument/2006/relationships" r:embed="rId1"/>
        <a:stretch>
          <a:fillRect/>
        </a:stretch>
      </xdr:blipFill>
      <xdr:spPr>
        <a:xfrm>
          <a:off x="57150" y="266700"/>
          <a:ext cx="3077523" cy="3996186"/>
        </a:xfrm>
        <a:prstGeom prst="rect">
          <a:avLst/>
        </a:prstGeom>
      </xdr:spPr>
    </xdr:pic>
    <xdr:clientData/>
  </xdr:twoCellAnchor>
  <xdr:twoCellAnchor editAs="oneCell">
    <xdr:from>
      <xdr:col>0</xdr:col>
      <xdr:colOff>25401</xdr:colOff>
      <xdr:row>27</xdr:row>
      <xdr:rowOff>69850</xdr:rowOff>
    </xdr:from>
    <xdr:to>
      <xdr:col>6</xdr:col>
      <xdr:colOff>297708</xdr:colOff>
      <xdr:row>32</xdr:row>
      <xdr:rowOff>136331</xdr:rowOff>
    </xdr:to>
    <xdr:pic>
      <xdr:nvPicPr>
        <xdr:cNvPr id="3" name="Picture 2">
          <a:extLst>
            <a:ext uri="{FF2B5EF4-FFF2-40B4-BE49-F238E27FC236}">
              <a16:creationId xmlns:a16="http://schemas.microsoft.com/office/drawing/2014/main" id="{99EC30B7-74C7-4DC5-9EF7-760678C999B0}"/>
            </a:ext>
          </a:extLst>
        </xdr:cNvPr>
        <xdr:cNvPicPr>
          <a:picLocks noChangeAspect="1"/>
        </xdr:cNvPicPr>
      </xdr:nvPicPr>
      <xdr:blipFill>
        <a:blip xmlns:r="http://schemas.openxmlformats.org/officeDocument/2006/relationships" r:embed="rId2"/>
        <a:stretch>
          <a:fillRect/>
        </a:stretch>
      </xdr:blipFill>
      <xdr:spPr>
        <a:xfrm>
          <a:off x="25401" y="5041900"/>
          <a:ext cx="4275982" cy="987231"/>
        </a:xfrm>
        <a:prstGeom prst="rect">
          <a:avLst/>
        </a:prstGeom>
      </xdr:spPr>
    </xdr:pic>
    <xdr:clientData/>
  </xdr:twoCellAnchor>
  <xdr:twoCellAnchor editAs="oneCell">
    <xdr:from>
      <xdr:col>0</xdr:col>
      <xdr:colOff>6351</xdr:colOff>
      <xdr:row>34</xdr:row>
      <xdr:rowOff>68896</xdr:rowOff>
    </xdr:from>
    <xdr:to>
      <xdr:col>6</xdr:col>
      <xdr:colOff>301626</xdr:colOff>
      <xdr:row>37</xdr:row>
      <xdr:rowOff>98301</xdr:rowOff>
    </xdr:to>
    <xdr:pic>
      <xdr:nvPicPr>
        <xdr:cNvPr id="4" name="Picture 3">
          <a:extLst>
            <a:ext uri="{FF2B5EF4-FFF2-40B4-BE49-F238E27FC236}">
              <a16:creationId xmlns:a16="http://schemas.microsoft.com/office/drawing/2014/main" id="{79A4A971-9EDB-4E7B-94EC-EA95195C9A9C}"/>
            </a:ext>
          </a:extLst>
        </xdr:cNvPr>
        <xdr:cNvPicPr>
          <a:picLocks noChangeAspect="1"/>
        </xdr:cNvPicPr>
      </xdr:nvPicPr>
      <xdr:blipFill>
        <a:blip xmlns:r="http://schemas.openxmlformats.org/officeDocument/2006/relationships" r:embed="rId3"/>
        <a:stretch>
          <a:fillRect/>
        </a:stretch>
      </xdr:blipFill>
      <xdr:spPr>
        <a:xfrm>
          <a:off x="6351" y="6329996"/>
          <a:ext cx="4298950" cy="581855"/>
        </a:xfrm>
        <a:prstGeom prst="rect">
          <a:avLst/>
        </a:prstGeom>
      </xdr:spPr>
    </xdr:pic>
    <xdr:clientData/>
  </xdr:twoCellAnchor>
  <xdr:twoCellAnchor editAs="oneCell">
    <xdr:from>
      <xdr:col>5</xdr:col>
      <xdr:colOff>533401</xdr:colOff>
      <xdr:row>17</xdr:row>
      <xdr:rowOff>126830</xdr:rowOff>
    </xdr:from>
    <xdr:to>
      <xdr:col>12</xdr:col>
      <xdr:colOff>704851</xdr:colOff>
      <xdr:row>24</xdr:row>
      <xdr:rowOff>12486</xdr:rowOff>
    </xdr:to>
    <xdr:pic>
      <xdr:nvPicPr>
        <xdr:cNvPr id="5" name="Picture 4">
          <a:extLst>
            <a:ext uri="{FF2B5EF4-FFF2-40B4-BE49-F238E27FC236}">
              <a16:creationId xmlns:a16="http://schemas.microsoft.com/office/drawing/2014/main" id="{463892C7-ABA7-4BEF-8224-15B4C2669D7B}"/>
            </a:ext>
          </a:extLst>
        </xdr:cNvPr>
        <xdr:cNvPicPr>
          <a:picLocks noChangeAspect="1"/>
        </xdr:cNvPicPr>
      </xdr:nvPicPr>
      <xdr:blipFill>
        <a:blip xmlns:r="http://schemas.openxmlformats.org/officeDocument/2006/relationships" r:embed="rId4"/>
        <a:stretch>
          <a:fillRect/>
        </a:stretch>
      </xdr:blipFill>
      <xdr:spPr>
        <a:xfrm>
          <a:off x="3581401" y="3257380"/>
          <a:ext cx="4705350" cy="1174706"/>
        </a:xfrm>
        <a:prstGeom prst="rect">
          <a:avLst/>
        </a:prstGeom>
      </xdr:spPr>
    </xdr:pic>
    <xdr:clientData/>
  </xdr:twoCellAnchor>
  <xdr:twoCellAnchor editAs="oneCell">
    <xdr:from>
      <xdr:col>0</xdr:col>
      <xdr:colOff>69850</xdr:colOff>
      <xdr:row>41</xdr:row>
      <xdr:rowOff>63500</xdr:rowOff>
    </xdr:from>
    <xdr:to>
      <xdr:col>6</xdr:col>
      <xdr:colOff>102439</xdr:colOff>
      <xdr:row>61</xdr:row>
      <xdr:rowOff>59688</xdr:rowOff>
    </xdr:to>
    <xdr:pic>
      <xdr:nvPicPr>
        <xdr:cNvPr id="6" name="Picture 5">
          <a:extLst>
            <a:ext uri="{FF2B5EF4-FFF2-40B4-BE49-F238E27FC236}">
              <a16:creationId xmlns:a16="http://schemas.microsoft.com/office/drawing/2014/main" id="{189C0E52-A45D-44B3-9FFE-827F08186E26}"/>
            </a:ext>
          </a:extLst>
        </xdr:cNvPr>
        <xdr:cNvPicPr>
          <a:picLocks noChangeAspect="1"/>
        </xdr:cNvPicPr>
      </xdr:nvPicPr>
      <xdr:blipFill>
        <a:blip xmlns:r="http://schemas.openxmlformats.org/officeDocument/2006/relationships" r:embed="rId5"/>
        <a:stretch>
          <a:fillRect/>
        </a:stretch>
      </xdr:blipFill>
      <xdr:spPr>
        <a:xfrm>
          <a:off x="69850" y="7613650"/>
          <a:ext cx="4029914" cy="3679188"/>
        </a:xfrm>
        <a:prstGeom prst="rect">
          <a:avLst/>
        </a:prstGeom>
      </xdr:spPr>
    </xdr:pic>
    <xdr:clientData/>
  </xdr:twoCellAnchor>
  <xdr:twoCellAnchor editAs="oneCell">
    <xdr:from>
      <xdr:col>6</xdr:col>
      <xdr:colOff>476250</xdr:colOff>
      <xdr:row>41</xdr:row>
      <xdr:rowOff>82550</xdr:rowOff>
    </xdr:from>
    <xdr:to>
      <xdr:col>12</xdr:col>
      <xdr:colOff>535630</xdr:colOff>
      <xdr:row>70</xdr:row>
      <xdr:rowOff>161007</xdr:rowOff>
    </xdr:to>
    <xdr:pic>
      <xdr:nvPicPr>
        <xdr:cNvPr id="7" name="Picture 6">
          <a:extLst>
            <a:ext uri="{FF2B5EF4-FFF2-40B4-BE49-F238E27FC236}">
              <a16:creationId xmlns:a16="http://schemas.microsoft.com/office/drawing/2014/main" id="{ECF82F06-AF72-46E6-AFDD-BF4B56A4480A}"/>
            </a:ext>
          </a:extLst>
        </xdr:cNvPr>
        <xdr:cNvPicPr>
          <a:picLocks noChangeAspect="1"/>
        </xdr:cNvPicPr>
      </xdr:nvPicPr>
      <xdr:blipFill>
        <a:blip xmlns:r="http://schemas.openxmlformats.org/officeDocument/2006/relationships" r:embed="rId6"/>
        <a:stretch>
          <a:fillRect/>
        </a:stretch>
      </xdr:blipFill>
      <xdr:spPr>
        <a:xfrm>
          <a:off x="4133850" y="7632700"/>
          <a:ext cx="3970980" cy="5418807"/>
        </a:xfrm>
        <a:prstGeom prst="rect">
          <a:avLst/>
        </a:prstGeom>
      </xdr:spPr>
    </xdr:pic>
    <xdr:clientData/>
  </xdr:twoCellAnchor>
  <xdr:twoCellAnchor editAs="oneCell">
    <xdr:from>
      <xdr:col>6</xdr:col>
      <xdr:colOff>6350</xdr:colOff>
      <xdr:row>100</xdr:row>
      <xdr:rowOff>175680</xdr:rowOff>
    </xdr:from>
    <xdr:to>
      <xdr:col>12</xdr:col>
      <xdr:colOff>84235</xdr:colOff>
      <xdr:row>111</xdr:row>
      <xdr:rowOff>19050</xdr:rowOff>
    </xdr:to>
    <xdr:pic>
      <xdr:nvPicPr>
        <xdr:cNvPr id="8" name="Picture 7">
          <a:extLst>
            <a:ext uri="{FF2B5EF4-FFF2-40B4-BE49-F238E27FC236}">
              <a16:creationId xmlns:a16="http://schemas.microsoft.com/office/drawing/2014/main" id="{ADD95998-167E-4A88-ADAD-C84A05255EE5}"/>
            </a:ext>
          </a:extLst>
        </xdr:cNvPr>
        <xdr:cNvPicPr>
          <a:picLocks noChangeAspect="1"/>
        </xdr:cNvPicPr>
      </xdr:nvPicPr>
      <xdr:blipFill>
        <a:blip xmlns:r="http://schemas.openxmlformats.org/officeDocument/2006/relationships" r:embed="rId7"/>
        <a:stretch>
          <a:fillRect/>
        </a:stretch>
      </xdr:blipFill>
      <xdr:spPr>
        <a:xfrm>
          <a:off x="3663950" y="16196730"/>
          <a:ext cx="3995835" cy="1869020"/>
        </a:xfrm>
        <a:prstGeom prst="rect">
          <a:avLst/>
        </a:prstGeom>
      </xdr:spPr>
    </xdr:pic>
    <xdr:clientData/>
  </xdr:twoCellAnchor>
  <xdr:twoCellAnchor editAs="oneCell">
    <xdr:from>
      <xdr:col>0</xdr:col>
      <xdr:colOff>190500</xdr:colOff>
      <xdr:row>115</xdr:row>
      <xdr:rowOff>66675</xdr:rowOff>
    </xdr:from>
    <xdr:to>
      <xdr:col>3</xdr:col>
      <xdr:colOff>431542</xdr:colOff>
      <xdr:row>126</xdr:row>
      <xdr:rowOff>69601</xdr:rowOff>
    </xdr:to>
    <xdr:pic>
      <xdr:nvPicPr>
        <xdr:cNvPr id="9" name="Picture 8">
          <a:extLst>
            <a:ext uri="{FF2B5EF4-FFF2-40B4-BE49-F238E27FC236}">
              <a16:creationId xmlns:a16="http://schemas.microsoft.com/office/drawing/2014/main" id="{7DAB0D18-6A93-49E6-B91A-590564CD7641}"/>
            </a:ext>
          </a:extLst>
        </xdr:cNvPr>
        <xdr:cNvPicPr>
          <a:picLocks noChangeAspect="1"/>
        </xdr:cNvPicPr>
      </xdr:nvPicPr>
      <xdr:blipFill>
        <a:blip xmlns:r="http://schemas.openxmlformats.org/officeDocument/2006/relationships" r:embed="rId8"/>
        <a:stretch>
          <a:fillRect/>
        </a:stretch>
      </xdr:blipFill>
      <xdr:spPr>
        <a:xfrm>
          <a:off x="190500" y="18526125"/>
          <a:ext cx="2069842" cy="1993651"/>
        </a:xfrm>
        <a:prstGeom prst="rect">
          <a:avLst/>
        </a:prstGeom>
      </xdr:spPr>
    </xdr:pic>
    <xdr:clientData/>
  </xdr:twoCellAnchor>
  <xdr:twoCellAnchor editAs="oneCell">
    <xdr:from>
      <xdr:col>0</xdr:col>
      <xdr:colOff>228600</xdr:colOff>
      <xdr:row>126</xdr:row>
      <xdr:rowOff>171450</xdr:rowOff>
    </xdr:from>
    <xdr:to>
      <xdr:col>9</xdr:col>
      <xdr:colOff>478665</xdr:colOff>
      <xdr:row>129</xdr:row>
      <xdr:rowOff>161858</xdr:rowOff>
    </xdr:to>
    <xdr:pic>
      <xdr:nvPicPr>
        <xdr:cNvPr id="10" name="Picture 9">
          <a:extLst>
            <a:ext uri="{FF2B5EF4-FFF2-40B4-BE49-F238E27FC236}">
              <a16:creationId xmlns:a16="http://schemas.microsoft.com/office/drawing/2014/main" id="{B3ACA3D4-96DE-4B5F-BE44-C102F3E87F0F}"/>
            </a:ext>
          </a:extLst>
        </xdr:cNvPr>
        <xdr:cNvPicPr>
          <a:picLocks noChangeAspect="1"/>
        </xdr:cNvPicPr>
      </xdr:nvPicPr>
      <xdr:blipFill>
        <a:blip xmlns:r="http://schemas.openxmlformats.org/officeDocument/2006/relationships" r:embed="rId9"/>
        <a:stretch>
          <a:fillRect/>
        </a:stretch>
      </xdr:blipFill>
      <xdr:spPr>
        <a:xfrm>
          <a:off x="228600" y="20621625"/>
          <a:ext cx="6076190" cy="533333"/>
        </a:xfrm>
        <a:prstGeom prst="rect">
          <a:avLst/>
        </a:prstGeom>
      </xdr:spPr>
    </xdr:pic>
    <xdr:clientData/>
  </xdr:twoCellAnchor>
  <xdr:twoCellAnchor editAs="oneCell">
    <xdr:from>
      <xdr:col>0</xdr:col>
      <xdr:colOff>161925</xdr:colOff>
      <xdr:row>134</xdr:row>
      <xdr:rowOff>28575</xdr:rowOff>
    </xdr:from>
    <xdr:to>
      <xdr:col>10</xdr:col>
      <xdr:colOff>103977</xdr:colOff>
      <xdr:row>138</xdr:row>
      <xdr:rowOff>174517</xdr:rowOff>
    </xdr:to>
    <xdr:pic>
      <xdr:nvPicPr>
        <xdr:cNvPr id="11" name="Picture 10">
          <a:extLst>
            <a:ext uri="{FF2B5EF4-FFF2-40B4-BE49-F238E27FC236}">
              <a16:creationId xmlns:a16="http://schemas.microsoft.com/office/drawing/2014/main" id="{869A040F-924E-4133-B08F-931E79F724DB}"/>
            </a:ext>
          </a:extLst>
        </xdr:cNvPr>
        <xdr:cNvPicPr>
          <a:picLocks noChangeAspect="1"/>
        </xdr:cNvPicPr>
      </xdr:nvPicPr>
      <xdr:blipFill>
        <a:blip xmlns:r="http://schemas.openxmlformats.org/officeDocument/2006/relationships" r:embed="rId10"/>
        <a:stretch>
          <a:fillRect/>
        </a:stretch>
      </xdr:blipFill>
      <xdr:spPr>
        <a:xfrm>
          <a:off x="161925" y="25184100"/>
          <a:ext cx="6384127" cy="869842"/>
        </a:xfrm>
        <a:prstGeom prst="rect">
          <a:avLst/>
        </a:prstGeom>
      </xdr:spPr>
    </xdr:pic>
    <xdr:clientData/>
  </xdr:twoCellAnchor>
  <xdr:twoCellAnchor editAs="oneCell">
    <xdr:from>
      <xdr:col>0</xdr:col>
      <xdr:colOff>114300</xdr:colOff>
      <xdr:row>141</xdr:row>
      <xdr:rowOff>38100</xdr:rowOff>
    </xdr:from>
    <xdr:to>
      <xdr:col>10</xdr:col>
      <xdr:colOff>78575</xdr:colOff>
      <xdr:row>155</xdr:row>
      <xdr:rowOff>31434</xdr:rowOff>
    </xdr:to>
    <xdr:pic>
      <xdr:nvPicPr>
        <xdr:cNvPr id="12" name="Picture 11">
          <a:extLst>
            <a:ext uri="{FF2B5EF4-FFF2-40B4-BE49-F238E27FC236}">
              <a16:creationId xmlns:a16="http://schemas.microsoft.com/office/drawing/2014/main" id="{64FA7332-61C7-44A4-9905-A9E67E079498}"/>
            </a:ext>
          </a:extLst>
        </xdr:cNvPr>
        <xdr:cNvPicPr>
          <a:picLocks noChangeAspect="1"/>
        </xdr:cNvPicPr>
      </xdr:nvPicPr>
      <xdr:blipFill>
        <a:blip xmlns:r="http://schemas.openxmlformats.org/officeDocument/2006/relationships" r:embed="rId11"/>
        <a:stretch>
          <a:fillRect/>
        </a:stretch>
      </xdr:blipFill>
      <xdr:spPr>
        <a:xfrm>
          <a:off x="114300" y="26460450"/>
          <a:ext cx="6403175" cy="2523809"/>
        </a:xfrm>
        <a:prstGeom prst="rect">
          <a:avLst/>
        </a:prstGeom>
      </xdr:spPr>
    </xdr:pic>
    <xdr:clientData/>
  </xdr:twoCellAnchor>
  <xdr:twoCellAnchor editAs="oneCell">
    <xdr:from>
      <xdr:col>1</xdr:col>
      <xdr:colOff>1</xdr:colOff>
      <xdr:row>158</xdr:row>
      <xdr:rowOff>50306</xdr:rowOff>
    </xdr:from>
    <xdr:to>
      <xdr:col>9</xdr:col>
      <xdr:colOff>533401</xdr:colOff>
      <xdr:row>171</xdr:row>
      <xdr:rowOff>9057</xdr:rowOff>
    </xdr:to>
    <xdr:pic>
      <xdr:nvPicPr>
        <xdr:cNvPr id="13" name="Picture 12">
          <a:extLst>
            <a:ext uri="{FF2B5EF4-FFF2-40B4-BE49-F238E27FC236}">
              <a16:creationId xmlns:a16="http://schemas.microsoft.com/office/drawing/2014/main" id="{1DF655DD-EA8D-4051-B6D5-AB0488A5A6A0}"/>
            </a:ext>
          </a:extLst>
        </xdr:cNvPr>
        <xdr:cNvPicPr>
          <a:picLocks noChangeAspect="1"/>
        </xdr:cNvPicPr>
      </xdr:nvPicPr>
      <xdr:blipFill>
        <a:blip xmlns:r="http://schemas.openxmlformats.org/officeDocument/2006/relationships" r:embed="rId12"/>
        <a:stretch>
          <a:fillRect/>
        </a:stretch>
      </xdr:blipFill>
      <xdr:spPr>
        <a:xfrm>
          <a:off x="609601" y="28644356"/>
          <a:ext cx="5749925" cy="2311426"/>
        </a:xfrm>
        <a:prstGeom prst="rect">
          <a:avLst/>
        </a:prstGeom>
      </xdr:spPr>
    </xdr:pic>
    <xdr:clientData/>
  </xdr:twoCellAnchor>
  <xdr:twoCellAnchor editAs="oneCell">
    <xdr:from>
      <xdr:col>0</xdr:col>
      <xdr:colOff>209550</xdr:colOff>
      <xdr:row>206</xdr:row>
      <xdr:rowOff>57150</xdr:rowOff>
    </xdr:from>
    <xdr:to>
      <xdr:col>8</xdr:col>
      <xdr:colOff>419100</xdr:colOff>
      <xdr:row>223</xdr:row>
      <xdr:rowOff>84538</xdr:rowOff>
    </xdr:to>
    <xdr:pic>
      <xdr:nvPicPr>
        <xdr:cNvPr id="14" name="Picture 13">
          <a:extLst>
            <a:ext uri="{FF2B5EF4-FFF2-40B4-BE49-F238E27FC236}">
              <a16:creationId xmlns:a16="http://schemas.microsoft.com/office/drawing/2014/main" id="{47DB2BA6-36D1-4E2C-8927-5887330CD9BA}"/>
            </a:ext>
          </a:extLst>
        </xdr:cNvPr>
        <xdr:cNvPicPr>
          <a:picLocks noChangeAspect="1"/>
        </xdr:cNvPicPr>
      </xdr:nvPicPr>
      <xdr:blipFill>
        <a:blip xmlns:r="http://schemas.openxmlformats.org/officeDocument/2006/relationships" r:embed="rId13"/>
        <a:stretch>
          <a:fillRect/>
        </a:stretch>
      </xdr:blipFill>
      <xdr:spPr>
        <a:xfrm>
          <a:off x="209550" y="37338000"/>
          <a:ext cx="5429250" cy="3103963"/>
        </a:xfrm>
        <a:prstGeom prst="rect">
          <a:avLst/>
        </a:prstGeom>
      </xdr:spPr>
    </xdr:pic>
    <xdr:clientData/>
  </xdr:twoCellAnchor>
  <xdr:twoCellAnchor editAs="oneCell">
    <xdr:from>
      <xdr:col>5</xdr:col>
      <xdr:colOff>485774</xdr:colOff>
      <xdr:row>209</xdr:row>
      <xdr:rowOff>1</xdr:rowOff>
    </xdr:from>
    <xdr:to>
      <xdr:col>10</xdr:col>
      <xdr:colOff>617169</xdr:colOff>
      <xdr:row>223</xdr:row>
      <xdr:rowOff>123826</xdr:rowOff>
    </xdr:to>
    <xdr:pic>
      <xdr:nvPicPr>
        <xdr:cNvPr id="15" name="Picture 14">
          <a:extLst>
            <a:ext uri="{FF2B5EF4-FFF2-40B4-BE49-F238E27FC236}">
              <a16:creationId xmlns:a16="http://schemas.microsoft.com/office/drawing/2014/main" id="{744BAFFE-36B1-407F-8CE3-6EBAE86B164F}"/>
            </a:ext>
          </a:extLst>
        </xdr:cNvPr>
        <xdr:cNvPicPr>
          <a:picLocks noChangeAspect="1"/>
        </xdr:cNvPicPr>
      </xdr:nvPicPr>
      <xdr:blipFill rotWithShape="1">
        <a:blip xmlns:r="http://schemas.openxmlformats.org/officeDocument/2006/relationships" r:embed="rId14"/>
        <a:srcRect l="4301"/>
        <a:stretch/>
      </xdr:blipFill>
      <xdr:spPr>
        <a:xfrm>
          <a:off x="3876674" y="37823776"/>
          <a:ext cx="3179395" cy="2657475"/>
        </a:xfrm>
        <a:prstGeom prst="rect">
          <a:avLst/>
        </a:prstGeom>
      </xdr:spPr>
    </xdr:pic>
    <xdr:clientData/>
  </xdr:twoCellAnchor>
  <xdr:twoCellAnchor editAs="oneCell">
    <xdr:from>
      <xdr:col>11</xdr:col>
      <xdr:colOff>38100</xdr:colOff>
      <xdr:row>205</xdr:row>
      <xdr:rowOff>171450</xdr:rowOff>
    </xdr:from>
    <xdr:to>
      <xdr:col>16</xdr:col>
      <xdr:colOff>240537</xdr:colOff>
      <xdr:row>213</xdr:row>
      <xdr:rowOff>168954</xdr:rowOff>
    </xdr:to>
    <xdr:pic>
      <xdr:nvPicPr>
        <xdr:cNvPr id="16" name="Picture 15">
          <a:extLst>
            <a:ext uri="{FF2B5EF4-FFF2-40B4-BE49-F238E27FC236}">
              <a16:creationId xmlns:a16="http://schemas.microsoft.com/office/drawing/2014/main" id="{C49ED03B-38D3-46BF-A9B4-A849ACC779DA}"/>
            </a:ext>
          </a:extLst>
        </xdr:cNvPr>
        <xdr:cNvPicPr>
          <a:picLocks noChangeAspect="1"/>
        </xdr:cNvPicPr>
      </xdr:nvPicPr>
      <xdr:blipFill>
        <a:blip xmlns:r="http://schemas.openxmlformats.org/officeDocument/2006/relationships" r:embed="rId15"/>
        <a:stretch>
          <a:fillRect/>
        </a:stretch>
      </xdr:blipFill>
      <xdr:spPr>
        <a:xfrm>
          <a:off x="7086600" y="37271325"/>
          <a:ext cx="3894962" cy="1445304"/>
        </a:xfrm>
        <a:prstGeom prst="rect">
          <a:avLst/>
        </a:prstGeom>
      </xdr:spPr>
    </xdr:pic>
    <xdr:clientData/>
  </xdr:twoCellAnchor>
  <xdr:twoCellAnchor editAs="oneCell">
    <xdr:from>
      <xdr:col>6</xdr:col>
      <xdr:colOff>219075</xdr:colOff>
      <xdr:row>182</xdr:row>
      <xdr:rowOff>7620</xdr:rowOff>
    </xdr:from>
    <xdr:to>
      <xdr:col>14</xdr:col>
      <xdr:colOff>312599</xdr:colOff>
      <xdr:row>189</xdr:row>
      <xdr:rowOff>171144</xdr:rowOff>
    </xdr:to>
    <xdr:pic>
      <xdr:nvPicPr>
        <xdr:cNvPr id="17" name="Picture 16">
          <a:extLst>
            <a:ext uri="{FF2B5EF4-FFF2-40B4-BE49-F238E27FC236}">
              <a16:creationId xmlns:a16="http://schemas.microsoft.com/office/drawing/2014/main" id="{93DFF70C-A0A6-474F-A363-C2DBBC83756F}"/>
            </a:ext>
          </a:extLst>
        </xdr:cNvPr>
        <xdr:cNvPicPr>
          <a:picLocks noChangeAspect="1"/>
        </xdr:cNvPicPr>
      </xdr:nvPicPr>
      <xdr:blipFill>
        <a:blip xmlns:r="http://schemas.openxmlformats.org/officeDocument/2006/relationships" r:embed="rId16"/>
        <a:stretch>
          <a:fillRect/>
        </a:stretch>
      </xdr:blipFill>
      <xdr:spPr>
        <a:xfrm>
          <a:off x="4219575" y="32945070"/>
          <a:ext cx="5503724" cy="1430349"/>
        </a:xfrm>
        <a:prstGeom prst="rect">
          <a:avLst/>
        </a:prstGeom>
      </xdr:spPr>
    </xdr:pic>
    <xdr:clientData/>
  </xdr:twoCellAnchor>
  <xdr:twoCellAnchor editAs="oneCell">
    <xdr:from>
      <xdr:col>1</xdr:col>
      <xdr:colOff>0</xdr:colOff>
      <xdr:row>238</xdr:row>
      <xdr:rowOff>0</xdr:rowOff>
    </xdr:from>
    <xdr:to>
      <xdr:col>10</xdr:col>
      <xdr:colOff>818319</xdr:colOff>
      <xdr:row>276</xdr:row>
      <xdr:rowOff>40395</xdr:rowOff>
    </xdr:to>
    <xdr:pic>
      <xdr:nvPicPr>
        <xdr:cNvPr id="18" name="Picture 17">
          <a:extLst>
            <a:ext uri="{FF2B5EF4-FFF2-40B4-BE49-F238E27FC236}">
              <a16:creationId xmlns:a16="http://schemas.microsoft.com/office/drawing/2014/main" id="{F734E507-0311-41E7-9AFE-3A823E8C4A11}"/>
            </a:ext>
          </a:extLst>
        </xdr:cNvPr>
        <xdr:cNvPicPr>
          <a:picLocks noChangeAspect="1"/>
        </xdr:cNvPicPr>
      </xdr:nvPicPr>
      <xdr:blipFill>
        <a:blip xmlns:r="http://schemas.openxmlformats.org/officeDocument/2006/relationships" r:embed="rId17"/>
        <a:stretch>
          <a:fillRect/>
        </a:stretch>
      </xdr:blipFill>
      <xdr:spPr>
        <a:xfrm>
          <a:off x="609600" y="43827700"/>
          <a:ext cx="6647619" cy="7038095"/>
        </a:xfrm>
        <a:prstGeom prst="rect">
          <a:avLst/>
        </a:prstGeom>
      </xdr:spPr>
    </xdr:pic>
    <xdr:clientData/>
  </xdr:twoCellAnchor>
  <xdr:twoCellAnchor editAs="oneCell">
    <xdr:from>
      <xdr:col>12</xdr:col>
      <xdr:colOff>22224</xdr:colOff>
      <xdr:row>238</xdr:row>
      <xdr:rowOff>19050</xdr:rowOff>
    </xdr:from>
    <xdr:to>
      <xdr:col>20</xdr:col>
      <xdr:colOff>313563</xdr:colOff>
      <xdr:row>243</xdr:row>
      <xdr:rowOff>45166</xdr:rowOff>
    </xdr:to>
    <xdr:pic>
      <xdr:nvPicPr>
        <xdr:cNvPr id="19" name="Picture 18">
          <a:extLst>
            <a:ext uri="{FF2B5EF4-FFF2-40B4-BE49-F238E27FC236}">
              <a16:creationId xmlns:a16="http://schemas.microsoft.com/office/drawing/2014/main" id="{8E1231ED-071C-4F08-ADFC-87FD3F339D68}"/>
            </a:ext>
          </a:extLst>
        </xdr:cNvPr>
        <xdr:cNvPicPr>
          <a:picLocks noChangeAspect="1"/>
        </xdr:cNvPicPr>
      </xdr:nvPicPr>
      <xdr:blipFill>
        <a:blip xmlns:r="http://schemas.openxmlformats.org/officeDocument/2006/relationships" r:embed="rId18"/>
        <a:stretch>
          <a:fillRect/>
        </a:stretch>
      </xdr:blipFill>
      <xdr:spPr>
        <a:xfrm>
          <a:off x="7680324" y="43091100"/>
          <a:ext cx="5933314" cy="934166"/>
        </a:xfrm>
        <a:prstGeom prst="rect">
          <a:avLst/>
        </a:prstGeom>
      </xdr:spPr>
    </xdr:pic>
    <xdr:clientData/>
  </xdr:twoCellAnchor>
  <xdr:twoCellAnchor editAs="oneCell">
    <xdr:from>
      <xdr:col>1</xdr:col>
      <xdr:colOff>31751</xdr:colOff>
      <xdr:row>280</xdr:row>
      <xdr:rowOff>99492</xdr:rowOff>
    </xdr:from>
    <xdr:to>
      <xdr:col>7</xdr:col>
      <xdr:colOff>38101</xdr:colOff>
      <xdr:row>288</xdr:row>
      <xdr:rowOff>47281</xdr:rowOff>
    </xdr:to>
    <xdr:pic>
      <xdr:nvPicPr>
        <xdr:cNvPr id="20" name="Picture 19">
          <a:extLst>
            <a:ext uri="{FF2B5EF4-FFF2-40B4-BE49-F238E27FC236}">
              <a16:creationId xmlns:a16="http://schemas.microsoft.com/office/drawing/2014/main" id="{CECECDE3-973D-4F0D-945E-5821639AD7FA}"/>
            </a:ext>
          </a:extLst>
        </xdr:cNvPr>
        <xdr:cNvPicPr>
          <a:picLocks noChangeAspect="1"/>
        </xdr:cNvPicPr>
      </xdr:nvPicPr>
      <xdr:blipFill>
        <a:blip xmlns:r="http://schemas.openxmlformats.org/officeDocument/2006/relationships" r:embed="rId19"/>
        <a:stretch>
          <a:fillRect/>
        </a:stretch>
      </xdr:blipFill>
      <xdr:spPr>
        <a:xfrm>
          <a:off x="641351" y="51661492"/>
          <a:ext cx="4000500" cy="1427339"/>
        </a:xfrm>
        <a:prstGeom prst="rect">
          <a:avLst/>
        </a:prstGeom>
      </xdr:spPr>
    </xdr:pic>
    <xdr:clientData/>
  </xdr:twoCellAnchor>
  <xdr:twoCellAnchor editAs="oneCell">
    <xdr:from>
      <xdr:col>7</xdr:col>
      <xdr:colOff>107950</xdr:colOff>
      <xdr:row>280</xdr:row>
      <xdr:rowOff>53800</xdr:rowOff>
    </xdr:from>
    <xdr:to>
      <xdr:col>12</xdr:col>
      <xdr:colOff>475252</xdr:colOff>
      <xdr:row>283</xdr:row>
      <xdr:rowOff>50651</xdr:rowOff>
    </xdr:to>
    <xdr:pic>
      <xdr:nvPicPr>
        <xdr:cNvPr id="21" name="Picture 20">
          <a:extLst>
            <a:ext uri="{FF2B5EF4-FFF2-40B4-BE49-F238E27FC236}">
              <a16:creationId xmlns:a16="http://schemas.microsoft.com/office/drawing/2014/main" id="{0E3CE55A-71E8-478A-9CDE-DF4DE094285E}"/>
            </a:ext>
          </a:extLst>
        </xdr:cNvPr>
        <xdr:cNvPicPr>
          <a:picLocks noChangeAspect="1"/>
        </xdr:cNvPicPr>
      </xdr:nvPicPr>
      <xdr:blipFill>
        <a:blip xmlns:r="http://schemas.openxmlformats.org/officeDocument/2006/relationships" r:embed="rId20"/>
        <a:stretch>
          <a:fillRect/>
        </a:stretch>
      </xdr:blipFill>
      <xdr:spPr>
        <a:xfrm>
          <a:off x="4711700" y="51615800"/>
          <a:ext cx="3669302" cy="542951"/>
        </a:xfrm>
        <a:prstGeom prst="rect">
          <a:avLst/>
        </a:prstGeom>
      </xdr:spPr>
    </xdr:pic>
    <xdr:clientData/>
  </xdr:twoCellAnchor>
  <xdr:twoCellAnchor editAs="oneCell">
    <xdr:from>
      <xdr:col>1</xdr:col>
      <xdr:colOff>0</xdr:colOff>
      <xdr:row>290</xdr:row>
      <xdr:rowOff>21492</xdr:rowOff>
    </xdr:from>
    <xdr:to>
      <xdr:col>10</xdr:col>
      <xdr:colOff>539750</xdr:colOff>
      <xdr:row>294</xdr:row>
      <xdr:rowOff>161750</xdr:rowOff>
    </xdr:to>
    <xdr:pic>
      <xdr:nvPicPr>
        <xdr:cNvPr id="22" name="Picture 21">
          <a:extLst>
            <a:ext uri="{FF2B5EF4-FFF2-40B4-BE49-F238E27FC236}">
              <a16:creationId xmlns:a16="http://schemas.microsoft.com/office/drawing/2014/main" id="{B6BF0E18-0DDF-4383-90D1-7B12DA9338AF}"/>
            </a:ext>
          </a:extLst>
        </xdr:cNvPr>
        <xdr:cNvPicPr>
          <a:picLocks noChangeAspect="1"/>
        </xdr:cNvPicPr>
      </xdr:nvPicPr>
      <xdr:blipFill>
        <a:blip xmlns:r="http://schemas.openxmlformats.org/officeDocument/2006/relationships" r:embed="rId21"/>
        <a:stretch>
          <a:fillRect/>
        </a:stretch>
      </xdr:blipFill>
      <xdr:spPr>
        <a:xfrm>
          <a:off x="609600" y="53424992"/>
          <a:ext cx="6362700" cy="883208"/>
        </a:xfrm>
        <a:prstGeom prst="rect">
          <a:avLst/>
        </a:prstGeom>
      </xdr:spPr>
    </xdr:pic>
    <xdr:clientData/>
  </xdr:twoCellAnchor>
  <xdr:twoCellAnchor editAs="oneCell">
    <xdr:from>
      <xdr:col>1</xdr:col>
      <xdr:colOff>6351</xdr:colOff>
      <xdr:row>295</xdr:row>
      <xdr:rowOff>3028</xdr:rowOff>
    </xdr:from>
    <xdr:to>
      <xdr:col>10</xdr:col>
      <xdr:colOff>342901</xdr:colOff>
      <xdr:row>299</xdr:row>
      <xdr:rowOff>136348</xdr:rowOff>
    </xdr:to>
    <xdr:pic>
      <xdr:nvPicPr>
        <xdr:cNvPr id="23" name="Picture 22">
          <a:extLst>
            <a:ext uri="{FF2B5EF4-FFF2-40B4-BE49-F238E27FC236}">
              <a16:creationId xmlns:a16="http://schemas.microsoft.com/office/drawing/2014/main" id="{A984B4E6-D0A3-47A4-96AA-D8D42174CEA1}"/>
            </a:ext>
          </a:extLst>
        </xdr:cNvPr>
        <xdr:cNvPicPr>
          <a:picLocks noChangeAspect="1"/>
        </xdr:cNvPicPr>
      </xdr:nvPicPr>
      <xdr:blipFill>
        <a:blip xmlns:r="http://schemas.openxmlformats.org/officeDocument/2006/relationships" r:embed="rId22"/>
        <a:stretch>
          <a:fillRect/>
        </a:stretch>
      </xdr:blipFill>
      <xdr:spPr>
        <a:xfrm>
          <a:off x="615951" y="54327278"/>
          <a:ext cx="6159500" cy="869920"/>
        </a:xfrm>
        <a:prstGeom prst="rect">
          <a:avLst/>
        </a:prstGeom>
      </xdr:spPr>
    </xdr:pic>
    <xdr:clientData/>
  </xdr:twoCellAnchor>
  <xdr:twoCellAnchor editAs="oneCell">
    <xdr:from>
      <xdr:col>0</xdr:col>
      <xdr:colOff>575158</xdr:colOff>
      <xdr:row>299</xdr:row>
      <xdr:rowOff>114300</xdr:rowOff>
    </xdr:from>
    <xdr:to>
      <xdr:col>10</xdr:col>
      <xdr:colOff>754440</xdr:colOff>
      <xdr:row>302</xdr:row>
      <xdr:rowOff>95482</xdr:rowOff>
    </xdr:to>
    <xdr:pic>
      <xdr:nvPicPr>
        <xdr:cNvPr id="24" name="Picture 23">
          <a:extLst>
            <a:ext uri="{FF2B5EF4-FFF2-40B4-BE49-F238E27FC236}">
              <a16:creationId xmlns:a16="http://schemas.microsoft.com/office/drawing/2014/main" id="{6C3AAFAE-77CF-4443-B60C-68961D84A07F}"/>
            </a:ext>
          </a:extLst>
        </xdr:cNvPr>
        <xdr:cNvPicPr>
          <a:picLocks noChangeAspect="1"/>
        </xdr:cNvPicPr>
      </xdr:nvPicPr>
      <xdr:blipFill>
        <a:blip xmlns:r="http://schemas.openxmlformats.org/officeDocument/2006/relationships" r:embed="rId23"/>
        <a:stretch>
          <a:fillRect/>
        </a:stretch>
      </xdr:blipFill>
      <xdr:spPr>
        <a:xfrm>
          <a:off x="575158" y="55175150"/>
          <a:ext cx="6611832" cy="533632"/>
        </a:xfrm>
        <a:prstGeom prst="rect">
          <a:avLst/>
        </a:prstGeom>
      </xdr:spPr>
    </xdr:pic>
    <xdr:clientData/>
  </xdr:twoCellAnchor>
  <xdr:twoCellAnchor editAs="oneCell">
    <xdr:from>
      <xdr:col>0</xdr:col>
      <xdr:colOff>565150</xdr:colOff>
      <xdr:row>302</xdr:row>
      <xdr:rowOff>95250</xdr:rowOff>
    </xdr:from>
    <xdr:to>
      <xdr:col>11</xdr:col>
      <xdr:colOff>154314</xdr:colOff>
      <xdr:row>305</xdr:row>
      <xdr:rowOff>30878</xdr:rowOff>
    </xdr:to>
    <xdr:pic>
      <xdr:nvPicPr>
        <xdr:cNvPr id="25" name="Picture 24">
          <a:extLst>
            <a:ext uri="{FF2B5EF4-FFF2-40B4-BE49-F238E27FC236}">
              <a16:creationId xmlns:a16="http://schemas.microsoft.com/office/drawing/2014/main" id="{78770536-C585-4EBB-A565-9CF24DD897C0}"/>
            </a:ext>
          </a:extLst>
        </xdr:cNvPr>
        <xdr:cNvPicPr>
          <a:picLocks noChangeAspect="1"/>
        </xdr:cNvPicPr>
      </xdr:nvPicPr>
      <xdr:blipFill>
        <a:blip xmlns:r="http://schemas.openxmlformats.org/officeDocument/2006/relationships" r:embed="rId24"/>
        <a:stretch>
          <a:fillRect/>
        </a:stretch>
      </xdr:blipFill>
      <xdr:spPr>
        <a:xfrm>
          <a:off x="565150" y="55708550"/>
          <a:ext cx="6891664" cy="488078"/>
        </a:xfrm>
        <a:prstGeom prst="rect">
          <a:avLst/>
        </a:prstGeom>
      </xdr:spPr>
    </xdr:pic>
    <xdr:clientData/>
  </xdr:twoCellAnchor>
  <xdr:twoCellAnchor editAs="oneCell">
    <xdr:from>
      <xdr:col>1</xdr:col>
      <xdr:colOff>0</xdr:colOff>
      <xdr:row>312</xdr:row>
      <xdr:rowOff>0</xdr:rowOff>
    </xdr:from>
    <xdr:to>
      <xdr:col>10</xdr:col>
      <xdr:colOff>400050</xdr:colOff>
      <xdr:row>320</xdr:row>
      <xdr:rowOff>159374</xdr:rowOff>
    </xdr:to>
    <xdr:pic>
      <xdr:nvPicPr>
        <xdr:cNvPr id="26" name="Picture 25">
          <a:extLst>
            <a:ext uri="{FF2B5EF4-FFF2-40B4-BE49-F238E27FC236}">
              <a16:creationId xmlns:a16="http://schemas.microsoft.com/office/drawing/2014/main" id="{0A4C6B7D-9D1B-44B5-AD98-91A01789DEA4}"/>
            </a:ext>
          </a:extLst>
        </xdr:cNvPr>
        <xdr:cNvPicPr>
          <a:picLocks noChangeAspect="1"/>
        </xdr:cNvPicPr>
      </xdr:nvPicPr>
      <xdr:blipFill>
        <a:blip xmlns:r="http://schemas.openxmlformats.org/officeDocument/2006/relationships" r:embed="rId25"/>
        <a:stretch>
          <a:fillRect/>
        </a:stretch>
      </xdr:blipFill>
      <xdr:spPr>
        <a:xfrm>
          <a:off x="609600" y="56464200"/>
          <a:ext cx="6219825" cy="1610349"/>
        </a:xfrm>
        <a:prstGeom prst="rect">
          <a:avLst/>
        </a:prstGeom>
      </xdr:spPr>
    </xdr:pic>
    <xdr:clientData/>
  </xdr:twoCellAnchor>
  <xdr:twoCellAnchor editAs="oneCell">
    <xdr:from>
      <xdr:col>1</xdr:col>
      <xdr:colOff>38100</xdr:colOff>
      <xdr:row>338</xdr:row>
      <xdr:rowOff>92075</xdr:rowOff>
    </xdr:from>
    <xdr:to>
      <xdr:col>10</xdr:col>
      <xdr:colOff>669795</xdr:colOff>
      <xdr:row>355</xdr:row>
      <xdr:rowOff>47037</xdr:rowOff>
    </xdr:to>
    <xdr:pic>
      <xdr:nvPicPr>
        <xdr:cNvPr id="27" name="Picture 26">
          <a:extLst>
            <a:ext uri="{FF2B5EF4-FFF2-40B4-BE49-F238E27FC236}">
              <a16:creationId xmlns:a16="http://schemas.microsoft.com/office/drawing/2014/main" id="{9410AC13-0B04-4446-82B6-792BE4662710}"/>
            </a:ext>
          </a:extLst>
        </xdr:cNvPr>
        <xdr:cNvPicPr>
          <a:picLocks noChangeAspect="1"/>
        </xdr:cNvPicPr>
      </xdr:nvPicPr>
      <xdr:blipFill>
        <a:blip xmlns:r="http://schemas.openxmlformats.org/officeDocument/2006/relationships" r:embed="rId26"/>
        <a:stretch>
          <a:fillRect/>
        </a:stretch>
      </xdr:blipFill>
      <xdr:spPr>
        <a:xfrm>
          <a:off x="647700" y="61261625"/>
          <a:ext cx="6451470" cy="3034712"/>
        </a:xfrm>
        <a:prstGeom prst="rect">
          <a:avLst/>
        </a:prstGeom>
      </xdr:spPr>
    </xdr:pic>
    <xdr:clientData/>
  </xdr:twoCellAnchor>
  <xdr:twoCellAnchor>
    <xdr:from>
      <xdr:col>1</xdr:col>
      <xdr:colOff>66675</xdr:colOff>
      <xdr:row>364</xdr:row>
      <xdr:rowOff>38101</xdr:rowOff>
    </xdr:from>
    <xdr:to>
      <xdr:col>11</xdr:col>
      <xdr:colOff>190500</xdr:colOff>
      <xdr:row>378</xdr:row>
      <xdr:rowOff>123827</xdr:rowOff>
    </xdr:to>
    <xdr:grpSp>
      <xdr:nvGrpSpPr>
        <xdr:cNvPr id="30" name="Group 29">
          <a:extLst>
            <a:ext uri="{FF2B5EF4-FFF2-40B4-BE49-F238E27FC236}">
              <a16:creationId xmlns:a16="http://schemas.microsoft.com/office/drawing/2014/main" id="{96702A20-83B5-45FF-A570-9E6E741F8877}"/>
            </a:ext>
          </a:extLst>
        </xdr:cNvPr>
        <xdr:cNvGrpSpPr/>
      </xdr:nvGrpSpPr>
      <xdr:grpSpPr>
        <a:xfrm>
          <a:off x="714375" y="65913001"/>
          <a:ext cx="7138988" cy="2619376"/>
          <a:chOff x="609600" y="65512950"/>
          <a:chExt cx="10038095" cy="4407400"/>
        </a:xfrm>
      </xdr:grpSpPr>
      <xdr:pic>
        <xdr:nvPicPr>
          <xdr:cNvPr id="28" name="Picture 27">
            <a:extLst>
              <a:ext uri="{FF2B5EF4-FFF2-40B4-BE49-F238E27FC236}">
                <a16:creationId xmlns:a16="http://schemas.microsoft.com/office/drawing/2014/main" id="{5E1DF670-6654-487B-BDFF-D9F68B3123A6}"/>
              </a:ext>
            </a:extLst>
          </xdr:cNvPr>
          <xdr:cNvPicPr>
            <a:picLocks noChangeAspect="1"/>
          </xdr:cNvPicPr>
        </xdr:nvPicPr>
        <xdr:blipFill>
          <a:blip xmlns:r="http://schemas.openxmlformats.org/officeDocument/2006/relationships" r:embed="rId27"/>
          <a:stretch>
            <a:fillRect/>
          </a:stretch>
        </xdr:blipFill>
        <xdr:spPr>
          <a:xfrm>
            <a:off x="609600" y="65512950"/>
            <a:ext cx="10038095" cy="2536508"/>
          </a:xfrm>
          <a:prstGeom prst="rect">
            <a:avLst/>
          </a:prstGeom>
        </xdr:spPr>
      </xdr:pic>
      <xdr:pic>
        <xdr:nvPicPr>
          <xdr:cNvPr id="29" name="Picture 28">
            <a:extLst>
              <a:ext uri="{FF2B5EF4-FFF2-40B4-BE49-F238E27FC236}">
                <a16:creationId xmlns:a16="http://schemas.microsoft.com/office/drawing/2014/main" id="{6617CE18-80BA-4232-8F6A-1ED5E8A4CC05}"/>
              </a:ext>
            </a:extLst>
          </xdr:cNvPr>
          <xdr:cNvPicPr>
            <a:picLocks noChangeAspect="1"/>
          </xdr:cNvPicPr>
        </xdr:nvPicPr>
        <xdr:blipFill rotWithShape="1">
          <a:blip xmlns:r="http://schemas.openxmlformats.org/officeDocument/2006/relationships" r:embed="rId28"/>
          <a:srcRect b="50148"/>
          <a:stretch/>
        </xdr:blipFill>
        <xdr:spPr>
          <a:xfrm>
            <a:off x="609600" y="68024377"/>
            <a:ext cx="10019047" cy="1895973"/>
          </a:xfrm>
          <a:prstGeom prst="rect">
            <a:avLst/>
          </a:prstGeom>
        </xdr:spPr>
      </xdr:pic>
    </xdr:grpSp>
    <xdr:clientData/>
  </xdr:twoCellAnchor>
  <xdr:twoCellAnchor editAs="oneCell">
    <xdr:from>
      <xdr:col>1</xdr:col>
      <xdr:colOff>19050</xdr:colOff>
      <xdr:row>386</xdr:row>
      <xdr:rowOff>104775</xdr:rowOff>
    </xdr:from>
    <xdr:to>
      <xdr:col>9</xdr:col>
      <xdr:colOff>288744</xdr:colOff>
      <xdr:row>401</xdr:row>
      <xdr:rowOff>37538</xdr:rowOff>
    </xdr:to>
    <xdr:pic>
      <xdr:nvPicPr>
        <xdr:cNvPr id="31" name="Picture 30">
          <a:extLst>
            <a:ext uri="{FF2B5EF4-FFF2-40B4-BE49-F238E27FC236}">
              <a16:creationId xmlns:a16="http://schemas.microsoft.com/office/drawing/2014/main" id="{A0EE8A97-B3D3-4B25-8275-A4222BE2CA23}"/>
            </a:ext>
          </a:extLst>
        </xdr:cNvPr>
        <xdr:cNvPicPr>
          <a:picLocks noChangeAspect="1"/>
        </xdr:cNvPicPr>
      </xdr:nvPicPr>
      <xdr:blipFill>
        <a:blip xmlns:r="http://schemas.openxmlformats.org/officeDocument/2006/relationships" r:embed="rId29"/>
        <a:stretch>
          <a:fillRect/>
        </a:stretch>
      </xdr:blipFill>
      <xdr:spPr>
        <a:xfrm>
          <a:off x="628650" y="69961125"/>
          <a:ext cx="5479869" cy="2647388"/>
        </a:xfrm>
        <a:prstGeom prst="rect">
          <a:avLst/>
        </a:prstGeom>
      </xdr:spPr>
    </xdr:pic>
    <xdr:clientData/>
  </xdr:twoCellAnchor>
  <xdr:twoCellAnchor editAs="oneCell">
    <xdr:from>
      <xdr:col>1</xdr:col>
      <xdr:colOff>0</xdr:colOff>
      <xdr:row>405</xdr:row>
      <xdr:rowOff>0</xdr:rowOff>
    </xdr:from>
    <xdr:to>
      <xdr:col>10</xdr:col>
      <xdr:colOff>6648</xdr:colOff>
      <xdr:row>411</xdr:row>
      <xdr:rowOff>6407</xdr:rowOff>
    </xdr:to>
    <xdr:pic>
      <xdr:nvPicPr>
        <xdr:cNvPr id="32" name="Picture 31">
          <a:extLst>
            <a:ext uri="{FF2B5EF4-FFF2-40B4-BE49-F238E27FC236}">
              <a16:creationId xmlns:a16="http://schemas.microsoft.com/office/drawing/2014/main" id="{282FEBC4-BA91-44C9-960C-D5CAC30257B3}"/>
            </a:ext>
          </a:extLst>
        </xdr:cNvPr>
        <xdr:cNvPicPr>
          <a:picLocks noChangeAspect="1"/>
        </xdr:cNvPicPr>
      </xdr:nvPicPr>
      <xdr:blipFill>
        <a:blip xmlns:r="http://schemas.openxmlformats.org/officeDocument/2006/relationships" r:embed="rId30"/>
        <a:stretch>
          <a:fillRect/>
        </a:stretch>
      </xdr:blipFill>
      <xdr:spPr>
        <a:xfrm>
          <a:off x="609600" y="73294875"/>
          <a:ext cx="5832773" cy="1098607"/>
        </a:xfrm>
        <a:prstGeom prst="rect">
          <a:avLst/>
        </a:prstGeom>
      </xdr:spPr>
    </xdr:pic>
    <xdr:clientData/>
  </xdr:twoCellAnchor>
  <xdr:twoCellAnchor editAs="oneCell">
    <xdr:from>
      <xdr:col>1</xdr:col>
      <xdr:colOff>38100</xdr:colOff>
      <xdr:row>417</xdr:row>
      <xdr:rowOff>95250</xdr:rowOff>
    </xdr:from>
    <xdr:to>
      <xdr:col>8</xdr:col>
      <xdr:colOff>393047</xdr:colOff>
      <xdr:row>438</xdr:row>
      <xdr:rowOff>151567</xdr:rowOff>
    </xdr:to>
    <xdr:pic>
      <xdr:nvPicPr>
        <xdr:cNvPr id="33" name="Picture 32">
          <a:extLst>
            <a:ext uri="{FF2B5EF4-FFF2-40B4-BE49-F238E27FC236}">
              <a16:creationId xmlns:a16="http://schemas.microsoft.com/office/drawing/2014/main" id="{044AB9DB-DD78-400A-9788-8BBBC55A1F82}"/>
            </a:ext>
          </a:extLst>
        </xdr:cNvPr>
        <xdr:cNvPicPr>
          <a:picLocks noChangeAspect="1"/>
        </xdr:cNvPicPr>
      </xdr:nvPicPr>
      <xdr:blipFill>
        <a:blip xmlns:r="http://schemas.openxmlformats.org/officeDocument/2006/relationships" r:embed="rId31"/>
        <a:stretch>
          <a:fillRect/>
        </a:stretch>
      </xdr:blipFill>
      <xdr:spPr>
        <a:xfrm>
          <a:off x="647700" y="75561825"/>
          <a:ext cx="4952347" cy="3856792"/>
        </a:xfrm>
        <a:prstGeom prst="rect">
          <a:avLst/>
        </a:prstGeom>
      </xdr:spPr>
    </xdr:pic>
    <xdr:clientData/>
  </xdr:twoCellAnchor>
  <xdr:twoCellAnchor editAs="oneCell">
    <xdr:from>
      <xdr:col>1</xdr:col>
      <xdr:colOff>47625</xdr:colOff>
      <xdr:row>439</xdr:row>
      <xdr:rowOff>140793</xdr:rowOff>
    </xdr:from>
    <xdr:to>
      <xdr:col>8</xdr:col>
      <xdr:colOff>206375</xdr:colOff>
      <xdr:row>446</xdr:row>
      <xdr:rowOff>142590</xdr:rowOff>
    </xdr:to>
    <xdr:pic>
      <xdr:nvPicPr>
        <xdr:cNvPr id="34" name="Picture 33">
          <a:extLst>
            <a:ext uri="{FF2B5EF4-FFF2-40B4-BE49-F238E27FC236}">
              <a16:creationId xmlns:a16="http://schemas.microsoft.com/office/drawing/2014/main" id="{4939D94A-1B47-4A4F-BB09-B2062BBD3617}"/>
            </a:ext>
          </a:extLst>
        </xdr:cNvPr>
        <xdr:cNvPicPr>
          <a:picLocks noChangeAspect="1"/>
        </xdr:cNvPicPr>
      </xdr:nvPicPr>
      <xdr:blipFill>
        <a:blip xmlns:r="http://schemas.openxmlformats.org/officeDocument/2006/relationships" r:embed="rId32"/>
        <a:stretch>
          <a:fillRect/>
        </a:stretch>
      </xdr:blipFill>
      <xdr:spPr>
        <a:xfrm>
          <a:off x="657225" y="79588818"/>
          <a:ext cx="4759325" cy="1268622"/>
        </a:xfrm>
        <a:prstGeom prst="rect">
          <a:avLst/>
        </a:prstGeom>
      </xdr:spPr>
    </xdr:pic>
    <xdr:clientData/>
  </xdr:twoCellAnchor>
  <xdr:twoCellAnchor editAs="oneCell">
    <xdr:from>
      <xdr:col>15</xdr:col>
      <xdr:colOff>19050</xdr:colOff>
      <xdr:row>417</xdr:row>
      <xdr:rowOff>95250</xdr:rowOff>
    </xdr:from>
    <xdr:to>
      <xdr:col>22</xdr:col>
      <xdr:colOff>578957</xdr:colOff>
      <xdr:row>437</xdr:row>
      <xdr:rowOff>31032</xdr:rowOff>
    </xdr:to>
    <xdr:pic>
      <xdr:nvPicPr>
        <xdr:cNvPr id="35" name="Picture 34">
          <a:extLst>
            <a:ext uri="{FF2B5EF4-FFF2-40B4-BE49-F238E27FC236}">
              <a16:creationId xmlns:a16="http://schemas.microsoft.com/office/drawing/2014/main" id="{388FF3EF-A330-4FC5-A8C3-ADD4A759C3BD}"/>
            </a:ext>
          </a:extLst>
        </xdr:cNvPr>
        <xdr:cNvPicPr>
          <a:picLocks noChangeAspect="1"/>
        </xdr:cNvPicPr>
      </xdr:nvPicPr>
      <xdr:blipFill>
        <a:blip xmlns:r="http://schemas.openxmlformats.org/officeDocument/2006/relationships" r:embed="rId33"/>
        <a:stretch>
          <a:fillRect/>
        </a:stretch>
      </xdr:blipFill>
      <xdr:spPr>
        <a:xfrm>
          <a:off x="10353675" y="75561825"/>
          <a:ext cx="5106507" cy="3552107"/>
        </a:xfrm>
        <a:prstGeom prst="rect">
          <a:avLst/>
        </a:prstGeom>
      </xdr:spPr>
    </xdr:pic>
    <xdr:clientData/>
  </xdr:twoCellAnchor>
  <xdr:twoCellAnchor editAs="oneCell">
    <xdr:from>
      <xdr:col>1</xdr:col>
      <xdr:colOff>19050</xdr:colOff>
      <xdr:row>452</xdr:row>
      <xdr:rowOff>37797</xdr:rowOff>
    </xdr:from>
    <xdr:to>
      <xdr:col>8</xdr:col>
      <xdr:colOff>304800</xdr:colOff>
      <xdr:row>460</xdr:row>
      <xdr:rowOff>18659</xdr:rowOff>
    </xdr:to>
    <xdr:pic>
      <xdr:nvPicPr>
        <xdr:cNvPr id="36" name="Picture 35">
          <a:extLst>
            <a:ext uri="{FF2B5EF4-FFF2-40B4-BE49-F238E27FC236}">
              <a16:creationId xmlns:a16="http://schemas.microsoft.com/office/drawing/2014/main" id="{8475A9E2-EBA2-433A-80F1-6B849DC512B4}"/>
            </a:ext>
          </a:extLst>
        </xdr:cNvPr>
        <xdr:cNvPicPr>
          <a:picLocks noChangeAspect="1"/>
        </xdr:cNvPicPr>
      </xdr:nvPicPr>
      <xdr:blipFill>
        <a:blip xmlns:r="http://schemas.openxmlformats.org/officeDocument/2006/relationships" r:embed="rId34"/>
        <a:stretch>
          <a:fillRect/>
        </a:stretch>
      </xdr:blipFill>
      <xdr:spPr>
        <a:xfrm>
          <a:off x="628650" y="81838497"/>
          <a:ext cx="4886325" cy="1428662"/>
        </a:xfrm>
        <a:prstGeom prst="rect">
          <a:avLst/>
        </a:prstGeom>
      </xdr:spPr>
    </xdr:pic>
    <xdr:clientData/>
  </xdr:twoCellAnchor>
  <xdr:twoCellAnchor editAs="oneCell">
    <xdr:from>
      <xdr:col>15</xdr:col>
      <xdr:colOff>123826</xdr:colOff>
      <xdr:row>452</xdr:row>
      <xdr:rowOff>152400</xdr:rowOff>
    </xdr:from>
    <xdr:to>
      <xdr:col>22</xdr:col>
      <xdr:colOff>606426</xdr:colOff>
      <xdr:row>457</xdr:row>
      <xdr:rowOff>45903</xdr:rowOff>
    </xdr:to>
    <xdr:pic>
      <xdr:nvPicPr>
        <xdr:cNvPr id="37" name="Picture 36">
          <a:extLst>
            <a:ext uri="{FF2B5EF4-FFF2-40B4-BE49-F238E27FC236}">
              <a16:creationId xmlns:a16="http://schemas.microsoft.com/office/drawing/2014/main" id="{4E8E72D6-20CB-4937-8299-7E7D3CAF1DB5}"/>
            </a:ext>
          </a:extLst>
        </xdr:cNvPr>
        <xdr:cNvPicPr>
          <a:picLocks noChangeAspect="1"/>
        </xdr:cNvPicPr>
      </xdr:nvPicPr>
      <xdr:blipFill>
        <a:blip xmlns:r="http://schemas.openxmlformats.org/officeDocument/2006/relationships" r:embed="rId35"/>
        <a:stretch>
          <a:fillRect/>
        </a:stretch>
      </xdr:blipFill>
      <xdr:spPr>
        <a:xfrm>
          <a:off x="10458451" y="81953100"/>
          <a:ext cx="5026025" cy="801553"/>
        </a:xfrm>
        <a:prstGeom prst="rect">
          <a:avLst/>
        </a:prstGeom>
      </xdr:spPr>
    </xdr:pic>
    <xdr:clientData/>
  </xdr:twoCellAnchor>
  <xdr:twoCellAnchor editAs="oneCell">
    <xdr:from>
      <xdr:col>24</xdr:col>
      <xdr:colOff>19050</xdr:colOff>
      <xdr:row>452</xdr:row>
      <xdr:rowOff>66675</xdr:rowOff>
    </xdr:from>
    <xdr:to>
      <xdr:col>29</xdr:col>
      <xdr:colOff>85725</xdr:colOff>
      <xdr:row>456</xdr:row>
      <xdr:rowOff>133027</xdr:rowOff>
    </xdr:to>
    <xdr:pic>
      <xdr:nvPicPr>
        <xdr:cNvPr id="38" name="Picture 37">
          <a:extLst>
            <a:ext uri="{FF2B5EF4-FFF2-40B4-BE49-F238E27FC236}">
              <a16:creationId xmlns:a16="http://schemas.microsoft.com/office/drawing/2014/main" id="{F44D48FA-9A7E-41A1-8351-71196901E15C}"/>
            </a:ext>
          </a:extLst>
        </xdr:cNvPr>
        <xdr:cNvPicPr>
          <a:picLocks noChangeAspect="1"/>
        </xdr:cNvPicPr>
      </xdr:nvPicPr>
      <xdr:blipFill>
        <a:blip xmlns:r="http://schemas.openxmlformats.org/officeDocument/2006/relationships" r:embed="rId36"/>
        <a:stretch>
          <a:fillRect/>
        </a:stretch>
      </xdr:blipFill>
      <xdr:spPr>
        <a:xfrm>
          <a:off x="16116300" y="81867375"/>
          <a:ext cx="4521200" cy="790252"/>
        </a:xfrm>
        <a:prstGeom prst="rect">
          <a:avLst/>
        </a:prstGeom>
      </xdr:spPr>
    </xdr:pic>
    <xdr:clientData/>
  </xdr:twoCellAnchor>
  <xdr:twoCellAnchor editAs="oneCell">
    <xdr:from>
      <xdr:col>20</xdr:col>
      <xdr:colOff>161926</xdr:colOff>
      <xdr:row>458</xdr:row>
      <xdr:rowOff>76440</xdr:rowOff>
    </xdr:from>
    <xdr:to>
      <xdr:col>27</xdr:col>
      <xdr:colOff>158751</xdr:colOff>
      <xdr:row>461</xdr:row>
      <xdr:rowOff>152224</xdr:rowOff>
    </xdr:to>
    <xdr:pic>
      <xdr:nvPicPr>
        <xdr:cNvPr id="39" name="Picture 38">
          <a:extLst>
            <a:ext uri="{FF2B5EF4-FFF2-40B4-BE49-F238E27FC236}">
              <a16:creationId xmlns:a16="http://schemas.microsoft.com/office/drawing/2014/main" id="{68D62B4C-23A2-4380-B30F-504CDA9F8C1C}"/>
            </a:ext>
          </a:extLst>
        </xdr:cNvPr>
        <xdr:cNvPicPr>
          <a:picLocks noChangeAspect="1"/>
        </xdr:cNvPicPr>
      </xdr:nvPicPr>
      <xdr:blipFill>
        <a:blip xmlns:r="http://schemas.openxmlformats.org/officeDocument/2006/relationships" r:embed="rId37"/>
        <a:stretch>
          <a:fillRect/>
        </a:stretch>
      </xdr:blipFill>
      <xdr:spPr>
        <a:xfrm>
          <a:off x="13687426" y="82962990"/>
          <a:ext cx="5105400" cy="618709"/>
        </a:xfrm>
        <a:prstGeom prst="rect">
          <a:avLst/>
        </a:prstGeom>
      </xdr:spPr>
    </xdr:pic>
    <xdr:clientData/>
  </xdr:twoCellAnchor>
  <xdr:twoCellAnchor editAs="oneCell">
    <xdr:from>
      <xdr:col>0</xdr:col>
      <xdr:colOff>590551</xdr:colOff>
      <xdr:row>463</xdr:row>
      <xdr:rowOff>63500</xdr:rowOff>
    </xdr:from>
    <xdr:to>
      <xdr:col>10</xdr:col>
      <xdr:colOff>549574</xdr:colOff>
      <xdr:row>487</xdr:row>
      <xdr:rowOff>170599</xdr:rowOff>
    </xdr:to>
    <xdr:pic>
      <xdr:nvPicPr>
        <xdr:cNvPr id="40" name="Picture 39">
          <a:extLst>
            <a:ext uri="{FF2B5EF4-FFF2-40B4-BE49-F238E27FC236}">
              <a16:creationId xmlns:a16="http://schemas.microsoft.com/office/drawing/2014/main" id="{C74B8CA2-F272-4C7E-B5F8-0D2FD30A53D7}"/>
            </a:ext>
          </a:extLst>
        </xdr:cNvPr>
        <xdr:cNvPicPr>
          <a:picLocks noChangeAspect="1"/>
        </xdr:cNvPicPr>
      </xdr:nvPicPr>
      <xdr:blipFill>
        <a:blip xmlns:r="http://schemas.openxmlformats.org/officeDocument/2006/relationships" r:embed="rId38"/>
        <a:stretch>
          <a:fillRect/>
        </a:stretch>
      </xdr:blipFill>
      <xdr:spPr>
        <a:xfrm>
          <a:off x="590551" y="83854925"/>
          <a:ext cx="6388398" cy="4450499"/>
        </a:xfrm>
        <a:prstGeom prst="rect">
          <a:avLst/>
        </a:prstGeom>
      </xdr:spPr>
    </xdr:pic>
    <xdr:clientData/>
  </xdr:twoCellAnchor>
  <xdr:twoCellAnchor editAs="oneCell">
    <xdr:from>
      <xdr:col>0</xdr:col>
      <xdr:colOff>600075</xdr:colOff>
      <xdr:row>495</xdr:row>
      <xdr:rowOff>3174</xdr:rowOff>
    </xdr:from>
    <xdr:to>
      <xdr:col>10</xdr:col>
      <xdr:colOff>264231</xdr:colOff>
      <xdr:row>512</xdr:row>
      <xdr:rowOff>69174</xdr:rowOff>
    </xdr:to>
    <xdr:pic>
      <xdr:nvPicPr>
        <xdr:cNvPr id="41" name="Picture 40">
          <a:extLst>
            <a:ext uri="{FF2B5EF4-FFF2-40B4-BE49-F238E27FC236}">
              <a16:creationId xmlns:a16="http://schemas.microsoft.com/office/drawing/2014/main" id="{7E3D513D-CA1A-4543-AAB3-05B9038FF146}"/>
            </a:ext>
          </a:extLst>
        </xdr:cNvPr>
        <xdr:cNvPicPr>
          <a:picLocks noChangeAspect="1"/>
        </xdr:cNvPicPr>
      </xdr:nvPicPr>
      <xdr:blipFill>
        <a:blip xmlns:r="http://schemas.openxmlformats.org/officeDocument/2006/relationships" r:embed="rId39"/>
        <a:stretch>
          <a:fillRect/>
        </a:stretch>
      </xdr:blipFill>
      <xdr:spPr>
        <a:xfrm>
          <a:off x="600075" y="89585799"/>
          <a:ext cx="6093531" cy="3139400"/>
        </a:xfrm>
        <a:prstGeom prst="rect">
          <a:avLst/>
        </a:prstGeom>
      </xdr:spPr>
    </xdr:pic>
    <xdr:clientData/>
  </xdr:twoCellAnchor>
  <xdr:twoCellAnchor editAs="oneCell">
    <xdr:from>
      <xdr:col>10</xdr:col>
      <xdr:colOff>625475</xdr:colOff>
      <xdr:row>494</xdr:row>
      <xdr:rowOff>63500</xdr:rowOff>
    </xdr:from>
    <xdr:to>
      <xdr:col>13</xdr:col>
      <xdr:colOff>521776</xdr:colOff>
      <xdr:row>522</xdr:row>
      <xdr:rowOff>27683</xdr:rowOff>
    </xdr:to>
    <xdr:pic>
      <xdr:nvPicPr>
        <xdr:cNvPr id="42" name="Picture 41">
          <a:extLst>
            <a:ext uri="{FF2B5EF4-FFF2-40B4-BE49-F238E27FC236}">
              <a16:creationId xmlns:a16="http://schemas.microsoft.com/office/drawing/2014/main" id="{84E74211-98CD-4663-B10C-96171E0C6BDD}"/>
            </a:ext>
          </a:extLst>
        </xdr:cNvPr>
        <xdr:cNvPicPr>
          <a:picLocks noChangeAspect="1"/>
        </xdr:cNvPicPr>
      </xdr:nvPicPr>
      <xdr:blipFill>
        <a:blip xmlns:r="http://schemas.openxmlformats.org/officeDocument/2006/relationships" r:embed="rId40"/>
        <a:stretch>
          <a:fillRect/>
        </a:stretch>
      </xdr:blipFill>
      <xdr:spPr>
        <a:xfrm>
          <a:off x="7054850" y="89465150"/>
          <a:ext cx="2252151" cy="5034658"/>
        </a:xfrm>
        <a:prstGeom prst="rect">
          <a:avLst/>
        </a:prstGeom>
      </xdr:spPr>
    </xdr:pic>
    <xdr:clientData/>
  </xdr:twoCellAnchor>
  <xdr:twoCellAnchor editAs="oneCell">
    <xdr:from>
      <xdr:col>0</xdr:col>
      <xdr:colOff>533400</xdr:colOff>
      <xdr:row>514</xdr:row>
      <xdr:rowOff>28972</xdr:rowOff>
    </xdr:from>
    <xdr:to>
      <xdr:col>9</xdr:col>
      <xdr:colOff>228600</xdr:colOff>
      <xdr:row>520</xdr:row>
      <xdr:rowOff>50533</xdr:rowOff>
    </xdr:to>
    <xdr:pic>
      <xdr:nvPicPr>
        <xdr:cNvPr id="43" name="Picture 42">
          <a:extLst>
            <a:ext uri="{FF2B5EF4-FFF2-40B4-BE49-F238E27FC236}">
              <a16:creationId xmlns:a16="http://schemas.microsoft.com/office/drawing/2014/main" id="{96DD01E0-E9EF-4C67-B8F9-F4D76D429C4E}"/>
            </a:ext>
          </a:extLst>
        </xdr:cNvPr>
        <xdr:cNvPicPr>
          <a:picLocks noChangeAspect="1"/>
        </xdr:cNvPicPr>
      </xdr:nvPicPr>
      <xdr:blipFill>
        <a:blip xmlns:r="http://schemas.openxmlformats.org/officeDocument/2006/relationships" r:embed="rId41"/>
        <a:stretch>
          <a:fillRect/>
        </a:stretch>
      </xdr:blipFill>
      <xdr:spPr>
        <a:xfrm>
          <a:off x="533400" y="93050122"/>
          <a:ext cx="5514975" cy="1104236"/>
        </a:xfrm>
        <a:prstGeom prst="rect">
          <a:avLst/>
        </a:prstGeom>
      </xdr:spPr>
    </xdr:pic>
    <xdr:clientData/>
  </xdr:twoCellAnchor>
  <xdr:twoCellAnchor editAs="oneCell">
    <xdr:from>
      <xdr:col>1</xdr:col>
      <xdr:colOff>25400</xdr:colOff>
      <xdr:row>526</xdr:row>
      <xdr:rowOff>25400</xdr:rowOff>
    </xdr:from>
    <xdr:to>
      <xdr:col>12</xdr:col>
      <xdr:colOff>284037</xdr:colOff>
      <xdr:row>538</xdr:row>
      <xdr:rowOff>101600</xdr:rowOff>
    </xdr:to>
    <xdr:pic>
      <xdr:nvPicPr>
        <xdr:cNvPr id="44" name="Picture 43">
          <a:extLst>
            <a:ext uri="{FF2B5EF4-FFF2-40B4-BE49-F238E27FC236}">
              <a16:creationId xmlns:a16="http://schemas.microsoft.com/office/drawing/2014/main" id="{934D88D5-9BD1-406F-B5F0-449DCAE434F7}"/>
            </a:ext>
          </a:extLst>
        </xdr:cNvPr>
        <xdr:cNvPicPr>
          <a:picLocks noChangeAspect="1"/>
        </xdr:cNvPicPr>
      </xdr:nvPicPr>
      <xdr:blipFill>
        <a:blip xmlns:r="http://schemas.openxmlformats.org/officeDocument/2006/relationships" r:embed="rId42"/>
        <a:stretch>
          <a:fillRect/>
        </a:stretch>
      </xdr:blipFill>
      <xdr:spPr>
        <a:xfrm>
          <a:off x="635000" y="95218250"/>
          <a:ext cx="7554787" cy="2251075"/>
        </a:xfrm>
        <a:prstGeom prst="rect">
          <a:avLst/>
        </a:prstGeom>
      </xdr:spPr>
    </xdr:pic>
    <xdr:clientData/>
  </xdr:twoCellAnchor>
  <xdr:twoCellAnchor editAs="oneCell">
    <xdr:from>
      <xdr:col>21</xdr:col>
      <xdr:colOff>6351</xdr:colOff>
      <xdr:row>94</xdr:row>
      <xdr:rowOff>39566</xdr:rowOff>
    </xdr:from>
    <xdr:to>
      <xdr:col>27</xdr:col>
      <xdr:colOff>336551</xdr:colOff>
      <xdr:row>108</xdr:row>
      <xdr:rowOff>107479</xdr:rowOff>
    </xdr:to>
    <xdr:pic>
      <xdr:nvPicPr>
        <xdr:cNvPr id="45" name="Picture 44">
          <a:extLst>
            <a:ext uri="{FF2B5EF4-FFF2-40B4-BE49-F238E27FC236}">
              <a16:creationId xmlns:a16="http://schemas.microsoft.com/office/drawing/2014/main" id="{D9F71F41-062B-4950-B5AE-21B9ABA52044}"/>
            </a:ext>
          </a:extLst>
        </xdr:cNvPr>
        <xdr:cNvPicPr>
          <a:picLocks noChangeAspect="1"/>
        </xdr:cNvPicPr>
      </xdr:nvPicPr>
      <xdr:blipFill>
        <a:blip xmlns:r="http://schemas.openxmlformats.org/officeDocument/2006/relationships" r:embed="rId43"/>
        <a:stretch>
          <a:fillRect/>
        </a:stretch>
      </xdr:blipFill>
      <xdr:spPr>
        <a:xfrm>
          <a:off x="14268451" y="17349666"/>
          <a:ext cx="4730750" cy="264601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18</xdr:row>
      <xdr:rowOff>0</xdr:rowOff>
    </xdr:from>
    <xdr:to>
      <xdr:col>6</xdr:col>
      <xdr:colOff>219214</xdr:colOff>
      <xdr:row>27</xdr:row>
      <xdr:rowOff>38100</xdr:rowOff>
    </xdr:to>
    <xdr:pic>
      <xdr:nvPicPr>
        <xdr:cNvPr id="2" name="Picture 1">
          <a:extLst>
            <a:ext uri="{FF2B5EF4-FFF2-40B4-BE49-F238E27FC236}">
              <a16:creationId xmlns:a16="http://schemas.microsoft.com/office/drawing/2014/main" id="{28B233FB-3630-4870-96F7-1A45DF870AC7}"/>
            </a:ext>
          </a:extLst>
        </xdr:cNvPr>
        <xdr:cNvPicPr>
          <a:picLocks noChangeAspect="1"/>
        </xdr:cNvPicPr>
      </xdr:nvPicPr>
      <xdr:blipFill>
        <a:blip xmlns:r="http://schemas.openxmlformats.org/officeDocument/2006/relationships" r:embed="rId1"/>
        <a:stretch>
          <a:fillRect/>
        </a:stretch>
      </xdr:blipFill>
      <xdr:spPr>
        <a:xfrm>
          <a:off x="609600" y="3257550"/>
          <a:ext cx="5343664" cy="1666875"/>
        </a:xfrm>
        <a:prstGeom prst="rect">
          <a:avLst/>
        </a:prstGeom>
      </xdr:spPr>
    </xdr:pic>
    <xdr:clientData/>
  </xdr:twoCellAnchor>
  <xdr:twoCellAnchor editAs="oneCell">
    <xdr:from>
      <xdr:col>8</xdr:col>
      <xdr:colOff>28575</xdr:colOff>
      <xdr:row>32</xdr:row>
      <xdr:rowOff>47625</xdr:rowOff>
    </xdr:from>
    <xdr:to>
      <xdr:col>12</xdr:col>
      <xdr:colOff>196997</xdr:colOff>
      <xdr:row>57</xdr:row>
      <xdr:rowOff>57407</xdr:rowOff>
    </xdr:to>
    <xdr:pic>
      <xdr:nvPicPr>
        <xdr:cNvPr id="3" name="Picture 2">
          <a:extLst>
            <a:ext uri="{FF2B5EF4-FFF2-40B4-BE49-F238E27FC236}">
              <a16:creationId xmlns:a16="http://schemas.microsoft.com/office/drawing/2014/main" id="{0C50CFE2-B33D-416A-854B-33E0118A2CA6}"/>
            </a:ext>
          </a:extLst>
        </xdr:cNvPr>
        <xdr:cNvPicPr>
          <a:picLocks noChangeAspect="1"/>
        </xdr:cNvPicPr>
      </xdr:nvPicPr>
      <xdr:blipFill>
        <a:blip xmlns:r="http://schemas.openxmlformats.org/officeDocument/2006/relationships" r:embed="rId2"/>
        <a:stretch>
          <a:fillRect/>
        </a:stretch>
      </xdr:blipFill>
      <xdr:spPr>
        <a:xfrm>
          <a:off x="7496175" y="5838825"/>
          <a:ext cx="2863997" cy="501040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50801</xdr:colOff>
      <xdr:row>2</xdr:row>
      <xdr:rowOff>63500</xdr:rowOff>
    </xdr:from>
    <xdr:to>
      <xdr:col>11</xdr:col>
      <xdr:colOff>92076</xdr:colOff>
      <xdr:row>17</xdr:row>
      <xdr:rowOff>154342</xdr:rowOff>
    </xdr:to>
    <xdr:pic>
      <xdr:nvPicPr>
        <xdr:cNvPr id="2" name="Picture 1">
          <a:extLst>
            <a:ext uri="{FF2B5EF4-FFF2-40B4-BE49-F238E27FC236}">
              <a16:creationId xmlns:a16="http://schemas.microsoft.com/office/drawing/2014/main" id="{C17A6865-83FF-4E29-AB20-C91641AF9969}"/>
            </a:ext>
          </a:extLst>
        </xdr:cNvPr>
        <xdr:cNvPicPr>
          <a:picLocks noChangeAspect="1"/>
        </xdr:cNvPicPr>
      </xdr:nvPicPr>
      <xdr:blipFill>
        <a:blip xmlns:r="http://schemas.openxmlformats.org/officeDocument/2006/relationships" r:embed="rId1"/>
        <a:stretch>
          <a:fillRect/>
        </a:stretch>
      </xdr:blipFill>
      <xdr:spPr>
        <a:xfrm>
          <a:off x="1270001" y="431800"/>
          <a:ext cx="5518150" cy="2989617"/>
        </a:xfrm>
        <a:prstGeom prst="rect">
          <a:avLst/>
        </a:prstGeom>
      </xdr:spPr>
    </xdr:pic>
    <xdr:clientData/>
  </xdr:twoCellAnchor>
  <xdr:twoCellAnchor editAs="oneCell">
    <xdr:from>
      <xdr:col>2</xdr:col>
      <xdr:colOff>0</xdr:colOff>
      <xdr:row>21</xdr:row>
      <xdr:rowOff>120650</xdr:rowOff>
    </xdr:from>
    <xdr:to>
      <xdr:col>11</xdr:col>
      <xdr:colOff>92503</xdr:colOff>
      <xdr:row>37</xdr:row>
      <xdr:rowOff>37645</xdr:rowOff>
    </xdr:to>
    <xdr:pic>
      <xdr:nvPicPr>
        <xdr:cNvPr id="3" name="Picture 2">
          <a:extLst>
            <a:ext uri="{FF2B5EF4-FFF2-40B4-BE49-F238E27FC236}">
              <a16:creationId xmlns:a16="http://schemas.microsoft.com/office/drawing/2014/main" id="{13595F31-5BF6-4182-A56F-E8F75D1537BD}"/>
            </a:ext>
          </a:extLst>
        </xdr:cNvPr>
        <xdr:cNvPicPr>
          <a:picLocks noChangeAspect="1"/>
        </xdr:cNvPicPr>
      </xdr:nvPicPr>
      <xdr:blipFill>
        <a:blip xmlns:r="http://schemas.openxmlformats.org/officeDocument/2006/relationships" r:embed="rId2"/>
        <a:stretch>
          <a:fillRect/>
        </a:stretch>
      </xdr:blipFill>
      <xdr:spPr>
        <a:xfrm>
          <a:off x="1219200" y="3987800"/>
          <a:ext cx="5569378" cy="2863395"/>
        </a:xfrm>
        <a:prstGeom prst="rect">
          <a:avLst/>
        </a:prstGeom>
      </xdr:spPr>
    </xdr:pic>
    <xdr:clientData/>
  </xdr:twoCellAnchor>
  <xdr:twoCellAnchor editAs="oneCell">
    <xdr:from>
      <xdr:col>2</xdr:col>
      <xdr:colOff>0</xdr:colOff>
      <xdr:row>37</xdr:row>
      <xdr:rowOff>127000</xdr:rowOff>
    </xdr:from>
    <xdr:to>
      <xdr:col>11</xdr:col>
      <xdr:colOff>169615</xdr:colOff>
      <xdr:row>49</xdr:row>
      <xdr:rowOff>148812</xdr:rowOff>
    </xdr:to>
    <xdr:pic>
      <xdr:nvPicPr>
        <xdr:cNvPr id="4" name="Picture 3">
          <a:extLst>
            <a:ext uri="{FF2B5EF4-FFF2-40B4-BE49-F238E27FC236}">
              <a16:creationId xmlns:a16="http://schemas.microsoft.com/office/drawing/2014/main" id="{8373270F-8570-4A27-B5F4-47CE3696BE5F}"/>
            </a:ext>
          </a:extLst>
        </xdr:cNvPr>
        <xdr:cNvPicPr>
          <a:picLocks noChangeAspect="1"/>
        </xdr:cNvPicPr>
      </xdr:nvPicPr>
      <xdr:blipFill>
        <a:blip xmlns:r="http://schemas.openxmlformats.org/officeDocument/2006/relationships" r:embed="rId3"/>
        <a:stretch>
          <a:fillRect/>
        </a:stretch>
      </xdr:blipFill>
      <xdr:spPr>
        <a:xfrm>
          <a:off x="1219200" y="6940550"/>
          <a:ext cx="5643315" cy="2225262"/>
        </a:xfrm>
        <a:prstGeom prst="rect">
          <a:avLst/>
        </a:prstGeom>
      </xdr:spPr>
    </xdr:pic>
    <xdr:clientData/>
  </xdr:twoCellAnchor>
  <xdr:twoCellAnchor editAs="oneCell">
    <xdr:from>
      <xdr:col>11</xdr:col>
      <xdr:colOff>189844</xdr:colOff>
      <xdr:row>11</xdr:row>
      <xdr:rowOff>63500</xdr:rowOff>
    </xdr:from>
    <xdr:to>
      <xdr:col>14</xdr:col>
      <xdr:colOff>167711</xdr:colOff>
      <xdr:row>17</xdr:row>
      <xdr:rowOff>78983</xdr:rowOff>
    </xdr:to>
    <xdr:pic>
      <xdr:nvPicPr>
        <xdr:cNvPr id="6" name="Picture 5">
          <a:extLst>
            <a:ext uri="{FF2B5EF4-FFF2-40B4-BE49-F238E27FC236}">
              <a16:creationId xmlns:a16="http://schemas.microsoft.com/office/drawing/2014/main" id="{B3587349-A569-4ECB-ABFE-7111AE3A41B4}"/>
            </a:ext>
          </a:extLst>
        </xdr:cNvPr>
        <xdr:cNvPicPr>
          <a:picLocks noChangeAspect="1"/>
        </xdr:cNvPicPr>
      </xdr:nvPicPr>
      <xdr:blipFill>
        <a:blip xmlns:r="http://schemas.openxmlformats.org/officeDocument/2006/relationships" r:embed="rId4"/>
        <a:stretch>
          <a:fillRect/>
        </a:stretch>
      </xdr:blipFill>
      <xdr:spPr>
        <a:xfrm>
          <a:off x="6895444" y="2089150"/>
          <a:ext cx="1797142" cy="1247383"/>
        </a:xfrm>
        <a:prstGeom prst="rect">
          <a:avLst/>
        </a:prstGeom>
      </xdr:spPr>
    </xdr:pic>
    <xdr:clientData/>
  </xdr:twoCellAnchor>
  <xdr:twoCellAnchor editAs="oneCell">
    <xdr:from>
      <xdr:col>2</xdr:col>
      <xdr:colOff>0</xdr:colOff>
      <xdr:row>54</xdr:row>
      <xdr:rowOff>0</xdr:rowOff>
    </xdr:from>
    <xdr:to>
      <xdr:col>13</xdr:col>
      <xdr:colOff>53131</xdr:colOff>
      <xdr:row>81</xdr:row>
      <xdr:rowOff>56521</xdr:rowOff>
    </xdr:to>
    <xdr:pic>
      <xdr:nvPicPr>
        <xdr:cNvPr id="7" name="Picture 6">
          <a:extLst>
            <a:ext uri="{FF2B5EF4-FFF2-40B4-BE49-F238E27FC236}">
              <a16:creationId xmlns:a16="http://schemas.microsoft.com/office/drawing/2014/main" id="{0DE64BA0-47A5-42E9-B2E3-2D13F0ADBAD6}"/>
            </a:ext>
          </a:extLst>
        </xdr:cNvPr>
        <xdr:cNvPicPr>
          <a:picLocks noChangeAspect="1"/>
        </xdr:cNvPicPr>
      </xdr:nvPicPr>
      <xdr:blipFill>
        <a:blip xmlns:r="http://schemas.openxmlformats.org/officeDocument/2006/relationships" r:embed="rId5"/>
        <a:stretch>
          <a:fillRect/>
        </a:stretch>
      </xdr:blipFill>
      <xdr:spPr>
        <a:xfrm>
          <a:off x="1219200" y="9944100"/>
          <a:ext cx="6752381" cy="5028571"/>
        </a:xfrm>
        <a:prstGeom prst="rect">
          <a:avLst/>
        </a:prstGeom>
      </xdr:spPr>
    </xdr:pic>
    <xdr:clientData/>
  </xdr:twoCellAnchor>
  <xdr:twoCellAnchor editAs="oneCell">
    <xdr:from>
      <xdr:col>2</xdr:col>
      <xdr:colOff>63500</xdr:colOff>
      <xdr:row>81</xdr:row>
      <xdr:rowOff>177800</xdr:rowOff>
    </xdr:from>
    <xdr:to>
      <xdr:col>12</xdr:col>
      <xdr:colOff>548454</xdr:colOff>
      <xdr:row>88</xdr:row>
      <xdr:rowOff>91925</xdr:rowOff>
    </xdr:to>
    <xdr:pic>
      <xdr:nvPicPr>
        <xdr:cNvPr id="8" name="Picture 7">
          <a:extLst>
            <a:ext uri="{FF2B5EF4-FFF2-40B4-BE49-F238E27FC236}">
              <a16:creationId xmlns:a16="http://schemas.microsoft.com/office/drawing/2014/main" id="{219661C1-8BB6-43EA-82A7-3B2A7AD309C3}"/>
            </a:ext>
          </a:extLst>
        </xdr:cNvPr>
        <xdr:cNvPicPr>
          <a:picLocks noChangeAspect="1"/>
        </xdr:cNvPicPr>
      </xdr:nvPicPr>
      <xdr:blipFill>
        <a:blip xmlns:r="http://schemas.openxmlformats.org/officeDocument/2006/relationships" r:embed="rId6"/>
        <a:stretch>
          <a:fillRect/>
        </a:stretch>
      </xdr:blipFill>
      <xdr:spPr>
        <a:xfrm>
          <a:off x="1282700" y="15093950"/>
          <a:ext cx="6571429" cy="1200000"/>
        </a:xfrm>
        <a:prstGeom prst="rect">
          <a:avLst/>
        </a:prstGeom>
      </xdr:spPr>
    </xdr:pic>
    <xdr:clientData/>
  </xdr:twoCellAnchor>
  <xdr:twoCellAnchor editAs="oneCell">
    <xdr:from>
      <xdr:col>2</xdr:col>
      <xdr:colOff>0</xdr:colOff>
      <xdr:row>89</xdr:row>
      <xdr:rowOff>0</xdr:rowOff>
    </xdr:from>
    <xdr:to>
      <xdr:col>12</xdr:col>
      <xdr:colOff>475429</xdr:colOff>
      <xdr:row>96</xdr:row>
      <xdr:rowOff>168093</xdr:rowOff>
    </xdr:to>
    <xdr:pic>
      <xdr:nvPicPr>
        <xdr:cNvPr id="9" name="Picture 8">
          <a:extLst>
            <a:ext uri="{FF2B5EF4-FFF2-40B4-BE49-F238E27FC236}">
              <a16:creationId xmlns:a16="http://schemas.microsoft.com/office/drawing/2014/main" id="{BE6DBA24-D23F-4240-BAD2-F35B03557771}"/>
            </a:ext>
          </a:extLst>
        </xdr:cNvPr>
        <xdr:cNvPicPr>
          <a:picLocks noChangeAspect="1"/>
        </xdr:cNvPicPr>
      </xdr:nvPicPr>
      <xdr:blipFill>
        <a:blip xmlns:r="http://schemas.openxmlformats.org/officeDocument/2006/relationships" r:embed="rId7"/>
        <a:stretch>
          <a:fillRect/>
        </a:stretch>
      </xdr:blipFill>
      <xdr:spPr>
        <a:xfrm>
          <a:off x="1219200" y="16389350"/>
          <a:ext cx="6571429" cy="1457143"/>
        </a:xfrm>
        <a:prstGeom prst="rect">
          <a:avLst/>
        </a:prstGeom>
      </xdr:spPr>
    </xdr:pic>
    <xdr:clientData/>
  </xdr:twoCellAnchor>
  <xdr:twoCellAnchor editAs="oneCell">
    <xdr:from>
      <xdr:col>19</xdr:col>
      <xdr:colOff>0</xdr:colOff>
      <xdr:row>31</xdr:row>
      <xdr:rowOff>0</xdr:rowOff>
    </xdr:from>
    <xdr:to>
      <xdr:col>31</xdr:col>
      <xdr:colOff>472117</xdr:colOff>
      <xdr:row>39</xdr:row>
      <xdr:rowOff>133152</xdr:rowOff>
    </xdr:to>
    <xdr:pic>
      <xdr:nvPicPr>
        <xdr:cNvPr id="10" name="Picture 9">
          <a:extLst>
            <a:ext uri="{FF2B5EF4-FFF2-40B4-BE49-F238E27FC236}">
              <a16:creationId xmlns:a16="http://schemas.microsoft.com/office/drawing/2014/main" id="{89B7D76A-A91D-4492-B7B5-CA6990A35752}"/>
            </a:ext>
          </a:extLst>
        </xdr:cNvPr>
        <xdr:cNvPicPr>
          <a:picLocks noChangeAspect="1"/>
        </xdr:cNvPicPr>
      </xdr:nvPicPr>
      <xdr:blipFill>
        <a:blip xmlns:r="http://schemas.openxmlformats.org/officeDocument/2006/relationships" r:embed="rId8"/>
        <a:stretch>
          <a:fillRect/>
        </a:stretch>
      </xdr:blipFill>
      <xdr:spPr>
        <a:xfrm>
          <a:off x="11582400" y="5743575"/>
          <a:ext cx="7666667" cy="1580952"/>
        </a:xfrm>
        <a:prstGeom prst="rect">
          <a:avLst/>
        </a:prstGeom>
      </xdr:spPr>
    </xdr:pic>
    <xdr:clientData/>
  </xdr:twoCellAnchor>
  <xdr:twoCellAnchor editAs="oneCell">
    <xdr:from>
      <xdr:col>19</xdr:col>
      <xdr:colOff>19050</xdr:colOff>
      <xdr:row>39</xdr:row>
      <xdr:rowOff>133350</xdr:rowOff>
    </xdr:from>
    <xdr:to>
      <xdr:col>31</xdr:col>
      <xdr:colOff>491165</xdr:colOff>
      <xdr:row>54</xdr:row>
      <xdr:rowOff>53646</xdr:rowOff>
    </xdr:to>
    <xdr:pic>
      <xdr:nvPicPr>
        <xdr:cNvPr id="11" name="Picture 10">
          <a:extLst>
            <a:ext uri="{FF2B5EF4-FFF2-40B4-BE49-F238E27FC236}">
              <a16:creationId xmlns:a16="http://schemas.microsoft.com/office/drawing/2014/main" id="{CE4CC68F-521D-417F-8746-4D3D41B92D33}"/>
            </a:ext>
          </a:extLst>
        </xdr:cNvPr>
        <xdr:cNvPicPr>
          <a:picLocks noChangeAspect="1"/>
        </xdr:cNvPicPr>
      </xdr:nvPicPr>
      <xdr:blipFill>
        <a:blip xmlns:r="http://schemas.openxmlformats.org/officeDocument/2006/relationships" r:embed="rId9"/>
        <a:stretch>
          <a:fillRect/>
        </a:stretch>
      </xdr:blipFill>
      <xdr:spPr>
        <a:xfrm>
          <a:off x="11601450" y="7324725"/>
          <a:ext cx="7676190" cy="2628571"/>
        </a:xfrm>
        <a:prstGeom prst="rect">
          <a:avLst/>
        </a:prstGeom>
      </xdr:spPr>
    </xdr:pic>
    <xdr:clientData/>
  </xdr:twoCellAnchor>
  <xdr:twoCellAnchor editAs="oneCell">
    <xdr:from>
      <xdr:col>31</xdr:col>
      <xdr:colOff>419100</xdr:colOff>
      <xdr:row>30</xdr:row>
      <xdr:rowOff>95249</xdr:rowOff>
    </xdr:from>
    <xdr:to>
      <xdr:col>42</xdr:col>
      <xdr:colOff>495300</xdr:colOff>
      <xdr:row>54</xdr:row>
      <xdr:rowOff>112556</xdr:rowOff>
    </xdr:to>
    <xdr:pic>
      <xdr:nvPicPr>
        <xdr:cNvPr id="12" name="Picture 11">
          <a:extLst>
            <a:ext uri="{FF2B5EF4-FFF2-40B4-BE49-F238E27FC236}">
              <a16:creationId xmlns:a16="http://schemas.microsoft.com/office/drawing/2014/main" id="{CD93B82F-C83C-44C6-A210-4D6E6F1C26C6}"/>
            </a:ext>
          </a:extLst>
        </xdr:cNvPr>
        <xdr:cNvPicPr>
          <a:picLocks noChangeAspect="1"/>
        </xdr:cNvPicPr>
      </xdr:nvPicPr>
      <xdr:blipFill>
        <a:blip xmlns:r="http://schemas.openxmlformats.org/officeDocument/2006/relationships" r:embed="rId10"/>
        <a:stretch>
          <a:fillRect/>
        </a:stretch>
      </xdr:blipFill>
      <xdr:spPr>
        <a:xfrm>
          <a:off x="19316700" y="5657849"/>
          <a:ext cx="7562850" cy="436070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374650</xdr:colOff>
      <xdr:row>2</xdr:row>
      <xdr:rowOff>12700</xdr:rowOff>
    </xdr:from>
    <xdr:to>
      <xdr:col>8</xdr:col>
      <xdr:colOff>552710</xdr:colOff>
      <xdr:row>15</xdr:row>
      <xdr:rowOff>149353</xdr:rowOff>
    </xdr:to>
    <xdr:pic>
      <xdr:nvPicPr>
        <xdr:cNvPr id="2" name="Picture 1">
          <a:extLst>
            <a:ext uri="{FF2B5EF4-FFF2-40B4-BE49-F238E27FC236}">
              <a16:creationId xmlns:a16="http://schemas.microsoft.com/office/drawing/2014/main" id="{19AC25B1-48CC-4682-AAD4-D36128B69168}"/>
            </a:ext>
          </a:extLst>
        </xdr:cNvPr>
        <xdr:cNvPicPr>
          <a:picLocks noChangeAspect="1"/>
        </xdr:cNvPicPr>
      </xdr:nvPicPr>
      <xdr:blipFill>
        <a:blip xmlns:r="http://schemas.openxmlformats.org/officeDocument/2006/relationships" r:embed="rId1"/>
        <a:stretch>
          <a:fillRect/>
        </a:stretch>
      </xdr:blipFill>
      <xdr:spPr>
        <a:xfrm>
          <a:off x="374650" y="381000"/>
          <a:ext cx="5054860" cy="2524253"/>
        </a:xfrm>
        <a:prstGeom prst="rect">
          <a:avLst/>
        </a:prstGeom>
      </xdr:spPr>
    </xdr:pic>
    <xdr:clientData/>
  </xdr:twoCellAnchor>
  <xdr:twoCellAnchor editAs="oneCell">
    <xdr:from>
      <xdr:col>0</xdr:col>
      <xdr:colOff>311150</xdr:colOff>
      <xdr:row>18</xdr:row>
      <xdr:rowOff>146050</xdr:rowOff>
    </xdr:from>
    <xdr:to>
      <xdr:col>8</xdr:col>
      <xdr:colOff>530487</xdr:colOff>
      <xdr:row>32</xdr:row>
      <xdr:rowOff>73152</xdr:rowOff>
    </xdr:to>
    <xdr:pic>
      <xdr:nvPicPr>
        <xdr:cNvPr id="3" name="Picture 2">
          <a:extLst>
            <a:ext uri="{FF2B5EF4-FFF2-40B4-BE49-F238E27FC236}">
              <a16:creationId xmlns:a16="http://schemas.microsoft.com/office/drawing/2014/main" id="{29F916E4-B6A3-42D7-BDC2-596D06EBE2AF}"/>
            </a:ext>
          </a:extLst>
        </xdr:cNvPr>
        <xdr:cNvPicPr>
          <a:picLocks noChangeAspect="1"/>
        </xdr:cNvPicPr>
      </xdr:nvPicPr>
      <xdr:blipFill>
        <a:blip xmlns:r="http://schemas.openxmlformats.org/officeDocument/2006/relationships" r:embed="rId2"/>
        <a:stretch>
          <a:fillRect/>
        </a:stretch>
      </xdr:blipFill>
      <xdr:spPr>
        <a:xfrm>
          <a:off x="311150" y="3460750"/>
          <a:ext cx="5092962" cy="2505202"/>
        </a:xfrm>
        <a:prstGeom prst="rect">
          <a:avLst/>
        </a:prstGeom>
      </xdr:spPr>
    </xdr:pic>
    <xdr:clientData/>
  </xdr:twoCellAnchor>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468313</xdr:colOff>
      <xdr:row>39</xdr:row>
      <xdr:rowOff>158750</xdr:rowOff>
    </xdr:from>
    <xdr:to>
      <xdr:col>10</xdr:col>
      <xdr:colOff>231612</xdr:colOff>
      <xdr:row>57</xdr:row>
      <xdr:rowOff>112931</xdr:rowOff>
    </xdr:to>
    <xdr:pic>
      <xdr:nvPicPr>
        <xdr:cNvPr id="5" name="Picture 4">
          <a:extLst>
            <a:ext uri="{FF2B5EF4-FFF2-40B4-BE49-F238E27FC236}">
              <a16:creationId xmlns:a16="http://schemas.microsoft.com/office/drawing/2014/main" id="{419D8510-65C5-4180-9C7D-1543C494C61F}"/>
            </a:ext>
          </a:extLst>
        </xdr:cNvPr>
        <xdr:cNvPicPr>
          <a:picLocks noChangeAspect="1"/>
        </xdr:cNvPicPr>
      </xdr:nvPicPr>
      <xdr:blipFill>
        <a:blip xmlns:r="http://schemas.openxmlformats.org/officeDocument/2006/relationships" r:embed="rId5"/>
        <a:stretch>
          <a:fillRect/>
        </a:stretch>
      </xdr:blipFill>
      <xdr:spPr>
        <a:xfrm>
          <a:off x="468313" y="7278688"/>
          <a:ext cx="5875174" cy="324030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5</xdr:col>
      <xdr:colOff>263099</xdr:colOff>
      <xdr:row>15</xdr:row>
      <xdr:rowOff>114300</xdr:rowOff>
    </xdr:to>
    <xdr:pic>
      <xdr:nvPicPr>
        <xdr:cNvPr id="2" name="Picture 1">
          <a:extLst>
            <a:ext uri="{FF2B5EF4-FFF2-40B4-BE49-F238E27FC236}">
              <a16:creationId xmlns:a16="http://schemas.microsoft.com/office/drawing/2014/main" id="{9ACBEC6D-76EF-498E-9D71-0E6F412131D0}"/>
            </a:ext>
          </a:extLst>
        </xdr:cNvPr>
        <xdr:cNvPicPr>
          <a:picLocks noChangeAspect="1"/>
        </xdr:cNvPicPr>
      </xdr:nvPicPr>
      <xdr:blipFill>
        <a:blip xmlns:r="http://schemas.openxmlformats.org/officeDocument/2006/relationships" r:embed="rId1"/>
        <a:stretch>
          <a:fillRect/>
        </a:stretch>
      </xdr:blipFill>
      <xdr:spPr>
        <a:xfrm>
          <a:off x="609600" y="368300"/>
          <a:ext cx="2701499" cy="2330450"/>
        </a:xfrm>
        <a:prstGeom prst="rect">
          <a:avLst/>
        </a:prstGeom>
      </xdr:spPr>
    </xdr:pic>
    <xdr:clientData/>
  </xdr:twoCellAnchor>
  <xdr:twoCellAnchor editAs="oneCell">
    <xdr:from>
      <xdr:col>5</xdr:col>
      <xdr:colOff>400050</xdr:colOff>
      <xdr:row>2</xdr:row>
      <xdr:rowOff>171450</xdr:rowOff>
    </xdr:from>
    <xdr:to>
      <xdr:col>10</xdr:col>
      <xdr:colOff>16011</xdr:colOff>
      <xdr:row>15</xdr:row>
      <xdr:rowOff>130296</xdr:rowOff>
    </xdr:to>
    <xdr:pic>
      <xdr:nvPicPr>
        <xdr:cNvPr id="3" name="Picture 2">
          <a:extLst>
            <a:ext uri="{FF2B5EF4-FFF2-40B4-BE49-F238E27FC236}">
              <a16:creationId xmlns:a16="http://schemas.microsoft.com/office/drawing/2014/main" id="{C34AB562-B60A-4E42-A53C-AC3BF7A53797}"/>
            </a:ext>
          </a:extLst>
        </xdr:cNvPr>
        <xdr:cNvPicPr>
          <a:picLocks noChangeAspect="1"/>
        </xdr:cNvPicPr>
      </xdr:nvPicPr>
      <xdr:blipFill>
        <a:blip xmlns:r="http://schemas.openxmlformats.org/officeDocument/2006/relationships" r:embed="rId2"/>
        <a:stretch>
          <a:fillRect/>
        </a:stretch>
      </xdr:blipFill>
      <xdr:spPr>
        <a:xfrm>
          <a:off x="3448050" y="355600"/>
          <a:ext cx="2654436" cy="2349621"/>
        </a:xfrm>
        <a:prstGeom prst="rect">
          <a:avLst/>
        </a:prstGeom>
      </xdr:spPr>
    </xdr:pic>
    <xdr:clientData/>
  </xdr:twoCellAnchor>
  <xdr:twoCellAnchor editAs="oneCell">
    <xdr:from>
      <xdr:col>1</xdr:col>
      <xdr:colOff>0</xdr:colOff>
      <xdr:row>17</xdr:row>
      <xdr:rowOff>0</xdr:rowOff>
    </xdr:from>
    <xdr:to>
      <xdr:col>9</xdr:col>
      <xdr:colOff>492400</xdr:colOff>
      <xdr:row>27</xdr:row>
      <xdr:rowOff>73123</xdr:rowOff>
    </xdr:to>
    <xdr:pic>
      <xdr:nvPicPr>
        <xdr:cNvPr id="4" name="Picture 3">
          <a:extLst>
            <a:ext uri="{FF2B5EF4-FFF2-40B4-BE49-F238E27FC236}">
              <a16:creationId xmlns:a16="http://schemas.microsoft.com/office/drawing/2014/main" id="{57080AF0-8CCA-48EF-8A9C-0FE3CACE5BBB}"/>
            </a:ext>
          </a:extLst>
        </xdr:cNvPr>
        <xdr:cNvPicPr>
          <a:picLocks noChangeAspect="1"/>
        </xdr:cNvPicPr>
      </xdr:nvPicPr>
      <xdr:blipFill>
        <a:blip xmlns:r="http://schemas.openxmlformats.org/officeDocument/2006/relationships" r:embed="rId3"/>
        <a:stretch>
          <a:fillRect/>
        </a:stretch>
      </xdr:blipFill>
      <xdr:spPr>
        <a:xfrm>
          <a:off x="609600" y="3130550"/>
          <a:ext cx="5359675" cy="191144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2</xdr:col>
      <xdr:colOff>304800</xdr:colOff>
      <xdr:row>28</xdr:row>
      <xdr:rowOff>49211</xdr:rowOff>
    </xdr:from>
    <xdr:to>
      <xdr:col>13</xdr:col>
      <xdr:colOff>533400</xdr:colOff>
      <xdr:row>46</xdr:row>
      <xdr:rowOff>161924</xdr:rowOff>
    </xdr:to>
    <xdr:graphicFrame macro="">
      <xdr:nvGraphicFramePr>
        <xdr:cNvPr id="2" name="Chart 1">
          <a:extLst>
            <a:ext uri="{FF2B5EF4-FFF2-40B4-BE49-F238E27FC236}">
              <a16:creationId xmlns:a16="http://schemas.microsoft.com/office/drawing/2014/main" id="{BEDE454C-D5D8-42CD-9B75-2561E6F1F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9</xdr:col>
      <xdr:colOff>333643</xdr:colOff>
      <xdr:row>17</xdr:row>
      <xdr:rowOff>66820</xdr:rowOff>
    </xdr:to>
    <xdr:pic>
      <xdr:nvPicPr>
        <xdr:cNvPr id="3" name="Picture 2">
          <a:extLst>
            <a:ext uri="{FF2B5EF4-FFF2-40B4-BE49-F238E27FC236}">
              <a16:creationId xmlns:a16="http://schemas.microsoft.com/office/drawing/2014/main" id="{0B3E60FA-E158-4685-9A79-98F74C09DE3F}"/>
            </a:ext>
          </a:extLst>
        </xdr:cNvPr>
        <xdr:cNvPicPr>
          <a:picLocks noChangeAspect="1"/>
        </xdr:cNvPicPr>
      </xdr:nvPicPr>
      <xdr:blipFill>
        <a:blip xmlns:r="http://schemas.openxmlformats.org/officeDocument/2006/relationships" r:embed="rId1"/>
        <a:stretch>
          <a:fillRect/>
        </a:stretch>
      </xdr:blipFill>
      <xdr:spPr>
        <a:xfrm>
          <a:off x="6096000" y="368300"/>
          <a:ext cx="5207268" cy="2825895"/>
        </a:xfrm>
        <a:prstGeom prst="rect">
          <a:avLst/>
        </a:prstGeom>
      </xdr:spPr>
    </xdr:pic>
    <xdr:clientData/>
  </xdr:twoCellAnchor>
  <xdr:twoCellAnchor editAs="oneCell">
    <xdr:from>
      <xdr:col>1</xdr:col>
      <xdr:colOff>0</xdr:colOff>
      <xdr:row>26</xdr:row>
      <xdr:rowOff>0</xdr:rowOff>
    </xdr:from>
    <xdr:to>
      <xdr:col>9</xdr:col>
      <xdr:colOff>305066</xdr:colOff>
      <xdr:row>34</xdr:row>
      <xdr:rowOff>57230</xdr:rowOff>
    </xdr:to>
    <xdr:pic>
      <xdr:nvPicPr>
        <xdr:cNvPr id="4" name="Picture 3">
          <a:extLst>
            <a:ext uri="{FF2B5EF4-FFF2-40B4-BE49-F238E27FC236}">
              <a16:creationId xmlns:a16="http://schemas.microsoft.com/office/drawing/2014/main" id="{83A6A075-234B-473F-9F5E-6E252F1E35F5}"/>
            </a:ext>
          </a:extLst>
        </xdr:cNvPr>
        <xdr:cNvPicPr>
          <a:picLocks noChangeAspect="1"/>
        </xdr:cNvPicPr>
      </xdr:nvPicPr>
      <xdr:blipFill>
        <a:blip xmlns:r="http://schemas.openxmlformats.org/officeDocument/2006/relationships" r:embed="rId2"/>
        <a:stretch>
          <a:fillRect/>
        </a:stretch>
      </xdr:blipFill>
      <xdr:spPr>
        <a:xfrm>
          <a:off x="6096000" y="3683000"/>
          <a:ext cx="5181866" cy="1530429"/>
        </a:xfrm>
        <a:prstGeom prst="rect">
          <a:avLst/>
        </a:prstGeom>
      </xdr:spPr>
    </xdr:pic>
    <xdr:clientData/>
  </xdr:twoCellAnchor>
  <xdr:twoCellAnchor editAs="oneCell">
    <xdr:from>
      <xdr:col>10</xdr:col>
      <xdr:colOff>0</xdr:colOff>
      <xdr:row>2</xdr:row>
      <xdr:rowOff>0</xdr:rowOff>
    </xdr:from>
    <xdr:to>
      <xdr:col>18</xdr:col>
      <xdr:colOff>286015</xdr:colOff>
      <xdr:row>16</xdr:row>
      <xdr:rowOff>57285</xdr:rowOff>
    </xdr:to>
    <xdr:pic>
      <xdr:nvPicPr>
        <xdr:cNvPr id="5" name="Picture 4">
          <a:extLst>
            <a:ext uri="{FF2B5EF4-FFF2-40B4-BE49-F238E27FC236}">
              <a16:creationId xmlns:a16="http://schemas.microsoft.com/office/drawing/2014/main" id="{C51829D5-B4F3-4085-AE70-838BE87A4C45}"/>
            </a:ext>
          </a:extLst>
        </xdr:cNvPr>
        <xdr:cNvPicPr>
          <a:picLocks noChangeAspect="1"/>
        </xdr:cNvPicPr>
      </xdr:nvPicPr>
      <xdr:blipFill>
        <a:blip xmlns:r="http://schemas.openxmlformats.org/officeDocument/2006/relationships" r:embed="rId3"/>
        <a:stretch>
          <a:fillRect/>
        </a:stretch>
      </xdr:blipFill>
      <xdr:spPr>
        <a:xfrm>
          <a:off x="11582400" y="368300"/>
          <a:ext cx="5162815" cy="2635385"/>
        </a:xfrm>
        <a:prstGeom prst="rect">
          <a:avLst/>
        </a:prstGeom>
      </xdr:spPr>
    </xdr:pic>
    <xdr:clientData/>
  </xdr:twoCellAnchor>
  <xdr:twoCellAnchor editAs="oneCell">
    <xdr:from>
      <xdr:col>10</xdr:col>
      <xdr:colOff>0</xdr:colOff>
      <xdr:row>24</xdr:row>
      <xdr:rowOff>0</xdr:rowOff>
    </xdr:from>
    <xdr:to>
      <xdr:col>18</xdr:col>
      <xdr:colOff>514627</xdr:colOff>
      <xdr:row>42</xdr:row>
      <xdr:rowOff>85901</xdr:rowOff>
    </xdr:to>
    <xdr:pic>
      <xdr:nvPicPr>
        <xdr:cNvPr id="6" name="Picture 5">
          <a:extLst>
            <a:ext uri="{FF2B5EF4-FFF2-40B4-BE49-F238E27FC236}">
              <a16:creationId xmlns:a16="http://schemas.microsoft.com/office/drawing/2014/main" id="{39D64D5A-AB12-4533-8E58-C097416BE26C}"/>
            </a:ext>
          </a:extLst>
        </xdr:cNvPr>
        <xdr:cNvPicPr>
          <a:picLocks noChangeAspect="1"/>
        </xdr:cNvPicPr>
      </xdr:nvPicPr>
      <xdr:blipFill>
        <a:blip xmlns:r="http://schemas.openxmlformats.org/officeDocument/2006/relationships" r:embed="rId4"/>
        <a:stretch>
          <a:fillRect/>
        </a:stretch>
      </xdr:blipFill>
      <xdr:spPr>
        <a:xfrm>
          <a:off x="11582400" y="3314700"/>
          <a:ext cx="5391427" cy="3397425"/>
        </a:xfrm>
        <a:prstGeom prst="rect">
          <a:avLst/>
        </a:prstGeom>
      </xdr:spPr>
    </xdr:pic>
    <xdr:clientData/>
  </xdr:twoCellAnchor>
  <xdr:twoCellAnchor editAs="oneCell">
    <xdr:from>
      <xdr:col>0</xdr:col>
      <xdr:colOff>571500</xdr:colOff>
      <xdr:row>37</xdr:row>
      <xdr:rowOff>69271</xdr:rowOff>
    </xdr:from>
    <xdr:to>
      <xdr:col>8</xdr:col>
      <xdr:colOff>361318</xdr:colOff>
      <xdr:row>60</xdr:row>
      <xdr:rowOff>88650</xdr:rowOff>
    </xdr:to>
    <xdr:pic>
      <xdr:nvPicPr>
        <xdr:cNvPr id="2" name="Picture 1">
          <a:extLst>
            <a:ext uri="{FF2B5EF4-FFF2-40B4-BE49-F238E27FC236}">
              <a16:creationId xmlns:a16="http://schemas.microsoft.com/office/drawing/2014/main" id="{4275E6FC-CC67-489D-B88D-045EF4536318}"/>
            </a:ext>
          </a:extLst>
        </xdr:cNvPr>
        <xdr:cNvPicPr>
          <a:picLocks noChangeAspect="1"/>
        </xdr:cNvPicPr>
      </xdr:nvPicPr>
      <xdr:blipFill>
        <a:blip xmlns:r="http://schemas.openxmlformats.org/officeDocument/2006/relationships" r:embed="rId5"/>
        <a:stretch>
          <a:fillRect/>
        </a:stretch>
      </xdr:blipFill>
      <xdr:spPr>
        <a:xfrm>
          <a:off x="571500" y="6904180"/>
          <a:ext cx="4685091" cy="4271281"/>
        </a:xfrm>
        <a:prstGeom prst="rect">
          <a:avLst/>
        </a:prstGeom>
      </xdr:spPr>
    </xdr:pic>
    <xdr:clientData/>
  </xdr:twoCellAnchor>
  <xdr:twoCellAnchor editAs="oneCell">
    <xdr:from>
      <xdr:col>20</xdr:col>
      <xdr:colOff>0</xdr:colOff>
      <xdr:row>4</xdr:row>
      <xdr:rowOff>0</xdr:rowOff>
    </xdr:from>
    <xdr:to>
      <xdr:col>26</xdr:col>
      <xdr:colOff>410153</xdr:colOff>
      <xdr:row>12</xdr:row>
      <xdr:rowOff>84496</xdr:rowOff>
    </xdr:to>
    <xdr:pic>
      <xdr:nvPicPr>
        <xdr:cNvPr id="7" name="Picture 6">
          <a:extLst>
            <a:ext uri="{FF2B5EF4-FFF2-40B4-BE49-F238E27FC236}">
              <a16:creationId xmlns:a16="http://schemas.microsoft.com/office/drawing/2014/main" id="{A7AB0666-266C-4706-B0E8-F3A8A91949D9}"/>
            </a:ext>
          </a:extLst>
        </xdr:cNvPr>
        <xdr:cNvPicPr>
          <a:picLocks noChangeAspect="1"/>
        </xdr:cNvPicPr>
      </xdr:nvPicPr>
      <xdr:blipFill>
        <a:blip xmlns:r="http://schemas.openxmlformats.org/officeDocument/2006/relationships" r:embed="rId6"/>
        <a:stretch>
          <a:fillRect/>
        </a:stretch>
      </xdr:blipFill>
      <xdr:spPr>
        <a:xfrm>
          <a:off x="12122727" y="727364"/>
          <a:ext cx="4043796" cy="1536048"/>
        </a:xfrm>
        <a:prstGeom prst="rect">
          <a:avLst/>
        </a:prstGeom>
      </xdr:spPr>
    </xdr:pic>
    <xdr:clientData/>
  </xdr:twoCellAnchor>
  <xdr:twoCellAnchor editAs="oneCell">
    <xdr:from>
      <xdr:col>22</xdr:col>
      <xdr:colOff>0</xdr:colOff>
      <xdr:row>27</xdr:row>
      <xdr:rowOff>0</xdr:rowOff>
    </xdr:from>
    <xdr:to>
      <xdr:col>29</xdr:col>
      <xdr:colOff>324086</xdr:colOff>
      <xdr:row>30</xdr:row>
      <xdr:rowOff>28605</xdr:rowOff>
    </xdr:to>
    <xdr:pic>
      <xdr:nvPicPr>
        <xdr:cNvPr id="8" name="Picture 7">
          <a:extLst>
            <a:ext uri="{FF2B5EF4-FFF2-40B4-BE49-F238E27FC236}">
              <a16:creationId xmlns:a16="http://schemas.microsoft.com/office/drawing/2014/main" id="{17E852C1-B348-47C5-8E54-8C9BB689D051}"/>
            </a:ext>
          </a:extLst>
        </xdr:cNvPr>
        <xdr:cNvPicPr>
          <a:picLocks noChangeAspect="1"/>
        </xdr:cNvPicPr>
      </xdr:nvPicPr>
      <xdr:blipFill>
        <a:blip xmlns:r="http://schemas.openxmlformats.org/officeDocument/2006/relationships" r:embed="rId7"/>
        <a:stretch>
          <a:fillRect/>
        </a:stretch>
      </xdr:blipFill>
      <xdr:spPr>
        <a:xfrm>
          <a:off x="0" y="542925"/>
          <a:ext cx="4591286" cy="571530"/>
        </a:xfrm>
        <a:prstGeom prst="rect">
          <a:avLst/>
        </a:prstGeom>
      </xdr:spPr>
    </xdr:pic>
    <xdr:clientData/>
  </xdr:twoCellAnchor>
  <xdr:twoCellAnchor editAs="oneCell">
    <xdr:from>
      <xdr:col>22</xdr:col>
      <xdr:colOff>69850</xdr:colOff>
      <xdr:row>30</xdr:row>
      <xdr:rowOff>133350</xdr:rowOff>
    </xdr:from>
    <xdr:to>
      <xdr:col>29</xdr:col>
      <xdr:colOff>285980</xdr:colOff>
      <xdr:row>42</xdr:row>
      <xdr:rowOff>57260</xdr:rowOff>
    </xdr:to>
    <xdr:pic>
      <xdr:nvPicPr>
        <xdr:cNvPr id="9" name="Picture 8">
          <a:extLst>
            <a:ext uri="{FF2B5EF4-FFF2-40B4-BE49-F238E27FC236}">
              <a16:creationId xmlns:a16="http://schemas.microsoft.com/office/drawing/2014/main" id="{3898DEF0-72F2-4171-8282-9EB7B560BF20}"/>
            </a:ext>
          </a:extLst>
        </xdr:cNvPr>
        <xdr:cNvPicPr>
          <a:picLocks noChangeAspect="1"/>
        </xdr:cNvPicPr>
      </xdr:nvPicPr>
      <xdr:blipFill>
        <a:blip xmlns:r="http://schemas.openxmlformats.org/officeDocument/2006/relationships" r:embed="rId8"/>
        <a:stretch>
          <a:fillRect/>
        </a:stretch>
      </xdr:blipFill>
      <xdr:spPr>
        <a:xfrm>
          <a:off x="66675" y="1219200"/>
          <a:ext cx="4486505" cy="2095610"/>
        </a:xfrm>
        <a:prstGeom prst="rect">
          <a:avLst/>
        </a:prstGeom>
      </xdr:spPr>
    </xdr:pic>
    <xdr:clientData/>
  </xdr:twoCellAnchor>
  <xdr:twoCellAnchor editAs="oneCell">
    <xdr:from>
      <xdr:col>32</xdr:col>
      <xdr:colOff>0</xdr:colOff>
      <xdr:row>28</xdr:row>
      <xdr:rowOff>0</xdr:rowOff>
    </xdr:from>
    <xdr:to>
      <xdr:col>41</xdr:col>
      <xdr:colOff>419404</xdr:colOff>
      <xdr:row>36</xdr:row>
      <xdr:rowOff>38178</xdr:rowOff>
    </xdr:to>
    <xdr:pic>
      <xdr:nvPicPr>
        <xdr:cNvPr id="10" name="Picture 9">
          <a:extLst>
            <a:ext uri="{FF2B5EF4-FFF2-40B4-BE49-F238E27FC236}">
              <a16:creationId xmlns:a16="http://schemas.microsoft.com/office/drawing/2014/main" id="{775E8429-203E-487D-8E92-53A290284EBC}"/>
            </a:ext>
          </a:extLst>
        </xdr:cNvPr>
        <xdr:cNvPicPr>
          <a:picLocks noChangeAspect="1"/>
        </xdr:cNvPicPr>
      </xdr:nvPicPr>
      <xdr:blipFill>
        <a:blip xmlns:r="http://schemas.openxmlformats.org/officeDocument/2006/relationships" r:embed="rId9"/>
        <a:stretch>
          <a:fillRect/>
        </a:stretch>
      </xdr:blipFill>
      <xdr:spPr>
        <a:xfrm>
          <a:off x="6096000" y="723900"/>
          <a:ext cx="5905804" cy="1485978"/>
        </a:xfrm>
        <a:prstGeom prst="rect">
          <a:avLst/>
        </a:prstGeom>
      </xdr:spPr>
    </xdr:pic>
    <xdr:clientData/>
  </xdr:twoCellAnchor>
  <xdr:twoCellAnchor editAs="oneCell">
    <xdr:from>
      <xdr:col>32</xdr:col>
      <xdr:colOff>44449</xdr:colOff>
      <xdr:row>37</xdr:row>
      <xdr:rowOff>57150</xdr:rowOff>
    </xdr:from>
    <xdr:to>
      <xdr:col>41</xdr:col>
      <xdr:colOff>1490</xdr:colOff>
      <xdr:row>46</xdr:row>
      <xdr:rowOff>9525</xdr:rowOff>
    </xdr:to>
    <xdr:pic>
      <xdr:nvPicPr>
        <xdr:cNvPr id="11" name="Picture 10">
          <a:extLst>
            <a:ext uri="{FF2B5EF4-FFF2-40B4-BE49-F238E27FC236}">
              <a16:creationId xmlns:a16="http://schemas.microsoft.com/office/drawing/2014/main" id="{5CCEF15E-FFB6-4C42-BE55-57C023E44F30}"/>
            </a:ext>
          </a:extLst>
        </xdr:cNvPr>
        <xdr:cNvPicPr>
          <a:picLocks noChangeAspect="1"/>
        </xdr:cNvPicPr>
      </xdr:nvPicPr>
      <xdr:blipFill>
        <a:blip xmlns:r="http://schemas.openxmlformats.org/officeDocument/2006/relationships" r:embed="rId10"/>
        <a:stretch>
          <a:fillRect/>
        </a:stretch>
      </xdr:blipFill>
      <xdr:spPr>
        <a:xfrm>
          <a:off x="6143624" y="2409825"/>
          <a:ext cx="5440266" cy="1581150"/>
        </a:xfrm>
        <a:prstGeom prst="rect">
          <a:avLst/>
        </a:prstGeom>
      </xdr:spPr>
    </xdr:pic>
    <xdr:clientData/>
  </xdr:twoCellAnchor>
  <xdr:twoCellAnchor editAs="oneCell">
    <xdr:from>
      <xdr:col>43</xdr:col>
      <xdr:colOff>0</xdr:colOff>
      <xdr:row>28</xdr:row>
      <xdr:rowOff>0</xdr:rowOff>
    </xdr:from>
    <xdr:to>
      <xdr:col>48</xdr:col>
      <xdr:colOff>181141</xdr:colOff>
      <xdr:row>52</xdr:row>
      <xdr:rowOff>133584</xdr:rowOff>
    </xdr:to>
    <xdr:pic>
      <xdr:nvPicPr>
        <xdr:cNvPr id="12" name="Picture 11">
          <a:extLst>
            <a:ext uri="{FF2B5EF4-FFF2-40B4-BE49-F238E27FC236}">
              <a16:creationId xmlns:a16="http://schemas.microsoft.com/office/drawing/2014/main" id="{AF68D7D5-EABE-41B5-88F8-0692079893F7}"/>
            </a:ext>
          </a:extLst>
        </xdr:cNvPr>
        <xdr:cNvPicPr>
          <a:picLocks noChangeAspect="1"/>
        </xdr:cNvPicPr>
      </xdr:nvPicPr>
      <xdr:blipFill>
        <a:blip xmlns:r="http://schemas.openxmlformats.org/officeDocument/2006/relationships" r:embed="rId11"/>
        <a:stretch>
          <a:fillRect/>
        </a:stretch>
      </xdr:blipFill>
      <xdr:spPr>
        <a:xfrm>
          <a:off x="12801600" y="723900"/>
          <a:ext cx="3229141" cy="4476984"/>
        </a:xfrm>
        <a:prstGeom prst="rect">
          <a:avLst/>
        </a:prstGeom>
      </xdr:spPr>
    </xdr:pic>
    <xdr:clientData/>
  </xdr:twoCellAnchor>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63500</xdr:colOff>
      <xdr:row>2</xdr:row>
      <xdr:rowOff>69850</xdr:rowOff>
    </xdr:from>
    <xdr:to>
      <xdr:col>8</xdr:col>
      <xdr:colOff>520395</xdr:colOff>
      <xdr:row>27</xdr:row>
      <xdr:rowOff>77590</xdr:rowOff>
    </xdr:to>
    <xdr:pic>
      <xdr:nvPicPr>
        <xdr:cNvPr id="2" name="Picture 1">
          <a:extLst>
            <a:ext uri="{FF2B5EF4-FFF2-40B4-BE49-F238E27FC236}">
              <a16:creationId xmlns:a16="http://schemas.microsoft.com/office/drawing/2014/main" id="{9AA1437F-F395-4F91-A323-29A2FFF73C54}"/>
            </a:ext>
          </a:extLst>
        </xdr:cNvPr>
        <xdr:cNvPicPr>
          <a:picLocks noChangeAspect="1"/>
        </xdr:cNvPicPr>
      </xdr:nvPicPr>
      <xdr:blipFill>
        <a:blip xmlns:r="http://schemas.openxmlformats.org/officeDocument/2006/relationships" r:embed="rId1"/>
        <a:stretch>
          <a:fillRect/>
        </a:stretch>
      </xdr:blipFill>
      <xdr:spPr>
        <a:xfrm>
          <a:off x="3111500" y="438150"/>
          <a:ext cx="5333695" cy="4611490"/>
        </a:xfrm>
        <a:prstGeom prst="rect">
          <a:avLst/>
        </a:prstGeom>
      </xdr:spPr>
    </xdr:pic>
    <xdr:clientData/>
  </xdr:twoCellAnchor>
  <xdr:twoCellAnchor editAs="oneCell">
    <xdr:from>
      <xdr:col>10</xdr:col>
      <xdr:colOff>0</xdr:colOff>
      <xdr:row>2</xdr:row>
      <xdr:rowOff>0</xdr:rowOff>
    </xdr:from>
    <xdr:to>
      <xdr:col>18</xdr:col>
      <xdr:colOff>305066</xdr:colOff>
      <xdr:row>30</xdr:row>
      <xdr:rowOff>101870</xdr:rowOff>
    </xdr:to>
    <xdr:pic>
      <xdr:nvPicPr>
        <xdr:cNvPr id="3" name="Picture 2">
          <a:extLst>
            <a:ext uri="{FF2B5EF4-FFF2-40B4-BE49-F238E27FC236}">
              <a16:creationId xmlns:a16="http://schemas.microsoft.com/office/drawing/2014/main" id="{7D8B5522-D254-4EF1-80BC-DF8D855196FA}"/>
            </a:ext>
          </a:extLst>
        </xdr:cNvPr>
        <xdr:cNvPicPr>
          <a:picLocks noChangeAspect="1"/>
        </xdr:cNvPicPr>
      </xdr:nvPicPr>
      <xdr:blipFill>
        <a:blip xmlns:r="http://schemas.openxmlformats.org/officeDocument/2006/relationships" r:embed="rId2"/>
        <a:stretch>
          <a:fillRect/>
        </a:stretch>
      </xdr:blipFill>
      <xdr:spPr>
        <a:xfrm>
          <a:off x="9144000" y="368300"/>
          <a:ext cx="5181866" cy="5258070"/>
        </a:xfrm>
        <a:prstGeom prst="rect">
          <a:avLst/>
        </a:prstGeom>
      </xdr:spPr>
    </xdr:pic>
    <xdr:clientData/>
  </xdr:twoCellAnchor>
  <xdr:twoCellAnchor editAs="oneCell">
    <xdr:from>
      <xdr:col>10</xdr:col>
      <xdr:colOff>44450</xdr:colOff>
      <xdr:row>29</xdr:row>
      <xdr:rowOff>120650</xdr:rowOff>
    </xdr:from>
    <xdr:to>
      <xdr:col>18</xdr:col>
      <xdr:colOff>279663</xdr:colOff>
      <xdr:row>40</xdr:row>
      <xdr:rowOff>139805</xdr:rowOff>
    </xdr:to>
    <xdr:pic>
      <xdr:nvPicPr>
        <xdr:cNvPr id="4" name="Picture 3">
          <a:extLst>
            <a:ext uri="{FF2B5EF4-FFF2-40B4-BE49-F238E27FC236}">
              <a16:creationId xmlns:a16="http://schemas.microsoft.com/office/drawing/2014/main" id="{778B0A21-AEDA-4586-84ED-B871A17C474D}"/>
            </a:ext>
          </a:extLst>
        </xdr:cNvPr>
        <xdr:cNvPicPr>
          <a:picLocks noChangeAspect="1"/>
        </xdr:cNvPicPr>
      </xdr:nvPicPr>
      <xdr:blipFill>
        <a:blip xmlns:r="http://schemas.openxmlformats.org/officeDocument/2006/relationships" r:embed="rId3"/>
        <a:stretch>
          <a:fillRect/>
        </a:stretch>
      </xdr:blipFill>
      <xdr:spPr>
        <a:xfrm>
          <a:off x="9188450" y="5645150"/>
          <a:ext cx="5112013" cy="2044805"/>
        </a:xfrm>
        <a:prstGeom prst="rect">
          <a:avLst/>
        </a:prstGeom>
      </xdr:spPr>
    </xdr:pic>
    <xdr:clientData/>
  </xdr:twoCellAnchor>
  <xdr:twoCellAnchor editAs="oneCell">
    <xdr:from>
      <xdr:col>10</xdr:col>
      <xdr:colOff>50800</xdr:colOff>
      <xdr:row>40</xdr:row>
      <xdr:rowOff>177800</xdr:rowOff>
    </xdr:from>
    <xdr:to>
      <xdr:col>18</xdr:col>
      <xdr:colOff>247911</xdr:colOff>
      <xdr:row>52</xdr:row>
      <xdr:rowOff>89009</xdr:rowOff>
    </xdr:to>
    <xdr:pic>
      <xdr:nvPicPr>
        <xdr:cNvPr id="5" name="Picture 4">
          <a:extLst>
            <a:ext uri="{FF2B5EF4-FFF2-40B4-BE49-F238E27FC236}">
              <a16:creationId xmlns:a16="http://schemas.microsoft.com/office/drawing/2014/main" id="{55E0E5F4-D894-44BE-84C7-AFF5851F09DD}"/>
            </a:ext>
          </a:extLst>
        </xdr:cNvPr>
        <xdr:cNvPicPr>
          <a:picLocks noChangeAspect="1"/>
        </xdr:cNvPicPr>
      </xdr:nvPicPr>
      <xdr:blipFill>
        <a:blip xmlns:r="http://schemas.openxmlformats.org/officeDocument/2006/relationships" r:embed="rId4"/>
        <a:stretch>
          <a:fillRect/>
        </a:stretch>
      </xdr:blipFill>
      <xdr:spPr>
        <a:xfrm>
          <a:off x="9194800" y="7727950"/>
          <a:ext cx="5073911" cy="2121009"/>
        </a:xfrm>
        <a:prstGeom prst="rect">
          <a:avLst/>
        </a:prstGeom>
      </xdr:spPr>
    </xdr:pic>
    <xdr:clientData/>
  </xdr:twoCellAnchor>
  <xdr:twoCellAnchor editAs="oneCell">
    <xdr:from>
      <xdr:col>0</xdr:col>
      <xdr:colOff>0</xdr:colOff>
      <xdr:row>48</xdr:row>
      <xdr:rowOff>0</xdr:rowOff>
    </xdr:from>
    <xdr:to>
      <xdr:col>8</xdr:col>
      <xdr:colOff>343168</xdr:colOff>
      <xdr:row>56</xdr:row>
      <xdr:rowOff>171535</xdr:rowOff>
    </xdr:to>
    <xdr:pic>
      <xdr:nvPicPr>
        <xdr:cNvPr id="6" name="Picture 5">
          <a:extLst>
            <a:ext uri="{FF2B5EF4-FFF2-40B4-BE49-F238E27FC236}">
              <a16:creationId xmlns:a16="http://schemas.microsoft.com/office/drawing/2014/main" id="{81F48F93-0B76-47A7-A39D-8C7A326222CB}"/>
            </a:ext>
          </a:extLst>
        </xdr:cNvPr>
        <xdr:cNvPicPr>
          <a:picLocks noChangeAspect="1"/>
        </xdr:cNvPicPr>
      </xdr:nvPicPr>
      <xdr:blipFill>
        <a:blip xmlns:r="http://schemas.openxmlformats.org/officeDocument/2006/relationships" r:embed="rId5"/>
        <a:stretch>
          <a:fillRect/>
        </a:stretch>
      </xdr:blipFill>
      <xdr:spPr>
        <a:xfrm>
          <a:off x="0" y="9023350"/>
          <a:ext cx="5219968" cy="1644735"/>
        </a:xfrm>
        <a:prstGeom prst="rect">
          <a:avLst/>
        </a:prstGeom>
      </xdr:spPr>
    </xdr:pic>
    <xdr:clientData/>
  </xdr:twoCellAnchor>
  <xdr:twoCellAnchor editAs="oneCell">
    <xdr:from>
      <xdr:col>0</xdr:col>
      <xdr:colOff>0</xdr:colOff>
      <xdr:row>57</xdr:row>
      <xdr:rowOff>0</xdr:rowOff>
    </xdr:from>
    <xdr:to>
      <xdr:col>4</xdr:col>
      <xdr:colOff>235087</xdr:colOff>
      <xdr:row>74</xdr:row>
      <xdr:rowOff>152569</xdr:rowOff>
    </xdr:to>
    <xdr:pic>
      <xdr:nvPicPr>
        <xdr:cNvPr id="7" name="Picture 6">
          <a:extLst>
            <a:ext uri="{FF2B5EF4-FFF2-40B4-BE49-F238E27FC236}">
              <a16:creationId xmlns:a16="http://schemas.microsoft.com/office/drawing/2014/main" id="{B00FD612-AF5E-45A1-A8B0-82FDB3356BC5}"/>
            </a:ext>
          </a:extLst>
        </xdr:cNvPr>
        <xdr:cNvPicPr>
          <a:picLocks noChangeAspect="1"/>
        </xdr:cNvPicPr>
      </xdr:nvPicPr>
      <xdr:blipFill>
        <a:blip xmlns:r="http://schemas.openxmlformats.org/officeDocument/2006/relationships" r:embed="rId6"/>
        <a:stretch>
          <a:fillRect/>
        </a:stretch>
      </xdr:blipFill>
      <xdr:spPr>
        <a:xfrm>
          <a:off x="0" y="10680700"/>
          <a:ext cx="2673487" cy="3283119"/>
        </a:xfrm>
        <a:prstGeom prst="rect">
          <a:avLst/>
        </a:prstGeom>
      </xdr:spPr>
    </xdr:pic>
    <xdr:clientData/>
  </xdr:twoCellAnchor>
  <xdr:twoCellAnchor editAs="oneCell">
    <xdr:from>
      <xdr:col>0</xdr:col>
      <xdr:colOff>0</xdr:colOff>
      <xdr:row>75</xdr:row>
      <xdr:rowOff>0</xdr:rowOff>
    </xdr:from>
    <xdr:to>
      <xdr:col>8</xdr:col>
      <xdr:colOff>216162</xdr:colOff>
      <xdr:row>86</xdr:row>
      <xdr:rowOff>76308</xdr:rowOff>
    </xdr:to>
    <xdr:pic>
      <xdr:nvPicPr>
        <xdr:cNvPr id="8" name="Picture 7">
          <a:extLst>
            <a:ext uri="{FF2B5EF4-FFF2-40B4-BE49-F238E27FC236}">
              <a16:creationId xmlns:a16="http://schemas.microsoft.com/office/drawing/2014/main" id="{6EDF51B0-E89D-49DB-BDF4-5755F7DFFDCE}"/>
            </a:ext>
          </a:extLst>
        </xdr:cNvPr>
        <xdr:cNvPicPr>
          <a:picLocks noChangeAspect="1"/>
        </xdr:cNvPicPr>
      </xdr:nvPicPr>
      <xdr:blipFill>
        <a:blip xmlns:r="http://schemas.openxmlformats.org/officeDocument/2006/relationships" r:embed="rId7"/>
        <a:stretch>
          <a:fillRect/>
        </a:stretch>
      </xdr:blipFill>
      <xdr:spPr>
        <a:xfrm>
          <a:off x="0" y="13995400"/>
          <a:ext cx="5092962" cy="2101958"/>
        </a:xfrm>
        <a:prstGeom prst="rect">
          <a:avLst/>
        </a:prstGeom>
      </xdr:spPr>
    </xdr:pic>
    <xdr:clientData/>
  </xdr:twoCellAnchor>
  <xdr:twoCellAnchor editAs="oneCell">
    <xdr:from>
      <xdr:col>20</xdr:col>
      <xdr:colOff>19050</xdr:colOff>
      <xdr:row>2</xdr:row>
      <xdr:rowOff>50800</xdr:rowOff>
    </xdr:from>
    <xdr:to>
      <xdr:col>27</xdr:col>
      <xdr:colOff>286043</xdr:colOff>
      <xdr:row>19</xdr:row>
      <xdr:rowOff>30565</xdr:rowOff>
    </xdr:to>
    <xdr:pic>
      <xdr:nvPicPr>
        <xdr:cNvPr id="9" name="Picture 8">
          <a:extLst>
            <a:ext uri="{FF2B5EF4-FFF2-40B4-BE49-F238E27FC236}">
              <a16:creationId xmlns:a16="http://schemas.microsoft.com/office/drawing/2014/main" id="{05217B75-5B9D-4276-9449-485CCD90E5E2}"/>
            </a:ext>
          </a:extLst>
        </xdr:cNvPr>
        <xdr:cNvPicPr>
          <a:picLocks noChangeAspect="1"/>
        </xdr:cNvPicPr>
      </xdr:nvPicPr>
      <xdr:blipFill>
        <a:blip xmlns:r="http://schemas.openxmlformats.org/officeDocument/2006/relationships" r:embed="rId8"/>
        <a:stretch>
          <a:fillRect/>
        </a:stretch>
      </xdr:blipFill>
      <xdr:spPr>
        <a:xfrm>
          <a:off x="12211050" y="419100"/>
          <a:ext cx="4534193" cy="3110315"/>
        </a:xfrm>
        <a:prstGeom prst="rect">
          <a:avLst/>
        </a:prstGeom>
      </xdr:spPr>
    </xdr:pic>
    <xdr:clientData/>
  </xdr:twoCellAnchor>
  <xdr:twoCellAnchor editAs="oneCell">
    <xdr:from>
      <xdr:col>20</xdr:col>
      <xdr:colOff>63500</xdr:colOff>
      <xdr:row>19</xdr:row>
      <xdr:rowOff>16730</xdr:rowOff>
    </xdr:from>
    <xdr:to>
      <xdr:col>27</xdr:col>
      <xdr:colOff>279702</xdr:colOff>
      <xdr:row>26</xdr:row>
      <xdr:rowOff>50889</xdr:rowOff>
    </xdr:to>
    <xdr:pic>
      <xdr:nvPicPr>
        <xdr:cNvPr id="10" name="Picture 9">
          <a:extLst>
            <a:ext uri="{FF2B5EF4-FFF2-40B4-BE49-F238E27FC236}">
              <a16:creationId xmlns:a16="http://schemas.microsoft.com/office/drawing/2014/main" id="{9295338E-D3A7-4E43-99FA-5C72D52329AD}"/>
            </a:ext>
          </a:extLst>
        </xdr:cNvPr>
        <xdr:cNvPicPr>
          <a:picLocks noChangeAspect="1"/>
        </xdr:cNvPicPr>
      </xdr:nvPicPr>
      <xdr:blipFill>
        <a:blip xmlns:r="http://schemas.openxmlformats.org/officeDocument/2006/relationships" r:embed="rId9"/>
        <a:stretch>
          <a:fillRect/>
        </a:stretch>
      </xdr:blipFill>
      <xdr:spPr>
        <a:xfrm>
          <a:off x="12255500" y="3699730"/>
          <a:ext cx="4483402" cy="1323209"/>
        </a:xfrm>
        <a:prstGeom prst="rect">
          <a:avLst/>
        </a:prstGeom>
      </xdr:spPr>
    </xdr:pic>
    <xdr:clientData/>
  </xdr:twoCellAnchor>
  <xdr:twoCellAnchor editAs="oneCell">
    <xdr:from>
      <xdr:col>29</xdr:col>
      <xdr:colOff>12700</xdr:colOff>
      <xdr:row>2</xdr:row>
      <xdr:rowOff>76200</xdr:rowOff>
    </xdr:from>
    <xdr:to>
      <xdr:col>38</xdr:col>
      <xdr:colOff>108237</xdr:colOff>
      <xdr:row>18</xdr:row>
      <xdr:rowOff>127154</xdr:rowOff>
    </xdr:to>
    <xdr:pic>
      <xdr:nvPicPr>
        <xdr:cNvPr id="11" name="Picture 10">
          <a:extLst>
            <a:ext uri="{FF2B5EF4-FFF2-40B4-BE49-F238E27FC236}">
              <a16:creationId xmlns:a16="http://schemas.microsoft.com/office/drawing/2014/main" id="{46D83028-D03C-44EA-891D-721FE9355C36}"/>
            </a:ext>
          </a:extLst>
        </xdr:cNvPr>
        <xdr:cNvPicPr>
          <a:picLocks noChangeAspect="1"/>
        </xdr:cNvPicPr>
      </xdr:nvPicPr>
      <xdr:blipFill>
        <a:blip xmlns:r="http://schemas.openxmlformats.org/officeDocument/2006/relationships" r:embed="rId10"/>
        <a:stretch>
          <a:fillRect/>
        </a:stretch>
      </xdr:blipFill>
      <xdr:spPr>
        <a:xfrm>
          <a:off x="17691100" y="444500"/>
          <a:ext cx="5581937" cy="2997354"/>
        </a:xfrm>
        <a:prstGeom prst="rect">
          <a:avLst/>
        </a:prstGeom>
      </xdr:spPr>
    </xdr:pic>
    <xdr:clientData/>
  </xdr:twoCellAnchor>
  <xdr:twoCellAnchor editAs="oneCell">
    <xdr:from>
      <xdr:col>39</xdr:col>
      <xdr:colOff>603250</xdr:colOff>
      <xdr:row>2</xdr:row>
      <xdr:rowOff>50800</xdr:rowOff>
    </xdr:from>
    <xdr:to>
      <xdr:col>53</xdr:col>
      <xdr:colOff>88900</xdr:colOff>
      <xdr:row>8</xdr:row>
      <xdr:rowOff>26688</xdr:rowOff>
    </xdr:to>
    <xdr:pic>
      <xdr:nvPicPr>
        <xdr:cNvPr id="12" name="Picture 11">
          <a:extLst>
            <a:ext uri="{FF2B5EF4-FFF2-40B4-BE49-F238E27FC236}">
              <a16:creationId xmlns:a16="http://schemas.microsoft.com/office/drawing/2014/main" id="{858CF247-8242-4807-9011-846FD1CF1A3B}"/>
            </a:ext>
          </a:extLst>
        </xdr:cNvPr>
        <xdr:cNvPicPr>
          <a:picLocks noChangeAspect="1"/>
        </xdr:cNvPicPr>
      </xdr:nvPicPr>
      <xdr:blipFill>
        <a:blip xmlns:r="http://schemas.openxmlformats.org/officeDocument/2006/relationships" r:embed="rId11"/>
        <a:stretch>
          <a:fillRect/>
        </a:stretch>
      </xdr:blipFill>
      <xdr:spPr>
        <a:xfrm>
          <a:off x="24377650" y="419100"/>
          <a:ext cx="8020050" cy="1080788"/>
        </a:xfrm>
        <a:prstGeom prst="rect">
          <a:avLst/>
        </a:prstGeom>
      </xdr:spPr>
    </xdr:pic>
    <xdr:clientData/>
  </xdr:twoCellAnchor>
  <xdr:twoCellAnchor editAs="oneCell">
    <xdr:from>
      <xdr:col>54</xdr:col>
      <xdr:colOff>25400</xdr:colOff>
      <xdr:row>2</xdr:row>
      <xdr:rowOff>44450</xdr:rowOff>
    </xdr:from>
    <xdr:to>
      <xdr:col>64</xdr:col>
      <xdr:colOff>508338</xdr:colOff>
      <xdr:row>23</xdr:row>
      <xdr:rowOff>70050</xdr:rowOff>
    </xdr:to>
    <xdr:pic>
      <xdr:nvPicPr>
        <xdr:cNvPr id="13" name="Picture 12">
          <a:extLst>
            <a:ext uri="{FF2B5EF4-FFF2-40B4-BE49-F238E27FC236}">
              <a16:creationId xmlns:a16="http://schemas.microsoft.com/office/drawing/2014/main" id="{17E0A3DA-6C9D-45EA-B7F7-BEBFFA11354F}"/>
            </a:ext>
          </a:extLst>
        </xdr:cNvPr>
        <xdr:cNvPicPr>
          <a:picLocks noChangeAspect="1"/>
        </xdr:cNvPicPr>
      </xdr:nvPicPr>
      <xdr:blipFill>
        <a:blip xmlns:r="http://schemas.openxmlformats.org/officeDocument/2006/relationships" r:embed="rId12"/>
        <a:stretch>
          <a:fillRect/>
        </a:stretch>
      </xdr:blipFill>
      <xdr:spPr>
        <a:xfrm>
          <a:off x="32943800" y="412750"/>
          <a:ext cx="6578938" cy="3892750"/>
        </a:xfrm>
        <a:prstGeom prst="rect">
          <a:avLst/>
        </a:prstGeom>
      </xdr:spPr>
    </xdr:pic>
    <xdr:clientData/>
  </xdr:twoCellAnchor>
  <xdr:twoCellAnchor editAs="oneCell">
    <xdr:from>
      <xdr:col>10</xdr:col>
      <xdr:colOff>0</xdr:colOff>
      <xdr:row>54</xdr:row>
      <xdr:rowOff>0</xdr:rowOff>
    </xdr:from>
    <xdr:to>
      <xdr:col>17</xdr:col>
      <xdr:colOff>216130</xdr:colOff>
      <xdr:row>63</xdr:row>
      <xdr:rowOff>152493</xdr:rowOff>
    </xdr:to>
    <xdr:pic>
      <xdr:nvPicPr>
        <xdr:cNvPr id="14" name="Picture 13">
          <a:extLst>
            <a:ext uri="{FF2B5EF4-FFF2-40B4-BE49-F238E27FC236}">
              <a16:creationId xmlns:a16="http://schemas.microsoft.com/office/drawing/2014/main" id="{97424816-D244-486B-A1CB-0DE13C45849B}"/>
            </a:ext>
          </a:extLst>
        </xdr:cNvPr>
        <xdr:cNvPicPr>
          <a:picLocks noChangeAspect="1"/>
        </xdr:cNvPicPr>
      </xdr:nvPicPr>
      <xdr:blipFill>
        <a:blip xmlns:r="http://schemas.openxmlformats.org/officeDocument/2006/relationships" r:embed="rId13"/>
        <a:stretch>
          <a:fillRect/>
        </a:stretch>
      </xdr:blipFill>
      <xdr:spPr>
        <a:xfrm>
          <a:off x="6096000" y="9944100"/>
          <a:ext cx="4483330" cy="1809843"/>
        </a:xfrm>
        <a:prstGeom prst="rect">
          <a:avLst/>
        </a:prstGeom>
      </xdr:spPr>
    </xdr:pic>
    <xdr:clientData/>
  </xdr:twoCellAnchor>
  <xdr:twoCellAnchor editAs="oneCell">
    <xdr:from>
      <xdr:col>66</xdr:col>
      <xdr:colOff>19050</xdr:colOff>
      <xdr:row>2</xdr:row>
      <xdr:rowOff>82550</xdr:rowOff>
    </xdr:from>
    <xdr:to>
      <xdr:col>74</xdr:col>
      <xdr:colOff>413102</xdr:colOff>
      <xdr:row>9</xdr:row>
      <xdr:rowOff>23365</xdr:rowOff>
    </xdr:to>
    <xdr:pic>
      <xdr:nvPicPr>
        <xdr:cNvPr id="15" name="Picture 14">
          <a:extLst>
            <a:ext uri="{FF2B5EF4-FFF2-40B4-BE49-F238E27FC236}">
              <a16:creationId xmlns:a16="http://schemas.microsoft.com/office/drawing/2014/main" id="{6C64FFEF-2A36-491D-BCB6-77C40A343DE0}"/>
            </a:ext>
          </a:extLst>
        </xdr:cNvPr>
        <xdr:cNvPicPr>
          <a:picLocks noChangeAspect="1"/>
        </xdr:cNvPicPr>
      </xdr:nvPicPr>
      <xdr:blipFill>
        <a:blip xmlns:r="http://schemas.openxmlformats.org/officeDocument/2006/relationships" r:embed="rId14"/>
        <a:stretch>
          <a:fillRect/>
        </a:stretch>
      </xdr:blipFill>
      <xdr:spPr>
        <a:xfrm>
          <a:off x="40252650" y="450850"/>
          <a:ext cx="5270852" cy="1229865"/>
        </a:xfrm>
        <a:prstGeom prst="rect">
          <a:avLst/>
        </a:prstGeom>
      </xdr:spPr>
    </xdr:pic>
    <xdr:clientData/>
  </xdr:twoCellAnchor>
  <xdr:twoCellAnchor editAs="oneCell">
    <xdr:from>
      <xdr:col>76</xdr:col>
      <xdr:colOff>66675</xdr:colOff>
      <xdr:row>2</xdr:row>
      <xdr:rowOff>85725</xdr:rowOff>
    </xdr:from>
    <xdr:to>
      <xdr:col>87</xdr:col>
      <xdr:colOff>505192</xdr:colOff>
      <xdr:row>12</xdr:row>
      <xdr:rowOff>152496</xdr:rowOff>
    </xdr:to>
    <xdr:pic>
      <xdr:nvPicPr>
        <xdr:cNvPr id="16" name="Picture 15">
          <a:extLst>
            <a:ext uri="{FF2B5EF4-FFF2-40B4-BE49-F238E27FC236}">
              <a16:creationId xmlns:a16="http://schemas.microsoft.com/office/drawing/2014/main" id="{0EF41B96-A5E1-478F-9309-52D29A19E357}"/>
            </a:ext>
          </a:extLst>
        </xdr:cNvPr>
        <xdr:cNvPicPr>
          <a:picLocks noChangeAspect="1"/>
        </xdr:cNvPicPr>
      </xdr:nvPicPr>
      <xdr:blipFill>
        <a:blip xmlns:r="http://schemas.openxmlformats.org/officeDocument/2006/relationships" r:embed="rId15"/>
        <a:stretch>
          <a:fillRect/>
        </a:stretch>
      </xdr:blipFill>
      <xdr:spPr>
        <a:xfrm>
          <a:off x="46396275" y="447675"/>
          <a:ext cx="7144117" cy="1876521"/>
        </a:xfrm>
        <a:prstGeom prst="rect">
          <a:avLst/>
        </a:prstGeom>
      </xdr:spPr>
    </xdr:pic>
    <xdr:clientData/>
  </xdr:twoCellAnchor>
  <xdr:twoCellAnchor editAs="oneCell">
    <xdr:from>
      <xdr:col>89</xdr:col>
      <xdr:colOff>0</xdr:colOff>
      <xdr:row>2</xdr:row>
      <xdr:rowOff>0</xdr:rowOff>
    </xdr:from>
    <xdr:to>
      <xdr:col>94</xdr:col>
      <xdr:colOff>228768</xdr:colOff>
      <xdr:row>6</xdr:row>
      <xdr:rowOff>101642</xdr:rowOff>
    </xdr:to>
    <xdr:pic>
      <xdr:nvPicPr>
        <xdr:cNvPr id="17" name="Picture 16">
          <a:extLst>
            <a:ext uri="{FF2B5EF4-FFF2-40B4-BE49-F238E27FC236}">
              <a16:creationId xmlns:a16="http://schemas.microsoft.com/office/drawing/2014/main" id="{CE5B90AE-354E-459B-A918-2B83836645B7}"/>
            </a:ext>
          </a:extLst>
        </xdr:cNvPr>
        <xdr:cNvPicPr>
          <a:picLocks noChangeAspect="1"/>
        </xdr:cNvPicPr>
      </xdr:nvPicPr>
      <xdr:blipFill>
        <a:blip xmlns:r="http://schemas.openxmlformats.org/officeDocument/2006/relationships" r:embed="rId16"/>
        <a:stretch>
          <a:fillRect/>
        </a:stretch>
      </xdr:blipFill>
      <xdr:spPr>
        <a:xfrm>
          <a:off x="54254400" y="361950"/>
          <a:ext cx="3276768" cy="825542"/>
        </a:xfrm>
        <a:prstGeom prst="rect">
          <a:avLst/>
        </a:prstGeom>
      </xdr:spPr>
    </xdr:pic>
    <xdr:clientData/>
  </xdr:twoCellAnchor>
  <xdr:twoCellAnchor editAs="oneCell">
    <xdr:from>
      <xdr:col>89</xdr:col>
      <xdr:colOff>0</xdr:colOff>
      <xdr:row>7</xdr:row>
      <xdr:rowOff>0</xdr:rowOff>
    </xdr:from>
    <xdr:to>
      <xdr:col>102</xdr:col>
      <xdr:colOff>273471</xdr:colOff>
      <xdr:row>10</xdr:row>
      <xdr:rowOff>111159</xdr:rowOff>
    </xdr:to>
    <xdr:pic>
      <xdr:nvPicPr>
        <xdr:cNvPr id="18" name="Picture 17">
          <a:extLst>
            <a:ext uri="{FF2B5EF4-FFF2-40B4-BE49-F238E27FC236}">
              <a16:creationId xmlns:a16="http://schemas.microsoft.com/office/drawing/2014/main" id="{4AE54E51-E002-4BED-B42A-D37FA16D1826}"/>
            </a:ext>
          </a:extLst>
        </xdr:cNvPr>
        <xdr:cNvPicPr>
          <a:picLocks noChangeAspect="1"/>
        </xdr:cNvPicPr>
      </xdr:nvPicPr>
      <xdr:blipFill>
        <a:blip xmlns:r="http://schemas.openxmlformats.org/officeDocument/2006/relationships" r:embed="rId17"/>
        <a:stretch>
          <a:fillRect/>
        </a:stretch>
      </xdr:blipFill>
      <xdr:spPr>
        <a:xfrm>
          <a:off x="54254400" y="1266825"/>
          <a:ext cx="8198271" cy="654084"/>
        </a:xfrm>
        <a:prstGeom prst="rect">
          <a:avLst/>
        </a:prstGeom>
      </xdr:spPr>
    </xdr:pic>
    <xdr:clientData/>
  </xdr:twoCellAnchor>
  <xdr:twoCellAnchor editAs="oneCell">
    <xdr:from>
      <xdr:col>19</xdr:col>
      <xdr:colOff>561975</xdr:colOff>
      <xdr:row>29</xdr:row>
      <xdr:rowOff>152400</xdr:rowOff>
    </xdr:from>
    <xdr:to>
      <xdr:col>30</xdr:col>
      <xdr:colOff>427804</xdr:colOff>
      <xdr:row>45</xdr:row>
      <xdr:rowOff>28229</xdr:rowOff>
    </xdr:to>
    <xdr:pic>
      <xdr:nvPicPr>
        <xdr:cNvPr id="19" name="Picture 18">
          <a:extLst>
            <a:ext uri="{FF2B5EF4-FFF2-40B4-BE49-F238E27FC236}">
              <a16:creationId xmlns:a16="http://schemas.microsoft.com/office/drawing/2014/main" id="{9D351DDB-DB38-4C88-A71C-DA7F01CDA9F2}"/>
            </a:ext>
          </a:extLst>
        </xdr:cNvPr>
        <xdr:cNvPicPr>
          <a:picLocks noChangeAspect="1"/>
        </xdr:cNvPicPr>
      </xdr:nvPicPr>
      <xdr:blipFill>
        <a:blip xmlns:r="http://schemas.openxmlformats.org/officeDocument/2006/relationships" r:embed="rId18"/>
        <a:stretch>
          <a:fillRect/>
        </a:stretch>
      </xdr:blipFill>
      <xdr:spPr>
        <a:xfrm>
          <a:off x="12144375" y="5400675"/>
          <a:ext cx="6571429" cy="277142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44450</xdr:colOff>
      <xdr:row>3</xdr:row>
      <xdr:rowOff>120650</xdr:rowOff>
    </xdr:from>
    <xdr:to>
      <xdr:col>6</xdr:col>
      <xdr:colOff>127161</xdr:colOff>
      <xdr:row>14</xdr:row>
      <xdr:rowOff>114404</xdr:rowOff>
    </xdr:to>
    <xdr:pic>
      <xdr:nvPicPr>
        <xdr:cNvPr id="2" name="Picture 1">
          <a:extLst>
            <a:ext uri="{FF2B5EF4-FFF2-40B4-BE49-F238E27FC236}">
              <a16:creationId xmlns:a16="http://schemas.microsoft.com/office/drawing/2014/main" id="{B78CBAE4-E090-4FF3-A984-D1C0DAAF2BBF}"/>
            </a:ext>
          </a:extLst>
        </xdr:cNvPr>
        <xdr:cNvPicPr>
          <a:picLocks noChangeAspect="1"/>
        </xdr:cNvPicPr>
      </xdr:nvPicPr>
      <xdr:blipFill>
        <a:blip xmlns:r="http://schemas.openxmlformats.org/officeDocument/2006/relationships" r:embed="rId1"/>
        <a:stretch>
          <a:fillRect/>
        </a:stretch>
      </xdr:blipFill>
      <xdr:spPr>
        <a:xfrm>
          <a:off x="654050" y="673100"/>
          <a:ext cx="3130711" cy="2019404"/>
        </a:xfrm>
        <a:prstGeom prst="rect">
          <a:avLst/>
        </a:prstGeom>
      </xdr:spPr>
    </xdr:pic>
    <xdr:clientData/>
  </xdr:twoCellAnchor>
  <xdr:twoCellAnchor editAs="oneCell">
    <xdr:from>
      <xdr:col>1</xdr:col>
      <xdr:colOff>0</xdr:colOff>
      <xdr:row>15</xdr:row>
      <xdr:rowOff>0</xdr:rowOff>
    </xdr:from>
    <xdr:to>
      <xdr:col>11</xdr:col>
      <xdr:colOff>216224</xdr:colOff>
      <xdr:row>36</xdr:row>
      <xdr:rowOff>57352</xdr:rowOff>
    </xdr:to>
    <xdr:pic>
      <xdr:nvPicPr>
        <xdr:cNvPr id="3" name="Picture 2">
          <a:extLst>
            <a:ext uri="{FF2B5EF4-FFF2-40B4-BE49-F238E27FC236}">
              <a16:creationId xmlns:a16="http://schemas.microsoft.com/office/drawing/2014/main" id="{48BB7AC1-BD61-4A12-BB42-22A9D36BB99D}"/>
            </a:ext>
          </a:extLst>
        </xdr:cNvPr>
        <xdr:cNvPicPr>
          <a:picLocks noChangeAspect="1"/>
        </xdr:cNvPicPr>
      </xdr:nvPicPr>
      <xdr:blipFill>
        <a:blip xmlns:r="http://schemas.openxmlformats.org/officeDocument/2006/relationships" r:embed="rId2"/>
        <a:stretch>
          <a:fillRect/>
        </a:stretch>
      </xdr:blipFill>
      <xdr:spPr>
        <a:xfrm>
          <a:off x="609600" y="2762250"/>
          <a:ext cx="6312224" cy="3924502"/>
        </a:xfrm>
        <a:prstGeom prst="rect">
          <a:avLst/>
        </a:prstGeom>
      </xdr:spPr>
    </xdr:pic>
    <xdr:clientData/>
  </xdr:twoCellAnchor>
  <xdr:twoCellAnchor editAs="oneCell">
    <xdr:from>
      <xdr:col>6</xdr:col>
      <xdr:colOff>133350</xdr:colOff>
      <xdr:row>36</xdr:row>
      <xdr:rowOff>57150</xdr:rowOff>
    </xdr:from>
    <xdr:to>
      <xdr:col>11</xdr:col>
      <xdr:colOff>209711</xdr:colOff>
      <xdr:row>52</xdr:row>
      <xdr:rowOff>108104</xdr:rowOff>
    </xdr:to>
    <xdr:pic>
      <xdr:nvPicPr>
        <xdr:cNvPr id="4" name="Picture 3">
          <a:extLst>
            <a:ext uri="{FF2B5EF4-FFF2-40B4-BE49-F238E27FC236}">
              <a16:creationId xmlns:a16="http://schemas.microsoft.com/office/drawing/2014/main" id="{4C334A53-5E9B-4835-A2CE-7558C40A924C}"/>
            </a:ext>
          </a:extLst>
        </xdr:cNvPr>
        <xdr:cNvPicPr>
          <a:picLocks noChangeAspect="1"/>
        </xdr:cNvPicPr>
      </xdr:nvPicPr>
      <xdr:blipFill>
        <a:blip xmlns:r="http://schemas.openxmlformats.org/officeDocument/2006/relationships" r:embed="rId3"/>
        <a:stretch>
          <a:fillRect/>
        </a:stretch>
      </xdr:blipFill>
      <xdr:spPr>
        <a:xfrm>
          <a:off x="3790950" y="6686550"/>
          <a:ext cx="3124361" cy="2997354"/>
        </a:xfrm>
        <a:prstGeom prst="rect">
          <a:avLst/>
        </a:prstGeom>
      </xdr:spPr>
    </xdr:pic>
    <xdr:clientData/>
  </xdr:twoCellAnchor>
  <xdr:twoCellAnchor editAs="oneCell">
    <xdr:from>
      <xdr:col>12</xdr:col>
      <xdr:colOff>25400</xdr:colOff>
      <xdr:row>3</xdr:row>
      <xdr:rowOff>38100</xdr:rowOff>
    </xdr:from>
    <xdr:to>
      <xdr:col>20</xdr:col>
      <xdr:colOff>311415</xdr:colOff>
      <xdr:row>13</xdr:row>
      <xdr:rowOff>88997</xdr:rowOff>
    </xdr:to>
    <xdr:pic>
      <xdr:nvPicPr>
        <xdr:cNvPr id="5" name="Picture 4">
          <a:extLst>
            <a:ext uri="{FF2B5EF4-FFF2-40B4-BE49-F238E27FC236}">
              <a16:creationId xmlns:a16="http://schemas.microsoft.com/office/drawing/2014/main" id="{5E6DD154-1D7E-4CA0-9B9C-35CD0E207B30}"/>
            </a:ext>
          </a:extLst>
        </xdr:cNvPr>
        <xdr:cNvPicPr>
          <a:picLocks noChangeAspect="1"/>
        </xdr:cNvPicPr>
      </xdr:nvPicPr>
      <xdr:blipFill>
        <a:blip xmlns:r="http://schemas.openxmlformats.org/officeDocument/2006/relationships" r:embed="rId4"/>
        <a:stretch>
          <a:fillRect/>
        </a:stretch>
      </xdr:blipFill>
      <xdr:spPr>
        <a:xfrm>
          <a:off x="7340600" y="590550"/>
          <a:ext cx="5162815" cy="1892397"/>
        </a:xfrm>
        <a:prstGeom prst="rect">
          <a:avLst/>
        </a:prstGeom>
      </xdr:spPr>
    </xdr:pic>
    <xdr:clientData/>
  </xdr:twoCellAnchor>
  <xdr:twoCellAnchor editAs="oneCell">
    <xdr:from>
      <xdr:col>23</xdr:col>
      <xdr:colOff>0</xdr:colOff>
      <xdr:row>3</xdr:row>
      <xdr:rowOff>0</xdr:rowOff>
    </xdr:from>
    <xdr:to>
      <xdr:col>36</xdr:col>
      <xdr:colOff>63911</xdr:colOff>
      <xdr:row>27</xdr:row>
      <xdr:rowOff>101828</xdr:rowOff>
    </xdr:to>
    <xdr:pic>
      <xdr:nvPicPr>
        <xdr:cNvPr id="6" name="Picture 5">
          <a:extLst>
            <a:ext uri="{FF2B5EF4-FFF2-40B4-BE49-F238E27FC236}">
              <a16:creationId xmlns:a16="http://schemas.microsoft.com/office/drawing/2014/main" id="{7F72B673-B0ED-451D-94C6-AAB64174E21B}"/>
            </a:ext>
          </a:extLst>
        </xdr:cNvPr>
        <xdr:cNvPicPr>
          <a:picLocks noChangeAspect="1"/>
        </xdr:cNvPicPr>
      </xdr:nvPicPr>
      <xdr:blipFill>
        <a:blip xmlns:r="http://schemas.openxmlformats.org/officeDocument/2006/relationships" r:embed="rId5"/>
        <a:stretch>
          <a:fillRect/>
        </a:stretch>
      </xdr:blipFill>
      <xdr:spPr>
        <a:xfrm>
          <a:off x="14020800" y="542925"/>
          <a:ext cx="7988711" cy="444522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7</xdr:col>
      <xdr:colOff>310031</xdr:colOff>
      <xdr:row>3</xdr:row>
      <xdr:rowOff>152960</xdr:rowOff>
    </xdr:from>
    <xdr:to>
      <xdr:col>18</xdr:col>
      <xdr:colOff>67235</xdr:colOff>
      <xdr:row>26</xdr:row>
      <xdr:rowOff>1</xdr:rowOff>
    </xdr:to>
    <xdr:graphicFrame macro="">
      <xdr:nvGraphicFramePr>
        <xdr:cNvPr id="2" name="Chart 1">
          <a:extLst>
            <a:ext uri="{FF2B5EF4-FFF2-40B4-BE49-F238E27FC236}">
              <a16:creationId xmlns:a16="http://schemas.microsoft.com/office/drawing/2014/main" id="{E203A504-462A-02D2-754B-8C32B2F96D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9C650524-F77A-4E76-A524-63E0B56F0D7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76400" y="133350"/>
          <a:ext cx="571500" cy="476250"/>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A5978B43-DC19-4F92-81B9-922F942FA9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76400" y="133350"/>
          <a:ext cx="571500" cy="476250"/>
        </a:xfrm>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7C9350B-7EAF-4479-BBF4-A0062A9935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57</xdr:col>
      <xdr:colOff>168275</xdr:colOff>
      <xdr:row>282</xdr:row>
      <xdr:rowOff>92075</xdr:rowOff>
    </xdr:from>
    <xdr:to>
      <xdr:col>62</xdr:col>
      <xdr:colOff>15875</xdr:colOff>
      <xdr:row>297</xdr:row>
      <xdr:rowOff>73025</xdr:rowOff>
    </xdr:to>
    <xdr:graphicFrame macro="">
      <xdr:nvGraphicFramePr>
        <xdr:cNvPr id="3" name="Chart 2">
          <a:extLst>
            <a:ext uri="{FF2B5EF4-FFF2-40B4-BE49-F238E27FC236}">
              <a16:creationId xmlns:a16="http://schemas.microsoft.com/office/drawing/2014/main" id="{BDEC9FF2-433C-4EA8-BFB1-4530CDC91B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bmgf-my.sharepoint.com/personal/rui_han_gatesfoundation_org/Documents/Documents/GitHub/Ethiopia-HEP-Capacity-Analysis/config/Projection%20file%20demo%20v1.1%20debu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 Do or Upgrade"/>
      <sheetName val="Inputs Assump"/>
      <sheetName val="C FTE Equiv"/>
      <sheetName val="C Tot Hrs by Cat"/>
      <sheetName val="C Variance"/>
      <sheetName val="Time Summary"/>
      <sheetName val="C Hrs by Category (3)"/>
      <sheetName val="C Hrs by Category (2)"/>
      <sheetName val="C Ratio to Baseline"/>
      <sheetName val="Pie 2020"/>
      <sheetName val="Calculations"/>
      <sheetName val="Demographics_InCalc"/>
      <sheetName val="Births"/>
      <sheetName val="Mortality"/>
      <sheetName val="FH.MC"/>
      <sheetName val="FH.FP"/>
      <sheetName val="FH.Im"/>
      <sheetName val="FH.N"/>
      <sheetName val="DPC"/>
      <sheetName val="Other"/>
      <sheetName val="DATA"/>
      <sheetName val="Ssn Malaria"/>
      <sheetName val="Ssn Nutr"/>
      <sheetName val="Ssn Measles"/>
      <sheetName val="Demographics_Total"/>
      <sheetName val="Prevalences"/>
      <sheetName val="Work time"/>
      <sheetName val="Sheet21"/>
      <sheetName val="Services summary"/>
      <sheetName val="Services ref"/>
      <sheetName val="Coverage impacts"/>
      <sheetName val="Pop M"/>
      <sheetName val="Pop F"/>
      <sheetName val="TB Incidence"/>
      <sheetName val="Malaria Incid"/>
      <sheetName val="C Fertility"/>
      <sheetName val="fertility"/>
      <sheetName val="FP mod"/>
      <sheetName val="unmet need"/>
      <sheetName val="HIV Prev"/>
      <sheetName val="HIV Incid"/>
      <sheetName val="mort infant"/>
      <sheetName val="mort 1-5"/>
      <sheetName val="mort 5-9"/>
      <sheetName val="mort 10-14"/>
      <sheetName val="mort 15-19"/>
      <sheetName val="mort 20-24"/>
      <sheetName val="mort adult f"/>
      <sheetName val="mort adult m"/>
      <sheetName val="Staffing Ratios"/>
      <sheetName val="fertility 15-19"/>
    </sheetNames>
    <sheetDataSet>
      <sheetData sheetId="0" refreshError="1"/>
      <sheetData sheetId="1">
        <row r="4">
          <cell r="C4" t="str">
            <v>Ratio max rural</v>
          </cell>
        </row>
        <row r="14">
          <cell r="C14">
            <v>48</v>
          </cell>
        </row>
        <row r="16">
          <cell r="C16">
            <v>32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4">
          <cell r="V4">
            <v>105.34416988791497</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3">
          <cell r="CZ3">
            <v>115103531.71799999</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ow r="77">
          <cell r="BC77">
            <v>1.4</v>
          </cell>
          <cell r="BD77">
            <v>1.3</v>
          </cell>
          <cell r="BE77">
            <v>1.3</v>
          </cell>
          <cell r="BF77">
            <v>1.2</v>
          </cell>
          <cell r="BG77">
            <v>1.2</v>
          </cell>
          <cell r="BH77">
            <v>1.1000000000000001</v>
          </cell>
          <cell r="BI77">
            <v>1.1000000000000001</v>
          </cell>
          <cell r="BJ77">
            <v>1</v>
          </cell>
          <cell r="BK77">
            <v>1</v>
          </cell>
          <cell r="BL77">
            <v>0.9</v>
          </cell>
        </row>
      </sheetData>
      <sheetData sheetId="40">
        <row r="77">
          <cell r="A77" t="str">
            <v>Ethiopia</v>
          </cell>
          <cell r="B77" t="str">
            <v>ETH</v>
          </cell>
          <cell r="C77" t="str">
            <v>Incidence of HIV, ages 15-49 (per 1,000 uninfected population ages 15-49)</v>
          </cell>
          <cell r="D77" t="str">
            <v>SH.HIV.INCD.ZS</v>
          </cell>
          <cell r="AI77">
            <v>5.58</v>
          </cell>
          <cell r="AJ77">
            <v>5.77</v>
          </cell>
          <cell r="AK77">
            <v>5.57</v>
          </cell>
          <cell r="AL77">
            <v>4.9400000000000004</v>
          </cell>
          <cell r="AM77">
            <v>4.09</v>
          </cell>
          <cell r="AN77">
            <v>3.33</v>
          </cell>
          <cell r="AO77">
            <v>2.72</v>
          </cell>
          <cell r="AP77">
            <v>2.29</v>
          </cell>
          <cell r="AQ77">
            <v>1.96</v>
          </cell>
          <cell r="AR77">
            <v>1.65</v>
          </cell>
          <cell r="AS77">
            <v>1.45</v>
          </cell>
          <cell r="AT77">
            <v>1.26</v>
          </cell>
          <cell r="AU77">
            <v>1.1399999999999999</v>
          </cell>
          <cell r="AV77">
            <v>0.99</v>
          </cell>
          <cell r="AW77">
            <v>0.92</v>
          </cell>
          <cell r="AX77">
            <v>0.8</v>
          </cell>
          <cell r="AY77">
            <v>0.75</v>
          </cell>
          <cell r="AZ77">
            <v>0.7</v>
          </cell>
          <cell r="BA77">
            <v>0.63</v>
          </cell>
          <cell r="BB77">
            <v>0.59</v>
          </cell>
          <cell r="BC77">
            <v>0.54</v>
          </cell>
          <cell r="BD77">
            <v>0.49</v>
          </cell>
          <cell r="BE77">
            <v>0.45</v>
          </cell>
          <cell r="BF77">
            <v>0.38</v>
          </cell>
          <cell r="BG77">
            <v>0.35</v>
          </cell>
          <cell r="BH77">
            <v>0.32</v>
          </cell>
          <cell r="BI77">
            <v>0.28999999999999998</v>
          </cell>
          <cell r="BJ77">
            <v>0.27</v>
          </cell>
          <cell r="BK77">
            <v>0.25</v>
          </cell>
          <cell r="BL77">
            <v>0.23</v>
          </cell>
        </row>
      </sheetData>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persons/person.xml><?xml version="1.0" encoding="utf-8"?>
<personList xmlns="http://schemas.microsoft.com/office/spreadsheetml/2018/threadedcomments" xmlns:x="http://schemas.openxmlformats.org/spreadsheetml/2006/main">
  <person displayName="Brittany Hagedorn" id="{03786AFB-E7BB-4FA7-846C-835FB448EEBC}" userId="S::Brittany.Hagedorn@gatesfoundation.org::5a602c7b-e691-4c99-b6e7-afdfc0897536"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97" dT="2021-12-01T19:11:04.35" personId="{03786AFB-E7BB-4FA7-846C-835FB448EEBC}" id="{7F77FEEC-88F9-4F88-8839-9639A17C957D}">
    <text>https://my.clevelandclinic.org/health/drugs/3977-birth-control-the-pill#:~:text=The%20pill%20has%20the%20potential,an%20unintended%20pregnancy%20every%20year.</text>
  </threadedComment>
  <threadedComment ref="C97" dT="2021-12-01T19:12:36.40" personId="{03786AFB-E7BB-4FA7-846C-835FB448EEBC}" id="{82732C44-A3E7-473B-8D3E-79170C0C2A89}">
    <text>https://www.plannedparenthood.org/learn/birth-control/condom/how-effective-are-condoms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9.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s://www.bmj.com/content/bmj/suppl/2005/11/10/331.7525.1107.DC1/adamt1_t5.pdf"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4.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6.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5.xml.rels><?xml version="1.0" encoding="UTF-8" standalone="yes"?>
<Relationships xmlns="http://schemas.openxmlformats.org/package/2006/relationships"><Relationship Id="rId8" Type="http://schemas.openxmlformats.org/officeDocument/2006/relationships/drawing" Target="../drawings/drawing7.xml"/><Relationship Id="rId3" Type="http://schemas.openxmlformats.org/officeDocument/2006/relationships/hyperlink" Target="https://www.ncbi.nlm.nih.gov/pmc/articles/PMC4384819/" TargetMode="External"/><Relationship Id="rId7" Type="http://schemas.openxmlformats.org/officeDocument/2006/relationships/printerSettings" Target="../printerSettings/printerSettings17.bin"/><Relationship Id="rId2" Type="http://schemas.openxmlformats.org/officeDocument/2006/relationships/hyperlink" Target="https://nam10.safelinks.protection.outlook.com/?url=https%3A%2F%2Fdoi.org%2F10.1016%2FS2214-109X(20)30022-X&amp;data=04%7C01%7Cbrittany.hagedorn%40gatesfoundation.org%7C527559ea427d48ec749e08d9b58e5a52%7C296b38384bd5496cbd4bf456ea743b74%7C0%7C0%7C637740445327530756%7CUnknown%7CTWFpbGZsb3d8eyJWIjoiMC4wLjAwMDAiLCJQIjoiV2luMzIiLCJBTiI6Ik1haWwiLCJXVCI6Mn0%3D%7C3000&amp;sdata=UjRP5lWrkG3gHh2eu2f9hWYNGig0vSVDvCZuwceZCYo%3D&amp;reserved=0" TargetMode="External"/><Relationship Id="rId1" Type="http://schemas.openxmlformats.org/officeDocument/2006/relationships/hyperlink" Target="https://academic.oup.com/heapol/article/28/4/386/966295" TargetMode="External"/><Relationship Id="rId6" Type="http://schemas.openxmlformats.org/officeDocument/2006/relationships/hyperlink" Target="https://elifesciences.org/articles/67635" TargetMode="External"/><Relationship Id="rId11" Type="http://schemas.microsoft.com/office/2017/10/relationships/threadedComment" Target="../threadedComments/threadedComment1.xml"/><Relationship Id="rId5" Type="http://schemas.openxmlformats.org/officeDocument/2006/relationships/hyperlink" Target="https://www.cambridge.org/core/journals/the-british-journal-of-psychiatry/article/reducing-the-global-burden-of-depression/67B13E3506CF1DD31456F2F5F671DF58" TargetMode="External"/><Relationship Id="rId10" Type="http://schemas.openxmlformats.org/officeDocument/2006/relationships/comments" Target="../comments2.xml"/><Relationship Id="rId4" Type="http://schemas.openxmlformats.org/officeDocument/2006/relationships/hyperlink" Target="https://www.bmj.com/content/331/7525/1107" TargetMode="External"/><Relationship Id="rId9" Type="http://schemas.openxmlformats.org/officeDocument/2006/relationships/vmlDrawing" Target="../drawings/vmlDrawing2.v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8.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40.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 Id="rId4" Type="http://schemas.openxmlformats.org/officeDocument/2006/relationships/drawing" Target="../drawings/drawing1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openknowledge.worldbank.org/bitstream/handle/10986/24119/9781464808159.pdf" TargetMode="External"/><Relationship Id="rId1" Type="http://schemas.openxmlformats.org/officeDocument/2006/relationships/hyperlink" Target="https://www.who.int/evidence/sure/pbimprovinghealthextensionprogramethiopia.pdf" TargetMode="Externa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2.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4.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5.bin"/></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3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A94D6-A018-4216-A835-3D40D899FF9B}">
  <dimension ref="A1:N26"/>
  <sheetViews>
    <sheetView workbookViewId="0">
      <pane ySplit="1" topLeftCell="A20" activePane="bottomLeft" state="frozen"/>
      <selection pane="bottomLeft" activeCell="D32" sqref="D32"/>
    </sheetView>
  </sheetViews>
  <sheetFormatPr defaultColWidth="16.796875" defaultRowHeight="14.25" x14ac:dyDescent="0.45"/>
  <cols>
    <col min="1" max="1" width="25.53125" bestFit="1" customWidth="1"/>
    <col min="2" max="13" width="10.19921875" customWidth="1"/>
    <col min="14" max="14" width="31.53125" bestFit="1" customWidth="1"/>
  </cols>
  <sheetData>
    <row r="1" spans="1:14" s="177" customFormat="1" ht="42.75" x14ac:dyDescent="0.45">
      <c r="A1" s="177" t="s">
        <v>71</v>
      </c>
      <c r="B1" s="177" t="s">
        <v>2152</v>
      </c>
      <c r="C1" s="177" t="s">
        <v>2151</v>
      </c>
      <c r="D1" s="177" t="s">
        <v>2150</v>
      </c>
      <c r="E1" s="177" t="s">
        <v>75</v>
      </c>
      <c r="F1" s="177" t="s">
        <v>76</v>
      </c>
      <c r="G1" s="177" t="s">
        <v>77</v>
      </c>
      <c r="H1" s="177" t="s">
        <v>78</v>
      </c>
      <c r="I1" s="177" t="s">
        <v>79</v>
      </c>
      <c r="J1" s="177" t="s">
        <v>80</v>
      </c>
      <c r="K1" s="268" t="s">
        <v>2143</v>
      </c>
      <c r="L1" s="268" t="s">
        <v>2144</v>
      </c>
      <c r="M1" s="268" t="s">
        <v>2145</v>
      </c>
      <c r="N1" s="177" t="s">
        <v>81</v>
      </c>
    </row>
    <row r="2" spans="1:14" s="177" customFormat="1" x14ac:dyDescent="0.45"/>
    <row r="3" spans="1:14" s="177" customFormat="1" x14ac:dyDescent="0.45">
      <c r="A3" s="296" t="s">
        <v>2149</v>
      </c>
    </row>
    <row r="4" spans="1:14" x14ac:dyDescent="0.45">
      <c r="A4" t="s">
        <v>83</v>
      </c>
      <c r="B4">
        <v>48</v>
      </c>
      <c r="C4">
        <v>32</v>
      </c>
      <c r="D4">
        <v>3000</v>
      </c>
      <c r="E4" t="s">
        <v>84</v>
      </c>
      <c r="F4" t="b">
        <v>1</v>
      </c>
      <c r="G4" t="b">
        <v>1</v>
      </c>
      <c r="H4" t="b">
        <v>1</v>
      </c>
      <c r="I4" t="b">
        <v>1</v>
      </c>
      <c r="J4" t="b">
        <v>1</v>
      </c>
      <c r="K4" t="s">
        <v>194</v>
      </c>
      <c r="L4" t="s">
        <v>194</v>
      </c>
      <c r="M4" t="s">
        <v>194</v>
      </c>
      <c r="N4" t="s">
        <v>85</v>
      </c>
    </row>
    <row r="5" spans="1:14" x14ac:dyDescent="0.45">
      <c r="A5" t="s">
        <v>86</v>
      </c>
      <c r="B5">
        <v>48</v>
      </c>
      <c r="C5">
        <v>32</v>
      </c>
      <c r="D5">
        <v>3000</v>
      </c>
      <c r="E5" t="s">
        <v>82</v>
      </c>
      <c r="F5" t="b">
        <v>1</v>
      </c>
      <c r="G5" t="b">
        <v>1</v>
      </c>
      <c r="H5" t="b">
        <v>1</v>
      </c>
      <c r="I5" t="b">
        <v>1</v>
      </c>
      <c r="J5" t="b">
        <v>1</v>
      </c>
      <c r="K5" t="s">
        <v>194</v>
      </c>
      <c r="L5" t="s">
        <v>194</v>
      </c>
      <c r="M5" t="s">
        <v>194</v>
      </c>
      <c r="N5" t="s">
        <v>87</v>
      </c>
    </row>
    <row r="6" spans="1:14" x14ac:dyDescent="0.45">
      <c r="A6" t="s">
        <v>88</v>
      </c>
      <c r="B6">
        <v>48</v>
      </c>
      <c r="C6">
        <v>32</v>
      </c>
      <c r="D6">
        <v>3000</v>
      </c>
      <c r="E6" t="s">
        <v>84</v>
      </c>
      <c r="F6" t="b">
        <v>0</v>
      </c>
      <c r="G6" t="b">
        <v>0</v>
      </c>
      <c r="H6" t="b">
        <v>0</v>
      </c>
      <c r="I6" t="b">
        <v>0</v>
      </c>
      <c r="J6" t="b">
        <v>0</v>
      </c>
      <c r="K6" t="s">
        <v>194</v>
      </c>
      <c r="L6" t="s">
        <v>194</v>
      </c>
      <c r="M6" t="s">
        <v>194</v>
      </c>
      <c r="N6" t="s">
        <v>89</v>
      </c>
    </row>
    <row r="7" spans="1:14" x14ac:dyDescent="0.45">
      <c r="A7" t="s">
        <v>90</v>
      </c>
      <c r="B7">
        <v>48</v>
      </c>
      <c r="C7">
        <v>32</v>
      </c>
      <c r="D7">
        <v>3000</v>
      </c>
      <c r="E7" t="s">
        <v>84</v>
      </c>
      <c r="F7" t="b">
        <v>0</v>
      </c>
      <c r="G7" t="b">
        <v>1</v>
      </c>
      <c r="H7" t="b">
        <v>0</v>
      </c>
      <c r="I7" t="b">
        <v>0</v>
      </c>
      <c r="J7" t="b">
        <v>0</v>
      </c>
      <c r="K7" t="s">
        <v>194</v>
      </c>
      <c r="L7" t="s">
        <v>194</v>
      </c>
      <c r="M7" t="s">
        <v>194</v>
      </c>
      <c r="N7" t="s">
        <v>89</v>
      </c>
    </row>
    <row r="8" spans="1:14" x14ac:dyDescent="0.45">
      <c r="A8" t="s">
        <v>91</v>
      </c>
      <c r="B8">
        <v>48</v>
      </c>
      <c r="C8">
        <v>32</v>
      </c>
      <c r="D8">
        <v>3000</v>
      </c>
      <c r="E8" t="s">
        <v>84</v>
      </c>
      <c r="F8" t="b">
        <v>1</v>
      </c>
      <c r="G8" t="b">
        <v>1</v>
      </c>
      <c r="H8" t="b">
        <v>0</v>
      </c>
      <c r="I8" t="b">
        <v>0</v>
      </c>
      <c r="J8" t="b">
        <v>0</v>
      </c>
      <c r="K8" t="s">
        <v>194</v>
      </c>
      <c r="L8" t="s">
        <v>194</v>
      </c>
      <c r="M8" t="s">
        <v>194</v>
      </c>
      <c r="N8" t="s">
        <v>89</v>
      </c>
    </row>
    <row r="9" spans="1:14" x14ac:dyDescent="0.45">
      <c r="A9" t="s">
        <v>92</v>
      </c>
      <c r="B9">
        <v>48</v>
      </c>
      <c r="C9">
        <v>32</v>
      </c>
      <c r="D9">
        <v>3000</v>
      </c>
      <c r="E9" t="s">
        <v>84</v>
      </c>
      <c r="F9" t="b">
        <v>1</v>
      </c>
      <c r="G9" t="b">
        <v>1</v>
      </c>
      <c r="H9" t="b">
        <v>0</v>
      </c>
      <c r="I9" t="b">
        <v>0</v>
      </c>
      <c r="J9" t="b">
        <v>1</v>
      </c>
      <c r="K9" t="s">
        <v>194</v>
      </c>
      <c r="L9" t="s">
        <v>194</v>
      </c>
      <c r="M9" t="s">
        <v>194</v>
      </c>
      <c r="N9" t="s">
        <v>89</v>
      </c>
    </row>
    <row r="10" spans="1:14" x14ac:dyDescent="0.45">
      <c r="A10" t="s">
        <v>93</v>
      </c>
      <c r="B10">
        <v>48</v>
      </c>
      <c r="C10">
        <v>32</v>
      </c>
      <c r="D10">
        <v>3000</v>
      </c>
      <c r="E10" t="s">
        <v>84</v>
      </c>
      <c r="F10" t="b">
        <v>1</v>
      </c>
      <c r="G10" t="b">
        <v>1</v>
      </c>
      <c r="H10" t="b">
        <v>0</v>
      </c>
      <c r="I10" t="b">
        <v>1</v>
      </c>
      <c r="J10" t="b">
        <v>1</v>
      </c>
      <c r="K10" t="s">
        <v>194</v>
      </c>
      <c r="L10" t="s">
        <v>194</v>
      </c>
      <c r="M10" t="s">
        <v>194</v>
      </c>
      <c r="N10" t="s">
        <v>94</v>
      </c>
    </row>
    <row r="12" spans="1:14" s="58" customFormat="1" x14ac:dyDescent="0.45">
      <c r="A12" s="295" t="s">
        <v>2077</v>
      </c>
    </row>
    <row r="13" spans="1:14" x14ac:dyDescent="0.45">
      <c r="A13" t="s">
        <v>83</v>
      </c>
      <c r="B13">
        <v>48</v>
      </c>
      <c r="C13">
        <v>32</v>
      </c>
      <c r="D13">
        <v>3000</v>
      </c>
      <c r="E13" t="s">
        <v>84</v>
      </c>
      <c r="F13" s="127" t="b">
        <v>1</v>
      </c>
      <c r="G13" t="b">
        <v>1</v>
      </c>
      <c r="H13" t="b">
        <v>1</v>
      </c>
      <c r="I13" s="127" t="b">
        <v>1</v>
      </c>
      <c r="J13" s="127" t="b">
        <v>1</v>
      </c>
      <c r="K13" t="s">
        <v>194</v>
      </c>
      <c r="L13" t="s">
        <v>194</v>
      </c>
      <c r="M13" t="s">
        <v>194</v>
      </c>
      <c r="N13" t="s">
        <v>85</v>
      </c>
    </row>
    <row r="14" spans="1:14" x14ac:dyDescent="0.45">
      <c r="A14" t="s">
        <v>90</v>
      </c>
      <c r="B14">
        <v>48</v>
      </c>
      <c r="C14">
        <v>32</v>
      </c>
      <c r="D14">
        <v>3000</v>
      </c>
      <c r="E14" t="s">
        <v>84</v>
      </c>
      <c r="F14" s="127" t="b">
        <v>0</v>
      </c>
      <c r="G14" t="b">
        <v>0</v>
      </c>
      <c r="H14" t="b">
        <v>1</v>
      </c>
      <c r="I14" s="127" t="b">
        <v>1</v>
      </c>
      <c r="J14" s="127" t="b">
        <v>1</v>
      </c>
      <c r="K14" t="s">
        <v>194</v>
      </c>
      <c r="L14" t="s">
        <v>194</v>
      </c>
      <c r="M14" t="s">
        <v>194</v>
      </c>
      <c r="N14" t="s">
        <v>89</v>
      </c>
    </row>
    <row r="15" spans="1:14" x14ac:dyDescent="0.45">
      <c r="A15" t="s">
        <v>91</v>
      </c>
      <c r="B15">
        <v>48</v>
      </c>
      <c r="C15">
        <v>32</v>
      </c>
      <c r="D15">
        <v>3000</v>
      </c>
      <c r="E15" t="s">
        <v>84</v>
      </c>
      <c r="F15" s="127" t="b">
        <v>1</v>
      </c>
      <c r="G15" t="b">
        <v>1</v>
      </c>
      <c r="H15" t="b">
        <v>1</v>
      </c>
      <c r="I15" s="127" t="b">
        <v>1</v>
      </c>
      <c r="J15" s="127" t="b">
        <v>1</v>
      </c>
      <c r="K15" t="s">
        <v>194</v>
      </c>
      <c r="L15" t="s">
        <v>194</v>
      </c>
      <c r="M15" t="s">
        <v>194</v>
      </c>
      <c r="N15" t="s">
        <v>89</v>
      </c>
    </row>
    <row r="16" spans="1:14" x14ac:dyDescent="0.45">
      <c r="A16" t="s">
        <v>92</v>
      </c>
      <c r="B16">
        <v>48</v>
      </c>
      <c r="C16">
        <v>32</v>
      </c>
      <c r="D16">
        <v>3000</v>
      </c>
      <c r="E16" t="s">
        <v>84</v>
      </c>
      <c r="F16" s="127" t="b">
        <v>1</v>
      </c>
      <c r="G16" t="b">
        <v>1</v>
      </c>
      <c r="H16" t="b">
        <v>1</v>
      </c>
      <c r="I16" s="127" t="b">
        <v>1</v>
      </c>
      <c r="J16" s="127" t="b">
        <v>1</v>
      </c>
      <c r="K16" t="s">
        <v>194</v>
      </c>
      <c r="L16" t="s">
        <v>194</v>
      </c>
      <c r="M16" t="s">
        <v>194</v>
      </c>
      <c r="N16" t="s">
        <v>89</v>
      </c>
    </row>
    <row r="17" spans="1:14" x14ac:dyDescent="0.45">
      <c r="A17" t="s">
        <v>93</v>
      </c>
      <c r="B17">
        <v>48</v>
      </c>
      <c r="C17">
        <v>32</v>
      </c>
      <c r="D17">
        <v>3000</v>
      </c>
      <c r="E17" t="s">
        <v>84</v>
      </c>
      <c r="F17" s="127" t="b">
        <v>1</v>
      </c>
      <c r="G17" t="b">
        <v>1</v>
      </c>
      <c r="H17" t="b">
        <v>1</v>
      </c>
      <c r="I17" s="127" t="b">
        <v>1</v>
      </c>
      <c r="J17" s="127" t="b">
        <v>1</v>
      </c>
      <c r="K17" t="s">
        <v>194</v>
      </c>
      <c r="L17" t="s">
        <v>194</v>
      </c>
      <c r="M17" t="s">
        <v>194</v>
      </c>
      <c r="N17" t="s">
        <v>94</v>
      </c>
    </row>
    <row r="18" spans="1:14" x14ac:dyDescent="0.45">
      <c r="A18" t="s">
        <v>2073</v>
      </c>
      <c r="B18">
        <v>48</v>
      </c>
      <c r="C18">
        <v>32</v>
      </c>
      <c r="D18" s="124">
        <f>SUM(TotalPop!D18:D118)</f>
        <v>14226181</v>
      </c>
      <c r="E18" t="s">
        <v>82</v>
      </c>
      <c r="F18" s="127" t="b">
        <v>1</v>
      </c>
      <c r="G18" t="b">
        <v>1</v>
      </c>
      <c r="H18" t="b">
        <v>1</v>
      </c>
      <c r="I18" s="127" t="b">
        <v>1</v>
      </c>
      <c r="J18" s="127" t="b">
        <v>1</v>
      </c>
      <c r="K18" t="s">
        <v>194</v>
      </c>
      <c r="L18" t="s">
        <v>194</v>
      </c>
      <c r="M18" t="s">
        <v>194</v>
      </c>
      <c r="N18" t="s">
        <v>2074</v>
      </c>
    </row>
    <row r="20" spans="1:14" x14ac:dyDescent="0.45">
      <c r="A20" s="71" t="s">
        <v>2148</v>
      </c>
    </row>
    <row r="21" spans="1:14" x14ac:dyDescent="0.45">
      <c r="A21" s="58" t="s">
        <v>95</v>
      </c>
      <c r="B21" s="58">
        <v>48</v>
      </c>
      <c r="C21" s="58">
        <v>32</v>
      </c>
      <c r="D21" s="58">
        <v>2500</v>
      </c>
      <c r="E21" s="58" t="s">
        <v>82</v>
      </c>
      <c r="F21" s="58" t="b">
        <v>0</v>
      </c>
      <c r="G21" s="58" t="b">
        <v>0</v>
      </c>
      <c r="H21" s="58" t="b">
        <v>0</v>
      </c>
      <c r="I21" s="58" t="b">
        <v>0</v>
      </c>
      <c r="J21" s="58" t="b">
        <v>0</v>
      </c>
      <c r="K21" t="s">
        <v>194</v>
      </c>
      <c r="L21" t="s">
        <v>194</v>
      </c>
      <c r="M21" t="s">
        <v>194</v>
      </c>
      <c r="N21" s="58" t="s">
        <v>96</v>
      </c>
    </row>
    <row r="22" spans="1:14" x14ac:dyDescent="0.45">
      <c r="A22" s="58" t="s">
        <v>97</v>
      </c>
      <c r="B22" s="58">
        <v>48</v>
      </c>
      <c r="C22" s="58">
        <v>32</v>
      </c>
      <c r="D22" s="58">
        <v>2500</v>
      </c>
      <c r="E22" s="58" t="s">
        <v>82</v>
      </c>
      <c r="F22" s="58" t="b">
        <v>0</v>
      </c>
      <c r="G22" s="58" t="b">
        <v>1</v>
      </c>
      <c r="H22" s="58" t="b">
        <v>0</v>
      </c>
      <c r="I22" s="58" t="b">
        <v>0</v>
      </c>
      <c r="J22" s="58" t="b">
        <v>0</v>
      </c>
      <c r="K22" t="s">
        <v>194</v>
      </c>
      <c r="L22" t="s">
        <v>194</v>
      </c>
      <c r="M22" t="s">
        <v>194</v>
      </c>
      <c r="N22" s="58" t="s">
        <v>96</v>
      </c>
    </row>
    <row r="23" spans="1:14" x14ac:dyDescent="0.45">
      <c r="A23" s="58" t="s">
        <v>98</v>
      </c>
      <c r="B23" s="58">
        <v>48</v>
      </c>
      <c r="C23" s="58">
        <v>32</v>
      </c>
      <c r="D23" s="58">
        <v>2500</v>
      </c>
      <c r="E23" s="58" t="s">
        <v>82</v>
      </c>
      <c r="F23" s="58" t="b">
        <v>1</v>
      </c>
      <c r="G23" s="58" t="b">
        <v>1</v>
      </c>
      <c r="H23" s="58" t="b">
        <v>0</v>
      </c>
      <c r="I23" s="58" t="b">
        <v>0</v>
      </c>
      <c r="J23" s="58" t="b">
        <v>0</v>
      </c>
      <c r="K23" t="s">
        <v>194</v>
      </c>
      <c r="L23" t="s">
        <v>194</v>
      </c>
      <c r="M23" t="s">
        <v>194</v>
      </c>
      <c r="N23" s="58" t="s">
        <v>96</v>
      </c>
    </row>
    <row r="24" spans="1:14" x14ac:dyDescent="0.45">
      <c r="A24" s="58" t="s">
        <v>99</v>
      </c>
      <c r="B24" s="58">
        <v>48</v>
      </c>
      <c r="C24" s="58">
        <v>32</v>
      </c>
      <c r="D24" s="58">
        <v>2500</v>
      </c>
      <c r="E24" s="58" t="s">
        <v>82</v>
      </c>
      <c r="F24" s="58" t="b">
        <v>1</v>
      </c>
      <c r="G24" s="58" t="b">
        <v>1</v>
      </c>
      <c r="H24" s="58" t="b">
        <v>0</v>
      </c>
      <c r="I24" s="58" t="b">
        <v>0</v>
      </c>
      <c r="J24" s="58" t="b">
        <v>1</v>
      </c>
      <c r="K24" t="s">
        <v>194</v>
      </c>
      <c r="L24" t="s">
        <v>194</v>
      </c>
      <c r="M24" t="s">
        <v>194</v>
      </c>
      <c r="N24" s="58" t="s">
        <v>96</v>
      </c>
    </row>
    <row r="25" spans="1:14" x14ac:dyDescent="0.45">
      <c r="A25" s="58" t="s">
        <v>2134</v>
      </c>
      <c r="B25" s="58">
        <v>48</v>
      </c>
      <c r="C25" s="58">
        <v>32</v>
      </c>
      <c r="D25" s="58">
        <v>2500</v>
      </c>
      <c r="E25" s="58" t="s">
        <v>82</v>
      </c>
      <c r="F25" s="58" t="b">
        <v>1</v>
      </c>
      <c r="G25" s="58" t="b">
        <v>1</v>
      </c>
      <c r="H25" s="58" t="b">
        <v>0</v>
      </c>
      <c r="I25" s="58" t="b">
        <v>1</v>
      </c>
      <c r="J25" s="58" t="b">
        <v>1</v>
      </c>
      <c r="K25" t="s">
        <v>194</v>
      </c>
      <c r="L25" t="s">
        <v>194</v>
      </c>
      <c r="M25" t="s">
        <v>194</v>
      </c>
      <c r="N25" s="58" t="s">
        <v>96</v>
      </c>
    </row>
    <row r="26" spans="1:14" x14ac:dyDescent="0.45">
      <c r="A26" s="58" t="s">
        <v>86</v>
      </c>
      <c r="B26" s="58">
        <v>48</v>
      </c>
      <c r="C26" s="58">
        <v>32</v>
      </c>
      <c r="D26" s="58">
        <v>2500</v>
      </c>
      <c r="E26" s="58" t="s">
        <v>82</v>
      </c>
      <c r="F26" s="58" t="b">
        <v>1</v>
      </c>
      <c r="G26" s="58" t="b">
        <v>1</v>
      </c>
      <c r="H26" s="58" t="b">
        <v>1</v>
      </c>
      <c r="I26" s="58" t="b">
        <v>1</v>
      </c>
      <c r="J26" s="58" t="b">
        <v>1</v>
      </c>
      <c r="K26" t="s">
        <v>194</v>
      </c>
      <c r="L26" t="s">
        <v>194</v>
      </c>
      <c r="M26" t="s">
        <v>194</v>
      </c>
      <c r="N26" s="58" t="s">
        <v>87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DD8D6-DE46-4BCD-B063-07BDEE03C87A}">
  <dimension ref="A1:B51"/>
  <sheetViews>
    <sheetView workbookViewId="0">
      <selection activeCell="H12" sqref="H12"/>
    </sheetView>
  </sheetViews>
  <sheetFormatPr defaultColWidth="8.73046875" defaultRowHeight="14.25" x14ac:dyDescent="0.45"/>
  <cols>
    <col min="1" max="1" width="17.53125" bestFit="1" customWidth="1"/>
    <col min="2" max="2" width="53.19921875" bestFit="1" customWidth="1"/>
  </cols>
  <sheetData>
    <row r="1" spans="1:2" x14ac:dyDescent="0.45">
      <c r="A1" s="71" t="s">
        <v>0</v>
      </c>
    </row>
    <row r="2" spans="1:2" hidden="1" x14ac:dyDescent="0.45">
      <c r="A2" s="199" t="s">
        <v>1</v>
      </c>
      <c r="B2" s="199" t="s">
        <v>2</v>
      </c>
    </row>
    <row r="3" spans="1:2" s="199" customFormat="1" hidden="1" x14ac:dyDescent="0.45">
      <c r="A3" s="199" t="s">
        <v>3</v>
      </c>
      <c r="B3" s="199" t="s">
        <v>4</v>
      </c>
    </row>
    <row r="4" spans="1:2" s="199" customFormat="1" hidden="1" x14ac:dyDescent="0.45">
      <c r="A4" s="199" t="s">
        <v>5</v>
      </c>
      <c r="B4" s="199" t="s">
        <v>6</v>
      </c>
    </row>
    <row r="5" spans="1:2" s="199" customFormat="1" hidden="1" x14ac:dyDescent="0.45">
      <c r="A5" s="199" t="s">
        <v>7</v>
      </c>
      <c r="B5" s="199" t="s">
        <v>8</v>
      </c>
    </row>
    <row r="6" spans="1:2" s="199" customFormat="1" hidden="1" x14ac:dyDescent="0.45">
      <c r="A6" s="199" t="s">
        <v>7</v>
      </c>
      <c r="B6" s="199" t="s">
        <v>9</v>
      </c>
    </row>
    <row r="7" spans="1:2" x14ac:dyDescent="0.45">
      <c r="A7" t="s">
        <v>10</v>
      </c>
      <c r="B7" t="s">
        <v>11</v>
      </c>
    </row>
    <row r="8" spans="1:2" x14ac:dyDescent="0.45">
      <c r="A8" t="s">
        <v>12</v>
      </c>
      <c r="B8" t="s">
        <v>13</v>
      </c>
    </row>
    <row r="9" spans="1:2" x14ac:dyDescent="0.45">
      <c r="A9" t="s">
        <v>14</v>
      </c>
      <c r="B9" t="s">
        <v>15</v>
      </c>
    </row>
    <row r="10" spans="1:2" x14ac:dyDescent="0.45">
      <c r="A10" t="s">
        <v>16</v>
      </c>
      <c r="B10" t="s">
        <v>17</v>
      </c>
    </row>
    <row r="11" spans="1:2" x14ac:dyDescent="0.45">
      <c r="B11" t="s">
        <v>18</v>
      </c>
    </row>
    <row r="13" spans="1:2" x14ac:dyDescent="0.45">
      <c r="A13" t="s">
        <v>12</v>
      </c>
      <c r="B13" t="s">
        <v>19</v>
      </c>
    </row>
    <row r="14" spans="1:2" x14ac:dyDescent="0.45">
      <c r="A14" t="s">
        <v>20</v>
      </c>
      <c r="B14" t="s">
        <v>21</v>
      </c>
    </row>
    <row r="15" spans="1:2" x14ac:dyDescent="0.45">
      <c r="A15" t="s">
        <v>22</v>
      </c>
      <c r="B15" t="s">
        <v>23</v>
      </c>
    </row>
    <row r="16" spans="1:2" x14ac:dyDescent="0.45">
      <c r="A16" t="s">
        <v>24</v>
      </c>
      <c r="B16" t="s">
        <v>25</v>
      </c>
    </row>
    <row r="18" spans="1:2" x14ac:dyDescent="0.45">
      <c r="A18" t="s">
        <v>26</v>
      </c>
      <c r="B18" t="s">
        <v>27</v>
      </c>
    </row>
    <row r="19" spans="1:2" x14ac:dyDescent="0.45">
      <c r="A19" t="s">
        <v>28</v>
      </c>
      <c r="B19" t="s">
        <v>29</v>
      </c>
    </row>
    <row r="20" spans="1:2" x14ac:dyDescent="0.45">
      <c r="A20" t="s">
        <v>30</v>
      </c>
      <c r="B20" t="s">
        <v>31</v>
      </c>
    </row>
    <row r="21" spans="1:2" x14ac:dyDescent="0.45">
      <c r="A21" t="s">
        <v>24</v>
      </c>
      <c r="B21" t="s">
        <v>32</v>
      </c>
    </row>
    <row r="22" spans="1:2" x14ac:dyDescent="0.45">
      <c r="A22" t="s">
        <v>33</v>
      </c>
      <c r="B22" t="s">
        <v>34</v>
      </c>
    </row>
    <row r="23" spans="1:2" x14ac:dyDescent="0.45">
      <c r="A23" t="s">
        <v>7</v>
      </c>
      <c r="B23" t="s">
        <v>35</v>
      </c>
    </row>
    <row r="24" spans="1:2" x14ac:dyDescent="0.45">
      <c r="A24" t="s">
        <v>22</v>
      </c>
      <c r="B24" t="s">
        <v>36</v>
      </c>
    </row>
    <row r="25" spans="1:2" x14ac:dyDescent="0.45">
      <c r="A25" t="s">
        <v>10</v>
      </c>
      <c r="B25" t="s">
        <v>37</v>
      </c>
    </row>
    <row r="27" spans="1:2" x14ac:dyDescent="0.45">
      <c r="A27" t="s">
        <v>5</v>
      </c>
      <c r="B27" t="s">
        <v>38</v>
      </c>
    </row>
    <row r="28" spans="1:2" x14ac:dyDescent="0.45">
      <c r="A28" t="s">
        <v>1</v>
      </c>
      <c r="B28" t="s">
        <v>39</v>
      </c>
    </row>
    <row r="29" spans="1:2" x14ac:dyDescent="0.45">
      <c r="A29" t="s">
        <v>12</v>
      </c>
      <c r="B29" t="s">
        <v>40</v>
      </c>
    </row>
    <row r="31" spans="1:2" x14ac:dyDescent="0.45">
      <c r="A31" s="71" t="s">
        <v>41</v>
      </c>
    </row>
    <row r="32" spans="1:2" hidden="1" x14ac:dyDescent="0.45">
      <c r="A32" s="199" t="s">
        <v>10</v>
      </c>
      <c r="B32" s="200" t="s">
        <v>42</v>
      </c>
    </row>
    <row r="33" spans="1:2" s="199" customFormat="1" hidden="1" x14ac:dyDescent="0.45">
      <c r="A33" s="199" t="s">
        <v>22</v>
      </c>
      <c r="B33" s="199" t="s">
        <v>43</v>
      </c>
    </row>
    <row r="34" spans="1:2" s="199" customFormat="1" hidden="1" x14ac:dyDescent="0.45">
      <c r="A34" s="199" t="s">
        <v>7</v>
      </c>
      <c r="B34" s="199" t="s">
        <v>44</v>
      </c>
    </row>
    <row r="35" spans="1:2" hidden="1" x14ac:dyDescent="0.45">
      <c r="A35" s="199" t="s">
        <v>45</v>
      </c>
      <c r="B35" s="199" t="s">
        <v>46</v>
      </c>
    </row>
    <row r="37" spans="1:2" x14ac:dyDescent="0.45">
      <c r="A37" s="71" t="s">
        <v>47</v>
      </c>
    </row>
    <row r="38" spans="1:2" x14ac:dyDescent="0.45">
      <c r="A38" t="s">
        <v>48</v>
      </c>
      <c r="B38" t="s">
        <v>49</v>
      </c>
    </row>
    <row r="39" spans="1:2" x14ac:dyDescent="0.45">
      <c r="A39" t="s">
        <v>50</v>
      </c>
      <c r="B39" t="s">
        <v>51</v>
      </c>
    </row>
    <row r="40" spans="1:2" x14ac:dyDescent="0.45">
      <c r="A40" t="s">
        <v>50</v>
      </c>
      <c r="B40" t="s">
        <v>52</v>
      </c>
    </row>
    <row r="41" spans="1:2" x14ac:dyDescent="0.45">
      <c r="A41" t="s">
        <v>50</v>
      </c>
      <c r="B41" t="s">
        <v>53</v>
      </c>
    </row>
    <row r="42" spans="1:2" x14ac:dyDescent="0.45">
      <c r="A42" t="s">
        <v>50</v>
      </c>
      <c r="B42" t="s">
        <v>54</v>
      </c>
    </row>
    <row r="43" spans="1:2" x14ac:dyDescent="0.45">
      <c r="A43" t="s">
        <v>55</v>
      </c>
      <c r="B43" t="s">
        <v>56</v>
      </c>
    </row>
    <row r="44" spans="1:2" x14ac:dyDescent="0.45">
      <c r="A44" t="s">
        <v>48</v>
      </c>
      <c r="B44" t="s">
        <v>57</v>
      </c>
    </row>
    <row r="45" spans="1:2" x14ac:dyDescent="0.45">
      <c r="A45" t="s">
        <v>48</v>
      </c>
      <c r="B45" t="s">
        <v>58</v>
      </c>
    </row>
    <row r="46" spans="1:2" x14ac:dyDescent="0.45">
      <c r="A46" t="s">
        <v>50</v>
      </c>
      <c r="B46" t="s">
        <v>59</v>
      </c>
    </row>
    <row r="47" spans="1:2" hidden="1" x14ac:dyDescent="0.45">
      <c r="B47" s="199" t="s">
        <v>60</v>
      </c>
    </row>
    <row r="48" spans="1:2" hidden="1" x14ac:dyDescent="0.45">
      <c r="B48" s="199" t="s">
        <v>61</v>
      </c>
    </row>
    <row r="49" spans="1:2" hidden="1" x14ac:dyDescent="0.45">
      <c r="B49" s="199" t="s">
        <v>62</v>
      </c>
    </row>
    <row r="50" spans="1:2" hidden="1" x14ac:dyDescent="0.45">
      <c r="B50" s="199" t="s">
        <v>63</v>
      </c>
    </row>
    <row r="51" spans="1:2" x14ac:dyDescent="0.45">
      <c r="A51" t="s">
        <v>48</v>
      </c>
      <c r="B51" t="s">
        <v>64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88200-6BC4-4F2A-AD0A-F3543BC615FC}">
  <sheetPr>
    <tabColor theme="8" tint="-0.249977111117893"/>
  </sheetPr>
  <dimension ref="B2:K12"/>
  <sheetViews>
    <sheetView workbookViewId="0">
      <selection activeCell="H6" sqref="H6"/>
    </sheetView>
  </sheetViews>
  <sheetFormatPr defaultRowHeight="14.25" x14ac:dyDescent="0.45"/>
  <sheetData>
    <row r="2" spans="2:11" x14ac:dyDescent="0.45">
      <c r="B2" t="s">
        <v>2069</v>
      </c>
    </row>
    <row r="3" spans="2:11" x14ac:dyDescent="0.45">
      <c r="B3" t="s">
        <v>2068</v>
      </c>
    </row>
    <row r="4" spans="2:11" x14ac:dyDescent="0.45">
      <c r="B4" t="s">
        <v>2116</v>
      </c>
    </row>
    <row r="6" spans="2:11" x14ac:dyDescent="0.45">
      <c r="B6" t="s">
        <v>2070</v>
      </c>
    </row>
    <row r="7" spans="2:11" x14ac:dyDescent="0.45">
      <c r="B7" t="s">
        <v>2071</v>
      </c>
    </row>
    <row r="8" spans="2:11" x14ac:dyDescent="0.45">
      <c r="B8" t="s">
        <v>2072</v>
      </c>
    </row>
    <row r="12" spans="2:11" x14ac:dyDescent="0.45">
      <c r="K12" t="s">
        <v>2115</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696A4-E591-4292-A383-128A50830ED6}">
  <sheetPr>
    <tabColor theme="9" tint="-0.249977111117893"/>
  </sheetPr>
  <dimension ref="A1:Q4"/>
  <sheetViews>
    <sheetView workbookViewId="0">
      <selection activeCell="M2" sqref="M2"/>
    </sheetView>
  </sheetViews>
  <sheetFormatPr defaultColWidth="16.796875" defaultRowHeight="14.25" x14ac:dyDescent="0.45"/>
  <cols>
    <col min="1" max="1" width="25.53125" bestFit="1" customWidth="1"/>
    <col min="2" max="3" width="7.796875" customWidth="1"/>
    <col min="4" max="4" width="9.796875" bestFit="1" customWidth="1"/>
    <col min="5" max="5" width="9.46484375" customWidth="1"/>
    <col min="6" max="10" width="14.265625" customWidth="1"/>
    <col min="11" max="11" width="18.46484375" customWidth="1"/>
    <col min="12" max="12" width="16.796875" customWidth="1"/>
    <col min="13" max="15" width="22.265625" customWidth="1"/>
    <col min="16" max="16" width="11.19921875" customWidth="1"/>
    <col min="17" max="17" width="31.53125" bestFit="1" customWidth="1"/>
  </cols>
  <sheetData>
    <row r="1" spans="1:17" s="177" customFormat="1" ht="28.5" x14ac:dyDescent="0.45">
      <c r="A1" s="268" t="s">
        <v>71</v>
      </c>
      <c r="B1" s="268" t="s">
        <v>72</v>
      </c>
      <c r="C1" s="268" t="s">
        <v>73</v>
      </c>
      <c r="D1" s="268" t="s">
        <v>74</v>
      </c>
      <c r="E1" s="268" t="s">
        <v>75</v>
      </c>
      <c r="F1" s="268" t="s">
        <v>76</v>
      </c>
      <c r="G1" s="268" t="s">
        <v>77</v>
      </c>
      <c r="H1" s="268" t="s">
        <v>78</v>
      </c>
      <c r="I1" s="268" t="s">
        <v>79</v>
      </c>
      <c r="J1" s="268" t="s">
        <v>80</v>
      </c>
      <c r="K1" s="268" t="s">
        <v>2143</v>
      </c>
      <c r="L1" s="268" t="s">
        <v>2144</v>
      </c>
      <c r="M1" s="268" t="s">
        <v>2145</v>
      </c>
      <c r="N1" s="268" t="s">
        <v>2782</v>
      </c>
      <c r="O1" s="268" t="s">
        <v>2786</v>
      </c>
      <c r="P1" s="353" t="s">
        <v>2831</v>
      </c>
      <c r="Q1" s="268" t="s">
        <v>81</v>
      </c>
    </row>
    <row r="2" spans="1:17" x14ac:dyDescent="0.45">
      <c r="A2" s="58" t="s">
        <v>2624</v>
      </c>
      <c r="B2" s="58">
        <v>48</v>
      </c>
      <c r="C2" s="58">
        <v>32</v>
      </c>
      <c r="D2" s="58">
        <v>5000</v>
      </c>
      <c r="E2" s="58" t="s">
        <v>82</v>
      </c>
      <c r="F2" s="58" t="b">
        <v>1</v>
      </c>
      <c r="G2" s="58" t="b">
        <v>1</v>
      </c>
      <c r="H2" s="58" t="b">
        <v>1</v>
      </c>
      <c r="I2" s="58" t="b">
        <v>1</v>
      </c>
      <c r="J2" s="58" t="b">
        <v>1</v>
      </c>
      <c r="K2" t="s">
        <v>2772</v>
      </c>
      <c r="L2" t="s">
        <v>2146</v>
      </c>
      <c r="M2" t="s">
        <v>2147</v>
      </c>
      <c r="N2" t="s">
        <v>2783</v>
      </c>
      <c r="O2" t="s">
        <v>2170</v>
      </c>
      <c r="P2" s="48" t="str">
        <f>RegionSelect!B2</f>
        <v>Amhara</v>
      </c>
      <c r="Q2" s="58"/>
    </row>
    <row r="3" spans="1:17" x14ac:dyDescent="0.45">
      <c r="A3" t="s">
        <v>2773</v>
      </c>
      <c r="B3" s="58">
        <v>48</v>
      </c>
      <c r="C3" s="58">
        <v>32</v>
      </c>
      <c r="D3" s="58">
        <v>5000</v>
      </c>
      <c r="E3" s="58" t="s">
        <v>82</v>
      </c>
      <c r="F3" s="58" t="b">
        <v>1</v>
      </c>
      <c r="G3" s="58" t="b">
        <v>1</v>
      </c>
      <c r="H3" s="58" t="b">
        <v>1</v>
      </c>
      <c r="I3" s="58" t="b">
        <v>1</v>
      </c>
      <c r="J3" s="58" t="b">
        <v>1</v>
      </c>
      <c r="K3" t="s">
        <v>2774</v>
      </c>
      <c r="L3" t="s">
        <v>2146</v>
      </c>
      <c r="M3" t="s">
        <v>2147</v>
      </c>
      <c r="N3" t="s">
        <v>2784</v>
      </c>
      <c r="O3" t="s">
        <v>2171</v>
      </c>
      <c r="P3" s="48" t="str">
        <f>P2</f>
        <v>Amhara</v>
      </c>
    </row>
    <row r="4" spans="1:17" x14ac:dyDescent="0.45">
      <c r="A4" t="s">
        <v>2780</v>
      </c>
      <c r="B4" s="58">
        <v>48</v>
      </c>
      <c r="C4" s="58">
        <v>32</v>
      </c>
      <c r="D4" s="58">
        <v>5000</v>
      </c>
      <c r="E4" s="58" t="s">
        <v>82</v>
      </c>
      <c r="F4" s="58" t="b">
        <v>1</v>
      </c>
      <c r="G4" s="58" t="b">
        <v>1</v>
      </c>
      <c r="H4" s="58" t="b">
        <v>1</v>
      </c>
      <c r="I4" s="58" t="b">
        <v>1</v>
      </c>
      <c r="J4" s="58" t="b">
        <v>1</v>
      </c>
      <c r="K4" t="s">
        <v>2781</v>
      </c>
      <c r="L4" t="s">
        <v>2146</v>
      </c>
      <c r="M4" t="s">
        <v>2147</v>
      </c>
      <c r="N4" t="s">
        <v>2785</v>
      </c>
      <c r="O4" t="s">
        <v>2172</v>
      </c>
      <c r="P4" s="48" t="str">
        <f>P3</f>
        <v>Amhara</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A812F-23D7-4B3E-9B1A-CB33C15D8C87}">
  <sheetPr>
    <tabColor theme="9" tint="-0.249977111117893"/>
  </sheetPr>
  <dimension ref="A1:G13"/>
  <sheetViews>
    <sheetView workbookViewId="0">
      <selection activeCell="B2" sqref="B2"/>
    </sheetView>
  </sheetViews>
  <sheetFormatPr defaultRowHeight="14.25" x14ac:dyDescent="0.45"/>
  <cols>
    <col min="1" max="1" width="9.796875" bestFit="1" customWidth="1"/>
    <col min="2" max="2" width="18.796875" bestFit="1" customWidth="1"/>
    <col min="3" max="3" width="10.46484375" bestFit="1" customWidth="1"/>
    <col min="5" max="5" width="11.265625" bestFit="1" customWidth="1"/>
    <col min="6" max="6" width="18.796875" bestFit="1" customWidth="1"/>
    <col min="7" max="7" width="11.19921875" bestFit="1" customWidth="1"/>
  </cols>
  <sheetData>
    <row r="1" spans="1:7" x14ac:dyDescent="0.45">
      <c r="B1" s="355" t="s">
        <v>2844</v>
      </c>
      <c r="C1" s="355" t="s">
        <v>2843</v>
      </c>
      <c r="E1" s="355" t="s">
        <v>2842</v>
      </c>
      <c r="F1" s="355" t="s">
        <v>2844</v>
      </c>
      <c r="G1" s="355" t="s">
        <v>2843</v>
      </c>
    </row>
    <row r="2" spans="1:7" x14ac:dyDescent="0.45">
      <c r="A2" s="355" t="s">
        <v>141</v>
      </c>
      <c r="B2" s="59" t="s">
        <v>805</v>
      </c>
      <c r="C2" t="str">
        <f>VLOOKUP(B2, F2:G13, 2, FALSE)</f>
        <v>ET03</v>
      </c>
      <c r="E2">
        <v>0</v>
      </c>
      <c r="F2" t="s">
        <v>594</v>
      </c>
      <c r="G2" t="s">
        <v>2849</v>
      </c>
    </row>
    <row r="3" spans="1:7" x14ac:dyDescent="0.45">
      <c r="E3">
        <v>1</v>
      </c>
      <c r="F3" t="s">
        <v>806</v>
      </c>
      <c r="G3" t="s">
        <v>2868</v>
      </c>
    </row>
    <row r="4" spans="1:7" x14ac:dyDescent="0.45">
      <c r="E4">
        <v>1</v>
      </c>
      <c r="F4" t="s">
        <v>2946</v>
      </c>
      <c r="G4" t="s">
        <v>2869</v>
      </c>
    </row>
    <row r="5" spans="1:7" x14ac:dyDescent="0.45">
      <c r="E5">
        <v>1</v>
      </c>
      <c r="F5" t="s">
        <v>805</v>
      </c>
      <c r="G5" t="s">
        <v>2871</v>
      </c>
    </row>
    <row r="6" spans="1:7" x14ac:dyDescent="0.45">
      <c r="E6">
        <v>1</v>
      </c>
      <c r="F6" t="s">
        <v>809</v>
      </c>
      <c r="G6" t="s">
        <v>2872</v>
      </c>
    </row>
    <row r="7" spans="1:7" x14ac:dyDescent="0.45">
      <c r="E7">
        <v>1</v>
      </c>
      <c r="F7" t="s">
        <v>2874</v>
      </c>
      <c r="G7" t="s">
        <v>2873</v>
      </c>
    </row>
    <row r="8" spans="1:7" x14ac:dyDescent="0.45">
      <c r="E8">
        <v>1</v>
      </c>
      <c r="F8" t="s">
        <v>2877</v>
      </c>
      <c r="G8" t="s">
        <v>2876</v>
      </c>
    </row>
    <row r="9" spans="1:7" x14ac:dyDescent="0.45">
      <c r="E9">
        <v>1</v>
      </c>
      <c r="F9" t="s">
        <v>2879</v>
      </c>
      <c r="G9" t="s">
        <v>2878</v>
      </c>
    </row>
    <row r="10" spans="1:7" x14ac:dyDescent="0.45">
      <c r="E10">
        <v>1</v>
      </c>
      <c r="F10" t="s">
        <v>2881</v>
      </c>
      <c r="G10" t="s">
        <v>2880</v>
      </c>
    </row>
    <row r="11" spans="1:7" x14ac:dyDescent="0.45">
      <c r="E11">
        <v>1</v>
      </c>
      <c r="F11" t="s">
        <v>2883</v>
      </c>
      <c r="G11" t="s">
        <v>2882</v>
      </c>
    </row>
    <row r="12" spans="1:7" x14ac:dyDescent="0.45">
      <c r="E12">
        <v>1</v>
      </c>
      <c r="F12" t="s">
        <v>814</v>
      </c>
      <c r="G12" t="s">
        <v>2884</v>
      </c>
    </row>
    <row r="13" spans="1:7" x14ac:dyDescent="0.45">
      <c r="E13">
        <v>1</v>
      </c>
      <c r="F13" t="s">
        <v>2886</v>
      </c>
      <c r="G13" t="s">
        <v>2885</v>
      </c>
    </row>
  </sheetData>
  <dataValidations count="1">
    <dataValidation type="list" allowBlank="1" showInputMessage="1" showErrorMessage="1" sqref="B2" xr:uid="{5F66C9A4-84AF-4924-B31B-536F94771AD0}">
      <formula1>$F$2:$F$13</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6BBDE-B309-4A5A-8E01-1740FFC9B513}">
  <sheetPr>
    <tabColor theme="9" tint="-0.249977111117893"/>
  </sheetPr>
  <dimension ref="A1:G102"/>
  <sheetViews>
    <sheetView workbookViewId="0">
      <selection activeCell="B2" sqref="B2"/>
    </sheetView>
  </sheetViews>
  <sheetFormatPr defaultColWidth="10" defaultRowHeight="14.25" x14ac:dyDescent="0.45"/>
  <cols>
    <col min="1" max="1" width="3.796875" bestFit="1" customWidth="1"/>
    <col min="2" max="4" width="7.796875" bestFit="1" customWidth="1"/>
    <col min="6" max="6" width="13.53125" bestFit="1" customWidth="1"/>
    <col min="7" max="7" width="11.796875" bestFit="1" customWidth="1"/>
  </cols>
  <sheetData>
    <row r="1" spans="1:7" x14ac:dyDescent="0.45">
      <c r="A1" t="s">
        <v>115</v>
      </c>
      <c r="B1" s="48" t="s">
        <v>116</v>
      </c>
      <c r="C1" s="48" t="s">
        <v>117</v>
      </c>
      <c r="D1" s="48" t="s">
        <v>118</v>
      </c>
    </row>
    <row r="2" spans="1:7" s="48" customFormat="1" x14ac:dyDescent="0.45">
      <c r="A2" s="62" t="s">
        <v>119</v>
      </c>
      <c r="B2" s="124">
        <f>ROUND(VLOOKUP(_xlfn.CONCAT(RegionSelect!$C$2,",",A2),Pop_male_2020!$A:$D,4,FALSE),0)</f>
        <v>382978</v>
      </c>
      <c r="C2" s="124">
        <f>ROUND(VLOOKUP(_xlfn.CONCAT(RegionSelect!$C$2,",",A2),Pop_female_2020!$A:$D,4,FALSE),0)</f>
        <v>383352</v>
      </c>
      <c r="D2" s="124">
        <f>C2+B2</f>
        <v>766330</v>
      </c>
    </row>
    <row r="3" spans="1:7" x14ac:dyDescent="0.45">
      <c r="A3" s="62">
        <v>1</v>
      </c>
      <c r="B3" s="124">
        <f>ROUND(VLOOKUP(_xlfn.CONCAT(RegionSelect!$C$2,",",A3),Pop_male_2020!$A:$D,4,FALSE),0)</f>
        <v>367680</v>
      </c>
      <c r="C3" s="124">
        <f>ROUND(VLOOKUP(_xlfn.CONCAT(RegionSelect!$C$2,",",A3),Pop_female_2020!$A:$D,4,FALSE),0)</f>
        <v>367824</v>
      </c>
      <c r="D3" s="124">
        <f t="shared" ref="D3:D66" si="0">C3+B3</f>
        <v>735504</v>
      </c>
      <c r="F3" s="89"/>
    </row>
    <row r="4" spans="1:7" x14ac:dyDescent="0.45">
      <c r="A4" s="62">
        <v>2</v>
      </c>
      <c r="B4" s="124">
        <f>ROUND(VLOOKUP(_xlfn.CONCAT(RegionSelect!$C$2,",",A4),Pop_male_2020!$A:$D,4,FALSE),0)</f>
        <v>353906</v>
      </c>
      <c r="C4" s="124">
        <f>ROUND(VLOOKUP(_xlfn.CONCAT(RegionSelect!$C$2,",",A4),Pop_female_2020!$A:$D,4,FALSE),0)</f>
        <v>354231</v>
      </c>
      <c r="D4" s="124">
        <f t="shared" si="0"/>
        <v>708137</v>
      </c>
      <c r="F4" s="3"/>
    </row>
    <row r="5" spans="1:7" x14ac:dyDescent="0.45">
      <c r="A5" s="62">
        <v>3</v>
      </c>
      <c r="B5" s="124">
        <f>ROUND(VLOOKUP(_xlfn.CONCAT(RegionSelect!$C$2,",",A5),Pop_male_2020!$A:$D,4,FALSE),0)</f>
        <v>342839</v>
      </c>
      <c r="C5" s="124">
        <f>ROUND(VLOOKUP(_xlfn.CONCAT(RegionSelect!$C$2,",",A5),Pop_female_2020!$A:$D,4,FALSE),0)</f>
        <v>344053</v>
      </c>
      <c r="D5" s="124">
        <f t="shared" si="0"/>
        <v>686892</v>
      </c>
      <c r="F5" s="3"/>
    </row>
    <row r="6" spans="1:7" x14ac:dyDescent="0.45">
      <c r="A6" s="62">
        <v>4</v>
      </c>
      <c r="B6" s="124">
        <f>ROUND(VLOOKUP(_xlfn.CONCAT(RegionSelect!$C$2,",",A6),Pop_male_2020!$A:$D,4,FALSE),0)</f>
        <v>334298</v>
      </c>
      <c r="C6" s="124">
        <f>ROUND(VLOOKUP(_xlfn.CONCAT(RegionSelect!$C$2,",",A6),Pop_female_2020!$A:$D,4,FALSE),0)</f>
        <v>336937</v>
      </c>
      <c r="D6" s="124">
        <f t="shared" si="0"/>
        <v>671235</v>
      </c>
    </row>
    <row r="7" spans="1:7" x14ac:dyDescent="0.45">
      <c r="A7" s="62">
        <v>5</v>
      </c>
      <c r="B7" s="124">
        <f>ROUND(VLOOKUP(_xlfn.CONCAT(RegionSelect!$C$2,",",A7),Pop_male_2020!$A:$D,4,FALSE),0)</f>
        <v>327761</v>
      </c>
      <c r="C7" s="124">
        <f>ROUND(VLOOKUP(_xlfn.CONCAT(RegionSelect!$C$2,",",A7),Pop_female_2020!$A:$D,4,FALSE),0)</f>
        <v>332074</v>
      </c>
      <c r="D7" s="124">
        <f t="shared" si="0"/>
        <v>659835</v>
      </c>
    </row>
    <row r="8" spans="1:7" x14ac:dyDescent="0.45">
      <c r="A8" s="62">
        <v>6</v>
      </c>
      <c r="B8" s="124">
        <f>ROUND(VLOOKUP(_xlfn.CONCAT(RegionSelect!$C$2,",",A8),Pop_male_2020!$A:$D,4,FALSE),0)</f>
        <v>322705</v>
      </c>
      <c r="C8" s="124">
        <f>ROUND(VLOOKUP(_xlfn.CONCAT(RegionSelect!$C$2,",",A8),Pop_female_2020!$A:$D,4,FALSE),0)</f>
        <v>328655</v>
      </c>
      <c r="D8" s="124">
        <f t="shared" si="0"/>
        <v>651360</v>
      </c>
    </row>
    <row r="9" spans="1:7" x14ac:dyDescent="0.45">
      <c r="A9" s="62">
        <v>7</v>
      </c>
      <c r="B9" s="124">
        <f>ROUND(VLOOKUP(_xlfn.CONCAT(RegionSelect!$C$2,",",A9),Pop_male_2020!$A:$D,4,FALSE),0)</f>
        <v>318609</v>
      </c>
      <c r="C9" s="124">
        <f>ROUND(VLOOKUP(_xlfn.CONCAT(RegionSelect!$C$2,",",A9),Pop_female_2020!$A:$D,4,FALSE),0)</f>
        <v>325871</v>
      </c>
      <c r="D9" s="124">
        <f t="shared" si="0"/>
        <v>644480</v>
      </c>
    </row>
    <row r="10" spans="1:7" x14ac:dyDescent="0.45">
      <c r="A10" s="62">
        <v>8</v>
      </c>
      <c r="B10" s="124">
        <f>ROUND(VLOOKUP(_xlfn.CONCAT(RegionSelect!$C$2,",",A10),Pop_male_2020!$A:$D,4,FALSE),0)</f>
        <v>315023</v>
      </c>
      <c r="C10" s="124">
        <f>ROUND(VLOOKUP(_xlfn.CONCAT(RegionSelect!$C$2,",",A10),Pop_female_2020!$A:$D,4,FALSE),0)</f>
        <v>323053</v>
      </c>
      <c r="D10" s="124">
        <f t="shared" si="0"/>
        <v>638076</v>
      </c>
    </row>
    <row r="11" spans="1:7" x14ac:dyDescent="0.45">
      <c r="A11" s="62">
        <v>9</v>
      </c>
      <c r="B11" s="124">
        <f>ROUND(VLOOKUP(_xlfn.CONCAT(RegionSelect!$C$2,",",A11),Pop_male_2020!$A:$D,4,FALSE),0)</f>
        <v>311792</v>
      </c>
      <c r="C11" s="124">
        <f>ROUND(VLOOKUP(_xlfn.CONCAT(RegionSelect!$C$2,",",A11),Pop_female_2020!$A:$D,4,FALSE),0)</f>
        <v>320097</v>
      </c>
      <c r="D11" s="124">
        <f t="shared" si="0"/>
        <v>631889</v>
      </c>
    </row>
    <row r="12" spans="1:7" x14ac:dyDescent="0.45">
      <c r="A12" s="62">
        <v>10</v>
      </c>
      <c r="B12" s="124">
        <f>ROUND(VLOOKUP(_xlfn.CONCAT(RegionSelect!$C$2,",",A12),Pop_male_2020!$A:$D,4,FALSE),0)</f>
        <v>308836</v>
      </c>
      <c r="C12" s="124">
        <f>ROUND(VLOOKUP(_xlfn.CONCAT(RegionSelect!$C$2,",",A12),Pop_female_2020!$A:$D,4,FALSE),0)</f>
        <v>317041</v>
      </c>
      <c r="D12" s="124">
        <f t="shared" si="0"/>
        <v>625877</v>
      </c>
    </row>
    <row r="13" spans="1:7" x14ac:dyDescent="0.45">
      <c r="A13" s="62">
        <v>11</v>
      </c>
      <c r="B13" s="124">
        <f>ROUND(VLOOKUP(_xlfn.CONCAT(RegionSelect!$C$2,",",A13),Pop_male_2020!$A:$D,4,FALSE),0)</f>
        <v>306072</v>
      </c>
      <c r="C13" s="124">
        <f>ROUND(VLOOKUP(_xlfn.CONCAT(RegionSelect!$C$2,",",A13),Pop_female_2020!$A:$D,4,FALSE),0)</f>
        <v>313922</v>
      </c>
      <c r="D13" s="124">
        <f t="shared" si="0"/>
        <v>619994</v>
      </c>
      <c r="G13" s="124"/>
    </row>
    <row r="14" spans="1:7" x14ac:dyDescent="0.45">
      <c r="A14" s="62">
        <v>12</v>
      </c>
      <c r="B14" s="124">
        <f>ROUND(VLOOKUP(_xlfn.CONCAT(RegionSelect!$C$2,",",A14),Pop_male_2020!$A:$D,4,FALSE),0)</f>
        <v>303420</v>
      </c>
      <c r="C14" s="124">
        <f>ROUND(VLOOKUP(_xlfn.CONCAT(RegionSelect!$C$2,",",A14),Pop_female_2020!$A:$D,4,FALSE),0)</f>
        <v>310778</v>
      </c>
      <c r="D14" s="124">
        <f t="shared" si="0"/>
        <v>614198</v>
      </c>
    </row>
    <row r="15" spans="1:7" x14ac:dyDescent="0.45">
      <c r="A15" s="62">
        <v>13</v>
      </c>
      <c r="B15" s="124">
        <f>ROUND(VLOOKUP(_xlfn.CONCAT(RegionSelect!$C$2,",",A15),Pop_male_2020!$A:$D,4,FALSE),0)</f>
        <v>300711</v>
      </c>
      <c r="C15" s="124">
        <f>ROUND(VLOOKUP(_xlfn.CONCAT(RegionSelect!$C$2,",",A15),Pop_female_2020!$A:$D,4,FALSE),0)</f>
        <v>307534</v>
      </c>
      <c r="D15" s="124">
        <f t="shared" si="0"/>
        <v>608245</v>
      </c>
    </row>
    <row r="16" spans="1:7" x14ac:dyDescent="0.45">
      <c r="A16" s="62">
        <v>14</v>
      </c>
      <c r="B16" s="124">
        <f>ROUND(VLOOKUP(_xlfn.CONCAT(RegionSelect!$C$2,",",A16),Pop_male_2020!$A:$D,4,FALSE),0)</f>
        <v>297431</v>
      </c>
      <c r="C16" s="124">
        <f>ROUND(VLOOKUP(_xlfn.CONCAT(RegionSelect!$C$2,",",A16),Pop_female_2020!$A:$D,4,FALSE),0)</f>
        <v>303677</v>
      </c>
      <c r="D16" s="124">
        <f t="shared" si="0"/>
        <v>601108</v>
      </c>
    </row>
    <row r="17" spans="1:4" x14ac:dyDescent="0.45">
      <c r="A17" s="62">
        <v>15</v>
      </c>
      <c r="B17" s="124">
        <f>ROUND(VLOOKUP(_xlfn.CONCAT(RegionSelect!$C$2,",",A17),Pop_male_2020!$A:$D,4,FALSE),0)</f>
        <v>292980</v>
      </c>
      <c r="C17" s="124">
        <f>ROUND(VLOOKUP(_xlfn.CONCAT(RegionSelect!$C$2,",",A17),Pop_female_2020!$A:$D,4,FALSE),0)</f>
        <v>298581</v>
      </c>
      <c r="D17" s="124">
        <f t="shared" si="0"/>
        <v>591561</v>
      </c>
    </row>
    <row r="18" spans="1:4" x14ac:dyDescent="0.45">
      <c r="A18" s="62">
        <v>16</v>
      </c>
      <c r="B18" s="124">
        <f>ROUND(VLOOKUP(_xlfn.CONCAT(RegionSelect!$C$2,",",A18),Pop_male_2020!$A:$D,4,FALSE),0)</f>
        <v>286758</v>
      </c>
      <c r="C18" s="124">
        <f>ROUND(VLOOKUP(_xlfn.CONCAT(RegionSelect!$C$2,",",A18),Pop_female_2020!$A:$D,4,FALSE),0)</f>
        <v>291621</v>
      </c>
      <c r="D18" s="124">
        <f t="shared" si="0"/>
        <v>578379</v>
      </c>
    </row>
    <row r="19" spans="1:4" x14ac:dyDescent="0.45">
      <c r="A19" s="62">
        <v>17</v>
      </c>
      <c r="B19" s="124">
        <f>ROUND(VLOOKUP(_xlfn.CONCAT(RegionSelect!$C$2,",",A19),Pop_male_2020!$A:$D,4,FALSE),0)</f>
        <v>278163</v>
      </c>
      <c r="C19" s="124">
        <f>ROUND(VLOOKUP(_xlfn.CONCAT(RegionSelect!$C$2,",",A19),Pop_female_2020!$A:$D,4,FALSE),0)</f>
        <v>282172</v>
      </c>
      <c r="D19" s="124">
        <f t="shared" si="0"/>
        <v>560335</v>
      </c>
    </row>
    <row r="20" spans="1:4" x14ac:dyDescent="0.45">
      <c r="A20" s="62">
        <v>18</v>
      </c>
      <c r="B20" s="124">
        <f>ROUND(VLOOKUP(_xlfn.CONCAT(RegionSelect!$C$2,",",A20),Pop_male_2020!$A:$D,4,FALSE),0)</f>
        <v>266915</v>
      </c>
      <c r="C20" s="124">
        <f>ROUND(VLOOKUP(_xlfn.CONCAT(RegionSelect!$C$2,",",A20),Pop_female_2020!$A:$D,4,FALSE),0)</f>
        <v>269957</v>
      </c>
      <c r="D20" s="124">
        <f t="shared" si="0"/>
        <v>536872</v>
      </c>
    </row>
    <row r="21" spans="1:4" x14ac:dyDescent="0.45">
      <c r="A21" s="62">
        <v>19</v>
      </c>
      <c r="B21" s="124">
        <f>ROUND(VLOOKUP(_xlfn.CONCAT(RegionSelect!$C$2,",",A21),Pop_male_2020!$A:$D,4,FALSE),0)</f>
        <v>254016</v>
      </c>
      <c r="C21" s="124">
        <f>ROUND(VLOOKUP(_xlfn.CONCAT(RegionSelect!$C$2,",",A21),Pop_female_2020!$A:$D,4,FALSE),0)</f>
        <v>256103</v>
      </c>
      <c r="D21" s="124">
        <f t="shared" si="0"/>
        <v>510119</v>
      </c>
    </row>
    <row r="22" spans="1:4" x14ac:dyDescent="0.45">
      <c r="A22" s="62">
        <v>20</v>
      </c>
      <c r="B22" s="124">
        <f>ROUND(VLOOKUP(_xlfn.CONCAT(RegionSelect!$C$2,",",A22),Pop_male_2020!$A:$D,4,FALSE),0)</f>
        <v>240785</v>
      </c>
      <c r="C22" s="124">
        <f>ROUND(VLOOKUP(_xlfn.CONCAT(RegionSelect!$C$2,",",A22),Pop_female_2020!$A:$D,4,FALSE),0)</f>
        <v>242082</v>
      </c>
      <c r="D22" s="124">
        <f t="shared" si="0"/>
        <v>482867</v>
      </c>
    </row>
    <row r="23" spans="1:4" x14ac:dyDescent="0.45">
      <c r="A23" s="62">
        <v>21</v>
      </c>
      <c r="B23" s="124">
        <f>ROUND(VLOOKUP(_xlfn.CONCAT(RegionSelect!$C$2,",",A23),Pop_male_2020!$A:$D,4,FALSE),0)</f>
        <v>228544</v>
      </c>
      <c r="C23" s="124">
        <f>ROUND(VLOOKUP(_xlfn.CONCAT(RegionSelect!$C$2,",",A23),Pop_female_2020!$A:$D,4,FALSE),0)</f>
        <v>229371</v>
      </c>
      <c r="D23" s="124">
        <f t="shared" si="0"/>
        <v>457915</v>
      </c>
    </row>
    <row r="24" spans="1:4" x14ac:dyDescent="0.45">
      <c r="A24" s="62">
        <v>22</v>
      </c>
      <c r="B24" s="124">
        <f>ROUND(VLOOKUP(_xlfn.CONCAT(RegionSelect!$C$2,",",A24),Pop_male_2020!$A:$D,4,FALSE),0)</f>
        <v>218613</v>
      </c>
      <c r="C24" s="124">
        <f>ROUND(VLOOKUP(_xlfn.CONCAT(RegionSelect!$C$2,",",A24),Pop_female_2020!$A:$D,4,FALSE),0)</f>
        <v>219444</v>
      </c>
      <c r="D24" s="124">
        <f t="shared" si="0"/>
        <v>438057</v>
      </c>
    </row>
    <row r="25" spans="1:4" x14ac:dyDescent="0.45">
      <c r="A25" s="62">
        <v>23</v>
      </c>
      <c r="B25" s="124">
        <f>ROUND(VLOOKUP(_xlfn.CONCAT(RegionSelect!$C$2,",",A25),Pop_male_2020!$A:$D,4,FALSE),0)</f>
        <v>211862</v>
      </c>
      <c r="C25" s="124">
        <f>ROUND(VLOOKUP(_xlfn.CONCAT(RegionSelect!$C$2,",",A25),Pop_female_2020!$A:$D,4,FALSE),0)</f>
        <v>213264</v>
      </c>
      <c r="D25" s="124">
        <f t="shared" si="0"/>
        <v>425126</v>
      </c>
    </row>
    <row r="26" spans="1:4" x14ac:dyDescent="0.45">
      <c r="A26" s="62">
        <v>24</v>
      </c>
      <c r="B26" s="124">
        <f>ROUND(VLOOKUP(_xlfn.CONCAT(RegionSelect!$C$2,",",A26),Pop_male_2020!$A:$D,4,FALSE),0)</f>
        <v>207349</v>
      </c>
      <c r="C26" s="124">
        <f>ROUND(VLOOKUP(_xlfn.CONCAT(RegionSelect!$C$2,",",A26),Pop_female_2020!$A:$D,4,FALSE),0)</f>
        <v>209750</v>
      </c>
      <c r="D26" s="124">
        <f t="shared" si="0"/>
        <v>417099</v>
      </c>
    </row>
    <row r="27" spans="1:4" x14ac:dyDescent="0.45">
      <c r="A27" s="62">
        <v>25</v>
      </c>
      <c r="B27" s="124">
        <f>ROUND(VLOOKUP(_xlfn.CONCAT(RegionSelect!$C$2,",",A27),Pop_male_2020!$A:$D,4,FALSE),0)</f>
        <v>203681</v>
      </c>
      <c r="C27" s="124">
        <f>ROUND(VLOOKUP(_xlfn.CONCAT(RegionSelect!$C$2,",",A27),Pop_female_2020!$A:$D,4,FALSE),0)</f>
        <v>207311</v>
      </c>
      <c r="D27" s="124">
        <f t="shared" si="0"/>
        <v>410992</v>
      </c>
    </row>
    <row r="28" spans="1:4" x14ac:dyDescent="0.45">
      <c r="A28" s="62">
        <v>26</v>
      </c>
      <c r="B28" s="124">
        <f>ROUND(VLOOKUP(_xlfn.CONCAT(RegionSelect!$C$2,",",A28),Pop_male_2020!$A:$D,4,FALSE),0)</f>
        <v>199466</v>
      </c>
      <c r="C28" s="124">
        <f>ROUND(VLOOKUP(_xlfn.CONCAT(RegionSelect!$C$2,",",A28),Pop_female_2020!$A:$D,4,FALSE),0)</f>
        <v>204354</v>
      </c>
      <c r="D28" s="124">
        <f t="shared" si="0"/>
        <v>403820</v>
      </c>
    </row>
    <row r="29" spans="1:4" x14ac:dyDescent="0.45">
      <c r="A29" s="62">
        <v>27</v>
      </c>
      <c r="B29" s="124">
        <f>ROUND(VLOOKUP(_xlfn.CONCAT(RegionSelect!$C$2,",",A29),Pop_male_2020!$A:$D,4,FALSE),0)</f>
        <v>193310</v>
      </c>
      <c r="C29" s="124">
        <f>ROUND(VLOOKUP(_xlfn.CONCAT(RegionSelect!$C$2,",",A29),Pop_female_2020!$A:$D,4,FALSE),0)</f>
        <v>199288</v>
      </c>
      <c r="D29" s="124">
        <f t="shared" si="0"/>
        <v>392598</v>
      </c>
    </row>
    <row r="30" spans="1:4" x14ac:dyDescent="0.45">
      <c r="A30" s="62">
        <v>28</v>
      </c>
      <c r="B30" s="124">
        <f>ROUND(VLOOKUP(_xlfn.CONCAT(RegionSelect!$C$2,",",A30),Pop_male_2020!$A:$D,4,FALSE),0)</f>
        <v>184290</v>
      </c>
      <c r="C30" s="124">
        <f>ROUND(VLOOKUP(_xlfn.CONCAT(RegionSelect!$C$2,",",A30),Pop_female_2020!$A:$D,4,FALSE),0)</f>
        <v>191027</v>
      </c>
      <c r="D30" s="124">
        <f t="shared" si="0"/>
        <v>375317</v>
      </c>
    </row>
    <row r="31" spans="1:4" x14ac:dyDescent="0.45">
      <c r="A31" s="62">
        <v>29</v>
      </c>
      <c r="B31" s="124">
        <f>ROUND(VLOOKUP(_xlfn.CONCAT(RegionSelect!$C$2,",",A31),Pop_male_2020!$A:$D,4,FALSE),0)</f>
        <v>173364</v>
      </c>
      <c r="C31" s="124">
        <f>ROUND(VLOOKUP(_xlfn.CONCAT(RegionSelect!$C$2,",",A31),Pop_female_2020!$A:$D,4,FALSE),0)</f>
        <v>180507</v>
      </c>
      <c r="D31" s="124">
        <f t="shared" si="0"/>
        <v>353871</v>
      </c>
    </row>
    <row r="32" spans="1:4" x14ac:dyDescent="0.45">
      <c r="A32" s="62">
        <v>30</v>
      </c>
      <c r="B32" s="124">
        <f>ROUND(VLOOKUP(_xlfn.CONCAT(RegionSelect!$C$2,",",A32),Pop_male_2020!$A:$D,4,FALSE),0)</f>
        <v>161958</v>
      </c>
      <c r="C32" s="124">
        <f>ROUND(VLOOKUP(_xlfn.CONCAT(RegionSelect!$C$2,",",A32),Pop_female_2020!$A:$D,4,FALSE),0)</f>
        <v>169174</v>
      </c>
      <c r="D32" s="124">
        <f t="shared" si="0"/>
        <v>331132</v>
      </c>
    </row>
    <row r="33" spans="1:4" x14ac:dyDescent="0.45">
      <c r="A33" s="62">
        <v>31</v>
      </c>
      <c r="B33" s="124">
        <f>ROUND(VLOOKUP(_xlfn.CONCAT(RegionSelect!$C$2,",",A33),Pop_male_2020!$A:$D,4,FALSE),0)</f>
        <v>151499</v>
      </c>
      <c r="C33" s="124">
        <f>ROUND(VLOOKUP(_xlfn.CONCAT(RegionSelect!$C$2,",",A33),Pop_female_2020!$A:$D,4,FALSE),0)</f>
        <v>158472</v>
      </c>
      <c r="D33" s="124">
        <f t="shared" si="0"/>
        <v>309971</v>
      </c>
    </row>
    <row r="34" spans="1:4" x14ac:dyDescent="0.45">
      <c r="A34" s="62">
        <v>32</v>
      </c>
      <c r="B34" s="124">
        <f>ROUND(VLOOKUP(_xlfn.CONCAT(RegionSelect!$C$2,",",A34),Pop_male_2020!$A:$D,4,FALSE),0)</f>
        <v>143414</v>
      </c>
      <c r="C34" s="124">
        <f>ROUND(VLOOKUP(_xlfn.CONCAT(RegionSelect!$C$2,",",A34),Pop_female_2020!$A:$D,4,FALSE),0)</f>
        <v>149843</v>
      </c>
      <c r="D34" s="124">
        <f t="shared" si="0"/>
        <v>293257</v>
      </c>
    </row>
    <row r="35" spans="1:4" x14ac:dyDescent="0.45">
      <c r="A35" s="62">
        <v>33</v>
      </c>
      <c r="B35" s="124">
        <f>ROUND(VLOOKUP(_xlfn.CONCAT(RegionSelect!$C$2,",",A35),Pop_male_2020!$A:$D,4,FALSE),0)</f>
        <v>138682</v>
      </c>
      <c r="C35" s="124">
        <f>ROUND(VLOOKUP(_xlfn.CONCAT(RegionSelect!$C$2,",",A35),Pop_female_2020!$A:$D,4,FALSE),0)</f>
        <v>144313</v>
      </c>
      <c r="D35" s="124">
        <f t="shared" si="0"/>
        <v>282995</v>
      </c>
    </row>
    <row r="36" spans="1:4" x14ac:dyDescent="0.45">
      <c r="A36" s="62">
        <v>34</v>
      </c>
      <c r="B36" s="124">
        <f>ROUND(VLOOKUP(_xlfn.CONCAT(RegionSelect!$C$2,",",A36),Pop_male_2020!$A:$D,4,FALSE),0)</f>
        <v>136486</v>
      </c>
      <c r="C36" s="124">
        <f>ROUND(VLOOKUP(_xlfn.CONCAT(RegionSelect!$C$2,",",A36),Pop_female_2020!$A:$D,4,FALSE),0)</f>
        <v>141223</v>
      </c>
      <c r="D36" s="124">
        <f t="shared" si="0"/>
        <v>277709</v>
      </c>
    </row>
    <row r="37" spans="1:4" x14ac:dyDescent="0.45">
      <c r="A37" s="62">
        <v>35</v>
      </c>
      <c r="B37" s="124">
        <f>ROUND(VLOOKUP(_xlfn.CONCAT(RegionSelect!$C$2,",",A37),Pop_male_2020!$A:$D,4,FALSE),0)</f>
        <v>135560</v>
      </c>
      <c r="C37" s="124">
        <f>ROUND(VLOOKUP(_xlfn.CONCAT(RegionSelect!$C$2,",",A37),Pop_female_2020!$A:$D,4,FALSE),0)</f>
        <v>139495</v>
      </c>
      <c r="D37" s="124">
        <f t="shared" si="0"/>
        <v>275055</v>
      </c>
    </row>
    <row r="38" spans="1:4" x14ac:dyDescent="0.45">
      <c r="A38" s="62">
        <v>36</v>
      </c>
      <c r="B38" s="124">
        <f>ROUND(VLOOKUP(_xlfn.CONCAT(RegionSelect!$C$2,",",A38),Pop_male_2020!$A:$D,4,FALSE),0)</f>
        <v>134641</v>
      </c>
      <c r="C38" s="124">
        <f>ROUND(VLOOKUP(_xlfn.CONCAT(RegionSelect!$C$2,",",A38),Pop_female_2020!$A:$D,4,FALSE),0)</f>
        <v>138051</v>
      </c>
      <c r="D38" s="124">
        <f t="shared" si="0"/>
        <v>272692</v>
      </c>
    </row>
    <row r="39" spans="1:4" x14ac:dyDescent="0.45">
      <c r="A39" s="62">
        <v>37</v>
      </c>
      <c r="B39" s="124">
        <f>ROUND(VLOOKUP(_xlfn.CONCAT(RegionSelect!$C$2,",",A39),Pop_male_2020!$A:$D,4,FALSE),0)</f>
        <v>132463</v>
      </c>
      <c r="C39" s="124">
        <f>ROUND(VLOOKUP(_xlfn.CONCAT(RegionSelect!$C$2,",",A39),Pop_female_2020!$A:$D,4,FALSE),0)</f>
        <v>135814</v>
      </c>
      <c r="D39" s="124">
        <f t="shared" si="0"/>
        <v>268277</v>
      </c>
    </row>
    <row r="40" spans="1:4" x14ac:dyDescent="0.45">
      <c r="A40" s="62">
        <v>38</v>
      </c>
      <c r="B40" s="124">
        <f>ROUND(VLOOKUP(_xlfn.CONCAT(RegionSelect!$C$2,",",A40),Pop_male_2020!$A:$D,4,FALSE),0)</f>
        <v>128123</v>
      </c>
      <c r="C40" s="124">
        <f>ROUND(VLOOKUP(_xlfn.CONCAT(RegionSelect!$C$2,",",A40),Pop_female_2020!$A:$D,4,FALSE),0)</f>
        <v>131987</v>
      </c>
      <c r="D40" s="124">
        <f t="shared" si="0"/>
        <v>260110</v>
      </c>
    </row>
    <row r="41" spans="1:4" x14ac:dyDescent="0.45">
      <c r="A41" s="62">
        <v>39</v>
      </c>
      <c r="B41" s="124">
        <f>ROUND(VLOOKUP(_xlfn.CONCAT(RegionSelect!$C$2,",",A41),Pop_male_2020!$A:$D,4,FALSE),0)</f>
        <v>122167</v>
      </c>
      <c r="C41" s="124">
        <f>ROUND(VLOOKUP(_xlfn.CONCAT(RegionSelect!$C$2,",",A41),Pop_female_2020!$A:$D,4,FALSE),0)</f>
        <v>126898</v>
      </c>
      <c r="D41" s="124">
        <f t="shared" si="0"/>
        <v>249065</v>
      </c>
    </row>
    <row r="42" spans="1:4" x14ac:dyDescent="0.45">
      <c r="A42" s="62">
        <v>40</v>
      </c>
      <c r="B42" s="124">
        <f>ROUND(VLOOKUP(_xlfn.CONCAT(RegionSelect!$C$2,",",A42),Pop_male_2020!$A:$D,4,FALSE),0)</f>
        <v>115505</v>
      </c>
      <c r="C42" s="124">
        <f>ROUND(VLOOKUP(_xlfn.CONCAT(RegionSelect!$C$2,",",A42),Pop_female_2020!$A:$D,4,FALSE),0)</f>
        <v>121158</v>
      </c>
      <c r="D42" s="124">
        <f t="shared" si="0"/>
        <v>236663</v>
      </c>
    </row>
    <row r="43" spans="1:4" x14ac:dyDescent="0.45">
      <c r="A43" s="62">
        <v>41</v>
      </c>
      <c r="B43" s="124">
        <f>ROUND(VLOOKUP(_xlfn.CONCAT(RegionSelect!$C$2,",",A43),Pop_male_2020!$A:$D,4,FALSE),0)</f>
        <v>109043</v>
      </c>
      <c r="C43" s="124">
        <f>ROUND(VLOOKUP(_xlfn.CONCAT(RegionSelect!$C$2,",",A43),Pop_female_2020!$A:$D,4,FALSE),0)</f>
        <v>115377</v>
      </c>
      <c r="D43" s="124">
        <f t="shared" si="0"/>
        <v>224420</v>
      </c>
    </row>
    <row r="44" spans="1:4" x14ac:dyDescent="0.45">
      <c r="A44" s="62">
        <v>42</v>
      </c>
      <c r="B44" s="124">
        <f>ROUND(VLOOKUP(_xlfn.CONCAT(RegionSelect!$C$2,",",A44),Pop_male_2020!$A:$D,4,FALSE),0)</f>
        <v>103692</v>
      </c>
      <c r="C44" s="124">
        <f>ROUND(VLOOKUP(_xlfn.CONCAT(RegionSelect!$C$2,",",A44),Pop_female_2020!$A:$D,4,FALSE),0)</f>
        <v>110164</v>
      </c>
      <c r="D44" s="124">
        <f t="shared" si="0"/>
        <v>213856</v>
      </c>
    </row>
    <row r="45" spans="1:4" x14ac:dyDescent="0.45">
      <c r="A45" s="62">
        <v>43</v>
      </c>
      <c r="B45" s="124">
        <f>ROUND(VLOOKUP(_xlfn.CONCAT(RegionSelect!$C$2,",",A45),Pop_male_2020!$A:$D,4,FALSE),0)</f>
        <v>100100</v>
      </c>
      <c r="C45" s="124">
        <f>ROUND(VLOOKUP(_xlfn.CONCAT(RegionSelect!$C$2,",",A45),Pop_female_2020!$A:$D,4,FALSE),0)</f>
        <v>105986</v>
      </c>
      <c r="D45" s="124">
        <f t="shared" si="0"/>
        <v>206086</v>
      </c>
    </row>
    <row r="46" spans="1:4" x14ac:dyDescent="0.45">
      <c r="A46" s="62">
        <v>44</v>
      </c>
      <c r="B46" s="124">
        <f>ROUND(VLOOKUP(_xlfn.CONCAT(RegionSelect!$C$2,",",A46),Pop_male_2020!$A:$D,4,FALSE),0)</f>
        <v>97884</v>
      </c>
      <c r="C46" s="124">
        <f>ROUND(VLOOKUP(_xlfn.CONCAT(RegionSelect!$C$2,",",A46),Pop_female_2020!$A:$D,4,FALSE),0)</f>
        <v>102735</v>
      </c>
      <c r="D46" s="124">
        <f t="shared" si="0"/>
        <v>200619</v>
      </c>
    </row>
    <row r="47" spans="1:4" x14ac:dyDescent="0.45">
      <c r="A47" s="62">
        <v>45</v>
      </c>
      <c r="B47" s="124">
        <f>ROUND(VLOOKUP(_xlfn.CONCAT(RegionSelect!$C$2,",",A47),Pop_male_2020!$A:$D,4,FALSE),0)</f>
        <v>96399</v>
      </c>
      <c r="C47" s="124">
        <f>ROUND(VLOOKUP(_xlfn.CONCAT(RegionSelect!$C$2,",",A47),Pop_female_2020!$A:$D,4,FALSE),0)</f>
        <v>100161</v>
      </c>
      <c r="D47" s="124">
        <f t="shared" si="0"/>
        <v>196560</v>
      </c>
    </row>
    <row r="48" spans="1:4" x14ac:dyDescent="0.45">
      <c r="A48" s="62">
        <v>46</v>
      </c>
      <c r="B48" s="124">
        <f>ROUND(VLOOKUP(_xlfn.CONCAT(RegionSelect!$C$2,",",A48),Pop_male_2020!$A:$D,4,FALSE),0)</f>
        <v>95004</v>
      </c>
      <c r="C48" s="124">
        <f>ROUND(VLOOKUP(_xlfn.CONCAT(RegionSelect!$C$2,",",A48),Pop_female_2020!$A:$D,4,FALSE),0)</f>
        <v>98014</v>
      </c>
      <c r="D48" s="124">
        <f t="shared" si="0"/>
        <v>193018</v>
      </c>
    </row>
    <row r="49" spans="1:4" x14ac:dyDescent="0.45">
      <c r="A49" s="62">
        <v>47</v>
      </c>
      <c r="B49" s="124">
        <f>ROUND(VLOOKUP(_xlfn.CONCAT(RegionSelect!$C$2,",",A49),Pop_male_2020!$A:$D,4,FALSE),0)</f>
        <v>93054</v>
      </c>
      <c r="C49" s="124">
        <f>ROUND(VLOOKUP(_xlfn.CONCAT(RegionSelect!$C$2,",",A49),Pop_female_2020!$A:$D,4,FALSE),0)</f>
        <v>96042</v>
      </c>
      <c r="D49" s="124">
        <f t="shared" si="0"/>
        <v>189096</v>
      </c>
    </row>
    <row r="50" spans="1:4" x14ac:dyDescent="0.45">
      <c r="A50" s="62">
        <v>48</v>
      </c>
      <c r="B50" s="124">
        <f>ROUND(VLOOKUP(_xlfn.CONCAT(RegionSelect!$C$2,",",A50),Pop_male_2020!$A:$D,4,FALSE),0)</f>
        <v>90100</v>
      </c>
      <c r="C50" s="124">
        <f>ROUND(VLOOKUP(_xlfn.CONCAT(RegionSelect!$C$2,",",A50),Pop_female_2020!$A:$D,4,FALSE),0)</f>
        <v>94039</v>
      </c>
      <c r="D50" s="124">
        <f t="shared" si="0"/>
        <v>184139</v>
      </c>
    </row>
    <row r="51" spans="1:4" x14ac:dyDescent="0.45">
      <c r="A51" s="62">
        <v>49</v>
      </c>
      <c r="B51" s="124">
        <f>ROUND(VLOOKUP(_xlfn.CONCAT(RegionSelect!$C$2,",",A51),Pop_male_2020!$A:$D,4,FALSE),0)</f>
        <v>86466</v>
      </c>
      <c r="C51" s="124">
        <f>ROUND(VLOOKUP(_xlfn.CONCAT(RegionSelect!$C$2,",",A51),Pop_female_2020!$A:$D,4,FALSE),0)</f>
        <v>91982</v>
      </c>
      <c r="D51" s="124">
        <f t="shared" si="0"/>
        <v>178448</v>
      </c>
    </row>
    <row r="52" spans="1:4" x14ac:dyDescent="0.45">
      <c r="A52" s="62">
        <v>50</v>
      </c>
      <c r="B52" s="124">
        <f>ROUND(VLOOKUP(_xlfn.CONCAT(RegionSelect!$C$2,",",A52),Pop_male_2020!$A:$D,4,FALSE),0)</f>
        <v>82670</v>
      </c>
      <c r="C52" s="124">
        <f>ROUND(VLOOKUP(_xlfn.CONCAT(RegionSelect!$C$2,",",A52),Pop_female_2020!$A:$D,4,FALSE),0)</f>
        <v>89891</v>
      </c>
      <c r="D52" s="124">
        <f t="shared" si="0"/>
        <v>172561</v>
      </c>
    </row>
    <row r="53" spans="1:4" x14ac:dyDescent="0.45">
      <c r="A53" s="62">
        <v>51</v>
      </c>
      <c r="B53" s="124">
        <f>ROUND(VLOOKUP(_xlfn.CONCAT(RegionSelect!$C$2,",",A53),Pop_male_2020!$A:$D,4,FALSE),0)</f>
        <v>79230</v>
      </c>
      <c r="C53" s="124">
        <f>ROUND(VLOOKUP(_xlfn.CONCAT(RegionSelect!$C$2,",",A53),Pop_female_2020!$A:$D,4,FALSE),0)</f>
        <v>87787</v>
      </c>
      <c r="D53" s="124">
        <f t="shared" si="0"/>
        <v>167017</v>
      </c>
    </row>
    <row r="54" spans="1:4" x14ac:dyDescent="0.45">
      <c r="A54" s="62">
        <v>52</v>
      </c>
      <c r="B54" s="124">
        <f>ROUND(VLOOKUP(_xlfn.CONCAT(RegionSelect!$C$2,",",A54),Pop_male_2020!$A:$D,4,FALSE),0)</f>
        <v>76663</v>
      </c>
      <c r="C54" s="124">
        <f>ROUND(VLOOKUP(_xlfn.CONCAT(RegionSelect!$C$2,",",A54),Pop_female_2020!$A:$D,4,FALSE),0)</f>
        <v>85691</v>
      </c>
      <c r="D54" s="124">
        <f t="shared" si="0"/>
        <v>162354</v>
      </c>
    </row>
    <row r="55" spans="1:4" x14ac:dyDescent="0.45">
      <c r="A55" s="62">
        <v>53</v>
      </c>
      <c r="B55" s="124">
        <f>ROUND(VLOOKUP(_xlfn.CONCAT(RegionSelect!$C$2,",",A55),Pop_male_2020!$A:$D,4,FALSE),0)</f>
        <v>75295</v>
      </c>
      <c r="C55" s="124">
        <f>ROUND(VLOOKUP(_xlfn.CONCAT(RegionSelect!$C$2,",",A55),Pop_female_2020!$A:$D,4,FALSE),0)</f>
        <v>83600</v>
      </c>
      <c r="D55" s="124">
        <f t="shared" si="0"/>
        <v>158895</v>
      </c>
    </row>
    <row r="56" spans="1:4" x14ac:dyDescent="0.45">
      <c r="A56" s="62">
        <v>54</v>
      </c>
      <c r="B56" s="124">
        <f>ROUND(VLOOKUP(_xlfn.CONCAT(RegionSelect!$C$2,",",A56),Pop_male_2020!$A:$D,4,FALSE),0)</f>
        <v>74684</v>
      </c>
      <c r="C56" s="124">
        <f>ROUND(VLOOKUP(_xlfn.CONCAT(RegionSelect!$C$2,",",A56),Pop_female_2020!$A:$D,4,FALSE),0)</f>
        <v>81416</v>
      </c>
      <c r="D56" s="124">
        <f t="shared" si="0"/>
        <v>156100</v>
      </c>
    </row>
    <row r="57" spans="1:4" x14ac:dyDescent="0.45">
      <c r="A57" s="62">
        <v>55</v>
      </c>
      <c r="B57" s="124">
        <f>ROUND(VLOOKUP(_xlfn.CONCAT(RegionSelect!$C$2,",",A57),Pop_male_2020!$A:$D,4,FALSE),0)</f>
        <v>74197</v>
      </c>
      <c r="C57" s="124">
        <f>ROUND(VLOOKUP(_xlfn.CONCAT(RegionSelect!$C$2,",",A57),Pop_female_2020!$A:$D,4,FALSE),0)</f>
        <v>79020</v>
      </c>
      <c r="D57" s="124">
        <f t="shared" si="0"/>
        <v>153217</v>
      </c>
    </row>
    <row r="58" spans="1:4" x14ac:dyDescent="0.45">
      <c r="A58" s="62">
        <v>56</v>
      </c>
      <c r="B58" s="124">
        <f>ROUND(VLOOKUP(_xlfn.CONCAT(RegionSelect!$C$2,",",A58),Pop_male_2020!$A:$D,4,FALSE),0)</f>
        <v>73200</v>
      </c>
      <c r="C58" s="124">
        <f>ROUND(VLOOKUP(_xlfn.CONCAT(RegionSelect!$C$2,",",A58),Pop_female_2020!$A:$D,4,FALSE),0)</f>
        <v>76289</v>
      </c>
      <c r="D58" s="124">
        <f t="shared" si="0"/>
        <v>149489</v>
      </c>
    </row>
    <row r="59" spans="1:4" x14ac:dyDescent="0.45">
      <c r="A59" s="62">
        <v>57</v>
      </c>
      <c r="B59" s="124">
        <f>ROUND(VLOOKUP(_xlfn.CONCAT(RegionSelect!$C$2,",",A59),Pop_male_2020!$A:$D,4,FALSE),0)</f>
        <v>71060</v>
      </c>
      <c r="C59" s="124">
        <f>ROUND(VLOOKUP(_xlfn.CONCAT(RegionSelect!$C$2,",",A59),Pop_female_2020!$A:$D,4,FALSE),0)</f>
        <v>73103</v>
      </c>
      <c r="D59" s="124">
        <f t="shared" si="0"/>
        <v>144163</v>
      </c>
    </row>
    <row r="60" spans="1:4" x14ac:dyDescent="0.45">
      <c r="A60" s="62">
        <v>58</v>
      </c>
      <c r="B60" s="124">
        <f>ROUND(VLOOKUP(_xlfn.CONCAT(RegionSelect!$C$2,",",A60),Pop_male_2020!$A:$D,4,FALSE),0)</f>
        <v>67359</v>
      </c>
      <c r="C60" s="124">
        <f>ROUND(VLOOKUP(_xlfn.CONCAT(RegionSelect!$C$2,",",A60),Pop_female_2020!$A:$D,4,FALSE),0)</f>
        <v>69408</v>
      </c>
      <c r="D60" s="124">
        <f t="shared" si="0"/>
        <v>136767</v>
      </c>
    </row>
    <row r="61" spans="1:4" x14ac:dyDescent="0.45">
      <c r="A61" s="62">
        <v>59</v>
      </c>
      <c r="B61" s="124">
        <f>ROUND(VLOOKUP(_xlfn.CONCAT(RegionSelect!$C$2,",",A61),Pop_male_2020!$A:$D,4,FALSE),0)</f>
        <v>62541</v>
      </c>
      <c r="C61" s="124">
        <f>ROUND(VLOOKUP(_xlfn.CONCAT(RegionSelect!$C$2,",",A61),Pop_female_2020!$A:$D,4,FALSE),0)</f>
        <v>65422</v>
      </c>
      <c r="D61" s="124">
        <f t="shared" si="0"/>
        <v>127963</v>
      </c>
    </row>
    <row r="62" spans="1:4" x14ac:dyDescent="0.45">
      <c r="A62" s="62">
        <v>60</v>
      </c>
      <c r="B62" s="124">
        <f>ROUND(VLOOKUP(_xlfn.CONCAT(RegionSelect!$C$2,",",A62),Pop_male_2020!$A:$D,4,FALSE),0)</f>
        <v>57266</v>
      </c>
      <c r="C62" s="124">
        <f>ROUND(VLOOKUP(_xlfn.CONCAT(RegionSelect!$C$2,",",A62),Pop_female_2020!$A:$D,4,FALSE),0)</f>
        <v>61429</v>
      </c>
      <c r="D62" s="124">
        <f t="shared" si="0"/>
        <v>118695</v>
      </c>
    </row>
    <row r="63" spans="1:4" x14ac:dyDescent="0.45">
      <c r="A63" s="62">
        <v>61</v>
      </c>
      <c r="B63" s="124">
        <f>ROUND(VLOOKUP(_xlfn.CONCAT(RegionSelect!$C$2,",",A63),Pop_male_2020!$A:$D,4,FALSE),0)</f>
        <v>52192</v>
      </c>
      <c r="C63" s="124">
        <f>ROUND(VLOOKUP(_xlfn.CONCAT(RegionSelect!$C$2,",",A63),Pop_female_2020!$A:$D,4,FALSE),0)</f>
        <v>57713</v>
      </c>
      <c r="D63" s="124">
        <f t="shared" si="0"/>
        <v>109905</v>
      </c>
    </row>
    <row r="64" spans="1:4" x14ac:dyDescent="0.45">
      <c r="A64" s="62">
        <v>62</v>
      </c>
      <c r="B64" s="124">
        <f>ROUND(VLOOKUP(_xlfn.CONCAT(RegionSelect!$C$2,",",A64),Pop_male_2020!$A:$D,4,FALSE),0)</f>
        <v>47980</v>
      </c>
      <c r="C64" s="124">
        <f>ROUND(VLOOKUP(_xlfn.CONCAT(RegionSelect!$C$2,",",A64),Pop_female_2020!$A:$D,4,FALSE),0)</f>
        <v>54558</v>
      </c>
      <c r="D64" s="124">
        <f t="shared" si="0"/>
        <v>102538</v>
      </c>
    </row>
    <row r="65" spans="1:4" x14ac:dyDescent="0.45">
      <c r="A65" s="62">
        <v>63</v>
      </c>
      <c r="B65" s="124">
        <f>ROUND(VLOOKUP(_xlfn.CONCAT(RegionSelect!$C$2,",",A65),Pop_male_2020!$A:$D,4,FALSE),0)</f>
        <v>45100</v>
      </c>
      <c r="C65" s="124">
        <f>ROUND(VLOOKUP(_xlfn.CONCAT(RegionSelect!$C$2,",",A65),Pop_female_2020!$A:$D,4,FALSE),0)</f>
        <v>52157</v>
      </c>
      <c r="D65" s="124">
        <f t="shared" si="0"/>
        <v>97257</v>
      </c>
    </row>
    <row r="66" spans="1:4" x14ac:dyDescent="0.45">
      <c r="A66" s="62">
        <v>64</v>
      </c>
      <c r="B66" s="124">
        <f>ROUND(VLOOKUP(_xlfn.CONCAT(RegionSelect!$C$2,",",A66),Pop_male_2020!$A:$D,4,FALSE),0)</f>
        <v>43263</v>
      </c>
      <c r="C66" s="124">
        <f>ROUND(VLOOKUP(_xlfn.CONCAT(RegionSelect!$C$2,",",A66),Pop_female_2020!$A:$D,4,FALSE),0)</f>
        <v>50330</v>
      </c>
      <c r="D66" s="124">
        <f t="shared" si="0"/>
        <v>93593</v>
      </c>
    </row>
    <row r="67" spans="1:4" x14ac:dyDescent="0.45">
      <c r="A67" s="62">
        <v>65</v>
      </c>
      <c r="B67" s="124">
        <f>ROUND(VLOOKUP(_xlfn.CONCAT(RegionSelect!$C$2,",",A67),Pop_male_2020!$A:$D,4,FALSE),0)</f>
        <v>41991</v>
      </c>
      <c r="C67" s="124">
        <f>ROUND(VLOOKUP(_xlfn.CONCAT(RegionSelect!$C$2,",",A67),Pop_female_2020!$A:$D,4,FALSE),0)</f>
        <v>48809</v>
      </c>
      <c r="D67" s="124">
        <f t="shared" ref="D67:D102" si="1">C67+B67</f>
        <v>90800</v>
      </c>
    </row>
    <row r="68" spans="1:4" x14ac:dyDescent="0.45">
      <c r="A68" s="62">
        <v>66</v>
      </c>
      <c r="B68" s="124">
        <f>ROUND(VLOOKUP(_xlfn.CONCAT(RegionSelect!$C$2,",",A68),Pop_male_2020!$A:$D,4,FALSE),0)</f>
        <v>40807</v>
      </c>
      <c r="C68" s="124">
        <f>ROUND(VLOOKUP(_xlfn.CONCAT(RegionSelect!$C$2,",",A68),Pop_female_2020!$A:$D,4,FALSE),0)</f>
        <v>47322</v>
      </c>
      <c r="D68" s="124">
        <f t="shared" si="1"/>
        <v>88129</v>
      </c>
    </row>
    <row r="69" spans="1:4" x14ac:dyDescent="0.45">
      <c r="A69" s="62">
        <v>67</v>
      </c>
      <c r="B69" s="124">
        <f>ROUND(VLOOKUP(_xlfn.CONCAT(RegionSelect!$C$2,",",A69),Pop_male_2020!$A:$D,4,FALSE),0)</f>
        <v>39234</v>
      </c>
      <c r="C69" s="124">
        <f>ROUND(VLOOKUP(_xlfn.CONCAT(RegionSelect!$C$2,",",A69),Pop_female_2020!$A:$D,4,FALSE),0)</f>
        <v>45599</v>
      </c>
      <c r="D69" s="124">
        <f t="shared" si="1"/>
        <v>84833</v>
      </c>
    </row>
    <row r="70" spans="1:4" x14ac:dyDescent="0.45">
      <c r="A70" s="62">
        <v>68</v>
      </c>
      <c r="B70" s="124">
        <f>ROUND(VLOOKUP(_xlfn.CONCAT(RegionSelect!$C$2,",",A70),Pop_male_2020!$A:$D,4,FALSE),0)</f>
        <v>36921</v>
      </c>
      <c r="C70" s="124">
        <f>ROUND(VLOOKUP(_xlfn.CONCAT(RegionSelect!$C$2,",",A70),Pop_female_2020!$A:$D,4,FALSE),0)</f>
        <v>43442</v>
      </c>
      <c r="D70" s="124">
        <f t="shared" si="1"/>
        <v>80363</v>
      </c>
    </row>
    <row r="71" spans="1:4" x14ac:dyDescent="0.45">
      <c r="A71" s="62">
        <v>69</v>
      </c>
      <c r="B71" s="124">
        <f>ROUND(VLOOKUP(_xlfn.CONCAT(RegionSelect!$C$2,",",A71),Pop_male_2020!$A:$D,4,FALSE),0)</f>
        <v>34034</v>
      </c>
      <c r="C71" s="124">
        <f>ROUND(VLOOKUP(_xlfn.CONCAT(RegionSelect!$C$2,",",A71),Pop_female_2020!$A:$D,4,FALSE),0)</f>
        <v>40935</v>
      </c>
      <c r="D71" s="124">
        <f t="shared" si="1"/>
        <v>74969</v>
      </c>
    </row>
    <row r="72" spans="1:4" x14ac:dyDescent="0.45">
      <c r="A72" s="62">
        <v>70</v>
      </c>
      <c r="B72" s="124">
        <f>ROUND(VLOOKUP(_xlfn.CONCAT(RegionSelect!$C$2,",",A72),Pop_male_2020!$A:$D,4,FALSE),0)</f>
        <v>30867</v>
      </c>
      <c r="C72" s="124">
        <f>ROUND(VLOOKUP(_xlfn.CONCAT(RegionSelect!$C$2,",",A72),Pop_female_2020!$A:$D,4,FALSE),0)</f>
        <v>38235</v>
      </c>
      <c r="D72" s="124">
        <f t="shared" si="1"/>
        <v>69102</v>
      </c>
    </row>
    <row r="73" spans="1:4" x14ac:dyDescent="0.45">
      <c r="A73" s="62">
        <v>71</v>
      </c>
      <c r="B73" s="124">
        <f>ROUND(VLOOKUP(_xlfn.CONCAT(RegionSelect!$C$2,",",A73),Pop_male_2020!$A:$D,4,FALSE),0)</f>
        <v>27715</v>
      </c>
      <c r="C73" s="124">
        <f>ROUND(VLOOKUP(_xlfn.CONCAT(RegionSelect!$C$2,",",A73),Pop_female_2020!$A:$D,4,FALSE),0)</f>
        <v>35498</v>
      </c>
      <c r="D73" s="124">
        <f t="shared" si="1"/>
        <v>63213</v>
      </c>
    </row>
    <row r="74" spans="1:4" x14ac:dyDescent="0.45">
      <c r="A74" s="62">
        <v>72</v>
      </c>
      <c r="B74" s="124">
        <f>ROUND(VLOOKUP(_xlfn.CONCAT(RegionSelect!$C$2,",",A74),Pop_male_2020!$A:$D,4,FALSE),0)</f>
        <v>24870</v>
      </c>
      <c r="C74" s="124">
        <f>ROUND(VLOOKUP(_xlfn.CONCAT(RegionSelect!$C$2,",",A74),Pop_female_2020!$A:$D,4,FALSE),0)</f>
        <v>32882</v>
      </c>
      <c r="D74" s="124">
        <f t="shared" si="1"/>
        <v>57752</v>
      </c>
    </row>
    <row r="75" spans="1:4" x14ac:dyDescent="0.45">
      <c r="A75" s="62">
        <v>73</v>
      </c>
      <c r="B75" s="124">
        <f>ROUND(VLOOKUP(_xlfn.CONCAT(RegionSelect!$C$2,",",A75),Pop_male_2020!$A:$D,4,FALSE),0)</f>
        <v>22547</v>
      </c>
      <c r="C75" s="124">
        <f>ROUND(VLOOKUP(_xlfn.CONCAT(RegionSelect!$C$2,",",A75),Pop_female_2020!$A:$D,4,FALSE),0)</f>
        <v>30495</v>
      </c>
      <c r="D75" s="124">
        <f t="shared" si="1"/>
        <v>53042</v>
      </c>
    </row>
    <row r="76" spans="1:4" x14ac:dyDescent="0.45">
      <c r="A76" s="62">
        <v>74</v>
      </c>
      <c r="B76" s="124">
        <f>ROUND(VLOOKUP(_xlfn.CONCAT(RegionSelect!$C$2,",",A76),Pop_male_2020!$A:$D,4,FALSE),0)</f>
        <v>20632</v>
      </c>
      <c r="C76" s="124">
        <f>ROUND(VLOOKUP(_xlfn.CONCAT(RegionSelect!$C$2,",",A76),Pop_female_2020!$A:$D,4,FALSE),0)</f>
        <v>28261</v>
      </c>
      <c r="D76" s="124">
        <f t="shared" si="1"/>
        <v>48893</v>
      </c>
    </row>
    <row r="77" spans="1:4" x14ac:dyDescent="0.45">
      <c r="A77" s="62">
        <v>75</v>
      </c>
      <c r="B77" s="124">
        <f>ROUND(VLOOKUP(_xlfn.CONCAT(RegionSelect!$C$2,",",A77),Pop_male_2020!$A:$D,4,FALSE),0)</f>
        <v>18929</v>
      </c>
      <c r="C77" s="124">
        <f>ROUND(VLOOKUP(_xlfn.CONCAT(RegionSelect!$C$2,",",A77),Pop_female_2020!$A:$D,4,FALSE),0)</f>
        <v>26053</v>
      </c>
      <c r="D77" s="124">
        <f t="shared" si="1"/>
        <v>44982</v>
      </c>
    </row>
    <row r="78" spans="1:4" x14ac:dyDescent="0.45">
      <c r="A78" s="62">
        <v>76</v>
      </c>
      <c r="B78" s="124">
        <f>ROUND(VLOOKUP(_xlfn.CONCAT(RegionSelect!$C$2,",",A78),Pop_male_2020!$A:$D,4,FALSE),0)</f>
        <v>17246</v>
      </c>
      <c r="C78" s="124">
        <f>ROUND(VLOOKUP(_xlfn.CONCAT(RegionSelect!$C$2,",",A78),Pop_female_2020!$A:$D,4,FALSE),0)</f>
        <v>23747</v>
      </c>
      <c r="D78" s="124">
        <f t="shared" si="1"/>
        <v>40993</v>
      </c>
    </row>
    <row r="79" spans="1:4" x14ac:dyDescent="0.45">
      <c r="A79" s="62">
        <v>77</v>
      </c>
      <c r="B79" s="124">
        <f>ROUND(VLOOKUP(_xlfn.CONCAT(RegionSelect!$C$2,",",A79),Pop_male_2020!$A:$D,4,FALSE),0)</f>
        <v>15387</v>
      </c>
      <c r="C79" s="124">
        <f>ROUND(VLOOKUP(_xlfn.CONCAT(RegionSelect!$C$2,",",A79),Pop_female_2020!$A:$D,4,FALSE),0)</f>
        <v>21219</v>
      </c>
      <c r="D79" s="124">
        <f t="shared" si="1"/>
        <v>36606</v>
      </c>
    </row>
    <row r="80" spans="1:4" x14ac:dyDescent="0.45">
      <c r="A80" s="62">
        <v>78</v>
      </c>
      <c r="B80" s="124">
        <f>ROUND(VLOOKUP(_xlfn.CONCAT(RegionSelect!$C$2,",",A80),Pop_male_2020!$A:$D,4,FALSE),0)</f>
        <v>13222</v>
      </c>
      <c r="C80" s="124">
        <f>ROUND(VLOOKUP(_xlfn.CONCAT(RegionSelect!$C$2,",",A80),Pop_female_2020!$A:$D,4,FALSE),0)</f>
        <v>18397</v>
      </c>
      <c r="D80" s="124">
        <f t="shared" si="1"/>
        <v>31619</v>
      </c>
    </row>
    <row r="81" spans="1:4" x14ac:dyDescent="0.45">
      <c r="A81" s="62">
        <v>79</v>
      </c>
      <c r="B81" s="124">
        <f>ROUND(VLOOKUP(_xlfn.CONCAT(RegionSelect!$C$2,",",A81),Pop_male_2020!$A:$D,4,FALSE),0)</f>
        <v>10878</v>
      </c>
      <c r="C81" s="124">
        <f>ROUND(VLOOKUP(_xlfn.CONCAT(RegionSelect!$C$2,",",A81),Pop_female_2020!$A:$D,4,FALSE),0)</f>
        <v>15427</v>
      </c>
      <c r="D81" s="124">
        <f t="shared" si="1"/>
        <v>26305</v>
      </c>
    </row>
    <row r="82" spans="1:4" x14ac:dyDescent="0.45">
      <c r="A82" s="62">
        <v>80</v>
      </c>
      <c r="B82" s="124">
        <f>ROUND(VLOOKUP(_xlfn.CONCAT(RegionSelect!$C$2,",",A82),Pop_male_2020!$A:$D,4,FALSE),0)</f>
        <v>8546</v>
      </c>
      <c r="C82" s="124">
        <f>ROUND(VLOOKUP(_xlfn.CONCAT(RegionSelect!$C$2,",",A82),Pop_female_2020!$A:$D,4,FALSE),0)</f>
        <v>12506</v>
      </c>
      <c r="D82" s="124">
        <f t="shared" si="1"/>
        <v>21052</v>
      </c>
    </row>
    <row r="83" spans="1:4" x14ac:dyDescent="0.45">
      <c r="A83" s="62">
        <v>81</v>
      </c>
      <c r="B83" s="124">
        <f>ROUND(VLOOKUP(_xlfn.CONCAT(RegionSelect!$C$2,",",A83),Pop_male_2020!$A:$D,4,FALSE),0)</f>
        <v>6418</v>
      </c>
      <c r="C83" s="124">
        <f>ROUND(VLOOKUP(_xlfn.CONCAT(RegionSelect!$C$2,",",A83),Pop_female_2020!$A:$D,4,FALSE),0)</f>
        <v>9836</v>
      </c>
      <c r="D83" s="124">
        <f t="shared" si="1"/>
        <v>16254</v>
      </c>
    </row>
    <row r="84" spans="1:4" x14ac:dyDescent="0.45">
      <c r="A84" s="62">
        <v>82</v>
      </c>
      <c r="B84" s="124">
        <f>ROUND(VLOOKUP(_xlfn.CONCAT(RegionSelect!$C$2,",",A84),Pop_male_2020!$A:$D,4,FALSE),0)</f>
        <v>4683</v>
      </c>
      <c r="C84" s="124">
        <f>ROUND(VLOOKUP(_xlfn.CONCAT(RegionSelect!$C$2,",",A84),Pop_female_2020!$A:$D,4,FALSE),0)</f>
        <v>7614</v>
      </c>
      <c r="D84" s="124">
        <f t="shared" si="1"/>
        <v>12297</v>
      </c>
    </row>
    <row r="85" spans="1:4" x14ac:dyDescent="0.45">
      <c r="A85" s="62">
        <v>83</v>
      </c>
      <c r="B85" s="124">
        <f>ROUND(VLOOKUP(_xlfn.CONCAT(RegionSelect!$C$2,",",A85),Pop_male_2020!$A:$D,4,FALSE),0)</f>
        <v>3480</v>
      </c>
      <c r="C85" s="124">
        <f>ROUND(VLOOKUP(_xlfn.CONCAT(RegionSelect!$C$2,",",A85),Pop_female_2020!$A:$D,4,FALSE),0)</f>
        <v>5982</v>
      </c>
      <c r="D85" s="124">
        <f t="shared" si="1"/>
        <v>9462</v>
      </c>
    </row>
    <row r="86" spans="1:4" x14ac:dyDescent="0.45">
      <c r="A86" s="62">
        <v>84</v>
      </c>
      <c r="B86" s="124">
        <f>ROUND(VLOOKUP(_xlfn.CONCAT(RegionSelect!$C$2,",",A86),Pop_male_2020!$A:$D,4,FALSE),0)</f>
        <v>2728</v>
      </c>
      <c r="C86" s="124">
        <f>ROUND(VLOOKUP(_xlfn.CONCAT(RegionSelect!$C$2,",",A86),Pop_female_2020!$A:$D,4,FALSE),0)</f>
        <v>4856</v>
      </c>
      <c r="D86" s="124">
        <f t="shared" si="1"/>
        <v>7584</v>
      </c>
    </row>
    <row r="87" spans="1:4" x14ac:dyDescent="0.45">
      <c r="A87" s="62">
        <v>85</v>
      </c>
      <c r="B87" s="124">
        <f>ROUND(VLOOKUP(_xlfn.CONCAT(RegionSelect!$C$2,",",A87),Pop_male_2020!$A:$D,4,FALSE),0)</f>
        <v>2292</v>
      </c>
      <c r="C87" s="124">
        <f>ROUND(VLOOKUP(_xlfn.CONCAT(RegionSelect!$C$2,",",A87),Pop_female_2020!$A:$D,4,FALSE),0)</f>
        <v>4091</v>
      </c>
      <c r="D87" s="124">
        <f t="shared" si="1"/>
        <v>6383</v>
      </c>
    </row>
    <row r="88" spans="1:4" x14ac:dyDescent="0.45">
      <c r="A88" s="62">
        <v>86</v>
      </c>
      <c r="B88" s="124">
        <f>ROUND(VLOOKUP(_xlfn.CONCAT(RegionSelect!$C$2,",",A88),Pop_male_2020!$A:$D,4,FALSE),0)</f>
        <v>2037</v>
      </c>
      <c r="C88" s="124">
        <f>ROUND(VLOOKUP(_xlfn.CONCAT(RegionSelect!$C$2,",",A88),Pop_female_2020!$A:$D,4,FALSE),0)</f>
        <v>3546</v>
      </c>
      <c r="D88" s="124">
        <f t="shared" si="1"/>
        <v>5583</v>
      </c>
    </row>
    <row r="89" spans="1:4" x14ac:dyDescent="0.45">
      <c r="A89" s="62">
        <v>87</v>
      </c>
      <c r="B89" s="124">
        <f>ROUND(VLOOKUP(_xlfn.CONCAT(RegionSelect!$C$2,",",A89),Pop_male_2020!$A:$D,4,FALSE),0)</f>
        <v>1830</v>
      </c>
      <c r="C89" s="124">
        <f>ROUND(VLOOKUP(_xlfn.CONCAT(RegionSelect!$C$2,",",A89),Pop_female_2020!$A:$D,4,FALSE),0)</f>
        <v>3078</v>
      </c>
      <c r="D89" s="124">
        <f t="shared" si="1"/>
        <v>4908</v>
      </c>
    </row>
    <row r="90" spans="1:4" x14ac:dyDescent="0.45">
      <c r="A90" s="62">
        <v>88</v>
      </c>
      <c r="B90" s="124">
        <f>ROUND(VLOOKUP(_xlfn.CONCAT(RegionSelect!$C$2,",",A90),Pop_male_2020!$A:$D,4,FALSE),0)</f>
        <v>1562</v>
      </c>
      <c r="C90" s="124">
        <f>ROUND(VLOOKUP(_xlfn.CONCAT(RegionSelect!$C$2,",",A90),Pop_female_2020!$A:$D,4,FALSE),0)</f>
        <v>2574</v>
      </c>
      <c r="D90" s="124">
        <f t="shared" si="1"/>
        <v>4136</v>
      </c>
    </row>
    <row r="91" spans="1:4" x14ac:dyDescent="0.45">
      <c r="A91" s="62">
        <v>89</v>
      </c>
      <c r="B91" s="124">
        <f>ROUND(VLOOKUP(_xlfn.CONCAT(RegionSelect!$C$2,",",A91),Pop_male_2020!$A:$D,4,FALSE),0)</f>
        <v>1244</v>
      </c>
      <c r="C91" s="124">
        <f>ROUND(VLOOKUP(_xlfn.CONCAT(RegionSelect!$C$2,",",A91),Pop_female_2020!$A:$D,4,FALSE),0)</f>
        <v>2042</v>
      </c>
      <c r="D91" s="124">
        <f t="shared" si="1"/>
        <v>3286</v>
      </c>
    </row>
    <row r="92" spans="1:4" x14ac:dyDescent="0.45">
      <c r="A92" s="62">
        <v>90</v>
      </c>
      <c r="B92" s="124">
        <f>ROUND(VLOOKUP(_xlfn.CONCAT(RegionSelect!$C$2,",",A92),Pop_male_2020!$A:$D,4,FALSE),0)</f>
        <v>910</v>
      </c>
      <c r="C92" s="124">
        <f>ROUND(VLOOKUP(_xlfn.CONCAT(RegionSelect!$C$2,",",A92),Pop_female_2020!$A:$D,4,FALSE),0)</f>
        <v>1521</v>
      </c>
      <c r="D92" s="124">
        <f t="shared" si="1"/>
        <v>2431</v>
      </c>
    </row>
    <row r="93" spans="1:4" x14ac:dyDescent="0.45">
      <c r="A93" s="62">
        <v>91</v>
      </c>
      <c r="B93" s="124">
        <f>ROUND(VLOOKUP(_xlfn.CONCAT(RegionSelect!$C$2,",",A93),Pop_male_2020!$A:$D,4,FALSE),0)</f>
        <v>597</v>
      </c>
      <c r="C93" s="124">
        <f>ROUND(VLOOKUP(_xlfn.CONCAT(RegionSelect!$C$2,",",A93),Pop_female_2020!$A:$D,4,FALSE),0)</f>
        <v>1050</v>
      </c>
      <c r="D93" s="124">
        <f t="shared" si="1"/>
        <v>1647</v>
      </c>
    </row>
    <row r="94" spans="1:4" x14ac:dyDescent="0.45">
      <c r="A94" s="62">
        <v>92</v>
      </c>
      <c r="B94" s="124">
        <f>ROUND(VLOOKUP(_xlfn.CONCAT(RegionSelect!$C$2,",",A94),Pop_male_2020!$A:$D,4,FALSE),0)</f>
        <v>341</v>
      </c>
      <c r="C94" s="124">
        <f>ROUND(VLOOKUP(_xlfn.CONCAT(RegionSelect!$C$2,",",A94),Pop_female_2020!$A:$D,4,FALSE),0)</f>
        <v>665</v>
      </c>
      <c r="D94" s="124">
        <f t="shared" si="1"/>
        <v>1006</v>
      </c>
    </row>
    <row r="95" spans="1:4" x14ac:dyDescent="0.45">
      <c r="A95" s="62">
        <v>93</v>
      </c>
      <c r="B95" s="124">
        <f>ROUND(VLOOKUP(_xlfn.CONCAT(RegionSelect!$C$2,",",A95),Pop_male_2020!$A:$D,4,FALSE),0)</f>
        <v>169</v>
      </c>
      <c r="C95" s="124">
        <f>ROUND(VLOOKUP(_xlfn.CONCAT(RegionSelect!$C$2,",",A95),Pop_female_2020!$A:$D,4,FALSE),0)</f>
        <v>396</v>
      </c>
      <c r="D95" s="124">
        <f t="shared" si="1"/>
        <v>565</v>
      </c>
    </row>
    <row r="96" spans="1:4" x14ac:dyDescent="0.45">
      <c r="A96" s="62">
        <v>94</v>
      </c>
      <c r="B96" s="124">
        <f>ROUND(VLOOKUP(_xlfn.CONCAT(RegionSelect!$C$2,",",A96),Pop_male_2020!$A:$D,4,FALSE),0)</f>
        <v>71</v>
      </c>
      <c r="C96" s="124">
        <f>ROUND(VLOOKUP(_xlfn.CONCAT(RegionSelect!$C$2,",",A96),Pop_female_2020!$A:$D,4,FALSE),0)</f>
        <v>227</v>
      </c>
      <c r="D96" s="124">
        <f t="shared" si="1"/>
        <v>298</v>
      </c>
    </row>
    <row r="97" spans="1:4" x14ac:dyDescent="0.45">
      <c r="A97" s="62">
        <v>95</v>
      </c>
      <c r="B97" s="124">
        <f>ROUND(VLOOKUP(_xlfn.CONCAT(RegionSelect!$C$2,",",A97),Pop_male_2020!$A:$D,4,FALSE),0)</f>
        <v>27</v>
      </c>
      <c r="C97" s="124">
        <f>ROUND(VLOOKUP(_xlfn.CONCAT(RegionSelect!$C$2,",",A97),Pop_female_2020!$A:$D,4,FALSE),0)</f>
        <v>135</v>
      </c>
      <c r="D97" s="124">
        <f t="shared" si="1"/>
        <v>162</v>
      </c>
    </row>
    <row r="98" spans="1:4" x14ac:dyDescent="0.45">
      <c r="A98" s="62">
        <v>96</v>
      </c>
      <c r="B98" s="124">
        <f>ROUND(VLOOKUP(_xlfn.CONCAT(RegionSelect!$C$2,",",A98),Pop_male_2020!$A:$D,4,FALSE),0)</f>
        <v>18</v>
      </c>
      <c r="C98" s="124">
        <f>ROUND(VLOOKUP(_xlfn.CONCAT(RegionSelect!$C$2,",",A98),Pop_female_2020!$A:$D,4,FALSE),0)</f>
        <v>94</v>
      </c>
      <c r="D98" s="124">
        <f t="shared" si="1"/>
        <v>112</v>
      </c>
    </row>
    <row r="99" spans="1:4" x14ac:dyDescent="0.45">
      <c r="A99" s="62">
        <v>97</v>
      </c>
      <c r="B99" s="124">
        <f>ROUND(VLOOKUP(_xlfn.CONCAT(RegionSelect!$C$2,",",A99),Pop_male_2020!$A:$D,4,FALSE),0)</f>
        <v>23</v>
      </c>
      <c r="C99" s="124">
        <f>ROUND(VLOOKUP(_xlfn.CONCAT(RegionSelect!$C$2,",",A99),Pop_female_2020!$A:$D,4,FALSE),0)</f>
        <v>79</v>
      </c>
      <c r="D99" s="124">
        <f t="shared" si="1"/>
        <v>102</v>
      </c>
    </row>
    <row r="100" spans="1:4" x14ac:dyDescent="0.45">
      <c r="A100" s="62">
        <v>98</v>
      </c>
      <c r="B100" s="124">
        <f>ROUND(VLOOKUP(_xlfn.CONCAT(RegionSelect!$C$2,",",A100),Pop_male_2020!$A:$D,4,FALSE),0)</f>
        <v>27</v>
      </c>
      <c r="C100" s="124">
        <f>ROUND(VLOOKUP(_xlfn.CONCAT(RegionSelect!$C$2,",",A100),Pop_female_2020!$A:$D,4,FALSE),0)</f>
        <v>69</v>
      </c>
      <c r="D100" s="124">
        <f t="shared" si="1"/>
        <v>96</v>
      </c>
    </row>
    <row r="101" spans="1:4" x14ac:dyDescent="0.45">
      <c r="A101" s="62">
        <v>99</v>
      </c>
      <c r="B101" s="124">
        <f>ROUND(VLOOKUP(_xlfn.CONCAT(RegionSelect!$C$2,",",A101),Pop_male_2020!$A:$D,4,FALSE),0)</f>
        <v>28</v>
      </c>
      <c r="C101" s="124">
        <f>ROUND(VLOOKUP(_xlfn.CONCAT(RegionSelect!$C$2,",",A101),Pop_female_2020!$A:$D,4,FALSE),0)</f>
        <v>60</v>
      </c>
      <c r="D101" s="124">
        <f t="shared" si="1"/>
        <v>88</v>
      </c>
    </row>
    <row r="102" spans="1:4" x14ac:dyDescent="0.45">
      <c r="A102" s="62">
        <v>100</v>
      </c>
      <c r="B102" s="124">
        <f>ROUND(VLOOKUP(_xlfn.CONCAT(RegionSelect!$C$2,",",A102),Pop_male_2020!$A:$D,4,FALSE),0)</f>
        <v>27</v>
      </c>
      <c r="C102" s="124">
        <f>ROUND(VLOOKUP(_xlfn.CONCAT(RegionSelect!$C$2,",",A102),Pop_female_2020!$A:$D,4,FALSE),0)</f>
        <v>52</v>
      </c>
      <c r="D102" s="124">
        <f t="shared" si="1"/>
        <v>79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CD1CB-9612-4FAF-ACD4-A7C81D8F794C}">
  <sheetPr>
    <tabColor theme="9" tint="-0.249977111117893"/>
  </sheetPr>
  <dimension ref="A1:C10"/>
  <sheetViews>
    <sheetView tabSelected="1" workbookViewId="0">
      <selection activeCell="A8" sqref="A8"/>
    </sheetView>
  </sheetViews>
  <sheetFormatPr defaultRowHeight="14.25" x14ac:dyDescent="0.45"/>
  <cols>
    <col min="1" max="1" width="27.53125" customWidth="1"/>
  </cols>
  <sheetData>
    <row r="1" spans="1:3" x14ac:dyDescent="0.45">
      <c r="A1" t="s">
        <v>1964</v>
      </c>
      <c r="B1" t="s">
        <v>1061</v>
      </c>
      <c r="C1" t="s">
        <v>1965</v>
      </c>
    </row>
    <row r="2" spans="1:3" x14ac:dyDescent="0.45">
      <c r="A2" t="s">
        <v>1966</v>
      </c>
      <c r="B2" s="280">
        <v>0.12</v>
      </c>
    </row>
    <row r="3" spans="1:3" x14ac:dyDescent="0.45">
      <c r="A3" t="s">
        <v>1967</v>
      </c>
      <c r="B3" s="280">
        <v>0.12</v>
      </c>
    </row>
    <row r="4" spans="1:3" x14ac:dyDescent="0.45">
      <c r="A4" t="s">
        <v>1968</v>
      </c>
      <c r="B4" s="59">
        <v>0.1</v>
      </c>
    </row>
    <row r="5" spans="1:3" x14ac:dyDescent="0.45">
      <c r="A5" t="s">
        <v>1969</v>
      </c>
      <c r="B5" s="280">
        <v>0.13500000000000001</v>
      </c>
      <c r="C5" s="280">
        <v>1.35</v>
      </c>
    </row>
    <row r="6" spans="1:3" x14ac:dyDescent="0.45">
      <c r="A6" t="s">
        <v>1970</v>
      </c>
      <c r="B6" s="280">
        <v>0.22</v>
      </c>
      <c r="C6" s="280">
        <v>1.6</v>
      </c>
    </row>
    <row r="7" spans="1:3" x14ac:dyDescent="0.45">
      <c r="A7" t="s">
        <v>1971</v>
      </c>
      <c r="B7" s="59">
        <v>0.1</v>
      </c>
      <c r="C7" s="59">
        <v>2</v>
      </c>
    </row>
    <row r="8" spans="1:3" x14ac:dyDescent="0.45">
      <c r="A8" s="52" t="s">
        <v>1972</v>
      </c>
      <c r="B8" s="59">
        <v>0.25</v>
      </c>
    </row>
    <row r="9" spans="1:3" x14ac:dyDescent="0.45">
      <c r="A9" t="s">
        <v>1973</v>
      </c>
      <c r="B9" s="59">
        <v>0.1</v>
      </c>
    </row>
    <row r="10" spans="1:3" x14ac:dyDescent="0.45">
      <c r="A10" t="s">
        <v>1974</v>
      </c>
      <c r="B10" s="59">
        <f>(32-28)/32</f>
        <v>0.125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0A6F2-07F2-4D96-8D19-FAF0CEAFB89E}">
  <sheetPr>
    <tabColor theme="9" tint="-0.249977111117893"/>
  </sheetPr>
  <dimension ref="A1:I31"/>
  <sheetViews>
    <sheetView workbookViewId="0">
      <selection activeCell="A8" sqref="A8"/>
    </sheetView>
  </sheetViews>
  <sheetFormatPr defaultRowHeight="14.25" x14ac:dyDescent="0.45"/>
  <cols>
    <col min="1" max="1" width="30.19921875" bestFit="1" customWidth="1"/>
    <col min="2" max="2" width="20.796875" bestFit="1" customWidth="1"/>
    <col min="3" max="3" width="9.19921875" bestFit="1" customWidth="1"/>
    <col min="4" max="4" width="4.19921875" bestFit="1" customWidth="1"/>
    <col min="5" max="5" width="9.53125" bestFit="1" customWidth="1"/>
    <col min="6" max="6" width="8.73046875" bestFit="1" customWidth="1"/>
    <col min="8" max="8" width="11.53125" bestFit="1" customWidth="1"/>
    <col min="9" max="9" width="10.73046875" bestFit="1" customWidth="1"/>
  </cols>
  <sheetData>
    <row r="1" spans="1:9" x14ac:dyDescent="0.45">
      <c r="A1" s="355" t="s">
        <v>101</v>
      </c>
      <c r="B1" s="355" t="s">
        <v>3219</v>
      </c>
      <c r="C1" s="355" t="s">
        <v>1012</v>
      </c>
      <c r="D1" s="355" t="s">
        <v>3220</v>
      </c>
      <c r="E1" s="355" t="s">
        <v>3232</v>
      </c>
      <c r="F1" s="355" t="s">
        <v>3233</v>
      </c>
      <c r="G1" s="355" t="s">
        <v>3234</v>
      </c>
      <c r="H1" s="355" t="s">
        <v>3235</v>
      </c>
      <c r="I1" s="355" t="s">
        <v>2833</v>
      </c>
    </row>
    <row r="2" spans="1:9" x14ac:dyDescent="0.45">
      <c r="A2" t="s">
        <v>3221</v>
      </c>
      <c r="B2" s="355"/>
      <c r="C2" t="s">
        <v>3222</v>
      </c>
      <c r="D2" t="s">
        <v>576</v>
      </c>
      <c r="E2" s="355"/>
      <c r="F2" s="355"/>
      <c r="G2">
        <f>IFERROR(VLOOKUP(_xlfn.CONCAT($I2,RegionSelect!$C$2),'Fertility Mortality Rates'!$I:$L,3,FALSE),VLOOKUP(_xlfn.CONCAT($I2,"ET"),'Fertility Mortality Rates'!$I:$L,3,FALSE))</f>
        <v>0</v>
      </c>
      <c r="H2">
        <f>IFERROR(VLOOKUP(_xlfn.CONCAT($I2,RegionSelect!$C$2),'Fertility Mortality Rates'!$I:$L,4,FALSE),VLOOKUP(_xlfn.CONCAT($I2,"ET"),'Fertility Mortality Rates'!$I:$L,4,FALSE))</f>
        <v>1</v>
      </c>
      <c r="I2" t="s">
        <v>3236</v>
      </c>
    </row>
    <row r="3" spans="1:9" x14ac:dyDescent="0.45">
      <c r="A3" t="s">
        <v>3223</v>
      </c>
      <c r="B3" s="355"/>
      <c r="C3" t="s">
        <v>3222</v>
      </c>
      <c r="D3" t="s">
        <v>577</v>
      </c>
      <c r="E3" s="355"/>
      <c r="F3">
        <v>14</v>
      </c>
      <c r="G3">
        <f>IFERROR(VLOOKUP(_xlfn.CONCAT($I3,RegionSelect!$C$2),'Fertility Mortality Rates'!$I:$L,3,FALSE),VLOOKUP(_xlfn.CONCAT($I3,"ET"),'Fertility Mortality Rates'!$I:$L,3,FALSE))</f>
        <v>0</v>
      </c>
      <c r="H3">
        <f>IFERROR(VLOOKUP(_xlfn.CONCAT($I3,RegionSelect!$C$2),'Fertility Mortality Rates'!$I:$L,4,FALSE),VLOOKUP(_xlfn.CONCAT($I3,"ET"),'Fertility Mortality Rates'!$I:$L,4,FALSE))</f>
        <v>1</v>
      </c>
      <c r="I3" t="s">
        <v>3237</v>
      </c>
    </row>
    <row r="4" spans="1:9" x14ac:dyDescent="0.45">
      <c r="A4" t="s">
        <v>1779</v>
      </c>
      <c r="B4" t="s">
        <v>3224</v>
      </c>
      <c r="C4" t="s">
        <v>3222</v>
      </c>
      <c r="D4" t="s">
        <v>577</v>
      </c>
      <c r="E4">
        <v>15</v>
      </c>
      <c r="F4">
        <v>19</v>
      </c>
      <c r="G4">
        <f>IFERROR(VLOOKUP(_xlfn.CONCAT($I4,RegionSelect!$C$2),'Fertility Mortality Rates'!$I:$L,3,FALSE),VLOOKUP(_xlfn.CONCAT($I4,"ET"),'Fertility Mortality Rates'!$I:$L,3,FALSE))</f>
        <v>4.2000000000000003E-2</v>
      </c>
      <c r="H4">
        <f>IFERROR(VLOOKUP(_xlfn.CONCAT($I4,RegionSelect!$C$2),'Fertility Mortality Rates'!$I:$L,4,FALSE),VLOOKUP(_xlfn.CONCAT($I4,"ET"),'Fertility Mortality Rates'!$I:$L,4,FALSE))</f>
        <v>0.95442088007831283</v>
      </c>
      <c r="I4" t="s">
        <v>3238</v>
      </c>
    </row>
    <row r="5" spans="1:9" x14ac:dyDescent="0.45">
      <c r="A5" t="s">
        <v>1777</v>
      </c>
      <c r="B5" t="s">
        <v>3225</v>
      </c>
      <c r="C5" t="s">
        <v>3222</v>
      </c>
      <c r="D5" t="s">
        <v>577</v>
      </c>
      <c r="E5">
        <v>20</v>
      </c>
      <c r="F5">
        <v>24</v>
      </c>
      <c r="G5">
        <f>IFERROR(VLOOKUP(_xlfn.CONCAT($I5,RegionSelect!$C$2),'Fertility Mortality Rates'!$I:$L,3,FALSE),VLOOKUP(_xlfn.CONCAT($I5,"ET"),'Fertility Mortality Rates'!$I:$L,3,FALSE))</f>
        <v>0.157</v>
      </c>
      <c r="H5">
        <f>IFERROR(VLOOKUP(_xlfn.CONCAT($I5,RegionSelect!$C$2),'Fertility Mortality Rates'!$I:$L,4,FALSE),VLOOKUP(_xlfn.CONCAT($I5,"ET"),'Fertility Mortality Rates'!$I:$L,4,FALSE))</f>
        <v>0.96779569432634627</v>
      </c>
      <c r="I5" t="s">
        <v>3239</v>
      </c>
    </row>
    <row r="6" spans="1:9" x14ac:dyDescent="0.45">
      <c r="A6" t="s">
        <v>1775</v>
      </c>
      <c r="B6" t="s">
        <v>3226</v>
      </c>
      <c r="C6" t="s">
        <v>3222</v>
      </c>
      <c r="D6" t="s">
        <v>577</v>
      </c>
      <c r="E6">
        <v>25</v>
      </c>
      <c r="F6">
        <v>29</v>
      </c>
      <c r="G6">
        <f>IFERROR(VLOOKUP(_xlfn.CONCAT($I6,RegionSelect!$C$2),'Fertility Mortality Rates'!$I:$L,3,FALSE),VLOOKUP(_xlfn.CONCAT($I6,"ET"),'Fertility Mortality Rates'!$I:$L,3,FALSE))</f>
        <v>0.19500000000000001</v>
      </c>
      <c r="H6">
        <f>IFERROR(VLOOKUP(_xlfn.CONCAT($I6,RegionSelect!$C$2),'Fertility Mortality Rates'!$I:$L,4,FALSE),VLOOKUP(_xlfn.CONCAT($I6,"ET"),'Fertility Mortality Rates'!$I:$L,4,FALSE))</f>
        <v>1.0059240890265411</v>
      </c>
      <c r="I6" t="s">
        <v>3240</v>
      </c>
    </row>
    <row r="7" spans="1:9" x14ac:dyDescent="0.45">
      <c r="A7" t="s">
        <v>1773</v>
      </c>
      <c r="B7" t="s">
        <v>3227</v>
      </c>
      <c r="C7" t="s">
        <v>3222</v>
      </c>
      <c r="D7" t="s">
        <v>577</v>
      </c>
      <c r="E7">
        <v>30</v>
      </c>
      <c r="F7">
        <v>34</v>
      </c>
      <c r="G7">
        <f>IFERROR(VLOOKUP(_xlfn.CONCAT($I7,RegionSelect!$C$2),'Fertility Mortality Rates'!$I:$L,3,FALSE),VLOOKUP(_xlfn.CONCAT($I7,"ET"),'Fertility Mortality Rates'!$I:$L,3,FALSE))</f>
        <v>0.14399999999999999</v>
      </c>
      <c r="H7">
        <f>IFERROR(VLOOKUP(_xlfn.CONCAT($I7,RegionSelect!$C$2),'Fertility Mortality Rates'!$I:$L,4,FALSE),VLOOKUP(_xlfn.CONCAT($I7,"ET"),'Fertility Mortality Rates'!$I:$L,4,FALSE))</f>
        <v>0.99164270513184261</v>
      </c>
      <c r="I7" t="s">
        <v>3241</v>
      </c>
    </row>
    <row r="8" spans="1:9" x14ac:dyDescent="0.45">
      <c r="A8" t="s">
        <v>1771</v>
      </c>
      <c r="B8" t="s">
        <v>3228</v>
      </c>
      <c r="C8" t="s">
        <v>3222</v>
      </c>
      <c r="D8" t="s">
        <v>577</v>
      </c>
      <c r="E8">
        <v>35</v>
      </c>
      <c r="F8">
        <v>39</v>
      </c>
      <c r="G8">
        <f>IFERROR(VLOOKUP(_xlfn.CONCAT($I8,RegionSelect!$C$2),'Fertility Mortality Rates'!$I:$L,3,FALSE),VLOOKUP(_xlfn.CONCAT($I8,"ET"),'Fertility Mortality Rates'!$I:$L,3,FALSE))</f>
        <v>0.11799999999999999</v>
      </c>
      <c r="H8">
        <f>IFERROR(VLOOKUP(_xlfn.CONCAT($I8,RegionSelect!$C$2),'Fertility Mortality Rates'!$I:$L,4,FALSE),VLOOKUP(_xlfn.CONCAT($I8,"ET"),'Fertility Mortality Rates'!$I:$L,4,FALSE))</f>
        <v>0.98151101994666412</v>
      </c>
      <c r="I8" t="s">
        <v>3242</v>
      </c>
    </row>
    <row r="9" spans="1:9" x14ac:dyDescent="0.45">
      <c r="A9" t="s">
        <v>1769</v>
      </c>
      <c r="B9" t="s">
        <v>3229</v>
      </c>
      <c r="C9" t="s">
        <v>3222</v>
      </c>
      <c r="D9" t="s">
        <v>577</v>
      </c>
      <c r="E9">
        <v>40</v>
      </c>
      <c r="F9">
        <v>44</v>
      </c>
      <c r="G9">
        <f>IFERROR(VLOOKUP(_xlfn.CONCAT($I9,RegionSelect!$C$2),'Fertility Mortality Rates'!$I:$L,3,FALSE),VLOOKUP(_xlfn.CONCAT($I9,"ET"),'Fertility Mortality Rates'!$I:$L,3,FALSE))</f>
        <v>4.5999999999999999E-2</v>
      </c>
      <c r="H9">
        <f>IFERROR(VLOOKUP(_xlfn.CONCAT($I9,RegionSelect!$C$2),'Fertility Mortality Rates'!$I:$L,4,FALSE),VLOOKUP(_xlfn.CONCAT($I9,"ET"),'Fertility Mortality Rates'!$I:$L,4,FALSE))</f>
        <v>0.95231607419425801</v>
      </c>
      <c r="I9" t="s">
        <v>3243</v>
      </c>
    </row>
    <row r="10" spans="1:9" x14ac:dyDescent="0.45">
      <c r="A10" t="s">
        <v>1767</v>
      </c>
      <c r="B10" t="s">
        <v>3230</v>
      </c>
      <c r="C10" t="s">
        <v>3222</v>
      </c>
      <c r="D10" t="s">
        <v>577</v>
      </c>
      <c r="E10">
        <v>45</v>
      </c>
      <c r="F10">
        <v>49</v>
      </c>
      <c r="G10">
        <f>IFERROR(VLOOKUP(_xlfn.CONCAT($I10,RegionSelect!$C$2),'Fertility Mortality Rates'!$I:$L,3,FALSE),VLOOKUP(_xlfn.CONCAT($I10,"ET"),'Fertility Mortality Rates'!$I:$L,3,FALSE))</f>
        <v>2.7E-2</v>
      </c>
      <c r="H10">
        <f>IFERROR(VLOOKUP(_xlfn.CONCAT($I10,RegionSelect!$C$2),'Fertility Mortality Rates'!$I:$L,4,FALSE),VLOOKUP(_xlfn.CONCAT($I10,"ET"),'Fertility Mortality Rates'!$I:$L,4,FALSE))</f>
        <v>1.0618587587949346</v>
      </c>
      <c r="I10" t="s">
        <v>3244</v>
      </c>
    </row>
    <row r="11" spans="1:9" x14ac:dyDescent="0.45">
      <c r="A11" t="s">
        <v>3231</v>
      </c>
      <c r="B11" s="355"/>
      <c r="C11" t="s">
        <v>3222</v>
      </c>
      <c r="D11" t="s">
        <v>577</v>
      </c>
      <c r="E11">
        <v>50</v>
      </c>
      <c r="G11">
        <f>IFERROR(VLOOKUP(_xlfn.CONCAT($I11,RegionSelect!$C$2),'Fertility Mortality Rates'!$I:$L,3,FALSE),VLOOKUP(_xlfn.CONCAT($I11,"ET"),'Fertility Mortality Rates'!$I:$L,3,FALSE))</f>
        <v>0</v>
      </c>
      <c r="H11">
        <f>IFERROR(VLOOKUP(_xlfn.CONCAT($I11,RegionSelect!$C$2),'Fertility Mortality Rates'!$I:$L,4,FALSE),VLOOKUP(_xlfn.CONCAT($I11,"ET"),'Fertility Mortality Rates'!$I:$L,4,FALSE))</f>
        <v>1</v>
      </c>
      <c r="I11" t="s">
        <v>3245</v>
      </c>
    </row>
    <row r="12" spans="1:9" x14ac:dyDescent="0.45">
      <c r="A12" t="s">
        <v>3264</v>
      </c>
      <c r="B12" t="s">
        <v>3276</v>
      </c>
      <c r="C12" t="s">
        <v>686</v>
      </c>
      <c r="D12" t="s">
        <v>577</v>
      </c>
      <c r="F12">
        <v>0</v>
      </c>
      <c r="G12" s="381">
        <f>IFERROR(VLOOKUP(_xlfn.CONCAT($I12,RegionSelect!$C$2),'Fertility Mortality Rates'!$I:$L,3,FALSE),VLOOKUP(_xlfn.CONCAT($I12,"ET"),'Fertility Mortality Rates'!$I:$L,3,FALSE))</f>
        <v>6.6370649522800002E-2</v>
      </c>
      <c r="H12" s="381">
        <f>IFERROR(VLOOKUP(_xlfn.CONCAT($I12,RegionSelect!$C$2),'Fertility Mortality Rates'!$I:$L,4,FALSE),VLOOKUP(_xlfn.CONCAT($I12,"ET"),'Fertility Mortality Rates'!$I:$L,4,FALSE))</f>
        <v>0.95305448683546046</v>
      </c>
      <c r="I12" t="s">
        <v>3297</v>
      </c>
    </row>
    <row r="13" spans="1:9" x14ac:dyDescent="0.45">
      <c r="A13" t="s">
        <v>3265</v>
      </c>
      <c r="B13" t="s">
        <v>3277</v>
      </c>
      <c r="C13" t="s">
        <v>686</v>
      </c>
      <c r="D13" t="s">
        <v>577</v>
      </c>
      <c r="E13">
        <v>1</v>
      </c>
      <c r="F13">
        <v>4</v>
      </c>
      <c r="G13">
        <f>IFERROR(VLOOKUP(_xlfn.CONCAT($I13,RegionSelect!$C$2),'Fertility Mortality Rates'!$I:$L,3,FALSE),VLOOKUP(_xlfn.CONCAT($I13,"ET"),'Fertility Mortality Rates'!$I:$L,3,FALSE))</f>
        <v>2.7499999999999998E-3</v>
      </c>
      <c r="H13">
        <f>IFERROR(VLOOKUP(_xlfn.CONCAT($I13,RegionSelect!$C$2),'Fertility Mortality Rates'!$I:$L,4,FALSE),VLOOKUP(_xlfn.CONCAT($I13,"ET"),'Fertility Mortality Rates'!$I:$L,4,FALSE))</f>
        <v>0.83345027598619226</v>
      </c>
      <c r="I13" t="s">
        <v>3246</v>
      </c>
    </row>
    <row r="14" spans="1:9" x14ac:dyDescent="0.45">
      <c r="A14" t="s">
        <v>3266</v>
      </c>
      <c r="B14" t="s">
        <v>3278</v>
      </c>
      <c r="C14" t="s">
        <v>686</v>
      </c>
      <c r="D14" t="s">
        <v>577</v>
      </c>
      <c r="E14">
        <v>5</v>
      </c>
      <c r="F14">
        <v>9</v>
      </c>
      <c r="G14" s="381">
        <f>IFERROR(VLOOKUP(_xlfn.CONCAT($I14,RegionSelect!$C$2),'Fertility Mortality Rates'!$I:$L,3,FALSE),VLOOKUP(_xlfn.CONCAT($I14,"ET"),'Fertility Mortality Rates'!$I:$L,3,FALSE))</f>
        <v>1.1800000000000001E-3</v>
      </c>
      <c r="H14" s="381">
        <f>IFERROR(VLOOKUP(_xlfn.CONCAT($I14,RegionSelect!$C$2),'Fertility Mortality Rates'!$I:$L,4,FALSE),VLOOKUP(_xlfn.CONCAT($I14,"ET"),'Fertility Mortality Rates'!$I:$L,4,FALSE))</f>
        <v>0.95161290322580649</v>
      </c>
      <c r="I14" t="s">
        <v>3247</v>
      </c>
    </row>
    <row r="15" spans="1:9" x14ac:dyDescent="0.45">
      <c r="A15" t="s">
        <v>3267</v>
      </c>
      <c r="B15" t="s">
        <v>3279</v>
      </c>
      <c r="C15" t="s">
        <v>686</v>
      </c>
      <c r="D15" t="s">
        <v>577</v>
      </c>
      <c r="E15">
        <v>10</v>
      </c>
      <c r="F15">
        <v>14</v>
      </c>
      <c r="G15" s="381">
        <f>IFERROR(VLOOKUP(_xlfn.CONCAT($I15,RegionSelect!$C$2),'Fertility Mortality Rates'!$I:$L,3,FALSE),VLOOKUP(_xlfn.CONCAT($I15,"ET"),'Fertility Mortality Rates'!$I:$L,3,FALSE))</f>
        <v>9.5999999999999992E-4</v>
      </c>
      <c r="H15" s="381">
        <f>IFERROR(VLOOKUP(_xlfn.CONCAT($I15,RegionSelect!$C$2),'Fertility Mortality Rates'!$I:$L,4,FALSE),VLOOKUP(_xlfn.CONCAT($I15,"ET"),'Fertility Mortality Rates'!$I:$L,4,FALSE))</f>
        <v>0.96150047483380818</v>
      </c>
      <c r="I15" t="s">
        <v>3248</v>
      </c>
    </row>
    <row r="16" spans="1:9" x14ac:dyDescent="0.45">
      <c r="A16" t="s">
        <v>3268</v>
      </c>
      <c r="B16" t="s">
        <v>3280</v>
      </c>
      <c r="C16" t="s">
        <v>686</v>
      </c>
      <c r="D16" t="s">
        <v>577</v>
      </c>
      <c r="E16">
        <v>15</v>
      </c>
      <c r="F16">
        <v>19</v>
      </c>
      <c r="G16" s="381">
        <f>IFERROR(VLOOKUP(_xlfn.CONCAT($I16,RegionSelect!$C$2),'Fertility Mortality Rates'!$I:$L,3,FALSE),VLOOKUP(_xlfn.CONCAT($I16,"ET"),'Fertility Mortality Rates'!$I:$L,3,FALSE))</f>
        <v>1.6000000000000001E-3</v>
      </c>
      <c r="H16" s="381">
        <f>IFERROR(VLOOKUP(_xlfn.CONCAT($I16,RegionSelect!$C$2),'Fertility Mortality Rates'!$I:$L,4,FALSE),VLOOKUP(_xlfn.CONCAT($I16,"ET"),'Fertility Mortality Rates'!$I:$L,4,FALSE))</f>
        <v>0.96508794519599173</v>
      </c>
      <c r="I16" t="s">
        <v>3249</v>
      </c>
    </row>
    <row r="17" spans="1:9" x14ac:dyDescent="0.45">
      <c r="A17" t="s">
        <v>3269</v>
      </c>
      <c r="B17" t="s">
        <v>3281</v>
      </c>
      <c r="C17" t="s">
        <v>686</v>
      </c>
      <c r="D17" t="s">
        <v>577</v>
      </c>
      <c r="E17">
        <v>20</v>
      </c>
      <c r="F17">
        <v>34</v>
      </c>
      <c r="G17" s="381">
        <f>IFERROR(VLOOKUP(_xlfn.CONCAT($I17,RegionSelect!$C$2),'Fertility Mortality Rates'!$I:$L,3,FALSE),VLOOKUP(_xlfn.CONCAT($I17,"ET"),'Fertility Mortality Rates'!$I:$L,3,FALSE))</f>
        <v>1.72E-3</v>
      </c>
      <c r="H17" s="381">
        <f>IFERROR(VLOOKUP(_xlfn.CONCAT($I17,RegionSelect!$C$2),'Fertility Mortality Rates'!$I:$L,4,FALSE),VLOOKUP(_xlfn.CONCAT($I17,"ET"),'Fertility Mortality Rates'!$I:$L,4,FALSE))</f>
        <v>0.9885057471264368</v>
      </c>
      <c r="I17" t="s">
        <v>3250</v>
      </c>
    </row>
    <row r="18" spans="1:9" x14ac:dyDescent="0.45">
      <c r="A18" t="s">
        <v>2092</v>
      </c>
      <c r="B18" t="s">
        <v>3282</v>
      </c>
      <c r="C18" t="s">
        <v>686</v>
      </c>
      <c r="D18" t="s">
        <v>577</v>
      </c>
      <c r="E18">
        <v>35</v>
      </c>
      <c r="F18">
        <v>49</v>
      </c>
      <c r="G18" s="381">
        <f>IFERROR(VLOOKUP(_xlfn.CONCAT($I18,RegionSelect!$C$2),'Fertility Mortality Rates'!$I:$L,3,FALSE),VLOOKUP(_xlfn.CONCAT($I18,"ET"),'Fertility Mortality Rates'!$I:$L,3,FALSE))</f>
        <v>4.5419040325072818E-3</v>
      </c>
      <c r="H18" s="381">
        <f>IFERROR(VLOOKUP(_xlfn.CONCAT($I18,RegionSelect!$C$2),'Fertility Mortality Rates'!$I:$L,4,FALSE),VLOOKUP(_xlfn.CONCAT($I18,"ET"),'Fertility Mortality Rates'!$I:$L,4,FALSE))</f>
        <v>0.98007627674588871</v>
      </c>
      <c r="I18" t="s">
        <v>3251</v>
      </c>
    </row>
    <row r="19" spans="1:9" x14ac:dyDescent="0.45">
      <c r="A19" t="s">
        <v>2104</v>
      </c>
      <c r="B19" t="s">
        <v>3283</v>
      </c>
      <c r="C19" t="s">
        <v>686</v>
      </c>
      <c r="D19" t="s">
        <v>577</v>
      </c>
      <c r="E19">
        <v>50</v>
      </c>
      <c r="F19">
        <v>59</v>
      </c>
      <c r="G19" s="381">
        <f>IFERROR(VLOOKUP(_xlfn.CONCAT($I19,RegionSelect!$C$2),'Fertility Mortality Rates'!$I:$L,3,FALSE),VLOOKUP(_xlfn.CONCAT($I19,"ET"),'Fertility Mortality Rates'!$I:$L,3,FALSE))</f>
        <v>7.7212368552623794E-3</v>
      </c>
      <c r="H19" s="381">
        <f>IFERROR(VLOOKUP(_xlfn.CONCAT($I19,RegionSelect!$C$2),'Fertility Mortality Rates'!$I:$L,4,FALSE),VLOOKUP(_xlfn.CONCAT($I19,"ET"),'Fertility Mortality Rates'!$I:$L,4,FALSE))</f>
        <v>0.98007627674588871</v>
      </c>
      <c r="I19" t="s">
        <v>3252</v>
      </c>
    </row>
    <row r="20" spans="1:9" x14ac:dyDescent="0.45">
      <c r="A20" t="s">
        <v>2088</v>
      </c>
      <c r="B20" t="s">
        <v>3284</v>
      </c>
      <c r="C20" t="s">
        <v>686</v>
      </c>
      <c r="D20" t="s">
        <v>577</v>
      </c>
      <c r="E20">
        <v>60</v>
      </c>
      <c r="F20">
        <v>74</v>
      </c>
      <c r="G20" s="381">
        <f>IFERROR(VLOOKUP(_xlfn.CONCAT($I20,RegionSelect!$C$2),'Fertility Mortality Rates'!$I:$L,3,FALSE),VLOOKUP(_xlfn.CONCAT($I20,"ET"),'Fertility Mortality Rates'!$I:$L,3,FALSE))</f>
        <v>2.1619463194734661E-2</v>
      </c>
      <c r="H20" s="381">
        <f>IFERROR(VLOOKUP(_xlfn.CONCAT($I20,RegionSelect!$C$2),'Fertility Mortality Rates'!$I:$L,4,FALSE),VLOOKUP(_xlfn.CONCAT($I20,"ET"),'Fertility Mortality Rates'!$I:$L,4,FALSE))</f>
        <v>0.98007627674588871</v>
      </c>
      <c r="I20" t="s">
        <v>3253</v>
      </c>
    </row>
    <row r="21" spans="1:9" x14ac:dyDescent="0.45">
      <c r="A21" t="s">
        <v>2089</v>
      </c>
      <c r="B21" t="s">
        <v>3285</v>
      </c>
      <c r="C21" t="s">
        <v>686</v>
      </c>
      <c r="D21" t="s">
        <v>577</v>
      </c>
      <c r="E21">
        <v>75</v>
      </c>
      <c r="G21" s="381">
        <f>IFERROR(VLOOKUP(_xlfn.CONCAT($I21,RegionSelect!$C$2),'Fertility Mortality Rates'!$I:$L,3,FALSE),VLOOKUP(_xlfn.CONCAT($I21,"ET"),'Fertility Mortality Rates'!$I:$L,3,FALSE))</f>
        <v>8.4933605407886179E-2</v>
      </c>
      <c r="H21" s="381">
        <f>IFERROR(VLOOKUP(_xlfn.CONCAT($I21,RegionSelect!$C$2),'Fertility Mortality Rates'!$I:$L,4,FALSE),VLOOKUP(_xlfn.CONCAT($I21,"ET"),'Fertility Mortality Rates'!$I:$L,4,FALSE))</f>
        <v>0.98007627674588871</v>
      </c>
      <c r="I21" t="s">
        <v>3254</v>
      </c>
    </row>
    <row r="22" spans="1:9" x14ac:dyDescent="0.45">
      <c r="A22" t="s">
        <v>3270</v>
      </c>
      <c r="B22" t="s">
        <v>3286</v>
      </c>
      <c r="C22" t="s">
        <v>686</v>
      </c>
      <c r="D22" t="s">
        <v>576</v>
      </c>
      <c r="F22">
        <v>0</v>
      </c>
      <c r="G22" s="381">
        <f>IFERROR(VLOOKUP(_xlfn.CONCAT($I22,RegionSelect!$C$2),'Fertility Mortality Rates'!$I:$L,3,FALSE),VLOOKUP(_xlfn.CONCAT($I22,"ET"),'Fertility Mortality Rates'!$I:$L,3,FALSE))</f>
        <v>6.6370649522800002E-2</v>
      </c>
      <c r="H22" s="381">
        <f>IFERROR(VLOOKUP(_xlfn.CONCAT($I22,RegionSelect!$C$2),'Fertility Mortality Rates'!$I:$L,4,FALSE),VLOOKUP(_xlfn.CONCAT($I22,"ET"),'Fertility Mortality Rates'!$I:$L,4,FALSE))</f>
        <v>0.95305448683546046</v>
      </c>
      <c r="I22" t="s">
        <v>3296</v>
      </c>
    </row>
    <row r="23" spans="1:9" x14ac:dyDescent="0.45">
      <c r="A23" t="s">
        <v>3271</v>
      </c>
      <c r="B23" t="s">
        <v>3287</v>
      </c>
      <c r="C23" t="s">
        <v>686</v>
      </c>
      <c r="D23" t="s">
        <v>576</v>
      </c>
      <c r="E23">
        <v>1</v>
      </c>
      <c r="F23">
        <v>4</v>
      </c>
      <c r="G23">
        <f>IFERROR(VLOOKUP(_xlfn.CONCAT($I23,RegionSelect!$C$2),'Fertility Mortality Rates'!$I:$L,3,FALSE),VLOOKUP(_xlfn.CONCAT($I23,"ET"),'Fertility Mortality Rates'!$I:$L,3,FALSE))</f>
        <v>2.7499999999999998E-3</v>
      </c>
      <c r="H23">
        <f>IFERROR(VLOOKUP(_xlfn.CONCAT($I23,RegionSelect!$C$2),'Fertility Mortality Rates'!$I:$L,4,FALSE),VLOOKUP(_xlfn.CONCAT($I23,"ET"),'Fertility Mortality Rates'!$I:$L,4,FALSE))</f>
        <v>0.83345027598619226</v>
      </c>
      <c r="I23" t="s">
        <v>3255</v>
      </c>
    </row>
    <row r="24" spans="1:9" x14ac:dyDescent="0.45">
      <c r="A24" t="s">
        <v>3272</v>
      </c>
      <c r="B24" t="s">
        <v>3288</v>
      </c>
      <c r="C24" t="s">
        <v>686</v>
      </c>
      <c r="D24" t="s">
        <v>576</v>
      </c>
      <c r="E24">
        <v>5</v>
      </c>
      <c r="F24">
        <v>9</v>
      </c>
      <c r="G24" s="381">
        <f>IFERROR(VLOOKUP(_xlfn.CONCAT($I24,RegionSelect!$C$2),'Fertility Mortality Rates'!$I:$L,3,FALSE),VLOOKUP(_xlfn.CONCAT($I24,"ET"),'Fertility Mortality Rates'!$I:$L,3,FALSE))</f>
        <v>1.1800000000000001E-3</v>
      </c>
      <c r="H24" s="381">
        <f>IFERROR(VLOOKUP(_xlfn.CONCAT($I24,RegionSelect!$C$2),'Fertility Mortality Rates'!$I:$L,4,FALSE),VLOOKUP(_xlfn.CONCAT($I24,"ET"),'Fertility Mortality Rates'!$I:$L,4,FALSE))</f>
        <v>0.95161290322580649</v>
      </c>
      <c r="I24" t="s">
        <v>3256</v>
      </c>
    </row>
    <row r="25" spans="1:9" x14ac:dyDescent="0.45">
      <c r="A25" t="s">
        <v>3273</v>
      </c>
      <c r="B25" t="s">
        <v>3289</v>
      </c>
      <c r="C25" t="s">
        <v>686</v>
      </c>
      <c r="D25" t="s">
        <v>576</v>
      </c>
      <c r="E25">
        <v>10</v>
      </c>
      <c r="F25">
        <v>14</v>
      </c>
      <c r="G25" s="381">
        <f>IFERROR(VLOOKUP(_xlfn.CONCAT($I25,RegionSelect!$C$2),'Fertility Mortality Rates'!$I:$L,3,FALSE),VLOOKUP(_xlfn.CONCAT($I25,"ET"),'Fertility Mortality Rates'!$I:$L,3,FALSE))</f>
        <v>9.5999999999999992E-4</v>
      </c>
      <c r="H25" s="381">
        <f>IFERROR(VLOOKUP(_xlfn.CONCAT($I25,RegionSelect!$C$2),'Fertility Mortality Rates'!$I:$L,4,FALSE),VLOOKUP(_xlfn.CONCAT($I25,"ET"),'Fertility Mortality Rates'!$I:$L,4,FALSE))</f>
        <v>0.96150047483380818</v>
      </c>
      <c r="I25" t="s">
        <v>3257</v>
      </c>
    </row>
    <row r="26" spans="1:9" x14ac:dyDescent="0.45">
      <c r="A26" t="s">
        <v>3274</v>
      </c>
      <c r="B26" t="s">
        <v>3290</v>
      </c>
      <c r="C26" t="s">
        <v>686</v>
      </c>
      <c r="D26" t="s">
        <v>576</v>
      </c>
      <c r="E26">
        <v>15</v>
      </c>
      <c r="F26">
        <v>19</v>
      </c>
      <c r="G26" s="381">
        <f>IFERROR(VLOOKUP(_xlfn.CONCAT($I26,RegionSelect!$C$2),'Fertility Mortality Rates'!$I:$L,3,FALSE),VLOOKUP(_xlfn.CONCAT($I26,"ET"),'Fertility Mortality Rates'!$I:$L,3,FALSE))</f>
        <v>1.6000000000000001E-3</v>
      </c>
      <c r="H26" s="381">
        <f>IFERROR(VLOOKUP(_xlfn.CONCAT($I26,RegionSelect!$C$2),'Fertility Mortality Rates'!$I:$L,4,FALSE),VLOOKUP(_xlfn.CONCAT($I26,"ET"),'Fertility Mortality Rates'!$I:$L,4,FALSE))</f>
        <v>0.96508794519599173</v>
      </c>
      <c r="I26" t="s">
        <v>3258</v>
      </c>
    </row>
    <row r="27" spans="1:9" x14ac:dyDescent="0.45">
      <c r="A27" t="s">
        <v>3275</v>
      </c>
      <c r="B27" t="s">
        <v>3291</v>
      </c>
      <c r="C27" t="s">
        <v>686</v>
      </c>
      <c r="D27" t="s">
        <v>576</v>
      </c>
      <c r="E27">
        <v>20</v>
      </c>
      <c r="F27">
        <v>34</v>
      </c>
      <c r="G27" s="381">
        <f>IFERROR(VLOOKUP(_xlfn.CONCAT($I27,RegionSelect!$C$2),'Fertility Mortality Rates'!$I:$L,3,FALSE),VLOOKUP(_xlfn.CONCAT($I27,"ET"),'Fertility Mortality Rates'!$I:$L,3,FALSE))</f>
        <v>1.72E-3</v>
      </c>
      <c r="H27" s="381">
        <f>IFERROR(VLOOKUP(_xlfn.CONCAT($I27,RegionSelect!$C$2),'Fertility Mortality Rates'!$I:$L,4,FALSE),VLOOKUP(_xlfn.CONCAT($I27,"ET"),'Fertility Mortality Rates'!$I:$L,4,FALSE))</f>
        <v>0.9885057471264368</v>
      </c>
      <c r="I27" t="s">
        <v>3259</v>
      </c>
    </row>
    <row r="28" spans="1:9" x14ac:dyDescent="0.45">
      <c r="A28" t="s">
        <v>2110</v>
      </c>
      <c r="B28" t="s">
        <v>3292</v>
      </c>
      <c r="C28" t="s">
        <v>686</v>
      </c>
      <c r="D28" t="s">
        <v>576</v>
      </c>
      <c r="E28">
        <v>35</v>
      </c>
      <c r="F28">
        <v>49</v>
      </c>
      <c r="G28" s="381">
        <f>IFERROR(VLOOKUP(_xlfn.CONCAT($I28,RegionSelect!$C$2),'Fertility Mortality Rates'!$I:$L,3,FALSE),VLOOKUP(_xlfn.CONCAT($I28,"ET"),'Fertility Mortality Rates'!$I:$L,3,FALSE))</f>
        <v>6.1430507038265705E-3</v>
      </c>
      <c r="H28" s="381">
        <f>IFERROR(VLOOKUP(_xlfn.CONCAT($I28,RegionSelect!$C$2),'Fertility Mortality Rates'!$I:$L,4,FALSE),VLOOKUP(_xlfn.CONCAT($I28,"ET"),'Fertility Mortality Rates'!$I:$L,4,FALSE))</f>
        <v>0.98481071022469158</v>
      </c>
      <c r="I28" t="s">
        <v>3260</v>
      </c>
    </row>
    <row r="29" spans="1:9" x14ac:dyDescent="0.45">
      <c r="A29" t="s">
        <v>2111</v>
      </c>
      <c r="B29" t="s">
        <v>3293</v>
      </c>
      <c r="C29" t="s">
        <v>686</v>
      </c>
      <c r="D29" t="s">
        <v>576</v>
      </c>
      <c r="E29">
        <v>50</v>
      </c>
      <c r="F29">
        <v>59</v>
      </c>
      <c r="G29" s="381">
        <f>IFERROR(VLOOKUP(_xlfn.CONCAT($I29,RegionSelect!$C$2),'Fertility Mortality Rates'!$I:$L,3,FALSE),VLOOKUP(_xlfn.CONCAT($I29,"ET"),'Fertility Mortality Rates'!$I:$L,3,FALSE))</f>
        <v>1.1671796337270484E-2</v>
      </c>
      <c r="H29" s="381">
        <f>IFERROR(VLOOKUP(_xlfn.CONCAT($I29,RegionSelect!$C$2),'Fertility Mortality Rates'!$I:$L,4,FALSE),VLOOKUP(_xlfn.CONCAT($I29,"ET"),'Fertility Mortality Rates'!$I:$L,4,FALSE))</f>
        <v>0.98481071022469158</v>
      </c>
      <c r="I29" t="s">
        <v>3261</v>
      </c>
    </row>
    <row r="30" spans="1:9" x14ac:dyDescent="0.45">
      <c r="A30" t="s">
        <v>2086</v>
      </c>
      <c r="B30" t="s">
        <v>3294</v>
      </c>
      <c r="C30" t="s">
        <v>686</v>
      </c>
      <c r="D30" t="s">
        <v>576</v>
      </c>
      <c r="E30">
        <v>60</v>
      </c>
      <c r="F30">
        <v>74</v>
      </c>
      <c r="G30" s="381">
        <f>IFERROR(VLOOKUP(_xlfn.CONCAT($I30,RegionSelect!$C$2),'Fertility Mortality Rates'!$I:$L,3,FALSE),VLOOKUP(_xlfn.CONCAT($I30,"ET"),'Fertility Mortality Rates'!$I:$L,3,FALSE))</f>
        <v>3.0346670476903259E-2</v>
      </c>
      <c r="H30" s="381">
        <f>IFERROR(VLOOKUP(_xlfn.CONCAT($I30,RegionSelect!$C$2),'Fertility Mortality Rates'!$I:$L,4,FALSE),VLOOKUP(_xlfn.CONCAT($I30,"ET"),'Fertility Mortality Rates'!$I:$L,4,FALSE))</f>
        <v>0.98481071022469158</v>
      </c>
      <c r="I30" t="s">
        <v>3262</v>
      </c>
    </row>
    <row r="31" spans="1:9" x14ac:dyDescent="0.45">
      <c r="A31" t="s">
        <v>2087</v>
      </c>
      <c r="B31" t="s">
        <v>3295</v>
      </c>
      <c r="C31" t="s">
        <v>686</v>
      </c>
      <c r="D31" t="s">
        <v>576</v>
      </c>
      <c r="E31">
        <v>75</v>
      </c>
      <c r="G31" s="381">
        <f>IFERROR(VLOOKUP(_xlfn.CONCAT($I31,RegionSelect!$C$2),'Fertility Mortality Rates'!$I:$L,3,FALSE),VLOOKUP(_xlfn.CONCAT($I31,"ET"),'Fertility Mortality Rates'!$I:$L,3,FALSE))</f>
        <v>0.1015446281342532</v>
      </c>
      <c r="H31" s="381">
        <f>IFERROR(VLOOKUP(_xlfn.CONCAT($I31,RegionSelect!$C$2),'Fertility Mortality Rates'!$I:$L,4,FALSE),VLOOKUP(_xlfn.CONCAT($I31,"ET"),'Fertility Mortality Rates'!$I:$L,4,FALSE))</f>
        <v>0.98481071022469158</v>
      </c>
      <c r="I31" t="s">
        <v>3263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4963F-A73F-44CC-BA92-87184BB1A8C7}">
  <sheetPr>
    <tabColor theme="2"/>
  </sheetPr>
  <dimension ref="A1:N30"/>
  <sheetViews>
    <sheetView topLeftCell="A7" workbookViewId="0">
      <selection activeCell="B9" sqref="B9"/>
    </sheetView>
  </sheetViews>
  <sheetFormatPr defaultRowHeight="14.25" x14ac:dyDescent="0.45"/>
  <cols>
    <col min="1" max="1" width="35.73046875" bestFit="1" customWidth="1"/>
    <col min="2" max="3" width="16.19921875" customWidth="1"/>
    <col min="4" max="4" width="19.53125" style="176" customWidth="1"/>
    <col min="5" max="5" width="19.53125" style="260" customWidth="1"/>
    <col min="6" max="6" width="19.53125" style="176" customWidth="1"/>
    <col min="7" max="8" width="19.53125" style="260" customWidth="1"/>
    <col min="9" max="9" width="19.53125" style="293" customWidth="1"/>
    <col min="10" max="10" width="15.46484375" bestFit="1" customWidth="1"/>
    <col min="11" max="11" width="15.46484375" customWidth="1"/>
    <col min="12" max="12" width="26" bestFit="1" customWidth="1"/>
    <col min="13" max="13" width="28.19921875" bestFit="1" customWidth="1"/>
    <col min="14" max="28" width="6.19921875" customWidth="1"/>
  </cols>
  <sheetData>
    <row r="1" spans="1:14" x14ac:dyDescent="0.45">
      <c r="A1" t="s">
        <v>120</v>
      </c>
      <c r="B1" t="s">
        <v>121</v>
      </c>
      <c r="C1" t="s">
        <v>122</v>
      </c>
      <c r="D1" s="176" t="s">
        <v>1997</v>
      </c>
      <c r="E1" s="260" t="s">
        <v>1999</v>
      </c>
      <c r="F1" s="176" t="s">
        <v>1998</v>
      </c>
      <c r="G1" s="260" t="s">
        <v>2000</v>
      </c>
      <c r="H1" s="260" t="s">
        <v>2131</v>
      </c>
      <c r="I1" s="293" t="s">
        <v>2132</v>
      </c>
      <c r="J1" t="s">
        <v>2120</v>
      </c>
      <c r="K1" t="s">
        <v>2121</v>
      </c>
      <c r="L1" t="s">
        <v>2125</v>
      </c>
      <c r="M1" t="s">
        <v>2124</v>
      </c>
      <c r="N1" t="s">
        <v>81</v>
      </c>
    </row>
    <row r="2" spans="1:14" x14ac:dyDescent="0.45">
      <c r="A2" s="199" t="s">
        <v>123</v>
      </c>
      <c r="B2" s="265"/>
      <c r="C2" s="199"/>
    </row>
    <row r="3" spans="1:14" x14ac:dyDescent="0.45">
      <c r="A3" s="199" t="s">
        <v>124</v>
      </c>
      <c r="B3" s="199">
        <v>30</v>
      </c>
      <c r="C3" s="199">
        <f>B3</f>
        <v>30</v>
      </c>
    </row>
    <row r="4" spans="1:14" x14ac:dyDescent="0.45">
      <c r="A4" s="199" t="s">
        <v>125</v>
      </c>
      <c r="B4" s="265">
        <f>(B2-B5*5)/30</f>
        <v>-1.3833333333333335E-2</v>
      </c>
      <c r="C4" s="291">
        <v>1</v>
      </c>
    </row>
    <row r="5" spans="1:14" x14ac:dyDescent="0.45">
      <c r="A5" t="s">
        <v>126</v>
      </c>
      <c r="B5" s="292">
        <f>F5</f>
        <v>8.3000000000000004E-2</v>
      </c>
      <c r="C5" s="126">
        <f>G5</f>
        <v>0.9728621438822932</v>
      </c>
      <c r="D5" s="176">
        <f>'AgeSpecific Fertility'!D3/1000</f>
        <v>7.1999999999999995E-2</v>
      </c>
      <c r="E5" s="260">
        <f>'AgeSpecific Fertility'!D14</f>
        <v>0.97407589666322059</v>
      </c>
      <c r="F5" s="176">
        <f>'AgeSpecific Fertility'!D33/1000</f>
        <v>8.3000000000000004E-2</v>
      </c>
      <c r="G5" s="260">
        <f>'AgeSpecific Fertility'!D44</f>
        <v>0.9728621438822932</v>
      </c>
      <c r="J5" t="s">
        <v>2061</v>
      </c>
    </row>
    <row r="6" spans="1:14" x14ac:dyDescent="0.45">
      <c r="A6" s="199" t="s">
        <v>2065</v>
      </c>
      <c r="B6" s="265">
        <f>AVERAGE('AgeSpecific Fertility'!E3:F3)/1000</f>
        <v>0.19850000000000001</v>
      </c>
      <c r="C6" s="265">
        <f>AVERAGE('AgeSpecific Fertility'!E9:F9)</f>
        <v>0.98627198435950747</v>
      </c>
    </row>
    <row r="7" spans="1:14" x14ac:dyDescent="0.45">
      <c r="A7" s="199" t="s">
        <v>2066</v>
      </c>
      <c r="B7" s="265">
        <f>AVERAGE('AgeSpecific Fertility'!G3:H3)/1000</f>
        <v>0.14050000000000001</v>
      </c>
      <c r="C7" s="265">
        <f>AVERAGE('AgeSpecific Fertility'!G9:H9)</f>
        <v>0.95003364224192177</v>
      </c>
    </row>
    <row r="8" spans="1:14" x14ac:dyDescent="0.45">
      <c r="A8" s="199" t="s">
        <v>2067</v>
      </c>
      <c r="B8" s="265">
        <f>AVERAGE('AgeSpecific Fertility'!I3:J3)/1000</f>
        <v>3.15E-2</v>
      </c>
      <c r="C8" s="265">
        <f>AVERAGE('AgeSpecific Fertility'!H9:I9)</f>
        <v>0.92199765900894537</v>
      </c>
    </row>
    <row r="9" spans="1:14" x14ac:dyDescent="0.45">
      <c r="A9" t="s">
        <v>127</v>
      </c>
      <c r="B9" s="125">
        <f>I9</f>
        <v>44.870649522800001</v>
      </c>
      <c r="C9">
        <f>'mort infant'!BM272</f>
        <v>0.96306068601583117</v>
      </c>
      <c r="D9" s="263">
        <f>'RuralUrban Mortality'!S68</f>
        <v>46</v>
      </c>
      <c r="E9" s="264">
        <f>'RuralUrban Mortality'!AC73</f>
        <v>0.96985007379579624</v>
      </c>
      <c r="F9" s="263">
        <f>'RuralUrban Mortality'!U68</f>
        <v>51</v>
      </c>
      <c r="G9" s="264">
        <f>'RuralUrban Mortality'!AE73</f>
        <v>0.97403714560276555</v>
      </c>
      <c r="H9" s="125">
        <f>'mort infant'!I275+'mort infant'!BB286*0.969</f>
        <v>43.262874427171035</v>
      </c>
      <c r="I9" s="293">
        <f>'mort infant'!BL77+'mort infant'!BB286</f>
        <v>44.870649522800001</v>
      </c>
      <c r="J9" t="s">
        <v>2061</v>
      </c>
      <c r="K9" t="s">
        <v>2122</v>
      </c>
      <c r="L9" t="s">
        <v>2126</v>
      </c>
      <c r="M9" t="s">
        <v>2123</v>
      </c>
      <c r="N9" t="s">
        <v>2133</v>
      </c>
    </row>
    <row r="10" spans="1:14" x14ac:dyDescent="0.45">
      <c r="A10" t="s">
        <v>128</v>
      </c>
      <c r="B10" s="125">
        <f t="shared" ref="B10:B14" si="0">I10</f>
        <v>3.5500000000000007</v>
      </c>
      <c r="C10" s="126">
        <f>'mort 1-5'!BM272</f>
        <v>0.95480225988700573</v>
      </c>
      <c r="D10" s="263">
        <f>'RuralUrban Mortality'!S45</f>
        <v>3.25</v>
      </c>
      <c r="E10" s="264">
        <f>'RuralUrban Mortality'!AC50</f>
        <v>0.92695677977936042</v>
      </c>
      <c r="F10" s="263">
        <f>'RuralUrban Mortality'!U45</f>
        <v>3.25</v>
      </c>
      <c r="G10" s="264">
        <f>'RuralUrban Mortality'!AE50</f>
        <v>0.92608357199011682</v>
      </c>
      <c r="H10" s="125">
        <f>('mort 1-5'!I275-'mort infant'!I275)/4</f>
        <v>3.3141898841733397</v>
      </c>
      <c r="I10" s="293">
        <f>('mort 1-5'!BL77-'mort infant'!BL77)/4</f>
        <v>3.5500000000000007</v>
      </c>
      <c r="J10" t="s">
        <v>2061</v>
      </c>
      <c r="K10" t="s">
        <v>2122</v>
      </c>
      <c r="L10" t="s">
        <v>2127</v>
      </c>
      <c r="M10" t="s">
        <v>2128</v>
      </c>
      <c r="N10" t="s">
        <v>2133</v>
      </c>
    </row>
    <row r="11" spans="1:14" x14ac:dyDescent="0.45">
      <c r="A11" t="s">
        <v>129</v>
      </c>
      <c r="B11" s="125">
        <f t="shared" si="0"/>
        <v>1.1800000000000002</v>
      </c>
      <c r="C11">
        <f>'mort 5-9'!BM272</f>
        <v>0.95161290322580649</v>
      </c>
      <c r="D11" s="263"/>
      <c r="E11" s="264"/>
      <c r="F11" s="263"/>
      <c r="G11" s="264"/>
      <c r="H11" s="125">
        <f>'mort 5-9'!I275/5</f>
        <v>1.1229032258064517</v>
      </c>
      <c r="I11" s="293">
        <f>'mort 5-9'!BL77/5</f>
        <v>1.1800000000000002</v>
      </c>
      <c r="K11" t="s">
        <v>2122</v>
      </c>
      <c r="L11" t="s">
        <v>2127</v>
      </c>
      <c r="M11" t="s">
        <v>2130</v>
      </c>
      <c r="N11" t="s">
        <v>2133</v>
      </c>
    </row>
    <row r="12" spans="1:14" x14ac:dyDescent="0.45">
      <c r="A12" t="s">
        <v>130</v>
      </c>
      <c r="B12" s="125">
        <f t="shared" si="0"/>
        <v>0.96</v>
      </c>
      <c r="C12">
        <f>'mort 10-14'!BM272</f>
        <v>0.96150047483380818</v>
      </c>
      <c r="D12" s="263"/>
      <c r="E12" s="264"/>
      <c r="F12" s="263"/>
      <c r="G12" s="264"/>
      <c r="H12" s="125">
        <f>'mort 10-14'!I275/5</f>
        <v>0.9230404558404558</v>
      </c>
      <c r="I12" s="293">
        <f>'mort 10-14'!BL77/5</f>
        <v>0.96</v>
      </c>
      <c r="K12" t="s">
        <v>2122</v>
      </c>
      <c r="L12" t="s">
        <v>2127</v>
      </c>
      <c r="M12" t="s">
        <v>2130</v>
      </c>
      <c r="N12" t="s">
        <v>2133</v>
      </c>
    </row>
    <row r="13" spans="1:14" x14ac:dyDescent="0.45">
      <c r="A13" t="s">
        <v>131</v>
      </c>
      <c r="B13" s="125">
        <f t="shared" si="0"/>
        <v>1.6</v>
      </c>
      <c r="C13">
        <f>'mort 15-19'!BM272</f>
        <v>0.96508794519599173</v>
      </c>
      <c r="D13" s="263">
        <f>'RuralUrban Mortality'!S8</f>
        <v>0.44400000000000006</v>
      </c>
      <c r="E13" s="264">
        <f>'RuralUrban Mortality'!AC24</f>
        <v>0.9767666961656033</v>
      </c>
      <c r="F13" s="263"/>
      <c r="G13" s="264"/>
      <c r="H13" s="125">
        <f>'mort 15-19'!I275/5</f>
        <v>1.5441407123135868</v>
      </c>
      <c r="I13" s="293">
        <f>'mort 15-19'!BL77/5</f>
        <v>1.6</v>
      </c>
      <c r="J13" t="s">
        <v>2061</v>
      </c>
      <c r="K13" t="s">
        <v>2122</v>
      </c>
      <c r="L13" t="s">
        <v>2127</v>
      </c>
      <c r="M13" t="s">
        <v>2130</v>
      </c>
      <c r="N13" t="s">
        <v>2133</v>
      </c>
    </row>
    <row r="14" spans="1:14" x14ac:dyDescent="0.45">
      <c r="A14" t="s">
        <v>2090</v>
      </c>
      <c r="B14" s="125">
        <f t="shared" si="0"/>
        <v>1.72</v>
      </c>
      <c r="C14">
        <f>'mort 20-24'!BM272</f>
        <v>0.9885057471264368</v>
      </c>
      <c r="D14" s="263">
        <f>'RuralUrban Mortality'!T20</f>
        <v>0.63800000000000001</v>
      </c>
      <c r="E14" s="264">
        <f>'RuralUrban Mortality'!AD24</f>
        <v>0.97210450996771136</v>
      </c>
      <c r="F14" s="263"/>
      <c r="G14" s="264"/>
      <c r="H14" s="125">
        <f>'mort 20-24'!I275/5</f>
        <v>1.7002298850574711</v>
      </c>
      <c r="I14" s="293">
        <f>'mort 20-24'!BL77/5</f>
        <v>1.72</v>
      </c>
      <c r="J14" t="s">
        <v>2061</v>
      </c>
      <c r="K14" t="s">
        <v>2122</v>
      </c>
      <c r="L14" t="s">
        <v>2127</v>
      </c>
      <c r="M14" t="s">
        <v>2130</v>
      </c>
      <c r="N14" t="s">
        <v>2133</v>
      </c>
    </row>
    <row r="15" spans="1:14" x14ac:dyDescent="0.45">
      <c r="A15" s="199" t="s">
        <v>133</v>
      </c>
      <c r="B15" s="265">
        <f>'mort adult f'!I275/(60-15)</f>
        <v>3.9443060860274208</v>
      </c>
      <c r="C15" s="199">
        <f>'mort adult f'!BM272</f>
        <v>0.98007627674588871</v>
      </c>
      <c r="D15" s="263"/>
      <c r="E15" s="264"/>
      <c r="F15" s="263"/>
      <c r="G15" s="264"/>
      <c r="H15" s="264"/>
      <c r="J15" s="86" t="s">
        <v>2091</v>
      </c>
      <c r="K15" s="86"/>
    </row>
    <row r="16" spans="1:14" x14ac:dyDescent="0.45">
      <c r="A16" s="199" t="s">
        <v>134</v>
      </c>
      <c r="B16" s="265">
        <f>'mort adult m'!I275/(60-15)</f>
        <v>5.1027857526880149</v>
      </c>
      <c r="C16" s="199">
        <f>'mort adult m'!BM272</f>
        <v>0.98481071022469158</v>
      </c>
      <c r="D16" s="263"/>
      <c r="E16" s="264"/>
      <c r="F16" s="263"/>
      <c r="G16" s="264"/>
      <c r="H16" s="264"/>
      <c r="J16" s="86" t="s">
        <v>2091</v>
      </c>
      <c r="K16" s="86"/>
    </row>
    <row r="17" spans="1:14" x14ac:dyDescent="0.45">
      <c r="A17" t="s">
        <v>1796</v>
      </c>
      <c r="B17" s="292">
        <f t="shared" ref="B17:B22" si="1">F17</f>
        <v>0.219</v>
      </c>
      <c r="C17" s="126">
        <f t="shared" ref="C17:C22" si="2">G17</f>
        <v>0.98781697133012025</v>
      </c>
      <c r="D17" s="176">
        <f>'AgeSpecific Fertility'!E3/1000</f>
        <v>0.19500000000000001</v>
      </c>
      <c r="E17" s="260">
        <f>'AgeSpecific Fertility'!E14</f>
        <v>0.98889454944516297</v>
      </c>
      <c r="F17" s="176">
        <f>'AgeSpecific Fertility'!E33/1000</f>
        <v>0.219</v>
      </c>
      <c r="G17" s="260">
        <f>'AgeSpecific Fertility'!E44</f>
        <v>0.98781697133012025</v>
      </c>
      <c r="J17" t="s">
        <v>2061</v>
      </c>
    </row>
    <row r="18" spans="1:14" x14ac:dyDescent="0.45">
      <c r="A18" t="s">
        <v>1795</v>
      </c>
      <c r="B18" s="292">
        <f t="shared" si="1"/>
        <v>0.22500000000000001</v>
      </c>
      <c r="C18" s="126">
        <f t="shared" si="2"/>
        <v>0.9894545681529805</v>
      </c>
      <c r="D18" s="176">
        <f>'AgeSpecific Fertility'!F3/1000</f>
        <v>0.20200000000000001</v>
      </c>
      <c r="E18" s="260">
        <f>'AgeSpecific Fertility'!F14</f>
        <v>0.98746993212716327</v>
      </c>
      <c r="F18" s="176">
        <f>'AgeSpecific Fertility'!F33/1000</f>
        <v>0.22500000000000001</v>
      </c>
      <c r="G18" s="260">
        <f>'AgeSpecific Fertility'!F44</f>
        <v>0.9894545681529805</v>
      </c>
      <c r="J18" t="s">
        <v>2061</v>
      </c>
      <c r="N18" s="86"/>
    </row>
    <row r="19" spans="1:14" x14ac:dyDescent="0.45">
      <c r="A19" t="s">
        <v>1797</v>
      </c>
      <c r="B19" s="292">
        <f t="shared" si="1"/>
        <v>0.17499999999999999</v>
      </c>
      <c r="C19" s="126">
        <f t="shared" si="2"/>
        <v>0.97401475899122802</v>
      </c>
      <c r="D19" s="176">
        <f>'AgeSpecific Fertility'!G3/1000</f>
        <v>0.16200000000000001</v>
      </c>
      <c r="E19" s="260">
        <f>'AgeSpecific Fertility'!G14</f>
        <v>0.97497408877847958</v>
      </c>
      <c r="F19" s="176">
        <f>'AgeSpecific Fertility'!G33/1000</f>
        <v>0.17499999999999999</v>
      </c>
      <c r="G19" s="260">
        <f>'AgeSpecific Fertility'!G44</f>
        <v>0.97401475899122802</v>
      </c>
      <c r="J19" t="s">
        <v>2061</v>
      </c>
    </row>
    <row r="20" spans="1:14" x14ac:dyDescent="0.45">
      <c r="A20" t="s">
        <v>1798</v>
      </c>
      <c r="B20" s="292">
        <f t="shared" si="1"/>
        <v>0.123</v>
      </c>
      <c r="C20" s="126">
        <f t="shared" si="2"/>
        <v>0.97394548951677373</v>
      </c>
      <c r="D20" s="176">
        <f>'AgeSpecific Fertility'!H3/1000</f>
        <v>0.11899999999999999</v>
      </c>
      <c r="E20" s="260">
        <f>'AgeSpecific Fertility'!H14</f>
        <v>0.97907556690543529</v>
      </c>
      <c r="F20" s="176">
        <f>'AgeSpecific Fertility'!H33/1000</f>
        <v>0.123</v>
      </c>
      <c r="G20" s="260">
        <f>'AgeSpecific Fertility'!H44</f>
        <v>0.97394548951677373</v>
      </c>
      <c r="J20" t="s">
        <v>2061</v>
      </c>
    </row>
    <row r="21" spans="1:14" x14ac:dyDescent="0.45">
      <c r="A21" t="s">
        <v>1799</v>
      </c>
      <c r="B21" s="292">
        <f t="shared" si="1"/>
        <v>5.3999999999999999E-2</v>
      </c>
      <c r="C21" s="126">
        <f t="shared" si="2"/>
        <v>0.96117996028548114</v>
      </c>
      <c r="D21" s="176">
        <f>'AgeSpecific Fertility'!I3/1000</f>
        <v>4.9000000000000002E-2</v>
      </c>
      <c r="E21" s="260">
        <f>'AgeSpecific Fertility'!I14</f>
        <v>0.96223194524741562</v>
      </c>
      <c r="F21" s="176">
        <f>'AgeSpecific Fertility'!I33/1000</f>
        <v>5.3999999999999999E-2</v>
      </c>
      <c r="G21" s="260">
        <f>'AgeSpecific Fertility'!I44</f>
        <v>0.96117996028548114</v>
      </c>
      <c r="J21" t="s">
        <v>2061</v>
      </c>
    </row>
    <row r="22" spans="1:14" x14ac:dyDescent="0.45">
      <c r="A22" t="s">
        <v>1800</v>
      </c>
      <c r="B22" s="292">
        <f t="shared" si="1"/>
        <v>1.9E-2</v>
      </c>
      <c r="C22" s="126">
        <f t="shared" si="2"/>
        <v>0.95169515301061958</v>
      </c>
      <c r="D22" s="176">
        <f>'AgeSpecific Fertility'!J3/1000</f>
        <v>1.4E-2</v>
      </c>
      <c r="E22" s="260">
        <f>'AgeSpecific Fertility'!J14</f>
        <v>0.93858786959218077</v>
      </c>
      <c r="F22" s="176">
        <f>'AgeSpecific Fertility'!J33/1000</f>
        <v>1.9E-2</v>
      </c>
      <c r="G22" s="260">
        <f>'AgeSpecific Fertility'!J44</f>
        <v>0.95169515301061958</v>
      </c>
      <c r="J22" t="s">
        <v>2061</v>
      </c>
    </row>
    <row r="23" spans="1:14" x14ac:dyDescent="0.45">
      <c r="A23" t="s">
        <v>2092</v>
      </c>
      <c r="B23" s="125">
        <f>'Age band mort calcs'!B15</f>
        <v>4.5419040325072819</v>
      </c>
      <c r="C23">
        <f>C15</f>
        <v>0.98007627674588871</v>
      </c>
      <c r="K23" t="s">
        <v>2129</v>
      </c>
    </row>
    <row r="24" spans="1:14" x14ac:dyDescent="0.45">
      <c r="A24" t="s">
        <v>2104</v>
      </c>
      <c r="B24" s="125">
        <f>'Age band mort calcs'!B16</f>
        <v>7.7212368552623794</v>
      </c>
      <c r="C24">
        <f>C23</f>
        <v>0.98007627674588871</v>
      </c>
      <c r="K24" t="s">
        <v>2129</v>
      </c>
    </row>
    <row r="25" spans="1:14" x14ac:dyDescent="0.45">
      <c r="A25" t="s">
        <v>2088</v>
      </c>
      <c r="B25" s="125">
        <f>'Age band mort calcs'!B17</f>
        <v>21.61946319473466</v>
      </c>
      <c r="C25">
        <f>C24</f>
        <v>0.98007627674588871</v>
      </c>
      <c r="K25" t="s">
        <v>2129</v>
      </c>
    </row>
    <row r="26" spans="1:14" x14ac:dyDescent="0.45">
      <c r="A26" t="s">
        <v>2089</v>
      </c>
      <c r="B26" s="125">
        <f>'Age band mort calcs'!B18</f>
        <v>84.933605407886176</v>
      </c>
      <c r="C26">
        <f>C25</f>
        <v>0.98007627674588871</v>
      </c>
      <c r="K26" t="s">
        <v>2129</v>
      </c>
    </row>
    <row r="27" spans="1:14" x14ac:dyDescent="0.45">
      <c r="A27" t="s">
        <v>2110</v>
      </c>
      <c r="B27">
        <f>'Age band mort calcs'!B21</f>
        <v>6.1430507038265709</v>
      </c>
      <c r="C27">
        <f>C16</f>
        <v>0.98481071022469158</v>
      </c>
      <c r="K27" t="s">
        <v>2129</v>
      </c>
    </row>
    <row r="28" spans="1:14" x14ac:dyDescent="0.45">
      <c r="A28" t="s">
        <v>2111</v>
      </c>
      <c r="B28">
        <f>'Age band mort calcs'!B22</f>
        <v>11.671796337270484</v>
      </c>
      <c r="C28">
        <f>C27</f>
        <v>0.98481071022469158</v>
      </c>
      <c r="K28" t="s">
        <v>2129</v>
      </c>
    </row>
    <row r="29" spans="1:14" x14ac:dyDescent="0.45">
      <c r="A29" t="s">
        <v>2086</v>
      </c>
      <c r="B29">
        <f>'Age band mort calcs'!B23</f>
        <v>30.34667047690326</v>
      </c>
      <c r="C29">
        <f>C28</f>
        <v>0.98481071022469158</v>
      </c>
      <c r="K29" t="s">
        <v>2129</v>
      </c>
    </row>
    <row r="30" spans="1:14" x14ac:dyDescent="0.45">
      <c r="A30" t="s">
        <v>2087</v>
      </c>
      <c r="B30">
        <f>'Age band mort calcs'!B24</f>
        <v>101.5446281342532</v>
      </c>
      <c r="C30">
        <f>C29</f>
        <v>0.98481071022469158</v>
      </c>
      <c r="K30" t="s">
        <v>2129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5A502-7E7F-4553-BC06-71CD8A16214F}">
  <sheetPr>
    <tabColor theme="9" tint="-0.249977111117893"/>
  </sheetPr>
  <dimension ref="A1:F13"/>
  <sheetViews>
    <sheetView workbookViewId="0">
      <selection activeCell="D13" sqref="D2:D13"/>
    </sheetView>
  </sheetViews>
  <sheetFormatPr defaultRowHeight="14.25" x14ac:dyDescent="0.45"/>
  <cols>
    <col min="1" max="1" width="6.796875" bestFit="1" customWidth="1"/>
    <col min="2" max="2" width="12.19921875" bestFit="1" customWidth="1"/>
    <col min="3" max="3" width="7.73046875" bestFit="1" customWidth="1"/>
    <col min="4" max="4" width="6.73046875" bestFit="1" customWidth="1"/>
    <col min="5" max="5" width="7.73046875" bestFit="1" customWidth="1"/>
    <col min="6" max="6" width="8.53125" bestFit="1" customWidth="1"/>
  </cols>
  <sheetData>
    <row r="1" spans="1:6" x14ac:dyDescent="0.45">
      <c r="A1" t="s">
        <v>267</v>
      </c>
      <c r="B1" s="382" t="s">
        <v>191</v>
      </c>
      <c r="C1" s="382" t="s">
        <v>268</v>
      </c>
      <c r="D1" s="382" t="s">
        <v>288</v>
      </c>
      <c r="E1" s="382" t="s">
        <v>69</v>
      </c>
      <c r="F1" s="382" t="s">
        <v>171</v>
      </c>
    </row>
    <row r="2" spans="1:6" x14ac:dyDescent="0.45">
      <c r="A2" t="s">
        <v>269</v>
      </c>
      <c r="B2" s="363">
        <f>IFERROR(VLOOKUP(_xlfn.CONCAT(A2,RegionSelect!$C$2),'Ssn Nutr'!$AC:$AG,2,FALSE),VLOOKUP(_xlfn.CONCAT(A2,"ET"),'Ssn Nutr'!$AC:$AG,2,FALSE))</f>
        <v>0.16488222698072805</v>
      </c>
      <c r="C2" s="381">
        <f>IFERROR(VLOOKUP(_xlfn.CONCAT(A2,RegionSelect!$C$2),'Ssn TB'!$AY:$BD,2,FALSE),VLOOKUP(_xlfn.CONCAT(A2,"ET"),'Ssn TB'!$AY:$BD,2,FALSE))</f>
        <v>8.2535106481912021E-2</v>
      </c>
      <c r="D2" s="363">
        <f>IFERROR(VLOOKUP(_xlfn.CONCAT(A2,RegionSelect!$C$2),'Ssn Births'!$B:$F,2,FALSE), VLOOKUP(_xlfn.CONCAT(A2,"ET"),'Ssn Births'!$B:$F,2,FALSE))</f>
        <v>7.3215020513968401E-2</v>
      </c>
      <c r="E2" s="381">
        <f>IFERROR(VLOOKUP(_xlfn.CONCAT(A2,RegionSelect!$C$2),'Ssn Malaria'!$AR:$AV,2,FALSE), VLOOKUP(_xlfn.CONCAT(A2,"ETR"),'Ssn Malaria'!$AR:$AV,2,FALSE))</f>
        <v>6.6936482067843195E-2</v>
      </c>
      <c r="F2" s="381">
        <f>IFERROR(VLOOKUP(_xlfn.CONCAT(A2,RegionSelect!C2),'Ssn Diarrhea'!B:G,2,FALSE),VLOOKUP(_xlfn.CONCAT(A2,"ET07"),'Ssn Diarrhea'!B:G,2,FALSE))</f>
        <v>9.7892720259538907E-2</v>
      </c>
    </row>
    <row r="3" spans="1:6" x14ac:dyDescent="0.45">
      <c r="A3" t="s">
        <v>270</v>
      </c>
      <c r="B3" s="363">
        <f>IFERROR(VLOOKUP(_xlfn.CONCAT(A3,RegionSelect!$C$2),'Ssn Nutr'!$AC:$AG,2,FALSE),VLOOKUP(_xlfn.CONCAT(A3,"ET"),'Ssn Nutr'!$AC:$AG,2,FALSE))</f>
        <v>6.852248394004283E-2</v>
      </c>
      <c r="C3" s="381">
        <f>IFERROR(VLOOKUP(_xlfn.CONCAT(A3,RegionSelect!$C$2),'Ssn TB'!$AY:$BD,2,FALSE),VLOOKUP(_xlfn.CONCAT(A3,"ET"),'Ssn TB'!$AY:$BD,2,FALSE))</f>
        <v>8.6208499953501355E-2</v>
      </c>
      <c r="D3" s="363">
        <f>IFERROR(VLOOKUP(_xlfn.CONCAT(A3,RegionSelect!$C$2),'Ssn Births'!$B:$F,2,FALSE), VLOOKUP(_xlfn.CONCAT(A3,"ET"),'Ssn Births'!$B:$F,2,FALSE))</f>
        <v>8.0759360654443793E-2</v>
      </c>
      <c r="E3" s="381">
        <f>IFERROR(VLOOKUP(_xlfn.CONCAT(A3,RegionSelect!$C$2),'Ssn Malaria'!$AR:$AV,2,FALSE), VLOOKUP(_xlfn.CONCAT(A3,"ETR"),'Ssn Malaria'!$AR:$AV,2,FALSE))</f>
        <v>6.4084654318813022E-2</v>
      </c>
      <c r="F3" s="381">
        <f>IFERROR(VLOOKUP(_xlfn.CONCAT(A3,RegionSelect!C3),'Ssn Diarrhea'!B:G,2,FALSE),VLOOKUP(_xlfn.CONCAT(A3,"ET07"),'Ssn Diarrhea'!B:G,2,FALSE))</f>
        <v>0.11145199066061744</v>
      </c>
    </row>
    <row r="4" spans="1:6" x14ac:dyDescent="0.45">
      <c r="A4" t="s">
        <v>271</v>
      </c>
      <c r="B4" s="363">
        <f>IFERROR(VLOOKUP(_xlfn.CONCAT(A4,RegionSelect!$C$2),'Ssn Nutr'!$AC:$AG,2,FALSE),VLOOKUP(_xlfn.CONCAT(A4,"ET"),'Ssn Nutr'!$AC:$AG,2,FALSE))</f>
        <v>1.9271948608137045E-2</v>
      </c>
      <c r="C4" s="381">
        <f>IFERROR(VLOOKUP(_xlfn.CONCAT(A4,RegionSelect!$C$2),'Ssn TB'!$AY:$BD,2,FALSE),VLOOKUP(_xlfn.CONCAT(A4,"ET"),'Ssn TB'!$AY:$BD,2,FALSE))</f>
        <v>8.74639635450572E-2</v>
      </c>
      <c r="D4" s="363">
        <f>IFERROR(VLOOKUP(_xlfn.CONCAT(A4,RegionSelect!$C$2),'Ssn Births'!$B:$F,2,FALSE), VLOOKUP(_xlfn.CONCAT(A4,"ET"),'Ssn Births'!$B:$F,2,FALSE))</f>
        <v>9.7303723372625203E-2</v>
      </c>
      <c r="E4" s="381">
        <f>IFERROR(VLOOKUP(_xlfn.CONCAT(A4,RegionSelect!$C$2),'Ssn Malaria'!$AR:$AV,2,FALSE), VLOOKUP(_xlfn.CONCAT(A4,"ETR"),'Ssn Malaria'!$AR:$AV,2,FALSE))</f>
        <v>6.0600247743600254E-2</v>
      </c>
      <c r="F4" s="381">
        <f>IFERROR(VLOOKUP(_xlfn.CONCAT(A4,RegionSelect!C4),'Ssn Diarrhea'!B:G,2,FALSE),VLOOKUP(_xlfn.CONCAT(A4,"ET07"),'Ssn Diarrhea'!B:G,2,FALSE))</f>
        <v>0.12678985220161312</v>
      </c>
    </row>
    <row r="5" spans="1:6" x14ac:dyDescent="0.45">
      <c r="A5" t="s">
        <v>272</v>
      </c>
      <c r="B5" s="363">
        <f>IFERROR(VLOOKUP(_xlfn.CONCAT(A5,RegionSelect!$C$2),'Ssn Nutr'!$AC:$AG,2,FALSE),VLOOKUP(_xlfn.CONCAT(A5,"ET"),'Ssn Nutr'!$AC:$AG,2,FALSE))</f>
        <v>1.9271948608137045E-2</v>
      </c>
      <c r="C5" s="381">
        <f>IFERROR(VLOOKUP(_xlfn.CONCAT(A5,RegionSelect!$C$2),'Ssn TB'!$AY:$BD,2,FALSE),VLOOKUP(_xlfn.CONCAT(A5,"ET"),'Ssn TB'!$AY:$BD,2,FALSE))</f>
        <v>8.871942713661303E-2</v>
      </c>
      <c r="D5" s="363">
        <f>IFERROR(VLOOKUP(_xlfn.CONCAT(A5,RegionSelect!$C$2),'Ssn Births'!$B:$F,2,FALSE), VLOOKUP(_xlfn.CONCAT(A5,"ET"),'Ssn Births'!$B:$F,2,FALSE))</f>
        <v>8.7542573457591796E-2</v>
      </c>
      <c r="E5" s="381">
        <f>IFERROR(VLOOKUP(_xlfn.CONCAT(A5,RegionSelect!$C$2),'Ssn Malaria'!$AR:$AV,2,FALSE), VLOOKUP(_xlfn.CONCAT(A5,"ETR"),'Ssn Malaria'!$AR:$AV,2,FALSE))</f>
        <v>6.0703878213611638E-2</v>
      </c>
      <c r="F5" s="381">
        <f>IFERROR(VLOOKUP(_xlfn.CONCAT(A5,RegionSelect!C5),'Ssn Diarrhea'!B:G,2,FALSE),VLOOKUP(_xlfn.CONCAT(A5,"ET07"),'Ssn Diarrhea'!B:G,2,FALSE))</f>
        <v>0.11608174608550521</v>
      </c>
    </row>
    <row r="6" spans="1:6" x14ac:dyDescent="0.45">
      <c r="A6" t="s">
        <v>273</v>
      </c>
      <c r="B6" s="363">
        <f>IFERROR(VLOOKUP(_xlfn.CONCAT(A6,RegionSelect!$C$2),'Ssn Nutr'!$AC:$AG,2,FALSE),VLOOKUP(_xlfn.CONCAT(A6,"ET"),'Ssn Nutr'!$AC:$AG,2,FALSE))</f>
        <v>2.9978586723768741E-2</v>
      </c>
      <c r="C6" s="381">
        <f>IFERROR(VLOOKUP(_xlfn.CONCAT(A6,RegionSelect!$C$2),'Ssn TB'!$AY:$BD,2,FALSE),VLOOKUP(_xlfn.CONCAT(A6,"ET"),'Ssn TB'!$AY:$BD,2,FALSE))</f>
        <v>8.9974890728168888E-2</v>
      </c>
      <c r="D6" s="363">
        <f>IFERROR(VLOOKUP(_xlfn.CONCAT(A6,RegionSelect!$C$2),'Ssn Births'!$B:$F,2,FALSE), VLOOKUP(_xlfn.CONCAT(A6,"ET"),'Ssn Births'!$B:$F,2,FALSE))</f>
        <v>7.5933322382079393E-2</v>
      </c>
      <c r="E6" s="381">
        <f>IFERROR(VLOOKUP(_xlfn.CONCAT(A6,RegionSelect!$C$2),'Ssn Malaria'!$AR:$AV,2,FALSE), VLOOKUP(_xlfn.CONCAT(A6,"ETR"),'Ssn Malaria'!$AR:$AV,2,FALSE))</f>
        <v>6.4051402944234115E-2</v>
      </c>
      <c r="F6" s="381">
        <f>IFERROR(VLOOKUP(_xlfn.CONCAT(A6,RegionSelect!C6),'Ssn Diarrhea'!B:G,2,FALSE),VLOOKUP(_xlfn.CONCAT(A6,"ET07"),'Ssn Diarrhea'!B:G,2,FALSE))</f>
        <v>9.710943265680623E-2</v>
      </c>
    </row>
    <row r="7" spans="1:6" x14ac:dyDescent="0.45">
      <c r="A7" t="s">
        <v>274</v>
      </c>
      <c r="B7" s="363">
        <f>IFERROR(VLOOKUP(_xlfn.CONCAT(A7,RegionSelect!$C$2),'Ssn Nutr'!$AC:$AG,2,FALSE),VLOOKUP(_xlfn.CONCAT(A7,"ET"),'Ssn Nutr'!$AC:$AG,2,FALSE))</f>
        <v>2.9978586723768744E-2</v>
      </c>
      <c r="C7" s="381">
        <f>IFERROR(VLOOKUP(_xlfn.CONCAT(A7,RegionSelect!$C$2),'Ssn TB'!$AY:$BD,2,FALSE),VLOOKUP(_xlfn.CONCAT(A7,"ET"),'Ssn TB'!$AY:$BD,2,FALSE))</f>
        <v>8.6766483771970618E-2</v>
      </c>
      <c r="D7" s="363">
        <f>IFERROR(VLOOKUP(_xlfn.CONCAT(A7,RegionSelect!$C$2),'Ssn Births'!$B:$F,2,FALSE), VLOOKUP(_xlfn.CONCAT(A7,"ET"),'Ssn Births'!$B:$F,2,FALSE))</f>
        <v>6.2686359255245794E-2</v>
      </c>
      <c r="E7" s="381">
        <f>IFERROR(VLOOKUP(_xlfn.CONCAT(A7,RegionSelect!$C$2),'Ssn Malaria'!$AR:$AV,2,FALSE), VLOOKUP(_xlfn.CONCAT(A7,"ETR"),'Ssn Malaria'!$AR:$AV,2,FALSE))</f>
        <v>7.8032799832215824E-2</v>
      </c>
      <c r="F7" s="381">
        <f>IFERROR(VLOOKUP(_xlfn.CONCAT(A7,RegionSelect!C7),'Ssn Diarrhea'!B:G,2,FALSE),VLOOKUP(_xlfn.CONCAT(A7,"ET07"),'Ssn Diarrhea'!B:G,2,FALSE))</f>
        <v>7.3740198772910687E-2</v>
      </c>
    </row>
    <row r="8" spans="1:6" x14ac:dyDescent="0.45">
      <c r="A8" t="s">
        <v>275</v>
      </c>
      <c r="B8" s="363">
        <f>IFERROR(VLOOKUP(_xlfn.CONCAT(A8,RegionSelect!$C$2),'Ssn Nutr'!$AC:$AG,2,FALSE),VLOOKUP(_xlfn.CONCAT(A8,"ET"),'Ssn Nutr'!$AC:$AG,2,FALSE))</f>
        <v>3.8543897216274096E-2</v>
      </c>
      <c r="C8" s="381">
        <f>IFERROR(VLOOKUP(_xlfn.CONCAT(A8,RegionSelect!$C$2),'Ssn TB'!$AY:$BD,2,FALSE),VLOOKUP(_xlfn.CONCAT(A8,"ET"),'Ssn TB'!$AY:$BD,2,FALSE))</f>
        <v>8.3558076815772347E-2</v>
      </c>
      <c r="D8" s="363">
        <f>IFERROR(VLOOKUP(_xlfn.CONCAT(A8,RegionSelect!$C$2),'Ssn Births'!$B:$F,2,FALSE), VLOOKUP(_xlfn.CONCAT(A8,"ET"),'Ssn Births'!$B:$F,2,FALSE))</f>
        <v>8.6314041705917902E-2</v>
      </c>
      <c r="E8" s="381">
        <f>IFERROR(VLOOKUP(_xlfn.CONCAT(A8,RegionSelect!$C$2),'Ssn Malaria'!$AR:$AV,2,FALSE), VLOOKUP(_xlfn.CONCAT(A8,"ETR"),'Ssn Malaria'!$AR:$AV,2,FALSE))</f>
        <v>9.129394265165322E-2</v>
      </c>
      <c r="F8" s="381">
        <f>IFERROR(VLOOKUP(_xlfn.CONCAT(A8,RegionSelect!C8),'Ssn Diarrhea'!B:G,2,FALSE),VLOOKUP(_xlfn.CONCAT(A8,"ET07"),'Ssn Diarrhea'!B:G,2,FALSE))</f>
        <v>5.6152135281385754E-2</v>
      </c>
    </row>
    <row r="9" spans="1:6" x14ac:dyDescent="0.45">
      <c r="A9" t="s">
        <v>276</v>
      </c>
      <c r="B9" s="363">
        <f>IFERROR(VLOOKUP(_xlfn.CONCAT(A9,RegionSelect!$C$2),'Ssn Nutr'!$AC:$AG,2,FALSE),VLOOKUP(_xlfn.CONCAT(A9,"ET"),'Ssn Nutr'!$AC:$AG,2,FALSE))</f>
        <v>6.852248394004283E-2</v>
      </c>
      <c r="C9" s="381">
        <f>IFERROR(VLOOKUP(_xlfn.CONCAT(A9,RegionSelect!$C$2),'Ssn TB'!$AY:$BD,2,FALSE),VLOOKUP(_xlfn.CONCAT(A9,"ET"),'Ssn TB'!$AY:$BD,2,FALSE))</f>
        <v>8.0349669859574077E-2</v>
      </c>
      <c r="D9" s="363">
        <f>IFERROR(VLOOKUP(_xlfn.CONCAT(A9,RegionSelect!$C$2),'Ssn Births'!$B:$F,2,FALSE), VLOOKUP(_xlfn.CONCAT(A9,"ET"),'Ssn Births'!$B:$F,2,FALSE))</f>
        <v>0.10510507714313699</v>
      </c>
      <c r="E9" s="381">
        <f>IFERROR(VLOOKUP(_xlfn.CONCAT(A9,RegionSelect!$C$2),'Ssn Malaria'!$AR:$AV,2,FALSE), VLOOKUP(_xlfn.CONCAT(A9,"ETR"),'Ssn Malaria'!$AR:$AV,2,FALSE))</f>
        <v>7.2674867820140321E-2</v>
      </c>
      <c r="F9" s="381">
        <f>IFERROR(VLOOKUP(_xlfn.CONCAT(A9,RegionSelect!C9),'Ssn Diarrhea'!B:G,2,FALSE),VLOOKUP(_xlfn.CONCAT(A9,"ET07"),'Ssn Diarrhea'!B:G,2,FALSE))</f>
        <v>5.7572990687490763E-2</v>
      </c>
    </row>
    <row r="10" spans="1:6" x14ac:dyDescent="0.45">
      <c r="A10" t="s">
        <v>277</v>
      </c>
      <c r="B10" s="363">
        <f>IFERROR(VLOOKUP(_xlfn.CONCAT(A10,RegionSelect!$C$2),'Ssn Nutr'!$AC:$AG,2,FALSE),VLOOKUP(_xlfn.CONCAT(A10,"ET"),'Ssn Nutr'!$AC:$AG,2,FALSE))</f>
        <v>0.10706638115631693</v>
      </c>
      <c r="C10" s="381">
        <f>IFERROR(VLOOKUP(_xlfn.CONCAT(A10,RegionSelect!$C$2),'Ssn TB'!$AY:$BD,2,FALSE),VLOOKUP(_xlfn.CONCAT(A10,"ET"),'Ssn TB'!$AY:$BD,2,FALSE))</f>
        <v>7.9233702222635552E-2</v>
      </c>
      <c r="D10" s="363">
        <f>IFERROR(VLOOKUP(_xlfn.CONCAT(A10,RegionSelect!$C$2),'Ssn Births'!$B:$F,2,FALSE), VLOOKUP(_xlfn.CONCAT(A10,"ET"),'Ssn Births'!$B:$F,2,FALSE))</f>
        <v>0.102730579396168</v>
      </c>
      <c r="E10" s="381">
        <f>IFERROR(VLOOKUP(_xlfn.CONCAT(A10,RegionSelect!$C$2),'Ssn Malaria'!$AR:$AV,2,FALSE), VLOOKUP(_xlfn.CONCAT(A10,"ETR"),'Ssn Malaria'!$AR:$AV,2,FALSE))</f>
        <v>9.393164701025386E-2</v>
      </c>
      <c r="F10" s="381">
        <f>IFERROR(VLOOKUP(_xlfn.CONCAT(A10,RegionSelect!C10),'Ssn Diarrhea'!B:G,2,FALSE),VLOOKUP(_xlfn.CONCAT(A10,"ET07"),'Ssn Diarrhea'!B:G,2,FALSE))</f>
        <v>5.5517049192932967E-2</v>
      </c>
    </row>
    <row r="11" spans="1:6" x14ac:dyDescent="0.45">
      <c r="A11" t="s">
        <v>278</v>
      </c>
      <c r="B11" s="363">
        <f>IFERROR(VLOOKUP(_xlfn.CONCAT(A11,RegionSelect!$C$2),'Ssn Nutr'!$AC:$AG,2,FALSE),VLOOKUP(_xlfn.CONCAT(A11,"ET"),'Ssn Nutr'!$AC:$AG,2,FALSE))</f>
        <v>0.15417558886509636</v>
      </c>
      <c r="C11" s="381">
        <f>IFERROR(VLOOKUP(_xlfn.CONCAT(A11,RegionSelect!$C$2),'Ssn TB'!$AY:$BD,2,FALSE),VLOOKUP(_xlfn.CONCAT(A11,"ET"),'Ssn TB'!$AY:$BD,2,FALSE))</f>
        <v>7.8117734585697027E-2</v>
      </c>
      <c r="D11" s="363">
        <f>IFERROR(VLOOKUP(_xlfn.CONCAT(A11,RegionSelect!$C$2),'Ssn Births'!$B:$F,2,FALSE), VLOOKUP(_xlfn.CONCAT(A11,"ET"),'Ssn Births'!$B:$F,2,FALSE))</f>
        <v>7.1352256743233602E-2</v>
      </c>
      <c r="E11" s="381">
        <f>IFERROR(VLOOKUP(_xlfn.CONCAT(A11,RegionSelect!$C$2),'Ssn Malaria'!$AR:$AV,2,FALSE), VLOOKUP(_xlfn.CONCAT(A11,"ETR"),'Ssn Malaria'!$AR:$AV,2,FALSE))</f>
        <v>0.1277403545528342</v>
      </c>
      <c r="F11" s="381">
        <f>IFERROR(VLOOKUP(_xlfn.CONCAT(A11,RegionSelect!C11),'Ssn Diarrhea'!B:G,2,FALSE),VLOOKUP(_xlfn.CONCAT(A11,"ET07"),'Ssn Diarrhea'!B:G,2,FALSE))</f>
        <v>5.6351548258912781E-2</v>
      </c>
    </row>
    <row r="12" spans="1:6" x14ac:dyDescent="0.45">
      <c r="A12" t="s">
        <v>279</v>
      </c>
      <c r="B12" s="363">
        <f>IFERROR(VLOOKUP(_xlfn.CONCAT(A12,RegionSelect!$C$2),'Ssn Nutr'!$AC:$AG,2,FALSE),VLOOKUP(_xlfn.CONCAT(A12,"ET"),'Ssn Nutr'!$AC:$AG,2,FALSE))</f>
        <v>0.14561027837259102</v>
      </c>
      <c r="C12" s="381">
        <f>IFERROR(VLOOKUP(_xlfn.CONCAT(A12,RegionSelect!$C$2),'Ssn TB'!$AY:$BD,2,FALSE),VLOOKUP(_xlfn.CONCAT(A12,"ET"),'Ssn TB'!$AY:$BD,2,FALSE))</f>
        <v>7.7001766948758502E-2</v>
      </c>
      <c r="D12" s="363">
        <f>IFERROR(VLOOKUP(_xlfn.CONCAT(A12,RegionSelect!$C$2),'Ssn Births'!$B:$F,2,FALSE), VLOOKUP(_xlfn.CONCAT(A12,"ET"),'Ssn Births'!$B:$F,2,FALSE))</f>
        <v>8.0057405568158102E-2</v>
      </c>
      <c r="E12" s="381">
        <f>IFERROR(VLOOKUP(_xlfn.CONCAT(A12,RegionSelect!$C$2),'Ssn Malaria'!$AR:$AV,2,FALSE), VLOOKUP(_xlfn.CONCAT(A12,"ETR"),'Ssn Malaria'!$AR:$AV,2,FALSE))</f>
        <v>0.13255239757366111</v>
      </c>
      <c r="F12" s="381">
        <f>IFERROR(VLOOKUP(_xlfn.CONCAT(A12,RegionSelect!C12),'Ssn Diarrhea'!B:G,2,FALSE),VLOOKUP(_xlfn.CONCAT(A12,"ET07"),'Ssn Diarrhea'!B:G,2,FALSE))</f>
        <v>6.8327289554465973E-2</v>
      </c>
    </row>
    <row r="13" spans="1:6" x14ac:dyDescent="0.45">
      <c r="A13" t="s">
        <v>280</v>
      </c>
      <c r="B13" s="363">
        <f>IFERROR(VLOOKUP(_xlfn.CONCAT(A13,RegionSelect!$C$2),'Ssn Nutr'!$AC:$AG,2,FALSE),VLOOKUP(_xlfn.CONCAT(A13,"ET"),'Ssn Nutr'!$AC:$AG,2,FALSE))</f>
        <v>0.15417558886509636</v>
      </c>
      <c r="C13" s="381">
        <f>IFERROR(VLOOKUP(_xlfn.CONCAT(A13,RegionSelect!$C$2),'Ssn TB'!$AY:$BD,2,FALSE),VLOOKUP(_xlfn.CONCAT(A13,"ET"),'Ssn TB'!$AY:$BD,2,FALSE))</f>
        <v>8.0070677950339453E-2</v>
      </c>
      <c r="D13" s="363">
        <f>IFERROR(VLOOKUP(_xlfn.CONCAT(A13,RegionSelect!$C$2),'Ssn Births'!$B:$F,2,FALSE), VLOOKUP(_xlfn.CONCAT(A13,"ET"),'Ssn Births'!$B:$F,2,FALSE))</f>
        <v>7.7000279807430794E-2</v>
      </c>
      <c r="E13" s="381">
        <f>IFERROR(VLOOKUP(_xlfn.CONCAT(A13,RegionSelect!$C$2),'Ssn Malaria'!$AR:$AV,2,FALSE), VLOOKUP(_xlfn.CONCAT(A13,"ETR"),'Ssn Malaria'!$AR:$AV,2,FALSE))</f>
        <v>8.7397325271139303E-2</v>
      </c>
      <c r="F13" s="381">
        <f>IFERROR(VLOOKUP(_xlfn.CONCAT(A13,RegionSelect!C13),'Ssn Diarrhea'!B:G,2,FALSE),VLOOKUP(_xlfn.CONCAT(A13,"ET07"),'Ssn Diarrhea'!B:G,2,FALSE))</f>
        <v>8.3013046387820241E-2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B9B18-434F-4677-A182-407CBC10EA8F}">
  <sheetPr>
    <tabColor theme="9" tint="-0.249977111117893"/>
  </sheetPr>
  <dimension ref="A1:I23"/>
  <sheetViews>
    <sheetView workbookViewId="0">
      <selection activeCell="I23" sqref="I23"/>
    </sheetView>
  </sheetViews>
  <sheetFormatPr defaultRowHeight="14.25" x14ac:dyDescent="0.45"/>
  <cols>
    <col min="1" max="1" width="13.53125" customWidth="1"/>
    <col min="2" max="2" width="31.46484375" bestFit="1" customWidth="1"/>
    <col min="3" max="3" width="11.265625" bestFit="1" customWidth="1"/>
    <col min="10" max="10" width="7.46484375" customWidth="1"/>
  </cols>
  <sheetData>
    <row r="1" spans="1:9" x14ac:dyDescent="0.45">
      <c r="A1" t="s">
        <v>281</v>
      </c>
      <c r="B1" t="s">
        <v>101</v>
      </c>
      <c r="C1" t="s">
        <v>282</v>
      </c>
      <c r="D1" t="s">
        <v>283</v>
      </c>
      <c r="E1" t="s">
        <v>284</v>
      </c>
      <c r="F1" t="s">
        <v>285</v>
      </c>
      <c r="G1" t="s">
        <v>286</v>
      </c>
      <c r="H1" t="s">
        <v>2062</v>
      </c>
      <c r="I1" t="s">
        <v>2063</v>
      </c>
    </row>
    <row r="2" spans="1:9" x14ac:dyDescent="0.45">
      <c r="A2" t="s">
        <v>2165</v>
      </c>
      <c r="B2" t="s">
        <v>2167</v>
      </c>
      <c r="C2" t="s">
        <v>288</v>
      </c>
      <c r="D2">
        <v>-7</v>
      </c>
      <c r="E2">
        <v>-5</v>
      </c>
      <c r="F2">
        <v>-3</v>
      </c>
      <c r="G2">
        <v>-1</v>
      </c>
    </row>
    <row r="3" spans="1:9" x14ac:dyDescent="0.45">
      <c r="A3" t="s">
        <v>2198</v>
      </c>
      <c r="B3" t="s">
        <v>2173</v>
      </c>
      <c r="C3" t="s">
        <v>288</v>
      </c>
      <c r="D3">
        <v>-4</v>
      </c>
    </row>
    <row r="4" spans="1:9" x14ac:dyDescent="0.45">
      <c r="A4" t="s">
        <v>2179</v>
      </c>
      <c r="B4" t="s">
        <v>2176</v>
      </c>
      <c r="C4" t="s">
        <v>288</v>
      </c>
      <c r="D4">
        <v>0</v>
      </c>
    </row>
    <row r="5" spans="1:9" x14ac:dyDescent="0.45">
      <c r="A5" t="s">
        <v>2181</v>
      </c>
      <c r="B5" t="s">
        <v>2177</v>
      </c>
      <c r="C5" t="s">
        <v>288</v>
      </c>
      <c r="D5">
        <v>0</v>
      </c>
    </row>
    <row r="6" spans="1:9" x14ac:dyDescent="0.45">
      <c r="A6" t="s">
        <v>2180</v>
      </c>
      <c r="B6" t="s">
        <v>2175</v>
      </c>
      <c r="C6" t="s">
        <v>288</v>
      </c>
      <c r="D6">
        <v>0</v>
      </c>
    </row>
    <row r="7" spans="1:9" x14ac:dyDescent="0.45">
      <c r="A7" t="s">
        <v>2630</v>
      </c>
      <c r="B7" t="s">
        <v>290</v>
      </c>
      <c r="C7" t="s">
        <v>288</v>
      </c>
      <c r="D7">
        <v>0</v>
      </c>
      <c r="E7">
        <v>1</v>
      </c>
    </row>
    <row r="8" spans="1:9" x14ac:dyDescent="0.45">
      <c r="A8" t="s">
        <v>2191</v>
      </c>
      <c r="B8" t="s">
        <v>292</v>
      </c>
      <c r="C8" t="s">
        <v>288</v>
      </c>
      <c r="D8">
        <v>1</v>
      </c>
      <c r="E8">
        <v>2</v>
      </c>
    </row>
    <row r="9" spans="1:9" x14ac:dyDescent="0.45">
      <c r="A9" t="s">
        <v>2192</v>
      </c>
      <c r="B9" t="s">
        <v>2187</v>
      </c>
      <c r="C9" t="s">
        <v>288</v>
      </c>
      <c r="D9">
        <v>1</v>
      </c>
    </row>
    <row r="10" spans="1:9" x14ac:dyDescent="0.45">
      <c r="A10" t="s">
        <v>2260</v>
      </c>
      <c r="B10" t="s">
        <v>178</v>
      </c>
      <c r="C10" t="s">
        <v>288</v>
      </c>
      <c r="D10" s="5">
        <v>4</v>
      </c>
      <c r="E10" s="5">
        <v>6</v>
      </c>
      <c r="F10" s="5">
        <v>9</v>
      </c>
      <c r="G10" s="5">
        <v>12</v>
      </c>
    </row>
    <row r="11" spans="1:9" x14ac:dyDescent="0.45">
      <c r="A11" t="s">
        <v>2261</v>
      </c>
      <c r="B11" t="s">
        <v>181</v>
      </c>
      <c r="C11" t="s">
        <v>288</v>
      </c>
      <c r="D11">
        <v>15</v>
      </c>
    </row>
    <row r="12" spans="1:9" x14ac:dyDescent="0.45">
      <c r="A12" t="s">
        <v>2226</v>
      </c>
      <c r="B12" t="s">
        <v>2224</v>
      </c>
      <c r="C12" t="s">
        <v>288</v>
      </c>
      <c r="D12" s="5">
        <v>6</v>
      </c>
      <c r="E12" s="5">
        <v>8</v>
      </c>
      <c r="F12" s="5">
        <v>10</v>
      </c>
    </row>
    <row r="13" spans="1:9" x14ac:dyDescent="0.45">
      <c r="A13" t="s">
        <v>2671</v>
      </c>
      <c r="B13" t="s">
        <v>2306</v>
      </c>
      <c r="C13" t="s">
        <v>191</v>
      </c>
      <c r="D13">
        <v>0</v>
      </c>
      <c r="E13" s="5">
        <v>3</v>
      </c>
    </row>
    <row r="14" spans="1:9" x14ac:dyDescent="0.45">
      <c r="A14" t="s">
        <v>2635</v>
      </c>
      <c r="B14" t="s">
        <v>2220</v>
      </c>
      <c r="C14" t="s">
        <v>191</v>
      </c>
      <c r="D14">
        <v>0</v>
      </c>
      <c r="E14" s="5">
        <v>1</v>
      </c>
      <c r="F14" s="5">
        <v>2</v>
      </c>
      <c r="G14" s="5">
        <v>3</v>
      </c>
    </row>
    <row r="15" spans="1:9" x14ac:dyDescent="0.45">
      <c r="A15" t="s">
        <v>2636</v>
      </c>
      <c r="B15" t="s">
        <v>2219</v>
      </c>
      <c r="C15" t="s">
        <v>191</v>
      </c>
      <c r="D15">
        <v>0</v>
      </c>
      <c r="E15" s="5">
        <v>1</v>
      </c>
    </row>
    <row r="16" spans="1:9" x14ac:dyDescent="0.45">
      <c r="A16" t="s">
        <v>2354</v>
      </c>
      <c r="B16" t="s">
        <v>2359</v>
      </c>
      <c r="C16" t="s">
        <v>69</v>
      </c>
      <c r="D16">
        <v>0</v>
      </c>
    </row>
    <row r="17" spans="1:4" x14ac:dyDescent="0.45">
      <c r="A17" t="s">
        <v>2355</v>
      </c>
      <c r="B17" t="s">
        <v>2360</v>
      </c>
      <c r="C17" t="s">
        <v>69</v>
      </c>
      <c r="D17">
        <v>0</v>
      </c>
    </row>
    <row r="18" spans="1:4" x14ac:dyDescent="0.45">
      <c r="A18" t="s">
        <v>2358</v>
      </c>
      <c r="B18" t="s">
        <v>2361</v>
      </c>
      <c r="C18" t="s">
        <v>69</v>
      </c>
      <c r="D18">
        <v>0</v>
      </c>
    </row>
    <row r="19" spans="1:4" x14ac:dyDescent="0.45">
      <c r="A19" t="s">
        <v>2356</v>
      </c>
      <c r="B19" t="s">
        <v>2362</v>
      </c>
      <c r="C19" t="s">
        <v>69</v>
      </c>
      <c r="D19">
        <v>0</v>
      </c>
    </row>
    <row r="20" spans="1:4" x14ac:dyDescent="0.45">
      <c r="A20" t="s">
        <v>2357</v>
      </c>
      <c r="B20" t="s">
        <v>2363</v>
      </c>
      <c r="C20" t="s">
        <v>69</v>
      </c>
      <c r="D20">
        <v>0</v>
      </c>
    </row>
    <row r="21" spans="1:4" x14ac:dyDescent="0.45">
      <c r="A21" t="s">
        <v>2373</v>
      </c>
      <c r="B21" t="s">
        <v>2375</v>
      </c>
      <c r="C21" t="s">
        <v>268</v>
      </c>
      <c r="D21">
        <v>0</v>
      </c>
    </row>
    <row r="22" spans="1:4" x14ac:dyDescent="0.45">
      <c r="A22" t="s">
        <v>2374</v>
      </c>
      <c r="B22" t="s">
        <v>2376</v>
      </c>
      <c r="C22" t="s">
        <v>268</v>
      </c>
      <c r="D22">
        <v>0</v>
      </c>
    </row>
    <row r="23" spans="1:4" x14ac:dyDescent="0.45">
      <c r="A23" s="64" t="s">
        <v>2227</v>
      </c>
      <c r="B23" s="58" t="s">
        <v>171</v>
      </c>
      <c r="C23" t="s">
        <v>171</v>
      </c>
      <c r="D23">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F8961-463F-4540-AE96-5FF353928741}">
  <sheetPr>
    <tabColor theme="9"/>
  </sheetPr>
  <dimension ref="A1:AA242"/>
  <sheetViews>
    <sheetView topLeftCell="F1" zoomScale="70" zoomScaleNormal="70" workbookViewId="0">
      <pane ySplit="1" topLeftCell="A217" activePane="bottomLeft" state="frozen"/>
      <selection pane="bottomLeft" activeCell="J234" sqref="J234"/>
    </sheetView>
  </sheetViews>
  <sheetFormatPr defaultRowHeight="14.25" x14ac:dyDescent="0.45"/>
  <cols>
    <col min="1" max="1" width="26.265625" style="66" bestFit="1" customWidth="1"/>
    <col min="2" max="2" width="24.53125" style="66" customWidth="1"/>
    <col min="3" max="3" width="17.265625" style="66" customWidth="1"/>
    <col min="4" max="4" width="5.46484375" style="66" bestFit="1" customWidth="1"/>
    <col min="5" max="5" width="15.19921875" style="64" customWidth="1"/>
    <col min="6" max="6" width="42" bestFit="1" customWidth="1"/>
    <col min="7" max="7" width="15.19921875" customWidth="1"/>
    <col min="8" max="8" width="15.46484375" customWidth="1"/>
    <col min="9" max="9" width="15.19921875" customWidth="1"/>
    <col min="10" max="10" width="15.19921875" style="257" customWidth="1"/>
    <col min="11" max="11" width="4" style="64" customWidth="1"/>
    <col min="12" max="12" width="4" customWidth="1"/>
    <col min="13" max="13" width="4" style="257" customWidth="1"/>
    <col min="14" max="14" width="15.19921875" hidden="1" customWidth="1"/>
    <col min="15" max="15" width="17.46484375" style="195" customWidth="1"/>
    <col min="16" max="17" width="15.19921875" hidden="1" customWidth="1"/>
    <col min="18" max="18" width="17" hidden="1" customWidth="1"/>
    <col min="19" max="19" width="18.46484375" style="89" customWidth="1"/>
    <col min="20" max="20" width="19.19921875" customWidth="1"/>
    <col min="21" max="21" width="18.73046875" customWidth="1"/>
    <col min="22" max="22" width="15.19921875" style="6" customWidth="1"/>
    <col min="23" max="25" width="15.19921875" customWidth="1"/>
    <col min="26" max="26" width="27.53125" customWidth="1"/>
    <col min="27" max="27" width="9.796875" bestFit="1" customWidth="1"/>
  </cols>
  <sheetData>
    <row r="1" spans="1:27" s="177" customFormat="1" ht="87.7" customHeight="1" x14ac:dyDescent="0.45">
      <c r="A1" s="402" t="s">
        <v>2166</v>
      </c>
      <c r="B1" s="402"/>
      <c r="C1" s="402"/>
      <c r="D1" s="402"/>
      <c r="E1" s="301" t="s">
        <v>135</v>
      </c>
      <c r="F1" s="302" t="s">
        <v>136</v>
      </c>
      <c r="G1" s="302" t="s">
        <v>137</v>
      </c>
      <c r="H1" s="302" t="s">
        <v>138</v>
      </c>
      <c r="I1" s="302" t="s">
        <v>139</v>
      </c>
      <c r="J1" s="304" t="s">
        <v>140</v>
      </c>
      <c r="K1" s="301" t="s">
        <v>2170</v>
      </c>
      <c r="L1" s="302" t="s">
        <v>2171</v>
      </c>
      <c r="M1" s="303" t="s">
        <v>2172</v>
      </c>
      <c r="N1" s="299" t="s">
        <v>141</v>
      </c>
      <c r="O1" s="308" t="s">
        <v>142</v>
      </c>
      <c r="P1" s="299" t="s">
        <v>143</v>
      </c>
      <c r="Q1" s="300" t="s">
        <v>144</v>
      </c>
      <c r="R1" s="300" t="s">
        <v>145</v>
      </c>
      <c r="S1" s="300" t="s">
        <v>146</v>
      </c>
      <c r="T1" s="299" t="s">
        <v>147</v>
      </c>
      <c r="U1" s="299" t="s">
        <v>148</v>
      </c>
      <c r="V1" s="313" t="s">
        <v>149</v>
      </c>
      <c r="W1" s="299" t="s">
        <v>150</v>
      </c>
      <c r="X1" s="299" t="s">
        <v>151</v>
      </c>
      <c r="Y1" s="299" t="s">
        <v>2200</v>
      </c>
      <c r="Z1" s="299" t="s">
        <v>2183</v>
      </c>
      <c r="AA1" s="177" t="s">
        <v>2833</v>
      </c>
    </row>
    <row r="2" spans="1:27" x14ac:dyDescent="0.45">
      <c r="A2" t="s">
        <v>2163</v>
      </c>
      <c r="B2" t="s">
        <v>2164</v>
      </c>
      <c r="C2" s="66" t="s">
        <v>153</v>
      </c>
      <c r="D2" s="324">
        <v>1</v>
      </c>
      <c r="E2" s="64" t="s">
        <v>2165</v>
      </c>
      <c r="F2" t="s">
        <v>2167</v>
      </c>
      <c r="G2" t="s">
        <v>154</v>
      </c>
      <c r="H2" t="s">
        <v>2787</v>
      </c>
      <c r="I2" t="s">
        <v>65</v>
      </c>
      <c r="J2" s="257" t="s">
        <v>156</v>
      </c>
      <c r="K2" s="64" t="s">
        <v>975</v>
      </c>
      <c r="L2" t="s">
        <v>975</v>
      </c>
      <c r="M2" s="257" t="s">
        <v>975</v>
      </c>
      <c r="N2" t="str">
        <f>RegionSelect!$B$2</f>
        <v>Amhara</v>
      </c>
      <c r="O2" s="195">
        <v>1</v>
      </c>
      <c r="P2" t="s">
        <v>212</v>
      </c>
      <c r="S2" s="89">
        <v>1</v>
      </c>
      <c r="T2">
        <v>4</v>
      </c>
      <c r="V2" s="6">
        <v>10</v>
      </c>
    </row>
    <row r="3" spans="1:27" x14ac:dyDescent="0.45">
      <c r="A3" t="s">
        <v>2163</v>
      </c>
      <c r="B3" t="s">
        <v>2164</v>
      </c>
      <c r="C3" s="66" t="s">
        <v>153</v>
      </c>
      <c r="D3" s="324">
        <v>2</v>
      </c>
      <c r="E3" s="64" t="s">
        <v>2198</v>
      </c>
      <c r="F3" t="s">
        <v>2173</v>
      </c>
      <c r="G3" t="s">
        <v>154</v>
      </c>
      <c r="H3" t="s">
        <v>2787</v>
      </c>
      <c r="I3" t="s">
        <v>65</v>
      </c>
      <c r="J3" s="257" t="s">
        <v>156</v>
      </c>
      <c r="K3" s="64" t="s">
        <v>975</v>
      </c>
      <c r="L3" t="s">
        <v>975</v>
      </c>
      <c r="M3" s="257" t="s">
        <v>194</v>
      </c>
      <c r="N3" t="str">
        <f>RegionSelect!$B$2</f>
        <v>Amhara</v>
      </c>
      <c r="O3" s="195">
        <v>1</v>
      </c>
      <c r="P3" t="s">
        <v>212</v>
      </c>
      <c r="S3" s="89">
        <v>1</v>
      </c>
      <c r="T3">
        <v>1</v>
      </c>
      <c r="V3" s="326">
        <v>15</v>
      </c>
      <c r="Y3" t="s">
        <v>975</v>
      </c>
    </row>
    <row r="4" spans="1:27" x14ac:dyDescent="0.45">
      <c r="A4" t="s">
        <v>2163</v>
      </c>
      <c r="B4" t="s">
        <v>2164</v>
      </c>
      <c r="C4" s="66" t="s">
        <v>2174</v>
      </c>
      <c r="D4" s="324">
        <v>3</v>
      </c>
      <c r="E4" s="64" t="s">
        <v>2179</v>
      </c>
      <c r="F4" t="s">
        <v>2176</v>
      </c>
      <c r="G4" t="s">
        <v>154</v>
      </c>
      <c r="H4" t="s">
        <v>2789</v>
      </c>
      <c r="I4" t="s">
        <v>65</v>
      </c>
      <c r="J4" s="257" t="s">
        <v>156</v>
      </c>
      <c r="K4" s="64" t="s">
        <v>975</v>
      </c>
      <c r="L4" t="s">
        <v>194</v>
      </c>
      <c r="M4" s="257" t="s">
        <v>194</v>
      </c>
      <c r="N4" t="str">
        <f>RegionSelect!$B$2</f>
        <v>Amhara</v>
      </c>
      <c r="O4" s="195">
        <v>1</v>
      </c>
      <c r="P4" t="s">
        <v>212</v>
      </c>
      <c r="S4" s="89">
        <v>1</v>
      </c>
      <c r="T4">
        <v>1</v>
      </c>
      <c r="V4" s="6">
        <v>15</v>
      </c>
    </row>
    <row r="5" spans="1:27" x14ac:dyDescent="0.45">
      <c r="A5" t="s">
        <v>2163</v>
      </c>
      <c r="B5" t="s">
        <v>2164</v>
      </c>
      <c r="C5" s="66" t="s">
        <v>2174</v>
      </c>
      <c r="D5" s="324">
        <v>4</v>
      </c>
      <c r="E5" s="64" t="s">
        <v>2180</v>
      </c>
      <c r="F5" t="s">
        <v>2175</v>
      </c>
      <c r="G5" t="s">
        <v>154</v>
      </c>
      <c r="H5" t="s">
        <v>2789</v>
      </c>
      <c r="I5" t="s">
        <v>65</v>
      </c>
      <c r="J5" s="257" t="s">
        <v>156</v>
      </c>
      <c r="K5" s="64" t="s">
        <v>975</v>
      </c>
      <c r="L5" t="s">
        <v>194</v>
      </c>
      <c r="M5" s="257" t="s">
        <v>194</v>
      </c>
      <c r="N5" t="str">
        <f>RegionSelect!$B$2</f>
        <v>Amhara</v>
      </c>
      <c r="O5" s="195">
        <v>1</v>
      </c>
      <c r="P5" t="s">
        <v>212</v>
      </c>
      <c r="S5" s="89">
        <v>1</v>
      </c>
      <c r="T5">
        <v>1</v>
      </c>
      <c r="V5" s="6">
        <v>60</v>
      </c>
      <c r="Y5" t="s">
        <v>975</v>
      </c>
      <c r="Z5" t="s">
        <v>2184</v>
      </c>
    </row>
    <row r="6" spans="1:27" x14ac:dyDescent="0.45">
      <c r="A6" t="s">
        <v>2163</v>
      </c>
      <c r="B6" t="s">
        <v>2164</v>
      </c>
      <c r="C6" s="66" t="s">
        <v>2174</v>
      </c>
      <c r="D6" s="324">
        <v>5</v>
      </c>
      <c r="E6" s="64" t="s">
        <v>2181</v>
      </c>
      <c r="F6" t="s">
        <v>2177</v>
      </c>
      <c r="G6" t="s">
        <v>154</v>
      </c>
      <c r="H6" t="s">
        <v>2789</v>
      </c>
      <c r="I6" t="s">
        <v>65</v>
      </c>
      <c r="J6" s="257" t="s">
        <v>156</v>
      </c>
      <c r="K6" s="64" t="s">
        <v>975</v>
      </c>
      <c r="L6" t="s">
        <v>194</v>
      </c>
      <c r="M6" s="257" t="s">
        <v>194</v>
      </c>
      <c r="N6" t="str">
        <f>RegionSelect!$B$2</f>
        <v>Amhara</v>
      </c>
      <c r="O6" s="145">
        <f>IFERROR(VLOOKUP(_xlfn.CONCAT(AA6,RegionSelect!$C$2),RegionalData!$C:$S,13,FALSE),VLOOKUP(_xlfn.CONCAT(AA6,"ET"),RegionalData!$C:$S,13,FALSE))</f>
        <v>0.24284697815821815</v>
      </c>
      <c r="P6" t="s">
        <v>2195</v>
      </c>
      <c r="S6" s="89">
        <v>1</v>
      </c>
      <c r="T6">
        <v>1</v>
      </c>
      <c r="V6" s="6">
        <v>30</v>
      </c>
      <c r="Y6" t="s">
        <v>975</v>
      </c>
      <c r="Z6" s="311" t="s">
        <v>2493</v>
      </c>
      <c r="AA6" t="s">
        <v>2888</v>
      </c>
    </row>
    <row r="7" spans="1:27" x14ac:dyDescent="0.45">
      <c r="A7" t="s">
        <v>2163</v>
      </c>
      <c r="B7" t="s">
        <v>2164</v>
      </c>
      <c r="C7" s="66" t="s">
        <v>2174</v>
      </c>
      <c r="D7" s="324">
        <v>6</v>
      </c>
      <c r="E7" s="64" t="s">
        <v>2182</v>
      </c>
      <c r="F7" t="s">
        <v>2178</v>
      </c>
      <c r="G7" t="s">
        <v>154</v>
      </c>
      <c r="H7" t="s">
        <v>2787</v>
      </c>
      <c r="I7" t="s">
        <v>65</v>
      </c>
      <c r="J7" s="257" t="s">
        <v>156</v>
      </c>
      <c r="K7" s="64" t="s">
        <v>975</v>
      </c>
      <c r="L7" t="s">
        <v>194</v>
      </c>
      <c r="M7" s="257" t="s">
        <v>194</v>
      </c>
      <c r="N7" t="str">
        <f>RegionSelect!$B$2</f>
        <v>Amhara</v>
      </c>
      <c r="O7" s="310"/>
      <c r="P7" t="s">
        <v>2195</v>
      </c>
      <c r="S7" s="89">
        <v>1</v>
      </c>
      <c r="T7">
        <v>1</v>
      </c>
      <c r="V7" s="6">
        <v>0</v>
      </c>
      <c r="Z7" t="s">
        <v>2196</v>
      </c>
    </row>
    <row r="8" spans="1:27" x14ac:dyDescent="0.45">
      <c r="A8" t="s">
        <v>2163</v>
      </c>
      <c r="B8" t="s">
        <v>2164</v>
      </c>
      <c r="C8" s="66" t="s">
        <v>2185</v>
      </c>
      <c r="D8" s="324">
        <v>7</v>
      </c>
      <c r="E8" s="64" t="s">
        <v>2191</v>
      </c>
      <c r="F8" t="s">
        <v>2186</v>
      </c>
      <c r="G8" t="s">
        <v>154</v>
      </c>
      <c r="H8" t="s">
        <v>2787</v>
      </c>
      <c r="I8" t="s">
        <v>65</v>
      </c>
      <c r="J8" s="257" t="s">
        <v>156</v>
      </c>
      <c r="K8" s="64" t="s">
        <v>975</v>
      </c>
      <c r="L8" t="s">
        <v>975</v>
      </c>
      <c r="M8" s="257" t="s">
        <v>975</v>
      </c>
      <c r="N8" t="str">
        <f>RegionSelect!$B$2</f>
        <v>Amhara</v>
      </c>
      <c r="O8" s="195">
        <v>1</v>
      </c>
      <c r="P8" t="s">
        <v>212</v>
      </c>
      <c r="S8" s="89">
        <v>1</v>
      </c>
      <c r="T8">
        <v>2</v>
      </c>
      <c r="V8" s="6">
        <v>60</v>
      </c>
    </row>
    <row r="9" spans="1:27" x14ac:dyDescent="0.45">
      <c r="A9" t="s">
        <v>2163</v>
      </c>
      <c r="B9" t="s">
        <v>2164</v>
      </c>
      <c r="C9" s="66" t="s">
        <v>2185</v>
      </c>
      <c r="D9" s="324">
        <v>8</v>
      </c>
      <c r="E9" s="64" t="s">
        <v>2192</v>
      </c>
      <c r="F9" t="s">
        <v>2187</v>
      </c>
      <c r="G9" t="s">
        <v>154</v>
      </c>
      <c r="H9" t="s">
        <v>2789</v>
      </c>
      <c r="I9" t="s">
        <v>65</v>
      </c>
      <c r="J9" s="257" t="s">
        <v>156</v>
      </c>
      <c r="K9" s="64" t="s">
        <v>975</v>
      </c>
      <c r="L9" t="s">
        <v>194</v>
      </c>
      <c r="M9" s="257" t="s">
        <v>194</v>
      </c>
      <c r="N9" s="52" t="str">
        <f>RegionSelect!$B$2</f>
        <v>Amhara</v>
      </c>
      <c r="O9" s="145">
        <f>IFERROR(VLOOKUP(_xlfn.CONCAT(AA9,RegionSelect!$C$2),RegionalData!$C:$S,13,FALSE),VLOOKUP(_xlfn.CONCAT(AA9,"ET"),RegionalData!$C:$S,13,FALSE))</f>
        <v>0.18539999999999998</v>
      </c>
      <c r="P9" t="s">
        <v>2195</v>
      </c>
      <c r="R9" t="s">
        <v>2201</v>
      </c>
      <c r="S9" s="139">
        <v>1</v>
      </c>
      <c r="T9">
        <v>1</v>
      </c>
      <c r="V9" s="6">
        <f>7*60</f>
        <v>420</v>
      </c>
      <c r="Y9" t="s">
        <v>975</v>
      </c>
      <c r="Z9" t="s">
        <v>2204</v>
      </c>
      <c r="AA9" t="s">
        <v>2906</v>
      </c>
    </row>
    <row r="10" spans="1:27" x14ac:dyDescent="0.45">
      <c r="A10" t="s">
        <v>2163</v>
      </c>
      <c r="B10" t="s">
        <v>2164</v>
      </c>
      <c r="C10" s="66" t="s">
        <v>2185</v>
      </c>
      <c r="D10" s="324">
        <v>9</v>
      </c>
      <c r="E10" s="64" t="s">
        <v>2193</v>
      </c>
      <c r="F10" t="s">
        <v>2188</v>
      </c>
      <c r="G10" t="s">
        <v>154</v>
      </c>
      <c r="H10" t="s">
        <v>2789</v>
      </c>
      <c r="I10" t="s">
        <v>65</v>
      </c>
      <c r="J10" s="257" t="s">
        <v>156</v>
      </c>
      <c r="K10" s="64" t="s">
        <v>975</v>
      </c>
      <c r="L10" t="s">
        <v>975</v>
      </c>
      <c r="M10" s="257" t="s">
        <v>194</v>
      </c>
      <c r="N10" t="str">
        <f>RegionSelect!$B$2</f>
        <v>Amhara</v>
      </c>
      <c r="O10" s="145">
        <f>IFERROR(VLOOKUP(_xlfn.CONCAT(AA10,RegionSelect!$C$2),RegionalData!$C:$S,13,FALSE),VLOOKUP(_xlfn.CONCAT(AA10,"ET"),RegionalData!$C:$S,13,FALSE))</f>
        <v>9.5000000000000001E-2</v>
      </c>
      <c r="P10" t="s">
        <v>2195</v>
      </c>
      <c r="S10" s="139">
        <v>1</v>
      </c>
      <c r="T10">
        <v>3</v>
      </c>
      <c r="V10" s="6">
        <v>10</v>
      </c>
      <c r="Y10" t="s">
        <v>975</v>
      </c>
      <c r="Z10" t="s">
        <v>2203</v>
      </c>
      <c r="AA10" t="s">
        <v>2917</v>
      </c>
    </row>
    <row r="11" spans="1:27" x14ac:dyDescent="0.45">
      <c r="A11" t="s">
        <v>2163</v>
      </c>
      <c r="B11" t="s">
        <v>2164</v>
      </c>
      <c r="C11" s="66" t="s">
        <v>2185</v>
      </c>
      <c r="D11" s="324">
        <v>10</v>
      </c>
      <c r="E11" s="64" t="s">
        <v>2194</v>
      </c>
      <c r="F11" t="s">
        <v>2189</v>
      </c>
      <c r="G11" t="s">
        <v>154</v>
      </c>
      <c r="H11" t="s">
        <v>2789</v>
      </c>
      <c r="I11" t="s">
        <v>65</v>
      </c>
      <c r="J11" s="257" t="s">
        <v>156</v>
      </c>
      <c r="K11" s="64" t="s">
        <v>975</v>
      </c>
      <c r="L11" t="s">
        <v>194</v>
      </c>
      <c r="M11" s="257" t="s">
        <v>194</v>
      </c>
      <c r="N11" t="str">
        <f>RegionSelect!$B$2</f>
        <v>Amhara</v>
      </c>
      <c r="O11" s="145">
        <f>IFERROR(VLOOKUP(_xlfn.CONCAT(AA11,RegionSelect!$C$2),RegionalData!$C:$S,13,FALSE),VLOOKUP(_xlfn.CONCAT(AA11,"ET"),RegionalData!$C:$S,13,FALSE))</f>
        <v>0.1066</v>
      </c>
      <c r="P11" t="s">
        <v>2195</v>
      </c>
      <c r="R11" t="s">
        <v>2201</v>
      </c>
      <c r="S11" s="139">
        <v>1</v>
      </c>
      <c r="T11">
        <v>3</v>
      </c>
      <c r="V11" s="6">
        <v>60</v>
      </c>
      <c r="Y11" t="s">
        <v>975</v>
      </c>
      <c r="Z11" t="s">
        <v>2199</v>
      </c>
      <c r="AA11" t="s">
        <v>2921</v>
      </c>
    </row>
    <row r="12" spans="1:27" x14ac:dyDescent="0.45">
      <c r="A12" t="s">
        <v>2163</v>
      </c>
      <c r="B12" t="s">
        <v>2164</v>
      </c>
      <c r="C12" s="66" t="s">
        <v>2185</v>
      </c>
      <c r="D12" s="324">
        <v>11</v>
      </c>
      <c r="E12" s="64" t="s">
        <v>2202</v>
      </c>
      <c r="F12" t="s">
        <v>2190</v>
      </c>
      <c r="G12" t="s">
        <v>154</v>
      </c>
      <c r="H12" t="s">
        <v>2787</v>
      </c>
      <c r="I12" t="s">
        <v>65</v>
      </c>
      <c r="J12" s="257" t="s">
        <v>156</v>
      </c>
      <c r="K12" s="64" t="s">
        <v>975</v>
      </c>
      <c r="L12" t="s">
        <v>975</v>
      </c>
      <c r="M12" s="257" t="s">
        <v>194</v>
      </c>
      <c r="N12" t="str">
        <f>RegionSelect!$B$2</f>
        <v>Amhara</v>
      </c>
      <c r="O12" s="307">
        <f>O11</f>
        <v>0.1066</v>
      </c>
      <c r="P12" t="s">
        <v>2195</v>
      </c>
      <c r="R12" t="s">
        <v>2201</v>
      </c>
      <c r="S12" s="89">
        <f>S11</f>
        <v>1</v>
      </c>
      <c r="T12">
        <v>1</v>
      </c>
      <c r="V12" s="6">
        <v>10</v>
      </c>
      <c r="Y12" t="s">
        <v>975</v>
      </c>
      <c r="Z12" t="s">
        <v>2197</v>
      </c>
      <c r="AA12" t="s">
        <v>2921</v>
      </c>
    </row>
    <row r="13" spans="1:27" x14ac:dyDescent="0.45">
      <c r="A13" t="s">
        <v>2163</v>
      </c>
      <c r="B13" t="s">
        <v>2164</v>
      </c>
      <c r="C13" s="66" t="s">
        <v>2206</v>
      </c>
      <c r="D13" s="324">
        <v>12</v>
      </c>
      <c r="E13" s="64" t="s">
        <v>2207</v>
      </c>
      <c r="F13" t="s">
        <v>2208</v>
      </c>
      <c r="G13" t="s">
        <v>193</v>
      </c>
      <c r="H13" t="s">
        <v>206</v>
      </c>
      <c r="I13" t="s">
        <v>194</v>
      </c>
      <c r="J13" s="257" t="s">
        <v>194</v>
      </c>
      <c r="K13" s="64" t="s">
        <v>975</v>
      </c>
      <c r="L13" t="s">
        <v>975</v>
      </c>
      <c r="M13" s="257" t="s">
        <v>975</v>
      </c>
      <c r="N13" t="str">
        <f>RegionSelect!$B$2</f>
        <v>Amhara</v>
      </c>
      <c r="P13" s="195" t="s">
        <v>194</v>
      </c>
      <c r="Q13" s="195"/>
      <c r="R13" s="195"/>
      <c r="S13" s="195"/>
      <c r="T13" s="195"/>
      <c r="U13" s="195"/>
      <c r="W13" s="195"/>
      <c r="X13" s="195"/>
      <c r="Y13" t="s">
        <v>975</v>
      </c>
      <c r="Z13" t="s">
        <v>2211</v>
      </c>
    </row>
    <row r="14" spans="1:27" x14ac:dyDescent="0.45">
      <c r="A14" t="s">
        <v>2163</v>
      </c>
      <c r="B14" t="s">
        <v>2164</v>
      </c>
      <c r="C14" s="66" t="s">
        <v>2206</v>
      </c>
      <c r="D14" s="324">
        <v>13</v>
      </c>
      <c r="E14" s="64" t="s">
        <v>2768</v>
      </c>
      <c r="F14" t="s">
        <v>2209</v>
      </c>
      <c r="G14" t="s">
        <v>2248</v>
      </c>
      <c r="H14" t="s">
        <v>206</v>
      </c>
      <c r="I14" t="s">
        <v>194</v>
      </c>
      <c r="J14" s="257" t="s">
        <v>156</v>
      </c>
      <c r="K14" s="64" t="s">
        <v>975</v>
      </c>
      <c r="L14" t="s">
        <v>975</v>
      </c>
      <c r="M14" s="257" t="s">
        <v>975</v>
      </c>
      <c r="N14" t="str">
        <f>RegionSelect!$B$2</f>
        <v>Amhara</v>
      </c>
      <c r="P14" s="195" t="s">
        <v>194</v>
      </c>
      <c r="Q14" s="195"/>
      <c r="R14" s="195"/>
      <c r="S14" s="195"/>
      <c r="T14" s="195"/>
      <c r="U14" s="195"/>
      <c r="W14" s="195"/>
      <c r="X14" s="195"/>
      <c r="Y14" t="s">
        <v>975</v>
      </c>
      <c r="Z14" t="s">
        <v>2212</v>
      </c>
    </row>
    <row r="15" spans="1:27" x14ac:dyDescent="0.45">
      <c r="A15" t="s">
        <v>2163</v>
      </c>
      <c r="B15" t="s">
        <v>2164</v>
      </c>
      <c r="C15" s="66" t="s">
        <v>2206</v>
      </c>
      <c r="D15" s="324">
        <v>14</v>
      </c>
      <c r="E15" s="64" t="s">
        <v>2769</v>
      </c>
      <c r="F15" t="s">
        <v>2210</v>
      </c>
      <c r="G15" t="s">
        <v>2248</v>
      </c>
      <c r="H15" t="s">
        <v>2787</v>
      </c>
      <c r="I15" t="s">
        <v>2240</v>
      </c>
      <c r="J15" s="257" t="s">
        <v>253</v>
      </c>
      <c r="K15" s="64" t="s">
        <v>975</v>
      </c>
      <c r="L15" t="s">
        <v>975</v>
      </c>
      <c r="M15" s="257" t="s">
        <v>975</v>
      </c>
      <c r="N15" t="str">
        <f>RegionSelect!$B$2</f>
        <v>Amhara</v>
      </c>
      <c r="P15" s="195" t="s">
        <v>194</v>
      </c>
      <c r="Q15" s="195"/>
      <c r="R15" s="195"/>
      <c r="S15" s="195"/>
      <c r="T15" s="195"/>
      <c r="U15" s="195"/>
      <c r="W15" s="195"/>
      <c r="X15" s="195"/>
      <c r="Y15" t="s">
        <v>975</v>
      </c>
      <c r="Z15" t="s">
        <v>2249</v>
      </c>
    </row>
    <row r="16" spans="1:27" x14ac:dyDescent="0.45">
      <c r="A16" t="s">
        <v>2163</v>
      </c>
      <c r="B16" s="66" t="s">
        <v>2213</v>
      </c>
      <c r="D16" s="324">
        <v>15</v>
      </c>
      <c r="E16" s="64" t="str">
        <f>_xlfn.CONCAT("FH.MN.",D16)</f>
        <v>FH.MN.15</v>
      </c>
      <c r="F16" t="s">
        <v>290</v>
      </c>
      <c r="G16" t="s">
        <v>154</v>
      </c>
      <c r="H16" t="s">
        <v>2787</v>
      </c>
      <c r="I16" t="s">
        <v>65</v>
      </c>
      <c r="J16" s="257" t="s">
        <v>156</v>
      </c>
      <c r="K16" s="64" t="s">
        <v>975</v>
      </c>
      <c r="L16" t="s">
        <v>975</v>
      </c>
      <c r="M16" s="257" t="s">
        <v>975</v>
      </c>
      <c r="N16" t="str">
        <f>RegionSelect!$B$2</f>
        <v>Amhara</v>
      </c>
      <c r="O16" s="195">
        <v>1</v>
      </c>
      <c r="P16" s="195" t="s">
        <v>212</v>
      </c>
      <c r="S16" s="89">
        <v>1</v>
      </c>
      <c r="T16">
        <v>2</v>
      </c>
      <c r="U16" s="195"/>
      <c r="V16" s="6">
        <v>30</v>
      </c>
      <c r="W16" s="195"/>
      <c r="X16" s="195"/>
    </row>
    <row r="17" spans="1:27" x14ac:dyDescent="0.45">
      <c r="A17" t="s">
        <v>2163</v>
      </c>
      <c r="B17" s="66" t="s">
        <v>2213</v>
      </c>
      <c r="D17" s="324">
        <v>16</v>
      </c>
      <c r="E17" s="64" t="str">
        <f t="shared" ref="E17:E36" si="0">_xlfn.CONCAT("FH.MN.",D17)</f>
        <v>FH.MN.16</v>
      </c>
      <c r="F17" t="s">
        <v>2214</v>
      </c>
      <c r="G17" t="s">
        <v>154</v>
      </c>
      <c r="H17" t="s">
        <v>2787</v>
      </c>
      <c r="I17" t="s">
        <v>65</v>
      </c>
      <c r="J17" s="257" t="s">
        <v>156</v>
      </c>
      <c r="K17" s="64" t="s">
        <v>975</v>
      </c>
      <c r="L17" t="s">
        <v>975</v>
      </c>
      <c r="M17" s="257" t="s">
        <v>194</v>
      </c>
      <c r="N17" t="str">
        <f>RegionSelect!$B$2</f>
        <v>Amhara</v>
      </c>
      <c r="O17" s="195">
        <v>1</v>
      </c>
      <c r="P17" s="195" t="s">
        <v>212</v>
      </c>
      <c r="S17" s="89">
        <v>1</v>
      </c>
      <c r="T17" s="195"/>
      <c r="U17" s="195"/>
      <c r="W17" s="195"/>
      <c r="X17" s="195"/>
      <c r="Z17" t="s">
        <v>2231</v>
      </c>
    </row>
    <row r="18" spans="1:27" x14ac:dyDescent="0.45">
      <c r="A18" t="s">
        <v>2163</v>
      </c>
      <c r="B18" s="66" t="s">
        <v>2213</v>
      </c>
      <c r="D18" s="324">
        <v>17</v>
      </c>
      <c r="E18" s="64" t="str">
        <f t="shared" si="0"/>
        <v>FH.MN.17</v>
      </c>
      <c r="F18" t="s">
        <v>2215</v>
      </c>
      <c r="G18" t="s">
        <v>154</v>
      </c>
      <c r="H18" t="s">
        <v>2787</v>
      </c>
      <c r="I18" t="s">
        <v>65</v>
      </c>
      <c r="J18" s="257" t="s">
        <v>156</v>
      </c>
      <c r="K18" s="64" t="s">
        <v>975</v>
      </c>
      <c r="L18" t="s">
        <v>975</v>
      </c>
      <c r="M18" s="257" t="s">
        <v>975</v>
      </c>
      <c r="N18" t="str">
        <f>RegionSelect!$B$2</f>
        <v>Amhara</v>
      </c>
      <c r="O18" s="195">
        <v>1</v>
      </c>
      <c r="P18" s="195" t="s">
        <v>212</v>
      </c>
      <c r="S18" s="89">
        <v>1</v>
      </c>
      <c r="T18" s="195"/>
      <c r="U18" s="195"/>
      <c r="W18" s="195"/>
      <c r="X18" s="195"/>
      <c r="Z18" t="s">
        <v>2231</v>
      </c>
    </row>
    <row r="19" spans="1:27" x14ac:dyDescent="0.45">
      <c r="A19" t="s">
        <v>2163</v>
      </c>
      <c r="B19" s="66" t="s">
        <v>2213</v>
      </c>
      <c r="D19" s="324">
        <v>18</v>
      </c>
      <c r="E19" s="64" t="str">
        <f t="shared" si="0"/>
        <v>FH.MN.18</v>
      </c>
      <c r="F19" t="s">
        <v>2216</v>
      </c>
      <c r="G19" t="s">
        <v>154</v>
      </c>
      <c r="H19" t="s">
        <v>2788</v>
      </c>
      <c r="I19" t="s">
        <v>67</v>
      </c>
      <c r="J19" s="257" t="s">
        <v>156</v>
      </c>
      <c r="K19" s="64" t="s">
        <v>975</v>
      </c>
      <c r="L19" t="s">
        <v>975</v>
      </c>
      <c r="M19" s="257" t="s">
        <v>975</v>
      </c>
      <c r="N19" t="str">
        <f>RegionSelect!$B$2</f>
        <v>Amhara</v>
      </c>
      <c r="O19" s="195">
        <v>1</v>
      </c>
      <c r="P19" s="195" t="s">
        <v>212</v>
      </c>
      <c r="S19" s="89">
        <v>1</v>
      </c>
      <c r="T19" s="195"/>
      <c r="U19" s="195"/>
      <c r="W19" s="195"/>
      <c r="X19" s="195"/>
      <c r="Z19" t="s">
        <v>2231</v>
      </c>
    </row>
    <row r="20" spans="1:27" x14ac:dyDescent="0.45">
      <c r="A20" t="s">
        <v>2163</v>
      </c>
      <c r="B20" s="66" t="s">
        <v>2213</v>
      </c>
      <c r="D20" s="324">
        <v>19</v>
      </c>
      <c r="F20" t="s">
        <v>2217</v>
      </c>
      <c r="G20" t="s">
        <v>154</v>
      </c>
      <c r="H20" t="s">
        <v>2789</v>
      </c>
      <c r="I20" t="s">
        <v>67</v>
      </c>
      <c r="J20" s="257" t="s">
        <v>169</v>
      </c>
      <c r="K20" s="64" t="s">
        <v>975</v>
      </c>
      <c r="L20" t="s">
        <v>975</v>
      </c>
      <c r="M20" s="257" t="s">
        <v>975</v>
      </c>
      <c r="N20" t="str">
        <f>RegionSelect!$B$2</f>
        <v>Amhara</v>
      </c>
      <c r="P20" s="195" t="s">
        <v>194</v>
      </c>
      <c r="Q20" s="195"/>
      <c r="R20" s="195"/>
      <c r="S20" s="195"/>
      <c r="T20" s="195"/>
      <c r="U20" s="195"/>
      <c r="W20" s="195"/>
      <c r="X20" s="195"/>
      <c r="Z20" s="195" t="s">
        <v>2230</v>
      </c>
    </row>
    <row r="21" spans="1:27" x14ac:dyDescent="0.45">
      <c r="A21" t="s">
        <v>2163</v>
      </c>
      <c r="B21" s="66" t="s">
        <v>2213</v>
      </c>
      <c r="D21" s="324">
        <v>19</v>
      </c>
      <c r="E21" s="64" t="s">
        <v>2225</v>
      </c>
      <c r="F21" s="58" t="s">
        <v>2828</v>
      </c>
      <c r="G21" t="s">
        <v>154</v>
      </c>
      <c r="H21" t="s">
        <v>2789</v>
      </c>
      <c r="I21" t="s">
        <v>67</v>
      </c>
      <c r="J21" s="257" t="s">
        <v>169</v>
      </c>
      <c r="K21" s="64" t="s">
        <v>975</v>
      </c>
      <c r="L21" t="s">
        <v>975</v>
      </c>
      <c r="M21" s="257" t="s">
        <v>975</v>
      </c>
      <c r="N21" s="52" t="str">
        <f>RegionSelect!$B$2</f>
        <v>Amhara</v>
      </c>
      <c r="O21" s="130">
        <v>2</v>
      </c>
      <c r="P21" t="s">
        <v>2229</v>
      </c>
      <c r="Q21" s="195"/>
      <c r="R21" s="195"/>
      <c r="S21" s="130">
        <v>0.98</v>
      </c>
      <c r="T21" s="58">
        <v>1</v>
      </c>
      <c r="U21" s="195"/>
      <c r="V21" s="314">
        <v>5</v>
      </c>
      <c r="W21" s="195"/>
      <c r="X21" s="195"/>
    </row>
    <row r="22" spans="1:27" x14ac:dyDescent="0.45">
      <c r="A22" t="s">
        <v>2163</v>
      </c>
      <c r="B22" s="66" t="s">
        <v>2213</v>
      </c>
      <c r="D22" s="324">
        <v>19</v>
      </c>
      <c r="E22" s="64" t="s">
        <v>2227</v>
      </c>
      <c r="F22" s="58" t="s">
        <v>171</v>
      </c>
      <c r="G22" t="s">
        <v>154</v>
      </c>
      <c r="H22" t="s">
        <v>2789</v>
      </c>
      <c r="I22" t="s">
        <v>67</v>
      </c>
      <c r="J22" s="257" t="s">
        <v>169</v>
      </c>
      <c r="K22" s="64" t="s">
        <v>975</v>
      </c>
      <c r="L22" t="s">
        <v>975</v>
      </c>
      <c r="M22" s="257" t="s">
        <v>975</v>
      </c>
      <c r="N22" s="52" t="str">
        <f>RegionSelect!$B$2</f>
        <v>Amhara</v>
      </c>
      <c r="O22" s="58">
        <f>5-O21</f>
        <v>3</v>
      </c>
      <c r="P22" t="s">
        <v>2229</v>
      </c>
      <c r="Q22" s="195"/>
      <c r="R22" s="195"/>
      <c r="S22" s="130">
        <v>0.98</v>
      </c>
      <c r="T22" s="58">
        <v>1</v>
      </c>
      <c r="U22" s="195"/>
      <c r="V22" s="314">
        <v>5</v>
      </c>
      <c r="W22" s="195"/>
      <c r="X22" s="195"/>
    </row>
    <row r="23" spans="1:27" x14ac:dyDescent="0.45">
      <c r="A23" t="s">
        <v>2163</v>
      </c>
      <c r="B23" s="66" t="s">
        <v>2213</v>
      </c>
      <c r="D23" s="324">
        <v>19</v>
      </c>
      <c r="E23" s="64" t="s">
        <v>2228</v>
      </c>
      <c r="F23" s="58" t="s">
        <v>173</v>
      </c>
      <c r="G23" t="s">
        <v>154</v>
      </c>
      <c r="H23" t="s">
        <v>2789</v>
      </c>
      <c r="I23" t="s">
        <v>67</v>
      </c>
      <c r="J23" s="257" t="s">
        <v>169</v>
      </c>
      <c r="K23" s="64" t="s">
        <v>975</v>
      </c>
      <c r="L23" t="s">
        <v>975</v>
      </c>
      <c r="M23" s="257" t="s">
        <v>975</v>
      </c>
      <c r="N23" t="str">
        <f>RegionSelect!$B$2</f>
        <v>Amhara</v>
      </c>
      <c r="O23" s="145">
        <f>IFERROR(VLOOKUP(_xlfn.CONCAT(AA23,RegionSelect!$C$2),RegionalData!$C:$S,13,FALSE),VLOOKUP(_xlfn.CONCAT(AA23,"ET"),RegionalData!$C:$S,13,FALSE))</f>
        <v>0.46090000000000003</v>
      </c>
      <c r="P23" t="s">
        <v>1863</v>
      </c>
      <c r="Q23" s="195"/>
      <c r="R23" s="195"/>
      <c r="S23" s="130">
        <v>0.98</v>
      </c>
      <c r="T23" s="58">
        <v>2</v>
      </c>
      <c r="U23" s="195"/>
      <c r="V23" s="314">
        <v>5</v>
      </c>
      <c r="W23" s="195"/>
      <c r="X23" s="195"/>
      <c r="AA23" t="s">
        <v>2936</v>
      </c>
    </row>
    <row r="24" spans="1:27" x14ac:dyDescent="0.45">
      <c r="A24" t="s">
        <v>2163</v>
      </c>
      <c r="B24" s="66" t="s">
        <v>2213</v>
      </c>
      <c r="D24" s="324">
        <v>19</v>
      </c>
      <c r="E24" s="64" t="s">
        <v>2829</v>
      </c>
      <c r="F24" s="58" t="s">
        <v>2830</v>
      </c>
      <c r="G24" t="s">
        <v>154</v>
      </c>
      <c r="H24" t="s">
        <v>2789</v>
      </c>
      <c r="I24" t="s">
        <v>67</v>
      </c>
      <c r="J24" s="257" t="s">
        <v>169</v>
      </c>
      <c r="K24" s="64" t="s">
        <v>975</v>
      </c>
      <c r="L24" t="s">
        <v>975</v>
      </c>
      <c r="M24" s="257" t="s">
        <v>975</v>
      </c>
      <c r="N24" t="str">
        <f>RegionSelect!$B$2</f>
        <v>Amhara</v>
      </c>
      <c r="O24" s="352"/>
      <c r="P24" s="52"/>
      <c r="Q24" s="195"/>
      <c r="R24" s="195"/>
      <c r="S24" s="130">
        <v>0.98</v>
      </c>
      <c r="T24" s="58">
        <v>1</v>
      </c>
      <c r="U24" s="195"/>
      <c r="V24" s="314">
        <v>5</v>
      </c>
      <c r="W24" s="195"/>
      <c r="X24" s="195"/>
    </row>
    <row r="25" spans="1:27" x14ac:dyDescent="0.45">
      <c r="A25" t="s">
        <v>2163</v>
      </c>
      <c r="B25" s="66" t="s">
        <v>2213</v>
      </c>
      <c r="D25" s="324">
        <v>20</v>
      </c>
      <c r="E25" s="64" t="str">
        <f t="shared" si="0"/>
        <v>FH.MN.20</v>
      </c>
      <c r="F25" t="s">
        <v>2218</v>
      </c>
      <c r="G25" t="s">
        <v>154</v>
      </c>
      <c r="H25" t="s">
        <v>2789</v>
      </c>
      <c r="I25" t="s">
        <v>67</v>
      </c>
      <c r="J25" s="257" t="s">
        <v>194</v>
      </c>
      <c r="K25" s="64" t="s">
        <v>975</v>
      </c>
      <c r="L25" t="s">
        <v>194</v>
      </c>
      <c r="M25" s="257" t="s">
        <v>194</v>
      </c>
      <c r="N25" t="str">
        <f>RegionSelect!$B$2</f>
        <v>Amhara</v>
      </c>
      <c r="P25" s="195" t="s">
        <v>194</v>
      </c>
      <c r="Q25" s="195"/>
      <c r="R25" s="195"/>
      <c r="T25" s="58"/>
      <c r="U25" s="195"/>
      <c r="V25" s="314"/>
      <c r="W25" s="195"/>
      <c r="X25" s="195"/>
      <c r="Y25" s="195" t="s">
        <v>975</v>
      </c>
      <c r="Z25" t="s">
        <v>2827</v>
      </c>
    </row>
    <row r="26" spans="1:27" x14ac:dyDescent="0.45">
      <c r="A26" t="s">
        <v>2163</v>
      </c>
      <c r="B26" s="66" t="s">
        <v>2213</v>
      </c>
      <c r="D26" s="324">
        <v>21</v>
      </c>
      <c r="E26" s="64" t="s">
        <v>2226</v>
      </c>
      <c r="F26" t="s">
        <v>2224</v>
      </c>
      <c r="G26" t="s">
        <v>154</v>
      </c>
      <c r="H26" t="s">
        <v>2787</v>
      </c>
      <c r="I26" t="s">
        <v>70</v>
      </c>
      <c r="J26" s="257" t="s">
        <v>169</v>
      </c>
      <c r="K26" s="64" t="str">
        <f>K27</f>
        <v>Yes</v>
      </c>
      <c r="L26" t="str">
        <f t="shared" ref="L26:M26" si="1">L27</f>
        <v>Yes</v>
      </c>
      <c r="M26" s="257" t="str">
        <f t="shared" si="1"/>
        <v>-</v>
      </c>
      <c r="N26" t="str">
        <f>RegionSelect!$B$2</f>
        <v>Amhara</v>
      </c>
      <c r="O26" s="195">
        <v>1</v>
      </c>
      <c r="P26" t="s">
        <v>212</v>
      </c>
      <c r="Q26" s="195"/>
      <c r="R26" s="195"/>
      <c r="S26" s="89">
        <v>1</v>
      </c>
      <c r="T26" s="195">
        <v>3</v>
      </c>
      <c r="V26" s="314">
        <v>5</v>
      </c>
      <c r="W26" s="195"/>
      <c r="X26" s="195"/>
    </row>
    <row r="27" spans="1:27" x14ac:dyDescent="0.45">
      <c r="A27" t="s">
        <v>2163</v>
      </c>
      <c r="B27" s="66" t="s">
        <v>2213</v>
      </c>
      <c r="D27" s="324">
        <v>21</v>
      </c>
      <c r="E27" s="64" t="str">
        <f t="shared" si="0"/>
        <v>FH.MN.21</v>
      </c>
      <c r="F27" t="s">
        <v>2220</v>
      </c>
      <c r="G27" t="s">
        <v>154</v>
      </c>
      <c r="H27" t="s">
        <v>2789</v>
      </c>
      <c r="I27" t="s">
        <v>70</v>
      </c>
      <c r="J27" s="257" t="s">
        <v>169</v>
      </c>
      <c r="K27" s="64" t="s">
        <v>975</v>
      </c>
      <c r="L27" t="s">
        <v>975</v>
      </c>
      <c r="M27" s="257" t="s">
        <v>194</v>
      </c>
      <c r="N27" s="52" t="str">
        <f>RegionSelect!$B$2</f>
        <v>Amhara</v>
      </c>
      <c r="O27" s="145">
        <f>IFERROR(VLOOKUP(_xlfn.CONCAT(AA27,RegionSelect!$C$2),RegionalData!$C:$S,13,FALSE),VLOOKUP(_xlfn.CONCAT(AA27,"ET"),RegionalData!$C:$S,13,FALSE))</f>
        <v>0.13400000000000001</v>
      </c>
      <c r="P27" t="s">
        <v>2195</v>
      </c>
      <c r="Q27" s="195"/>
      <c r="R27" s="195"/>
      <c r="S27" s="130">
        <v>0.98</v>
      </c>
      <c r="T27" s="58">
        <v>4</v>
      </c>
      <c r="U27" s="195"/>
      <c r="V27" s="314">
        <v>5</v>
      </c>
      <c r="W27" s="195"/>
      <c r="X27" s="195"/>
      <c r="AA27" t="s">
        <v>2945</v>
      </c>
    </row>
    <row r="28" spans="1:27" x14ac:dyDescent="0.45">
      <c r="A28" t="s">
        <v>2163</v>
      </c>
      <c r="B28" s="66" t="s">
        <v>2213</v>
      </c>
      <c r="D28" s="324">
        <v>22</v>
      </c>
      <c r="E28" s="64" t="str">
        <f t="shared" si="0"/>
        <v>FH.MN.22</v>
      </c>
      <c r="F28" t="s">
        <v>2219</v>
      </c>
      <c r="G28" t="s">
        <v>154</v>
      </c>
      <c r="H28" t="s">
        <v>2789</v>
      </c>
      <c r="I28" t="s">
        <v>70</v>
      </c>
      <c r="J28" s="257" t="s">
        <v>169</v>
      </c>
      <c r="K28" s="64" t="s">
        <v>975</v>
      </c>
      <c r="L28" t="s">
        <v>975</v>
      </c>
      <c r="M28" s="257" t="s">
        <v>194</v>
      </c>
      <c r="N28" s="52" t="str">
        <f>RegionSelect!$B$2</f>
        <v>Amhara</v>
      </c>
      <c r="O28" s="145">
        <f>IFERROR(VLOOKUP(_xlfn.CONCAT(AA28,RegionSelect!$C$2),RegionalData!$C:$S,13,FALSE),VLOOKUP(_xlfn.CONCAT(AA28,"ET"),RegionalData!$C:$S,13,FALSE))</f>
        <v>0.41499999999999998</v>
      </c>
      <c r="P28" t="s">
        <v>2195</v>
      </c>
      <c r="Q28" s="195"/>
      <c r="R28" s="195"/>
      <c r="S28" s="130">
        <v>0.98</v>
      </c>
      <c r="T28" s="58">
        <v>2</v>
      </c>
      <c r="U28" s="195"/>
      <c r="V28" s="314">
        <v>5</v>
      </c>
      <c r="W28" s="195"/>
      <c r="X28" s="195"/>
      <c r="AA28" t="s">
        <v>2947</v>
      </c>
    </row>
    <row r="29" spans="1:27" x14ac:dyDescent="0.45">
      <c r="A29" t="s">
        <v>2163</v>
      </c>
      <c r="B29" s="66" t="s">
        <v>2213</v>
      </c>
      <c r="D29" s="324">
        <v>23</v>
      </c>
      <c r="E29" s="64" t="str">
        <f t="shared" si="0"/>
        <v>FH.MN.23</v>
      </c>
      <c r="F29" t="s">
        <v>2221</v>
      </c>
      <c r="G29" t="s">
        <v>154</v>
      </c>
      <c r="H29" t="s">
        <v>2787</v>
      </c>
      <c r="I29" t="s">
        <v>70</v>
      </c>
      <c r="J29" s="257" t="s">
        <v>169</v>
      </c>
      <c r="K29" s="64" t="s">
        <v>975</v>
      </c>
      <c r="L29" t="s">
        <v>975</v>
      </c>
      <c r="M29" s="257" t="s">
        <v>975</v>
      </c>
      <c r="N29" t="str">
        <f>RegionSelect!$B$2</f>
        <v>Amhara</v>
      </c>
      <c r="O29" s="195">
        <v>1</v>
      </c>
      <c r="P29" t="s">
        <v>212</v>
      </c>
      <c r="Q29" s="195"/>
      <c r="R29" s="195"/>
      <c r="S29" s="89">
        <v>1</v>
      </c>
      <c r="U29">
        <v>2</v>
      </c>
      <c r="V29" s="6">
        <v>5</v>
      </c>
      <c r="W29" s="195"/>
      <c r="X29" s="195"/>
      <c r="Y29" s="195" t="s">
        <v>975</v>
      </c>
    </row>
    <row r="30" spans="1:27" x14ac:dyDescent="0.45">
      <c r="A30" t="s">
        <v>2163</v>
      </c>
      <c r="B30" s="66" t="s">
        <v>2213</v>
      </c>
      <c r="D30" s="324">
        <v>24</v>
      </c>
      <c r="E30" s="64" t="str">
        <f t="shared" si="0"/>
        <v>FH.MN.24</v>
      </c>
      <c r="F30" t="s">
        <v>2222</v>
      </c>
      <c r="G30" t="s">
        <v>154</v>
      </c>
      <c r="H30" t="s">
        <v>2789</v>
      </c>
      <c r="I30" t="s">
        <v>67</v>
      </c>
      <c r="J30" s="257" t="s">
        <v>169</v>
      </c>
      <c r="K30" s="64" t="s">
        <v>975</v>
      </c>
      <c r="L30" t="s">
        <v>975</v>
      </c>
      <c r="M30" s="257" t="s">
        <v>975</v>
      </c>
      <c r="N30" t="str">
        <f>RegionSelect!$B$2</f>
        <v>Amhara</v>
      </c>
      <c r="O30" s="145">
        <f>IFERROR(VLOOKUP(_xlfn.CONCAT(AA30,RegionSelect!$C$2),RegionalData!$C:$S,13,FALSE),VLOOKUP(_xlfn.CONCAT(AA30,"ET"),RegionalData!$C:$S,13,FALSE))</f>
        <v>2.7499999999999998E-3</v>
      </c>
      <c r="P30" t="s">
        <v>371</v>
      </c>
      <c r="Q30" s="195"/>
      <c r="R30" s="195"/>
      <c r="S30" s="89">
        <f>PopValues_retain!C10</f>
        <v>0.95480225988700573</v>
      </c>
      <c r="T30" s="58">
        <v>1</v>
      </c>
      <c r="U30" s="195"/>
      <c r="V30" s="314">
        <v>15</v>
      </c>
      <c r="W30" s="195"/>
      <c r="X30" s="195"/>
      <c r="Y30" t="s">
        <v>975</v>
      </c>
      <c r="Z30" s="312" t="s">
        <v>2232</v>
      </c>
      <c r="AA30" t="s">
        <v>2948</v>
      </c>
    </row>
    <row r="31" spans="1:27" x14ac:dyDescent="0.45">
      <c r="A31" t="s">
        <v>2163</v>
      </c>
      <c r="B31" s="66" t="s">
        <v>2213</v>
      </c>
      <c r="D31" s="324">
        <v>25</v>
      </c>
      <c r="E31" s="64" t="str">
        <f t="shared" si="0"/>
        <v>FH.MN.25</v>
      </c>
      <c r="F31" t="s">
        <v>2223</v>
      </c>
      <c r="G31" t="s">
        <v>154</v>
      </c>
      <c r="H31" t="s">
        <v>2789</v>
      </c>
      <c r="I31" t="s">
        <v>67</v>
      </c>
      <c r="J31" s="257" t="s">
        <v>169</v>
      </c>
      <c r="K31" s="64" t="s">
        <v>975</v>
      </c>
      <c r="L31" t="s">
        <v>975</v>
      </c>
      <c r="M31" s="257" t="s">
        <v>194</v>
      </c>
      <c r="N31" t="str">
        <f>RegionSelect!$B$2</f>
        <v>Amhara</v>
      </c>
      <c r="O31" s="336"/>
      <c r="P31" t="s">
        <v>2195</v>
      </c>
      <c r="Q31" s="195"/>
      <c r="R31" s="195"/>
      <c r="S31" s="130">
        <v>0.98</v>
      </c>
      <c r="T31" s="58">
        <v>1</v>
      </c>
      <c r="U31" s="195"/>
      <c r="V31" s="314">
        <v>10</v>
      </c>
      <c r="W31" s="195"/>
      <c r="X31" s="195"/>
      <c r="Y31" t="s">
        <v>975</v>
      </c>
      <c r="Z31" s="195" t="s">
        <v>2234</v>
      </c>
    </row>
    <row r="32" spans="1:27" x14ac:dyDescent="0.45">
      <c r="A32" t="s">
        <v>2163</v>
      </c>
      <c r="B32" s="66" t="s">
        <v>2213</v>
      </c>
      <c r="D32" s="325">
        <v>26</v>
      </c>
      <c r="E32" s="318"/>
      <c r="F32" s="311" t="s">
        <v>2236</v>
      </c>
      <c r="N32" t="str">
        <f>RegionSelect!$B$2</f>
        <v>Amhara</v>
      </c>
      <c r="O32" s="309"/>
      <c r="Q32" s="195"/>
      <c r="R32" s="195"/>
      <c r="S32" s="195"/>
      <c r="T32" s="58"/>
      <c r="U32" s="195"/>
      <c r="V32" s="314"/>
      <c r="W32" s="195"/>
      <c r="X32" s="195"/>
      <c r="Z32" s="195"/>
    </row>
    <row r="33" spans="1:27" x14ac:dyDescent="0.45">
      <c r="A33" t="s">
        <v>2163</v>
      </c>
      <c r="B33" s="66" t="s">
        <v>2213</v>
      </c>
      <c r="D33" s="325">
        <v>27</v>
      </c>
      <c r="E33" s="318"/>
      <c r="F33" s="311" t="s">
        <v>2236</v>
      </c>
      <c r="N33" t="str">
        <f>RegionSelect!$B$2</f>
        <v>Amhara</v>
      </c>
      <c r="O33" s="309"/>
      <c r="Q33" s="195"/>
      <c r="R33" s="195"/>
      <c r="S33" s="195"/>
      <c r="T33" s="58"/>
      <c r="U33" s="195"/>
      <c r="V33" s="314"/>
      <c r="W33" s="195"/>
      <c r="X33" s="195"/>
      <c r="Z33" s="195"/>
    </row>
    <row r="34" spans="1:27" x14ac:dyDescent="0.45">
      <c r="A34" t="s">
        <v>2163</v>
      </c>
      <c r="B34" s="66" t="s">
        <v>2213</v>
      </c>
      <c r="D34" s="324">
        <v>28</v>
      </c>
      <c r="E34" s="64" t="str">
        <f t="shared" si="0"/>
        <v>FH.MN.28</v>
      </c>
      <c r="F34" t="s">
        <v>2237</v>
      </c>
      <c r="G34" t="s">
        <v>154</v>
      </c>
      <c r="H34" t="s">
        <v>2789</v>
      </c>
      <c r="I34" t="s">
        <v>67</v>
      </c>
      <c r="J34" s="257" t="s">
        <v>2429</v>
      </c>
      <c r="K34" s="64" t="s">
        <v>975</v>
      </c>
      <c r="L34" t="s">
        <v>975</v>
      </c>
      <c r="M34" s="257" t="s">
        <v>194</v>
      </c>
      <c r="N34" t="str">
        <f>RegionSelect!$B$2</f>
        <v>Amhara</v>
      </c>
      <c r="O34" s="145">
        <f>IFERROR(VLOOKUP(_xlfn.CONCAT(AA34,RegionSelect!$C$2),RegionalData!$C:$S,13,FALSE),VLOOKUP(_xlfn.CONCAT(AA34,"ET"),RegionalData!$C:$S,13,FALSE))</f>
        <v>9.6999999999999989E-2</v>
      </c>
      <c r="P34" t="s">
        <v>2431</v>
      </c>
      <c r="Q34" s="195"/>
      <c r="R34" s="195"/>
      <c r="S34" s="130">
        <v>0.98</v>
      </c>
      <c r="T34" s="58">
        <v>1</v>
      </c>
      <c r="U34" s="195"/>
      <c r="V34" s="314">
        <v>5</v>
      </c>
      <c r="W34" s="195"/>
      <c r="X34" s="195"/>
      <c r="Y34" s="195" t="s">
        <v>975</v>
      </c>
      <c r="Z34" s="195"/>
      <c r="AA34" t="s">
        <v>2970</v>
      </c>
    </row>
    <row r="35" spans="1:27" x14ac:dyDescent="0.45">
      <c r="A35" t="s">
        <v>2163</v>
      </c>
      <c r="B35" s="66" t="s">
        <v>2213</v>
      </c>
      <c r="D35" s="324">
        <v>29</v>
      </c>
      <c r="E35" s="64" t="str">
        <f t="shared" si="0"/>
        <v>FH.MN.29</v>
      </c>
      <c r="F35" t="s">
        <v>2238</v>
      </c>
      <c r="G35" t="s">
        <v>2248</v>
      </c>
      <c r="H35" t="s">
        <v>206</v>
      </c>
      <c r="I35" t="s">
        <v>194</v>
      </c>
      <c r="J35" s="257" t="s">
        <v>2430</v>
      </c>
      <c r="K35" s="64" t="s">
        <v>975</v>
      </c>
      <c r="L35" t="s">
        <v>975</v>
      </c>
      <c r="M35" s="257" t="s">
        <v>975</v>
      </c>
      <c r="N35" t="str">
        <f>RegionSelect!$B$2</f>
        <v>Amhara</v>
      </c>
      <c r="O35" s="328">
        <f>IFERROR(VLOOKUP(_xlfn.CONCAT(AA35,RegionSelect!$C$2),RegionalData!$C:$S,13,FALSE),VLOOKUP(_xlfn.CONCAT(AA35,"ET"),RegionalData!$C:$S,13,FALSE))</f>
        <v>0.1</v>
      </c>
      <c r="P35" t="s">
        <v>1863</v>
      </c>
      <c r="Q35" s="195"/>
      <c r="R35" s="195"/>
      <c r="S35" s="147">
        <v>1</v>
      </c>
      <c r="T35" s="58">
        <v>2</v>
      </c>
      <c r="U35" s="195"/>
      <c r="V35" s="314">
        <v>15</v>
      </c>
      <c r="W35" s="195"/>
      <c r="X35" s="195"/>
      <c r="Y35" s="195" t="s">
        <v>975</v>
      </c>
      <c r="Z35" s="312" t="s">
        <v>2505</v>
      </c>
      <c r="AA35" t="s">
        <v>2975</v>
      </c>
    </row>
    <row r="36" spans="1:27" x14ac:dyDescent="0.45">
      <c r="A36" t="s">
        <v>2163</v>
      </c>
      <c r="B36" s="66" t="s">
        <v>2213</v>
      </c>
      <c r="D36" s="324">
        <v>30</v>
      </c>
      <c r="E36" s="64" t="str">
        <f t="shared" si="0"/>
        <v>FH.MN.30</v>
      </c>
      <c r="F36" t="s">
        <v>2239</v>
      </c>
      <c r="G36" t="s">
        <v>2248</v>
      </c>
      <c r="H36" t="s">
        <v>206</v>
      </c>
      <c r="I36" t="s">
        <v>194</v>
      </c>
      <c r="J36" s="257" t="s">
        <v>209</v>
      </c>
      <c r="K36" s="64" t="s">
        <v>975</v>
      </c>
      <c r="L36" t="s">
        <v>975</v>
      </c>
      <c r="M36" s="257" t="s">
        <v>975</v>
      </c>
      <c r="N36" t="str">
        <f>RegionSelect!$B$2</f>
        <v>Amhara</v>
      </c>
      <c r="O36" s="336"/>
      <c r="P36" t="s">
        <v>1863</v>
      </c>
      <c r="Q36" s="195"/>
      <c r="R36" s="195"/>
      <c r="S36" s="147">
        <v>1</v>
      </c>
      <c r="T36" s="58">
        <v>2</v>
      </c>
      <c r="U36" s="195"/>
      <c r="V36" s="314">
        <v>15</v>
      </c>
      <c r="W36" s="195"/>
      <c r="X36" s="195"/>
      <c r="Y36" s="195" t="s">
        <v>975</v>
      </c>
      <c r="Z36" s="312" t="s">
        <v>2504</v>
      </c>
    </row>
    <row r="37" spans="1:27" x14ac:dyDescent="0.45">
      <c r="A37" t="s">
        <v>2163</v>
      </c>
      <c r="B37" s="66" t="s">
        <v>2235</v>
      </c>
      <c r="D37" s="324">
        <v>31</v>
      </c>
      <c r="E37" s="64" t="s">
        <v>2253</v>
      </c>
      <c r="F37" t="s">
        <v>2241</v>
      </c>
      <c r="G37" t="s">
        <v>2248</v>
      </c>
      <c r="H37" t="s">
        <v>206</v>
      </c>
      <c r="I37" t="s">
        <v>68</v>
      </c>
      <c r="J37" s="257" t="s">
        <v>194</v>
      </c>
      <c r="K37" s="64" t="s">
        <v>975</v>
      </c>
      <c r="L37" t="s">
        <v>975</v>
      </c>
      <c r="M37" s="257" t="s">
        <v>975</v>
      </c>
      <c r="N37" t="str">
        <f>RegionSelect!$B$2</f>
        <v>Amhara</v>
      </c>
      <c r="P37" s="195" t="s">
        <v>194</v>
      </c>
      <c r="Q37" s="195"/>
      <c r="R37" s="195"/>
      <c r="S37" s="195"/>
      <c r="T37" s="195"/>
      <c r="U37" s="195"/>
      <c r="W37" s="195"/>
      <c r="X37" s="195"/>
      <c r="Z37" t="s">
        <v>2249</v>
      </c>
    </row>
    <row r="38" spans="1:27" x14ac:dyDescent="0.45">
      <c r="A38" t="s">
        <v>2163</v>
      </c>
      <c r="B38" s="66" t="s">
        <v>2235</v>
      </c>
      <c r="D38" s="324">
        <v>32</v>
      </c>
      <c r="F38" t="s">
        <v>2242</v>
      </c>
      <c r="G38" t="s">
        <v>154</v>
      </c>
      <c r="H38" t="s">
        <v>2787</v>
      </c>
      <c r="I38" t="s">
        <v>68</v>
      </c>
      <c r="J38" s="257" t="s">
        <v>194</v>
      </c>
      <c r="K38" s="64" t="s">
        <v>975</v>
      </c>
      <c r="L38" t="s">
        <v>975</v>
      </c>
      <c r="M38" s="257" t="s">
        <v>975</v>
      </c>
      <c r="N38" t="str">
        <f>RegionSelect!$B$2</f>
        <v>Amhara</v>
      </c>
      <c r="P38" s="195" t="s">
        <v>194</v>
      </c>
      <c r="Q38" s="195"/>
      <c r="R38" s="195"/>
      <c r="S38" s="195"/>
      <c r="T38" s="195"/>
      <c r="U38" s="195"/>
      <c r="W38" s="195"/>
      <c r="X38" s="195"/>
      <c r="Z38" s="316" t="s">
        <v>2250</v>
      </c>
    </row>
    <row r="39" spans="1:27" x14ac:dyDescent="0.45">
      <c r="A39" t="s">
        <v>2163</v>
      </c>
      <c r="B39" s="66" t="s">
        <v>2235</v>
      </c>
      <c r="D39" s="324">
        <v>32</v>
      </c>
      <c r="E39" s="64" t="s">
        <v>2259</v>
      </c>
      <c r="F39" t="s">
        <v>176</v>
      </c>
      <c r="G39" t="s">
        <v>154</v>
      </c>
      <c r="H39" t="s">
        <v>2787</v>
      </c>
      <c r="I39" t="s">
        <v>68</v>
      </c>
      <c r="J39" s="257" t="s">
        <v>156</v>
      </c>
      <c r="K39" s="64" t="s">
        <v>975</v>
      </c>
      <c r="L39" t="s">
        <v>975</v>
      </c>
      <c r="M39" s="257" t="s">
        <v>975</v>
      </c>
      <c r="N39" t="str">
        <f>RegionSelect!$B$2</f>
        <v>Amhara</v>
      </c>
      <c r="P39" s="195" t="s">
        <v>194</v>
      </c>
      <c r="Q39" s="195"/>
      <c r="R39" s="195"/>
      <c r="S39"/>
      <c r="W39" s="195"/>
      <c r="X39" s="195"/>
      <c r="Z39" s="316" t="s">
        <v>462</v>
      </c>
    </row>
    <row r="40" spans="1:27" x14ac:dyDescent="0.45">
      <c r="A40" t="s">
        <v>2163</v>
      </c>
      <c r="B40" s="66" t="s">
        <v>2235</v>
      </c>
      <c r="D40" s="324">
        <v>32</v>
      </c>
      <c r="E40" s="64" t="s">
        <v>2260</v>
      </c>
      <c r="F40" t="s">
        <v>178</v>
      </c>
      <c r="G40" t="s">
        <v>154</v>
      </c>
      <c r="H40" t="s">
        <v>2787</v>
      </c>
      <c r="I40" t="s">
        <v>68</v>
      </c>
      <c r="J40" s="257" t="s">
        <v>179</v>
      </c>
      <c r="K40" s="64" t="s">
        <v>975</v>
      </c>
      <c r="L40" t="s">
        <v>975</v>
      </c>
      <c r="M40" s="257" t="s">
        <v>975</v>
      </c>
      <c r="N40" t="str">
        <f>RegionSelect!$B$2</f>
        <v>Amhara</v>
      </c>
      <c r="O40" s="195">
        <v>1</v>
      </c>
      <c r="P40" s="195" t="s">
        <v>212</v>
      </c>
      <c r="Q40" s="195"/>
      <c r="R40" s="195"/>
      <c r="S40">
        <v>1</v>
      </c>
      <c r="T40">
        <v>4</v>
      </c>
      <c r="V40" s="6">
        <v>5</v>
      </c>
      <c r="W40" s="195"/>
      <c r="X40" s="195"/>
    </row>
    <row r="41" spans="1:27" x14ac:dyDescent="0.45">
      <c r="A41" t="s">
        <v>2163</v>
      </c>
      <c r="B41" s="66" t="s">
        <v>2235</v>
      </c>
      <c r="D41" s="324">
        <v>32</v>
      </c>
      <c r="E41" s="64" t="s">
        <v>2261</v>
      </c>
      <c r="F41" t="s">
        <v>181</v>
      </c>
      <c r="G41" t="s">
        <v>154</v>
      </c>
      <c r="H41" t="s">
        <v>2787</v>
      </c>
      <c r="I41" t="s">
        <v>68</v>
      </c>
      <c r="J41" s="257" t="s">
        <v>182</v>
      </c>
      <c r="K41" s="64" t="s">
        <v>975</v>
      </c>
      <c r="L41" t="s">
        <v>975</v>
      </c>
      <c r="M41" s="257" t="s">
        <v>975</v>
      </c>
      <c r="N41" t="str">
        <f>RegionSelect!$B$2</f>
        <v>Amhara</v>
      </c>
      <c r="O41" s="195">
        <v>1</v>
      </c>
      <c r="P41" s="195" t="s">
        <v>212</v>
      </c>
      <c r="Q41" s="195"/>
      <c r="R41" s="195"/>
      <c r="S41">
        <v>1</v>
      </c>
      <c r="T41">
        <v>1</v>
      </c>
      <c r="V41" s="6">
        <v>5</v>
      </c>
      <c r="W41" s="195"/>
      <c r="X41" s="195"/>
    </row>
    <row r="42" spans="1:27" x14ac:dyDescent="0.45">
      <c r="A42" t="s">
        <v>2163</v>
      </c>
      <c r="B42" s="66" t="s">
        <v>2235</v>
      </c>
      <c r="D42" s="324">
        <v>32</v>
      </c>
      <c r="E42" s="64" t="s">
        <v>2262</v>
      </c>
      <c r="F42" t="s">
        <v>184</v>
      </c>
      <c r="G42" t="s">
        <v>154</v>
      </c>
      <c r="H42" t="s">
        <v>2787</v>
      </c>
      <c r="I42" t="s">
        <v>68</v>
      </c>
      <c r="J42" s="257" t="s">
        <v>156</v>
      </c>
      <c r="K42" s="64" t="s">
        <v>975</v>
      </c>
      <c r="L42" t="s">
        <v>975</v>
      </c>
      <c r="M42" s="257" t="s">
        <v>975</v>
      </c>
      <c r="N42" t="str">
        <f>RegionSelect!$B$2</f>
        <v>Amhara</v>
      </c>
      <c r="O42" s="195">
        <v>1</v>
      </c>
      <c r="P42" s="195" t="s">
        <v>212</v>
      </c>
      <c r="Q42" s="195"/>
      <c r="R42" s="195"/>
      <c r="S42">
        <v>1</v>
      </c>
      <c r="T42">
        <v>2</v>
      </c>
      <c r="W42" s="195"/>
      <c r="X42" s="195"/>
      <c r="Z42" s="316" t="s">
        <v>2251</v>
      </c>
    </row>
    <row r="43" spans="1:27" x14ac:dyDescent="0.45">
      <c r="A43" t="s">
        <v>2163</v>
      </c>
      <c r="B43" s="66" t="s">
        <v>2235</v>
      </c>
      <c r="D43" s="324">
        <v>33</v>
      </c>
      <c r="E43" s="64" t="s">
        <v>2254</v>
      </c>
      <c r="F43" t="s">
        <v>2243</v>
      </c>
      <c r="G43" t="s">
        <v>154</v>
      </c>
      <c r="H43" t="s">
        <v>2787</v>
      </c>
      <c r="I43" t="s">
        <v>68</v>
      </c>
      <c r="J43" s="257" t="s">
        <v>169</v>
      </c>
      <c r="K43" s="64" t="s">
        <v>975</v>
      </c>
      <c r="L43" t="s">
        <v>975</v>
      </c>
      <c r="M43" s="257" t="s">
        <v>975</v>
      </c>
      <c r="N43" s="52" t="str">
        <f>RegionSelect!$B$2</f>
        <v>Amhara</v>
      </c>
      <c r="O43" s="195">
        <v>1</v>
      </c>
      <c r="P43" s="195" t="s">
        <v>212</v>
      </c>
      <c r="Q43" s="195"/>
      <c r="R43" s="195"/>
      <c r="S43"/>
      <c r="U43">
        <v>1</v>
      </c>
      <c r="V43" s="6">
        <v>2</v>
      </c>
      <c r="W43" s="195"/>
      <c r="X43" s="195"/>
      <c r="Y43" t="s">
        <v>975</v>
      </c>
      <c r="Z43" s="311" t="s">
        <v>2263</v>
      </c>
    </row>
    <row r="44" spans="1:27" x14ac:dyDescent="0.45">
      <c r="A44" t="s">
        <v>2163</v>
      </c>
      <c r="B44" s="66" t="s">
        <v>2235</v>
      </c>
      <c r="D44" s="324">
        <v>34</v>
      </c>
      <c r="E44" s="64" t="s">
        <v>2255</v>
      </c>
      <c r="F44" t="s">
        <v>2244</v>
      </c>
      <c r="G44" t="s">
        <v>154</v>
      </c>
      <c r="H44" t="s">
        <v>2789</v>
      </c>
      <c r="I44" t="s">
        <v>68</v>
      </c>
      <c r="J44" s="257" t="s">
        <v>194</v>
      </c>
      <c r="K44" s="64" t="s">
        <v>975</v>
      </c>
      <c r="L44" t="s">
        <v>975</v>
      </c>
      <c r="M44" s="257" t="s">
        <v>975</v>
      </c>
      <c r="N44" t="str">
        <f>RegionSelect!$B$2</f>
        <v>Amhara</v>
      </c>
      <c r="O44" s="145">
        <f>IFERROR(VLOOKUP(_xlfn.CONCAT(AA44,RegionSelect!$C$2),RegionalData!$C:$S,13,FALSE),VLOOKUP(_xlfn.CONCAT(AA44,"ET"),RegionalData!$C:$S,13,FALSE))</f>
        <v>1.4999999999999999E-2</v>
      </c>
      <c r="P44" s="195" t="s">
        <v>2195</v>
      </c>
      <c r="Q44" s="195"/>
      <c r="R44" s="195"/>
      <c r="S44">
        <v>1</v>
      </c>
      <c r="T44">
        <v>1</v>
      </c>
      <c r="V44" s="6">
        <v>5</v>
      </c>
      <c r="W44" s="6"/>
      <c r="X44" s="6"/>
      <c r="Y44" s="6" t="s">
        <v>975</v>
      </c>
      <c r="Z44" s="317"/>
      <c r="AA44" t="s">
        <v>2978</v>
      </c>
    </row>
    <row r="45" spans="1:27" x14ac:dyDescent="0.45">
      <c r="A45" t="s">
        <v>2163</v>
      </c>
      <c r="B45" s="66" t="s">
        <v>2235</v>
      </c>
      <c r="D45" s="324">
        <v>35</v>
      </c>
      <c r="E45" s="64" t="s">
        <v>2256</v>
      </c>
      <c r="F45" t="s">
        <v>2245</v>
      </c>
      <c r="G45" t="s">
        <v>2248</v>
      </c>
      <c r="H45" t="s">
        <v>206</v>
      </c>
      <c r="I45" t="s">
        <v>68</v>
      </c>
      <c r="J45" s="257" t="s">
        <v>194</v>
      </c>
      <c r="K45" s="64" t="s">
        <v>975</v>
      </c>
      <c r="L45" t="s">
        <v>975</v>
      </c>
      <c r="M45" s="257" t="s">
        <v>975</v>
      </c>
      <c r="N45" t="str">
        <f>RegionSelect!$B$2</f>
        <v>Amhara</v>
      </c>
      <c r="P45" s="195" t="s">
        <v>194</v>
      </c>
      <c r="Q45" s="195"/>
      <c r="R45" s="195"/>
      <c r="S45"/>
      <c r="W45" s="6"/>
      <c r="X45" s="6"/>
      <c r="Y45" s="6" t="s">
        <v>975</v>
      </c>
      <c r="Z45" s="317" t="s">
        <v>2264</v>
      </c>
    </row>
    <row r="46" spans="1:27" x14ac:dyDescent="0.45">
      <c r="A46" t="s">
        <v>2163</v>
      </c>
      <c r="B46" s="66" t="s">
        <v>2235</v>
      </c>
      <c r="D46" s="324">
        <v>36</v>
      </c>
      <c r="E46" s="64" t="s">
        <v>2257</v>
      </c>
      <c r="F46" t="s">
        <v>2246</v>
      </c>
      <c r="G46" t="s">
        <v>2248</v>
      </c>
      <c r="H46" t="s">
        <v>206</v>
      </c>
      <c r="I46" t="s">
        <v>68</v>
      </c>
      <c r="J46" s="257" t="s">
        <v>194</v>
      </c>
      <c r="K46" s="64" t="s">
        <v>975</v>
      </c>
      <c r="L46" t="s">
        <v>975</v>
      </c>
      <c r="M46" s="257" t="s">
        <v>975</v>
      </c>
      <c r="N46" t="str">
        <f>RegionSelect!$B$2</f>
        <v>Amhara</v>
      </c>
      <c r="P46" s="195" t="s">
        <v>194</v>
      </c>
      <c r="Q46" s="195"/>
      <c r="R46" s="195"/>
      <c r="S46"/>
      <c r="W46" s="6"/>
      <c r="X46" s="6"/>
      <c r="Y46" s="6" t="s">
        <v>975</v>
      </c>
      <c r="Z46" s="316" t="s">
        <v>2252</v>
      </c>
    </row>
    <row r="47" spans="1:27" x14ac:dyDescent="0.45">
      <c r="A47" t="s">
        <v>2163</v>
      </c>
      <c r="B47" s="66" t="s">
        <v>2235</v>
      </c>
      <c r="D47" s="324">
        <v>37</v>
      </c>
      <c r="E47" s="64" t="s">
        <v>2258</v>
      </c>
      <c r="F47" t="s">
        <v>2247</v>
      </c>
      <c r="G47" t="s">
        <v>193</v>
      </c>
      <c r="H47" t="s">
        <v>206</v>
      </c>
      <c r="I47" t="s">
        <v>68</v>
      </c>
      <c r="J47" s="257" t="s">
        <v>194</v>
      </c>
      <c r="K47" s="64" t="s">
        <v>975</v>
      </c>
      <c r="L47" t="s">
        <v>975</v>
      </c>
      <c r="M47" s="257" t="s">
        <v>975</v>
      </c>
      <c r="N47" t="str">
        <f>RegionSelect!$B$2</f>
        <v>Amhara</v>
      </c>
      <c r="P47" s="195" t="s">
        <v>194</v>
      </c>
      <c r="Q47" s="195"/>
      <c r="R47" s="195"/>
      <c r="S47"/>
      <c r="W47" s="6"/>
      <c r="X47" s="6"/>
      <c r="Y47" s="6" t="s">
        <v>975</v>
      </c>
      <c r="Z47" s="317" t="s">
        <v>2265</v>
      </c>
    </row>
    <row r="48" spans="1:27" x14ac:dyDescent="0.45">
      <c r="A48" t="s">
        <v>2163</v>
      </c>
      <c r="B48" s="66" t="s">
        <v>2266</v>
      </c>
      <c r="D48" s="324">
        <v>38</v>
      </c>
      <c r="F48" t="s">
        <v>2267</v>
      </c>
      <c r="G48" t="s">
        <v>154</v>
      </c>
      <c r="H48" t="s">
        <v>2787</v>
      </c>
      <c r="I48" t="s">
        <v>66</v>
      </c>
      <c r="K48" s="64" t="s">
        <v>975</v>
      </c>
      <c r="L48" t="s">
        <v>975</v>
      </c>
      <c r="M48" s="257" t="s">
        <v>975</v>
      </c>
      <c r="N48" t="str">
        <f>RegionSelect!$B$2</f>
        <v>Amhara</v>
      </c>
      <c r="P48" s="195" t="s">
        <v>194</v>
      </c>
      <c r="Q48" s="195"/>
      <c r="R48" s="195"/>
      <c r="S48" s="195"/>
      <c r="T48" s="195"/>
      <c r="U48" s="195"/>
      <c r="V48" s="195"/>
      <c r="W48" s="195"/>
      <c r="X48" s="195"/>
      <c r="Z48" t="s">
        <v>2296</v>
      </c>
    </row>
    <row r="49" spans="1:27" x14ac:dyDescent="0.45">
      <c r="A49" t="s">
        <v>2163</v>
      </c>
      <c r="B49" s="66" t="s">
        <v>2266</v>
      </c>
      <c r="D49" s="324">
        <v>38</v>
      </c>
      <c r="E49" s="64" t="s">
        <v>2293</v>
      </c>
      <c r="F49" s="58" t="s">
        <v>2290</v>
      </c>
      <c r="G49" t="s">
        <v>154</v>
      </c>
      <c r="H49" t="s">
        <v>2787</v>
      </c>
      <c r="I49" t="s">
        <v>66</v>
      </c>
      <c r="J49" s="257" t="s">
        <v>247</v>
      </c>
      <c r="K49" s="64" t="s">
        <v>975</v>
      </c>
      <c r="L49" t="s">
        <v>975</v>
      </c>
      <c r="M49" s="257" t="s">
        <v>975</v>
      </c>
      <c r="N49" s="52" t="str">
        <f>RegionSelect!$B$2</f>
        <v>Amhara</v>
      </c>
      <c r="O49" s="145">
        <f>IFERROR(VLOOKUP(_xlfn.CONCAT(AA49,RegionSelect!$C$2),RegionalData!$C:$S,13,FALSE),VLOOKUP(_xlfn.CONCAT(AA49,"ET"),RegionalData!$C:$S,13,FALSE))</f>
        <v>0.45899999999999996</v>
      </c>
      <c r="P49" s="195" t="s">
        <v>1863</v>
      </c>
      <c r="Q49" s="195"/>
      <c r="R49" s="195"/>
      <c r="S49" s="89">
        <v>1</v>
      </c>
      <c r="T49">
        <v>1</v>
      </c>
      <c r="V49" s="6">
        <v>15</v>
      </c>
      <c r="AA49" t="s">
        <v>2981</v>
      </c>
    </row>
    <row r="50" spans="1:27" x14ac:dyDescent="0.45">
      <c r="A50" t="s">
        <v>2163</v>
      </c>
      <c r="B50" s="66" t="s">
        <v>2266</v>
      </c>
      <c r="D50" s="324">
        <v>38</v>
      </c>
      <c r="E50" s="64" t="s">
        <v>2294</v>
      </c>
      <c r="F50" s="58" t="s">
        <v>2291</v>
      </c>
      <c r="G50" t="s">
        <v>154</v>
      </c>
      <c r="H50" t="s">
        <v>2787</v>
      </c>
      <c r="I50" t="s">
        <v>66</v>
      </c>
      <c r="J50" s="257" t="s">
        <v>156</v>
      </c>
      <c r="K50" s="64" t="s">
        <v>975</v>
      </c>
      <c r="L50" t="s">
        <v>975</v>
      </c>
      <c r="M50" s="257" t="s">
        <v>975</v>
      </c>
      <c r="N50" s="52" t="str">
        <f>RegionSelect!$B$2</f>
        <v>Amhara</v>
      </c>
      <c r="O50" s="195">
        <v>1</v>
      </c>
      <c r="P50" s="195" t="s">
        <v>212</v>
      </c>
      <c r="Q50" s="195"/>
      <c r="R50" s="195"/>
      <c r="S50" s="89">
        <v>1</v>
      </c>
      <c r="T50">
        <v>1</v>
      </c>
      <c r="V50" s="6">
        <v>15</v>
      </c>
    </row>
    <row r="51" spans="1:27" x14ac:dyDescent="0.45">
      <c r="A51" t="s">
        <v>2163</v>
      </c>
      <c r="B51" s="66" t="s">
        <v>2266</v>
      </c>
      <c r="D51" s="324">
        <v>38</v>
      </c>
      <c r="E51" s="64" t="s">
        <v>2295</v>
      </c>
      <c r="F51" s="58" t="s">
        <v>2292</v>
      </c>
      <c r="G51" t="s">
        <v>154</v>
      </c>
      <c r="H51" t="s">
        <v>2787</v>
      </c>
      <c r="I51" t="s">
        <v>66</v>
      </c>
      <c r="J51" s="257" t="s">
        <v>253</v>
      </c>
      <c r="K51" s="64" t="s">
        <v>975</v>
      </c>
      <c r="L51" t="s">
        <v>975</v>
      </c>
      <c r="M51" s="257" t="s">
        <v>975</v>
      </c>
      <c r="N51" s="52" t="str">
        <f>RegionSelect!$B$2</f>
        <v>Amhara</v>
      </c>
      <c r="O51" s="145">
        <f>IFERROR(VLOOKUP(_xlfn.CONCAT(AA51,RegionSelect!$C$2),RegionalData!$C:$S,13,FALSE),VLOOKUP(_xlfn.CONCAT(AA51,"ET"),RegionalData!$C:$S,13,FALSE))</f>
        <v>2.1103103857566762E-2</v>
      </c>
      <c r="P51" s="195" t="s">
        <v>1943</v>
      </c>
      <c r="Q51" s="195"/>
      <c r="R51" s="195"/>
      <c r="S51" s="89">
        <v>1</v>
      </c>
      <c r="T51">
        <v>1</v>
      </c>
      <c r="V51" s="6">
        <v>15</v>
      </c>
      <c r="AA51" t="s">
        <v>2984</v>
      </c>
    </row>
    <row r="52" spans="1:27" x14ac:dyDescent="0.45">
      <c r="A52" t="s">
        <v>2163</v>
      </c>
      <c r="B52" s="66" t="s">
        <v>2266</v>
      </c>
      <c r="D52" s="324">
        <v>39</v>
      </c>
      <c r="E52" s="64" t="str">
        <f>_xlfn.CONCAT("FH.FP.",D52)</f>
        <v>FH.FP.39</v>
      </c>
      <c r="F52" t="s">
        <v>2268</v>
      </c>
      <c r="G52" t="s">
        <v>154</v>
      </c>
      <c r="H52" t="s">
        <v>2787</v>
      </c>
      <c r="I52" t="s">
        <v>66</v>
      </c>
      <c r="J52" s="257" t="s">
        <v>253</v>
      </c>
      <c r="K52" s="64" t="s">
        <v>975</v>
      </c>
      <c r="L52" t="s">
        <v>975</v>
      </c>
      <c r="M52" s="257" t="s">
        <v>975</v>
      </c>
      <c r="N52" s="52" t="str">
        <f>RegionSelect!$B$2</f>
        <v>Amhara</v>
      </c>
      <c r="O52" s="145">
        <f>IFERROR(VLOOKUP(_xlfn.CONCAT(AA52,RegionSelect!$C$2),RegionalData!$C:$S,13,FALSE),VLOOKUP(_xlfn.CONCAT(AA52,"ET"),RegionalData!$C:$S,13,FALSE))</f>
        <v>0.30100593471810083</v>
      </c>
      <c r="P52" s="195" t="s">
        <v>1863</v>
      </c>
      <c r="Q52" s="195"/>
      <c r="R52" s="195"/>
      <c r="S52" s="89">
        <v>1</v>
      </c>
      <c r="U52">
        <v>4</v>
      </c>
      <c r="V52" s="6">
        <v>5</v>
      </c>
      <c r="AA52" t="s">
        <v>2986</v>
      </c>
    </row>
    <row r="53" spans="1:27" x14ac:dyDescent="0.45">
      <c r="A53" t="s">
        <v>2163</v>
      </c>
      <c r="B53" s="66" t="s">
        <v>2266</v>
      </c>
      <c r="D53" s="324">
        <v>40</v>
      </c>
      <c r="E53" s="64" t="str">
        <f t="shared" ref="E53:E75" si="2">_xlfn.CONCAT("FH.FP.",D53)</f>
        <v>FH.FP.40</v>
      </c>
      <c r="F53" t="s">
        <v>2289</v>
      </c>
      <c r="G53" t="s">
        <v>154</v>
      </c>
      <c r="H53" t="s">
        <v>2787</v>
      </c>
      <c r="I53" t="s">
        <v>66</v>
      </c>
      <c r="J53" s="257" t="s">
        <v>253</v>
      </c>
      <c r="K53" s="64" t="s">
        <v>975</v>
      </c>
      <c r="L53" t="s">
        <v>975</v>
      </c>
      <c r="M53" s="257" t="s">
        <v>194</v>
      </c>
      <c r="N53" s="52" t="str">
        <f>RegionSelect!$B$2</f>
        <v>Amhara</v>
      </c>
      <c r="O53" s="145">
        <f>IFERROR(VLOOKUP(_xlfn.CONCAT(AA53,RegionSelect!$C$2),RegionalData!$C:$S,13,FALSE),VLOOKUP(_xlfn.CONCAT(AA53,"ET"),RegionalData!$C:$S,13,FALSE))</f>
        <v>0.15254599406528185</v>
      </c>
      <c r="P53" s="195" t="s">
        <v>1863</v>
      </c>
      <c r="Q53" s="195">
        <f>1/4</f>
        <v>0.25</v>
      </c>
      <c r="R53" s="195" t="s">
        <v>2622</v>
      </c>
      <c r="S53" s="89">
        <v>1</v>
      </c>
      <c r="T53">
        <v>1</v>
      </c>
      <c r="V53" s="6">
        <v>20</v>
      </c>
      <c r="AA53" t="s">
        <v>2987</v>
      </c>
    </row>
    <row r="54" spans="1:27" x14ac:dyDescent="0.45">
      <c r="A54" t="s">
        <v>2163</v>
      </c>
      <c r="B54" s="66" t="s">
        <v>2266</v>
      </c>
      <c r="D54" s="324">
        <v>41</v>
      </c>
      <c r="E54" s="64" t="str">
        <f t="shared" si="2"/>
        <v>FH.FP.41</v>
      </c>
      <c r="F54" t="s">
        <v>2288</v>
      </c>
      <c r="G54" t="s">
        <v>154</v>
      </c>
      <c r="H54" t="s">
        <v>2787</v>
      </c>
      <c r="I54" t="s">
        <v>66</v>
      </c>
      <c r="J54" s="257" t="s">
        <v>253</v>
      </c>
      <c r="K54" s="64" t="s">
        <v>975</v>
      </c>
      <c r="L54" t="s">
        <v>194</v>
      </c>
      <c r="M54" s="257" t="s">
        <v>194</v>
      </c>
      <c r="N54" s="52" t="str">
        <f>RegionSelect!$B$2</f>
        <v>Amhara</v>
      </c>
      <c r="O54" s="195">
        <f>O53</f>
        <v>0.15254599406528185</v>
      </c>
      <c r="P54" s="195" t="s">
        <v>1863</v>
      </c>
      <c r="Q54" s="195">
        <f>1/4</f>
        <v>0.25</v>
      </c>
      <c r="R54" s="195" t="s">
        <v>2622</v>
      </c>
      <c r="S54" s="89">
        <v>1</v>
      </c>
      <c r="T54">
        <v>1</v>
      </c>
      <c r="V54" s="6">
        <v>20</v>
      </c>
      <c r="AA54" t="s">
        <v>2987</v>
      </c>
    </row>
    <row r="55" spans="1:27" x14ac:dyDescent="0.45">
      <c r="A55" t="s">
        <v>2163</v>
      </c>
      <c r="B55" s="66" t="s">
        <v>2266</v>
      </c>
      <c r="D55" s="324">
        <v>42</v>
      </c>
      <c r="E55" s="64" t="str">
        <f t="shared" si="2"/>
        <v>FH.FP.42</v>
      </c>
      <c r="F55" t="s">
        <v>2269</v>
      </c>
      <c r="G55" t="s">
        <v>154</v>
      </c>
      <c r="H55" t="s">
        <v>2787</v>
      </c>
      <c r="I55" t="s">
        <v>66</v>
      </c>
      <c r="J55" s="257" t="s">
        <v>253</v>
      </c>
      <c r="K55" s="64" t="s">
        <v>975</v>
      </c>
      <c r="L55" t="s">
        <v>975</v>
      </c>
      <c r="M55" s="257" t="s">
        <v>975</v>
      </c>
      <c r="N55" t="str">
        <f>RegionSelect!$B$2</f>
        <v>Amhara</v>
      </c>
      <c r="O55" s="336"/>
      <c r="P55" s="195" t="s">
        <v>1863</v>
      </c>
      <c r="Q55" s="195"/>
      <c r="R55" s="195"/>
      <c r="S55" s="89">
        <v>1</v>
      </c>
      <c r="T55">
        <v>1</v>
      </c>
      <c r="U55" s="195"/>
      <c r="V55" s="6">
        <v>15</v>
      </c>
      <c r="Y55" t="s">
        <v>975</v>
      </c>
      <c r="Z55" s="312" t="s">
        <v>2232</v>
      </c>
    </row>
    <row r="56" spans="1:27" x14ac:dyDescent="0.45">
      <c r="A56" t="s">
        <v>2163</v>
      </c>
      <c r="B56" s="66" t="s">
        <v>2266</v>
      </c>
      <c r="D56" s="324">
        <v>43</v>
      </c>
      <c r="E56" s="64" t="str">
        <f t="shared" si="2"/>
        <v>FH.FP.43</v>
      </c>
      <c r="F56" t="s">
        <v>2270</v>
      </c>
      <c r="G56" t="s">
        <v>154</v>
      </c>
      <c r="H56" t="s">
        <v>2789</v>
      </c>
      <c r="I56" t="s">
        <v>66</v>
      </c>
      <c r="J56" s="257" t="s">
        <v>156</v>
      </c>
      <c r="K56" s="64" t="s">
        <v>975</v>
      </c>
      <c r="L56" t="s">
        <v>194</v>
      </c>
      <c r="M56" s="257" t="s">
        <v>194</v>
      </c>
      <c r="N56" t="str">
        <f>RegionSelect!$B$2</f>
        <v>Amhara</v>
      </c>
      <c r="O56" s="145">
        <f>IFERROR(VLOOKUP(_xlfn.CONCAT(AA56,RegionSelect!$C$2),RegionalData!$C:$S,13,FALSE),VLOOKUP(_xlfn.CONCAT(AA56,"ET"),RegionalData!$C:$S,13,FALSE))</f>
        <v>0.16649999999999998</v>
      </c>
      <c r="P56" s="195" t="s">
        <v>2195</v>
      </c>
      <c r="Q56" s="195"/>
      <c r="R56" s="195"/>
      <c r="S56" s="147">
        <v>1</v>
      </c>
      <c r="T56">
        <v>1</v>
      </c>
      <c r="U56" s="195"/>
      <c r="V56" s="315">
        <v>20</v>
      </c>
      <c r="Y56" t="s">
        <v>975</v>
      </c>
      <c r="AA56" t="s">
        <v>2989</v>
      </c>
    </row>
    <row r="57" spans="1:27" x14ac:dyDescent="0.45">
      <c r="A57" t="s">
        <v>2163</v>
      </c>
      <c r="B57" s="66" t="s">
        <v>2266</v>
      </c>
      <c r="D57" s="324">
        <v>44</v>
      </c>
      <c r="E57" s="64" t="str">
        <f t="shared" si="2"/>
        <v>FH.FP.44</v>
      </c>
      <c r="F57" t="s">
        <v>2271</v>
      </c>
      <c r="G57" t="s">
        <v>154</v>
      </c>
      <c r="H57" t="s">
        <v>2789</v>
      </c>
      <c r="I57" t="s">
        <v>66</v>
      </c>
      <c r="J57" s="257" t="s">
        <v>156</v>
      </c>
      <c r="K57" s="64" t="s">
        <v>975</v>
      </c>
      <c r="L57" t="s">
        <v>975</v>
      </c>
      <c r="M57" s="257" t="s">
        <v>975</v>
      </c>
      <c r="N57" t="str">
        <f>RegionSelect!$B$2</f>
        <v>Amhara</v>
      </c>
      <c r="O57" s="145">
        <f>O56</f>
        <v>0.16649999999999998</v>
      </c>
      <c r="P57" s="195" t="s">
        <v>2195</v>
      </c>
      <c r="Q57" s="195"/>
      <c r="R57" s="195" t="s">
        <v>2297</v>
      </c>
      <c r="S57" s="147">
        <v>1</v>
      </c>
      <c r="T57">
        <v>1</v>
      </c>
      <c r="U57" s="195"/>
      <c r="V57" s="315">
        <v>10</v>
      </c>
      <c r="Y57" t="s">
        <v>975</v>
      </c>
      <c r="AA57" t="s">
        <v>2989</v>
      </c>
    </row>
    <row r="58" spans="1:27" x14ac:dyDescent="0.45">
      <c r="A58" t="s">
        <v>2163</v>
      </c>
      <c r="B58" s="66" t="s">
        <v>2266</v>
      </c>
      <c r="D58" s="324">
        <v>45</v>
      </c>
      <c r="E58" s="64" t="str">
        <f t="shared" si="2"/>
        <v>FH.FP.45</v>
      </c>
      <c r="F58" t="s">
        <v>2272</v>
      </c>
      <c r="G58" t="s">
        <v>2248</v>
      </c>
      <c r="H58" t="s">
        <v>206</v>
      </c>
      <c r="I58" t="s">
        <v>2240</v>
      </c>
      <c r="J58" s="257" t="s">
        <v>247</v>
      </c>
      <c r="K58" s="64" t="s">
        <v>975</v>
      </c>
      <c r="L58" t="s">
        <v>975</v>
      </c>
      <c r="M58" s="257" t="s">
        <v>975</v>
      </c>
      <c r="N58" t="str">
        <f>RegionSelect!$B$2</f>
        <v>Amhara</v>
      </c>
      <c r="O58" s="145">
        <v>1</v>
      </c>
      <c r="P58" s="195" t="s">
        <v>212</v>
      </c>
      <c r="Q58" s="195"/>
      <c r="R58" s="195"/>
      <c r="S58" s="89">
        <v>1</v>
      </c>
      <c r="T58" s="195"/>
      <c r="U58" s="195"/>
      <c r="Y58" t="s">
        <v>975</v>
      </c>
      <c r="Z58" s="316" t="s">
        <v>2298</v>
      </c>
    </row>
    <row r="59" spans="1:27" x14ac:dyDescent="0.45">
      <c r="A59" t="s">
        <v>2163</v>
      </c>
      <c r="B59" s="66" t="s">
        <v>2266</v>
      </c>
      <c r="D59" s="324">
        <v>46</v>
      </c>
      <c r="E59" s="64" t="str">
        <f t="shared" si="2"/>
        <v>FH.FP.46</v>
      </c>
      <c r="F59" t="s">
        <v>2273</v>
      </c>
      <c r="G59" t="s">
        <v>154</v>
      </c>
      <c r="H59" t="s">
        <v>2789</v>
      </c>
      <c r="I59" t="s">
        <v>2240</v>
      </c>
      <c r="J59" s="257" t="s">
        <v>253</v>
      </c>
      <c r="K59" s="64" t="s">
        <v>975</v>
      </c>
      <c r="L59" t="s">
        <v>975</v>
      </c>
      <c r="M59" s="257" t="s">
        <v>194</v>
      </c>
      <c r="N59" t="str">
        <f>RegionSelect!$B$2</f>
        <v>Amhara</v>
      </c>
      <c r="O59" s="145">
        <f>IFERROR(VLOOKUP(_xlfn.CONCAT(AA59,RegionSelect!$C$2),RegionalData!$C:$S,13,FALSE),VLOOKUP(_xlfn.CONCAT(AA59,"ET"),RegionalData!$C:$S,13,FALSE))</f>
        <v>0.14000000000000001</v>
      </c>
      <c r="P59" s="195" t="s">
        <v>1863</v>
      </c>
      <c r="Q59" s="195"/>
      <c r="R59" s="195"/>
      <c r="S59" s="89">
        <v>1</v>
      </c>
      <c r="T59">
        <v>1</v>
      </c>
      <c r="U59" s="319">
        <f>1/5</f>
        <v>0.2</v>
      </c>
      <c r="V59" s="6">
        <v>10</v>
      </c>
      <c r="Y59" t="s">
        <v>975</v>
      </c>
      <c r="Z59" t="s">
        <v>2519</v>
      </c>
      <c r="AA59" t="s">
        <v>2994</v>
      </c>
    </row>
    <row r="60" spans="1:27" x14ac:dyDescent="0.45">
      <c r="A60" t="s">
        <v>2163</v>
      </c>
      <c r="B60" s="66" t="s">
        <v>2266</v>
      </c>
      <c r="D60" s="324">
        <v>47</v>
      </c>
      <c r="E60" s="64" t="str">
        <f t="shared" si="2"/>
        <v>FH.FP.47</v>
      </c>
      <c r="F60" t="s">
        <v>2274</v>
      </c>
      <c r="G60" t="s">
        <v>2248</v>
      </c>
      <c r="H60" t="s">
        <v>2787</v>
      </c>
      <c r="I60" t="s">
        <v>2240</v>
      </c>
      <c r="J60" s="257" t="s">
        <v>247</v>
      </c>
      <c r="K60" s="64" t="s">
        <v>975</v>
      </c>
      <c r="L60" t="s">
        <v>975</v>
      </c>
      <c r="M60" s="257" t="s">
        <v>975</v>
      </c>
      <c r="N60" t="str">
        <f>RegionSelect!$B$2</f>
        <v>Amhara</v>
      </c>
      <c r="O60" s="145">
        <v>1</v>
      </c>
      <c r="P60" s="195" t="s">
        <v>212</v>
      </c>
      <c r="Q60" s="195"/>
      <c r="R60" s="195"/>
      <c r="S60" s="89">
        <v>1</v>
      </c>
      <c r="T60" s="195"/>
      <c r="U60" s="195"/>
      <c r="Y60" t="s">
        <v>975</v>
      </c>
      <c r="Z60" s="316" t="s">
        <v>2298</v>
      </c>
    </row>
    <row r="61" spans="1:27" x14ac:dyDescent="0.45">
      <c r="A61" t="s">
        <v>2163</v>
      </c>
      <c r="B61" s="66" t="s">
        <v>2266</v>
      </c>
      <c r="D61" s="324">
        <v>48</v>
      </c>
      <c r="E61" s="64" t="str">
        <f t="shared" si="2"/>
        <v>FH.FP.48</v>
      </c>
      <c r="F61" t="s">
        <v>2275</v>
      </c>
      <c r="G61" t="s">
        <v>154</v>
      </c>
      <c r="H61" t="s">
        <v>2787</v>
      </c>
      <c r="I61" t="s">
        <v>68</v>
      </c>
      <c r="J61" s="257" t="s">
        <v>187</v>
      </c>
      <c r="K61" s="64" t="s">
        <v>975</v>
      </c>
      <c r="L61" t="s">
        <v>975</v>
      </c>
      <c r="M61" s="257" t="s">
        <v>975</v>
      </c>
      <c r="N61" t="str">
        <f>RegionSelect!$B$2</f>
        <v>Amhara</v>
      </c>
      <c r="O61" s="195">
        <v>1</v>
      </c>
      <c r="P61" s="195" t="s">
        <v>212</v>
      </c>
      <c r="Q61" s="195"/>
      <c r="R61" s="195"/>
      <c r="S61" s="89">
        <v>1</v>
      </c>
      <c r="T61">
        <v>2</v>
      </c>
      <c r="W61" s="195"/>
      <c r="X61" s="195"/>
      <c r="Z61" s="316" t="s">
        <v>2252</v>
      </c>
    </row>
    <row r="62" spans="1:27" x14ac:dyDescent="0.45">
      <c r="A62" t="s">
        <v>2163</v>
      </c>
      <c r="B62" s="66" t="s">
        <v>2266</v>
      </c>
      <c r="D62" s="324">
        <v>49</v>
      </c>
      <c r="E62" s="64" t="str">
        <f t="shared" si="2"/>
        <v>FH.FP.49</v>
      </c>
      <c r="F62" t="s">
        <v>2276</v>
      </c>
      <c r="G62" t="s">
        <v>2248</v>
      </c>
      <c r="H62" t="s">
        <v>206</v>
      </c>
      <c r="I62" t="s">
        <v>2240</v>
      </c>
      <c r="J62" s="257" t="s">
        <v>253</v>
      </c>
      <c r="K62" s="64" t="s">
        <v>975</v>
      </c>
      <c r="L62" t="s">
        <v>975</v>
      </c>
      <c r="M62" s="257" t="s">
        <v>975</v>
      </c>
      <c r="N62" t="str">
        <f>RegionSelect!$B$2</f>
        <v>Amhara</v>
      </c>
      <c r="P62" s="195" t="s">
        <v>194</v>
      </c>
      <c r="Q62" s="195"/>
      <c r="R62" s="195"/>
      <c r="S62" s="195"/>
      <c r="T62" s="195"/>
      <c r="U62" s="195"/>
      <c r="Y62" t="s">
        <v>975</v>
      </c>
      <c r="Z62" s="316" t="s">
        <v>2298</v>
      </c>
    </row>
    <row r="63" spans="1:27" x14ac:dyDescent="0.45">
      <c r="A63" t="s">
        <v>2163</v>
      </c>
      <c r="B63" s="66" t="s">
        <v>2266</v>
      </c>
      <c r="D63" s="324">
        <v>50</v>
      </c>
      <c r="E63" s="64" t="str">
        <f t="shared" si="2"/>
        <v>FH.FP.50</v>
      </c>
      <c r="F63" t="s">
        <v>2277</v>
      </c>
      <c r="G63" t="s">
        <v>154</v>
      </c>
      <c r="H63" t="s">
        <v>2787</v>
      </c>
      <c r="I63" t="s">
        <v>66</v>
      </c>
      <c r="J63" s="257" t="s">
        <v>187</v>
      </c>
      <c r="K63" s="64" t="s">
        <v>975</v>
      </c>
      <c r="L63" t="s">
        <v>975</v>
      </c>
      <c r="M63" s="257" t="s">
        <v>975</v>
      </c>
      <c r="N63" t="str">
        <f>RegionSelect!$B$2</f>
        <v>Amhara</v>
      </c>
      <c r="P63" s="195" t="s">
        <v>194</v>
      </c>
      <c r="Q63" s="195"/>
      <c r="R63" s="195"/>
      <c r="S63" s="195"/>
      <c r="T63" s="195"/>
      <c r="U63" s="195"/>
      <c r="Z63" s="316" t="s">
        <v>2299</v>
      </c>
    </row>
    <row r="64" spans="1:27" x14ac:dyDescent="0.45">
      <c r="A64" t="s">
        <v>2163</v>
      </c>
      <c r="B64" s="66" t="s">
        <v>2266</v>
      </c>
      <c r="D64" s="324">
        <v>51</v>
      </c>
      <c r="E64" s="64" t="str">
        <f t="shared" si="2"/>
        <v>FH.FP.51</v>
      </c>
      <c r="F64" t="s">
        <v>2278</v>
      </c>
      <c r="G64" t="s">
        <v>154</v>
      </c>
      <c r="H64" t="s">
        <v>2787</v>
      </c>
      <c r="I64" t="s">
        <v>66</v>
      </c>
      <c r="J64" s="257" t="s">
        <v>187</v>
      </c>
      <c r="K64" s="64" t="s">
        <v>975</v>
      </c>
      <c r="L64" t="s">
        <v>975</v>
      </c>
      <c r="M64" s="257" t="s">
        <v>975</v>
      </c>
      <c r="N64" t="str">
        <f>RegionSelect!$B$2</f>
        <v>Amhara</v>
      </c>
      <c r="P64" s="195" t="s">
        <v>194</v>
      </c>
      <c r="Q64" s="195"/>
      <c r="R64" s="195"/>
      <c r="S64" s="195"/>
      <c r="T64" s="195"/>
      <c r="U64" s="195"/>
      <c r="Z64" t="s">
        <v>2771</v>
      </c>
    </row>
    <row r="65" spans="1:27" x14ac:dyDescent="0.45">
      <c r="A65" t="s">
        <v>2163</v>
      </c>
      <c r="B65" s="66" t="s">
        <v>2266</v>
      </c>
      <c r="D65" s="324">
        <v>52</v>
      </c>
      <c r="E65" s="64" t="str">
        <f t="shared" si="2"/>
        <v>FH.FP.52</v>
      </c>
      <c r="F65" t="s">
        <v>2279</v>
      </c>
      <c r="G65" t="s">
        <v>2248</v>
      </c>
      <c r="H65" t="s">
        <v>206</v>
      </c>
      <c r="I65" t="s">
        <v>2240</v>
      </c>
      <c r="J65" s="257" t="s">
        <v>194</v>
      </c>
      <c r="K65" s="64" t="s">
        <v>975</v>
      </c>
      <c r="L65" t="s">
        <v>975</v>
      </c>
      <c r="M65" s="257" t="s">
        <v>975</v>
      </c>
      <c r="N65" t="str">
        <f>RegionSelect!$B$2</f>
        <v>Amhara</v>
      </c>
      <c r="P65" s="195" t="s">
        <v>194</v>
      </c>
      <c r="Q65" s="195"/>
      <c r="R65" s="195"/>
      <c r="S65" s="195"/>
      <c r="T65" s="195"/>
      <c r="U65" s="195"/>
      <c r="Y65" t="s">
        <v>975</v>
      </c>
      <c r="Z65" s="316" t="s">
        <v>2252</v>
      </c>
    </row>
    <row r="66" spans="1:27" x14ac:dyDescent="0.45">
      <c r="A66" t="s">
        <v>2163</v>
      </c>
      <c r="B66" s="66" t="s">
        <v>2266</v>
      </c>
      <c r="D66" s="324">
        <v>53</v>
      </c>
      <c r="E66" s="64" t="str">
        <f t="shared" si="2"/>
        <v>FH.FP.53</v>
      </c>
      <c r="F66" t="s">
        <v>2280</v>
      </c>
      <c r="G66" t="s">
        <v>2248</v>
      </c>
      <c r="H66" t="s">
        <v>206</v>
      </c>
      <c r="I66" t="s">
        <v>2240</v>
      </c>
      <c r="J66" s="257" t="s">
        <v>194</v>
      </c>
      <c r="K66" s="64" t="s">
        <v>975</v>
      </c>
      <c r="L66" t="s">
        <v>975</v>
      </c>
      <c r="M66" s="257" t="s">
        <v>975</v>
      </c>
      <c r="N66" t="str">
        <f>RegionSelect!$B$2</f>
        <v>Amhara</v>
      </c>
      <c r="P66" s="195" t="s">
        <v>194</v>
      </c>
      <c r="Q66" s="195"/>
      <c r="R66" s="195"/>
      <c r="S66" s="195"/>
      <c r="T66" s="195"/>
      <c r="U66" s="195"/>
      <c r="Y66" t="s">
        <v>975</v>
      </c>
      <c r="Z66" s="316" t="s">
        <v>2252</v>
      </c>
    </row>
    <row r="67" spans="1:27" x14ac:dyDescent="0.45">
      <c r="A67" t="s">
        <v>2163</v>
      </c>
      <c r="B67" s="66" t="s">
        <v>2266</v>
      </c>
      <c r="D67" s="324">
        <v>54</v>
      </c>
      <c r="E67" s="64" t="str">
        <f t="shared" si="2"/>
        <v>FH.FP.54</v>
      </c>
      <c r="F67" t="s">
        <v>2281</v>
      </c>
      <c r="G67" t="s">
        <v>154</v>
      </c>
      <c r="H67" t="s">
        <v>2789</v>
      </c>
      <c r="I67" t="s">
        <v>2240</v>
      </c>
      <c r="J67" s="257" t="s">
        <v>253</v>
      </c>
      <c r="K67" s="64" t="s">
        <v>975</v>
      </c>
      <c r="L67" t="s">
        <v>975</v>
      </c>
      <c r="M67" s="257" t="s">
        <v>194</v>
      </c>
      <c r="N67" t="str">
        <f>RegionSelect!$B$2</f>
        <v>Amhara</v>
      </c>
      <c r="O67" s="145">
        <f>IFERROR(VLOOKUP(_xlfn.CONCAT(AA67,RegionSelect!$C$2),RegionalData!$C:$S,13,FALSE),VLOOKUP(_xlfn.CONCAT(AA67,"ET"),RegionalData!$C:$S,13,FALSE))</f>
        <v>6.9000000000000006E-2</v>
      </c>
      <c r="P67" t="s">
        <v>2195</v>
      </c>
      <c r="Q67" s="195"/>
      <c r="R67" s="195"/>
      <c r="S67" s="130">
        <v>0.98</v>
      </c>
      <c r="T67">
        <v>1</v>
      </c>
      <c r="V67" s="6">
        <v>5</v>
      </c>
      <c r="Y67" t="s">
        <v>975</v>
      </c>
      <c r="AA67" t="s">
        <v>2998</v>
      </c>
    </row>
    <row r="68" spans="1:27" x14ac:dyDescent="0.45">
      <c r="A68" t="s">
        <v>2163</v>
      </c>
      <c r="B68" s="66" t="s">
        <v>2266</v>
      </c>
      <c r="D68" s="324">
        <v>55</v>
      </c>
      <c r="E68" s="64" t="str">
        <f t="shared" si="2"/>
        <v>FH.FP.55</v>
      </c>
      <c r="F68" t="s">
        <v>2301</v>
      </c>
      <c r="G68" t="s">
        <v>154</v>
      </c>
      <c r="H68" t="s">
        <v>2789</v>
      </c>
      <c r="I68" t="s">
        <v>2240</v>
      </c>
      <c r="J68" s="257" t="s">
        <v>253</v>
      </c>
      <c r="K68" s="64" t="s">
        <v>975</v>
      </c>
      <c r="L68" t="s">
        <v>975</v>
      </c>
      <c r="M68" s="257" t="s">
        <v>194</v>
      </c>
      <c r="N68" t="str">
        <f>RegionSelect!$B$2</f>
        <v>Amhara</v>
      </c>
      <c r="O68" s="195">
        <f>O67</f>
        <v>6.9000000000000006E-2</v>
      </c>
      <c r="P68" t="s">
        <v>2195</v>
      </c>
      <c r="Q68" s="195"/>
      <c r="R68" s="195"/>
      <c r="S68" s="89">
        <f>S67</f>
        <v>0.98</v>
      </c>
      <c r="T68">
        <v>3</v>
      </c>
      <c r="V68" s="6">
        <v>5</v>
      </c>
      <c r="Y68" t="s">
        <v>975</v>
      </c>
      <c r="AA68" t="s">
        <v>2998</v>
      </c>
    </row>
    <row r="69" spans="1:27" x14ac:dyDescent="0.45">
      <c r="A69" t="s">
        <v>2163</v>
      </c>
      <c r="B69" s="66" t="s">
        <v>2266</v>
      </c>
      <c r="D69" s="324">
        <v>56</v>
      </c>
      <c r="E69" s="64" t="str">
        <f t="shared" si="2"/>
        <v>FH.FP.56</v>
      </c>
      <c r="F69" t="s">
        <v>2282</v>
      </c>
      <c r="G69" t="s">
        <v>154</v>
      </c>
      <c r="H69" t="s">
        <v>2789</v>
      </c>
      <c r="I69" t="s">
        <v>2240</v>
      </c>
      <c r="J69" s="257" t="s">
        <v>253</v>
      </c>
      <c r="K69" s="64" t="s">
        <v>975</v>
      </c>
      <c r="L69" t="s">
        <v>975</v>
      </c>
      <c r="M69" s="257" t="s">
        <v>194</v>
      </c>
      <c r="N69" t="str">
        <f>RegionSelect!$B$2</f>
        <v>Amhara</v>
      </c>
      <c r="O69" s="145">
        <f>IFERROR(VLOOKUP(_xlfn.CONCAT(AA69,RegionSelect!$C$2),RegionalData!$C:$S,13,FALSE),VLOOKUP(_xlfn.CONCAT(AA69,"ET"),RegionalData!$C:$S,13,FALSE))</f>
        <v>0.13400000000000001</v>
      </c>
      <c r="P69" t="s">
        <v>2195</v>
      </c>
      <c r="Q69" s="195"/>
      <c r="R69" s="195" t="s">
        <v>2528</v>
      </c>
      <c r="S69" s="89">
        <f t="shared" ref="S69:S71" si="3">S68</f>
        <v>0.98</v>
      </c>
      <c r="T69">
        <v>1</v>
      </c>
      <c r="V69" s="315">
        <v>20</v>
      </c>
      <c r="Y69" t="s">
        <v>975</v>
      </c>
      <c r="AA69" t="s">
        <v>3000</v>
      </c>
    </row>
    <row r="70" spans="1:27" x14ac:dyDescent="0.45">
      <c r="A70" t="s">
        <v>2163</v>
      </c>
      <c r="B70" s="66" t="s">
        <v>2266</v>
      </c>
      <c r="D70" s="324">
        <v>57</v>
      </c>
      <c r="E70" s="64" t="str">
        <f t="shared" si="2"/>
        <v>FH.FP.57</v>
      </c>
      <c r="F70" t="s">
        <v>2283</v>
      </c>
      <c r="G70" t="s">
        <v>154</v>
      </c>
      <c r="H70" t="s">
        <v>2789</v>
      </c>
      <c r="I70" t="s">
        <v>2240</v>
      </c>
      <c r="J70" s="257" t="s">
        <v>253</v>
      </c>
      <c r="K70" s="64" t="s">
        <v>975</v>
      </c>
      <c r="L70" t="s">
        <v>975</v>
      </c>
      <c r="M70" s="257" t="s">
        <v>194</v>
      </c>
      <c r="N70" t="str">
        <f>RegionSelect!$B$2</f>
        <v>Amhara</v>
      </c>
      <c r="O70" s="195">
        <f>O69</f>
        <v>0.13400000000000001</v>
      </c>
      <c r="P70" t="s">
        <v>2195</v>
      </c>
      <c r="Q70" s="195"/>
      <c r="R70" s="195" t="s">
        <v>2528</v>
      </c>
      <c r="S70" s="89">
        <f t="shared" si="3"/>
        <v>0.98</v>
      </c>
      <c r="T70">
        <v>1</v>
      </c>
      <c r="V70" s="315">
        <v>20</v>
      </c>
      <c r="Y70" t="s">
        <v>975</v>
      </c>
      <c r="AA70" t="s">
        <v>3000</v>
      </c>
    </row>
    <row r="71" spans="1:27" x14ac:dyDescent="0.45">
      <c r="A71" t="s">
        <v>2163</v>
      </c>
      <c r="B71" s="66" t="s">
        <v>2266</v>
      </c>
      <c r="D71" s="324">
        <v>58</v>
      </c>
      <c r="E71" s="64" t="str">
        <f t="shared" si="2"/>
        <v>FH.FP.58</v>
      </c>
      <c r="F71" t="s">
        <v>2284</v>
      </c>
      <c r="G71" t="s">
        <v>154</v>
      </c>
      <c r="H71" t="s">
        <v>2789</v>
      </c>
      <c r="I71" t="s">
        <v>2240</v>
      </c>
      <c r="J71" s="257" t="s">
        <v>253</v>
      </c>
      <c r="K71" s="64" t="s">
        <v>975</v>
      </c>
      <c r="L71" t="s">
        <v>975</v>
      </c>
      <c r="M71" s="257" t="s">
        <v>975</v>
      </c>
      <c r="N71" t="str">
        <f>RegionSelect!$B$2</f>
        <v>Amhara</v>
      </c>
      <c r="O71" s="195">
        <f>O67+O69</f>
        <v>0.20300000000000001</v>
      </c>
      <c r="P71" t="s">
        <v>2195</v>
      </c>
      <c r="Q71" s="319">
        <v>0.1</v>
      </c>
      <c r="R71" s="195" t="s">
        <v>2529</v>
      </c>
      <c r="S71" s="89">
        <f t="shared" si="3"/>
        <v>0.98</v>
      </c>
      <c r="T71">
        <v>1</v>
      </c>
      <c r="V71" s="315">
        <v>20</v>
      </c>
      <c r="Y71" t="s">
        <v>975</v>
      </c>
    </row>
    <row r="72" spans="1:27" x14ac:dyDescent="0.45">
      <c r="A72" t="s">
        <v>2163</v>
      </c>
      <c r="B72" s="66" t="s">
        <v>2266</v>
      </c>
      <c r="D72" s="324">
        <v>59</v>
      </c>
      <c r="E72" s="64" t="str">
        <f t="shared" si="2"/>
        <v>FH.FP.59</v>
      </c>
      <c r="F72" t="s">
        <v>2285</v>
      </c>
      <c r="G72" t="s">
        <v>2248</v>
      </c>
      <c r="H72" t="s">
        <v>206</v>
      </c>
      <c r="I72" t="s">
        <v>2240</v>
      </c>
      <c r="J72" s="257" t="s">
        <v>194</v>
      </c>
      <c r="K72" s="64" t="s">
        <v>975</v>
      </c>
      <c r="L72" t="s">
        <v>975</v>
      </c>
      <c r="M72" s="257" t="s">
        <v>975</v>
      </c>
      <c r="N72" t="str">
        <f>RegionSelect!$B$2</f>
        <v>Amhara</v>
      </c>
      <c r="P72" s="195" t="s">
        <v>194</v>
      </c>
      <c r="Q72" s="195"/>
      <c r="R72" s="195"/>
      <c r="S72" s="195"/>
      <c r="T72" s="195"/>
      <c r="Y72" t="s">
        <v>975</v>
      </c>
      <c r="Z72" s="316" t="s">
        <v>2252</v>
      </c>
    </row>
    <row r="73" spans="1:27" x14ac:dyDescent="0.45">
      <c r="A73" t="s">
        <v>2163</v>
      </c>
      <c r="B73" s="66" t="s">
        <v>2266</v>
      </c>
      <c r="D73" s="324">
        <v>60</v>
      </c>
      <c r="E73" s="64" t="str">
        <f t="shared" si="2"/>
        <v>FH.FP.60</v>
      </c>
      <c r="F73" t="s">
        <v>2286</v>
      </c>
      <c r="G73" t="s">
        <v>154</v>
      </c>
      <c r="H73" t="s">
        <v>2787</v>
      </c>
      <c r="I73" t="s">
        <v>66</v>
      </c>
      <c r="J73" s="257" t="s">
        <v>187</v>
      </c>
      <c r="K73" s="64" t="s">
        <v>975</v>
      </c>
      <c r="L73" t="s">
        <v>975</v>
      </c>
      <c r="M73" s="257" t="s">
        <v>194</v>
      </c>
      <c r="N73" t="str">
        <f>RegionSelect!$B$2</f>
        <v>Amhara</v>
      </c>
      <c r="P73" s="195" t="s">
        <v>194</v>
      </c>
      <c r="Q73" s="195"/>
      <c r="R73" s="195"/>
      <c r="S73" s="195"/>
      <c r="T73" s="195"/>
      <c r="Y73" t="s">
        <v>975</v>
      </c>
      <c r="Z73" s="316" t="s">
        <v>2252</v>
      </c>
    </row>
    <row r="74" spans="1:27" x14ac:dyDescent="0.45">
      <c r="A74" t="s">
        <v>2163</v>
      </c>
      <c r="B74" s="66" t="s">
        <v>2266</v>
      </c>
      <c r="D74" s="324">
        <v>61</v>
      </c>
      <c r="E74" s="64" t="str">
        <f t="shared" si="2"/>
        <v>FH.FP.61</v>
      </c>
      <c r="F74" t="s">
        <v>2287</v>
      </c>
      <c r="G74" t="s">
        <v>154</v>
      </c>
      <c r="H74" t="s">
        <v>2787</v>
      </c>
      <c r="I74" t="s">
        <v>66</v>
      </c>
      <c r="J74" s="257" t="s">
        <v>156</v>
      </c>
      <c r="K74" s="64" t="s">
        <v>975</v>
      </c>
      <c r="L74" t="s">
        <v>975</v>
      </c>
      <c r="M74" s="257" t="s">
        <v>194</v>
      </c>
      <c r="N74" t="str">
        <f>RegionSelect!$B$2</f>
        <v>Amhara</v>
      </c>
      <c r="O74" s="195">
        <v>1</v>
      </c>
      <c r="P74" t="s">
        <v>212</v>
      </c>
      <c r="Q74" s="195"/>
      <c r="R74" s="195"/>
      <c r="S74" s="89">
        <v>1</v>
      </c>
      <c r="T74" s="195"/>
      <c r="Z74" t="s">
        <v>2196</v>
      </c>
    </row>
    <row r="75" spans="1:27" x14ac:dyDescent="0.45">
      <c r="A75" t="s">
        <v>2163</v>
      </c>
      <c r="B75" s="66" t="s">
        <v>2266</v>
      </c>
      <c r="D75" s="324">
        <v>62</v>
      </c>
      <c r="E75" s="64" t="str">
        <f t="shared" si="2"/>
        <v>FH.FP.62</v>
      </c>
      <c r="F75" t="s">
        <v>2300</v>
      </c>
      <c r="G75" t="s">
        <v>154</v>
      </c>
      <c r="H75" t="s">
        <v>2789</v>
      </c>
      <c r="I75" t="s">
        <v>2240</v>
      </c>
      <c r="J75" s="257" t="s">
        <v>2543</v>
      </c>
      <c r="K75" s="64" t="s">
        <v>975</v>
      </c>
      <c r="L75" t="s">
        <v>975</v>
      </c>
      <c r="M75" s="257" t="s">
        <v>975</v>
      </c>
      <c r="N75" t="str">
        <f>RegionSelect!$B$2</f>
        <v>Amhara</v>
      </c>
      <c r="O75" s="146">
        <v>1</v>
      </c>
      <c r="P75" t="s">
        <v>2195</v>
      </c>
      <c r="Q75" s="195"/>
      <c r="R75" s="195"/>
      <c r="S75" s="89">
        <v>1</v>
      </c>
      <c r="U75" s="341">
        <f>1/10</f>
        <v>0.1</v>
      </c>
      <c r="V75" s="6">
        <v>10</v>
      </c>
      <c r="Y75" t="s">
        <v>975</v>
      </c>
    </row>
    <row r="76" spans="1:27" x14ac:dyDescent="0.45">
      <c r="A76" t="s">
        <v>2163</v>
      </c>
      <c r="B76" s="66" t="s">
        <v>70</v>
      </c>
      <c r="D76" s="324">
        <v>63</v>
      </c>
      <c r="E76" s="318"/>
      <c r="F76" s="311" t="s">
        <v>2236</v>
      </c>
      <c r="N76" t="str">
        <f>RegionSelect!$B$2</f>
        <v>Amhara</v>
      </c>
    </row>
    <row r="77" spans="1:27" x14ac:dyDescent="0.45">
      <c r="A77" t="s">
        <v>2163</v>
      </c>
      <c r="B77" s="66" t="s">
        <v>70</v>
      </c>
      <c r="D77" s="324">
        <v>64</v>
      </c>
      <c r="E77" s="64" t="str">
        <f t="shared" ref="E77:E108" si="4">_xlfn.CONCAT("FH.Ntr.",D77)</f>
        <v>FH.Ntr.64</v>
      </c>
      <c r="F77" t="s">
        <v>2302</v>
      </c>
      <c r="G77" t="s">
        <v>154</v>
      </c>
      <c r="H77" t="s">
        <v>2787</v>
      </c>
      <c r="I77" t="s">
        <v>70</v>
      </c>
      <c r="J77" s="257" t="s">
        <v>156</v>
      </c>
      <c r="K77" s="64" t="s">
        <v>975</v>
      </c>
      <c r="L77" t="s">
        <v>975</v>
      </c>
      <c r="M77" s="257" t="s">
        <v>975</v>
      </c>
      <c r="N77" t="str">
        <f>RegionSelect!$B$2</f>
        <v>Amhara</v>
      </c>
      <c r="P77" s="195" t="s">
        <v>194</v>
      </c>
      <c r="Q77" s="195"/>
      <c r="R77" s="195"/>
      <c r="S77" s="195"/>
      <c r="T77" s="195"/>
      <c r="Z77" t="s">
        <v>2212</v>
      </c>
    </row>
    <row r="78" spans="1:27" x14ac:dyDescent="0.45">
      <c r="A78" t="s">
        <v>2163</v>
      </c>
      <c r="B78" s="66" t="s">
        <v>70</v>
      </c>
      <c r="D78" s="324">
        <v>65</v>
      </c>
      <c r="E78" s="64" t="str">
        <f t="shared" si="4"/>
        <v>FH.Ntr.65</v>
      </c>
      <c r="F78" t="s">
        <v>2303</v>
      </c>
      <c r="G78" t="s">
        <v>154</v>
      </c>
      <c r="H78" t="s">
        <v>2787</v>
      </c>
      <c r="I78" t="s">
        <v>70</v>
      </c>
      <c r="J78" s="257" t="s">
        <v>156</v>
      </c>
      <c r="K78" s="64" t="s">
        <v>975</v>
      </c>
      <c r="L78" t="s">
        <v>975</v>
      </c>
      <c r="M78" s="257" t="s">
        <v>975</v>
      </c>
      <c r="N78" t="str">
        <f>RegionSelect!$B$2</f>
        <v>Amhara</v>
      </c>
      <c r="P78" s="195" t="s">
        <v>194</v>
      </c>
      <c r="Q78" s="195"/>
      <c r="R78" s="195"/>
      <c r="S78" s="195"/>
      <c r="T78" s="195"/>
      <c r="Z78" t="s">
        <v>2251</v>
      </c>
    </row>
    <row r="79" spans="1:27" x14ac:dyDescent="0.45">
      <c r="A79" t="s">
        <v>2163</v>
      </c>
      <c r="B79" s="66" t="s">
        <v>70</v>
      </c>
      <c r="D79" s="324">
        <v>66</v>
      </c>
      <c r="E79" s="64" t="str">
        <f t="shared" si="4"/>
        <v>FH.Ntr.66</v>
      </c>
      <c r="F79" t="s">
        <v>2304</v>
      </c>
      <c r="G79" t="s">
        <v>154</v>
      </c>
      <c r="H79" t="s">
        <v>2787</v>
      </c>
      <c r="I79" t="s">
        <v>70</v>
      </c>
      <c r="J79" s="257" t="s">
        <v>156</v>
      </c>
      <c r="K79" s="64" t="s">
        <v>975</v>
      </c>
      <c r="L79" t="s">
        <v>975</v>
      </c>
      <c r="M79" s="257" t="s">
        <v>975</v>
      </c>
      <c r="N79" t="str">
        <f>RegionSelect!$B$2</f>
        <v>Amhara</v>
      </c>
      <c r="P79" s="195" t="s">
        <v>194</v>
      </c>
      <c r="Q79" s="195"/>
      <c r="R79" s="195"/>
      <c r="S79" s="195"/>
      <c r="T79" s="195"/>
      <c r="Z79" t="s">
        <v>2251</v>
      </c>
    </row>
    <row r="80" spans="1:27" x14ac:dyDescent="0.45">
      <c r="A80" t="s">
        <v>2163</v>
      </c>
      <c r="B80" s="66" t="s">
        <v>70</v>
      </c>
      <c r="D80" s="324">
        <v>67</v>
      </c>
      <c r="E80" s="64" t="str">
        <f t="shared" si="4"/>
        <v>FH.Ntr.67</v>
      </c>
      <c r="F80" t="s">
        <v>2305</v>
      </c>
      <c r="G80" t="s">
        <v>154</v>
      </c>
      <c r="H80" t="s">
        <v>2789</v>
      </c>
      <c r="I80" t="s">
        <v>70</v>
      </c>
      <c r="J80" s="257" t="s">
        <v>156</v>
      </c>
      <c r="K80" s="64" t="s">
        <v>975</v>
      </c>
      <c r="L80" t="s">
        <v>975</v>
      </c>
      <c r="M80" s="257" t="s">
        <v>975</v>
      </c>
      <c r="N80" t="str">
        <f>RegionSelect!$B$2</f>
        <v>Amhara</v>
      </c>
      <c r="P80" s="195" t="s">
        <v>194</v>
      </c>
      <c r="Q80" s="195"/>
      <c r="R80" s="195"/>
      <c r="S80" s="195"/>
      <c r="T80" s="195"/>
      <c r="Z80" t="s">
        <v>2251</v>
      </c>
    </row>
    <row r="81" spans="1:27" x14ac:dyDescent="0.45">
      <c r="A81" t="s">
        <v>2163</v>
      </c>
      <c r="B81" s="66" t="s">
        <v>70</v>
      </c>
      <c r="D81" s="324">
        <v>68</v>
      </c>
      <c r="E81" s="64" t="str">
        <f t="shared" si="4"/>
        <v>FH.Ntr.68</v>
      </c>
      <c r="F81" t="s">
        <v>2306</v>
      </c>
      <c r="G81" t="s">
        <v>154</v>
      </c>
      <c r="H81" t="s">
        <v>2789</v>
      </c>
      <c r="I81" t="s">
        <v>70</v>
      </c>
      <c r="J81" s="257" t="s">
        <v>156</v>
      </c>
      <c r="K81" s="64" t="s">
        <v>975</v>
      </c>
      <c r="L81" t="s">
        <v>975</v>
      </c>
      <c r="M81" s="257" t="s">
        <v>194</v>
      </c>
      <c r="N81" s="52" t="str">
        <f>RegionSelect!$B$2</f>
        <v>Amhara</v>
      </c>
      <c r="O81" s="145">
        <f>IFERROR(VLOOKUP(_xlfn.CONCAT(AA81,RegionSelect!$C$2),RegionalData!$C:$S,13,FALSE),VLOOKUP(_xlfn.CONCAT(AA81,"ET"),RegionalData!$C:$S,13,FALSE))</f>
        <v>0.25900000000000001</v>
      </c>
      <c r="P81" s="195" t="s">
        <v>2195</v>
      </c>
      <c r="Q81" s="195"/>
      <c r="R81" s="195"/>
      <c r="S81" s="130">
        <v>0.98</v>
      </c>
      <c r="T81">
        <v>2</v>
      </c>
      <c r="V81" s="6">
        <v>10</v>
      </c>
      <c r="Y81" t="s">
        <v>975</v>
      </c>
      <c r="AA81" t="s">
        <v>3003</v>
      </c>
    </row>
    <row r="82" spans="1:27" x14ac:dyDescent="0.45">
      <c r="A82" t="s">
        <v>2163</v>
      </c>
      <c r="B82" s="66" t="s">
        <v>70</v>
      </c>
      <c r="D82" s="324">
        <v>69</v>
      </c>
      <c r="F82" t="s">
        <v>2307</v>
      </c>
      <c r="G82" t="s">
        <v>154</v>
      </c>
      <c r="I82" t="s">
        <v>70</v>
      </c>
      <c r="K82" s="64" t="s">
        <v>975</v>
      </c>
      <c r="L82" t="s">
        <v>975</v>
      </c>
      <c r="M82" s="257" t="s">
        <v>194</v>
      </c>
      <c r="N82" t="str">
        <f>RegionSelect!$B$2</f>
        <v>Amhara</v>
      </c>
      <c r="P82" s="195" t="s">
        <v>194</v>
      </c>
      <c r="Q82" s="195"/>
      <c r="R82" s="195"/>
      <c r="S82" s="130">
        <v>0.98</v>
      </c>
      <c r="T82" s="195"/>
      <c r="Y82" t="s">
        <v>975</v>
      </c>
    </row>
    <row r="83" spans="1:27" x14ac:dyDescent="0.45">
      <c r="A83"/>
      <c r="D83" s="324"/>
      <c r="E83" s="64" t="str">
        <f>_xlfn.CONCAT("FH.Ntr.",D82,"A")</f>
        <v>FH.Ntr.69A</v>
      </c>
      <c r="F83" t="s">
        <v>2536</v>
      </c>
      <c r="G83" t="s">
        <v>154</v>
      </c>
      <c r="H83" t="s">
        <v>2789</v>
      </c>
      <c r="I83" t="s">
        <v>70</v>
      </c>
      <c r="J83" s="257" t="s">
        <v>169</v>
      </c>
      <c r="K83" s="64" t="s">
        <v>975</v>
      </c>
      <c r="L83" t="s">
        <v>975</v>
      </c>
      <c r="M83" s="257" t="s">
        <v>194</v>
      </c>
      <c r="N83" s="52" t="str">
        <f>RegionSelect!$B$2</f>
        <v>Amhara</v>
      </c>
      <c r="O83" s="145">
        <f>IFERROR(VLOOKUP(_xlfn.CONCAT(AA83,RegionSelect!$C$2),RegionalData!$C:$S,13,FALSE),VLOOKUP(_xlfn.CONCAT(AA83,"ET"),RegionalData!$C:$S,13,FALSE))</f>
        <v>2.3E-2</v>
      </c>
      <c r="P83" s="195" t="s">
        <v>1863</v>
      </c>
      <c r="Q83" s="195"/>
      <c r="R83" s="195"/>
      <c r="S83" s="58">
        <f>S82</f>
        <v>0.98</v>
      </c>
      <c r="T83">
        <v>2</v>
      </c>
      <c r="V83" s="6">
        <v>10</v>
      </c>
      <c r="Y83" t="s">
        <v>975</v>
      </c>
      <c r="AA83" t="s">
        <v>3008</v>
      </c>
    </row>
    <row r="84" spans="1:27" x14ac:dyDescent="0.45">
      <c r="A84"/>
      <c r="D84" s="324"/>
      <c r="E84" s="64" t="s">
        <v>2534</v>
      </c>
      <c r="F84" t="s">
        <v>2537</v>
      </c>
      <c r="G84" t="s">
        <v>154</v>
      </c>
      <c r="H84" t="s">
        <v>2789</v>
      </c>
      <c r="I84" t="s">
        <v>70</v>
      </c>
      <c r="J84" s="257" t="s">
        <v>2533</v>
      </c>
      <c r="K84" s="64" t="s">
        <v>975</v>
      </c>
      <c r="L84" t="s">
        <v>975</v>
      </c>
      <c r="M84" s="257" t="s">
        <v>194</v>
      </c>
      <c r="N84" s="52" t="str">
        <f>RegionSelect!$B$2</f>
        <v>Amhara</v>
      </c>
      <c r="O84" s="145">
        <f>IFERROR(VLOOKUP(_xlfn.CONCAT(AA84,RegionSelect!$C$2),RegionalData!$C:$S,13,FALSE),VLOOKUP(_xlfn.CONCAT(AA84,"ET"),RegionalData!$C:$S,13,FALSE))</f>
        <v>9.6451612903225795E-3</v>
      </c>
      <c r="P84" s="195" t="s">
        <v>1863</v>
      </c>
      <c r="Q84" s="195"/>
      <c r="R84" s="195"/>
      <c r="S84" s="58">
        <f t="shared" ref="S84:S85" si="5">S83</f>
        <v>0.98</v>
      </c>
      <c r="T84">
        <v>2</v>
      </c>
      <c r="V84" s="6">
        <v>10</v>
      </c>
      <c r="Y84" t="s">
        <v>975</v>
      </c>
      <c r="AA84" t="s">
        <v>3012</v>
      </c>
    </row>
    <row r="85" spans="1:27" x14ac:dyDescent="0.45">
      <c r="A85"/>
      <c r="D85" s="324"/>
      <c r="E85" s="64" t="s">
        <v>2535</v>
      </c>
      <c r="F85" t="s">
        <v>2538</v>
      </c>
      <c r="G85" t="s">
        <v>154</v>
      </c>
      <c r="H85" t="s">
        <v>2789</v>
      </c>
      <c r="I85" t="s">
        <v>70</v>
      </c>
      <c r="J85" s="257" t="s">
        <v>201</v>
      </c>
      <c r="K85" s="64" t="s">
        <v>975</v>
      </c>
      <c r="L85" t="s">
        <v>975</v>
      </c>
      <c r="M85" s="257" t="s">
        <v>194</v>
      </c>
      <c r="N85" s="52" t="str">
        <f>RegionSelect!$B$2</f>
        <v>Amhara</v>
      </c>
      <c r="O85" s="145">
        <f>IFERROR(VLOOKUP(_xlfn.CONCAT(AA85,RegionSelect!$C$2),RegionalData!$C:$S,13,FALSE),VLOOKUP(_xlfn.CONCAT(AA85,"ET"),RegionalData!$C:$S,13,FALSE))</f>
        <v>5.0000000000000001E-3</v>
      </c>
      <c r="P85" s="195" t="s">
        <v>1863</v>
      </c>
      <c r="Q85" s="195"/>
      <c r="R85" s="195"/>
      <c r="S85" s="58">
        <f t="shared" si="5"/>
        <v>0.98</v>
      </c>
      <c r="T85">
        <v>2</v>
      </c>
      <c r="V85" s="6">
        <v>10</v>
      </c>
      <c r="Y85" t="s">
        <v>975</v>
      </c>
      <c r="AA85" t="s">
        <v>3015</v>
      </c>
    </row>
    <row r="86" spans="1:27" x14ac:dyDescent="0.45">
      <c r="A86" t="s">
        <v>2163</v>
      </c>
      <c r="B86" s="66" t="s">
        <v>70</v>
      </c>
      <c r="D86" s="324">
        <v>70</v>
      </c>
      <c r="E86" s="64" t="str">
        <f t="shared" si="4"/>
        <v>FH.Ntr.70</v>
      </c>
      <c r="F86" t="s">
        <v>2308</v>
      </c>
      <c r="G86" t="s">
        <v>2248</v>
      </c>
      <c r="H86" t="s">
        <v>206</v>
      </c>
      <c r="I86" t="s">
        <v>70</v>
      </c>
      <c r="J86" s="257" t="s">
        <v>194</v>
      </c>
      <c r="K86" s="64" t="s">
        <v>975</v>
      </c>
      <c r="L86" t="s">
        <v>975</v>
      </c>
      <c r="M86" s="257" t="s">
        <v>975</v>
      </c>
      <c r="N86" t="str">
        <f>RegionSelect!$B$2</f>
        <v>Amhara</v>
      </c>
      <c r="P86" s="195"/>
      <c r="Q86" s="195"/>
      <c r="R86" s="195"/>
      <c r="S86" s="195"/>
      <c r="T86" s="195"/>
      <c r="Z86" t="s">
        <v>478</v>
      </c>
    </row>
    <row r="87" spans="1:27" x14ac:dyDescent="0.45">
      <c r="A87" t="s">
        <v>2163</v>
      </c>
      <c r="B87" s="66" t="s">
        <v>70</v>
      </c>
      <c r="D87" s="324">
        <v>71</v>
      </c>
      <c r="E87" s="64" t="str">
        <f t="shared" si="4"/>
        <v>FH.Ntr.71</v>
      </c>
      <c r="F87" t="s">
        <v>2309</v>
      </c>
      <c r="G87" t="s">
        <v>2248</v>
      </c>
      <c r="H87" t="s">
        <v>206</v>
      </c>
      <c r="I87" t="s">
        <v>70</v>
      </c>
      <c r="J87" s="257" t="s">
        <v>194</v>
      </c>
      <c r="K87" s="64" t="s">
        <v>975</v>
      </c>
      <c r="L87" t="s">
        <v>975</v>
      </c>
      <c r="M87" s="257" t="s">
        <v>975</v>
      </c>
      <c r="N87" t="str">
        <f>RegionSelect!$B$2</f>
        <v>Amhara</v>
      </c>
      <c r="P87" s="195"/>
      <c r="Q87" s="195"/>
      <c r="R87" s="195"/>
      <c r="S87" s="195"/>
      <c r="T87" s="195"/>
      <c r="Z87" t="s">
        <v>478</v>
      </c>
    </row>
    <row r="88" spans="1:27" x14ac:dyDescent="0.45">
      <c r="A88" t="s">
        <v>2163</v>
      </c>
      <c r="B88" s="66" t="s">
        <v>70</v>
      </c>
      <c r="D88" s="324">
        <v>72</v>
      </c>
      <c r="E88" s="64" t="str">
        <f t="shared" si="4"/>
        <v>FH.Ntr.72</v>
      </c>
      <c r="F88" t="s">
        <v>2310</v>
      </c>
      <c r="G88" t="s">
        <v>154</v>
      </c>
      <c r="H88" t="s">
        <v>2787</v>
      </c>
      <c r="I88" t="s">
        <v>70</v>
      </c>
      <c r="J88" s="257" t="s">
        <v>156</v>
      </c>
      <c r="K88" s="64" t="s">
        <v>975</v>
      </c>
      <c r="L88" t="s">
        <v>975</v>
      </c>
      <c r="M88" s="257" t="s">
        <v>194</v>
      </c>
      <c r="N88" t="str">
        <f>RegionSelect!$B$2</f>
        <v>Amhara</v>
      </c>
      <c r="P88" s="195"/>
      <c r="Q88" s="195"/>
      <c r="R88" s="195"/>
      <c r="S88" s="195"/>
      <c r="T88" s="195"/>
      <c r="Z88" t="s">
        <v>2251</v>
      </c>
    </row>
    <row r="89" spans="1:27" x14ac:dyDescent="0.45">
      <c r="A89" t="s">
        <v>2163</v>
      </c>
      <c r="B89" s="66" t="s">
        <v>70</v>
      </c>
      <c r="D89" s="324">
        <v>73</v>
      </c>
      <c r="E89" s="64" t="str">
        <f t="shared" si="4"/>
        <v>FH.Ntr.73</v>
      </c>
      <c r="F89" t="s">
        <v>2311</v>
      </c>
      <c r="G89" t="s">
        <v>154</v>
      </c>
      <c r="H89" t="s">
        <v>2787</v>
      </c>
      <c r="I89" t="s">
        <v>70</v>
      </c>
      <c r="J89" s="257" t="s">
        <v>201</v>
      </c>
      <c r="K89" s="64" t="s">
        <v>975</v>
      </c>
      <c r="L89" t="s">
        <v>975</v>
      </c>
      <c r="M89" s="257" t="s">
        <v>194</v>
      </c>
      <c r="N89" t="str">
        <f>RegionSelect!$B$2</f>
        <v>Amhara</v>
      </c>
      <c r="P89" s="195"/>
      <c r="Q89" s="195"/>
      <c r="R89" s="195"/>
      <c r="S89" s="195"/>
      <c r="T89" s="195"/>
      <c r="Z89" t="s">
        <v>2251</v>
      </c>
    </row>
    <row r="90" spans="1:27" x14ac:dyDescent="0.45">
      <c r="A90" t="s">
        <v>2163</v>
      </c>
      <c r="B90" s="66" t="s">
        <v>70</v>
      </c>
      <c r="D90" s="324">
        <v>74</v>
      </c>
      <c r="E90" s="64" t="str">
        <f t="shared" si="4"/>
        <v>FH.Ntr.74</v>
      </c>
      <c r="F90" t="s">
        <v>2312</v>
      </c>
      <c r="G90" t="s">
        <v>2248</v>
      </c>
      <c r="H90" t="s">
        <v>206</v>
      </c>
      <c r="I90" t="s">
        <v>70</v>
      </c>
      <c r="J90" s="257" t="s">
        <v>194</v>
      </c>
      <c r="K90" s="64" t="s">
        <v>975</v>
      </c>
      <c r="L90" t="s">
        <v>975</v>
      </c>
      <c r="M90" s="257" t="s">
        <v>975</v>
      </c>
      <c r="N90" t="str">
        <f>RegionSelect!$B$2</f>
        <v>Amhara</v>
      </c>
      <c r="P90" s="195"/>
      <c r="Q90" s="195"/>
      <c r="R90" s="195"/>
      <c r="S90" s="195"/>
      <c r="T90" s="195"/>
      <c r="Z90" t="s">
        <v>478</v>
      </c>
    </row>
    <row r="91" spans="1:27" x14ac:dyDescent="0.45">
      <c r="A91" t="s">
        <v>2163</v>
      </c>
      <c r="B91" s="66" t="s">
        <v>70</v>
      </c>
      <c r="D91" s="324">
        <v>75</v>
      </c>
      <c r="E91" s="64" t="str">
        <f t="shared" si="4"/>
        <v>FH.Ntr.75</v>
      </c>
      <c r="F91" t="s">
        <v>2313</v>
      </c>
      <c r="G91" t="s">
        <v>2248</v>
      </c>
      <c r="H91" t="s">
        <v>206</v>
      </c>
      <c r="I91" t="s">
        <v>70</v>
      </c>
      <c r="J91" s="257" t="s">
        <v>194</v>
      </c>
      <c r="K91" s="64" t="s">
        <v>975</v>
      </c>
      <c r="L91" t="s">
        <v>975</v>
      </c>
      <c r="M91" s="257" t="s">
        <v>975</v>
      </c>
      <c r="N91" t="str">
        <f>RegionSelect!$B$2</f>
        <v>Amhara</v>
      </c>
      <c r="P91" s="195"/>
      <c r="Q91" s="195"/>
      <c r="R91" s="195"/>
      <c r="S91" s="195"/>
      <c r="T91" s="195"/>
      <c r="Z91" t="s">
        <v>478</v>
      </c>
    </row>
    <row r="92" spans="1:27" x14ac:dyDescent="0.45">
      <c r="A92" t="s">
        <v>2163</v>
      </c>
      <c r="B92" s="66" t="s">
        <v>70</v>
      </c>
      <c r="D92" s="324">
        <v>76</v>
      </c>
      <c r="E92" s="64" t="str">
        <f t="shared" si="4"/>
        <v>FH.Ntr.76</v>
      </c>
      <c r="F92" t="s">
        <v>2314</v>
      </c>
      <c r="G92" t="s">
        <v>2248</v>
      </c>
      <c r="H92" t="s">
        <v>206</v>
      </c>
      <c r="I92" t="s">
        <v>70</v>
      </c>
      <c r="J92" s="257" t="s">
        <v>194</v>
      </c>
      <c r="K92" s="64" t="s">
        <v>975</v>
      </c>
      <c r="L92" t="s">
        <v>975</v>
      </c>
      <c r="M92" s="257" t="s">
        <v>975</v>
      </c>
      <c r="N92" t="str">
        <f>RegionSelect!$B$2</f>
        <v>Amhara</v>
      </c>
      <c r="P92" s="195"/>
      <c r="Q92" s="195"/>
      <c r="R92" s="195"/>
      <c r="S92" s="195"/>
      <c r="T92" s="195"/>
      <c r="Z92" t="s">
        <v>2331</v>
      </c>
    </row>
    <row r="93" spans="1:27" x14ac:dyDescent="0.45">
      <c r="A93" t="s">
        <v>2163</v>
      </c>
      <c r="B93" s="66" t="s">
        <v>70</v>
      </c>
      <c r="D93" s="324">
        <v>77</v>
      </c>
      <c r="E93" s="64" t="str">
        <f t="shared" si="4"/>
        <v>FH.Ntr.77</v>
      </c>
      <c r="F93" t="s">
        <v>2315</v>
      </c>
      <c r="G93" t="s">
        <v>154</v>
      </c>
      <c r="H93" t="s">
        <v>206</v>
      </c>
      <c r="I93" t="s">
        <v>70</v>
      </c>
      <c r="J93" s="257" t="s">
        <v>194</v>
      </c>
      <c r="K93" s="64" t="s">
        <v>975</v>
      </c>
      <c r="L93" t="s">
        <v>975</v>
      </c>
      <c r="M93" s="257" t="s">
        <v>975</v>
      </c>
      <c r="N93" t="str">
        <f>RegionSelect!$B$2</f>
        <v>Amhara</v>
      </c>
      <c r="P93" s="195"/>
      <c r="Q93" s="195"/>
      <c r="R93" s="195"/>
      <c r="S93" s="195"/>
      <c r="T93" s="195"/>
      <c r="Z93" t="s">
        <v>2334</v>
      </c>
    </row>
    <row r="94" spans="1:27" x14ac:dyDescent="0.45">
      <c r="A94" t="s">
        <v>2163</v>
      </c>
      <c r="B94" s="66" t="s">
        <v>70</v>
      </c>
      <c r="D94" s="324">
        <v>78</v>
      </c>
      <c r="E94" s="64" t="str">
        <f t="shared" si="4"/>
        <v>FH.Ntr.78</v>
      </c>
      <c r="F94" t="s">
        <v>2316</v>
      </c>
      <c r="G94" t="s">
        <v>2248</v>
      </c>
      <c r="H94" t="s">
        <v>206</v>
      </c>
      <c r="I94" t="s">
        <v>70</v>
      </c>
      <c r="J94" s="257" t="s">
        <v>194</v>
      </c>
      <c r="K94" s="64" t="s">
        <v>975</v>
      </c>
      <c r="L94" t="s">
        <v>975</v>
      </c>
      <c r="M94" s="257" t="s">
        <v>975</v>
      </c>
      <c r="N94" t="str">
        <f>RegionSelect!$B$2</f>
        <v>Amhara</v>
      </c>
      <c r="P94" s="195"/>
      <c r="Q94" s="195"/>
      <c r="R94" s="195"/>
      <c r="S94" s="195"/>
      <c r="T94" s="195"/>
      <c r="Z94" t="s">
        <v>2331</v>
      </c>
    </row>
    <row r="95" spans="1:27" x14ac:dyDescent="0.45">
      <c r="A95" t="s">
        <v>2163</v>
      </c>
      <c r="B95" s="66" t="s">
        <v>70</v>
      </c>
      <c r="D95" s="324">
        <v>79</v>
      </c>
      <c r="E95" s="64" t="str">
        <f t="shared" si="4"/>
        <v>FH.Ntr.79</v>
      </c>
      <c r="F95" t="s">
        <v>2317</v>
      </c>
      <c r="G95" t="s">
        <v>154</v>
      </c>
      <c r="H95" t="s">
        <v>2787</v>
      </c>
      <c r="I95" t="s">
        <v>70</v>
      </c>
      <c r="J95" s="257" t="s">
        <v>156</v>
      </c>
      <c r="K95" s="64" t="s">
        <v>975</v>
      </c>
      <c r="L95" t="s">
        <v>975</v>
      </c>
      <c r="M95" s="257" t="s">
        <v>975</v>
      </c>
      <c r="N95" t="str">
        <f>RegionSelect!$B$2</f>
        <v>Amhara</v>
      </c>
      <c r="P95" s="195"/>
      <c r="Q95" s="195"/>
      <c r="R95" s="195"/>
      <c r="S95" s="195"/>
      <c r="T95" s="195"/>
      <c r="Z95" t="s">
        <v>2212</v>
      </c>
    </row>
    <row r="96" spans="1:27" x14ac:dyDescent="0.45">
      <c r="A96" t="s">
        <v>2163</v>
      </c>
      <c r="B96" s="66" t="s">
        <v>70</v>
      </c>
      <c r="D96" s="324">
        <v>80</v>
      </c>
      <c r="E96" s="64" t="str">
        <f t="shared" si="4"/>
        <v>FH.Ntr.80</v>
      </c>
      <c r="F96" t="s">
        <v>2318</v>
      </c>
      <c r="G96" t="s">
        <v>154</v>
      </c>
      <c r="H96" t="s">
        <v>2789</v>
      </c>
      <c r="I96" t="s">
        <v>70</v>
      </c>
      <c r="J96" s="257" t="s">
        <v>169</v>
      </c>
      <c r="K96" s="64" t="s">
        <v>975</v>
      </c>
      <c r="L96" t="s">
        <v>975</v>
      </c>
      <c r="M96" s="257" t="s">
        <v>975</v>
      </c>
      <c r="N96" t="str">
        <f>RegionSelect!$B$2</f>
        <v>Amhara</v>
      </c>
      <c r="P96" s="195"/>
      <c r="Q96" s="195"/>
      <c r="R96" s="195"/>
      <c r="S96" s="195"/>
      <c r="T96" s="195"/>
      <c r="Z96" t="s">
        <v>2332</v>
      </c>
    </row>
    <row r="97" spans="1:27" x14ac:dyDescent="0.45">
      <c r="A97" t="s">
        <v>2163</v>
      </c>
      <c r="B97" s="66" t="s">
        <v>70</v>
      </c>
      <c r="D97" s="324">
        <v>81</v>
      </c>
      <c r="E97" s="64" t="str">
        <f t="shared" si="4"/>
        <v>FH.Ntr.81</v>
      </c>
      <c r="F97" t="s">
        <v>2319</v>
      </c>
      <c r="G97" t="s">
        <v>154</v>
      </c>
      <c r="H97" t="s">
        <v>206</v>
      </c>
      <c r="I97" t="s">
        <v>70</v>
      </c>
      <c r="J97" s="257" t="s">
        <v>156</v>
      </c>
      <c r="K97" s="64" t="s">
        <v>975</v>
      </c>
      <c r="L97" t="s">
        <v>975</v>
      </c>
      <c r="M97" s="257" t="s">
        <v>975</v>
      </c>
      <c r="N97" t="str">
        <f>RegionSelect!$B$2</f>
        <v>Amhara</v>
      </c>
      <c r="P97" s="195"/>
      <c r="Q97" s="195"/>
      <c r="R97" s="195"/>
      <c r="S97" s="195"/>
      <c r="T97" s="195"/>
      <c r="Z97" t="s">
        <v>2331</v>
      </c>
    </row>
    <row r="98" spans="1:27" x14ac:dyDescent="0.45">
      <c r="A98" t="s">
        <v>2163</v>
      </c>
      <c r="B98" s="66" t="s">
        <v>70</v>
      </c>
      <c r="D98" s="324">
        <v>82</v>
      </c>
      <c r="E98" s="64" t="str">
        <f t="shared" si="4"/>
        <v>FH.Ntr.82</v>
      </c>
      <c r="F98" t="s">
        <v>2320</v>
      </c>
      <c r="G98" t="s">
        <v>154</v>
      </c>
      <c r="H98" t="s">
        <v>206</v>
      </c>
      <c r="I98" t="s">
        <v>70</v>
      </c>
      <c r="J98" s="257" t="s">
        <v>156</v>
      </c>
      <c r="K98" s="64" t="s">
        <v>975</v>
      </c>
      <c r="L98" t="s">
        <v>975</v>
      </c>
      <c r="M98" s="257" t="s">
        <v>975</v>
      </c>
      <c r="N98" t="str">
        <f>RegionSelect!$B$2</f>
        <v>Amhara</v>
      </c>
      <c r="P98" s="195"/>
      <c r="Q98" s="195"/>
      <c r="R98" s="195"/>
      <c r="S98" s="195"/>
      <c r="T98" s="195"/>
      <c r="Z98" t="s">
        <v>2331</v>
      </c>
    </row>
    <row r="99" spans="1:27" x14ac:dyDescent="0.45">
      <c r="A99" t="s">
        <v>2163</v>
      </c>
      <c r="B99" s="66" t="s">
        <v>70</v>
      </c>
      <c r="D99" s="324">
        <v>83</v>
      </c>
      <c r="E99" s="64" t="str">
        <f t="shared" si="4"/>
        <v>FH.Ntr.83</v>
      </c>
      <c r="F99" t="s">
        <v>2322</v>
      </c>
      <c r="G99" t="s">
        <v>154</v>
      </c>
      <c r="H99" t="s">
        <v>206</v>
      </c>
      <c r="I99" t="s">
        <v>70</v>
      </c>
      <c r="J99" s="257" t="s">
        <v>156</v>
      </c>
      <c r="K99" s="64" t="s">
        <v>975</v>
      </c>
      <c r="L99" t="s">
        <v>975</v>
      </c>
      <c r="M99" s="257" t="s">
        <v>975</v>
      </c>
      <c r="N99" t="str">
        <f>RegionSelect!$B$2</f>
        <v>Amhara</v>
      </c>
      <c r="P99" s="195"/>
      <c r="Q99" s="195"/>
      <c r="R99" s="195"/>
      <c r="S99" s="195"/>
      <c r="T99" s="195"/>
      <c r="Z99" t="s">
        <v>2331</v>
      </c>
    </row>
    <row r="100" spans="1:27" x14ac:dyDescent="0.45">
      <c r="A100" t="s">
        <v>2163</v>
      </c>
      <c r="B100" s="66" t="s">
        <v>70</v>
      </c>
      <c r="D100" s="324">
        <v>84</v>
      </c>
      <c r="E100" s="64" t="str">
        <f t="shared" si="4"/>
        <v>FH.Ntr.84</v>
      </c>
      <c r="F100" t="s">
        <v>2321</v>
      </c>
      <c r="G100" t="s">
        <v>154</v>
      </c>
      <c r="H100" t="s">
        <v>206</v>
      </c>
      <c r="I100" t="s">
        <v>70</v>
      </c>
      <c r="J100" s="257" t="s">
        <v>156</v>
      </c>
      <c r="K100" s="64" t="s">
        <v>975</v>
      </c>
      <c r="L100" t="s">
        <v>975</v>
      </c>
      <c r="M100" s="257" t="s">
        <v>975</v>
      </c>
      <c r="N100" t="str">
        <f>RegionSelect!$B$2</f>
        <v>Amhara</v>
      </c>
      <c r="P100" s="195"/>
      <c r="Q100" s="195"/>
      <c r="R100" s="195"/>
      <c r="S100" s="195"/>
      <c r="T100" s="195"/>
      <c r="Z100" t="s">
        <v>2331</v>
      </c>
    </row>
    <row r="101" spans="1:27" x14ac:dyDescent="0.45">
      <c r="A101" t="s">
        <v>2163</v>
      </c>
      <c r="B101" s="66" t="s">
        <v>70</v>
      </c>
      <c r="D101" s="324">
        <v>85</v>
      </c>
      <c r="E101" s="64" t="str">
        <f t="shared" si="4"/>
        <v>FH.Ntr.85</v>
      </c>
      <c r="F101" t="s">
        <v>2323</v>
      </c>
      <c r="G101" t="s">
        <v>2248</v>
      </c>
      <c r="H101" t="s">
        <v>206</v>
      </c>
      <c r="I101" t="s">
        <v>70</v>
      </c>
      <c r="J101" s="257" t="s">
        <v>194</v>
      </c>
      <c r="K101" s="64" t="s">
        <v>975</v>
      </c>
      <c r="L101" t="s">
        <v>975</v>
      </c>
      <c r="M101" s="257" t="s">
        <v>975</v>
      </c>
      <c r="N101" t="str">
        <f>RegionSelect!$B$2</f>
        <v>Amhara</v>
      </c>
      <c r="P101" s="195"/>
      <c r="Q101" s="195"/>
      <c r="R101" s="195"/>
      <c r="S101" s="195"/>
      <c r="T101" s="195"/>
      <c r="Z101" t="s">
        <v>2331</v>
      </c>
    </row>
    <row r="102" spans="1:27" x14ac:dyDescent="0.45">
      <c r="A102" t="s">
        <v>2163</v>
      </c>
      <c r="B102" s="66" t="s">
        <v>70</v>
      </c>
      <c r="D102" s="324">
        <v>86</v>
      </c>
      <c r="E102" s="64" t="str">
        <f t="shared" si="4"/>
        <v>FH.Ntr.86</v>
      </c>
      <c r="F102" t="s">
        <v>2324</v>
      </c>
      <c r="G102" t="s">
        <v>2248</v>
      </c>
      <c r="H102" t="s">
        <v>206</v>
      </c>
      <c r="I102" t="s">
        <v>70</v>
      </c>
      <c r="J102" s="257" t="s">
        <v>194</v>
      </c>
      <c r="K102" s="64" t="s">
        <v>975</v>
      </c>
      <c r="L102" t="s">
        <v>975</v>
      </c>
      <c r="M102" s="257" t="s">
        <v>975</v>
      </c>
      <c r="N102" t="str">
        <f>RegionSelect!$B$2</f>
        <v>Amhara</v>
      </c>
      <c r="P102" s="195"/>
      <c r="Q102" s="195"/>
      <c r="R102" s="195"/>
      <c r="S102" s="195"/>
      <c r="T102" s="195"/>
      <c r="Z102" t="s">
        <v>2331</v>
      </c>
    </row>
    <row r="103" spans="1:27" x14ac:dyDescent="0.45">
      <c r="A103" t="s">
        <v>2163</v>
      </c>
      <c r="B103" s="66" t="s">
        <v>70</v>
      </c>
      <c r="D103" s="324">
        <v>87</v>
      </c>
      <c r="E103" s="64" t="str">
        <f t="shared" si="4"/>
        <v>FH.Ntr.87</v>
      </c>
      <c r="F103" t="s">
        <v>2325</v>
      </c>
      <c r="G103" t="s">
        <v>2248</v>
      </c>
      <c r="H103" t="s">
        <v>206</v>
      </c>
      <c r="I103" t="s">
        <v>70</v>
      </c>
      <c r="J103" s="257" t="s">
        <v>194</v>
      </c>
      <c r="K103" s="64" t="s">
        <v>194</v>
      </c>
      <c r="L103" t="s">
        <v>194</v>
      </c>
      <c r="M103" s="257" t="s">
        <v>194</v>
      </c>
      <c r="N103" t="str">
        <f>RegionSelect!$B$2</f>
        <v>Amhara</v>
      </c>
      <c r="P103" s="195"/>
      <c r="Q103" s="195"/>
      <c r="R103" s="195"/>
      <c r="S103" s="195"/>
      <c r="T103" s="195"/>
      <c r="Y103" t="s">
        <v>975</v>
      </c>
      <c r="Z103" t="s">
        <v>2333</v>
      </c>
    </row>
    <row r="104" spans="1:27" x14ac:dyDescent="0.45">
      <c r="A104" t="s">
        <v>2163</v>
      </c>
      <c r="B104" s="66" t="s">
        <v>70</v>
      </c>
      <c r="D104" s="324">
        <v>88</v>
      </c>
      <c r="E104" s="64" t="str">
        <f t="shared" si="4"/>
        <v>FH.Ntr.88</v>
      </c>
      <c r="F104" t="s">
        <v>2326</v>
      </c>
      <c r="G104" t="s">
        <v>2248</v>
      </c>
      <c r="H104" t="s">
        <v>206</v>
      </c>
      <c r="I104" t="s">
        <v>70</v>
      </c>
      <c r="J104" s="257" t="s">
        <v>194</v>
      </c>
      <c r="K104" s="64" t="s">
        <v>194</v>
      </c>
      <c r="L104" t="s">
        <v>194</v>
      </c>
      <c r="M104" s="257" t="s">
        <v>194</v>
      </c>
      <c r="N104" t="str">
        <f>RegionSelect!$B$2</f>
        <v>Amhara</v>
      </c>
      <c r="P104" s="195"/>
      <c r="Q104" s="195"/>
      <c r="R104" s="195"/>
      <c r="S104" s="195"/>
      <c r="T104" s="195"/>
      <c r="Y104" t="s">
        <v>975</v>
      </c>
      <c r="Z104" t="s">
        <v>2333</v>
      </c>
    </row>
    <row r="105" spans="1:27" x14ac:dyDescent="0.45">
      <c r="A105" t="s">
        <v>2163</v>
      </c>
      <c r="B105" s="66" t="s">
        <v>70</v>
      </c>
      <c r="D105" s="324">
        <v>89</v>
      </c>
      <c r="E105" s="64" t="str">
        <f t="shared" si="4"/>
        <v>FH.Ntr.89</v>
      </c>
      <c r="F105" t="s">
        <v>2327</v>
      </c>
      <c r="G105" t="s">
        <v>154</v>
      </c>
      <c r="H105" t="s">
        <v>206</v>
      </c>
      <c r="I105" t="s">
        <v>70</v>
      </c>
      <c r="J105" s="257" t="s">
        <v>194</v>
      </c>
      <c r="K105" s="64" t="s">
        <v>194</v>
      </c>
      <c r="L105" t="s">
        <v>194</v>
      </c>
      <c r="M105" s="257" t="s">
        <v>194</v>
      </c>
      <c r="N105" t="str">
        <f>RegionSelect!$B$2</f>
        <v>Amhara</v>
      </c>
      <c r="P105" s="195"/>
      <c r="Q105" s="195"/>
      <c r="R105" s="195"/>
      <c r="S105" s="195"/>
      <c r="T105" s="195"/>
      <c r="Y105" t="s">
        <v>975</v>
      </c>
      <c r="Z105" t="s">
        <v>2333</v>
      </c>
    </row>
    <row r="106" spans="1:27" x14ac:dyDescent="0.45">
      <c r="A106" t="s">
        <v>2163</v>
      </c>
      <c r="B106" s="66" t="s">
        <v>70</v>
      </c>
      <c r="D106" s="324">
        <v>90</v>
      </c>
      <c r="E106" s="64" t="str">
        <f t="shared" si="4"/>
        <v>FH.Ntr.90</v>
      </c>
      <c r="F106" t="s">
        <v>2328</v>
      </c>
      <c r="G106" t="s">
        <v>2248</v>
      </c>
      <c r="H106" t="s">
        <v>206</v>
      </c>
      <c r="I106" t="s">
        <v>70</v>
      </c>
      <c r="J106" s="257" t="s">
        <v>194</v>
      </c>
      <c r="K106" s="64" t="s">
        <v>194</v>
      </c>
      <c r="L106" t="s">
        <v>194</v>
      </c>
      <c r="M106" s="257" t="s">
        <v>194</v>
      </c>
      <c r="N106" t="str">
        <f>RegionSelect!$B$2</f>
        <v>Amhara</v>
      </c>
      <c r="P106" s="195"/>
      <c r="Q106" s="195"/>
      <c r="R106" s="195"/>
      <c r="S106" s="195"/>
      <c r="T106" s="195"/>
      <c r="Y106" t="s">
        <v>975</v>
      </c>
      <c r="Z106" t="s">
        <v>2333</v>
      </c>
    </row>
    <row r="107" spans="1:27" x14ac:dyDescent="0.45">
      <c r="A107" t="s">
        <v>2163</v>
      </c>
      <c r="B107" s="66" t="s">
        <v>70</v>
      </c>
      <c r="D107" s="324">
        <v>91</v>
      </c>
      <c r="E107" s="64" t="str">
        <f t="shared" si="4"/>
        <v>FH.Ntr.91</v>
      </c>
      <c r="F107" t="s">
        <v>2329</v>
      </c>
      <c r="G107" t="s">
        <v>2248</v>
      </c>
      <c r="H107" t="s">
        <v>206</v>
      </c>
      <c r="I107" t="s">
        <v>70</v>
      </c>
      <c r="J107" s="257" t="s">
        <v>194</v>
      </c>
      <c r="K107" s="64" t="s">
        <v>194</v>
      </c>
      <c r="L107" t="s">
        <v>194</v>
      </c>
      <c r="M107" s="257" t="s">
        <v>194</v>
      </c>
      <c r="N107" t="str">
        <f>RegionSelect!$B$2</f>
        <v>Amhara</v>
      </c>
      <c r="P107" s="195"/>
      <c r="Q107" s="195"/>
      <c r="R107" s="195"/>
      <c r="S107" s="195"/>
      <c r="T107" s="195"/>
      <c r="Y107" t="s">
        <v>975</v>
      </c>
      <c r="Z107" t="s">
        <v>2333</v>
      </c>
    </row>
    <row r="108" spans="1:27" x14ac:dyDescent="0.45">
      <c r="A108" t="s">
        <v>2163</v>
      </c>
      <c r="B108" s="66" t="s">
        <v>70</v>
      </c>
      <c r="D108" s="324">
        <v>92</v>
      </c>
      <c r="E108" s="64" t="str">
        <f t="shared" si="4"/>
        <v>FH.Ntr.92</v>
      </c>
      <c r="F108" t="s">
        <v>2330</v>
      </c>
      <c r="G108" t="s">
        <v>2248</v>
      </c>
      <c r="H108" t="s">
        <v>206</v>
      </c>
      <c r="I108" t="s">
        <v>70</v>
      </c>
      <c r="J108" s="257" t="s">
        <v>194</v>
      </c>
      <c r="K108" s="64" t="s">
        <v>194</v>
      </c>
      <c r="L108" t="s">
        <v>194</v>
      </c>
      <c r="M108" s="257" t="s">
        <v>194</v>
      </c>
      <c r="N108" t="str">
        <f>RegionSelect!$B$2</f>
        <v>Amhara</v>
      </c>
      <c r="P108" s="195"/>
      <c r="Q108" s="195"/>
      <c r="R108" s="195"/>
      <c r="S108" s="195"/>
      <c r="T108" s="195"/>
      <c r="Y108" t="s">
        <v>975</v>
      </c>
      <c r="Z108" t="s">
        <v>2333</v>
      </c>
    </row>
    <row r="109" spans="1:27" x14ac:dyDescent="0.45">
      <c r="A109" s="66" t="s">
        <v>2337</v>
      </c>
      <c r="B109" s="66" t="s">
        <v>2335</v>
      </c>
      <c r="C109" s="66" t="s">
        <v>2336</v>
      </c>
      <c r="D109" s="66">
        <v>93</v>
      </c>
      <c r="F109" t="s">
        <v>2338</v>
      </c>
      <c r="G109" t="s">
        <v>154</v>
      </c>
      <c r="H109" t="s">
        <v>2789</v>
      </c>
      <c r="I109" t="s">
        <v>2240</v>
      </c>
      <c r="J109" s="257" t="s">
        <v>201</v>
      </c>
      <c r="K109" s="64" t="s">
        <v>975</v>
      </c>
      <c r="L109" t="s">
        <v>194</v>
      </c>
      <c r="M109" s="257" t="s">
        <v>194</v>
      </c>
      <c r="N109" t="str">
        <f>RegionSelect!$B$2</f>
        <v>Amhara</v>
      </c>
      <c r="P109" s="195"/>
      <c r="Q109" s="195"/>
      <c r="R109" s="195"/>
      <c r="S109" s="195"/>
      <c r="T109" s="195"/>
      <c r="Y109" t="s">
        <v>975</v>
      </c>
    </row>
    <row r="110" spans="1:27" x14ac:dyDescent="0.45">
      <c r="C110" s="66" t="s">
        <v>2336</v>
      </c>
      <c r="E110" s="64" t="s">
        <v>2544</v>
      </c>
      <c r="F110" t="s">
        <v>2546</v>
      </c>
      <c r="G110" t="s">
        <v>154</v>
      </c>
      <c r="H110" t="s">
        <v>2789</v>
      </c>
      <c r="I110" t="s">
        <v>2240</v>
      </c>
      <c r="J110" s="257" t="s">
        <v>253</v>
      </c>
      <c r="K110" s="64" t="s">
        <v>975</v>
      </c>
      <c r="L110" t="s">
        <v>194</v>
      </c>
      <c r="M110" s="257" t="s">
        <v>194</v>
      </c>
      <c r="N110" t="str">
        <f>RegionSelect!$B$2</f>
        <v>Amhara</v>
      </c>
      <c r="O110" s="145">
        <f>IFERROR(VLOOKUP(_xlfn.CONCAT(AA110,RegionSelect!$C$2),RegionalData!$C:$S,13,FALSE),VLOOKUP(_xlfn.CONCAT(AA110,"ET"),RegionalData!$C:$S,13,FALSE))</f>
        <v>4.9000000000000002E-2</v>
      </c>
      <c r="P110" t="s">
        <v>1863</v>
      </c>
      <c r="Q110" s="195"/>
      <c r="R110" s="195"/>
      <c r="S110" s="334">
        <v>0.98</v>
      </c>
      <c r="T110">
        <v>1</v>
      </c>
      <c r="V110" s="6">
        <v>10</v>
      </c>
      <c r="Y110" t="s">
        <v>975</v>
      </c>
      <c r="AA110" t="s">
        <v>3017</v>
      </c>
    </row>
    <row r="111" spans="1:27" x14ac:dyDescent="0.45">
      <c r="C111" s="66" t="s">
        <v>2336</v>
      </c>
      <c r="E111" s="64" t="s">
        <v>2545</v>
      </c>
      <c r="F111" t="s">
        <v>2547</v>
      </c>
      <c r="G111" t="s">
        <v>154</v>
      </c>
      <c r="H111" t="s">
        <v>2789</v>
      </c>
      <c r="I111" t="s">
        <v>2240</v>
      </c>
      <c r="J111" s="257" t="s">
        <v>2543</v>
      </c>
      <c r="K111" s="64" t="s">
        <v>975</v>
      </c>
      <c r="L111" t="s">
        <v>194</v>
      </c>
      <c r="M111" s="257" t="s">
        <v>194</v>
      </c>
      <c r="N111" t="str">
        <f>RegionSelect!$B$2</f>
        <v>Amhara</v>
      </c>
      <c r="O111" s="145">
        <f>IFERROR(VLOOKUP(_xlfn.CONCAT(AA111,RegionSelect!$C$2),RegionalData!$C:$S,13,FALSE),VLOOKUP(_xlfn.CONCAT(AA111,"ET"),RegionalData!$C:$S,13,FALSE))</f>
        <v>3.3000000000000002E-2</v>
      </c>
      <c r="P111" t="s">
        <v>1863</v>
      </c>
      <c r="Q111" s="195"/>
      <c r="R111" s="195"/>
      <c r="S111" s="334">
        <f>S110</f>
        <v>0.98</v>
      </c>
      <c r="T111">
        <v>1</v>
      </c>
      <c r="V111" s="6">
        <v>10</v>
      </c>
      <c r="Y111" t="s">
        <v>975</v>
      </c>
      <c r="AA111" t="s">
        <v>3019</v>
      </c>
    </row>
    <row r="112" spans="1:27" x14ac:dyDescent="0.45">
      <c r="A112" s="66" t="s">
        <v>2337</v>
      </c>
      <c r="B112" s="66" t="s">
        <v>2335</v>
      </c>
      <c r="C112" s="66" t="s">
        <v>2336</v>
      </c>
      <c r="D112" s="66">
        <v>94</v>
      </c>
      <c r="E112" s="64" t="str">
        <f t="shared" ref="E112:E119" si="6">_xlfn.CONCAT("DPC.STI.",D112)</f>
        <v>DPC.STI.94</v>
      </c>
      <c r="F112" t="s">
        <v>2339</v>
      </c>
      <c r="G112" t="s">
        <v>154</v>
      </c>
      <c r="H112" t="s">
        <v>206</v>
      </c>
      <c r="I112" t="s">
        <v>2240</v>
      </c>
      <c r="J112" s="257" t="s">
        <v>201</v>
      </c>
      <c r="K112" s="64" t="s">
        <v>975</v>
      </c>
      <c r="L112" t="s">
        <v>975</v>
      </c>
      <c r="M112" s="257" t="s">
        <v>194</v>
      </c>
      <c r="N112" t="str">
        <f>RegionSelect!$B$2</f>
        <v>Amhara</v>
      </c>
      <c r="O112" s="336"/>
      <c r="P112" t="s">
        <v>1863</v>
      </c>
      <c r="Q112" s="195"/>
      <c r="R112" s="195"/>
      <c r="S112" s="89">
        <v>1</v>
      </c>
      <c r="U112">
        <v>1</v>
      </c>
      <c r="V112" s="6">
        <v>10</v>
      </c>
      <c r="Y112" t="s">
        <v>975</v>
      </c>
    </row>
    <row r="113" spans="1:27" x14ac:dyDescent="0.45">
      <c r="A113" s="66" t="s">
        <v>2337</v>
      </c>
      <c r="B113" s="66" t="s">
        <v>2335</v>
      </c>
      <c r="C113" s="66" t="s">
        <v>2336</v>
      </c>
      <c r="D113" s="66">
        <v>95</v>
      </c>
      <c r="E113" s="64" t="str">
        <f t="shared" si="6"/>
        <v>DPC.STI.95</v>
      </c>
      <c r="F113" t="s">
        <v>2340</v>
      </c>
      <c r="G113" t="s">
        <v>154</v>
      </c>
      <c r="H113" t="s">
        <v>206</v>
      </c>
      <c r="I113" t="s">
        <v>2240</v>
      </c>
      <c r="J113" s="257" t="s">
        <v>201</v>
      </c>
      <c r="K113" s="64" t="s">
        <v>975</v>
      </c>
      <c r="L113" t="s">
        <v>975</v>
      </c>
      <c r="M113" s="257" t="s">
        <v>975</v>
      </c>
      <c r="N113" t="str">
        <f>RegionSelect!$B$2</f>
        <v>Amhara</v>
      </c>
      <c r="O113" s="195">
        <f>O114</f>
        <v>2.0927000000000001E-4</v>
      </c>
      <c r="P113" t="s">
        <v>1863</v>
      </c>
      <c r="Q113" s="195"/>
      <c r="R113" s="195"/>
      <c r="S113" s="89">
        <f>S114</f>
        <v>0.90986310592664843</v>
      </c>
      <c r="U113">
        <v>1</v>
      </c>
      <c r="V113" s="6">
        <v>5</v>
      </c>
      <c r="Y113" t="s">
        <v>975</v>
      </c>
      <c r="AA113" t="s">
        <v>3023</v>
      </c>
    </row>
    <row r="114" spans="1:27" x14ac:dyDescent="0.45">
      <c r="A114" s="66" t="s">
        <v>2337</v>
      </c>
      <c r="B114" s="66" t="s">
        <v>2335</v>
      </c>
      <c r="C114" s="66" t="s">
        <v>2336</v>
      </c>
      <c r="D114" s="66">
        <v>96</v>
      </c>
      <c r="E114" s="64" t="str">
        <f t="shared" si="6"/>
        <v>DPC.STI.96</v>
      </c>
      <c r="F114" t="s">
        <v>2341</v>
      </c>
      <c r="G114" t="s">
        <v>154</v>
      </c>
      <c r="H114" t="s">
        <v>2789</v>
      </c>
      <c r="I114" t="s">
        <v>241</v>
      </c>
      <c r="J114" s="257" t="s">
        <v>201</v>
      </c>
      <c r="K114" s="64" t="s">
        <v>975</v>
      </c>
      <c r="L114" t="s">
        <v>975</v>
      </c>
      <c r="M114" s="257" t="s">
        <v>194</v>
      </c>
      <c r="N114" t="str">
        <f>RegionSelect!$B$2</f>
        <v>Amhara</v>
      </c>
      <c r="O114" s="319">
        <f>IFERROR(VLOOKUP(_xlfn.CONCAT(AA114,RegionSelect!$C$2),RegionalData!$C:$S,13,FALSE),VLOOKUP(_xlfn.CONCAT(AA114,"ET"),RegionalData!$C:$S,13,FALSE))</f>
        <v>2.0927000000000001E-4</v>
      </c>
      <c r="P114" t="s">
        <v>2347</v>
      </c>
      <c r="Q114">
        <v>4</v>
      </c>
      <c r="R114" t="s">
        <v>2349</v>
      </c>
      <c r="S114" s="89">
        <f>'HIV Incid'!BM273</f>
        <v>0.90986310592664843</v>
      </c>
      <c r="T114">
        <v>1</v>
      </c>
      <c r="V114" s="6">
        <v>5</v>
      </c>
      <c r="AA114" t="s">
        <v>3023</v>
      </c>
    </row>
    <row r="115" spans="1:27" x14ac:dyDescent="0.45">
      <c r="A115" s="66" t="s">
        <v>2337</v>
      </c>
      <c r="B115" s="66" t="s">
        <v>2335</v>
      </c>
      <c r="C115" s="66" t="s">
        <v>2336</v>
      </c>
      <c r="D115" s="66">
        <v>97</v>
      </c>
      <c r="E115" s="64" t="str">
        <f t="shared" si="6"/>
        <v>DPC.STI.97</v>
      </c>
      <c r="F115" t="s">
        <v>2345</v>
      </c>
      <c r="G115" t="s">
        <v>154</v>
      </c>
      <c r="H115" t="s">
        <v>2789</v>
      </c>
      <c r="I115" t="s">
        <v>241</v>
      </c>
      <c r="J115" s="257" t="s">
        <v>201</v>
      </c>
      <c r="K115" s="64" t="s">
        <v>975</v>
      </c>
      <c r="L115" t="s">
        <v>975</v>
      </c>
      <c r="M115" s="257" t="s">
        <v>194</v>
      </c>
      <c r="N115" t="str">
        <f>RegionSelect!$B$2</f>
        <v>Amhara</v>
      </c>
      <c r="P115" t="s">
        <v>2348</v>
      </c>
      <c r="Q115" s="195"/>
      <c r="R115" s="195"/>
      <c r="S115" s="89">
        <f>S114</f>
        <v>0.90986310592664843</v>
      </c>
      <c r="T115">
        <v>1</v>
      </c>
      <c r="V115" s="6">
        <f>V114</f>
        <v>5</v>
      </c>
    </row>
    <row r="116" spans="1:27" x14ac:dyDescent="0.45">
      <c r="A116" s="66" t="s">
        <v>2337</v>
      </c>
      <c r="B116" s="66" t="s">
        <v>2335</v>
      </c>
      <c r="C116" s="66" t="s">
        <v>2336</v>
      </c>
      <c r="D116" s="66">
        <v>98</v>
      </c>
      <c r="E116" s="64" t="str">
        <f t="shared" si="6"/>
        <v>DPC.STI.98</v>
      </c>
      <c r="F116" t="s">
        <v>2346</v>
      </c>
      <c r="G116" t="s">
        <v>154</v>
      </c>
      <c r="H116" t="s">
        <v>2789</v>
      </c>
      <c r="I116" t="s">
        <v>241</v>
      </c>
      <c r="J116" s="257" t="s">
        <v>201</v>
      </c>
      <c r="K116" s="64" t="s">
        <v>975</v>
      </c>
      <c r="L116" t="s">
        <v>975</v>
      </c>
      <c r="M116" s="257" t="s">
        <v>194</v>
      </c>
      <c r="N116" t="str">
        <f>RegionSelect!$B$2</f>
        <v>Amhara</v>
      </c>
      <c r="P116" t="s">
        <v>2348</v>
      </c>
      <c r="Q116" s="195"/>
      <c r="R116" s="195"/>
      <c r="S116" s="89">
        <f>S114</f>
        <v>0.90986310592664843</v>
      </c>
      <c r="T116">
        <v>1</v>
      </c>
      <c r="V116" s="6">
        <f>V114</f>
        <v>5</v>
      </c>
    </row>
    <row r="117" spans="1:27" x14ac:dyDescent="0.45">
      <c r="A117" s="66" t="s">
        <v>2337</v>
      </c>
      <c r="B117" s="66" t="s">
        <v>2335</v>
      </c>
      <c r="C117" s="66" t="s">
        <v>2336</v>
      </c>
      <c r="D117" s="66">
        <v>99</v>
      </c>
      <c r="E117" s="64" t="str">
        <f t="shared" si="6"/>
        <v>DPC.STI.99</v>
      </c>
      <c r="F117" t="s">
        <v>2342</v>
      </c>
      <c r="G117" t="s">
        <v>154</v>
      </c>
      <c r="H117" t="s">
        <v>2789</v>
      </c>
      <c r="I117" t="s">
        <v>241</v>
      </c>
      <c r="J117" s="257" t="s">
        <v>201</v>
      </c>
      <c r="K117" s="64" t="s">
        <v>975</v>
      </c>
      <c r="L117" t="s">
        <v>975</v>
      </c>
      <c r="M117" s="257" t="s">
        <v>975</v>
      </c>
      <c r="N117" t="str">
        <f>RegionSelect!$B$2</f>
        <v>Amhara</v>
      </c>
      <c r="O117" s="195">
        <f>O114</f>
        <v>2.0927000000000001E-4</v>
      </c>
      <c r="P117" t="s">
        <v>2195</v>
      </c>
      <c r="Q117" s="195"/>
      <c r="R117" s="195"/>
      <c r="S117" s="89">
        <f>S114</f>
        <v>0.90986310592664843</v>
      </c>
      <c r="T117">
        <v>1</v>
      </c>
      <c r="V117" s="6">
        <v>15</v>
      </c>
      <c r="AA117" t="s">
        <v>3023</v>
      </c>
    </row>
    <row r="118" spans="1:27" x14ac:dyDescent="0.45">
      <c r="A118" s="66" t="s">
        <v>2337</v>
      </c>
      <c r="B118" s="66" t="s">
        <v>2335</v>
      </c>
      <c r="C118" s="66" t="s">
        <v>2336</v>
      </c>
      <c r="D118" s="66">
        <v>100</v>
      </c>
      <c r="E118" s="64" t="str">
        <f t="shared" si="6"/>
        <v>DPC.STI.100</v>
      </c>
      <c r="F118" t="s">
        <v>2343</v>
      </c>
      <c r="G118" t="s">
        <v>154</v>
      </c>
      <c r="H118" t="s">
        <v>2789</v>
      </c>
      <c r="I118" t="s">
        <v>241</v>
      </c>
      <c r="J118" s="257" t="s">
        <v>201</v>
      </c>
      <c r="K118" s="64" t="s">
        <v>975</v>
      </c>
      <c r="L118" t="s">
        <v>194</v>
      </c>
      <c r="M118" s="257" t="s">
        <v>194</v>
      </c>
      <c r="N118" t="str">
        <f>RegionSelect!$B$2</f>
        <v>Amhara</v>
      </c>
      <c r="O118" s="336"/>
      <c r="P118" t="s">
        <v>2195</v>
      </c>
      <c r="Q118" s="195"/>
      <c r="R118" s="195"/>
      <c r="S118" s="89">
        <f>S114</f>
        <v>0.90986310592664843</v>
      </c>
      <c r="T118">
        <v>1</v>
      </c>
      <c r="V118" s="6">
        <v>10</v>
      </c>
      <c r="Y118" t="s">
        <v>975</v>
      </c>
    </row>
    <row r="119" spans="1:27" x14ac:dyDescent="0.45">
      <c r="A119" s="66" t="s">
        <v>2337</v>
      </c>
      <c r="B119" s="66" t="s">
        <v>2335</v>
      </c>
      <c r="C119" s="66" t="s">
        <v>2336</v>
      </c>
      <c r="D119" s="66">
        <v>101</v>
      </c>
      <c r="E119" s="64" t="str">
        <f t="shared" si="6"/>
        <v>DPC.STI.101</v>
      </c>
      <c r="F119" t="s">
        <v>2344</v>
      </c>
      <c r="G119" t="s">
        <v>154</v>
      </c>
      <c r="H119" t="s">
        <v>2788</v>
      </c>
      <c r="I119" t="s">
        <v>241</v>
      </c>
      <c r="J119" s="257" t="s">
        <v>253</v>
      </c>
      <c r="K119" s="64" t="s">
        <v>975</v>
      </c>
      <c r="L119" t="s">
        <v>194</v>
      </c>
      <c r="M119" s="257" t="s">
        <v>194</v>
      </c>
      <c r="N119" t="str">
        <f>RegionSelect!$B$2</f>
        <v>Amhara</v>
      </c>
      <c r="O119" s="145">
        <f>IFERROR(VLOOKUP(_xlfn.CONCAT(AA119,RegionSelect!$C$2),RegionalData!$C:$S,13,FALSE),VLOOKUP(_xlfn.CONCAT(AA119,"ET"),RegionalData!$C:$S,13,FALSE))</f>
        <v>8.5341424846683122E-3</v>
      </c>
      <c r="P119" t="s">
        <v>1863</v>
      </c>
      <c r="Q119">
        <v>2</v>
      </c>
      <c r="R119" t="s">
        <v>2623</v>
      </c>
      <c r="S119" s="89">
        <f>'HIV Prev'!BM272</f>
        <v>0.95774059274059287</v>
      </c>
      <c r="U119">
        <v>4</v>
      </c>
      <c r="V119" s="6">
        <v>5</v>
      </c>
      <c r="Y119" t="s">
        <v>975</v>
      </c>
      <c r="AA119" t="s">
        <v>3027</v>
      </c>
    </row>
    <row r="120" spans="1:27" x14ac:dyDescent="0.45">
      <c r="A120" s="66" t="s">
        <v>2337</v>
      </c>
      <c r="B120" s="66" t="s">
        <v>2335</v>
      </c>
      <c r="C120" s="66" t="s">
        <v>69</v>
      </c>
      <c r="D120" s="66">
        <v>102</v>
      </c>
      <c r="E120" s="64" t="str">
        <f>_xlfn.CONCAT("DPC.Mlr.",D120)</f>
        <v>DPC.Mlr.102</v>
      </c>
      <c r="F120" t="s">
        <v>2350</v>
      </c>
      <c r="G120" t="s">
        <v>2248</v>
      </c>
      <c r="H120" t="s">
        <v>206</v>
      </c>
      <c r="I120" t="s">
        <v>69</v>
      </c>
      <c r="J120" s="257" t="s">
        <v>212</v>
      </c>
      <c r="K120" s="64" t="s">
        <v>975</v>
      </c>
      <c r="L120" t="s">
        <v>975</v>
      </c>
      <c r="M120" s="257" t="s">
        <v>975</v>
      </c>
      <c r="N120" s="52" t="str">
        <f>RegionSelect!$B$2</f>
        <v>Amhara</v>
      </c>
      <c r="O120" s="145">
        <f>IFERROR(VLOOKUP(_xlfn.CONCAT(AA120,RegionSelect!$C$2),RegionalData!$C:$S,13,FALSE),VLOOKUP(_xlfn.CONCAT(AA120,"ET"),RegionalData!$C:$S,13,FALSE))</f>
        <v>0.25</v>
      </c>
      <c r="P120" s="195" t="s">
        <v>2365</v>
      </c>
      <c r="Q120" s="320"/>
      <c r="R120" s="320"/>
      <c r="T120" s="195"/>
      <c r="U120" s="320">
        <v>1</v>
      </c>
      <c r="V120" s="320">
        <v>5</v>
      </c>
      <c r="W120" s="320"/>
      <c r="X120" s="320"/>
      <c r="Y120" t="s">
        <v>975</v>
      </c>
      <c r="Z120" s="311" t="s">
        <v>2364</v>
      </c>
      <c r="AA120" t="s">
        <v>3048</v>
      </c>
    </row>
    <row r="121" spans="1:27" x14ac:dyDescent="0.45">
      <c r="A121" s="66" t="s">
        <v>2337</v>
      </c>
      <c r="B121" s="66" t="s">
        <v>2335</v>
      </c>
      <c r="C121" s="66" t="s">
        <v>69</v>
      </c>
      <c r="D121" s="66">
        <v>103</v>
      </c>
      <c r="F121" t="s">
        <v>2353</v>
      </c>
      <c r="G121" t="s">
        <v>154</v>
      </c>
      <c r="K121" s="64" t="s">
        <v>975</v>
      </c>
      <c r="L121" t="s">
        <v>975</v>
      </c>
      <c r="M121" s="257" t="s">
        <v>194</v>
      </c>
      <c r="N121" t="str">
        <f>RegionSelect!$B$2</f>
        <v>Amhara</v>
      </c>
      <c r="P121" s="195"/>
      <c r="Q121" s="195"/>
      <c r="R121" s="195"/>
      <c r="S121" s="195"/>
      <c r="T121" s="195"/>
    </row>
    <row r="122" spans="1:27" x14ac:dyDescent="0.45">
      <c r="A122" s="66" t="s">
        <v>2337</v>
      </c>
      <c r="B122" s="66" t="s">
        <v>2335</v>
      </c>
      <c r="C122" s="66" t="s">
        <v>69</v>
      </c>
      <c r="D122" s="66">
        <v>103</v>
      </c>
      <c r="E122" s="64" t="s">
        <v>2354</v>
      </c>
      <c r="F122" t="s">
        <v>2359</v>
      </c>
      <c r="G122" t="s">
        <v>154</v>
      </c>
      <c r="H122" t="s">
        <v>2789</v>
      </c>
      <c r="I122" t="s">
        <v>69</v>
      </c>
      <c r="J122" s="257" t="s">
        <v>201</v>
      </c>
      <c r="K122" s="64" t="s">
        <v>975</v>
      </c>
      <c r="L122" t="s">
        <v>975</v>
      </c>
      <c r="M122" s="257" t="s">
        <v>194</v>
      </c>
      <c r="N122" s="52" t="str">
        <f>RegionSelect!$B$2</f>
        <v>Amhara</v>
      </c>
      <c r="O122" s="195">
        <f>O124*0.9</f>
        <v>1.1622799726572285E-2</v>
      </c>
      <c r="P122" t="s">
        <v>2195</v>
      </c>
      <c r="Q122" s="195"/>
      <c r="R122" s="195"/>
      <c r="S122" s="195">
        <f>'Malaria Incid'!BM272</f>
        <v>0.87556301899925537</v>
      </c>
      <c r="T122">
        <v>1</v>
      </c>
      <c r="V122" s="320">
        <v>10</v>
      </c>
    </row>
    <row r="123" spans="1:27" x14ac:dyDescent="0.45">
      <c r="A123" s="66" t="s">
        <v>2337</v>
      </c>
      <c r="B123" s="66" t="s">
        <v>2335</v>
      </c>
      <c r="C123" s="66" t="s">
        <v>69</v>
      </c>
      <c r="D123" s="66">
        <v>103</v>
      </c>
      <c r="E123" s="64" t="s">
        <v>2355</v>
      </c>
      <c r="F123" t="s">
        <v>2360</v>
      </c>
      <c r="G123" t="s">
        <v>154</v>
      </c>
      <c r="H123" t="s">
        <v>2789</v>
      </c>
      <c r="I123" t="s">
        <v>69</v>
      </c>
      <c r="J123" s="257" t="s">
        <v>209</v>
      </c>
      <c r="K123" s="64" t="s">
        <v>975</v>
      </c>
      <c r="L123" t="s">
        <v>975</v>
      </c>
      <c r="M123" s="257" t="s">
        <v>194</v>
      </c>
      <c r="N123" s="52" t="str">
        <f>RegionSelect!$B$2</f>
        <v>Amhara</v>
      </c>
      <c r="O123" s="319">
        <f>O122</f>
        <v>1.1622799726572285E-2</v>
      </c>
      <c r="P123" t="s">
        <v>2195</v>
      </c>
      <c r="Q123" s="195"/>
      <c r="R123" s="195"/>
      <c r="S123" s="195">
        <f>S122</f>
        <v>0.87556301899925537</v>
      </c>
      <c r="T123">
        <v>1</v>
      </c>
      <c r="V123" s="320">
        <v>10</v>
      </c>
    </row>
    <row r="124" spans="1:27" x14ac:dyDescent="0.45">
      <c r="A124" s="66" t="s">
        <v>2337</v>
      </c>
      <c r="B124" s="66" t="s">
        <v>2335</v>
      </c>
      <c r="C124" s="66" t="s">
        <v>69</v>
      </c>
      <c r="D124" s="66">
        <v>103</v>
      </c>
      <c r="E124" s="64" t="s">
        <v>2358</v>
      </c>
      <c r="F124" t="s">
        <v>2361</v>
      </c>
      <c r="G124" t="s">
        <v>154</v>
      </c>
      <c r="H124" t="s">
        <v>206</v>
      </c>
      <c r="I124" t="s">
        <v>69</v>
      </c>
      <c r="J124" s="257" t="s">
        <v>212</v>
      </c>
      <c r="K124" s="64" t="s">
        <v>975</v>
      </c>
      <c r="L124" t="s">
        <v>975</v>
      </c>
      <c r="M124" s="257" t="s">
        <v>194</v>
      </c>
      <c r="N124" s="52" t="str">
        <f>RegionSelect!$B$2</f>
        <v>Amhara</v>
      </c>
      <c r="O124" s="145">
        <f>IFERROR(VLOOKUP(_xlfn.CONCAT(AA124,RegionSelect!$C$2),RegionalData!$C:$S,13,FALSE),VLOOKUP(_xlfn.CONCAT(AA124,"ET"),RegionalData!$C:$S,13,FALSE))</f>
        <v>1.2914221918413649E-2</v>
      </c>
      <c r="P124" t="s">
        <v>2195</v>
      </c>
      <c r="Q124">
        <v>4</v>
      </c>
      <c r="R124" t="s">
        <v>2349</v>
      </c>
      <c r="S124" s="89">
        <v>1</v>
      </c>
      <c r="T124">
        <v>1</v>
      </c>
      <c r="V124" s="320">
        <v>5</v>
      </c>
      <c r="AA124" t="s">
        <v>3070</v>
      </c>
    </row>
    <row r="125" spans="1:27" x14ac:dyDescent="0.45">
      <c r="A125" s="66" t="s">
        <v>2337</v>
      </c>
      <c r="B125" s="66" t="s">
        <v>2335</v>
      </c>
      <c r="C125" s="66" t="s">
        <v>69</v>
      </c>
      <c r="D125" s="66">
        <v>104</v>
      </c>
      <c r="F125" t="s">
        <v>2352</v>
      </c>
      <c r="G125" t="s">
        <v>154</v>
      </c>
      <c r="K125" s="64" t="s">
        <v>975</v>
      </c>
      <c r="L125" t="s">
        <v>975</v>
      </c>
      <c r="M125" s="257" t="s">
        <v>194</v>
      </c>
      <c r="N125" t="str">
        <f>RegionSelect!$B$2</f>
        <v>Amhara</v>
      </c>
      <c r="P125" s="195"/>
      <c r="Q125" s="195"/>
      <c r="R125" s="195"/>
      <c r="S125" s="195"/>
      <c r="T125" s="195"/>
    </row>
    <row r="126" spans="1:27" x14ac:dyDescent="0.45">
      <c r="A126" s="66" t="s">
        <v>2337</v>
      </c>
      <c r="B126" s="66" t="s">
        <v>2335</v>
      </c>
      <c r="C126" s="66" t="s">
        <v>69</v>
      </c>
      <c r="D126" s="66">
        <v>104</v>
      </c>
      <c r="E126" s="64" t="s">
        <v>2356</v>
      </c>
      <c r="F126" t="s">
        <v>2362</v>
      </c>
      <c r="G126" t="s">
        <v>154</v>
      </c>
      <c r="H126" t="s">
        <v>2789</v>
      </c>
      <c r="I126" t="s">
        <v>69</v>
      </c>
      <c r="J126" s="257" t="s">
        <v>201</v>
      </c>
      <c r="K126" s="64" t="s">
        <v>975</v>
      </c>
      <c r="L126" t="s">
        <v>975</v>
      </c>
      <c r="M126" s="257" t="s">
        <v>194</v>
      </c>
      <c r="N126" s="52" t="str">
        <f>RegionSelect!$B$2</f>
        <v>Amhara</v>
      </c>
      <c r="O126" s="195">
        <f>O124*0.1</f>
        <v>1.291422191841365E-3</v>
      </c>
      <c r="P126" t="s">
        <v>2195</v>
      </c>
      <c r="Q126" s="195"/>
      <c r="R126" s="195"/>
      <c r="S126" s="195">
        <f>S122</f>
        <v>0.87556301899925537</v>
      </c>
      <c r="T126">
        <v>1</v>
      </c>
      <c r="V126" s="320">
        <v>15</v>
      </c>
    </row>
    <row r="127" spans="1:27" x14ac:dyDescent="0.45">
      <c r="A127" s="66" t="s">
        <v>2337</v>
      </c>
      <c r="B127" s="66" t="s">
        <v>2335</v>
      </c>
      <c r="C127" s="66" t="s">
        <v>69</v>
      </c>
      <c r="D127" s="66">
        <v>104</v>
      </c>
      <c r="E127" s="64" t="s">
        <v>2357</v>
      </c>
      <c r="F127" t="s">
        <v>2363</v>
      </c>
      <c r="G127" t="s">
        <v>154</v>
      </c>
      <c r="H127" t="s">
        <v>2789</v>
      </c>
      <c r="I127" t="s">
        <v>69</v>
      </c>
      <c r="J127" s="257" t="s">
        <v>209</v>
      </c>
      <c r="K127" s="64" t="s">
        <v>975</v>
      </c>
      <c r="L127" t="s">
        <v>975</v>
      </c>
      <c r="M127" s="257" t="s">
        <v>194</v>
      </c>
      <c r="N127" s="52" t="str">
        <f>RegionSelect!$B$2</f>
        <v>Amhara</v>
      </c>
      <c r="O127" s="319">
        <f>O126</f>
        <v>1.291422191841365E-3</v>
      </c>
      <c r="P127" t="s">
        <v>2195</v>
      </c>
      <c r="Q127" s="195"/>
      <c r="R127" s="195"/>
      <c r="S127" s="195">
        <f>S122</f>
        <v>0.87556301899925537</v>
      </c>
      <c r="T127">
        <v>1</v>
      </c>
      <c r="V127" s="320">
        <v>15</v>
      </c>
    </row>
    <row r="128" spans="1:27" x14ac:dyDescent="0.45">
      <c r="A128" s="66" t="s">
        <v>2337</v>
      </c>
      <c r="B128" s="66" t="s">
        <v>2335</v>
      </c>
      <c r="C128" s="66" t="s">
        <v>69</v>
      </c>
      <c r="D128" s="66">
        <v>105</v>
      </c>
      <c r="E128" s="64" t="str">
        <f t="shared" ref="E128:E130" si="7">_xlfn.CONCAT("DPC.Mlr.",D128)</f>
        <v>DPC.Mlr.105</v>
      </c>
      <c r="F128" t="s">
        <v>2351</v>
      </c>
      <c r="G128" t="s">
        <v>193</v>
      </c>
      <c r="H128" t="s">
        <v>206</v>
      </c>
      <c r="I128" t="s">
        <v>69</v>
      </c>
      <c r="J128" s="257" t="s">
        <v>194</v>
      </c>
      <c r="K128" s="64" t="s">
        <v>975</v>
      </c>
      <c r="L128" t="s">
        <v>975</v>
      </c>
      <c r="M128" s="257" t="s">
        <v>975</v>
      </c>
      <c r="N128" t="str">
        <f>RegionSelect!$B$2</f>
        <v>Amhara</v>
      </c>
      <c r="P128" s="195"/>
      <c r="Q128" s="195"/>
      <c r="R128" s="195"/>
      <c r="S128" s="195"/>
      <c r="T128" s="195"/>
      <c r="Y128" t="s">
        <v>975</v>
      </c>
      <c r="Z128" t="s">
        <v>2366</v>
      </c>
    </row>
    <row r="129" spans="1:27" x14ac:dyDescent="0.45">
      <c r="A129" s="66" t="s">
        <v>2337</v>
      </c>
      <c r="B129" s="66" t="s">
        <v>2335</v>
      </c>
      <c r="C129" s="66" t="s">
        <v>69</v>
      </c>
      <c r="D129" s="66">
        <v>106</v>
      </c>
      <c r="E129" s="64" t="str">
        <f t="shared" si="7"/>
        <v>DPC.Mlr.106</v>
      </c>
      <c r="F129" t="s">
        <v>2340</v>
      </c>
      <c r="G129" t="s">
        <v>2248</v>
      </c>
      <c r="H129" t="s">
        <v>206</v>
      </c>
      <c r="I129" t="s">
        <v>69</v>
      </c>
      <c r="J129" s="257" t="s">
        <v>194</v>
      </c>
      <c r="K129" s="64" t="s">
        <v>975</v>
      </c>
      <c r="L129" t="s">
        <v>975</v>
      </c>
      <c r="M129" s="257" t="s">
        <v>975</v>
      </c>
      <c r="N129" t="str">
        <f>RegionSelect!$B$2</f>
        <v>Amhara</v>
      </c>
      <c r="P129" s="195"/>
      <c r="Q129" s="195"/>
      <c r="R129" s="195"/>
      <c r="S129" s="195"/>
      <c r="T129" s="195"/>
      <c r="Y129" t="s">
        <v>975</v>
      </c>
      <c r="Z129" t="s">
        <v>2331</v>
      </c>
    </row>
    <row r="130" spans="1:27" x14ac:dyDescent="0.45">
      <c r="A130" s="66" t="s">
        <v>2337</v>
      </c>
      <c r="B130" s="66" t="s">
        <v>2335</v>
      </c>
      <c r="C130" s="66" t="s">
        <v>69</v>
      </c>
      <c r="D130" s="66">
        <v>107</v>
      </c>
      <c r="E130" s="64" t="str">
        <f t="shared" si="7"/>
        <v>DPC.Mlr.107</v>
      </c>
      <c r="F130" t="s">
        <v>2245</v>
      </c>
      <c r="G130" t="s">
        <v>2248</v>
      </c>
      <c r="H130" t="s">
        <v>206</v>
      </c>
      <c r="I130" t="s">
        <v>69</v>
      </c>
      <c r="J130" s="257" t="s">
        <v>194</v>
      </c>
      <c r="K130" s="64" t="s">
        <v>975</v>
      </c>
      <c r="L130" t="s">
        <v>975</v>
      </c>
      <c r="M130" s="257" t="s">
        <v>975</v>
      </c>
      <c r="N130" t="str">
        <f>RegionSelect!$B$2</f>
        <v>Amhara</v>
      </c>
      <c r="P130" s="195"/>
      <c r="Q130" s="195"/>
      <c r="R130" s="195"/>
      <c r="S130" s="195"/>
      <c r="T130" s="195"/>
      <c r="Y130" t="s">
        <v>975</v>
      </c>
      <c r="Z130" t="s">
        <v>2366</v>
      </c>
    </row>
    <row r="131" spans="1:27" x14ac:dyDescent="0.45">
      <c r="A131" s="66" t="s">
        <v>2337</v>
      </c>
      <c r="B131" s="66" t="s">
        <v>2335</v>
      </c>
      <c r="C131" s="66" t="s">
        <v>2367</v>
      </c>
      <c r="D131" s="66">
        <v>108</v>
      </c>
      <c r="F131" t="s">
        <v>2368</v>
      </c>
      <c r="G131" t="s">
        <v>154</v>
      </c>
      <c r="H131" t="s">
        <v>2789</v>
      </c>
      <c r="I131" t="s">
        <v>200</v>
      </c>
      <c r="J131" s="257" t="s">
        <v>201</v>
      </c>
      <c r="K131" s="64" t="s">
        <v>975</v>
      </c>
      <c r="L131" t="s">
        <v>975</v>
      </c>
      <c r="M131" s="257" t="s">
        <v>975</v>
      </c>
      <c r="N131" t="str">
        <f>RegionSelect!$B$2</f>
        <v>Amhara</v>
      </c>
      <c r="P131" s="195"/>
      <c r="S131"/>
      <c r="V131"/>
      <c r="Z131" t="s">
        <v>2377</v>
      </c>
    </row>
    <row r="132" spans="1:27" x14ac:dyDescent="0.45">
      <c r="A132" s="66" t="s">
        <v>2337</v>
      </c>
      <c r="B132" s="66" t="s">
        <v>2335</v>
      </c>
      <c r="C132" s="66" t="s">
        <v>2367</v>
      </c>
      <c r="D132" s="66">
        <v>108</v>
      </c>
      <c r="E132" s="64" t="s">
        <v>2373</v>
      </c>
      <c r="F132" t="s">
        <v>2375</v>
      </c>
      <c r="G132" t="s">
        <v>154</v>
      </c>
      <c r="H132" t="s">
        <v>2789</v>
      </c>
      <c r="I132" t="s">
        <v>200</v>
      </c>
      <c r="J132" s="257" t="s">
        <v>201</v>
      </c>
      <c r="K132" s="64" t="s">
        <v>975</v>
      </c>
      <c r="L132" t="s">
        <v>975</v>
      </c>
      <c r="M132" s="257" t="s">
        <v>975</v>
      </c>
      <c r="N132" t="str">
        <f>RegionSelect!$B$2</f>
        <v>Amhara</v>
      </c>
      <c r="O132" s="145">
        <f>IFERROR(VLOOKUP(_xlfn.CONCAT(AA132,RegionSelect!$C$2),RegionalData!$C:$S,13,FALSE),VLOOKUP(_xlfn.CONCAT(AA132,"ET"),RegionalData!$C:$S,13,FALSE))</f>
        <v>1.083E-3</v>
      </c>
      <c r="P132" s="195" t="s">
        <v>2195</v>
      </c>
      <c r="Q132">
        <f>1/'DALYs '!M314</f>
        <v>8.3333333333333339</v>
      </c>
      <c r="R132" s="195" t="s">
        <v>2372</v>
      </c>
      <c r="S132" s="89">
        <f>'TB Incidence'!BM272</f>
        <v>0.92465934537590888</v>
      </c>
      <c r="T132">
        <v>1</v>
      </c>
      <c r="V132">
        <v>10</v>
      </c>
      <c r="AA132" t="s">
        <v>3076</v>
      </c>
    </row>
    <row r="133" spans="1:27" x14ac:dyDescent="0.45">
      <c r="A133" s="66" t="s">
        <v>2337</v>
      </c>
      <c r="B133" s="66" t="s">
        <v>2335</v>
      </c>
      <c r="C133" s="66" t="s">
        <v>2367</v>
      </c>
      <c r="D133" s="66">
        <v>108</v>
      </c>
      <c r="E133" s="64" t="s">
        <v>2374</v>
      </c>
      <c r="F133" t="s">
        <v>2376</v>
      </c>
      <c r="G133" t="s">
        <v>154</v>
      </c>
      <c r="H133" t="s">
        <v>2789</v>
      </c>
      <c r="I133" t="s">
        <v>200</v>
      </c>
      <c r="J133" s="257" t="s">
        <v>201</v>
      </c>
      <c r="K133" s="64" t="s">
        <v>975</v>
      </c>
      <c r="L133" t="s">
        <v>975</v>
      </c>
      <c r="M133" s="257" t="s">
        <v>975</v>
      </c>
      <c r="N133" t="str">
        <f>RegionSelect!$B$2</f>
        <v>Amhara</v>
      </c>
      <c r="O133" s="195">
        <f>O132</f>
        <v>1.083E-3</v>
      </c>
      <c r="P133" s="195" t="s">
        <v>2195</v>
      </c>
      <c r="Q133" s="195"/>
      <c r="R133" s="195"/>
      <c r="S133" s="89">
        <f>S132</f>
        <v>0.92465934537590888</v>
      </c>
      <c r="T133">
        <v>1</v>
      </c>
      <c r="V133">
        <v>10</v>
      </c>
    </row>
    <row r="134" spans="1:27" x14ac:dyDescent="0.45">
      <c r="A134" s="66" t="s">
        <v>2337</v>
      </c>
      <c r="B134" s="66" t="s">
        <v>2335</v>
      </c>
      <c r="C134" s="66" t="s">
        <v>2367</v>
      </c>
      <c r="D134" s="66">
        <v>109</v>
      </c>
      <c r="E134" s="64" t="str">
        <f t="shared" ref="E134:E135" si="8">_xlfn.CONCAT("DPC.TB.",D134)</f>
        <v>DPC.TB.109</v>
      </c>
      <c r="F134" t="s">
        <v>2369</v>
      </c>
      <c r="G134" t="s">
        <v>154</v>
      </c>
      <c r="H134" t="s">
        <v>2789</v>
      </c>
      <c r="I134" t="s">
        <v>200</v>
      </c>
      <c r="J134" s="257" t="s">
        <v>201</v>
      </c>
      <c r="K134" s="64" t="s">
        <v>975</v>
      </c>
      <c r="L134" t="s">
        <v>975</v>
      </c>
      <c r="N134" t="str">
        <f>RegionSelect!$B$2</f>
        <v>Amhara</v>
      </c>
      <c r="O134" s="195">
        <f>O132</f>
        <v>1.083E-3</v>
      </c>
      <c r="P134" s="195" t="s">
        <v>2195</v>
      </c>
      <c r="Q134" s="195"/>
      <c r="R134" s="195"/>
      <c r="S134" s="89">
        <f>S132</f>
        <v>0.92465934537590888</v>
      </c>
      <c r="T134" s="5">
        <f>2*30+4*30*0.2</f>
        <v>84</v>
      </c>
      <c r="V134" s="6">
        <v>5</v>
      </c>
      <c r="Y134" t="s">
        <v>975</v>
      </c>
      <c r="Z134" t="s">
        <v>2428</v>
      </c>
    </row>
    <row r="135" spans="1:27" x14ac:dyDescent="0.45">
      <c r="A135" s="66" t="s">
        <v>2337</v>
      </c>
      <c r="B135" s="66" t="s">
        <v>2335</v>
      </c>
      <c r="C135" s="66" t="s">
        <v>2367</v>
      </c>
      <c r="D135" s="66">
        <v>110</v>
      </c>
      <c r="E135" s="64" t="str">
        <f t="shared" si="8"/>
        <v>DPC.TB.110</v>
      </c>
      <c r="F135" t="s">
        <v>2370</v>
      </c>
      <c r="G135" t="s">
        <v>2248</v>
      </c>
      <c r="H135" t="s">
        <v>206</v>
      </c>
      <c r="I135" t="s">
        <v>200</v>
      </c>
      <c r="J135" s="257" t="s">
        <v>194</v>
      </c>
      <c r="K135" s="64" t="s">
        <v>975</v>
      </c>
      <c r="L135" t="s">
        <v>975</v>
      </c>
      <c r="M135" s="257" t="s">
        <v>975</v>
      </c>
      <c r="N135" t="str">
        <f>RegionSelect!$B$2</f>
        <v>Amhara</v>
      </c>
      <c r="P135" s="195"/>
      <c r="Q135" s="195"/>
      <c r="R135" s="195"/>
      <c r="S135" s="195"/>
      <c r="T135" s="195"/>
      <c r="Y135" t="s">
        <v>975</v>
      </c>
      <c r="Z135" t="s">
        <v>2371</v>
      </c>
    </row>
    <row r="136" spans="1:27" x14ac:dyDescent="0.45">
      <c r="A136" s="66" t="s">
        <v>2337</v>
      </c>
      <c r="B136" s="66" t="s">
        <v>2335</v>
      </c>
      <c r="C136" s="66" t="s">
        <v>2367</v>
      </c>
      <c r="D136" s="66">
        <v>111</v>
      </c>
      <c r="E136" s="318"/>
      <c r="F136" s="311" t="s">
        <v>2236</v>
      </c>
      <c r="N136" t="str">
        <f>RegionSelect!$B$2</f>
        <v>Amhara</v>
      </c>
    </row>
    <row r="137" spans="1:27" x14ac:dyDescent="0.45">
      <c r="A137" s="66" t="s">
        <v>2337</v>
      </c>
      <c r="B137" s="66" t="s">
        <v>2378</v>
      </c>
      <c r="C137" s="66" t="s">
        <v>2379</v>
      </c>
      <c r="D137" s="66">
        <v>112</v>
      </c>
      <c r="E137" s="64" t="s">
        <v>2383</v>
      </c>
      <c r="F137" t="s">
        <v>2380</v>
      </c>
      <c r="G137" t="s">
        <v>2248</v>
      </c>
      <c r="H137" t="s">
        <v>206</v>
      </c>
      <c r="I137" t="s">
        <v>194</v>
      </c>
      <c r="J137" t="s">
        <v>194</v>
      </c>
      <c r="K137" s="64" t="s">
        <v>975</v>
      </c>
      <c r="L137" t="s">
        <v>975</v>
      </c>
      <c r="M137" s="257" t="s">
        <v>975</v>
      </c>
      <c r="N137" t="str">
        <f>RegionSelect!$B$2</f>
        <v>Amhara</v>
      </c>
      <c r="P137" s="195"/>
      <c r="Q137" s="195"/>
      <c r="R137" s="195"/>
      <c r="S137" s="195"/>
      <c r="T137" s="195"/>
      <c r="Y137" t="s">
        <v>975</v>
      </c>
      <c r="Z137" t="s">
        <v>2371</v>
      </c>
    </row>
    <row r="138" spans="1:27" x14ac:dyDescent="0.45">
      <c r="A138" s="66" t="s">
        <v>2337</v>
      </c>
      <c r="B138" s="66" t="s">
        <v>2378</v>
      </c>
      <c r="C138" s="66" t="s">
        <v>2379</v>
      </c>
      <c r="D138" s="66">
        <v>113</v>
      </c>
      <c r="E138" s="64" t="s">
        <v>2384</v>
      </c>
      <c r="F138" t="s">
        <v>2381</v>
      </c>
      <c r="G138" t="s">
        <v>2248</v>
      </c>
      <c r="H138" t="s">
        <v>206</v>
      </c>
      <c r="I138" t="s">
        <v>194</v>
      </c>
      <c r="J138" t="s">
        <v>194</v>
      </c>
      <c r="K138" s="64" t="s">
        <v>975</v>
      </c>
      <c r="L138" t="s">
        <v>975</v>
      </c>
      <c r="M138" s="257" t="s">
        <v>975</v>
      </c>
      <c r="N138" t="str">
        <f>RegionSelect!$B$2</f>
        <v>Amhara</v>
      </c>
      <c r="P138" s="195"/>
      <c r="Q138" s="195"/>
      <c r="R138" s="195"/>
      <c r="S138" s="195"/>
      <c r="T138" s="195"/>
      <c r="Y138" t="s">
        <v>975</v>
      </c>
      <c r="Z138" t="s">
        <v>2371</v>
      </c>
    </row>
    <row r="139" spans="1:27" x14ac:dyDescent="0.45">
      <c r="A139" s="66" t="s">
        <v>2337</v>
      </c>
      <c r="B139" s="66" t="s">
        <v>2378</v>
      </c>
      <c r="C139" s="66" t="s">
        <v>2379</v>
      </c>
      <c r="D139" s="66">
        <v>114</v>
      </c>
      <c r="E139" s="64" t="s">
        <v>2385</v>
      </c>
      <c r="F139" t="s">
        <v>2382</v>
      </c>
      <c r="G139" t="s">
        <v>2248</v>
      </c>
      <c r="H139" t="s">
        <v>206</v>
      </c>
      <c r="I139" t="s">
        <v>194</v>
      </c>
      <c r="J139" t="s">
        <v>194</v>
      </c>
      <c r="K139" s="64" t="s">
        <v>975</v>
      </c>
      <c r="L139" t="s">
        <v>975</v>
      </c>
      <c r="M139" s="257" t="s">
        <v>975</v>
      </c>
      <c r="N139" t="str">
        <f>RegionSelect!$B$2</f>
        <v>Amhara</v>
      </c>
      <c r="P139" s="195"/>
      <c r="Q139" s="195"/>
      <c r="R139" s="195"/>
      <c r="S139" s="195"/>
      <c r="T139" s="195"/>
      <c r="Y139" t="s">
        <v>975</v>
      </c>
      <c r="Z139" t="s">
        <v>2371</v>
      </c>
    </row>
    <row r="140" spans="1:27" x14ac:dyDescent="0.45">
      <c r="A140" s="66" t="s">
        <v>2337</v>
      </c>
      <c r="B140" s="66" t="s">
        <v>2378</v>
      </c>
      <c r="C140" s="66" t="s">
        <v>2386</v>
      </c>
      <c r="D140" s="66">
        <v>115</v>
      </c>
      <c r="E140" s="64" t="str">
        <f>_xlfn.CONCAT("DPC.Cncr.",D140)</f>
        <v>DPC.Cncr.115</v>
      </c>
      <c r="F140" t="s">
        <v>2387</v>
      </c>
      <c r="G140" t="s">
        <v>2248</v>
      </c>
      <c r="H140" t="s">
        <v>206</v>
      </c>
      <c r="I140" t="s">
        <v>194</v>
      </c>
      <c r="J140" t="s">
        <v>194</v>
      </c>
      <c r="K140" s="64" t="s">
        <v>975</v>
      </c>
      <c r="L140" t="s">
        <v>975</v>
      </c>
      <c r="M140" s="257" t="s">
        <v>975</v>
      </c>
      <c r="N140" t="str">
        <f>RegionSelect!$B$2</f>
        <v>Amhara</v>
      </c>
      <c r="P140" s="195"/>
      <c r="Q140" s="195"/>
      <c r="R140" s="195"/>
      <c r="S140" s="195"/>
      <c r="T140" s="195"/>
      <c r="Y140" t="s">
        <v>975</v>
      </c>
      <c r="Z140" t="s">
        <v>2371</v>
      </c>
    </row>
    <row r="141" spans="1:27" x14ac:dyDescent="0.45">
      <c r="A141" s="66" t="s">
        <v>2337</v>
      </c>
      <c r="B141" s="66" t="s">
        <v>2378</v>
      </c>
      <c r="C141" s="66" t="s">
        <v>2386</v>
      </c>
      <c r="D141" s="66">
        <v>116</v>
      </c>
      <c r="E141" s="64" t="str">
        <f t="shared" ref="E141:E143" si="9">_xlfn.CONCAT("DPC.Cncr.",D141)</f>
        <v>DPC.Cncr.116</v>
      </c>
      <c r="F141" t="s">
        <v>2391</v>
      </c>
      <c r="G141" t="s">
        <v>154</v>
      </c>
      <c r="H141" t="s">
        <v>2787</v>
      </c>
      <c r="I141" t="s">
        <v>220</v>
      </c>
      <c r="J141" s="257" t="s">
        <v>2561</v>
      </c>
      <c r="K141" s="64" t="s">
        <v>975</v>
      </c>
      <c r="L141" t="s">
        <v>194</v>
      </c>
      <c r="M141" s="257" t="s">
        <v>194</v>
      </c>
      <c r="N141" t="str">
        <f>RegionSelect!$B$2</f>
        <v>Amhara</v>
      </c>
      <c r="O141" s="145">
        <v>1</v>
      </c>
      <c r="P141" s="195" t="s">
        <v>2563</v>
      </c>
      <c r="Q141" s="195">
        <f>1/5</f>
        <v>0.2</v>
      </c>
      <c r="R141" s="195" t="s">
        <v>2562</v>
      </c>
      <c r="S141" s="89">
        <v>1</v>
      </c>
      <c r="U141">
        <v>1</v>
      </c>
      <c r="V141" s="315">
        <v>10</v>
      </c>
      <c r="Y141" t="s">
        <v>975</v>
      </c>
    </row>
    <row r="142" spans="1:27" x14ac:dyDescent="0.45">
      <c r="A142" s="66" t="s">
        <v>2337</v>
      </c>
      <c r="B142" s="66" t="s">
        <v>2378</v>
      </c>
      <c r="C142" s="66" t="s">
        <v>2386</v>
      </c>
      <c r="D142" s="66">
        <v>117</v>
      </c>
      <c r="E142" s="64" t="str">
        <f t="shared" si="9"/>
        <v>DPC.Cncr.117</v>
      </c>
      <c r="F142" t="s">
        <v>2388</v>
      </c>
      <c r="G142" t="s">
        <v>154</v>
      </c>
      <c r="H142" t="s">
        <v>206</v>
      </c>
      <c r="I142" t="s">
        <v>194</v>
      </c>
      <c r="J142" t="s">
        <v>194</v>
      </c>
      <c r="K142" s="64" t="s">
        <v>975</v>
      </c>
      <c r="L142" t="s">
        <v>975</v>
      </c>
      <c r="M142" s="257" t="s">
        <v>975</v>
      </c>
      <c r="N142" t="str">
        <f>RegionSelect!$B$2</f>
        <v>Amhara</v>
      </c>
      <c r="P142" s="195"/>
      <c r="Q142" s="195"/>
      <c r="R142" s="195"/>
      <c r="S142" s="195"/>
      <c r="T142" s="195"/>
      <c r="Y142" t="s">
        <v>975</v>
      </c>
      <c r="Z142" t="s">
        <v>2371</v>
      </c>
    </row>
    <row r="143" spans="1:27" x14ac:dyDescent="0.45">
      <c r="A143" s="66" t="s">
        <v>2337</v>
      </c>
      <c r="B143" s="66" t="s">
        <v>2378</v>
      </c>
      <c r="C143" s="66" t="s">
        <v>2386</v>
      </c>
      <c r="D143" s="66">
        <v>118</v>
      </c>
      <c r="E143" s="64" t="str">
        <f t="shared" si="9"/>
        <v>DPC.Cncr.118</v>
      </c>
      <c r="F143" t="s">
        <v>2389</v>
      </c>
      <c r="G143" t="s">
        <v>154</v>
      </c>
      <c r="H143" t="s">
        <v>2787</v>
      </c>
      <c r="I143" t="s">
        <v>220</v>
      </c>
      <c r="J143" s="257" t="s">
        <v>253</v>
      </c>
      <c r="K143" s="64" t="s">
        <v>975</v>
      </c>
      <c r="L143" t="s">
        <v>975</v>
      </c>
      <c r="M143" s="257" t="s">
        <v>194</v>
      </c>
      <c r="N143" t="str">
        <f>RegionSelect!$B$2</f>
        <v>Amhara</v>
      </c>
      <c r="O143" s="195">
        <v>1</v>
      </c>
      <c r="P143" s="195" t="s">
        <v>2556</v>
      </c>
      <c r="Q143" s="321">
        <v>0.5</v>
      </c>
      <c r="R143" s="195" t="s">
        <v>2556</v>
      </c>
      <c r="S143" s="89">
        <v>1</v>
      </c>
      <c r="U143">
        <v>1</v>
      </c>
      <c r="V143" s="315">
        <v>5</v>
      </c>
      <c r="Y143" t="s">
        <v>975</v>
      </c>
    </row>
    <row r="144" spans="1:27" x14ac:dyDescent="0.45">
      <c r="A144" s="66" t="s">
        <v>2337</v>
      </c>
      <c r="B144" s="66" t="s">
        <v>2378</v>
      </c>
      <c r="C144" s="66" t="s">
        <v>2386</v>
      </c>
      <c r="D144" s="66">
        <v>119</v>
      </c>
      <c r="F144" t="s">
        <v>2390</v>
      </c>
      <c r="G144" t="s">
        <v>154</v>
      </c>
      <c r="H144" t="s">
        <v>2789</v>
      </c>
      <c r="I144" t="s">
        <v>220</v>
      </c>
      <c r="J144" s="257" t="s">
        <v>201</v>
      </c>
      <c r="K144" s="64" t="s">
        <v>975</v>
      </c>
      <c r="L144" t="s">
        <v>975</v>
      </c>
      <c r="M144" s="257" t="s">
        <v>975</v>
      </c>
      <c r="N144" t="str">
        <f>RegionSelect!$B$2</f>
        <v>Amhara</v>
      </c>
      <c r="O144"/>
      <c r="S144"/>
      <c r="V144"/>
      <c r="Y144" t="s">
        <v>975</v>
      </c>
      <c r="Z144" t="s">
        <v>3433</v>
      </c>
    </row>
    <row r="145" spans="1:27" x14ac:dyDescent="0.45">
      <c r="A145" s="66" t="s">
        <v>2337</v>
      </c>
      <c r="B145" s="66" t="s">
        <v>2378</v>
      </c>
      <c r="C145" s="66" t="s">
        <v>2386</v>
      </c>
      <c r="D145" s="66">
        <v>119</v>
      </c>
      <c r="E145" s="64" t="s">
        <v>3368</v>
      </c>
      <c r="F145" t="s">
        <v>3445</v>
      </c>
      <c r="G145" t="s">
        <v>154</v>
      </c>
      <c r="H145" t="s">
        <v>2789</v>
      </c>
      <c r="I145" t="s">
        <v>220</v>
      </c>
      <c r="J145" s="257" t="s">
        <v>3478</v>
      </c>
      <c r="K145" s="64" t="s">
        <v>975</v>
      </c>
      <c r="L145" t="s">
        <v>975</v>
      </c>
      <c r="M145" s="257" t="s">
        <v>975</v>
      </c>
      <c r="N145" t="str">
        <f>RegionSelect!$B$2</f>
        <v>Amhara</v>
      </c>
      <c r="O145" s="399">
        <f>VLOOKUP(_xlfn.CONCAT(AA145,"ET"),RegionalData!$C:$S,13,FALSE)</f>
        <v>1.0900000000000001E-4</v>
      </c>
      <c r="P145" s="195" t="s">
        <v>2195</v>
      </c>
      <c r="Q145" s="319">
        <v>0.5</v>
      </c>
      <c r="R145" s="195" t="s">
        <v>2555</v>
      </c>
      <c r="S145" s="89">
        <v>1</v>
      </c>
      <c r="T145" s="3">
        <v>12</v>
      </c>
      <c r="V145" s="315">
        <v>15</v>
      </c>
      <c r="Y145" t="s">
        <v>975</v>
      </c>
      <c r="Z145" t="s">
        <v>2392</v>
      </c>
      <c r="AA145" t="s">
        <v>3422</v>
      </c>
    </row>
    <row r="146" spans="1:27" x14ac:dyDescent="0.45">
      <c r="A146" s="66" t="s">
        <v>2337</v>
      </c>
      <c r="B146" s="66" t="s">
        <v>2378</v>
      </c>
      <c r="C146" s="66" t="s">
        <v>2386</v>
      </c>
      <c r="D146" s="66">
        <v>119</v>
      </c>
      <c r="E146" s="64" t="s">
        <v>3369</v>
      </c>
      <c r="F146" t="s">
        <v>3446</v>
      </c>
      <c r="G146" t="s">
        <v>154</v>
      </c>
      <c r="H146" t="s">
        <v>2789</v>
      </c>
      <c r="I146" t="s">
        <v>220</v>
      </c>
      <c r="J146" s="257" t="s">
        <v>3480</v>
      </c>
      <c r="K146" s="64" t="s">
        <v>975</v>
      </c>
      <c r="L146" t="s">
        <v>975</v>
      </c>
      <c r="M146" s="257" t="s">
        <v>975</v>
      </c>
      <c r="N146" t="str">
        <f>RegionSelect!$B$2</f>
        <v>Amhara</v>
      </c>
      <c r="O146" s="399">
        <f>VLOOKUP(_xlfn.CONCAT(AA146,"ET"),RegionalData!$C:$S,13,FALSE)</f>
        <v>1.8100000000000001E-4</v>
      </c>
      <c r="P146" s="195" t="s">
        <v>2195</v>
      </c>
      <c r="Q146" s="319">
        <v>0.5</v>
      </c>
      <c r="R146" s="195" t="s">
        <v>2555</v>
      </c>
      <c r="S146" s="89">
        <v>1</v>
      </c>
      <c r="T146" s="3">
        <v>12</v>
      </c>
      <c r="V146" s="315">
        <v>15</v>
      </c>
      <c r="Y146" t="s">
        <v>975</v>
      </c>
      <c r="Z146" t="s">
        <v>2392</v>
      </c>
      <c r="AA146" t="s">
        <v>3423</v>
      </c>
    </row>
    <row r="147" spans="1:27" x14ac:dyDescent="0.45">
      <c r="A147" s="66" t="s">
        <v>2337</v>
      </c>
      <c r="B147" s="66" t="s">
        <v>2378</v>
      </c>
      <c r="C147" s="66" t="s">
        <v>2386</v>
      </c>
      <c r="D147" s="66">
        <v>119</v>
      </c>
      <c r="E147" s="64" t="s">
        <v>3370</v>
      </c>
      <c r="F147" t="s">
        <v>3447</v>
      </c>
      <c r="G147" t="s">
        <v>154</v>
      </c>
      <c r="H147" t="s">
        <v>2789</v>
      </c>
      <c r="I147" t="s">
        <v>220</v>
      </c>
      <c r="J147" s="257" t="s">
        <v>3482</v>
      </c>
      <c r="K147" s="64" t="s">
        <v>975</v>
      </c>
      <c r="L147" t="s">
        <v>975</v>
      </c>
      <c r="M147" s="257" t="s">
        <v>975</v>
      </c>
      <c r="N147" t="str">
        <f>RegionSelect!$B$2</f>
        <v>Amhara</v>
      </c>
      <c r="O147" s="399">
        <f>VLOOKUP(_xlfn.CONCAT(AA147,"ET"),RegionalData!$C:$S,13,FALSE)</f>
        <v>4.2700000000000002E-4</v>
      </c>
      <c r="P147" s="195" t="s">
        <v>2195</v>
      </c>
      <c r="Q147" s="319">
        <v>0.5</v>
      </c>
      <c r="R147" s="195" t="s">
        <v>2555</v>
      </c>
      <c r="S147" s="89">
        <v>1</v>
      </c>
      <c r="T147" s="3">
        <v>12</v>
      </c>
      <c r="V147" s="315">
        <v>15</v>
      </c>
      <c r="Y147" t="s">
        <v>975</v>
      </c>
      <c r="Z147" t="s">
        <v>2392</v>
      </c>
      <c r="AA147" t="s">
        <v>3424</v>
      </c>
    </row>
    <row r="148" spans="1:27" x14ac:dyDescent="0.45">
      <c r="A148" s="66" t="s">
        <v>2337</v>
      </c>
      <c r="B148" s="66" t="s">
        <v>2378</v>
      </c>
      <c r="C148" s="66" t="s">
        <v>2386</v>
      </c>
      <c r="D148" s="66">
        <v>119</v>
      </c>
      <c r="E148" s="64" t="s">
        <v>3371</v>
      </c>
      <c r="F148" t="s">
        <v>3448</v>
      </c>
      <c r="G148" t="s">
        <v>154</v>
      </c>
      <c r="H148" t="s">
        <v>2789</v>
      </c>
      <c r="I148" t="s">
        <v>220</v>
      </c>
      <c r="J148" s="257" t="s">
        <v>3484</v>
      </c>
      <c r="K148" s="64" t="s">
        <v>975</v>
      </c>
      <c r="L148" t="s">
        <v>975</v>
      </c>
      <c r="M148" s="257" t="s">
        <v>975</v>
      </c>
      <c r="N148" t="str">
        <f>RegionSelect!$B$2</f>
        <v>Amhara</v>
      </c>
      <c r="O148" s="399">
        <f>VLOOKUP(_xlfn.CONCAT(AA148,"ET"),RegionalData!$C:$S,13,FALSE)</f>
        <v>1.1199999999999999E-3</v>
      </c>
      <c r="P148" s="195" t="s">
        <v>2195</v>
      </c>
      <c r="Q148" s="319">
        <v>0.5</v>
      </c>
      <c r="R148" s="195" t="s">
        <v>2555</v>
      </c>
      <c r="S148" s="89">
        <v>1</v>
      </c>
      <c r="T148" s="3">
        <v>12</v>
      </c>
      <c r="V148" s="315">
        <v>15</v>
      </c>
      <c r="Y148" t="s">
        <v>975</v>
      </c>
      <c r="Z148" t="s">
        <v>2392</v>
      </c>
      <c r="AA148" t="s">
        <v>3425</v>
      </c>
    </row>
    <row r="149" spans="1:27" x14ac:dyDescent="0.45">
      <c r="A149" s="66" t="s">
        <v>2337</v>
      </c>
      <c r="B149" s="66" t="s">
        <v>2378</v>
      </c>
      <c r="C149" s="66" t="s">
        <v>2386</v>
      </c>
      <c r="D149" s="66">
        <v>119</v>
      </c>
      <c r="E149" s="64" t="s">
        <v>3372</v>
      </c>
      <c r="F149" t="s">
        <v>3449</v>
      </c>
      <c r="G149" t="s">
        <v>154</v>
      </c>
      <c r="H149" t="s">
        <v>2789</v>
      </c>
      <c r="I149" t="s">
        <v>220</v>
      </c>
      <c r="J149" s="257" t="s">
        <v>3486</v>
      </c>
      <c r="K149" s="64" t="s">
        <v>975</v>
      </c>
      <c r="L149" t="s">
        <v>975</v>
      </c>
      <c r="M149" s="257" t="s">
        <v>975</v>
      </c>
      <c r="N149" t="str">
        <f>RegionSelect!$B$2</f>
        <v>Amhara</v>
      </c>
      <c r="O149" s="399">
        <f>VLOOKUP(_xlfn.CONCAT(AA149,"ET"),RegionalData!$C:$S,13,FALSE)</f>
        <v>2.47E-3</v>
      </c>
      <c r="P149" s="195" t="s">
        <v>2195</v>
      </c>
      <c r="Q149" s="319">
        <v>0.5</v>
      </c>
      <c r="R149" s="195" t="s">
        <v>2555</v>
      </c>
      <c r="S149" s="89">
        <v>1</v>
      </c>
      <c r="T149" s="3">
        <v>12</v>
      </c>
      <c r="V149" s="315">
        <v>15</v>
      </c>
      <c r="Y149" t="s">
        <v>975</v>
      </c>
      <c r="Z149" t="s">
        <v>2392</v>
      </c>
      <c r="AA149" t="s">
        <v>3426</v>
      </c>
    </row>
    <row r="150" spans="1:27" x14ac:dyDescent="0.45">
      <c r="A150" s="66" t="s">
        <v>2337</v>
      </c>
      <c r="B150" s="66" t="s">
        <v>2378</v>
      </c>
      <c r="C150" s="66" t="s">
        <v>2386</v>
      </c>
      <c r="D150" s="66">
        <v>119</v>
      </c>
      <c r="E150" s="64" t="s">
        <v>3373</v>
      </c>
      <c r="F150" t="s">
        <v>3450</v>
      </c>
      <c r="G150" t="s">
        <v>154</v>
      </c>
      <c r="H150" t="s">
        <v>2789</v>
      </c>
      <c r="I150" t="s">
        <v>220</v>
      </c>
      <c r="J150" s="257" t="s">
        <v>3477</v>
      </c>
      <c r="K150" s="64" t="s">
        <v>975</v>
      </c>
      <c r="L150" t="s">
        <v>975</v>
      </c>
      <c r="M150" s="257" t="s">
        <v>975</v>
      </c>
      <c r="N150" t="str">
        <f>RegionSelect!$B$2</f>
        <v>Amhara</v>
      </c>
      <c r="O150" s="399">
        <f>VLOOKUP(_xlfn.CONCAT(AA150,"ET"),RegionalData!$C:$S,13,FALSE)</f>
        <v>1.7000000000000001E-4</v>
      </c>
      <c r="P150" s="195" t="s">
        <v>2195</v>
      </c>
      <c r="Q150" s="319">
        <v>0.5</v>
      </c>
      <c r="R150" s="195" t="s">
        <v>2555</v>
      </c>
      <c r="S150" s="89">
        <v>1</v>
      </c>
      <c r="T150" s="3">
        <v>12</v>
      </c>
      <c r="V150" s="315">
        <v>15</v>
      </c>
      <c r="Y150" t="s">
        <v>975</v>
      </c>
      <c r="Z150" t="s">
        <v>2392</v>
      </c>
      <c r="AA150" t="s">
        <v>3427</v>
      </c>
    </row>
    <row r="151" spans="1:27" x14ac:dyDescent="0.45">
      <c r="A151" s="66" t="s">
        <v>2337</v>
      </c>
      <c r="B151" s="66" t="s">
        <v>2378</v>
      </c>
      <c r="C151" s="66" t="s">
        <v>2386</v>
      </c>
      <c r="D151" s="66">
        <v>119</v>
      </c>
      <c r="E151" s="64" t="s">
        <v>3374</v>
      </c>
      <c r="F151" t="s">
        <v>3451</v>
      </c>
      <c r="G151" t="s">
        <v>154</v>
      </c>
      <c r="H151" t="s">
        <v>2789</v>
      </c>
      <c r="I151" t="s">
        <v>220</v>
      </c>
      <c r="J151" s="257" t="s">
        <v>3479</v>
      </c>
      <c r="K151" s="64" t="s">
        <v>975</v>
      </c>
      <c r="L151" t="s">
        <v>975</v>
      </c>
      <c r="M151" s="257" t="s">
        <v>975</v>
      </c>
      <c r="N151" t="str">
        <f>RegionSelect!$B$2</f>
        <v>Amhara</v>
      </c>
      <c r="O151" s="399">
        <f>VLOOKUP(_xlfn.CONCAT(AA151,"ET"),RegionalData!$C:$S,13,FALSE)</f>
        <v>5.0600000000000005E-4</v>
      </c>
      <c r="P151" s="195" t="s">
        <v>2195</v>
      </c>
      <c r="Q151" s="319">
        <v>0.5</v>
      </c>
      <c r="R151" s="195" t="s">
        <v>2555</v>
      </c>
      <c r="S151" s="89">
        <v>1</v>
      </c>
      <c r="T151" s="3">
        <v>12</v>
      </c>
      <c r="V151" s="315">
        <v>15</v>
      </c>
      <c r="Y151" t="s">
        <v>975</v>
      </c>
      <c r="Z151" t="s">
        <v>2392</v>
      </c>
      <c r="AA151" t="s">
        <v>3428</v>
      </c>
    </row>
    <row r="152" spans="1:27" x14ac:dyDescent="0.45">
      <c r="A152" s="66" t="s">
        <v>2337</v>
      </c>
      <c r="B152" s="66" t="s">
        <v>2378</v>
      </c>
      <c r="C152" s="66" t="s">
        <v>2386</v>
      </c>
      <c r="D152" s="66">
        <v>119</v>
      </c>
      <c r="E152" s="64" t="s">
        <v>3375</v>
      </c>
      <c r="F152" t="s">
        <v>3452</v>
      </c>
      <c r="G152" t="s">
        <v>154</v>
      </c>
      <c r="H152" t="s">
        <v>2789</v>
      </c>
      <c r="I152" t="s">
        <v>220</v>
      </c>
      <c r="J152" s="257" t="s">
        <v>3481</v>
      </c>
      <c r="K152" s="64" t="s">
        <v>975</v>
      </c>
      <c r="L152" t="s">
        <v>975</v>
      </c>
      <c r="M152" s="257" t="s">
        <v>975</v>
      </c>
      <c r="N152" t="str">
        <f>RegionSelect!$B$2</f>
        <v>Amhara</v>
      </c>
      <c r="O152" s="399">
        <f>VLOOKUP(_xlfn.CONCAT(AA152,"ET"),RegionalData!$C:$S,13,FALSE)</f>
        <v>1.286E-3</v>
      </c>
      <c r="P152" s="195" t="s">
        <v>2195</v>
      </c>
      <c r="Q152" s="319">
        <v>0.5</v>
      </c>
      <c r="R152" s="195" t="s">
        <v>2555</v>
      </c>
      <c r="S152" s="89">
        <v>1</v>
      </c>
      <c r="T152" s="3">
        <v>12</v>
      </c>
      <c r="V152" s="315">
        <v>15</v>
      </c>
      <c r="Y152" t="s">
        <v>975</v>
      </c>
      <c r="Z152" t="s">
        <v>2392</v>
      </c>
      <c r="AA152" t="s">
        <v>3429</v>
      </c>
    </row>
    <row r="153" spans="1:27" x14ac:dyDescent="0.45">
      <c r="A153" s="66" t="s">
        <v>2337</v>
      </c>
      <c r="B153" s="66" t="s">
        <v>2378</v>
      </c>
      <c r="C153" s="66" t="s">
        <v>2386</v>
      </c>
      <c r="D153" s="66">
        <v>119</v>
      </c>
      <c r="E153" s="64" t="s">
        <v>3384</v>
      </c>
      <c r="F153" t="s">
        <v>3453</v>
      </c>
      <c r="G153" t="s">
        <v>154</v>
      </c>
      <c r="H153" t="s">
        <v>2789</v>
      </c>
      <c r="I153" t="s">
        <v>220</v>
      </c>
      <c r="J153" s="257" t="s">
        <v>3483</v>
      </c>
      <c r="K153" s="64" t="s">
        <v>975</v>
      </c>
      <c r="L153" t="s">
        <v>975</v>
      </c>
      <c r="M153" s="257" t="s">
        <v>975</v>
      </c>
      <c r="N153" t="str">
        <f>RegionSelect!$B$2</f>
        <v>Amhara</v>
      </c>
      <c r="O153" s="399">
        <f>VLOOKUP(_xlfn.CONCAT(AA153,"ET"),RegionalData!$C:$S,13,FALSE)</f>
        <v>2.5500000000000002E-3</v>
      </c>
      <c r="P153" s="195" t="s">
        <v>2195</v>
      </c>
      <c r="Q153" s="319">
        <v>0.5</v>
      </c>
      <c r="R153" s="195" t="s">
        <v>2555</v>
      </c>
      <c r="S153" s="89">
        <v>1</v>
      </c>
      <c r="T153" s="3">
        <v>12</v>
      </c>
      <c r="V153" s="315">
        <v>15</v>
      </c>
      <c r="Y153" t="s">
        <v>975</v>
      </c>
      <c r="Z153" t="s">
        <v>2392</v>
      </c>
      <c r="AA153" t="s">
        <v>3430</v>
      </c>
    </row>
    <row r="154" spans="1:27" x14ac:dyDescent="0.45">
      <c r="A154" s="66" t="s">
        <v>2337</v>
      </c>
      <c r="B154" s="66" t="s">
        <v>2378</v>
      </c>
      <c r="C154" s="66" t="s">
        <v>2386</v>
      </c>
      <c r="D154" s="66">
        <v>119</v>
      </c>
      <c r="E154" s="64" t="s">
        <v>3385</v>
      </c>
      <c r="F154" t="s">
        <v>3454</v>
      </c>
      <c r="G154" t="s">
        <v>154</v>
      </c>
      <c r="H154" t="s">
        <v>2789</v>
      </c>
      <c r="I154" t="s">
        <v>220</v>
      </c>
      <c r="J154" s="257" t="s">
        <v>3485</v>
      </c>
      <c r="K154" s="64" t="s">
        <v>975</v>
      </c>
      <c r="L154" t="s">
        <v>975</v>
      </c>
      <c r="M154" s="257" t="s">
        <v>975</v>
      </c>
      <c r="N154" t="str">
        <f>RegionSelect!$B$2</f>
        <v>Amhara</v>
      </c>
      <c r="O154" s="399">
        <f>VLOOKUP(_xlfn.CONCAT(AA154,"ET"),RegionalData!$C:$S,13,FALSE)</f>
        <v>3.5810000000000004E-3</v>
      </c>
      <c r="P154" s="195" t="s">
        <v>2195</v>
      </c>
      <c r="Q154" s="319">
        <v>0.5</v>
      </c>
      <c r="R154" s="195" t="s">
        <v>2555</v>
      </c>
      <c r="S154" s="89">
        <v>1</v>
      </c>
      <c r="T154" s="3">
        <v>12</v>
      </c>
      <c r="V154" s="315">
        <v>15</v>
      </c>
      <c r="Y154" t="s">
        <v>975</v>
      </c>
      <c r="Z154" t="s">
        <v>2392</v>
      </c>
      <c r="AA154" t="s">
        <v>3431</v>
      </c>
    </row>
    <row r="155" spans="1:27" x14ac:dyDescent="0.45">
      <c r="A155" s="66" t="s">
        <v>2337</v>
      </c>
      <c r="B155" s="66" t="s">
        <v>2378</v>
      </c>
      <c r="C155" s="66" t="s">
        <v>2386</v>
      </c>
      <c r="D155" s="66">
        <v>119</v>
      </c>
      <c r="E155" s="64" t="s">
        <v>3386</v>
      </c>
      <c r="F155" t="s">
        <v>3421</v>
      </c>
      <c r="G155" t="s">
        <v>154</v>
      </c>
      <c r="H155" t="s">
        <v>2789</v>
      </c>
      <c r="I155" t="s">
        <v>220</v>
      </c>
      <c r="J155" s="257" t="s">
        <v>3389</v>
      </c>
      <c r="K155" s="64" t="s">
        <v>975</v>
      </c>
      <c r="L155" t="s">
        <v>975</v>
      </c>
      <c r="M155" s="257" t="s">
        <v>975</v>
      </c>
      <c r="N155" t="str">
        <f>RegionSelect!$B$2</f>
        <v>Amhara</v>
      </c>
      <c r="O155" s="399">
        <f>VLOOKUP(_xlfn.CONCAT(AA155,"ET"),RegionalData!$C:$S,13,FALSE)</f>
        <v>4.3550000000000004E-3</v>
      </c>
      <c r="P155" s="195" t="s">
        <v>2195</v>
      </c>
      <c r="Q155" s="319">
        <v>0.5</v>
      </c>
      <c r="R155" s="195" t="s">
        <v>2555</v>
      </c>
      <c r="S155" s="89">
        <v>1</v>
      </c>
      <c r="T155" s="3">
        <v>12</v>
      </c>
      <c r="V155" s="315">
        <v>15</v>
      </c>
      <c r="Y155" t="s">
        <v>975</v>
      </c>
      <c r="Z155" t="s">
        <v>2392</v>
      </c>
      <c r="AA155" t="s">
        <v>3432</v>
      </c>
    </row>
    <row r="156" spans="1:27" x14ac:dyDescent="0.45">
      <c r="A156" s="66" t="s">
        <v>2337</v>
      </c>
      <c r="B156" s="66" t="s">
        <v>2378</v>
      </c>
      <c r="C156" s="66" t="s">
        <v>2393</v>
      </c>
      <c r="D156" s="66">
        <v>120</v>
      </c>
      <c r="E156" s="64" t="str">
        <f>_xlfn.CONCAT("DPC.Hyp.",D156)</f>
        <v>DPC.Hyp.120</v>
      </c>
      <c r="F156" t="s">
        <v>2397</v>
      </c>
      <c r="G156" t="s">
        <v>154</v>
      </c>
      <c r="H156" t="s">
        <v>2787</v>
      </c>
      <c r="I156" t="s">
        <v>220</v>
      </c>
      <c r="J156" s="257" t="s">
        <v>194</v>
      </c>
      <c r="K156" s="64" t="s">
        <v>975</v>
      </c>
      <c r="L156" t="s">
        <v>975</v>
      </c>
      <c r="M156" s="257" t="s">
        <v>975</v>
      </c>
      <c r="N156" t="str">
        <f>RegionSelect!$B$2</f>
        <v>Amhara</v>
      </c>
      <c r="O156"/>
      <c r="P156" s="195" t="s">
        <v>2195</v>
      </c>
      <c r="Q156" s="195"/>
      <c r="R156" s="195"/>
      <c r="T156" s="195"/>
      <c r="Y156" t="s">
        <v>975</v>
      </c>
      <c r="Z156" t="s">
        <v>2823</v>
      </c>
    </row>
    <row r="157" spans="1:27" x14ac:dyDescent="0.45">
      <c r="A157" s="66" t="s">
        <v>2337</v>
      </c>
      <c r="B157" s="66" t="s">
        <v>2378</v>
      </c>
      <c r="C157" s="66" t="s">
        <v>2393</v>
      </c>
      <c r="D157" s="66">
        <v>121</v>
      </c>
      <c r="E157" s="64" t="str">
        <f t="shared" ref="E157:E158" si="10">_xlfn.CONCAT("DPC.Hyp.",D157)</f>
        <v>DPC.Hyp.121</v>
      </c>
      <c r="F157" t="s">
        <v>2398</v>
      </c>
      <c r="G157" t="s">
        <v>154</v>
      </c>
      <c r="H157" t="s">
        <v>2787</v>
      </c>
      <c r="I157" t="s">
        <v>220</v>
      </c>
      <c r="J157" s="257" t="s">
        <v>201</v>
      </c>
      <c r="K157" s="64" t="s">
        <v>975</v>
      </c>
      <c r="L157" t="s">
        <v>975</v>
      </c>
      <c r="M157" s="257" t="s">
        <v>194</v>
      </c>
      <c r="N157" t="str">
        <f>RegionSelect!$B$2</f>
        <v>Amhara</v>
      </c>
      <c r="O157" s="195">
        <v>1</v>
      </c>
      <c r="P157" s="195" t="s">
        <v>2825</v>
      </c>
      <c r="Q157" s="195">
        <f>1/5</f>
        <v>0.2</v>
      </c>
      <c r="R157" s="195" t="s">
        <v>2826</v>
      </c>
      <c r="S157" s="89">
        <v>1</v>
      </c>
      <c r="T157">
        <v>1</v>
      </c>
      <c r="U157" s="195"/>
      <c r="V157" s="6">
        <v>15</v>
      </c>
    </row>
    <row r="158" spans="1:27" x14ac:dyDescent="0.45">
      <c r="A158" s="66" t="s">
        <v>2337</v>
      </c>
      <c r="B158" s="66" t="s">
        <v>2378</v>
      </c>
      <c r="C158" s="66" t="s">
        <v>2393</v>
      </c>
      <c r="D158" s="66">
        <v>122</v>
      </c>
      <c r="E158" s="64" t="str">
        <f t="shared" si="10"/>
        <v>DPC.Hyp.122</v>
      </c>
      <c r="F158" t="s">
        <v>2399</v>
      </c>
      <c r="G158" t="s">
        <v>154</v>
      </c>
      <c r="H158" t="s">
        <v>2789</v>
      </c>
      <c r="I158" t="s">
        <v>220</v>
      </c>
      <c r="J158" s="257" t="s">
        <v>201</v>
      </c>
      <c r="K158" s="64" t="s">
        <v>975</v>
      </c>
      <c r="L158" t="s">
        <v>975</v>
      </c>
      <c r="M158" s="257" t="s">
        <v>194</v>
      </c>
      <c r="N158" t="str">
        <f>RegionSelect!$B$2</f>
        <v>Amhara</v>
      </c>
      <c r="O158" s="145">
        <f>IFERROR(VLOOKUP(_xlfn.CONCAT(AA158,RegionSelect!$C$2),RegionalData!$C:$S,13,FALSE),VLOOKUP(_xlfn.CONCAT(AA158,"ET"),RegionalData!$C:$S,13,FALSE))</f>
        <v>0.22270000000000001</v>
      </c>
      <c r="P158" s="195" t="s">
        <v>1863</v>
      </c>
      <c r="Q158" s="195"/>
      <c r="R158" s="195"/>
      <c r="S158" s="323">
        <v>1.02</v>
      </c>
      <c r="T158" s="195"/>
      <c r="U158">
        <v>1</v>
      </c>
      <c r="V158" s="6">
        <v>5</v>
      </c>
      <c r="Y158" t="s">
        <v>975</v>
      </c>
      <c r="AA158" t="s">
        <v>3098</v>
      </c>
    </row>
    <row r="159" spans="1:27" x14ac:dyDescent="0.45">
      <c r="A159" s="66" t="s">
        <v>2337</v>
      </c>
      <c r="B159" s="66" t="s">
        <v>2378</v>
      </c>
      <c r="C159" s="66" t="s">
        <v>519</v>
      </c>
      <c r="D159" s="66">
        <v>123</v>
      </c>
      <c r="E159" s="64" t="str">
        <f>_xlfn.CONCAT("DPC.Dbt.",D159)</f>
        <v>DPC.Dbt.123</v>
      </c>
      <c r="F159" t="s">
        <v>2397</v>
      </c>
      <c r="G159" t="s">
        <v>154</v>
      </c>
      <c r="H159" t="s">
        <v>2787</v>
      </c>
      <c r="I159" t="s">
        <v>220</v>
      </c>
      <c r="J159" s="257" t="s">
        <v>194</v>
      </c>
      <c r="K159" s="64" t="s">
        <v>975</v>
      </c>
      <c r="L159" t="s">
        <v>975</v>
      </c>
      <c r="M159" s="257" t="s">
        <v>975</v>
      </c>
      <c r="N159" t="str">
        <f>RegionSelect!$B$2</f>
        <v>Amhara</v>
      </c>
      <c r="O159"/>
      <c r="P159" s="195"/>
      <c r="Q159" s="195"/>
      <c r="R159" s="195"/>
      <c r="T159" s="195"/>
      <c r="Y159" t="s">
        <v>975</v>
      </c>
      <c r="Z159" t="s">
        <v>2823</v>
      </c>
    </row>
    <row r="160" spans="1:27" x14ac:dyDescent="0.45">
      <c r="A160" s="66" t="s">
        <v>2337</v>
      </c>
      <c r="B160" s="66" t="s">
        <v>2378</v>
      </c>
      <c r="C160" s="66" t="s">
        <v>519</v>
      </c>
      <c r="D160" s="66">
        <v>124</v>
      </c>
      <c r="E160" s="64" t="str">
        <f t="shared" ref="E160" si="11">_xlfn.CONCAT("DPC.Dbt.",D160)</f>
        <v>DPC.Dbt.124</v>
      </c>
      <c r="F160" t="s">
        <v>2400</v>
      </c>
      <c r="G160" t="s">
        <v>154</v>
      </c>
      <c r="H160" t="s">
        <v>2787</v>
      </c>
      <c r="I160" t="s">
        <v>220</v>
      </c>
      <c r="J160" s="257" t="s">
        <v>2824</v>
      </c>
      <c r="K160" s="64" t="s">
        <v>975</v>
      </c>
      <c r="L160" t="s">
        <v>975</v>
      </c>
      <c r="M160" s="257" t="s">
        <v>194</v>
      </c>
      <c r="N160" t="str">
        <f>RegionSelect!$B$2</f>
        <v>Amhara</v>
      </c>
      <c r="O160" s="195">
        <v>1</v>
      </c>
      <c r="P160" s="195" t="s">
        <v>2825</v>
      </c>
      <c r="Q160" s="195">
        <f>1/5</f>
        <v>0.2</v>
      </c>
      <c r="R160" s="195" t="s">
        <v>2826</v>
      </c>
      <c r="S160" s="89">
        <v>1</v>
      </c>
      <c r="T160">
        <v>1</v>
      </c>
      <c r="U160" s="195"/>
      <c r="V160" s="6">
        <v>15</v>
      </c>
    </row>
    <row r="161" spans="1:27" x14ac:dyDescent="0.45">
      <c r="A161" s="66" t="s">
        <v>2337</v>
      </c>
      <c r="B161" s="66" t="s">
        <v>2378</v>
      </c>
      <c r="C161" s="66" t="s">
        <v>519</v>
      </c>
      <c r="D161" s="66">
        <v>125</v>
      </c>
      <c r="F161" t="s">
        <v>2401</v>
      </c>
      <c r="G161" t="s">
        <v>154</v>
      </c>
      <c r="H161" t="s">
        <v>2789</v>
      </c>
      <c r="I161" t="s">
        <v>220</v>
      </c>
      <c r="J161" s="257" t="s">
        <v>201</v>
      </c>
      <c r="K161" s="64" t="s">
        <v>975</v>
      </c>
      <c r="L161" t="s">
        <v>975</v>
      </c>
      <c r="M161" s="257" t="s">
        <v>194</v>
      </c>
      <c r="N161" t="str">
        <f>RegionSelect!$B$2</f>
        <v>Amhara</v>
      </c>
      <c r="O161"/>
      <c r="P161" s="195"/>
      <c r="Q161" s="195"/>
      <c r="R161" s="195"/>
      <c r="S161"/>
      <c r="T161" s="195"/>
      <c r="V161"/>
      <c r="Y161" t="s">
        <v>975</v>
      </c>
      <c r="Z161" t="s">
        <v>3433</v>
      </c>
    </row>
    <row r="162" spans="1:27" x14ac:dyDescent="0.45">
      <c r="A162" s="66" t="s">
        <v>2337</v>
      </c>
      <c r="B162" s="66" t="s">
        <v>2378</v>
      </c>
      <c r="C162" s="66" t="s">
        <v>519</v>
      </c>
      <c r="D162" s="66">
        <v>125</v>
      </c>
      <c r="E162" s="64" t="s">
        <v>3390</v>
      </c>
      <c r="F162" t="s">
        <v>3459</v>
      </c>
      <c r="G162" t="s">
        <v>154</v>
      </c>
      <c r="H162" t="s">
        <v>2789</v>
      </c>
      <c r="I162" t="s">
        <v>220</v>
      </c>
      <c r="J162" s="257" t="s">
        <v>3406</v>
      </c>
      <c r="K162" s="64" t="s">
        <v>975</v>
      </c>
      <c r="L162" t="s">
        <v>975</v>
      </c>
      <c r="M162" s="257" t="s">
        <v>194</v>
      </c>
      <c r="N162" t="str">
        <f>RegionSelect!$B$2</f>
        <v>Amhara</v>
      </c>
      <c r="O162" s="145">
        <f>VLOOKUP(_xlfn.CONCAT(AA162,"ET"),RegionalData!$C:$S,13,FALSE)</f>
        <v>2.6000000000000002E-2</v>
      </c>
      <c r="P162" s="195" t="s">
        <v>1863</v>
      </c>
      <c r="Q162" s="195"/>
      <c r="R162" s="195"/>
      <c r="S162" s="288">
        <v>1</v>
      </c>
      <c r="T162" s="195"/>
      <c r="U162">
        <v>1</v>
      </c>
      <c r="V162" s="6">
        <v>5</v>
      </c>
      <c r="Y162" t="s">
        <v>975</v>
      </c>
      <c r="AA162" t="s">
        <v>3462</v>
      </c>
    </row>
    <row r="163" spans="1:27" x14ac:dyDescent="0.45">
      <c r="A163" s="66" t="s">
        <v>2337</v>
      </c>
      <c r="B163" s="66" t="s">
        <v>2378</v>
      </c>
      <c r="C163" s="66" t="s">
        <v>519</v>
      </c>
      <c r="D163" s="66">
        <v>125</v>
      </c>
      <c r="E163" s="64" t="s">
        <v>3391</v>
      </c>
      <c r="F163" t="s">
        <v>3460</v>
      </c>
      <c r="G163" t="s">
        <v>154</v>
      </c>
      <c r="H163" t="s">
        <v>2789</v>
      </c>
      <c r="I163" t="s">
        <v>220</v>
      </c>
      <c r="J163" s="257" t="s">
        <v>3407</v>
      </c>
      <c r="K163" s="64" t="s">
        <v>975</v>
      </c>
      <c r="L163" t="s">
        <v>975</v>
      </c>
      <c r="M163" s="257" t="s">
        <v>194</v>
      </c>
      <c r="N163" t="str">
        <f>RegionSelect!$B$2</f>
        <v>Amhara</v>
      </c>
      <c r="O163" s="145">
        <f>VLOOKUP(_xlfn.CONCAT(AA163,"ET"),RegionalData!$C:$S,13,FALSE)</f>
        <v>2.6000000000000002E-2</v>
      </c>
      <c r="P163" s="195" t="s">
        <v>1863</v>
      </c>
      <c r="Q163" s="195"/>
      <c r="R163" s="195"/>
      <c r="S163" s="288">
        <v>1</v>
      </c>
      <c r="T163" s="195"/>
      <c r="U163">
        <v>1</v>
      </c>
      <c r="V163" s="6">
        <v>5</v>
      </c>
      <c r="Y163" t="s">
        <v>975</v>
      </c>
      <c r="AA163" t="s">
        <v>3463</v>
      </c>
    </row>
    <row r="164" spans="1:27" x14ac:dyDescent="0.45">
      <c r="A164" s="66" t="s">
        <v>2337</v>
      </c>
      <c r="B164" s="66" t="s">
        <v>2378</v>
      </c>
      <c r="C164" s="66" t="s">
        <v>519</v>
      </c>
      <c r="D164" s="66">
        <v>125</v>
      </c>
      <c r="E164" s="64" t="s">
        <v>3392</v>
      </c>
      <c r="F164" t="s">
        <v>3455</v>
      </c>
      <c r="G164" t="s">
        <v>154</v>
      </c>
      <c r="H164" t="s">
        <v>2789</v>
      </c>
      <c r="I164" t="s">
        <v>220</v>
      </c>
      <c r="J164" s="257" t="s">
        <v>3396</v>
      </c>
      <c r="K164" s="64" t="s">
        <v>975</v>
      </c>
      <c r="L164" t="s">
        <v>975</v>
      </c>
      <c r="M164" s="257" t="s">
        <v>194</v>
      </c>
      <c r="N164" t="str">
        <f>RegionSelect!$B$2</f>
        <v>Amhara</v>
      </c>
      <c r="O164" s="145">
        <f>VLOOKUP(_xlfn.CONCAT(AA164,"ET"),RegionalData!$C:$S,13,FALSE)</f>
        <v>3.9E-2</v>
      </c>
      <c r="P164" s="195" t="s">
        <v>1863</v>
      </c>
      <c r="Q164" s="195"/>
      <c r="R164" s="195"/>
      <c r="S164" s="288">
        <v>1</v>
      </c>
      <c r="T164" s="195"/>
      <c r="U164">
        <v>1</v>
      </c>
      <c r="V164" s="6">
        <v>5</v>
      </c>
      <c r="Y164" t="s">
        <v>975</v>
      </c>
      <c r="AA164" t="s">
        <v>3464</v>
      </c>
    </row>
    <row r="165" spans="1:27" x14ac:dyDescent="0.45">
      <c r="A165" s="66" t="s">
        <v>2337</v>
      </c>
      <c r="B165" s="66" t="s">
        <v>2378</v>
      </c>
      <c r="C165" s="66" t="s">
        <v>519</v>
      </c>
      <c r="D165" s="66">
        <v>125</v>
      </c>
      <c r="E165" s="64" t="s">
        <v>3393</v>
      </c>
      <c r="F165" t="s">
        <v>3456</v>
      </c>
      <c r="G165" t="s">
        <v>154</v>
      </c>
      <c r="H165" t="s">
        <v>2789</v>
      </c>
      <c r="I165" t="s">
        <v>220</v>
      </c>
      <c r="J165" s="257" t="s">
        <v>3397</v>
      </c>
      <c r="K165" s="64" t="s">
        <v>975</v>
      </c>
      <c r="L165" t="s">
        <v>975</v>
      </c>
      <c r="M165" s="257" t="s">
        <v>194</v>
      </c>
      <c r="N165" t="str">
        <f>RegionSelect!$B$2</f>
        <v>Amhara</v>
      </c>
      <c r="O165" s="145">
        <f>VLOOKUP(_xlfn.CONCAT(AA165,"ET"),RegionalData!$C:$S,13,FALSE)</f>
        <v>4.2999999999999997E-2</v>
      </c>
      <c r="P165" s="195" t="s">
        <v>1863</v>
      </c>
      <c r="Q165" s="195"/>
      <c r="R165" s="195"/>
      <c r="S165" s="288">
        <v>1</v>
      </c>
      <c r="T165" s="195"/>
      <c r="U165">
        <v>1</v>
      </c>
      <c r="V165" s="6">
        <v>5</v>
      </c>
      <c r="Y165" t="s">
        <v>975</v>
      </c>
      <c r="AA165" t="s">
        <v>3465</v>
      </c>
    </row>
    <row r="166" spans="1:27" x14ac:dyDescent="0.45">
      <c r="A166" s="66" t="s">
        <v>2337</v>
      </c>
      <c r="B166" s="66" t="s">
        <v>2378</v>
      </c>
      <c r="C166" s="66" t="s">
        <v>519</v>
      </c>
      <c r="D166" s="66">
        <v>125</v>
      </c>
      <c r="E166" s="64" t="s">
        <v>3394</v>
      </c>
      <c r="F166" t="s">
        <v>3457</v>
      </c>
      <c r="G166" t="s">
        <v>154</v>
      </c>
      <c r="H166" t="s">
        <v>2789</v>
      </c>
      <c r="I166" t="s">
        <v>220</v>
      </c>
      <c r="J166" s="257" t="s">
        <v>3398</v>
      </c>
      <c r="K166" s="64" t="s">
        <v>975</v>
      </c>
      <c r="L166" t="s">
        <v>975</v>
      </c>
      <c r="M166" s="257" t="s">
        <v>194</v>
      </c>
      <c r="N166" t="str">
        <f>RegionSelect!$B$2</f>
        <v>Amhara</v>
      </c>
      <c r="O166" s="145">
        <f>VLOOKUP(_xlfn.CONCAT(AA166,"ET"),RegionalData!$C:$S,13,FALSE)</f>
        <v>4.9000000000000002E-2</v>
      </c>
      <c r="P166" s="195" t="s">
        <v>1863</v>
      </c>
      <c r="Q166" s="195"/>
      <c r="R166" s="195"/>
      <c r="S166" s="288">
        <v>1</v>
      </c>
      <c r="T166" s="195"/>
      <c r="U166">
        <v>1</v>
      </c>
      <c r="V166" s="6">
        <v>5</v>
      </c>
      <c r="Y166" t="s">
        <v>975</v>
      </c>
      <c r="AA166" t="s">
        <v>3466</v>
      </c>
    </row>
    <row r="167" spans="1:27" x14ac:dyDescent="0.45">
      <c r="A167" s="66" t="s">
        <v>2337</v>
      </c>
      <c r="B167" s="66" t="s">
        <v>2378</v>
      </c>
      <c r="C167" s="66" t="s">
        <v>519</v>
      </c>
      <c r="D167" s="66">
        <v>125</v>
      </c>
      <c r="E167" s="64" t="s">
        <v>3461</v>
      </c>
      <c r="F167" t="s">
        <v>3458</v>
      </c>
      <c r="G167" t="s">
        <v>154</v>
      </c>
      <c r="H167" t="s">
        <v>2789</v>
      </c>
      <c r="I167" t="s">
        <v>220</v>
      </c>
      <c r="J167" s="257" t="s">
        <v>3399</v>
      </c>
      <c r="K167" s="64" t="s">
        <v>975</v>
      </c>
      <c r="L167" t="s">
        <v>975</v>
      </c>
      <c r="M167" s="257" t="s">
        <v>194</v>
      </c>
      <c r="N167" t="str">
        <f>RegionSelect!$B$2</f>
        <v>Amhara</v>
      </c>
      <c r="O167" s="145">
        <f>VLOOKUP(_xlfn.CONCAT(AA167,"ET"),RegionalData!$C:$S,13,FALSE)</f>
        <v>4.5999999999999999E-2</v>
      </c>
      <c r="P167" s="195" t="s">
        <v>1863</v>
      </c>
      <c r="Q167" s="195"/>
      <c r="R167" s="195"/>
      <c r="S167" s="288">
        <v>1</v>
      </c>
      <c r="T167" s="195"/>
      <c r="U167">
        <v>1</v>
      </c>
      <c r="V167" s="6">
        <v>5</v>
      </c>
      <c r="Y167" t="s">
        <v>975</v>
      </c>
      <c r="AA167" t="s">
        <v>3467</v>
      </c>
    </row>
    <row r="168" spans="1:27" x14ac:dyDescent="0.45">
      <c r="A168" s="66" t="s">
        <v>2337</v>
      </c>
      <c r="B168" s="66" t="s">
        <v>2378</v>
      </c>
      <c r="C168" s="66" t="s">
        <v>2394</v>
      </c>
      <c r="D168" s="66">
        <v>126</v>
      </c>
      <c r="E168" s="64" t="str">
        <f>_xlfn.CONCAT("DPC.Asth.",D168)</f>
        <v>DPC.Asth.126</v>
      </c>
      <c r="F168" t="s">
        <v>2402</v>
      </c>
      <c r="G168" t="s">
        <v>154</v>
      </c>
      <c r="H168" t="s">
        <v>2787</v>
      </c>
      <c r="I168" t="s">
        <v>220</v>
      </c>
      <c r="J168" s="257" t="s">
        <v>2568</v>
      </c>
      <c r="K168" s="64" t="s">
        <v>975</v>
      </c>
      <c r="L168" t="s">
        <v>975</v>
      </c>
      <c r="M168" s="257" t="s">
        <v>975</v>
      </c>
      <c r="N168" t="str">
        <f>RegionSelect!$B$2</f>
        <v>Amhara</v>
      </c>
      <c r="O168" s="145">
        <f>IFERROR(VLOOKUP(_xlfn.CONCAT(AA168,RegionSelect!$C$2),RegionalData!$C:$S,13,FALSE),VLOOKUP(_xlfn.CONCAT(AA168,"ET"),RegionalData!$C:$S,13,FALSE))</f>
        <v>6.9999999999999993E-3</v>
      </c>
      <c r="P168" s="195" t="s">
        <v>2439</v>
      </c>
      <c r="Q168" s="319">
        <v>0.1</v>
      </c>
      <c r="R168" s="195" t="s">
        <v>2440</v>
      </c>
      <c r="S168" s="89">
        <v>1</v>
      </c>
      <c r="T168" s="5">
        <v>2</v>
      </c>
      <c r="V168" s="6">
        <v>10</v>
      </c>
      <c r="Y168" t="s">
        <v>975</v>
      </c>
      <c r="AA168" t="s">
        <v>3124</v>
      </c>
    </row>
    <row r="169" spans="1:27" x14ac:dyDescent="0.45">
      <c r="A169" s="66" t="s">
        <v>2337</v>
      </c>
      <c r="B169" s="66" t="s">
        <v>2378</v>
      </c>
      <c r="C169" s="66" t="s">
        <v>2394</v>
      </c>
      <c r="D169" s="66">
        <v>127</v>
      </c>
      <c r="E169" s="64" t="str">
        <f t="shared" ref="E169:E171" si="12">_xlfn.CONCAT("DPC.Asth.",D169)</f>
        <v>DPC.Asth.127</v>
      </c>
      <c r="F169" t="s">
        <v>2403</v>
      </c>
      <c r="G169" t="s">
        <v>154</v>
      </c>
      <c r="H169" t="s">
        <v>2787</v>
      </c>
      <c r="I169" t="s">
        <v>220</v>
      </c>
      <c r="J169" s="257" t="s">
        <v>201</v>
      </c>
      <c r="K169" s="64" t="s">
        <v>975</v>
      </c>
      <c r="L169" t="s">
        <v>975</v>
      </c>
      <c r="M169" s="257" t="s">
        <v>975</v>
      </c>
      <c r="N169" t="str">
        <f>RegionSelect!$B$2</f>
        <v>Amhara</v>
      </c>
      <c r="O169"/>
      <c r="Q169" s="195"/>
      <c r="R169" s="195"/>
      <c r="S169"/>
      <c r="V169"/>
      <c r="Y169" t="s">
        <v>975</v>
      </c>
      <c r="Z169" t="s">
        <v>2371</v>
      </c>
    </row>
    <row r="170" spans="1:27" x14ac:dyDescent="0.45">
      <c r="A170" s="66" t="s">
        <v>2337</v>
      </c>
      <c r="B170" s="66" t="s">
        <v>2378</v>
      </c>
      <c r="C170" s="66" t="s">
        <v>2394</v>
      </c>
      <c r="D170" s="66">
        <v>128</v>
      </c>
      <c r="E170" s="64" t="str">
        <f t="shared" si="12"/>
        <v>DPC.Asth.128</v>
      </c>
      <c r="F170" t="s">
        <v>2404</v>
      </c>
      <c r="G170" t="s">
        <v>154</v>
      </c>
      <c r="H170" t="s">
        <v>2789</v>
      </c>
      <c r="I170" t="s">
        <v>220</v>
      </c>
      <c r="J170" s="322" t="s">
        <v>2429</v>
      </c>
      <c r="K170" s="64" t="s">
        <v>975</v>
      </c>
      <c r="L170" t="s">
        <v>194</v>
      </c>
      <c r="M170" s="257" t="s">
        <v>194</v>
      </c>
      <c r="N170" t="str">
        <f>RegionSelect!$B$2</f>
        <v>Amhara</v>
      </c>
      <c r="O170" s="145">
        <f>IFERROR(VLOOKUP(_xlfn.CONCAT(AA170,RegionSelect!$C$2),RegionalData!$C:$S,13,FALSE),VLOOKUP(_xlfn.CONCAT(AA170,"ET"),RegionalData!$C:$S,13,FALSE))</f>
        <v>8.2649999999999987E-2</v>
      </c>
      <c r="P170" s="195" t="s">
        <v>1863</v>
      </c>
      <c r="Q170" s="195"/>
      <c r="R170" s="195"/>
      <c r="S170" s="323">
        <v>0.98499999999999999</v>
      </c>
      <c r="T170">
        <v>1</v>
      </c>
      <c r="U170">
        <v>1</v>
      </c>
      <c r="V170" s="6">
        <v>10</v>
      </c>
      <c r="Y170" t="s">
        <v>975</v>
      </c>
      <c r="Z170" t="s">
        <v>2441</v>
      </c>
      <c r="AA170" t="s">
        <v>3128</v>
      </c>
    </row>
    <row r="171" spans="1:27" x14ac:dyDescent="0.45">
      <c r="A171" s="66" t="s">
        <v>2337</v>
      </c>
      <c r="B171" s="66" t="s">
        <v>2378</v>
      </c>
      <c r="C171" s="66" t="s">
        <v>2394</v>
      </c>
      <c r="D171" s="66">
        <v>129</v>
      </c>
      <c r="E171" s="64" t="str">
        <f t="shared" si="12"/>
        <v>DPC.Asth.129</v>
      </c>
      <c r="F171" t="s">
        <v>2405</v>
      </c>
      <c r="G171" t="s">
        <v>154</v>
      </c>
      <c r="H171" t="s">
        <v>2789</v>
      </c>
      <c r="I171" t="s">
        <v>220</v>
      </c>
      <c r="J171" s="322" t="s">
        <v>2429</v>
      </c>
      <c r="K171" s="64" t="s">
        <v>975</v>
      </c>
      <c r="L171" t="s">
        <v>194</v>
      </c>
      <c r="M171" s="257" t="s">
        <v>194</v>
      </c>
      <c r="N171" t="str">
        <f>RegionSelect!$B$2</f>
        <v>Amhara</v>
      </c>
      <c r="O171" s="145">
        <f>IFERROR(VLOOKUP(_xlfn.CONCAT(AA171,RegionSelect!$C$2),RegionalData!$C:$S,13,FALSE),VLOOKUP(_xlfn.CONCAT(AA171,"ET"),RegionalData!$C:$S,13,FALSE))</f>
        <v>4.3499999999999997E-3</v>
      </c>
      <c r="P171" s="195" t="s">
        <v>1863</v>
      </c>
      <c r="Q171" s="195"/>
      <c r="R171" s="195"/>
      <c r="S171" s="89">
        <f>S170</f>
        <v>0.98499999999999999</v>
      </c>
      <c r="T171">
        <v>1</v>
      </c>
      <c r="U171" s="195"/>
      <c r="V171" s="6">
        <v>10</v>
      </c>
      <c r="Y171" t="s">
        <v>975</v>
      </c>
      <c r="Z171" t="s">
        <v>2441</v>
      </c>
      <c r="AA171" t="s">
        <v>3143</v>
      </c>
    </row>
    <row r="172" spans="1:27" x14ac:dyDescent="0.45">
      <c r="A172" s="66" t="s">
        <v>2337</v>
      </c>
      <c r="B172" s="66" t="s">
        <v>2378</v>
      </c>
      <c r="C172" s="66" t="s">
        <v>232</v>
      </c>
      <c r="D172" s="66">
        <v>130</v>
      </c>
      <c r="F172" t="s">
        <v>2406</v>
      </c>
      <c r="K172" s="64" t="s">
        <v>975</v>
      </c>
      <c r="L172" t="s">
        <v>975</v>
      </c>
      <c r="M172" s="257" t="s">
        <v>975</v>
      </c>
      <c r="N172" t="str">
        <f>RegionSelect!$B$2</f>
        <v>Amhara</v>
      </c>
      <c r="O172"/>
      <c r="Q172" s="195"/>
      <c r="R172" s="195"/>
      <c r="S172"/>
      <c r="V172"/>
      <c r="Y172" t="s">
        <v>975</v>
      </c>
    </row>
    <row r="173" spans="1:27" x14ac:dyDescent="0.45">
      <c r="A173" s="66" t="s">
        <v>2337</v>
      </c>
      <c r="B173" s="66" t="s">
        <v>2378</v>
      </c>
      <c r="C173" s="66" t="s">
        <v>232</v>
      </c>
      <c r="D173" s="66">
        <v>130</v>
      </c>
      <c r="E173" s="64" t="s">
        <v>2442</v>
      </c>
      <c r="F173" t="s">
        <v>2444</v>
      </c>
      <c r="G173" t="s">
        <v>2248</v>
      </c>
      <c r="H173" t="s">
        <v>2427</v>
      </c>
      <c r="I173" t="s">
        <v>232</v>
      </c>
      <c r="J173" s="257" t="s">
        <v>194</v>
      </c>
      <c r="K173" s="64" t="s">
        <v>975</v>
      </c>
      <c r="L173" t="s">
        <v>975</v>
      </c>
      <c r="M173" s="257" t="s">
        <v>975</v>
      </c>
      <c r="N173" t="str">
        <f>RegionSelect!$B$2</f>
        <v>Amhara</v>
      </c>
      <c r="O173"/>
      <c r="Q173" s="195"/>
      <c r="R173" s="195"/>
      <c r="S173"/>
      <c r="V173"/>
      <c r="Y173" t="s">
        <v>975</v>
      </c>
      <c r="Z173" t="s">
        <v>2371</v>
      </c>
    </row>
    <row r="174" spans="1:27" x14ac:dyDescent="0.45">
      <c r="A174" s="66" t="s">
        <v>2337</v>
      </c>
      <c r="B174" s="66" t="s">
        <v>2378</v>
      </c>
      <c r="C174" s="66" t="s">
        <v>232</v>
      </c>
      <c r="D174" s="66">
        <v>130</v>
      </c>
      <c r="E174" s="64" t="s">
        <v>2443</v>
      </c>
      <c r="F174" t="s">
        <v>2445</v>
      </c>
      <c r="G174" t="s">
        <v>154</v>
      </c>
      <c r="H174" t="s">
        <v>2789</v>
      </c>
      <c r="I174" t="s">
        <v>232</v>
      </c>
      <c r="J174" s="257" t="s">
        <v>233</v>
      </c>
      <c r="K174" s="64" t="s">
        <v>975</v>
      </c>
      <c r="L174" t="s">
        <v>975</v>
      </c>
      <c r="M174" s="257" t="s">
        <v>975</v>
      </c>
      <c r="N174" t="str">
        <f>RegionSelect!$B$2</f>
        <v>Amhara</v>
      </c>
      <c r="O174" s="145">
        <f>IFERROR(VLOOKUP(_xlfn.CONCAT(AA174,RegionSelect!$C$2),RegionalData!$C:$S,13,FALSE),VLOOKUP(_xlfn.CONCAT(AA174,"ET"),RegionalData!$C:$S,13,FALSE))</f>
        <v>0.21579999999999999</v>
      </c>
      <c r="P174" s="195" t="s">
        <v>2431</v>
      </c>
      <c r="Q174" s="195"/>
      <c r="R174" s="195"/>
      <c r="S174" s="89">
        <v>1</v>
      </c>
      <c r="T174">
        <v>1</v>
      </c>
      <c r="U174" s="310"/>
      <c r="V174" s="6">
        <v>15</v>
      </c>
      <c r="AA174" t="s">
        <v>3160</v>
      </c>
    </row>
    <row r="175" spans="1:27" x14ac:dyDescent="0.45">
      <c r="A175" s="66" t="s">
        <v>2337</v>
      </c>
      <c r="B175" s="66" t="s">
        <v>2378</v>
      </c>
      <c r="C175" s="66" t="s">
        <v>232</v>
      </c>
      <c r="D175" s="66">
        <f>D172+1</f>
        <v>131</v>
      </c>
      <c r="E175" s="64" t="str">
        <f>_xlfn.CONCAT("DPC.MH.",D175)</f>
        <v>DPC.MH.131</v>
      </c>
      <c r="F175" t="s">
        <v>2408</v>
      </c>
      <c r="G175" t="s">
        <v>2248</v>
      </c>
      <c r="H175" t="s">
        <v>2427</v>
      </c>
      <c r="I175" t="s">
        <v>232</v>
      </c>
      <c r="J175" s="257" t="s">
        <v>194</v>
      </c>
      <c r="K175" s="64" t="s">
        <v>975</v>
      </c>
      <c r="L175" t="s">
        <v>975</v>
      </c>
      <c r="M175" s="257" t="s">
        <v>975</v>
      </c>
      <c r="N175" t="str">
        <f>RegionSelect!$B$2</f>
        <v>Amhara</v>
      </c>
      <c r="O175"/>
      <c r="Q175" s="195"/>
      <c r="R175" s="195"/>
      <c r="S175"/>
      <c r="V175"/>
      <c r="Y175" t="s">
        <v>975</v>
      </c>
      <c r="Z175" t="s">
        <v>2371</v>
      </c>
    </row>
    <row r="176" spans="1:27" x14ac:dyDescent="0.45">
      <c r="A176" s="66" t="s">
        <v>2337</v>
      </c>
      <c r="B176" s="66" t="s">
        <v>2378</v>
      </c>
      <c r="C176" s="66" t="s">
        <v>232</v>
      </c>
      <c r="D176" s="66">
        <f t="shared" ref="D176:D179" si="13">D175+1</f>
        <v>132</v>
      </c>
      <c r="E176" s="64" t="str">
        <f t="shared" ref="E176:E179" si="14">_xlfn.CONCAT("DPC.MH.",D176)</f>
        <v>DPC.MH.132</v>
      </c>
      <c r="F176" t="s">
        <v>2407</v>
      </c>
      <c r="G176" t="s">
        <v>2248</v>
      </c>
      <c r="H176" t="s">
        <v>2427</v>
      </c>
      <c r="I176" t="s">
        <v>232</v>
      </c>
      <c r="J176" s="257" t="s">
        <v>194</v>
      </c>
      <c r="K176" s="64" t="s">
        <v>975</v>
      </c>
      <c r="L176" t="s">
        <v>975</v>
      </c>
      <c r="M176" s="257" t="s">
        <v>975</v>
      </c>
      <c r="N176" t="str">
        <f>RegionSelect!$B$2</f>
        <v>Amhara</v>
      </c>
      <c r="O176"/>
      <c r="Q176" s="195"/>
      <c r="R176" s="195"/>
      <c r="S176"/>
      <c r="V176"/>
      <c r="Y176" t="s">
        <v>975</v>
      </c>
      <c r="Z176" t="s">
        <v>2371</v>
      </c>
    </row>
    <row r="177" spans="1:27" x14ac:dyDescent="0.45">
      <c r="A177" s="66" t="s">
        <v>2337</v>
      </c>
      <c r="B177" s="66" t="s">
        <v>2378</v>
      </c>
      <c r="C177" s="66" t="s">
        <v>232</v>
      </c>
      <c r="D177" s="66">
        <f t="shared" si="13"/>
        <v>133</v>
      </c>
      <c r="E177" s="64" t="str">
        <f t="shared" si="14"/>
        <v>DPC.MH.133</v>
      </c>
      <c r="F177" t="s">
        <v>2409</v>
      </c>
      <c r="G177" t="s">
        <v>154</v>
      </c>
      <c r="H177" t="s">
        <v>2789</v>
      </c>
      <c r="I177" t="s">
        <v>232</v>
      </c>
      <c r="J177" s="257" t="s">
        <v>233</v>
      </c>
      <c r="K177" s="64" t="s">
        <v>975</v>
      </c>
      <c r="L177" t="s">
        <v>975</v>
      </c>
      <c r="M177" s="257" t="s">
        <v>975</v>
      </c>
      <c r="N177" t="str">
        <f>RegionSelect!$B$2</f>
        <v>Amhara</v>
      </c>
      <c r="O177" s="336"/>
      <c r="P177" s="195" t="s">
        <v>2431</v>
      </c>
      <c r="Q177" s="195"/>
      <c r="R177" s="195"/>
      <c r="S177" s="89">
        <v>1</v>
      </c>
      <c r="T177">
        <v>1</v>
      </c>
      <c r="U177" s="310"/>
      <c r="V177" s="6">
        <v>15</v>
      </c>
      <c r="Z177" t="s">
        <v>2446</v>
      </c>
    </row>
    <row r="178" spans="1:27" x14ac:dyDescent="0.45">
      <c r="A178" s="66" t="s">
        <v>2337</v>
      </c>
      <c r="B178" s="66" t="s">
        <v>2378</v>
      </c>
      <c r="C178" s="66" t="s">
        <v>232</v>
      </c>
      <c r="D178" s="66">
        <f t="shared" si="13"/>
        <v>134</v>
      </c>
      <c r="E178" s="64" t="str">
        <f t="shared" si="14"/>
        <v>DPC.MH.134</v>
      </c>
      <c r="F178" t="s">
        <v>2410</v>
      </c>
      <c r="G178" t="s">
        <v>2248</v>
      </c>
      <c r="H178" t="s">
        <v>2427</v>
      </c>
      <c r="I178" t="s">
        <v>232</v>
      </c>
      <c r="J178" s="257" t="s">
        <v>194</v>
      </c>
      <c r="K178" s="64" t="s">
        <v>975</v>
      </c>
      <c r="L178" t="s">
        <v>975</v>
      </c>
      <c r="M178" s="257" t="s">
        <v>975</v>
      </c>
      <c r="N178" t="str">
        <f>RegionSelect!$B$2</f>
        <v>Amhara</v>
      </c>
      <c r="O178"/>
      <c r="Q178" s="195"/>
      <c r="R178" s="195"/>
      <c r="S178"/>
      <c r="V178"/>
      <c r="Y178" t="s">
        <v>975</v>
      </c>
      <c r="Z178" t="s">
        <v>2371</v>
      </c>
    </row>
    <row r="179" spans="1:27" x14ac:dyDescent="0.45">
      <c r="A179" s="66" t="s">
        <v>2337</v>
      </c>
      <c r="B179" s="66" t="s">
        <v>2378</v>
      </c>
      <c r="C179" s="66" t="s">
        <v>232</v>
      </c>
      <c r="D179" s="66">
        <f t="shared" si="13"/>
        <v>135</v>
      </c>
      <c r="E179" s="64" t="str">
        <f t="shared" si="14"/>
        <v>DPC.MH.135</v>
      </c>
      <c r="F179" t="s">
        <v>2411</v>
      </c>
      <c r="G179" t="s">
        <v>154</v>
      </c>
      <c r="H179" t="s">
        <v>2789</v>
      </c>
      <c r="I179" t="s">
        <v>232</v>
      </c>
      <c r="J179" s="257" t="s">
        <v>201</v>
      </c>
      <c r="K179" s="64" t="s">
        <v>975</v>
      </c>
      <c r="L179" t="s">
        <v>975</v>
      </c>
      <c r="M179" s="257" t="s">
        <v>975</v>
      </c>
      <c r="N179" t="str">
        <f>RegionSelect!$B$2</f>
        <v>Amhara</v>
      </c>
      <c r="O179" s="336"/>
      <c r="P179" t="s">
        <v>2195</v>
      </c>
      <c r="Q179" s="195"/>
      <c r="R179" s="195"/>
      <c r="S179" s="89">
        <v>1</v>
      </c>
      <c r="T179">
        <v>1</v>
      </c>
      <c r="V179" s="6">
        <v>15</v>
      </c>
      <c r="Y179" t="s">
        <v>975</v>
      </c>
    </row>
    <row r="180" spans="1:27" x14ac:dyDescent="0.45">
      <c r="A180" s="66" t="s">
        <v>2337</v>
      </c>
      <c r="B180" s="66" t="s">
        <v>2378</v>
      </c>
      <c r="C180" s="66" t="s">
        <v>2395</v>
      </c>
      <c r="D180" s="66">
        <v>136</v>
      </c>
      <c r="E180" s="64" t="str">
        <f>_xlfn.CONCAT("DPC.Oph.",D180)</f>
        <v>DPC.Oph.136</v>
      </c>
      <c r="F180" t="s">
        <v>2412</v>
      </c>
      <c r="G180" t="s">
        <v>154</v>
      </c>
      <c r="H180" t="s">
        <v>2787</v>
      </c>
      <c r="I180" t="s">
        <v>220</v>
      </c>
      <c r="J180" s="257" t="s">
        <v>201</v>
      </c>
      <c r="K180" s="64" t="s">
        <v>975</v>
      </c>
      <c r="L180" t="s">
        <v>975</v>
      </c>
      <c r="M180" s="257" t="s">
        <v>975</v>
      </c>
      <c r="N180" t="str">
        <f>RegionSelect!$B$2</f>
        <v>Amhara</v>
      </c>
      <c r="O180" s="145">
        <f>IFERROR(VLOOKUP(_xlfn.CONCAT(AA180,RegionSelect!$C$2),RegionalData!$C:$S,13,FALSE),VLOOKUP(_xlfn.CONCAT(AA180,"ET"),RegionalData!$C:$S,13,FALSE))</f>
        <v>4.8212E-4</v>
      </c>
      <c r="P180" t="s">
        <v>2579</v>
      </c>
      <c r="Q180" s="195"/>
      <c r="R180" s="195"/>
      <c r="S180" s="89">
        <f>1+Prevalences!AN393</f>
        <v>1.0311999999999999</v>
      </c>
      <c r="T180">
        <v>1</v>
      </c>
      <c r="V180" s="6">
        <v>10</v>
      </c>
      <c r="Y180" t="s">
        <v>975</v>
      </c>
      <c r="Z180" t="s">
        <v>2591</v>
      </c>
      <c r="AA180" t="s">
        <v>3167</v>
      </c>
    </row>
    <row r="181" spans="1:27" x14ac:dyDescent="0.45">
      <c r="A181" s="66" t="s">
        <v>2337</v>
      </c>
      <c r="B181" s="66" t="s">
        <v>2378</v>
      </c>
      <c r="C181" s="66" t="s">
        <v>2395</v>
      </c>
      <c r="D181" s="66">
        <f>D180+1</f>
        <v>137</v>
      </c>
      <c r="E181" s="64" t="str">
        <f t="shared" ref="E181:E185" si="15">_xlfn.CONCAT("DPC.Oph.",D181)</f>
        <v>DPC.Oph.137</v>
      </c>
      <c r="F181" t="s">
        <v>2413</v>
      </c>
      <c r="G181" t="s">
        <v>154</v>
      </c>
      <c r="H181" t="s">
        <v>2427</v>
      </c>
      <c r="I181" t="s">
        <v>220</v>
      </c>
      <c r="J181" s="257" t="s">
        <v>194</v>
      </c>
      <c r="K181" s="64" t="s">
        <v>975</v>
      </c>
      <c r="L181" t="s">
        <v>975</v>
      </c>
      <c r="M181" s="257" t="s">
        <v>975</v>
      </c>
      <c r="N181" t="str">
        <f>RegionSelect!$B$2</f>
        <v>Amhara</v>
      </c>
      <c r="O181"/>
      <c r="Q181" s="195"/>
      <c r="R181" s="195"/>
      <c r="S181"/>
      <c r="V181"/>
      <c r="Y181" t="s">
        <v>975</v>
      </c>
      <c r="Z181" t="s">
        <v>2371</v>
      </c>
    </row>
    <row r="182" spans="1:27" x14ac:dyDescent="0.45">
      <c r="A182" s="66" t="s">
        <v>2337</v>
      </c>
      <c r="B182" s="66" t="s">
        <v>2378</v>
      </c>
      <c r="C182" s="66" t="s">
        <v>2395</v>
      </c>
      <c r="D182" s="66">
        <f t="shared" ref="D182:D185" si="16">D181+1</f>
        <v>138</v>
      </c>
      <c r="E182" s="64" t="str">
        <f t="shared" si="15"/>
        <v>DPC.Oph.138</v>
      </c>
      <c r="F182" t="s">
        <v>2414</v>
      </c>
      <c r="G182" t="s">
        <v>154</v>
      </c>
      <c r="H182" t="s">
        <v>2787</v>
      </c>
      <c r="I182" t="s">
        <v>220</v>
      </c>
      <c r="J182" s="257" t="s">
        <v>2429</v>
      </c>
      <c r="K182" s="64" t="s">
        <v>975</v>
      </c>
      <c r="L182" t="s">
        <v>975</v>
      </c>
      <c r="M182" s="257" t="s">
        <v>194</v>
      </c>
      <c r="N182" t="str">
        <f>RegionSelect!$B$2</f>
        <v>Amhara</v>
      </c>
      <c r="O182"/>
      <c r="Q182" s="195"/>
      <c r="R182" s="195"/>
      <c r="S182"/>
      <c r="V182"/>
      <c r="Y182" t="s">
        <v>975</v>
      </c>
      <c r="Z182" t="s">
        <v>2371</v>
      </c>
    </row>
    <row r="183" spans="1:27" x14ac:dyDescent="0.45">
      <c r="A183" s="66" t="s">
        <v>2337</v>
      </c>
      <c r="B183" s="66" t="s">
        <v>2378</v>
      </c>
      <c r="C183" s="66" t="s">
        <v>2395</v>
      </c>
      <c r="D183" s="66">
        <f t="shared" si="16"/>
        <v>139</v>
      </c>
      <c r="E183" s="64" t="str">
        <f t="shared" si="15"/>
        <v>DPC.Oph.139</v>
      </c>
      <c r="F183" t="s">
        <v>2415</v>
      </c>
      <c r="G183" t="s">
        <v>154</v>
      </c>
      <c r="H183" t="s">
        <v>2787</v>
      </c>
      <c r="I183" t="s">
        <v>220</v>
      </c>
      <c r="J183" s="257" t="s">
        <v>201</v>
      </c>
      <c r="K183" s="64" t="s">
        <v>975</v>
      </c>
      <c r="L183" t="s">
        <v>975</v>
      </c>
      <c r="M183" s="257" t="s">
        <v>194</v>
      </c>
      <c r="N183" t="str">
        <f>RegionSelect!$B$2</f>
        <v>Amhara</v>
      </c>
      <c r="O183" s="145">
        <f>1/5</f>
        <v>0.2</v>
      </c>
      <c r="P183" t="s">
        <v>2581</v>
      </c>
      <c r="Q183" s="195"/>
      <c r="R183" s="195"/>
      <c r="S183" s="89">
        <v>1</v>
      </c>
      <c r="T183">
        <v>1</v>
      </c>
      <c r="V183" s="6">
        <v>15</v>
      </c>
      <c r="Y183" t="s">
        <v>975</v>
      </c>
    </row>
    <row r="184" spans="1:27" x14ac:dyDescent="0.45">
      <c r="A184" s="66" t="s">
        <v>2337</v>
      </c>
      <c r="B184" s="66" t="s">
        <v>2378</v>
      </c>
      <c r="C184" s="66" t="s">
        <v>2395</v>
      </c>
      <c r="D184" s="66">
        <f t="shared" si="16"/>
        <v>140</v>
      </c>
      <c r="E184" s="64" t="str">
        <f t="shared" si="15"/>
        <v>DPC.Oph.140</v>
      </c>
      <c r="F184" t="s">
        <v>2416</v>
      </c>
      <c r="G184" t="s">
        <v>154</v>
      </c>
      <c r="H184" t="s">
        <v>2787</v>
      </c>
      <c r="I184" t="s">
        <v>220</v>
      </c>
      <c r="J184" s="257" t="s">
        <v>221</v>
      </c>
      <c r="K184" s="64" t="s">
        <v>975</v>
      </c>
      <c r="L184" t="s">
        <v>975</v>
      </c>
      <c r="M184" s="257" t="s">
        <v>975</v>
      </c>
      <c r="N184" t="str">
        <f>RegionSelect!$B$2</f>
        <v>Amhara</v>
      </c>
      <c r="O184"/>
      <c r="Q184" s="195"/>
      <c r="R184" s="195"/>
      <c r="S184" s="89">
        <v>1</v>
      </c>
      <c r="T184">
        <v>1</v>
      </c>
      <c r="V184" s="6">
        <v>15</v>
      </c>
      <c r="Y184" t="s">
        <v>975</v>
      </c>
      <c r="Z184" t="s">
        <v>2582</v>
      </c>
    </row>
    <row r="185" spans="1:27" x14ac:dyDescent="0.45">
      <c r="A185" s="66" t="s">
        <v>2337</v>
      </c>
      <c r="B185" s="66" t="s">
        <v>2378</v>
      </c>
      <c r="C185" s="66" t="s">
        <v>2395</v>
      </c>
      <c r="D185" s="66">
        <f t="shared" si="16"/>
        <v>141</v>
      </c>
      <c r="E185" s="64" t="str">
        <f t="shared" si="15"/>
        <v>DPC.Oph.141</v>
      </c>
      <c r="F185" t="s">
        <v>2417</v>
      </c>
      <c r="G185" t="s">
        <v>154</v>
      </c>
      <c r="H185" t="s">
        <v>2789</v>
      </c>
      <c r="I185" t="s">
        <v>220</v>
      </c>
      <c r="J185" s="257" t="s">
        <v>2587</v>
      </c>
      <c r="K185" s="64" t="s">
        <v>975</v>
      </c>
      <c r="L185" t="s">
        <v>194</v>
      </c>
      <c r="M185" s="257" t="s">
        <v>194</v>
      </c>
      <c r="N185" t="str">
        <f>RegionSelect!$B$2</f>
        <v>Amhara</v>
      </c>
      <c r="O185" s="145">
        <f>IFERROR(VLOOKUP(_xlfn.CONCAT(AA185,RegionSelect!$C$2),RegionalData!$C:$S,13,FALSE),VLOOKUP(_xlfn.CONCAT(AA185,"ET"),RegionalData!$C:$S,13,FALSE))</f>
        <v>0.155</v>
      </c>
      <c r="P185" t="s">
        <v>2195</v>
      </c>
      <c r="Q185" s="195"/>
      <c r="R185" s="195"/>
      <c r="S185" s="323">
        <v>0.98499999999999999</v>
      </c>
      <c r="T185">
        <v>1</v>
      </c>
      <c r="V185" s="6">
        <v>15</v>
      </c>
      <c r="Y185" t="s">
        <v>975</v>
      </c>
      <c r="AA185" t="s">
        <v>3171</v>
      </c>
    </row>
    <row r="186" spans="1:27" x14ac:dyDescent="0.45">
      <c r="A186" s="66" t="s">
        <v>2337</v>
      </c>
      <c r="B186" s="66" t="s">
        <v>2378</v>
      </c>
      <c r="C186" s="66" t="s">
        <v>2396</v>
      </c>
      <c r="E186" s="64" t="s">
        <v>2592</v>
      </c>
      <c r="F186" s="66" t="s">
        <v>2593</v>
      </c>
      <c r="G186" t="s">
        <v>154</v>
      </c>
      <c r="H186" t="s">
        <v>2789</v>
      </c>
      <c r="I186" t="s">
        <v>214</v>
      </c>
      <c r="J186" s="257" t="s">
        <v>212</v>
      </c>
      <c r="K186" s="64" t="s">
        <v>975</v>
      </c>
      <c r="L186" t="s">
        <v>975</v>
      </c>
      <c r="M186" s="257" t="s">
        <v>194</v>
      </c>
      <c r="N186" s="52" t="str">
        <f>RegionSelect!$B$2</f>
        <v>Amhara</v>
      </c>
      <c r="O186" s="145">
        <f>IFERROR(VLOOKUP(_xlfn.CONCAT(AA186,RegionSelect!$C$2),RegionalData!$C:$S,13,FALSE),VLOOKUP(_xlfn.CONCAT(AA186,"ET"),RegionalData!$C:$S,13,FALSE))</f>
        <v>2.595121951219513E-3</v>
      </c>
      <c r="P186" t="s">
        <v>2195</v>
      </c>
      <c r="Q186" s="319">
        <v>0.25</v>
      </c>
      <c r="R186" s="195" t="s">
        <v>2596</v>
      </c>
      <c r="S186" s="323">
        <v>1</v>
      </c>
      <c r="T186">
        <v>1</v>
      </c>
      <c r="V186" s="6">
        <v>7</v>
      </c>
      <c r="AA186" t="s">
        <v>3176</v>
      </c>
    </row>
    <row r="187" spans="1:27" x14ac:dyDescent="0.45">
      <c r="A187" s="66" t="s">
        <v>2337</v>
      </c>
      <c r="B187" s="66" t="s">
        <v>2378</v>
      </c>
      <c r="C187" s="66" t="s">
        <v>2396</v>
      </c>
      <c r="E187" s="64" t="s">
        <v>2594</v>
      </c>
      <c r="F187" s="66" t="s">
        <v>2595</v>
      </c>
      <c r="G187" t="s">
        <v>154</v>
      </c>
      <c r="H187" t="s">
        <v>2789</v>
      </c>
      <c r="I187" t="s">
        <v>214</v>
      </c>
      <c r="J187" s="257" t="s">
        <v>212</v>
      </c>
      <c r="K187" s="64" t="s">
        <v>975</v>
      </c>
      <c r="L187" t="s">
        <v>194</v>
      </c>
      <c r="M187" s="257" t="s">
        <v>194</v>
      </c>
      <c r="N187" s="52" t="str">
        <f>RegionSelect!$B$2</f>
        <v>Amhara</v>
      </c>
      <c r="O187" s="145">
        <f>IFERROR(VLOOKUP(_xlfn.CONCAT(AA187,RegionSelect!$C$2),RegionalData!$C:$S,13,FALSE),VLOOKUP(_xlfn.CONCAT(AA187,"ET"),RegionalData!$C:$S,13,FALSE))</f>
        <v>2.9756097560975615E-3</v>
      </c>
      <c r="P187" t="s">
        <v>2195</v>
      </c>
      <c r="Q187" s="319">
        <v>0.25</v>
      </c>
      <c r="R187" s="195" t="s">
        <v>2596</v>
      </c>
      <c r="S187" s="323">
        <v>1</v>
      </c>
      <c r="T187">
        <v>1</v>
      </c>
      <c r="V187" s="6">
        <v>15</v>
      </c>
      <c r="AA187" t="s">
        <v>3178</v>
      </c>
    </row>
    <row r="188" spans="1:27" x14ac:dyDescent="0.45">
      <c r="A188" s="66" t="s">
        <v>2337</v>
      </c>
      <c r="B188" s="66" t="s">
        <v>2378</v>
      </c>
      <c r="C188" s="66" t="s">
        <v>2396</v>
      </c>
      <c r="D188" s="66">
        <v>142</v>
      </c>
      <c r="F188" t="s">
        <v>2418</v>
      </c>
      <c r="G188" t="s">
        <v>154</v>
      </c>
      <c r="H188" t="s">
        <v>2789</v>
      </c>
      <c r="I188" t="s">
        <v>214</v>
      </c>
      <c r="J188" s="257" t="s">
        <v>212</v>
      </c>
      <c r="K188" s="64" t="s">
        <v>975</v>
      </c>
      <c r="L188" t="s">
        <v>975</v>
      </c>
      <c r="M188" s="257" t="s">
        <v>194</v>
      </c>
      <c r="N188" t="str">
        <f>RegionSelect!$B$2</f>
        <v>Amhara</v>
      </c>
      <c r="O188"/>
      <c r="Q188" s="195"/>
      <c r="R188" s="195"/>
      <c r="S188"/>
      <c r="V188"/>
      <c r="Y188" t="s">
        <v>975</v>
      </c>
      <c r="Z188" t="s">
        <v>2607</v>
      </c>
    </row>
    <row r="189" spans="1:27" x14ac:dyDescent="0.45">
      <c r="A189" s="66" t="s">
        <v>2337</v>
      </c>
      <c r="B189" s="66" t="s">
        <v>2378</v>
      </c>
      <c r="C189" s="66" t="s">
        <v>2396</v>
      </c>
      <c r="D189" s="66">
        <f>D188+1</f>
        <v>143</v>
      </c>
      <c r="F189" t="s">
        <v>2419</v>
      </c>
      <c r="G189" t="s">
        <v>154</v>
      </c>
      <c r="H189" t="s">
        <v>2789</v>
      </c>
      <c r="I189" t="s">
        <v>214</v>
      </c>
      <c r="J189" s="257" t="s">
        <v>212</v>
      </c>
      <c r="K189" s="64" t="s">
        <v>975</v>
      </c>
      <c r="L189" t="s">
        <v>975</v>
      </c>
      <c r="M189" s="257" t="s">
        <v>194</v>
      </c>
      <c r="N189" t="str">
        <f>RegionSelect!$B$2</f>
        <v>Amhara</v>
      </c>
      <c r="O189"/>
      <c r="Q189" s="195"/>
      <c r="R189" s="195"/>
      <c r="S189"/>
      <c r="V189"/>
      <c r="Y189" t="s">
        <v>975</v>
      </c>
      <c r="Z189" t="s">
        <v>2607</v>
      </c>
    </row>
    <row r="190" spans="1:27" x14ac:dyDescent="0.45">
      <c r="A190" s="66" t="s">
        <v>2337</v>
      </c>
      <c r="B190" s="66" t="s">
        <v>2378</v>
      </c>
      <c r="C190" s="66" t="s">
        <v>2396</v>
      </c>
      <c r="D190" s="66">
        <f t="shared" ref="D190:D197" si="17">D189+1</f>
        <v>144</v>
      </c>
      <c r="F190" t="s">
        <v>2447</v>
      </c>
      <c r="G190" t="s">
        <v>154</v>
      </c>
      <c r="H190" t="s">
        <v>2789</v>
      </c>
      <c r="I190" t="s">
        <v>214</v>
      </c>
      <c r="J190" s="257" t="s">
        <v>212</v>
      </c>
      <c r="K190" s="64" t="s">
        <v>975</v>
      </c>
      <c r="L190" t="s">
        <v>975</v>
      </c>
      <c r="M190" s="257" t="s">
        <v>194</v>
      </c>
      <c r="N190" t="str">
        <f>RegionSelect!$B$2</f>
        <v>Amhara</v>
      </c>
      <c r="O190"/>
      <c r="Q190" s="195"/>
      <c r="R190" s="195"/>
      <c r="S190"/>
      <c r="V190"/>
      <c r="Y190" t="s">
        <v>975</v>
      </c>
      <c r="Z190" t="s">
        <v>2607</v>
      </c>
    </row>
    <row r="191" spans="1:27" x14ac:dyDescent="0.45">
      <c r="A191" s="66" t="s">
        <v>2337</v>
      </c>
      <c r="B191" s="66" t="s">
        <v>2378</v>
      </c>
      <c r="C191" s="66" t="s">
        <v>2396</v>
      </c>
      <c r="D191" s="66">
        <f t="shared" si="17"/>
        <v>145</v>
      </c>
      <c r="F191" t="s">
        <v>2420</v>
      </c>
      <c r="G191" t="s">
        <v>154</v>
      </c>
      <c r="H191" t="s">
        <v>2789</v>
      </c>
      <c r="I191" t="s">
        <v>214</v>
      </c>
      <c r="J191" s="257" t="s">
        <v>212</v>
      </c>
      <c r="K191" s="64" t="s">
        <v>975</v>
      </c>
      <c r="L191" t="s">
        <v>194</v>
      </c>
      <c r="M191" s="257" t="s">
        <v>194</v>
      </c>
      <c r="N191" t="str">
        <f>RegionSelect!$B$2</f>
        <v>Amhara</v>
      </c>
      <c r="O191"/>
      <c r="Q191" s="195"/>
      <c r="R191" s="195"/>
      <c r="S191"/>
      <c r="V191"/>
      <c r="Y191" t="s">
        <v>975</v>
      </c>
      <c r="Z191" t="s">
        <v>2607</v>
      </c>
    </row>
    <row r="192" spans="1:27" x14ac:dyDescent="0.45">
      <c r="A192" s="66" t="s">
        <v>2337</v>
      </c>
      <c r="B192" s="66" t="s">
        <v>2378</v>
      </c>
      <c r="C192" s="66" t="s">
        <v>2396</v>
      </c>
      <c r="D192" s="66">
        <f t="shared" si="17"/>
        <v>146</v>
      </c>
      <c r="F192" t="s">
        <v>2421</v>
      </c>
      <c r="G192" t="s">
        <v>2248</v>
      </c>
      <c r="H192" t="s">
        <v>2427</v>
      </c>
      <c r="I192" t="s">
        <v>214</v>
      </c>
      <c r="J192" s="257" t="s">
        <v>194</v>
      </c>
      <c r="K192" s="64" t="s">
        <v>975</v>
      </c>
      <c r="L192" t="s">
        <v>975</v>
      </c>
      <c r="M192" s="257" t="s">
        <v>975</v>
      </c>
      <c r="N192" t="str">
        <f>RegionSelect!$B$2</f>
        <v>Amhara</v>
      </c>
      <c r="P192" s="195"/>
      <c r="Q192" s="195"/>
      <c r="R192" s="195"/>
      <c r="S192" s="195"/>
      <c r="T192" s="195"/>
      <c r="U192" s="195"/>
      <c r="V192" s="195"/>
      <c r="W192" s="195"/>
      <c r="X192" s="195"/>
      <c r="Y192" t="s">
        <v>975</v>
      </c>
      <c r="Z192" t="s">
        <v>2371</v>
      </c>
    </row>
    <row r="193" spans="1:27" x14ac:dyDescent="0.45">
      <c r="A193" s="66" t="s">
        <v>2337</v>
      </c>
      <c r="B193" s="66" t="s">
        <v>2378</v>
      </c>
      <c r="C193" s="66" t="s">
        <v>2396</v>
      </c>
      <c r="D193" s="66">
        <f t="shared" si="17"/>
        <v>147</v>
      </c>
      <c r="F193" t="s">
        <v>2422</v>
      </c>
      <c r="G193" t="s">
        <v>154</v>
      </c>
      <c r="H193" t="s">
        <v>2789</v>
      </c>
      <c r="I193" t="s">
        <v>214</v>
      </c>
      <c r="J193" s="257" t="s">
        <v>212</v>
      </c>
      <c r="K193" s="64" t="s">
        <v>975</v>
      </c>
      <c r="L193" t="s">
        <v>975</v>
      </c>
      <c r="M193" s="257" t="s">
        <v>194</v>
      </c>
      <c r="N193" t="str">
        <f>RegionSelect!$B$2</f>
        <v>Amhara</v>
      </c>
      <c r="O193"/>
      <c r="Q193" s="195"/>
      <c r="R193" s="195"/>
      <c r="S193"/>
      <c r="V193"/>
      <c r="Y193" t="s">
        <v>975</v>
      </c>
      <c r="Z193" t="s">
        <v>2607</v>
      </c>
    </row>
    <row r="194" spans="1:27" x14ac:dyDescent="0.45">
      <c r="A194" s="66" t="s">
        <v>2337</v>
      </c>
      <c r="B194" s="66" t="s">
        <v>2378</v>
      </c>
      <c r="C194" s="66" t="s">
        <v>2396</v>
      </c>
      <c r="D194" s="66">
        <f t="shared" si="17"/>
        <v>148</v>
      </c>
      <c r="F194" t="s">
        <v>2423</v>
      </c>
      <c r="G194" t="s">
        <v>154</v>
      </c>
      <c r="H194" t="s">
        <v>2789</v>
      </c>
      <c r="I194" t="s">
        <v>214</v>
      </c>
      <c r="J194" s="257" t="s">
        <v>212</v>
      </c>
      <c r="K194" s="64" t="s">
        <v>975</v>
      </c>
      <c r="L194" t="s">
        <v>194</v>
      </c>
      <c r="M194" s="257" t="s">
        <v>194</v>
      </c>
      <c r="N194" t="str">
        <f>RegionSelect!$B$2</f>
        <v>Amhara</v>
      </c>
      <c r="O194"/>
      <c r="Q194" s="195"/>
      <c r="R194" s="195"/>
      <c r="S194"/>
      <c r="V194"/>
      <c r="Y194" t="s">
        <v>975</v>
      </c>
      <c r="Z194" t="s">
        <v>2607</v>
      </c>
    </row>
    <row r="195" spans="1:27" x14ac:dyDescent="0.45">
      <c r="A195" s="66" t="s">
        <v>2337</v>
      </c>
      <c r="B195" s="66" t="s">
        <v>2378</v>
      </c>
      <c r="C195" s="66" t="s">
        <v>2396</v>
      </c>
      <c r="D195" s="66">
        <f t="shared" si="17"/>
        <v>149</v>
      </c>
      <c r="F195" t="s">
        <v>2424</v>
      </c>
      <c r="G195" t="s">
        <v>154</v>
      </c>
      <c r="H195" t="s">
        <v>2789</v>
      </c>
      <c r="I195" t="s">
        <v>214</v>
      </c>
      <c r="J195" s="257" t="s">
        <v>212</v>
      </c>
      <c r="K195" s="64" t="s">
        <v>975</v>
      </c>
      <c r="L195" t="s">
        <v>194</v>
      </c>
      <c r="M195" s="257" t="s">
        <v>194</v>
      </c>
      <c r="N195" t="str">
        <f>RegionSelect!$B$2</f>
        <v>Amhara</v>
      </c>
      <c r="O195"/>
      <c r="Q195" s="195"/>
      <c r="R195" s="195"/>
      <c r="S195"/>
      <c r="V195"/>
      <c r="Y195" t="s">
        <v>975</v>
      </c>
      <c r="Z195" t="s">
        <v>2607</v>
      </c>
    </row>
    <row r="196" spans="1:27" x14ac:dyDescent="0.45">
      <c r="A196" s="66" t="s">
        <v>2337</v>
      </c>
      <c r="B196" s="66" t="s">
        <v>2378</v>
      </c>
      <c r="C196" s="66" t="s">
        <v>2396</v>
      </c>
      <c r="D196" s="66">
        <f t="shared" si="17"/>
        <v>150</v>
      </c>
      <c r="F196" t="s">
        <v>2425</v>
      </c>
      <c r="G196" t="s">
        <v>154</v>
      </c>
      <c r="H196" t="s">
        <v>2427</v>
      </c>
      <c r="I196" t="s">
        <v>214</v>
      </c>
      <c r="J196" s="257" t="s">
        <v>194</v>
      </c>
      <c r="K196" s="64" t="s">
        <v>975</v>
      </c>
      <c r="L196" t="s">
        <v>975</v>
      </c>
      <c r="M196" s="257" t="s">
        <v>194</v>
      </c>
      <c r="N196" t="str">
        <f>RegionSelect!$B$2</f>
        <v>Amhara</v>
      </c>
      <c r="P196" s="195"/>
      <c r="Q196" s="195"/>
      <c r="R196" s="195"/>
      <c r="S196" s="195"/>
      <c r="T196" s="195"/>
      <c r="U196" s="195"/>
      <c r="V196" s="195"/>
      <c r="W196" s="195"/>
      <c r="X196" s="195"/>
      <c r="Y196" t="s">
        <v>975</v>
      </c>
      <c r="Z196" t="s">
        <v>2334</v>
      </c>
    </row>
    <row r="197" spans="1:27" x14ac:dyDescent="0.45">
      <c r="A197" s="66" t="s">
        <v>2337</v>
      </c>
      <c r="B197" s="66" t="s">
        <v>2378</v>
      </c>
      <c r="C197" s="66" t="s">
        <v>2396</v>
      </c>
      <c r="D197" s="66">
        <f t="shared" si="17"/>
        <v>151</v>
      </c>
      <c r="F197" t="s">
        <v>2426</v>
      </c>
      <c r="G197" t="s">
        <v>154</v>
      </c>
      <c r="H197" t="s">
        <v>2789</v>
      </c>
      <c r="I197" t="s">
        <v>214</v>
      </c>
      <c r="J197" s="257" t="s">
        <v>212</v>
      </c>
      <c r="K197" s="64" t="s">
        <v>975</v>
      </c>
      <c r="L197" t="s">
        <v>975</v>
      </c>
      <c r="M197" s="257" t="s">
        <v>194</v>
      </c>
      <c r="N197" t="str">
        <f>RegionSelect!$B$2</f>
        <v>Amhara</v>
      </c>
      <c r="O197"/>
      <c r="Q197" s="195"/>
      <c r="R197" s="195"/>
      <c r="S197"/>
      <c r="V197"/>
      <c r="Y197" t="s">
        <v>975</v>
      </c>
      <c r="Z197" t="s">
        <v>2607</v>
      </c>
    </row>
    <row r="198" spans="1:27" x14ac:dyDescent="0.45">
      <c r="A198" s="66" t="s">
        <v>2337</v>
      </c>
      <c r="B198" s="66" t="s">
        <v>2448</v>
      </c>
      <c r="D198" s="66">
        <v>152</v>
      </c>
      <c r="E198" s="64" t="str">
        <f>_xlfn.CONCAT("DPC.OutPt.",D198)</f>
        <v>DPC.OutPt.152</v>
      </c>
      <c r="F198" s="66" t="s">
        <v>2449</v>
      </c>
      <c r="G198" s="66" t="s">
        <v>154</v>
      </c>
      <c r="H198" s="66" t="s">
        <v>2789</v>
      </c>
      <c r="I198" s="66" t="s">
        <v>220</v>
      </c>
      <c r="J198" s="257" t="s">
        <v>201</v>
      </c>
      <c r="K198" s="64" t="s">
        <v>975</v>
      </c>
      <c r="L198" s="66" t="s">
        <v>194</v>
      </c>
      <c r="M198" s="257" t="s">
        <v>194</v>
      </c>
      <c r="N198" t="str">
        <f>RegionSelect!$B$2</f>
        <v>Amhara</v>
      </c>
      <c r="O198" s="146">
        <v>1</v>
      </c>
      <c r="P198" t="s">
        <v>2195</v>
      </c>
      <c r="Q198" s="195"/>
      <c r="R198" s="195"/>
      <c r="S198" s="89">
        <v>1</v>
      </c>
      <c r="T198">
        <v>1</v>
      </c>
      <c r="U198" s="5">
        <f>1/5</f>
        <v>0.2</v>
      </c>
      <c r="V198" s="6">
        <v>10</v>
      </c>
      <c r="Y198" t="s">
        <v>975</v>
      </c>
      <c r="Z198" t="s">
        <v>2779</v>
      </c>
    </row>
    <row r="199" spans="1:27" x14ac:dyDescent="0.45">
      <c r="A199" s="66" t="s">
        <v>2337</v>
      </c>
      <c r="D199" s="66">
        <v>153</v>
      </c>
      <c r="E199" s="318"/>
      <c r="F199" s="311" t="s">
        <v>2450</v>
      </c>
      <c r="N199" t="str">
        <f>RegionSelect!$B$2</f>
        <v>Amhara</v>
      </c>
    </row>
    <row r="200" spans="1:27" x14ac:dyDescent="0.45">
      <c r="A200" s="66" t="s">
        <v>2337</v>
      </c>
      <c r="D200" s="66">
        <v>154</v>
      </c>
      <c r="E200" s="318"/>
      <c r="F200" s="311" t="s">
        <v>2450</v>
      </c>
      <c r="N200" t="str">
        <f>RegionSelect!$B$2</f>
        <v>Amhara</v>
      </c>
    </row>
    <row r="201" spans="1:27" x14ac:dyDescent="0.45">
      <c r="A201" s="66" t="s">
        <v>2337</v>
      </c>
      <c r="D201" s="66">
        <v>155</v>
      </c>
      <c r="E201" s="318"/>
      <c r="F201" s="311" t="s">
        <v>2450</v>
      </c>
      <c r="N201" t="str">
        <f>RegionSelect!$B$2</f>
        <v>Amhara</v>
      </c>
    </row>
    <row r="202" spans="1:27" x14ac:dyDescent="0.45">
      <c r="A202" s="66" t="s">
        <v>2337</v>
      </c>
      <c r="B202" s="66" t="s">
        <v>528</v>
      </c>
      <c r="D202" s="66">
        <v>156</v>
      </c>
      <c r="E202" s="64" t="s">
        <v>2451</v>
      </c>
      <c r="F202" t="s">
        <v>2452</v>
      </c>
      <c r="G202" t="s">
        <v>193</v>
      </c>
      <c r="H202" s="66" t="s">
        <v>206</v>
      </c>
      <c r="I202" s="66" t="s">
        <v>194</v>
      </c>
      <c r="J202" s="257" t="s">
        <v>194</v>
      </c>
      <c r="K202" s="64" t="s">
        <v>975</v>
      </c>
      <c r="L202" t="s">
        <v>975</v>
      </c>
      <c r="M202" s="257" t="s">
        <v>975</v>
      </c>
      <c r="N202" t="str">
        <f>RegionSelect!$B$2</f>
        <v>Amhara</v>
      </c>
      <c r="P202" s="195"/>
      <c r="Q202" s="195"/>
      <c r="R202" s="195"/>
      <c r="S202" s="195"/>
      <c r="T202" s="195"/>
      <c r="U202" s="195"/>
      <c r="V202" s="195"/>
      <c r="W202" s="195"/>
      <c r="X202" s="195"/>
      <c r="Y202" t="s">
        <v>975</v>
      </c>
      <c r="Z202" t="s">
        <v>2366</v>
      </c>
    </row>
    <row r="203" spans="1:27" x14ac:dyDescent="0.45">
      <c r="A203" s="66" t="s">
        <v>2337</v>
      </c>
      <c r="B203" s="66" t="s">
        <v>528</v>
      </c>
      <c r="C203" s="66" t="s">
        <v>2453</v>
      </c>
      <c r="D203" s="66">
        <f>D202+1</f>
        <v>157</v>
      </c>
      <c r="E203" s="64" t="str">
        <f>_xlfn.CONCAT("DPC.NTD.",D203)</f>
        <v>DPC.NTD.157</v>
      </c>
      <c r="F203" t="s">
        <v>2458</v>
      </c>
      <c r="G203" s="66" t="s">
        <v>154</v>
      </c>
      <c r="H203" s="66" t="s">
        <v>2789</v>
      </c>
      <c r="I203" s="66" t="s">
        <v>528</v>
      </c>
      <c r="J203" s="257" t="s">
        <v>201</v>
      </c>
      <c r="K203" s="64" t="s">
        <v>975</v>
      </c>
      <c r="L203" s="66" t="s">
        <v>975</v>
      </c>
      <c r="M203" s="257" t="s">
        <v>975</v>
      </c>
      <c r="N203" t="str">
        <f>RegionSelect!$B$2</f>
        <v>Amhara</v>
      </c>
      <c r="O203" s="145">
        <f>IFERROR(VLOOKUP(_xlfn.CONCAT(AA203,RegionSelect!$C$2),RegionalData!$C:$S,13,FALSE),VLOOKUP(_xlfn.CONCAT(AA203,"ET"),RegionalData!$C:$S,13,FALSE))</f>
        <v>5.2961877439969256E-3</v>
      </c>
      <c r="P203" t="s">
        <v>2195</v>
      </c>
      <c r="S203" s="323">
        <v>0.98</v>
      </c>
      <c r="T203">
        <v>1</v>
      </c>
      <c r="V203" s="6">
        <v>5</v>
      </c>
      <c r="Y203" t="s">
        <v>975</v>
      </c>
      <c r="AA203" t="s">
        <v>3181</v>
      </c>
    </row>
    <row r="204" spans="1:27" x14ac:dyDescent="0.45">
      <c r="A204" s="66" t="s">
        <v>2337</v>
      </c>
      <c r="B204" s="66" t="s">
        <v>528</v>
      </c>
      <c r="C204" s="66" t="s">
        <v>2453</v>
      </c>
      <c r="D204" s="66">
        <f t="shared" ref="D204:D229" si="18">D203+1</f>
        <v>158</v>
      </c>
      <c r="E204" s="64" t="str">
        <f t="shared" ref="E204:E229" si="19">_xlfn.CONCAT("DPC.NTD.",D204)</f>
        <v>DPC.NTD.158</v>
      </c>
      <c r="F204" t="s">
        <v>2457</v>
      </c>
      <c r="G204" s="66" t="s">
        <v>154</v>
      </c>
      <c r="H204" s="66" t="s">
        <v>206</v>
      </c>
      <c r="I204" t="s">
        <v>528</v>
      </c>
      <c r="J204" s="257" t="s">
        <v>194</v>
      </c>
      <c r="K204" s="64" t="s">
        <v>194</v>
      </c>
      <c r="L204" t="s">
        <v>194</v>
      </c>
      <c r="M204" s="257" t="s">
        <v>194</v>
      </c>
      <c r="N204" t="str">
        <f>RegionSelect!$B$2</f>
        <v>Amhara</v>
      </c>
      <c r="Y204" t="s">
        <v>975</v>
      </c>
      <c r="Z204" t="s">
        <v>2333</v>
      </c>
    </row>
    <row r="205" spans="1:27" x14ac:dyDescent="0.45">
      <c r="A205" s="66" t="s">
        <v>2337</v>
      </c>
      <c r="B205" s="66" t="s">
        <v>528</v>
      </c>
      <c r="C205" s="66" t="s">
        <v>2453</v>
      </c>
      <c r="D205" s="66">
        <f t="shared" si="18"/>
        <v>159</v>
      </c>
      <c r="E205" s="64" t="str">
        <f t="shared" si="19"/>
        <v>DPC.NTD.159</v>
      </c>
      <c r="F205" s="66" t="s">
        <v>2460</v>
      </c>
      <c r="G205" s="66" t="s">
        <v>2248</v>
      </c>
      <c r="H205" s="66" t="s">
        <v>206</v>
      </c>
      <c r="I205" t="s">
        <v>528</v>
      </c>
      <c r="J205" s="257" t="s">
        <v>212</v>
      </c>
      <c r="K205" s="64" t="s">
        <v>975</v>
      </c>
      <c r="L205" t="s">
        <v>975</v>
      </c>
      <c r="M205" s="257" t="s">
        <v>975</v>
      </c>
      <c r="N205" t="str">
        <f>RegionSelect!$B$2</f>
        <v>Amhara</v>
      </c>
      <c r="O205" s="145">
        <f>IFERROR(VLOOKUP(_xlfn.CONCAT(AA205,RegionSelect!$C$2),RegionalData!$C:$S,13,FALSE),VLOOKUP(_xlfn.CONCAT(AA205,"ET"),RegionalData!$C:$S,13,FALSE))</f>
        <v>0.25</v>
      </c>
      <c r="P205" s="195" t="s">
        <v>2365</v>
      </c>
      <c r="Q205" s="320"/>
      <c r="R205" s="320"/>
      <c r="T205" s="195"/>
      <c r="U205" s="320">
        <v>1</v>
      </c>
      <c r="V205" s="320">
        <v>5</v>
      </c>
      <c r="W205" s="320"/>
      <c r="X205" s="320"/>
      <c r="Y205" t="s">
        <v>975</v>
      </c>
      <c r="Z205" s="311" t="s">
        <v>2364</v>
      </c>
      <c r="AA205" t="s">
        <v>3048</v>
      </c>
    </row>
    <row r="206" spans="1:27" x14ac:dyDescent="0.45">
      <c r="A206" s="66" t="s">
        <v>2337</v>
      </c>
      <c r="B206" s="66" t="s">
        <v>528</v>
      </c>
      <c r="C206" s="66" t="s">
        <v>2453</v>
      </c>
      <c r="D206" s="66">
        <f t="shared" si="18"/>
        <v>160</v>
      </c>
      <c r="E206" s="64" t="str">
        <f t="shared" si="19"/>
        <v>DPC.NTD.160</v>
      </c>
      <c r="F206" t="s">
        <v>2470</v>
      </c>
      <c r="G206" s="66" t="s">
        <v>2248</v>
      </c>
      <c r="H206" s="66" t="s">
        <v>206</v>
      </c>
      <c r="I206" t="s">
        <v>528</v>
      </c>
      <c r="J206" s="257" t="s">
        <v>194</v>
      </c>
      <c r="K206" s="64" t="s">
        <v>975</v>
      </c>
      <c r="L206" t="s">
        <v>975</v>
      </c>
      <c r="M206" s="257" t="s">
        <v>975</v>
      </c>
      <c r="N206" t="str">
        <f>RegionSelect!$B$2</f>
        <v>Amhara</v>
      </c>
      <c r="P206" s="195"/>
      <c r="Q206" s="195"/>
      <c r="R206" s="195"/>
      <c r="S206" s="195"/>
      <c r="T206" s="195"/>
      <c r="U206" s="195"/>
      <c r="V206" s="195"/>
      <c r="W206" s="319"/>
      <c r="X206" s="195"/>
      <c r="Y206" t="s">
        <v>975</v>
      </c>
      <c r="Z206" s="5" t="s">
        <v>2371</v>
      </c>
    </row>
    <row r="207" spans="1:27" x14ac:dyDescent="0.45">
      <c r="A207" s="66" t="s">
        <v>2337</v>
      </c>
      <c r="B207" s="66" t="s">
        <v>528</v>
      </c>
      <c r="C207" s="66" t="s">
        <v>406</v>
      </c>
      <c r="D207" s="66">
        <f t="shared" si="18"/>
        <v>161</v>
      </c>
      <c r="E207" s="64" t="str">
        <f t="shared" si="19"/>
        <v>DPC.NTD.161</v>
      </c>
      <c r="F207" s="66" t="s">
        <v>2459</v>
      </c>
      <c r="G207" s="66" t="s">
        <v>154</v>
      </c>
      <c r="H207" s="66" t="s">
        <v>206</v>
      </c>
      <c r="I207" t="s">
        <v>528</v>
      </c>
      <c r="J207" s="257" t="s">
        <v>194</v>
      </c>
      <c r="K207" s="64" t="s">
        <v>194</v>
      </c>
      <c r="L207" t="s">
        <v>194</v>
      </c>
      <c r="M207" s="257" t="s">
        <v>194</v>
      </c>
      <c r="N207" t="str">
        <f>RegionSelect!$B$2</f>
        <v>Amhara</v>
      </c>
      <c r="Y207" t="s">
        <v>975</v>
      </c>
      <c r="Z207" t="s">
        <v>2333</v>
      </c>
    </row>
    <row r="208" spans="1:27" x14ac:dyDescent="0.45">
      <c r="A208" s="66" t="s">
        <v>2337</v>
      </c>
      <c r="B208" s="66" t="s">
        <v>528</v>
      </c>
      <c r="C208" s="66" t="s">
        <v>406</v>
      </c>
      <c r="D208" s="66">
        <f t="shared" si="18"/>
        <v>162</v>
      </c>
      <c r="E208" s="64" t="str">
        <f t="shared" si="19"/>
        <v>DPC.NTD.162</v>
      </c>
      <c r="F208" s="66" t="s">
        <v>2469</v>
      </c>
      <c r="G208" s="66" t="s">
        <v>2248</v>
      </c>
      <c r="H208" s="66" t="s">
        <v>206</v>
      </c>
      <c r="I208" t="s">
        <v>528</v>
      </c>
      <c r="J208" s="257" t="s">
        <v>194</v>
      </c>
      <c r="K208" s="64" t="s">
        <v>975</v>
      </c>
      <c r="L208" t="s">
        <v>975</v>
      </c>
      <c r="M208" s="257" t="s">
        <v>975</v>
      </c>
      <c r="N208" t="str">
        <f>RegionSelect!$B$2</f>
        <v>Amhara</v>
      </c>
      <c r="P208" s="195"/>
      <c r="Q208" s="195"/>
      <c r="R208" s="195"/>
      <c r="S208" s="195"/>
      <c r="T208" s="195"/>
      <c r="U208" s="195"/>
      <c r="V208" s="195"/>
      <c r="W208" s="319"/>
      <c r="X208" s="195"/>
      <c r="Y208" t="s">
        <v>975</v>
      </c>
      <c r="Z208" s="5" t="s">
        <v>2371</v>
      </c>
    </row>
    <row r="209" spans="1:27" x14ac:dyDescent="0.45">
      <c r="A209" s="66" t="s">
        <v>2337</v>
      </c>
      <c r="B209" s="66" t="s">
        <v>528</v>
      </c>
      <c r="C209" s="66" t="s">
        <v>410</v>
      </c>
      <c r="D209" s="66">
        <f t="shared" si="18"/>
        <v>163</v>
      </c>
      <c r="E209" s="64" t="str">
        <f t="shared" si="19"/>
        <v>DPC.NTD.163</v>
      </c>
      <c r="F209" s="66" t="s">
        <v>2467</v>
      </c>
      <c r="G209" s="66" t="s">
        <v>2248</v>
      </c>
      <c r="H209" s="66" t="s">
        <v>206</v>
      </c>
      <c r="I209" t="s">
        <v>528</v>
      </c>
      <c r="J209" s="257" t="s">
        <v>194</v>
      </c>
      <c r="K209" s="64" t="s">
        <v>975</v>
      </c>
      <c r="L209" t="s">
        <v>975</v>
      </c>
      <c r="M209" s="257" t="s">
        <v>975</v>
      </c>
      <c r="N209" t="str">
        <f>RegionSelect!$B$2</f>
        <v>Amhara</v>
      </c>
      <c r="P209" s="195"/>
      <c r="Q209" s="195"/>
      <c r="R209" s="195"/>
      <c r="S209" s="195"/>
      <c r="T209" s="195"/>
      <c r="U209" s="195"/>
      <c r="V209" s="195"/>
      <c r="W209" s="319"/>
      <c r="X209" s="195"/>
      <c r="Y209" t="s">
        <v>975</v>
      </c>
      <c r="Z209" s="5" t="s">
        <v>2371</v>
      </c>
    </row>
    <row r="210" spans="1:27" x14ac:dyDescent="0.45">
      <c r="A210" s="66" t="s">
        <v>2337</v>
      </c>
      <c r="B210" s="66" t="s">
        <v>528</v>
      </c>
      <c r="C210" s="66" t="s">
        <v>410</v>
      </c>
      <c r="D210" s="66">
        <f t="shared" si="18"/>
        <v>164</v>
      </c>
      <c r="E210" s="64" t="str">
        <f t="shared" si="19"/>
        <v>DPC.NTD.164</v>
      </c>
      <c r="F210" s="66" t="s">
        <v>2461</v>
      </c>
      <c r="G210" s="66" t="s">
        <v>2248</v>
      </c>
      <c r="H210" s="66" t="s">
        <v>206</v>
      </c>
      <c r="I210" t="s">
        <v>528</v>
      </c>
      <c r="J210" s="257" t="s">
        <v>194</v>
      </c>
      <c r="K210" s="64" t="s">
        <v>975</v>
      </c>
      <c r="L210" t="s">
        <v>975</v>
      </c>
      <c r="M210" s="257" t="s">
        <v>975</v>
      </c>
      <c r="N210" t="str">
        <f>RegionSelect!$B$2</f>
        <v>Amhara</v>
      </c>
      <c r="P210" s="195"/>
      <c r="Q210" s="195"/>
      <c r="R210" s="195"/>
      <c r="S210" s="195"/>
      <c r="T210" s="195"/>
      <c r="U210" s="195"/>
      <c r="V210" s="195"/>
      <c r="W210" s="319"/>
      <c r="X210" s="195"/>
      <c r="Y210" t="s">
        <v>975</v>
      </c>
      <c r="Z210" s="5" t="s">
        <v>2371</v>
      </c>
    </row>
    <row r="211" spans="1:27" x14ac:dyDescent="0.45">
      <c r="A211" s="66" t="s">
        <v>2337</v>
      </c>
      <c r="B211" s="66" t="s">
        <v>528</v>
      </c>
      <c r="C211" s="66" t="s">
        <v>410</v>
      </c>
      <c r="D211" s="66">
        <f t="shared" si="18"/>
        <v>165</v>
      </c>
      <c r="E211" s="64" t="str">
        <f t="shared" si="19"/>
        <v>DPC.NTD.165</v>
      </c>
      <c r="F211" s="66" t="s">
        <v>2462</v>
      </c>
      <c r="G211" s="66" t="s">
        <v>154</v>
      </c>
      <c r="H211" s="66" t="s">
        <v>2789</v>
      </c>
      <c r="I211" t="s">
        <v>528</v>
      </c>
      <c r="J211" s="257" t="s">
        <v>2587</v>
      </c>
      <c r="K211" s="64" t="s">
        <v>975</v>
      </c>
      <c r="L211" t="s">
        <v>975</v>
      </c>
      <c r="M211" s="257" t="s">
        <v>194</v>
      </c>
      <c r="N211" s="52" t="str">
        <f>RegionSelect!$B$2</f>
        <v>Amhara</v>
      </c>
      <c r="O211" s="145">
        <f>IFERROR(VLOOKUP(_xlfn.CONCAT(AA211,RegionSelect!$C$2),RegionalData!$C:$S,13,FALSE),VLOOKUP(_xlfn.CONCAT(AA211,"ET"),RegionalData!$C:$S,13,FALSE))</f>
        <v>1.0375000000000001E-2</v>
      </c>
      <c r="P211" t="s">
        <v>2195</v>
      </c>
      <c r="Q211" s="195"/>
      <c r="R211" s="195"/>
      <c r="S211" s="323">
        <v>0.98</v>
      </c>
      <c r="T211">
        <v>1</v>
      </c>
      <c r="V211" s="6">
        <v>5</v>
      </c>
      <c r="Y211" t="s">
        <v>975</v>
      </c>
      <c r="AA211" t="s">
        <v>3185</v>
      </c>
    </row>
    <row r="212" spans="1:27" x14ac:dyDescent="0.45">
      <c r="A212" s="66" t="s">
        <v>2337</v>
      </c>
      <c r="B212" s="66" t="s">
        <v>528</v>
      </c>
      <c r="C212" s="66" t="s">
        <v>410</v>
      </c>
      <c r="D212" s="66">
        <f t="shared" si="18"/>
        <v>166</v>
      </c>
      <c r="E212" s="64" t="str">
        <f t="shared" si="19"/>
        <v>DPC.NTD.166</v>
      </c>
      <c r="F212" s="66" t="s">
        <v>2463</v>
      </c>
      <c r="G212" s="66" t="s">
        <v>154</v>
      </c>
      <c r="H212" s="66" t="s">
        <v>2789</v>
      </c>
      <c r="I212" t="s">
        <v>528</v>
      </c>
      <c r="J212" s="257" t="s">
        <v>201</v>
      </c>
      <c r="K212" s="64" t="s">
        <v>975</v>
      </c>
      <c r="L212" t="s">
        <v>194</v>
      </c>
      <c r="M212" s="257" t="s">
        <v>194</v>
      </c>
      <c r="N212" t="str">
        <f>RegionSelect!$B$2</f>
        <v>Amhara</v>
      </c>
      <c r="O212" s="336"/>
      <c r="P212" t="s">
        <v>2195</v>
      </c>
      <c r="Q212" s="195"/>
      <c r="R212" s="195"/>
      <c r="S212" s="288">
        <f>S211</f>
        <v>0.98</v>
      </c>
      <c r="T212">
        <v>1</v>
      </c>
      <c r="V212" s="315">
        <v>30</v>
      </c>
      <c r="Y212" t="s">
        <v>975</v>
      </c>
    </row>
    <row r="213" spans="1:27" x14ac:dyDescent="0.45">
      <c r="A213" s="66" t="s">
        <v>2337</v>
      </c>
      <c r="B213" s="66" t="s">
        <v>528</v>
      </c>
      <c r="C213" s="66" t="s">
        <v>410</v>
      </c>
      <c r="D213" s="66">
        <f t="shared" si="18"/>
        <v>167</v>
      </c>
      <c r="E213" s="64" t="str">
        <f t="shared" si="19"/>
        <v>DPC.NTD.167</v>
      </c>
      <c r="F213" s="66" t="s">
        <v>2464</v>
      </c>
      <c r="G213" s="66" t="s">
        <v>2248</v>
      </c>
      <c r="H213" s="66" t="s">
        <v>206</v>
      </c>
      <c r="I213" t="s">
        <v>528</v>
      </c>
      <c r="J213" s="257" t="s">
        <v>194</v>
      </c>
      <c r="K213" s="64" t="s">
        <v>194</v>
      </c>
      <c r="L213" t="s">
        <v>194</v>
      </c>
      <c r="M213" s="257" t="s">
        <v>194</v>
      </c>
      <c r="N213" t="str">
        <f>RegionSelect!$B$2</f>
        <v>Amhara</v>
      </c>
      <c r="Y213" t="s">
        <v>975</v>
      </c>
      <c r="Z213" t="s">
        <v>2333</v>
      </c>
    </row>
    <row r="214" spans="1:27" x14ac:dyDescent="0.45">
      <c r="A214" s="66" t="s">
        <v>2337</v>
      </c>
      <c r="B214" s="66" t="s">
        <v>528</v>
      </c>
      <c r="C214" s="66" t="s">
        <v>410</v>
      </c>
      <c r="D214" s="66">
        <f t="shared" si="18"/>
        <v>168</v>
      </c>
      <c r="E214" s="64" t="str">
        <f t="shared" si="19"/>
        <v>DPC.NTD.168</v>
      </c>
      <c r="F214" s="66" t="s">
        <v>2465</v>
      </c>
      <c r="G214" s="66" t="s">
        <v>2248</v>
      </c>
      <c r="H214" s="66" t="s">
        <v>206</v>
      </c>
      <c r="I214" t="s">
        <v>528</v>
      </c>
      <c r="J214" s="257" t="s">
        <v>194</v>
      </c>
      <c r="K214" s="64" t="s">
        <v>975</v>
      </c>
      <c r="L214" t="s">
        <v>975</v>
      </c>
      <c r="M214" s="257" t="s">
        <v>975</v>
      </c>
      <c r="N214" t="str">
        <f>RegionSelect!$B$2</f>
        <v>Amhara</v>
      </c>
      <c r="P214" s="195"/>
      <c r="Q214" s="195"/>
      <c r="R214" s="195"/>
      <c r="S214" s="195"/>
      <c r="T214" s="195"/>
      <c r="U214" s="195"/>
      <c r="V214" s="195"/>
      <c r="W214" s="195"/>
      <c r="X214" s="195"/>
      <c r="Y214" t="s">
        <v>975</v>
      </c>
      <c r="Z214" s="5" t="s">
        <v>2371</v>
      </c>
    </row>
    <row r="215" spans="1:27" x14ac:dyDescent="0.45">
      <c r="A215" s="66" t="s">
        <v>2337</v>
      </c>
      <c r="B215" s="66" t="s">
        <v>528</v>
      </c>
      <c r="C215" s="66" t="s">
        <v>2454</v>
      </c>
      <c r="D215" s="66">
        <f t="shared" si="18"/>
        <v>169</v>
      </c>
      <c r="E215" s="64" t="str">
        <f t="shared" si="19"/>
        <v>DPC.NTD.169</v>
      </c>
      <c r="F215" s="66" t="s">
        <v>2466</v>
      </c>
      <c r="G215" s="66" t="s">
        <v>2248</v>
      </c>
      <c r="H215" s="66" t="s">
        <v>206</v>
      </c>
      <c r="I215" t="s">
        <v>528</v>
      </c>
      <c r="J215" s="257" t="s">
        <v>194</v>
      </c>
      <c r="K215" s="64" t="s">
        <v>975</v>
      </c>
      <c r="L215" t="s">
        <v>975</v>
      </c>
      <c r="M215" s="257" t="s">
        <v>975</v>
      </c>
      <c r="N215" t="str">
        <f>RegionSelect!$B$2</f>
        <v>Amhara</v>
      </c>
      <c r="P215" s="195"/>
      <c r="Q215" s="195"/>
      <c r="R215" s="195"/>
      <c r="S215" s="195"/>
      <c r="T215" s="195"/>
      <c r="U215" s="195"/>
      <c r="V215" s="195"/>
      <c r="W215" s="195"/>
      <c r="X215" s="195"/>
      <c r="Y215" t="s">
        <v>975</v>
      </c>
      <c r="Z215" s="5" t="s">
        <v>2371</v>
      </c>
    </row>
    <row r="216" spans="1:27" x14ac:dyDescent="0.45">
      <c r="A216" s="66" t="s">
        <v>2337</v>
      </c>
      <c r="B216" s="66" t="s">
        <v>528</v>
      </c>
      <c r="C216" s="66" t="s">
        <v>2454</v>
      </c>
      <c r="D216" s="66">
        <f t="shared" si="18"/>
        <v>170</v>
      </c>
      <c r="E216" s="64" t="str">
        <f t="shared" si="19"/>
        <v>DPC.NTD.170</v>
      </c>
      <c r="F216" s="66" t="s">
        <v>2471</v>
      </c>
      <c r="G216" s="66" t="s">
        <v>2248</v>
      </c>
      <c r="H216" s="66" t="s">
        <v>206</v>
      </c>
      <c r="I216" t="s">
        <v>528</v>
      </c>
      <c r="J216" s="257" t="s">
        <v>194</v>
      </c>
      <c r="K216" s="64" t="s">
        <v>194</v>
      </c>
      <c r="L216" t="s">
        <v>194</v>
      </c>
      <c r="M216" s="257" t="s">
        <v>194</v>
      </c>
      <c r="N216" t="str">
        <f>RegionSelect!$B$2</f>
        <v>Amhara</v>
      </c>
      <c r="Y216" t="s">
        <v>975</v>
      </c>
      <c r="Z216" t="s">
        <v>2333</v>
      </c>
    </row>
    <row r="217" spans="1:27" x14ac:dyDescent="0.45">
      <c r="A217" s="66" t="s">
        <v>2337</v>
      </c>
      <c r="B217" s="66" t="s">
        <v>528</v>
      </c>
      <c r="C217" s="66" t="s">
        <v>2454</v>
      </c>
      <c r="D217" s="66">
        <f t="shared" si="18"/>
        <v>171</v>
      </c>
      <c r="E217" s="64" t="str">
        <f t="shared" si="19"/>
        <v>DPC.NTD.171</v>
      </c>
      <c r="F217" s="66" t="s">
        <v>2472</v>
      </c>
      <c r="G217" s="66" t="s">
        <v>2248</v>
      </c>
      <c r="H217" s="66" t="s">
        <v>206</v>
      </c>
      <c r="I217" t="s">
        <v>528</v>
      </c>
      <c r="J217" s="257" t="s">
        <v>212</v>
      </c>
      <c r="K217" s="64" t="s">
        <v>975</v>
      </c>
      <c r="L217" t="s">
        <v>975</v>
      </c>
      <c r="M217" s="257" t="s">
        <v>975</v>
      </c>
      <c r="N217" t="str">
        <f>RegionSelect!$B$2</f>
        <v>Amhara</v>
      </c>
      <c r="O217" s="145">
        <f>IFERROR(VLOOKUP(_xlfn.CONCAT(AA217,RegionSelect!$C$2),RegionalData!$C:$S,13,FALSE),VLOOKUP(_xlfn.CONCAT(AA217,"ET"),RegionalData!$C:$S,13,FALSE))</f>
        <v>0.25</v>
      </c>
      <c r="P217" s="195" t="s">
        <v>2365</v>
      </c>
      <c r="Q217" s="320"/>
      <c r="R217" s="89"/>
      <c r="T217" s="195"/>
      <c r="U217" s="320">
        <v>1</v>
      </c>
      <c r="V217" s="320">
        <v>5</v>
      </c>
      <c r="W217" s="320"/>
      <c r="X217" s="320"/>
      <c r="Y217" t="s">
        <v>975</v>
      </c>
      <c r="Z217" s="311" t="s">
        <v>2364</v>
      </c>
      <c r="AA217" t="s">
        <v>3048</v>
      </c>
    </row>
    <row r="218" spans="1:27" x14ac:dyDescent="0.45">
      <c r="A218" s="66" t="s">
        <v>2337</v>
      </c>
      <c r="B218" s="66" t="s">
        <v>528</v>
      </c>
      <c r="C218" s="66" t="s">
        <v>2455</v>
      </c>
      <c r="D218" s="66">
        <f t="shared" si="18"/>
        <v>172</v>
      </c>
      <c r="E218" s="64" t="str">
        <f t="shared" si="19"/>
        <v>DPC.NTD.172</v>
      </c>
      <c r="F218" s="66" t="s">
        <v>2473</v>
      </c>
      <c r="G218" s="66" t="s">
        <v>2248</v>
      </c>
      <c r="H218" s="66" t="s">
        <v>206</v>
      </c>
      <c r="I218" t="s">
        <v>528</v>
      </c>
      <c r="J218" s="257" t="s">
        <v>194</v>
      </c>
      <c r="K218" s="64" t="s">
        <v>975</v>
      </c>
      <c r="L218" t="s">
        <v>975</v>
      </c>
      <c r="M218" s="257" t="s">
        <v>975</v>
      </c>
      <c r="N218" t="str">
        <f>RegionSelect!$B$2</f>
        <v>Amhara</v>
      </c>
      <c r="P218" s="195"/>
      <c r="Q218" s="195"/>
      <c r="R218" s="195"/>
      <c r="S218" s="195"/>
      <c r="T218" s="195"/>
      <c r="U218" s="195"/>
      <c r="V218" s="195"/>
      <c r="W218" s="195"/>
      <c r="X218" s="195"/>
      <c r="Y218" t="s">
        <v>975</v>
      </c>
      <c r="Z218" s="5" t="s">
        <v>2371</v>
      </c>
    </row>
    <row r="219" spans="1:27" x14ac:dyDescent="0.45">
      <c r="A219" s="66" t="s">
        <v>2337</v>
      </c>
      <c r="B219" s="66" t="s">
        <v>528</v>
      </c>
      <c r="C219" s="66" t="s">
        <v>2455</v>
      </c>
      <c r="D219" s="66">
        <f t="shared" si="18"/>
        <v>173</v>
      </c>
      <c r="E219" s="64" t="str">
        <f t="shared" si="19"/>
        <v>DPC.NTD.173</v>
      </c>
      <c r="F219" s="66" t="s">
        <v>2474</v>
      </c>
      <c r="G219" s="66" t="s">
        <v>2248</v>
      </c>
      <c r="H219" s="66" t="s">
        <v>206</v>
      </c>
      <c r="I219" t="s">
        <v>528</v>
      </c>
      <c r="J219" s="257" t="s">
        <v>209</v>
      </c>
      <c r="K219" s="64" t="s">
        <v>194</v>
      </c>
      <c r="L219" t="s">
        <v>194</v>
      </c>
      <c r="M219" s="257" t="s">
        <v>194</v>
      </c>
      <c r="N219" t="str">
        <f>RegionSelect!$B$2</f>
        <v>Amhara</v>
      </c>
      <c r="Y219" t="s">
        <v>975</v>
      </c>
      <c r="Z219" t="s">
        <v>2333</v>
      </c>
    </row>
    <row r="220" spans="1:27" x14ac:dyDescent="0.45">
      <c r="A220" s="66" t="s">
        <v>2337</v>
      </c>
      <c r="B220" s="66" t="s">
        <v>528</v>
      </c>
      <c r="C220" s="66" t="s">
        <v>2455</v>
      </c>
      <c r="D220" s="66">
        <f t="shared" si="18"/>
        <v>174</v>
      </c>
      <c r="E220" s="64" t="str">
        <f t="shared" si="19"/>
        <v>DPC.NTD.174</v>
      </c>
      <c r="F220" s="66" t="s">
        <v>2475</v>
      </c>
      <c r="G220" s="66" t="s">
        <v>154</v>
      </c>
      <c r="H220" s="66" t="s">
        <v>2789</v>
      </c>
      <c r="I220" t="s">
        <v>528</v>
      </c>
      <c r="J220" s="257" t="s">
        <v>253</v>
      </c>
      <c r="K220" s="64" t="s">
        <v>975</v>
      </c>
      <c r="L220" t="s">
        <v>975</v>
      </c>
      <c r="M220" s="257" t="s">
        <v>194</v>
      </c>
      <c r="N220" t="str">
        <f>RegionSelect!$B$2</f>
        <v>Amhara</v>
      </c>
      <c r="O220" s="145">
        <f>IFERROR(VLOOKUP(_xlfn.CONCAT(AA220,RegionSelect!$C$2),RegionalData!$C:$S,13,FALSE),VLOOKUP(_xlfn.CONCAT(AA220,"ET"),RegionalData!$C:$S,13,FALSE))</f>
        <v>0.33399999999999996</v>
      </c>
      <c r="P220" t="s">
        <v>2195</v>
      </c>
      <c r="Q220" s="195"/>
      <c r="R220" s="195"/>
      <c r="S220" s="323">
        <v>0.98</v>
      </c>
      <c r="T220">
        <v>1</v>
      </c>
      <c r="V220" s="6">
        <v>5</v>
      </c>
      <c r="Y220" t="s">
        <v>975</v>
      </c>
      <c r="AA220" t="s">
        <v>3192</v>
      </c>
    </row>
    <row r="221" spans="1:27" x14ac:dyDescent="0.45">
      <c r="A221" s="66" t="s">
        <v>2337</v>
      </c>
      <c r="B221" s="66" t="s">
        <v>528</v>
      </c>
      <c r="C221" s="66" t="s">
        <v>2237</v>
      </c>
      <c r="D221" s="66">
        <f t="shared" si="18"/>
        <v>175</v>
      </c>
      <c r="E221" s="64" t="str">
        <f t="shared" si="19"/>
        <v>DPC.NTD.175</v>
      </c>
      <c r="F221" s="66" t="s">
        <v>2468</v>
      </c>
      <c r="G221" s="66" t="s">
        <v>2248</v>
      </c>
      <c r="H221" s="66" t="s">
        <v>206</v>
      </c>
      <c r="I221" t="s">
        <v>528</v>
      </c>
      <c r="J221" s="257" t="s">
        <v>194</v>
      </c>
      <c r="K221" s="64" t="s">
        <v>975</v>
      </c>
      <c r="L221" t="s">
        <v>975</v>
      </c>
      <c r="M221" s="257" t="s">
        <v>975</v>
      </c>
      <c r="N221" t="str">
        <f>RegionSelect!$B$2</f>
        <v>Amhara</v>
      </c>
      <c r="P221" s="195"/>
      <c r="Q221" s="195"/>
      <c r="R221" s="195"/>
      <c r="S221" s="195"/>
      <c r="T221" s="195"/>
      <c r="U221" s="195"/>
      <c r="V221" s="195"/>
      <c r="W221" s="195"/>
      <c r="X221" s="195"/>
      <c r="Y221" t="s">
        <v>975</v>
      </c>
      <c r="Z221" s="5" t="s">
        <v>2371</v>
      </c>
    </row>
    <row r="222" spans="1:27" x14ac:dyDescent="0.45">
      <c r="A222" s="66" t="s">
        <v>2337</v>
      </c>
      <c r="B222" s="66" t="s">
        <v>528</v>
      </c>
      <c r="C222" s="66" t="s">
        <v>2237</v>
      </c>
      <c r="D222" s="66">
        <f t="shared" si="18"/>
        <v>176</v>
      </c>
      <c r="E222" s="64" t="str">
        <f t="shared" si="19"/>
        <v>DPC.NTD.176</v>
      </c>
      <c r="F222" s="66" t="s">
        <v>2476</v>
      </c>
      <c r="G222" s="66" t="s">
        <v>2248</v>
      </c>
      <c r="H222" s="66" t="s">
        <v>206</v>
      </c>
      <c r="I222" t="s">
        <v>528</v>
      </c>
      <c r="J222" s="257" t="s">
        <v>194</v>
      </c>
      <c r="K222" s="64" t="s">
        <v>194</v>
      </c>
      <c r="L222" t="s">
        <v>194</v>
      </c>
      <c r="M222" s="257" t="s">
        <v>194</v>
      </c>
      <c r="N222" t="str">
        <f>RegionSelect!$B$2</f>
        <v>Amhara</v>
      </c>
      <c r="Y222" t="s">
        <v>975</v>
      </c>
      <c r="Z222" t="s">
        <v>2333</v>
      </c>
    </row>
    <row r="223" spans="1:27" x14ac:dyDescent="0.45">
      <c r="A223" s="66" t="s">
        <v>2337</v>
      </c>
      <c r="B223" s="66" t="s">
        <v>528</v>
      </c>
      <c r="C223" s="66" t="s">
        <v>2237</v>
      </c>
      <c r="D223" s="66">
        <f t="shared" si="18"/>
        <v>177</v>
      </c>
      <c r="E223" s="64" t="str">
        <f t="shared" si="19"/>
        <v>DPC.NTD.177</v>
      </c>
      <c r="F223" s="66" t="s">
        <v>2477</v>
      </c>
      <c r="G223" s="66" t="s">
        <v>154</v>
      </c>
      <c r="H223" s="66" t="s">
        <v>2789</v>
      </c>
      <c r="I223" t="s">
        <v>528</v>
      </c>
      <c r="J223" s="257" t="s">
        <v>201</v>
      </c>
      <c r="K223" s="64" t="s">
        <v>975</v>
      </c>
      <c r="L223" t="s">
        <v>975</v>
      </c>
      <c r="M223" s="257" t="s">
        <v>194</v>
      </c>
      <c r="N223" t="str">
        <f>RegionSelect!$B$2</f>
        <v>Amhara</v>
      </c>
      <c r="O223" s="145">
        <f>IFERROR(VLOOKUP(_xlfn.CONCAT(AA223,RegionSelect!$C$2),RegionalData!$C:$S,13,FALSE),VLOOKUP(_xlfn.CONCAT(AA223,"ET"),RegionalData!$C:$S,13,FALSE))</f>
        <v>9.6999999999999989E-2</v>
      </c>
      <c r="P223" t="s">
        <v>2195</v>
      </c>
      <c r="Q223" s="195"/>
      <c r="R223" s="195"/>
      <c r="S223" s="323">
        <v>0.98</v>
      </c>
      <c r="T223">
        <v>1</v>
      </c>
      <c r="V223" s="6">
        <v>5</v>
      </c>
      <c r="Y223" t="s">
        <v>975</v>
      </c>
      <c r="AA223" t="s">
        <v>2970</v>
      </c>
    </row>
    <row r="224" spans="1:27" x14ac:dyDescent="0.45">
      <c r="A224" s="66" t="s">
        <v>2337</v>
      </c>
      <c r="B224" s="66" t="s">
        <v>528</v>
      </c>
      <c r="C224" s="66" t="s">
        <v>2456</v>
      </c>
      <c r="D224" s="66">
        <f t="shared" si="18"/>
        <v>178</v>
      </c>
      <c r="E224" s="64" t="str">
        <f t="shared" si="19"/>
        <v>DPC.NTD.178</v>
      </c>
      <c r="F224" s="66" t="s">
        <v>2478</v>
      </c>
      <c r="G224" s="66" t="s">
        <v>2248</v>
      </c>
      <c r="H224" s="66" t="s">
        <v>206</v>
      </c>
      <c r="I224" t="s">
        <v>528</v>
      </c>
      <c r="J224" s="257" t="s">
        <v>194</v>
      </c>
      <c r="K224" s="64" t="s">
        <v>194</v>
      </c>
      <c r="L224" t="s">
        <v>194</v>
      </c>
      <c r="M224" s="257" t="s">
        <v>194</v>
      </c>
      <c r="N224" t="str">
        <f>RegionSelect!$B$2</f>
        <v>Amhara</v>
      </c>
      <c r="Y224" t="s">
        <v>975</v>
      </c>
      <c r="Z224" t="s">
        <v>2333</v>
      </c>
    </row>
    <row r="225" spans="1:27" x14ac:dyDescent="0.45">
      <c r="A225" s="66" t="s">
        <v>2337</v>
      </c>
      <c r="B225" s="66" t="s">
        <v>528</v>
      </c>
      <c r="C225" s="66" t="s">
        <v>2456</v>
      </c>
      <c r="D225" s="66">
        <f t="shared" si="18"/>
        <v>179</v>
      </c>
      <c r="E225" s="64" t="str">
        <f t="shared" si="19"/>
        <v>DPC.NTD.179</v>
      </c>
      <c r="F225" s="66" t="s">
        <v>2479</v>
      </c>
      <c r="G225" s="66" t="s">
        <v>154</v>
      </c>
      <c r="H225" s="66" t="s">
        <v>2789</v>
      </c>
      <c r="I225" t="s">
        <v>528</v>
      </c>
      <c r="J225" s="257" t="s">
        <v>212</v>
      </c>
      <c r="K225" s="64" t="s">
        <v>975</v>
      </c>
      <c r="L225" t="s">
        <v>975</v>
      </c>
      <c r="M225" s="257" t="s">
        <v>975</v>
      </c>
      <c r="N225" t="str">
        <f>RegionSelect!$B$2</f>
        <v>Amhara</v>
      </c>
      <c r="O225" s="320">
        <v>0</v>
      </c>
      <c r="P225" t="s">
        <v>2620</v>
      </c>
      <c r="Q225" s="195"/>
      <c r="R225" s="195"/>
      <c r="S225" s="323">
        <v>0.95</v>
      </c>
      <c r="T225">
        <v>1</v>
      </c>
      <c r="V225" s="6">
        <v>5</v>
      </c>
      <c r="Y225" t="s">
        <v>975</v>
      </c>
    </row>
    <row r="226" spans="1:27" x14ac:dyDescent="0.45">
      <c r="A226" s="66" t="s">
        <v>2337</v>
      </c>
      <c r="B226" s="66" t="s">
        <v>528</v>
      </c>
      <c r="C226" s="66" t="s">
        <v>2456</v>
      </c>
      <c r="D226" s="66">
        <f t="shared" si="18"/>
        <v>180</v>
      </c>
      <c r="E226" s="64" t="str">
        <f t="shared" si="19"/>
        <v>DPC.NTD.180</v>
      </c>
      <c r="F226" s="66" t="s">
        <v>2480</v>
      </c>
      <c r="G226" s="66" t="s">
        <v>2248</v>
      </c>
      <c r="H226" s="66" t="s">
        <v>206</v>
      </c>
      <c r="I226" t="s">
        <v>528</v>
      </c>
      <c r="J226" s="257" t="s">
        <v>194</v>
      </c>
      <c r="K226" s="64" t="s">
        <v>975</v>
      </c>
      <c r="L226" t="s">
        <v>975</v>
      </c>
      <c r="M226" s="257" t="s">
        <v>975</v>
      </c>
      <c r="N226" t="str">
        <f>RegionSelect!$B$2</f>
        <v>Amhara</v>
      </c>
      <c r="P226" s="195"/>
      <c r="Q226" s="195"/>
      <c r="R226" s="195"/>
      <c r="S226" s="195"/>
      <c r="T226" s="195"/>
      <c r="U226" s="195"/>
      <c r="V226" s="195"/>
      <c r="W226" s="195"/>
      <c r="X226" s="195"/>
      <c r="Y226" t="s">
        <v>975</v>
      </c>
      <c r="Z226" s="5" t="s">
        <v>2371</v>
      </c>
    </row>
    <row r="227" spans="1:27" x14ac:dyDescent="0.45">
      <c r="A227" s="66" t="s">
        <v>2337</v>
      </c>
      <c r="B227" s="66" t="s">
        <v>528</v>
      </c>
      <c r="C227" s="66" t="s">
        <v>2456</v>
      </c>
      <c r="D227" s="66">
        <f>D226+1</f>
        <v>181</v>
      </c>
      <c r="E227" s="64" t="str">
        <f t="shared" si="19"/>
        <v>DPC.NTD.181</v>
      </c>
      <c r="F227" s="66" t="s">
        <v>2481</v>
      </c>
      <c r="G227" t="s">
        <v>193</v>
      </c>
      <c r="H227" s="66" t="s">
        <v>206</v>
      </c>
      <c r="I227" t="s">
        <v>528</v>
      </c>
      <c r="J227" s="257" t="s">
        <v>194</v>
      </c>
      <c r="K227" s="64" t="s">
        <v>975</v>
      </c>
      <c r="L227" t="s">
        <v>975</v>
      </c>
      <c r="M227" s="257" t="s">
        <v>975</v>
      </c>
      <c r="N227" t="str">
        <f>RegionSelect!$B$2</f>
        <v>Amhara</v>
      </c>
      <c r="P227" s="195"/>
      <c r="Q227" s="195"/>
      <c r="R227" s="195"/>
      <c r="S227" s="195"/>
      <c r="T227" s="195"/>
      <c r="U227" s="195"/>
      <c r="V227" s="195"/>
      <c r="W227" s="195"/>
      <c r="X227" s="195"/>
      <c r="Y227" t="s">
        <v>975</v>
      </c>
      <c r="Z227" s="5" t="s">
        <v>2366</v>
      </c>
    </row>
    <row r="228" spans="1:27" x14ac:dyDescent="0.45">
      <c r="A228" s="66" t="s">
        <v>2337</v>
      </c>
      <c r="B228" s="66" t="s">
        <v>528</v>
      </c>
      <c r="C228" s="66" t="s">
        <v>2482</v>
      </c>
      <c r="D228" s="66">
        <f t="shared" si="18"/>
        <v>182</v>
      </c>
      <c r="E228" s="64" t="str">
        <f t="shared" si="19"/>
        <v>DPC.NTD.182</v>
      </c>
      <c r="F228" s="66" t="s">
        <v>2483</v>
      </c>
      <c r="G228" s="66" t="s">
        <v>2248</v>
      </c>
      <c r="H228" s="66" t="s">
        <v>206</v>
      </c>
      <c r="I228" t="s">
        <v>528</v>
      </c>
      <c r="J228" s="257" t="s">
        <v>194</v>
      </c>
      <c r="K228" s="64" t="s">
        <v>975</v>
      </c>
      <c r="L228" t="s">
        <v>975</v>
      </c>
      <c r="M228" s="257" t="s">
        <v>975</v>
      </c>
      <c r="N228" t="str">
        <f>RegionSelect!$B$2</f>
        <v>Amhara</v>
      </c>
      <c r="P228" s="195"/>
      <c r="Q228" s="195"/>
      <c r="R228" s="195"/>
      <c r="S228" s="195"/>
      <c r="T228" s="195"/>
      <c r="U228" s="195"/>
      <c r="V228" s="195"/>
      <c r="W228" s="195"/>
      <c r="X228" s="195"/>
      <c r="Y228" t="s">
        <v>975</v>
      </c>
      <c r="Z228" s="5" t="s">
        <v>2371</v>
      </c>
    </row>
    <row r="229" spans="1:27" x14ac:dyDescent="0.45">
      <c r="A229" s="66" t="s">
        <v>2337</v>
      </c>
      <c r="B229" s="66" t="s">
        <v>528</v>
      </c>
      <c r="C229" s="66" t="s">
        <v>2482</v>
      </c>
      <c r="D229" s="66">
        <f t="shared" si="18"/>
        <v>183</v>
      </c>
      <c r="E229" s="64" t="str">
        <f t="shared" si="19"/>
        <v>DPC.NTD.183</v>
      </c>
      <c r="F229" s="66" t="s">
        <v>2490</v>
      </c>
      <c r="G229" s="66" t="s">
        <v>154</v>
      </c>
      <c r="H229" s="66" t="s">
        <v>2789</v>
      </c>
      <c r="I229" t="s">
        <v>528</v>
      </c>
      <c r="J229" s="257" t="s">
        <v>212</v>
      </c>
      <c r="K229" s="64" t="s">
        <v>975</v>
      </c>
      <c r="L229" t="s">
        <v>975</v>
      </c>
      <c r="M229" s="257" t="s">
        <v>975</v>
      </c>
      <c r="N229" s="52" t="str">
        <f>RegionSelect!$B$2</f>
        <v>Amhara</v>
      </c>
      <c r="O229" s="145">
        <f>1/57/28</f>
        <v>6.2656641604010022E-4</v>
      </c>
      <c r="P229" t="s">
        <v>2619</v>
      </c>
      <c r="Q229" s="195"/>
      <c r="R229" s="195"/>
      <c r="S229" s="323">
        <v>0.98</v>
      </c>
      <c r="T229">
        <v>1</v>
      </c>
      <c r="V229" s="6">
        <v>5</v>
      </c>
      <c r="Y229" t="s">
        <v>975</v>
      </c>
      <c r="AA229" t="s">
        <v>3195</v>
      </c>
    </row>
    <row r="230" spans="1:27" x14ac:dyDescent="0.45">
      <c r="A230" s="66" t="s">
        <v>2484</v>
      </c>
      <c r="D230" s="66" t="s">
        <v>2486</v>
      </c>
      <c r="E230" s="64" t="s">
        <v>2625</v>
      </c>
      <c r="F230" s="66" t="s">
        <v>2485</v>
      </c>
      <c r="G230" s="66" t="s">
        <v>2248</v>
      </c>
      <c r="H230" t="s">
        <v>194</v>
      </c>
      <c r="I230" t="s">
        <v>194</v>
      </c>
      <c r="J230" s="257" t="s">
        <v>212</v>
      </c>
      <c r="K230" s="64" t="s">
        <v>975</v>
      </c>
      <c r="L230" t="s">
        <v>975</v>
      </c>
      <c r="M230" s="257" t="s">
        <v>194</v>
      </c>
      <c r="N230" t="str">
        <f>RegionSelect!$B$2</f>
        <v>Amhara</v>
      </c>
      <c r="W230" s="5">
        <v>15</v>
      </c>
      <c r="Z230" t="s">
        <v>2489</v>
      </c>
    </row>
    <row r="231" spans="1:27" x14ac:dyDescent="0.45">
      <c r="A231" s="66" t="s">
        <v>2487</v>
      </c>
      <c r="D231" s="66" t="s">
        <v>2488</v>
      </c>
      <c r="E231" s="64" t="s">
        <v>2626</v>
      </c>
      <c r="F231" s="66" t="s">
        <v>2485</v>
      </c>
      <c r="G231" t="s">
        <v>2248</v>
      </c>
      <c r="H231" t="s">
        <v>194</v>
      </c>
      <c r="I231" t="s">
        <v>194</v>
      </c>
      <c r="J231" s="257" t="s">
        <v>212</v>
      </c>
      <c r="K231" s="64" t="s">
        <v>975</v>
      </c>
      <c r="L231" t="s">
        <v>975</v>
      </c>
      <c r="M231" s="257" t="s">
        <v>194</v>
      </c>
      <c r="N231" t="str">
        <f>RegionSelect!$B$2</f>
        <v>Amhara</v>
      </c>
      <c r="W231" s="5">
        <v>15</v>
      </c>
    </row>
    <row r="232" spans="1:27" x14ac:dyDescent="0.45">
      <c r="A232" s="64"/>
      <c r="E232" s="64" t="s">
        <v>2810</v>
      </c>
      <c r="F232" t="s">
        <v>2810</v>
      </c>
      <c r="G232" s="66" t="s">
        <v>193</v>
      </c>
      <c r="H232" t="s">
        <v>194</v>
      </c>
      <c r="I232" t="s">
        <v>194</v>
      </c>
      <c r="J232" s="257" t="s">
        <v>212</v>
      </c>
      <c r="K232" s="64" t="s">
        <v>975</v>
      </c>
      <c r="L232" t="s">
        <v>975</v>
      </c>
      <c r="M232" s="257" t="s">
        <v>975</v>
      </c>
      <c r="N232" t="str">
        <f>RegionSelect!$B$2</f>
        <v>Amhara</v>
      </c>
      <c r="O232" s="58">
        <v>1</v>
      </c>
      <c r="P232" s="58" t="s">
        <v>2064</v>
      </c>
      <c r="Q232" s="139"/>
      <c r="R232" s="139"/>
      <c r="S232" s="130">
        <v>0.98</v>
      </c>
      <c r="T232" s="58">
        <v>1</v>
      </c>
      <c r="U232" s="58"/>
      <c r="V232" s="400">
        <f>'Work time'!AD53*60</f>
        <v>5.3832494807158753</v>
      </c>
    </row>
    <row r="233" spans="1:27" x14ac:dyDescent="0.45">
      <c r="A233" s="64"/>
      <c r="E233" s="64" t="s">
        <v>1952</v>
      </c>
      <c r="F233" t="s">
        <v>1952</v>
      </c>
      <c r="G233" s="66" t="s">
        <v>193</v>
      </c>
      <c r="H233" t="s">
        <v>194</v>
      </c>
      <c r="I233" t="s">
        <v>194</v>
      </c>
      <c r="J233" s="257" t="s">
        <v>212</v>
      </c>
      <c r="K233" s="64" t="s">
        <v>975</v>
      </c>
      <c r="L233" t="s">
        <v>975</v>
      </c>
      <c r="M233" s="257" t="s">
        <v>975</v>
      </c>
      <c r="N233" t="str">
        <f>RegionSelect!$B$2</f>
        <v>Amhara</v>
      </c>
      <c r="O233" s="58">
        <v>1</v>
      </c>
      <c r="P233" s="58" t="s">
        <v>2064</v>
      </c>
      <c r="Q233" s="139"/>
      <c r="R233" s="139"/>
      <c r="S233" s="58">
        <v>1</v>
      </c>
      <c r="T233" s="58">
        <v>1</v>
      </c>
      <c r="V233" s="90">
        <f>'Work time'!AD55*60</f>
        <v>4.5844447190612616</v>
      </c>
    </row>
    <row r="234" spans="1:27" x14ac:dyDescent="0.45">
      <c r="E234" s="66" t="s">
        <v>2770</v>
      </c>
      <c r="F234" s="66" t="s">
        <v>2770</v>
      </c>
      <c r="N234" t="str">
        <f>RegionSelect!$B$2</f>
        <v>Amhara</v>
      </c>
      <c r="X234">
        <v>1E-3</v>
      </c>
    </row>
    <row r="235" spans="1:27" x14ac:dyDescent="0.45">
      <c r="E235" s="64" t="s">
        <v>2793</v>
      </c>
      <c r="F235" t="s">
        <v>2795</v>
      </c>
      <c r="G235" t="s">
        <v>193</v>
      </c>
      <c r="H235" t="s">
        <v>194</v>
      </c>
      <c r="I235" t="s">
        <v>194</v>
      </c>
      <c r="J235" s="257" t="s">
        <v>212</v>
      </c>
      <c r="K235" s="64" t="s">
        <v>975</v>
      </c>
      <c r="L235" t="s">
        <v>975</v>
      </c>
      <c r="M235" s="257" t="s">
        <v>975</v>
      </c>
      <c r="N235" t="str">
        <f>RegionSelect!$B$2</f>
        <v>Amhara</v>
      </c>
      <c r="O235" s="195">
        <f>O232/2</f>
        <v>0.5</v>
      </c>
      <c r="P235" t="str">
        <f t="shared" ref="P235:Z235" si="20">IF(P232="","",P232)</f>
        <v>time per 10 people</v>
      </c>
      <c r="Q235" t="str">
        <f t="shared" si="20"/>
        <v/>
      </c>
      <c r="R235" t="str">
        <f t="shared" si="20"/>
        <v/>
      </c>
      <c r="S235">
        <f t="shared" si="20"/>
        <v>0.98</v>
      </c>
      <c r="T235">
        <f t="shared" si="20"/>
        <v>1</v>
      </c>
      <c r="U235" t="str">
        <f t="shared" si="20"/>
        <v/>
      </c>
      <c r="V235" s="60">
        <f t="shared" si="20"/>
        <v>5.3832494807158753</v>
      </c>
      <c r="W235" t="str">
        <f t="shared" si="20"/>
        <v/>
      </c>
      <c r="X235" t="str">
        <f t="shared" si="20"/>
        <v/>
      </c>
      <c r="Y235" t="str">
        <f t="shared" si="20"/>
        <v/>
      </c>
      <c r="Z235" t="str">
        <f t="shared" si="20"/>
        <v/>
      </c>
    </row>
    <row r="236" spans="1:27" x14ac:dyDescent="0.45">
      <c r="E236" s="64" t="s">
        <v>2794</v>
      </c>
      <c r="F236" t="s">
        <v>2796</v>
      </c>
      <c r="G236" t="s">
        <v>193</v>
      </c>
      <c r="H236" t="s">
        <v>194</v>
      </c>
      <c r="I236" t="s">
        <v>194</v>
      </c>
      <c r="J236" s="257" t="s">
        <v>212</v>
      </c>
      <c r="K236" s="64" t="s">
        <v>975</v>
      </c>
      <c r="L236" t="s">
        <v>975</v>
      </c>
      <c r="M236" s="257" t="s">
        <v>975</v>
      </c>
      <c r="N236" t="str">
        <f>RegionSelect!$B$2</f>
        <v>Amhara</v>
      </c>
      <c r="O236" s="195">
        <f>O232/2</f>
        <v>0.5</v>
      </c>
      <c r="P236" t="str">
        <f t="shared" ref="P236:Z236" si="21">IF(P232="","",P232)</f>
        <v>time per 10 people</v>
      </c>
      <c r="Q236" t="str">
        <f t="shared" si="21"/>
        <v/>
      </c>
      <c r="R236" t="str">
        <f t="shared" si="21"/>
        <v/>
      </c>
      <c r="S236">
        <f t="shared" si="21"/>
        <v>0.98</v>
      </c>
      <c r="T236">
        <f t="shared" si="21"/>
        <v>1</v>
      </c>
      <c r="U236" t="str">
        <f t="shared" si="21"/>
        <v/>
      </c>
      <c r="V236" s="60">
        <f t="shared" si="21"/>
        <v>5.3832494807158753</v>
      </c>
      <c r="W236" t="str">
        <f t="shared" si="21"/>
        <v/>
      </c>
      <c r="X236" t="str">
        <f t="shared" si="21"/>
        <v/>
      </c>
      <c r="Y236" t="str">
        <f t="shared" si="21"/>
        <v/>
      </c>
      <c r="Z236" t="str">
        <f t="shared" si="21"/>
        <v/>
      </c>
    </row>
    <row r="237" spans="1:27" x14ac:dyDescent="0.45">
      <c r="E237" s="64" t="s">
        <v>2811</v>
      </c>
      <c r="F237" t="s">
        <v>2817</v>
      </c>
      <c r="G237" t="s">
        <v>193</v>
      </c>
      <c r="H237" t="s">
        <v>194</v>
      </c>
      <c r="I237" t="s">
        <v>194</v>
      </c>
      <c r="J237" s="257" t="s">
        <v>194</v>
      </c>
      <c r="N237" t="str">
        <f>RegionSelect!$B$2</f>
        <v>Amhara</v>
      </c>
      <c r="W237" s="3">
        <f>'Work time'!AE61</f>
        <v>4.5120000000000005</v>
      </c>
    </row>
    <row r="238" spans="1:27" x14ac:dyDescent="0.45">
      <c r="E238" s="64" t="s">
        <v>2812</v>
      </c>
      <c r="F238" t="s">
        <v>2818</v>
      </c>
      <c r="G238" t="s">
        <v>193</v>
      </c>
      <c r="H238" t="s">
        <v>194</v>
      </c>
      <c r="I238" t="s">
        <v>194</v>
      </c>
      <c r="J238" s="257" t="s">
        <v>194</v>
      </c>
      <c r="N238" t="str">
        <f>RegionSelect!$B$2</f>
        <v>Amhara</v>
      </c>
      <c r="W238" s="3">
        <f>W237</f>
        <v>4.5120000000000005</v>
      </c>
    </row>
    <row r="239" spans="1:27" x14ac:dyDescent="0.45">
      <c r="E239" s="64" t="s">
        <v>2813</v>
      </c>
      <c r="F239" t="s">
        <v>2819</v>
      </c>
      <c r="G239" t="s">
        <v>193</v>
      </c>
      <c r="H239" t="s">
        <v>194</v>
      </c>
      <c r="I239" t="s">
        <v>194</v>
      </c>
      <c r="J239" s="257" t="s">
        <v>194</v>
      </c>
      <c r="N239" t="str">
        <f>RegionSelect!$B$2</f>
        <v>Amhara</v>
      </c>
      <c r="W239" s="3">
        <f t="shared" ref="W239:W242" si="22">W238</f>
        <v>4.5120000000000005</v>
      </c>
    </row>
    <row r="240" spans="1:27" x14ac:dyDescent="0.45">
      <c r="E240" s="64" t="s">
        <v>2814</v>
      </c>
      <c r="F240" t="s">
        <v>2820</v>
      </c>
      <c r="G240" t="s">
        <v>193</v>
      </c>
      <c r="H240" t="s">
        <v>194</v>
      </c>
      <c r="I240" t="s">
        <v>194</v>
      </c>
      <c r="J240" s="257" t="s">
        <v>194</v>
      </c>
      <c r="N240" t="str">
        <f>RegionSelect!$B$2</f>
        <v>Amhara</v>
      </c>
      <c r="W240" s="3">
        <f t="shared" si="22"/>
        <v>4.5120000000000005</v>
      </c>
    </row>
    <row r="241" spans="5:23" x14ac:dyDescent="0.45">
      <c r="E241" s="64" t="s">
        <v>2815</v>
      </c>
      <c r="F241" t="s">
        <v>2821</v>
      </c>
      <c r="G241" t="s">
        <v>193</v>
      </c>
      <c r="H241" t="s">
        <v>194</v>
      </c>
      <c r="I241" t="s">
        <v>194</v>
      </c>
      <c r="J241" s="257" t="s">
        <v>194</v>
      </c>
      <c r="N241" t="str">
        <f>RegionSelect!$B$2</f>
        <v>Amhara</v>
      </c>
      <c r="W241" s="3">
        <f t="shared" si="22"/>
        <v>4.5120000000000005</v>
      </c>
    </row>
    <row r="242" spans="5:23" x14ac:dyDescent="0.45">
      <c r="E242" s="64" t="s">
        <v>2816</v>
      </c>
      <c r="F242" t="s">
        <v>2822</v>
      </c>
      <c r="G242" t="s">
        <v>193</v>
      </c>
      <c r="H242" t="s">
        <v>194</v>
      </c>
      <c r="I242" t="s">
        <v>194</v>
      </c>
      <c r="J242" s="257" t="s">
        <v>194</v>
      </c>
      <c r="N242" t="str">
        <f>RegionSelect!$B$2</f>
        <v>Amhara</v>
      </c>
      <c r="W242" s="3">
        <f t="shared" si="22"/>
        <v>4.5120000000000005</v>
      </c>
    </row>
  </sheetData>
  <autoFilter ref="A1:AA242" xr:uid="{3F9F8961-463F-4540-AE96-5FF353928741}">
    <filterColumn colId="0" showButton="0"/>
    <filterColumn colId="1" showButton="0"/>
    <filterColumn colId="2" showButton="0"/>
  </autoFilter>
  <mergeCells count="1">
    <mergeCell ref="A1:D1"/>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1E3EE0E1-6392-4754-984C-80D83AFED092}">
          <x14:formula1>
            <xm:f>Lookup!$D$2:$D$15</xm:f>
          </x14:formula1>
          <xm:sqref>I173:I234 I2:I47 I243:I562 I76:I171</xm:sqref>
        </x14:dataValidation>
        <x14:dataValidation type="list" allowBlank="1" showInputMessage="1" showErrorMessage="1" xr:uid="{925A0EEB-9365-4265-BCAA-8FCF4189DF40}">
          <x14:formula1>
            <xm:f>Lookup!$B$2:$B$9</xm:f>
          </x14:formula1>
          <xm:sqref>H243:H463 H173:H234 H2:H171</xm:sqref>
        </x14:dataValidation>
        <x14:dataValidation type="list" allowBlank="1" showInputMessage="1" showErrorMessage="1" xr:uid="{C319048F-06A6-4121-9C15-D4FC96370093}">
          <x14:formula1>
            <xm:f>Lookup!$F$2:$F$45</xm:f>
          </x14:formula1>
          <xm:sqref>J173:J1048576 J2:J171</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8F232-4B2B-433B-B210-6D4DBFB7BA30}">
  <sheetPr>
    <tabColor theme="9"/>
  </sheetPr>
  <dimension ref="A1:S200"/>
  <sheetViews>
    <sheetView topLeftCell="F1" zoomScale="70" zoomScaleNormal="70" workbookViewId="0">
      <pane ySplit="1" topLeftCell="A94" activePane="bottomLeft" state="frozen"/>
      <selection activeCell="O195" sqref="O195"/>
      <selection pane="bottomLeft" activeCell="O194" sqref="O194"/>
    </sheetView>
  </sheetViews>
  <sheetFormatPr defaultRowHeight="14.25" x14ac:dyDescent="0.45"/>
  <cols>
    <col min="1" max="1" width="26.265625" style="66" bestFit="1" customWidth="1"/>
    <col min="2" max="2" width="24.53125" style="66" customWidth="1"/>
    <col min="3" max="3" width="17.265625" style="66" customWidth="1"/>
    <col min="4" max="4" width="5.46484375" style="66" bestFit="1" customWidth="1"/>
    <col min="5" max="5" width="15.19921875" style="64" customWidth="1"/>
    <col min="6" max="6" width="42" bestFit="1" customWidth="1"/>
    <col min="7" max="7" width="15.19921875" customWidth="1"/>
    <col min="8" max="8" width="15.46484375" bestFit="1" customWidth="1"/>
    <col min="9" max="9" width="15.19921875" customWidth="1"/>
    <col min="10" max="10" width="15.19921875" style="257" customWidth="1"/>
    <col min="11" max="11" width="15.19921875" customWidth="1"/>
    <col min="12" max="12" width="17.46484375" style="195" customWidth="1"/>
    <col min="13" max="13" width="15.19921875" customWidth="1"/>
    <col min="14" max="14" width="18.46484375" style="89" customWidth="1"/>
    <col min="15" max="15" width="19.19921875" customWidth="1"/>
    <col min="16" max="16" width="18.73046875" customWidth="1"/>
    <col min="17" max="17" width="15.19921875" style="6" customWidth="1"/>
    <col min="18" max="19" width="15.19921875" customWidth="1"/>
  </cols>
  <sheetData>
    <row r="1" spans="1:19" s="177" customFormat="1" ht="87.7" customHeight="1" x14ac:dyDescent="0.45">
      <c r="A1" s="299" t="s">
        <v>2776</v>
      </c>
      <c r="B1" s="299" t="s">
        <v>2777</v>
      </c>
      <c r="C1" s="299" t="s">
        <v>1012</v>
      </c>
      <c r="D1" s="299" t="s">
        <v>2778</v>
      </c>
      <c r="E1" s="301" t="s">
        <v>135</v>
      </c>
      <c r="F1" s="302" t="s">
        <v>136</v>
      </c>
      <c r="G1" s="302" t="s">
        <v>137</v>
      </c>
      <c r="H1" s="302" t="s">
        <v>138</v>
      </c>
      <c r="I1" s="302" t="s">
        <v>139</v>
      </c>
      <c r="J1" s="304" t="s">
        <v>140</v>
      </c>
      <c r="K1" s="299" t="s">
        <v>141</v>
      </c>
      <c r="L1" s="308" t="s">
        <v>142</v>
      </c>
      <c r="M1" s="300" t="s">
        <v>144</v>
      </c>
      <c r="N1" s="300" t="s">
        <v>146</v>
      </c>
      <c r="O1" s="299" t="s">
        <v>147</v>
      </c>
      <c r="P1" s="299" t="s">
        <v>148</v>
      </c>
      <c r="Q1" s="313" t="s">
        <v>149</v>
      </c>
      <c r="R1" s="299" t="s">
        <v>150</v>
      </c>
      <c r="S1" s="299" t="s">
        <v>151</v>
      </c>
    </row>
    <row r="2" spans="1:19" x14ac:dyDescent="0.45">
      <c r="A2" t="s">
        <v>2163</v>
      </c>
      <c r="B2" t="s">
        <v>2164</v>
      </c>
      <c r="C2" s="66" t="s">
        <v>153</v>
      </c>
      <c r="D2" s="324">
        <v>1</v>
      </c>
      <c r="E2" s="64" t="s">
        <v>2165</v>
      </c>
      <c r="F2" t="str">
        <f>VLOOKUP(E2,TaskValues_ref!E:F,2,FALSE)</f>
        <v>ANC visits</v>
      </c>
      <c r="G2" t="str">
        <f>VLOOKUP($E2,TaskValues_ref!$E:$Z,3,FALSE)</f>
        <v>Clinical</v>
      </c>
      <c r="H2" t="str">
        <f>VLOOKUP($E2,TaskValues_ref!$E:$Z,4,FALSE)</f>
        <v>Preventive</v>
      </c>
      <c r="I2" t="str">
        <f>VLOOKUP($E2,TaskValues_ref!$E:$Z,5,FALSE)</f>
        <v>Pregnancy</v>
      </c>
      <c r="J2" s="257" t="str">
        <f>VLOOKUP($E2,TaskValues_ref!$E:$Z,6,FALSE)</f>
        <v>births</v>
      </c>
      <c r="K2" t="str">
        <f>VLOOKUP($E2,TaskValues_ref!$E:$Z,10,FALSE)</f>
        <v>Amhara</v>
      </c>
      <c r="L2" s="195">
        <f>IF(VLOOKUP($E2,TaskValues_ref!$E:$Z,11,FALSE)=0,"",VLOOKUP($E2,TaskValues_ref!$E:$Z,11,FALSE))</f>
        <v>1</v>
      </c>
      <c r="M2" t="str">
        <f>IF(VLOOKUP($E2,TaskValues_ref!$E:$Z,13,FALSE)=0,"",VLOOKUP($E2,TaskValues_ref!$E:$Z,13,FALSE))</f>
        <v/>
      </c>
      <c r="N2" s="89">
        <f>IF(VLOOKUP($E2,TaskValues_ref!$E:$Z,15,FALSE)=0,"",VLOOKUP($E2,TaskValues_ref!$E:$Z,15,FALSE))</f>
        <v>1</v>
      </c>
      <c r="O2">
        <f>IF(VLOOKUP($E2,TaskValues_ref!$E:$Z,16,FALSE)=0,"",VLOOKUP($E2,TaskValues_ref!$E:$Z,16,FALSE))</f>
        <v>4</v>
      </c>
      <c r="P2" t="str">
        <f>IF(VLOOKUP($E2,TaskValues_ref!$E:$Z,17,FALSE)=0,"",VLOOKUP($E2,TaskValues_ref!$E:$Z,17,FALSE))</f>
        <v/>
      </c>
      <c r="Q2">
        <f>IF(VLOOKUP($E2,TaskValues_ref!$E:$Z,18,FALSE)=0,"",VLOOKUP($E2,TaskValues_ref!$E:$Z,18,FALSE))</f>
        <v>10</v>
      </c>
      <c r="R2" t="str">
        <f>IF(VLOOKUP($E2,TaskValues_ref!$E:$Z,19,FALSE)=0,"",VLOOKUP($E2,TaskValues_ref!$E:$Z,19,FALSE))</f>
        <v/>
      </c>
      <c r="S2" t="str">
        <f>IF(VLOOKUP($E2,TaskValues_ref!$E:$Z,20,FALSE)=0,"",VLOOKUP($E2,TaskValues_ref!$E:$Z,20,FALSE))</f>
        <v/>
      </c>
    </row>
    <row r="3" spans="1:19" x14ac:dyDescent="0.45">
      <c r="A3" t="s">
        <v>2163</v>
      </c>
      <c r="B3" t="s">
        <v>2164</v>
      </c>
      <c r="C3" s="66" t="s">
        <v>153</v>
      </c>
      <c r="D3" s="324">
        <v>2</v>
      </c>
      <c r="E3" s="64" t="s">
        <v>2198</v>
      </c>
      <c r="F3" t="str">
        <f>VLOOKUP(E3,TaskValues_ref!E:F,2,FALSE)</f>
        <v>ANC rapid testing</v>
      </c>
      <c r="G3" t="str">
        <f>VLOOKUP($E3,TaskValues_ref!$E:$Z,3,FALSE)</f>
        <v>Clinical</v>
      </c>
      <c r="H3" t="str">
        <f>VLOOKUP($E3,TaskValues_ref!$E:$Z,4,FALSE)</f>
        <v>Preventive</v>
      </c>
      <c r="I3" t="str">
        <f>VLOOKUP($E3,TaskValues_ref!$E:$Z,5,FALSE)</f>
        <v>Pregnancy</v>
      </c>
      <c r="J3" s="257" t="str">
        <f>VLOOKUP($E3,TaskValues_ref!$E:$Z,6,FALSE)</f>
        <v>births</v>
      </c>
      <c r="K3" t="str">
        <f>VLOOKUP($E3,TaskValues_ref!$E:$Z,10,FALSE)</f>
        <v>Amhara</v>
      </c>
      <c r="L3" s="195">
        <f>IF(VLOOKUP($E3,TaskValues_ref!$E:$Z,11,FALSE)=0,"",VLOOKUP($E3,TaskValues_ref!$E:$Z,11,FALSE))</f>
        <v>1</v>
      </c>
      <c r="M3" t="str">
        <f>IF(VLOOKUP($E3,TaskValues_ref!$E:$Z,13,FALSE)=0,"",VLOOKUP($E3,TaskValues_ref!$E:$Z,13,FALSE))</f>
        <v/>
      </c>
      <c r="N3" s="89">
        <f>IF(VLOOKUP($E3,TaskValues_ref!$E:$Z,15,FALSE)=0,"",VLOOKUP($E3,TaskValues_ref!$E:$Z,15,FALSE))</f>
        <v>1</v>
      </c>
      <c r="O3">
        <f>IF(VLOOKUP($E3,TaskValues_ref!$E:$Z,16,FALSE)=0,"",VLOOKUP($E3,TaskValues_ref!$E:$Z,16,FALSE))</f>
        <v>1</v>
      </c>
      <c r="P3" t="str">
        <f>IF(VLOOKUP($E3,TaskValues_ref!$E:$Z,17,FALSE)=0,"",VLOOKUP($E3,TaskValues_ref!$E:$Z,17,FALSE))</f>
        <v/>
      </c>
      <c r="Q3">
        <f>IF(VLOOKUP($E3,TaskValues_ref!$E:$Z,18,FALSE)=0,"",VLOOKUP($E3,TaskValues_ref!$E:$Z,18,FALSE))</f>
        <v>15</v>
      </c>
      <c r="R3" t="str">
        <f>IF(VLOOKUP($E3,TaskValues_ref!$E:$Z,19,FALSE)=0,"",VLOOKUP($E3,TaskValues_ref!$E:$Z,19,FALSE))</f>
        <v/>
      </c>
      <c r="S3" t="str">
        <f>IF(VLOOKUP($E3,TaskValues_ref!$E:$Z,20,FALSE)=0,"",VLOOKUP($E3,TaskValues_ref!$E:$Z,20,FALSE))</f>
        <v/>
      </c>
    </row>
    <row r="4" spans="1:19" x14ac:dyDescent="0.45">
      <c r="A4" t="s">
        <v>2163</v>
      </c>
      <c r="B4" t="s">
        <v>2164</v>
      </c>
      <c r="C4" s="66" t="s">
        <v>2174</v>
      </c>
      <c r="D4" s="324">
        <v>3</v>
      </c>
      <c r="E4" s="64" t="s">
        <v>2179</v>
      </c>
      <c r="F4" t="str">
        <f>VLOOKUP(E4,TaskValues_ref!E:F,2,FALSE)</f>
        <v>Normal labor management</v>
      </c>
      <c r="G4" t="str">
        <f>VLOOKUP($E4,TaskValues_ref!$E:$Z,3,FALSE)</f>
        <v>Clinical</v>
      </c>
      <c r="H4" t="str">
        <f>VLOOKUP($E4,TaskValues_ref!$E:$Z,4,FALSE)</f>
        <v>Acute</v>
      </c>
      <c r="I4" t="str">
        <f>VLOOKUP($E4,TaskValues_ref!$E:$Z,5,FALSE)</f>
        <v>Pregnancy</v>
      </c>
      <c r="J4" s="257" t="str">
        <f>VLOOKUP($E4,TaskValues_ref!$E:$Z,6,FALSE)</f>
        <v>births</v>
      </c>
      <c r="K4" t="str">
        <f>VLOOKUP($E4,TaskValues_ref!$E:$Z,10,FALSE)</f>
        <v>Amhara</v>
      </c>
      <c r="L4" s="195">
        <f>IF(VLOOKUP($E4,TaskValues_ref!$E:$Z,11,FALSE)=0,"",VLOOKUP($E4,TaskValues_ref!$E:$Z,11,FALSE))</f>
        <v>1</v>
      </c>
      <c r="M4" t="str">
        <f>IF(VLOOKUP($E4,TaskValues_ref!$E:$Z,13,FALSE)=0,"",VLOOKUP($E4,TaskValues_ref!$E:$Z,13,FALSE))</f>
        <v/>
      </c>
      <c r="N4" s="89">
        <f>IF(VLOOKUP($E4,TaskValues_ref!$E:$Z,15,FALSE)=0,"",VLOOKUP($E4,TaskValues_ref!$E:$Z,15,FALSE))</f>
        <v>1</v>
      </c>
      <c r="O4">
        <f>IF(VLOOKUP($E4,TaskValues_ref!$E:$Z,16,FALSE)=0,"",VLOOKUP($E4,TaskValues_ref!$E:$Z,16,FALSE))</f>
        <v>1</v>
      </c>
      <c r="P4" t="str">
        <f>IF(VLOOKUP($E4,TaskValues_ref!$E:$Z,17,FALSE)=0,"",VLOOKUP($E4,TaskValues_ref!$E:$Z,17,FALSE))</f>
        <v/>
      </c>
      <c r="Q4">
        <f>IF(VLOOKUP($E4,TaskValues_ref!$E:$Z,18,FALSE)=0,"",VLOOKUP($E4,TaskValues_ref!$E:$Z,18,FALSE))</f>
        <v>15</v>
      </c>
      <c r="R4" t="str">
        <f>IF(VLOOKUP($E4,TaskValues_ref!$E:$Z,19,FALSE)=0,"",VLOOKUP($E4,TaskValues_ref!$E:$Z,19,FALSE))</f>
        <v/>
      </c>
      <c r="S4" t="str">
        <f>IF(VLOOKUP($E4,TaskValues_ref!$E:$Z,20,FALSE)=0,"",VLOOKUP($E4,TaskValues_ref!$E:$Z,20,FALSE))</f>
        <v/>
      </c>
    </row>
    <row r="5" spans="1:19" x14ac:dyDescent="0.45">
      <c r="A5" t="s">
        <v>2163</v>
      </c>
      <c r="B5" t="s">
        <v>2164</v>
      </c>
      <c r="C5" s="66" t="s">
        <v>2174</v>
      </c>
      <c r="D5" s="324">
        <v>4</v>
      </c>
      <c r="E5" s="64" t="s">
        <v>2180</v>
      </c>
      <c r="F5" t="str">
        <f>VLOOKUP(E5,TaskValues_ref!E:F,2,FALSE)</f>
        <v>Active management 3rd stage</v>
      </c>
      <c r="G5" t="str">
        <f>VLOOKUP($E5,TaskValues_ref!$E:$Z,3,FALSE)</f>
        <v>Clinical</v>
      </c>
      <c r="H5" t="str">
        <f>VLOOKUP($E5,TaskValues_ref!$E:$Z,4,FALSE)</f>
        <v>Acute</v>
      </c>
      <c r="I5" t="str">
        <f>VLOOKUP($E5,TaskValues_ref!$E:$Z,5,FALSE)</f>
        <v>Pregnancy</v>
      </c>
      <c r="J5" s="257" t="str">
        <f>VLOOKUP($E5,TaskValues_ref!$E:$Z,6,FALSE)</f>
        <v>births</v>
      </c>
      <c r="K5" t="str">
        <f>VLOOKUP($E5,TaskValues_ref!$E:$Z,10,FALSE)</f>
        <v>Amhara</v>
      </c>
      <c r="L5" s="195">
        <f>IF(VLOOKUP($E5,TaskValues_ref!$E:$Z,11,FALSE)=0,"",VLOOKUP($E5,TaskValues_ref!$E:$Z,11,FALSE))</f>
        <v>1</v>
      </c>
      <c r="M5" t="str">
        <f>IF(VLOOKUP($E5,TaskValues_ref!$E:$Z,13,FALSE)=0,"",VLOOKUP($E5,TaskValues_ref!$E:$Z,13,FALSE))</f>
        <v/>
      </c>
      <c r="N5" s="89">
        <f>IF(VLOOKUP($E5,TaskValues_ref!$E:$Z,15,FALSE)=0,"",VLOOKUP($E5,TaskValues_ref!$E:$Z,15,FALSE))</f>
        <v>1</v>
      </c>
      <c r="O5">
        <f>IF(VLOOKUP($E5,TaskValues_ref!$E:$Z,16,FALSE)=0,"",VLOOKUP($E5,TaskValues_ref!$E:$Z,16,FALSE))</f>
        <v>1</v>
      </c>
      <c r="P5" t="str">
        <f>IF(VLOOKUP($E5,TaskValues_ref!$E:$Z,17,FALSE)=0,"",VLOOKUP($E5,TaskValues_ref!$E:$Z,17,FALSE))</f>
        <v/>
      </c>
      <c r="Q5">
        <f>IF(VLOOKUP($E5,TaskValues_ref!$E:$Z,18,FALSE)=0,"",VLOOKUP($E5,TaskValues_ref!$E:$Z,18,FALSE))</f>
        <v>60</v>
      </c>
      <c r="R5" t="str">
        <f>IF(VLOOKUP($E5,TaskValues_ref!$E:$Z,19,FALSE)=0,"",VLOOKUP($E5,TaskValues_ref!$E:$Z,19,FALSE))</f>
        <v/>
      </c>
      <c r="S5" t="str">
        <f>IF(VLOOKUP($E5,TaskValues_ref!$E:$Z,20,FALSE)=0,"",VLOOKUP($E5,TaskValues_ref!$E:$Z,20,FALSE))</f>
        <v/>
      </c>
    </row>
    <row r="6" spans="1:19" x14ac:dyDescent="0.45">
      <c r="A6" t="s">
        <v>2163</v>
      </c>
      <c r="B6" t="s">
        <v>2164</v>
      </c>
      <c r="C6" s="66" t="s">
        <v>2174</v>
      </c>
      <c r="D6" s="324">
        <v>5</v>
      </c>
      <c r="E6" s="64" t="s">
        <v>2181</v>
      </c>
      <c r="F6" t="str">
        <f>VLOOKUP(E6,TaskValues_ref!E:F,2,FALSE)</f>
        <v>Emergency OB</v>
      </c>
      <c r="G6" t="str">
        <f>VLOOKUP($E6,TaskValues_ref!$E:$Z,3,FALSE)</f>
        <v>Clinical</v>
      </c>
      <c r="H6" t="str">
        <f>VLOOKUP($E6,TaskValues_ref!$E:$Z,4,FALSE)</f>
        <v>Acute</v>
      </c>
      <c r="I6" t="str">
        <f>VLOOKUP($E6,TaskValues_ref!$E:$Z,5,FALSE)</f>
        <v>Pregnancy</v>
      </c>
      <c r="J6" s="257" t="str">
        <f>VLOOKUP($E6,TaskValues_ref!$E:$Z,6,FALSE)</f>
        <v>births</v>
      </c>
      <c r="K6" t="str">
        <f>VLOOKUP($E6,TaskValues_ref!$E:$Z,10,FALSE)</f>
        <v>Amhara</v>
      </c>
      <c r="L6" s="195">
        <f>IF(VLOOKUP($E6,TaskValues_ref!$E:$Z,11,FALSE)=0,"",VLOOKUP($E6,TaskValues_ref!$E:$Z,11,FALSE))</f>
        <v>0.24284697815821815</v>
      </c>
      <c r="M6" t="str">
        <f>IF(VLOOKUP($E6,TaskValues_ref!$E:$Z,13,FALSE)=0,"",VLOOKUP($E6,TaskValues_ref!$E:$Z,13,FALSE))</f>
        <v/>
      </c>
      <c r="N6" s="89">
        <f>IF(VLOOKUP($E6,TaskValues_ref!$E:$Z,15,FALSE)=0,"",VLOOKUP($E6,TaskValues_ref!$E:$Z,15,FALSE))</f>
        <v>1</v>
      </c>
      <c r="O6">
        <f>IF(VLOOKUP($E6,TaskValues_ref!$E:$Z,16,FALSE)=0,"",VLOOKUP($E6,TaskValues_ref!$E:$Z,16,FALSE))</f>
        <v>1</v>
      </c>
      <c r="P6" t="str">
        <f>IF(VLOOKUP($E6,TaskValues_ref!$E:$Z,17,FALSE)=0,"",VLOOKUP($E6,TaskValues_ref!$E:$Z,17,FALSE))</f>
        <v/>
      </c>
      <c r="Q6">
        <f>IF(VLOOKUP($E6,TaskValues_ref!$E:$Z,18,FALSE)=0,"",VLOOKUP($E6,TaskValues_ref!$E:$Z,18,FALSE))</f>
        <v>30</v>
      </c>
      <c r="R6" t="str">
        <f>IF(VLOOKUP($E6,TaskValues_ref!$E:$Z,19,FALSE)=0,"",VLOOKUP($E6,TaskValues_ref!$E:$Z,19,FALSE))</f>
        <v/>
      </c>
      <c r="S6" t="str">
        <f>IF(VLOOKUP($E6,TaskValues_ref!$E:$Z,20,FALSE)=0,"",VLOOKUP($E6,TaskValues_ref!$E:$Z,20,FALSE))</f>
        <v/>
      </c>
    </row>
    <row r="7" spans="1:19" x14ac:dyDescent="0.45">
      <c r="A7" t="s">
        <v>2163</v>
      </c>
      <c r="B7" t="s">
        <v>2164</v>
      </c>
      <c r="C7" s="66" t="s">
        <v>2174</v>
      </c>
      <c r="D7" s="324">
        <v>6</v>
      </c>
      <c r="E7" s="64" t="s">
        <v>2182</v>
      </c>
      <c r="F7" t="str">
        <f>VLOOKUP(E7,TaskValues_ref!E:F,2,FALSE)</f>
        <v>Pre-referral for complications</v>
      </c>
      <c r="G7" t="str">
        <f>VLOOKUP($E7,TaskValues_ref!$E:$Z,3,FALSE)</f>
        <v>Clinical</v>
      </c>
      <c r="H7" t="str">
        <f>VLOOKUP($E7,TaskValues_ref!$E:$Z,4,FALSE)</f>
        <v>Preventive</v>
      </c>
      <c r="I7" t="str">
        <f>VLOOKUP($E7,TaskValues_ref!$E:$Z,5,FALSE)</f>
        <v>Pregnancy</v>
      </c>
      <c r="J7" s="257" t="str">
        <f>VLOOKUP($E7,TaskValues_ref!$E:$Z,6,FALSE)</f>
        <v>births</v>
      </c>
      <c r="K7" t="str">
        <f>VLOOKUP($E7,TaskValues_ref!$E:$Z,10,FALSE)</f>
        <v>Amhara</v>
      </c>
      <c r="L7" s="195" t="str">
        <f>IF(VLOOKUP($E7,TaskValues_ref!$E:$Z,11,FALSE)=0,"",VLOOKUP($E7,TaskValues_ref!$E:$Z,11,FALSE))</f>
        <v/>
      </c>
      <c r="M7" t="str">
        <f>IF(VLOOKUP($E7,TaskValues_ref!$E:$Z,13,FALSE)=0,"",VLOOKUP($E7,TaskValues_ref!$E:$Z,13,FALSE))</f>
        <v/>
      </c>
      <c r="N7" s="89">
        <f>IF(VLOOKUP($E7,TaskValues_ref!$E:$Z,15,FALSE)=0,"",VLOOKUP($E7,TaskValues_ref!$E:$Z,15,FALSE))</f>
        <v>1</v>
      </c>
      <c r="O7">
        <f>IF(VLOOKUP($E7,TaskValues_ref!$E:$Z,16,FALSE)=0,"",VLOOKUP($E7,TaskValues_ref!$E:$Z,16,FALSE))</f>
        <v>1</v>
      </c>
      <c r="P7" t="str">
        <f>IF(VLOOKUP($E7,TaskValues_ref!$E:$Z,17,FALSE)=0,"",VLOOKUP($E7,TaskValues_ref!$E:$Z,17,FALSE))</f>
        <v/>
      </c>
      <c r="Q7" t="str">
        <f>IF(VLOOKUP($E7,TaskValues_ref!$E:$Z,18,FALSE)=0,"",VLOOKUP($E7,TaskValues_ref!$E:$Z,18,FALSE))</f>
        <v/>
      </c>
      <c r="R7" t="str">
        <f>IF(VLOOKUP($E7,TaskValues_ref!$E:$Z,19,FALSE)=0,"",VLOOKUP($E7,TaskValues_ref!$E:$Z,19,FALSE))</f>
        <v/>
      </c>
      <c r="S7" t="str">
        <f>IF(VLOOKUP($E7,TaskValues_ref!$E:$Z,20,FALSE)=0,"",VLOOKUP($E7,TaskValues_ref!$E:$Z,20,FALSE))</f>
        <v/>
      </c>
    </row>
    <row r="8" spans="1:19" x14ac:dyDescent="0.45">
      <c r="A8" t="s">
        <v>2163</v>
      </c>
      <c r="B8" t="s">
        <v>2164</v>
      </c>
      <c r="C8" s="66" t="s">
        <v>2185</v>
      </c>
      <c r="D8" s="324">
        <v>7</v>
      </c>
      <c r="E8" s="64" t="s">
        <v>2191</v>
      </c>
      <c r="F8" t="str">
        <f>VLOOKUP(E8,TaskValues_ref!E:F,2,FALSE)</f>
        <v>PNC home visits</v>
      </c>
      <c r="G8" t="str">
        <f>VLOOKUP($E8,TaskValues_ref!$E:$Z,3,FALSE)</f>
        <v>Clinical</v>
      </c>
      <c r="H8" t="str">
        <f>VLOOKUP($E8,TaskValues_ref!$E:$Z,4,FALSE)</f>
        <v>Preventive</v>
      </c>
      <c r="I8" t="str">
        <f>VLOOKUP($E8,TaskValues_ref!$E:$Z,5,FALSE)</f>
        <v>Pregnancy</v>
      </c>
      <c r="J8" s="257" t="str">
        <f>VLOOKUP($E8,TaskValues_ref!$E:$Z,6,FALSE)</f>
        <v>births</v>
      </c>
      <c r="K8" t="str">
        <f>VLOOKUP($E8,TaskValues_ref!$E:$Z,10,FALSE)</f>
        <v>Amhara</v>
      </c>
      <c r="L8" s="195">
        <f>IF(VLOOKUP($E8,TaskValues_ref!$E:$Z,11,FALSE)=0,"",VLOOKUP($E8,TaskValues_ref!$E:$Z,11,FALSE))</f>
        <v>1</v>
      </c>
      <c r="M8" t="str">
        <f>IF(VLOOKUP($E8,TaskValues_ref!$E:$Z,13,FALSE)=0,"",VLOOKUP($E8,TaskValues_ref!$E:$Z,13,FALSE))</f>
        <v/>
      </c>
      <c r="N8" s="89">
        <f>IF(VLOOKUP($E8,TaskValues_ref!$E:$Z,15,FALSE)=0,"",VLOOKUP($E8,TaskValues_ref!$E:$Z,15,FALSE))</f>
        <v>1</v>
      </c>
      <c r="O8">
        <f>IF(VLOOKUP($E8,TaskValues_ref!$E:$Z,16,FALSE)=0,"",VLOOKUP($E8,TaskValues_ref!$E:$Z,16,FALSE))</f>
        <v>2</v>
      </c>
      <c r="P8" t="str">
        <f>IF(VLOOKUP($E8,TaskValues_ref!$E:$Z,17,FALSE)=0,"",VLOOKUP($E8,TaskValues_ref!$E:$Z,17,FALSE))</f>
        <v/>
      </c>
      <c r="Q8">
        <f>IF(VLOOKUP($E8,TaskValues_ref!$E:$Z,18,FALSE)=0,"",VLOOKUP($E8,TaskValues_ref!$E:$Z,18,FALSE))</f>
        <v>60</v>
      </c>
      <c r="R8" t="str">
        <f>IF(VLOOKUP($E8,TaskValues_ref!$E:$Z,19,FALSE)=0,"",VLOOKUP($E8,TaskValues_ref!$E:$Z,19,FALSE))</f>
        <v/>
      </c>
      <c r="S8" t="str">
        <f>IF(VLOOKUP($E8,TaskValues_ref!$E:$Z,20,FALSE)=0,"",VLOOKUP($E8,TaskValues_ref!$E:$Z,20,FALSE))</f>
        <v/>
      </c>
    </row>
    <row r="9" spans="1:19" x14ac:dyDescent="0.45">
      <c r="A9" t="s">
        <v>2163</v>
      </c>
      <c r="B9" t="s">
        <v>2164</v>
      </c>
      <c r="C9" s="66" t="s">
        <v>2185</v>
      </c>
      <c r="D9" s="324">
        <v>8</v>
      </c>
      <c r="E9" s="64" t="s">
        <v>2192</v>
      </c>
      <c r="F9" t="str">
        <f>VLOOKUP(E9,TaskValues_ref!E:F,2,FALSE)</f>
        <v>Maternal sepsis</v>
      </c>
      <c r="G9" t="str">
        <f>VLOOKUP($E9,TaskValues_ref!$E:$Z,3,FALSE)</f>
        <v>Clinical</v>
      </c>
      <c r="H9" t="str">
        <f>VLOOKUP($E9,TaskValues_ref!$E:$Z,4,FALSE)</f>
        <v>Acute</v>
      </c>
      <c r="I9" t="str">
        <f>VLOOKUP($E9,TaskValues_ref!$E:$Z,5,FALSE)</f>
        <v>Pregnancy</v>
      </c>
      <c r="J9" s="257" t="str">
        <f>VLOOKUP($E9,TaskValues_ref!$E:$Z,6,FALSE)</f>
        <v>births</v>
      </c>
      <c r="K9" t="str">
        <f>VLOOKUP($E9,TaskValues_ref!$E:$Z,10,FALSE)</f>
        <v>Amhara</v>
      </c>
      <c r="L9" s="195">
        <f>IF(VLOOKUP($E9,TaskValues_ref!$E:$Z,11,FALSE)=0,"",VLOOKUP($E9,TaskValues_ref!$E:$Z,11,FALSE))</f>
        <v>0.18539999999999998</v>
      </c>
      <c r="M9" t="str">
        <f>IF(VLOOKUP($E9,TaskValues_ref!$E:$Z,13,FALSE)=0,"",VLOOKUP($E9,TaskValues_ref!$E:$Z,13,FALSE))</f>
        <v/>
      </c>
      <c r="N9" s="89">
        <f>IF(VLOOKUP($E9,TaskValues_ref!$E:$Z,15,FALSE)=0,"",VLOOKUP($E9,TaskValues_ref!$E:$Z,15,FALSE))</f>
        <v>1</v>
      </c>
      <c r="O9">
        <f>IF(VLOOKUP($E9,TaskValues_ref!$E:$Z,16,FALSE)=0,"",VLOOKUP($E9,TaskValues_ref!$E:$Z,16,FALSE))</f>
        <v>1</v>
      </c>
      <c r="P9" t="str">
        <f>IF(VLOOKUP($E9,TaskValues_ref!$E:$Z,17,FALSE)=0,"",VLOOKUP($E9,TaskValues_ref!$E:$Z,17,FALSE))</f>
        <v/>
      </c>
      <c r="Q9">
        <f>IF(VLOOKUP($E9,TaskValues_ref!$E:$Z,18,FALSE)=0,"",VLOOKUP($E9,TaskValues_ref!$E:$Z,18,FALSE))</f>
        <v>420</v>
      </c>
      <c r="R9" t="str">
        <f>IF(VLOOKUP($E9,TaskValues_ref!$E:$Z,19,FALSE)=0,"",VLOOKUP($E9,TaskValues_ref!$E:$Z,19,FALSE))</f>
        <v/>
      </c>
      <c r="S9" t="str">
        <f>IF(VLOOKUP($E9,TaskValues_ref!$E:$Z,20,FALSE)=0,"",VLOOKUP($E9,TaskValues_ref!$E:$Z,20,FALSE))</f>
        <v/>
      </c>
    </row>
    <row r="10" spans="1:19" x14ac:dyDescent="0.45">
      <c r="A10" t="s">
        <v>2163</v>
      </c>
      <c r="B10" t="s">
        <v>2164</v>
      </c>
      <c r="C10" s="66" t="s">
        <v>2185</v>
      </c>
      <c r="D10" s="324">
        <v>9</v>
      </c>
      <c r="E10" s="64" t="s">
        <v>2193</v>
      </c>
      <c r="F10" t="str">
        <f>VLOOKUP(E10,TaskValues_ref!E:F,2,FALSE)</f>
        <v>Mastitis</v>
      </c>
      <c r="G10" t="str">
        <f>VLOOKUP($E10,TaskValues_ref!$E:$Z,3,FALSE)</f>
        <v>Clinical</v>
      </c>
      <c r="H10" t="str">
        <f>VLOOKUP($E10,TaskValues_ref!$E:$Z,4,FALSE)</f>
        <v>Acute</v>
      </c>
      <c r="I10" t="str">
        <f>VLOOKUP($E10,TaskValues_ref!$E:$Z,5,FALSE)</f>
        <v>Pregnancy</v>
      </c>
      <c r="J10" s="257" t="str">
        <f>VLOOKUP($E10,TaskValues_ref!$E:$Z,6,FALSE)</f>
        <v>births</v>
      </c>
      <c r="K10" t="str">
        <f>VLOOKUP($E10,TaskValues_ref!$E:$Z,10,FALSE)</f>
        <v>Amhara</v>
      </c>
      <c r="L10" s="195">
        <f>IF(VLOOKUP($E10,TaskValues_ref!$E:$Z,11,FALSE)=0,"",VLOOKUP($E10,TaskValues_ref!$E:$Z,11,FALSE))</f>
        <v>9.5000000000000001E-2</v>
      </c>
      <c r="M10" t="str">
        <f>IF(VLOOKUP($E10,TaskValues_ref!$E:$Z,13,FALSE)=0,"",VLOOKUP($E10,TaskValues_ref!$E:$Z,13,FALSE))</f>
        <v/>
      </c>
      <c r="N10" s="89">
        <f>IF(VLOOKUP($E10,TaskValues_ref!$E:$Z,15,FALSE)=0,"",VLOOKUP($E10,TaskValues_ref!$E:$Z,15,FALSE))</f>
        <v>1</v>
      </c>
      <c r="O10">
        <f>IF(VLOOKUP($E10,TaskValues_ref!$E:$Z,16,FALSE)=0,"",VLOOKUP($E10,TaskValues_ref!$E:$Z,16,FALSE))</f>
        <v>3</v>
      </c>
      <c r="P10" t="str">
        <f>IF(VLOOKUP($E10,TaskValues_ref!$E:$Z,17,FALSE)=0,"",VLOOKUP($E10,TaskValues_ref!$E:$Z,17,FALSE))</f>
        <v/>
      </c>
      <c r="Q10">
        <f>IF(VLOOKUP($E10,TaskValues_ref!$E:$Z,18,FALSE)=0,"",VLOOKUP($E10,TaskValues_ref!$E:$Z,18,FALSE))</f>
        <v>10</v>
      </c>
      <c r="R10" t="str">
        <f>IF(VLOOKUP($E10,TaskValues_ref!$E:$Z,19,FALSE)=0,"",VLOOKUP($E10,TaskValues_ref!$E:$Z,19,FALSE))</f>
        <v/>
      </c>
      <c r="S10" t="str">
        <f>IF(VLOOKUP($E10,TaskValues_ref!$E:$Z,20,FALSE)=0,"",VLOOKUP($E10,TaskValues_ref!$E:$Z,20,FALSE))</f>
        <v/>
      </c>
    </row>
    <row r="11" spans="1:19" x14ac:dyDescent="0.45">
      <c r="A11" t="s">
        <v>2163</v>
      </c>
      <c r="B11" t="s">
        <v>2164</v>
      </c>
      <c r="C11" s="66" t="s">
        <v>2185</v>
      </c>
      <c r="D11" s="324">
        <v>10</v>
      </c>
      <c r="E11" s="64" t="s">
        <v>2194</v>
      </c>
      <c r="F11" t="str">
        <f>VLOOKUP(E11,TaskValues_ref!E:F,2,FALSE)</f>
        <v>Postpartum haemorrhage</v>
      </c>
      <c r="G11" t="str">
        <f>VLOOKUP($E11,TaskValues_ref!$E:$Z,3,FALSE)</f>
        <v>Clinical</v>
      </c>
      <c r="H11" t="str">
        <f>VLOOKUP($E11,TaskValues_ref!$E:$Z,4,FALSE)</f>
        <v>Acute</v>
      </c>
      <c r="I11" t="str">
        <f>VLOOKUP($E11,TaskValues_ref!$E:$Z,5,FALSE)</f>
        <v>Pregnancy</v>
      </c>
      <c r="J11" s="257" t="str">
        <f>VLOOKUP($E11,TaskValues_ref!$E:$Z,6,FALSE)</f>
        <v>births</v>
      </c>
      <c r="K11" t="str">
        <f>VLOOKUP($E11,TaskValues_ref!$E:$Z,10,FALSE)</f>
        <v>Amhara</v>
      </c>
      <c r="L11" s="195">
        <f>IF(VLOOKUP($E11,TaskValues_ref!$E:$Z,11,FALSE)=0,"",VLOOKUP($E11,TaskValues_ref!$E:$Z,11,FALSE))</f>
        <v>0.1066</v>
      </c>
      <c r="M11" t="str">
        <f>IF(VLOOKUP($E11,TaskValues_ref!$E:$Z,13,FALSE)=0,"",VLOOKUP($E11,TaskValues_ref!$E:$Z,13,FALSE))</f>
        <v/>
      </c>
      <c r="N11" s="89">
        <f>IF(VLOOKUP($E11,TaskValues_ref!$E:$Z,15,FALSE)=0,"",VLOOKUP($E11,TaskValues_ref!$E:$Z,15,FALSE))</f>
        <v>1</v>
      </c>
      <c r="O11">
        <f>IF(VLOOKUP($E11,TaskValues_ref!$E:$Z,16,FALSE)=0,"",VLOOKUP($E11,TaskValues_ref!$E:$Z,16,FALSE))</f>
        <v>3</v>
      </c>
      <c r="P11" t="str">
        <f>IF(VLOOKUP($E11,TaskValues_ref!$E:$Z,17,FALSE)=0,"",VLOOKUP($E11,TaskValues_ref!$E:$Z,17,FALSE))</f>
        <v/>
      </c>
      <c r="Q11">
        <f>IF(VLOOKUP($E11,TaskValues_ref!$E:$Z,18,FALSE)=0,"",VLOOKUP($E11,TaskValues_ref!$E:$Z,18,FALSE))</f>
        <v>60</v>
      </c>
      <c r="R11" t="str">
        <f>IF(VLOOKUP($E11,TaskValues_ref!$E:$Z,19,FALSE)=0,"",VLOOKUP($E11,TaskValues_ref!$E:$Z,19,FALSE))</f>
        <v/>
      </c>
      <c r="S11" t="str">
        <f>IF(VLOOKUP($E11,TaskValues_ref!$E:$Z,20,FALSE)=0,"",VLOOKUP($E11,TaskValues_ref!$E:$Z,20,FALSE))</f>
        <v/>
      </c>
    </row>
    <row r="12" spans="1:19" x14ac:dyDescent="0.45">
      <c r="A12" t="s">
        <v>2163</v>
      </c>
      <c r="B12" t="s">
        <v>2164</v>
      </c>
      <c r="C12" s="66" t="s">
        <v>2185</v>
      </c>
      <c r="D12" s="324">
        <v>11</v>
      </c>
      <c r="E12" s="64" t="s">
        <v>2202</v>
      </c>
      <c r="F12" t="str">
        <f>VLOOKUP(E12,TaskValues_ref!E:F,2,FALSE)</f>
        <v>Pre-referral PPH</v>
      </c>
      <c r="G12" t="str">
        <f>VLOOKUP($E12,TaskValues_ref!$E:$Z,3,FALSE)</f>
        <v>Clinical</v>
      </c>
      <c r="H12" t="str">
        <f>VLOOKUP($E12,TaskValues_ref!$E:$Z,4,FALSE)</f>
        <v>Preventive</v>
      </c>
      <c r="I12" t="str">
        <f>VLOOKUP($E12,TaskValues_ref!$E:$Z,5,FALSE)</f>
        <v>Pregnancy</v>
      </c>
      <c r="J12" s="257" t="str">
        <f>VLOOKUP($E12,TaskValues_ref!$E:$Z,6,FALSE)</f>
        <v>births</v>
      </c>
      <c r="K12" t="str">
        <f>VLOOKUP($E12,TaskValues_ref!$E:$Z,10,FALSE)</f>
        <v>Amhara</v>
      </c>
      <c r="L12" s="195">
        <f>IF(VLOOKUP($E12,TaskValues_ref!$E:$Z,11,FALSE)=0,"",VLOOKUP($E12,TaskValues_ref!$E:$Z,11,FALSE))</f>
        <v>0.1066</v>
      </c>
      <c r="M12" t="str">
        <f>IF(VLOOKUP($E12,TaskValues_ref!$E:$Z,13,FALSE)=0,"",VLOOKUP($E12,TaskValues_ref!$E:$Z,13,FALSE))</f>
        <v/>
      </c>
      <c r="N12" s="89">
        <f>IF(VLOOKUP($E12,TaskValues_ref!$E:$Z,15,FALSE)=0,"",VLOOKUP($E12,TaskValues_ref!$E:$Z,15,FALSE))</f>
        <v>1</v>
      </c>
      <c r="O12">
        <f>IF(VLOOKUP($E12,TaskValues_ref!$E:$Z,16,FALSE)=0,"",VLOOKUP($E12,TaskValues_ref!$E:$Z,16,FALSE))</f>
        <v>1</v>
      </c>
      <c r="P12" t="str">
        <f>IF(VLOOKUP($E12,TaskValues_ref!$E:$Z,17,FALSE)=0,"",VLOOKUP($E12,TaskValues_ref!$E:$Z,17,FALSE))</f>
        <v/>
      </c>
      <c r="Q12">
        <f>IF(VLOOKUP($E12,TaskValues_ref!$E:$Z,18,FALSE)=0,"",VLOOKUP($E12,TaskValues_ref!$E:$Z,18,FALSE))</f>
        <v>10</v>
      </c>
      <c r="R12" t="str">
        <f>IF(VLOOKUP($E12,TaskValues_ref!$E:$Z,19,FALSE)=0,"",VLOOKUP($E12,TaskValues_ref!$E:$Z,19,FALSE))</f>
        <v/>
      </c>
      <c r="S12" t="str">
        <f>IF(VLOOKUP($E12,TaskValues_ref!$E:$Z,20,FALSE)=0,"",VLOOKUP($E12,TaskValues_ref!$E:$Z,20,FALSE))</f>
        <v/>
      </c>
    </row>
    <row r="13" spans="1:19" x14ac:dyDescent="0.45">
      <c r="A13" t="s">
        <v>2163</v>
      </c>
      <c r="B13" t="s">
        <v>2164</v>
      </c>
      <c r="C13" s="66" t="s">
        <v>2206</v>
      </c>
      <c r="D13" s="324">
        <v>12</v>
      </c>
      <c r="E13" s="64" t="s">
        <v>2207</v>
      </c>
      <c r="F13" t="str">
        <f>VLOOKUP(E13,TaskValues_ref!E:F,2,FALSE)</f>
        <v>Mortality surveillance</v>
      </c>
      <c r="G13" t="str">
        <f>VLOOKUP($E13,TaskValues_ref!$E:$Z,3,FALSE)</f>
        <v>Non-productive</v>
      </c>
      <c r="H13" t="str">
        <f>VLOOKUP($E13,TaskValues_ref!$E:$Z,4,FALSE)</f>
        <v>Public Health</v>
      </c>
      <c r="I13" t="str">
        <f>VLOOKUP($E13,TaskValues_ref!$E:$Z,5,FALSE)</f>
        <v>-</v>
      </c>
      <c r="J13" s="257" t="str">
        <f>VLOOKUP($E13,TaskValues_ref!$E:$Z,6,FALSE)</f>
        <v>-</v>
      </c>
      <c r="K13" t="str">
        <f>VLOOKUP($E13,TaskValues_ref!$E:$Z,10,FALSE)</f>
        <v>Amhara</v>
      </c>
      <c r="L13" s="195" t="str">
        <f>IF(VLOOKUP($E13,TaskValues_ref!$E:$Z,11,FALSE)=0,"",VLOOKUP($E13,TaskValues_ref!$E:$Z,11,FALSE))</f>
        <v/>
      </c>
      <c r="M13" t="str">
        <f>IF(VLOOKUP($E13,TaskValues_ref!$E:$Z,13,FALSE)=0,"",VLOOKUP($E13,TaskValues_ref!$E:$Z,13,FALSE))</f>
        <v/>
      </c>
      <c r="N13" s="89" t="str">
        <f>IF(VLOOKUP($E13,TaskValues_ref!$E:$Z,15,FALSE)=0,"",VLOOKUP($E13,TaskValues_ref!$E:$Z,15,FALSE))</f>
        <v/>
      </c>
      <c r="O13" t="str">
        <f>IF(VLOOKUP($E13,TaskValues_ref!$E:$Z,16,FALSE)=0,"",VLOOKUP($E13,TaskValues_ref!$E:$Z,16,FALSE))</f>
        <v/>
      </c>
      <c r="P13" t="str">
        <f>IF(VLOOKUP($E13,TaskValues_ref!$E:$Z,17,FALSE)=0,"",VLOOKUP($E13,TaskValues_ref!$E:$Z,17,FALSE))</f>
        <v/>
      </c>
      <c r="Q13" t="str">
        <f>IF(VLOOKUP($E13,TaskValues_ref!$E:$Z,18,FALSE)=0,"",VLOOKUP($E13,TaskValues_ref!$E:$Z,18,FALSE))</f>
        <v/>
      </c>
      <c r="R13" t="str">
        <f>IF(VLOOKUP($E13,TaskValues_ref!$E:$Z,19,FALSE)=0,"",VLOOKUP($E13,TaskValues_ref!$E:$Z,19,FALSE))</f>
        <v/>
      </c>
      <c r="S13" t="str">
        <f>IF(VLOOKUP($E13,TaskValues_ref!$E:$Z,20,FALSE)=0,"",VLOOKUP($E13,TaskValues_ref!$E:$Z,20,FALSE))</f>
        <v/>
      </c>
    </row>
    <row r="14" spans="1:19" x14ac:dyDescent="0.45">
      <c r="A14" t="s">
        <v>2163</v>
      </c>
      <c r="B14" t="s">
        <v>2164</v>
      </c>
      <c r="C14" s="66" t="s">
        <v>2206</v>
      </c>
      <c r="D14" s="324">
        <v>13</v>
      </c>
      <c r="E14" s="64" t="s">
        <v>2768</v>
      </c>
      <c r="F14" t="str">
        <f>VLOOKUP(E14,TaskValues_ref!E:F,2,FALSE)</f>
        <v>ID fistula and prolapse</v>
      </c>
      <c r="G14" t="str">
        <f>VLOOKUP($E14,TaskValues_ref!$E:$Z,3,FALSE)</f>
        <v>Non-clinical</v>
      </c>
      <c r="H14" t="str">
        <f>VLOOKUP($E14,TaskValues_ref!$E:$Z,4,FALSE)</f>
        <v>Public Health</v>
      </c>
      <c r="I14" t="str">
        <f>VLOOKUP($E14,TaskValues_ref!$E:$Z,5,FALSE)</f>
        <v>-</v>
      </c>
      <c r="J14" s="257" t="str">
        <f>VLOOKUP($E14,TaskValues_ref!$E:$Z,6,FALSE)</f>
        <v>births</v>
      </c>
      <c r="K14" t="str">
        <f>VLOOKUP($E14,TaskValues_ref!$E:$Z,10,FALSE)</f>
        <v>Amhara</v>
      </c>
      <c r="L14" s="195" t="str">
        <f>IF(VLOOKUP($E14,TaskValues_ref!$E:$Z,11,FALSE)=0,"",VLOOKUP($E14,TaskValues_ref!$E:$Z,11,FALSE))</f>
        <v/>
      </c>
      <c r="M14" t="str">
        <f>IF(VLOOKUP($E14,TaskValues_ref!$E:$Z,13,FALSE)=0,"",VLOOKUP($E14,TaskValues_ref!$E:$Z,13,FALSE))</f>
        <v/>
      </c>
      <c r="N14" s="89" t="str">
        <f>IF(VLOOKUP($E14,TaskValues_ref!$E:$Z,15,FALSE)=0,"",VLOOKUP($E14,TaskValues_ref!$E:$Z,15,FALSE))</f>
        <v/>
      </c>
      <c r="O14" t="str">
        <f>IF(VLOOKUP($E14,TaskValues_ref!$E:$Z,16,FALSE)=0,"",VLOOKUP($E14,TaskValues_ref!$E:$Z,16,FALSE))</f>
        <v/>
      </c>
      <c r="P14" t="str">
        <f>IF(VLOOKUP($E14,TaskValues_ref!$E:$Z,17,FALSE)=0,"",VLOOKUP($E14,TaskValues_ref!$E:$Z,17,FALSE))</f>
        <v/>
      </c>
      <c r="Q14" t="str">
        <f>IF(VLOOKUP($E14,TaskValues_ref!$E:$Z,18,FALSE)=0,"",VLOOKUP($E14,TaskValues_ref!$E:$Z,18,FALSE))</f>
        <v/>
      </c>
      <c r="R14" t="str">
        <f>IF(VLOOKUP($E14,TaskValues_ref!$E:$Z,19,FALSE)=0,"",VLOOKUP($E14,TaskValues_ref!$E:$Z,19,FALSE))</f>
        <v/>
      </c>
      <c r="S14" t="str">
        <f>IF(VLOOKUP($E14,TaskValues_ref!$E:$Z,20,FALSE)=0,"",VLOOKUP($E14,TaskValues_ref!$E:$Z,20,FALSE))</f>
        <v/>
      </c>
    </row>
    <row r="15" spans="1:19" x14ac:dyDescent="0.45">
      <c r="A15" t="s">
        <v>2163</v>
      </c>
      <c r="B15" t="s">
        <v>2164</v>
      </c>
      <c r="C15" s="66" t="s">
        <v>2206</v>
      </c>
      <c r="D15" s="324">
        <v>14</v>
      </c>
      <c r="E15" s="64" t="s">
        <v>2769</v>
      </c>
      <c r="F15" t="str">
        <f>VLOOKUP(E15,TaskValues_ref!E:F,2,FALSE)</f>
        <v>Promote cervical cancer ID and treat</v>
      </c>
      <c r="G15" t="str">
        <f>VLOOKUP($E15,TaskValues_ref!$E:$Z,3,FALSE)</f>
        <v>Non-clinical</v>
      </c>
      <c r="H15" t="str">
        <f>VLOOKUP($E15,TaskValues_ref!$E:$Z,4,FALSE)</f>
        <v>Preventive</v>
      </c>
      <c r="I15" t="str">
        <f>VLOOKUP($E15,TaskValues_ref!$E:$Z,5,FALSE)</f>
        <v>Sexual health</v>
      </c>
      <c r="J15" s="257" t="str">
        <f>VLOOKUP($E15,TaskValues_ref!$E:$Z,6,FALSE)</f>
        <v>women 15-49</v>
      </c>
      <c r="K15" t="str">
        <f>VLOOKUP($E15,TaskValues_ref!$E:$Z,10,FALSE)</f>
        <v>Amhara</v>
      </c>
      <c r="L15" s="195" t="str">
        <f>IF(VLOOKUP($E15,TaskValues_ref!$E:$Z,11,FALSE)=0,"",VLOOKUP($E15,TaskValues_ref!$E:$Z,11,FALSE))</f>
        <v/>
      </c>
      <c r="M15" t="str">
        <f>IF(VLOOKUP($E15,TaskValues_ref!$E:$Z,13,FALSE)=0,"",VLOOKUP($E15,TaskValues_ref!$E:$Z,13,FALSE))</f>
        <v/>
      </c>
      <c r="N15" s="89" t="str">
        <f>IF(VLOOKUP($E15,TaskValues_ref!$E:$Z,15,FALSE)=0,"",VLOOKUP($E15,TaskValues_ref!$E:$Z,15,FALSE))</f>
        <v/>
      </c>
      <c r="O15" t="str">
        <f>IF(VLOOKUP($E15,TaskValues_ref!$E:$Z,16,FALSE)=0,"",VLOOKUP($E15,TaskValues_ref!$E:$Z,16,FALSE))</f>
        <v/>
      </c>
      <c r="P15" t="str">
        <f>IF(VLOOKUP($E15,TaskValues_ref!$E:$Z,17,FALSE)=0,"",VLOOKUP($E15,TaskValues_ref!$E:$Z,17,FALSE))</f>
        <v/>
      </c>
      <c r="Q15" t="str">
        <f>IF(VLOOKUP($E15,TaskValues_ref!$E:$Z,18,FALSE)=0,"",VLOOKUP($E15,TaskValues_ref!$E:$Z,18,FALSE))</f>
        <v/>
      </c>
      <c r="R15" t="str">
        <f>IF(VLOOKUP($E15,TaskValues_ref!$E:$Z,19,FALSE)=0,"",VLOOKUP($E15,TaskValues_ref!$E:$Z,19,FALSE))</f>
        <v/>
      </c>
      <c r="S15" t="str">
        <f>IF(VLOOKUP($E15,TaskValues_ref!$E:$Z,20,FALSE)=0,"",VLOOKUP($E15,TaskValues_ref!$E:$Z,20,FALSE))</f>
        <v/>
      </c>
    </row>
    <row r="16" spans="1:19" x14ac:dyDescent="0.45">
      <c r="A16" t="s">
        <v>2163</v>
      </c>
      <c r="B16" s="66" t="s">
        <v>2213</v>
      </c>
      <c r="D16" s="324">
        <v>15</v>
      </c>
      <c r="E16" s="64" t="str">
        <f>_xlfn.CONCAT("FH.MN.",D16)</f>
        <v>FH.MN.15</v>
      </c>
      <c r="F16" t="str">
        <f>VLOOKUP(E16,TaskValues_ref!E:F,2,FALSE)</f>
        <v>Newborn care</v>
      </c>
      <c r="G16" t="str">
        <f>VLOOKUP($E16,TaskValues_ref!$E:$Z,3,FALSE)</f>
        <v>Clinical</v>
      </c>
      <c r="H16" t="str">
        <f>VLOOKUP($E16,TaskValues_ref!$E:$Z,4,FALSE)</f>
        <v>Preventive</v>
      </c>
      <c r="I16" t="str">
        <f>VLOOKUP($E16,TaskValues_ref!$E:$Z,5,FALSE)</f>
        <v>Pregnancy</v>
      </c>
      <c r="J16" s="257" t="str">
        <f>VLOOKUP($E16,TaskValues_ref!$E:$Z,6,FALSE)</f>
        <v>births</v>
      </c>
      <c r="K16" t="str">
        <f>VLOOKUP($E16,TaskValues_ref!$E:$Z,10,FALSE)</f>
        <v>Amhara</v>
      </c>
      <c r="L16" s="195">
        <f>IF(VLOOKUP($E16,TaskValues_ref!$E:$Z,11,FALSE)=0,"",VLOOKUP($E16,TaskValues_ref!$E:$Z,11,FALSE))</f>
        <v>1</v>
      </c>
      <c r="M16" t="str">
        <f>IF(VLOOKUP($E16,TaskValues_ref!$E:$Z,13,FALSE)=0,"",VLOOKUP($E16,TaskValues_ref!$E:$Z,13,FALSE))</f>
        <v/>
      </c>
      <c r="N16" s="89">
        <f>IF(VLOOKUP($E16,TaskValues_ref!$E:$Z,15,FALSE)=0,"",VLOOKUP($E16,TaskValues_ref!$E:$Z,15,FALSE))</f>
        <v>1</v>
      </c>
      <c r="O16">
        <f>IF(VLOOKUP($E16,TaskValues_ref!$E:$Z,16,FALSE)=0,"",VLOOKUP($E16,TaskValues_ref!$E:$Z,16,FALSE))</f>
        <v>2</v>
      </c>
      <c r="P16" t="str">
        <f>IF(VLOOKUP($E16,TaskValues_ref!$E:$Z,17,FALSE)=0,"",VLOOKUP($E16,TaskValues_ref!$E:$Z,17,FALSE))</f>
        <v/>
      </c>
      <c r="Q16">
        <f>IF(VLOOKUP($E16,TaskValues_ref!$E:$Z,18,FALSE)=0,"",VLOOKUP($E16,TaskValues_ref!$E:$Z,18,FALSE))</f>
        <v>30</v>
      </c>
      <c r="R16" t="str">
        <f>IF(VLOOKUP($E16,TaskValues_ref!$E:$Z,19,FALSE)=0,"",VLOOKUP($E16,TaskValues_ref!$E:$Z,19,FALSE))</f>
        <v/>
      </c>
      <c r="S16" t="str">
        <f>IF(VLOOKUP($E16,TaskValues_ref!$E:$Z,20,FALSE)=0,"",VLOOKUP($E16,TaskValues_ref!$E:$Z,20,FALSE))</f>
        <v/>
      </c>
    </row>
    <row r="17" spans="1:19" x14ac:dyDescent="0.45">
      <c r="A17" t="s">
        <v>2163</v>
      </c>
      <c r="B17" s="66" t="s">
        <v>2213</v>
      </c>
      <c r="D17" s="324">
        <v>16</v>
      </c>
      <c r="E17" s="64" t="str">
        <f>_xlfn.CONCAT("FH.MN.",D17)</f>
        <v>FH.MN.16</v>
      </c>
      <c r="F17" t="str">
        <f>VLOOKUP(E17,TaskValues_ref!E:F,2,FALSE)</f>
        <v>Chlorhexidine</v>
      </c>
      <c r="G17" t="str">
        <f>VLOOKUP($E17,TaskValues_ref!$E:$Z,3,FALSE)</f>
        <v>Clinical</v>
      </c>
      <c r="H17" t="str">
        <f>VLOOKUP($E17,TaskValues_ref!$E:$Z,4,FALSE)</f>
        <v>Preventive</v>
      </c>
      <c r="I17" t="str">
        <f>VLOOKUP($E17,TaskValues_ref!$E:$Z,5,FALSE)</f>
        <v>Pregnancy</v>
      </c>
      <c r="J17" s="257" t="str">
        <f>VLOOKUP($E17,TaskValues_ref!$E:$Z,6,FALSE)</f>
        <v>births</v>
      </c>
      <c r="K17" t="str">
        <f>VLOOKUP($E17,TaskValues_ref!$E:$Z,10,FALSE)</f>
        <v>Amhara</v>
      </c>
      <c r="L17" s="195">
        <f>IF(VLOOKUP($E17,TaskValues_ref!$E:$Z,11,FALSE)=0,"",VLOOKUP($E17,TaskValues_ref!$E:$Z,11,FALSE))</f>
        <v>1</v>
      </c>
      <c r="M17" t="str">
        <f>IF(VLOOKUP($E17,TaskValues_ref!$E:$Z,13,FALSE)=0,"",VLOOKUP($E17,TaskValues_ref!$E:$Z,13,FALSE))</f>
        <v/>
      </c>
      <c r="N17" s="89">
        <f>IF(VLOOKUP($E17,TaskValues_ref!$E:$Z,15,FALSE)=0,"",VLOOKUP($E17,TaskValues_ref!$E:$Z,15,FALSE))</f>
        <v>1</v>
      </c>
      <c r="O17" t="str">
        <f>IF(VLOOKUP($E17,TaskValues_ref!$E:$Z,16,FALSE)=0,"",VLOOKUP($E17,TaskValues_ref!$E:$Z,16,FALSE))</f>
        <v/>
      </c>
      <c r="P17" t="str">
        <f>IF(VLOOKUP($E17,TaskValues_ref!$E:$Z,17,FALSE)=0,"",VLOOKUP($E17,TaskValues_ref!$E:$Z,17,FALSE))</f>
        <v/>
      </c>
      <c r="Q17" t="str">
        <f>IF(VLOOKUP($E17,TaskValues_ref!$E:$Z,18,FALSE)=0,"",VLOOKUP($E17,TaskValues_ref!$E:$Z,18,FALSE))</f>
        <v/>
      </c>
      <c r="R17" t="str">
        <f>IF(VLOOKUP($E17,TaskValues_ref!$E:$Z,19,FALSE)=0,"",VLOOKUP($E17,TaskValues_ref!$E:$Z,19,FALSE))</f>
        <v/>
      </c>
      <c r="S17" t="str">
        <f>IF(VLOOKUP($E17,TaskValues_ref!$E:$Z,20,FALSE)=0,"",VLOOKUP($E17,TaskValues_ref!$E:$Z,20,FALSE))</f>
        <v/>
      </c>
    </row>
    <row r="18" spans="1:19" x14ac:dyDescent="0.45">
      <c r="A18" t="s">
        <v>2163</v>
      </c>
      <c r="B18" s="66" t="s">
        <v>2213</v>
      </c>
      <c r="D18" s="324">
        <v>17</v>
      </c>
      <c r="E18" s="64" t="str">
        <f>_xlfn.CONCAT("FH.MN.",D18)</f>
        <v>FH.MN.17</v>
      </c>
      <c r="F18" t="str">
        <f>VLOOKUP(E18,TaskValues_ref!E:F,2,FALSE)</f>
        <v>Kangaroo care</v>
      </c>
      <c r="G18" t="str">
        <f>VLOOKUP($E18,TaskValues_ref!$E:$Z,3,FALSE)</f>
        <v>Clinical</v>
      </c>
      <c r="H18" t="str">
        <f>VLOOKUP($E18,TaskValues_ref!$E:$Z,4,FALSE)</f>
        <v>Preventive</v>
      </c>
      <c r="I18" t="str">
        <f>VLOOKUP($E18,TaskValues_ref!$E:$Z,5,FALSE)</f>
        <v>Pregnancy</v>
      </c>
      <c r="J18" s="257" t="str">
        <f>VLOOKUP($E18,TaskValues_ref!$E:$Z,6,FALSE)</f>
        <v>births</v>
      </c>
      <c r="K18" t="str">
        <f>VLOOKUP($E18,TaskValues_ref!$E:$Z,10,FALSE)</f>
        <v>Amhara</v>
      </c>
      <c r="L18" s="195">
        <f>IF(VLOOKUP($E18,TaskValues_ref!$E:$Z,11,FALSE)=0,"",VLOOKUP($E18,TaskValues_ref!$E:$Z,11,FALSE))</f>
        <v>1</v>
      </c>
      <c r="M18" t="str">
        <f>IF(VLOOKUP($E18,TaskValues_ref!$E:$Z,13,FALSE)=0,"",VLOOKUP($E18,TaskValues_ref!$E:$Z,13,FALSE))</f>
        <v/>
      </c>
      <c r="N18" s="89">
        <f>IF(VLOOKUP($E18,TaskValues_ref!$E:$Z,15,FALSE)=0,"",VLOOKUP($E18,TaskValues_ref!$E:$Z,15,FALSE))</f>
        <v>1</v>
      </c>
      <c r="O18" t="str">
        <f>IF(VLOOKUP($E18,TaskValues_ref!$E:$Z,16,FALSE)=0,"",VLOOKUP($E18,TaskValues_ref!$E:$Z,16,FALSE))</f>
        <v/>
      </c>
      <c r="P18" t="str">
        <f>IF(VLOOKUP($E18,TaskValues_ref!$E:$Z,17,FALSE)=0,"",VLOOKUP($E18,TaskValues_ref!$E:$Z,17,FALSE))</f>
        <v/>
      </c>
      <c r="Q18" t="str">
        <f>IF(VLOOKUP($E18,TaskValues_ref!$E:$Z,18,FALSE)=0,"",VLOOKUP($E18,TaskValues_ref!$E:$Z,18,FALSE))</f>
        <v/>
      </c>
      <c r="R18" t="str">
        <f>IF(VLOOKUP($E18,TaskValues_ref!$E:$Z,19,FALSE)=0,"",VLOOKUP($E18,TaskValues_ref!$E:$Z,19,FALSE))</f>
        <v/>
      </c>
      <c r="S18" t="str">
        <f>IF(VLOOKUP($E18,TaskValues_ref!$E:$Z,20,FALSE)=0,"",VLOOKUP($E18,TaskValues_ref!$E:$Z,20,FALSE))</f>
        <v/>
      </c>
    </row>
    <row r="19" spans="1:19" x14ac:dyDescent="0.45">
      <c r="A19" t="s">
        <v>2163</v>
      </c>
      <c r="B19" s="66" t="s">
        <v>2213</v>
      </c>
      <c r="D19" s="324">
        <v>18</v>
      </c>
      <c r="E19" s="64" t="str">
        <f>_xlfn.CONCAT("FH.MN.",D19)</f>
        <v>FH.MN.18</v>
      </c>
      <c r="F19" t="str">
        <f>VLOOKUP(E19,TaskValues_ref!E:F,2,FALSE)</f>
        <v>Refer congenital anomalies</v>
      </c>
      <c r="G19" t="str">
        <f>VLOOKUP($E19,TaskValues_ref!$E:$Z,3,FALSE)</f>
        <v>Clinical</v>
      </c>
      <c r="H19" t="str">
        <f>VLOOKUP($E19,TaskValues_ref!$E:$Z,4,FALSE)</f>
        <v>Chronic</v>
      </c>
      <c r="I19" t="str">
        <f>VLOOKUP($E19,TaskValues_ref!$E:$Z,5,FALSE)</f>
        <v>Sick child</v>
      </c>
      <c r="J19" s="257" t="str">
        <f>VLOOKUP($E19,TaskValues_ref!$E:$Z,6,FALSE)</f>
        <v>births</v>
      </c>
      <c r="K19" t="str">
        <f>VLOOKUP($E19,TaskValues_ref!$E:$Z,10,FALSE)</f>
        <v>Amhara</v>
      </c>
      <c r="L19" s="195">
        <f>IF(VLOOKUP($E19,TaskValues_ref!$E:$Z,11,FALSE)=0,"",VLOOKUP($E19,TaskValues_ref!$E:$Z,11,FALSE))</f>
        <v>1</v>
      </c>
      <c r="M19" t="str">
        <f>IF(VLOOKUP($E19,TaskValues_ref!$E:$Z,13,FALSE)=0,"",VLOOKUP($E19,TaskValues_ref!$E:$Z,13,FALSE))</f>
        <v/>
      </c>
      <c r="N19" s="89">
        <f>IF(VLOOKUP($E19,TaskValues_ref!$E:$Z,15,FALSE)=0,"",VLOOKUP($E19,TaskValues_ref!$E:$Z,15,FALSE))</f>
        <v>1</v>
      </c>
      <c r="O19" t="str">
        <f>IF(VLOOKUP($E19,TaskValues_ref!$E:$Z,16,FALSE)=0,"",VLOOKUP($E19,TaskValues_ref!$E:$Z,16,FALSE))</f>
        <v/>
      </c>
      <c r="P19" t="str">
        <f>IF(VLOOKUP($E19,TaskValues_ref!$E:$Z,17,FALSE)=0,"",VLOOKUP($E19,TaskValues_ref!$E:$Z,17,FALSE))</f>
        <v/>
      </c>
      <c r="Q19" t="str">
        <f>IF(VLOOKUP($E19,TaskValues_ref!$E:$Z,18,FALSE)=0,"",VLOOKUP($E19,TaskValues_ref!$E:$Z,18,FALSE))</f>
        <v/>
      </c>
      <c r="R19" t="str">
        <f>IF(VLOOKUP($E19,TaskValues_ref!$E:$Z,19,FALSE)=0,"",VLOOKUP($E19,TaskValues_ref!$E:$Z,19,FALSE))</f>
        <v/>
      </c>
      <c r="S19" t="str">
        <f>IF(VLOOKUP($E19,TaskValues_ref!$E:$Z,20,FALSE)=0,"",VLOOKUP($E19,TaskValues_ref!$E:$Z,20,FALSE))</f>
        <v/>
      </c>
    </row>
    <row r="20" spans="1:19" x14ac:dyDescent="0.45">
      <c r="A20" t="s">
        <v>2163</v>
      </c>
      <c r="B20" s="66" t="s">
        <v>2213</v>
      </c>
      <c r="D20" s="324">
        <v>19</v>
      </c>
      <c r="E20" s="64" t="s">
        <v>2225</v>
      </c>
      <c r="F20" t="str">
        <f>VLOOKUP(E20,TaskValues_ref!E:F,2,FALSE)</f>
        <v>Pneumonia (ARI)</v>
      </c>
      <c r="G20" t="str">
        <f>VLOOKUP($E20,TaskValues_ref!$E:$Z,3,FALSE)</f>
        <v>Clinical</v>
      </c>
      <c r="H20" t="str">
        <f>VLOOKUP($E20,TaskValues_ref!$E:$Z,4,FALSE)</f>
        <v>Acute</v>
      </c>
      <c r="I20" t="str">
        <f>VLOOKUP($E20,TaskValues_ref!$E:$Z,5,FALSE)</f>
        <v>Sick child</v>
      </c>
      <c r="J20" s="257" t="str">
        <f>VLOOKUP($E20,TaskValues_ref!$E:$Z,6,FALSE)</f>
        <v>1-4</v>
      </c>
      <c r="K20" t="str">
        <f>VLOOKUP($E20,TaskValues_ref!$E:$Z,10,FALSE)</f>
        <v>Amhara</v>
      </c>
      <c r="L20" s="195">
        <f>IF(VLOOKUP($E20,TaskValues_ref!$E:$Z,11,FALSE)=0,"",VLOOKUP($E20,TaskValues_ref!$E:$Z,11,FALSE))</f>
        <v>2</v>
      </c>
      <c r="M20" t="str">
        <f>IF(VLOOKUP($E20,TaskValues_ref!$E:$Z,13,FALSE)=0,"",VLOOKUP($E20,TaskValues_ref!$E:$Z,13,FALSE))</f>
        <v/>
      </c>
      <c r="N20" s="89">
        <f>IF(VLOOKUP($E20,TaskValues_ref!$E:$Z,15,FALSE)=0,"",VLOOKUP($E20,TaskValues_ref!$E:$Z,15,FALSE))</f>
        <v>0.98</v>
      </c>
      <c r="O20">
        <f>IF(VLOOKUP($E20,TaskValues_ref!$E:$Z,16,FALSE)=0,"",VLOOKUP($E20,TaskValues_ref!$E:$Z,16,FALSE))</f>
        <v>1</v>
      </c>
      <c r="P20" t="str">
        <f>IF(VLOOKUP($E20,TaskValues_ref!$E:$Z,17,FALSE)=0,"",VLOOKUP($E20,TaskValues_ref!$E:$Z,17,FALSE))</f>
        <v/>
      </c>
      <c r="Q20">
        <f>IF(VLOOKUP($E20,TaskValues_ref!$E:$Z,18,FALSE)=0,"",VLOOKUP($E20,TaskValues_ref!$E:$Z,18,FALSE))</f>
        <v>5</v>
      </c>
      <c r="R20" t="str">
        <f>IF(VLOOKUP($E20,TaskValues_ref!$E:$Z,19,FALSE)=0,"",VLOOKUP($E20,TaskValues_ref!$E:$Z,19,FALSE))</f>
        <v/>
      </c>
      <c r="S20" t="str">
        <f>IF(VLOOKUP($E20,TaskValues_ref!$E:$Z,20,FALSE)=0,"",VLOOKUP($E20,TaskValues_ref!$E:$Z,20,FALSE))</f>
        <v/>
      </c>
    </row>
    <row r="21" spans="1:19" x14ac:dyDescent="0.45">
      <c r="A21" t="s">
        <v>2163</v>
      </c>
      <c r="B21" s="66" t="s">
        <v>2213</v>
      </c>
      <c r="D21" s="324">
        <v>19</v>
      </c>
      <c r="E21" s="64" t="s">
        <v>2227</v>
      </c>
      <c r="F21" t="str">
        <f>VLOOKUP(E21,TaskValues_ref!E:F,2,FALSE)</f>
        <v>Diarrhea</v>
      </c>
      <c r="G21" t="str">
        <f>VLOOKUP($E21,TaskValues_ref!$E:$Z,3,FALSE)</f>
        <v>Clinical</v>
      </c>
      <c r="H21" t="str">
        <f>VLOOKUP($E21,TaskValues_ref!$E:$Z,4,FALSE)</f>
        <v>Acute</v>
      </c>
      <c r="I21" t="str">
        <f>VLOOKUP($E21,TaskValues_ref!$E:$Z,5,FALSE)</f>
        <v>Sick child</v>
      </c>
      <c r="J21" s="257" t="str">
        <f>VLOOKUP($E21,TaskValues_ref!$E:$Z,6,FALSE)</f>
        <v>1-4</v>
      </c>
      <c r="K21" t="str">
        <f>VLOOKUP($E21,TaskValues_ref!$E:$Z,10,FALSE)</f>
        <v>Amhara</v>
      </c>
      <c r="L21" s="195">
        <f>IF(VLOOKUP($E21,TaskValues_ref!$E:$Z,11,FALSE)=0,"",VLOOKUP($E21,TaskValues_ref!$E:$Z,11,FALSE))</f>
        <v>3</v>
      </c>
      <c r="M21" t="str">
        <f>IF(VLOOKUP($E21,TaskValues_ref!$E:$Z,13,FALSE)=0,"",VLOOKUP($E21,TaskValues_ref!$E:$Z,13,FALSE))</f>
        <v/>
      </c>
      <c r="N21" s="89">
        <f>IF(VLOOKUP($E21,TaskValues_ref!$E:$Z,15,FALSE)=0,"",VLOOKUP($E21,TaskValues_ref!$E:$Z,15,FALSE))</f>
        <v>0.98</v>
      </c>
      <c r="O21">
        <f>IF(VLOOKUP($E21,TaskValues_ref!$E:$Z,16,FALSE)=0,"",VLOOKUP($E21,TaskValues_ref!$E:$Z,16,FALSE))</f>
        <v>1</v>
      </c>
      <c r="P21" t="str">
        <f>IF(VLOOKUP($E21,TaskValues_ref!$E:$Z,17,FALSE)=0,"",VLOOKUP($E21,TaskValues_ref!$E:$Z,17,FALSE))</f>
        <v/>
      </c>
      <c r="Q21">
        <f>IF(VLOOKUP($E21,TaskValues_ref!$E:$Z,18,FALSE)=0,"",VLOOKUP($E21,TaskValues_ref!$E:$Z,18,FALSE))</f>
        <v>5</v>
      </c>
      <c r="R21" t="str">
        <f>IF(VLOOKUP($E21,TaskValues_ref!$E:$Z,19,FALSE)=0,"",VLOOKUP($E21,TaskValues_ref!$E:$Z,19,FALSE))</f>
        <v/>
      </c>
      <c r="S21" t="str">
        <f>IF(VLOOKUP($E21,TaskValues_ref!$E:$Z,20,FALSE)=0,"",VLOOKUP($E21,TaskValues_ref!$E:$Z,20,FALSE))</f>
        <v/>
      </c>
    </row>
    <row r="22" spans="1:19" x14ac:dyDescent="0.45">
      <c r="A22" t="s">
        <v>2163</v>
      </c>
      <c r="B22" s="66" t="s">
        <v>2213</v>
      </c>
      <c r="D22" s="324">
        <v>19</v>
      </c>
      <c r="E22" s="64" t="s">
        <v>2228</v>
      </c>
      <c r="F22" t="str">
        <f>VLOOKUP(E22,TaskValues_ref!E:F,2,FALSE)</f>
        <v>Parasites</v>
      </c>
      <c r="G22" t="str">
        <f>VLOOKUP($E22,TaskValues_ref!$E:$Z,3,FALSE)</f>
        <v>Clinical</v>
      </c>
      <c r="H22" t="str">
        <f>VLOOKUP($E22,TaskValues_ref!$E:$Z,4,FALSE)</f>
        <v>Acute</v>
      </c>
      <c r="I22" t="str">
        <f>VLOOKUP($E22,TaskValues_ref!$E:$Z,5,FALSE)</f>
        <v>Sick child</v>
      </c>
      <c r="J22" s="257" t="str">
        <f>VLOOKUP($E22,TaskValues_ref!$E:$Z,6,FALSE)</f>
        <v>1-4</v>
      </c>
      <c r="K22" t="str">
        <f>VLOOKUP($E22,TaskValues_ref!$E:$Z,10,FALSE)</f>
        <v>Amhara</v>
      </c>
      <c r="L22" s="195">
        <f>IF(VLOOKUP($E22,TaskValues_ref!$E:$Z,11,FALSE)=0,"",VLOOKUP($E22,TaskValues_ref!$E:$Z,11,FALSE))</f>
        <v>0.46090000000000003</v>
      </c>
      <c r="M22" t="str">
        <f>IF(VLOOKUP($E22,TaskValues_ref!$E:$Z,13,FALSE)=0,"",VLOOKUP($E22,TaskValues_ref!$E:$Z,13,FALSE))</f>
        <v/>
      </c>
      <c r="N22" s="89">
        <f>IF(VLOOKUP($E22,TaskValues_ref!$E:$Z,15,FALSE)=0,"",VLOOKUP($E22,TaskValues_ref!$E:$Z,15,FALSE))</f>
        <v>0.98</v>
      </c>
      <c r="O22">
        <f>IF(VLOOKUP($E22,TaskValues_ref!$E:$Z,16,FALSE)=0,"",VLOOKUP($E22,TaskValues_ref!$E:$Z,16,FALSE))</f>
        <v>2</v>
      </c>
      <c r="P22" t="str">
        <f>IF(VLOOKUP($E22,TaskValues_ref!$E:$Z,17,FALSE)=0,"",VLOOKUP($E22,TaskValues_ref!$E:$Z,17,FALSE))</f>
        <v/>
      </c>
      <c r="Q22">
        <f>IF(VLOOKUP($E22,TaskValues_ref!$E:$Z,18,FALSE)=0,"",VLOOKUP($E22,TaskValues_ref!$E:$Z,18,FALSE))</f>
        <v>5</v>
      </c>
      <c r="R22" t="str">
        <f>IF(VLOOKUP($E22,TaskValues_ref!$E:$Z,19,FALSE)=0,"",VLOOKUP($E22,TaskValues_ref!$E:$Z,19,FALSE))</f>
        <v/>
      </c>
      <c r="S22" t="str">
        <f>IF(VLOOKUP($E22,TaskValues_ref!$E:$Z,20,FALSE)=0,"",VLOOKUP($E22,TaskValues_ref!$E:$Z,20,FALSE))</f>
        <v/>
      </c>
    </row>
    <row r="23" spans="1:19" x14ac:dyDescent="0.45">
      <c r="A23" t="s">
        <v>2163</v>
      </c>
      <c r="B23" s="66" t="s">
        <v>2213</v>
      </c>
      <c r="D23" s="324">
        <v>19</v>
      </c>
      <c r="E23" s="64" t="s">
        <v>2829</v>
      </c>
      <c r="F23" t="str">
        <f>VLOOKUP(E23,TaskValues_ref!E:F,2,FALSE)</f>
        <v>Fever, excluding diarrhea and ARI</v>
      </c>
      <c r="G23" t="str">
        <f>VLOOKUP($E23,TaskValues_ref!$E:$Z,3,FALSE)</f>
        <v>Clinical</v>
      </c>
      <c r="H23" t="str">
        <f>VLOOKUP($E23,TaskValues_ref!$E:$Z,4,FALSE)</f>
        <v>Acute</v>
      </c>
      <c r="I23" t="str">
        <f>VLOOKUP($E23,TaskValues_ref!$E:$Z,5,FALSE)</f>
        <v>Sick child</v>
      </c>
      <c r="J23" s="257" t="str">
        <f>VLOOKUP($E23,TaskValues_ref!$E:$Z,6,FALSE)</f>
        <v>1-4</v>
      </c>
      <c r="K23" t="str">
        <f>VLOOKUP($E23,TaskValues_ref!$E:$Z,10,FALSE)</f>
        <v>Amhara</v>
      </c>
      <c r="L23" s="195" t="str">
        <f>IF(VLOOKUP($E23,TaskValues_ref!$E:$Z,11,FALSE)=0,"",VLOOKUP($E23,TaskValues_ref!$E:$Z,11,FALSE))</f>
        <v/>
      </c>
      <c r="M23" t="str">
        <f>IF(VLOOKUP($E23,TaskValues_ref!$E:$Z,13,FALSE)=0,"",VLOOKUP($E23,TaskValues_ref!$E:$Z,13,FALSE))</f>
        <v/>
      </c>
      <c r="N23" s="89">
        <f>IF(VLOOKUP($E23,TaskValues_ref!$E:$Z,15,FALSE)=0,"",VLOOKUP($E23,TaskValues_ref!$E:$Z,15,FALSE))</f>
        <v>0.98</v>
      </c>
      <c r="O23">
        <f>IF(VLOOKUP($E23,TaskValues_ref!$E:$Z,16,FALSE)=0,"",VLOOKUP($E23,TaskValues_ref!$E:$Z,16,FALSE))</f>
        <v>1</v>
      </c>
      <c r="P23" t="str">
        <f>IF(VLOOKUP($E23,TaskValues_ref!$E:$Z,17,FALSE)=0,"",VLOOKUP($E23,TaskValues_ref!$E:$Z,17,FALSE))</f>
        <v/>
      </c>
      <c r="Q23">
        <f>IF(VLOOKUP($E23,TaskValues_ref!$E:$Z,18,FALSE)=0,"",VLOOKUP($E23,TaskValues_ref!$E:$Z,18,FALSE))</f>
        <v>5</v>
      </c>
      <c r="R23" t="str">
        <f>IF(VLOOKUP($E23,TaskValues_ref!$E:$Z,19,FALSE)=0,"",VLOOKUP($E23,TaskValues_ref!$E:$Z,19,FALSE))</f>
        <v/>
      </c>
      <c r="S23" t="str">
        <f>IF(VLOOKUP($E23,TaskValues_ref!$E:$Z,20,FALSE)=0,"",VLOOKUP($E23,TaskValues_ref!$E:$Z,20,FALSE))</f>
        <v/>
      </c>
    </row>
    <row r="24" spans="1:19" x14ac:dyDescent="0.45">
      <c r="A24" t="s">
        <v>2163</v>
      </c>
      <c r="B24" s="66" t="s">
        <v>2213</v>
      </c>
      <c r="D24" s="324">
        <v>20</v>
      </c>
      <c r="E24" s="64" t="str">
        <f>_xlfn.CONCAT("FH.MN.",D24)</f>
        <v>FH.MN.20</v>
      </c>
      <c r="F24" t="str">
        <f>VLOOKUP(E24,TaskValues_ref!E:F,2,FALSE)</f>
        <v>IMNCI</v>
      </c>
      <c r="G24" t="str">
        <f>VLOOKUP($E24,TaskValues_ref!$E:$Z,3,FALSE)</f>
        <v>Clinical</v>
      </c>
      <c r="H24" t="str">
        <f>VLOOKUP($E24,TaskValues_ref!$E:$Z,4,FALSE)</f>
        <v>Acute</v>
      </c>
      <c r="I24" t="str">
        <f>VLOOKUP($E24,TaskValues_ref!$E:$Z,5,FALSE)</f>
        <v>Sick child</v>
      </c>
      <c r="J24" s="257" t="str">
        <f>VLOOKUP($E24,TaskValues_ref!$E:$Z,6,FALSE)</f>
        <v>-</v>
      </c>
      <c r="K24" t="str">
        <f>VLOOKUP($E24,TaskValues_ref!$E:$Z,10,FALSE)</f>
        <v>Amhara</v>
      </c>
      <c r="L24" s="195" t="str">
        <f>IF(VLOOKUP($E24,TaskValues_ref!$E:$Z,11,FALSE)=0,"",VLOOKUP($E24,TaskValues_ref!$E:$Z,11,FALSE))</f>
        <v/>
      </c>
      <c r="M24" t="str">
        <f>IF(VLOOKUP($E24,TaskValues_ref!$E:$Z,13,FALSE)=0,"",VLOOKUP($E24,TaskValues_ref!$E:$Z,13,FALSE))</f>
        <v/>
      </c>
      <c r="N24" s="89" t="str">
        <f>IF(VLOOKUP($E24,TaskValues_ref!$E:$Z,15,FALSE)=0,"",VLOOKUP($E24,TaskValues_ref!$E:$Z,15,FALSE))</f>
        <v/>
      </c>
      <c r="O24" t="str">
        <f>IF(VLOOKUP($E24,TaskValues_ref!$E:$Z,16,FALSE)=0,"",VLOOKUP($E24,TaskValues_ref!$E:$Z,16,FALSE))</f>
        <v/>
      </c>
      <c r="P24" t="str">
        <f>IF(VLOOKUP($E24,TaskValues_ref!$E:$Z,17,FALSE)=0,"",VLOOKUP($E24,TaskValues_ref!$E:$Z,17,FALSE))</f>
        <v/>
      </c>
      <c r="Q24" t="str">
        <f>IF(VLOOKUP($E24,TaskValues_ref!$E:$Z,18,FALSE)=0,"",VLOOKUP($E24,TaskValues_ref!$E:$Z,18,FALSE))</f>
        <v/>
      </c>
      <c r="R24" t="str">
        <f>IF(VLOOKUP($E24,TaskValues_ref!$E:$Z,19,FALSE)=0,"",VLOOKUP($E24,TaskValues_ref!$E:$Z,19,FALSE))</f>
        <v/>
      </c>
      <c r="S24" t="str">
        <f>IF(VLOOKUP($E24,TaskValues_ref!$E:$Z,20,FALSE)=0,"",VLOOKUP($E24,TaskValues_ref!$E:$Z,20,FALSE))</f>
        <v/>
      </c>
    </row>
    <row r="25" spans="1:19" x14ac:dyDescent="0.45">
      <c r="A25" t="s">
        <v>2163</v>
      </c>
      <c r="B25" s="66" t="s">
        <v>2213</v>
      </c>
      <c r="D25" s="324">
        <v>21</v>
      </c>
      <c r="E25" s="64" t="s">
        <v>2226</v>
      </c>
      <c r="F25" t="str">
        <f>VLOOKUP(E25,TaskValues_ref!E:F,2,FALSE)</f>
        <v>Well child check &amp; growth monitoring</v>
      </c>
      <c r="G25" t="str">
        <f>VLOOKUP($E25,TaskValues_ref!$E:$Z,3,FALSE)</f>
        <v>Clinical</v>
      </c>
      <c r="H25" t="str">
        <f>VLOOKUP($E25,TaskValues_ref!$E:$Z,4,FALSE)</f>
        <v>Preventive</v>
      </c>
      <c r="I25" t="str">
        <f>VLOOKUP($E25,TaskValues_ref!$E:$Z,5,FALSE)</f>
        <v>Nutrition</v>
      </c>
      <c r="J25" s="257" t="str">
        <f>VLOOKUP($E25,TaskValues_ref!$E:$Z,6,FALSE)</f>
        <v>1-4</v>
      </c>
      <c r="K25" t="str">
        <f>VLOOKUP($E25,TaskValues_ref!$E:$Z,10,FALSE)</f>
        <v>Amhara</v>
      </c>
      <c r="L25" s="195">
        <f>IF(VLOOKUP($E25,TaskValues_ref!$E:$Z,11,FALSE)=0,"",VLOOKUP($E25,TaskValues_ref!$E:$Z,11,FALSE))</f>
        <v>1</v>
      </c>
      <c r="M25" t="str">
        <f>IF(VLOOKUP($E25,TaskValues_ref!$E:$Z,13,FALSE)=0,"",VLOOKUP($E25,TaskValues_ref!$E:$Z,13,FALSE))</f>
        <v/>
      </c>
      <c r="N25" s="89">
        <f>IF(VLOOKUP($E25,TaskValues_ref!$E:$Z,15,FALSE)=0,"",VLOOKUP($E25,TaskValues_ref!$E:$Z,15,FALSE))</f>
        <v>1</v>
      </c>
      <c r="O25">
        <f>IF(VLOOKUP($E25,TaskValues_ref!$E:$Z,16,FALSE)=0,"",VLOOKUP($E25,TaskValues_ref!$E:$Z,16,FALSE))</f>
        <v>3</v>
      </c>
      <c r="P25" t="str">
        <f>IF(VLOOKUP($E25,TaskValues_ref!$E:$Z,17,FALSE)=0,"",VLOOKUP($E25,TaskValues_ref!$E:$Z,17,FALSE))</f>
        <v/>
      </c>
      <c r="Q25">
        <f>IF(VLOOKUP($E25,TaskValues_ref!$E:$Z,18,FALSE)=0,"",VLOOKUP($E25,TaskValues_ref!$E:$Z,18,FALSE))</f>
        <v>5</v>
      </c>
      <c r="R25" t="str">
        <f>IF(VLOOKUP($E25,TaskValues_ref!$E:$Z,19,FALSE)=0,"",VLOOKUP($E25,TaskValues_ref!$E:$Z,19,FALSE))</f>
        <v/>
      </c>
      <c r="S25" t="str">
        <f>IF(VLOOKUP($E25,TaskValues_ref!$E:$Z,20,FALSE)=0,"",VLOOKUP($E25,TaskValues_ref!$E:$Z,20,FALSE))</f>
        <v/>
      </c>
    </row>
    <row r="26" spans="1:19" x14ac:dyDescent="0.45">
      <c r="A26" t="s">
        <v>2163</v>
      </c>
      <c r="B26" s="66" t="s">
        <v>2213</v>
      </c>
      <c r="D26" s="324">
        <v>21</v>
      </c>
      <c r="E26" s="64" t="str">
        <f t="shared" ref="E26:E33" si="0">_xlfn.CONCAT("FH.MN.",D26)</f>
        <v>FH.MN.21</v>
      </c>
      <c r="F26" t="str">
        <f>VLOOKUP(E26,TaskValues_ref!E:F,2,FALSE)</f>
        <v>Treat severe malnutrition</v>
      </c>
      <c r="G26" t="str">
        <f>VLOOKUP($E26,TaskValues_ref!$E:$Z,3,FALSE)</f>
        <v>Clinical</v>
      </c>
      <c r="H26" t="str">
        <f>VLOOKUP($E26,TaskValues_ref!$E:$Z,4,FALSE)</f>
        <v>Acute</v>
      </c>
      <c r="I26" t="str">
        <f>VLOOKUP($E26,TaskValues_ref!$E:$Z,5,FALSE)</f>
        <v>Nutrition</v>
      </c>
      <c r="J26" s="257" t="str">
        <f>VLOOKUP($E26,TaskValues_ref!$E:$Z,6,FALSE)</f>
        <v>1-4</v>
      </c>
      <c r="K26" t="str">
        <f>VLOOKUP($E26,TaskValues_ref!$E:$Z,10,FALSE)</f>
        <v>Amhara</v>
      </c>
      <c r="L26" s="195">
        <f>IF(VLOOKUP($E26,TaskValues_ref!$E:$Z,11,FALSE)=0,"",VLOOKUP($E26,TaskValues_ref!$E:$Z,11,FALSE))</f>
        <v>0.13400000000000001</v>
      </c>
      <c r="M26" t="str">
        <f>IF(VLOOKUP($E26,TaskValues_ref!$E:$Z,13,FALSE)=0,"",VLOOKUP($E26,TaskValues_ref!$E:$Z,13,FALSE))</f>
        <v/>
      </c>
      <c r="N26" s="89">
        <f>IF(VLOOKUP($E26,TaskValues_ref!$E:$Z,15,FALSE)=0,"",VLOOKUP($E26,TaskValues_ref!$E:$Z,15,FALSE))</f>
        <v>0.98</v>
      </c>
      <c r="O26">
        <f>IF(VLOOKUP($E26,TaskValues_ref!$E:$Z,16,FALSE)=0,"",VLOOKUP($E26,TaskValues_ref!$E:$Z,16,FALSE))</f>
        <v>4</v>
      </c>
      <c r="P26" t="str">
        <f>IF(VLOOKUP($E26,TaskValues_ref!$E:$Z,17,FALSE)=0,"",VLOOKUP($E26,TaskValues_ref!$E:$Z,17,FALSE))</f>
        <v/>
      </c>
      <c r="Q26">
        <f>IF(VLOOKUP($E26,TaskValues_ref!$E:$Z,18,FALSE)=0,"",VLOOKUP($E26,TaskValues_ref!$E:$Z,18,FALSE))</f>
        <v>5</v>
      </c>
      <c r="R26" t="str">
        <f>IF(VLOOKUP($E26,TaskValues_ref!$E:$Z,19,FALSE)=0,"",VLOOKUP($E26,TaskValues_ref!$E:$Z,19,FALSE))</f>
        <v/>
      </c>
      <c r="S26" t="str">
        <f>IF(VLOOKUP($E26,TaskValues_ref!$E:$Z,20,FALSE)=0,"",VLOOKUP($E26,TaskValues_ref!$E:$Z,20,FALSE))</f>
        <v/>
      </c>
    </row>
    <row r="27" spans="1:19" x14ac:dyDescent="0.45">
      <c r="A27" t="s">
        <v>2163</v>
      </c>
      <c r="B27" s="66" t="s">
        <v>2213</v>
      </c>
      <c r="D27" s="324">
        <v>22</v>
      </c>
      <c r="E27" s="64" t="str">
        <f t="shared" si="0"/>
        <v>FH.MN.22</v>
      </c>
      <c r="F27" t="str">
        <f>VLOOKUP(E27,TaskValues_ref!E:F,2,FALSE)</f>
        <v>Treat moderate malnutrition</v>
      </c>
      <c r="G27" t="str">
        <f>VLOOKUP($E27,TaskValues_ref!$E:$Z,3,FALSE)</f>
        <v>Clinical</v>
      </c>
      <c r="H27" t="str">
        <f>VLOOKUP($E27,TaskValues_ref!$E:$Z,4,FALSE)</f>
        <v>Acute</v>
      </c>
      <c r="I27" t="str">
        <f>VLOOKUP($E27,TaskValues_ref!$E:$Z,5,FALSE)</f>
        <v>Nutrition</v>
      </c>
      <c r="J27" s="257" t="str">
        <f>VLOOKUP($E27,TaskValues_ref!$E:$Z,6,FALSE)</f>
        <v>1-4</v>
      </c>
      <c r="K27" t="str">
        <f>VLOOKUP($E27,TaskValues_ref!$E:$Z,10,FALSE)</f>
        <v>Amhara</v>
      </c>
      <c r="L27" s="195">
        <f>IF(VLOOKUP($E27,TaskValues_ref!$E:$Z,11,FALSE)=0,"",VLOOKUP($E27,TaskValues_ref!$E:$Z,11,FALSE))</f>
        <v>0.41499999999999998</v>
      </c>
      <c r="M27" t="str">
        <f>IF(VLOOKUP($E27,TaskValues_ref!$E:$Z,13,FALSE)=0,"",VLOOKUP($E27,TaskValues_ref!$E:$Z,13,FALSE))</f>
        <v/>
      </c>
      <c r="N27" s="89">
        <f>IF(VLOOKUP($E27,TaskValues_ref!$E:$Z,15,FALSE)=0,"",VLOOKUP($E27,TaskValues_ref!$E:$Z,15,FALSE))</f>
        <v>0.98</v>
      </c>
      <c r="O27">
        <f>IF(VLOOKUP($E27,TaskValues_ref!$E:$Z,16,FALSE)=0,"",VLOOKUP($E27,TaskValues_ref!$E:$Z,16,FALSE))</f>
        <v>2</v>
      </c>
      <c r="P27" t="str">
        <f>IF(VLOOKUP($E27,TaskValues_ref!$E:$Z,17,FALSE)=0,"",VLOOKUP($E27,TaskValues_ref!$E:$Z,17,FALSE))</f>
        <v/>
      </c>
      <c r="Q27">
        <f>IF(VLOOKUP($E27,TaskValues_ref!$E:$Z,18,FALSE)=0,"",VLOOKUP($E27,TaskValues_ref!$E:$Z,18,FALSE))</f>
        <v>5</v>
      </c>
      <c r="R27" t="str">
        <f>IF(VLOOKUP($E27,TaskValues_ref!$E:$Z,19,FALSE)=0,"",VLOOKUP($E27,TaskValues_ref!$E:$Z,19,FALSE))</f>
        <v/>
      </c>
      <c r="S27" t="str">
        <f>IF(VLOOKUP($E27,TaskValues_ref!$E:$Z,20,FALSE)=0,"",VLOOKUP($E27,TaskValues_ref!$E:$Z,20,FALSE))</f>
        <v/>
      </c>
    </row>
    <row r="28" spans="1:19" x14ac:dyDescent="0.45">
      <c r="A28" t="s">
        <v>2163</v>
      </c>
      <c r="B28" s="66" t="s">
        <v>2213</v>
      </c>
      <c r="D28" s="324">
        <v>23</v>
      </c>
      <c r="E28" s="64" t="str">
        <f t="shared" si="0"/>
        <v>FH.MN.23</v>
      </c>
      <c r="F28" t="str">
        <f>VLOOKUP(E28,TaskValues_ref!E:F,2,FALSE)</f>
        <v>Deworming &amp; VitA</v>
      </c>
      <c r="G28" t="str">
        <f>VLOOKUP($E28,TaskValues_ref!$E:$Z,3,FALSE)</f>
        <v>Clinical</v>
      </c>
      <c r="H28" t="str">
        <f>VLOOKUP($E28,TaskValues_ref!$E:$Z,4,FALSE)</f>
        <v>Preventive</v>
      </c>
      <c r="I28" t="str">
        <f>VLOOKUP($E28,TaskValues_ref!$E:$Z,5,FALSE)</f>
        <v>Nutrition</v>
      </c>
      <c r="J28" s="257" t="str">
        <f>VLOOKUP($E28,TaskValues_ref!$E:$Z,6,FALSE)</f>
        <v>1-4</v>
      </c>
      <c r="K28" t="str">
        <f>VLOOKUP($E28,TaskValues_ref!$E:$Z,10,FALSE)</f>
        <v>Amhara</v>
      </c>
      <c r="L28" s="195">
        <f>IF(VLOOKUP($E28,TaskValues_ref!$E:$Z,11,FALSE)=0,"",VLOOKUP($E28,TaskValues_ref!$E:$Z,11,FALSE))</f>
        <v>1</v>
      </c>
      <c r="M28" t="str">
        <f>IF(VLOOKUP($E28,TaskValues_ref!$E:$Z,13,FALSE)=0,"",VLOOKUP($E28,TaskValues_ref!$E:$Z,13,FALSE))</f>
        <v/>
      </c>
      <c r="N28" s="89">
        <f>IF(VLOOKUP($E28,TaskValues_ref!$E:$Z,15,FALSE)=0,"",VLOOKUP($E28,TaskValues_ref!$E:$Z,15,FALSE))</f>
        <v>1</v>
      </c>
      <c r="O28" t="str">
        <f>IF(VLOOKUP($E28,TaskValues_ref!$E:$Z,16,FALSE)=0,"",VLOOKUP($E28,TaskValues_ref!$E:$Z,16,FALSE))</f>
        <v/>
      </c>
      <c r="P28">
        <f>IF(VLOOKUP($E28,TaskValues_ref!$E:$Z,17,FALSE)=0,"",VLOOKUP($E28,TaskValues_ref!$E:$Z,17,FALSE))</f>
        <v>2</v>
      </c>
      <c r="Q28">
        <f>IF(VLOOKUP($E28,TaskValues_ref!$E:$Z,18,FALSE)=0,"",VLOOKUP($E28,TaskValues_ref!$E:$Z,18,FALSE))</f>
        <v>5</v>
      </c>
      <c r="R28" t="str">
        <f>IF(VLOOKUP($E28,TaskValues_ref!$E:$Z,19,FALSE)=0,"",VLOOKUP($E28,TaskValues_ref!$E:$Z,19,FALSE))</f>
        <v/>
      </c>
      <c r="S28" t="str">
        <f>IF(VLOOKUP($E28,TaskValues_ref!$E:$Z,20,FALSE)=0,"",VLOOKUP($E28,TaskValues_ref!$E:$Z,20,FALSE))</f>
        <v/>
      </c>
    </row>
    <row r="29" spans="1:19" x14ac:dyDescent="0.45">
      <c r="A29" t="s">
        <v>2163</v>
      </c>
      <c r="B29" s="66" t="s">
        <v>2213</v>
      </c>
      <c r="D29" s="324">
        <v>24</v>
      </c>
      <c r="E29" s="64" t="str">
        <f t="shared" si="0"/>
        <v>FH.MN.24</v>
      </c>
      <c r="F29" t="str">
        <f>VLOOKUP(E29,TaskValues_ref!E:F,2,FALSE)</f>
        <v>Paediatric palliative</v>
      </c>
      <c r="G29" t="str">
        <f>VLOOKUP($E29,TaskValues_ref!$E:$Z,3,FALSE)</f>
        <v>Clinical</v>
      </c>
      <c r="H29" t="str">
        <f>VLOOKUP($E29,TaskValues_ref!$E:$Z,4,FALSE)</f>
        <v>Acute</v>
      </c>
      <c r="I29" t="str">
        <f>VLOOKUP($E29,TaskValues_ref!$E:$Z,5,FALSE)</f>
        <v>Sick child</v>
      </c>
      <c r="J29" s="257" t="str">
        <f>VLOOKUP($E29,TaskValues_ref!$E:$Z,6,FALSE)</f>
        <v>1-4</v>
      </c>
      <c r="K29" t="str">
        <f>VLOOKUP($E29,TaskValues_ref!$E:$Z,10,FALSE)</f>
        <v>Amhara</v>
      </c>
      <c r="L29" s="195">
        <f>IF(VLOOKUP($E29,TaskValues_ref!$E:$Z,11,FALSE)=0,"",VLOOKUP($E29,TaskValues_ref!$E:$Z,11,FALSE))</f>
        <v>2.7499999999999998E-3</v>
      </c>
      <c r="M29" t="str">
        <f>IF(VLOOKUP($E29,TaskValues_ref!$E:$Z,13,FALSE)=0,"",VLOOKUP($E29,TaskValues_ref!$E:$Z,13,FALSE))</f>
        <v/>
      </c>
      <c r="N29" s="89">
        <f>IF(VLOOKUP($E29,TaskValues_ref!$E:$Z,15,FALSE)=0,"",VLOOKUP($E29,TaskValues_ref!$E:$Z,15,FALSE))</f>
        <v>0.95480225988700573</v>
      </c>
      <c r="O29">
        <f>IF(VLOOKUP($E29,TaskValues_ref!$E:$Z,16,FALSE)=0,"",VLOOKUP($E29,TaskValues_ref!$E:$Z,16,FALSE))</f>
        <v>1</v>
      </c>
      <c r="P29" t="str">
        <f>IF(VLOOKUP($E29,TaskValues_ref!$E:$Z,17,FALSE)=0,"",VLOOKUP($E29,TaskValues_ref!$E:$Z,17,FALSE))</f>
        <v/>
      </c>
      <c r="Q29">
        <f>IF(VLOOKUP($E29,TaskValues_ref!$E:$Z,18,FALSE)=0,"",VLOOKUP($E29,TaskValues_ref!$E:$Z,18,FALSE))</f>
        <v>15</v>
      </c>
      <c r="R29" t="str">
        <f>IF(VLOOKUP($E29,TaskValues_ref!$E:$Z,19,FALSE)=0,"",VLOOKUP($E29,TaskValues_ref!$E:$Z,19,FALSE))</f>
        <v/>
      </c>
      <c r="S29" t="str">
        <f>IF(VLOOKUP($E29,TaskValues_ref!$E:$Z,20,FALSE)=0,"",VLOOKUP($E29,TaskValues_ref!$E:$Z,20,FALSE))</f>
        <v/>
      </c>
    </row>
    <row r="30" spans="1:19" x14ac:dyDescent="0.45">
      <c r="A30" t="s">
        <v>2163</v>
      </c>
      <c r="B30" s="66" t="s">
        <v>2213</v>
      </c>
      <c r="D30" s="324">
        <v>25</v>
      </c>
      <c r="E30" s="64" t="str">
        <f t="shared" si="0"/>
        <v>FH.MN.25</v>
      </c>
      <c r="F30" t="str">
        <f>VLOOKUP(E30,TaskValues_ref!E:F,2,FALSE)</f>
        <v>Pharyngitis, tonsillitis, sinusitis</v>
      </c>
      <c r="G30" t="str">
        <f>VLOOKUP($E30,TaskValues_ref!$E:$Z,3,FALSE)</f>
        <v>Clinical</v>
      </c>
      <c r="H30" t="str">
        <f>VLOOKUP($E30,TaskValues_ref!$E:$Z,4,FALSE)</f>
        <v>Acute</v>
      </c>
      <c r="I30" t="str">
        <f>VLOOKUP($E30,TaskValues_ref!$E:$Z,5,FALSE)</f>
        <v>Sick child</v>
      </c>
      <c r="J30" s="257" t="str">
        <f>VLOOKUP($E30,TaskValues_ref!$E:$Z,6,FALSE)</f>
        <v>1-4</v>
      </c>
      <c r="K30" t="str">
        <f>VLOOKUP($E30,TaskValues_ref!$E:$Z,10,FALSE)</f>
        <v>Amhara</v>
      </c>
      <c r="L30" s="195" t="str">
        <f>IF(VLOOKUP($E30,TaskValues_ref!$E:$Z,11,FALSE)=0,"",VLOOKUP($E30,TaskValues_ref!$E:$Z,11,FALSE))</f>
        <v/>
      </c>
      <c r="M30" t="str">
        <f>IF(VLOOKUP($E30,TaskValues_ref!$E:$Z,13,FALSE)=0,"",VLOOKUP($E30,TaskValues_ref!$E:$Z,13,FALSE))</f>
        <v/>
      </c>
      <c r="N30" s="89">
        <f>IF(VLOOKUP($E30,TaskValues_ref!$E:$Z,15,FALSE)=0,"",VLOOKUP($E30,TaskValues_ref!$E:$Z,15,FALSE))</f>
        <v>0.98</v>
      </c>
      <c r="O30">
        <f>IF(VLOOKUP($E30,TaskValues_ref!$E:$Z,16,FALSE)=0,"",VLOOKUP($E30,TaskValues_ref!$E:$Z,16,FALSE))</f>
        <v>1</v>
      </c>
      <c r="P30" t="str">
        <f>IF(VLOOKUP($E30,TaskValues_ref!$E:$Z,17,FALSE)=0,"",VLOOKUP($E30,TaskValues_ref!$E:$Z,17,FALSE))</f>
        <v/>
      </c>
      <c r="Q30">
        <f>IF(VLOOKUP($E30,TaskValues_ref!$E:$Z,18,FALSE)=0,"",VLOOKUP($E30,TaskValues_ref!$E:$Z,18,FALSE))</f>
        <v>10</v>
      </c>
      <c r="R30" t="str">
        <f>IF(VLOOKUP($E30,TaskValues_ref!$E:$Z,19,FALSE)=0,"",VLOOKUP($E30,TaskValues_ref!$E:$Z,19,FALSE))</f>
        <v/>
      </c>
      <c r="S30" t="str">
        <f>IF(VLOOKUP($E30,TaskValues_ref!$E:$Z,20,FALSE)=0,"",VLOOKUP($E30,TaskValues_ref!$E:$Z,20,FALSE))</f>
        <v/>
      </c>
    </row>
    <row r="31" spans="1:19" x14ac:dyDescent="0.45">
      <c r="A31" t="s">
        <v>2163</v>
      </c>
      <c r="B31" s="66" t="s">
        <v>2213</v>
      </c>
      <c r="D31" s="324">
        <v>28</v>
      </c>
      <c r="E31" s="64" t="str">
        <f t="shared" si="0"/>
        <v>FH.MN.28</v>
      </c>
      <c r="F31" t="str">
        <f>VLOOKUP(E31,TaskValues_ref!E:F,2,FALSE)</f>
        <v>Scabies</v>
      </c>
      <c r="G31" t="str">
        <f>VLOOKUP($E31,TaskValues_ref!$E:$Z,3,FALSE)</f>
        <v>Clinical</v>
      </c>
      <c r="H31" t="str">
        <f>VLOOKUP($E31,TaskValues_ref!$E:$Z,4,FALSE)</f>
        <v>Acute</v>
      </c>
      <c r="I31" t="str">
        <f>VLOOKUP($E31,TaskValues_ref!$E:$Z,5,FALSE)</f>
        <v>Sick child</v>
      </c>
      <c r="J31" s="257" t="str">
        <f>VLOOKUP($E31,TaskValues_ref!$E:$Z,6,FALSE)</f>
        <v>15 yo</v>
      </c>
      <c r="K31" t="str">
        <f>VLOOKUP($E31,TaskValues_ref!$E:$Z,10,FALSE)</f>
        <v>Amhara</v>
      </c>
      <c r="L31" s="195">
        <f>IF(VLOOKUP($E31,TaskValues_ref!$E:$Z,11,FALSE)=0,"",VLOOKUP($E31,TaskValues_ref!$E:$Z,11,FALSE))</f>
        <v>9.6999999999999989E-2</v>
      </c>
      <c r="M31" t="str">
        <f>IF(VLOOKUP($E31,TaskValues_ref!$E:$Z,13,FALSE)=0,"",VLOOKUP($E31,TaskValues_ref!$E:$Z,13,FALSE))</f>
        <v/>
      </c>
      <c r="N31" s="89">
        <f>IF(VLOOKUP($E31,TaskValues_ref!$E:$Z,15,FALSE)=0,"",VLOOKUP($E31,TaskValues_ref!$E:$Z,15,FALSE))</f>
        <v>0.98</v>
      </c>
      <c r="O31">
        <f>IF(VLOOKUP($E31,TaskValues_ref!$E:$Z,16,FALSE)=0,"",VLOOKUP($E31,TaskValues_ref!$E:$Z,16,FALSE))</f>
        <v>1</v>
      </c>
      <c r="P31" t="str">
        <f>IF(VLOOKUP($E31,TaskValues_ref!$E:$Z,17,FALSE)=0,"",VLOOKUP($E31,TaskValues_ref!$E:$Z,17,FALSE))</f>
        <v/>
      </c>
      <c r="Q31">
        <f>IF(VLOOKUP($E31,TaskValues_ref!$E:$Z,18,FALSE)=0,"",VLOOKUP($E31,TaskValues_ref!$E:$Z,18,FALSE))</f>
        <v>5</v>
      </c>
      <c r="R31" t="str">
        <f>IF(VLOOKUP($E31,TaskValues_ref!$E:$Z,19,FALSE)=0,"",VLOOKUP($E31,TaskValues_ref!$E:$Z,19,FALSE))</f>
        <v/>
      </c>
      <c r="S31" t="str">
        <f>IF(VLOOKUP($E31,TaskValues_ref!$E:$Z,20,FALSE)=0,"",VLOOKUP($E31,TaskValues_ref!$E:$Z,20,FALSE))</f>
        <v/>
      </c>
    </row>
    <row r="32" spans="1:19" x14ac:dyDescent="0.45">
      <c r="A32" t="s">
        <v>2163</v>
      </c>
      <c r="B32" s="66" t="s">
        <v>2213</v>
      </c>
      <c r="D32" s="324">
        <v>29</v>
      </c>
      <c r="E32" s="64" t="str">
        <f t="shared" si="0"/>
        <v>FH.MN.29</v>
      </c>
      <c r="F32" t="str">
        <f>VLOOKUP(E32,TaskValues_ref!E:F,2,FALSE)</f>
        <v>Child abuse</v>
      </c>
      <c r="G32" t="str">
        <f>VLOOKUP($E32,TaskValues_ref!$E:$Z,3,FALSE)</f>
        <v>Non-clinical</v>
      </c>
      <c r="H32" t="str">
        <f>VLOOKUP($E32,TaskValues_ref!$E:$Z,4,FALSE)</f>
        <v>Public Health</v>
      </c>
      <c r="I32" t="str">
        <f>VLOOKUP($E32,TaskValues_ref!$E:$Z,5,FALSE)</f>
        <v>-</v>
      </c>
      <c r="J32" s="257" t="str">
        <f>VLOOKUP($E32,TaskValues_ref!$E:$Z,6,FALSE)</f>
        <v>18 yo adults</v>
      </c>
      <c r="K32" t="str">
        <f>VLOOKUP($E32,TaskValues_ref!$E:$Z,10,FALSE)</f>
        <v>Amhara</v>
      </c>
      <c r="L32" s="195">
        <f>IF(VLOOKUP($E32,TaskValues_ref!$E:$Z,11,FALSE)=0,"",VLOOKUP($E32,TaskValues_ref!$E:$Z,11,FALSE))</f>
        <v>0.1</v>
      </c>
      <c r="M32" t="str">
        <f>IF(VLOOKUP($E32,TaskValues_ref!$E:$Z,13,FALSE)=0,"",VLOOKUP($E32,TaskValues_ref!$E:$Z,13,FALSE))</f>
        <v/>
      </c>
      <c r="N32" s="89">
        <f>IF(VLOOKUP($E32,TaskValues_ref!$E:$Z,15,FALSE)=0,"",VLOOKUP($E32,TaskValues_ref!$E:$Z,15,FALSE))</f>
        <v>1</v>
      </c>
      <c r="O32">
        <f>IF(VLOOKUP($E32,TaskValues_ref!$E:$Z,16,FALSE)=0,"",VLOOKUP($E32,TaskValues_ref!$E:$Z,16,FALSE))</f>
        <v>2</v>
      </c>
      <c r="P32" t="str">
        <f>IF(VLOOKUP($E32,TaskValues_ref!$E:$Z,17,FALSE)=0,"",VLOOKUP($E32,TaskValues_ref!$E:$Z,17,FALSE))</f>
        <v/>
      </c>
      <c r="Q32">
        <f>IF(VLOOKUP($E32,TaskValues_ref!$E:$Z,18,FALSE)=0,"",VLOOKUP($E32,TaskValues_ref!$E:$Z,18,FALSE))</f>
        <v>15</v>
      </c>
      <c r="R32" t="str">
        <f>IF(VLOOKUP($E32,TaskValues_ref!$E:$Z,19,FALSE)=0,"",VLOOKUP($E32,TaskValues_ref!$E:$Z,19,FALSE))</f>
        <v/>
      </c>
      <c r="S32" t="str">
        <f>IF(VLOOKUP($E32,TaskValues_ref!$E:$Z,20,FALSE)=0,"",VLOOKUP($E32,TaskValues_ref!$E:$Z,20,FALSE))</f>
        <v/>
      </c>
    </row>
    <row r="33" spans="1:19" x14ac:dyDescent="0.45">
      <c r="A33" t="s">
        <v>2163</v>
      </c>
      <c r="B33" s="66" t="s">
        <v>2213</v>
      </c>
      <c r="D33" s="324">
        <v>30</v>
      </c>
      <c r="E33" s="64" t="str">
        <f t="shared" si="0"/>
        <v>FH.MN.30</v>
      </c>
      <c r="F33" t="str">
        <f>VLOOKUP(E33,TaskValues_ref!E:F,2,FALSE)</f>
        <v>Social services</v>
      </c>
      <c r="G33" t="str">
        <f>VLOOKUP($E33,TaskValues_ref!$E:$Z,3,FALSE)</f>
        <v>Non-clinical</v>
      </c>
      <c r="H33" t="str">
        <f>VLOOKUP($E33,TaskValues_ref!$E:$Z,4,FALSE)</f>
        <v>Public Health</v>
      </c>
      <c r="I33" t="str">
        <f>VLOOKUP($E33,TaskValues_ref!$E:$Z,5,FALSE)</f>
        <v>-</v>
      </c>
      <c r="J33" s="257" t="str">
        <f>VLOOKUP($E33,TaskValues_ref!$E:$Z,6,FALSE)</f>
        <v>1-18</v>
      </c>
      <c r="K33" t="str">
        <f>VLOOKUP($E33,TaskValues_ref!$E:$Z,10,FALSE)</f>
        <v>Amhara</v>
      </c>
      <c r="L33" s="195" t="str">
        <f>IF(VLOOKUP($E33,TaskValues_ref!$E:$Z,11,FALSE)=0,"",VLOOKUP($E33,TaskValues_ref!$E:$Z,11,FALSE))</f>
        <v/>
      </c>
      <c r="M33" t="str">
        <f>IF(VLOOKUP($E33,TaskValues_ref!$E:$Z,13,FALSE)=0,"",VLOOKUP($E33,TaskValues_ref!$E:$Z,13,FALSE))</f>
        <v/>
      </c>
      <c r="N33" s="89">
        <f>IF(VLOOKUP($E33,TaskValues_ref!$E:$Z,15,FALSE)=0,"",VLOOKUP($E33,TaskValues_ref!$E:$Z,15,FALSE))</f>
        <v>1</v>
      </c>
      <c r="O33">
        <f>IF(VLOOKUP($E33,TaskValues_ref!$E:$Z,16,FALSE)=0,"",VLOOKUP($E33,TaskValues_ref!$E:$Z,16,FALSE))</f>
        <v>2</v>
      </c>
      <c r="P33" t="str">
        <f>IF(VLOOKUP($E33,TaskValues_ref!$E:$Z,17,FALSE)=0,"",VLOOKUP($E33,TaskValues_ref!$E:$Z,17,FALSE))</f>
        <v/>
      </c>
      <c r="Q33">
        <f>IF(VLOOKUP($E33,TaskValues_ref!$E:$Z,18,FALSE)=0,"",VLOOKUP($E33,TaskValues_ref!$E:$Z,18,FALSE))</f>
        <v>15</v>
      </c>
      <c r="R33" t="str">
        <f>IF(VLOOKUP($E33,TaskValues_ref!$E:$Z,19,FALSE)=0,"",VLOOKUP($E33,TaskValues_ref!$E:$Z,19,FALSE))</f>
        <v/>
      </c>
      <c r="S33" t="str">
        <f>IF(VLOOKUP($E33,TaskValues_ref!$E:$Z,20,FALSE)=0,"",VLOOKUP($E33,TaskValues_ref!$E:$Z,20,FALSE))</f>
        <v/>
      </c>
    </row>
    <row r="34" spans="1:19" x14ac:dyDescent="0.45">
      <c r="A34" t="s">
        <v>2163</v>
      </c>
      <c r="B34" s="66" t="s">
        <v>2235</v>
      </c>
      <c r="D34" s="324">
        <v>31</v>
      </c>
      <c r="E34" s="64" t="s">
        <v>2253</v>
      </c>
      <c r="F34" t="str">
        <f>VLOOKUP(E34,TaskValues_ref!E:F,2,FALSE)</f>
        <v>Promotion of immunization</v>
      </c>
      <c r="G34" t="str">
        <f>VLOOKUP($E34,TaskValues_ref!$E:$Z,3,FALSE)</f>
        <v>Non-clinical</v>
      </c>
      <c r="H34" t="str">
        <f>VLOOKUP($E34,TaskValues_ref!$E:$Z,4,FALSE)</f>
        <v>Public Health</v>
      </c>
      <c r="I34" t="str">
        <f>VLOOKUP($E34,TaskValues_ref!$E:$Z,5,FALSE)</f>
        <v>Immunization</v>
      </c>
      <c r="J34" s="257" t="str">
        <f>VLOOKUP($E34,TaskValues_ref!$E:$Z,6,FALSE)</f>
        <v>-</v>
      </c>
      <c r="K34" t="str">
        <f>VLOOKUP($E34,TaskValues_ref!$E:$Z,10,FALSE)</f>
        <v>Amhara</v>
      </c>
      <c r="L34" s="195" t="str">
        <f>IF(VLOOKUP($E34,TaskValues_ref!$E:$Z,11,FALSE)=0,"",VLOOKUP($E34,TaskValues_ref!$E:$Z,11,FALSE))</f>
        <v/>
      </c>
      <c r="M34" t="str">
        <f>IF(VLOOKUP($E34,TaskValues_ref!$E:$Z,13,FALSE)=0,"",VLOOKUP($E34,TaskValues_ref!$E:$Z,13,FALSE))</f>
        <v/>
      </c>
      <c r="N34" s="89" t="str">
        <f>IF(VLOOKUP($E34,TaskValues_ref!$E:$Z,15,FALSE)=0,"",VLOOKUP($E34,TaskValues_ref!$E:$Z,15,FALSE))</f>
        <v/>
      </c>
      <c r="O34" t="str">
        <f>IF(VLOOKUP($E34,TaskValues_ref!$E:$Z,16,FALSE)=0,"",VLOOKUP($E34,TaskValues_ref!$E:$Z,16,FALSE))</f>
        <v/>
      </c>
      <c r="P34" t="str">
        <f>IF(VLOOKUP($E34,TaskValues_ref!$E:$Z,17,FALSE)=0,"",VLOOKUP($E34,TaskValues_ref!$E:$Z,17,FALSE))</f>
        <v/>
      </c>
      <c r="Q34" t="str">
        <f>IF(VLOOKUP($E34,TaskValues_ref!$E:$Z,18,FALSE)=0,"",VLOOKUP($E34,TaskValues_ref!$E:$Z,18,FALSE))</f>
        <v/>
      </c>
      <c r="R34" t="str">
        <f>IF(VLOOKUP($E34,TaskValues_ref!$E:$Z,19,FALSE)=0,"",VLOOKUP($E34,TaskValues_ref!$E:$Z,19,FALSE))</f>
        <v/>
      </c>
      <c r="S34" t="str">
        <f>IF(VLOOKUP($E34,TaskValues_ref!$E:$Z,20,FALSE)=0,"",VLOOKUP($E34,TaskValues_ref!$E:$Z,20,FALSE))</f>
        <v/>
      </c>
    </row>
    <row r="35" spans="1:19" x14ac:dyDescent="0.45">
      <c r="A35" t="s">
        <v>2163</v>
      </c>
      <c r="B35" s="66" t="s">
        <v>2235</v>
      </c>
      <c r="D35" s="324">
        <v>32</v>
      </c>
      <c r="E35" s="64" t="s">
        <v>2259</v>
      </c>
      <c r="F35" t="str">
        <f>VLOOKUP(E35,TaskValues_ref!E:F,2,FALSE)</f>
        <v>RI birth</v>
      </c>
      <c r="G35" t="str">
        <f>VLOOKUP($E35,TaskValues_ref!$E:$Z,3,FALSE)</f>
        <v>Clinical</v>
      </c>
      <c r="H35" t="str">
        <f>VLOOKUP($E35,TaskValues_ref!$E:$Z,4,FALSE)</f>
        <v>Preventive</v>
      </c>
      <c r="I35" t="str">
        <f>VLOOKUP($E35,TaskValues_ref!$E:$Z,5,FALSE)</f>
        <v>Immunization</v>
      </c>
      <c r="J35" s="257" t="str">
        <f>VLOOKUP($E35,TaskValues_ref!$E:$Z,6,FALSE)</f>
        <v>births</v>
      </c>
      <c r="K35" t="str">
        <f>VLOOKUP($E35,TaskValues_ref!$E:$Z,10,FALSE)</f>
        <v>Amhara</v>
      </c>
      <c r="M35" t="str">
        <f>IF(VLOOKUP($E35,TaskValues_ref!$E:$Z,13,FALSE)=0,"",VLOOKUP($E35,TaskValues_ref!$E:$Z,13,FALSE))</f>
        <v/>
      </c>
      <c r="N35" s="89" t="str">
        <f>IF(VLOOKUP($E35,TaskValues_ref!$E:$Z,15,FALSE)=0,"",VLOOKUP($E35,TaskValues_ref!$E:$Z,15,FALSE))</f>
        <v/>
      </c>
      <c r="O35" t="str">
        <f>IF(VLOOKUP($E35,TaskValues_ref!$E:$Z,16,FALSE)=0,"",VLOOKUP($E35,TaskValues_ref!$E:$Z,16,FALSE))</f>
        <v/>
      </c>
      <c r="P35" t="str">
        <f>IF(VLOOKUP($E35,TaskValues_ref!$E:$Z,17,FALSE)=0,"",VLOOKUP($E35,TaskValues_ref!$E:$Z,17,FALSE))</f>
        <v/>
      </c>
      <c r="Q35" t="str">
        <f>IF(VLOOKUP($E35,TaskValues_ref!$E:$Z,18,FALSE)=0,"",VLOOKUP($E35,TaskValues_ref!$E:$Z,18,FALSE))</f>
        <v/>
      </c>
      <c r="R35" t="str">
        <f>IF(VLOOKUP($E35,TaskValues_ref!$E:$Z,19,FALSE)=0,"",VLOOKUP($E35,TaskValues_ref!$E:$Z,19,FALSE))</f>
        <v/>
      </c>
      <c r="S35" t="str">
        <f>IF(VLOOKUP($E35,TaskValues_ref!$E:$Z,20,FALSE)=0,"",VLOOKUP($E35,TaskValues_ref!$E:$Z,20,FALSE))</f>
        <v/>
      </c>
    </row>
    <row r="36" spans="1:19" x14ac:dyDescent="0.45">
      <c r="A36" t="s">
        <v>2163</v>
      </c>
      <c r="B36" s="66" t="s">
        <v>2235</v>
      </c>
      <c r="D36" s="324">
        <v>32</v>
      </c>
      <c r="E36" s="64" t="s">
        <v>2260</v>
      </c>
      <c r="F36" t="str">
        <f>VLOOKUP(E36,TaskValues_ref!E:F,2,FALSE)</f>
        <v>RI 1st year</v>
      </c>
      <c r="G36" t="str">
        <f>VLOOKUP($E36,TaskValues_ref!$E:$Z,3,FALSE)</f>
        <v>Clinical</v>
      </c>
      <c r="H36" t="str">
        <f>VLOOKUP($E36,TaskValues_ref!$E:$Z,4,FALSE)</f>
        <v>Preventive</v>
      </c>
      <c r="I36" t="str">
        <f>VLOOKUP($E36,TaskValues_ref!$E:$Z,5,FALSE)</f>
        <v>Immunization</v>
      </c>
      <c r="J36" s="257" t="str">
        <f>VLOOKUP($E36,TaskValues_ref!$E:$Z,6,FALSE)</f>
        <v>1 yo</v>
      </c>
      <c r="K36" t="str">
        <f>VLOOKUP($E36,TaskValues_ref!$E:$Z,10,FALSE)</f>
        <v>Amhara</v>
      </c>
      <c r="L36" s="195">
        <f>IF(VLOOKUP($E36,TaskValues_ref!$E:$Z,11,FALSE)=0,"",VLOOKUP($E36,TaskValues_ref!$E:$Z,11,FALSE))</f>
        <v>1</v>
      </c>
      <c r="M36" t="str">
        <f>IF(VLOOKUP($E36,TaskValues_ref!$E:$Z,13,FALSE)=0,"",VLOOKUP($E36,TaskValues_ref!$E:$Z,13,FALSE))</f>
        <v/>
      </c>
      <c r="N36" s="89">
        <f>IF(VLOOKUP($E36,TaskValues_ref!$E:$Z,15,FALSE)=0,"",VLOOKUP($E36,TaskValues_ref!$E:$Z,15,FALSE))</f>
        <v>1</v>
      </c>
      <c r="O36">
        <f>IF(VLOOKUP($E36,TaskValues_ref!$E:$Z,16,FALSE)=0,"",VLOOKUP($E36,TaskValues_ref!$E:$Z,16,FALSE))</f>
        <v>4</v>
      </c>
      <c r="P36" t="str">
        <f>IF(VLOOKUP($E36,TaskValues_ref!$E:$Z,17,FALSE)=0,"",VLOOKUP($E36,TaskValues_ref!$E:$Z,17,FALSE))</f>
        <v/>
      </c>
      <c r="Q36">
        <f>IF(VLOOKUP($E36,TaskValues_ref!$E:$Z,18,FALSE)=0,"",VLOOKUP($E36,TaskValues_ref!$E:$Z,18,FALSE))</f>
        <v>5</v>
      </c>
      <c r="R36" t="str">
        <f>IF(VLOOKUP($E36,TaskValues_ref!$E:$Z,19,FALSE)=0,"",VLOOKUP($E36,TaskValues_ref!$E:$Z,19,FALSE))</f>
        <v/>
      </c>
      <c r="S36" t="str">
        <f>IF(VLOOKUP($E36,TaskValues_ref!$E:$Z,20,FALSE)=0,"",VLOOKUP($E36,TaskValues_ref!$E:$Z,20,FALSE))</f>
        <v/>
      </c>
    </row>
    <row r="37" spans="1:19" x14ac:dyDescent="0.45">
      <c r="A37" t="s">
        <v>2163</v>
      </c>
      <c r="B37" s="66" t="s">
        <v>2235</v>
      </c>
      <c r="D37" s="324">
        <v>32</v>
      </c>
      <c r="E37" s="64" t="s">
        <v>2261</v>
      </c>
      <c r="F37" t="str">
        <f>VLOOKUP(E37,TaskValues_ref!E:F,2,FALSE)</f>
        <v>RI 2nd year</v>
      </c>
      <c r="G37" t="str">
        <f>VLOOKUP($E37,TaskValues_ref!$E:$Z,3,FALSE)</f>
        <v>Clinical</v>
      </c>
      <c r="H37" t="str">
        <f>VLOOKUP($E37,TaskValues_ref!$E:$Z,4,FALSE)</f>
        <v>Preventive</v>
      </c>
      <c r="I37" t="str">
        <f>VLOOKUP($E37,TaskValues_ref!$E:$Z,5,FALSE)</f>
        <v>Immunization</v>
      </c>
      <c r="J37" s="257" t="str">
        <f>VLOOKUP($E37,TaskValues_ref!$E:$Z,6,FALSE)</f>
        <v>2 yo</v>
      </c>
      <c r="K37" t="str">
        <f>VLOOKUP($E37,TaskValues_ref!$E:$Z,10,FALSE)</f>
        <v>Amhara</v>
      </c>
      <c r="L37" s="195">
        <f>IF(VLOOKUP($E37,TaskValues_ref!$E:$Z,11,FALSE)=0,"",VLOOKUP($E37,TaskValues_ref!$E:$Z,11,FALSE))</f>
        <v>1</v>
      </c>
      <c r="M37" t="str">
        <f>IF(VLOOKUP($E37,TaskValues_ref!$E:$Z,13,FALSE)=0,"",VLOOKUP($E37,TaskValues_ref!$E:$Z,13,FALSE))</f>
        <v/>
      </c>
      <c r="N37" s="89">
        <f>IF(VLOOKUP($E37,TaskValues_ref!$E:$Z,15,FALSE)=0,"",VLOOKUP($E37,TaskValues_ref!$E:$Z,15,FALSE))</f>
        <v>1</v>
      </c>
      <c r="O37">
        <f>IF(VLOOKUP($E37,TaskValues_ref!$E:$Z,16,FALSE)=0,"",VLOOKUP($E37,TaskValues_ref!$E:$Z,16,FALSE))</f>
        <v>1</v>
      </c>
      <c r="P37" t="str">
        <f>IF(VLOOKUP($E37,TaskValues_ref!$E:$Z,17,FALSE)=0,"",VLOOKUP($E37,TaskValues_ref!$E:$Z,17,FALSE))</f>
        <v/>
      </c>
      <c r="Q37">
        <f>IF(VLOOKUP($E37,TaskValues_ref!$E:$Z,18,FALSE)=0,"",VLOOKUP($E37,TaskValues_ref!$E:$Z,18,FALSE))</f>
        <v>5</v>
      </c>
      <c r="R37" t="str">
        <f>IF(VLOOKUP($E37,TaskValues_ref!$E:$Z,19,FALSE)=0,"",VLOOKUP($E37,TaskValues_ref!$E:$Z,19,FALSE))</f>
        <v/>
      </c>
      <c r="S37" t="str">
        <f>IF(VLOOKUP($E37,TaskValues_ref!$E:$Z,20,FALSE)=0,"",VLOOKUP($E37,TaskValues_ref!$E:$Z,20,FALSE))</f>
        <v/>
      </c>
    </row>
    <row r="38" spans="1:19" x14ac:dyDescent="0.45">
      <c r="A38" t="s">
        <v>2163</v>
      </c>
      <c r="B38" s="66" t="s">
        <v>2235</v>
      </c>
      <c r="D38" s="324">
        <v>32</v>
      </c>
      <c r="E38" s="64" t="s">
        <v>2262</v>
      </c>
      <c r="F38" t="str">
        <f>VLOOKUP(E38,TaskValues_ref!E:F,2,FALSE)</f>
        <v>RI Td CBA</v>
      </c>
      <c r="G38" t="str">
        <f>VLOOKUP($E38,TaskValues_ref!$E:$Z,3,FALSE)</f>
        <v>Clinical</v>
      </c>
      <c r="H38" t="str">
        <f>VLOOKUP($E38,TaskValues_ref!$E:$Z,4,FALSE)</f>
        <v>Preventive</v>
      </c>
      <c r="I38" t="str">
        <f>VLOOKUP($E38,TaskValues_ref!$E:$Z,5,FALSE)</f>
        <v>Immunization</v>
      </c>
      <c r="J38" s="257" t="str">
        <f>VLOOKUP($E38,TaskValues_ref!$E:$Z,6,FALSE)</f>
        <v>births</v>
      </c>
      <c r="K38" t="str">
        <f>VLOOKUP($E38,TaskValues_ref!$E:$Z,10,FALSE)</f>
        <v>Amhara</v>
      </c>
      <c r="L38" s="195">
        <f>IF(VLOOKUP($E38,TaskValues_ref!$E:$Z,11,FALSE)=0,"",VLOOKUP($E38,TaskValues_ref!$E:$Z,11,FALSE))</f>
        <v>1</v>
      </c>
      <c r="M38" t="str">
        <f>IF(VLOOKUP($E38,TaskValues_ref!$E:$Z,13,FALSE)=0,"",VLOOKUP($E38,TaskValues_ref!$E:$Z,13,FALSE))</f>
        <v/>
      </c>
      <c r="N38" s="89">
        <f>IF(VLOOKUP($E38,TaskValues_ref!$E:$Z,15,FALSE)=0,"",VLOOKUP($E38,TaskValues_ref!$E:$Z,15,FALSE))</f>
        <v>1</v>
      </c>
      <c r="O38">
        <f>IF(VLOOKUP($E38,TaskValues_ref!$E:$Z,16,FALSE)=0,"",VLOOKUP($E38,TaskValues_ref!$E:$Z,16,FALSE))</f>
        <v>2</v>
      </c>
      <c r="P38" t="str">
        <f>IF(VLOOKUP($E38,TaskValues_ref!$E:$Z,17,FALSE)=0,"",VLOOKUP($E38,TaskValues_ref!$E:$Z,17,FALSE))</f>
        <v/>
      </c>
      <c r="Q38" t="str">
        <f>IF(VLOOKUP($E38,TaskValues_ref!$E:$Z,18,FALSE)=0,"",VLOOKUP($E38,TaskValues_ref!$E:$Z,18,FALSE))</f>
        <v/>
      </c>
      <c r="R38" t="str">
        <f>IF(VLOOKUP($E38,TaskValues_ref!$E:$Z,19,FALSE)=0,"",VLOOKUP($E38,TaskValues_ref!$E:$Z,19,FALSE))</f>
        <v/>
      </c>
      <c r="S38" t="str">
        <f>IF(VLOOKUP($E38,TaskValues_ref!$E:$Z,20,FALSE)=0,"",VLOOKUP($E38,TaskValues_ref!$E:$Z,20,FALSE))</f>
        <v/>
      </c>
    </row>
    <row r="39" spans="1:19" x14ac:dyDescent="0.45">
      <c r="A39" t="s">
        <v>2163</v>
      </c>
      <c r="B39" s="66" t="s">
        <v>2235</v>
      </c>
      <c r="D39" s="324">
        <v>33</v>
      </c>
      <c r="E39" s="64" t="s">
        <v>2254</v>
      </c>
      <c r="F39" t="str">
        <f>VLOOKUP(E39,TaskValues_ref!E:F,2,FALSE)</f>
        <v>SIAs</v>
      </c>
      <c r="G39" t="str">
        <f>VLOOKUP($E39,TaskValues_ref!$E:$Z,3,FALSE)</f>
        <v>Clinical</v>
      </c>
      <c r="H39" t="str">
        <f>VLOOKUP($E39,TaskValues_ref!$E:$Z,4,FALSE)</f>
        <v>Preventive</v>
      </c>
      <c r="I39" t="str">
        <f>VLOOKUP($E39,TaskValues_ref!$E:$Z,5,FALSE)</f>
        <v>Immunization</v>
      </c>
      <c r="J39" s="257" t="str">
        <f>VLOOKUP($E39,TaskValues_ref!$E:$Z,6,FALSE)</f>
        <v>1-4</v>
      </c>
      <c r="K39" t="str">
        <f>VLOOKUP($E39,TaskValues_ref!$E:$Z,10,FALSE)</f>
        <v>Amhara</v>
      </c>
      <c r="L39" s="195">
        <f>IF(VLOOKUP($E39,TaskValues_ref!$E:$Z,11,FALSE)=0,"",VLOOKUP($E39,TaskValues_ref!$E:$Z,11,FALSE))</f>
        <v>1</v>
      </c>
      <c r="M39" t="str">
        <f>IF(VLOOKUP($E39,TaskValues_ref!$E:$Z,13,FALSE)=0,"",VLOOKUP($E39,TaskValues_ref!$E:$Z,13,FALSE))</f>
        <v/>
      </c>
      <c r="N39" s="89" t="str">
        <f>IF(VLOOKUP($E39,TaskValues_ref!$E:$Z,15,FALSE)=0,"",VLOOKUP($E39,TaskValues_ref!$E:$Z,15,FALSE))</f>
        <v/>
      </c>
      <c r="O39" t="str">
        <f>IF(VLOOKUP($E39,TaskValues_ref!$E:$Z,16,FALSE)=0,"",VLOOKUP($E39,TaskValues_ref!$E:$Z,16,FALSE))</f>
        <v/>
      </c>
      <c r="P39">
        <f>IF(VLOOKUP($E39,TaskValues_ref!$E:$Z,17,FALSE)=0,"",VLOOKUP($E39,TaskValues_ref!$E:$Z,17,FALSE))</f>
        <v>1</v>
      </c>
      <c r="Q39">
        <f>IF(VLOOKUP($E39,TaskValues_ref!$E:$Z,18,FALSE)=0,"",VLOOKUP($E39,TaskValues_ref!$E:$Z,18,FALSE))</f>
        <v>2</v>
      </c>
      <c r="R39" t="str">
        <f>IF(VLOOKUP($E39,TaskValues_ref!$E:$Z,19,FALSE)=0,"",VLOOKUP($E39,TaskValues_ref!$E:$Z,19,FALSE))</f>
        <v/>
      </c>
      <c r="S39" t="str">
        <f>IF(VLOOKUP($E39,TaskValues_ref!$E:$Z,20,FALSE)=0,"",VLOOKUP($E39,TaskValues_ref!$E:$Z,20,FALSE))</f>
        <v/>
      </c>
    </row>
    <row r="40" spans="1:19" x14ac:dyDescent="0.45">
      <c r="A40" t="s">
        <v>2163</v>
      </c>
      <c r="B40" s="66" t="s">
        <v>2235</v>
      </c>
      <c r="D40" s="324">
        <v>34</v>
      </c>
      <c r="E40" s="64" t="s">
        <v>2255</v>
      </c>
      <c r="F40" t="str">
        <f>VLOOKUP(E40,TaskValues_ref!E:F,2,FALSE)</f>
        <v>RI adverse effects</v>
      </c>
      <c r="G40" t="str">
        <f>VLOOKUP($E40,TaskValues_ref!$E:$Z,3,FALSE)</f>
        <v>Clinical</v>
      </c>
      <c r="H40" t="str">
        <f>VLOOKUP($E40,TaskValues_ref!$E:$Z,4,FALSE)</f>
        <v>Acute</v>
      </c>
      <c r="I40" t="str">
        <f>VLOOKUP($E40,TaskValues_ref!$E:$Z,5,FALSE)</f>
        <v>Immunization</v>
      </c>
      <c r="J40" s="257" t="str">
        <f>VLOOKUP($E40,TaskValues_ref!$E:$Z,6,FALSE)</f>
        <v>-</v>
      </c>
      <c r="K40" t="str">
        <f>VLOOKUP($E40,TaskValues_ref!$E:$Z,10,FALSE)</f>
        <v>Amhara</v>
      </c>
      <c r="L40" s="195">
        <f>IF(VLOOKUP($E40,TaskValues_ref!$E:$Z,11,FALSE)=0,"",VLOOKUP($E40,TaskValues_ref!$E:$Z,11,FALSE))</f>
        <v>1.4999999999999999E-2</v>
      </c>
      <c r="M40" t="str">
        <f>IF(VLOOKUP($E40,TaskValues_ref!$E:$Z,13,FALSE)=0,"",VLOOKUP($E40,TaskValues_ref!$E:$Z,13,FALSE))</f>
        <v/>
      </c>
      <c r="N40" s="89">
        <f>IF(VLOOKUP($E40,TaskValues_ref!$E:$Z,15,FALSE)=0,"",VLOOKUP($E40,TaskValues_ref!$E:$Z,15,FALSE))</f>
        <v>1</v>
      </c>
      <c r="O40">
        <f>IF(VLOOKUP($E40,TaskValues_ref!$E:$Z,16,FALSE)=0,"",VLOOKUP($E40,TaskValues_ref!$E:$Z,16,FALSE))</f>
        <v>1</v>
      </c>
      <c r="P40" t="str">
        <f>IF(VLOOKUP($E40,TaskValues_ref!$E:$Z,17,FALSE)=0,"",VLOOKUP($E40,TaskValues_ref!$E:$Z,17,FALSE))</f>
        <v/>
      </c>
      <c r="Q40">
        <f>IF(VLOOKUP($E40,TaskValues_ref!$E:$Z,18,FALSE)=0,"",VLOOKUP($E40,TaskValues_ref!$E:$Z,18,FALSE))</f>
        <v>5</v>
      </c>
      <c r="R40" t="str">
        <f>IF(VLOOKUP($E40,TaskValues_ref!$E:$Z,19,FALSE)=0,"",VLOOKUP($E40,TaskValues_ref!$E:$Z,19,FALSE))</f>
        <v/>
      </c>
      <c r="S40" t="str">
        <f>IF(VLOOKUP($E40,TaskValues_ref!$E:$Z,20,FALSE)=0,"",VLOOKUP($E40,TaskValues_ref!$E:$Z,20,FALSE))</f>
        <v/>
      </c>
    </row>
    <row r="41" spans="1:19" x14ac:dyDescent="0.45">
      <c r="A41" t="s">
        <v>2163</v>
      </c>
      <c r="B41" s="66" t="s">
        <v>2235</v>
      </c>
      <c r="D41" s="324">
        <v>35</v>
      </c>
      <c r="E41" s="64" t="s">
        <v>2256</v>
      </c>
      <c r="F41" t="str">
        <f>VLOOKUP(E41,TaskValues_ref!E:F,2,FALSE)</f>
        <v>Outbreak detection &amp; response</v>
      </c>
      <c r="G41" t="str">
        <f>VLOOKUP($E41,TaskValues_ref!$E:$Z,3,FALSE)</f>
        <v>Non-clinical</v>
      </c>
      <c r="H41" t="str">
        <f>VLOOKUP($E41,TaskValues_ref!$E:$Z,4,FALSE)</f>
        <v>Public Health</v>
      </c>
      <c r="I41" t="str">
        <f>VLOOKUP($E41,TaskValues_ref!$E:$Z,5,FALSE)</f>
        <v>Immunization</v>
      </c>
      <c r="J41" s="257" t="str">
        <f>VLOOKUP($E41,TaskValues_ref!$E:$Z,6,FALSE)</f>
        <v>-</v>
      </c>
      <c r="K41" t="str">
        <f>VLOOKUP($E41,TaskValues_ref!$E:$Z,10,FALSE)</f>
        <v>Amhara</v>
      </c>
      <c r="L41" s="195" t="str">
        <f>IF(VLOOKUP($E41,TaskValues_ref!$E:$Z,11,FALSE)=0,"",VLOOKUP($E41,TaskValues_ref!$E:$Z,11,FALSE))</f>
        <v/>
      </c>
      <c r="M41" t="str">
        <f>IF(VLOOKUP($E41,TaskValues_ref!$E:$Z,13,FALSE)=0,"",VLOOKUP($E41,TaskValues_ref!$E:$Z,13,FALSE))</f>
        <v/>
      </c>
      <c r="N41" s="89" t="str">
        <f>IF(VLOOKUP($E41,TaskValues_ref!$E:$Z,15,FALSE)=0,"",VLOOKUP($E41,TaskValues_ref!$E:$Z,15,FALSE))</f>
        <v/>
      </c>
      <c r="O41" t="str">
        <f>IF(VLOOKUP($E41,TaskValues_ref!$E:$Z,16,FALSE)=0,"",VLOOKUP($E41,TaskValues_ref!$E:$Z,16,FALSE))</f>
        <v/>
      </c>
      <c r="P41" t="str">
        <f>IF(VLOOKUP($E41,TaskValues_ref!$E:$Z,17,FALSE)=0,"",VLOOKUP($E41,TaskValues_ref!$E:$Z,17,FALSE))</f>
        <v/>
      </c>
      <c r="Q41" t="str">
        <f>IF(VLOOKUP($E41,TaskValues_ref!$E:$Z,18,FALSE)=0,"",VLOOKUP($E41,TaskValues_ref!$E:$Z,18,FALSE))</f>
        <v/>
      </c>
      <c r="R41" t="str">
        <f>IF(VLOOKUP($E41,TaskValues_ref!$E:$Z,19,FALSE)=0,"",VLOOKUP($E41,TaskValues_ref!$E:$Z,19,FALSE))</f>
        <v/>
      </c>
      <c r="S41" t="str">
        <f>IF(VLOOKUP($E41,TaskValues_ref!$E:$Z,20,FALSE)=0,"",VLOOKUP($E41,TaskValues_ref!$E:$Z,20,FALSE))</f>
        <v/>
      </c>
    </row>
    <row r="42" spans="1:19" x14ac:dyDescent="0.45">
      <c r="A42" t="s">
        <v>2163</v>
      </c>
      <c r="B42" s="66" t="s">
        <v>2235</v>
      </c>
      <c r="D42" s="324">
        <v>36</v>
      </c>
      <c r="E42" s="64" t="s">
        <v>2257</v>
      </c>
      <c r="F42" t="str">
        <f>VLOOKUP(E42,TaskValues_ref!E:F,2,FALSE)</f>
        <v>Mobiliation &amp; promotion of EPI</v>
      </c>
      <c r="G42" t="str">
        <f>VLOOKUP($E42,TaskValues_ref!$E:$Z,3,FALSE)</f>
        <v>Non-clinical</v>
      </c>
      <c r="H42" t="str">
        <f>VLOOKUP($E42,TaskValues_ref!$E:$Z,4,FALSE)</f>
        <v>Public Health</v>
      </c>
      <c r="I42" t="str">
        <f>VLOOKUP($E42,TaskValues_ref!$E:$Z,5,FALSE)</f>
        <v>Immunization</v>
      </c>
      <c r="J42" s="257" t="str">
        <f>VLOOKUP($E42,TaskValues_ref!$E:$Z,6,FALSE)</f>
        <v>-</v>
      </c>
      <c r="K42" t="str">
        <f>VLOOKUP($E42,TaskValues_ref!$E:$Z,10,FALSE)</f>
        <v>Amhara</v>
      </c>
      <c r="L42" s="195" t="str">
        <f>IF(VLOOKUP($E42,TaskValues_ref!$E:$Z,11,FALSE)=0,"",VLOOKUP($E42,TaskValues_ref!$E:$Z,11,FALSE))</f>
        <v/>
      </c>
      <c r="M42" t="str">
        <f>IF(VLOOKUP($E42,TaskValues_ref!$E:$Z,13,FALSE)=0,"",VLOOKUP($E42,TaskValues_ref!$E:$Z,13,FALSE))</f>
        <v/>
      </c>
      <c r="N42" s="89" t="str">
        <f>IF(VLOOKUP($E42,TaskValues_ref!$E:$Z,15,FALSE)=0,"",VLOOKUP($E42,TaskValues_ref!$E:$Z,15,FALSE))</f>
        <v/>
      </c>
      <c r="O42" t="str">
        <f>IF(VLOOKUP($E42,TaskValues_ref!$E:$Z,16,FALSE)=0,"",VLOOKUP($E42,TaskValues_ref!$E:$Z,16,FALSE))</f>
        <v/>
      </c>
      <c r="P42" t="str">
        <f>IF(VLOOKUP($E42,TaskValues_ref!$E:$Z,17,FALSE)=0,"",VLOOKUP($E42,TaskValues_ref!$E:$Z,17,FALSE))</f>
        <v/>
      </c>
      <c r="Q42" t="str">
        <f>IF(VLOOKUP($E42,TaskValues_ref!$E:$Z,18,FALSE)=0,"",VLOOKUP($E42,TaskValues_ref!$E:$Z,18,FALSE))</f>
        <v/>
      </c>
      <c r="R42" t="str">
        <f>IF(VLOOKUP($E42,TaskValues_ref!$E:$Z,19,FALSE)=0,"",VLOOKUP($E42,TaskValues_ref!$E:$Z,19,FALSE))</f>
        <v/>
      </c>
      <c r="S42" t="str">
        <f>IF(VLOOKUP($E42,TaskValues_ref!$E:$Z,20,FALSE)=0,"",VLOOKUP($E42,TaskValues_ref!$E:$Z,20,FALSE))</f>
        <v/>
      </c>
    </row>
    <row r="43" spans="1:19" x14ac:dyDescent="0.45">
      <c r="A43" t="s">
        <v>2163</v>
      </c>
      <c r="B43" s="66" t="s">
        <v>2235</v>
      </c>
      <c r="D43" s="324">
        <v>37</v>
      </c>
      <c r="E43" s="64" t="s">
        <v>2258</v>
      </c>
      <c r="F43" t="str">
        <f>VLOOKUP(E43,TaskValues_ref!E:F,2,FALSE)</f>
        <v>VPD surveillance</v>
      </c>
      <c r="G43" t="str">
        <f>VLOOKUP($E43,TaskValues_ref!$E:$Z,3,FALSE)</f>
        <v>Non-productive</v>
      </c>
      <c r="H43" t="str">
        <f>VLOOKUP($E43,TaskValues_ref!$E:$Z,4,FALSE)</f>
        <v>Public Health</v>
      </c>
      <c r="I43" t="str">
        <f>VLOOKUP($E43,TaskValues_ref!$E:$Z,5,FALSE)</f>
        <v>Immunization</v>
      </c>
      <c r="J43" s="257" t="str">
        <f>VLOOKUP($E43,TaskValues_ref!$E:$Z,6,FALSE)</f>
        <v>-</v>
      </c>
      <c r="K43" t="str">
        <f>VLOOKUP($E43,TaskValues_ref!$E:$Z,10,FALSE)</f>
        <v>Amhara</v>
      </c>
      <c r="L43" s="195" t="str">
        <f>IF(VLOOKUP($E43,TaskValues_ref!$E:$Z,11,FALSE)=0,"",VLOOKUP($E43,TaskValues_ref!$E:$Z,11,FALSE))</f>
        <v/>
      </c>
      <c r="M43" t="str">
        <f>IF(VLOOKUP($E43,TaskValues_ref!$E:$Z,13,FALSE)=0,"",VLOOKUP($E43,TaskValues_ref!$E:$Z,13,FALSE))</f>
        <v/>
      </c>
      <c r="N43" s="89" t="str">
        <f>IF(VLOOKUP($E43,TaskValues_ref!$E:$Z,15,FALSE)=0,"",VLOOKUP($E43,TaskValues_ref!$E:$Z,15,FALSE))</f>
        <v/>
      </c>
      <c r="O43" t="str">
        <f>IF(VLOOKUP($E43,TaskValues_ref!$E:$Z,16,FALSE)=0,"",VLOOKUP($E43,TaskValues_ref!$E:$Z,16,FALSE))</f>
        <v/>
      </c>
      <c r="P43" t="str">
        <f>IF(VLOOKUP($E43,TaskValues_ref!$E:$Z,17,FALSE)=0,"",VLOOKUP($E43,TaskValues_ref!$E:$Z,17,FALSE))</f>
        <v/>
      </c>
      <c r="Q43" t="str">
        <f>IF(VLOOKUP($E43,TaskValues_ref!$E:$Z,18,FALSE)=0,"",VLOOKUP($E43,TaskValues_ref!$E:$Z,18,FALSE))</f>
        <v/>
      </c>
      <c r="R43" t="str">
        <f>IF(VLOOKUP($E43,TaskValues_ref!$E:$Z,19,FALSE)=0,"",VLOOKUP($E43,TaskValues_ref!$E:$Z,19,FALSE))</f>
        <v/>
      </c>
      <c r="S43" t="str">
        <f>IF(VLOOKUP($E43,TaskValues_ref!$E:$Z,20,FALSE)=0,"",VLOOKUP($E43,TaskValues_ref!$E:$Z,20,FALSE))</f>
        <v/>
      </c>
    </row>
    <row r="44" spans="1:19" x14ac:dyDescent="0.45">
      <c r="A44" t="s">
        <v>2163</v>
      </c>
      <c r="B44" s="66" t="s">
        <v>2266</v>
      </c>
      <c r="D44" s="324">
        <v>38</v>
      </c>
      <c r="E44" s="64" t="s">
        <v>2293</v>
      </c>
      <c r="F44" t="str">
        <f>VLOOKUP(E44,TaskValues_ref!E:F,2,FALSE)</f>
        <v>FP consult first time</v>
      </c>
      <c r="G44" t="str">
        <f>VLOOKUP($E44,TaskValues_ref!$E:$Z,3,FALSE)</f>
        <v>Clinical</v>
      </c>
      <c r="H44" t="str">
        <f>VLOOKUP($E44,TaskValues_ref!$E:$Z,4,FALSE)</f>
        <v>Preventive</v>
      </c>
      <c r="I44" t="str">
        <f>VLOOKUP($E44,TaskValues_ref!$E:$Z,5,FALSE)</f>
        <v>Family planning</v>
      </c>
      <c r="J44" s="257" t="str">
        <f>VLOOKUP($E44,TaskValues_ref!$E:$Z,6,FALSE)</f>
        <v>18 yo women</v>
      </c>
      <c r="K44" t="str">
        <f>VLOOKUP($E44,TaskValues_ref!$E:$Z,10,FALSE)</f>
        <v>Amhara</v>
      </c>
      <c r="L44" s="195">
        <f>IF(VLOOKUP($E44,TaskValues_ref!$E:$Z,11,FALSE)=0,"",VLOOKUP($E44,TaskValues_ref!$E:$Z,11,FALSE))</f>
        <v>0.45899999999999996</v>
      </c>
      <c r="M44" t="str">
        <f>IF(VLOOKUP($E44,TaskValues_ref!$E:$Z,13,FALSE)=0,"",VLOOKUP($E44,TaskValues_ref!$E:$Z,13,FALSE))</f>
        <v/>
      </c>
      <c r="N44" s="89">
        <f>IF(VLOOKUP($E44,TaskValues_ref!$E:$Z,15,FALSE)=0,"",VLOOKUP($E44,TaskValues_ref!$E:$Z,15,FALSE))</f>
        <v>1</v>
      </c>
      <c r="O44">
        <f>IF(VLOOKUP($E44,TaskValues_ref!$E:$Z,16,FALSE)=0,"",VLOOKUP($E44,TaskValues_ref!$E:$Z,16,FALSE))</f>
        <v>1</v>
      </c>
      <c r="P44" t="str">
        <f>IF(VLOOKUP($E44,TaskValues_ref!$E:$Z,17,FALSE)=0,"",VLOOKUP($E44,TaskValues_ref!$E:$Z,17,FALSE))</f>
        <v/>
      </c>
      <c r="Q44">
        <f>IF(VLOOKUP($E44,TaskValues_ref!$E:$Z,18,FALSE)=0,"",VLOOKUP($E44,TaskValues_ref!$E:$Z,18,FALSE))</f>
        <v>15</v>
      </c>
      <c r="R44" t="str">
        <f>IF(VLOOKUP($E44,TaskValues_ref!$E:$Z,19,FALSE)=0,"",VLOOKUP($E44,TaskValues_ref!$E:$Z,19,FALSE))</f>
        <v/>
      </c>
      <c r="S44" t="str">
        <f>IF(VLOOKUP($E44,TaskValues_ref!$E:$Z,20,FALSE)=0,"",VLOOKUP($E44,TaskValues_ref!$E:$Z,20,FALSE))</f>
        <v/>
      </c>
    </row>
    <row r="45" spans="1:19" x14ac:dyDescent="0.45">
      <c r="A45" t="s">
        <v>2163</v>
      </c>
      <c r="B45" s="66" t="s">
        <v>2266</v>
      </c>
      <c r="D45" s="324">
        <v>38</v>
      </c>
      <c r="E45" s="64" t="s">
        <v>2294</v>
      </c>
      <c r="F45" t="str">
        <f>VLOOKUP(E45,TaskValues_ref!E:F,2,FALSE)</f>
        <v>FP consult postpartum</v>
      </c>
      <c r="G45" t="str">
        <f>VLOOKUP($E45,TaskValues_ref!$E:$Z,3,FALSE)</f>
        <v>Clinical</v>
      </c>
      <c r="H45" t="str">
        <f>VLOOKUP($E45,TaskValues_ref!$E:$Z,4,FALSE)</f>
        <v>Preventive</v>
      </c>
      <c r="I45" t="str">
        <f>VLOOKUP($E45,TaskValues_ref!$E:$Z,5,FALSE)</f>
        <v>Family planning</v>
      </c>
      <c r="J45" s="257" t="str">
        <f>VLOOKUP($E45,TaskValues_ref!$E:$Z,6,FALSE)</f>
        <v>births</v>
      </c>
      <c r="K45" t="str">
        <f>VLOOKUP($E45,TaskValues_ref!$E:$Z,10,FALSE)</f>
        <v>Amhara</v>
      </c>
      <c r="L45" s="195">
        <f>IF(VLOOKUP($E45,TaskValues_ref!$E:$Z,11,FALSE)=0,"",VLOOKUP($E45,TaskValues_ref!$E:$Z,11,FALSE))</f>
        <v>1</v>
      </c>
      <c r="M45" t="str">
        <f>IF(VLOOKUP($E45,TaskValues_ref!$E:$Z,13,FALSE)=0,"",VLOOKUP($E45,TaskValues_ref!$E:$Z,13,FALSE))</f>
        <v/>
      </c>
      <c r="N45" s="89">
        <f>IF(VLOOKUP($E45,TaskValues_ref!$E:$Z,15,FALSE)=0,"",VLOOKUP($E45,TaskValues_ref!$E:$Z,15,FALSE))</f>
        <v>1</v>
      </c>
      <c r="O45">
        <f>IF(VLOOKUP($E45,TaskValues_ref!$E:$Z,16,FALSE)=0,"",VLOOKUP($E45,TaskValues_ref!$E:$Z,16,FALSE))</f>
        <v>1</v>
      </c>
      <c r="P45" t="str">
        <f>IF(VLOOKUP($E45,TaskValues_ref!$E:$Z,17,FALSE)=0,"",VLOOKUP($E45,TaskValues_ref!$E:$Z,17,FALSE))</f>
        <v/>
      </c>
      <c r="Q45">
        <f>IF(VLOOKUP($E45,TaskValues_ref!$E:$Z,18,FALSE)=0,"",VLOOKUP($E45,TaskValues_ref!$E:$Z,18,FALSE))</f>
        <v>15</v>
      </c>
      <c r="R45" t="str">
        <f>IF(VLOOKUP($E45,TaskValues_ref!$E:$Z,19,FALSE)=0,"",VLOOKUP($E45,TaskValues_ref!$E:$Z,19,FALSE))</f>
        <v/>
      </c>
      <c r="S45" t="str">
        <f>IF(VLOOKUP($E45,TaskValues_ref!$E:$Z,20,FALSE)=0,"",VLOOKUP($E45,TaskValues_ref!$E:$Z,20,FALSE))</f>
        <v/>
      </c>
    </row>
    <row r="46" spans="1:19" x14ac:dyDescent="0.45">
      <c r="A46" t="s">
        <v>2163</v>
      </c>
      <c r="B46" s="66" t="s">
        <v>2266</v>
      </c>
      <c r="D46" s="324">
        <v>38</v>
      </c>
      <c r="E46" s="64" t="s">
        <v>2295</v>
      </c>
      <c r="F46" t="str">
        <f>VLOOKUP(E46,TaskValues_ref!E:F,2,FALSE)</f>
        <v>FP consult switch</v>
      </c>
      <c r="G46" t="str">
        <f>VLOOKUP($E46,TaskValues_ref!$E:$Z,3,FALSE)</f>
        <v>Clinical</v>
      </c>
      <c r="H46" t="str">
        <f>VLOOKUP($E46,TaskValues_ref!$E:$Z,4,FALSE)</f>
        <v>Preventive</v>
      </c>
      <c r="I46" t="str">
        <f>VLOOKUP($E46,TaskValues_ref!$E:$Z,5,FALSE)</f>
        <v>Family planning</v>
      </c>
      <c r="J46" s="257" t="str">
        <f>VLOOKUP($E46,TaskValues_ref!$E:$Z,6,FALSE)</f>
        <v>women 15-49</v>
      </c>
      <c r="K46" t="str">
        <f>VLOOKUP($E46,TaskValues_ref!$E:$Z,10,FALSE)</f>
        <v>Amhara</v>
      </c>
      <c r="L46" s="195">
        <f>IF(VLOOKUP($E46,TaskValues_ref!$E:$Z,11,FALSE)=0,"",VLOOKUP($E46,TaskValues_ref!$E:$Z,11,FALSE))</f>
        <v>2.1103103857566762E-2</v>
      </c>
      <c r="M46" t="str">
        <f>IF(VLOOKUP($E46,TaskValues_ref!$E:$Z,13,FALSE)=0,"",VLOOKUP($E46,TaskValues_ref!$E:$Z,13,FALSE))</f>
        <v/>
      </c>
      <c r="N46" s="89">
        <f>IF(VLOOKUP($E46,TaskValues_ref!$E:$Z,15,FALSE)=0,"",VLOOKUP($E46,TaskValues_ref!$E:$Z,15,FALSE))</f>
        <v>1</v>
      </c>
      <c r="O46">
        <f>IF(VLOOKUP($E46,TaskValues_ref!$E:$Z,16,FALSE)=0,"",VLOOKUP($E46,TaskValues_ref!$E:$Z,16,FALSE))</f>
        <v>1</v>
      </c>
      <c r="P46" t="str">
        <f>IF(VLOOKUP($E46,TaskValues_ref!$E:$Z,17,FALSE)=0,"",VLOOKUP($E46,TaskValues_ref!$E:$Z,17,FALSE))</f>
        <v/>
      </c>
      <c r="Q46">
        <f>IF(VLOOKUP($E46,TaskValues_ref!$E:$Z,18,FALSE)=0,"",VLOOKUP($E46,TaskValues_ref!$E:$Z,18,FALSE))</f>
        <v>15</v>
      </c>
      <c r="R46" t="str">
        <f>IF(VLOOKUP($E46,TaskValues_ref!$E:$Z,19,FALSE)=0,"",VLOOKUP($E46,TaskValues_ref!$E:$Z,19,FALSE))</f>
        <v/>
      </c>
      <c r="S46" t="str">
        <f>IF(VLOOKUP($E46,TaskValues_ref!$E:$Z,20,FALSE)=0,"",VLOOKUP($E46,TaskValues_ref!$E:$Z,20,FALSE))</f>
        <v/>
      </c>
    </row>
    <row r="47" spans="1:19" x14ac:dyDescent="0.45">
      <c r="A47" t="s">
        <v>2163</v>
      </c>
      <c r="B47" s="66" t="s">
        <v>2266</v>
      </c>
      <c r="D47" s="324">
        <v>39</v>
      </c>
      <c r="E47" s="64" t="str">
        <f t="shared" ref="E47:E70" si="1">_xlfn.CONCAT("FH.FP.",D47)</f>
        <v>FH.FP.39</v>
      </c>
      <c r="F47" t="str">
        <f>VLOOKUP(E47,TaskValues_ref!E:F,2,FALSE)</f>
        <v>Provision of contraceptives</v>
      </c>
      <c r="G47" t="str">
        <f>VLOOKUP($E47,TaskValues_ref!$E:$Z,3,FALSE)</f>
        <v>Clinical</v>
      </c>
      <c r="H47" t="str">
        <f>VLOOKUP($E47,TaskValues_ref!$E:$Z,4,FALSE)</f>
        <v>Preventive</v>
      </c>
      <c r="I47" t="str">
        <f>VLOOKUP($E47,TaskValues_ref!$E:$Z,5,FALSE)</f>
        <v>Family planning</v>
      </c>
      <c r="J47" s="257" t="str">
        <f>VLOOKUP($E47,TaskValues_ref!$E:$Z,6,FALSE)</f>
        <v>women 15-49</v>
      </c>
      <c r="K47" t="str">
        <f>VLOOKUP($E47,TaskValues_ref!$E:$Z,10,FALSE)</f>
        <v>Amhara</v>
      </c>
      <c r="L47" s="195">
        <f>IF(VLOOKUP($E47,TaskValues_ref!$E:$Z,11,FALSE)=0,"",VLOOKUP($E47,TaskValues_ref!$E:$Z,11,FALSE))</f>
        <v>0.30100593471810083</v>
      </c>
      <c r="M47" t="str">
        <f>IF(VLOOKUP($E47,TaskValues_ref!$E:$Z,13,FALSE)=0,"",VLOOKUP($E47,TaskValues_ref!$E:$Z,13,FALSE))</f>
        <v/>
      </c>
      <c r="N47" s="89">
        <f>IF(VLOOKUP($E47,TaskValues_ref!$E:$Z,15,FALSE)=0,"",VLOOKUP($E47,TaskValues_ref!$E:$Z,15,FALSE))</f>
        <v>1</v>
      </c>
      <c r="O47" t="str">
        <f>IF(VLOOKUP($E47,TaskValues_ref!$E:$Z,16,FALSE)=0,"",VLOOKUP($E47,TaskValues_ref!$E:$Z,16,FALSE))</f>
        <v/>
      </c>
      <c r="P47">
        <f>IF(VLOOKUP($E47,TaskValues_ref!$E:$Z,17,FALSE)=0,"",VLOOKUP($E47,TaskValues_ref!$E:$Z,17,FALSE))</f>
        <v>4</v>
      </c>
      <c r="Q47">
        <f>IF(VLOOKUP($E47,TaskValues_ref!$E:$Z,18,FALSE)=0,"",VLOOKUP($E47,TaskValues_ref!$E:$Z,18,FALSE))</f>
        <v>5</v>
      </c>
      <c r="R47" t="str">
        <f>IF(VLOOKUP($E47,TaskValues_ref!$E:$Z,19,FALSE)=0,"",VLOOKUP($E47,TaskValues_ref!$E:$Z,19,FALSE))</f>
        <v/>
      </c>
      <c r="S47" t="str">
        <f>IF(VLOOKUP($E47,TaskValues_ref!$E:$Z,20,FALSE)=0,"",VLOOKUP($E47,TaskValues_ref!$E:$Z,20,FALSE))</f>
        <v/>
      </c>
    </row>
    <row r="48" spans="1:19" x14ac:dyDescent="0.45">
      <c r="A48" t="s">
        <v>2163</v>
      </c>
      <c r="B48" s="66" t="s">
        <v>2266</v>
      </c>
      <c r="D48" s="324">
        <v>40</v>
      </c>
      <c r="E48" s="64" t="str">
        <f t="shared" si="1"/>
        <v>FH.FP.40</v>
      </c>
      <c r="F48" t="str">
        <f>VLOOKUP(E48,TaskValues_ref!E:F,2,FALSE)</f>
        <v>Provision of implants and IUCD</v>
      </c>
      <c r="G48" t="str">
        <f>VLOOKUP($E48,TaskValues_ref!$E:$Z,3,FALSE)</f>
        <v>Clinical</v>
      </c>
      <c r="H48" t="str">
        <f>VLOOKUP($E48,TaskValues_ref!$E:$Z,4,FALSE)</f>
        <v>Preventive</v>
      </c>
      <c r="I48" t="str">
        <f>VLOOKUP($E48,TaskValues_ref!$E:$Z,5,FALSE)</f>
        <v>Family planning</v>
      </c>
      <c r="J48" s="257" t="str">
        <f>VLOOKUP($E48,TaskValues_ref!$E:$Z,6,FALSE)</f>
        <v>women 15-49</v>
      </c>
      <c r="K48" t="str">
        <f>VLOOKUP($E48,TaskValues_ref!$E:$Z,10,FALSE)</f>
        <v>Amhara</v>
      </c>
      <c r="L48" s="195">
        <f>IF(VLOOKUP($E48,TaskValues_ref!$E:$Z,11,FALSE)=0,"",VLOOKUP($E48,TaskValues_ref!$E:$Z,11,FALSE))</f>
        <v>0.15254599406528185</v>
      </c>
      <c r="M48">
        <f>IF(VLOOKUP($E48,TaskValues_ref!$E:$Z,13,FALSE)=0,"",VLOOKUP($E48,TaskValues_ref!$E:$Z,13,FALSE))</f>
        <v>0.25</v>
      </c>
      <c r="N48" s="89">
        <f>IF(VLOOKUP($E48,TaskValues_ref!$E:$Z,15,FALSE)=0,"",VLOOKUP($E48,TaskValues_ref!$E:$Z,15,FALSE))</f>
        <v>1</v>
      </c>
      <c r="O48">
        <f>IF(VLOOKUP($E48,TaskValues_ref!$E:$Z,16,FALSE)=0,"",VLOOKUP($E48,TaskValues_ref!$E:$Z,16,FALSE))</f>
        <v>1</v>
      </c>
      <c r="P48" t="str">
        <f>IF(VLOOKUP($E48,TaskValues_ref!$E:$Z,17,FALSE)=0,"",VLOOKUP($E48,TaskValues_ref!$E:$Z,17,FALSE))</f>
        <v/>
      </c>
      <c r="Q48">
        <f>IF(VLOOKUP($E48,TaskValues_ref!$E:$Z,18,FALSE)=0,"",VLOOKUP($E48,TaskValues_ref!$E:$Z,18,FALSE))</f>
        <v>20</v>
      </c>
      <c r="R48" t="str">
        <f>IF(VLOOKUP($E48,TaskValues_ref!$E:$Z,19,FALSE)=0,"",VLOOKUP($E48,TaskValues_ref!$E:$Z,19,FALSE))</f>
        <v/>
      </c>
      <c r="S48" t="str">
        <f>IF(VLOOKUP($E48,TaskValues_ref!$E:$Z,20,FALSE)=0,"",VLOOKUP($E48,TaskValues_ref!$E:$Z,20,FALSE))</f>
        <v/>
      </c>
    </row>
    <row r="49" spans="1:19" x14ac:dyDescent="0.45">
      <c r="A49" t="s">
        <v>2163</v>
      </c>
      <c r="B49" s="66" t="s">
        <v>2266</v>
      </c>
      <c r="D49" s="324">
        <v>41</v>
      </c>
      <c r="E49" s="64" t="str">
        <f t="shared" si="1"/>
        <v>FH.FP.41</v>
      </c>
      <c r="F49" t="str">
        <f>VLOOKUP(E49,TaskValues_ref!E:F,2,FALSE)</f>
        <v>Removal of implants and IUCD</v>
      </c>
      <c r="G49" t="str">
        <f>VLOOKUP($E49,TaskValues_ref!$E:$Z,3,FALSE)</f>
        <v>Clinical</v>
      </c>
      <c r="H49" t="str">
        <f>VLOOKUP($E49,TaskValues_ref!$E:$Z,4,FALSE)</f>
        <v>Preventive</v>
      </c>
      <c r="I49" t="str">
        <f>VLOOKUP($E49,TaskValues_ref!$E:$Z,5,FALSE)</f>
        <v>Family planning</v>
      </c>
      <c r="J49" s="257" t="str">
        <f>VLOOKUP($E49,TaskValues_ref!$E:$Z,6,FALSE)</f>
        <v>women 15-49</v>
      </c>
      <c r="K49" t="str">
        <f>VLOOKUP($E49,TaskValues_ref!$E:$Z,10,FALSE)</f>
        <v>Amhara</v>
      </c>
      <c r="L49" s="195">
        <f>IF(VLOOKUP($E49,TaskValues_ref!$E:$Z,11,FALSE)=0,"",VLOOKUP($E49,TaskValues_ref!$E:$Z,11,FALSE))</f>
        <v>0.15254599406528185</v>
      </c>
      <c r="M49">
        <f>IF(VLOOKUP($E49,TaskValues_ref!$E:$Z,13,FALSE)=0,"",VLOOKUP($E49,TaskValues_ref!$E:$Z,13,FALSE))</f>
        <v>0.25</v>
      </c>
      <c r="N49" s="89">
        <f>IF(VLOOKUP($E49,TaskValues_ref!$E:$Z,15,FALSE)=0,"",VLOOKUP($E49,TaskValues_ref!$E:$Z,15,FALSE))</f>
        <v>1</v>
      </c>
      <c r="O49">
        <f>IF(VLOOKUP($E49,TaskValues_ref!$E:$Z,16,FALSE)=0,"",VLOOKUP($E49,TaskValues_ref!$E:$Z,16,FALSE))</f>
        <v>1</v>
      </c>
      <c r="P49" t="str">
        <f>IF(VLOOKUP($E49,TaskValues_ref!$E:$Z,17,FALSE)=0,"",VLOOKUP($E49,TaskValues_ref!$E:$Z,17,FALSE))</f>
        <v/>
      </c>
      <c r="Q49">
        <f>IF(VLOOKUP($E49,TaskValues_ref!$E:$Z,18,FALSE)=0,"",VLOOKUP($E49,TaskValues_ref!$E:$Z,18,FALSE))</f>
        <v>20</v>
      </c>
      <c r="R49" t="str">
        <f>IF(VLOOKUP($E49,TaskValues_ref!$E:$Z,19,FALSE)=0,"",VLOOKUP($E49,TaskValues_ref!$E:$Z,19,FALSE))</f>
        <v/>
      </c>
      <c r="S49" t="str">
        <f>IF(VLOOKUP($E49,TaskValues_ref!$E:$Z,20,FALSE)=0,"",VLOOKUP($E49,TaskValues_ref!$E:$Z,20,FALSE))</f>
        <v/>
      </c>
    </row>
    <row r="50" spans="1:19" x14ac:dyDescent="0.45">
      <c r="A50" t="s">
        <v>2163</v>
      </c>
      <c r="B50" s="66" t="s">
        <v>2266</v>
      </c>
      <c r="D50" s="324">
        <v>42</v>
      </c>
      <c r="E50" s="64" t="str">
        <f t="shared" si="1"/>
        <v>FH.FP.42</v>
      </c>
      <c r="F50" t="str">
        <f>VLOOKUP(E50,TaskValues_ref!E:F,2,FALSE)</f>
        <v>Psycho-social counseling</v>
      </c>
      <c r="G50" t="str">
        <f>VLOOKUP($E50,TaskValues_ref!$E:$Z,3,FALSE)</f>
        <v>Clinical</v>
      </c>
      <c r="H50" t="str">
        <f>VLOOKUP($E50,TaskValues_ref!$E:$Z,4,FALSE)</f>
        <v>Preventive</v>
      </c>
      <c r="I50" t="str">
        <f>VLOOKUP($E50,TaskValues_ref!$E:$Z,5,FALSE)</f>
        <v>Family planning</v>
      </c>
      <c r="J50" s="257" t="str">
        <f>VLOOKUP($E50,TaskValues_ref!$E:$Z,6,FALSE)</f>
        <v>women 15-49</v>
      </c>
      <c r="K50" t="str">
        <f>VLOOKUP($E50,TaskValues_ref!$E:$Z,10,FALSE)</f>
        <v>Amhara</v>
      </c>
      <c r="L50" s="195" t="str">
        <f>IF(VLOOKUP($E50,TaskValues_ref!$E:$Z,11,FALSE)=0,"",VLOOKUP($E50,TaskValues_ref!$E:$Z,11,FALSE))</f>
        <v/>
      </c>
      <c r="M50" t="str">
        <f>IF(VLOOKUP($E50,TaskValues_ref!$E:$Z,13,FALSE)=0,"",VLOOKUP($E50,TaskValues_ref!$E:$Z,13,FALSE))</f>
        <v/>
      </c>
      <c r="N50" s="89">
        <f>IF(VLOOKUP($E50,TaskValues_ref!$E:$Z,15,FALSE)=0,"",VLOOKUP($E50,TaskValues_ref!$E:$Z,15,FALSE))</f>
        <v>1</v>
      </c>
      <c r="O50">
        <f>IF(VLOOKUP($E50,TaskValues_ref!$E:$Z,16,FALSE)=0,"",VLOOKUP($E50,TaskValues_ref!$E:$Z,16,FALSE))</f>
        <v>1</v>
      </c>
      <c r="P50" t="str">
        <f>IF(VLOOKUP($E50,TaskValues_ref!$E:$Z,17,FALSE)=0,"",VLOOKUP($E50,TaskValues_ref!$E:$Z,17,FALSE))</f>
        <v/>
      </c>
      <c r="Q50">
        <f>IF(VLOOKUP($E50,TaskValues_ref!$E:$Z,18,FALSE)=0,"",VLOOKUP($E50,TaskValues_ref!$E:$Z,18,FALSE))</f>
        <v>15</v>
      </c>
      <c r="R50" t="str">
        <f>IF(VLOOKUP($E50,TaskValues_ref!$E:$Z,19,FALSE)=0,"",VLOOKUP($E50,TaskValues_ref!$E:$Z,19,FALSE))</f>
        <v/>
      </c>
      <c r="S50" t="str">
        <f>IF(VLOOKUP($E50,TaskValues_ref!$E:$Z,20,FALSE)=0,"",VLOOKUP($E50,TaskValues_ref!$E:$Z,20,FALSE))</f>
        <v/>
      </c>
    </row>
    <row r="51" spans="1:19" x14ac:dyDescent="0.45">
      <c r="A51" t="s">
        <v>2163</v>
      </c>
      <c r="B51" s="66" t="s">
        <v>2266</v>
      </c>
      <c r="D51" s="324">
        <v>43</v>
      </c>
      <c r="E51" s="64" t="str">
        <f t="shared" si="1"/>
        <v>FH.FP.43</v>
      </c>
      <c r="F51" t="str">
        <f>VLOOKUP(E51,TaskValues_ref!E:F,2,FALSE)</f>
        <v>Abortion care &amp; referral</v>
      </c>
      <c r="G51" t="str">
        <f>VLOOKUP($E51,TaskValues_ref!$E:$Z,3,FALSE)</f>
        <v>Clinical</v>
      </c>
      <c r="H51" t="str">
        <f>VLOOKUP($E51,TaskValues_ref!$E:$Z,4,FALSE)</f>
        <v>Acute</v>
      </c>
      <c r="I51" t="str">
        <f>VLOOKUP($E51,TaskValues_ref!$E:$Z,5,FALSE)</f>
        <v>Family planning</v>
      </c>
      <c r="J51" s="257" t="str">
        <f>VLOOKUP($E51,TaskValues_ref!$E:$Z,6,FALSE)</f>
        <v>births</v>
      </c>
      <c r="K51" t="str">
        <f>VLOOKUP($E51,TaskValues_ref!$E:$Z,10,FALSE)</f>
        <v>Amhara</v>
      </c>
      <c r="L51" s="195">
        <f>IF(VLOOKUP($E51,TaskValues_ref!$E:$Z,11,FALSE)=0,"",VLOOKUP($E51,TaskValues_ref!$E:$Z,11,FALSE))</f>
        <v>0.16649999999999998</v>
      </c>
      <c r="M51" t="str">
        <f>IF(VLOOKUP($E51,TaskValues_ref!$E:$Z,13,FALSE)=0,"",VLOOKUP($E51,TaskValues_ref!$E:$Z,13,FALSE))</f>
        <v/>
      </c>
      <c r="N51" s="89">
        <f>IF(VLOOKUP($E51,TaskValues_ref!$E:$Z,15,FALSE)=0,"",VLOOKUP($E51,TaskValues_ref!$E:$Z,15,FALSE))</f>
        <v>1</v>
      </c>
      <c r="O51">
        <f>IF(VLOOKUP($E51,TaskValues_ref!$E:$Z,16,FALSE)=0,"",VLOOKUP($E51,TaskValues_ref!$E:$Z,16,FALSE))</f>
        <v>1</v>
      </c>
      <c r="P51" t="str">
        <f>IF(VLOOKUP($E51,TaskValues_ref!$E:$Z,17,FALSE)=0,"",VLOOKUP($E51,TaskValues_ref!$E:$Z,17,FALSE))</f>
        <v/>
      </c>
      <c r="Q51">
        <f>IF(VLOOKUP($E51,TaskValues_ref!$E:$Z,18,FALSE)=0,"",VLOOKUP($E51,TaskValues_ref!$E:$Z,18,FALSE))</f>
        <v>20</v>
      </c>
      <c r="R51" t="str">
        <f>IF(VLOOKUP($E51,TaskValues_ref!$E:$Z,19,FALSE)=0,"",VLOOKUP($E51,TaskValues_ref!$E:$Z,19,FALSE))</f>
        <v/>
      </c>
      <c r="S51" t="str">
        <f>IF(VLOOKUP($E51,TaskValues_ref!$E:$Z,20,FALSE)=0,"",VLOOKUP($E51,TaskValues_ref!$E:$Z,20,FALSE))</f>
        <v/>
      </c>
    </row>
    <row r="52" spans="1:19" x14ac:dyDescent="0.45">
      <c r="A52" t="s">
        <v>2163</v>
      </c>
      <c r="B52" s="66" t="s">
        <v>2266</v>
      </c>
      <c r="D52" s="324">
        <v>44</v>
      </c>
      <c r="E52" s="64" t="str">
        <f t="shared" si="1"/>
        <v>FH.FP.44</v>
      </c>
      <c r="F52" t="str">
        <f>VLOOKUP(E52,TaskValues_ref!E:F,2,FALSE)</f>
        <v>Post-abortion follow-up</v>
      </c>
      <c r="G52" t="str">
        <f>VLOOKUP($E52,TaskValues_ref!$E:$Z,3,FALSE)</f>
        <v>Clinical</v>
      </c>
      <c r="H52" t="str">
        <f>VLOOKUP($E52,TaskValues_ref!$E:$Z,4,FALSE)</f>
        <v>Acute</v>
      </c>
      <c r="I52" t="str">
        <f>VLOOKUP($E52,TaskValues_ref!$E:$Z,5,FALSE)</f>
        <v>Family planning</v>
      </c>
      <c r="J52" s="257" t="str">
        <f>VLOOKUP($E52,TaskValues_ref!$E:$Z,6,FALSE)</f>
        <v>births</v>
      </c>
      <c r="K52" t="str">
        <f>VLOOKUP($E52,TaskValues_ref!$E:$Z,10,FALSE)</f>
        <v>Amhara</v>
      </c>
      <c r="L52" s="195">
        <f>IF(VLOOKUP($E52,TaskValues_ref!$E:$Z,11,FALSE)=0,"",VLOOKUP($E52,TaskValues_ref!$E:$Z,11,FALSE))</f>
        <v>0.16649999999999998</v>
      </c>
      <c r="M52" t="str">
        <f>IF(VLOOKUP($E52,TaskValues_ref!$E:$Z,13,FALSE)=0,"",VLOOKUP($E52,TaskValues_ref!$E:$Z,13,FALSE))</f>
        <v/>
      </c>
      <c r="N52" s="89">
        <f>IF(VLOOKUP($E52,TaskValues_ref!$E:$Z,15,FALSE)=0,"",VLOOKUP($E52,TaskValues_ref!$E:$Z,15,FALSE))</f>
        <v>1</v>
      </c>
      <c r="O52">
        <f>IF(VLOOKUP($E52,TaskValues_ref!$E:$Z,16,FALSE)=0,"",VLOOKUP($E52,TaskValues_ref!$E:$Z,16,FALSE))</f>
        <v>1</v>
      </c>
      <c r="P52" t="str">
        <f>IF(VLOOKUP($E52,TaskValues_ref!$E:$Z,17,FALSE)=0,"",VLOOKUP($E52,TaskValues_ref!$E:$Z,17,FALSE))</f>
        <v/>
      </c>
      <c r="Q52">
        <f>IF(VLOOKUP($E52,TaskValues_ref!$E:$Z,18,FALSE)=0,"",VLOOKUP($E52,TaskValues_ref!$E:$Z,18,FALSE))</f>
        <v>10</v>
      </c>
      <c r="R52" t="str">
        <f>IF(VLOOKUP($E52,TaskValues_ref!$E:$Z,19,FALSE)=0,"",VLOOKUP($E52,TaskValues_ref!$E:$Z,19,FALSE))</f>
        <v/>
      </c>
      <c r="S52" t="str">
        <f>IF(VLOOKUP($E52,TaskValues_ref!$E:$Z,20,FALSE)=0,"",VLOOKUP($E52,TaskValues_ref!$E:$Z,20,FALSE))</f>
        <v/>
      </c>
    </row>
    <row r="53" spans="1:19" x14ac:dyDescent="0.45">
      <c r="A53" t="s">
        <v>2163</v>
      </c>
      <c r="B53" s="66" t="s">
        <v>2266</v>
      </c>
      <c r="D53" s="324">
        <v>45</v>
      </c>
      <c r="E53" s="64" t="str">
        <f t="shared" si="1"/>
        <v>FH.FP.45</v>
      </c>
      <c r="F53" t="str">
        <f>VLOOKUP(E53,TaskValues_ref!E:F,2,FALSE)</f>
        <v>Education on menstration</v>
      </c>
      <c r="G53" t="str">
        <f>VLOOKUP($E53,TaskValues_ref!$E:$Z,3,FALSE)</f>
        <v>Non-clinical</v>
      </c>
      <c r="H53" t="str">
        <f>VLOOKUP($E53,TaskValues_ref!$E:$Z,4,FALSE)</f>
        <v>Public Health</v>
      </c>
      <c r="I53" t="str">
        <f>VLOOKUP($E53,TaskValues_ref!$E:$Z,5,FALSE)</f>
        <v>Sexual health</v>
      </c>
      <c r="J53" s="257" t="str">
        <f>VLOOKUP($E53,TaskValues_ref!$E:$Z,6,FALSE)</f>
        <v>18 yo women</v>
      </c>
      <c r="K53" t="str">
        <f>VLOOKUP($E53,TaskValues_ref!$E:$Z,10,FALSE)</f>
        <v>Amhara</v>
      </c>
      <c r="L53" s="195">
        <f>IF(VLOOKUP($E53,TaskValues_ref!$E:$Z,11,FALSE)=0,"",VLOOKUP($E53,TaskValues_ref!$E:$Z,11,FALSE))</f>
        <v>1</v>
      </c>
      <c r="M53" t="str">
        <f>IF(VLOOKUP($E53,TaskValues_ref!$E:$Z,13,FALSE)=0,"",VLOOKUP($E53,TaskValues_ref!$E:$Z,13,FALSE))</f>
        <v/>
      </c>
      <c r="N53" s="89">
        <f>IF(VLOOKUP($E53,TaskValues_ref!$E:$Z,15,FALSE)=0,"",VLOOKUP($E53,TaskValues_ref!$E:$Z,15,FALSE))</f>
        <v>1</v>
      </c>
      <c r="O53" t="str">
        <f>IF(VLOOKUP($E53,TaskValues_ref!$E:$Z,16,FALSE)=0,"",VLOOKUP($E53,TaskValues_ref!$E:$Z,16,FALSE))</f>
        <v/>
      </c>
      <c r="P53" t="str">
        <f>IF(VLOOKUP($E53,TaskValues_ref!$E:$Z,17,FALSE)=0,"",VLOOKUP($E53,TaskValues_ref!$E:$Z,17,FALSE))</f>
        <v/>
      </c>
      <c r="Q53" t="str">
        <f>IF(VLOOKUP($E53,TaskValues_ref!$E:$Z,18,FALSE)=0,"",VLOOKUP($E53,TaskValues_ref!$E:$Z,18,FALSE))</f>
        <v/>
      </c>
      <c r="R53" t="str">
        <f>IF(VLOOKUP($E53,TaskValues_ref!$E:$Z,19,FALSE)=0,"",VLOOKUP($E53,TaskValues_ref!$E:$Z,19,FALSE))</f>
        <v/>
      </c>
      <c r="S53" t="str">
        <f>IF(VLOOKUP($E53,TaskValues_ref!$E:$Z,20,FALSE)=0,"",VLOOKUP($E53,TaskValues_ref!$E:$Z,20,FALSE))</f>
        <v/>
      </c>
    </row>
    <row r="54" spans="1:19" x14ac:dyDescent="0.45">
      <c r="A54" t="s">
        <v>2163</v>
      </c>
      <c r="B54" s="66" t="s">
        <v>2266</v>
      </c>
      <c r="D54" s="324">
        <v>46</v>
      </c>
      <c r="E54" s="64" t="str">
        <f t="shared" si="1"/>
        <v>FH.FP.46</v>
      </c>
      <c r="F54" t="str">
        <f>VLOOKUP(E54,TaskValues_ref!E:F,2,FALSE)</f>
        <v>Treatment of menstrual problems</v>
      </c>
      <c r="G54" t="str">
        <f>VLOOKUP($E54,TaskValues_ref!$E:$Z,3,FALSE)</f>
        <v>Clinical</v>
      </c>
      <c r="H54" t="str">
        <f>VLOOKUP($E54,TaskValues_ref!$E:$Z,4,FALSE)</f>
        <v>Acute</v>
      </c>
      <c r="I54" t="str">
        <f>VLOOKUP($E54,TaskValues_ref!$E:$Z,5,FALSE)</f>
        <v>Sexual health</v>
      </c>
      <c r="J54" s="257" t="str">
        <f>VLOOKUP($E54,TaskValues_ref!$E:$Z,6,FALSE)</f>
        <v>women 15-49</v>
      </c>
      <c r="K54" t="str">
        <f>VLOOKUP($E54,TaskValues_ref!$E:$Z,10,FALSE)</f>
        <v>Amhara</v>
      </c>
      <c r="L54" s="195">
        <f>IF(VLOOKUP($E54,TaskValues_ref!$E:$Z,11,FALSE)=0,"",VLOOKUP($E54,TaskValues_ref!$E:$Z,11,FALSE))</f>
        <v>0.14000000000000001</v>
      </c>
      <c r="M54" t="str">
        <f>IF(VLOOKUP($E54,TaskValues_ref!$E:$Z,13,FALSE)=0,"",VLOOKUP($E54,TaskValues_ref!$E:$Z,13,FALSE))</f>
        <v/>
      </c>
      <c r="N54" s="89">
        <f>IF(VLOOKUP($E54,TaskValues_ref!$E:$Z,15,FALSE)=0,"",VLOOKUP($E54,TaskValues_ref!$E:$Z,15,FALSE))</f>
        <v>1</v>
      </c>
      <c r="O54">
        <f>IF(VLOOKUP($E54,TaskValues_ref!$E:$Z,16,FALSE)=0,"",VLOOKUP($E54,TaskValues_ref!$E:$Z,16,FALSE))</f>
        <v>1</v>
      </c>
      <c r="P54">
        <f>IF(VLOOKUP($E54,TaskValues_ref!$E:$Z,17,FALSE)=0,"",VLOOKUP($E54,TaskValues_ref!$E:$Z,17,FALSE))</f>
        <v>0.2</v>
      </c>
      <c r="Q54">
        <f>IF(VLOOKUP($E54,TaskValues_ref!$E:$Z,18,FALSE)=0,"",VLOOKUP($E54,TaskValues_ref!$E:$Z,18,FALSE))</f>
        <v>10</v>
      </c>
      <c r="R54" t="str">
        <f>IF(VLOOKUP($E54,TaskValues_ref!$E:$Z,19,FALSE)=0,"",VLOOKUP($E54,TaskValues_ref!$E:$Z,19,FALSE))</f>
        <v/>
      </c>
      <c r="S54" t="str">
        <f>IF(VLOOKUP($E54,TaskValues_ref!$E:$Z,20,FALSE)=0,"",VLOOKUP($E54,TaskValues_ref!$E:$Z,20,FALSE))</f>
        <v/>
      </c>
    </row>
    <row r="55" spans="1:19" x14ac:dyDescent="0.45">
      <c r="A55" t="s">
        <v>2163</v>
      </c>
      <c r="B55" s="66" t="s">
        <v>2266</v>
      </c>
      <c r="D55" s="324">
        <v>47</v>
      </c>
      <c r="E55" s="64" t="str">
        <f t="shared" si="1"/>
        <v>FH.FP.47</v>
      </c>
      <c r="F55" t="str">
        <f>VLOOKUP(E55,TaskValues_ref!E:F,2,FALSE)</f>
        <v>Promote self-breast exam</v>
      </c>
      <c r="G55" t="str">
        <f>VLOOKUP($E55,TaskValues_ref!$E:$Z,3,FALSE)</f>
        <v>Non-clinical</v>
      </c>
      <c r="H55" t="str">
        <f>VLOOKUP($E55,TaskValues_ref!$E:$Z,4,FALSE)</f>
        <v>Preventive</v>
      </c>
      <c r="I55" t="str">
        <f>VLOOKUP($E55,TaskValues_ref!$E:$Z,5,FALSE)</f>
        <v>Sexual health</v>
      </c>
      <c r="J55" s="257" t="str">
        <f>VLOOKUP($E55,TaskValues_ref!$E:$Z,6,FALSE)</f>
        <v>18 yo women</v>
      </c>
      <c r="K55" t="str">
        <f>VLOOKUP($E55,TaskValues_ref!$E:$Z,10,FALSE)</f>
        <v>Amhara</v>
      </c>
      <c r="L55" s="195">
        <f>IF(VLOOKUP($E55,TaskValues_ref!$E:$Z,11,FALSE)=0,"",VLOOKUP($E55,TaskValues_ref!$E:$Z,11,FALSE))</f>
        <v>1</v>
      </c>
      <c r="M55" t="str">
        <f>IF(VLOOKUP($E55,TaskValues_ref!$E:$Z,13,FALSE)=0,"",VLOOKUP($E55,TaskValues_ref!$E:$Z,13,FALSE))</f>
        <v/>
      </c>
      <c r="N55" s="89">
        <f>IF(VLOOKUP($E55,TaskValues_ref!$E:$Z,15,FALSE)=0,"",VLOOKUP($E55,TaskValues_ref!$E:$Z,15,FALSE))</f>
        <v>1</v>
      </c>
      <c r="O55" t="str">
        <f>IF(VLOOKUP($E55,TaskValues_ref!$E:$Z,16,FALSE)=0,"",VLOOKUP($E55,TaskValues_ref!$E:$Z,16,FALSE))</f>
        <v/>
      </c>
      <c r="P55" t="str">
        <f>IF(VLOOKUP($E55,TaskValues_ref!$E:$Z,17,FALSE)=0,"",VLOOKUP($E55,TaskValues_ref!$E:$Z,17,FALSE))</f>
        <v/>
      </c>
      <c r="Q55" t="str">
        <f>IF(VLOOKUP($E55,TaskValues_ref!$E:$Z,18,FALSE)=0,"",VLOOKUP($E55,TaskValues_ref!$E:$Z,18,FALSE))</f>
        <v/>
      </c>
      <c r="R55" t="str">
        <f>IF(VLOOKUP($E55,TaskValues_ref!$E:$Z,19,FALSE)=0,"",VLOOKUP($E55,TaskValues_ref!$E:$Z,19,FALSE))</f>
        <v/>
      </c>
      <c r="S55" t="str">
        <f>IF(VLOOKUP($E55,TaskValues_ref!$E:$Z,20,FALSE)=0,"",VLOOKUP($E55,TaskValues_ref!$E:$Z,20,FALSE))</f>
        <v/>
      </c>
    </row>
    <row r="56" spans="1:19" x14ac:dyDescent="0.45">
      <c r="A56" t="s">
        <v>2163</v>
      </c>
      <c r="B56" s="66" t="s">
        <v>2266</v>
      </c>
      <c r="D56" s="324">
        <v>48</v>
      </c>
      <c r="E56" s="64" t="str">
        <f t="shared" si="1"/>
        <v>FH.FP.48</v>
      </c>
      <c r="F56" t="str">
        <f>VLOOKUP(E56,TaskValues_ref!E:F,2,FALSE)</f>
        <v>HPV vacination</v>
      </c>
      <c r="G56" t="str">
        <f>VLOOKUP($E56,TaskValues_ref!$E:$Z,3,FALSE)</f>
        <v>Clinical</v>
      </c>
      <c r="H56" t="str">
        <f>VLOOKUP($E56,TaskValues_ref!$E:$Z,4,FALSE)</f>
        <v>Preventive</v>
      </c>
      <c r="I56" t="str">
        <f>VLOOKUP($E56,TaskValues_ref!$E:$Z,5,FALSE)</f>
        <v>Immunization</v>
      </c>
      <c r="J56" s="257" t="str">
        <f>VLOOKUP($E56,TaskValues_ref!$E:$Z,6,FALSE)</f>
        <v>15 yo girls</v>
      </c>
      <c r="K56" t="str">
        <f>VLOOKUP($E56,TaskValues_ref!$E:$Z,10,FALSE)</f>
        <v>Amhara</v>
      </c>
      <c r="L56" s="195">
        <f>IF(VLOOKUP($E56,TaskValues_ref!$E:$Z,11,FALSE)=0,"",VLOOKUP($E56,TaskValues_ref!$E:$Z,11,FALSE))</f>
        <v>1</v>
      </c>
      <c r="M56" t="str">
        <f>IF(VLOOKUP($E56,TaskValues_ref!$E:$Z,13,FALSE)=0,"",VLOOKUP($E56,TaskValues_ref!$E:$Z,13,FALSE))</f>
        <v/>
      </c>
      <c r="N56" s="89">
        <f>IF(VLOOKUP($E56,TaskValues_ref!$E:$Z,15,FALSE)=0,"",VLOOKUP($E56,TaskValues_ref!$E:$Z,15,FALSE))</f>
        <v>1</v>
      </c>
      <c r="O56">
        <f>IF(VLOOKUP($E56,TaskValues_ref!$E:$Z,16,FALSE)=0,"",VLOOKUP($E56,TaskValues_ref!$E:$Z,16,FALSE))</f>
        <v>2</v>
      </c>
      <c r="P56" t="str">
        <f>IF(VLOOKUP($E56,TaskValues_ref!$E:$Z,17,FALSE)=0,"",VLOOKUP($E56,TaskValues_ref!$E:$Z,17,FALSE))</f>
        <v/>
      </c>
      <c r="Q56" t="str">
        <f>IF(VLOOKUP($E56,TaskValues_ref!$E:$Z,18,FALSE)=0,"",VLOOKUP($E56,TaskValues_ref!$E:$Z,18,FALSE))</f>
        <v/>
      </c>
      <c r="R56" t="str">
        <f>IF(VLOOKUP($E56,TaskValues_ref!$E:$Z,19,FALSE)=0,"",VLOOKUP($E56,TaskValues_ref!$E:$Z,19,FALSE))</f>
        <v/>
      </c>
      <c r="S56" t="str">
        <f>IF(VLOOKUP($E56,TaskValues_ref!$E:$Z,20,FALSE)=0,"",VLOOKUP($E56,TaskValues_ref!$E:$Z,20,FALSE))</f>
        <v/>
      </c>
    </row>
    <row r="57" spans="1:19" x14ac:dyDescent="0.45">
      <c r="A57" t="s">
        <v>2163</v>
      </c>
      <c r="B57" s="66" t="s">
        <v>2266</v>
      </c>
      <c r="D57" s="324">
        <v>49</v>
      </c>
      <c r="E57" s="64" t="str">
        <f t="shared" si="1"/>
        <v>FH.FP.49</v>
      </c>
      <c r="F57" t="str">
        <f>VLOOKUP(E57,TaskValues_ref!E:F,2,FALSE)</f>
        <v>Education on health &amp; wellbeing</v>
      </c>
      <c r="G57" t="str">
        <f>VLOOKUP($E57,TaskValues_ref!$E:$Z,3,FALSE)</f>
        <v>Non-clinical</v>
      </c>
      <c r="H57" t="str">
        <f>VLOOKUP($E57,TaskValues_ref!$E:$Z,4,FALSE)</f>
        <v>Public Health</v>
      </c>
      <c r="I57" t="str">
        <f>VLOOKUP($E57,TaskValues_ref!$E:$Z,5,FALSE)</f>
        <v>Sexual health</v>
      </c>
      <c r="J57" s="257" t="str">
        <f>VLOOKUP($E57,TaskValues_ref!$E:$Z,6,FALSE)</f>
        <v>women 15-49</v>
      </c>
      <c r="K57" t="str">
        <f>VLOOKUP($E57,TaskValues_ref!$E:$Z,10,FALSE)</f>
        <v>Amhara</v>
      </c>
      <c r="L57" s="195" t="str">
        <f>IF(VLOOKUP($E57,TaskValues_ref!$E:$Z,11,FALSE)=0,"",VLOOKUP($E57,TaskValues_ref!$E:$Z,11,FALSE))</f>
        <v/>
      </c>
      <c r="M57" t="str">
        <f>IF(VLOOKUP($E57,TaskValues_ref!$E:$Z,13,FALSE)=0,"",VLOOKUP($E57,TaskValues_ref!$E:$Z,13,FALSE))</f>
        <v/>
      </c>
      <c r="N57" s="89" t="str">
        <f>IF(VLOOKUP($E57,TaskValues_ref!$E:$Z,15,FALSE)=0,"",VLOOKUP($E57,TaskValues_ref!$E:$Z,15,FALSE))</f>
        <v/>
      </c>
      <c r="O57" t="str">
        <f>IF(VLOOKUP($E57,TaskValues_ref!$E:$Z,16,FALSE)=0,"",VLOOKUP($E57,TaskValues_ref!$E:$Z,16,FALSE))</f>
        <v/>
      </c>
      <c r="P57" t="str">
        <f>IF(VLOOKUP($E57,TaskValues_ref!$E:$Z,17,FALSE)=0,"",VLOOKUP($E57,TaskValues_ref!$E:$Z,17,FALSE))</f>
        <v/>
      </c>
      <c r="Q57" t="str">
        <f>IF(VLOOKUP($E57,TaskValues_ref!$E:$Z,18,FALSE)=0,"",VLOOKUP($E57,TaskValues_ref!$E:$Z,18,FALSE))</f>
        <v/>
      </c>
      <c r="R57" t="str">
        <f>IF(VLOOKUP($E57,TaskValues_ref!$E:$Z,19,FALSE)=0,"",VLOOKUP($E57,TaskValues_ref!$E:$Z,19,FALSE))</f>
        <v/>
      </c>
      <c r="S57" t="str">
        <f>IF(VLOOKUP($E57,TaskValues_ref!$E:$Z,20,FALSE)=0,"",VLOOKUP($E57,TaskValues_ref!$E:$Z,20,FALSE))</f>
        <v/>
      </c>
    </row>
    <row r="58" spans="1:19" x14ac:dyDescent="0.45">
      <c r="A58" t="s">
        <v>2163</v>
      </c>
      <c r="B58" s="66" t="s">
        <v>2266</v>
      </c>
      <c r="D58" s="324">
        <v>50</v>
      </c>
      <c r="E58" s="64" t="str">
        <f t="shared" si="1"/>
        <v>FH.FP.50</v>
      </c>
      <c r="F58" t="str">
        <f>VLOOKUP(E58,TaskValues_ref!E:F,2,FALSE)</f>
        <v>Adolescent SRH</v>
      </c>
      <c r="G58" t="str">
        <f>VLOOKUP($E58,TaskValues_ref!$E:$Z,3,FALSE)</f>
        <v>Clinical</v>
      </c>
      <c r="H58" t="str">
        <f>VLOOKUP($E58,TaskValues_ref!$E:$Z,4,FALSE)</f>
        <v>Preventive</v>
      </c>
      <c r="I58" t="str">
        <f>VLOOKUP($E58,TaskValues_ref!$E:$Z,5,FALSE)</f>
        <v>Family planning</v>
      </c>
      <c r="J58" s="257" t="str">
        <f>VLOOKUP($E58,TaskValues_ref!$E:$Z,6,FALSE)</f>
        <v>15 yo girls</v>
      </c>
      <c r="K58" t="str">
        <f>VLOOKUP($E58,TaskValues_ref!$E:$Z,10,FALSE)</f>
        <v>Amhara</v>
      </c>
      <c r="L58" s="195" t="str">
        <f>IF(VLOOKUP($E58,TaskValues_ref!$E:$Z,11,FALSE)=0,"",VLOOKUP($E58,TaskValues_ref!$E:$Z,11,FALSE))</f>
        <v/>
      </c>
      <c r="M58" t="str">
        <f>IF(VLOOKUP($E58,TaskValues_ref!$E:$Z,13,FALSE)=0,"",VLOOKUP($E58,TaskValues_ref!$E:$Z,13,FALSE))</f>
        <v/>
      </c>
      <c r="N58" s="89" t="str">
        <f>IF(VLOOKUP($E58,TaskValues_ref!$E:$Z,15,FALSE)=0,"",VLOOKUP($E58,TaskValues_ref!$E:$Z,15,FALSE))</f>
        <v/>
      </c>
      <c r="O58" t="str">
        <f>IF(VLOOKUP($E58,TaskValues_ref!$E:$Z,16,FALSE)=0,"",VLOOKUP($E58,TaskValues_ref!$E:$Z,16,FALSE))</f>
        <v/>
      </c>
      <c r="P58" t="str">
        <f>IF(VLOOKUP($E58,TaskValues_ref!$E:$Z,17,FALSE)=0,"",VLOOKUP($E58,TaskValues_ref!$E:$Z,17,FALSE))</f>
        <v/>
      </c>
      <c r="Q58" t="str">
        <f>IF(VLOOKUP($E58,TaskValues_ref!$E:$Z,18,FALSE)=0,"",VLOOKUP($E58,TaskValues_ref!$E:$Z,18,FALSE))</f>
        <v/>
      </c>
      <c r="R58" t="str">
        <f>IF(VLOOKUP($E58,TaskValues_ref!$E:$Z,19,FALSE)=0,"",VLOOKUP($E58,TaskValues_ref!$E:$Z,19,FALSE))</f>
        <v/>
      </c>
      <c r="S58" t="str">
        <f>IF(VLOOKUP($E58,TaskValues_ref!$E:$Z,20,FALSE)=0,"",VLOOKUP($E58,TaskValues_ref!$E:$Z,20,FALSE))</f>
        <v/>
      </c>
    </row>
    <row r="59" spans="1:19" x14ac:dyDescent="0.45">
      <c r="A59" t="s">
        <v>2163</v>
      </c>
      <c r="B59" s="66" t="s">
        <v>2266</v>
      </c>
      <c r="D59" s="324">
        <v>51</v>
      </c>
      <c r="E59" s="64" t="str">
        <f t="shared" si="1"/>
        <v>FH.FP.51</v>
      </c>
      <c r="F59" t="str">
        <f>VLOOKUP(E59,TaskValues_ref!E:F,2,FALSE)</f>
        <v>Provision of adolescent-friendly contraceptives</v>
      </c>
      <c r="G59" t="str">
        <f>VLOOKUP($E59,TaskValues_ref!$E:$Z,3,FALSE)</f>
        <v>Clinical</v>
      </c>
      <c r="H59" t="str">
        <f>VLOOKUP($E59,TaskValues_ref!$E:$Z,4,FALSE)</f>
        <v>Preventive</v>
      </c>
      <c r="I59" t="str">
        <f>VLOOKUP($E59,TaskValues_ref!$E:$Z,5,FALSE)</f>
        <v>Family planning</v>
      </c>
      <c r="J59" s="257" t="str">
        <f>VLOOKUP($E59,TaskValues_ref!$E:$Z,6,FALSE)</f>
        <v>15 yo girls</v>
      </c>
      <c r="K59" t="str">
        <f>VLOOKUP($E59,TaskValues_ref!$E:$Z,10,FALSE)</f>
        <v>Amhara</v>
      </c>
      <c r="L59" s="195" t="str">
        <f>IF(VLOOKUP($E59,TaskValues_ref!$E:$Z,11,FALSE)=0,"",VLOOKUP($E59,TaskValues_ref!$E:$Z,11,FALSE))</f>
        <v/>
      </c>
      <c r="M59" t="str">
        <f>IF(VLOOKUP($E59,TaskValues_ref!$E:$Z,13,FALSE)=0,"",VLOOKUP($E59,TaskValues_ref!$E:$Z,13,FALSE))</f>
        <v/>
      </c>
      <c r="N59" s="89" t="str">
        <f>IF(VLOOKUP($E59,TaskValues_ref!$E:$Z,15,FALSE)=0,"",VLOOKUP($E59,TaskValues_ref!$E:$Z,15,FALSE))</f>
        <v/>
      </c>
      <c r="O59" t="str">
        <f>IF(VLOOKUP($E59,TaskValues_ref!$E:$Z,16,FALSE)=0,"",VLOOKUP($E59,TaskValues_ref!$E:$Z,16,FALSE))</f>
        <v/>
      </c>
      <c r="P59" t="str">
        <f>IF(VLOOKUP($E59,TaskValues_ref!$E:$Z,17,FALSE)=0,"",VLOOKUP($E59,TaskValues_ref!$E:$Z,17,FALSE))</f>
        <v/>
      </c>
      <c r="Q59" t="str">
        <f>IF(VLOOKUP($E59,TaskValues_ref!$E:$Z,18,FALSE)=0,"",VLOOKUP($E59,TaskValues_ref!$E:$Z,18,FALSE))</f>
        <v/>
      </c>
      <c r="R59" t="str">
        <f>IF(VLOOKUP($E59,TaskValues_ref!$E:$Z,19,FALSE)=0,"",VLOOKUP($E59,TaskValues_ref!$E:$Z,19,FALSE))</f>
        <v/>
      </c>
      <c r="S59" t="str">
        <f>IF(VLOOKUP($E59,TaskValues_ref!$E:$Z,20,FALSE)=0,"",VLOOKUP($E59,TaskValues_ref!$E:$Z,20,FALSE))</f>
        <v/>
      </c>
    </row>
    <row r="60" spans="1:19" x14ac:dyDescent="0.45">
      <c r="A60" t="s">
        <v>2163</v>
      </c>
      <c r="B60" s="66" t="s">
        <v>2266</v>
      </c>
      <c r="D60" s="324">
        <v>52</v>
      </c>
      <c r="E60" s="64" t="str">
        <f t="shared" si="1"/>
        <v>FH.FP.52</v>
      </c>
      <c r="F60" t="str">
        <f>VLOOKUP(E60,TaskValues_ref!E:F,2,FALSE)</f>
        <v>Education about GBV</v>
      </c>
      <c r="G60" t="str">
        <f>VLOOKUP($E60,TaskValues_ref!$E:$Z,3,FALSE)</f>
        <v>Non-clinical</v>
      </c>
      <c r="H60" t="str">
        <f>VLOOKUP($E60,TaskValues_ref!$E:$Z,4,FALSE)</f>
        <v>Public Health</v>
      </c>
      <c r="I60" t="str">
        <f>VLOOKUP($E60,TaskValues_ref!$E:$Z,5,FALSE)</f>
        <v>Sexual health</v>
      </c>
      <c r="J60" s="257" t="str">
        <f>VLOOKUP($E60,TaskValues_ref!$E:$Z,6,FALSE)</f>
        <v>-</v>
      </c>
      <c r="K60" t="str">
        <f>VLOOKUP($E60,TaskValues_ref!$E:$Z,10,FALSE)</f>
        <v>Amhara</v>
      </c>
      <c r="L60" s="195" t="str">
        <f>IF(VLOOKUP($E60,TaskValues_ref!$E:$Z,11,FALSE)=0,"",VLOOKUP($E60,TaskValues_ref!$E:$Z,11,FALSE))</f>
        <v/>
      </c>
      <c r="M60" t="str">
        <f>IF(VLOOKUP($E60,TaskValues_ref!$E:$Z,13,FALSE)=0,"",VLOOKUP($E60,TaskValues_ref!$E:$Z,13,FALSE))</f>
        <v/>
      </c>
      <c r="N60" s="89" t="str">
        <f>IF(VLOOKUP($E60,TaskValues_ref!$E:$Z,15,FALSE)=0,"",VLOOKUP($E60,TaskValues_ref!$E:$Z,15,FALSE))</f>
        <v/>
      </c>
      <c r="O60" t="str">
        <f>IF(VLOOKUP($E60,TaskValues_ref!$E:$Z,16,FALSE)=0,"",VLOOKUP($E60,TaskValues_ref!$E:$Z,16,FALSE))</f>
        <v/>
      </c>
      <c r="P60" t="str">
        <f>IF(VLOOKUP($E60,TaskValues_ref!$E:$Z,17,FALSE)=0,"",VLOOKUP($E60,TaskValues_ref!$E:$Z,17,FALSE))</f>
        <v/>
      </c>
      <c r="Q60" t="str">
        <f>IF(VLOOKUP($E60,TaskValues_ref!$E:$Z,18,FALSE)=0,"",VLOOKUP($E60,TaskValues_ref!$E:$Z,18,FALSE))</f>
        <v/>
      </c>
      <c r="R60" t="str">
        <f>IF(VLOOKUP($E60,TaskValues_ref!$E:$Z,19,FALSE)=0,"",VLOOKUP($E60,TaskValues_ref!$E:$Z,19,FALSE))</f>
        <v/>
      </c>
      <c r="S60" t="str">
        <f>IF(VLOOKUP($E60,TaskValues_ref!$E:$Z,20,FALSE)=0,"",VLOOKUP($E60,TaskValues_ref!$E:$Z,20,FALSE))</f>
        <v/>
      </c>
    </row>
    <row r="61" spans="1:19" x14ac:dyDescent="0.45">
      <c r="A61" t="s">
        <v>2163</v>
      </c>
      <c r="B61" s="66" t="s">
        <v>2266</v>
      </c>
      <c r="D61" s="324">
        <v>53</v>
      </c>
      <c r="E61" s="64" t="str">
        <f t="shared" si="1"/>
        <v>FH.FP.53</v>
      </c>
      <c r="F61" t="str">
        <f>VLOOKUP(E61,TaskValues_ref!E:F,2,FALSE)</f>
        <v>Community dialogue about GBV</v>
      </c>
      <c r="G61" t="str">
        <f>VLOOKUP($E61,TaskValues_ref!$E:$Z,3,FALSE)</f>
        <v>Non-clinical</v>
      </c>
      <c r="H61" t="str">
        <f>VLOOKUP($E61,TaskValues_ref!$E:$Z,4,FALSE)</f>
        <v>Public Health</v>
      </c>
      <c r="I61" t="str">
        <f>VLOOKUP($E61,TaskValues_ref!$E:$Z,5,FALSE)</f>
        <v>Sexual health</v>
      </c>
      <c r="J61" s="257" t="str">
        <f>VLOOKUP($E61,TaskValues_ref!$E:$Z,6,FALSE)</f>
        <v>-</v>
      </c>
      <c r="K61" t="str">
        <f>VLOOKUP($E61,TaskValues_ref!$E:$Z,10,FALSE)</f>
        <v>Amhara</v>
      </c>
      <c r="L61" s="195" t="str">
        <f>IF(VLOOKUP($E61,TaskValues_ref!$E:$Z,11,FALSE)=0,"",VLOOKUP($E61,TaskValues_ref!$E:$Z,11,FALSE))</f>
        <v/>
      </c>
      <c r="M61" t="str">
        <f>IF(VLOOKUP($E61,TaskValues_ref!$E:$Z,13,FALSE)=0,"",VLOOKUP($E61,TaskValues_ref!$E:$Z,13,FALSE))</f>
        <v/>
      </c>
      <c r="N61" s="89" t="str">
        <f>IF(VLOOKUP($E61,TaskValues_ref!$E:$Z,15,FALSE)=0,"",VLOOKUP($E61,TaskValues_ref!$E:$Z,15,FALSE))</f>
        <v/>
      </c>
      <c r="O61" t="str">
        <f>IF(VLOOKUP($E61,TaskValues_ref!$E:$Z,16,FALSE)=0,"",VLOOKUP($E61,TaskValues_ref!$E:$Z,16,FALSE))</f>
        <v/>
      </c>
      <c r="P61" t="str">
        <f>IF(VLOOKUP($E61,TaskValues_ref!$E:$Z,17,FALSE)=0,"",VLOOKUP($E61,TaskValues_ref!$E:$Z,17,FALSE))</f>
        <v/>
      </c>
      <c r="Q61" t="str">
        <f>IF(VLOOKUP($E61,TaskValues_ref!$E:$Z,18,FALSE)=0,"",VLOOKUP($E61,TaskValues_ref!$E:$Z,18,FALSE))</f>
        <v/>
      </c>
      <c r="R61" t="str">
        <f>IF(VLOOKUP($E61,TaskValues_ref!$E:$Z,19,FALSE)=0,"",VLOOKUP($E61,TaskValues_ref!$E:$Z,19,FALSE))</f>
        <v/>
      </c>
      <c r="S61" t="str">
        <f>IF(VLOOKUP($E61,TaskValues_ref!$E:$Z,20,FALSE)=0,"",VLOOKUP($E61,TaskValues_ref!$E:$Z,20,FALSE))</f>
        <v/>
      </c>
    </row>
    <row r="62" spans="1:19" x14ac:dyDescent="0.45">
      <c r="A62" t="s">
        <v>2163</v>
      </c>
      <c r="B62" s="66" t="s">
        <v>2266</v>
      </c>
      <c r="D62" s="324">
        <v>54</v>
      </c>
      <c r="E62" s="64" t="str">
        <f t="shared" si="1"/>
        <v>FH.FP.54</v>
      </c>
      <c r="F62" t="str">
        <f>VLOOKUP(E62,TaskValues_ref!E:F,2,FALSE)</f>
        <v>Pregnancy test for GBV</v>
      </c>
      <c r="G62" t="str">
        <f>VLOOKUP($E62,TaskValues_ref!$E:$Z,3,FALSE)</f>
        <v>Clinical</v>
      </c>
      <c r="H62" t="str">
        <f>VLOOKUP($E62,TaskValues_ref!$E:$Z,4,FALSE)</f>
        <v>Acute</v>
      </c>
      <c r="I62" t="str">
        <f>VLOOKUP($E62,TaskValues_ref!$E:$Z,5,FALSE)</f>
        <v>Sexual health</v>
      </c>
      <c r="J62" s="257" t="str">
        <f>VLOOKUP($E62,TaskValues_ref!$E:$Z,6,FALSE)</f>
        <v>women 15-49</v>
      </c>
      <c r="K62" t="str">
        <f>VLOOKUP($E62,TaskValues_ref!$E:$Z,10,FALSE)</f>
        <v>Amhara</v>
      </c>
      <c r="L62" s="195">
        <f>IF(VLOOKUP($E62,TaskValues_ref!$E:$Z,11,FALSE)=0,"",VLOOKUP($E62,TaskValues_ref!$E:$Z,11,FALSE))</f>
        <v>6.9000000000000006E-2</v>
      </c>
      <c r="M62" t="str">
        <f>IF(VLOOKUP($E62,TaskValues_ref!$E:$Z,13,FALSE)=0,"",VLOOKUP($E62,TaskValues_ref!$E:$Z,13,FALSE))</f>
        <v/>
      </c>
      <c r="N62" s="89">
        <f>IF(VLOOKUP($E62,TaskValues_ref!$E:$Z,15,FALSE)=0,"",VLOOKUP($E62,TaskValues_ref!$E:$Z,15,FALSE))</f>
        <v>0.98</v>
      </c>
      <c r="O62">
        <f>IF(VLOOKUP($E62,TaskValues_ref!$E:$Z,16,FALSE)=0,"",VLOOKUP($E62,TaskValues_ref!$E:$Z,16,FALSE))</f>
        <v>1</v>
      </c>
      <c r="P62" t="str">
        <f>IF(VLOOKUP($E62,TaskValues_ref!$E:$Z,17,FALSE)=0,"",VLOOKUP($E62,TaskValues_ref!$E:$Z,17,FALSE))</f>
        <v/>
      </c>
      <c r="Q62">
        <f>IF(VLOOKUP($E62,TaskValues_ref!$E:$Z,18,FALSE)=0,"",VLOOKUP($E62,TaskValues_ref!$E:$Z,18,FALSE))</f>
        <v>5</v>
      </c>
      <c r="R62" t="str">
        <f>IF(VLOOKUP($E62,TaskValues_ref!$E:$Z,19,FALSE)=0,"",VLOOKUP($E62,TaskValues_ref!$E:$Z,19,FALSE))</f>
        <v/>
      </c>
      <c r="S62" t="str">
        <f>IF(VLOOKUP($E62,TaskValues_ref!$E:$Z,20,FALSE)=0,"",VLOOKUP($E62,TaskValues_ref!$E:$Z,20,FALSE))</f>
        <v/>
      </c>
    </row>
    <row r="63" spans="1:19" x14ac:dyDescent="0.45">
      <c r="A63" t="s">
        <v>2163</v>
      </c>
      <c r="B63" s="66" t="s">
        <v>2266</v>
      </c>
      <c r="D63" s="324">
        <v>55</v>
      </c>
      <c r="E63" s="64" t="str">
        <f t="shared" si="1"/>
        <v>FH.FP.55</v>
      </c>
      <c r="F63" t="str">
        <f>VLOOKUP(E63,TaskValues_ref!E:F,2,FALSE)</f>
        <v>HIV test for GBV</v>
      </c>
      <c r="G63" t="str">
        <f>VLOOKUP($E63,TaskValues_ref!$E:$Z,3,FALSE)</f>
        <v>Clinical</v>
      </c>
      <c r="H63" t="str">
        <f>VLOOKUP($E63,TaskValues_ref!$E:$Z,4,FALSE)</f>
        <v>Acute</v>
      </c>
      <c r="I63" t="str">
        <f>VLOOKUP($E63,TaskValues_ref!$E:$Z,5,FALSE)</f>
        <v>Sexual health</v>
      </c>
      <c r="J63" s="257" t="str">
        <f>VLOOKUP($E63,TaskValues_ref!$E:$Z,6,FALSE)</f>
        <v>women 15-49</v>
      </c>
      <c r="K63" t="str">
        <f>VLOOKUP($E63,TaskValues_ref!$E:$Z,10,FALSE)</f>
        <v>Amhara</v>
      </c>
      <c r="L63" s="195">
        <f>IF(VLOOKUP($E63,TaskValues_ref!$E:$Z,11,FALSE)=0,"",VLOOKUP($E63,TaskValues_ref!$E:$Z,11,FALSE))</f>
        <v>6.9000000000000006E-2</v>
      </c>
      <c r="M63" t="str">
        <f>IF(VLOOKUP($E63,TaskValues_ref!$E:$Z,13,FALSE)=0,"",VLOOKUP($E63,TaskValues_ref!$E:$Z,13,FALSE))</f>
        <v/>
      </c>
      <c r="N63" s="89">
        <f>IF(VLOOKUP($E63,TaskValues_ref!$E:$Z,15,FALSE)=0,"",VLOOKUP($E63,TaskValues_ref!$E:$Z,15,FALSE))</f>
        <v>0.98</v>
      </c>
      <c r="O63">
        <f>IF(VLOOKUP($E63,TaskValues_ref!$E:$Z,16,FALSE)=0,"",VLOOKUP($E63,TaskValues_ref!$E:$Z,16,FALSE))</f>
        <v>3</v>
      </c>
      <c r="P63" t="str">
        <f>IF(VLOOKUP($E63,TaskValues_ref!$E:$Z,17,FALSE)=0,"",VLOOKUP($E63,TaskValues_ref!$E:$Z,17,FALSE))</f>
        <v/>
      </c>
      <c r="Q63">
        <f>IF(VLOOKUP($E63,TaskValues_ref!$E:$Z,18,FALSE)=0,"",VLOOKUP($E63,TaskValues_ref!$E:$Z,18,FALSE))</f>
        <v>5</v>
      </c>
      <c r="R63" t="str">
        <f>IF(VLOOKUP($E63,TaskValues_ref!$E:$Z,19,FALSE)=0,"",VLOOKUP($E63,TaskValues_ref!$E:$Z,19,FALSE))</f>
        <v/>
      </c>
      <c r="S63" t="str">
        <f>IF(VLOOKUP($E63,TaskValues_ref!$E:$Z,20,FALSE)=0,"",VLOOKUP($E63,TaskValues_ref!$E:$Z,20,FALSE))</f>
        <v/>
      </c>
    </row>
    <row r="64" spans="1:19" x14ac:dyDescent="0.45">
      <c r="A64" t="s">
        <v>2163</v>
      </c>
      <c r="B64" s="66" t="s">
        <v>2266</v>
      </c>
      <c r="D64" s="324">
        <v>56</v>
      </c>
      <c r="E64" s="64" t="str">
        <f t="shared" si="1"/>
        <v>FH.FP.56</v>
      </c>
      <c r="F64" t="str">
        <f>VLOOKUP(E64,TaskValues_ref!E:F,2,FALSE)</f>
        <v>Emergency GBV response</v>
      </c>
      <c r="G64" t="str">
        <f>VLOOKUP($E64,TaskValues_ref!$E:$Z,3,FALSE)</f>
        <v>Clinical</v>
      </c>
      <c r="H64" t="str">
        <f>VLOOKUP($E64,TaskValues_ref!$E:$Z,4,FALSE)</f>
        <v>Acute</v>
      </c>
      <c r="I64" t="str">
        <f>VLOOKUP($E64,TaskValues_ref!$E:$Z,5,FALSE)</f>
        <v>Sexual health</v>
      </c>
      <c r="J64" s="257" t="str">
        <f>VLOOKUP($E64,TaskValues_ref!$E:$Z,6,FALSE)</f>
        <v>women 15-49</v>
      </c>
      <c r="K64" t="str">
        <f>VLOOKUP($E64,TaskValues_ref!$E:$Z,10,FALSE)</f>
        <v>Amhara</v>
      </c>
      <c r="L64" s="195">
        <f>IF(VLOOKUP($E64,TaskValues_ref!$E:$Z,11,FALSE)=0,"",VLOOKUP($E64,TaskValues_ref!$E:$Z,11,FALSE))</f>
        <v>0.13400000000000001</v>
      </c>
      <c r="M64" t="str">
        <f>IF(VLOOKUP($E64,TaskValues_ref!$E:$Z,13,FALSE)=0,"",VLOOKUP($E64,TaskValues_ref!$E:$Z,13,FALSE))</f>
        <v/>
      </c>
      <c r="N64" s="89">
        <f>IF(VLOOKUP($E64,TaskValues_ref!$E:$Z,15,FALSE)=0,"",VLOOKUP($E64,TaskValues_ref!$E:$Z,15,FALSE))</f>
        <v>0.98</v>
      </c>
      <c r="O64">
        <f>IF(VLOOKUP($E64,TaskValues_ref!$E:$Z,16,FALSE)=0,"",VLOOKUP($E64,TaskValues_ref!$E:$Z,16,FALSE))</f>
        <v>1</v>
      </c>
      <c r="P64" t="str">
        <f>IF(VLOOKUP($E64,TaskValues_ref!$E:$Z,17,FALSE)=0,"",VLOOKUP($E64,TaskValues_ref!$E:$Z,17,FALSE))</f>
        <v/>
      </c>
      <c r="Q64">
        <f>IF(VLOOKUP($E64,TaskValues_ref!$E:$Z,18,FALSE)=0,"",VLOOKUP($E64,TaskValues_ref!$E:$Z,18,FALSE))</f>
        <v>20</v>
      </c>
      <c r="R64" t="str">
        <f>IF(VLOOKUP($E64,TaskValues_ref!$E:$Z,19,FALSE)=0,"",VLOOKUP($E64,TaskValues_ref!$E:$Z,19,FALSE))</f>
        <v/>
      </c>
      <c r="S64" t="str">
        <f>IF(VLOOKUP($E64,TaskValues_ref!$E:$Z,20,FALSE)=0,"",VLOOKUP($E64,TaskValues_ref!$E:$Z,20,FALSE))</f>
        <v/>
      </c>
    </row>
    <row r="65" spans="1:19" x14ac:dyDescent="0.45">
      <c r="A65" t="s">
        <v>2163</v>
      </c>
      <c r="B65" s="66" t="s">
        <v>2266</v>
      </c>
      <c r="D65" s="324">
        <v>57</v>
      </c>
      <c r="E65" s="64" t="str">
        <f t="shared" si="1"/>
        <v>FH.FP.57</v>
      </c>
      <c r="F65" t="str">
        <f>VLOOKUP(E65,TaskValues_ref!E:F,2,FALSE)</f>
        <v>Medical treatment for GBV</v>
      </c>
      <c r="G65" t="str">
        <f>VLOOKUP($E65,TaskValues_ref!$E:$Z,3,FALSE)</f>
        <v>Clinical</v>
      </c>
      <c r="H65" t="str">
        <f>VLOOKUP($E65,TaskValues_ref!$E:$Z,4,FALSE)</f>
        <v>Acute</v>
      </c>
      <c r="I65" t="str">
        <f>VLOOKUP($E65,TaskValues_ref!$E:$Z,5,FALSE)</f>
        <v>Sexual health</v>
      </c>
      <c r="J65" s="257" t="str">
        <f>VLOOKUP($E65,TaskValues_ref!$E:$Z,6,FALSE)</f>
        <v>women 15-49</v>
      </c>
      <c r="K65" t="str">
        <f>VLOOKUP($E65,TaskValues_ref!$E:$Z,10,FALSE)</f>
        <v>Amhara</v>
      </c>
      <c r="L65" s="195">
        <f>IF(VLOOKUP($E65,TaskValues_ref!$E:$Z,11,FALSE)=0,"",VLOOKUP($E65,TaskValues_ref!$E:$Z,11,FALSE))</f>
        <v>0.13400000000000001</v>
      </c>
      <c r="M65" t="str">
        <f>IF(VLOOKUP($E65,TaskValues_ref!$E:$Z,13,FALSE)=0,"",VLOOKUP($E65,TaskValues_ref!$E:$Z,13,FALSE))</f>
        <v/>
      </c>
      <c r="N65" s="89">
        <f>IF(VLOOKUP($E65,TaskValues_ref!$E:$Z,15,FALSE)=0,"",VLOOKUP($E65,TaskValues_ref!$E:$Z,15,FALSE))</f>
        <v>0.98</v>
      </c>
      <c r="O65">
        <f>IF(VLOOKUP($E65,TaskValues_ref!$E:$Z,16,FALSE)=0,"",VLOOKUP($E65,TaskValues_ref!$E:$Z,16,FALSE))</f>
        <v>1</v>
      </c>
      <c r="P65" t="str">
        <f>IF(VLOOKUP($E65,TaskValues_ref!$E:$Z,17,FALSE)=0,"",VLOOKUP($E65,TaskValues_ref!$E:$Z,17,FALSE))</f>
        <v/>
      </c>
      <c r="Q65">
        <f>IF(VLOOKUP($E65,TaskValues_ref!$E:$Z,18,FALSE)=0,"",VLOOKUP($E65,TaskValues_ref!$E:$Z,18,FALSE))</f>
        <v>20</v>
      </c>
      <c r="R65" t="str">
        <f>IF(VLOOKUP($E65,TaskValues_ref!$E:$Z,19,FALSE)=0,"",VLOOKUP($E65,TaskValues_ref!$E:$Z,19,FALSE))</f>
        <v/>
      </c>
      <c r="S65" t="str">
        <f>IF(VLOOKUP($E65,TaskValues_ref!$E:$Z,20,FALSE)=0,"",VLOOKUP($E65,TaskValues_ref!$E:$Z,20,FALSE))</f>
        <v/>
      </c>
    </row>
    <row r="66" spans="1:19" x14ac:dyDescent="0.45">
      <c r="A66" t="s">
        <v>2163</v>
      </c>
      <c r="B66" s="66" t="s">
        <v>2266</v>
      </c>
      <c r="D66" s="324">
        <v>58</v>
      </c>
      <c r="E66" s="64" t="str">
        <f t="shared" si="1"/>
        <v>FH.FP.58</v>
      </c>
      <c r="F66" t="str">
        <f>VLOOKUP(E66,TaskValues_ref!E:F,2,FALSE)</f>
        <v>Psycho-social support for GBV</v>
      </c>
      <c r="G66" t="str">
        <f>VLOOKUP($E66,TaskValues_ref!$E:$Z,3,FALSE)</f>
        <v>Clinical</v>
      </c>
      <c r="H66" t="str">
        <f>VLOOKUP($E66,TaskValues_ref!$E:$Z,4,FALSE)</f>
        <v>Acute</v>
      </c>
      <c r="I66" t="str">
        <f>VLOOKUP($E66,TaskValues_ref!$E:$Z,5,FALSE)</f>
        <v>Sexual health</v>
      </c>
      <c r="J66" s="257" t="str">
        <f>VLOOKUP($E66,TaskValues_ref!$E:$Z,6,FALSE)</f>
        <v>women 15-49</v>
      </c>
      <c r="K66" t="str">
        <f>VLOOKUP($E66,TaskValues_ref!$E:$Z,10,FALSE)</f>
        <v>Amhara</v>
      </c>
      <c r="L66" s="195">
        <f>IF(VLOOKUP($E66,TaskValues_ref!$E:$Z,11,FALSE)=0,"",VLOOKUP($E66,TaskValues_ref!$E:$Z,11,FALSE))</f>
        <v>0.20300000000000001</v>
      </c>
      <c r="M66">
        <f>IF(VLOOKUP($E66,TaskValues_ref!$E:$Z,13,FALSE)=0,"",VLOOKUP($E66,TaskValues_ref!$E:$Z,13,FALSE))</f>
        <v>0.1</v>
      </c>
      <c r="N66" s="89">
        <f>IF(VLOOKUP($E66,TaskValues_ref!$E:$Z,15,FALSE)=0,"",VLOOKUP($E66,TaskValues_ref!$E:$Z,15,FALSE))</f>
        <v>0.98</v>
      </c>
      <c r="O66">
        <f>IF(VLOOKUP($E66,TaskValues_ref!$E:$Z,16,FALSE)=0,"",VLOOKUP($E66,TaskValues_ref!$E:$Z,16,FALSE))</f>
        <v>1</v>
      </c>
      <c r="P66" t="str">
        <f>IF(VLOOKUP($E66,TaskValues_ref!$E:$Z,17,FALSE)=0,"",VLOOKUP($E66,TaskValues_ref!$E:$Z,17,FALSE))</f>
        <v/>
      </c>
      <c r="Q66">
        <f>IF(VLOOKUP($E66,TaskValues_ref!$E:$Z,18,FALSE)=0,"",VLOOKUP($E66,TaskValues_ref!$E:$Z,18,FALSE))</f>
        <v>20</v>
      </c>
      <c r="R66" t="str">
        <f>IF(VLOOKUP($E66,TaskValues_ref!$E:$Z,19,FALSE)=0,"",VLOOKUP($E66,TaskValues_ref!$E:$Z,19,FALSE))</f>
        <v/>
      </c>
      <c r="S66" t="str">
        <f>IF(VLOOKUP($E66,TaskValues_ref!$E:$Z,20,FALSE)=0,"",VLOOKUP($E66,TaskValues_ref!$E:$Z,20,FALSE))</f>
        <v/>
      </c>
    </row>
    <row r="67" spans="1:19" x14ac:dyDescent="0.45">
      <c r="A67" t="s">
        <v>2163</v>
      </c>
      <c r="B67" s="66" t="s">
        <v>2266</v>
      </c>
      <c r="D67" s="324">
        <v>59</v>
      </c>
      <c r="E67" s="64" t="str">
        <f t="shared" si="1"/>
        <v>FH.FP.59</v>
      </c>
      <c r="F67" t="str">
        <f>VLOOKUP(E67,TaskValues_ref!E:F,2,FALSE)</f>
        <v>Adovacy against HTP</v>
      </c>
      <c r="G67" t="str">
        <f>VLOOKUP($E67,TaskValues_ref!$E:$Z,3,FALSE)</f>
        <v>Non-clinical</v>
      </c>
      <c r="H67" t="str">
        <f>VLOOKUP($E67,TaskValues_ref!$E:$Z,4,FALSE)</f>
        <v>Public Health</v>
      </c>
      <c r="I67" t="str">
        <f>VLOOKUP($E67,TaskValues_ref!$E:$Z,5,FALSE)</f>
        <v>Sexual health</v>
      </c>
      <c r="J67" s="257" t="str">
        <f>VLOOKUP($E67,TaskValues_ref!$E:$Z,6,FALSE)</f>
        <v>-</v>
      </c>
      <c r="K67" t="str">
        <f>VLOOKUP($E67,TaskValues_ref!$E:$Z,10,FALSE)</f>
        <v>Amhara</v>
      </c>
      <c r="L67" s="195" t="str">
        <f>IF(VLOOKUP($E67,TaskValues_ref!$E:$Z,11,FALSE)=0,"",VLOOKUP($E67,TaskValues_ref!$E:$Z,11,FALSE))</f>
        <v/>
      </c>
      <c r="M67" t="str">
        <f>IF(VLOOKUP($E67,TaskValues_ref!$E:$Z,13,FALSE)=0,"",VLOOKUP($E67,TaskValues_ref!$E:$Z,13,FALSE))</f>
        <v/>
      </c>
      <c r="N67" s="89" t="str">
        <f>IF(VLOOKUP($E67,TaskValues_ref!$E:$Z,15,FALSE)=0,"",VLOOKUP($E67,TaskValues_ref!$E:$Z,15,FALSE))</f>
        <v/>
      </c>
      <c r="O67" t="str">
        <f>IF(VLOOKUP($E67,TaskValues_ref!$E:$Z,16,FALSE)=0,"",VLOOKUP($E67,TaskValues_ref!$E:$Z,16,FALSE))</f>
        <v/>
      </c>
      <c r="P67" t="str">
        <f>IF(VLOOKUP($E67,TaskValues_ref!$E:$Z,17,FALSE)=0,"",VLOOKUP($E67,TaskValues_ref!$E:$Z,17,FALSE))</f>
        <v/>
      </c>
      <c r="Q67" t="str">
        <f>IF(VLOOKUP($E67,TaskValues_ref!$E:$Z,18,FALSE)=0,"",VLOOKUP($E67,TaskValues_ref!$E:$Z,18,FALSE))</f>
        <v/>
      </c>
      <c r="R67" t="str">
        <f>IF(VLOOKUP($E67,TaskValues_ref!$E:$Z,19,FALSE)=0,"",VLOOKUP($E67,TaskValues_ref!$E:$Z,19,FALSE))</f>
        <v/>
      </c>
      <c r="S67" t="str">
        <f>IF(VLOOKUP($E67,TaskValues_ref!$E:$Z,20,FALSE)=0,"",VLOOKUP($E67,TaskValues_ref!$E:$Z,20,FALSE))</f>
        <v/>
      </c>
    </row>
    <row r="68" spans="1:19" x14ac:dyDescent="0.45">
      <c r="A68" t="s">
        <v>2163</v>
      </c>
      <c r="B68" s="66" t="s">
        <v>2266</v>
      </c>
      <c r="D68" s="324">
        <v>60</v>
      </c>
      <c r="E68" s="64" t="str">
        <f t="shared" si="1"/>
        <v>FH.FP.60</v>
      </c>
      <c r="F68" t="str">
        <f>VLOOKUP(E68,TaskValues_ref!E:F,2,FALSE)</f>
        <v>Prevention of teen pregnancy</v>
      </c>
      <c r="G68" t="str">
        <f>VLOOKUP($E68,TaskValues_ref!$E:$Z,3,FALSE)</f>
        <v>Clinical</v>
      </c>
      <c r="H68" t="str">
        <f>VLOOKUP($E68,TaskValues_ref!$E:$Z,4,FALSE)</f>
        <v>Preventive</v>
      </c>
      <c r="I68" t="str">
        <f>VLOOKUP($E68,TaskValues_ref!$E:$Z,5,FALSE)</f>
        <v>Family planning</v>
      </c>
      <c r="J68" s="257" t="str">
        <f>VLOOKUP($E68,TaskValues_ref!$E:$Z,6,FALSE)</f>
        <v>15 yo girls</v>
      </c>
      <c r="K68" t="str">
        <f>VLOOKUP($E68,TaskValues_ref!$E:$Z,10,FALSE)</f>
        <v>Amhara</v>
      </c>
      <c r="L68" s="195" t="str">
        <f>IF(VLOOKUP($E68,TaskValues_ref!$E:$Z,11,FALSE)=0,"",VLOOKUP($E68,TaskValues_ref!$E:$Z,11,FALSE))</f>
        <v/>
      </c>
      <c r="M68" t="str">
        <f>IF(VLOOKUP($E68,TaskValues_ref!$E:$Z,13,FALSE)=0,"",VLOOKUP($E68,TaskValues_ref!$E:$Z,13,FALSE))</f>
        <v/>
      </c>
      <c r="N68" s="89" t="str">
        <f>IF(VLOOKUP($E68,TaskValues_ref!$E:$Z,15,FALSE)=0,"",VLOOKUP($E68,TaskValues_ref!$E:$Z,15,FALSE))</f>
        <v/>
      </c>
      <c r="O68" t="str">
        <f>IF(VLOOKUP($E68,TaskValues_ref!$E:$Z,16,FALSE)=0,"",VLOOKUP($E68,TaskValues_ref!$E:$Z,16,FALSE))</f>
        <v/>
      </c>
      <c r="P68" t="str">
        <f>IF(VLOOKUP($E68,TaskValues_ref!$E:$Z,17,FALSE)=0,"",VLOOKUP($E68,TaskValues_ref!$E:$Z,17,FALSE))</f>
        <v/>
      </c>
      <c r="Q68" t="str">
        <f>IF(VLOOKUP($E68,TaskValues_ref!$E:$Z,18,FALSE)=0,"",VLOOKUP($E68,TaskValues_ref!$E:$Z,18,FALSE))</f>
        <v/>
      </c>
      <c r="R68" t="str">
        <f>IF(VLOOKUP($E68,TaskValues_ref!$E:$Z,19,FALSE)=0,"",VLOOKUP($E68,TaskValues_ref!$E:$Z,19,FALSE))</f>
        <v/>
      </c>
      <c r="S68" t="str">
        <f>IF(VLOOKUP($E68,TaskValues_ref!$E:$Z,20,FALSE)=0,"",VLOOKUP($E68,TaskValues_ref!$E:$Z,20,FALSE))</f>
        <v/>
      </c>
    </row>
    <row r="69" spans="1:19" x14ac:dyDescent="0.45">
      <c r="A69" t="s">
        <v>2163</v>
      </c>
      <c r="B69" s="66" t="s">
        <v>2266</v>
      </c>
      <c r="D69" s="324">
        <v>61</v>
      </c>
      <c r="E69" s="64" t="str">
        <f t="shared" si="1"/>
        <v>FH.FP.61</v>
      </c>
      <c r="F69" t="str">
        <f>VLOOKUP(E69,TaskValues_ref!E:F,2,FALSE)</f>
        <v>Folic acid</v>
      </c>
      <c r="G69" t="str">
        <f>VLOOKUP($E69,TaskValues_ref!$E:$Z,3,FALSE)</f>
        <v>Clinical</v>
      </c>
      <c r="H69" t="str">
        <f>VLOOKUP($E69,TaskValues_ref!$E:$Z,4,FALSE)</f>
        <v>Preventive</v>
      </c>
      <c r="I69" t="str">
        <f>VLOOKUP($E69,TaskValues_ref!$E:$Z,5,FALSE)</f>
        <v>Family planning</v>
      </c>
      <c r="J69" s="257" t="str">
        <f>VLOOKUP($E69,TaskValues_ref!$E:$Z,6,FALSE)</f>
        <v>births</v>
      </c>
      <c r="K69" t="str">
        <f>VLOOKUP($E69,TaskValues_ref!$E:$Z,10,FALSE)</f>
        <v>Amhara</v>
      </c>
      <c r="L69" s="195">
        <f>IF(VLOOKUP($E69,TaskValues_ref!$E:$Z,11,FALSE)=0,"",VLOOKUP($E69,TaskValues_ref!$E:$Z,11,FALSE))</f>
        <v>1</v>
      </c>
      <c r="M69" t="str">
        <f>IF(VLOOKUP($E69,TaskValues_ref!$E:$Z,13,FALSE)=0,"",VLOOKUP($E69,TaskValues_ref!$E:$Z,13,FALSE))</f>
        <v/>
      </c>
      <c r="N69" s="89">
        <f>IF(VLOOKUP($E69,TaskValues_ref!$E:$Z,15,FALSE)=0,"",VLOOKUP($E69,TaskValues_ref!$E:$Z,15,FALSE))</f>
        <v>1</v>
      </c>
      <c r="O69" t="str">
        <f>IF(VLOOKUP($E69,TaskValues_ref!$E:$Z,16,FALSE)=0,"",VLOOKUP($E69,TaskValues_ref!$E:$Z,16,FALSE))</f>
        <v/>
      </c>
      <c r="P69" t="str">
        <f>IF(VLOOKUP($E69,TaskValues_ref!$E:$Z,17,FALSE)=0,"",VLOOKUP($E69,TaskValues_ref!$E:$Z,17,FALSE))</f>
        <v/>
      </c>
      <c r="Q69" t="str">
        <f>IF(VLOOKUP($E69,TaskValues_ref!$E:$Z,18,FALSE)=0,"",VLOOKUP($E69,TaskValues_ref!$E:$Z,18,FALSE))</f>
        <v/>
      </c>
      <c r="R69" t="str">
        <f>IF(VLOOKUP($E69,TaskValues_ref!$E:$Z,19,FALSE)=0,"",VLOOKUP($E69,TaskValues_ref!$E:$Z,19,FALSE))</f>
        <v/>
      </c>
      <c r="S69" t="str">
        <f>IF(VLOOKUP($E69,TaskValues_ref!$E:$Z,20,FALSE)=0,"",VLOOKUP($E69,TaskValues_ref!$E:$Z,20,FALSE))</f>
        <v/>
      </c>
    </row>
    <row r="70" spans="1:19" x14ac:dyDescent="0.45">
      <c r="A70" t="s">
        <v>2163</v>
      </c>
      <c r="B70" s="66" t="s">
        <v>2266</v>
      </c>
      <c r="D70" s="324">
        <v>62</v>
      </c>
      <c r="E70" s="64" t="str">
        <f t="shared" si="1"/>
        <v>FH.FP.62</v>
      </c>
      <c r="F70" t="str">
        <f>VLOOKUP(E70,TaskValues_ref!E:F,2,FALSE)</f>
        <v>SRH counseling for men</v>
      </c>
      <c r="G70" t="str">
        <f>VLOOKUP($E70,TaskValues_ref!$E:$Z,3,FALSE)</f>
        <v>Clinical</v>
      </c>
      <c r="H70" t="str">
        <f>VLOOKUP($E70,TaskValues_ref!$E:$Z,4,FALSE)</f>
        <v>Acute</v>
      </c>
      <c r="I70" t="str">
        <f>VLOOKUP($E70,TaskValues_ref!$E:$Z,5,FALSE)</f>
        <v>Sexual health</v>
      </c>
      <c r="J70" s="257" t="str">
        <f>VLOOKUP($E70,TaskValues_ref!$E:$Z,6,FALSE)</f>
        <v>men 15-49</v>
      </c>
      <c r="K70" t="str">
        <f>VLOOKUP($E70,TaskValues_ref!$E:$Z,10,FALSE)</f>
        <v>Amhara</v>
      </c>
      <c r="L70" s="195">
        <f>IF(VLOOKUP($E70,TaskValues_ref!$E:$Z,11,FALSE)=0,"",VLOOKUP($E70,TaskValues_ref!$E:$Z,11,FALSE))</f>
        <v>1</v>
      </c>
      <c r="M70" t="str">
        <f>IF(VLOOKUP($E70,TaskValues_ref!$E:$Z,13,FALSE)=0,"",VLOOKUP($E70,TaskValues_ref!$E:$Z,13,FALSE))</f>
        <v/>
      </c>
      <c r="N70" s="89">
        <f>IF(VLOOKUP($E70,TaskValues_ref!$E:$Z,15,FALSE)=0,"",VLOOKUP($E70,TaskValues_ref!$E:$Z,15,FALSE))</f>
        <v>1</v>
      </c>
      <c r="O70" t="str">
        <f>IF(VLOOKUP($E70,TaskValues_ref!$E:$Z,16,FALSE)=0,"",VLOOKUP($E70,TaskValues_ref!$E:$Z,16,FALSE))</f>
        <v/>
      </c>
      <c r="P70">
        <f>IF(VLOOKUP($E70,TaskValues_ref!$E:$Z,17,FALSE)=0,"",VLOOKUP($E70,TaskValues_ref!$E:$Z,17,FALSE))</f>
        <v>0.1</v>
      </c>
      <c r="Q70">
        <f>IF(VLOOKUP($E70,TaskValues_ref!$E:$Z,18,FALSE)=0,"",VLOOKUP($E70,TaskValues_ref!$E:$Z,18,FALSE))</f>
        <v>10</v>
      </c>
      <c r="R70" t="str">
        <f>IF(VLOOKUP($E70,TaskValues_ref!$E:$Z,19,FALSE)=0,"",VLOOKUP($E70,TaskValues_ref!$E:$Z,19,FALSE))</f>
        <v/>
      </c>
      <c r="S70" t="str">
        <f>IF(VLOOKUP($E70,TaskValues_ref!$E:$Z,20,FALSE)=0,"",VLOOKUP($E70,TaskValues_ref!$E:$Z,20,FALSE))</f>
        <v/>
      </c>
    </row>
    <row r="71" spans="1:19" x14ac:dyDescent="0.45">
      <c r="A71" t="s">
        <v>2163</v>
      </c>
      <c r="B71" s="66" t="s">
        <v>70</v>
      </c>
      <c r="D71" s="324">
        <v>64</v>
      </c>
      <c r="E71" s="64" t="str">
        <f>_xlfn.CONCAT("FH.Ntr.",D71)</f>
        <v>FH.Ntr.64</v>
      </c>
      <c r="F71" t="str">
        <f>VLOOKUP(E71,TaskValues_ref!E:F,2,FALSE)</f>
        <v>Promote breast feeding</v>
      </c>
      <c r="G71" t="str">
        <f>VLOOKUP($E71,TaskValues_ref!$E:$Z,3,FALSE)</f>
        <v>Clinical</v>
      </c>
      <c r="H71" t="str">
        <f>VLOOKUP($E71,TaskValues_ref!$E:$Z,4,FALSE)</f>
        <v>Preventive</v>
      </c>
      <c r="I71" t="str">
        <f>VLOOKUP($E71,TaskValues_ref!$E:$Z,5,FALSE)</f>
        <v>Nutrition</v>
      </c>
      <c r="J71" s="257" t="str">
        <f>VLOOKUP($E71,TaskValues_ref!$E:$Z,6,FALSE)</f>
        <v>births</v>
      </c>
      <c r="K71" t="str">
        <f>VLOOKUP($E71,TaskValues_ref!$E:$Z,10,FALSE)</f>
        <v>Amhara</v>
      </c>
      <c r="L71" s="195" t="str">
        <f>IF(VLOOKUP($E71,TaskValues_ref!$E:$Z,11,FALSE)=0,"",VLOOKUP($E71,TaskValues_ref!$E:$Z,11,FALSE))</f>
        <v/>
      </c>
      <c r="M71" t="str">
        <f>IF(VLOOKUP($E71,TaskValues_ref!$E:$Z,13,FALSE)=0,"",VLOOKUP($E71,TaskValues_ref!$E:$Z,13,FALSE))</f>
        <v/>
      </c>
      <c r="N71" s="89" t="str">
        <f>IF(VLOOKUP($E71,TaskValues_ref!$E:$Z,15,FALSE)=0,"",VLOOKUP($E71,TaskValues_ref!$E:$Z,15,FALSE))</f>
        <v/>
      </c>
      <c r="O71" t="str">
        <f>IF(VLOOKUP($E71,TaskValues_ref!$E:$Z,16,FALSE)=0,"",VLOOKUP($E71,TaskValues_ref!$E:$Z,16,FALSE))</f>
        <v/>
      </c>
      <c r="P71" t="str">
        <f>IF(VLOOKUP($E71,TaskValues_ref!$E:$Z,17,FALSE)=0,"",VLOOKUP($E71,TaskValues_ref!$E:$Z,17,FALSE))</f>
        <v/>
      </c>
      <c r="Q71" t="str">
        <f>IF(VLOOKUP($E71,TaskValues_ref!$E:$Z,18,FALSE)=0,"",VLOOKUP($E71,TaskValues_ref!$E:$Z,18,FALSE))</f>
        <v/>
      </c>
      <c r="R71" t="str">
        <f>IF(VLOOKUP($E71,TaskValues_ref!$E:$Z,19,FALSE)=0,"",VLOOKUP($E71,TaskValues_ref!$E:$Z,19,FALSE))</f>
        <v/>
      </c>
      <c r="S71" t="str">
        <f>IF(VLOOKUP($E71,TaskValues_ref!$E:$Z,20,FALSE)=0,"",VLOOKUP($E71,TaskValues_ref!$E:$Z,20,FALSE))</f>
        <v/>
      </c>
    </row>
    <row r="72" spans="1:19" x14ac:dyDescent="0.45">
      <c r="A72" t="s">
        <v>2163</v>
      </c>
      <c r="B72" s="66" t="s">
        <v>70</v>
      </c>
      <c r="D72" s="324">
        <v>65</v>
      </c>
      <c r="E72" s="64" t="str">
        <f>_xlfn.CONCAT("FH.Ntr.",D72)</f>
        <v>FH.Ntr.65</v>
      </c>
      <c r="F72" t="str">
        <f>VLOOKUP(E72,TaskValues_ref!E:F,2,FALSE)</f>
        <v>Nutritional screening during pregnancy</v>
      </c>
      <c r="G72" t="str">
        <f>VLOOKUP($E72,TaskValues_ref!$E:$Z,3,FALSE)</f>
        <v>Clinical</v>
      </c>
      <c r="H72" t="str">
        <f>VLOOKUP($E72,TaskValues_ref!$E:$Z,4,FALSE)</f>
        <v>Preventive</v>
      </c>
      <c r="I72" t="str">
        <f>VLOOKUP($E72,TaskValues_ref!$E:$Z,5,FALSE)</f>
        <v>Nutrition</v>
      </c>
      <c r="J72" s="257" t="str">
        <f>VLOOKUP($E72,TaskValues_ref!$E:$Z,6,FALSE)</f>
        <v>births</v>
      </c>
      <c r="K72" t="str">
        <f>VLOOKUP($E72,TaskValues_ref!$E:$Z,10,FALSE)</f>
        <v>Amhara</v>
      </c>
      <c r="L72" s="195" t="str">
        <f>IF(VLOOKUP($E72,TaskValues_ref!$E:$Z,11,FALSE)=0,"",VLOOKUP($E72,TaskValues_ref!$E:$Z,11,FALSE))</f>
        <v/>
      </c>
      <c r="M72" t="str">
        <f>IF(VLOOKUP($E72,TaskValues_ref!$E:$Z,13,FALSE)=0,"",VLOOKUP($E72,TaskValues_ref!$E:$Z,13,FALSE))</f>
        <v/>
      </c>
      <c r="N72" s="89" t="str">
        <f>IF(VLOOKUP($E72,TaskValues_ref!$E:$Z,15,FALSE)=0,"",VLOOKUP($E72,TaskValues_ref!$E:$Z,15,FALSE))</f>
        <v/>
      </c>
      <c r="O72" t="str">
        <f>IF(VLOOKUP($E72,TaskValues_ref!$E:$Z,16,FALSE)=0,"",VLOOKUP($E72,TaskValues_ref!$E:$Z,16,FALSE))</f>
        <v/>
      </c>
      <c r="P72" t="str">
        <f>IF(VLOOKUP($E72,TaskValues_ref!$E:$Z,17,FALSE)=0,"",VLOOKUP($E72,TaskValues_ref!$E:$Z,17,FALSE))</f>
        <v/>
      </c>
      <c r="Q72" t="str">
        <f>IF(VLOOKUP($E72,TaskValues_ref!$E:$Z,18,FALSE)=0,"",VLOOKUP($E72,TaskValues_ref!$E:$Z,18,FALSE))</f>
        <v/>
      </c>
      <c r="R72" t="str">
        <f>IF(VLOOKUP($E72,TaskValues_ref!$E:$Z,19,FALSE)=0,"",VLOOKUP($E72,TaskValues_ref!$E:$Z,19,FALSE))</f>
        <v/>
      </c>
      <c r="S72" t="str">
        <f>IF(VLOOKUP($E72,TaskValues_ref!$E:$Z,20,FALSE)=0,"",VLOOKUP($E72,TaskValues_ref!$E:$Z,20,FALSE))</f>
        <v/>
      </c>
    </row>
    <row r="73" spans="1:19" x14ac:dyDescent="0.45">
      <c r="A73" t="s">
        <v>2163</v>
      </c>
      <c r="B73" s="66" t="s">
        <v>70</v>
      </c>
      <c r="D73" s="324">
        <v>66</v>
      </c>
      <c r="E73" s="64" t="str">
        <f>_xlfn.CONCAT("FH.Ntr.",D73)</f>
        <v>FH.Ntr.66</v>
      </c>
      <c r="F73" t="str">
        <f>VLOOKUP(E73,TaskValues_ref!E:F,2,FALSE)</f>
        <v>Monthly monitoring</v>
      </c>
      <c r="G73" t="str">
        <f>VLOOKUP($E73,TaskValues_ref!$E:$Z,3,FALSE)</f>
        <v>Clinical</v>
      </c>
      <c r="H73" t="str">
        <f>VLOOKUP($E73,TaskValues_ref!$E:$Z,4,FALSE)</f>
        <v>Preventive</v>
      </c>
      <c r="I73" t="str">
        <f>VLOOKUP($E73,TaskValues_ref!$E:$Z,5,FALSE)</f>
        <v>Nutrition</v>
      </c>
      <c r="J73" s="257" t="str">
        <f>VLOOKUP($E73,TaskValues_ref!$E:$Z,6,FALSE)</f>
        <v>births</v>
      </c>
      <c r="K73" t="str">
        <f>VLOOKUP($E73,TaskValues_ref!$E:$Z,10,FALSE)</f>
        <v>Amhara</v>
      </c>
      <c r="L73" s="195" t="str">
        <f>IF(VLOOKUP($E73,TaskValues_ref!$E:$Z,11,FALSE)=0,"",VLOOKUP($E73,TaskValues_ref!$E:$Z,11,FALSE))</f>
        <v/>
      </c>
      <c r="M73" t="str">
        <f>IF(VLOOKUP($E73,TaskValues_ref!$E:$Z,13,FALSE)=0,"",VLOOKUP($E73,TaskValues_ref!$E:$Z,13,FALSE))</f>
        <v/>
      </c>
      <c r="N73" s="89" t="str">
        <f>IF(VLOOKUP($E73,TaskValues_ref!$E:$Z,15,FALSE)=0,"",VLOOKUP($E73,TaskValues_ref!$E:$Z,15,FALSE))</f>
        <v/>
      </c>
      <c r="O73" t="str">
        <f>IF(VLOOKUP($E73,TaskValues_ref!$E:$Z,16,FALSE)=0,"",VLOOKUP($E73,TaskValues_ref!$E:$Z,16,FALSE))</f>
        <v/>
      </c>
      <c r="P73" t="str">
        <f>IF(VLOOKUP($E73,TaskValues_ref!$E:$Z,17,FALSE)=0,"",VLOOKUP($E73,TaskValues_ref!$E:$Z,17,FALSE))</f>
        <v/>
      </c>
      <c r="Q73" t="str">
        <f>IF(VLOOKUP($E73,TaskValues_ref!$E:$Z,18,FALSE)=0,"",VLOOKUP($E73,TaskValues_ref!$E:$Z,18,FALSE))</f>
        <v/>
      </c>
      <c r="R73" t="str">
        <f>IF(VLOOKUP($E73,TaskValues_ref!$E:$Z,19,FALSE)=0,"",VLOOKUP($E73,TaskValues_ref!$E:$Z,19,FALSE))</f>
        <v/>
      </c>
      <c r="S73" t="str">
        <f>IF(VLOOKUP($E73,TaskValues_ref!$E:$Z,20,FALSE)=0,"",VLOOKUP($E73,TaskValues_ref!$E:$Z,20,FALSE))</f>
        <v/>
      </c>
    </row>
    <row r="74" spans="1:19" x14ac:dyDescent="0.45">
      <c r="A74" t="s">
        <v>2163</v>
      </c>
      <c r="B74" s="66" t="s">
        <v>70</v>
      </c>
      <c r="D74" s="324">
        <v>67</v>
      </c>
      <c r="E74" s="64" t="str">
        <f>_xlfn.CONCAT("FH.Ntr.",D74)</f>
        <v>FH.Ntr.67</v>
      </c>
      <c r="F74" t="str">
        <f>VLOOKUP(E74,TaskValues_ref!E:F,2,FALSE)</f>
        <v>MUAC and oedema screening</v>
      </c>
      <c r="G74" t="str">
        <f>VLOOKUP($E74,TaskValues_ref!$E:$Z,3,FALSE)</f>
        <v>Clinical</v>
      </c>
      <c r="H74" t="str">
        <f>VLOOKUP($E74,TaskValues_ref!$E:$Z,4,FALSE)</f>
        <v>Acute</v>
      </c>
      <c r="I74" t="str">
        <f>VLOOKUP($E74,TaskValues_ref!$E:$Z,5,FALSE)</f>
        <v>Nutrition</v>
      </c>
      <c r="J74" s="257" t="str">
        <f>VLOOKUP($E74,TaskValues_ref!$E:$Z,6,FALSE)</f>
        <v>births</v>
      </c>
      <c r="K74" t="str">
        <f>VLOOKUP($E74,TaskValues_ref!$E:$Z,10,FALSE)</f>
        <v>Amhara</v>
      </c>
      <c r="L74" s="195" t="str">
        <f>IF(VLOOKUP($E74,TaskValues_ref!$E:$Z,11,FALSE)=0,"",VLOOKUP($E74,TaskValues_ref!$E:$Z,11,FALSE))</f>
        <v/>
      </c>
      <c r="M74" t="str">
        <f>IF(VLOOKUP($E74,TaskValues_ref!$E:$Z,13,FALSE)=0,"",VLOOKUP($E74,TaskValues_ref!$E:$Z,13,FALSE))</f>
        <v/>
      </c>
      <c r="N74" s="89" t="str">
        <f>IF(VLOOKUP($E74,TaskValues_ref!$E:$Z,15,FALSE)=0,"",VLOOKUP($E74,TaskValues_ref!$E:$Z,15,FALSE))</f>
        <v/>
      </c>
      <c r="O74" t="str">
        <f>IF(VLOOKUP($E74,TaskValues_ref!$E:$Z,16,FALSE)=0,"",VLOOKUP($E74,TaskValues_ref!$E:$Z,16,FALSE))</f>
        <v/>
      </c>
      <c r="P74" t="str">
        <f>IF(VLOOKUP($E74,TaskValues_ref!$E:$Z,17,FALSE)=0,"",VLOOKUP($E74,TaskValues_ref!$E:$Z,17,FALSE))</f>
        <v/>
      </c>
      <c r="Q74" t="str">
        <f>IF(VLOOKUP($E74,TaskValues_ref!$E:$Z,18,FALSE)=0,"",VLOOKUP($E74,TaskValues_ref!$E:$Z,18,FALSE))</f>
        <v/>
      </c>
      <c r="R74" t="str">
        <f>IF(VLOOKUP($E74,TaskValues_ref!$E:$Z,19,FALSE)=0,"",VLOOKUP($E74,TaskValues_ref!$E:$Z,19,FALSE))</f>
        <v/>
      </c>
      <c r="S74" t="str">
        <f>IF(VLOOKUP($E74,TaskValues_ref!$E:$Z,20,FALSE)=0,"",VLOOKUP($E74,TaskValues_ref!$E:$Z,20,FALSE))</f>
        <v/>
      </c>
    </row>
    <row r="75" spans="1:19" x14ac:dyDescent="0.45">
      <c r="A75" t="s">
        <v>2163</v>
      </c>
      <c r="B75" s="66" t="s">
        <v>70</v>
      </c>
      <c r="D75" s="324">
        <v>68</v>
      </c>
      <c r="E75" s="64" t="str">
        <f>_xlfn.CONCAT("FH.Ntr.",D75)</f>
        <v>FH.Ntr.68</v>
      </c>
      <c r="F75" t="str">
        <f>VLOOKUP(E75,TaskValues_ref!E:F,2,FALSE)</f>
        <v>Treat malnourished mothers</v>
      </c>
      <c r="G75" t="str">
        <f>VLOOKUP($E75,TaskValues_ref!$E:$Z,3,FALSE)</f>
        <v>Clinical</v>
      </c>
      <c r="H75" t="str">
        <f>VLOOKUP($E75,TaskValues_ref!$E:$Z,4,FALSE)</f>
        <v>Acute</v>
      </c>
      <c r="I75" t="str">
        <f>VLOOKUP($E75,TaskValues_ref!$E:$Z,5,FALSE)</f>
        <v>Nutrition</v>
      </c>
      <c r="J75" s="257" t="str">
        <f>VLOOKUP($E75,TaskValues_ref!$E:$Z,6,FALSE)</f>
        <v>births</v>
      </c>
      <c r="K75" t="str">
        <f>VLOOKUP($E75,TaskValues_ref!$E:$Z,10,FALSE)</f>
        <v>Amhara</v>
      </c>
      <c r="L75" s="195">
        <f>IF(VLOOKUP($E75,TaskValues_ref!$E:$Z,11,FALSE)=0,"",VLOOKUP($E75,TaskValues_ref!$E:$Z,11,FALSE))</f>
        <v>0.25900000000000001</v>
      </c>
      <c r="M75" t="str">
        <f>IF(VLOOKUP($E75,TaskValues_ref!$E:$Z,13,FALSE)=0,"",VLOOKUP($E75,TaskValues_ref!$E:$Z,13,FALSE))</f>
        <v/>
      </c>
      <c r="N75" s="89">
        <f>IF(VLOOKUP($E75,TaskValues_ref!$E:$Z,15,FALSE)=0,"",VLOOKUP($E75,TaskValues_ref!$E:$Z,15,FALSE))</f>
        <v>0.98</v>
      </c>
      <c r="O75">
        <f>IF(VLOOKUP($E75,TaskValues_ref!$E:$Z,16,FALSE)=0,"",VLOOKUP($E75,TaskValues_ref!$E:$Z,16,FALSE))</f>
        <v>2</v>
      </c>
      <c r="P75" t="str">
        <f>IF(VLOOKUP($E75,TaskValues_ref!$E:$Z,17,FALSE)=0,"",VLOOKUP($E75,TaskValues_ref!$E:$Z,17,FALSE))</f>
        <v/>
      </c>
      <c r="Q75">
        <f>IF(VLOOKUP($E75,TaskValues_ref!$E:$Z,18,FALSE)=0,"",VLOOKUP($E75,TaskValues_ref!$E:$Z,18,FALSE))</f>
        <v>10</v>
      </c>
      <c r="R75" t="str">
        <f>IF(VLOOKUP($E75,TaskValues_ref!$E:$Z,19,FALSE)=0,"",VLOOKUP($E75,TaskValues_ref!$E:$Z,19,FALSE))</f>
        <v/>
      </c>
      <c r="S75" t="str">
        <f>IF(VLOOKUP($E75,TaskValues_ref!$E:$Z,20,FALSE)=0,"",VLOOKUP($E75,TaskValues_ref!$E:$Z,20,FALSE))</f>
        <v/>
      </c>
    </row>
    <row r="76" spans="1:19" x14ac:dyDescent="0.45">
      <c r="A76" t="s">
        <v>2163</v>
      </c>
      <c r="B76" s="66" t="s">
        <v>70</v>
      </c>
      <c r="D76" s="324"/>
      <c r="E76" s="64" t="s">
        <v>2621</v>
      </c>
      <c r="F76" t="str">
        <f>VLOOKUP(E76,TaskValues_ref!E:F,2,FALSE)</f>
        <v>Anaemia severe U5</v>
      </c>
      <c r="G76" t="str">
        <f>VLOOKUP($E76,TaskValues_ref!$E:$Z,3,FALSE)</f>
        <v>Clinical</v>
      </c>
      <c r="H76" t="str">
        <f>VLOOKUP($E76,TaskValues_ref!$E:$Z,4,FALSE)</f>
        <v>Acute</v>
      </c>
      <c r="I76" t="str">
        <f>VLOOKUP($E76,TaskValues_ref!$E:$Z,5,FALSE)</f>
        <v>Nutrition</v>
      </c>
      <c r="J76" s="257" t="str">
        <f>VLOOKUP($E76,TaskValues_ref!$E:$Z,6,FALSE)</f>
        <v>1-4</v>
      </c>
      <c r="K76" t="str">
        <f>VLOOKUP($E76,TaskValues_ref!$E:$Z,10,FALSE)</f>
        <v>Amhara</v>
      </c>
      <c r="L76" s="195">
        <f>IF(VLOOKUP($E76,TaskValues_ref!$E:$Z,11,FALSE)=0,"",VLOOKUP($E76,TaskValues_ref!$E:$Z,11,FALSE))</f>
        <v>2.3E-2</v>
      </c>
      <c r="M76" t="str">
        <f>IF(VLOOKUP($E76,TaskValues_ref!$E:$Z,13,FALSE)=0,"",VLOOKUP($E76,TaskValues_ref!$E:$Z,13,FALSE))</f>
        <v/>
      </c>
      <c r="N76" s="89">
        <f>IF(VLOOKUP($E76,TaskValues_ref!$E:$Z,15,FALSE)=0,"",VLOOKUP($E76,TaskValues_ref!$E:$Z,15,FALSE))</f>
        <v>0.98</v>
      </c>
      <c r="O76">
        <f>IF(VLOOKUP($E76,TaskValues_ref!$E:$Z,16,FALSE)=0,"",VLOOKUP($E76,TaskValues_ref!$E:$Z,16,FALSE))</f>
        <v>2</v>
      </c>
      <c r="P76" t="str">
        <f>IF(VLOOKUP($E76,TaskValues_ref!$E:$Z,17,FALSE)=0,"",VLOOKUP($E76,TaskValues_ref!$E:$Z,17,FALSE))</f>
        <v/>
      </c>
      <c r="Q76">
        <f>IF(VLOOKUP($E76,TaskValues_ref!$E:$Z,18,FALSE)=0,"",VLOOKUP($E76,TaskValues_ref!$E:$Z,18,FALSE))</f>
        <v>10</v>
      </c>
      <c r="R76" t="str">
        <f>IF(VLOOKUP($E76,TaskValues_ref!$E:$Z,19,FALSE)=0,"",VLOOKUP($E76,TaskValues_ref!$E:$Z,19,FALSE))</f>
        <v/>
      </c>
      <c r="S76" t="str">
        <f>IF(VLOOKUP($E76,TaskValues_ref!$E:$Z,20,FALSE)=0,"",VLOOKUP($E76,TaskValues_ref!$E:$Z,20,FALSE))</f>
        <v/>
      </c>
    </row>
    <row r="77" spans="1:19" x14ac:dyDescent="0.45">
      <c r="A77" t="s">
        <v>2163</v>
      </c>
      <c r="B77" s="66" t="s">
        <v>70</v>
      </c>
      <c r="D77" s="324"/>
      <c r="E77" s="64" t="s">
        <v>2534</v>
      </c>
      <c r="F77" t="str">
        <f>VLOOKUP(E77,TaskValues_ref!E:F,2,FALSE)</f>
        <v>Anaemia severe children</v>
      </c>
      <c r="G77" t="str">
        <f>VLOOKUP($E77,TaskValues_ref!$E:$Z,3,FALSE)</f>
        <v>Clinical</v>
      </c>
      <c r="H77" t="str">
        <f>VLOOKUP($E77,TaskValues_ref!$E:$Z,4,FALSE)</f>
        <v>Acute</v>
      </c>
      <c r="I77" t="str">
        <f>VLOOKUP($E77,TaskValues_ref!$E:$Z,5,FALSE)</f>
        <v>Nutrition</v>
      </c>
      <c r="J77" s="257" t="str">
        <f>VLOOKUP($E77,TaskValues_ref!$E:$Z,6,FALSE)</f>
        <v>5-18</v>
      </c>
      <c r="K77" t="str">
        <f>VLOOKUP($E77,TaskValues_ref!$E:$Z,10,FALSE)</f>
        <v>Amhara</v>
      </c>
      <c r="L77" s="195">
        <f>IF(VLOOKUP($E77,TaskValues_ref!$E:$Z,11,FALSE)=0,"",VLOOKUP($E77,TaskValues_ref!$E:$Z,11,FALSE))</f>
        <v>9.6451612903225795E-3</v>
      </c>
      <c r="M77" t="str">
        <f>IF(VLOOKUP($E77,TaskValues_ref!$E:$Z,13,FALSE)=0,"",VLOOKUP($E77,TaskValues_ref!$E:$Z,13,FALSE))</f>
        <v/>
      </c>
      <c r="N77" s="89">
        <f>IF(VLOOKUP($E77,TaskValues_ref!$E:$Z,15,FALSE)=0,"",VLOOKUP($E77,TaskValues_ref!$E:$Z,15,FALSE))</f>
        <v>0.98</v>
      </c>
      <c r="O77">
        <f>IF(VLOOKUP($E77,TaskValues_ref!$E:$Z,16,FALSE)=0,"",VLOOKUP($E77,TaskValues_ref!$E:$Z,16,FALSE))</f>
        <v>2</v>
      </c>
      <c r="P77" t="str">
        <f>IF(VLOOKUP($E77,TaskValues_ref!$E:$Z,17,FALSE)=0,"",VLOOKUP($E77,TaskValues_ref!$E:$Z,17,FALSE))</f>
        <v/>
      </c>
      <c r="Q77">
        <f>IF(VLOOKUP($E77,TaskValues_ref!$E:$Z,18,FALSE)=0,"",VLOOKUP($E77,TaskValues_ref!$E:$Z,18,FALSE))</f>
        <v>10</v>
      </c>
      <c r="R77" t="str">
        <f>IF(VLOOKUP($E77,TaskValues_ref!$E:$Z,19,FALSE)=0,"",VLOOKUP($E77,TaskValues_ref!$E:$Z,19,FALSE))</f>
        <v/>
      </c>
      <c r="S77" t="str">
        <f>IF(VLOOKUP($E77,TaskValues_ref!$E:$Z,20,FALSE)=0,"",VLOOKUP($E77,TaskValues_ref!$E:$Z,20,FALSE))</f>
        <v/>
      </c>
    </row>
    <row r="78" spans="1:19" x14ac:dyDescent="0.45">
      <c r="A78" t="s">
        <v>2163</v>
      </c>
      <c r="B78" s="66" t="s">
        <v>70</v>
      </c>
      <c r="D78" s="324"/>
      <c r="E78" s="64" t="s">
        <v>2535</v>
      </c>
      <c r="F78" t="str">
        <f>VLOOKUP(E78,TaskValues_ref!E:F,2,FALSE)</f>
        <v>Anaemia severe adults</v>
      </c>
      <c r="G78" t="str">
        <f>VLOOKUP($E78,TaskValues_ref!$E:$Z,3,FALSE)</f>
        <v>Clinical</v>
      </c>
      <c r="H78" t="str">
        <f>VLOOKUP($E78,TaskValues_ref!$E:$Z,4,FALSE)</f>
        <v>Acute</v>
      </c>
      <c r="I78" t="str">
        <f>VLOOKUP($E78,TaskValues_ref!$E:$Z,5,FALSE)</f>
        <v>Nutrition</v>
      </c>
      <c r="J78" s="257" t="str">
        <f>VLOOKUP($E78,TaskValues_ref!$E:$Z,6,FALSE)</f>
        <v>adults 18+</v>
      </c>
      <c r="K78" t="str">
        <f>VLOOKUP($E78,TaskValues_ref!$E:$Z,10,FALSE)</f>
        <v>Amhara</v>
      </c>
      <c r="L78" s="195">
        <f>IF(VLOOKUP($E78,TaskValues_ref!$E:$Z,11,FALSE)=0,"",VLOOKUP($E78,TaskValues_ref!$E:$Z,11,FALSE))</f>
        <v>5.0000000000000001E-3</v>
      </c>
      <c r="M78" t="str">
        <f>IF(VLOOKUP($E78,TaskValues_ref!$E:$Z,13,FALSE)=0,"",VLOOKUP($E78,TaskValues_ref!$E:$Z,13,FALSE))</f>
        <v/>
      </c>
      <c r="N78" s="89">
        <f>IF(VLOOKUP($E78,TaskValues_ref!$E:$Z,15,FALSE)=0,"",VLOOKUP($E78,TaskValues_ref!$E:$Z,15,FALSE))</f>
        <v>0.98</v>
      </c>
      <c r="O78">
        <f>IF(VLOOKUP($E78,TaskValues_ref!$E:$Z,16,FALSE)=0,"",VLOOKUP($E78,TaskValues_ref!$E:$Z,16,FALSE))</f>
        <v>2</v>
      </c>
      <c r="P78" t="str">
        <f>IF(VLOOKUP($E78,TaskValues_ref!$E:$Z,17,FALSE)=0,"",VLOOKUP($E78,TaskValues_ref!$E:$Z,17,FALSE))</f>
        <v/>
      </c>
      <c r="Q78">
        <f>IF(VLOOKUP($E78,TaskValues_ref!$E:$Z,18,FALSE)=0,"",VLOOKUP($E78,TaskValues_ref!$E:$Z,18,FALSE))</f>
        <v>10</v>
      </c>
      <c r="R78" t="str">
        <f>IF(VLOOKUP($E78,TaskValues_ref!$E:$Z,19,FALSE)=0,"",VLOOKUP($E78,TaskValues_ref!$E:$Z,19,FALSE))</f>
        <v/>
      </c>
      <c r="S78" t="str">
        <f>IF(VLOOKUP($E78,TaskValues_ref!$E:$Z,20,FALSE)=0,"",VLOOKUP($E78,TaskValues_ref!$E:$Z,20,FALSE))</f>
        <v/>
      </c>
    </row>
    <row r="79" spans="1:19" x14ac:dyDescent="0.45">
      <c r="A79" t="s">
        <v>2163</v>
      </c>
      <c r="B79" s="66" t="s">
        <v>70</v>
      </c>
      <c r="D79" s="324">
        <v>70</v>
      </c>
      <c r="E79" s="64" t="str">
        <f t="shared" ref="E79:E95" si="2">_xlfn.CONCAT("FH.Ntr.",D79)</f>
        <v>FH.Ntr.70</v>
      </c>
      <c r="F79" t="str">
        <f>VLOOKUP(E79,TaskValues_ref!E:F,2,FALSE)</f>
        <v>Promote nutrition for MNC</v>
      </c>
      <c r="G79" t="str">
        <f>VLOOKUP($E79,TaskValues_ref!$E:$Z,3,FALSE)</f>
        <v>Non-clinical</v>
      </c>
      <c r="H79" t="str">
        <f>VLOOKUP($E79,TaskValues_ref!$E:$Z,4,FALSE)</f>
        <v>Public Health</v>
      </c>
      <c r="I79" t="str">
        <f>VLOOKUP($E79,TaskValues_ref!$E:$Z,5,FALSE)</f>
        <v>Nutrition</v>
      </c>
      <c r="J79" s="257" t="str">
        <f>VLOOKUP($E79,TaskValues_ref!$E:$Z,6,FALSE)</f>
        <v>-</v>
      </c>
      <c r="K79" t="str">
        <f>VLOOKUP($E79,TaskValues_ref!$E:$Z,10,FALSE)</f>
        <v>Amhara</v>
      </c>
      <c r="L79" s="195" t="str">
        <f>IF(VLOOKUP($E79,TaskValues_ref!$E:$Z,11,FALSE)=0,"",VLOOKUP($E79,TaskValues_ref!$E:$Z,11,FALSE))</f>
        <v/>
      </c>
      <c r="M79" t="str">
        <f>IF(VLOOKUP($E79,TaskValues_ref!$E:$Z,13,FALSE)=0,"",VLOOKUP($E79,TaskValues_ref!$E:$Z,13,FALSE))</f>
        <v/>
      </c>
      <c r="N79" s="89" t="str">
        <f>IF(VLOOKUP($E79,TaskValues_ref!$E:$Z,15,FALSE)=0,"",VLOOKUP($E79,TaskValues_ref!$E:$Z,15,FALSE))</f>
        <v/>
      </c>
      <c r="O79" t="str">
        <f>IF(VLOOKUP($E79,TaskValues_ref!$E:$Z,16,FALSE)=0,"",VLOOKUP($E79,TaskValues_ref!$E:$Z,16,FALSE))</f>
        <v/>
      </c>
      <c r="P79" t="str">
        <f>IF(VLOOKUP($E79,TaskValues_ref!$E:$Z,17,FALSE)=0,"",VLOOKUP($E79,TaskValues_ref!$E:$Z,17,FALSE))</f>
        <v/>
      </c>
      <c r="Q79" t="str">
        <f>IF(VLOOKUP($E79,TaskValues_ref!$E:$Z,18,FALSE)=0,"",VLOOKUP($E79,TaskValues_ref!$E:$Z,18,FALSE))</f>
        <v/>
      </c>
      <c r="R79" t="str">
        <f>IF(VLOOKUP($E79,TaskValues_ref!$E:$Z,19,FALSE)=0,"",VLOOKUP($E79,TaskValues_ref!$E:$Z,19,FALSE))</f>
        <v/>
      </c>
      <c r="S79" t="str">
        <f>IF(VLOOKUP($E79,TaskValues_ref!$E:$Z,20,FALSE)=0,"",VLOOKUP($E79,TaskValues_ref!$E:$Z,20,FALSE))</f>
        <v/>
      </c>
    </row>
    <row r="80" spans="1:19" x14ac:dyDescent="0.45">
      <c r="A80" t="s">
        <v>2163</v>
      </c>
      <c r="B80" s="66" t="s">
        <v>70</v>
      </c>
      <c r="D80" s="324">
        <v>71</v>
      </c>
      <c r="E80" s="64" t="str">
        <f t="shared" si="2"/>
        <v>FH.Ntr.71</v>
      </c>
      <c r="F80" t="str">
        <f>VLOOKUP(E80,TaskValues_ref!E:F,2,FALSE)</f>
        <v>Education re nutrition</v>
      </c>
      <c r="G80" t="str">
        <f>VLOOKUP($E80,TaskValues_ref!$E:$Z,3,FALSE)</f>
        <v>Non-clinical</v>
      </c>
      <c r="H80" t="str">
        <f>VLOOKUP($E80,TaskValues_ref!$E:$Z,4,FALSE)</f>
        <v>Public Health</v>
      </c>
      <c r="I80" t="str">
        <f>VLOOKUP($E80,TaskValues_ref!$E:$Z,5,FALSE)</f>
        <v>Nutrition</v>
      </c>
      <c r="J80" s="257" t="str">
        <f>VLOOKUP($E80,TaskValues_ref!$E:$Z,6,FALSE)</f>
        <v>-</v>
      </c>
      <c r="K80" t="str">
        <f>VLOOKUP($E80,TaskValues_ref!$E:$Z,10,FALSE)</f>
        <v>Amhara</v>
      </c>
      <c r="L80" s="195" t="str">
        <f>IF(VLOOKUP($E80,TaskValues_ref!$E:$Z,11,FALSE)=0,"",VLOOKUP($E80,TaskValues_ref!$E:$Z,11,FALSE))</f>
        <v/>
      </c>
      <c r="M80" t="str">
        <f>IF(VLOOKUP($E80,TaskValues_ref!$E:$Z,13,FALSE)=0,"",VLOOKUP($E80,TaskValues_ref!$E:$Z,13,FALSE))</f>
        <v/>
      </c>
      <c r="N80" s="89" t="str">
        <f>IF(VLOOKUP($E80,TaskValues_ref!$E:$Z,15,FALSE)=0,"",VLOOKUP($E80,TaskValues_ref!$E:$Z,15,FALSE))</f>
        <v/>
      </c>
      <c r="O80" t="str">
        <f>IF(VLOOKUP($E80,TaskValues_ref!$E:$Z,16,FALSE)=0,"",VLOOKUP($E80,TaskValues_ref!$E:$Z,16,FALSE))</f>
        <v/>
      </c>
      <c r="P80" t="str">
        <f>IF(VLOOKUP($E80,TaskValues_ref!$E:$Z,17,FALSE)=0,"",VLOOKUP($E80,TaskValues_ref!$E:$Z,17,FALSE))</f>
        <v/>
      </c>
      <c r="Q80" t="str">
        <f>IF(VLOOKUP($E80,TaskValues_ref!$E:$Z,18,FALSE)=0,"",VLOOKUP($E80,TaskValues_ref!$E:$Z,18,FALSE))</f>
        <v/>
      </c>
      <c r="R80" t="str">
        <f>IF(VLOOKUP($E80,TaskValues_ref!$E:$Z,19,FALSE)=0,"",VLOOKUP($E80,TaskValues_ref!$E:$Z,19,FALSE))</f>
        <v/>
      </c>
      <c r="S80" t="str">
        <f>IF(VLOOKUP($E80,TaskValues_ref!$E:$Z,20,FALSE)=0,"",VLOOKUP($E80,TaskValues_ref!$E:$Z,20,FALSE))</f>
        <v/>
      </c>
    </row>
    <row r="81" spans="1:19" x14ac:dyDescent="0.45">
      <c r="A81" t="s">
        <v>2163</v>
      </c>
      <c r="B81" s="66" t="s">
        <v>70</v>
      </c>
      <c r="D81" s="324">
        <v>72</v>
      </c>
      <c r="E81" s="64" t="str">
        <f t="shared" si="2"/>
        <v>FH.Ntr.72</v>
      </c>
      <c r="F81" t="str">
        <f>VLOOKUP(E81,TaskValues_ref!E:F,2,FALSE)</f>
        <v>Calcium supplementation</v>
      </c>
      <c r="G81" t="str">
        <f>VLOOKUP($E81,TaskValues_ref!$E:$Z,3,FALSE)</f>
        <v>Clinical</v>
      </c>
      <c r="H81" t="str">
        <f>VLOOKUP($E81,TaskValues_ref!$E:$Z,4,FALSE)</f>
        <v>Preventive</v>
      </c>
      <c r="I81" t="str">
        <f>VLOOKUP($E81,TaskValues_ref!$E:$Z,5,FALSE)</f>
        <v>Nutrition</v>
      </c>
      <c r="J81" s="257" t="str">
        <f>VLOOKUP($E81,TaskValues_ref!$E:$Z,6,FALSE)</f>
        <v>births</v>
      </c>
      <c r="K81" t="str">
        <f>VLOOKUP($E81,TaskValues_ref!$E:$Z,10,FALSE)</f>
        <v>Amhara</v>
      </c>
      <c r="L81" s="195" t="str">
        <f>IF(VLOOKUP($E81,TaskValues_ref!$E:$Z,11,FALSE)=0,"",VLOOKUP($E81,TaskValues_ref!$E:$Z,11,FALSE))</f>
        <v/>
      </c>
      <c r="M81" t="str">
        <f>IF(VLOOKUP($E81,TaskValues_ref!$E:$Z,13,FALSE)=0,"",VLOOKUP($E81,TaskValues_ref!$E:$Z,13,FALSE))</f>
        <v/>
      </c>
      <c r="N81" s="89" t="str">
        <f>IF(VLOOKUP($E81,TaskValues_ref!$E:$Z,15,FALSE)=0,"",VLOOKUP($E81,TaskValues_ref!$E:$Z,15,FALSE))</f>
        <v/>
      </c>
      <c r="O81" t="str">
        <f>IF(VLOOKUP($E81,TaskValues_ref!$E:$Z,16,FALSE)=0,"",VLOOKUP($E81,TaskValues_ref!$E:$Z,16,FALSE))</f>
        <v/>
      </c>
      <c r="P81" t="str">
        <f>IF(VLOOKUP($E81,TaskValues_ref!$E:$Z,17,FALSE)=0,"",VLOOKUP($E81,TaskValues_ref!$E:$Z,17,FALSE))</f>
        <v/>
      </c>
      <c r="Q81" t="str">
        <f>IF(VLOOKUP($E81,TaskValues_ref!$E:$Z,18,FALSE)=0,"",VLOOKUP($E81,TaskValues_ref!$E:$Z,18,FALSE))</f>
        <v/>
      </c>
      <c r="R81" t="str">
        <f>IF(VLOOKUP($E81,TaskValues_ref!$E:$Z,19,FALSE)=0,"",VLOOKUP($E81,TaskValues_ref!$E:$Z,19,FALSE))</f>
        <v/>
      </c>
      <c r="S81" t="str">
        <f>IF(VLOOKUP($E81,TaskValues_ref!$E:$Z,20,FALSE)=0,"",VLOOKUP($E81,TaskValues_ref!$E:$Z,20,FALSE))</f>
        <v/>
      </c>
    </row>
    <row r="82" spans="1:19" x14ac:dyDescent="0.45">
      <c r="A82" t="s">
        <v>2163</v>
      </c>
      <c r="B82" s="66" t="s">
        <v>70</v>
      </c>
      <c r="D82" s="324">
        <v>73</v>
      </c>
      <c r="E82" s="64" t="str">
        <f t="shared" si="2"/>
        <v>FH.Ntr.73</v>
      </c>
      <c r="F82" t="str">
        <f>VLOOKUP(E82,TaskValues_ref!E:F,2,FALSE)</f>
        <v>Nutrition for HIV+ women</v>
      </c>
      <c r="G82" t="str">
        <f>VLOOKUP($E82,TaskValues_ref!$E:$Z,3,FALSE)</f>
        <v>Clinical</v>
      </c>
      <c r="H82" t="str">
        <f>VLOOKUP($E82,TaskValues_ref!$E:$Z,4,FALSE)</f>
        <v>Preventive</v>
      </c>
      <c r="I82" t="str">
        <f>VLOOKUP($E82,TaskValues_ref!$E:$Z,5,FALSE)</f>
        <v>Nutrition</v>
      </c>
      <c r="J82" s="257" t="str">
        <f>VLOOKUP($E82,TaskValues_ref!$E:$Z,6,FALSE)</f>
        <v>adults 18+</v>
      </c>
      <c r="K82" t="str">
        <f>VLOOKUP($E82,TaskValues_ref!$E:$Z,10,FALSE)</f>
        <v>Amhara</v>
      </c>
      <c r="L82" s="195" t="str">
        <f>IF(VLOOKUP($E82,TaskValues_ref!$E:$Z,11,FALSE)=0,"",VLOOKUP($E82,TaskValues_ref!$E:$Z,11,FALSE))</f>
        <v/>
      </c>
      <c r="M82" t="str">
        <f>IF(VLOOKUP($E82,TaskValues_ref!$E:$Z,13,FALSE)=0,"",VLOOKUP($E82,TaskValues_ref!$E:$Z,13,FALSE))</f>
        <v/>
      </c>
      <c r="N82" s="89" t="str">
        <f>IF(VLOOKUP($E82,TaskValues_ref!$E:$Z,15,FALSE)=0,"",VLOOKUP($E82,TaskValues_ref!$E:$Z,15,FALSE))</f>
        <v/>
      </c>
      <c r="O82" t="str">
        <f>IF(VLOOKUP($E82,TaskValues_ref!$E:$Z,16,FALSE)=0,"",VLOOKUP($E82,TaskValues_ref!$E:$Z,16,FALSE))</f>
        <v/>
      </c>
      <c r="P82" t="str">
        <f>IF(VLOOKUP($E82,TaskValues_ref!$E:$Z,17,FALSE)=0,"",VLOOKUP($E82,TaskValues_ref!$E:$Z,17,FALSE))</f>
        <v/>
      </c>
      <c r="Q82" t="str">
        <f>IF(VLOOKUP($E82,TaskValues_ref!$E:$Z,18,FALSE)=0,"",VLOOKUP($E82,TaskValues_ref!$E:$Z,18,FALSE))</f>
        <v/>
      </c>
      <c r="R82" t="str">
        <f>IF(VLOOKUP($E82,TaskValues_ref!$E:$Z,19,FALSE)=0,"",VLOOKUP($E82,TaskValues_ref!$E:$Z,19,FALSE))</f>
        <v/>
      </c>
      <c r="S82" t="str">
        <f>IF(VLOOKUP($E82,TaskValues_ref!$E:$Z,20,FALSE)=0,"",VLOOKUP($E82,TaskValues_ref!$E:$Z,20,FALSE))</f>
        <v/>
      </c>
    </row>
    <row r="83" spans="1:19" x14ac:dyDescent="0.45">
      <c r="A83" t="s">
        <v>2163</v>
      </c>
      <c r="B83" s="66" t="s">
        <v>70</v>
      </c>
      <c r="D83" s="324">
        <v>74</v>
      </c>
      <c r="E83" s="64" t="str">
        <f t="shared" si="2"/>
        <v>FH.Ntr.74</v>
      </c>
      <c r="F83" t="str">
        <f>VLOOKUP(E83,TaskValues_ref!E:F,2,FALSE)</f>
        <v>Promote iodized salt &amp; fortified food</v>
      </c>
      <c r="G83" t="str">
        <f>VLOOKUP($E83,TaskValues_ref!$E:$Z,3,FALSE)</f>
        <v>Non-clinical</v>
      </c>
      <c r="H83" t="str">
        <f>VLOOKUP($E83,TaskValues_ref!$E:$Z,4,FALSE)</f>
        <v>Public Health</v>
      </c>
      <c r="I83" t="str">
        <f>VLOOKUP($E83,TaskValues_ref!$E:$Z,5,FALSE)</f>
        <v>Nutrition</v>
      </c>
      <c r="J83" s="257" t="str">
        <f>VLOOKUP($E83,TaskValues_ref!$E:$Z,6,FALSE)</f>
        <v>-</v>
      </c>
      <c r="K83" t="str">
        <f>VLOOKUP($E83,TaskValues_ref!$E:$Z,10,FALSE)</f>
        <v>Amhara</v>
      </c>
      <c r="L83" s="195" t="str">
        <f>IF(VLOOKUP($E83,TaskValues_ref!$E:$Z,11,FALSE)=0,"",VLOOKUP($E83,TaskValues_ref!$E:$Z,11,FALSE))</f>
        <v/>
      </c>
      <c r="M83" t="str">
        <f>IF(VLOOKUP($E83,TaskValues_ref!$E:$Z,13,FALSE)=0,"",VLOOKUP($E83,TaskValues_ref!$E:$Z,13,FALSE))</f>
        <v/>
      </c>
      <c r="N83" s="89" t="str">
        <f>IF(VLOOKUP($E83,TaskValues_ref!$E:$Z,15,FALSE)=0,"",VLOOKUP($E83,TaskValues_ref!$E:$Z,15,FALSE))</f>
        <v/>
      </c>
      <c r="O83" t="str">
        <f>IF(VLOOKUP($E83,TaskValues_ref!$E:$Z,16,FALSE)=0,"",VLOOKUP($E83,TaskValues_ref!$E:$Z,16,FALSE))</f>
        <v/>
      </c>
      <c r="P83" t="str">
        <f>IF(VLOOKUP($E83,TaskValues_ref!$E:$Z,17,FALSE)=0,"",VLOOKUP($E83,TaskValues_ref!$E:$Z,17,FALSE))</f>
        <v/>
      </c>
      <c r="Q83" t="str">
        <f>IF(VLOOKUP($E83,TaskValues_ref!$E:$Z,18,FALSE)=0,"",VLOOKUP($E83,TaskValues_ref!$E:$Z,18,FALSE))</f>
        <v/>
      </c>
      <c r="R83" t="str">
        <f>IF(VLOOKUP($E83,TaskValues_ref!$E:$Z,19,FALSE)=0,"",VLOOKUP($E83,TaskValues_ref!$E:$Z,19,FALSE))</f>
        <v/>
      </c>
      <c r="S83" t="str">
        <f>IF(VLOOKUP($E83,TaskValues_ref!$E:$Z,20,FALSE)=0,"",VLOOKUP($E83,TaskValues_ref!$E:$Z,20,FALSE))</f>
        <v/>
      </c>
    </row>
    <row r="84" spans="1:19" x14ac:dyDescent="0.45">
      <c r="A84" t="s">
        <v>2163</v>
      </c>
      <c r="B84" s="66" t="s">
        <v>70</v>
      </c>
      <c r="D84" s="324">
        <v>75</v>
      </c>
      <c r="E84" s="64" t="str">
        <f t="shared" si="2"/>
        <v>FH.Ntr.75</v>
      </c>
      <c r="F84" t="str">
        <f>VLOOKUP(E84,TaskValues_ref!E:F,2,FALSE)</f>
        <v>Nutrition outreach</v>
      </c>
      <c r="G84" t="str">
        <f>VLOOKUP($E84,TaskValues_ref!$E:$Z,3,FALSE)</f>
        <v>Non-clinical</v>
      </c>
      <c r="H84" t="str">
        <f>VLOOKUP($E84,TaskValues_ref!$E:$Z,4,FALSE)</f>
        <v>Public Health</v>
      </c>
      <c r="I84" t="str">
        <f>VLOOKUP($E84,TaskValues_ref!$E:$Z,5,FALSE)</f>
        <v>Nutrition</v>
      </c>
      <c r="J84" s="257" t="str">
        <f>VLOOKUP($E84,TaskValues_ref!$E:$Z,6,FALSE)</f>
        <v>-</v>
      </c>
      <c r="K84" t="str">
        <f>VLOOKUP($E84,TaskValues_ref!$E:$Z,10,FALSE)</f>
        <v>Amhara</v>
      </c>
      <c r="L84" s="195" t="str">
        <f>IF(VLOOKUP($E84,TaskValues_ref!$E:$Z,11,FALSE)=0,"",VLOOKUP($E84,TaskValues_ref!$E:$Z,11,FALSE))</f>
        <v/>
      </c>
      <c r="M84" t="str">
        <f>IF(VLOOKUP($E84,TaskValues_ref!$E:$Z,13,FALSE)=0,"",VLOOKUP($E84,TaskValues_ref!$E:$Z,13,FALSE))</f>
        <v/>
      </c>
      <c r="N84" s="89" t="str">
        <f>IF(VLOOKUP($E84,TaskValues_ref!$E:$Z,15,FALSE)=0,"",VLOOKUP($E84,TaskValues_ref!$E:$Z,15,FALSE))</f>
        <v/>
      </c>
      <c r="O84" t="str">
        <f>IF(VLOOKUP($E84,TaskValues_ref!$E:$Z,16,FALSE)=0,"",VLOOKUP($E84,TaskValues_ref!$E:$Z,16,FALSE))</f>
        <v/>
      </c>
      <c r="P84" t="str">
        <f>IF(VLOOKUP($E84,TaskValues_ref!$E:$Z,17,FALSE)=0,"",VLOOKUP($E84,TaskValues_ref!$E:$Z,17,FALSE))</f>
        <v/>
      </c>
      <c r="Q84" t="str">
        <f>IF(VLOOKUP($E84,TaskValues_ref!$E:$Z,18,FALSE)=0,"",VLOOKUP($E84,TaskValues_ref!$E:$Z,18,FALSE))</f>
        <v/>
      </c>
      <c r="R84" t="str">
        <f>IF(VLOOKUP($E84,TaskValues_ref!$E:$Z,19,FALSE)=0,"",VLOOKUP($E84,TaskValues_ref!$E:$Z,19,FALSE))</f>
        <v/>
      </c>
      <c r="S84" t="str">
        <f>IF(VLOOKUP($E84,TaskValues_ref!$E:$Z,20,FALSE)=0,"",VLOOKUP($E84,TaskValues_ref!$E:$Z,20,FALSE))</f>
        <v/>
      </c>
    </row>
    <row r="85" spans="1:19" x14ac:dyDescent="0.45">
      <c r="A85" t="s">
        <v>2163</v>
      </c>
      <c r="B85" s="66" t="s">
        <v>70</v>
      </c>
      <c r="D85" s="324">
        <v>76</v>
      </c>
      <c r="E85" s="64" t="str">
        <f t="shared" si="2"/>
        <v>FH.Ntr.76</v>
      </c>
      <c r="F85" t="str">
        <f>VLOOKUP(E85,TaskValues_ref!E:F,2,FALSE)</f>
        <v>Promote gender equity &amp; empowerment</v>
      </c>
      <c r="G85" t="str">
        <f>VLOOKUP($E85,TaskValues_ref!$E:$Z,3,FALSE)</f>
        <v>Non-clinical</v>
      </c>
      <c r="H85" t="str">
        <f>VLOOKUP($E85,TaskValues_ref!$E:$Z,4,FALSE)</f>
        <v>Public Health</v>
      </c>
      <c r="I85" t="str">
        <f>VLOOKUP($E85,TaskValues_ref!$E:$Z,5,FALSE)</f>
        <v>Nutrition</v>
      </c>
      <c r="J85" s="257" t="str">
        <f>VLOOKUP($E85,TaskValues_ref!$E:$Z,6,FALSE)</f>
        <v>-</v>
      </c>
      <c r="K85" t="str">
        <f>VLOOKUP($E85,TaskValues_ref!$E:$Z,10,FALSE)</f>
        <v>Amhara</v>
      </c>
      <c r="L85" s="195" t="str">
        <f>IF(VLOOKUP($E85,TaskValues_ref!$E:$Z,11,FALSE)=0,"",VLOOKUP($E85,TaskValues_ref!$E:$Z,11,FALSE))</f>
        <v/>
      </c>
      <c r="M85" t="str">
        <f>IF(VLOOKUP($E85,TaskValues_ref!$E:$Z,13,FALSE)=0,"",VLOOKUP($E85,TaskValues_ref!$E:$Z,13,FALSE))</f>
        <v/>
      </c>
      <c r="N85" s="89" t="str">
        <f>IF(VLOOKUP($E85,TaskValues_ref!$E:$Z,15,FALSE)=0,"",VLOOKUP($E85,TaskValues_ref!$E:$Z,15,FALSE))</f>
        <v/>
      </c>
      <c r="O85" t="str">
        <f>IF(VLOOKUP($E85,TaskValues_ref!$E:$Z,16,FALSE)=0,"",VLOOKUP($E85,TaskValues_ref!$E:$Z,16,FALSE))</f>
        <v/>
      </c>
      <c r="P85" t="str">
        <f>IF(VLOOKUP($E85,TaskValues_ref!$E:$Z,17,FALSE)=0,"",VLOOKUP($E85,TaskValues_ref!$E:$Z,17,FALSE))</f>
        <v/>
      </c>
      <c r="Q85" t="str">
        <f>IF(VLOOKUP($E85,TaskValues_ref!$E:$Z,18,FALSE)=0,"",VLOOKUP($E85,TaskValues_ref!$E:$Z,18,FALSE))</f>
        <v/>
      </c>
      <c r="R85" t="str">
        <f>IF(VLOOKUP($E85,TaskValues_ref!$E:$Z,19,FALSE)=0,"",VLOOKUP($E85,TaskValues_ref!$E:$Z,19,FALSE))</f>
        <v/>
      </c>
      <c r="S85" t="str">
        <f>IF(VLOOKUP($E85,TaskValues_ref!$E:$Z,20,FALSE)=0,"",VLOOKUP($E85,TaskValues_ref!$E:$Z,20,FALSE))</f>
        <v/>
      </c>
    </row>
    <row r="86" spans="1:19" x14ac:dyDescent="0.45">
      <c r="A86" t="s">
        <v>2163</v>
      </c>
      <c r="B86" s="66" t="s">
        <v>70</v>
      </c>
      <c r="D86" s="324">
        <v>77</v>
      </c>
      <c r="E86" s="64" t="str">
        <f t="shared" si="2"/>
        <v>FH.Ntr.77</v>
      </c>
      <c r="F86" t="str">
        <f>VLOOKUP(E86,TaskValues_ref!E:F,2,FALSE)</f>
        <v>Nutritional disaster response</v>
      </c>
      <c r="G86" t="str">
        <f>VLOOKUP($E86,TaskValues_ref!$E:$Z,3,FALSE)</f>
        <v>Clinical</v>
      </c>
      <c r="H86" t="str">
        <f>VLOOKUP($E86,TaskValues_ref!$E:$Z,4,FALSE)</f>
        <v>Public Health</v>
      </c>
      <c r="I86" t="str">
        <f>VLOOKUP($E86,TaskValues_ref!$E:$Z,5,FALSE)</f>
        <v>Nutrition</v>
      </c>
      <c r="J86" s="257" t="str">
        <f>VLOOKUP($E86,TaskValues_ref!$E:$Z,6,FALSE)</f>
        <v>-</v>
      </c>
      <c r="K86" t="str">
        <f>VLOOKUP($E86,TaskValues_ref!$E:$Z,10,FALSE)</f>
        <v>Amhara</v>
      </c>
      <c r="L86" s="195" t="str">
        <f>IF(VLOOKUP($E86,TaskValues_ref!$E:$Z,11,FALSE)=0,"",VLOOKUP($E86,TaskValues_ref!$E:$Z,11,FALSE))</f>
        <v/>
      </c>
      <c r="M86" t="str">
        <f>IF(VLOOKUP($E86,TaskValues_ref!$E:$Z,13,FALSE)=0,"",VLOOKUP($E86,TaskValues_ref!$E:$Z,13,FALSE))</f>
        <v/>
      </c>
      <c r="N86" s="89" t="str">
        <f>IF(VLOOKUP($E86,TaskValues_ref!$E:$Z,15,FALSE)=0,"",VLOOKUP($E86,TaskValues_ref!$E:$Z,15,FALSE))</f>
        <v/>
      </c>
      <c r="O86" t="str">
        <f>IF(VLOOKUP($E86,TaskValues_ref!$E:$Z,16,FALSE)=0,"",VLOOKUP($E86,TaskValues_ref!$E:$Z,16,FALSE))</f>
        <v/>
      </c>
      <c r="P86" t="str">
        <f>IF(VLOOKUP($E86,TaskValues_ref!$E:$Z,17,FALSE)=0,"",VLOOKUP($E86,TaskValues_ref!$E:$Z,17,FALSE))</f>
        <v/>
      </c>
      <c r="Q86" t="str">
        <f>IF(VLOOKUP($E86,TaskValues_ref!$E:$Z,18,FALSE)=0,"",VLOOKUP($E86,TaskValues_ref!$E:$Z,18,FALSE))</f>
        <v/>
      </c>
      <c r="R86" t="str">
        <f>IF(VLOOKUP($E86,TaskValues_ref!$E:$Z,19,FALSE)=0,"",VLOOKUP($E86,TaskValues_ref!$E:$Z,19,FALSE))</f>
        <v/>
      </c>
      <c r="S86" t="str">
        <f>IF(VLOOKUP($E86,TaskValues_ref!$E:$Z,20,FALSE)=0,"",VLOOKUP($E86,TaskValues_ref!$E:$Z,20,FALSE))</f>
        <v/>
      </c>
    </row>
    <row r="87" spans="1:19" x14ac:dyDescent="0.45">
      <c r="A87" t="s">
        <v>2163</v>
      </c>
      <c r="B87" s="66" t="s">
        <v>70</v>
      </c>
      <c r="D87" s="324">
        <v>78</v>
      </c>
      <c r="E87" s="64" t="str">
        <f t="shared" si="2"/>
        <v>FH.Ntr.78</v>
      </c>
      <c r="F87" t="str">
        <f>VLOOKUP(E87,TaskValues_ref!E:F,2,FALSE)</f>
        <v>Multisectoral nutrition intervention</v>
      </c>
      <c r="G87" t="str">
        <f>VLOOKUP($E87,TaskValues_ref!$E:$Z,3,FALSE)</f>
        <v>Non-clinical</v>
      </c>
      <c r="H87" t="str">
        <f>VLOOKUP($E87,TaskValues_ref!$E:$Z,4,FALSE)</f>
        <v>Public Health</v>
      </c>
      <c r="I87" t="str">
        <f>VLOOKUP($E87,TaskValues_ref!$E:$Z,5,FALSE)</f>
        <v>Nutrition</v>
      </c>
      <c r="J87" s="257" t="str">
        <f>VLOOKUP($E87,TaskValues_ref!$E:$Z,6,FALSE)</f>
        <v>-</v>
      </c>
      <c r="K87" t="str">
        <f>VLOOKUP($E87,TaskValues_ref!$E:$Z,10,FALSE)</f>
        <v>Amhara</v>
      </c>
      <c r="L87" s="195" t="str">
        <f>IF(VLOOKUP($E87,TaskValues_ref!$E:$Z,11,FALSE)=0,"",VLOOKUP($E87,TaskValues_ref!$E:$Z,11,FALSE))</f>
        <v/>
      </c>
      <c r="M87" t="str">
        <f>IF(VLOOKUP($E87,TaskValues_ref!$E:$Z,13,FALSE)=0,"",VLOOKUP($E87,TaskValues_ref!$E:$Z,13,FALSE))</f>
        <v/>
      </c>
      <c r="N87" s="89" t="str">
        <f>IF(VLOOKUP($E87,TaskValues_ref!$E:$Z,15,FALSE)=0,"",VLOOKUP($E87,TaskValues_ref!$E:$Z,15,FALSE))</f>
        <v/>
      </c>
      <c r="O87" t="str">
        <f>IF(VLOOKUP($E87,TaskValues_ref!$E:$Z,16,FALSE)=0,"",VLOOKUP($E87,TaskValues_ref!$E:$Z,16,FALSE))</f>
        <v/>
      </c>
      <c r="P87" t="str">
        <f>IF(VLOOKUP($E87,TaskValues_ref!$E:$Z,17,FALSE)=0,"",VLOOKUP($E87,TaskValues_ref!$E:$Z,17,FALSE))</f>
        <v/>
      </c>
      <c r="Q87" t="str">
        <f>IF(VLOOKUP($E87,TaskValues_ref!$E:$Z,18,FALSE)=0,"",VLOOKUP($E87,TaskValues_ref!$E:$Z,18,FALSE))</f>
        <v/>
      </c>
      <c r="R87" t="str">
        <f>IF(VLOOKUP($E87,TaskValues_ref!$E:$Z,19,FALSE)=0,"",VLOOKUP($E87,TaskValues_ref!$E:$Z,19,FALSE))</f>
        <v/>
      </c>
      <c r="S87" t="str">
        <f>IF(VLOOKUP($E87,TaskValues_ref!$E:$Z,20,FALSE)=0,"",VLOOKUP($E87,TaskValues_ref!$E:$Z,20,FALSE))</f>
        <v/>
      </c>
    </row>
    <row r="88" spans="1:19" x14ac:dyDescent="0.45">
      <c r="A88" t="s">
        <v>2163</v>
      </c>
      <c r="B88" s="66" t="s">
        <v>70</v>
      </c>
      <c r="D88" s="324">
        <v>79</v>
      </c>
      <c r="E88" s="64" t="str">
        <f t="shared" si="2"/>
        <v>FH.Ntr.79</v>
      </c>
      <c r="F88" t="str">
        <f>VLOOKUP(E88,TaskValues_ref!E:F,2,FALSE)</f>
        <v>Breast feeding technique</v>
      </c>
      <c r="G88" t="str">
        <f>VLOOKUP($E88,TaskValues_ref!$E:$Z,3,FALSE)</f>
        <v>Clinical</v>
      </c>
      <c r="H88" t="str">
        <f>VLOOKUP($E88,TaskValues_ref!$E:$Z,4,FALSE)</f>
        <v>Preventive</v>
      </c>
      <c r="I88" t="str">
        <f>VLOOKUP($E88,TaskValues_ref!$E:$Z,5,FALSE)</f>
        <v>Nutrition</v>
      </c>
      <c r="J88" s="257" t="str">
        <f>VLOOKUP($E88,TaskValues_ref!$E:$Z,6,FALSE)</f>
        <v>births</v>
      </c>
      <c r="K88" t="str">
        <f>VLOOKUP($E88,TaskValues_ref!$E:$Z,10,FALSE)</f>
        <v>Amhara</v>
      </c>
      <c r="L88" s="195" t="str">
        <f>IF(VLOOKUP($E88,TaskValues_ref!$E:$Z,11,FALSE)=0,"",VLOOKUP($E88,TaskValues_ref!$E:$Z,11,FALSE))</f>
        <v/>
      </c>
      <c r="M88" t="str">
        <f>IF(VLOOKUP($E88,TaskValues_ref!$E:$Z,13,FALSE)=0,"",VLOOKUP($E88,TaskValues_ref!$E:$Z,13,FALSE))</f>
        <v/>
      </c>
      <c r="N88" s="89" t="str">
        <f>IF(VLOOKUP($E88,TaskValues_ref!$E:$Z,15,FALSE)=0,"",VLOOKUP($E88,TaskValues_ref!$E:$Z,15,FALSE))</f>
        <v/>
      </c>
      <c r="O88" t="str">
        <f>IF(VLOOKUP($E88,TaskValues_ref!$E:$Z,16,FALSE)=0,"",VLOOKUP($E88,TaskValues_ref!$E:$Z,16,FALSE))</f>
        <v/>
      </c>
      <c r="P88" t="str">
        <f>IF(VLOOKUP($E88,TaskValues_ref!$E:$Z,17,FALSE)=0,"",VLOOKUP($E88,TaskValues_ref!$E:$Z,17,FALSE))</f>
        <v/>
      </c>
      <c r="Q88" t="str">
        <f>IF(VLOOKUP($E88,TaskValues_ref!$E:$Z,18,FALSE)=0,"",VLOOKUP($E88,TaskValues_ref!$E:$Z,18,FALSE))</f>
        <v/>
      </c>
      <c r="R88" t="str">
        <f>IF(VLOOKUP($E88,TaskValues_ref!$E:$Z,19,FALSE)=0,"",VLOOKUP($E88,TaskValues_ref!$E:$Z,19,FALSE))</f>
        <v/>
      </c>
      <c r="S88" t="str">
        <f>IF(VLOOKUP($E88,TaskValues_ref!$E:$Z,20,FALSE)=0,"",VLOOKUP($E88,TaskValues_ref!$E:$Z,20,FALSE))</f>
        <v/>
      </c>
    </row>
    <row r="89" spans="1:19" x14ac:dyDescent="0.45">
      <c r="A89" t="s">
        <v>2163</v>
      </c>
      <c r="B89" s="66" t="s">
        <v>70</v>
      </c>
      <c r="D89" s="324">
        <v>80</v>
      </c>
      <c r="E89" s="64" t="str">
        <f t="shared" si="2"/>
        <v>FH.Ntr.80</v>
      </c>
      <c r="F89" t="str">
        <f>VLOOKUP(E89,TaskValues_ref!E:F,2,FALSE)</f>
        <v>Acute malnutrition</v>
      </c>
      <c r="G89" t="str">
        <f>VLOOKUP($E89,TaskValues_ref!$E:$Z,3,FALSE)</f>
        <v>Clinical</v>
      </c>
      <c r="H89" t="str">
        <f>VLOOKUP($E89,TaskValues_ref!$E:$Z,4,FALSE)</f>
        <v>Acute</v>
      </c>
      <c r="I89" t="str">
        <f>VLOOKUP($E89,TaskValues_ref!$E:$Z,5,FALSE)</f>
        <v>Nutrition</v>
      </c>
      <c r="J89" s="257" t="str">
        <f>VLOOKUP($E89,TaskValues_ref!$E:$Z,6,FALSE)</f>
        <v>1-4</v>
      </c>
      <c r="K89" t="str">
        <f>VLOOKUP($E89,TaskValues_ref!$E:$Z,10,FALSE)</f>
        <v>Amhara</v>
      </c>
      <c r="L89" s="195" t="str">
        <f>IF(VLOOKUP($E89,TaskValues_ref!$E:$Z,11,FALSE)=0,"",VLOOKUP($E89,TaskValues_ref!$E:$Z,11,FALSE))</f>
        <v/>
      </c>
      <c r="M89" t="str">
        <f>IF(VLOOKUP($E89,TaskValues_ref!$E:$Z,13,FALSE)=0,"",VLOOKUP($E89,TaskValues_ref!$E:$Z,13,FALSE))</f>
        <v/>
      </c>
      <c r="N89" s="89" t="str">
        <f>IF(VLOOKUP($E89,TaskValues_ref!$E:$Z,15,FALSE)=0,"",VLOOKUP($E89,TaskValues_ref!$E:$Z,15,FALSE))</f>
        <v/>
      </c>
      <c r="O89" t="str">
        <f>IF(VLOOKUP($E89,TaskValues_ref!$E:$Z,16,FALSE)=0,"",VLOOKUP($E89,TaskValues_ref!$E:$Z,16,FALSE))</f>
        <v/>
      </c>
      <c r="P89" t="str">
        <f>IF(VLOOKUP($E89,TaskValues_ref!$E:$Z,17,FALSE)=0,"",VLOOKUP($E89,TaskValues_ref!$E:$Z,17,FALSE))</f>
        <v/>
      </c>
      <c r="Q89" t="str">
        <f>IF(VLOOKUP($E89,TaskValues_ref!$E:$Z,18,FALSE)=0,"",VLOOKUP($E89,TaskValues_ref!$E:$Z,18,FALSE))</f>
        <v/>
      </c>
      <c r="R89" t="str">
        <f>IF(VLOOKUP($E89,TaskValues_ref!$E:$Z,19,FALSE)=0,"",VLOOKUP($E89,TaskValues_ref!$E:$Z,19,FALSE))</f>
        <v/>
      </c>
      <c r="S89" t="str">
        <f>IF(VLOOKUP($E89,TaskValues_ref!$E:$Z,20,FALSE)=0,"",VLOOKUP($E89,TaskValues_ref!$E:$Z,20,FALSE))</f>
        <v/>
      </c>
    </row>
    <row r="90" spans="1:19" x14ac:dyDescent="0.45">
      <c r="A90" t="s">
        <v>2163</v>
      </c>
      <c r="B90" s="66" t="s">
        <v>70</v>
      </c>
      <c r="D90" s="66">
        <v>81</v>
      </c>
      <c r="E90" s="64" t="str">
        <f t="shared" si="2"/>
        <v>FH.Ntr.81</v>
      </c>
      <c r="F90" t="str">
        <f>VLOOKUP(E90,TaskValues_ref!E:F,2,FALSE)</f>
        <v>Counsel complementary feeding</v>
      </c>
      <c r="G90" t="str">
        <f>VLOOKUP($E90,TaskValues_ref!$E:$Z,3,FALSE)</f>
        <v>Clinical</v>
      </c>
      <c r="H90" t="str">
        <f>VLOOKUP($E90,TaskValues_ref!$E:$Z,4,FALSE)</f>
        <v>Public Health</v>
      </c>
      <c r="I90" t="str">
        <f>VLOOKUP($E90,TaskValues_ref!$E:$Z,5,FALSE)</f>
        <v>Nutrition</v>
      </c>
      <c r="J90" s="257" t="str">
        <f>VLOOKUP($E90,TaskValues_ref!$E:$Z,6,FALSE)</f>
        <v>births</v>
      </c>
      <c r="K90" t="str">
        <f>VLOOKUP($E90,TaskValues_ref!$E:$Z,10,FALSE)</f>
        <v>Amhara</v>
      </c>
      <c r="L90" s="195" t="str">
        <f>IF(VLOOKUP($E90,TaskValues_ref!$E:$Z,11,FALSE)=0,"",VLOOKUP($E90,TaskValues_ref!$E:$Z,11,FALSE))</f>
        <v/>
      </c>
      <c r="M90" t="str">
        <f>IF(VLOOKUP($E90,TaskValues_ref!$E:$Z,13,FALSE)=0,"",VLOOKUP($E90,TaskValues_ref!$E:$Z,13,FALSE))</f>
        <v/>
      </c>
      <c r="N90" s="89" t="str">
        <f>IF(VLOOKUP($E90,TaskValues_ref!$E:$Z,15,FALSE)=0,"",VLOOKUP($E90,TaskValues_ref!$E:$Z,15,FALSE))</f>
        <v/>
      </c>
      <c r="O90" t="str">
        <f>IF(VLOOKUP($E90,TaskValues_ref!$E:$Z,16,FALSE)=0,"",VLOOKUP($E90,TaskValues_ref!$E:$Z,16,FALSE))</f>
        <v/>
      </c>
      <c r="P90" t="str">
        <f>IF(VLOOKUP($E90,TaskValues_ref!$E:$Z,17,FALSE)=0,"",VLOOKUP($E90,TaskValues_ref!$E:$Z,17,FALSE))</f>
        <v/>
      </c>
      <c r="Q90" t="str">
        <f>IF(VLOOKUP($E90,TaskValues_ref!$E:$Z,18,FALSE)=0,"",VLOOKUP($E90,TaskValues_ref!$E:$Z,18,FALSE))</f>
        <v/>
      </c>
      <c r="R90" t="str">
        <f>IF(VLOOKUP($E90,TaskValues_ref!$E:$Z,19,FALSE)=0,"",VLOOKUP($E90,TaskValues_ref!$E:$Z,19,FALSE))</f>
        <v/>
      </c>
      <c r="S90" t="str">
        <f>IF(VLOOKUP($E90,TaskValues_ref!$E:$Z,20,FALSE)=0,"",VLOOKUP($E90,TaskValues_ref!$E:$Z,20,FALSE))</f>
        <v/>
      </c>
    </row>
    <row r="91" spans="1:19" x14ac:dyDescent="0.45">
      <c r="A91" t="s">
        <v>2163</v>
      </c>
      <c r="B91" s="66" t="s">
        <v>70</v>
      </c>
      <c r="D91" s="66">
        <v>82</v>
      </c>
      <c r="E91" s="64" t="str">
        <f t="shared" si="2"/>
        <v>FH.Ntr.82</v>
      </c>
      <c r="F91" t="str">
        <f>VLOOKUP(E91,TaskValues_ref!E:F,2,FALSE)</f>
        <v>Timely complementary feeding</v>
      </c>
      <c r="G91" t="str">
        <f>VLOOKUP($E91,TaskValues_ref!$E:$Z,3,FALSE)</f>
        <v>Clinical</v>
      </c>
      <c r="H91" t="str">
        <f>VLOOKUP($E91,TaskValues_ref!$E:$Z,4,FALSE)</f>
        <v>Public Health</v>
      </c>
      <c r="I91" t="str">
        <f>VLOOKUP($E91,TaskValues_ref!$E:$Z,5,FALSE)</f>
        <v>Nutrition</v>
      </c>
      <c r="J91" s="257" t="str">
        <f>VLOOKUP($E91,TaskValues_ref!$E:$Z,6,FALSE)</f>
        <v>births</v>
      </c>
      <c r="K91" t="str">
        <f>VLOOKUP($E91,TaskValues_ref!$E:$Z,10,FALSE)</f>
        <v>Amhara</v>
      </c>
      <c r="L91" s="195" t="str">
        <f>IF(VLOOKUP($E91,TaskValues_ref!$E:$Z,11,FALSE)=0,"",VLOOKUP($E91,TaskValues_ref!$E:$Z,11,FALSE))</f>
        <v/>
      </c>
      <c r="M91" t="str">
        <f>IF(VLOOKUP($E91,TaskValues_ref!$E:$Z,13,FALSE)=0,"",VLOOKUP($E91,TaskValues_ref!$E:$Z,13,FALSE))</f>
        <v/>
      </c>
      <c r="N91" s="89" t="str">
        <f>IF(VLOOKUP($E91,TaskValues_ref!$E:$Z,15,FALSE)=0,"",VLOOKUP($E91,TaskValues_ref!$E:$Z,15,FALSE))</f>
        <v/>
      </c>
      <c r="O91" t="str">
        <f>IF(VLOOKUP($E91,TaskValues_ref!$E:$Z,16,FALSE)=0,"",VLOOKUP($E91,TaskValues_ref!$E:$Z,16,FALSE))</f>
        <v/>
      </c>
      <c r="P91" t="str">
        <f>IF(VLOOKUP($E91,TaskValues_ref!$E:$Z,17,FALSE)=0,"",VLOOKUP($E91,TaskValues_ref!$E:$Z,17,FALSE))</f>
        <v/>
      </c>
      <c r="Q91" t="str">
        <f>IF(VLOOKUP($E91,TaskValues_ref!$E:$Z,18,FALSE)=0,"",VLOOKUP($E91,TaskValues_ref!$E:$Z,18,FALSE))</f>
        <v/>
      </c>
      <c r="R91" t="str">
        <f>IF(VLOOKUP($E91,TaskValues_ref!$E:$Z,19,FALSE)=0,"",VLOOKUP($E91,TaskValues_ref!$E:$Z,19,FALSE))</f>
        <v/>
      </c>
      <c r="S91" t="str">
        <f>IF(VLOOKUP($E91,TaskValues_ref!$E:$Z,20,FALSE)=0,"",VLOOKUP($E91,TaskValues_ref!$E:$Z,20,FALSE))</f>
        <v/>
      </c>
    </row>
    <row r="92" spans="1:19" x14ac:dyDescent="0.45">
      <c r="A92" t="s">
        <v>2163</v>
      </c>
      <c r="B92" s="66" t="s">
        <v>70</v>
      </c>
      <c r="D92" s="66">
        <v>83</v>
      </c>
      <c r="E92" s="64" t="str">
        <f t="shared" si="2"/>
        <v>FH.Ntr.83</v>
      </c>
      <c r="F92" t="str">
        <f>VLOOKUP(E92,TaskValues_ref!E:F,2,FALSE)</f>
        <v>Promote BF until 24 months</v>
      </c>
      <c r="G92" t="str">
        <f>VLOOKUP($E92,TaskValues_ref!$E:$Z,3,FALSE)</f>
        <v>Clinical</v>
      </c>
      <c r="H92" t="str">
        <f>VLOOKUP($E92,TaskValues_ref!$E:$Z,4,FALSE)</f>
        <v>Public Health</v>
      </c>
      <c r="I92" t="str">
        <f>VLOOKUP($E92,TaskValues_ref!$E:$Z,5,FALSE)</f>
        <v>Nutrition</v>
      </c>
      <c r="J92" s="257" t="str">
        <f>VLOOKUP($E92,TaskValues_ref!$E:$Z,6,FALSE)</f>
        <v>births</v>
      </c>
      <c r="K92" t="str">
        <f>VLOOKUP($E92,TaskValues_ref!$E:$Z,10,FALSE)</f>
        <v>Amhara</v>
      </c>
      <c r="L92" s="195" t="str">
        <f>IF(VLOOKUP($E92,TaskValues_ref!$E:$Z,11,FALSE)=0,"",VLOOKUP($E92,TaskValues_ref!$E:$Z,11,FALSE))</f>
        <v/>
      </c>
      <c r="M92" t="str">
        <f>IF(VLOOKUP($E92,TaskValues_ref!$E:$Z,13,FALSE)=0,"",VLOOKUP($E92,TaskValues_ref!$E:$Z,13,FALSE))</f>
        <v/>
      </c>
      <c r="N92" s="89" t="str">
        <f>IF(VLOOKUP($E92,TaskValues_ref!$E:$Z,15,FALSE)=0,"",VLOOKUP($E92,TaskValues_ref!$E:$Z,15,FALSE))</f>
        <v/>
      </c>
      <c r="O92" t="str">
        <f>IF(VLOOKUP($E92,TaskValues_ref!$E:$Z,16,FALSE)=0,"",VLOOKUP($E92,TaskValues_ref!$E:$Z,16,FALSE))</f>
        <v/>
      </c>
      <c r="P92" t="str">
        <f>IF(VLOOKUP($E92,TaskValues_ref!$E:$Z,17,FALSE)=0,"",VLOOKUP($E92,TaskValues_ref!$E:$Z,17,FALSE))</f>
        <v/>
      </c>
      <c r="Q92" t="str">
        <f>IF(VLOOKUP($E92,TaskValues_ref!$E:$Z,18,FALSE)=0,"",VLOOKUP($E92,TaskValues_ref!$E:$Z,18,FALSE))</f>
        <v/>
      </c>
      <c r="R92" t="str">
        <f>IF(VLOOKUP($E92,TaskValues_ref!$E:$Z,19,FALSE)=0,"",VLOOKUP($E92,TaskValues_ref!$E:$Z,19,FALSE))</f>
        <v/>
      </c>
      <c r="S92" t="str">
        <f>IF(VLOOKUP($E92,TaskValues_ref!$E:$Z,20,FALSE)=0,"",VLOOKUP($E92,TaskValues_ref!$E:$Z,20,FALSE))</f>
        <v/>
      </c>
    </row>
    <row r="93" spans="1:19" x14ac:dyDescent="0.45">
      <c r="A93" t="s">
        <v>2163</v>
      </c>
      <c r="B93" s="66" t="s">
        <v>70</v>
      </c>
      <c r="D93" s="66">
        <v>84</v>
      </c>
      <c r="E93" s="64" t="str">
        <f t="shared" si="2"/>
        <v>FH.Ntr.84</v>
      </c>
      <c r="F93" t="str">
        <f>VLOOKUP(E93,TaskValues_ref!E:F,2,FALSE)</f>
        <v>Promote BF during child illness</v>
      </c>
      <c r="G93" t="str">
        <f>VLOOKUP($E93,TaskValues_ref!$E:$Z,3,FALSE)</f>
        <v>Clinical</v>
      </c>
      <c r="H93" t="str">
        <f>VLOOKUP($E93,TaskValues_ref!$E:$Z,4,FALSE)</f>
        <v>Public Health</v>
      </c>
      <c r="I93" t="str">
        <f>VLOOKUP($E93,TaskValues_ref!$E:$Z,5,FALSE)</f>
        <v>Nutrition</v>
      </c>
      <c r="J93" s="257" t="str">
        <f>VLOOKUP($E93,TaskValues_ref!$E:$Z,6,FALSE)</f>
        <v>births</v>
      </c>
      <c r="K93" t="str">
        <f>VLOOKUP($E93,TaskValues_ref!$E:$Z,10,FALSE)</f>
        <v>Amhara</v>
      </c>
      <c r="L93" s="195" t="str">
        <f>IF(VLOOKUP($E93,TaskValues_ref!$E:$Z,11,FALSE)=0,"",VLOOKUP($E93,TaskValues_ref!$E:$Z,11,FALSE))</f>
        <v/>
      </c>
      <c r="M93" t="str">
        <f>IF(VLOOKUP($E93,TaskValues_ref!$E:$Z,13,FALSE)=0,"",VLOOKUP($E93,TaskValues_ref!$E:$Z,13,FALSE))</f>
        <v/>
      </c>
      <c r="N93" s="89" t="str">
        <f>IF(VLOOKUP($E93,TaskValues_ref!$E:$Z,15,FALSE)=0,"",VLOOKUP($E93,TaskValues_ref!$E:$Z,15,FALSE))</f>
        <v/>
      </c>
      <c r="O93" t="str">
        <f>IF(VLOOKUP($E93,TaskValues_ref!$E:$Z,16,FALSE)=0,"",VLOOKUP($E93,TaskValues_ref!$E:$Z,16,FALSE))</f>
        <v/>
      </c>
      <c r="P93" t="str">
        <f>IF(VLOOKUP($E93,TaskValues_ref!$E:$Z,17,FALSE)=0,"",VLOOKUP($E93,TaskValues_ref!$E:$Z,17,FALSE))</f>
        <v/>
      </c>
      <c r="Q93" t="str">
        <f>IF(VLOOKUP($E93,TaskValues_ref!$E:$Z,18,FALSE)=0,"",VLOOKUP($E93,TaskValues_ref!$E:$Z,18,FALSE))</f>
        <v/>
      </c>
      <c r="R93" t="str">
        <f>IF(VLOOKUP($E93,TaskValues_ref!$E:$Z,19,FALSE)=0,"",VLOOKUP($E93,TaskValues_ref!$E:$Z,19,FALSE))</f>
        <v/>
      </c>
      <c r="S93" t="str">
        <f>IF(VLOOKUP($E93,TaskValues_ref!$E:$Z,20,FALSE)=0,"",VLOOKUP($E93,TaskValues_ref!$E:$Z,20,FALSE))</f>
        <v/>
      </c>
    </row>
    <row r="94" spans="1:19" x14ac:dyDescent="0.45">
      <c r="A94" t="s">
        <v>2163</v>
      </c>
      <c r="B94" s="66" t="s">
        <v>70</v>
      </c>
      <c r="D94" s="66">
        <v>85</v>
      </c>
      <c r="E94" s="64" t="str">
        <f t="shared" si="2"/>
        <v>FH.Ntr.85</v>
      </c>
      <c r="F94" t="str">
        <f>VLOOKUP(E94,TaskValues_ref!E:F,2,FALSE)</f>
        <v>Educate on complementary foods</v>
      </c>
      <c r="G94" t="str">
        <f>VLOOKUP($E94,TaskValues_ref!$E:$Z,3,FALSE)</f>
        <v>Non-clinical</v>
      </c>
      <c r="H94" t="str">
        <f>VLOOKUP($E94,TaskValues_ref!$E:$Z,4,FALSE)</f>
        <v>Public Health</v>
      </c>
      <c r="I94" t="str">
        <f>VLOOKUP($E94,TaskValues_ref!$E:$Z,5,FALSE)</f>
        <v>Nutrition</v>
      </c>
      <c r="J94" s="257" t="str">
        <f>VLOOKUP($E94,TaskValues_ref!$E:$Z,6,FALSE)</f>
        <v>-</v>
      </c>
      <c r="K94" t="str">
        <f>VLOOKUP($E94,TaskValues_ref!$E:$Z,10,FALSE)</f>
        <v>Amhara</v>
      </c>
      <c r="L94" s="195" t="str">
        <f>IF(VLOOKUP($E94,TaskValues_ref!$E:$Z,11,FALSE)=0,"",VLOOKUP($E94,TaskValues_ref!$E:$Z,11,FALSE))</f>
        <v/>
      </c>
      <c r="M94" t="str">
        <f>IF(VLOOKUP($E94,TaskValues_ref!$E:$Z,13,FALSE)=0,"",VLOOKUP($E94,TaskValues_ref!$E:$Z,13,FALSE))</f>
        <v/>
      </c>
      <c r="N94" s="89" t="str">
        <f>IF(VLOOKUP($E94,TaskValues_ref!$E:$Z,15,FALSE)=0,"",VLOOKUP($E94,TaskValues_ref!$E:$Z,15,FALSE))</f>
        <v/>
      </c>
      <c r="O94" t="str">
        <f>IF(VLOOKUP($E94,TaskValues_ref!$E:$Z,16,FALSE)=0,"",VLOOKUP($E94,TaskValues_ref!$E:$Z,16,FALSE))</f>
        <v/>
      </c>
      <c r="P94" t="str">
        <f>IF(VLOOKUP($E94,TaskValues_ref!$E:$Z,17,FALSE)=0,"",VLOOKUP($E94,TaskValues_ref!$E:$Z,17,FALSE))</f>
        <v/>
      </c>
      <c r="Q94" t="str">
        <f>IF(VLOOKUP($E94,TaskValues_ref!$E:$Z,18,FALSE)=0,"",VLOOKUP($E94,TaskValues_ref!$E:$Z,18,FALSE))</f>
        <v/>
      </c>
      <c r="R94" t="str">
        <f>IF(VLOOKUP($E94,TaskValues_ref!$E:$Z,19,FALSE)=0,"",VLOOKUP($E94,TaskValues_ref!$E:$Z,19,FALSE))</f>
        <v/>
      </c>
      <c r="S94" t="str">
        <f>IF(VLOOKUP($E94,TaskValues_ref!$E:$Z,20,FALSE)=0,"",VLOOKUP($E94,TaskValues_ref!$E:$Z,20,FALSE))</f>
        <v/>
      </c>
    </row>
    <row r="95" spans="1:19" x14ac:dyDescent="0.45">
      <c r="A95" t="s">
        <v>2163</v>
      </c>
      <c r="B95" s="66" t="s">
        <v>70</v>
      </c>
      <c r="D95" s="66">
        <v>86</v>
      </c>
      <c r="E95" s="64" t="str">
        <f t="shared" si="2"/>
        <v>FH.Ntr.86</v>
      </c>
      <c r="F95" t="str">
        <f>VLOOKUP(E95,TaskValues_ref!E:F,2,FALSE)</f>
        <v>Nutrition education for children</v>
      </c>
      <c r="G95" t="str">
        <f>VLOOKUP($E95,TaskValues_ref!$E:$Z,3,FALSE)</f>
        <v>Non-clinical</v>
      </c>
      <c r="H95" t="str">
        <f>VLOOKUP($E95,TaskValues_ref!$E:$Z,4,FALSE)</f>
        <v>Public Health</v>
      </c>
      <c r="I95" t="str">
        <f>VLOOKUP($E95,TaskValues_ref!$E:$Z,5,FALSE)</f>
        <v>Nutrition</v>
      </c>
      <c r="J95" s="257" t="str">
        <f>VLOOKUP($E95,TaskValues_ref!$E:$Z,6,FALSE)</f>
        <v>-</v>
      </c>
      <c r="K95" t="str">
        <f>VLOOKUP($E95,TaskValues_ref!$E:$Z,10,FALSE)</f>
        <v>Amhara</v>
      </c>
      <c r="L95" s="195" t="str">
        <f>IF(VLOOKUP($E95,TaskValues_ref!$E:$Z,11,FALSE)=0,"",VLOOKUP($E95,TaskValues_ref!$E:$Z,11,FALSE))</f>
        <v/>
      </c>
      <c r="M95" t="str">
        <f>IF(VLOOKUP($E95,TaskValues_ref!$E:$Z,13,FALSE)=0,"",VLOOKUP($E95,TaskValues_ref!$E:$Z,13,FALSE))</f>
        <v/>
      </c>
      <c r="N95" s="89" t="str">
        <f>IF(VLOOKUP($E95,TaskValues_ref!$E:$Z,15,FALSE)=0,"",VLOOKUP($E95,TaskValues_ref!$E:$Z,15,FALSE))</f>
        <v/>
      </c>
      <c r="O95" t="str">
        <f>IF(VLOOKUP($E95,TaskValues_ref!$E:$Z,16,FALSE)=0,"",VLOOKUP($E95,TaskValues_ref!$E:$Z,16,FALSE))</f>
        <v/>
      </c>
      <c r="P95" t="str">
        <f>IF(VLOOKUP($E95,TaskValues_ref!$E:$Z,17,FALSE)=0,"",VLOOKUP($E95,TaskValues_ref!$E:$Z,17,FALSE))</f>
        <v/>
      </c>
      <c r="Q95" t="str">
        <f>IF(VLOOKUP($E95,TaskValues_ref!$E:$Z,18,FALSE)=0,"",VLOOKUP($E95,TaskValues_ref!$E:$Z,18,FALSE))</f>
        <v/>
      </c>
      <c r="R95" t="str">
        <f>IF(VLOOKUP($E95,TaskValues_ref!$E:$Z,19,FALSE)=0,"",VLOOKUP($E95,TaskValues_ref!$E:$Z,19,FALSE))</f>
        <v/>
      </c>
      <c r="S95" t="str">
        <f>IF(VLOOKUP($E95,TaskValues_ref!$E:$Z,20,FALSE)=0,"",VLOOKUP($E95,TaskValues_ref!$E:$Z,20,FALSE))</f>
        <v/>
      </c>
    </row>
    <row r="96" spans="1:19" x14ac:dyDescent="0.45">
      <c r="A96" s="66" t="s">
        <v>2337</v>
      </c>
      <c r="B96" s="66" t="s">
        <v>2335</v>
      </c>
      <c r="C96" s="66" t="s">
        <v>2336</v>
      </c>
      <c r="E96" s="64" t="s">
        <v>2544</v>
      </c>
      <c r="F96" t="str">
        <f>VLOOKUP(E96,TaskValues_ref!E:F,2,FALSE)</f>
        <v>STI management, women</v>
      </c>
      <c r="G96" t="str">
        <f>VLOOKUP($E96,TaskValues_ref!$E:$Z,3,FALSE)</f>
        <v>Clinical</v>
      </c>
      <c r="H96" t="str">
        <f>VLOOKUP($E96,TaskValues_ref!$E:$Z,4,FALSE)</f>
        <v>Acute</v>
      </c>
      <c r="I96" t="str">
        <f>VLOOKUP($E96,TaskValues_ref!$E:$Z,5,FALSE)</f>
        <v>Sexual health</v>
      </c>
      <c r="J96" s="257" t="str">
        <f>VLOOKUP($E96,TaskValues_ref!$E:$Z,6,FALSE)</f>
        <v>women 15-49</v>
      </c>
      <c r="K96" t="str">
        <f>VLOOKUP($E96,TaskValues_ref!$E:$Z,10,FALSE)</f>
        <v>Amhara</v>
      </c>
      <c r="L96" s="195">
        <f>IF(VLOOKUP($E96,TaskValues_ref!$E:$Z,11,FALSE)=0,"",VLOOKUP($E96,TaskValues_ref!$E:$Z,11,FALSE))</f>
        <v>4.9000000000000002E-2</v>
      </c>
      <c r="M96" t="str">
        <f>IF(VLOOKUP($E96,TaskValues_ref!$E:$Z,13,FALSE)=0,"",VLOOKUP($E96,TaskValues_ref!$E:$Z,13,FALSE))</f>
        <v/>
      </c>
      <c r="N96" s="89">
        <f>IF(VLOOKUP($E96,TaskValues_ref!$E:$Z,15,FALSE)=0,"",VLOOKUP($E96,TaskValues_ref!$E:$Z,15,FALSE))</f>
        <v>0.98</v>
      </c>
      <c r="O96">
        <f>IF(VLOOKUP($E96,TaskValues_ref!$E:$Z,16,FALSE)=0,"",VLOOKUP($E96,TaskValues_ref!$E:$Z,16,FALSE))</f>
        <v>1</v>
      </c>
      <c r="P96" t="str">
        <f>IF(VLOOKUP($E96,TaskValues_ref!$E:$Z,17,FALSE)=0,"",VLOOKUP($E96,TaskValues_ref!$E:$Z,17,FALSE))</f>
        <v/>
      </c>
      <c r="Q96">
        <f>IF(VLOOKUP($E96,TaskValues_ref!$E:$Z,18,FALSE)=0,"",VLOOKUP($E96,TaskValues_ref!$E:$Z,18,FALSE))</f>
        <v>10</v>
      </c>
      <c r="R96" t="str">
        <f>IF(VLOOKUP($E96,TaskValues_ref!$E:$Z,19,FALSE)=0,"",VLOOKUP($E96,TaskValues_ref!$E:$Z,19,FALSE))</f>
        <v/>
      </c>
      <c r="S96" t="str">
        <f>IF(VLOOKUP($E96,TaskValues_ref!$E:$Z,20,FALSE)=0,"",VLOOKUP($E96,TaskValues_ref!$E:$Z,20,FALSE))</f>
        <v/>
      </c>
    </row>
    <row r="97" spans="1:19" x14ac:dyDescent="0.45">
      <c r="A97" s="66" t="s">
        <v>2337</v>
      </c>
      <c r="B97" s="66" t="s">
        <v>2335</v>
      </c>
      <c r="C97" s="66" t="s">
        <v>2336</v>
      </c>
      <c r="E97" s="64" t="s">
        <v>2545</v>
      </c>
      <c r="F97" t="str">
        <f>VLOOKUP(E97,TaskValues_ref!E:F,2,FALSE)</f>
        <v>STI management, men</v>
      </c>
      <c r="G97" t="str">
        <f>VLOOKUP($E97,TaskValues_ref!$E:$Z,3,FALSE)</f>
        <v>Clinical</v>
      </c>
      <c r="H97" t="str">
        <f>VLOOKUP($E97,TaskValues_ref!$E:$Z,4,FALSE)</f>
        <v>Acute</v>
      </c>
      <c r="I97" t="str">
        <f>VLOOKUP($E97,TaskValues_ref!$E:$Z,5,FALSE)</f>
        <v>Sexual health</v>
      </c>
      <c r="J97" s="257" t="str">
        <f>VLOOKUP($E97,TaskValues_ref!$E:$Z,6,FALSE)</f>
        <v>men 15-49</v>
      </c>
      <c r="K97" t="str">
        <f>VLOOKUP($E97,TaskValues_ref!$E:$Z,10,FALSE)</f>
        <v>Amhara</v>
      </c>
      <c r="L97" s="195">
        <f>IF(VLOOKUP($E97,TaskValues_ref!$E:$Z,11,FALSE)=0,"",VLOOKUP($E97,TaskValues_ref!$E:$Z,11,FALSE))</f>
        <v>3.3000000000000002E-2</v>
      </c>
      <c r="M97" t="str">
        <f>IF(VLOOKUP($E97,TaskValues_ref!$E:$Z,13,FALSE)=0,"",VLOOKUP($E97,TaskValues_ref!$E:$Z,13,FALSE))</f>
        <v/>
      </c>
      <c r="N97" s="89">
        <f>IF(VLOOKUP($E97,TaskValues_ref!$E:$Z,15,FALSE)=0,"",VLOOKUP($E97,TaskValues_ref!$E:$Z,15,FALSE))</f>
        <v>0.98</v>
      </c>
      <c r="O97">
        <f>IF(VLOOKUP($E97,TaskValues_ref!$E:$Z,16,FALSE)=0,"",VLOOKUP($E97,TaskValues_ref!$E:$Z,16,FALSE))</f>
        <v>1</v>
      </c>
      <c r="P97" t="str">
        <f>IF(VLOOKUP($E97,TaskValues_ref!$E:$Z,17,FALSE)=0,"",VLOOKUP($E97,TaskValues_ref!$E:$Z,17,FALSE))</f>
        <v/>
      </c>
      <c r="Q97">
        <f>IF(VLOOKUP($E97,TaskValues_ref!$E:$Z,18,FALSE)=0,"",VLOOKUP($E97,TaskValues_ref!$E:$Z,18,FALSE))</f>
        <v>10</v>
      </c>
      <c r="R97" t="str">
        <f>IF(VLOOKUP($E97,TaskValues_ref!$E:$Z,19,FALSE)=0,"",VLOOKUP($E97,TaskValues_ref!$E:$Z,19,FALSE))</f>
        <v/>
      </c>
      <c r="S97" t="str">
        <f>IF(VLOOKUP($E97,TaskValues_ref!$E:$Z,20,FALSE)=0,"",VLOOKUP($E97,TaskValues_ref!$E:$Z,20,FALSE))</f>
        <v/>
      </c>
    </row>
    <row r="98" spans="1:19" x14ac:dyDescent="0.45">
      <c r="A98" s="66" t="s">
        <v>2337</v>
      </c>
      <c r="B98" s="66" t="s">
        <v>2335</v>
      </c>
      <c r="C98" s="66" t="s">
        <v>2336</v>
      </c>
      <c r="D98" s="66">
        <v>94</v>
      </c>
      <c r="E98" s="64" t="str">
        <f t="shared" ref="E98:E105" si="3">_xlfn.CONCAT("DPC.STI.",D98)</f>
        <v>DPC.STI.94</v>
      </c>
      <c r="F98" t="str">
        <f>VLOOKUP(E98,TaskValues_ref!E:F,2,FALSE)</f>
        <v>STI prevention for sex workers</v>
      </c>
      <c r="G98" t="str">
        <f>VLOOKUP($E98,TaskValues_ref!$E:$Z,3,FALSE)</f>
        <v>Clinical</v>
      </c>
      <c r="H98" t="str">
        <f>VLOOKUP($E98,TaskValues_ref!$E:$Z,4,FALSE)</f>
        <v>Public Health</v>
      </c>
      <c r="I98" t="str">
        <f>VLOOKUP($E98,TaskValues_ref!$E:$Z,5,FALSE)</f>
        <v>Sexual health</v>
      </c>
      <c r="J98" s="257" t="str">
        <f>VLOOKUP($E98,TaskValues_ref!$E:$Z,6,FALSE)</f>
        <v>adults 18+</v>
      </c>
      <c r="K98" t="str">
        <f>VLOOKUP($E98,TaskValues_ref!$E:$Z,10,FALSE)</f>
        <v>Amhara</v>
      </c>
      <c r="L98" s="195" t="str">
        <f>IF(VLOOKUP($E98,TaskValues_ref!$E:$Z,11,FALSE)=0,"",VLOOKUP($E98,TaskValues_ref!$E:$Z,11,FALSE))</f>
        <v/>
      </c>
      <c r="M98" t="str">
        <f>IF(VLOOKUP($E98,TaskValues_ref!$E:$Z,13,FALSE)=0,"",VLOOKUP($E98,TaskValues_ref!$E:$Z,13,FALSE))</f>
        <v/>
      </c>
      <c r="N98" s="89">
        <f>IF(VLOOKUP($E98,TaskValues_ref!$E:$Z,15,FALSE)=0,"",VLOOKUP($E98,TaskValues_ref!$E:$Z,15,FALSE))</f>
        <v>1</v>
      </c>
      <c r="O98" t="str">
        <f>IF(VLOOKUP($E98,TaskValues_ref!$E:$Z,16,FALSE)=0,"",VLOOKUP($E98,TaskValues_ref!$E:$Z,16,FALSE))</f>
        <v/>
      </c>
      <c r="P98">
        <f>IF(VLOOKUP($E98,TaskValues_ref!$E:$Z,17,FALSE)=0,"",VLOOKUP($E98,TaskValues_ref!$E:$Z,17,FALSE))</f>
        <v>1</v>
      </c>
      <c r="Q98">
        <f>IF(VLOOKUP($E98,TaskValues_ref!$E:$Z,18,FALSE)=0,"",VLOOKUP($E98,TaskValues_ref!$E:$Z,18,FALSE))</f>
        <v>10</v>
      </c>
      <c r="R98" t="str">
        <f>IF(VLOOKUP($E98,TaskValues_ref!$E:$Z,19,FALSE)=0,"",VLOOKUP($E98,TaskValues_ref!$E:$Z,19,FALSE))</f>
        <v/>
      </c>
      <c r="S98" t="str">
        <f>IF(VLOOKUP($E98,TaskValues_ref!$E:$Z,20,FALSE)=0,"",VLOOKUP($E98,TaskValues_ref!$E:$Z,20,FALSE))</f>
        <v/>
      </c>
    </row>
    <row r="99" spans="1:19" x14ac:dyDescent="0.45">
      <c r="A99" s="66" t="s">
        <v>2337</v>
      </c>
      <c r="B99" s="66" t="s">
        <v>2335</v>
      </c>
      <c r="C99" s="66" t="s">
        <v>2336</v>
      </c>
      <c r="D99" s="66">
        <v>95</v>
      </c>
      <c r="E99" s="64" t="str">
        <f t="shared" si="3"/>
        <v>DPC.STI.95</v>
      </c>
      <c r="F99" t="str">
        <f>VLOOKUP(E99,TaskValues_ref!E:F,2,FALSE)</f>
        <v>Risk reduction</v>
      </c>
      <c r="G99" t="str">
        <f>VLOOKUP($E99,TaskValues_ref!$E:$Z,3,FALSE)</f>
        <v>Clinical</v>
      </c>
      <c r="H99" t="str">
        <f>VLOOKUP($E99,TaskValues_ref!$E:$Z,4,FALSE)</f>
        <v>Public Health</v>
      </c>
      <c r="I99" t="str">
        <f>VLOOKUP($E99,TaskValues_ref!$E:$Z,5,FALSE)</f>
        <v>Sexual health</v>
      </c>
      <c r="J99" s="257" t="str">
        <f>VLOOKUP($E99,TaskValues_ref!$E:$Z,6,FALSE)</f>
        <v>adults 18+</v>
      </c>
      <c r="K99" t="str">
        <f>VLOOKUP($E99,TaskValues_ref!$E:$Z,10,FALSE)</f>
        <v>Amhara</v>
      </c>
      <c r="L99" s="195">
        <f>IF(VLOOKUP($E99,TaskValues_ref!$E:$Z,11,FALSE)=0,"",VLOOKUP($E99,TaskValues_ref!$E:$Z,11,FALSE))</f>
        <v>2.0927000000000001E-4</v>
      </c>
      <c r="M99" t="str">
        <f>IF(VLOOKUP($E99,TaskValues_ref!$E:$Z,13,FALSE)=0,"",VLOOKUP($E99,TaskValues_ref!$E:$Z,13,FALSE))</f>
        <v/>
      </c>
      <c r="N99" s="89">
        <f>IF(VLOOKUP($E99,TaskValues_ref!$E:$Z,15,FALSE)=0,"",VLOOKUP($E99,TaskValues_ref!$E:$Z,15,FALSE))</f>
        <v>0.90986310592664843</v>
      </c>
      <c r="O99" t="str">
        <f>IF(VLOOKUP($E99,TaskValues_ref!$E:$Z,16,FALSE)=0,"",VLOOKUP($E99,TaskValues_ref!$E:$Z,16,FALSE))</f>
        <v/>
      </c>
      <c r="P99">
        <f>IF(VLOOKUP($E99,TaskValues_ref!$E:$Z,17,FALSE)=0,"",VLOOKUP($E99,TaskValues_ref!$E:$Z,17,FALSE))</f>
        <v>1</v>
      </c>
      <c r="Q99">
        <f>IF(VLOOKUP($E99,TaskValues_ref!$E:$Z,18,FALSE)=0,"",VLOOKUP($E99,TaskValues_ref!$E:$Z,18,FALSE))</f>
        <v>5</v>
      </c>
      <c r="R99" t="str">
        <f>IF(VLOOKUP($E99,TaskValues_ref!$E:$Z,19,FALSE)=0,"",VLOOKUP($E99,TaskValues_ref!$E:$Z,19,FALSE))</f>
        <v/>
      </c>
      <c r="S99" t="str">
        <f>IF(VLOOKUP($E99,TaskValues_ref!$E:$Z,20,FALSE)=0,"",VLOOKUP($E99,TaskValues_ref!$E:$Z,20,FALSE))</f>
        <v/>
      </c>
    </row>
    <row r="100" spans="1:19" x14ac:dyDescent="0.45">
      <c r="A100" s="66" t="s">
        <v>2337</v>
      </c>
      <c r="B100" s="66" t="s">
        <v>2335</v>
      </c>
      <c r="C100" s="66" t="s">
        <v>2336</v>
      </c>
      <c r="D100" s="66">
        <v>96</v>
      </c>
      <c r="E100" s="64" t="str">
        <f t="shared" si="3"/>
        <v>DPC.STI.96</v>
      </c>
      <c r="F100" t="str">
        <f>VLOOKUP(E100,TaskValues_ref!E:F,2,FALSE)</f>
        <v>HIV self-testing</v>
      </c>
      <c r="G100" t="str">
        <f>VLOOKUP($E100,TaskValues_ref!$E:$Z,3,FALSE)</f>
        <v>Clinical</v>
      </c>
      <c r="H100" t="str">
        <f>VLOOKUP($E100,TaskValues_ref!$E:$Z,4,FALSE)</f>
        <v>Acute</v>
      </c>
      <c r="I100" t="str">
        <f>VLOOKUP($E100,TaskValues_ref!$E:$Z,5,FALSE)</f>
        <v>HIV</v>
      </c>
      <c r="J100" s="257" t="str">
        <f>VLOOKUP($E100,TaskValues_ref!$E:$Z,6,FALSE)</f>
        <v>adults 18+</v>
      </c>
      <c r="K100" t="str">
        <f>VLOOKUP($E100,TaskValues_ref!$E:$Z,10,FALSE)</f>
        <v>Amhara</v>
      </c>
      <c r="L100" s="195">
        <f>IF(VLOOKUP($E100,TaskValues_ref!$E:$Z,11,FALSE)=0,"",VLOOKUP($E100,TaskValues_ref!$E:$Z,11,FALSE))</f>
        <v>2.0927000000000001E-4</v>
      </c>
      <c r="M100">
        <f>IF(VLOOKUP($E100,TaskValues_ref!$E:$Z,13,FALSE)=0,"",VLOOKUP($E100,TaskValues_ref!$E:$Z,13,FALSE))</f>
        <v>4</v>
      </c>
      <c r="N100" s="89">
        <f>IF(VLOOKUP($E100,TaskValues_ref!$E:$Z,15,FALSE)=0,"",VLOOKUP($E100,TaskValues_ref!$E:$Z,15,FALSE))</f>
        <v>0.90986310592664843</v>
      </c>
      <c r="O100">
        <f>IF(VLOOKUP($E100,TaskValues_ref!$E:$Z,16,FALSE)=0,"",VLOOKUP($E100,TaskValues_ref!$E:$Z,16,FALSE))</f>
        <v>1</v>
      </c>
      <c r="P100" t="str">
        <f>IF(VLOOKUP($E100,TaskValues_ref!$E:$Z,17,FALSE)=0,"",VLOOKUP($E100,TaskValues_ref!$E:$Z,17,FALSE))</f>
        <v/>
      </c>
      <c r="Q100">
        <f>IF(VLOOKUP($E100,TaskValues_ref!$E:$Z,18,FALSE)=0,"",VLOOKUP($E100,TaskValues_ref!$E:$Z,18,FALSE))</f>
        <v>5</v>
      </c>
      <c r="R100" t="str">
        <f>IF(VLOOKUP($E100,TaskValues_ref!$E:$Z,19,FALSE)=0,"",VLOOKUP($E100,TaskValues_ref!$E:$Z,19,FALSE))</f>
        <v/>
      </c>
      <c r="S100" t="str">
        <f>IF(VLOOKUP($E100,TaskValues_ref!$E:$Z,20,FALSE)=0,"",VLOOKUP($E100,TaskValues_ref!$E:$Z,20,FALSE))</f>
        <v/>
      </c>
    </row>
    <row r="101" spans="1:19" x14ac:dyDescent="0.45">
      <c r="A101" s="66" t="s">
        <v>2337</v>
      </c>
      <c r="B101" s="66" t="s">
        <v>2335</v>
      </c>
      <c r="C101" s="66" t="s">
        <v>2336</v>
      </c>
      <c r="D101" s="66">
        <v>97</v>
      </c>
      <c r="E101" s="64" t="str">
        <f t="shared" si="3"/>
        <v>DPC.STI.97</v>
      </c>
      <c r="F101" t="str">
        <f>VLOOKUP(E101,TaskValues_ref!E:F,2,FALSE)</f>
        <v>HIV voluntary counseling &amp; testing</v>
      </c>
      <c r="G101" t="str">
        <f>VLOOKUP($E101,TaskValues_ref!$E:$Z,3,FALSE)</f>
        <v>Clinical</v>
      </c>
      <c r="H101" t="str">
        <f>VLOOKUP($E101,TaskValues_ref!$E:$Z,4,FALSE)</f>
        <v>Acute</v>
      </c>
      <c r="I101" t="str">
        <f>VLOOKUP($E101,TaskValues_ref!$E:$Z,5,FALSE)</f>
        <v>HIV</v>
      </c>
      <c r="J101" s="257" t="str">
        <f>VLOOKUP($E101,TaskValues_ref!$E:$Z,6,FALSE)</f>
        <v>adults 18+</v>
      </c>
      <c r="K101" t="str">
        <f>VLOOKUP($E101,TaskValues_ref!$E:$Z,10,FALSE)</f>
        <v>Amhara</v>
      </c>
      <c r="L101" s="195" t="str">
        <f>IF(VLOOKUP($E101,TaskValues_ref!$E:$Z,11,FALSE)=0,"",VLOOKUP($E101,TaskValues_ref!$E:$Z,11,FALSE))</f>
        <v/>
      </c>
      <c r="M101" t="str">
        <f>IF(VLOOKUP($E101,TaskValues_ref!$E:$Z,13,FALSE)=0,"",VLOOKUP($E101,TaskValues_ref!$E:$Z,13,FALSE))</f>
        <v/>
      </c>
      <c r="N101" s="89">
        <f>IF(VLOOKUP($E101,TaskValues_ref!$E:$Z,15,FALSE)=0,"",VLOOKUP($E101,TaskValues_ref!$E:$Z,15,FALSE))</f>
        <v>0.90986310592664843</v>
      </c>
      <c r="O101">
        <f>IF(VLOOKUP($E101,TaskValues_ref!$E:$Z,16,FALSE)=0,"",VLOOKUP($E101,TaskValues_ref!$E:$Z,16,FALSE))</f>
        <v>1</v>
      </c>
      <c r="P101" t="str">
        <f>IF(VLOOKUP($E101,TaskValues_ref!$E:$Z,17,FALSE)=0,"",VLOOKUP($E101,TaskValues_ref!$E:$Z,17,FALSE))</f>
        <v/>
      </c>
      <c r="Q101">
        <f>IF(VLOOKUP($E101,TaskValues_ref!$E:$Z,18,FALSE)=0,"",VLOOKUP($E101,TaskValues_ref!$E:$Z,18,FALSE))</f>
        <v>5</v>
      </c>
      <c r="R101" t="str">
        <f>IF(VLOOKUP($E101,TaskValues_ref!$E:$Z,19,FALSE)=0,"",VLOOKUP($E101,TaskValues_ref!$E:$Z,19,FALSE))</f>
        <v/>
      </c>
      <c r="S101" t="str">
        <f>IF(VLOOKUP($E101,TaskValues_ref!$E:$Z,20,FALSE)=0,"",VLOOKUP($E101,TaskValues_ref!$E:$Z,20,FALSE))</f>
        <v/>
      </c>
    </row>
    <row r="102" spans="1:19" x14ac:dyDescent="0.45">
      <c r="A102" s="66" t="s">
        <v>2337</v>
      </c>
      <c r="B102" s="66" t="s">
        <v>2335</v>
      </c>
      <c r="C102" s="66" t="s">
        <v>2336</v>
      </c>
      <c r="D102" s="66">
        <v>98</v>
      </c>
      <c r="E102" s="64" t="str">
        <f t="shared" si="3"/>
        <v>DPC.STI.98</v>
      </c>
      <c r="F102" t="str">
        <f>VLOOKUP(E102,TaskValues_ref!E:F,2,FALSE)</f>
        <v>HIV provider-initiated counseling &amp; testing</v>
      </c>
      <c r="G102" t="str">
        <f>VLOOKUP($E102,TaskValues_ref!$E:$Z,3,FALSE)</f>
        <v>Clinical</v>
      </c>
      <c r="H102" t="str">
        <f>VLOOKUP($E102,TaskValues_ref!$E:$Z,4,FALSE)</f>
        <v>Acute</v>
      </c>
      <c r="I102" t="str">
        <f>VLOOKUP($E102,TaskValues_ref!$E:$Z,5,FALSE)</f>
        <v>HIV</v>
      </c>
      <c r="J102" s="257" t="str">
        <f>VLOOKUP($E102,TaskValues_ref!$E:$Z,6,FALSE)</f>
        <v>adults 18+</v>
      </c>
      <c r="K102" t="str">
        <f>VLOOKUP($E102,TaskValues_ref!$E:$Z,10,FALSE)</f>
        <v>Amhara</v>
      </c>
      <c r="L102" s="195" t="str">
        <f>IF(VLOOKUP($E102,TaskValues_ref!$E:$Z,11,FALSE)=0,"",VLOOKUP($E102,TaskValues_ref!$E:$Z,11,FALSE))</f>
        <v/>
      </c>
      <c r="M102" t="str">
        <f>IF(VLOOKUP($E102,TaskValues_ref!$E:$Z,13,FALSE)=0,"",VLOOKUP($E102,TaskValues_ref!$E:$Z,13,FALSE))</f>
        <v/>
      </c>
      <c r="N102" s="89">
        <f>IF(VLOOKUP($E102,TaskValues_ref!$E:$Z,15,FALSE)=0,"",VLOOKUP($E102,TaskValues_ref!$E:$Z,15,FALSE))</f>
        <v>0.90986310592664843</v>
      </c>
      <c r="O102">
        <f>IF(VLOOKUP($E102,TaskValues_ref!$E:$Z,16,FALSE)=0,"",VLOOKUP($E102,TaskValues_ref!$E:$Z,16,FALSE))</f>
        <v>1</v>
      </c>
      <c r="P102" t="str">
        <f>IF(VLOOKUP($E102,TaskValues_ref!$E:$Z,17,FALSE)=0,"",VLOOKUP($E102,TaskValues_ref!$E:$Z,17,FALSE))</f>
        <v/>
      </c>
      <c r="Q102">
        <f>IF(VLOOKUP($E102,TaskValues_ref!$E:$Z,18,FALSE)=0,"",VLOOKUP($E102,TaskValues_ref!$E:$Z,18,FALSE))</f>
        <v>5</v>
      </c>
      <c r="R102" t="str">
        <f>IF(VLOOKUP($E102,TaskValues_ref!$E:$Z,19,FALSE)=0,"",VLOOKUP($E102,TaskValues_ref!$E:$Z,19,FALSE))</f>
        <v/>
      </c>
      <c r="S102" t="str">
        <f>IF(VLOOKUP($E102,TaskValues_ref!$E:$Z,20,FALSE)=0,"",VLOOKUP($E102,TaskValues_ref!$E:$Z,20,FALSE))</f>
        <v/>
      </c>
    </row>
    <row r="103" spans="1:19" x14ac:dyDescent="0.45">
      <c r="A103" s="66" t="s">
        <v>2337</v>
      </c>
      <c r="B103" s="66" t="s">
        <v>2335</v>
      </c>
      <c r="C103" s="66" t="s">
        <v>2336</v>
      </c>
      <c r="D103" s="66">
        <v>99</v>
      </c>
      <c r="E103" s="64" t="str">
        <f t="shared" si="3"/>
        <v>DPC.STI.99</v>
      </c>
      <c r="F103" t="str">
        <f>VLOOKUP(E103,TaskValues_ref!E:F,2,FALSE)</f>
        <v>HIV linkages</v>
      </c>
      <c r="G103" t="str">
        <f>VLOOKUP($E103,TaskValues_ref!$E:$Z,3,FALSE)</f>
        <v>Clinical</v>
      </c>
      <c r="H103" t="str">
        <f>VLOOKUP($E103,TaskValues_ref!$E:$Z,4,FALSE)</f>
        <v>Acute</v>
      </c>
      <c r="I103" t="str">
        <f>VLOOKUP($E103,TaskValues_ref!$E:$Z,5,FALSE)</f>
        <v>HIV</v>
      </c>
      <c r="J103" s="257" t="str">
        <f>VLOOKUP($E103,TaskValues_ref!$E:$Z,6,FALSE)</f>
        <v>adults 18+</v>
      </c>
      <c r="K103" t="str">
        <f>VLOOKUP($E103,TaskValues_ref!$E:$Z,10,FALSE)</f>
        <v>Amhara</v>
      </c>
      <c r="L103" s="195">
        <f>IF(VLOOKUP($E103,TaskValues_ref!$E:$Z,11,FALSE)=0,"",VLOOKUP($E103,TaskValues_ref!$E:$Z,11,FALSE))</f>
        <v>2.0927000000000001E-4</v>
      </c>
      <c r="M103" t="str">
        <f>IF(VLOOKUP($E103,TaskValues_ref!$E:$Z,13,FALSE)=0,"",VLOOKUP($E103,TaskValues_ref!$E:$Z,13,FALSE))</f>
        <v/>
      </c>
      <c r="N103" s="89">
        <f>IF(VLOOKUP($E103,TaskValues_ref!$E:$Z,15,FALSE)=0,"",VLOOKUP($E103,TaskValues_ref!$E:$Z,15,FALSE))</f>
        <v>0.90986310592664843</v>
      </c>
      <c r="O103">
        <f>IF(VLOOKUP($E103,TaskValues_ref!$E:$Z,16,FALSE)=0,"",VLOOKUP($E103,TaskValues_ref!$E:$Z,16,FALSE))</f>
        <v>1</v>
      </c>
      <c r="P103" t="str">
        <f>IF(VLOOKUP($E103,TaskValues_ref!$E:$Z,17,FALSE)=0,"",VLOOKUP($E103,TaskValues_ref!$E:$Z,17,FALSE))</f>
        <v/>
      </c>
      <c r="Q103">
        <f>IF(VLOOKUP($E103,TaskValues_ref!$E:$Z,18,FALSE)=0,"",VLOOKUP($E103,TaskValues_ref!$E:$Z,18,FALSE))</f>
        <v>15</v>
      </c>
      <c r="R103" t="str">
        <f>IF(VLOOKUP($E103,TaskValues_ref!$E:$Z,19,FALSE)=0,"",VLOOKUP($E103,TaskValues_ref!$E:$Z,19,FALSE))</f>
        <v/>
      </c>
      <c r="S103" t="str">
        <f>IF(VLOOKUP($E103,TaskValues_ref!$E:$Z,20,FALSE)=0,"",VLOOKUP($E103,TaskValues_ref!$E:$Z,20,FALSE))</f>
        <v/>
      </c>
    </row>
    <row r="104" spans="1:19" x14ac:dyDescent="0.45">
      <c r="A104" s="66" t="s">
        <v>2337</v>
      </c>
      <c r="B104" s="66" t="s">
        <v>2335</v>
      </c>
      <c r="C104" s="66" t="s">
        <v>2336</v>
      </c>
      <c r="D104" s="66">
        <v>100</v>
      </c>
      <c r="E104" s="64" t="str">
        <f t="shared" si="3"/>
        <v>DPC.STI.100</v>
      </c>
      <c r="F104" t="str">
        <f>VLOOKUP(E104,TaskValues_ref!E:F,2,FALSE)</f>
        <v>Post-exposure prophylaxis</v>
      </c>
      <c r="G104" t="str">
        <f>VLOOKUP($E104,TaskValues_ref!$E:$Z,3,FALSE)</f>
        <v>Clinical</v>
      </c>
      <c r="H104" t="str">
        <f>VLOOKUP($E104,TaskValues_ref!$E:$Z,4,FALSE)</f>
        <v>Acute</v>
      </c>
      <c r="I104" t="str">
        <f>VLOOKUP($E104,TaskValues_ref!$E:$Z,5,FALSE)</f>
        <v>HIV</v>
      </c>
      <c r="J104" s="257" t="str">
        <f>VLOOKUP($E104,TaskValues_ref!$E:$Z,6,FALSE)</f>
        <v>adults 18+</v>
      </c>
      <c r="K104" t="str">
        <f>VLOOKUP($E104,TaskValues_ref!$E:$Z,10,FALSE)</f>
        <v>Amhara</v>
      </c>
      <c r="L104" s="195" t="str">
        <f>IF(VLOOKUP($E104,TaskValues_ref!$E:$Z,11,FALSE)=0,"",VLOOKUP($E104,TaskValues_ref!$E:$Z,11,FALSE))</f>
        <v/>
      </c>
      <c r="M104" t="str">
        <f>IF(VLOOKUP($E104,TaskValues_ref!$E:$Z,13,FALSE)=0,"",VLOOKUP($E104,TaskValues_ref!$E:$Z,13,FALSE))</f>
        <v/>
      </c>
      <c r="N104" s="89">
        <f>IF(VLOOKUP($E104,TaskValues_ref!$E:$Z,15,FALSE)=0,"",VLOOKUP($E104,TaskValues_ref!$E:$Z,15,FALSE))</f>
        <v>0.90986310592664843</v>
      </c>
      <c r="O104">
        <f>IF(VLOOKUP($E104,TaskValues_ref!$E:$Z,16,FALSE)=0,"",VLOOKUP($E104,TaskValues_ref!$E:$Z,16,FALSE))</f>
        <v>1</v>
      </c>
      <c r="P104" t="str">
        <f>IF(VLOOKUP($E104,TaskValues_ref!$E:$Z,17,FALSE)=0,"",VLOOKUP($E104,TaskValues_ref!$E:$Z,17,FALSE))</f>
        <v/>
      </c>
      <c r="Q104">
        <f>IF(VLOOKUP($E104,TaskValues_ref!$E:$Z,18,FALSE)=0,"",VLOOKUP($E104,TaskValues_ref!$E:$Z,18,FALSE))</f>
        <v>10</v>
      </c>
      <c r="R104" t="str">
        <f>IF(VLOOKUP($E104,TaskValues_ref!$E:$Z,19,FALSE)=0,"",VLOOKUP($E104,TaskValues_ref!$E:$Z,19,FALSE))</f>
        <v/>
      </c>
      <c r="S104" t="str">
        <f>IF(VLOOKUP($E104,TaskValues_ref!$E:$Z,20,FALSE)=0,"",VLOOKUP($E104,TaskValues_ref!$E:$Z,20,FALSE))</f>
        <v/>
      </c>
    </row>
    <row r="105" spans="1:19" x14ac:dyDescent="0.45">
      <c r="A105" s="66" t="s">
        <v>2337</v>
      </c>
      <c r="B105" s="66" t="s">
        <v>2335</v>
      </c>
      <c r="C105" s="66" t="s">
        <v>2336</v>
      </c>
      <c r="D105" s="66">
        <v>101</v>
      </c>
      <c r="E105" s="64" t="str">
        <f t="shared" si="3"/>
        <v>DPC.STI.101</v>
      </c>
      <c r="F105" t="str">
        <f>VLOOKUP(E105,TaskValues_ref!E:F,2,FALSE)</f>
        <v>ART refilling/adherence</v>
      </c>
      <c r="G105" t="str">
        <f>VLOOKUP($E105,TaskValues_ref!$E:$Z,3,FALSE)</f>
        <v>Clinical</v>
      </c>
      <c r="H105" t="str">
        <f>VLOOKUP($E105,TaskValues_ref!$E:$Z,4,FALSE)</f>
        <v>Chronic</v>
      </c>
      <c r="I105" t="str">
        <f>VLOOKUP($E105,TaskValues_ref!$E:$Z,5,FALSE)</f>
        <v>HIV</v>
      </c>
      <c r="J105" s="257" t="str">
        <f>VLOOKUP($E105,TaskValues_ref!$E:$Z,6,FALSE)</f>
        <v>women 15-49</v>
      </c>
      <c r="K105" t="str">
        <f>VLOOKUP($E105,TaskValues_ref!$E:$Z,10,FALSE)</f>
        <v>Amhara</v>
      </c>
      <c r="L105" s="195">
        <f>IF(VLOOKUP($E105,TaskValues_ref!$E:$Z,11,FALSE)=0,"",VLOOKUP($E105,TaskValues_ref!$E:$Z,11,FALSE))</f>
        <v>8.5341424846683122E-3</v>
      </c>
      <c r="M105">
        <f>IF(VLOOKUP($E105,TaskValues_ref!$E:$Z,13,FALSE)=0,"",VLOOKUP($E105,TaskValues_ref!$E:$Z,13,FALSE))</f>
        <v>2</v>
      </c>
      <c r="N105" s="89">
        <f>IF(VLOOKUP($E105,TaskValues_ref!$E:$Z,15,FALSE)=0,"",VLOOKUP($E105,TaskValues_ref!$E:$Z,15,FALSE))</f>
        <v>0.95774059274059287</v>
      </c>
      <c r="O105" t="str">
        <f>IF(VLOOKUP($E105,TaskValues_ref!$E:$Z,16,FALSE)=0,"",VLOOKUP($E105,TaskValues_ref!$E:$Z,16,FALSE))</f>
        <v/>
      </c>
      <c r="P105">
        <f>IF(VLOOKUP($E105,TaskValues_ref!$E:$Z,17,FALSE)=0,"",VLOOKUP($E105,TaskValues_ref!$E:$Z,17,FALSE))</f>
        <v>4</v>
      </c>
      <c r="Q105">
        <f>IF(VLOOKUP($E105,TaskValues_ref!$E:$Z,18,FALSE)=0,"",VLOOKUP($E105,TaskValues_ref!$E:$Z,18,FALSE))</f>
        <v>5</v>
      </c>
      <c r="R105" t="str">
        <f>IF(VLOOKUP($E105,TaskValues_ref!$E:$Z,19,FALSE)=0,"",VLOOKUP($E105,TaskValues_ref!$E:$Z,19,FALSE))</f>
        <v/>
      </c>
      <c r="S105" t="str">
        <f>IF(VLOOKUP($E105,TaskValues_ref!$E:$Z,20,FALSE)=0,"",VLOOKUP($E105,TaskValues_ref!$E:$Z,20,FALSE))</f>
        <v/>
      </c>
    </row>
    <row r="106" spans="1:19" x14ac:dyDescent="0.45">
      <c r="A106" s="66" t="s">
        <v>2337</v>
      </c>
      <c r="B106" s="66" t="s">
        <v>2335</v>
      </c>
      <c r="C106" s="66" t="s">
        <v>69</v>
      </c>
      <c r="D106" s="66">
        <v>102</v>
      </c>
      <c r="E106" s="64" t="str">
        <f>_xlfn.CONCAT("DPC.Mlr.",D106)</f>
        <v>DPC.Mlr.102</v>
      </c>
      <c r="F106" t="str">
        <f>VLOOKUP(E106,TaskValues_ref!E:F,2,FALSE)</f>
        <v>Vector control</v>
      </c>
      <c r="G106" t="str">
        <f>VLOOKUP($E106,TaskValues_ref!$E:$Z,3,FALSE)</f>
        <v>Non-clinical</v>
      </c>
      <c r="H106" t="str">
        <f>VLOOKUP($E106,TaskValues_ref!$E:$Z,4,FALSE)</f>
        <v>Public Health</v>
      </c>
      <c r="I106" t="str">
        <f>VLOOKUP($E106,TaskValues_ref!$E:$Z,5,FALSE)</f>
        <v>Malaria</v>
      </c>
      <c r="J106" s="257" t="str">
        <f>VLOOKUP($E106,TaskValues_ref!$E:$Z,6,FALSE)</f>
        <v>all</v>
      </c>
      <c r="K106" t="str">
        <f>VLOOKUP($E106,TaskValues_ref!$E:$Z,10,FALSE)</f>
        <v>Amhara</v>
      </c>
      <c r="L106" s="195">
        <f>IF(VLOOKUP($E106,TaskValues_ref!$E:$Z,11,FALSE)=0,"",VLOOKUP($E106,TaskValues_ref!$E:$Z,11,FALSE))</f>
        <v>0.25</v>
      </c>
      <c r="M106" t="str">
        <f>IF(VLOOKUP($E106,TaskValues_ref!$E:$Z,13,FALSE)=0,"",VLOOKUP($E106,TaskValues_ref!$E:$Z,13,FALSE))</f>
        <v/>
      </c>
      <c r="N106" s="89" t="str">
        <f>IF(VLOOKUP($E106,TaskValues_ref!$E:$Z,15,FALSE)=0,"",VLOOKUP($E106,TaskValues_ref!$E:$Z,15,FALSE))</f>
        <v/>
      </c>
      <c r="O106" t="str">
        <f>IF(VLOOKUP($E106,TaskValues_ref!$E:$Z,16,FALSE)=0,"",VLOOKUP($E106,TaskValues_ref!$E:$Z,16,FALSE))</f>
        <v/>
      </c>
      <c r="P106">
        <f>IF(VLOOKUP($E106,TaskValues_ref!$E:$Z,17,FALSE)=0,"",VLOOKUP($E106,TaskValues_ref!$E:$Z,17,FALSE))</f>
        <v>1</v>
      </c>
      <c r="Q106">
        <f>IF(VLOOKUP($E106,TaskValues_ref!$E:$Z,18,FALSE)=0,"",VLOOKUP($E106,TaskValues_ref!$E:$Z,18,FALSE))</f>
        <v>5</v>
      </c>
      <c r="R106" t="str">
        <f>IF(VLOOKUP($E106,TaskValues_ref!$E:$Z,19,FALSE)=0,"",VLOOKUP($E106,TaskValues_ref!$E:$Z,19,FALSE))</f>
        <v/>
      </c>
      <c r="S106" t="str">
        <f>IF(VLOOKUP($E106,TaskValues_ref!$E:$Z,20,FALSE)=0,"",VLOOKUP($E106,TaskValues_ref!$E:$Z,20,FALSE))</f>
        <v/>
      </c>
    </row>
    <row r="107" spans="1:19" x14ac:dyDescent="0.45">
      <c r="A107" s="66" t="s">
        <v>2337</v>
      </c>
      <c r="B107" s="66" t="s">
        <v>2335</v>
      </c>
      <c r="C107" s="66" t="s">
        <v>69</v>
      </c>
      <c r="D107" s="66">
        <v>103</v>
      </c>
      <c r="E107" s="64" t="s">
        <v>2354</v>
      </c>
      <c r="F107" t="str">
        <f>VLOOKUP(E107,TaskValues_ref!E:F,2,FALSE)</f>
        <v>Uncomplicated malaria in adults</v>
      </c>
      <c r="G107" t="str">
        <f>VLOOKUP($E107,TaskValues_ref!$E:$Z,3,FALSE)</f>
        <v>Clinical</v>
      </c>
      <c r="H107" t="str">
        <f>VLOOKUP($E107,TaskValues_ref!$E:$Z,4,FALSE)</f>
        <v>Acute</v>
      </c>
      <c r="I107" t="str">
        <f>VLOOKUP($E107,TaskValues_ref!$E:$Z,5,FALSE)</f>
        <v>Malaria</v>
      </c>
      <c r="J107" s="257" t="str">
        <f>VLOOKUP($E107,TaskValues_ref!$E:$Z,6,FALSE)</f>
        <v>adults 18+</v>
      </c>
      <c r="K107" t="str">
        <f>VLOOKUP($E107,TaskValues_ref!$E:$Z,10,FALSE)</f>
        <v>Amhara</v>
      </c>
      <c r="L107" s="195">
        <f>IF(VLOOKUP($E107,TaskValues_ref!$E:$Z,11,FALSE)=0,"",VLOOKUP($E107,TaskValues_ref!$E:$Z,11,FALSE))</f>
        <v>1.1622799726572285E-2</v>
      </c>
      <c r="M107" t="str">
        <f>IF(VLOOKUP($E107,TaskValues_ref!$E:$Z,13,FALSE)=0,"",VLOOKUP($E107,TaskValues_ref!$E:$Z,13,FALSE))</f>
        <v/>
      </c>
      <c r="N107" s="89">
        <f>IF(VLOOKUP($E107,TaskValues_ref!$E:$Z,15,FALSE)=0,"",VLOOKUP($E107,TaskValues_ref!$E:$Z,15,FALSE))</f>
        <v>0.87556301899925537</v>
      </c>
      <c r="O107">
        <f>IF(VLOOKUP($E107,TaskValues_ref!$E:$Z,16,FALSE)=0,"",VLOOKUP($E107,TaskValues_ref!$E:$Z,16,FALSE))</f>
        <v>1</v>
      </c>
      <c r="P107" t="str">
        <f>IF(VLOOKUP($E107,TaskValues_ref!$E:$Z,17,FALSE)=0,"",VLOOKUP($E107,TaskValues_ref!$E:$Z,17,FALSE))</f>
        <v/>
      </c>
      <c r="Q107">
        <f>IF(VLOOKUP($E107,TaskValues_ref!$E:$Z,18,FALSE)=0,"",VLOOKUP($E107,TaskValues_ref!$E:$Z,18,FALSE))</f>
        <v>10</v>
      </c>
      <c r="R107" t="str">
        <f>IF(VLOOKUP($E107,TaskValues_ref!$E:$Z,19,FALSE)=0,"",VLOOKUP($E107,TaskValues_ref!$E:$Z,19,FALSE))</f>
        <v/>
      </c>
      <c r="S107" t="str">
        <f>IF(VLOOKUP($E107,TaskValues_ref!$E:$Z,20,FALSE)=0,"",VLOOKUP($E107,TaskValues_ref!$E:$Z,20,FALSE))</f>
        <v/>
      </c>
    </row>
    <row r="108" spans="1:19" x14ac:dyDescent="0.45">
      <c r="A108" s="66" t="s">
        <v>2337</v>
      </c>
      <c r="B108" s="66" t="s">
        <v>2335</v>
      </c>
      <c r="C108" s="66" t="s">
        <v>69</v>
      </c>
      <c r="D108" s="66">
        <v>103</v>
      </c>
      <c r="E108" s="64" t="s">
        <v>2355</v>
      </c>
      <c r="F108" t="str">
        <f>VLOOKUP(E108,TaskValues_ref!E:F,2,FALSE)</f>
        <v>Uncomplicated malaria in children</v>
      </c>
      <c r="G108" t="str">
        <f>VLOOKUP($E108,TaskValues_ref!$E:$Z,3,FALSE)</f>
        <v>Clinical</v>
      </c>
      <c r="H108" t="str">
        <f>VLOOKUP($E108,TaskValues_ref!$E:$Z,4,FALSE)</f>
        <v>Acute</v>
      </c>
      <c r="I108" t="str">
        <f>VLOOKUP($E108,TaskValues_ref!$E:$Z,5,FALSE)</f>
        <v>Malaria</v>
      </c>
      <c r="J108" s="257" t="str">
        <f>VLOOKUP($E108,TaskValues_ref!$E:$Z,6,FALSE)</f>
        <v>1-18</v>
      </c>
      <c r="K108" t="str">
        <f>VLOOKUP($E108,TaskValues_ref!$E:$Z,10,FALSE)</f>
        <v>Amhara</v>
      </c>
      <c r="L108" s="195">
        <f>IF(VLOOKUP($E108,TaskValues_ref!$E:$Z,11,FALSE)=0,"",VLOOKUP($E108,TaskValues_ref!$E:$Z,11,FALSE))</f>
        <v>1.1622799726572285E-2</v>
      </c>
      <c r="M108" t="str">
        <f>IF(VLOOKUP($E108,TaskValues_ref!$E:$Z,13,FALSE)=0,"",VLOOKUP($E108,TaskValues_ref!$E:$Z,13,FALSE))</f>
        <v/>
      </c>
      <c r="N108" s="89">
        <f>IF(VLOOKUP($E108,TaskValues_ref!$E:$Z,15,FALSE)=0,"",VLOOKUP($E108,TaskValues_ref!$E:$Z,15,FALSE))</f>
        <v>0.87556301899925537</v>
      </c>
      <c r="O108">
        <f>IF(VLOOKUP($E108,TaskValues_ref!$E:$Z,16,FALSE)=0,"",VLOOKUP($E108,TaskValues_ref!$E:$Z,16,FALSE))</f>
        <v>1</v>
      </c>
      <c r="P108" t="str">
        <f>IF(VLOOKUP($E108,TaskValues_ref!$E:$Z,17,FALSE)=0,"",VLOOKUP($E108,TaskValues_ref!$E:$Z,17,FALSE))</f>
        <v/>
      </c>
      <c r="Q108">
        <f>IF(VLOOKUP($E108,TaskValues_ref!$E:$Z,18,FALSE)=0,"",VLOOKUP($E108,TaskValues_ref!$E:$Z,18,FALSE))</f>
        <v>10</v>
      </c>
      <c r="R108" t="str">
        <f>IF(VLOOKUP($E108,TaskValues_ref!$E:$Z,19,FALSE)=0,"",VLOOKUP($E108,TaskValues_ref!$E:$Z,19,FALSE))</f>
        <v/>
      </c>
      <c r="S108" t="str">
        <f>IF(VLOOKUP($E108,TaskValues_ref!$E:$Z,20,FALSE)=0,"",VLOOKUP($E108,TaskValues_ref!$E:$Z,20,FALSE))</f>
        <v/>
      </c>
    </row>
    <row r="109" spans="1:19" x14ac:dyDescent="0.45">
      <c r="A109" s="66" t="s">
        <v>2337</v>
      </c>
      <c r="B109" s="66" t="s">
        <v>2335</v>
      </c>
      <c r="C109" s="66" t="s">
        <v>69</v>
      </c>
      <c r="D109" s="66">
        <v>103</v>
      </c>
      <c r="E109" s="64" t="s">
        <v>2358</v>
      </c>
      <c r="F109" t="str">
        <f>VLOOKUP(E109,TaskValues_ref!E:F,2,FALSE)</f>
        <v>Testing non-malaria cases</v>
      </c>
      <c r="G109" t="str">
        <f>VLOOKUP($E109,TaskValues_ref!$E:$Z,3,FALSE)</f>
        <v>Clinical</v>
      </c>
      <c r="H109" t="str">
        <f>VLOOKUP($E109,TaskValues_ref!$E:$Z,4,FALSE)</f>
        <v>Public Health</v>
      </c>
      <c r="I109" t="str">
        <f>VLOOKUP($E109,TaskValues_ref!$E:$Z,5,FALSE)</f>
        <v>Malaria</v>
      </c>
      <c r="J109" s="257" t="str">
        <f>VLOOKUP($E109,TaskValues_ref!$E:$Z,6,FALSE)</f>
        <v>all</v>
      </c>
      <c r="K109" t="str">
        <f>VLOOKUP($E109,TaskValues_ref!$E:$Z,10,FALSE)</f>
        <v>Amhara</v>
      </c>
      <c r="L109" s="195">
        <f>IF(VLOOKUP($E109,TaskValues_ref!$E:$Z,11,FALSE)=0,"",VLOOKUP($E109,TaskValues_ref!$E:$Z,11,FALSE))</f>
        <v>1.2914221918413649E-2</v>
      </c>
      <c r="M109">
        <f>IF(VLOOKUP($E109,TaskValues_ref!$E:$Z,13,FALSE)=0,"",VLOOKUP($E109,TaskValues_ref!$E:$Z,13,FALSE))</f>
        <v>4</v>
      </c>
      <c r="N109" s="89">
        <f>IF(VLOOKUP($E109,TaskValues_ref!$E:$Z,15,FALSE)=0,"",VLOOKUP($E109,TaskValues_ref!$E:$Z,15,FALSE))</f>
        <v>1</v>
      </c>
      <c r="O109">
        <f>IF(VLOOKUP($E109,TaskValues_ref!$E:$Z,16,FALSE)=0,"",VLOOKUP($E109,TaskValues_ref!$E:$Z,16,FALSE))</f>
        <v>1</v>
      </c>
      <c r="P109" t="str">
        <f>IF(VLOOKUP($E109,TaskValues_ref!$E:$Z,17,FALSE)=0,"",VLOOKUP($E109,TaskValues_ref!$E:$Z,17,FALSE))</f>
        <v/>
      </c>
      <c r="Q109">
        <f>IF(VLOOKUP($E109,TaskValues_ref!$E:$Z,18,FALSE)=0,"",VLOOKUP($E109,TaskValues_ref!$E:$Z,18,FALSE))</f>
        <v>5</v>
      </c>
      <c r="R109" t="str">
        <f>IF(VLOOKUP($E109,TaskValues_ref!$E:$Z,19,FALSE)=0,"",VLOOKUP($E109,TaskValues_ref!$E:$Z,19,FALSE))</f>
        <v/>
      </c>
      <c r="S109" t="str">
        <f>IF(VLOOKUP($E109,TaskValues_ref!$E:$Z,20,FALSE)=0,"",VLOOKUP($E109,TaskValues_ref!$E:$Z,20,FALSE))</f>
        <v/>
      </c>
    </row>
    <row r="110" spans="1:19" x14ac:dyDescent="0.45">
      <c r="A110" s="66" t="s">
        <v>2337</v>
      </c>
      <c r="B110" s="66" t="s">
        <v>2335</v>
      </c>
      <c r="C110" s="66" t="s">
        <v>69</v>
      </c>
      <c r="D110" s="66">
        <v>104</v>
      </c>
      <c r="E110" s="64" t="s">
        <v>2356</v>
      </c>
      <c r="F110" t="str">
        <f>VLOOKUP(E110,TaskValues_ref!E:F,2,FALSE)</f>
        <v>Severe malaria in adults</v>
      </c>
      <c r="G110" t="str">
        <f>VLOOKUP($E110,TaskValues_ref!$E:$Z,3,FALSE)</f>
        <v>Clinical</v>
      </c>
      <c r="H110" t="str">
        <f>VLOOKUP($E110,TaskValues_ref!$E:$Z,4,FALSE)</f>
        <v>Acute</v>
      </c>
      <c r="I110" t="str">
        <f>VLOOKUP($E110,TaskValues_ref!$E:$Z,5,FALSE)</f>
        <v>Malaria</v>
      </c>
      <c r="J110" s="257" t="str">
        <f>VLOOKUP($E110,TaskValues_ref!$E:$Z,6,FALSE)</f>
        <v>adults 18+</v>
      </c>
      <c r="K110" t="str">
        <f>VLOOKUP($E110,TaskValues_ref!$E:$Z,10,FALSE)</f>
        <v>Amhara</v>
      </c>
      <c r="L110" s="195">
        <f>IF(VLOOKUP($E110,TaskValues_ref!$E:$Z,11,FALSE)=0,"",VLOOKUP($E110,TaskValues_ref!$E:$Z,11,FALSE))</f>
        <v>1.291422191841365E-3</v>
      </c>
      <c r="M110" t="str">
        <f>IF(VLOOKUP($E110,TaskValues_ref!$E:$Z,13,FALSE)=0,"",VLOOKUP($E110,TaskValues_ref!$E:$Z,13,FALSE))</f>
        <v/>
      </c>
      <c r="N110" s="89">
        <f>IF(VLOOKUP($E110,TaskValues_ref!$E:$Z,15,FALSE)=0,"",VLOOKUP($E110,TaskValues_ref!$E:$Z,15,FALSE))</f>
        <v>0.87556301899925537</v>
      </c>
      <c r="O110">
        <f>IF(VLOOKUP($E110,TaskValues_ref!$E:$Z,16,FALSE)=0,"",VLOOKUP($E110,TaskValues_ref!$E:$Z,16,FALSE))</f>
        <v>1</v>
      </c>
      <c r="P110" t="str">
        <f>IF(VLOOKUP($E110,TaskValues_ref!$E:$Z,17,FALSE)=0,"",VLOOKUP($E110,TaskValues_ref!$E:$Z,17,FALSE))</f>
        <v/>
      </c>
      <c r="Q110">
        <f>IF(VLOOKUP($E110,TaskValues_ref!$E:$Z,18,FALSE)=0,"",VLOOKUP($E110,TaskValues_ref!$E:$Z,18,FALSE))</f>
        <v>15</v>
      </c>
      <c r="R110" t="str">
        <f>IF(VLOOKUP($E110,TaskValues_ref!$E:$Z,19,FALSE)=0,"",VLOOKUP($E110,TaskValues_ref!$E:$Z,19,FALSE))</f>
        <v/>
      </c>
      <c r="S110" t="str">
        <f>IF(VLOOKUP($E110,TaskValues_ref!$E:$Z,20,FALSE)=0,"",VLOOKUP($E110,TaskValues_ref!$E:$Z,20,FALSE))</f>
        <v/>
      </c>
    </row>
    <row r="111" spans="1:19" x14ac:dyDescent="0.45">
      <c r="A111" s="66" t="s">
        <v>2337</v>
      </c>
      <c r="B111" s="66" t="s">
        <v>2335</v>
      </c>
      <c r="C111" s="66" t="s">
        <v>69</v>
      </c>
      <c r="D111" s="66">
        <v>104</v>
      </c>
      <c r="E111" s="64" t="s">
        <v>2357</v>
      </c>
      <c r="F111" t="str">
        <f>VLOOKUP(E111,TaskValues_ref!E:F,2,FALSE)</f>
        <v>Severe malaria in children</v>
      </c>
      <c r="G111" t="str">
        <f>VLOOKUP($E111,TaskValues_ref!$E:$Z,3,FALSE)</f>
        <v>Clinical</v>
      </c>
      <c r="H111" t="str">
        <f>VLOOKUP($E111,TaskValues_ref!$E:$Z,4,FALSE)</f>
        <v>Acute</v>
      </c>
      <c r="I111" t="str">
        <f>VLOOKUP($E111,TaskValues_ref!$E:$Z,5,FALSE)</f>
        <v>Malaria</v>
      </c>
      <c r="J111" s="257" t="str">
        <f>VLOOKUP($E111,TaskValues_ref!$E:$Z,6,FALSE)</f>
        <v>1-18</v>
      </c>
      <c r="K111" t="str">
        <f>VLOOKUP($E111,TaskValues_ref!$E:$Z,10,FALSE)</f>
        <v>Amhara</v>
      </c>
      <c r="L111" s="195">
        <f>IF(VLOOKUP($E111,TaskValues_ref!$E:$Z,11,FALSE)=0,"",VLOOKUP($E111,TaskValues_ref!$E:$Z,11,FALSE))</f>
        <v>1.291422191841365E-3</v>
      </c>
      <c r="M111" t="str">
        <f>IF(VLOOKUP($E111,TaskValues_ref!$E:$Z,13,FALSE)=0,"",VLOOKUP($E111,TaskValues_ref!$E:$Z,13,FALSE))</f>
        <v/>
      </c>
      <c r="N111" s="89">
        <f>IF(VLOOKUP($E111,TaskValues_ref!$E:$Z,15,FALSE)=0,"",VLOOKUP($E111,TaskValues_ref!$E:$Z,15,FALSE))</f>
        <v>0.87556301899925537</v>
      </c>
      <c r="O111">
        <f>IF(VLOOKUP($E111,TaskValues_ref!$E:$Z,16,FALSE)=0,"",VLOOKUP($E111,TaskValues_ref!$E:$Z,16,FALSE))</f>
        <v>1</v>
      </c>
      <c r="P111" t="str">
        <f>IF(VLOOKUP($E111,TaskValues_ref!$E:$Z,17,FALSE)=0,"",VLOOKUP($E111,TaskValues_ref!$E:$Z,17,FALSE))</f>
        <v/>
      </c>
      <c r="Q111">
        <f>IF(VLOOKUP($E111,TaskValues_ref!$E:$Z,18,FALSE)=0,"",VLOOKUP($E111,TaskValues_ref!$E:$Z,18,FALSE))</f>
        <v>15</v>
      </c>
      <c r="R111" t="str">
        <f>IF(VLOOKUP($E111,TaskValues_ref!$E:$Z,19,FALSE)=0,"",VLOOKUP($E111,TaskValues_ref!$E:$Z,19,FALSE))</f>
        <v/>
      </c>
      <c r="S111" t="str">
        <f>IF(VLOOKUP($E111,TaskValues_ref!$E:$Z,20,FALSE)=0,"",VLOOKUP($E111,TaskValues_ref!$E:$Z,20,FALSE))</f>
        <v/>
      </c>
    </row>
    <row r="112" spans="1:19" x14ac:dyDescent="0.45">
      <c r="A112" s="66" t="s">
        <v>2337</v>
      </c>
      <c r="B112" s="66" t="s">
        <v>2335</v>
      </c>
      <c r="C112" s="66" t="s">
        <v>69</v>
      </c>
      <c r="D112" s="66">
        <v>105</v>
      </c>
      <c r="E112" s="64" t="str">
        <f>_xlfn.CONCAT("DPC.Mlr.",D112)</f>
        <v>DPC.Mlr.105</v>
      </c>
      <c r="F112" t="str">
        <f>VLOOKUP(E112,TaskValues_ref!E:F,2,FALSE)</f>
        <v>Malaria surveillance</v>
      </c>
      <c r="G112" t="str">
        <f>VLOOKUP($E112,TaskValues_ref!$E:$Z,3,FALSE)</f>
        <v>Non-productive</v>
      </c>
      <c r="H112" t="str">
        <f>VLOOKUP($E112,TaskValues_ref!$E:$Z,4,FALSE)</f>
        <v>Public Health</v>
      </c>
      <c r="I112" t="str">
        <f>VLOOKUP($E112,TaskValues_ref!$E:$Z,5,FALSE)</f>
        <v>Malaria</v>
      </c>
      <c r="J112" s="257" t="str">
        <f>VLOOKUP($E112,TaskValues_ref!$E:$Z,6,FALSE)</f>
        <v>-</v>
      </c>
      <c r="K112" t="str">
        <f>VLOOKUP($E112,TaskValues_ref!$E:$Z,10,FALSE)</f>
        <v>Amhara</v>
      </c>
      <c r="L112" s="195" t="str">
        <f>IF(VLOOKUP($E112,TaskValues_ref!$E:$Z,11,FALSE)=0,"",VLOOKUP($E112,TaskValues_ref!$E:$Z,11,FALSE))</f>
        <v/>
      </c>
      <c r="M112" t="str">
        <f>IF(VLOOKUP($E112,TaskValues_ref!$E:$Z,13,FALSE)=0,"",VLOOKUP($E112,TaskValues_ref!$E:$Z,13,FALSE))</f>
        <v/>
      </c>
      <c r="N112" s="89" t="str">
        <f>IF(VLOOKUP($E112,TaskValues_ref!$E:$Z,15,FALSE)=0,"",VLOOKUP($E112,TaskValues_ref!$E:$Z,15,FALSE))</f>
        <v/>
      </c>
      <c r="O112" t="str">
        <f>IF(VLOOKUP($E112,TaskValues_ref!$E:$Z,16,FALSE)=0,"",VLOOKUP($E112,TaskValues_ref!$E:$Z,16,FALSE))</f>
        <v/>
      </c>
      <c r="P112" t="str">
        <f>IF(VLOOKUP($E112,TaskValues_ref!$E:$Z,17,FALSE)=0,"",VLOOKUP($E112,TaskValues_ref!$E:$Z,17,FALSE))</f>
        <v/>
      </c>
      <c r="Q112" t="str">
        <f>IF(VLOOKUP($E112,TaskValues_ref!$E:$Z,18,FALSE)=0,"",VLOOKUP($E112,TaskValues_ref!$E:$Z,18,FALSE))</f>
        <v/>
      </c>
      <c r="R112" t="str">
        <f>IF(VLOOKUP($E112,TaskValues_ref!$E:$Z,19,FALSE)=0,"",VLOOKUP($E112,TaskValues_ref!$E:$Z,19,FALSE))</f>
        <v/>
      </c>
      <c r="S112" t="str">
        <f>IF(VLOOKUP($E112,TaskValues_ref!$E:$Z,20,FALSE)=0,"",VLOOKUP($E112,TaskValues_ref!$E:$Z,20,FALSE))</f>
        <v/>
      </c>
    </row>
    <row r="113" spans="1:19" x14ac:dyDescent="0.45">
      <c r="A113" s="66" t="s">
        <v>2337</v>
      </c>
      <c r="B113" s="66" t="s">
        <v>2335</v>
      </c>
      <c r="C113" s="66" t="s">
        <v>69</v>
      </c>
      <c r="D113" s="66">
        <v>106</v>
      </c>
      <c r="E113" s="64" t="str">
        <f>_xlfn.CONCAT("DPC.Mlr.",D113)</f>
        <v>DPC.Mlr.106</v>
      </c>
      <c r="F113" t="str">
        <f>VLOOKUP(E113,TaskValues_ref!E:F,2,FALSE)</f>
        <v>Risk reduction</v>
      </c>
      <c r="G113" t="str">
        <f>VLOOKUP($E113,TaskValues_ref!$E:$Z,3,FALSE)</f>
        <v>Non-clinical</v>
      </c>
      <c r="H113" t="str">
        <f>VLOOKUP($E113,TaskValues_ref!$E:$Z,4,FALSE)</f>
        <v>Public Health</v>
      </c>
      <c r="I113" t="str">
        <f>VLOOKUP($E113,TaskValues_ref!$E:$Z,5,FALSE)</f>
        <v>Malaria</v>
      </c>
      <c r="J113" s="257" t="str">
        <f>VLOOKUP($E113,TaskValues_ref!$E:$Z,6,FALSE)</f>
        <v>-</v>
      </c>
      <c r="K113" t="str">
        <f>VLOOKUP($E113,TaskValues_ref!$E:$Z,10,FALSE)</f>
        <v>Amhara</v>
      </c>
      <c r="L113" s="195" t="str">
        <f>IF(VLOOKUP($E113,TaskValues_ref!$E:$Z,11,FALSE)=0,"",VLOOKUP($E113,TaskValues_ref!$E:$Z,11,FALSE))</f>
        <v/>
      </c>
      <c r="M113" t="str">
        <f>IF(VLOOKUP($E113,TaskValues_ref!$E:$Z,13,FALSE)=0,"",VLOOKUP($E113,TaskValues_ref!$E:$Z,13,FALSE))</f>
        <v/>
      </c>
      <c r="N113" s="89" t="str">
        <f>IF(VLOOKUP($E113,TaskValues_ref!$E:$Z,15,FALSE)=0,"",VLOOKUP($E113,TaskValues_ref!$E:$Z,15,FALSE))</f>
        <v/>
      </c>
      <c r="O113" t="str">
        <f>IF(VLOOKUP($E113,TaskValues_ref!$E:$Z,16,FALSE)=0,"",VLOOKUP($E113,TaskValues_ref!$E:$Z,16,FALSE))</f>
        <v/>
      </c>
      <c r="P113" t="str">
        <f>IF(VLOOKUP($E113,TaskValues_ref!$E:$Z,17,FALSE)=0,"",VLOOKUP($E113,TaskValues_ref!$E:$Z,17,FALSE))</f>
        <v/>
      </c>
      <c r="Q113" t="str">
        <f>IF(VLOOKUP($E113,TaskValues_ref!$E:$Z,18,FALSE)=0,"",VLOOKUP($E113,TaskValues_ref!$E:$Z,18,FALSE))</f>
        <v/>
      </c>
      <c r="R113" t="str">
        <f>IF(VLOOKUP($E113,TaskValues_ref!$E:$Z,19,FALSE)=0,"",VLOOKUP($E113,TaskValues_ref!$E:$Z,19,FALSE))</f>
        <v/>
      </c>
      <c r="S113" t="str">
        <f>IF(VLOOKUP($E113,TaskValues_ref!$E:$Z,20,FALSE)=0,"",VLOOKUP($E113,TaskValues_ref!$E:$Z,20,FALSE))</f>
        <v/>
      </c>
    </row>
    <row r="114" spans="1:19" x14ac:dyDescent="0.45">
      <c r="A114" s="66" t="s">
        <v>2337</v>
      </c>
      <c r="B114" s="66" t="s">
        <v>2335</v>
      </c>
      <c r="C114" s="66" t="s">
        <v>69</v>
      </c>
      <c r="D114" s="66">
        <v>107</v>
      </c>
      <c r="E114" s="64" t="str">
        <f>_xlfn.CONCAT("DPC.Mlr.",D114)</f>
        <v>DPC.Mlr.107</v>
      </c>
      <c r="F114" t="str">
        <f>VLOOKUP(E114,TaskValues_ref!E:F,2,FALSE)</f>
        <v>Outbreak detection &amp; response</v>
      </c>
      <c r="G114" t="str">
        <f>VLOOKUP($E114,TaskValues_ref!$E:$Z,3,FALSE)</f>
        <v>Non-clinical</v>
      </c>
      <c r="H114" t="str">
        <f>VLOOKUP($E114,TaskValues_ref!$E:$Z,4,FALSE)</f>
        <v>Public Health</v>
      </c>
      <c r="I114" t="str">
        <f>VLOOKUP($E114,TaskValues_ref!$E:$Z,5,FALSE)</f>
        <v>Malaria</v>
      </c>
      <c r="J114" s="257" t="str">
        <f>VLOOKUP($E114,TaskValues_ref!$E:$Z,6,FALSE)</f>
        <v>-</v>
      </c>
      <c r="K114" t="str">
        <f>VLOOKUP($E114,TaskValues_ref!$E:$Z,10,FALSE)</f>
        <v>Amhara</v>
      </c>
      <c r="L114" s="195" t="str">
        <f>IF(VLOOKUP($E114,TaskValues_ref!$E:$Z,11,FALSE)=0,"",VLOOKUP($E114,TaskValues_ref!$E:$Z,11,FALSE))</f>
        <v/>
      </c>
      <c r="M114" t="str">
        <f>IF(VLOOKUP($E114,TaskValues_ref!$E:$Z,13,FALSE)=0,"",VLOOKUP($E114,TaskValues_ref!$E:$Z,13,FALSE))</f>
        <v/>
      </c>
      <c r="N114" s="89" t="str">
        <f>IF(VLOOKUP($E114,TaskValues_ref!$E:$Z,15,FALSE)=0,"",VLOOKUP($E114,TaskValues_ref!$E:$Z,15,FALSE))</f>
        <v/>
      </c>
      <c r="O114" t="str">
        <f>IF(VLOOKUP($E114,TaskValues_ref!$E:$Z,16,FALSE)=0,"",VLOOKUP($E114,TaskValues_ref!$E:$Z,16,FALSE))</f>
        <v/>
      </c>
      <c r="P114" t="str">
        <f>IF(VLOOKUP($E114,TaskValues_ref!$E:$Z,17,FALSE)=0,"",VLOOKUP($E114,TaskValues_ref!$E:$Z,17,FALSE))</f>
        <v/>
      </c>
      <c r="Q114" t="str">
        <f>IF(VLOOKUP($E114,TaskValues_ref!$E:$Z,18,FALSE)=0,"",VLOOKUP($E114,TaskValues_ref!$E:$Z,18,FALSE))</f>
        <v/>
      </c>
      <c r="R114" t="str">
        <f>IF(VLOOKUP($E114,TaskValues_ref!$E:$Z,19,FALSE)=0,"",VLOOKUP($E114,TaskValues_ref!$E:$Z,19,FALSE))</f>
        <v/>
      </c>
      <c r="S114" t="str">
        <f>IF(VLOOKUP($E114,TaskValues_ref!$E:$Z,20,FALSE)=0,"",VLOOKUP($E114,TaskValues_ref!$E:$Z,20,FALSE))</f>
        <v/>
      </c>
    </row>
    <row r="115" spans="1:19" x14ac:dyDescent="0.45">
      <c r="A115" s="66" t="s">
        <v>2337</v>
      </c>
      <c r="B115" s="66" t="s">
        <v>2335</v>
      </c>
      <c r="C115" s="66" t="s">
        <v>2367</v>
      </c>
      <c r="D115" s="66">
        <v>108</v>
      </c>
      <c r="E115" s="64" t="s">
        <v>2373</v>
      </c>
      <c r="F115" t="str">
        <f>VLOOKUP(E115,TaskValues_ref!E:F,2,FALSE)</f>
        <v>Testing</v>
      </c>
      <c r="G115" t="str">
        <f>VLOOKUP($E115,TaskValues_ref!$E:$Z,3,FALSE)</f>
        <v>Clinical</v>
      </c>
      <c r="H115" t="str">
        <f>VLOOKUP($E115,TaskValues_ref!$E:$Z,4,FALSE)</f>
        <v>Acute</v>
      </c>
      <c r="I115" t="str">
        <f>VLOOKUP($E115,TaskValues_ref!$E:$Z,5,FALSE)</f>
        <v>Tuberculosis</v>
      </c>
      <c r="J115" s="257" t="str">
        <f>VLOOKUP($E115,TaskValues_ref!$E:$Z,6,FALSE)</f>
        <v>adults 18+</v>
      </c>
      <c r="K115" t="str">
        <f>VLOOKUP($E115,TaskValues_ref!$E:$Z,10,FALSE)</f>
        <v>Amhara</v>
      </c>
      <c r="L115" s="195">
        <f>IF(VLOOKUP($E115,TaskValues_ref!$E:$Z,11,FALSE)=0,"",VLOOKUP($E115,TaskValues_ref!$E:$Z,11,FALSE))</f>
        <v>1.083E-3</v>
      </c>
      <c r="M115">
        <f>IF(VLOOKUP($E115,TaskValues_ref!$E:$Z,13,FALSE)=0,"",VLOOKUP($E115,TaskValues_ref!$E:$Z,13,FALSE))</f>
        <v>8.3333333333333339</v>
      </c>
      <c r="N115" s="89">
        <f>IF(VLOOKUP($E115,TaskValues_ref!$E:$Z,15,FALSE)=0,"",VLOOKUP($E115,TaskValues_ref!$E:$Z,15,FALSE))</f>
        <v>0.92465934537590888</v>
      </c>
      <c r="O115">
        <f>IF(VLOOKUP($E115,TaskValues_ref!$E:$Z,16,FALSE)=0,"",VLOOKUP($E115,TaskValues_ref!$E:$Z,16,FALSE))</f>
        <v>1</v>
      </c>
      <c r="P115" t="str">
        <f>IF(VLOOKUP($E115,TaskValues_ref!$E:$Z,17,FALSE)=0,"",VLOOKUP($E115,TaskValues_ref!$E:$Z,17,FALSE))</f>
        <v/>
      </c>
      <c r="Q115">
        <f>IF(VLOOKUP($E115,TaskValues_ref!$E:$Z,18,FALSE)=0,"",VLOOKUP($E115,TaskValues_ref!$E:$Z,18,FALSE))</f>
        <v>10</v>
      </c>
      <c r="R115" t="str">
        <f>IF(VLOOKUP($E115,TaskValues_ref!$E:$Z,19,FALSE)=0,"",VLOOKUP($E115,TaskValues_ref!$E:$Z,19,FALSE))</f>
        <v/>
      </c>
      <c r="S115" t="str">
        <f>IF(VLOOKUP($E115,TaskValues_ref!$E:$Z,20,FALSE)=0,"",VLOOKUP($E115,TaskValues_ref!$E:$Z,20,FALSE))</f>
        <v/>
      </c>
    </row>
    <row r="116" spans="1:19" x14ac:dyDescent="0.45">
      <c r="A116" s="66" t="s">
        <v>2337</v>
      </c>
      <c r="B116" s="66" t="s">
        <v>2335</v>
      </c>
      <c r="C116" s="66" t="s">
        <v>2367</v>
      </c>
      <c r="D116" s="66">
        <v>108</v>
      </c>
      <c r="E116" s="64" t="s">
        <v>2374</v>
      </c>
      <c r="F116" t="str">
        <f>VLOOKUP(E116,TaskValues_ref!E:F,2,FALSE)</f>
        <v>Follow-up and linkage for positives</v>
      </c>
      <c r="G116" t="str">
        <f>VLOOKUP($E116,TaskValues_ref!$E:$Z,3,FALSE)</f>
        <v>Clinical</v>
      </c>
      <c r="H116" t="str">
        <f>VLOOKUP($E116,TaskValues_ref!$E:$Z,4,FALSE)</f>
        <v>Acute</v>
      </c>
      <c r="I116" t="str">
        <f>VLOOKUP($E116,TaskValues_ref!$E:$Z,5,FALSE)</f>
        <v>Tuberculosis</v>
      </c>
      <c r="J116" s="257" t="str">
        <f>VLOOKUP($E116,TaskValues_ref!$E:$Z,6,FALSE)</f>
        <v>adults 18+</v>
      </c>
      <c r="K116" t="str">
        <f>VLOOKUP($E116,TaskValues_ref!$E:$Z,10,FALSE)</f>
        <v>Amhara</v>
      </c>
      <c r="L116" s="195">
        <f>IF(VLOOKUP($E116,TaskValues_ref!$E:$Z,11,FALSE)=0,"",VLOOKUP($E116,TaskValues_ref!$E:$Z,11,FALSE))</f>
        <v>1.083E-3</v>
      </c>
      <c r="M116" t="str">
        <f>IF(VLOOKUP($E116,TaskValues_ref!$E:$Z,13,FALSE)=0,"",VLOOKUP($E116,TaskValues_ref!$E:$Z,13,FALSE))</f>
        <v/>
      </c>
      <c r="N116" s="89">
        <f>IF(VLOOKUP($E116,TaskValues_ref!$E:$Z,15,FALSE)=0,"",VLOOKUP($E116,TaskValues_ref!$E:$Z,15,FALSE))</f>
        <v>0.92465934537590888</v>
      </c>
      <c r="O116">
        <f>IF(VLOOKUP($E116,TaskValues_ref!$E:$Z,16,FALSE)=0,"",VLOOKUP($E116,TaskValues_ref!$E:$Z,16,FALSE))</f>
        <v>1</v>
      </c>
      <c r="P116" t="str">
        <f>IF(VLOOKUP($E116,TaskValues_ref!$E:$Z,17,FALSE)=0,"",VLOOKUP($E116,TaskValues_ref!$E:$Z,17,FALSE))</f>
        <v/>
      </c>
      <c r="Q116">
        <f>IF(VLOOKUP($E116,TaskValues_ref!$E:$Z,18,FALSE)=0,"",VLOOKUP($E116,TaskValues_ref!$E:$Z,18,FALSE))</f>
        <v>10</v>
      </c>
      <c r="R116" t="str">
        <f>IF(VLOOKUP($E116,TaskValues_ref!$E:$Z,19,FALSE)=0,"",VLOOKUP($E116,TaskValues_ref!$E:$Z,19,FALSE))</f>
        <v/>
      </c>
      <c r="S116" t="str">
        <f>IF(VLOOKUP($E116,TaskValues_ref!$E:$Z,20,FALSE)=0,"",VLOOKUP($E116,TaskValues_ref!$E:$Z,20,FALSE))</f>
        <v/>
      </c>
    </row>
    <row r="117" spans="1:19" x14ac:dyDescent="0.45">
      <c r="A117" s="66" t="s">
        <v>2337</v>
      </c>
      <c r="B117" s="66" t="s">
        <v>2335</v>
      </c>
      <c r="C117" s="66" t="s">
        <v>2367</v>
      </c>
      <c r="D117" s="66">
        <v>109</v>
      </c>
      <c r="E117" s="64" t="str">
        <f>_xlfn.CONCAT("DPC.TB.",D117)</f>
        <v>DPC.TB.109</v>
      </c>
      <c r="F117" t="str">
        <f>VLOOKUP(E117,TaskValues_ref!E:F,2,FALSE)</f>
        <v>Treatment (DOT)</v>
      </c>
      <c r="G117" t="str">
        <f>VLOOKUP($E117,TaskValues_ref!$E:$Z,3,FALSE)</f>
        <v>Clinical</v>
      </c>
      <c r="H117" t="str">
        <f>VLOOKUP($E117,TaskValues_ref!$E:$Z,4,FALSE)</f>
        <v>Acute</v>
      </c>
      <c r="I117" t="str">
        <f>VLOOKUP($E117,TaskValues_ref!$E:$Z,5,FALSE)</f>
        <v>Tuberculosis</v>
      </c>
      <c r="J117" s="257" t="str">
        <f>VLOOKUP($E117,TaskValues_ref!$E:$Z,6,FALSE)</f>
        <v>adults 18+</v>
      </c>
      <c r="K117" t="str">
        <f>VLOOKUP($E117,TaskValues_ref!$E:$Z,10,FALSE)</f>
        <v>Amhara</v>
      </c>
      <c r="L117" s="195">
        <f>IF(VLOOKUP($E117,TaskValues_ref!$E:$Z,11,FALSE)=0,"",VLOOKUP($E117,TaskValues_ref!$E:$Z,11,FALSE))</f>
        <v>1.083E-3</v>
      </c>
      <c r="M117" t="str">
        <f>IF(VLOOKUP($E117,TaskValues_ref!$E:$Z,13,FALSE)=0,"",VLOOKUP($E117,TaskValues_ref!$E:$Z,13,FALSE))</f>
        <v/>
      </c>
      <c r="N117" s="89">
        <f>IF(VLOOKUP($E117,TaskValues_ref!$E:$Z,15,FALSE)=0,"",VLOOKUP($E117,TaskValues_ref!$E:$Z,15,FALSE))</f>
        <v>0.92465934537590888</v>
      </c>
      <c r="O117">
        <f>IF(VLOOKUP($E117,TaskValues_ref!$E:$Z,16,FALSE)=0,"",VLOOKUP($E117,TaskValues_ref!$E:$Z,16,FALSE))</f>
        <v>84</v>
      </c>
      <c r="P117" t="str">
        <f>IF(VLOOKUP($E117,TaskValues_ref!$E:$Z,17,FALSE)=0,"",VLOOKUP($E117,TaskValues_ref!$E:$Z,17,FALSE))</f>
        <v/>
      </c>
      <c r="Q117">
        <f>IF(VLOOKUP($E117,TaskValues_ref!$E:$Z,18,FALSE)=0,"",VLOOKUP($E117,TaskValues_ref!$E:$Z,18,FALSE))</f>
        <v>5</v>
      </c>
      <c r="R117" t="str">
        <f>IF(VLOOKUP($E117,TaskValues_ref!$E:$Z,19,FALSE)=0,"",VLOOKUP($E117,TaskValues_ref!$E:$Z,19,FALSE))</f>
        <v/>
      </c>
      <c r="S117" t="str">
        <f>IF(VLOOKUP($E117,TaskValues_ref!$E:$Z,20,FALSE)=0,"",VLOOKUP($E117,TaskValues_ref!$E:$Z,20,FALSE))</f>
        <v/>
      </c>
    </row>
    <row r="118" spans="1:19" x14ac:dyDescent="0.45">
      <c r="A118" s="66" t="s">
        <v>2337</v>
      </c>
      <c r="B118" s="66" t="s">
        <v>2335</v>
      </c>
      <c r="C118" s="66" t="s">
        <v>2367</v>
      </c>
      <c r="D118" s="66">
        <v>110</v>
      </c>
      <c r="E118" s="64" t="str">
        <f>_xlfn.CONCAT("DPC.TB.",D118)</f>
        <v>DPC.TB.110</v>
      </c>
      <c r="F118" t="str">
        <f>VLOOKUP(E118,TaskValues_ref!E:F,2,FALSE)</f>
        <v>HIV prevention for TB patients</v>
      </c>
      <c r="G118" t="str">
        <f>VLOOKUP($E118,TaskValues_ref!$E:$Z,3,FALSE)</f>
        <v>Non-clinical</v>
      </c>
      <c r="H118" t="str">
        <f>VLOOKUP($E118,TaskValues_ref!$E:$Z,4,FALSE)</f>
        <v>Public Health</v>
      </c>
      <c r="I118" t="str">
        <f>VLOOKUP($E118,TaskValues_ref!$E:$Z,5,FALSE)</f>
        <v>Tuberculosis</v>
      </c>
      <c r="J118" s="257" t="str">
        <f>VLOOKUP($E118,TaskValues_ref!$E:$Z,6,FALSE)</f>
        <v>-</v>
      </c>
      <c r="K118" t="str">
        <f>VLOOKUP($E118,TaskValues_ref!$E:$Z,10,FALSE)</f>
        <v>Amhara</v>
      </c>
      <c r="L118" s="195" t="str">
        <f>IF(VLOOKUP($E118,TaskValues_ref!$E:$Z,11,FALSE)=0,"",VLOOKUP($E118,TaskValues_ref!$E:$Z,11,FALSE))</f>
        <v/>
      </c>
      <c r="M118" t="str">
        <f>IF(VLOOKUP($E118,TaskValues_ref!$E:$Z,13,FALSE)=0,"",VLOOKUP($E118,TaskValues_ref!$E:$Z,13,FALSE))</f>
        <v/>
      </c>
      <c r="N118" s="89" t="str">
        <f>IF(VLOOKUP($E118,TaskValues_ref!$E:$Z,15,FALSE)=0,"",VLOOKUP($E118,TaskValues_ref!$E:$Z,15,FALSE))</f>
        <v/>
      </c>
      <c r="O118" t="str">
        <f>IF(VLOOKUP($E118,TaskValues_ref!$E:$Z,16,FALSE)=0,"",VLOOKUP($E118,TaskValues_ref!$E:$Z,16,FALSE))</f>
        <v/>
      </c>
      <c r="P118" t="str">
        <f>IF(VLOOKUP($E118,TaskValues_ref!$E:$Z,17,FALSE)=0,"",VLOOKUP($E118,TaskValues_ref!$E:$Z,17,FALSE))</f>
        <v/>
      </c>
      <c r="Q118" t="str">
        <f>IF(VLOOKUP($E118,TaskValues_ref!$E:$Z,18,FALSE)=0,"",VLOOKUP($E118,TaskValues_ref!$E:$Z,18,FALSE))</f>
        <v/>
      </c>
      <c r="R118" t="str">
        <f>IF(VLOOKUP($E118,TaskValues_ref!$E:$Z,19,FALSE)=0,"",VLOOKUP($E118,TaskValues_ref!$E:$Z,19,FALSE))</f>
        <v/>
      </c>
      <c r="S118" t="str">
        <f>IF(VLOOKUP($E118,TaskValues_ref!$E:$Z,20,FALSE)=0,"",VLOOKUP($E118,TaskValues_ref!$E:$Z,20,FALSE))</f>
        <v/>
      </c>
    </row>
    <row r="119" spans="1:19" x14ac:dyDescent="0.45">
      <c r="A119" s="66" t="s">
        <v>2337</v>
      </c>
      <c r="B119" s="66" t="s">
        <v>2378</v>
      </c>
      <c r="C119" s="66" t="s">
        <v>2379</v>
      </c>
      <c r="D119" s="66">
        <v>112</v>
      </c>
      <c r="E119" s="64" t="s">
        <v>2383</v>
      </c>
      <c r="F119" t="str">
        <f>VLOOKUP(E119,TaskValues_ref!E:F,2,FALSE)</f>
        <v>Promote protection from tobacco smoke</v>
      </c>
      <c r="G119" t="str">
        <f>VLOOKUP($E119,TaskValues_ref!$E:$Z,3,FALSE)</f>
        <v>Non-clinical</v>
      </c>
      <c r="H119" t="str">
        <f>VLOOKUP($E119,TaskValues_ref!$E:$Z,4,FALSE)</f>
        <v>Public Health</v>
      </c>
      <c r="I119" t="str">
        <f>VLOOKUP($E119,TaskValues_ref!$E:$Z,5,FALSE)</f>
        <v>-</v>
      </c>
      <c r="J119" s="257" t="str">
        <f>VLOOKUP($E119,TaskValues_ref!$E:$Z,6,FALSE)</f>
        <v>-</v>
      </c>
      <c r="K119" t="str">
        <f>VLOOKUP($E119,TaskValues_ref!$E:$Z,10,FALSE)</f>
        <v>Amhara</v>
      </c>
      <c r="L119" s="195" t="str">
        <f>IF(VLOOKUP($E119,TaskValues_ref!$E:$Z,11,FALSE)=0,"",VLOOKUP($E119,TaskValues_ref!$E:$Z,11,FALSE))</f>
        <v/>
      </c>
      <c r="M119" t="str">
        <f>IF(VLOOKUP($E119,TaskValues_ref!$E:$Z,13,FALSE)=0,"",VLOOKUP($E119,TaskValues_ref!$E:$Z,13,FALSE))</f>
        <v/>
      </c>
      <c r="N119" s="89" t="str">
        <f>IF(VLOOKUP($E119,TaskValues_ref!$E:$Z,15,FALSE)=0,"",VLOOKUP($E119,TaskValues_ref!$E:$Z,15,FALSE))</f>
        <v/>
      </c>
      <c r="O119" t="str">
        <f>IF(VLOOKUP($E119,TaskValues_ref!$E:$Z,16,FALSE)=0,"",VLOOKUP($E119,TaskValues_ref!$E:$Z,16,FALSE))</f>
        <v/>
      </c>
      <c r="P119" t="str">
        <f>IF(VLOOKUP($E119,TaskValues_ref!$E:$Z,17,FALSE)=0,"",VLOOKUP($E119,TaskValues_ref!$E:$Z,17,FALSE))</f>
        <v/>
      </c>
      <c r="Q119" t="str">
        <f>IF(VLOOKUP($E119,TaskValues_ref!$E:$Z,18,FALSE)=0,"",VLOOKUP($E119,TaskValues_ref!$E:$Z,18,FALSE))</f>
        <v/>
      </c>
      <c r="R119" t="str">
        <f>IF(VLOOKUP($E119,TaskValues_ref!$E:$Z,19,FALSE)=0,"",VLOOKUP($E119,TaskValues_ref!$E:$Z,19,FALSE))</f>
        <v/>
      </c>
      <c r="S119" t="str">
        <f>IF(VLOOKUP($E119,TaskValues_ref!$E:$Z,20,FALSE)=0,"",VLOOKUP($E119,TaskValues_ref!$E:$Z,20,FALSE))</f>
        <v/>
      </c>
    </row>
    <row r="120" spans="1:19" x14ac:dyDescent="0.45">
      <c r="A120" s="66" t="s">
        <v>2337</v>
      </c>
      <c r="B120" s="66" t="s">
        <v>2378</v>
      </c>
      <c r="C120" s="66" t="s">
        <v>2379</v>
      </c>
      <c r="D120" s="66">
        <v>113</v>
      </c>
      <c r="E120" s="64" t="s">
        <v>2384</v>
      </c>
      <c r="F120" t="str">
        <f>VLOOKUP(E120,TaskValues_ref!E:F,2,FALSE)</f>
        <v>Campaigns re: alcohol use</v>
      </c>
      <c r="G120" t="str">
        <f>VLOOKUP($E120,TaskValues_ref!$E:$Z,3,FALSE)</f>
        <v>Non-clinical</v>
      </c>
      <c r="H120" t="str">
        <f>VLOOKUP($E120,TaskValues_ref!$E:$Z,4,FALSE)</f>
        <v>Public Health</v>
      </c>
      <c r="I120" t="str">
        <f>VLOOKUP($E120,TaskValues_ref!$E:$Z,5,FALSE)</f>
        <v>-</v>
      </c>
      <c r="J120" s="257" t="str">
        <f>VLOOKUP($E120,TaskValues_ref!$E:$Z,6,FALSE)</f>
        <v>-</v>
      </c>
      <c r="K120" t="str">
        <f>VLOOKUP($E120,TaskValues_ref!$E:$Z,10,FALSE)</f>
        <v>Amhara</v>
      </c>
      <c r="L120" s="195" t="str">
        <f>IF(VLOOKUP($E120,TaskValues_ref!$E:$Z,11,FALSE)=0,"",VLOOKUP($E120,TaskValues_ref!$E:$Z,11,FALSE))</f>
        <v/>
      </c>
      <c r="M120" t="str">
        <f>IF(VLOOKUP($E120,TaskValues_ref!$E:$Z,13,FALSE)=0,"",VLOOKUP($E120,TaskValues_ref!$E:$Z,13,FALSE))</f>
        <v/>
      </c>
      <c r="N120" s="89" t="str">
        <f>IF(VLOOKUP($E120,TaskValues_ref!$E:$Z,15,FALSE)=0,"",VLOOKUP($E120,TaskValues_ref!$E:$Z,15,FALSE))</f>
        <v/>
      </c>
      <c r="O120" t="str">
        <f>IF(VLOOKUP($E120,TaskValues_ref!$E:$Z,16,FALSE)=0,"",VLOOKUP($E120,TaskValues_ref!$E:$Z,16,FALSE))</f>
        <v/>
      </c>
      <c r="P120" t="str">
        <f>IF(VLOOKUP($E120,TaskValues_ref!$E:$Z,17,FALSE)=0,"",VLOOKUP($E120,TaskValues_ref!$E:$Z,17,FALSE))</f>
        <v/>
      </c>
      <c r="Q120" t="str">
        <f>IF(VLOOKUP($E120,TaskValues_ref!$E:$Z,18,FALSE)=0,"",VLOOKUP($E120,TaskValues_ref!$E:$Z,18,FALSE))</f>
        <v/>
      </c>
      <c r="R120" t="str">
        <f>IF(VLOOKUP($E120,TaskValues_ref!$E:$Z,19,FALSE)=0,"",VLOOKUP($E120,TaskValues_ref!$E:$Z,19,FALSE))</f>
        <v/>
      </c>
      <c r="S120" t="str">
        <f>IF(VLOOKUP($E120,TaskValues_ref!$E:$Z,20,FALSE)=0,"",VLOOKUP($E120,TaskValues_ref!$E:$Z,20,FALSE))</f>
        <v/>
      </c>
    </row>
    <row r="121" spans="1:19" x14ac:dyDescent="0.45">
      <c r="A121" s="66" t="s">
        <v>2337</v>
      </c>
      <c r="B121" s="66" t="s">
        <v>2378</v>
      </c>
      <c r="C121" s="66" t="s">
        <v>2379</v>
      </c>
      <c r="D121" s="66">
        <v>114</v>
      </c>
      <c r="E121" s="64" t="s">
        <v>2385</v>
      </c>
      <c r="F121" t="str">
        <f>VLOOKUP(E121,TaskValues_ref!E:F,2,FALSE)</f>
        <v>Community-level physical activity</v>
      </c>
      <c r="G121" t="str">
        <f>VLOOKUP($E121,TaskValues_ref!$E:$Z,3,FALSE)</f>
        <v>Non-clinical</v>
      </c>
      <c r="H121" t="str">
        <f>VLOOKUP($E121,TaskValues_ref!$E:$Z,4,FALSE)</f>
        <v>Public Health</v>
      </c>
      <c r="I121" t="str">
        <f>VLOOKUP($E121,TaskValues_ref!$E:$Z,5,FALSE)</f>
        <v>-</v>
      </c>
      <c r="J121" s="257" t="str">
        <f>VLOOKUP($E121,TaskValues_ref!$E:$Z,6,FALSE)</f>
        <v>-</v>
      </c>
      <c r="K121" t="str">
        <f>VLOOKUP($E121,TaskValues_ref!$E:$Z,10,FALSE)</f>
        <v>Amhara</v>
      </c>
      <c r="L121" s="195" t="str">
        <f>IF(VLOOKUP($E121,TaskValues_ref!$E:$Z,11,FALSE)=0,"",VLOOKUP($E121,TaskValues_ref!$E:$Z,11,FALSE))</f>
        <v/>
      </c>
      <c r="M121" t="str">
        <f>IF(VLOOKUP($E121,TaskValues_ref!$E:$Z,13,FALSE)=0,"",VLOOKUP($E121,TaskValues_ref!$E:$Z,13,FALSE))</f>
        <v/>
      </c>
      <c r="N121" s="89" t="str">
        <f>IF(VLOOKUP($E121,TaskValues_ref!$E:$Z,15,FALSE)=0,"",VLOOKUP($E121,TaskValues_ref!$E:$Z,15,FALSE))</f>
        <v/>
      </c>
      <c r="O121" t="str">
        <f>IF(VLOOKUP($E121,TaskValues_ref!$E:$Z,16,FALSE)=0,"",VLOOKUP($E121,TaskValues_ref!$E:$Z,16,FALSE))</f>
        <v/>
      </c>
      <c r="P121" t="str">
        <f>IF(VLOOKUP($E121,TaskValues_ref!$E:$Z,17,FALSE)=0,"",VLOOKUP($E121,TaskValues_ref!$E:$Z,17,FALSE))</f>
        <v/>
      </c>
      <c r="Q121" t="str">
        <f>IF(VLOOKUP($E121,TaskValues_ref!$E:$Z,18,FALSE)=0,"",VLOOKUP($E121,TaskValues_ref!$E:$Z,18,FALSE))</f>
        <v/>
      </c>
      <c r="R121" t="str">
        <f>IF(VLOOKUP($E121,TaskValues_ref!$E:$Z,19,FALSE)=0,"",VLOOKUP($E121,TaskValues_ref!$E:$Z,19,FALSE))</f>
        <v/>
      </c>
      <c r="S121" t="str">
        <f>IF(VLOOKUP($E121,TaskValues_ref!$E:$Z,20,FALSE)=0,"",VLOOKUP($E121,TaskValues_ref!$E:$Z,20,FALSE))</f>
        <v/>
      </c>
    </row>
    <row r="122" spans="1:19" x14ac:dyDescent="0.45">
      <c r="A122" s="66" t="s">
        <v>2337</v>
      </c>
      <c r="B122" s="66" t="s">
        <v>2378</v>
      </c>
      <c r="C122" s="66" t="s">
        <v>2386</v>
      </c>
      <c r="D122" s="66">
        <v>115</v>
      </c>
      <c r="E122" s="64" t="str">
        <f>_xlfn.CONCAT("DPC.Cncr.",D122)</f>
        <v>DPC.Cncr.115</v>
      </c>
      <c r="F122" t="str">
        <f>VLOOKUP(E122,TaskValues_ref!E:F,2,FALSE)</f>
        <v>Awareness on risk factors</v>
      </c>
      <c r="G122" t="str">
        <f>VLOOKUP($E122,TaskValues_ref!$E:$Z,3,FALSE)</f>
        <v>Non-clinical</v>
      </c>
      <c r="H122" t="str">
        <f>VLOOKUP($E122,TaskValues_ref!$E:$Z,4,FALSE)</f>
        <v>Public Health</v>
      </c>
      <c r="I122" t="str">
        <f>VLOOKUP($E122,TaskValues_ref!$E:$Z,5,FALSE)</f>
        <v>-</v>
      </c>
      <c r="J122" s="257" t="str">
        <f>VLOOKUP($E122,TaskValues_ref!$E:$Z,6,FALSE)</f>
        <v>-</v>
      </c>
      <c r="K122" t="str">
        <f>VLOOKUP($E122,TaskValues_ref!$E:$Z,10,FALSE)</f>
        <v>Amhara</v>
      </c>
      <c r="L122" s="195" t="str">
        <f>IF(VLOOKUP($E122,TaskValues_ref!$E:$Z,11,FALSE)=0,"",VLOOKUP($E122,TaskValues_ref!$E:$Z,11,FALSE))</f>
        <v/>
      </c>
      <c r="M122" t="str">
        <f>IF(VLOOKUP($E122,TaskValues_ref!$E:$Z,13,FALSE)=0,"",VLOOKUP($E122,TaskValues_ref!$E:$Z,13,FALSE))</f>
        <v/>
      </c>
      <c r="N122" s="89" t="str">
        <f>IF(VLOOKUP($E122,TaskValues_ref!$E:$Z,15,FALSE)=0,"",VLOOKUP($E122,TaskValues_ref!$E:$Z,15,FALSE))</f>
        <v/>
      </c>
      <c r="O122" t="str">
        <f>IF(VLOOKUP($E122,TaskValues_ref!$E:$Z,16,FALSE)=0,"",VLOOKUP($E122,TaskValues_ref!$E:$Z,16,FALSE))</f>
        <v/>
      </c>
      <c r="P122" t="str">
        <f>IF(VLOOKUP($E122,TaskValues_ref!$E:$Z,17,FALSE)=0,"",VLOOKUP($E122,TaskValues_ref!$E:$Z,17,FALSE))</f>
        <v/>
      </c>
      <c r="Q122" t="str">
        <f>IF(VLOOKUP($E122,TaskValues_ref!$E:$Z,18,FALSE)=0,"",VLOOKUP($E122,TaskValues_ref!$E:$Z,18,FALSE))</f>
        <v/>
      </c>
      <c r="R122" t="str">
        <f>IF(VLOOKUP($E122,TaskValues_ref!$E:$Z,19,FALSE)=0,"",VLOOKUP($E122,TaskValues_ref!$E:$Z,19,FALSE))</f>
        <v/>
      </c>
      <c r="S122" t="str">
        <f>IF(VLOOKUP($E122,TaskValues_ref!$E:$Z,20,FALSE)=0,"",VLOOKUP($E122,TaskValues_ref!$E:$Z,20,FALSE))</f>
        <v/>
      </c>
    </row>
    <row r="123" spans="1:19" x14ac:dyDescent="0.45">
      <c r="A123" s="66" t="s">
        <v>2337</v>
      </c>
      <c r="B123" s="66" t="s">
        <v>2378</v>
      </c>
      <c r="C123" s="66" t="s">
        <v>2386</v>
      </c>
      <c r="D123" s="66">
        <v>116</v>
      </c>
      <c r="E123" s="64" t="str">
        <f>_xlfn.CONCAT("DPC.Cncr.",D123)</f>
        <v>DPC.Cncr.116</v>
      </c>
      <c r="F123" t="str">
        <f>VLOOKUP(E123,TaskValues_ref!E:F,2,FALSE)</f>
        <v>Screening for common cancers</v>
      </c>
      <c r="G123" t="str">
        <f>VLOOKUP($E123,TaskValues_ref!$E:$Z,3,FALSE)</f>
        <v>Clinical</v>
      </c>
      <c r="H123" t="str">
        <f>VLOOKUP($E123,TaskValues_ref!$E:$Z,4,FALSE)</f>
        <v>Preventive</v>
      </c>
      <c r="I123" t="str">
        <f>VLOOKUP($E123,TaskValues_ref!$E:$Z,5,FALSE)</f>
        <v>NCDs</v>
      </c>
      <c r="J123" s="257" t="str">
        <f>VLOOKUP($E123,TaskValues_ref!$E:$Z,6,FALSE)</f>
        <v>women 30-49</v>
      </c>
      <c r="K123" t="str">
        <f>VLOOKUP($E123,TaskValues_ref!$E:$Z,10,FALSE)</f>
        <v>Amhara</v>
      </c>
      <c r="L123" s="195">
        <f>IF(VLOOKUP($E123,TaskValues_ref!$E:$Z,11,FALSE)=0,"",VLOOKUP($E123,TaskValues_ref!$E:$Z,11,FALSE))</f>
        <v>1</v>
      </c>
      <c r="M123">
        <f>IF(VLOOKUP($E123,TaskValues_ref!$E:$Z,13,FALSE)=0,"",VLOOKUP($E123,TaskValues_ref!$E:$Z,13,FALSE))</f>
        <v>0.2</v>
      </c>
      <c r="N123" s="89">
        <f>IF(VLOOKUP($E123,TaskValues_ref!$E:$Z,15,FALSE)=0,"",VLOOKUP($E123,TaskValues_ref!$E:$Z,15,FALSE))</f>
        <v>1</v>
      </c>
      <c r="O123" t="str">
        <f>IF(VLOOKUP($E123,TaskValues_ref!$E:$Z,16,FALSE)=0,"",VLOOKUP($E123,TaskValues_ref!$E:$Z,16,FALSE))</f>
        <v/>
      </c>
      <c r="P123">
        <f>IF(VLOOKUP($E123,TaskValues_ref!$E:$Z,17,FALSE)=0,"",VLOOKUP($E123,TaskValues_ref!$E:$Z,17,FALSE))</f>
        <v>1</v>
      </c>
      <c r="Q123">
        <f>IF(VLOOKUP($E123,TaskValues_ref!$E:$Z,18,FALSE)=0,"",VLOOKUP($E123,TaskValues_ref!$E:$Z,18,FALSE))</f>
        <v>10</v>
      </c>
      <c r="R123" t="str">
        <f>IF(VLOOKUP($E123,TaskValues_ref!$E:$Z,19,FALSE)=0,"",VLOOKUP($E123,TaskValues_ref!$E:$Z,19,FALSE))</f>
        <v/>
      </c>
      <c r="S123" t="str">
        <f>IF(VLOOKUP($E123,TaskValues_ref!$E:$Z,20,FALSE)=0,"",VLOOKUP($E123,TaskValues_ref!$E:$Z,20,FALSE))</f>
        <v/>
      </c>
    </row>
    <row r="124" spans="1:19" x14ac:dyDescent="0.45">
      <c r="A124" s="66" t="s">
        <v>2337</v>
      </c>
      <c r="B124" s="66" t="s">
        <v>2378</v>
      </c>
      <c r="C124" s="66" t="s">
        <v>2386</v>
      </c>
      <c r="D124" s="66">
        <v>117</v>
      </c>
      <c r="E124" s="64" t="str">
        <f>_xlfn.CONCAT("DPC.Cncr.",D124)</f>
        <v>DPC.Cncr.117</v>
      </c>
      <c r="F124" t="str">
        <f>VLOOKUP(E124,TaskValues_ref!E:F,2,FALSE)</f>
        <v>Breast cancer education</v>
      </c>
      <c r="G124" t="str">
        <f>VLOOKUP($E124,TaskValues_ref!$E:$Z,3,FALSE)</f>
        <v>Clinical</v>
      </c>
      <c r="H124" t="str">
        <f>VLOOKUP($E124,TaskValues_ref!$E:$Z,4,FALSE)</f>
        <v>Public Health</v>
      </c>
      <c r="I124" t="str">
        <f>VLOOKUP($E124,TaskValues_ref!$E:$Z,5,FALSE)</f>
        <v>-</v>
      </c>
      <c r="J124" s="257" t="str">
        <f>VLOOKUP($E124,TaskValues_ref!$E:$Z,6,FALSE)</f>
        <v>-</v>
      </c>
      <c r="K124" t="str">
        <f>VLOOKUP($E124,TaskValues_ref!$E:$Z,10,FALSE)</f>
        <v>Amhara</v>
      </c>
      <c r="L124" s="195" t="str">
        <f>IF(VLOOKUP($E124,TaskValues_ref!$E:$Z,11,FALSE)=0,"",VLOOKUP($E124,TaskValues_ref!$E:$Z,11,FALSE))</f>
        <v/>
      </c>
      <c r="M124" t="str">
        <f>IF(VLOOKUP($E124,TaskValues_ref!$E:$Z,13,FALSE)=0,"",VLOOKUP($E124,TaskValues_ref!$E:$Z,13,FALSE))</f>
        <v/>
      </c>
      <c r="N124" s="89" t="str">
        <f>IF(VLOOKUP($E124,TaskValues_ref!$E:$Z,15,FALSE)=0,"",VLOOKUP($E124,TaskValues_ref!$E:$Z,15,FALSE))</f>
        <v/>
      </c>
      <c r="O124" t="str">
        <f>IF(VLOOKUP($E124,TaskValues_ref!$E:$Z,16,FALSE)=0,"",VLOOKUP($E124,TaskValues_ref!$E:$Z,16,FALSE))</f>
        <v/>
      </c>
      <c r="P124" t="str">
        <f>IF(VLOOKUP($E124,TaskValues_ref!$E:$Z,17,FALSE)=0,"",VLOOKUP($E124,TaskValues_ref!$E:$Z,17,FALSE))</f>
        <v/>
      </c>
      <c r="Q124" t="str">
        <f>IF(VLOOKUP($E124,TaskValues_ref!$E:$Z,18,FALSE)=0,"",VLOOKUP($E124,TaskValues_ref!$E:$Z,18,FALSE))</f>
        <v/>
      </c>
      <c r="R124" t="str">
        <f>IF(VLOOKUP($E124,TaskValues_ref!$E:$Z,19,FALSE)=0,"",VLOOKUP($E124,TaskValues_ref!$E:$Z,19,FALSE))</f>
        <v/>
      </c>
      <c r="S124" t="str">
        <f>IF(VLOOKUP($E124,TaskValues_ref!$E:$Z,20,FALSE)=0,"",VLOOKUP($E124,TaskValues_ref!$E:$Z,20,FALSE))</f>
        <v/>
      </c>
    </row>
    <row r="125" spans="1:19" x14ac:dyDescent="0.45">
      <c r="A125" s="66" t="s">
        <v>2337</v>
      </c>
      <c r="B125" s="66" t="s">
        <v>2378</v>
      </c>
      <c r="C125" s="66" t="s">
        <v>2386</v>
      </c>
      <c r="D125" s="66">
        <v>118</v>
      </c>
      <c r="E125" s="64" t="str">
        <f>_xlfn.CONCAT("DPC.Cncr.",D125)</f>
        <v>DPC.Cncr.118</v>
      </c>
      <c r="F125" t="str">
        <f>VLOOKUP(E125,TaskValues_ref!E:F,2,FALSE)</f>
        <v>Clinical breast exams</v>
      </c>
      <c r="G125" t="str">
        <f>VLOOKUP($E125,TaskValues_ref!$E:$Z,3,FALSE)</f>
        <v>Clinical</v>
      </c>
      <c r="H125" t="str">
        <f>VLOOKUP($E125,TaskValues_ref!$E:$Z,4,FALSE)</f>
        <v>Preventive</v>
      </c>
      <c r="I125" t="str">
        <f>VLOOKUP($E125,TaskValues_ref!$E:$Z,5,FALSE)</f>
        <v>NCDs</v>
      </c>
      <c r="J125" s="257" t="str">
        <f>VLOOKUP($E125,TaskValues_ref!$E:$Z,6,FALSE)</f>
        <v>women 15-49</v>
      </c>
      <c r="K125" t="str">
        <f>VLOOKUP($E125,TaskValues_ref!$E:$Z,10,FALSE)</f>
        <v>Amhara</v>
      </c>
      <c r="L125" s="195">
        <f>IF(VLOOKUP($E125,TaskValues_ref!$E:$Z,11,FALSE)=0,"",VLOOKUP($E125,TaskValues_ref!$E:$Z,11,FALSE))</f>
        <v>1</v>
      </c>
      <c r="M125">
        <f>IF(VLOOKUP($E125,TaskValues_ref!$E:$Z,13,FALSE)=0,"",VLOOKUP($E125,TaskValues_ref!$E:$Z,13,FALSE))</f>
        <v>0.5</v>
      </c>
      <c r="N125" s="89">
        <f>IF(VLOOKUP($E125,TaskValues_ref!$E:$Z,15,FALSE)=0,"",VLOOKUP($E125,TaskValues_ref!$E:$Z,15,FALSE))</f>
        <v>1</v>
      </c>
      <c r="O125" t="str">
        <f>IF(VLOOKUP($E125,TaskValues_ref!$E:$Z,16,FALSE)=0,"",VLOOKUP($E125,TaskValues_ref!$E:$Z,16,FALSE))</f>
        <v/>
      </c>
      <c r="P125">
        <f>IF(VLOOKUP($E125,TaskValues_ref!$E:$Z,17,FALSE)=0,"",VLOOKUP($E125,TaskValues_ref!$E:$Z,17,FALSE))</f>
        <v>1</v>
      </c>
      <c r="Q125">
        <f>IF(VLOOKUP($E125,TaskValues_ref!$E:$Z,18,FALSE)=0,"",VLOOKUP($E125,TaskValues_ref!$E:$Z,18,FALSE))</f>
        <v>5</v>
      </c>
      <c r="R125" t="str">
        <f>IF(VLOOKUP($E125,TaskValues_ref!$E:$Z,19,FALSE)=0,"",VLOOKUP($E125,TaskValues_ref!$E:$Z,19,FALSE))</f>
        <v/>
      </c>
      <c r="S125" t="str">
        <f>IF(VLOOKUP($E125,TaskValues_ref!$E:$Z,20,FALSE)=0,"",VLOOKUP($E125,TaskValues_ref!$E:$Z,20,FALSE))</f>
        <v/>
      </c>
    </row>
    <row r="126" spans="1:19" x14ac:dyDescent="0.45">
      <c r="A126" s="66" t="s">
        <v>2337</v>
      </c>
      <c r="B126" s="66" t="s">
        <v>2378</v>
      </c>
      <c r="C126" s="66" t="s">
        <v>2386</v>
      </c>
      <c r="D126" s="66">
        <v>119</v>
      </c>
      <c r="E126" s="64" t="s">
        <v>3368</v>
      </c>
      <c r="F126" t="str">
        <f>VLOOKUP(E126,TaskValues_ref!E:F,2,FALSE)</f>
        <v>Palliative care for cancer, men 20-29</v>
      </c>
      <c r="G126" t="str">
        <f>VLOOKUP($E126,TaskValues_ref!$E:$Z,3,FALSE)</f>
        <v>Clinical</v>
      </c>
      <c r="H126" t="str">
        <f>VLOOKUP($E126,TaskValues_ref!$E:$Z,4,FALSE)</f>
        <v>Acute</v>
      </c>
      <c r="I126" t="str">
        <f>VLOOKUP($E126,TaskValues_ref!$E:$Z,5,FALSE)</f>
        <v>NCDs</v>
      </c>
      <c r="J126" s="257" t="str">
        <f>VLOOKUP($E126,TaskValues_ref!$E:$Z,6,FALSE)</f>
        <v>men 20-29</v>
      </c>
      <c r="K126" t="str">
        <f>VLOOKUP($E126,TaskValues_ref!$E:$Z,10,FALSE)</f>
        <v>Amhara</v>
      </c>
      <c r="L126" s="195">
        <f>IF(VLOOKUP($E126,TaskValues_ref!$E:$Z,11,FALSE)=0,"",VLOOKUP($E126,TaskValues_ref!$E:$Z,11,FALSE))</f>
        <v>1.0900000000000001E-4</v>
      </c>
      <c r="M126">
        <f>IF(VLOOKUP($E126,TaskValues_ref!$E:$Z,13,FALSE)=0,"",VLOOKUP($E126,TaskValues_ref!$E:$Z,13,FALSE))</f>
        <v>0.5</v>
      </c>
      <c r="N126" s="89">
        <f>IF(VLOOKUP($E126,TaskValues_ref!$E:$Z,15,FALSE)=0,"",VLOOKUP($E126,TaskValues_ref!$E:$Z,15,FALSE))</f>
        <v>1</v>
      </c>
      <c r="O126">
        <f>IF(VLOOKUP($E126,TaskValues_ref!$E:$Z,16,FALSE)=0,"",VLOOKUP($E126,TaskValues_ref!$E:$Z,16,FALSE))</f>
        <v>12</v>
      </c>
      <c r="P126" t="str">
        <f>IF(VLOOKUP($E126,TaskValues_ref!$E:$Z,17,FALSE)=0,"",VLOOKUP($E126,TaskValues_ref!$E:$Z,17,FALSE))</f>
        <v/>
      </c>
      <c r="Q126">
        <f>IF(VLOOKUP($E126,TaskValues_ref!$E:$Z,18,FALSE)=0,"",VLOOKUP($E126,TaskValues_ref!$E:$Z,18,FALSE))</f>
        <v>15</v>
      </c>
      <c r="R126" t="str">
        <f>IF(VLOOKUP($E126,TaskValues_ref!$E:$Z,19,FALSE)=0,"",VLOOKUP($E126,TaskValues_ref!$E:$Z,19,FALSE))</f>
        <v/>
      </c>
      <c r="S126" t="str">
        <f>IF(VLOOKUP($E126,TaskValues_ref!$E:$Z,20,FALSE)=0,"",VLOOKUP($E126,TaskValues_ref!$E:$Z,20,FALSE))</f>
        <v/>
      </c>
    </row>
    <row r="127" spans="1:19" x14ac:dyDescent="0.45">
      <c r="A127" s="66" t="s">
        <v>2337</v>
      </c>
      <c r="B127" s="66" t="s">
        <v>2378</v>
      </c>
      <c r="C127" s="66" t="s">
        <v>2386</v>
      </c>
      <c r="D127" s="66">
        <v>119</v>
      </c>
      <c r="E127" s="64" t="s">
        <v>3369</v>
      </c>
      <c r="F127" t="str">
        <f>VLOOKUP(E127,TaskValues_ref!E:F,2,FALSE)</f>
        <v>Palliative care for cancer, men 30-39</v>
      </c>
      <c r="G127" t="str">
        <f>VLOOKUP($E127,TaskValues_ref!$E:$Z,3,FALSE)</f>
        <v>Clinical</v>
      </c>
      <c r="H127" t="str">
        <f>VLOOKUP($E127,TaskValues_ref!$E:$Z,4,FALSE)</f>
        <v>Acute</v>
      </c>
      <c r="I127" t="str">
        <f>VLOOKUP($E127,TaskValues_ref!$E:$Z,5,FALSE)</f>
        <v>NCDs</v>
      </c>
      <c r="J127" s="257" t="str">
        <f>VLOOKUP($E127,TaskValues_ref!$E:$Z,6,FALSE)</f>
        <v>men 30-39</v>
      </c>
      <c r="K127" t="str">
        <f>VLOOKUP($E127,TaskValues_ref!$E:$Z,10,FALSE)</f>
        <v>Amhara</v>
      </c>
      <c r="L127" s="195">
        <f>IF(VLOOKUP($E127,TaskValues_ref!$E:$Z,11,FALSE)=0,"",VLOOKUP($E127,TaskValues_ref!$E:$Z,11,FALSE))</f>
        <v>1.8100000000000001E-4</v>
      </c>
      <c r="M127">
        <f>IF(VLOOKUP($E127,TaskValues_ref!$E:$Z,13,FALSE)=0,"",VLOOKUP($E127,TaskValues_ref!$E:$Z,13,FALSE))</f>
        <v>0.5</v>
      </c>
      <c r="N127" s="89">
        <f>IF(VLOOKUP($E127,TaskValues_ref!$E:$Z,15,FALSE)=0,"",VLOOKUP($E127,TaskValues_ref!$E:$Z,15,FALSE))</f>
        <v>1</v>
      </c>
      <c r="O127">
        <f>IF(VLOOKUP($E127,TaskValues_ref!$E:$Z,16,FALSE)=0,"",VLOOKUP($E127,TaskValues_ref!$E:$Z,16,FALSE))</f>
        <v>12</v>
      </c>
      <c r="P127" t="str">
        <f>IF(VLOOKUP($E127,TaskValues_ref!$E:$Z,17,FALSE)=0,"",VLOOKUP($E127,TaskValues_ref!$E:$Z,17,FALSE))</f>
        <v/>
      </c>
      <c r="Q127">
        <f>IF(VLOOKUP($E127,TaskValues_ref!$E:$Z,18,FALSE)=0,"",VLOOKUP($E127,TaskValues_ref!$E:$Z,18,FALSE))</f>
        <v>15</v>
      </c>
      <c r="R127" t="str">
        <f>IF(VLOOKUP($E127,TaskValues_ref!$E:$Z,19,FALSE)=0,"",VLOOKUP($E127,TaskValues_ref!$E:$Z,19,FALSE))</f>
        <v/>
      </c>
      <c r="S127" t="str">
        <f>IF(VLOOKUP($E127,TaskValues_ref!$E:$Z,20,FALSE)=0,"",VLOOKUP($E127,TaskValues_ref!$E:$Z,20,FALSE))</f>
        <v/>
      </c>
    </row>
    <row r="128" spans="1:19" x14ac:dyDescent="0.45">
      <c r="A128" s="66" t="s">
        <v>2337</v>
      </c>
      <c r="B128" s="66" t="s">
        <v>2378</v>
      </c>
      <c r="C128" s="66" t="s">
        <v>2386</v>
      </c>
      <c r="D128" s="66">
        <v>119</v>
      </c>
      <c r="E128" s="64" t="s">
        <v>3370</v>
      </c>
      <c r="F128" t="str">
        <f>VLOOKUP(E128,TaskValues_ref!E:F,2,FALSE)</f>
        <v>Palliative care for cancer, men 40-49</v>
      </c>
      <c r="G128" t="str">
        <f>VLOOKUP($E128,TaskValues_ref!$E:$Z,3,FALSE)</f>
        <v>Clinical</v>
      </c>
      <c r="H128" t="str">
        <f>VLOOKUP($E128,TaskValues_ref!$E:$Z,4,FALSE)</f>
        <v>Acute</v>
      </c>
      <c r="I128" t="str">
        <f>VLOOKUP($E128,TaskValues_ref!$E:$Z,5,FALSE)</f>
        <v>NCDs</v>
      </c>
      <c r="J128" s="257" t="str">
        <f>VLOOKUP($E128,TaskValues_ref!$E:$Z,6,FALSE)</f>
        <v>men 40-49</v>
      </c>
      <c r="K128" t="str">
        <f>VLOOKUP($E128,TaskValues_ref!$E:$Z,10,FALSE)</f>
        <v>Amhara</v>
      </c>
      <c r="L128" s="195">
        <f>IF(VLOOKUP($E128,TaskValues_ref!$E:$Z,11,FALSE)=0,"",VLOOKUP($E128,TaskValues_ref!$E:$Z,11,FALSE))</f>
        <v>4.2700000000000002E-4</v>
      </c>
      <c r="M128">
        <f>IF(VLOOKUP($E128,TaskValues_ref!$E:$Z,13,FALSE)=0,"",VLOOKUP($E128,TaskValues_ref!$E:$Z,13,FALSE))</f>
        <v>0.5</v>
      </c>
      <c r="N128" s="89">
        <f>IF(VLOOKUP($E128,TaskValues_ref!$E:$Z,15,FALSE)=0,"",VLOOKUP($E128,TaskValues_ref!$E:$Z,15,FALSE))</f>
        <v>1</v>
      </c>
      <c r="O128">
        <f>IF(VLOOKUP($E128,TaskValues_ref!$E:$Z,16,FALSE)=0,"",VLOOKUP($E128,TaskValues_ref!$E:$Z,16,FALSE))</f>
        <v>12</v>
      </c>
      <c r="P128" t="str">
        <f>IF(VLOOKUP($E128,TaskValues_ref!$E:$Z,17,FALSE)=0,"",VLOOKUP($E128,TaskValues_ref!$E:$Z,17,FALSE))</f>
        <v/>
      </c>
      <c r="Q128">
        <f>IF(VLOOKUP($E128,TaskValues_ref!$E:$Z,18,FALSE)=0,"",VLOOKUP($E128,TaskValues_ref!$E:$Z,18,FALSE))</f>
        <v>15</v>
      </c>
      <c r="R128" t="str">
        <f>IF(VLOOKUP($E128,TaskValues_ref!$E:$Z,19,FALSE)=0,"",VLOOKUP($E128,TaskValues_ref!$E:$Z,19,FALSE))</f>
        <v/>
      </c>
      <c r="S128" t="str">
        <f>IF(VLOOKUP($E128,TaskValues_ref!$E:$Z,20,FALSE)=0,"",VLOOKUP($E128,TaskValues_ref!$E:$Z,20,FALSE))</f>
        <v/>
      </c>
    </row>
    <row r="129" spans="1:19" x14ac:dyDescent="0.45">
      <c r="A129" s="66" t="s">
        <v>2337</v>
      </c>
      <c r="B129" s="66" t="s">
        <v>2378</v>
      </c>
      <c r="C129" s="66" t="s">
        <v>2386</v>
      </c>
      <c r="D129" s="66">
        <v>119</v>
      </c>
      <c r="E129" s="64" t="s">
        <v>3371</v>
      </c>
      <c r="F129" t="str">
        <f>VLOOKUP(E129,TaskValues_ref!E:F,2,FALSE)</f>
        <v>Palliative care for cancer, men 50-59</v>
      </c>
      <c r="G129" t="str">
        <f>VLOOKUP($E129,TaskValues_ref!$E:$Z,3,FALSE)</f>
        <v>Clinical</v>
      </c>
      <c r="H129" t="str">
        <f>VLOOKUP($E129,TaskValues_ref!$E:$Z,4,FALSE)</f>
        <v>Acute</v>
      </c>
      <c r="I129" t="str">
        <f>VLOOKUP($E129,TaskValues_ref!$E:$Z,5,FALSE)</f>
        <v>NCDs</v>
      </c>
      <c r="J129" s="257" t="str">
        <f>VLOOKUP($E129,TaskValues_ref!$E:$Z,6,FALSE)</f>
        <v>men 50-59</v>
      </c>
      <c r="K129" t="str">
        <f>VLOOKUP($E129,TaskValues_ref!$E:$Z,10,FALSE)</f>
        <v>Amhara</v>
      </c>
      <c r="L129" s="195">
        <f>IF(VLOOKUP($E129,TaskValues_ref!$E:$Z,11,FALSE)=0,"",VLOOKUP($E129,TaskValues_ref!$E:$Z,11,FALSE))</f>
        <v>1.1199999999999999E-3</v>
      </c>
      <c r="M129">
        <f>IF(VLOOKUP($E129,TaskValues_ref!$E:$Z,13,FALSE)=0,"",VLOOKUP($E129,TaskValues_ref!$E:$Z,13,FALSE))</f>
        <v>0.5</v>
      </c>
      <c r="N129" s="89">
        <f>IF(VLOOKUP($E129,TaskValues_ref!$E:$Z,15,FALSE)=0,"",VLOOKUP($E129,TaskValues_ref!$E:$Z,15,FALSE))</f>
        <v>1</v>
      </c>
      <c r="O129">
        <f>IF(VLOOKUP($E129,TaskValues_ref!$E:$Z,16,FALSE)=0,"",VLOOKUP($E129,TaskValues_ref!$E:$Z,16,FALSE))</f>
        <v>12</v>
      </c>
      <c r="P129" t="str">
        <f>IF(VLOOKUP($E129,TaskValues_ref!$E:$Z,17,FALSE)=0,"",VLOOKUP($E129,TaskValues_ref!$E:$Z,17,FALSE))</f>
        <v/>
      </c>
      <c r="Q129">
        <f>IF(VLOOKUP($E129,TaskValues_ref!$E:$Z,18,FALSE)=0,"",VLOOKUP($E129,TaskValues_ref!$E:$Z,18,FALSE))</f>
        <v>15</v>
      </c>
      <c r="R129" t="str">
        <f>IF(VLOOKUP($E129,TaskValues_ref!$E:$Z,19,FALSE)=0,"",VLOOKUP($E129,TaskValues_ref!$E:$Z,19,FALSE))</f>
        <v/>
      </c>
      <c r="S129" t="str">
        <f>IF(VLOOKUP($E129,TaskValues_ref!$E:$Z,20,FALSE)=0,"",VLOOKUP($E129,TaskValues_ref!$E:$Z,20,FALSE))</f>
        <v/>
      </c>
    </row>
    <row r="130" spans="1:19" x14ac:dyDescent="0.45">
      <c r="A130" s="66" t="s">
        <v>2337</v>
      </c>
      <c r="B130" s="66" t="s">
        <v>2378</v>
      </c>
      <c r="C130" s="66" t="s">
        <v>2386</v>
      </c>
      <c r="D130" s="66">
        <v>119</v>
      </c>
      <c r="E130" s="64" t="s">
        <v>3372</v>
      </c>
      <c r="F130" t="str">
        <f>VLOOKUP(E130,TaskValues_ref!E:F,2,FALSE)</f>
        <v>Palliative care for cancer, men 60-69</v>
      </c>
      <c r="G130" t="str">
        <f>VLOOKUP($E130,TaskValues_ref!$E:$Z,3,FALSE)</f>
        <v>Clinical</v>
      </c>
      <c r="H130" t="str">
        <f>VLOOKUP($E130,TaskValues_ref!$E:$Z,4,FALSE)</f>
        <v>Acute</v>
      </c>
      <c r="I130" t="str">
        <f>VLOOKUP($E130,TaskValues_ref!$E:$Z,5,FALSE)</f>
        <v>NCDs</v>
      </c>
      <c r="J130" s="257" t="str">
        <f>VLOOKUP($E130,TaskValues_ref!$E:$Z,6,FALSE)</f>
        <v>men 60-69</v>
      </c>
      <c r="K130" t="str">
        <f>VLOOKUP($E130,TaskValues_ref!$E:$Z,10,FALSE)</f>
        <v>Amhara</v>
      </c>
      <c r="L130" s="195">
        <f>IF(VLOOKUP($E130,TaskValues_ref!$E:$Z,11,FALSE)=0,"",VLOOKUP($E130,TaskValues_ref!$E:$Z,11,FALSE))</f>
        <v>2.47E-3</v>
      </c>
      <c r="M130">
        <f>IF(VLOOKUP($E130,TaskValues_ref!$E:$Z,13,FALSE)=0,"",VLOOKUP($E130,TaskValues_ref!$E:$Z,13,FALSE))</f>
        <v>0.5</v>
      </c>
      <c r="N130" s="89">
        <f>IF(VLOOKUP($E130,TaskValues_ref!$E:$Z,15,FALSE)=0,"",VLOOKUP($E130,TaskValues_ref!$E:$Z,15,FALSE))</f>
        <v>1</v>
      </c>
      <c r="O130">
        <f>IF(VLOOKUP($E130,TaskValues_ref!$E:$Z,16,FALSE)=0,"",VLOOKUP($E130,TaskValues_ref!$E:$Z,16,FALSE))</f>
        <v>12</v>
      </c>
      <c r="P130" t="str">
        <f>IF(VLOOKUP($E130,TaskValues_ref!$E:$Z,17,FALSE)=0,"",VLOOKUP($E130,TaskValues_ref!$E:$Z,17,FALSE))</f>
        <v/>
      </c>
      <c r="Q130">
        <f>IF(VLOOKUP($E130,TaskValues_ref!$E:$Z,18,FALSE)=0,"",VLOOKUP($E130,TaskValues_ref!$E:$Z,18,FALSE))</f>
        <v>15</v>
      </c>
      <c r="R130" t="str">
        <f>IF(VLOOKUP($E130,TaskValues_ref!$E:$Z,19,FALSE)=0,"",VLOOKUP($E130,TaskValues_ref!$E:$Z,19,FALSE))</f>
        <v/>
      </c>
      <c r="S130" t="str">
        <f>IF(VLOOKUP($E130,TaskValues_ref!$E:$Z,20,FALSE)=0,"",VLOOKUP($E130,TaskValues_ref!$E:$Z,20,FALSE))</f>
        <v/>
      </c>
    </row>
    <row r="131" spans="1:19" x14ac:dyDescent="0.45">
      <c r="A131" s="66" t="s">
        <v>2337</v>
      </c>
      <c r="B131" s="66" t="s">
        <v>2378</v>
      </c>
      <c r="C131" s="66" t="s">
        <v>2386</v>
      </c>
      <c r="D131" s="66">
        <v>119</v>
      </c>
      <c r="E131" s="64" t="s">
        <v>3373</v>
      </c>
      <c r="F131" t="str">
        <f>VLOOKUP(E131,TaskValues_ref!E:F,2,FALSE)</f>
        <v>Palliative care for cancer, women 20-29</v>
      </c>
      <c r="G131" t="str">
        <f>VLOOKUP($E131,TaskValues_ref!$E:$Z,3,FALSE)</f>
        <v>Clinical</v>
      </c>
      <c r="H131" t="str">
        <f>VLOOKUP($E131,TaskValues_ref!$E:$Z,4,FALSE)</f>
        <v>Acute</v>
      </c>
      <c r="I131" t="str">
        <f>VLOOKUP($E131,TaskValues_ref!$E:$Z,5,FALSE)</f>
        <v>NCDs</v>
      </c>
      <c r="J131" s="257" t="str">
        <f>VLOOKUP($E131,TaskValues_ref!$E:$Z,6,FALSE)</f>
        <v>women 20-29</v>
      </c>
      <c r="K131" t="str">
        <f>VLOOKUP($E131,TaskValues_ref!$E:$Z,10,FALSE)</f>
        <v>Amhara</v>
      </c>
      <c r="L131" s="195">
        <f>IF(VLOOKUP($E131,TaskValues_ref!$E:$Z,11,FALSE)=0,"",VLOOKUP($E131,TaskValues_ref!$E:$Z,11,FALSE))</f>
        <v>1.7000000000000001E-4</v>
      </c>
      <c r="M131">
        <f>IF(VLOOKUP($E131,TaskValues_ref!$E:$Z,13,FALSE)=0,"",VLOOKUP($E131,TaskValues_ref!$E:$Z,13,FALSE))</f>
        <v>0.5</v>
      </c>
      <c r="N131" s="89">
        <f>IF(VLOOKUP($E131,TaskValues_ref!$E:$Z,15,FALSE)=0,"",VLOOKUP($E131,TaskValues_ref!$E:$Z,15,FALSE))</f>
        <v>1</v>
      </c>
      <c r="O131">
        <f>IF(VLOOKUP($E131,TaskValues_ref!$E:$Z,16,FALSE)=0,"",VLOOKUP($E131,TaskValues_ref!$E:$Z,16,FALSE))</f>
        <v>12</v>
      </c>
      <c r="P131" t="str">
        <f>IF(VLOOKUP($E131,TaskValues_ref!$E:$Z,17,FALSE)=0,"",VLOOKUP($E131,TaskValues_ref!$E:$Z,17,FALSE))</f>
        <v/>
      </c>
      <c r="Q131">
        <f>IF(VLOOKUP($E131,TaskValues_ref!$E:$Z,18,FALSE)=0,"",VLOOKUP($E131,TaskValues_ref!$E:$Z,18,FALSE))</f>
        <v>15</v>
      </c>
      <c r="R131" t="str">
        <f>IF(VLOOKUP($E131,TaskValues_ref!$E:$Z,19,FALSE)=0,"",VLOOKUP($E131,TaskValues_ref!$E:$Z,19,FALSE))</f>
        <v/>
      </c>
      <c r="S131" t="str">
        <f>IF(VLOOKUP($E131,TaskValues_ref!$E:$Z,20,FALSE)=0,"",VLOOKUP($E131,TaskValues_ref!$E:$Z,20,FALSE))</f>
        <v/>
      </c>
    </row>
    <row r="132" spans="1:19" x14ac:dyDescent="0.45">
      <c r="A132" s="66" t="s">
        <v>2337</v>
      </c>
      <c r="B132" s="66" t="s">
        <v>2378</v>
      </c>
      <c r="C132" s="66" t="s">
        <v>2386</v>
      </c>
      <c r="D132" s="66">
        <v>119</v>
      </c>
      <c r="E132" s="64" t="s">
        <v>3374</v>
      </c>
      <c r="F132" t="str">
        <f>VLOOKUP(E132,TaskValues_ref!E:F,2,FALSE)</f>
        <v>Palliative care for cancer, women 30-39</v>
      </c>
      <c r="G132" t="str">
        <f>VLOOKUP($E132,TaskValues_ref!$E:$Z,3,FALSE)</f>
        <v>Clinical</v>
      </c>
      <c r="H132" t="str">
        <f>VLOOKUP($E132,TaskValues_ref!$E:$Z,4,FALSE)</f>
        <v>Acute</v>
      </c>
      <c r="I132" t="str">
        <f>VLOOKUP($E132,TaskValues_ref!$E:$Z,5,FALSE)</f>
        <v>NCDs</v>
      </c>
      <c r="J132" s="257" t="str">
        <f>VLOOKUP($E132,TaskValues_ref!$E:$Z,6,FALSE)</f>
        <v>women 30-39</v>
      </c>
      <c r="K132" t="str">
        <f>VLOOKUP($E132,TaskValues_ref!$E:$Z,10,FALSE)</f>
        <v>Amhara</v>
      </c>
      <c r="L132" s="195">
        <f>IF(VLOOKUP($E132,TaskValues_ref!$E:$Z,11,FALSE)=0,"",VLOOKUP($E132,TaskValues_ref!$E:$Z,11,FALSE))</f>
        <v>5.0600000000000005E-4</v>
      </c>
      <c r="M132">
        <f>IF(VLOOKUP($E132,TaskValues_ref!$E:$Z,13,FALSE)=0,"",VLOOKUP($E132,TaskValues_ref!$E:$Z,13,FALSE))</f>
        <v>0.5</v>
      </c>
      <c r="N132" s="89">
        <f>IF(VLOOKUP($E132,TaskValues_ref!$E:$Z,15,FALSE)=0,"",VLOOKUP($E132,TaskValues_ref!$E:$Z,15,FALSE))</f>
        <v>1</v>
      </c>
      <c r="O132">
        <f>IF(VLOOKUP($E132,TaskValues_ref!$E:$Z,16,FALSE)=0,"",VLOOKUP($E132,TaskValues_ref!$E:$Z,16,FALSE))</f>
        <v>12</v>
      </c>
      <c r="P132" t="str">
        <f>IF(VLOOKUP($E132,TaskValues_ref!$E:$Z,17,FALSE)=0,"",VLOOKUP($E132,TaskValues_ref!$E:$Z,17,FALSE))</f>
        <v/>
      </c>
      <c r="Q132">
        <f>IF(VLOOKUP($E132,TaskValues_ref!$E:$Z,18,FALSE)=0,"",VLOOKUP($E132,TaskValues_ref!$E:$Z,18,FALSE))</f>
        <v>15</v>
      </c>
      <c r="R132" t="str">
        <f>IF(VLOOKUP($E132,TaskValues_ref!$E:$Z,19,FALSE)=0,"",VLOOKUP($E132,TaskValues_ref!$E:$Z,19,FALSE))</f>
        <v/>
      </c>
      <c r="S132" t="str">
        <f>IF(VLOOKUP($E132,TaskValues_ref!$E:$Z,20,FALSE)=0,"",VLOOKUP($E132,TaskValues_ref!$E:$Z,20,FALSE))</f>
        <v/>
      </c>
    </row>
    <row r="133" spans="1:19" x14ac:dyDescent="0.45">
      <c r="A133" s="66" t="s">
        <v>2337</v>
      </c>
      <c r="B133" s="66" t="s">
        <v>2378</v>
      </c>
      <c r="C133" s="66" t="s">
        <v>2386</v>
      </c>
      <c r="D133" s="66">
        <v>119</v>
      </c>
      <c r="E133" s="64" t="s">
        <v>3375</v>
      </c>
      <c r="F133" t="str">
        <f>VLOOKUP(E133,TaskValues_ref!E:F,2,FALSE)</f>
        <v>Palliative care for cancer, women 40-49</v>
      </c>
      <c r="G133" t="str">
        <f>VLOOKUP($E133,TaskValues_ref!$E:$Z,3,FALSE)</f>
        <v>Clinical</v>
      </c>
      <c r="H133" t="str">
        <f>VLOOKUP($E133,TaskValues_ref!$E:$Z,4,FALSE)</f>
        <v>Acute</v>
      </c>
      <c r="I133" t="str">
        <f>VLOOKUP($E133,TaskValues_ref!$E:$Z,5,FALSE)</f>
        <v>NCDs</v>
      </c>
      <c r="J133" s="257" t="str">
        <f>VLOOKUP($E133,TaskValues_ref!$E:$Z,6,FALSE)</f>
        <v>women 40-49</v>
      </c>
      <c r="K133" t="str">
        <f>VLOOKUP($E133,TaskValues_ref!$E:$Z,10,FALSE)</f>
        <v>Amhara</v>
      </c>
      <c r="L133" s="195">
        <f>IF(VLOOKUP($E133,TaskValues_ref!$E:$Z,11,FALSE)=0,"",VLOOKUP($E133,TaskValues_ref!$E:$Z,11,FALSE))</f>
        <v>1.286E-3</v>
      </c>
      <c r="M133">
        <f>IF(VLOOKUP($E133,TaskValues_ref!$E:$Z,13,FALSE)=0,"",VLOOKUP($E133,TaskValues_ref!$E:$Z,13,FALSE))</f>
        <v>0.5</v>
      </c>
      <c r="N133" s="89">
        <f>IF(VLOOKUP($E133,TaskValues_ref!$E:$Z,15,FALSE)=0,"",VLOOKUP($E133,TaskValues_ref!$E:$Z,15,FALSE))</f>
        <v>1</v>
      </c>
      <c r="O133">
        <f>IF(VLOOKUP($E133,TaskValues_ref!$E:$Z,16,FALSE)=0,"",VLOOKUP($E133,TaskValues_ref!$E:$Z,16,FALSE))</f>
        <v>12</v>
      </c>
      <c r="P133" t="str">
        <f>IF(VLOOKUP($E133,TaskValues_ref!$E:$Z,17,FALSE)=0,"",VLOOKUP($E133,TaskValues_ref!$E:$Z,17,FALSE))</f>
        <v/>
      </c>
      <c r="Q133">
        <f>IF(VLOOKUP($E133,TaskValues_ref!$E:$Z,18,FALSE)=0,"",VLOOKUP($E133,TaskValues_ref!$E:$Z,18,FALSE))</f>
        <v>15</v>
      </c>
      <c r="R133" t="str">
        <f>IF(VLOOKUP($E133,TaskValues_ref!$E:$Z,19,FALSE)=0,"",VLOOKUP($E133,TaskValues_ref!$E:$Z,19,FALSE))</f>
        <v/>
      </c>
      <c r="S133" t="str">
        <f>IF(VLOOKUP($E133,TaskValues_ref!$E:$Z,20,FALSE)=0,"",VLOOKUP($E133,TaskValues_ref!$E:$Z,20,FALSE))</f>
        <v/>
      </c>
    </row>
    <row r="134" spans="1:19" x14ac:dyDescent="0.45">
      <c r="A134" s="66" t="s">
        <v>2337</v>
      </c>
      <c r="B134" s="66" t="s">
        <v>2378</v>
      </c>
      <c r="C134" s="66" t="s">
        <v>2386</v>
      </c>
      <c r="D134" s="66">
        <v>119</v>
      </c>
      <c r="E134" s="64" t="s">
        <v>3384</v>
      </c>
      <c r="F134" t="str">
        <f>VLOOKUP(E134,TaskValues_ref!E:F,2,FALSE)</f>
        <v>Palliative care for cancer, women 50-59</v>
      </c>
      <c r="G134" t="str">
        <f>VLOOKUP($E134,TaskValues_ref!$E:$Z,3,FALSE)</f>
        <v>Clinical</v>
      </c>
      <c r="H134" t="str">
        <f>VLOOKUP($E134,TaskValues_ref!$E:$Z,4,FALSE)</f>
        <v>Acute</v>
      </c>
      <c r="I134" t="str">
        <f>VLOOKUP($E134,TaskValues_ref!$E:$Z,5,FALSE)</f>
        <v>NCDs</v>
      </c>
      <c r="J134" s="257" t="str">
        <f>VLOOKUP($E134,TaskValues_ref!$E:$Z,6,FALSE)</f>
        <v>women 50-59</v>
      </c>
      <c r="K134" t="str">
        <f>VLOOKUP($E134,TaskValues_ref!$E:$Z,10,FALSE)</f>
        <v>Amhara</v>
      </c>
      <c r="L134" s="195">
        <f>IF(VLOOKUP($E134,TaskValues_ref!$E:$Z,11,FALSE)=0,"",VLOOKUP($E134,TaskValues_ref!$E:$Z,11,FALSE))</f>
        <v>2.5500000000000002E-3</v>
      </c>
      <c r="M134">
        <f>IF(VLOOKUP($E134,TaskValues_ref!$E:$Z,13,FALSE)=0,"",VLOOKUP($E134,TaskValues_ref!$E:$Z,13,FALSE))</f>
        <v>0.5</v>
      </c>
      <c r="N134" s="89">
        <f>IF(VLOOKUP($E134,TaskValues_ref!$E:$Z,15,FALSE)=0,"",VLOOKUP($E134,TaskValues_ref!$E:$Z,15,FALSE))</f>
        <v>1</v>
      </c>
      <c r="O134">
        <f>IF(VLOOKUP($E134,TaskValues_ref!$E:$Z,16,FALSE)=0,"",VLOOKUP($E134,TaskValues_ref!$E:$Z,16,FALSE))</f>
        <v>12</v>
      </c>
      <c r="P134" t="str">
        <f>IF(VLOOKUP($E134,TaskValues_ref!$E:$Z,17,FALSE)=0,"",VLOOKUP($E134,TaskValues_ref!$E:$Z,17,FALSE))</f>
        <v/>
      </c>
      <c r="Q134">
        <f>IF(VLOOKUP($E134,TaskValues_ref!$E:$Z,18,FALSE)=0,"",VLOOKUP($E134,TaskValues_ref!$E:$Z,18,FALSE))</f>
        <v>15</v>
      </c>
      <c r="R134" t="str">
        <f>IF(VLOOKUP($E134,TaskValues_ref!$E:$Z,19,FALSE)=0,"",VLOOKUP($E134,TaskValues_ref!$E:$Z,19,FALSE))</f>
        <v/>
      </c>
      <c r="S134" t="str">
        <f>IF(VLOOKUP($E134,TaskValues_ref!$E:$Z,20,FALSE)=0,"",VLOOKUP($E134,TaskValues_ref!$E:$Z,20,FALSE))</f>
        <v/>
      </c>
    </row>
    <row r="135" spans="1:19" x14ac:dyDescent="0.45">
      <c r="A135" s="66" t="s">
        <v>2337</v>
      </c>
      <c r="B135" s="66" t="s">
        <v>2378</v>
      </c>
      <c r="C135" s="66" t="s">
        <v>2386</v>
      </c>
      <c r="D135" s="66">
        <v>119</v>
      </c>
      <c r="E135" s="64" t="s">
        <v>3385</v>
      </c>
      <c r="F135" t="str">
        <f>VLOOKUP(E135,TaskValues_ref!E:F,2,FALSE)</f>
        <v>Palliative care for cancer, women 60-69</v>
      </c>
      <c r="G135" t="str">
        <f>VLOOKUP($E135,TaskValues_ref!$E:$Z,3,FALSE)</f>
        <v>Clinical</v>
      </c>
      <c r="H135" t="str">
        <f>VLOOKUP($E135,TaskValues_ref!$E:$Z,4,FALSE)</f>
        <v>Acute</v>
      </c>
      <c r="I135" t="str">
        <f>VLOOKUP($E135,TaskValues_ref!$E:$Z,5,FALSE)</f>
        <v>NCDs</v>
      </c>
      <c r="J135" s="257" t="str">
        <f>VLOOKUP($E135,TaskValues_ref!$E:$Z,6,FALSE)</f>
        <v>women 60-69</v>
      </c>
      <c r="K135" t="str">
        <f>VLOOKUP($E135,TaskValues_ref!$E:$Z,10,FALSE)</f>
        <v>Amhara</v>
      </c>
      <c r="L135" s="195">
        <f>IF(VLOOKUP($E135,TaskValues_ref!$E:$Z,11,FALSE)=0,"",VLOOKUP($E135,TaskValues_ref!$E:$Z,11,FALSE))</f>
        <v>3.5810000000000004E-3</v>
      </c>
      <c r="M135">
        <f>IF(VLOOKUP($E135,TaskValues_ref!$E:$Z,13,FALSE)=0,"",VLOOKUP($E135,TaskValues_ref!$E:$Z,13,FALSE))</f>
        <v>0.5</v>
      </c>
      <c r="N135" s="89">
        <f>IF(VLOOKUP($E135,TaskValues_ref!$E:$Z,15,FALSE)=0,"",VLOOKUP($E135,TaskValues_ref!$E:$Z,15,FALSE))</f>
        <v>1</v>
      </c>
      <c r="O135">
        <f>IF(VLOOKUP($E135,TaskValues_ref!$E:$Z,16,FALSE)=0,"",VLOOKUP($E135,TaskValues_ref!$E:$Z,16,FALSE))</f>
        <v>12</v>
      </c>
      <c r="P135" t="str">
        <f>IF(VLOOKUP($E135,TaskValues_ref!$E:$Z,17,FALSE)=0,"",VLOOKUP($E135,TaskValues_ref!$E:$Z,17,FALSE))</f>
        <v/>
      </c>
      <c r="Q135">
        <f>IF(VLOOKUP($E135,TaskValues_ref!$E:$Z,18,FALSE)=0,"",VLOOKUP($E135,TaskValues_ref!$E:$Z,18,FALSE))</f>
        <v>15</v>
      </c>
      <c r="R135" t="str">
        <f>IF(VLOOKUP($E135,TaskValues_ref!$E:$Z,19,FALSE)=0,"",VLOOKUP($E135,TaskValues_ref!$E:$Z,19,FALSE))</f>
        <v/>
      </c>
      <c r="S135" t="str">
        <f>IF(VLOOKUP($E135,TaskValues_ref!$E:$Z,20,FALSE)=0,"",VLOOKUP($E135,TaskValues_ref!$E:$Z,20,FALSE))</f>
        <v/>
      </c>
    </row>
    <row r="136" spans="1:19" x14ac:dyDescent="0.45">
      <c r="A136" s="66" t="s">
        <v>2337</v>
      </c>
      <c r="B136" s="66" t="s">
        <v>2378</v>
      </c>
      <c r="C136" s="66" t="s">
        <v>2386</v>
      </c>
      <c r="D136" s="66">
        <v>119</v>
      </c>
      <c r="E136" s="64" t="s">
        <v>3386</v>
      </c>
      <c r="F136" t="str">
        <f>VLOOKUP(E136,TaskValues_ref!E:F,2,FALSE)</f>
        <v>Palliative care for cancer, men &amp; women 70+</v>
      </c>
      <c r="G136" t="str">
        <f>VLOOKUP($E136,TaskValues_ref!$E:$Z,3,FALSE)</f>
        <v>Clinical</v>
      </c>
      <c r="H136" t="str">
        <f>VLOOKUP($E136,TaskValues_ref!$E:$Z,4,FALSE)</f>
        <v>Acute</v>
      </c>
      <c r="I136" t="str">
        <f>VLOOKUP($E136,TaskValues_ref!$E:$Z,5,FALSE)</f>
        <v>NCDs</v>
      </c>
      <c r="J136" s="257" t="str">
        <f>VLOOKUP($E136,TaskValues_ref!$E:$Z,6,FALSE)</f>
        <v>adults 70+</v>
      </c>
      <c r="K136" t="str">
        <f>VLOOKUP($E136,TaskValues_ref!$E:$Z,10,FALSE)</f>
        <v>Amhara</v>
      </c>
      <c r="L136" s="195">
        <f>IF(VLOOKUP($E136,TaskValues_ref!$E:$Z,11,FALSE)=0,"",VLOOKUP($E136,TaskValues_ref!$E:$Z,11,FALSE))</f>
        <v>4.3550000000000004E-3</v>
      </c>
      <c r="M136">
        <f>IF(VLOOKUP($E136,TaskValues_ref!$E:$Z,13,FALSE)=0,"",VLOOKUP($E136,TaskValues_ref!$E:$Z,13,FALSE))</f>
        <v>0.5</v>
      </c>
      <c r="N136" s="89">
        <f>IF(VLOOKUP($E136,TaskValues_ref!$E:$Z,15,FALSE)=0,"",VLOOKUP($E136,TaskValues_ref!$E:$Z,15,FALSE))</f>
        <v>1</v>
      </c>
      <c r="O136">
        <f>IF(VLOOKUP($E136,TaskValues_ref!$E:$Z,16,FALSE)=0,"",VLOOKUP($E136,TaskValues_ref!$E:$Z,16,FALSE))</f>
        <v>12</v>
      </c>
      <c r="P136" t="str">
        <f>IF(VLOOKUP($E136,TaskValues_ref!$E:$Z,17,FALSE)=0,"",VLOOKUP($E136,TaskValues_ref!$E:$Z,17,FALSE))</f>
        <v/>
      </c>
      <c r="Q136">
        <f>IF(VLOOKUP($E136,TaskValues_ref!$E:$Z,18,FALSE)=0,"",VLOOKUP($E136,TaskValues_ref!$E:$Z,18,FALSE))</f>
        <v>15</v>
      </c>
      <c r="R136" t="str">
        <f>IF(VLOOKUP($E136,TaskValues_ref!$E:$Z,19,FALSE)=0,"",VLOOKUP($E136,TaskValues_ref!$E:$Z,19,FALSE))</f>
        <v/>
      </c>
      <c r="S136" t="str">
        <f>IF(VLOOKUP($E136,TaskValues_ref!$E:$Z,20,FALSE)=0,"",VLOOKUP($E136,TaskValues_ref!$E:$Z,20,FALSE))</f>
        <v/>
      </c>
    </row>
    <row r="137" spans="1:19" x14ac:dyDescent="0.45">
      <c r="A137" s="66" t="s">
        <v>2337</v>
      </c>
      <c r="B137" s="66" t="s">
        <v>2378</v>
      </c>
      <c r="C137" s="66" t="s">
        <v>2393</v>
      </c>
      <c r="D137" s="66">
        <v>120</v>
      </c>
      <c r="E137" s="64" t="str">
        <f>_xlfn.CONCAT("DPC.Hyp.",D137)</f>
        <v>DPC.Hyp.120</v>
      </c>
      <c r="F137" t="str">
        <f>VLOOKUP(E137,TaskValues_ref!E:F,2,FALSE)</f>
        <v>Lifestyle counseling</v>
      </c>
      <c r="G137" t="str">
        <f>VLOOKUP($E137,TaskValues_ref!$E:$Z,3,FALSE)</f>
        <v>Clinical</v>
      </c>
      <c r="H137" t="str">
        <f>VLOOKUP($E137,TaskValues_ref!$E:$Z,4,FALSE)</f>
        <v>Preventive</v>
      </c>
      <c r="I137" t="str">
        <f>VLOOKUP($E137,TaskValues_ref!$E:$Z,5,FALSE)</f>
        <v>NCDs</v>
      </c>
      <c r="J137" s="257" t="str">
        <f>VLOOKUP($E137,TaskValues_ref!$E:$Z,6,FALSE)</f>
        <v>-</v>
      </c>
      <c r="K137" t="str">
        <f>VLOOKUP($E137,TaskValues_ref!$E:$Z,10,FALSE)</f>
        <v>Amhara</v>
      </c>
      <c r="L137" s="195" t="str">
        <f>IF(VLOOKUP($E137,TaskValues_ref!$E:$Z,11,FALSE)=0,"",VLOOKUP($E137,TaskValues_ref!$E:$Z,11,FALSE))</f>
        <v/>
      </c>
      <c r="M137" t="str">
        <f>IF(VLOOKUP($E137,TaskValues_ref!$E:$Z,13,FALSE)=0,"",VLOOKUP($E137,TaskValues_ref!$E:$Z,13,FALSE))</f>
        <v/>
      </c>
      <c r="N137" s="89" t="str">
        <f>IF(VLOOKUP($E137,TaskValues_ref!$E:$Z,15,FALSE)=0,"",VLOOKUP($E137,TaskValues_ref!$E:$Z,15,FALSE))</f>
        <v/>
      </c>
      <c r="O137" t="str">
        <f>IF(VLOOKUP($E137,TaskValues_ref!$E:$Z,16,FALSE)=0,"",VLOOKUP($E137,TaskValues_ref!$E:$Z,16,FALSE))</f>
        <v/>
      </c>
      <c r="P137" t="str">
        <f>IF(VLOOKUP($E137,TaskValues_ref!$E:$Z,17,FALSE)=0,"",VLOOKUP($E137,TaskValues_ref!$E:$Z,17,FALSE))</f>
        <v/>
      </c>
      <c r="Q137" t="str">
        <f>IF(VLOOKUP($E137,TaskValues_ref!$E:$Z,18,FALSE)=0,"",VLOOKUP($E137,TaskValues_ref!$E:$Z,18,FALSE))</f>
        <v/>
      </c>
      <c r="R137" t="str">
        <f>IF(VLOOKUP($E137,TaskValues_ref!$E:$Z,19,FALSE)=0,"",VLOOKUP($E137,TaskValues_ref!$E:$Z,19,FALSE))</f>
        <v/>
      </c>
      <c r="S137" t="str">
        <f>IF(VLOOKUP($E137,TaskValues_ref!$E:$Z,20,FALSE)=0,"",VLOOKUP($E137,TaskValues_ref!$E:$Z,20,FALSE))</f>
        <v/>
      </c>
    </row>
    <row r="138" spans="1:19" x14ac:dyDescent="0.45">
      <c r="A138" s="66" t="s">
        <v>2337</v>
      </c>
      <c r="B138" s="66" t="s">
        <v>2378</v>
      </c>
      <c r="C138" s="66" t="s">
        <v>2393</v>
      </c>
      <c r="D138" s="66">
        <v>121</v>
      </c>
      <c r="E138" s="64" t="str">
        <f>_xlfn.CONCAT("DPC.Hyp.",D138)</f>
        <v>DPC.Hyp.121</v>
      </c>
      <c r="F138" t="str">
        <f>VLOOKUP(E138,TaskValues_ref!E:F,2,FALSE)</f>
        <v>Hypertension screening</v>
      </c>
      <c r="G138" t="str">
        <f>VLOOKUP($E138,TaskValues_ref!$E:$Z,3,FALSE)</f>
        <v>Clinical</v>
      </c>
      <c r="H138" t="str">
        <f>VLOOKUP($E138,TaskValues_ref!$E:$Z,4,FALSE)</f>
        <v>Preventive</v>
      </c>
      <c r="I138" t="str">
        <f>VLOOKUP($E138,TaskValues_ref!$E:$Z,5,FALSE)</f>
        <v>NCDs</v>
      </c>
      <c r="J138" s="257" t="str">
        <f>VLOOKUP($E138,TaskValues_ref!$E:$Z,6,FALSE)</f>
        <v>adults 18+</v>
      </c>
      <c r="K138" t="str">
        <f>VLOOKUP($E138,TaskValues_ref!$E:$Z,10,FALSE)</f>
        <v>Amhara</v>
      </c>
      <c r="L138" s="195">
        <f>IF(VLOOKUP($E138,TaskValues_ref!$E:$Z,11,FALSE)=0,"",VLOOKUP($E138,TaskValues_ref!$E:$Z,11,FALSE))</f>
        <v>1</v>
      </c>
      <c r="M138">
        <f>IF(VLOOKUP($E138,TaskValues_ref!$E:$Z,13,FALSE)=0,"",VLOOKUP($E138,TaskValues_ref!$E:$Z,13,FALSE))</f>
        <v>0.2</v>
      </c>
      <c r="N138" s="89">
        <f>IF(VLOOKUP($E138,TaskValues_ref!$E:$Z,15,FALSE)=0,"",VLOOKUP($E138,TaskValues_ref!$E:$Z,15,FALSE))</f>
        <v>1</v>
      </c>
      <c r="O138">
        <f>IF(VLOOKUP($E138,TaskValues_ref!$E:$Z,16,FALSE)=0,"",VLOOKUP($E138,TaskValues_ref!$E:$Z,16,FALSE))</f>
        <v>1</v>
      </c>
      <c r="P138" t="str">
        <f>IF(VLOOKUP($E138,TaskValues_ref!$E:$Z,17,FALSE)=0,"",VLOOKUP($E138,TaskValues_ref!$E:$Z,17,FALSE))</f>
        <v/>
      </c>
      <c r="Q138">
        <f>IF(VLOOKUP($E138,TaskValues_ref!$E:$Z,18,FALSE)=0,"",VLOOKUP($E138,TaskValues_ref!$E:$Z,18,FALSE))</f>
        <v>15</v>
      </c>
      <c r="R138" t="str">
        <f>IF(VLOOKUP($E138,TaskValues_ref!$E:$Z,19,FALSE)=0,"",VLOOKUP($E138,TaskValues_ref!$E:$Z,19,FALSE))</f>
        <v/>
      </c>
      <c r="S138" t="str">
        <f>IF(VLOOKUP($E138,TaskValues_ref!$E:$Z,20,FALSE)=0,"",VLOOKUP($E138,TaskValues_ref!$E:$Z,20,FALSE))</f>
        <v/>
      </c>
    </row>
    <row r="139" spans="1:19" x14ac:dyDescent="0.45">
      <c r="A139" s="66" t="s">
        <v>2337</v>
      </c>
      <c r="B139" s="66" t="s">
        <v>2378</v>
      </c>
      <c r="C139" s="66" t="s">
        <v>2393</v>
      </c>
      <c r="D139" s="66">
        <v>122</v>
      </c>
      <c r="E139" s="64" t="str">
        <f>_xlfn.CONCAT("DPC.Hyp.",D139)</f>
        <v>DPC.Hyp.122</v>
      </c>
      <c r="F139" t="str">
        <f>VLOOKUP(E139,TaskValues_ref!E:F,2,FALSE)</f>
        <v>Hypertension routine care</v>
      </c>
      <c r="G139" t="str">
        <f>VLOOKUP($E139,TaskValues_ref!$E:$Z,3,FALSE)</f>
        <v>Clinical</v>
      </c>
      <c r="H139" t="str">
        <f>VLOOKUP($E139,TaskValues_ref!$E:$Z,4,FALSE)</f>
        <v>Acute</v>
      </c>
      <c r="I139" t="str">
        <f>VLOOKUP($E139,TaskValues_ref!$E:$Z,5,FALSE)</f>
        <v>NCDs</v>
      </c>
      <c r="J139" s="257" t="str">
        <f>VLOOKUP($E139,TaskValues_ref!$E:$Z,6,FALSE)</f>
        <v>adults 18+</v>
      </c>
      <c r="K139" t="str">
        <f>VLOOKUP($E139,TaskValues_ref!$E:$Z,10,FALSE)</f>
        <v>Amhara</v>
      </c>
      <c r="L139" s="195">
        <f>IF(VLOOKUP($E139,TaskValues_ref!$E:$Z,11,FALSE)=0,"",VLOOKUP($E139,TaskValues_ref!$E:$Z,11,FALSE))</f>
        <v>0.22270000000000001</v>
      </c>
      <c r="M139" t="str">
        <f>IF(VLOOKUP($E139,TaskValues_ref!$E:$Z,13,FALSE)=0,"",VLOOKUP($E139,TaskValues_ref!$E:$Z,13,FALSE))</f>
        <v/>
      </c>
      <c r="N139" s="89">
        <f>IF(VLOOKUP($E139,TaskValues_ref!$E:$Z,15,FALSE)=0,"",VLOOKUP($E139,TaskValues_ref!$E:$Z,15,FALSE))</f>
        <v>1.02</v>
      </c>
      <c r="O139" t="str">
        <f>IF(VLOOKUP($E139,TaskValues_ref!$E:$Z,16,FALSE)=0,"",VLOOKUP($E139,TaskValues_ref!$E:$Z,16,FALSE))</f>
        <v/>
      </c>
      <c r="P139">
        <f>IF(VLOOKUP($E139,TaskValues_ref!$E:$Z,17,FALSE)=0,"",VLOOKUP($E139,TaskValues_ref!$E:$Z,17,FALSE))</f>
        <v>1</v>
      </c>
      <c r="Q139">
        <f>IF(VLOOKUP($E139,TaskValues_ref!$E:$Z,18,FALSE)=0,"",VLOOKUP($E139,TaskValues_ref!$E:$Z,18,FALSE))</f>
        <v>5</v>
      </c>
      <c r="R139" t="str">
        <f>IF(VLOOKUP($E139,TaskValues_ref!$E:$Z,19,FALSE)=0,"",VLOOKUP($E139,TaskValues_ref!$E:$Z,19,FALSE))</f>
        <v/>
      </c>
      <c r="S139" t="str">
        <f>IF(VLOOKUP($E139,TaskValues_ref!$E:$Z,20,FALSE)=0,"",VLOOKUP($E139,TaskValues_ref!$E:$Z,20,FALSE))</f>
        <v/>
      </c>
    </row>
    <row r="140" spans="1:19" x14ac:dyDescent="0.45">
      <c r="A140" s="66" t="s">
        <v>2337</v>
      </c>
      <c r="B140" s="66" t="s">
        <v>2378</v>
      </c>
      <c r="C140" s="66" t="s">
        <v>519</v>
      </c>
      <c r="D140" s="66">
        <v>123</v>
      </c>
      <c r="E140" s="64" t="str">
        <f>_xlfn.CONCAT("DPC.Dbt.",D140)</f>
        <v>DPC.Dbt.123</v>
      </c>
      <c r="F140" t="str">
        <f>VLOOKUP(E140,TaskValues_ref!E:F,2,FALSE)</f>
        <v>Lifestyle counseling</v>
      </c>
      <c r="G140" t="str">
        <f>VLOOKUP($E140,TaskValues_ref!$E:$Z,3,FALSE)</f>
        <v>Clinical</v>
      </c>
      <c r="H140" t="str">
        <f>VLOOKUP($E140,TaskValues_ref!$E:$Z,4,FALSE)</f>
        <v>Preventive</v>
      </c>
      <c r="I140" t="str">
        <f>VLOOKUP($E140,TaskValues_ref!$E:$Z,5,FALSE)</f>
        <v>NCDs</v>
      </c>
      <c r="J140" s="257" t="str">
        <f>VLOOKUP($E140,TaskValues_ref!$E:$Z,6,FALSE)</f>
        <v>-</v>
      </c>
      <c r="K140" t="str">
        <f>VLOOKUP($E140,TaskValues_ref!$E:$Z,10,FALSE)</f>
        <v>Amhara</v>
      </c>
      <c r="L140" s="195" t="str">
        <f>IF(VLOOKUP($E140,TaskValues_ref!$E:$Z,11,FALSE)=0,"",VLOOKUP($E140,TaskValues_ref!$E:$Z,11,FALSE))</f>
        <v/>
      </c>
      <c r="M140" t="str">
        <f>IF(VLOOKUP($E140,TaskValues_ref!$E:$Z,13,FALSE)=0,"",VLOOKUP($E140,TaskValues_ref!$E:$Z,13,FALSE))</f>
        <v/>
      </c>
      <c r="N140" s="89" t="str">
        <f>IF(VLOOKUP($E140,TaskValues_ref!$E:$Z,15,FALSE)=0,"",VLOOKUP($E140,TaskValues_ref!$E:$Z,15,FALSE))</f>
        <v/>
      </c>
      <c r="O140" t="str">
        <f>IF(VLOOKUP($E140,TaskValues_ref!$E:$Z,16,FALSE)=0,"",VLOOKUP($E140,TaskValues_ref!$E:$Z,16,FALSE))</f>
        <v/>
      </c>
      <c r="P140" t="str">
        <f>IF(VLOOKUP($E140,TaskValues_ref!$E:$Z,17,FALSE)=0,"",VLOOKUP($E140,TaskValues_ref!$E:$Z,17,FALSE))</f>
        <v/>
      </c>
      <c r="Q140" t="str">
        <f>IF(VLOOKUP($E140,TaskValues_ref!$E:$Z,18,FALSE)=0,"",VLOOKUP($E140,TaskValues_ref!$E:$Z,18,FALSE))</f>
        <v/>
      </c>
      <c r="R140" t="str">
        <f>IF(VLOOKUP($E140,TaskValues_ref!$E:$Z,19,FALSE)=0,"",VLOOKUP($E140,TaskValues_ref!$E:$Z,19,FALSE))</f>
        <v/>
      </c>
      <c r="S140" t="str">
        <f>IF(VLOOKUP($E140,TaskValues_ref!$E:$Z,20,FALSE)=0,"",VLOOKUP($E140,TaskValues_ref!$E:$Z,20,FALSE))</f>
        <v/>
      </c>
    </row>
    <row r="141" spans="1:19" x14ac:dyDescent="0.45">
      <c r="A141" s="66" t="s">
        <v>2337</v>
      </c>
      <c r="B141" s="66" t="s">
        <v>2378</v>
      </c>
      <c r="C141" s="66" t="s">
        <v>519</v>
      </c>
      <c r="D141" s="66">
        <v>124</v>
      </c>
      <c r="E141" s="64" t="str">
        <f>_xlfn.CONCAT("DPC.Dbt.",D141)</f>
        <v>DPC.Dbt.124</v>
      </c>
      <c r="F141" t="str">
        <f>VLOOKUP(E141,TaskValues_ref!E:F,2,FALSE)</f>
        <v>Screening for type 2 diabetes</v>
      </c>
      <c r="G141" t="str">
        <f>VLOOKUP($E141,TaskValues_ref!$E:$Z,3,FALSE)</f>
        <v>Clinical</v>
      </c>
      <c r="H141" t="str">
        <f>VLOOKUP($E141,TaskValues_ref!$E:$Z,4,FALSE)</f>
        <v>Preventive</v>
      </c>
      <c r="I141" t="str">
        <f>VLOOKUP($E141,TaskValues_ref!$E:$Z,5,FALSE)</f>
        <v>NCDs</v>
      </c>
      <c r="J141" s="257" t="str">
        <f>VLOOKUP($E141,TaskValues_ref!$E:$Z,6,FALSE)</f>
        <v>adults 35+</v>
      </c>
      <c r="K141" t="str">
        <f>VLOOKUP($E141,TaskValues_ref!$E:$Z,10,FALSE)</f>
        <v>Amhara</v>
      </c>
      <c r="L141" s="195">
        <f>IF(VLOOKUP($E141,TaskValues_ref!$E:$Z,11,FALSE)=0,"",VLOOKUP($E141,TaskValues_ref!$E:$Z,11,FALSE))</f>
        <v>1</v>
      </c>
      <c r="M141">
        <f>IF(VLOOKUP($E141,TaskValues_ref!$E:$Z,13,FALSE)=0,"",VLOOKUP($E141,TaskValues_ref!$E:$Z,13,FALSE))</f>
        <v>0.2</v>
      </c>
      <c r="N141" s="89">
        <f>IF(VLOOKUP($E141,TaskValues_ref!$E:$Z,15,FALSE)=0,"",VLOOKUP($E141,TaskValues_ref!$E:$Z,15,FALSE))</f>
        <v>1</v>
      </c>
      <c r="O141">
        <f>IF(VLOOKUP($E141,TaskValues_ref!$E:$Z,16,FALSE)=0,"",VLOOKUP($E141,TaskValues_ref!$E:$Z,16,FALSE))</f>
        <v>1</v>
      </c>
      <c r="P141" t="str">
        <f>IF(VLOOKUP($E141,TaskValues_ref!$E:$Z,17,FALSE)=0,"",VLOOKUP($E141,TaskValues_ref!$E:$Z,17,FALSE))</f>
        <v/>
      </c>
      <c r="Q141">
        <f>IF(VLOOKUP($E141,TaskValues_ref!$E:$Z,18,FALSE)=0,"",VLOOKUP($E141,TaskValues_ref!$E:$Z,18,FALSE))</f>
        <v>15</v>
      </c>
      <c r="R141" t="str">
        <f>IF(VLOOKUP($E141,TaskValues_ref!$E:$Z,19,FALSE)=0,"",VLOOKUP($E141,TaskValues_ref!$E:$Z,19,FALSE))</f>
        <v/>
      </c>
      <c r="S141" t="str">
        <f>IF(VLOOKUP($E141,TaskValues_ref!$E:$Z,20,FALSE)=0,"",VLOOKUP($E141,TaskValues_ref!$E:$Z,20,FALSE))</f>
        <v/>
      </c>
    </row>
    <row r="142" spans="1:19" x14ac:dyDescent="0.45">
      <c r="A142" s="66" t="s">
        <v>2337</v>
      </c>
      <c r="B142" s="66" t="s">
        <v>2378</v>
      </c>
      <c r="C142" s="66" t="s">
        <v>519</v>
      </c>
      <c r="D142" s="66">
        <v>125</v>
      </c>
      <c r="E142" s="64" t="s">
        <v>3390</v>
      </c>
      <c r="F142" t="str">
        <f>VLOOKUP(E142,TaskValues_ref!E:F,2,FALSE)</f>
        <v>Diabetes routine care, ages 15-24</v>
      </c>
      <c r="G142" t="str">
        <f>VLOOKUP($E142,TaskValues_ref!$E:$Z,3,FALSE)</f>
        <v>Clinical</v>
      </c>
      <c r="H142" t="str">
        <f>VLOOKUP($E142,TaskValues_ref!$E:$Z,4,FALSE)</f>
        <v>Acute</v>
      </c>
      <c r="I142" t="str">
        <f>VLOOKUP($E142,TaskValues_ref!$E:$Z,5,FALSE)</f>
        <v>NCDs</v>
      </c>
      <c r="J142" s="257" t="str">
        <f>VLOOKUP($E142,TaskValues_ref!$E:$Z,6,FALSE)</f>
        <v>adults 15-24</v>
      </c>
      <c r="K142" t="str">
        <f>VLOOKUP($E142,TaskValues_ref!$E:$Z,10,FALSE)</f>
        <v>Amhara</v>
      </c>
      <c r="L142" s="195">
        <f>IF(VLOOKUP($E142,TaskValues_ref!$E:$Z,11,FALSE)=0,"",VLOOKUP($E142,TaskValues_ref!$E:$Z,11,FALSE))</f>
        <v>2.6000000000000002E-2</v>
      </c>
      <c r="M142" t="str">
        <f>IF(VLOOKUP($E142,TaskValues_ref!$E:$Z,13,FALSE)=0,"",VLOOKUP($E142,TaskValues_ref!$E:$Z,13,FALSE))</f>
        <v/>
      </c>
      <c r="N142" s="89">
        <f>IF(VLOOKUP($E142,TaskValues_ref!$E:$Z,15,FALSE)=0,"",VLOOKUP($E142,TaskValues_ref!$E:$Z,15,FALSE))</f>
        <v>1</v>
      </c>
      <c r="O142" t="str">
        <f>IF(VLOOKUP($E142,TaskValues_ref!$E:$Z,16,FALSE)=0,"",VLOOKUP($E142,TaskValues_ref!$E:$Z,16,FALSE))</f>
        <v/>
      </c>
      <c r="P142">
        <f>IF(VLOOKUP($E142,TaskValues_ref!$E:$Z,17,FALSE)=0,"",VLOOKUP($E142,TaskValues_ref!$E:$Z,17,FALSE))</f>
        <v>1</v>
      </c>
      <c r="Q142">
        <f>IF(VLOOKUP($E142,TaskValues_ref!$E:$Z,18,FALSE)=0,"",VLOOKUP($E142,TaskValues_ref!$E:$Z,18,FALSE))</f>
        <v>5</v>
      </c>
      <c r="R142" t="str">
        <f>IF(VLOOKUP($E142,TaskValues_ref!$E:$Z,19,FALSE)=0,"",VLOOKUP($E142,TaskValues_ref!$E:$Z,19,FALSE))</f>
        <v/>
      </c>
      <c r="S142" t="str">
        <f>IF(VLOOKUP($E142,TaskValues_ref!$E:$Z,20,FALSE)=0,"",VLOOKUP($E142,TaskValues_ref!$E:$Z,20,FALSE))</f>
        <v/>
      </c>
    </row>
    <row r="143" spans="1:19" x14ac:dyDescent="0.45">
      <c r="A143" s="66" t="s">
        <v>2337</v>
      </c>
      <c r="B143" s="66" t="s">
        <v>2378</v>
      </c>
      <c r="C143" s="66" t="s">
        <v>519</v>
      </c>
      <c r="D143" s="66">
        <v>125</v>
      </c>
      <c r="E143" s="64" t="s">
        <v>3391</v>
      </c>
      <c r="F143" t="str">
        <f>VLOOKUP(E143,TaskValues_ref!E:F,2,FALSE)</f>
        <v>Diabetes routine care, ages 25-34</v>
      </c>
      <c r="G143" t="str">
        <f>VLOOKUP($E143,TaskValues_ref!$E:$Z,3,FALSE)</f>
        <v>Clinical</v>
      </c>
      <c r="H143" t="str">
        <f>VLOOKUP($E143,TaskValues_ref!$E:$Z,4,FALSE)</f>
        <v>Acute</v>
      </c>
      <c r="I143" t="str">
        <f>VLOOKUP($E143,TaskValues_ref!$E:$Z,5,FALSE)</f>
        <v>NCDs</v>
      </c>
      <c r="J143" s="257" t="str">
        <f>VLOOKUP($E143,TaskValues_ref!$E:$Z,6,FALSE)</f>
        <v>adults 25-34</v>
      </c>
      <c r="K143" t="str">
        <f>VLOOKUP($E143,TaskValues_ref!$E:$Z,10,FALSE)</f>
        <v>Amhara</v>
      </c>
      <c r="L143" s="195">
        <f>IF(VLOOKUP($E143,TaskValues_ref!$E:$Z,11,FALSE)=0,"",VLOOKUP($E143,TaskValues_ref!$E:$Z,11,FALSE))</f>
        <v>2.6000000000000002E-2</v>
      </c>
      <c r="M143" t="str">
        <f>IF(VLOOKUP($E143,TaskValues_ref!$E:$Z,13,FALSE)=0,"",VLOOKUP($E143,TaskValues_ref!$E:$Z,13,FALSE))</f>
        <v/>
      </c>
      <c r="N143" s="89">
        <f>IF(VLOOKUP($E143,TaskValues_ref!$E:$Z,15,FALSE)=0,"",VLOOKUP($E143,TaskValues_ref!$E:$Z,15,FALSE))</f>
        <v>1</v>
      </c>
      <c r="O143" t="str">
        <f>IF(VLOOKUP($E143,TaskValues_ref!$E:$Z,16,FALSE)=0,"",VLOOKUP($E143,TaskValues_ref!$E:$Z,16,FALSE))</f>
        <v/>
      </c>
      <c r="P143">
        <f>IF(VLOOKUP($E143,TaskValues_ref!$E:$Z,17,FALSE)=0,"",VLOOKUP($E143,TaskValues_ref!$E:$Z,17,FALSE))</f>
        <v>1</v>
      </c>
      <c r="Q143">
        <f>IF(VLOOKUP($E143,TaskValues_ref!$E:$Z,18,FALSE)=0,"",VLOOKUP($E143,TaskValues_ref!$E:$Z,18,FALSE))</f>
        <v>5</v>
      </c>
      <c r="R143" t="str">
        <f>IF(VLOOKUP($E143,TaskValues_ref!$E:$Z,19,FALSE)=0,"",VLOOKUP($E143,TaskValues_ref!$E:$Z,19,FALSE))</f>
        <v/>
      </c>
      <c r="S143" t="str">
        <f>IF(VLOOKUP($E143,TaskValues_ref!$E:$Z,20,FALSE)=0,"",VLOOKUP($E143,TaskValues_ref!$E:$Z,20,FALSE))</f>
        <v/>
      </c>
    </row>
    <row r="144" spans="1:19" x14ac:dyDescent="0.45">
      <c r="A144" s="66" t="s">
        <v>2337</v>
      </c>
      <c r="B144" s="66" t="s">
        <v>2378</v>
      </c>
      <c r="C144" s="66" t="s">
        <v>519</v>
      </c>
      <c r="D144" s="66">
        <v>125</v>
      </c>
      <c r="E144" s="64" t="s">
        <v>3392</v>
      </c>
      <c r="F144" t="str">
        <f>VLOOKUP(E144,TaskValues_ref!E:F,2,FALSE)</f>
        <v>Diabetes routine care, ages 35-44</v>
      </c>
      <c r="G144" t="str">
        <f>VLOOKUP($E144,TaskValues_ref!$E:$Z,3,FALSE)</f>
        <v>Clinical</v>
      </c>
      <c r="H144" t="str">
        <f>VLOOKUP($E144,TaskValues_ref!$E:$Z,4,FALSE)</f>
        <v>Acute</v>
      </c>
      <c r="I144" t="str">
        <f>VLOOKUP($E144,TaskValues_ref!$E:$Z,5,FALSE)</f>
        <v>NCDs</v>
      </c>
      <c r="J144" s="257" t="str">
        <f>VLOOKUP($E144,TaskValues_ref!$E:$Z,6,FALSE)</f>
        <v>adults 35-44</v>
      </c>
      <c r="K144" t="str">
        <f>VLOOKUP($E144,TaskValues_ref!$E:$Z,10,FALSE)</f>
        <v>Amhara</v>
      </c>
      <c r="L144" s="195">
        <f>IF(VLOOKUP($E144,TaskValues_ref!$E:$Z,11,FALSE)=0,"",VLOOKUP($E144,TaskValues_ref!$E:$Z,11,FALSE))</f>
        <v>3.9E-2</v>
      </c>
      <c r="M144" t="str">
        <f>IF(VLOOKUP($E144,TaskValues_ref!$E:$Z,13,FALSE)=0,"",VLOOKUP($E144,TaskValues_ref!$E:$Z,13,FALSE))</f>
        <v/>
      </c>
      <c r="N144" s="89">
        <f>IF(VLOOKUP($E144,TaskValues_ref!$E:$Z,15,FALSE)=0,"",VLOOKUP($E144,TaskValues_ref!$E:$Z,15,FALSE))</f>
        <v>1</v>
      </c>
      <c r="O144" t="str">
        <f>IF(VLOOKUP($E144,TaskValues_ref!$E:$Z,16,FALSE)=0,"",VLOOKUP($E144,TaskValues_ref!$E:$Z,16,FALSE))</f>
        <v/>
      </c>
      <c r="P144">
        <f>IF(VLOOKUP($E144,TaskValues_ref!$E:$Z,17,FALSE)=0,"",VLOOKUP($E144,TaskValues_ref!$E:$Z,17,FALSE))</f>
        <v>1</v>
      </c>
      <c r="Q144">
        <f>IF(VLOOKUP($E144,TaskValues_ref!$E:$Z,18,FALSE)=0,"",VLOOKUP($E144,TaskValues_ref!$E:$Z,18,FALSE))</f>
        <v>5</v>
      </c>
      <c r="R144" t="str">
        <f>IF(VLOOKUP($E144,TaskValues_ref!$E:$Z,19,FALSE)=0,"",VLOOKUP($E144,TaskValues_ref!$E:$Z,19,FALSE))</f>
        <v/>
      </c>
      <c r="S144" t="str">
        <f>IF(VLOOKUP($E144,TaskValues_ref!$E:$Z,20,FALSE)=0,"",VLOOKUP($E144,TaskValues_ref!$E:$Z,20,FALSE))</f>
        <v/>
      </c>
    </row>
    <row r="145" spans="1:19" x14ac:dyDescent="0.45">
      <c r="A145" s="66" t="s">
        <v>2337</v>
      </c>
      <c r="B145" s="66" t="s">
        <v>2378</v>
      </c>
      <c r="C145" s="66" t="s">
        <v>519</v>
      </c>
      <c r="D145" s="66">
        <v>125</v>
      </c>
      <c r="E145" s="64" t="s">
        <v>3393</v>
      </c>
      <c r="F145" t="str">
        <f>VLOOKUP(E145,TaskValues_ref!E:F,2,FALSE)</f>
        <v>Diabetes routine care, ages 45-54</v>
      </c>
      <c r="G145" t="str">
        <f>VLOOKUP($E145,TaskValues_ref!$E:$Z,3,FALSE)</f>
        <v>Clinical</v>
      </c>
      <c r="H145" t="str">
        <f>VLOOKUP($E145,TaskValues_ref!$E:$Z,4,FALSE)</f>
        <v>Acute</v>
      </c>
      <c r="I145" t="str">
        <f>VLOOKUP($E145,TaskValues_ref!$E:$Z,5,FALSE)</f>
        <v>NCDs</v>
      </c>
      <c r="J145" s="257" t="str">
        <f>VLOOKUP($E145,TaskValues_ref!$E:$Z,6,FALSE)</f>
        <v>adults 45-54</v>
      </c>
      <c r="K145" t="str">
        <f>VLOOKUP($E145,TaskValues_ref!$E:$Z,10,FALSE)</f>
        <v>Amhara</v>
      </c>
      <c r="L145" s="195">
        <f>IF(VLOOKUP($E145,TaskValues_ref!$E:$Z,11,FALSE)=0,"",VLOOKUP($E145,TaskValues_ref!$E:$Z,11,FALSE))</f>
        <v>4.2999999999999997E-2</v>
      </c>
      <c r="M145" t="str">
        <f>IF(VLOOKUP($E145,TaskValues_ref!$E:$Z,13,FALSE)=0,"",VLOOKUP($E145,TaskValues_ref!$E:$Z,13,FALSE))</f>
        <v/>
      </c>
      <c r="N145" s="89">
        <f>IF(VLOOKUP($E145,TaskValues_ref!$E:$Z,15,FALSE)=0,"",VLOOKUP($E145,TaskValues_ref!$E:$Z,15,FALSE))</f>
        <v>1</v>
      </c>
      <c r="O145" t="str">
        <f>IF(VLOOKUP($E145,TaskValues_ref!$E:$Z,16,FALSE)=0,"",VLOOKUP($E145,TaskValues_ref!$E:$Z,16,FALSE))</f>
        <v/>
      </c>
      <c r="P145">
        <f>IF(VLOOKUP($E145,TaskValues_ref!$E:$Z,17,FALSE)=0,"",VLOOKUP($E145,TaskValues_ref!$E:$Z,17,FALSE))</f>
        <v>1</v>
      </c>
      <c r="Q145">
        <f>IF(VLOOKUP($E145,TaskValues_ref!$E:$Z,18,FALSE)=0,"",VLOOKUP($E145,TaskValues_ref!$E:$Z,18,FALSE))</f>
        <v>5</v>
      </c>
      <c r="R145" t="str">
        <f>IF(VLOOKUP($E145,TaskValues_ref!$E:$Z,19,FALSE)=0,"",VLOOKUP($E145,TaskValues_ref!$E:$Z,19,FALSE))</f>
        <v/>
      </c>
      <c r="S145" t="str">
        <f>IF(VLOOKUP($E145,TaskValues_ref!$E:$Z,20,FALSE)=0,"",VLOOKUP($E145,TaskValues_ref!$E:$Z,20,FALSE))</f>
        <v/>
      </c>
    </row>
    <row r="146" spans="1:19" x14ac:dyDescent="0.45">
      <c r="A146" s="66" t="s">
        <v>2337</v>
      </c>
      <c r="B146" s="66" t="s">
        <v>2378</v>
      </c>
      <c r="C146" s="66" t="s">
        <v>519</v>
      </c>
      <c r="D146" s="66">
        <v>125</v>
      </c>
      <c r="E146" s="64" t="s">
        <v>3394</v>
      </c>
      <c r="F146" t="str">
        <f>VLOOKUP(E146,TaskValues_ref!E:F,2,FALSE)</f>
        <v>Diabetes routine care, ages 55-64</v>
      </c>
      <c r="G146" t="str">
        <f>VLOOKUP($E146,TaskValues_ref!$E:$Z,3,FALSE)</f>
        <v>Clinical</v>
      </c>
      <c r="H146" t="str">
        <f>VLOOKUP($E146,TaskValues_ref!$E:$Z,4,FALSE)</f>
        <v>Acute</v>
      </c>
      <c r="I146" t="str">
        <f>VLOOKUP($E146,TaskValues_ref!$E:$Z,5,FALSE)</f>
        <v>NCDs</v>
      </c>
      <c r="J146" s="257" t="str">
        <f>VLOOKUP($E146,TaskValues_ref!$E:$Z,6,FALSE)</f>
        <v>adults 55-64</v>
      </c>
      <c r="K146" t="str">
        <f>VLOOKUP($E146,TaskValues_ref!$E:$Z,10,FALSE)</f>
        <v>Amhara</v>
      </c>
      <c r="L146" s="195">
        <f>IF(VLOOKUP($E146,TaskValues_ref!$E:$Z,11,FALSE)=0,"",VLOOKUP($E146,TaskValues_ref!$E:$Z,11,FALSE))</f>
        <v>4.9000000000000002E-2</v>
      </c>
      <c r="M146" t="str">
        <f>IF(VLOOKUP($E146,TaskValues_ref!$E:$Z,13,FALSE)=0,"",VLOOKUP($E146,TaskValues_ref!$E:$Z,13,FALSE))</f>
        <v/>
      </c>
      <c r="N146" s="89">
        <f>IF(VLOOKUP($E146,TaskValues_ref!$E:$Z,15,FALSE)=0,"",VLOOKUP($E146,TaskValues_ref!$E:$Z,15,FALSE))</f>
        <v>1</v>
      </c>
      <c r="O146" t="str">
        <f>IF(VLOOKUP($E146,TaskValues_ref!$E:$Z,16,FALSE)=0,"",VLOOKUP($E146,TaskValues_ref!$E:$Z,16,FALSE))</f>
        <v/>
      </c>
      <c r="P146">
        <f>IF(VLOOKUP($E146,TaskValues_ref!$E:$Z,17,FALSE)=0,"",VLOOKUP($E146,TaskValues_ref!$E:$Z,17,FALSE))</f>
        <v>1</v>
      </c>
      <c r="Q146">
        <f>IF(VLOOKUP($E146,TaskValues_ref!$E:$Z,18,FALSE)=0,"",VLOOKUP($E146,TaskValues_ref!$E:$Z,18,FALSE))</f>
        <v>5</v>
      </c>
      <c r="R146" t="str">
        <f>IF(VLOOKUP($E146,TaskValues_ref!$E:$Z,19,FALSE)=0,"",VLOOKUP($E146,TaskValues_ref!$E:$Z,19,FALSE))</f>
        <v/>
      </c>
      <c r="S146" t="str">
        <f>IF(VLOOKUP($E146,TaskValues_ref!$E:$Z,20,FALSE)=0,"",VLOOKUP($E146,TaskValues_ref!$E:$Z,20,FALSE))</f>
        <v/>
      </c>
    </row>
    <row r="147" spans="1:19" x14ac:dyDescent="0.45">
      <c r="A147" s="66" t="s">
        <v>2337</v>
      </c>
      <c r="B147" s="66" t="s">
        <v>2378</v>
      </c>
      <c r="C147" s="66" t="s">
        <v>519</v>
      </c>
      <c r="D147" s="66">
        <v>125</v>
      </c>
      <c r="E147" s="64" t="s">
        <v>3461</v>
      </c>
      <c r="F147" t="str">
        <f>VLOOKUP(E147,TaskValues_ref!E:F,2,FALSE)</f>
        <v>Diabetes routine care, ages 65+</v>
      </c>
      <c r="G147" t="str">
        <f>VLOOKUP($E147,TaskValues_ref!$E:$Z,3,FALSE)</f>
        <v>Clinical</v>
      </c>
      <c r="H147" t="str">
        <f>VLOOKUP($E147,TaskValues_ref!$E:$Z,4,FALSE)</f>
        <v>Acute</v>
      </c>
      <c r="I147" t="str">
        <f>VLOOKUP($E147,TaskValues_ref!$E:$Z,5,FALSE)</f>
        <v>NCDs</v>
      </c>
      <c r="J147" s="257" t="str">
        <f>VLOOKUP($E147,TaskValues_ref!$E:$Z,6,FALSE)</f>
        <v>adults 65+</v>
      </c>
      <c r="K147" t="str">
        <f>VLOOKUP($E147,TaskValues_ref!$E:$Z,10,FALSE)</f>
        <v>Amhara</v>
      </c>
      <c r="L147" s="195">
        <f>IF(VLOOKUP($E147,TaskValues_ref!$E:$Z,11,FALSE)=0,"",VLOOKUP($E147,TaskValues_ref!$E:$Z,11,FALSE))</f>
        <v>4.5999999999999999E-2</v>
      </c>
      <c r="M147" t="str">
        <f>IF(VLOOKUP($E147,TaskValues_ref!$E:$Z,13,FALSE)=0,"",VLOOKUP($E147,TaskValues_ref!$E:$Z,13,FALSE))</f>
        <v/>
      </c>
      <c r="N147" s="89">
        <f>IF(VLOOKUP($E147,TaskValues_ref!$E:$Z,15,FALSE)=0,"",VLOOKUP($E147,TaskValues_ref!$E:$Z,15,FALSE))</f>
        <v>1</v>
      </c>
      <c r="O147" t="str">
        <f>IF(VLOOKUP($E147,TaskValues_ref!$E:$Z,16,FALSE)=0,"",VLOOKUP($E147,TaskValues_ref!$E:$Z,16,FALSE))</f>
        <v/>
      </c>
      <c r="P147">
        <f>IF(VLOOKUP($E147,TaskValues_ref!$E:$Z,17,FALSE)=0,"",VLOOKUP($E147,TaskValues_ref!$E:$Z,17,FALSE))</f>
        <v>1</v>
      </c>
      <c r="Q147">
        <f>IF(VLOOKUP($E147,TaskValues_ref!$E:$Z,18,FALSE)=0,"",VLOOKUP($E147,TaskValues_ref!$E:$Z,18,FALSE))</f>
        <v>5</v>
      </c>
      <c r="R147" t="str">
        <f>IF(VLOOKUP($E147,TaskValues_ref!$E:$Z,19,FALSE)=0,"",VLOOKUP($E147,TaskValues_ref!$E:$Z,19,FALSE))</f>
        <v/>
      </c>
      <c r="S147" t="str">
        <f>IF(VLOOKUP($E147,TaskValues_ref!$E:$Z,20,FALSE)=0,"",VLOOKUP($E147,TaskValues_ref!$E:$Z,20,FALSE))</f>
        <v/>
      </c>
    </row>
    <row r="148" spans="1:19" x14ac:dyDescent="0.45">
      <c r="A148" s="66" t="s">
        <v>2337</v>
      </c>
      <c r="B148" s="66" t="s">
        <v>2378</v>
      </c>
      <c r="C148" s="66" t="s">
        <v>2394</v>
      </c>
      <c r="D148" s="66">
        <v>126</v>
      </c>
      <c r="E148" s="64" t="str">
        <f>_xlfn.CONCAT("DPC.Asth.",D148)</f>
        <v>DPC.Asth.126</v>
      </c>
      <c r="F148" t="str">
        <f>VLOOKUP(E148,TaskValues_ref!E:F,2,FALSE)</f>
        <v>Smoking cessation</v>
      </c>
      <c r="G148" t="str">
        <f>VLOOKUP($E148,TaskValues_ref!$E:$Z,3,FALSE)</f>
        <v>Clinical</v>
      </c>
      <c r="H148" t="str">
        <f>VLOOKUP($E148,TaskValues_ref!$E:$Z,4,FALSE)</f>
        <v>Preventive</v>
      </c>
      <c r="I148" t="str">
        <f>VLOOKUP($E148,TaskValues_ref!$E:$Z,5,FALSE)</f>
        <v>NCDs</v>
      </c>
      <c r="J148" s="257" t="str">
        <f>VLOOKUP($E148,TaskValues_ref!$E:$Z,6,FALSE)</f>
        <v>men 18+</v>
      </c>
      <c r="K148" t="str">
        <f>VLOOKUP($E148,TaskValues_ref!$E:$Z,10,FALSE)</f>
        <v>Amhara</v>
      </c>
      <c r="L148" s="195">
        <f>IF(VLOOKUP($E148,TaskValues_ref!$E:$Z,11,FALSE)=0,"",VLOOKUP($E148,TaskValues_ref!$E:$Z,11,FALSE))</f>
        <v>6.9999999999999993E-3</v>
      </c>
      <c r="M148">
        <f>IF(VLOOKUP($E148,TaskValues_ref!$E:$Z,13,FALSE)=0,"",VLOOKUP($E148,TaskValues_ref!$E:$Z,13,FALSE))</f>
        <v>0.1</v>
      </c>
      <c r="N148" s="89">
        <f>IF(VLOOKUP($E148,TaskValues_ref!$E:$Z,15,FALSE)=0,"",VLOOKUP($E148,TaskValues_ref!$E:$Z,15,FALSE))</f>
        <v>1</v>
      </c>
      <c r="O148">
        <f>IF(VLOOKUP($E148,TaskValues_ref!$E:$Z,16,FALSE)=0,"",VLOOKUP($E148,TaskValues_ref!$E:$Z,16,FALSE))</f>
        <v>2</v>
      </c>
      <c r="P148" t="str">
        <f>IF(VLOOKUP($E148,TaskValues_ref!$E:$Z,17,FALSE)=0,"",VLOOKUP($E148,TaskValues_ref!$E:$Z,17,FALSE))</f>
        <v/>
      </c>
      <c r="Q148">
        <f>IF(VLOOKUP($E148,TaskValues_ref!$E:$Z,18,FALSE)=0,"",VLOOKUP($E148,TaskValues_ref!$E:$Z,18,FALSE))</f>
        <v>10</v>
      </c>
      <c r="R148" t="str">
        <f>IF(VLOOKUP($E148,TaskValues_ref!$E:$Z,19,FALSE)=0,"",VLOOKUP($E148,TaskValues_ref!$E:$Z,19,FALSE))</f>
        <v/>
      </c>
      <c r="S148" t="str">
        <f>IF(VLOOKUP($E148,TaskValues_ref!$E:$Z,20,FALSE)=0,"",VLOOKUP($E148,TaskValues_ref!$E:$Z,20,FALSE))</f>
        <v/>
      </c>
    </row>
    <row r="149" spans="1:19" x14ac:dyDescent="0.45">
      <c r="A149" s="66" t="s">
        <v>2337</v>
      </c>
      <c r="B149" s="66" t="s">
        <v>2378</v>
      </c>
      <c r="C149" s="66" t="s">
        <v>2394</v>
      </c>
      <c r="D149" s="66">
        <v>127</v>
      </c>
      <c r="E149" s="64" t="str">
        <f>_xlfn.CONCAT("DPC.Asth.",D149)</f>
        <v>DPC.Asth.127</v>
      </c>
      <c r="F149" t="str">
        <f>VLOOKUP(E149,TaskValues_ref!E:F,2,FALSE)</f>
        <v>Prevention of risk factors</v>
      </c>
      <c r="G149" t="str">
        <f>VLOOKUP($E149,TaskValues_ref!$E:$Z,3,FALSE)</f>
        <v>Clinical</v>
      </c>
      <c r="H149" t="str">
        <f>VLOOKUP($E149,TaskValues_ref!$E:$Z,4,FALSE)</f>
        <v>Preventive</v>
      </c>
      <c r="I149" t="str">
        <f>VLOOKUP($E149,TaskValues_ref!$E:$Z,5,FALSE)</f>
        <v>NCDs</v>
      </c>
      <c r="J149" s="257" t="str">
        <f>VLOOKUP($E149,TaskValues_ref!$E:$Z,6,FALSE)</f>
        <v>adults 18+</v>
      </c>
      <c r="K149" t="str">
        <f>VLOOKUP($E149,TaskValues_ref!$E:$Z,10,FALSE)</f>
        <v>Amhara</v>
      </c>
      <c r="L149" s="195" t="str">
        <f>IF(VLOOKUP($E149,TaskValues_ref!$E:$Z,11,FALSE)=0,"",VLOOKUP($E149,TaskValues_ref!$E:$Z,11,FALSE))</f>
        <v/>
      </c>
      <c r="M149" t="str">
        <f>IF(VLOOKUP($E149,TaskValues_ref!$E:$Z,13,FALSE)=0,"",VLOOKUP($E149,TaskValues_ref!$E:$Z,13,FALSE))</f>
        <v/>
      </c>
      <c r="N149" s="89" t="str">
        <f>IF(VLOOKUP($E149,TaskValues_ref!$E:$Z,15,FALSE)=0,"",VLOOKUP($E149,TaskValues_ref!$E:$Z,15,FALSE))</f>
        <v/>
      </c>
      <c r="O149" t="str">
        <f>IF(VLOOKUP($E149,TaskValues_ref!$E:$Z,16,FALSE)=0,"",VLOOKUP($E149,TaskValues_ref!$E:$Z,16,FALSE))</f>
        <v/>
      </c>
      <c r="P149" t="str">
        <f>IF(VLOOKUP($E149,TaskValues_ref!$E:$Z,17,FALSE)=0,"",VLOOKUP($E149,TaskValues_ref!$E:$Z,17,FALSE))</f>
        <v/>
      </c>
      <c r="Q149" t="str">
        <f>IF(VLOOKUP($E149,TaskValues_ref!$E:$Z,18,FALSE)=0,"",VLOOKUP($E149,TaskValues_ref!$E:$Z,18,FALSE))</f>
        <v/>
      </c>
      <c r="R149" t="str">
        <f>IF(VLOOKUP($E149,TaskValues_ref!$E:$Z,19,FALSE)=0,"",VLOOKUP($E149,TaskValues_ref!$E:$Z,19,FALSE))</f>
        <v/>
      </c>
      <c r="S149" t="str">
        <f>IF(VLOOKUP($E149,TaskValues_ref!$E:$Z,20,FALSE)=0,"",VLOOKUP($E149,TaskValues_ref!$E:$Z,20,FALSE))</f>
        <v/>
      </c>
    </row>
    <row r="150" spans="1:19" x14ac:dyDescent="0.45">
      <c r="A150" s="66" t="s">
        <v>2337</v>
      </c>
      <c r="B150" s="66" t="s">
        <v>2378</v>
      </c>
      <c r="C150" s="66" t="s">
        <v>2394</v>
      </c>
      <c r="D150" s="66">
        <v>128</v>
      </c>
      <c r="E150" s="64" t="str">
        <f>_xlfn.CONCAT("DPC.Asth.",D150)</f>
        <v>DPC.Asth.128</v>
      </c>
      <c r="F150" t="str">
        <f>VLOOKUP(E150,TaskValues_ref!E:F,2,FALSE)</f>
        <v>Dx &amp; treat mild asthma</v>
      </c>
      <c r="G150" t="str">
        <f>VLOOKUP($E150,TaskValues_ref!$E:$Z,3,FALSE)</f>
        <v>Clinical</v>
      </c>
      <c r="H150" t="str">
        <f>VLOOKUP($E150,TaskValues_ref!$E:$Z,4,FALSE)</f>
        <v>Acute</v>
      </c>
      <c r="I150" t="str">
        <f>VLOOKUP($E150,TaskValues_ref!$E:$Z,5,FALSE)</f>
        <v>NCDs</v>
      </c>
      <c r="J150" s="257" t="str">
        <f>VLOOKUP($E150,TaskValues_ref!$E:$Z,6,FALSE)</f>
        <v>15 yo</v>
      </c>
      <c r="K150" t="str">
        <f>VLOOKUP($E150,TaskValues_ref!$E:$Z,10,FALSE)</f>
        <v>Amhara</v>
      </c>
      <c r="L150" s="195">
        <f>IF(VLOOKUP($E150,TaskValues_ref!$E:$Z,11,FALSE)=0,"",VLOOKUP($E150,TaskValues_ref!$E:$Z,11,FALSE))</f>
        <v>8.2649999999999987E-2</v>
      </c>
      <c r="M150" t="str">
        <f>IF(VLOOKUP($E150,TaskValues_ref!$E:$Z,13,FALSE)=0,"",VLOOKUP($E150,TaskValues_ref!$E:$Z,13,FALSE))</f>
        <v/>
      </c>
      <c r="N150" s="89">
        <f>IF(VLOOKUP($E150,TaskValues_ref!$E:$Z,15,FALSE)=0,"",VLOOKUP($E150,TaskValues_ref!$E:$Z,15,FALSE))</f>
        <v>0.98499999999999999</v>
      </c>
      <c r="O150">
        <f>IF(VLOOKUP($E150,TaskValues_ref!$E:$Z,16,FALSE)=0,"",VLOOKUP($E150,TaskValues_ref!$E:$Z,16,FALSE))</f>
        <v>1</v>
      </c>
      <c r="P150">
        <f>IF(VLOOKUP($E150,TaskValues_ref!$E:$Z,17,FALSE)=0,"",VLOOKUP($E150,TaskValues_ref!$E:$Z,17,FALSE))</f>
        <v>1</v>
      </c>
      <c r="Q150">
        <f>IF(VLOOKUP($E150,TaskValues_ref!$E:$Z,18,FALSE)=0,"",VLOOKUP($E150,TaskValues_ref!$E:$Z,18,FALSE))</f>
        <v>10</v>
      </c>
      <c r="R150" t="str">
        <f>IF(VLOOKUP($E150,TaskValues_ref!$E:$Z,19,FALSE)=0,"",VLOOKUP($E150,TaskValues_ref!$E:$Z,19,FALSE))</f>
        <v/>
      </c>
      <c r="S150" t="str">
        <f>IF(VLOOKUP($E150,TaskValues_ref!$E:$Z,20,FALSE)=0,"",VLOOKUP($E150,TaskValues_ref!$E:$Z,20,FALSE))</f>
        <v/>
      </c>
    </row>
    <row r="151" spans="1:19" x14ac:dyDescent="0.45">
      <c r="A151" s="66" t="s">
        <v>2337</v>
      </c>
      <c r="B151" s="66" t="s">
        <v>2378</v>
      </c>
      <c r="C151" s="66" t="s">
        <v>2394</v>
      </c>
      <c r="D151" s="66">
        <v>129</v>
      </c>
      <c r="E151" s="64" t="str">
        <f>_xlfn.CONCAT("DPC.Asth.",D151)</f>
        <v>DPC.Asth.129</v>
      </c>
      <c r="F151" t="str">
        <f>VLOOKUP(E151,TaskValues_ref!E:F,2,FALSE)</f>
        <v>Dx &amp; refer severe asthma</v>
      </c>
      <c r="G151" t="str">
        <f>VLOOKUP($E151,TaskValues_ref!$E:$Z,3,FALSE)</f>
        <v>Clinical</v>
      </c>
      <c r="H151" t="str">
        <f>VLOOKUP($E151,TaskValues_ref!$E:$Z,4,FALSE)</f>
        <v>Acute</v>
      </c>
      <c r="I151" t="str">
        <f>VLOOKUP($E151,TaskValues_ref!$E:$Z,5,FALSE)</f>
        <v>NCDs</v>
      </c>
      <c r="J151" s="257" t="str">
        <f>VLOOKUP($E151,TaskValues_ref!$E:$Z,6,FALSE)</f>
        <v>15 yo</v>
      </c>
      <c r="K151" t="str">
        <f>VLOOKUP($E151,TaskValues_ref!$E:$Z,10,FALSE)</f>
        <v>Amhara</v>
      </c>
      <c r="L151" s="195">
        <f>IF(VLOOKUP($E151,TaskValues_ref!$E:$Z,11,FALSE)=0,"",VLOOKUP($E151,TaskValues_ref!$E:$Z,11,FALSE))</f>
        <v>4.3499999999999997E-3</v>
      </c>
      <c r="M151" t="str">
        <f>IF(VLOOKUP($E151,TaskValues_ref!$E:$Z,13,FALSE)=0,"",VLOOKUP($E151,TaskValues_ref!$E:$Z,13,FALSE))</f>
        <v/>
      </c>
      <c r="N151" s="89">
        <f>IF(VLOOKUP($E151,TaskValues_ref!$E:$Z,15,FALSE)=0,"",VLOOKUP($E151,TaskValues_ref!$E:$Z,15,FALSE))</f>
        <v>0.98499999999999999</v>
      </c>
      <c r="O151">
        <f>IF(VLOOKUP($E151,TaskValues_ref!$E:$Z,16,FALSE)=0,"",VLOOKUP($E151,TaskValues_ref!$E:$Z,16,FALSE))</f>
        <v>1</v>
      </c>
      <c r="P151" t="str">
        <f>IF(VLOOKUP($E151,TaskValues_ref!$E:$Z,17,FALSE)=0,"",VLOOKUP($E151,TaskValues_ref!$E:$Z,17,FALSE))</f>
        <v/>
      </c>
      <c r="Q151">
        <f>IF(VLOOKUP($E151,TaskValues_ref!$E:$Z,18,FALSE)=0,"",VLOOKUP($E151,TaskValues_ref!$E:$Z,18,FALSE))</f>
        <v>10</v>
      </c>
      <c r="R151" t="str">
        <f>IF(VLOOKUP($E151,TaskValues_ref!$E:$Z,19,FALSE)=0,"",VLOOKUP($E151,TaskValues_ref!$E:$Z,19,FALSE))</f>
        <v/>
      </c>
      <c r="S151" t="str">
        <f>IF(VLOOKUP($E151,TaskValues_ref!$E:$Z,20,FALSE)=0,"",VLOOKUP($E151,TaskValues_ref!$E:$Z,20,FALSE))</f>
        <v/>
      </c>
    </row>
    <row r="152" spans="1:19" x14ac:dyDescent="0.45">
      <c r="A152" s="66" t="s">
        <v>2337</v>
      </c>
      <c r="B152" s="66" t="s">
        <v>2378</v>
      </c>
      <c r="C152" s="66" t="s">
        <v>232</v>
      </c>
      <c r="D152" s="66">
        <v>130</v>
      </c>
      <c r="E152" s="64" t="s">
        <v>2442</v>
      </c>
      <c r="F152" t="str">
        <f>VLOOKUP(E152,TaskValues_ref!E:F,2,FALSE)</f>
        <v>Generate community awareness</v>
      </c>
      <c r="G152" t="str">
        <f>VLOOKUP($E152,TaskValues_ref!$E:$Z,3,FALSE)</f>
        <v>Non-clinical</v>
      </c>
      <c r="H152" t="str">
        <f>VLOOKUP($E152,TaskValues_ref!$E:$Z,4,FALSE)</f>
        <v>Public health</v>
      </c>
      <c r="I152" t="str">
        <f>VLOOKUP($E152,TaskValues_ref!$E:$Z,5,FALSE)</f>
        <v>Mental health</v>
      </c>
      <c r="J152" s="257" t="str">
        <f>VLOOKUP($E152,TaskValues_ref!$E:$Z,6,FALSE)</f>
        <v>-</v>
      </c>
      <c r="K152" t="str">
        <f>VLOOKUP($E152,TaskValues_ref!$E:$Z,10,FALSE)</f>
        <v>Amhara</v>
      </c>
      <c r="L152" s="195" t="str">
        <f>IF(VLOOKUP($E152,TaskValues_ref!$E:$Z,11,FALSE)=0,"",VLOOKUP($E152,TaskValues_ref!$E:$Z,11,FALSE))</f>
        <v/>
      </c>
      <c r="M152" t="str">
        <f>IF(VLOOKUP($E152,TaskValues_ref!$E:$Z,13,FALSE)=0,"",VLOOKUP($E152,TaskValues_ref!$E:$Z,13,FALSE))</f>
        <v/>
      </c>
      <c r="N152" s="89" t="str">
        <f>IF(VLOOKUP($E152,TaskValues_ref!$E:$Z,15,FALSE)=0,"",VLOOKUP($E152,TaskValues_ref!$E:$Z,15,FALSE))</f>
        <v/>
      </c>
      <c r="O152" t="str">
        <f>IF(VLOOKUP($E152,TaskValues_ref!$E:$Z,16,FALSE)=0,"",VLOOKUP($E152,TaskValues_ref!$E:$Z,16,FALSE))</f>
        <v/>
      </c>
      <c r="P152" t="str">
        <f>IF(VLOOKUP($E152,TaskValues_ref!$E:$Z,17,FALSE)=0,"",VLOOKUP($E152,TaskValues_ref!$E:$Z,17,FALSE))</f>
        <v/>
      </c>
      <c r="Q152" t="str">
        <f>IF(VLOOKUP($E152,TaskValues_ref!$E:$Z,18,FALSE)=0,"",VLOOKUP($E152,TaskValues_ref!$E:$Z,18,FALSE))</f>
        <v/>
      </c>
      <c r="R152" t="str">
        <f>IF(VLOOKUP($E152,TaskValues_ref!$E:$Z,19,FALSE)=0,"",VLOOKUP($E152,TaskValues_ref!$E:$Z,19,FALSE))</f>
        <v/>
      </c>
      <c r="S152" t="str">
        <f>IF(VLOOKUP($E152,TaskValues_ref!$E:$Z,20,FALSE)=0,"",VLOOKUP($E152,TaskValues_ref!$E:$Z,20,FALSE))</f>
        <v/>
      </c>
    </row>
    <row r="153" spans="1:19" x14ac:dyDescent="0.45">
      <c r="A153" s="66" t="s">
        <v>2337</v>
      </c>
      <c r="B153" s="66" t="s">
        <v>2378</v>
      </c>
      <c r="C153" s="66" t="s">
        <v>232</v>
      </c>
      <c r="D153" s="66">
        <v>130</v>
      </c>
      <c r="E153" s="64" t="s">
        <v>2443</v>
      </c>
      <c r="F153" t="str">
        <f>VLOOKUP(E153,TaskValues_ref!E:F,2,FALSE)</f>
        <v>Identify &amp; link to care</v>
      </c>
      <c r="G153" t="str">
        <f>VLOOKUP($E153,TaskValues_ref!$E:$Z,3,FALSE)</f>
        <v>Clinical</v>
      </c>
      <c r="H153" t="str">
        <f>VLOOKUP($E153,TaskValues_ref!$E:$Z,4,FALSE)</f>
        <v>Acute</v>
      </c>
      <c r="I153" t="str">
        <f>VLOOKUP($E153,TaskValues_ref!$E:$Z,5,FALSE)</f>
        <v>Mental health</v>
      </c>
      <c r="J153" s="257" t="str">
        <f>VLOOKUP($E153,TaskValues_ref!$E:$Z,6,FALSE)</f>
        <v>30 yo adults</v>
      </c>
      <c r="K153" t="str">
        <f>VLOOKUP($E153,TaskValues_ref!$E:$Z,10,FALSE)</f>
        <v>Amhara</v>
      </c>
      <c r="L153" s="195">
        <f>IF(VLOOKUP($E153,TaskValues_ref!$E:$Z,11,FALSE)=0,"",VLOOKUP($E153,TaskValues_ref!$E:$Z,11,FALSE))</f>
        <v>0.21579999999999999</v>
      </c>
      <c r="M153" t="str">
        <f>IF(VLOOKUP($E153,TaskValues_ref!$E:$Z,13,FALSE)=0,"",VLOOKUP($E153,TaskValues_ref!$E:$Z,13,FALSE))</f>
        <v/>
      </c>
      <c r="N153" s="89">
        <f>IF(VLOOKUP($E153,TaskValues_ref!$E:$Z,15,FALSE)=0,"",VLOOKUP($E153,TaskValues_ref!$E:$Z,15,FALSE))</f>
        <v>1</v>
      </c>
      <c r="O153">
        <f>IF(VLOOKUP($E153,TaskValues_ref!$E:$Z,16,FALSE)=0,"",VLOOKUP($E153,TaskValues_ref!$E:$Z,16,FALSE))</f>
        <v>1</v>
      </c>
      <c r="P153" t="str">
        <f>IF(VLOOKUP($E153,TaskValues_ref!$E:$Z,17,FALSE)=0,"",VLOOKUP($E153,TaskValues_ref!$E:$Z,17,FALSE))</f>
        <v/>
      </c>
      <c r="Q153">
        <f>IF(VLOOKUP($E153,TaskValues_ref!$E:$Z,18,FALSE)=0,"",VLOOKUP($E153,TaskValues_ref!$E:$Z,18,FALSE))</f>
        <v>15</v>
      </c>
      <c r="R153" t="str">
        <f>IF(VLOOKUP($E153,TaskValues_ref!$E:$Z,19,FALSE)=0,"",VLOOKUP($E153,TaskValues_ref!$E:$Z,19,FALSE))</f>
        <v/>
      </c>
      <c r="S153" t="str">
        <f>IF(VLOOKUP($E153,TaskValues_ref!$E:$Z,20,FALSE)=0,"",VLOOKUP($E153,TaskValues_ref!$E:$Z,20,FALSE))</f>
        <v/>
      </c>
    </row>
    <row r="154" spans="1:19" x14ac:dyDescent="0.45">
      <c r="A154" s="66" t="s">
        <v>2337</v>
      </c>
      <c r="B154" s="66" t="s">
        <v>2378</v>
      </c>
      <c r="C154" s="66" t="s">
        <v>232</v>
      </c>
      <c r="D154" s="66">
        <v>131</v>
      </c>
      <c r="E154" s="64" t="str">
        <f>_xlfn.CONCAT("DPC.MH.",D154)</f>
        <v>DPC.MH.131</v>
      </c>
      <c r="F154" t="str">
        <f>VLOOKUP(E154,TaskValues_ref!E:F,2,FALSE)</f>
        <v>Workplace stress reduction</v>
      </c>
      <c r="G154" t="str">
        <f>VLOOKUP($E154,TaskValues_ref!$E:$Z,3,FALSE)</f>
        <v>Non-clinical</v>
      </c>
      <c r="H154" t="str">
        <f>VLOOKUP($E154,TaskValues_ref!$E:$Z,4,FALSE)</f>
        <v>Public health</v>
      </c>
      <c r="I154" t="str">
        <f>VLOOKUP($E154,TaskValues_ref!$E:$Z,5,FALSE)</f>
        <v>Mental health</v>
      </c>
      <c r="J154" s="257" t="str">
        <f>VLOOKUP($E154,TaskValues_ref!$E:$Z,6,FALSE)</f>
        <v>-</v>
      </c>
      <c r="K154" t="str">
        <f>VLOOKUP($E154,TaskValues_ref!$E:$Z,10,FALSE)</f>
        <v>Amhara</v>
      </c>
      <c r="L154" s="195" t="str">
        <f>IF(VLOOKUP($E154,TaskValues_ref!$E:$Z,11,FALSE)=0,"",VLOOKUP($E154,TaskValues_ref!$E:$Z,11,FALSE))</f>
        <v/>
      </c>
      <c r="M154" t="str">
        <f>IF(VLOOKUP($E154,TaskValues_ref!$E:$Z,13,FALSE)=0,"",VLOOKUP($E154,TaskValues_ref!$E:$Z,13,FALSE))</f>
        <v/>
      </c>
      <c r="N154" s="89" t="str">
        <f>IF(VLOOKUP($E154,TaskValues_ref!$E:$Z,15,FALSE)=0,"",VLOOKUP($E154,TaskValues_ref!$E:$Z,15,FALSE))</f>
        <v/>
      </c>
      <c r="O154" t="str">
        <f>IF(VLOOKUP($E154,TaskValues_ref!$E:$Z,16,FALSE)=0,"",VLOOKUP($E154,TaskValues_ref!$E:$Z,16,FALSE))</f>
        <v/>
      </c>
      <c r="P154" t="str">
        <f>IF(VLOOKUP($E154,TaskValues_ref!$E:$Z,17,FALSE)=0,"",VLOOKUP($E154,TaskValues_ref!$E:$Z,17,FALSE))</f>
        <v/>
      </c>
      <c r="Q154" t="str">
        <f>IF(VLOOKUP($E154,TaskValues_ref!$E:$Z,18,FALSE)=0,"",VLOOKUP($E154,TaskValues_ref!$E:$Z,18,FALSE))</f>
        <v/>
      </c>
      <c r="R154" t="str">
        <f>IF(VLOOKUP($E154,TaskValues_ref!$E:$Z,19,FALSE)=0,"",VLOOKUP($E154,TaskValues_ref!$E:$Z,19,FALSE))</f>
        <v/>
      </c>
      <c r="S154" t="str">
        <f>IF(VLOOKUP($E154,TaskValues_ref!$E:$Z,20,FALSE)=0,"",VLOOKUP($E154,TaskValues_ref!$E:$Z,20,FALSE))</f>
        <v/>
      </c>
    </row>
    <row r="155" spans="1:19" x14ac:dyDescent="0.45">
      <c r="A155" s="66" t="s">
        <v>2337</v>
      </c>
      <c r="B155" s="66" t="s">
        <v>2378</v>
      </c>
      <c r="C155" s="66" t="s">
        <v>232</v>
      </c>
      <c r="D155" s="66">
        <v>132</v>
      </c>
      <c r="E155" s="64" t="str">
        <f>_xlfn.CONCAT("DPC.MH.",D155)</f>
        <v>DPC.MH.132</v>
      </c>
      <c r="F155" t="str">
        <f>VLOOKUP(E155,TaskValues_ref!E:F,2,FALSE)</f>
        <v>School-based mental health programs</v>
      </c>
      <c r="G155" t="str">
        <f>VLOOKUP($E155,TaskValues_ref!$E:$Z,3,FALSE)</f>
        <v>Non-clinical</v>
      </c>
      <c r="H155" t="str">
        <f>VLOOKUP($E155,TaskValues_ref!$E:$Z,4,FALSE)</f>
        <v>Public health</v>
      </c>
      <c r="I155" t="str">
        <f>VLOOKUP($E155,TaskValues_ref!$E:$Z,5,FALSE)</f>
        <v>Mental health</v>
      </c>
      <c r="J155" s="257" t="str">
        <f>VLOOKUP($E155,TaskValues_ref!$E:$Z,6,FALSE)</f>
        <v>-</v>
      </c>
      <c r="K155" t="str">
        <f>VLOOKUP($E155,TaskValues_ref!$E:$Z,10,FALSE)</f>
        <v>Amhara</v>
      </c>
      <c r="L155" s="195" t="str">
        <f>IF(VLOOKUP($E155,TaskValues_ref!$E:$Z,11,FALSE)=0,"",VLOOKUP($E155,TaskValues_ref!$E:$Z,11,FALSE))</f>
        <v/>
      </c>
      <c r="M155" t="str">
        <f>IF(VLOOKUP($E155,TaskValues_ref!$E:$Z,13,FALSE)=0,"",VLOOKUP($E155,TaskValues_ref!$E:$Z,13,FALSE))</f>
        <v/>
      </c>
      <c r="N155" s="89" t="str">
        <f>IF(VLOOKUP($E155,TaskValues_ref!$E:$Z,15,FALSE)=0,"",VLOOKUP($E155,TaskValues_ref!$E:$Z,15,FALSE))</f>
        <v/>
      </c>
      <c r="O155" t="str">
        <f>IF(VLOOKUP($E155,TaskValues_ref!$E:$Z,16,FALSE)=0,"",VLOOKUP($E155,TaskValues_ref!$E:$Z,16,FALSE))</f>
        <v/>
      </c>
      <c r="P155" t="str">
        <f>IF(VLOOKUP($E155,TaskValues_ref!$E:$Z,17,FALSE)=0,"",VLOOKUP($E155,TaskValues_ref!$E:$Z,17,FALSE))</f>
        <v/>
      </c>
      <c r="Q155" t="str">
        <f>IF(VLOOKUP($E155,TaskValues_ref!$E:$Z,18,FALSE)=0,"",VLOOKUP($E155,TaskValues_ref!$E:$Z,18,FALSE))</f>
        <v/>
      </c>
      <c r="R155" t="str">
        <f>IF(VLOOKUP($E155,TaskValues_ref!$E:$Z,19,FALSE)=0,"",VLOOKUP($E155,TaskValues_ref!$E:$Z,19,FALSE))</f>
        <v/>
      </c>
      <c r="S155" t="str">
        <f>IF(VLOOKUP($E155,TaskValues_ref!$E:$Z,20,FALSE)=0,"",VLOOKUP($E155,TaskValues_ref!$E:$Z,20,FALSE))</f>
        <v/>
      </c>
    </row>
    <row r="156" spans="1:19" x14ac:dyDescent="0.45">
      <c r="A156" s="66" t="s">
        <v>2337</v>
      </c>
      <c r="B156" s="66" t="s">
        <v>2378</v>
      </c>
      <c r="C156" s="66" t="s">
        <v>232</v>
      </c>
      <c r="D156" s="66">
        <v>133</v>
      </c>
      <c r="E156" s="64" t="str">
        <f>_xlfn.CONCAT("DPC.MH.",D156)</f>
        <v>DPC.MH.133</v>
      </c>
      <c r="F156" t="str">
        <f>VLOOKUP(E156,TaskValues_ref!E:F,2,FALSE)</f>
        <v>Identify &amp; assess drug use</v>
      </c>
      <c r="G156" t="str">
        <f>VLOOKUP($E156,TaskValues_ref!$E:$Z,3,FALSE)</f>
        <v>Clinical</v>
      </c>
      <c r="H156" t="str">
        <f>VLOOKUP($E156,TaskValues_ref!$E:$Z,4,FALSE)</f>
        <v>Acute</v>
      </c>
      <c r="I156" t="str">
        <f>VLOOKUP($E156,TaskValues_ref!$E:$Z,5,FALSE)</f>
        <v>Mental health</v>
      </c>
      <c r="J156" s="257" t="str">
        <f>VLOOKUP($E156,TaskValues_ref!$E:$Z,6,FALSE)</f>
        <v>30 yo adults</v>
      </c>
      <c r="K156" t="str">
        <f>VLOOKUP($E156,TaskValues_ref!$E:$Z,10,FALSE)</f>
        <v>Amhara</v>
      </c>
      <c r="L156" s="195" t="str">
        <f>IF(VLOOKUP($E156,TaskValues_ref!$E:$Z,11,FALSE)=0,"",VLOOKUP($E156,TaskValues_ref!$E:$Z,11,FALSE))</f>
        <v/>
      </c>
      <c r="M156" t="str">
        <f>IF(VLOOKUP($E156,TaskValues_ref!$E:$Z,13,FALSE)=0,"",VLOOKUP($E156,TaskValues_ref!$E:$Z,13,FALSE))</f>
        <v/>
      </c>
      <c r="N156" s="89">
        <f>IF(VLOOKUP($E156,TaskValues_ref!$E:$Z,15,FALSE)=0,"",VLOOKUP($E156,TaskValues_ref!$E:$Z,15,FALSE))</f>
        <v>1</v>
      </c>
      <c r="O156">
        <f>IF(VLOOKUP($E156,TaskValues_ref!$E:$Z,16,FALSE)=0,"",VLOOKUP($E156,TaskValues_ref!$E:$Z,16,FALSE))</f>
        <v>1</v>
      </c>
      <c r="P156" t="str">
        <f>IF(VLOOKUP($E156,TaskValues_ref!$E:$Z,17,FALSE)=0,"",VLOOKUP($E156,TaskValues_ref!$E:$Z,17,FALSE))</f>
        <v/>
      </c>
      <c r="Q156">
        <f>IF(VLOOKUP($E156,TaskValues_ref!$E:$Z,18,FALSE)=0,"",VLOOKUP($E156,TaskValues_ref!$E:$Z,18,FALSE))</f>
        <v>15</v>
      </c>
      <c r="R156" t="str">
        <f>IF(VLOOKUP($E156,TaskValues_ref!$E:$Z,19,FALSE)=0,"",VLOOKUP($E156,TaskValues_ref!$E:$Z,19,FALSE))</f>
        <v/>
      </c>
      <c r="S156" t="str">
        <f>IF(VLOOKUP($E156,TaskValues_ref!$E:$Z,20,FALSE)=0,"",VLOOKUP($E156,TaskValues_ref!$E:$Z,20,FALSE))</f>
        <v/>
      </c>
    </row>
    <row r="157" spans="1:19" x14ac:dyDescent="0.45">
      <c r="A157" s="66" t="s">
        <v>2337</v>
      </c>
      <c r="B157" s="66" t="s">
        <v>2378</v>
      </c>
      <c r="C157" s="66" t="s">
        <v>232</v>
      </c>
      <c r="D157" s="66">
        <v>134</v>
      </c>
      <c r="E157" s="64" t="str">
        <f>_xlfn.CONCAT("DPC.MH.",D157)</f>
        <v>DPC.MH.134</v>
      </c>
      <c r="F157" t="str">
        <f>VLOOKUP(E157,TaskValues_ref!E:F,2,FALSE)</f>
        <v>Safer storage of pesticides</v>
      </c>
      <c r="G157" t="str">
        <f>VLOOKUP($E157,TaskValues_ref!$E:$Z,3,FALSE)</f>
        <v>Non-clinical</v>
      </c>
      <c r="H157" t="str">
        <f>VLOOKUP($E157,TaskValues_ref!$E:$Z,4,FALSE)</f>
        <v>Public health</v>
      </c>
      <c r="I157" t="str">
        <f>VLOOKUP($E157,TaskValues_ref!$E:$Z,5,FALSE)</f>
        <v>Mental health</v>
      </c>
      <c r="J157" s="257" t="str">
        <f>VLOOKUP($E157,TaskValues_ref!$E:$Z,6,FALSE)</f>
        <v>-</v>
      </c>
      <c r="K157" t="str">
        <f>VLOOKUP($E157,TaskValues_ref!$E:$Z,10,FALSE)</f>
        <v>Amhara</v>
      </c>
      <c r="L157" s="195" t="str">
        <f>IF(VLOOKUP($E157,TaskValues_ref!$E:$Z,11,FALSE)=0,"",VLOOKUP($E157,TaskValues_ref!$E:$Z,11,FALSE))</f>
        <v/>
      </c>
      <c r="M157" t="str">
        <f>IF(VLOOKUP($E157,TaskValues_ref!$E:$Z,13,FALSE)=0,"",VLOOKUP($E157,TaskValues_ref!$E:$Z,13,FALSE))</f>
        <v/>
      </c>
      <c r="N157" s="89" t="str">
        <f>IF(VLOOKUP($E157,TaskValues_ref!$E:$Z,15,FALSE)=0,"",VLOOKUP($E157,TaskValues_ref!$E:$Z,15,FALSE))</f>
        <v/>
      </c>
      <c r="O157" t="str">
        <f>IF(VLOOKUP($E157,TaskValues_ref!$E:$Z,16,FALSE)=0,"",VLOOKUP($E157,TaskValues_ref!$E:$Z,16,FALSE))</f>
        <v/>
      </c>
      <c r="P157" t="str">
        <f>IF(VLOOKUP($E157,TaskValues_ref!$E:$Z,17,FALSE)=0,"",VLOOKUP($E157,TaskValues_ref!$E:$Z,17,FALSE))</f>
        <v/>
      </c>
      <c r="Q157" t="str">
        <f>IF(VLOOKUP($E157,TaskValues_ref!$E:$Z,18,FALSE)=0,"",VLOOKUP($E157,TaskValues_ref!$E:$Z,18,FALSE))</f>
        <v/>
      </c>
      <c r="R157" t="str">
        <f>IF(VLOOKUP($E157,TaskValues_ref!$E:$Z,19,FALSE)=0,"",VLOOKUP($E157,TaskValues_ref!$E:$Z,19,FALSE))</f>
        <v/>
      </c>
      <c r="S157" t="str">
        <f>IF(VLOOKUP($E157,TaskValues_ref!$E:$Z,20,FALSE)=0,"",VLOOKUP($E157,TaskValues_ref!$E:$Z,20,FALSE))</f>
        <v/>
      </c>
    </row>
    <row r="158" spans="1:19" x14ac:dyDescent="0.45">
      <c r="A158" s="66" t="s">
        <v>2337</v>
      </c>
      <c r="B158" s="66" t="s">
        <v>2378</v>
      </c>
      <c r="C158" s="66" t="s">
        <v>232</v>
      </c>
      <c r="D158" s="66">
        <v>135</v>
      </c>
      <c r="E158" s="64" t="str">
        <f>_xlfn.CONCAT("DPC.MH.",D158)</f>
        <v>DPC.MH.135</v>
      </c>
      <c r="F158" t="str">
        <f>VLOOKUP(E158,TaskValues_ref!E:F,2,FALSE)</f>
        <v>Emergency poisoning response</v>
      </c>
      <c r="G158" t="str">
        <f>VLOOKUP($E158,TaskValues_ref!$E:$Z,3,FALSE)</f>
        <v>Clinical</v>
      </c>
      <c r="H158" t="str">
        <f>VLOOKUP($E158,TaskValues_ref!$E:$Z,4,FALSE)</f>
        <v>Acute</v>
      </c>
      <c r="I158" t="str">
        <f>VLOOKUP($E158,TaskValues_ref!$E:$Z,5,FALSE)</f>
        <v>Mental health</v>
      </c>
      <c r="J158" s="257" t="str">
        <f>VLOOKUP($E158,TaskValues_ref!$E:$Z,6,FALSE)</f>
        <v>adults 18+</v>
      </c>
      <c r="K158" t="str">
        <f>VLOOKUP($E158,TaskValues_ref!$E:$Z,10,FALSE)</f>
        <v>Amhara</v>
      </c>
      <c r="L158" s="195" t="str">
        <f>IF(VLOOKUP($E158,TaskValues_ref!$E:$Z,11,FALSE)=0,"",VLOOKUP($E158,TaskValues_ref!$E:$Z,11,FALSE))</f>
        <v/>
      </c>
      <c r="M158" t="str">
        <f>IF(VLOOKUP($E158,TaskValues_ref!$E:$Z,13,FALSE)=0,"",VLOOKUP($E158,TaskValues_ref!$E:$Z,13,FALSE))</f>
        <v/>
      </c>
      <c r="N158" s="89">
        <f>IF(VLOOKUP($E158,TaskValues_ref!$E:$Z,15,FALSE)=0,"",VLOOKUP($E158,TaskValues_ref!$E:$Z,15,FALSE))</f>
        <v>1</v>
      </c>
      <c r="O158">
        <f>IF(VLOOKUP($E158,TaskValues_ref!$E:$Z,16,FALSE)=0,"",VLOOKUP($E158,TaskValues_ref!$E:$Z,16,FALSE))</f>
        <v>1</v>
      </c>
      <c r="P158" t="str">
        <f>IF(VLOOKUP($E158,TaskValues_ref!$E:$Z,17,FALSE)=0,"",VLOOKUP($E158,TaskValues_ref!$E:$Z,17,FALSE))</f>
        <v/>
      </c>
      <c r="Q158">
        <f>IF(VLOOKUP($E158,TaskValues_ref!$E:$Z,18,FALSE)=0,"",VLOOKUP($E158,TaskValues_ref!$E:$Z,18,FALSE))</f>
        <v>15</v>
      </c>
      <c r="R158" t="str">
        <f>IF(VLOOKUP($E158,TaskValues_ref!$E:$Z,19,FALSE)=0,"",VLOOKUP($E158,TaskValues_ref!$E:$Z,19,FALSE))</f>
        <v/>
      </c>
      <c r="S158" t="str">
        <f>IF(VLOOKUP($E158,TaskValues_ref!$E:$Z,20,FALSE)=0,"",VLOOKUP($E158,TaskValues_ref!$E:$Z,20,FALSE))</f>
        <v/>
      </c>
    </row>
    <row r="159" spans="1:19" x14ac:dyDescent="0.45">
      <c r="A159" s="66" t="s">
        <v>2337</v>
      </c>
      <c r="B159" s="66" t="s">
        <v>2378</v>
      </c>
      <c r="C159" s="66" t="s">
        <v>2395</v>
      </c>
      <c r="D159" s="66">
        <v>136</v>
      </c>
      <c r="E159" s="64" t="str">
        <f t="shared" ref="E159:E164" si="4">_xlfn.CONCAT("DPC.Oph.",D159)</f>
        <v>DPC.Oph.136</v>
      </c>
      <c r="F159" t="str">
        <f>VLOOKUP(E159,TaskValues_ref!E:F,2,FALSE)</f>
        <v>Awareness &amp; screening for cataracts</v>
      </c>
      <c r="G159" t="str">
        <f>VLOOKUP($E159,TaskValues_ref!$E:$Z,3,FALSE)</f>
        <v>Clinical</v>
      </c>
      <c r="H159" t="str">
        <f>VLOOKUP($E159,TaskValues_ref!$E:$Z,4,FALSE)</f>
        <v>Preventive</v>
      </c>
      <c r="I159" t="str">
        <f>VLOOKUP($E159,TaskValues_ref!$E:$Z,5,FALSE)</f>
        <v>NCDs</v>
      </c>
      <c r="J159" s="257" t="str">
        <f>VLOOKUP($E159,TaskValues_ref!$E:$Z,6,FALSE)</f>
        <v>adults 18+</v>
      </c>
      <c r="K159" t="str">
        <f>VLOOKUP($E159,TaskValues_ref!$E:$Z,10,FALSE)</f>
        <v>Amhara</v>
      </c>
      <c r="L159" s="195">
        <f>IF(VLOOKUP($E159,TaskValues_ref!$E:$Z,11,FALSE)=0,"",VLOOKUP($E159,TaskValues_ref!$E:$Z,11,FALSE))</f>
        <v>4.8212E-4</v>
      </c>
      <c r="M159" t="str">
        <f>IF(VLOOKUP($E159,TaskValues_ref!$E:$Z,13,FALSE)=0,"",VLOOKUP($E159,TaskValues_ref!$E:$Z,13,FALSE))</f>
        <v/>
      </c>
      <c r="N159" s="89">
        <f>IF(VLOOKUP($E159,TaskValues_ref!$E:$Z,15,FALSE)=0,"",VLOOKUP($E159,TaskValues_ref!$E:$Z,15,FALSE))</f>
        <v>1.0311999999999999</v>
      </c>
      <c r="O159">
        <f>IF(VLOOKUP($E159,TaskValues_ref!$E:$Z,16,FALSE)=0,"",VLOOKUP($E159,TaskValues_ref!$E:$Z,16,FALSE))</f>
        <v>1</v>
      </c>
      <c r="P159" t="str">
        <f>IF(VLOOKUP($E159,TaskValues_ref!$E:$Z,17,FALSE)=0,"",VLOOKUP($E159,TaskValues_ref!$E:$Z,17,FALSE))</f>
        <v/>
      </c>
      <c r="Q159">
        <f>IF(VLOOKUP($E159,TaskValues_ref!$E:$Z,18,FALSE)=0,"",VLOOKUP($E159,TaskValues_ref!$E:$Z,18,FALSE))</f>
        <v>10</v>
      </c>
      <c r="R159" t="str">
        <f>IF(VLOOKUP($E159,TaskValues_ref!$E:$Z,19,FALSE)=0,"",VLOOKUP($E159,TaskValues_ref!$E:$Z,19,FALSE))</f>
        <v/>
      </c>
      <c r="S159" t="str">
        <f>IF(VLOOKUP($E159,TaskValues_ref!$E:$Z,20,FALSE)=0,"",VLOOKUP($E159,TaskValues_ref!$E:$Z,20,FALSE))</f>
        <v/>
      </c>
    </row>
    <row r="160" spans="1:19" x14ac:dyDescent="0.45">
      <c r="A160" s="66" t="s">
        <v>2337</v>
      </c>
      <c r="B160" s="66" t="s">
        <v>2378</v>
      </c>
      <c r="C160" s="66" t="s">
        <v>2395</v>
      </c>
      <c r="D160" s="66">
        <f>D159+1</f>
        <v>137</v>
      </c>
      <c r="E160" s="64" t="str">
        <f t="shared" si="4"/>
        <v>DPC.Oph.137</v>
      </c>
      <c r="F160" t="str">
        <f>VLOOKUP(E160,TaskValues_ref!E:F,2,FALSE)</f>
        <v>Awareness of eye glasses</v>
      </c>
      <c r="G160" t="str">
        <f>VLOOKUP($E160,TaskValues_ref!$E:$Z,3,FALSE)</f>
        <v>Clinical</v>
      </c>
      <c r="H160" t="str">
        <f>VLOOKUP($E160,TaskValues_ref!$E:$Z,4,FALSE)</f>
        <v>Public health</v>
      </c>
      <c r="I160" t="str">
        <f>VLOOKUP($E160,TaskValues_ref!$E:$Z,5,FALSE)</f>
        <v>NCDs</v>
      </c>
      <c r="J160" s="257" t="str">
        <f>VLOOKUP($E160,TaskValues_ref!$E:$Z,6,FALSE)</f>
        <v>-</v>
      </c>
      <c r="K160" t="str">
        <f>VLOOKUP($E160,TaskValues_ref!$E:$Z,10,FALSE)</f>
        <v>Amhara</v>
      </c>
      <c r="L160" s="195" t="str">
        <f>IF(VLOOKUP($E160,TaskValues_ref!$E:$Z,11,FALSE)=0,"",VLOOKUP($E160,TaskValues_ref!$E:$Z,11,FALSE))</f>
        <v/>
      </c>
      <c r="M160" t="str">
        <f>IF(VLOOKUP($E160,TaskValues_ref!$E:$Z,13,FALSE)=0,"",VLOOKUP($E160,TaskValues_ref!$E:$Z,13,FALSE))</f>
        <v/>
      </c>
      <c r="N160" s="89" t="str">
        <f>IF(VLOOKUP($E160,TaskValues_ref!$E:$Z,15,FALSE)=0,"",VLOOKUP($E160,TaskValues_ref!$E:$Z,15,FALSE))</f>
        <v/>
      </c>
      <c r="O160" t="str">
        <f>IF(VLOOKUP($E160,TaskValues_ref!$E:$Z,16,FALSE)=0,"",VLOOKUP($E160,TaskValues_ref!$E:$Z,16,FALSE))</f>
        <v/>
      </c>
      <c r="P160" t="str">
        <f>IF(VLOOKUP($E160,TaskValues_ref!$E:$Z,17,FALSE)=0,"",VLOOKUP($E160,TaskValues_ref!$E:$Z,17,FALSE))</f>
        <v/>
      </c>
      <c r="Q160" t="str">
        <f>IF(VLOOKUP($E160,TaskValues_ref!$E:$Z,18,FALSE)=0,"",VLOOKUP($E160,TaskValues_ref!$E:$Z,18,FALSE))</f>
        <v/>
      </c>
      <c r="R160" t="str">
        <f>IF(VLOOKUP($E160,TaskValues_ref!$E:$Z,19,FALSE)=0,"",VLOOKUP($E160,TaskValues_ref!$E:$Z,19,FALSE))</f>
        <v/>
      </c>
      <c r="S160" t="str">
        <f>IF(VLOOKUP($E160,TaskValues_ref!$E:$Z,20,FALSE)=0,"",VLOOKUP($E160,TaskValues_ref!$E:$Z,20,FALSE))</f>
        <v/>
      </c>
    </row>
    <row r="161" spans="1:19" x14ac:dyDescent="0.45">
      <c r="A161" s="66" t="s">
        <v>2337</v>
      </c>
      <c r="B161" s="66" t="s">
        <v>2378</v>
      </c>
      <c r="C161" s="66" t="s">
        <v>2395</v>
      </c>
      <c r="D161" s="66">
        <f>D160+1</f>
        <v>138</v>
      </c>
      <c r="E161" s="64" t="str">
        <f t="shared" si="4"/>
        <v>DPC.Oph.138</v>
      </c>
      <c r="F161" t="str">
        <f>VLOOKUP(E161,TaskValues_ref!E:F,2,FALSE)</f>
        <v>School screenings for vision impairment</v>
      </c>
      <c r="G161" t="str">
        <f>VLOOKUP($E161,TaskValues_ref!$E:$Z,3,FALSE)</f>
        <v>Clinical</v>
      </c>
      <c r="H161" t="str">
        <f>VLOOKUP($E161,TaskValues_ref!$E:$Z,4,FALSE)</f>
        <v>Preventive</v>
      </c>
      <c r="I161" t="str">
        <f>VLOOKUP($E161,TaskValues_ref!$E:$Z,5,FALSE)</f>
        <v>NCDs</v>
      </c>
      <c r="J161" s="257" t="str">
        <f>VLOOKUP($E161,TaskValues_ref!$E:$Z,6,FALSE)</f>
        <v>15 yo</v>
      </c>
      <c r="K161" t="str">
        <f>VLOOKUP($E161,TaskValues_ref!$E:$Z,10,FALSE)</f>
        <v>Amhara</v>
      </c>
      <c r="L161" s="195" t="str">
        <f>IF(VLOOKUP($E161,TaskValues_ref!$E:$Z,11,FALSE)=0,"",VLOOKUP($E161,TaskValues_ref!$E:$Z,11,FALSE))</f>
        <v/>
      </c>
      <c r="M161" t="str">
        <f>IF(VLOOKUP($E161,TaskValues_ref!$E:$Z,13,FALSE)=0,"",VLOOKUP($E161,TaskValues_ref!$E:$Z,13,FALSE))</f>
        <v/>
      </c>
      <c r="N161" s="89" t="str">
        <f>IF(VLOOKUP($E161,TaskValues_ref!$E:$Z,15,FALSE)=0,"",VLOOKUP($E161,TaskValues_ref!$E:$Z,15,FALSE))</f>
        <v/>
      </c>
      <c r="O161" t="str">
        <f>IF(VLOOKUP($E161,TaskValues_ref!$E:$Z,16,FALSE)=0,"",VLOOKUP($E161,TaskValues_ref!$E:$Z,16,FALSE))</f>
        <v/>
      </c>
      <c r="P161" t="str">
        <f>IF(VLOOKUP($E161,TaskValues_ref!$E:$Z,17,FALSE)=0,"",VLOOKUP($E161,TaskValues_ref!$E:$Z,17,FALSE))</f>
        <v/>
      </c>
      <c r="Q161" t="str">
        <f>IF(VLOOKUP($E161,TaskValues_ref!$E:$Z,18,FALSE)=0,"",VLOOKUP($E161,TaskValues_ref!$E:$Z,18,FALSE))</f>
        <v/>
      </c>
      <c r="R161" t="str">
        <f>IF(VLOOKUP($E161,TaskValues_ref!$E:$Z,19,FALSE)=0,"",VLOOKUP($E161,TaskValues_ref!$E:$Z,19,FALSE))</f>
        <v/>
      </c>
      <c r="S161" t="str">
        <f>IF(VLOOKUP($E161,TaskValues_ref!$E:$Z,20,FALSE)=0,"",VLOOKUP($E161,TaskValues_ref!$E:$Z,20,FALSE))</f>
        <v/>
      </c>
    </row>
    <row r="162" spans="1:19" x14ac:dyDescent="0.45">
      <c r="A162" s="66" t="s">
        <v>2337</v>
      </c>
      <c r="B162" s="66" t="s">
        <v>2378</v>
      </c>
      <c r="C162" s="66" t="s">
        <v>2395</v>
      </c>
      <c r="D162" s="66">
        <f>D161+1</f>
        <v>139</v>
      </c>
      <c r="E162" s="64" t="str">
        <f t="shared" si="4"/>
        <v>DPC.Oph.139</v>
      </c>
      <c r="F162" t="str">
        <f>VLOOKUP(E162,TaskValues_ref!E:F,2,FALSE)</f>
        <v>Opportunistic screenings for vision impairment</v>
      </c>
      <c r="G162" t="str">
        <f>VLOOKUP($E162,TaskValues_ref!$E:$Z,3,FALSE)</f>
        <v>Clinical</v>
      </c>
      <c r="H162" t="str">
        <f>VLOOKUP($E162,TaskValues_ref!$E:$Z,4,FALSE)</f>
        <v>Preventive</v>
      </c>
      <c r="I162" t="str">
        <f>VLOOKUP($E162,TaskValues_ref!$E:$Z,5,FALSE)</f>
        <v>NCDs</v>
      </c>
      <c r="J162" s="257" t="str">
        <f>VLOOKUP($E162,TaskValues_ref!$E:$Z,6,FALSE)</f>
        <v>adults 18+</v>
      </c>
      <c r="K162" t="str">
        <f>VLOOKUP($E162,TaskValues_ref!$E:$Z,10,FALSE)</f>
        <v>Amhara</v>
      </c>
      <c r="L162" s="195">
        <f>IF(VLOOKUP($E162,TaskValues_ref!$E:$Z,11,FALSE)=0,"",VLOOKUP($E162,TaskValues_ref!$E:$Z,11,FALSE))</f>
        <v>0.2</v>
      </c>
      <c r="M162" t="str">
        <f>IF(VLOOKUP($E162,TaskValues_ref!$E:$Z,13,FALSE)=0,"",VLOOKUP($E162,TaskValues_ref!$E:$Z,13,FALSE))</f>
        <v/>
      </c>
      <c r="N162" s="89">
        <f>IF(VLOOKUP($E162,TaskValues_ref!$E:$Z,15,FALSE)=0,"",VLOOKUP($E162,TaskValues_ref!$E:$Z,15,FALSE))</f>
        <v>1</v>
      </c>
      <c r="O162">
        <f>IF(VLOOKUP($E162,TaskValues_ref!$E:$Z,16,FALSE)=0,"",VLOOKUP($E162,TaskValues_ref!$E:$Z,16,FALSE))</f>
        <v>1</v>
      </c>
      <c r="P162" t="str">
        <f>IF(VLOOKUP($E162,TaskValues_ref!$E:$Z,17,FALSE)=0,"",VLOOKUP($E162,TaskValues_ref!$E:$Z,17,FALSE))</f>
        <v/>
      </c>
      <c r="Q162">
        <f>IF(VLOOKUP($E162,TaskValues_ref!$E:$Z,18,FALSE)=0,"",VLOOKUP($E162,TaskValues_ref!$E:$Z,18,FALSE))</f>
        <v>15</v>
      </c>
      <c r="R162" t="str">
        <f>IF(VLOOKUP($E162,TaskValues_ref!$E:$Z,19,FALSE)=0,"",VLOOKUP($E162,TaskValues_ref!$E:$Z,19,FALSE))</f>
        <v/>
      </c>
      <c r="S162" t="str">
        <f>IF(VLOOKUP($E162,TaskValues_ref!$E:$Z,20,FALSE)=0,"",VLOOKUP($E162,TaskValues_ref!$E:$Z,20,FALSE))</f>
        <v/>
      </c>
    </row>
    <row r="163" spans="1:19" x14ac:dyDescent="0.45">
      <c r="A163" s="66" t="s">
        <v>2337</v>
      </c>
      <c r="B163" s="66" t="s">
        <v>2378</v>
      </c>
      <c r="C163" s="66" t="s">
        <v>2395</v>
      </c>
      <c r="D163" s="66">
        <f>D162+1</f>
        <v>140</v>
      </c>
      <c r="E163" s="64" t="str">
        <f t="shared" si="4"/>
        <v>DPC.Oph.140</v>
      </c>
      <c r="F163" t="str">
        <f>VLOOKUP(E163,TaskValues_ref!E:F,2,FALSE)</f>
        <v>Awareness &amp; screening for glaucoma</v>
      </c>
      <c r="G163" t="str">
        <f>VLOOKUP($E163,TaskValues_ref!$E:$Z,3,FALSE)</f>
        <v>Clinical</v>
      </c>
      <c r="H163" t="str">
        <f>VLOOKUP($E163,TaskValues_ref!$E:$Z,4,FALSE)</f>
        <v>Preventive</v>
      </c>
      <c r="I163" t="str">
        <f>VLOOKUP($E163,TaskValues_ref!$E:$Z,5,FALSE)</f>
        <v>NCDs</v>
      </c>
      <c r="J163" s="257" t="str">
        <f>VLOOKUP($E163,TaskValues_ref!$E:$Z,6,FALSE)</f>
        <v>50 yo adults</v>
      </c>
      <c r="K163" t="str">
        <f>VLOOKUP($E163,TaskValues_ref!$E:$Z,10,FALSE)</f>
        <v>Amhara</v>
      </c>
      <c r="L163" s="195" t="str">
        <f>IF(VLOOKUP($E163,TaskValues_ref!$E:$Z,11,FALSE)=0,"",VLOOKUP($E163,TaskValues_ref!$E:$Z,11,FALSE))</f>
        <v/>
      </c>
      <c r="M163" t="str">
        <f>IF(VLOOKUP($E163,TaskValues_ref!$E:$Z,13,FALSE)=0,"",VLOOKUP($E163,TaskValues_ref!$E:$Z,13,FALSE))</f>
        <v/>
      </c>
      <c r="N163" s="89">
        <f>IF(VLOOKUP($E163,TaskValues_ref!$E:$Z,15,FALSE)=0,"",VLOOKUP($E163,TaskValues_ref!$E:$Z,15,FALSE))</f>
        <v>1</v>
      </c>
      <c r="O163">
        <f>IF(VLOOKUP($E163,TaskValues_ref!$E:$Z,16,FALSE)=0,"",VLOOKUP($E163,TaskValues_ref!$E:$Z,16,FALSE))</f>
        <v>1</v>
      </c>
      <c r="P163" t="str">
        <f>IF(VLOOKUP($E163,TaskValues_ref!$E:$Z,17,FALSE)=0,"",VLOOKUP($E163,TaskValues_ref!$E:$Z,17,FALSE))</f>
        <v/>
      </c>
      <c r="Q163">
        <f>IF(VLOOKUP($E163,TaskValues_ref!$E:$Z,18,FALSE)=0,"",VLOOKUP($E163,TaskValues_ref!$E:$Z,18,FALSE))</f>
        <v>15</v>
      </c>
      <c r="R163" t="str">
        <f>IF(VLOOKUP($E163,TaskValues_ref!$E:$Z,19,FALSE)=0,"",VLOOKUP($E163,TaskValues_ref!$E:$Z,19,FALSE))</f>
        <v/>
      </c>
      <c r="S163" t="str">
        <f>IF(VLOOKUP($E163,TaskValues_ref!$E:$Z,20,FALSE)=0,"",VLOOKUP($E163,TaskValues_ref!$E:$Z,20,FALSE))</f>
        <v/>
      </c>
    </row>
    <row r="164" spans="1:19" x14ac:dyDescent="0.45">
      <c r="A164" s="66" t="s">
        <v>2337</v>
      </c>
      <c r="B164" s="66" t="s">
        <v>2378</v>
      </c>
      <c r="C164" s="66" t="s">
        <v>2395</v>
      </c>
      <c r="D164" s="66">
        <f>D163+1</f>
        <v>141</v>
      </c>
      <c r="E164" s="64" t="str">
        <f t="shared" si="4"/>
        <v>DPC.Oph.141</v>
      </c>
      <c r="F164" t="str">
        <f>VLOOKUP(E164,TaskValues_ref!E:F,2,FALSE)</f>
        <v>Common eye infection treatment</v>
      </c>
      <c r="G164" t="str">
        <f>VLOOKUP($E164,TaskValues_ref!$E:$Z,3,FALSE)</f>
        <v>Clinical</v>
      </c>
      <c r="H164" t="str">
        <f>VLOOKUP($E164,TaskValues_ref!$E:$Z,4,FALSE)</f>
        <v>Acute</v>
      </c>
      <c r="I164" t="str">
        <f>VLOOKUP($E164,TaskValues_ref!$E:$Z,5,FALSE)</f>
        <v>NCDs</v>
      </c>
      <c r="J164" s="257" t="str">
        <f>VLOOKUP($E164,TaskValues_ref!$E:$Z,6,FALSE)</f>
        <v>children 0-9</v>
      </c>
      <c r="K164" t="str">
        <f>VLOOKUP($E164,TaskValues_ref!$E:$Z,10,FALSE)</f>
        <v>Amhara</v>
      </c>
      <c r="L164" s="195">
        <f>IF(VLOOKUP($E164,TaskValues_ref!$E:$Z,11,FALSE)=0,"",VLOOKUP($E164,TaskValues_ref!$E:$Z,11,FALSE))</f>
        <v>0.155</v>
      </c>
      <c r="M164" t="str">
        <f>IF(VLOOKUP($E164,TaskValues_ref!$E:$Z,13,FALSE)=0,"",VLOOKUP($E164,TaskValues_ref!$E:$Z,13,FALSE))</f>
        <v/>
      </c>
      <c r="N164" s="89">
        <f>IF(VLOOKUP($E164,TaskValues_ref!$E:$Z,15,FALSE)=0,"",VLOOKUP($E164,TaskValues_ref!$E:$Z,15,FALSE))</f>
        <v>0.98499999999999999</v>
      </c>
      <c r="O164">
        <f>IF(VLOOKUP($E164,TaskValues_ref!$E:$Z,16,FALSE)=0,"",VLOOKUP($E164,TaskValues_ref!$E:$Z,16,FALSE))</f>
        <v>1</v>
      </c>
      <c r="P164" t="str">
        <f>IF(VLOOKUP($E164,TaskValues_ref!$E:$Z,17,FALSE)=0,"",VLOOKUP($E164,TaskValues_ref!$E:$Z,17,FALSE))</f>
        <v/>
      </c>
      <c r="Q164">
        <f>IF(VLOOKUP($E164,TaskValues_ref!$E:$Z,18,FALSE)=0,"",VLOOKUP($E164,TaskValues_ref!$E:$Z,18,FALSE))</f>
        <v>15</v>
      </c>
      <c r="R164" t="str">
        <f>IF(VLOOKUP($E164,TaskValues_ref!$E:$Z,19,FALSE)=0,"",VLOOKUP($E164,TaskValues_ref!$E:$Z,19,FALSE))</f>
        <v/>
      </c>
      <c r="S164" t="str">
        <f>IF(VLOOKUP($E164,TaskValues_ref!$E:$Z,20,FALSE)=0,"",VLOOKUP($E164,TaskValues_ref!$E:$Z,20,FALSE))</f>
        <v/>
      </c>
    </row>
    <row r="165" spans="1:19" x14ac:dyDescent="0.45">
      <c r="A165" s="66" t="s">
        <v>2337</v>
      </c>
      <c r="B165" s="66" t="s">
        <v>2378</v>
      </c>
      <c r="C165" s="66" t="s">
        <v>2396</v>
      </c>
      <c r="E165" s="64" t="s">
        <v>2592</v>
      </c>
      <c r="F165" t="str">
        <f>VLOOKUP(E165,TaskValues_ref!E:F,2,FALSE)</f>
        <v>Basic first aid</v>
      </c>
      <c r="G165" t="str">
        <f>VLOOKUP($E165,TaskValues_ref!$E:$Z,3,FALSE)</f>
        <v>Clinical</v>
      </c>
      <c r="H165" t="str">
        <f>VLOOKUP($E165,TaskValues_ref!$E:$Z,4,FALSE)</f>
        <v>Acute</v>
      </c>
      <c r="I165" t="str">
        <f>VLOOKUP($E165,TaskValues_ref!$E:$Z,5,FALSE)</f>
        <v>First aid</v>
      </c>
      <c r="J165" s="257" t="str">
        <f>VLOOKUP($E165,TaskValues_ref!$E:$Z,6,FALSE)</f>
        <v>all</v>
      </c>
      <c r="K165" t="str">
        <f>VLOOKUP($E165,TaskValues_ref!$E:$Z,10,FALSE)</f>
        <v>Amhara</v>
      </c>
      <c r="L165" s="195">
        <f>IF(VLOOKUP($E165,TaskValues_ref!$E:$Z,11,FALSE)=0,"",VLOOKUP($E165,TaskValues_ref!$E:$Z,11,FALSE))</f>
        <v>2.595121951219513E-3</v>
      </c>
      <c r="M165">
        <f>IF(VLOOKUP($E165,TaskValues_ref!$E:$Z,13,FALSE)=0,"",VLOOKUP($E165,TaskValues_ref!$E:$Z,13,FALSE))</f>
        <v>0.25</v>
      </c>
      <c r="N165" s="89">
        <f>IF(VLOOKUP($E165,TaskValues_ref!$E:$Z,15,FALSE)=0,"",VLOOKUP($E165,TaskValues_ref!$E:$Z,15,FALSE))</f>
        <v>1</v>
      </c>
      <c r="O165">
        <f>IF(VLOOKUP($E165,TaskValues_ref!$E:$Z,16,FALSE)=0,"",VLOOKUP($E165,TaskValues_ref!$E:$Z,16,FALSE))</f>
        <v>1</v>
      </c>
      <c r="P165" t="str">
        <f>IF(VLOOKUP($E165,TaskValues_ref!$E:$Z,17,FALSE)=0,"",VLOOKUP($E165,TaskValues_ref!$E:$Z,17,FALSE))</f>
        <v/>
      </c>
      <c r="Q165">
        <f>IF(VLOOKUP($E165,TaskValues_ref!$E:$Z,18,FALSE)=0,"",VLOOKUP($E165,TaskValues_ref!$E:$Z,18,FALSE))</f>
        <v>7</v>
      </c>
      <c r="R165" t="str">
        <f>IF(VLOOKUP($E165,TaskValues_ref!$E:$Z,19,FALSE)=0,"",VLOOKUP($E165,TaskValues_ref!$E:$Z,19,FALSE))</f>
        <v/>
      </c>
      <c r="S165" t="str">
        <f>IF(VLOOKUP($E165,TaskValues_ref!$E:$Z,20,FALSE)=0,"",VLOOKUP($E165,TaskValues_ref!$E:$Z,20,FALSE))</f>
        <v/>
      </c>
    </row>
    <row r="166" spans="1:19" x14ac:dyDescent="0.45">
      <c r="A166" s="66" t="s">
        <v>2337</v>
      </c>
      <c r="B166" s="66" t="s">
        <v>2378</v>
      </c>
      <c r="C166" s="66" t="s">
        <v>2396</v>
      </c>
      <c r="E166" s="64" t="s">
        <v>2594</v>
      </c>
      <c r="F166" t="str">
        <f>VLOOKUP(E166,TaskValues_ref!E:F,2,FALSE)</f>
        <v>Advanced first aid</v>
      </c>
      <c r="G166" t="str">
        <f>VLOOKUP($E166,TaskValues_ref!$E:$Z,3,FALSE)</f>
        <v>Clinical</v>
      </c>
      <c r="H166" t="str">
        <f>VLOOKUP($E166,TaskValues_ref!$E:$Z,4,FALSE)</f>
        <v>Acute</v>
      </c>
      <c r="I166" t="str">
        <f>VLOOKUP($E166,TaskValues_ref!$E:$Z,5,FALSE)</f>
        <v>First aid</v>
      </c>
      <c r="J166" s="257" t="str">
        <f>VLOOKUP($E166,TaskValues_ref!$E:$Z,6,FALSE)</f>
        <v>all</v>
      </c>
      <c r="K166" t="str">
        <f>VLOOKUP($E166,TaskValues_ref!$E:$Z,10,FALSE)</f>
        <v>Amhara</v>
      </c>
      <c r="L166" s="195">
        <f>IF(VLOOKUP($E166,TaskValues_ref!$E:$Z,11,FALSE)=0,"",VLOOKUP($E166,TaskValues_ref!$E:$Z,11,FALSE))</f>
        <v>2.9756097560975615E-3</v>
      </c>
      <c r="M166">
        <f>IF(VLOOKUP($E166,TaskValues_ref!$E:$Z,13,FALSE)=0,"",VLOOKUP($E166,TaskValues_ref!$E:$Z,13,FALSE))</f>
        <v>0.25</v>
      </c>
      <c r="N166" s="89">
        <f>IF(VLOOKUP($E166,TaskValues_ref!$E:$Z,15,FALSE)=0,"",VLOOKUP($E166,TaskValues_ref!$E:$Z,15,FALSE))</f>
        <v>1</v>
      </c>
      <c r="O166">
        <f>IF(VLOOKUP($E166,TaskValues_ref!$E:$Z,16,FALSE)=0,"",VLOOKUP($E166,TaskValues_ref!$E:$Z,16,FALSE))</f>
        <v>1</v>
      </c>
      <c r="P166" t="str">
        <f>IF(VLOOKUP($E166,TaskValues_ref!$E:$Z,17,FALSE)=0,"",VLOOKUP($E166,TaskValues_ref!$E:$Z,17,FALSE))</f>
        <v/>
      </c>
      <c r="Q166">
        <f>IF(VLOOKUP($E166,TaskValues_ref!$E:$Z,18,FALSE)=0,"",VLOOKUP($E166,TaskValues_ref!$E:$Z,18,FALSE))</f>
        <v>15</v>
      </c>
      <c r="R166" t="str">
        <f>IF(VLOOKUP($E166,TaskValues_ref!$E:$Z,19,FALSE)=0,"",VLOOKUP($E166,TaskValues_ref!$E:$Z,19,FALSE))</f>
        <v/>
      </c>
      <c r="S166" t="str">
        <f>IF(VLOOKUP($E166,TaskValues_ref!$E:$Z,20,FALSE)=0,"",VLOOKUP($E166,TaskValues_ref!$E:$Z,20,FALSE))</f>
        <v/>
      </c>
    </row>
    <row r="167" spans="1:19" x14ac:dyDescent="0.45">
      <c r="A167" s="66" t="s">
        <v>2337</v>
      </c>
      <c r="B167" s="66" t="s">
        <v>2448</v>
      </c>
      <c r="D167" s="66">
        <v>152</v>
      </c>
      <c r="E167" s="64" t="str">
        <f>_xlfn.CONCAT("DPC.OutPt.",D167)</f>
        <v>DPC.OutPt.152</v>
      </c>
      <c r="F167" t="str">
        <f>VLOOKUP(E167,TaskValues_ref!E:F,2,FALSE)</f>
        <v>Assorted adult outpatient</v>
      </c>
      <c r="G167" t="str">
        <f>VLOOKUP($E167,TaskValues_ref!$E:$Z,3,FALSE)</f>
        <v>Clinical</v>
      </c>
      <c r="H167" t="str">
        <f>VLOOKUP($E167,TaskValues_ref!$E:$Z,4,FALSE)</f>
        <v>Acute</v>
      </c>
      <c r="I167" t="str">
        <f>VLOOKUP($E167,TaskValues_ref!$E:$Z,5,FALSE)</f>
        <v>NCDs</v>
      </c>
      <c r="J167" s="257" t="str">
        <f>VLOOKUP($E167,TaskValues_ref!$E:$Z,6,FALSE)</f>
        <v>adults 18+</v>
      </c>
      <c r="K167" t="str">
        <f>VLOOKUP($E167,TaskValues_ref!$E:$Z,10,FALSE)</f>
        <v>Amhara</v>
      </c>
      <c r="L167" s="195">
        <f>IF(VLOOKUP($E167,TaskValues_ref!$E:$Z,11,FALSE)=0,"",VLOOKUP($E167,TaskValues_ref!$E:$Z,11,FALSE))</f>
        <v>1</v>
      </c>
      <c r="M167" t="str">
        <f>IF(VLOOKUP($E167,TaskValues_ref!$E:$Z,13,FALSE)=0,"",VLOOKUP($E167,TaskValues_ref!$E:$Z,13,FALSE))</f>
        <v/>
      </c>
      <c r="N167" s="89">
        <f>IF(VLOOKUP($E167,TaskValues_ref!$E:$Z,15,FALSE)=0,"",VLOOKUP($E167,TaskValues_ref!$E:$Z,15,FALSE))</f>
        <v>1</v>
      </c>
      <c r="O167">
        <f>IF(VLOOKUP($E167,TaskValues_ref!$E:$Z,16,FALSE)=0,"",VLOOKUP($E167,TaskValues_ref!$E:$Z,16,FALSE))</f>
        <v>1</v>
      </c>
      <c r="P167">
        <f>IF(VLOOKUP($E167,TaskValues_ref!$E:$Z,17,FALSE)=0,"",VLOOKUP($E167,TaskValues_ref!$E:$Z,17,FALSE))</f>
        <v>0.2</v>
      </c>
      <c r="Q167">
        <f>IF(VLOOKUP($E167,TaskValues_ref!$E:$Z,18,FALSE)=0,"",VLOOKUP($E167,TaskValues_ref!$E:$Z,18,FALSE))</f>
        <v>10</v>
      </c>
      <c r="R167" t="str">
        <f>IF(VLOOKUP($E167,TaskValues_ref!$E:$Z,19,FALSE)=0,"",VLOOKUP($E167,TaskValues_ref!$E:$Z,19,FALSE))</f>
        <v/>
      </c>
      <c r="S167" t="str">
        <f>IF(VLOOKUP($E167,TaskValues_ref!$E:$Z,20,FALSE)=0,"",VLOOKUP($E167,TaskValues_ref!$E:$Z,20,FALSE))</f>
        <v/>
      </c>
    </row>
    <row r="168" spans="1:19" x14ac:dyDescent="0.45">
      <c r="A168" s="66" t="s">
        <v>2337</v>
      </c>
      <c r="B168" s="66" t="s">
        <v>528</v>
      </c>
      <c r="D168" s="66">
        <v>156</v>
      </c>
      <c r="E168" s="64" t="s">
        <v>2451</v>
      </c>
      <c r="F168" t="str">
        <f>VLOOKUP(E168,TaskValues_ref!E:F,2,FALSE)</f>
        <v>Surveillance for NTDs</v>
      </c>
      <c r="G168" t="str">
        <f>VLOOKUP($E168,TaskValues_ref!$E:$Z,3,FALSE)</f>
        <v>Non-productive</v>
      </c>
      <c r="H168" t="str">
        <f>VLOOKUP($E168,TaskValues_ref!$E:$Z,4,FALSE)</f>
        <v>Public Health</v>
      </c>
      <c r="I168" t="str">
        <f>VLOOKUP($E168,TaskValues_ref!$E:$Z,5,FALSE)</f>
        <v>-</v>
      </c>
      <c r="J168" s="257" t="str">
        <f>VLOOKUP($E168,TaskValues_ref!$E:$Z,6,FALSE)</f>
        <v>-</v>
      </c>
      <c r="K168" t="str">
        <f>VLOOKUP($E168,TaskValues_ref!$E:$Z,10,FALSE)</f>
        <v>Amhara</v>
      </c>
      <c r="L168" s="195" t="str">
        <f>IF(VLOOKUP($E168,TaskValues_ref!$E:$Z,11,FALSE)=0,"",VLOOKUP($E168,TaskValues_ref!$E:$Z,11,FALSE))</f>
        <v/>
      </c>
      <c r="M168" t="str">
        <f>IF(VLOOKUP($E168,TaskValues_ref!$E:$Z,13,FALSE)=0,"",VLOOKUP($E168,TaskValues_ref!$E:$Z,13,FALSE))</f>
        <v/>
      </c>
      <c r="N168" s="89" t="str">
        <f>IF(VLOOKUP($E168,TaskValues_ref!$E:$Z,15,FALSE)=0,"",VLOOKUP($E168,TaskValues_ref!$E:$Z,15,FALSE))</f>
        <v/>
      </c>
      <c r="O168" t="str">
        <f>IF(VLOOKUP($E168,TaskValues_ref!$E:$Z,16,FALSE)=0,"",VLOOKUP($E168,TaskValues_ref!$E:$Z,16,FALSE))</f>
        <v/>
      </c>
      <c r="P168" t="str">
        <f>IF(VLOOKUP($E168,TaskValues_ref!$E:$Z,17,FALSE)=0,"",VLOOKUP($E168,TaskValues_ref!$E:$Z,17,FALSE))</f>
        <v/>
      </c>
      <c r="Q168" t="str">
        <f>IF(VLOOKUP($E168,TaskValues_ref!$E:$Z,18,FALSE)=0,"",VLOOKUP($E168,TaskValues_ref!$E:$Z,18,FALSE))</f>
        <v/>
      </c>
      <c r="R168" t="str">
        <f>IF(VLOOKUP($E168,TaskValues_ref!$E:$Z,19,FALSE)=0,"",VLOOKUP($E168,TaskValues_ref!$E:$Z,19,FALSE))</f>
        <v/>
      </c>
      <c r="S168" t="str">
        <f>IF(VLOOKUP($E168,TaskValues_ref!$E:$Z,20,FALSE)=0,"",VLOOKUP($E168,TaskValues_ref!$E:$Z,20,FALSE))</f>
        <v/>
      </c>
    </row>
    <row r="169" spans="1:19" x14ac:dyDescent="0.45">
      <c r="A169" s="66" t="s">
        <v>2337</v>
      </c>
      <c r="B169" s="66" t="s">
        <v>528</v>
      </c>
      <c r="C169" s="66" t="s">
        <v>2453</v>
      </c>
      <c r="D169" s="66">
        <f t="shared" ref="D169:D188" si="5">D168+1</f>
        <v>157</v>
      </c>
      <c r="E169" s="64" t="str">
        <f t="shared" ref="E169:E188" si="6">_xlfn.CONCAT("DPC.NTD.",D169)</f>
        <v>DPC.NTD.157</v>
      </c>
      <c r="F169" t="str">
        <f>VLOOKUP(E169,TaskValues_ref!E:F,2,FALSE)</f>
        <v>LF screening &amp; referral</v>
      </c>
      <c r="G169" t="str">
        <f>VLOOKUP($E169,TaskValues_ref!$E:$Z,3,FALSE)</f>
        <v>Clinical</v>
      </c>
      <c r="H169" t="str">
        <f>VLOOKUP($E169,TaskValues_ref!$E:$Z,4,FALSE)</f>
        <v>Acute</v>
      </c>
      <c r="I169" t="str">
        <f>VLOOKUP($E169,TaskValues_ref!$E:$Z,5,FALSE)</f>
        <v>NTDs</v>
      </c>
      <c r="J169" s="257" t="str">
        <f>VLOOKUP($E169,TaskValues_ref!$E:$Z,6,FALSE)</f>
        <v>adults 18+</v>
      </c>
      <c r="K169" t="str">
        <f>VLOOKUP($E169,TaskValues_ref!$E:$Z,10,FALSE)</f>
        <v>Amhara</v>
      </c>
      <c r="L169" s="195">
        <f>IF(VLOOKUP($E169,TaskValues_ref!$E:$Z,11,FALSE)=0,"",VLOOKUP($E169,TaskValues_ref!$E:$Z,11,FALSE))</f>
        <v>5.2961877439969256E-3</v>
      </c>
      <c r="M169" t="str">
        <f>IF(VLOOKUP($E169,TaskValues_ref!$E:$Z,13,FALSE)=0,"",VLOOKUP($E169,TaskValues_ref!$E:$Z,13,FALSE))</f>
        <v/>
      </c>
      <c r="N169" s="89">
        <f>IF(VLOOKUP($E169,TaskValues_ref!$E:$Z,15,FALSE)=0,"",VLOOKUP($E169,TaskValues_ref!$E:$Z,15,FALSE))</f>
        <v>0.98</v>
      </c>
      <c r="O169">
        <f>IF(VLOOKUP($E169,TaskValues_ref!$E:$Z,16,FALSE)=0,"",VLOOKUP($E169,TaskValues_ref!$E:$Z,16,FALSE))</f>
        <v>1</v>
      </c>
      <c r="P169" t="str">
        <f>IF(VLOOKUP($E169,TaskValues_ref!$E:$Z,17,FALSE)=0,"",VLOOKUP($E169,TaskValues_ref!$E:$Z,17,FALSE))</f>
        <v/>
      </c>
      <c r="Q169">
        <f>IF(VLOOKUP($E169,TaskValues_ref!$E:$Z,18,FALSE)=0,"",VLOOKUP($E169,TaskValues_ref!$E:$Z,18,FALSE))</f>
        <v>5</v>
      </c>
      <c r="R169" t="str">
        <f>IF(VLOOKUP($E169,TaskValues_ref!$E:$Z,19,FALSE)=0,"",VLOOKUP($E169,TaskValues_ref!$E:$Z,19,FALSE))</f>
        <v/>
      </c>
      <c r="S169" t="str">
        <f>IF(VLOOKUP($E169,TaskValues_ref!$E:$Z,20,FALSE)=0,"",VLOOKUP($E169,TaskValues_ref!$E:$Z,20,FALSE))</f>
        <v/>
      </c>
    </row>
    <row r="170" spans="1:19" x14ac:dyDescent="0.45">
      <c r="A170" s="66" t="s">
        <v>2337</v>
      </c>
      <c r="B170" s="66" t="s">
        <v>528</v>
      </c>
      <c r="C170" s="66" t="s">
        <v>2453</v>
      </c>
      <c r="D170" s="66">
        <f t="shared" si="5"/>
        <v>158</v>
      </c>
      <c r="E170" s="64" t="str">
        <f t="shared" si="6"/>
        <v>DPC.NTD.158</v>
      </c>
      <c r="F170" t="str">
        <f>VLOOKUP(E170,TaskValues_ref!E:F,2,FALSE)</f>
        <v>LF MDA</v>
      </c>
      <c r="G170" t="str">
        <f>VLOOKUP($E170,TaskValues_ref!$E:$Z,3,FALSE)</f>
        <v>Clinical</v>
      </c>
      <c r="H170" t="str">
        <f>VLOOKUP($E170,TaskValues_ref!$E:$Z,4,FALSE)</f>
        <v>Public Health</v>
      </c>
      <c r="I170" t="str">
        <f>VLOOKUP($E170,TaskValues_ref!$E:$Z,5,FALSE)</f>
        <v>NTDs</v>
      </c>
      <c r="J170" s="257" t="str">
        <f>VLOOKUP($E170,TaskValues_ref!$E:$Z,6,FALSE)</f>
        <v>-</v>
      </c>
      <c r="K170" t="str">
        <f>VLOOKUP($E170,TaskValues_ref!$E:$Z,10,FALSE)</f>
        <v>Amhara</v>
      </c>
      <c r="L170" s="195" t="str">
        <f>IF(VLOOKUP($E170,TaskValues_ref!$E:$Z,11,FALSE)=0,"",VLOOKUP($E170,TaskValues_ref!$E:$Z,11,FALSE))</f>
        <v/>
      </c>
      <c r="M170" t="str">
        <f>IF(VLOOKUP($E170,TaskValues_ref!$E:$Z,13,FALSE)=0,"",VLOOKUP($E170,TaskValues_ref!$E:$Z,13,FALSE))</f>
        <v/>
      </c>
      <c r="N170" s="89" t="str">
        <f>IF(VLOOKUP($E170,TaskValues_ref!$E:$Z,15,FALSE)=0,"",VLOOKUP($E170,TaskValues_ref!$E:$Z,15,FALSE))</f>
        <v/>
      </c>
      <c r="O170" t="str">
        <f>IF(VLOOKUP($E170,TaskValues_ref!$E:$Z,16,FALSE)=0,"",VLOOKUP($E170,TaskValues_ref!$E:$Z,16,FALSE))</f>
        <v/>
      </c>
      <c r="P170" t="str">
        <f>IF(VLOOKUP($E170,TaskValues_ref!$E:$Z,17,FALSE)=0,"",VLOOKUP($E170,TaskValues_ref!$E:$Z,17,FALSE))</f>
        <v/>
      </c>
      <c r="Q170" t="str">
        <f>IF(VLOOKUP($E170,TaskValues_ref!$E:$Z,18,FALSE)=0,"",VLOOKUP($E170,TaskValues_ref!$E:$Z,18,FALSE))</f>
        <v/>
      </c>
      <c r="R170" t="str">
        <f>IF(VLOOKUP($E170,TaskValues_ref!$E:$Z,19,FALSE)=0,"",VLOOKUP($E170,TaskValues_ref!$E:$Z,19,FALSE))</f>
        <v/>
      </c>
      <c r="S170" t="str">
        <f>IF(VLOOKUP($E170,TaskValues_ref!$E:$Z,20,FALSE)=0,"",VLOOKUP($E170,TaskValues_ref!$E:$Z,20,FALSE))</f>
        <v/>
      </c>
    </row>
    <row r="171" spans="1:19" x14ac:dyDescent="0.45">
      <c r="A171" s="66" t="s">
        <v>2337</v>
      </c>
      <c r="B171" s="66" t="s">
        <v>528</v>
      </c>
      <c r="C171" s="66" t="s">
        <v>2453</v>
      </c>
      <c r="D171" s="66">
        <f t="shared" si="5"/>
        <v>159</v>
      </c>
      <c r="E171" s="64" t="str">
        <f t="shared" si="6"/>
        <v>DPC.NTD.159</v>
      </c>
      <c r="F171" t="str">
        <f>VLOOKUP(E171,TaskValues_ref!E:F,2,FALSE)</f>
        <v>LLINs and IRS</v>
      </c>
      <c r="G171" t="str">
        <f>VLOOKUP($E171,TaskValues_ref!$E:$Z,3,FALSE)</f>
        <v>Non-clinical</v>
      </c>
      <c r="H171" t="str">
        <f>VLOOKUP($E171,TaskValues_ref!$E:$Z,4,FALSE)</f>
        <v>Public Health</v>
      </c>
      <c r="I171" t="str">
        <f>VLOOKUP($E171,TaskValues_ref!$E:$Z,5,FALSE)</f>
        <v>NTDs</v>
      </c>
      <c r="J171" s="257" t="str">
        <f>VLOOKUP($E171,TaskValues_ref!$E:$Z,6,FALSE)</f>
        <v>all</v>
      </c>
      <c r="K171" t="str">
        <f>VLOOKUP($E171,TaskValues_ref!$E:$Z,10,FALSE)</f>
        <v>Amhara</v>
      </c>
      <c r="L171" s="195">
        <f>IF(VLOOKUP($E171,TaskValues_ref!$E:$Z,11,FALSE)=0,"",VLOOKUP($E171,TaskValues_ref!$E:$Z,11,FALSE))</f>
        <v>0.25</v>
      </c>
      <c r="M171" t="str">
        <f>IF(VLOOKUP($E171,TaskValues_ref!$E:$Z,13,FALSE)=0,"",VLOOKUP($E171,TaskValues_ref!$E:$Z,13,FALSE))</f>
        <v/>
      </c>
      <c r="N171" s="89" t="str">
        <f>IF(VLOOKUP($E171,TaskValues_ref!$E:$Z,15,FALSE)=0,"",VLOOKUP($E171,TaskValues_ref!$E:$Z,15,FALSE))</f>
        <v/>
      </c>
      <c r="O171" t="str">
        <f>IF(VLOOKUP($E171,TaskValues_ref!$E:$Z,16,FALSE)=0,"",VLOOKUP($E171,TaskValues_ref!$E:$Z,16,FALSE))</f>
        <v/>
      </c>
      <c r="P171">
        <f>IF(VLOOKUP($E171,TaskValues_ref!$E:$Z,17,FALSE)=0,"",VLOOKUP($E171,TaskValues_ref!$E:$Z,17,FALSE))</f>
        <v>1</v>
      </c>
      <c r="Q171">
        <f>IF(VLOOKUP($E171,TaskValues_ref!$E:$Z,18,FALSE)=0,"",VLOOKUP($E171,TaskValues_ref!$E:$Z,18,FALSE))</f>
        <v>5</v>
      </c>
      <c r="R171" t="str">
        <f>IF(VLOOKUP($E171,TaskValues_ref!$E:$Z,19,FALSE)=0,"",VLOOKUP($E171,TaskValues_ref!$E:$Z,19,FALSE))</f>
        <v/>
      </c>
      <c r="S171" t="str">
        <f>IF(VLOOKUP($E171,TaskValues_ref!$E:$Z,20,FALSE)=0,"",VLOOKUP($E171,TaskValues_ref!$E:$Z,20,FALSE))</f>
        <v/>
      </c>
    </row>
    <row r="172" spans="1:19" x14ac:dyDescent="0.45">
      <c r="A172" s="66" t="s">
        <v>2337</v>
      </c>
      <c r="B172" s="66" t="s">
        <v>528</v>
      </c>
      <c r="C172" s="66" t="s">
        <v>406</v>
      </c>
      <c r="D172" s="66">
        <f t="shared" si="5"/>
        <v>160</v>
      </c>
      <c r="E172" s="64" t="str">
        <f t="shared" si="6"/>
        <v>DPC.NTD.160</v>
      </c>
      <c r="F172" t="str">
        <f>VLOOKUP(E172,TaskValues_ref!E:F,2,FALSE)</f>
        <v>LF behavior change</v>
      </c>
      <c r="G172" t="str">
        <f>VLOOKUP($E172,TaskValues_ref!$E:$Z,3,FALSE)</f>
        <v>Non-clinical</v>
      </c>
      <c r="H172" t="str">
        <f>VLOOKUP($E172,TaskValues_ref!$E:$Z,4,FALSE)</f>
        <v>Public Health</v>
      </c>
      <c r="I172" t="str">
        <f>VLOOKUP($E172,TaskValues_ref!$E:$Z,5,FALSE)</f>
        <v>NTDs</v>
      </c>
      <c r="J172" s="257" t="str">
        <f>VLOOKUP($E172,TaskValues_ref!$E:$Z,6,FALSE)</f>
        <v>-</v>
      </c>
      <c r="K172" t="str">
        <f>VLOOKUP($E172,TaskValues_ref!$E:$Z,10,FALSE)</f>
        <v>Amhara</v>
      </c>
      <c r="L172" s="195" t="str">
        <f>IF(VLOOKUP($E172,TaskValues_ref!$E:$Z,11,FALSE)=0,"",VLOOKUP($E172,TaskValues_ref!$E:$Z,11,FALSE))</f>
        <v/>
      </c>
      <c r="M172" t="str">
        <f>IF(VLOOKUP($E172,TaskValues_ref!$E:$Z,13,FALSE)=0,"",VLOOKUP($E172,TaskValues_ref!$E:$Z,13,FALSE))</f>
        <v/>
      </c>
      <c r="N172" s="89" t="str">
        <f>IF(VLOOKUP($E172,TaskValues_ref!$E:$Z,15,FALSE)=0,"",VLOOKUP($E172,TaskValues_ref!$E:$Z,15,FALSE))</f>
        <v/>
      </c>
      <c r="O172" t="str">
        <f>IF(VLOOKUP($E172,TaskValues_ref!$E:$Z,16,FALSE)=0,"",VLOOKUP($E172,TaskValues_ref!$E:$Z,16,FALSE))</f>
        <v/>
      </c>
      <c r="P172" t="str">
        <f>IF(VLOOKUP($E172,TaskValues_ref!$E:$Z,17,FALSE)=0,"",VLOOKUP($E172,TaskValues_ref!$E:$Z,17,FALSE))</f>
        <v/>
      </c>
      <c r="Q172" t="str">
        <f>IF(VLOOKUP($E172,TaskValues_ref!$E:$Z,18,FALSE)=0,"",VLOOKUP($E172,TaskValues_ref!$E:$Z,18,FALSE))</f>
        <v/>
      </c>
      <c r="R172" t="str">
        <f>IF(VLOOKUP($E172,TaskValues_ref!$E:$Z,19,FALSE)=0,"",VLOOKUP($E172,TaskValues_ref!$E:$Z,19,FALSE))</f>
        <v/>
      </c>
      <c r="S172" t="str">
        <f>IF(VLOOKUP($E172,TaskValues_ref!$E:$Z,20,FALSE)=0,"",VLOOKUP($E172,TaskValues_ref!$E:$Z,20,FALSE))</f>
        <v/>
      </c>
    </row>
    <row r="173" spans="1:19" x14ac:dyDescent="0.45">
      <c r="A173" s="66" t="s">
        <v>2337</v>
      </c>
      <c r="B173" s="66" t="s">
        <v>528</v>
      </c>
      <c r="C173" s="66" t="s">
        <v>410</v>
      </c>
      <c r="D173" s="66">
        <f t="shared" si="5"/>
        <v>161</v>
      </c>
      <c r="E173" s="64" t="str">
        <f t="shared" si="6"/>
        <v>DPC.NTD.161</v>
      </c>
      <c r="F173" t="str">
        <f>VLOOKUP(E173,TaskValues_ref!E:F,2,FALSE)</f>
        <v>Oncho MDA</v>
      </c>
      <c r="G173" t="str">
        <f>VLOOKUP($E173,TaskValues_ref!$E:$Z,3,FALSE)</f>
        <v>Clinical</v>
      </c>
      <c r="H173" t="str">
        <f>VLOOKUP($E173,TaskValues_ref!$E:$Z,4,FALSE)</f>
        <v>Public Health</v>
      </c>
      <c r="I173" t="str">
        <f>VLOOKUP($E173,TaskValues_ref!$E:$Z,5,FALSE)</f>
        <v>NTDs</v>
      </c>
      <c r="J173" s="257" t="str">
        <f>VLOOKUP($E173,TaskValues_ref!$E:$Z,6,FALSE)</f>
        <v>-</v>
      </c>
      <c r="K173" t="str">
        <f>VLOOKUP($E173,TaskValues_ref!$E:$Z,10,FALSE)</f>
        <v>Amhara</v>
      </c>
      <c r="L173" s="195" t="str">
        <f>IF(VLOOKUP($E173,TaskValues_ref!$E:$Z,11,FALSE)=0,"",VLOOKUP($E173,TaskValues_ref!$E:$Z,11,FALSE))</f>
        <v/>
      </c>
      <c r="M173" t="str">
        <f>IF(VLOOKUP($E173,TaskValues_ref!$E:$Z,13,FALSE)=0,"",VLOOKUP($E173,TaskValues_ref!$E:$Z,13,FALSE))</f>
        <v/>
      </c>
      <c r="N173" s="89" t="str">
        <f>IF(VLOOKUP($E173,TaskValues_ref!$E:$Z,15,FALSE)=0,"",VLOOKUP($E173,TaskValues_ref!$E:$Z,15,FALSE))</f>
        <v/>
      </c>
      <c r="O173" t="str">
        <f>IF(VLOOKUP($E173,TaskValues_ref!$E:$Z,16,FALSE)=0,"",VLOOKUP($E173,TaskValues_ref!$E:$Z,16,FALSE))</f>
        <v/>
      </c>
      <c r="P173" t="str">
        <f>IF(VLOOKUP($E173,TaskValues_ref!$E:$Z,17,FALSE)=0,"",VLOOKUP($E173,TaskValues_ref!$E:$Z,17,FALSE))</f>
        <v/>
      </c>
      <c r="Q173" t="str">
        <f>IF(VLOOKUP($E173,TaskValues_ref!$E:$Z,18,FALSE)=0,"",VLOOKUP($E173,TaskValues_ref!$E:$Z,18,FALSE))</f>
        <v/>
      </c>
      <c r="R173" t="str">
        <f>IF(VLOOKUP($E173,TaskValues_ref!$E:$Z,19,FALSE)=0,"",VLOOKUP($E173,TaskValues_ref!$E:$Z,19,FALSE))</f>
        <v/>
      </c>
      <c r="S173" t="str">
        <f>IF(VLOOKUP($E173,TaskValues_ref!$E:$Z,20,FALSE)=0,"",VLOOKUP($E173,TaskValues_ref!$E:$Z,20,FALSE))</f>
        <v/>
      </c>
    </row>
    <row r="174" spans="1:19" x14ac:dyDescent="0.45">
      <c r="A174" s="66" t="s">
        <v>2337</v>
      </c>
      <c r="B174" s="66" t="s">
        <v>528</v>
      </c>
      <c r="C174" s="66" t="s">
        <v>410</v>
      </c>
      <c r="D174" s="66">
        <f t="shared" si="5"/>
        <v>162</v>
      </c>
      <c r="E174" s="64" t="str">
        <f t="shared" si="6"/>
        <v>DPC.NTD.162</v>
      </c>
      <c r="F174" t="str">
        <f>VLOOKUP(E174,TaskValues_ref!E:F,2,FALSE)</f>
        <v>Oncho behavior change</v>
      </c>
      <c r="G174" t="str">
        <f>VLOOKUP($E174,TaskValues_ref!$E:$Z,3,FALSE)</f>
        <v>Non-clinical</v>
      </c>
      <c r="H174" t="str">
        <f>VLOOKUP($E174,TaskValues_ref!$E:$Z,4,FALSE)</f>
        <v>Public Health</v>
      </c>
      <c r="I174" t="str">
        <f>VLOOKUP($E174,TaskValues_ref!$E:$Z,5,FALSE)</f>
        <v>NTDs</v>
      </c>
      <c r="J174" s="257" t="str">
        <f>VLOOKUP($E174,TaskValues_ref!$E:$Z,6,FALSE)</f>
        <v>-</v>
      </c>
      <c r="K174" t="str">
        <f>VLOOKUP($E174,TaskValues_ref!$E:$Z,10,FALSE)</f>
        <v>Amhara</v>
      </c>
      <c r="L174" s="195" t="str">
        <f>IF(VLOOKUP($E174,TaskValues_ref!$E:$Z,11,FALSE)=0,"",VLOOKUP($E174,TaskValues_ref!$E:$Z,11,FALSE))</f>
        <v/>
      </c>
      <c r="M174" t="str">
        <f>IF(VLOOKUP($E174,TaskValues_ref!$E:$Z,13,FALSE)=0,"",VLOOKUP($E174,TaskValues_ref!$E:$Z,13,FALSE))</f>
        <v/>
      </c>
      <c r="N174" s="89" t="str">
        <f>IF(VLOOKUP($E174,TaskValues_ref!$E:$Z,15,FALSE)=0,"",VLOOKUP($E174,TaskValues_ref!$E:$Z,15,FALSE))</f>
        <v/>
      </c>
      <c r="O174" t="str">
        <f>IF(VLOOKUP($E174,TaskValues_ref!$E:$Z,16,FALSE)=0,"",VLOOKUP($E174,TaskValues_ref!$E:$Z,16,FALSE))</f>
        <v/>
      </c>
      <c r="P174" t="str">
        <f>IF(VLOOKUP($E174,TaskValues_ref!$E:$Z,17,FALSE)=0,"",VLOOKUP($E174,TaskValues_ref!$E:$Z,17,FALSE))</f>
        <v/>
      </c>
      <c r="Q174" t="str">
        <f>IF(VLOOKUP($E174,TaskValues_ref!$E:$Z,18,FALSE)=0,"",VLOOKUP($E174,TaskValues_ref!$E:$Z,18,FALSE))</f>
        <v/>
      </c>
      <c r="R174" t="str">
        <f>IF(VLOOKUP($E174,TaskValues_ref!$E:$Z,19,FALSE)=0,"",VLOOKUP($E174,TaskValues_ref!$E:$Z,19,FALSE))</f>
        <v/>
      </c>
      <c r="S174" t="str">
        <f>IF(VLOOKUP($E174,TaskValues_ref!$E:$Z,20,FALSE)=0,"",VLOOKUP($E174,TaskValues_ref!$E:$Z,20,FALSE))</f>
        <v/>
      </c>
    </row>
    <row r="175" spans="1:19" x14ac:dyDescent="0.45">
      <c r="A175" s="66" t="s">
        <v>2337</v>
      </c>
      <c r="B175" s="66" t="s">
        <v>528</v>
      </c>
      <c r="C175" s="66" t="s">
        <v>410</v>
      </c>
      <c r="D175" s="66">
        <f t="shared" si="5"/>
        <v>163</v>
      </c>
      <c r="E175" s="64" t="str">
        <f t="shared" si="6"/>
        <v>DPC.NTD.163</v>
      </c>
      <c r="F175" t="str">
        <f>VLOOKUP(E175,TaskValues_ref!E:F,2,FALSE)</f>
        <v>Trachoma behavior change</v>
      </c>
      <c r="G175" t="str">
        <f>VLOOKUP($E175,TaskValues_ref!$E:$Z,3,FALSE)</f>
        <v>Non-clinical</v>
      </c>
      <c r="H175" t="str">
        <f>VLOOKUP($E175,TaskValues_ref!$E:$Z,4,FALSE)</f>
        <v>Public Health</v>
      </c>
      <c r="I175" t="str">
        <f>VLOOKUP($E175,TaskValues_ref!$E:$Z,5,FALSE)</f>
        <v>NTDs</v>
      </c>
      <c r="J175" s="257" t="str">
        <f>VLOOKUP($E175,TaskValues_ref!$E:$Z,6,FALSE)</f>
        <v>-</v>
      </c>
      <c r="K175" t="str">
        <f>VLOOKUP($E175,TaskValues_ref!$E:$Z,10,FALSE)</f>
        <v>Amhara</v>
      </c>
      <c r="L175" s="195" t="str">
        <f>IF(VLOOKUP($E175,TaskValues_ref!$E:$Z,11,FALSE)=0,"",VLOOKUP($E175,TaskValues_ref!$E:$Z,11,FALSE))</f>
        <v/>
      </c>
      <c r="M175" t="str">
        <f>IF(VLOOKUP($E175,TaskValues_ref!$E:$Z,13,FALSE)=0,"",VLOOKUP($E175,TaskValues_ref!$E:$Z,13,FALSE))</f>
        <v/>
      </c>
      <c r="N175" s="89" t="str">
        <f>IF(VLOOKUP($E175,TaskValues_ref!$E:$Z,15,FALSE)=0,"",VLOOKUP($E175,TaskValues_ref!$E:$Z,15,FALSE))</f>
        <v/>
      </c>
      <c r="O175" t="str">
        <f>IF(VLOOKUP($E175,TaskValues_ref!$E:$Z,16,FALSE)=0,"",VLOOKUP($E175,TaskValues_ref!$E:$Z,16,FALSE))</f>
        <v/>
      </c>
      <c r="P175" t="str">
        <f>IF(VLOOKUP($E175,TaskValues_ref!$E:$Z,17,FALSE)=0,"",VLOOKUP($E175,TaskValues_ref!$E:$Z,17,FALSE))</f>
        <v/>
      </c>
      <c r="Q175" t="str">
        <f>IF(VLOOKUP($E175,TaskValues_ref!$E:$Z,18,FALSE)=0,"",VLOOKUP($E175,TaskValues_ref!$E:$Z,18,FALSE))</f>
        <v/>
      </c>
      <c r="R175" t="str">
        <f>IF(VLOOKUP($E175,TaskValues_ref!$E:$Z,19,FALSE)=0,"",VLOOKUP($E175,TaskValues_ref!$E:$Z,19,FALSE))</f>
        <v/>
      </c>
      <c r="S175" t="str">
        <f>IF(VLOOKUP($E175,TaskValues_ref!$E:$Z,20,FALSE)=0,"",VLOOKUP($E175,TaskValues_ref!$E:$Z,20,FALSE))</f>
        <v/>
      </c>
    </row>
    <row r="176" spans="1:19" x14ac:dyDescent="0.45">
      <c r="A176" s="66" t="s">
        <v>2337</v>
      </c>
      <c r="B176" s="66" t="s">
        <v>528</v>
      </c>
      <c r="C176" s="66" t="s">
        <v>410</v>
      </c>
      <c r="D176" s="66">
        <f t="shared" si="5"/>
        <v>164</v>
      </c>
      <c r="E176" s="64" t="str">
        <f t="shared" si="6"/>
        <v>DPC.NTD.164</v>
      </c>
      <c r="F176" t="str">
        <f>VLOOKUP(E176,TaskValues_ref!E:F,2,FALSE)</f>
        <v>Promote water and sanitation</v>
      </c>
      <c r="G176" t="str">
        <f>VLOOKUP($E176,TaskValues_ref!$E:$Z,3,FALSE)</f>
        <v>Non-clinical</v>
      </c>
      <c r="H176" t="str">
        <f>VLOOKUP($E176,TaskValues_ref!$E:$Z,4,FALSE)</f>
        <v>Public Health</v>
      </c>
      <c r="I176" t="str">
        <f>VLOOKUP($E176,TaskValues_ref!$E:$Z,5,FALSE)</f>
        <v>NTDs</v>
      </c>
      <c r="J176" s="257" t="str">
        <f>VLOOKUP($E176,TaskValues_ref!$E:$Z,6,FALSE)</f>
        <v>-</v>
      </c>
      <c r="K176" t="str">
        <f>VLOOKUP($E176,TaskValues_ref!$E:$Z,10,FALSE)</f>
        <v>Amhara</v>
      </c>
      <c r="L176" s="195" t="str">
        <f>IF(VLOOKUP($E176,TaskValues_ref!$E:$Z,11,FALSE)=0,"",VLOOKUP($E176,TaskValues_ref!$E:$Z,11,FALSE))</f>
        <v/>
      </c>
      <c r="M176" t="str">
        <f>IF(VLOOKUP($E176,TaskValues_ref!$E:$Z,13,FALSE)=0,"",VLOOKUP($E176,TaskValues_ref!$E:$Z,13,FALSE))</f>
        <v/>
      </c>
      <c r="N176" s="89" t="str">
        <f>IF(VLOOKUP($E176,TaskValues_ref!$E:$Z,15,FALSE)=0,"",VLOOKUP($E176,TaskValues_ref!$E:$Z,15,FALSE))</f>
        <v/>
      </c>
      <c r="O176" t="str">
        <f>IF(VLOOKUP($E176,TaskValues_ref!$E:$Z,16,FALSE)=0,"",VLOOKUP($E176,TaskValues_ref!$E:$Z,16,FALSE))</f>
        <v/>
      </c>
      <c r="P176" t="str">
        <f>IF(VLOOKUP($E176,TaskValues_ref!$E:$Z,17,FALSE)=0,"",VLOOKUP($E176,TaskValues_ref!$E:$Z,17,FALSE))</f>
        <v/>
      </c>
      <c r="Q176" t="str">
        <f>IF(VLOOKUP($E176,TaskValues_ref!$E:$Z,18,FALSE)=0,"",VLOOKUP($E176,TaskValues_ref!$E:$Z,18,FALSE))</f>
        <v/>
      </c>
      <c r="R176" t="str">
        <f>IF(VLOOKUP($E176,TaskValues_ref!$E:$Z,19,FALSE)=0,"",VLOOKUP($E176,TaskValues_ref!$E:$Z,19,FALSE))</f>
        <v/>
      </c>
      <c r="S176" t="str">
        <f>IF(VLOOKUP($E176,TaskValues_ref!$E:$Z,20,FALSE)=0,"",VLOOKUP($E176,TaskValues_ref!$E:$Z,20,FALSE))</f>
        <v/>
      </c>
    </row>
    <row r="177" spans="1:19" x14ac:dyDescent="0.45">
      <c r="A177" s="66" t="s">
        <v>2337</v>
      </c>
      <c r="B177" s="66" t="s">
        <v>528</v>
      </c>
      <c r="C177" s="66" t="s">
        <v>410</v>
      </c>
      <c r="D177" s="66">
        <f t="shared" si="5"/>
        <v>165</v>
      </c>
      <c r="E177" s="64" t="str">
        <f t="shared" si="6"/>
        <v>DPC.NTD.165</v>
      </c>
      <c r="F177" t="str">
        <f>VLOOKUP(E177,TaskValues_ref!E:F,2,FALSE)</f>
        <v>Dx &amp; treat trachoma</v>
      </c>
      <c r="G177" t="str">
        <f>VLOOKUP($E177,TaskValues_ref!$E:$Z,3,FALSE)</f>
        <v>Clinical</v>
      </c>
      <c r="H177" t="str">
        <f>VLOOKUP($E177,TaskValues_ref!$E:$Z,4,FALSE)</f>
        <v>Acute</v>
      </c>
      <c r="I177" t="str">
        <f>VLOOKUP($E177,TaskValues_ref!$E:$Z,5,FALSE)</f>
        <v>NTDs</v>
      </c>
      <c r="J177" s="257" t="str">
        <f>VLOOKUP($E177,TaskValues_ref!$E:$Z,6,FALSE)</f>
        <v>children 0-9</v>
      </c>
      <c r="K177" t="str">
        <f>VLOOKUP($E177,TaskValues_ref!$E:$Z,10,FALSE)</f>
        <v>Amhara</v>
      </c>
      <c r="L177" s="195">
        <f>IF(VLOOKUP($E177,TaskValues_ref!$E:$Z,11,FALSE)=0,"",VLOOKUP($E177,TaskValues_ref!$E:$Z,11,FALSE))</f>
        <v>1.0375000000000001E-2</v>
      </c>
      <c r="M177" t="str">
        <f>IF(VLOOKUP($E177,TaskValues_ref!$E:$Z,13,FALSE)=0,"",VLOOKUP($E177,TaskValues_ref!$E:$Z,13,FALSE))</f>
        <v/>
      </c>
      <c r="N177" s="89">
        <f>IF(VLOOKUP($E177,TaskValues_ref!$E:$Z,15,FALSE)=0,"",VLOOKUP($E177,TaskValues_ref!$E:$Z,15,FALSE))</f>
        <v>0.98</v>
      </c>
      <c r="O177">
        <f>IF(VLOOKUP($E177,TaskValues_ref!$E:$Z,16,FALSE)=0,"",VLOOKUP($E177,TaskValues_ref!$E:$Z,16,FALSE))</f>
        <v>1</v>
      </c>
      <c r="P177" t="str">
        <f>IF(VLOOKUP($E177,TaskValues_ref!$E:$Z,17,FALSE)=0,"",VLOOKUP($E177,TaskValues_ref!$E:$Z,17,FALSE))</f>
        <v/>
      </c>
      <c r="Q177">
        <f>IF(VLOOKUP($E177,TaskValues_ref!$E:$Z,18,FALSE)=0,"",VLOOKUP($E177,TaskValues_ref!$E:$Z,18,FALSE))</f>
        <v>5</v>
      </c>
      <c r="R177" t="str">
        <f>IF(VLOOKUP($E177,TaskValues_ref!$E:$Z,19,FALSE)=0,"",VLOOKUP($E177,TaskValues_ref!$E:$Z,19,FALSE))</f>
        <v/>
      </c>
      <c r="S177" t="str">
        <f>IF(VLOOKUP($E177,TaskValues_ref!$E:$Z,20,FALSE)=0,"",VLOOKUP($E177,TaskValues_ref!$E:$Z,20,FALSE))</f>
        <v/>
      </c>
    </row>
    <row r="178" spans="1:19" x14ac:dyDescent="0.45">
      <c r="A178" s="66" t="s">
        <v>2337</v>
      </c>
      <c r="B178" s="66" t="s">
        <v>528</v>
      </c>
      <c r="C178" s="66" t="s">
        <v>2454</v>
      </c>
      <c r="D178" s="66">
        <f t="shared" si="5"/>
        <v>166</v>
      </c>
      <c r="E178" s="64" t="str">
        <f t="shared" si="6"/>
        <v>DPC.NTD.166</v>
      </c>
      <c r="F178" t="str">
        <f>VLOOKUP(E178,TaskValues_ref!E:F,2,FALSE)</f>
        <v>Trochomatous trichiasis surgery</v>
      </c>
      <c r="G178" t="str">
        <f>VLOOKUP($E178,TaskValues_ref!$E:$Z,3,FALSE)</f>
        <v>Clinical</v>
      </c>
      <c r="H178" t="str">
        <f>VLOOKUP($E178,TaskValues_ref!$E:$Z,4,FALSE)</f>
        <v>Acute</v>
      </c>
      <c r="I178" t="str">
        <f>VLOOKUP($E178,TaskValues_ref!$E:$Z,5,FALSE)</f>
        <v>NTDs</v>
      </c>
      <c r="J178" s="257" t="str">
        <f>VLOOKUP($E178,TaskValues_ref!$E:$Z,6,FALSE)</f>
        <v>adults 18+</v>
      </c>
      <c r="K178" t="str">
        <f>VLOOKUP($E178,TaskValues_ref!$E:$Z,10,FALSE)</f>
        <v>Amhara</v>
      </c>
      <c r="L178" s="195" t="str">
        <f>IF(VLOOKUP($E178,TaskValues_ref!$E:$Z,11,FALSE)=0,"",VLOOKUP($E178,TaskValues_ref!$E:$Z,11,FALSE))</f>
        <v/>
      </c>
      <c r="M178" t="str">
        <f>IF(VLOOKUP($E178,TaskValues_ref!$E:$Z,13,FALSE)=0,"",VLOOKUP($E178,TaskValues_ref!$E:$Z,13,FALSE))</f>
        <v/>
      </c>
      <c r="N178" s="89">
        <f>IF(VLOOKUP($E178,TaskValues_ref!$E:$Z,15,FALSE)=0,"",VLOOKUP($E178,TaskValues_ref!$E:$Z,15,FALSE))</f>
        <v>0.98</v>
      </c>
      <c r="O178">
        <f>IF(VLOOKUP($E178,TaskValues_ref!$E:$Z,16,FALSE)=0,"",VLOOKUP($E178,TaskValues_ref!$E:$Z,16,FALSE))</f>
        <v>1</v>
      </c>
      <c r="P178" t="str">
        <f>IF(VLOOKUP($E178,TaskValues_ref!$E:$Z,17,FALSE)=0,"",VLOOKUP($E178,TaskValues_ref!$E:$Z,17,FALSE))</f>
        <v/>
      </c>
      <c r="Q178">
        <f>IF(VLOOKUP($E178,TaskValues_ref!$E:$Z,18,FALSE)=0,"",VLOOKUP($E178,TaskValues_ref!$E:$Z,18,FALSE))</f>
        <v>30</v>
      </c>
      <c r="R178" t="str">
        <f>IF(VLOOKUP($E178,TaskValues_ref!$E:$Z,19,FALSE)=0,"",VLOOKUP($E178,TaskValues_ref!$E:$Z,19,FALSE))</f>
        <v/>
      </c>
      <c r="S178" t="str">
        <f>IF(VLOOKUP($E178,TaskValues_ref!$E:$Z,20,FALSE)=0,"",VLOOKUP($E178,TaskValues_ref!$E:$Z,20,FALSE))</f>
        <v/>
      </c>
    </row>
    <row r="179" spans="1:19" x14ac:dyDescent="0.45">
      <c r="A179" s="66" t="s">
        <v>2337</v>
      </c>
      <c r="B179" s="66" t="s">
        <v>528</v>
      </c>
      <c r="C179" s="66" t="s">
        <v>2454</v>
      </c>
      <c r="D179" s="66">
        <f t="shared" si="5"/>
        <v>167</v>
      </c>
      <c r="E179" s="64" t="str">
        <f t="shared" si="6"/>
        <v>DPC.NTD.167</v>
      </c>
      <c r="F179" t="str">
        <f>VLOOKUP(E179,TaskValues_ref!E:F,2,FALSE)</f>
        <v>Trachoma MDA</v>
      </c>
      <c r="G179" t="str">
        <f>VLOOKUP($E179,TaskValues_ref!$E:$Z,3,FALSE)</f>
        <v>Non-clinical</v>
      </c>
      <c r="H179" t="str">
        <f>VLOOKUP($E179,TaskValues_ref!$E:$Z,4,FALSE)</f>
        <v>Public Health</v>
      </c>
      <c r="I179" t="str">
        <f>VLOOKUP($E179,TaskValues_ref!$E:$Z,5,FALSE)</f>
        <v>NTDs</v>
      </c>
      <c r="J179" s="257" t="str">
        <f>VLOOKUP($E179,TaskValues_ref!$E:$Z,6,FALSE)</f>
        <v>-</v>
      </c>
      <c r="K179" t="str">
        <f>VLOOKUP($E179,TaskValues_ref!$E:$Z,10,FALSE)</f>
        <v>Amhara</v>
      </c>
      <c r="L179" s="195" t="str">
        <f>IF(VLOOKUP($E179,TaskValues_ref!$E:$Z,11,FALSE)=0,"",VLOOKUP($E179,TaskValues_ref!$E:$Z,11,FALSE))</f>
        <v/>
      </c>
      <c r="M179" t="str">
        <f>IF(VLOOKUP($E179,TaskValues_ref!$E:$Z,13,FALSE)=0,"",VLOOKUP($E179,TaskValues_ref!$E:$Z,13,FALSE))</f>
        <v/>
      </c>
      <c r="N179" s="89" t="str">
        <f>IF(VLOOKUP($E179,TaskValues_ref!$E:$Z,15,FALSE)=0,"",VLOOKUP($E179,TaskValues_ref!$E:$Z,15,FALSE))</f>
        <v/>
      </c>
      <c r="O179" t="str">
        <f>IF(VLOOKUP($E179,TaskValues_ref!$E:$Z,16,FALSE)=0,"",VLOOKUP($E179,TaskValues_ref!$E:$Z,16,FALSE))</f>
        <v/>
      </c>
      <c r="P179" t="str">
        <f>IF(VLOOKUP($E179,TaskValues_ref!$E:$Z,17,FALSE)=0,"",VLOOKUP($E179,TaskValues_ref!$E:$Z,17,FALSE))</f>
        <v/>
      </c>
      <c r="Q179" t="str">
        <f>IF(VLOOKUP($E179,TaskValues_ref!$E:$Z,18,FALSE)=0,"",VLOOKUP($E179,TaskValues_ref!$E:$Z,18,FALSE))</f>
        <v/>
      </c>
      <c r="R179" t="str">
        <f>IF(VLOOKUP($E179,TaskValues_ref!$E:$Z,19,FALSE)=0,"",VLOOKUP($E179,TaskValues_ref!$E:$Z,19,FALSE))</f>
        <v/>
      </c>
      <c r="S179" t="str">
        <f>IF(VLOOKUP($E179,TaskValues_ref!$E:$Z,20,FALSE)=0,"",VLOOKUP($E179,TaskValues_ref!$E:$Z,20,FALSE))</f>
        <v/>
      </c>
    </row>
    <row r="180" spans="1:19" x14ac:dyDescent="0.45">
      <c r="A180" s="66" t="s">
        <v>2337</v>
      </c>
      <c r="B180" s="66" t="s">
        <v>528</v>
      </c>
      <c r="C180" s="66" t="s">
        <v>2455</v>
      </c>
      <c r="D180" s="66">
        <f t="shared" si="5"/>
        <v>168</v>
      </c>
      <c r="E180" s="64" t="str">
        <f t="shared" si="6"/>
        <v>DPC.NTD.168</v>
      </c>
      <c r="F180" t="str">
        <f>VLOOKUP(E180,TaskValues_ref!E:F,2,FALSE)</f>
        <v>Promote face washing</v>
      </c>
      <c r="G180" t="str">
        <f>VLOOKUP($E180,TaskValues_ref!$E:$Z,3,FALSE)</f>
        <v>Non-clinical</v>
      </c>
      <c r="H180" t="str">
        <f>VLOOKUP($E180,TaskValues_ref!$E:$Z,4,FALSE)</f>
        <v>Public Health</v>
      </c>
      <c r="I180" t="str">
        <f>VLOOKUP($E180,TaskValues_ref!$E:$Z,5,FALSE)</f>
        <v>NTDs</v>
      </c>
      <c r="J180" s="257" t="str">
        <f>VLOOKUP($E180,TaskValues_ref!$E:$Z,6,FALSE)</f>
        <v>-</v>
      </c>
      <c r="K180" t="str">
        <f>VLOOKUP($E180,TaskValues_ref!$E:$Z,10,FALSE)</f>
        <v>Amhara</v>
      </c>
      <c r="L180" s="195" t="str">
        <f>IF(VLOOKUP($E180,TaskValues_ref!$E:$Z,11,FALSE)=0,"",VLOOKUP($E180,TaskValues_ref!$E:$Z,11,FALSE))</f>
        <v/>
      </c>
      <c r="M180" t="str">
        <f>IF(VLOOKUP($E180,TaskValues_ref!$E:$Z,13,FALSE)=0,"",VLOOKUP($E180,TaskValues_ref!$E:$Z,13,FALSE))</f>
        <v/>
      </c>
      <c r="N180" s="89" t="str">
        <f>IF(VLOOKUP($E180,TaskValues_ref!$E:$Z,15,FALSE)=0,"",VLOOKUP($E180,TaskValues_ref!$E:$Z,15,FALSE))</f>
        <v/>
      </c>
      <c r="O180" t="str">
        <f>IF(VLOOKUP($E180,TaskValues_ref!$E:$Z,16,FALSE)=0,"",VLOOKUP($E180,TaskValues_ref!$E:$Z,16,FALSE))</f>
        <v/>
      </c>
      <c r="P180" t="str">
        <f>IF(VLOOKUP($E180,TaskValues_ref!$E:$Z,17,FALSE)=0,"",VLOOKUP($E180,TaskValues_ref!$E:$Z,17,FALSE))</f>
        <v/>
      </c>
      <c r="Q180" t="str">
        <f>IF(VLOOKUP($E180,TaskValues_ref!$E:$Z,18,FALSE)=0,"",VLOOKUP($E180,TaskValues_ref!$E:$Z,18,FALSE))</f>
        <v/>
      </c>
      <c r="R180" t="str">
        <f>IF(VLOOKUP($E180,TaskValues_ref!$E:$Z,19,FALSE)=0,"",VLOOKUP($E180,TaskValues_ref!$E:$Z,19,FALSE))</f>
        <v/>
      </c>
      <c r="S180" t="str">
        <f>IF(VLOOKUP($E180,TaskValues_ref!$E:$Z,20,FALSE)=0,"",VLOOKUP($E180,TaskValues_ref!$E:$Z,20,FALSE))</f>
        <v/>
      </c>
    </row>
    <row r="181" spans="1:19" x14ac:dyDescent="0.45">
      <c r="A181" s="66" t="s">
        <v>2337</v>
      </c>
      <c r="B181" s="66" t="s">
        <v>528</v>
      </c>
      <c r="C181" s="66" t="s">
        <v>2455</v>
      </c>
      <c r="D181" s="66">
        <f t="shared" si="5"/>
        <v>169</v>
      </c>
      <c r="E181" s="64" t="str">
        <f t="shared" si="6"/>
        <v>DPC.NTD.169</v>
      </c>
      <c r="F181" t="str">
        <f>VLOOKUP(E181,TaskValues_ref!E:F,2,FALSE)</f>
        <v>Schisto behavior change</v>
      </c>
      <c r="G181" t="str">
        <f>VLOOKUP($E181,TaskValues_ref!$E:$Z,3,FALSE)</f>
        <v>Non-clinical</v>
      </c>
      <c r="H181" t="str">
        <f>VLOOKUP($E181,TaskValues_ref!$E:$Z,4,FALSE)</f>
        <v>Public Health</v>
      </c>
      <c r="I181" t="str">
        <f>VLOOKUP($E181,TaskValues_ref!$E:$Z,5,FALSE)</f>
        <v>NTDs</v>
      </c>
      <c r="J181" s="257" t="str">
        <f>VLOOKUP($E181,TaskValues_ref!$E:$Z,6,FALSE)</f>
        <v>-</v>
      </c>
      <c r="K181" t="str">
        <f>VLOOKUP($E181,TaskValues_ref!$E:$Z,10,FALSE)</f>
        <v>Amhara</v>
      </c>
      <c r="L181" s="195" t="str">
        <f>IF(VLOOKUP($E181,TaskValues_ref!$E:$Z,11,FALSE)=0,"",VLOOKUP($E181,TaskValues_ref!$E:$Z,11,FALSE))</f>
        <v/>
      </c>
      <c r="M181" t="str">
        <f>IF(VLOOKUP($E181,TaskValues_ref!$E:$Z,13,FALSE)=0,"",VLOOKUP($E181,TaskValues_ref!$E:$Z,13,FALSE))</f>
        <v/>
      </c>
      <c r="N181" s="89" t="str">
        <f>IF(VLOOKUP($E181,TaskValues_ref!$E:$Z,15,FALSE)=0,"",VLOOKUP($E181,TaskValues_ref!$E:$Z,15,FALSE))</f>
        <v/>
      </c>
      <c r="O181" t="str">
        <f>IF(VLOOKUP($E181,TaskValues_ref!$E:$Z,16,FALSE)=0,"",VLOOKUP($E181,TaskValues_ref!$E:$Z,16,FALSE))</f>
        <v/>
      </c>
      <c r="P181" t="str">
        <f>IF(VLOOKUP($E181,TaskValues_ref!$E:$Z,17,FALSE)=0,"",VLOOKUP($E181,TaskValues_ref!$E:$Z,17,FALSE))</f>
        <v/>
      </c>
      <c r="Q181" t="str">
        <f>IF(VLOOKUP($E181,TaskValues_ref!$E:$Z,18,FALSE)=0,"",VLOOKUP($E181,TaskValues_ref!$E:$Z,18,FALSE))</f>
        <v/>
      </c>
      <c r="R181" t="str">
        <f>IF(VLOOKUP($E181,TaskValues_ref!$E:$Z,19,FALSE)=0,"",VLOOKUP($E181,TaskValues_ref!$E:$Z,19,FALSE))</f>
        <v/>
      </c>
      <c r="S181" t="str">
        <f>IF(VLOOKUP($E181,TaskValues_ref!$E:$Z,20,FALSE)=0,"",VLOOKUP($E181,TaskValues_ref!$E:$Z,20,FALSE))</f>
        <v/>
      </c>
    </row>
    <row r="182" spans="1:19" x14ac:dyDescent="0.45">
      <c r="A182" s="66" t="s">
        <v>2337</v>
      </c>
      <c r="B182" s="66" t="s">
        <v>528</v>
      </c>
      <c r="C182" s="66" t="s">
        <v>2237</v>
      </c>
      <c r="D182" s="66">
        <f t="shared" si="5"/>
        <v>170</v>
      </c>
      <c r="E182" s="64" t="str">
        <f t="shared" si="6"/>
        <v>DPC.NTD.170</v>
      </c>
      <c r="F182" t="str">
        <f>VLOOKUP(E182,TaskValues_ref!E:F,2,FALSE)</f>
        <v>Snail control</v>
      </c>
      <c r="G182" t="str">
        <f>VLOOKUP($E182,TaskValues_ref!$E:$Z,3,FALSE)</f>
        <v>Non-clinical</v>
      </c>
      <c r="H182" t="str">
        <f>VLOOKUP($E182,TaskValues_ref!$E:$Z,4,FALSE)</f>
        <v>Public Health</v>
      </c>
      <c r="I182" t="str">
        <f>VLOOKUP($E182,TaskValues_ref!$E:$Z,5,FALSE)</f>
        <v>NTDs</v>
      </c>
      <c r="J182" s="257" t="str">
        <f>VLOOKUP($E182,TaskValues_ref!$E:$Z,6,FALSE)</f>
        <v>-</v>
      </c>
      <c r="K182" t="str">
        <f>VLOOKUP($E182,TaskValues_ref!$E:$Z,10,FALSE)</f>
        <v>Amhara</v>
      </c>
      <c r="L182" s="195" t="str">
        <f>IF(VLOOKUP($E182,TaskValues_ref!$E:$Z,11,FALSE)=0,"",VLOOKUP($E182,TaskValues_ref!$E:$Z,11,FALSE))</f>
        <v/>
      </c>
      <c r="M182" t="str">
        <f>IF(VLOOKUP($E182,TaskValues_ref!$E:$Z,13,FALSE)=0,"",VLOOKUP($E182,TaskValues_ref!$E:$Z,13,FALSE))</f>
        <v/>
      </c>
      <c r="N182" s="89" t="str">
        <f>IF(VLOOKUP($E182,TaskValues_ref!$E:$Z,15,FALSE)=0,"",VLOOKUP($E182,TaskValues_ref!$E:$Z,15,FALSE))</f>
        <v/>
      </c>
      <c r="O182" t="str">
        <f>IF(VLOOKUP($E182,TaskValues_ref!$E:$Z,16,FALSE)=0,"",VLOOKUP($E182,TaskValues_ref!$E:$Z,16,FALSE))</f>
        <v/>
      </c>
      <c r="P182" t="str">
        <f>IF(VLOOKUP($E182,TaskValues_ref!$E:$Z,17,FALSE)=0,"",VLOOKUP($E182,TaskValues_ref!$E:$Z,17,FALSE))</f>
        <v/>
      </c>
      <c r="Q182" t="str">
        <f>IF(VLOOKUP($E182,TaskValues_ref!$E:$Z,18,FALSE)=0,"",VLOOKUP($E182,TaskValues_ref!$E:$Z,18,FALSE))</f>
        <v/>
      </c>
      <c r="R182" t="str">
        <f>IF(VLOOKUP($E182,TaskValues_ref!$E:$Z,19,FALSE)=0,"",VLOOKUP($E182,TaskValues_ref!$E:$Z,19,FALSE))</f>
        <v/>
      </c>
      <c r="S182" t="str">
        <f>IF(VLOOKUP($E182,TaskValues_ref!$E:$Z,20,FALSE)=0,"",VLOOKUP($E182,TaskValues_ref!$E:$Z,20,FALSE))</f>
        <v/>
      </c>
    </row>
    <row r="183" spans="1:19" x14ac:dyDescent="0.45">
      <c r="A183" s="66" t="s">
        <v>2337</v>
      </c>
      <c r="B183" s="66" t="s">
        <v>528</v>
      </c>
      <c r="C183" s="66" t="s">
        <v>2237</v>
      </c>
      <c r="D183" s="66">
        <f t="shared" si="5"/>
        <v>171</v>
      </c>
      <c r="E183" s="64" t="str">
        <f t="shared" si="6"/>
        <v>DPC.NTD.171</v>
      </c>
      <c r="F183" t="str">
        <f>VLOOKUP(E183,TaskValues_ref!E:F,2,FALSE)</f>
        <v>Schisto MDA</v>
      </c>
      <c r="G183" t="str">
        <f>VLOOKUP($E183,TaskValues_ref!$E:$Z,3,FALSE)</f>
        <v>Non-clinical</v>
      </c>
      <c r="H183" t="str">
        <f>VLOOKUP($E183,TaskValues_ref!$E:$Z,4,FALSE)</f>
        <v>Public Health</v>
      </c>
      <c r="I183" t="str">
        <f>VLOOKUP($E183,TaskValues_ref!$E:$Z,5,FALSE)</f>
        <v>NTDs</v>
      </c>
      <c r="J183" s="257" t="str">
        <f>VLOOKUP($E183,TaskValues_ref!$E:$Z,6,FALSE)</f>
        <v>all</v>
      </c>
      <c r="K183" t="str">
        <f>VLOOKUP($E183,TaskValues_ref!$E:$Z,10,FALSE)</f>
        <v>Amhara</v>
      </c>
      <c r="L183" s="195">
        <f>IF(VLOOKUP($E183,TaskValues_ref!$E:$Z,11,FALSE)=0,"",VLOOKUP($E183,TaskValues_ref!$E:$Z,11,FALSE))</f>
        <v>0.25</v>
      </c>
      <c r="M183" t="str">
        <f>IF(VLOOKUP($E183,TaskValues_ref!$E:$Z,13,FALSE)=0,"",VLOOKUP($E183,TaskValues_ref!$E:$Z,13,FALSE))</f>
        <v/>
      </c>
      <c r="N183" s="89" t="str">
        <f>IF(VLOOKUP($E183,TaskValues_ref!$E:$Z,15,FALSE)=0,"",VLOOKUP($E183,TaskValues_ref!$E:$Z,15,FALSE))</f>
        <v/>
      </c>
      <c r="O183" t="str">
        <f>IF(VLOOKUP($E183,TaskValues_ref!$E:$Z,16,FALSE)=0,"",VLOOKUP($E183,TaskValues_ref!$E:$Z,16,FALSE))</f>
        <v/>
      </c>
      <c r="P183">
        <f>IF(VLOOKUP($E183,TaskValues_ref!$E:$Z,17,FALSE)=0,"",VLOOKUP($E183,TaskValues_ref!$E:$Z,17,FALSE))</f>
        <v>1</v>
      </c>
      <c r="Q183">
        <f>IF(VLOOKUP($E183,TaskValues_ref!$E:$Z,18,FALSE)=0,"",VLOOKUP($E183,TaskValues_ref!$E:$Z,18,FALSE))</f>
        <v>5</v>
      </c>
      <c r="R183" t="str">
        <f>IF(VLOOKUP($E183,TaskValues_ref!$E:$Z,19,FALSE)=0,"",VLOOKUP($E183,TaskValues_ref!$E:$Z,19,FALSE))</f>
        <v/>
      </c>
      <c r="S183" t="str">
        <f>IF(VLOOKUP($E183,TaskValues_ref!$E:$Z,20,FALSE)=0,"",VLOOKUP($E183,TaskValues_ref!$E:$Z,20,FALSE))</f>
        <v/>
      </c>
    </row>
    <row r="184" spans="1:19" x14ac:dyDescent="0.45">
      <c r="A184" s="66" t="s">
        <v>2337</v>
      </c>
      <c r="B184" s="66" t="s">
        <v>528</v>
      </c>
      <c r="C184" s="66" t="s">
        <v>2456</v>
      </c>
      <c r="D184" s="66">
        <f t="shared" si="5"/>
        <v>172</v>
      </c>
      <c r="E184" s="64" t="str">
        <f t="shared" si="6"/>
        <v>DPC.NTD.172</v>
      </c>
      <c r="F184" t="str">
        <f>VLOOKUP(E184,TaskValues_ref!E:F,2,FALSE)</f>
        <v>STH behavior change</v>
      </c>
      <c r="G184" t="str">
        <f>VLOOKUP($E184,TaskValues_ref!$E:$Z,3,FALSE)</f>
        <v>Non-clinical</v>
      </c>
      <c r="H184" t="str">
        <f>VLOOKUP($E184,TaskValues_ref!$E:$Z,4,FALSE)</f>
        <v>Public Health</v>
      </c>
      <c r="I184" t="str">
        <f>VLOOKUP($E184,TaskValues_ref!$E:$Z,5,FALSE)</f>
        <v>NTDs</v>
      </c>
      <c r="J184" s="257" t="str">
        <f>VLOOKUP($E184,TaskValues_ref!$E:$Z,6,FALSE)</f>
        <v>-</v>
      </c>
      <c r="K184" t="str">
        <f>VLOOKUP($E184,TaskValues_ref!$E:$Z,10,FALSE)</f>
        <v>Amhara</v>
      </c>
      <c r="L184" s="195" t="str">
        <f>IF(VLOOKUP($E184,TaskValues_ref!$E:$Z,11,FALSE)=0,"",VLOOKUP($E184,TaskValues_ref!$E:$Z,11,FALSE))</f>
        <v/>
      </c>
      <c r="M184" t="str">
        <f>IF(VLOOKUP($E184,TaskValues_ref!$E:$Z,13,FALSE)=0,"",VLOOKUP($E184,TaskValues_ref!$E:$Z,13,FALSE))</f>
        <v/>
      </c>
      <c r="N184" s="89" t="str">
        <f>IF(VLOOKUP($E184,TaskValues_ref!$E:$Z,15,FALSE)=0,"",VLOOKUP($E184,TaskValues_ref!$E:$Z,15,FALSE))</f>
        <v/>
      </c>
      <c r="O184" t="str">
        <f>IF(VLOOKUP($E184,TaskValues_ref!$E:$Z,16,FALSE)=0,"",VLOOKUP($E184,TaskValues_ref!$E:$Z,16,FALSE))</f>
        <v/>
      </c>
      <c r="P184" t="str">
        <f>IF(VLOOKUP($E184,TaskValues_ref!$E:$Z,17,FALSE)=0,"",VLOOKUP($E184,TaskValues_ref!$E:$Z,17,FALSE))</f>
        <v/>
      </c>
      <c r="Q184" t="str">
        <f>IF(VLOOKUP($E184,TaskValues_ref!$E:$Z,18,FALSE)=0,"",VLOOKUP($E184,TaskValues_ref!$E:$Z,18,FALSE))</f>
        <v/>
      </c>
      <c r="R184" t="str">
        <f>IF(VLOOKUP($E184,TaskValues_ref!$E:$Z,19,FALSE)=0,"",VLOOKUP($E184,TaskValues_ref!$E:$Z,19,FALSE))</f>
        <v/>
      </c>
      <c r="S184" t="str">
        <f>IF(VLOOKUP($E184,TaskValues_ref!$E:$Z,20,FALSE)=0,"",VLOOKUP($E184,TaskValues_ref!$E:$Z,20,FALSE))</f>
        <v/>
      </c>
    </row>
    <row r="185" spans="1:19" x14ac:dyDescent="0.45">
      <c r="A185" s="66" t="s">
        <v>2337</v>
      </c>
      <c r="B185" s="66" t="s">
        <v>528</v>
      </c>
      <c r="C185" s="66" t="s">
        <v>2456</v>
      </c>
      <c r="D185" s="66">
        <f t="shared" si="5"/>
        <v>173</v>
      </c>
      <c r="E185" s="64" t="str">
        <f t="shared" si="6"/>
        <v>DPC.NTD.173</v>
      </c>
      <c r="F185" t="str">
        <f>VLOOKUP(E185,TaskValues_ref!E:F,2,FALSE)</f>
        <v>STH MDA</v>
      </c>
      <c r="G185" t="str">
        <f>VLOOKUP($E185,TaskValues_ref!$E:$Z,3,FALSE)</f>
        <v>Non-clinical</v>
      </c>
      <c r="H185" t="str">
        <f>VLOOKUP($E185,TaskValues_ref!$E:$Z,4,FALSE)</f>
        <v>Public Health</v>
      </c>
      <c r="I185" t="str">
        <f>VLOOKUP($E185,TaskValues_ref!$E:$Z,5,FALSE)</f>
        <v>NTDs</v>
      </c>
      <c r="J185" s="257" t="str">
        <f>VLOOKUP($E185,TaskValues_ref!$E:$Z,6,FALSE)</f>
        <v>1-18</v>
      </c>
      <c r="K185" t="str">
        <f>VLOOKUP($E185,TaskValues_ref!$E:$Z,10,FALSE)</f>
        <v>Amhara</v>
      </c>
      <c r="L185" s="195" t="str">
        <f>IF(VLOOKUP($E185,TaskValues_ref!$E:$Z,11,FALSE)=0,"",VLOOKUP($E185,TaskValues_ref!$E:$Z,11,FALSE))</f>
        <v/>
      </c>
      <c r="M185" t="str">
        <f>IF(VLOOKUP($E185,TaskValues_ref!$E:$Z,13,FALSE)=0,"",VLOOKUP($E185,TaskValues_ref!$E:$Z,13,FALSE))</f>
        <v/>
      </c>
      <c r="N185" s="89" t="str">
        <f>IF(VLOOKUP($E185,TaskValues_ref!$E:$Z,15,FALSE)=0,"",VLOOKUP($E185,TaskValues_ref!$E:$Z,15,FALSE))</f>
        <v/>
      </c>
      <c r="O185" t="str">
        <f>IF(VLOOKUP($E185,TaskValues_ref!$E:$Z,16,FALSE)=0,"",VLOOKUP($E185,TaskValues_ref!$E:$Z,16,FALSE))</f>
        <v/>
      </c>
      <c r="P185" t="str">
        <f>IF(VLOOKUP($E185,TaskValues_ref!$E:$Z,17,FALSE)=0,"",VLOOKUP($E185,TaskValues_ref!$E:$Z,17,FALSE))</f>
        <v/>
      </c>
      <c r="Q185" t="str">
        <f>IF(VLOOKUP($E185,TaskValues_ref!$E:$Z,18,FALSE)=0,"",VLOOKUP($E185,TaskValues_ref!$E:$Z,18,FALSE))</f>
        <v/>
      </c>
      <c r="R185" t="str">
        <f>IF(VLOOKUP($E185,TaskValues_ref!$E:$Z,19,FALSE)=0,"",VLOOKUP($E185,TaskValues_ref!$E:$Z,19,FALSE))</f>
        <v/>
      </c>
      <c r="S185" t="str">
        <f>IF(VLOOKUP($E185,TaskValues_ref!$E:$Z,20,FALSE)=0,"",VLOOKUP($E185,TaskValues_ref!$E:$Z,20,FALSE))</f>
        <v/>
      </c>
    </row>
    <row r="186" spans="1:19" x14ac:dyDescent="0.45">
      <c r="A186" s="66" t="s">
        <v>2337</v>
      </c>
      <c r="B186" s="66" t="s">
        <v>528</v>
      </c>
      <c r="C186" s="66" t="s">
        <v>2456</v>
      </c>
      <c r="D186" s="66">
        <f t="shared" si="5"/>
        <v>174</v>
      </c>
      <c r="E186" s="64" t="str">
        <f t="shared" si="6"/>
        <v>DPC.NTD.174</v>
      </c>
      <c r="F186" t="str">
        <f>VLOOKUP(E186,TaskValues_ref!E:F,2,FALSE)</f>
        <v>STH dx &amp; treat in pregnancy</v>
      </c>
      <c r="G186" t="str">
        <f>VLOOKUP($E186,TaskValues_ref!$E:$Z,3,FALSE)</f>
        <v>Clinical</v>
      </c>
      <c r="H186" t="str">
        <f>VLOOKUP($E186,TaskValues_ref!$E:$Z,4,FALSE)</f>
        <v>Acute</v>
      </c>
      <c r="I186" t="str">
        <f>VLOOKUP($E186,TaskValues_ref!$E:$Z,5,FALSE)</f>
        <v>NTDs</v>
      </c>
      <c r="J186" s="257" t="str">
        <f>VLOOKUP($E186,TaskValues_ref!$E:$Z,6,FALSE)</f>
        <v>women 15-49</v>
      </c>
      <c r="K186" t="str">
        <f>VLOOKUP($E186,TaskValues_ref!$E:$Z,10,FALSE)</f>
        <v>Amhara</v>
      </c>
      <c r="L186" s="195">
        <f>IF(VLOOKUP($E186,TaskValues_ref!$E:$Z,11,FALSE)=0,"",VLOOKUP($E186,TaskValues_ref!$E:$Z,11,FALSE))</f>
        <v>0.33399999999999996</v>
      </c>
      <c r="M186" t="str">
        <f>IF(VLOOKUP($E186,TaskValues_ref!$E:$Z,13,FALSE)=0,"",VLOOKUP($E186,TaskValues_ref!$E:$Z,13,FALSE))</f>
        <v/>
      </c>
      <c r="N186" s="89">
        <f>IF(VLOOKUP($E186,TaskValues_ref!$E:$Z,15,FALSE)=0,"",VLOOKUP($E186,TaskValues_ref!$E:$Z,15,FALSE))</f>
        <v>0.98</v>
      </c>
      <c r="O186">
        <f>IF(VLOOKUP($E186,TaskValues_ref!$E:$Z,16,FALSE)=0,"",VLOOKUP($E186,TaskValues_ref!$E:$Z,16,FALSE))</f>
        <v>1</v>
      </c>
      <c r="P186" t="str">
        <f>IF(VLOOKUP($E186,TaskValues_ref!$E:$Z,17,FALSE)=0,"",VLOOKUP($E186,TaskValues_ref!$E:$Z,17,FALSE))</f>
        <v/>
      </c>
      <c r="Q186">
        <f>IF(VLOOKUP($E186,TaskValues_ref!$E:$Z,18,FALSE)=0,"",VLOOKUP($E186,TaskValues_ref!$E:$Z,18,FALSE))</f>
        <v>5</v>
      </c>
      <c r="R186" t="str">
        <f>IF(VLOOKUP($E186,TaskValues_ref!$E:$Z,19,FALSE)=0,"",VLOOKUP($E186,TaskValues_ref!$E:$Z,19,FALSE))</f>
        <v/>
      </c>
      <c r="S186" t="str">
        <f>IF(VLOOKUP($E186,TaskValues_ref!$E:$Z,20,FALSE)=0,"",VLOOKUP($E186,TaskValues_ref!$E:$Z,20,FALSE))</f>
        <v/>
      </c>
    </row>
    <row r="187" spans="1:19" x14ac:dyDescent="0.45">
      <c r="A187" s="66" t="s">
        <v>2337</v>
      </c>
      <c r="B187" s="66" t="s">
        <v>528</v>
      </c>
      <c r="C187" s="66" t="s">
        <v>2482</v>
      </c>
      <c r="D187" s="66">
        <f t="shared" si="5"/>
        <v>175</v>
      </c>
      <c r="E187" s="64" t="str">
        <f t="shared" si="6"/>
        <v>DPC.NTD.175</v>
      </c>
      <c r="F187" t="str">
        <f>VLOOKUP(E187,TaskValues_ref!E:F,2,FALSE)</f>
        <v>Scabies behavior change</v>
      </c>
      <c r="G187" t="str">
        <f>VLOOKUP($E187,TaskValues_ref!$E:$Z,3,FALSE)</f>
        <v>Non-clinical</v>
      </c>
      <c r="H187" t="str">
        <f>VLOOKUP($E187,TaskValues_ref!$E:$Z,4,FALSE)</f>
        <v>Public Health</v>
      </c>
      <c r="I187" t="str">
        <f>VLOOKUP($E187,TaskValues_ref!$E:$Z,5,FALSE)</f>
        <v>NTDs</v>
      </c>
      <c r="J187" s="257" t="str">
        <f>VLOOKUP($E187,TaskValues_ref!$E:$Z,6,FALSE)</f>
        <v>-</v>
      </c>
      <c r="K187" t="str">
        <f>VLOOKUP($E187,TaskValues_ref!$E:$Z,10,FALSE)</f>
        <v>Amhara</v>
      </c>
      <c r="L187" s="195" t="str">
        <f>IF(VLOOKUP($E187,TaskValues_ref!$E:$Z,11,FALSE)=0,"",VLOOKUP($E187,TaskValues_ref!$E:$Z,11,FALSE))</f>
        <v/>
      </c>
      <c r="M187" t="str">
        <f>IF(VLOOKUP($E187,TaskValues_ref!$E:$Z,13,FALSE)=0,"",VLOOKUP($E187,TaskValues_ref!$E:$Z,13,FALSE))</f>
        <v/>
      </c>
      <c r="N187" s="89" t="str">
        <f>IF(VLOOKUP($E187,TaskValues_ref!$E:$Z,15,FALSE)=0,"",VLOOKUP($E187,TaskValues_ref!$E:$Z,15,FALSE))</f>
        <v/>
      </c>
      <c r="O187" t="str">
        <f>IF(VLOOKUP($E187,TaskValues_ref!$E:$Z,16,FALSE)=0,"",VLOOKUP($E187,TaskValues_ref!$E:$Z,16,FALSE))</f>
        <v/>
      </c>
      <c r="P187" t="str">
        <f>IF(VLOOKUP($E187,TaskValues_ref!$E:$Z,17,FALSE)=0,"",VLOOKUP($E187,TaskValues_ref!$E:$Z,17,FALSE))</f>
        <v/>
      </c>
      <c r="Q187" t="str">
        <f>IF(VLOOKUP($E187,TaskValues_ref!$E:$Z,18,FALSE)=0,"",VLOOKUP($E187,TaskValues_ref!$E:$Z,18,FALSE))</f>
        <v/>
      </c>
      <c r="R187" t="str">
        <f>IF(VLOOKUP($E187,TaskValues_ref!$E:$Z,19,FALSE)=0,"",VLOOKUP($E187,TaskValues_ref!$E:$Z,19,FALSE))</f>
        <v/>
      </c>
      <c r="S187" t="str">
        <f>IF(VLOOKUP($E187,TaskValues_ref!$E:$Z,20,FALSE)=0,"",VLOOKUP($E187,TaskValues_ref!$E:$Z,20,FALSE))</f>
        <v/>
      </c>
    </row>
    <row r="188" spans="1:19" x14ac:dyDescent="0.45">
      <c r="A188" s="66" t="s">
        <v>2337</v>
      </c>
      <c r="B188" s="66" t="s">
        <v>528</v>
      </c>
      <c r="C188" s="66" t="s">
        <v>2482</v>
      </c>
      <c r="D188" s="66">
        <f t="shared" si="5"/>
        <v>176</v>
      </c>
      <c r="E188" s="64" t="str">
        <f t="shared" si="6"/>
        <v>DPC.NTD.176</v>
      </c>
      <c r="F188" t="str">
        <f>VLOOKUP(E188,TaskValues_ref!E:F,2,FALSE)</f>
        <v>Scabies MDA</v>
      </c>
      <c r="G188" t="str">
        <f>VLOOKUP($E188,TaskValues_ref!$E:$Z,3,FALSE)</f>
        <v>Non-clinical</v>
      </c>
      <c r="H188" t="str">
        <f>VLOOKUP($E188,TaskValues_ref!$E:$Z,4,FALSE)</f>
        <v>Public Health</v>
      </c>
      <c r="I188" t="str">
        <f>VLOOKUP($E188,TaskValues_ref!$E:$Z,5,FALSE)</f>
        <v>NTDs</v>
      </c>
      <c r="J188" s="257" t="str">
        <f>VLOOKUP($E188,TaskValues_ref!$E:$Z,6,FALSE)</f>
        <v>-</v>
      </c>
      <c r="K188" t="str">
        <f>VLOOKUP($E188,TaskValues_ref!$E:$Z,10,FALSE)</f>
        <v>Amhara</v>
      </c>
      <c r="L188" s="195" t="str">
        <f>IF(VLOOKUP($E188,TaskValues_ref!$E:$Z,11,FALSE)=0,"",VLOOKUP($E188,TaskValues_ref!$E:$Z,11,FALSE))</f>
        <v/>
      </c>
      <c r="M188" t="str">
        <f>IF(VLOOKUP($E188,TaskValues_ref!$E:$Z,13,FALSE)=0,"",VLOOKUP($E188,TaskValues_ref!$E:$Z,13,FALSE))</f>
        <v/>
      </c>
      <c r="N188" s="89" t="str">
        <f>IF(VLOOKUP($E188,TaskValues_ref!$E:$Z,15,FALSE)=0,"",VLOOKUP($E188,TaskValues_ref!$E:$Z,15,FALSE))</f>
        <v/>
      </c>
      <c r="O188" t="str">
        <f>IF(VLOOKUP($E188,TaskValues_ref!$E:$Z,16,FALSE)=0,"",VLOOKUP($E188,TaskValues_ref!$E:$Z,16,FALSE))</f>
        <v/>
      </c>
      <c r="P188" t="str">
        <f>IF(VLOOKUP($E188,TaskValues_ref!$E:$Z,17,FALSE)=0,"",VLOOKUP($E188,TaskValues_ref!$E:$Z,17,FALSE))</f>
        <v/>
      </c>
      <c r="Q188" t="str">
        <f>IF(VLOOKUP($E188,TaskValues_ref!$E:$Z,18,FALSE)=0,"",VLOOKUP($E188,TaskValues_ref!$E:$Z,18,FALSE))</f>
        <v/>
      </c>
      <c r="R188" t="str">
        <f>IF(VLOOKUP($E188,TaskValues_ref!$E:$Z,19,FALSE)=0,"",VLOOKUP($E188,TaskValues_ref!$E:$Z,19,FALSE))</f>
        <v/>
      </c>
      <c r="S188" t="str">
        <f>IF(VLOOKUP($E188,TaskValues_ref!$E:$Z,20,FALSE)=0,"",VLOOKUP($E188,TaskValues_ref!$E:$Z,20,FALSE))</f>
        <v/>
      </c>
    </row>
    <row r="189" spans="1:19" x14ac:dyDescent="0.45">
      <c r="A189" s="66" t="s">
        <v>2484</v>
      </c>
      <c r="D189" s="66" t="s">
        <v>2486</v>
      </c>
      <c r="E189" s="64" t="s">
        <v>2625</v>
      </c>
      <c r="F189" t="str">
        <f>VLOOKUP(E189,TaskValues_ref!E:F,2,FALSE)</f>
        <v>Model household program</v>
      </c>
      <c r="G189" t="str">
        <f>VLOOKUP($E189,TaskValues_ref!$E:$Z,3,FALSE)</f>
        <v>Non-clinical</v>
      </c>
      <c r="H189" t="str">
        <f>VLOOKUP($E189,TaskValues_ref!$E:$Z,4,FALSE)</f>
        <v>-</v>
      </c>
      <c r="I189" t="str">
        <f>VLOOKUP($E189,TaskValues_ref!$E:$Z,5,FALSE)</f>
        <v>-</v>
      </c>
      <c r="J189" s="257" t="str">
        <f>VLOOKUP($E189,TaskValues_ref!$E:$Z,6,FALSE)</f>
        <v>all</v>
      </c>
      <c r="K189" t="str">
        <f>VLOOKUP($E189,TaskValues_ref!$E:$Z,10,FALSE)</f>
        <v>Amhara</v>
      </c>
      <c r="L189" s="195" t="str">
        <f>IF(VLOOKUP($E189,TaskValues_ref!$E:$Z,11,FALSE)=0,"",VLOOKUP($E189,TaskValues_ref!$E:$Z,11,FALSE))</f>
        <v/>
      </c>
      <c r="M189" t="str">
        <f>IF(VLOOKUP($E189,TaskValues_ref!$E:$Z,13,FALSE)=0,"",VLOOKUP($E189,TaskValues_ref!$E:$Z,13,FALSE))</f>
        <v/>
      </c>
      <c r="N189" s="89" t="str">
        <f>IF(VLOOKUP($E189,TaskValues_ref!$E:$Z,15,FALSE)=0,"",VLOOKUP($E189,TaskValues_ref!$E:$Z,15,FALSE))</f>
        <v/>
      </c>
      <c r="O189" t="str">
        <f>IF(VLOOKUP($E189,TaskValues_ref!$E:$Z,16,FALSE)=0,"",VLOOKUP($E189,TaskValues_ref!$E:$Z,16,FALSE))</f>
        <v/>
      </c>
      <c r="P189" t="str">
        <f>IF(VLOOKUP($E189,TaskValues_ref!$E:$Z,17,FALSE)=0,"",VLOOKUP($E189,TaskValues_ref!$E:$Z,17,FALSE))</f>
        <v/>
      </c>
      <c r="Q189" t="str">
        <f>IF(VLOOKUP($E189,TaskValues_ref!$E:$Z,18,FALSE)=0,"",VLOOKUP($E189,TaskValues_ref!$E:$Z,18,FALSE))</f>
        <v/>
      </c>
      <c r="R189">
        <f>IF(VLOOKUP($E189,TaskValues_ref!$E:$Z,19,FALSE)=0,"",VLOOKUP($E189,TaskValues_ref!$E:$Z,19,FALSE))</f>
        <v>15</v>
      </c>
      <c r="S189" t="str">
        <f>IF(VLOOKUP($E189,TaskValues_ref!$E:$Z,20,FALSE)=0,"",VLOOKUP($E189,TaskValues_ref!$E:$Z,20,FALSE))</f>
        <v/>
      </c>
    </row>
    <row r="190" spans="1:19" x14ac:dyDescent="0.45">
      <c r="A190" s="66" t="s">
        <v>2487</v>
      </c>
      <c r="D190" s="66" t="s">
        <v>2488</v>
      </c>
      <c r="E190" s="64" t="s">
        <v>2626</v>
      </c>
      <c r="F190" t="str">
        <f>VLOOKUP(E190,TaskValues_ref!E:F,2,FALSE)</f>
        <v>Model household program</v>
      </c>
      <c r="G190" t="str">
        <f>VLOOKUP($E190,TaskValues_ref!$E:$Z,3,FALSE)</f>
        <v>Non-clinical</v>
      </c>
      <c r="H190" t="str">
        <f>VLOOKUP($E190,TaskValues_ref!$E:$Z,4,FALSE)</f>
        <v>-</v>
      </c>
      <c r="I190" t="str">
        <f>VLOOKUP($E190,TaskValues_ref!$E:$Z,5,FALSE)</f>
        <v>-</v>
      </c>
      <c r="J190" s="257" t="str">
        <f>VLOOKUP($E190,TaskValues_ref!$E:$Z,6,FALSE)</f>
        <v>all</v>
      </c>
      <c r="K190" t="str">
        <f>VLOOKUP($E190,TaskValues_ref!$E:$Z,10,FALSE)</f>
        <v>Amhara</v>
      </c>
      <c r="L190" s="195" t="str">
        <f>IF(VLOOKUP($E190,TaskValues_ref!$E:$Z,11,FALSE)=0,"",VLOOKUP($E190,TaskValues_ref!$E:$Z,11,FALSE))</f>
        <v/>
      </c>
      <c r="M190" t="str">
        <f>IF(VLOOKUP($E190,TaskValues_ref!$E:$Z,13,FALSE)=0,"",VLOOKUP($E190,TaskValues_ref!$E:$Z,13,FALSE))</f>
        <v/>
      </c>
      <c r="N190" s="89" t="str">
        <f>IF(VLOOKUP($E190,TaskValues_ref!$E:$Z,15,FALSE)=0,"",VLOOKUP($E190,TaskValues_ref!$E:$Z,15,FALSE))</f>
        <v/>
      </c>
      <c r="O190" t="str">
        <f>IF(VLOOKUP($E190,TaskValues_ref!$E:$Z,16,FALSE)=0,"",VLOOKUP($E190,TaskValues_ref!$E:$Z,16,FALSE))</f>
        <v/>
      </c>
      <c r="P190" t="str">
        <f>IF(VLOOKUP($E190,TaskValues_ref!$E:$Z,17,FALSE)=0,"",VLOOKUP($E190,TaskValues_ref!$E:$Z,17,FALSE))</f>
        <v/>
      </c>
      <c r="Q190" t="str">
        <f>IF(VLOOKUP($E190,TaskValues_ref!$E:$Z,18,FALSE)=0,"",VLOOKUP($E190,TaskValues_ref!$E:$Z,18,FALSE))</f>
        <v/>
      </c>
      <c r="R190">
        <f>IF(VLOOKUP($E190,TaskValues_ref!$E:$Z,19,FALSE)=0,"",VLOOKUP($E190,TaskValues_ref!$E:$Z,19,FALSE))</f>
        <v>15</v>
      </c>
      <c r="S190" t="str">
        <f>IF(VLOOKUP($E190,TaskValues_ref!$E:$Z,20,FALSE)=0,"",VLOOKUP($E190,TaskValues_ref!$E:$Z,20,FALSE))</f>
        <v/>
      </c>
    </row>
    <row r="191" spans="1:19" x14ac:dyDescent="0.45">
      <c r="A191" t="s">
        <v>1952</v>
      </c>
      <c r="E191" s="64" t="s">
        <v>1952</v>
      </c>
      <c r="F191" t="str">
        <f>VLOOKUP(E191,TaskValues_ref!E:F,2,FALSE)</f>
        <v>Record keeping</v>
      </c>
      <c r="G191" t="str">
        <f>VLOOKUP($E191,TaskValues_ref!$E:$Z,3,FALSE)</f>
        <v>Non-productive</v>
      </c>
      <c r="H191" t="str">
        <f>VLOOKUP($E191,TaskValues_ref!$E:$Z,4,FALSE)</f>
        <v>-</v>
      </c>
      <c r="I191" t="str">
        <f>VLOOKUP($E191,TaskValues_ref!$E:$Z,5,FALSE)</f>
        <v>-</v>
      </c>
      <c r="J191" s="257" t="str">
        <f>VLOOKUP($E191,TaskValues_ref!$E:$Z,6,FALSE)</f>
        <v>all</v>
      </c>
      <c r="K191" t="str">
        <f>VLOOKUP($E191,TaskValues_ref!$E:$Z,10,FALSE)</f>
        <v>Amhara</v>
      </c>
      <c r="L191" s="195">
        <f>IF(VLOOKUP($E191,TaskValues_ref!$E:$Z,11,FALSE)=0,"",VLOOKUP($E191,TaskValues_ref!$E:$Z,11,FALSE))</f>
        <v>1</v>
      </c>
      <c r="M191" t="str">
        <f>IF(VLOOKUP($E191,TaskValues_ref!$E:$Z,13,FALSE)=0,"",VLOOKUP($E191,TaskValues_ref!$E:$Z,13,FALSE))</f>
        <v/>
      </c>
      <c r="N191" s="89">
        <f>IF(VLOOKUP($E191,TaskValues_ref!$E:$Z,15,FALSE)=0,"",VLOOKUP($E191,TaskValues_ref!$E:$Z,15,FALSE))</f>
        <v>1</v>
      </c>
      <c r="O191">
        <f>IF(VLOOKUP($E191,TaskValues_ref!$E:$Z,16,FALSE)=0,"",VLOOKUP($E191,TaskValues_ref!$E:$Z,16,FALSE))</f>
        <v>1</v>
      </c>
      <c r="P191" t="str">
        <f>IF(VLOOKUP($E191,TaskValues_ref!$E:$Z,17,FALSE)=0,"",VLOOKUP($E191,TaskValues_ref!$E:$Z,17,FALSE))</f>
        <v/>
      </c>
      <c r="Q191">
        <f>IF(VLOOKUP($E191,TaskValues_ref!$E:$Z,18,FALSE)=0,"",VLOOKUP($E191,TaskValues_ref!$E:$Z,18,FALSE))</f>
        <v>4.5844447190612616</v>
      </c>
      <c r="R191" t="str">
        <f>IF(VLOOKUP($E191,TaskValues_ref!$E:$Z,19,FALSE)=0,"",VLOOKUP($E191,TaskValues_ref!$E:$Z,19,FALSE))</f>
        <v/>
      </c>
      <c r="S191" t="str">
        <f>IF(VLOOKUP($E191,TaskValues_ref!$E:$Z,20,FALSE)=0,"",VLOOKUP($E191,TaskValues_ref!$E:$Z,20,FALSE))</f>
        <v/>
      </c>
    </row>
    <row r="192" spans="1:19" x14ac:dyDescent="0.45">
      <c r="A192" s="66" t="s">
        <v>2770</v>
      </c>
      <c r="E192" s="66" t="s">
        <v>2770</v>
      </c>
      <c r="F192" t="str">
        <f>VLOOKUP(E192,TaskValues_ref!E:F,2,FALSE)</f>
        <v>Test additional</v>
      </c>
      <c r="K192" t="str">
        <f>VLOOKUP($E192,TaskValues_ref!$E:$Z,10,FALSE)</f>
        <v>Amhara</v>
      </c>
      <c r="S192">
        <v>1E-3</v>
      </c>
    </row>
    <row r="193" spans="1:19" x14ac:dyDescent="0.45">
      <c r="A193" s="66" t="s">
        <v>192</v>
      </c>
      <c r="E193" s="64" t="s">
        <v>2793</v>
      </c>
      <c r="F193" t="str">
        <f>VLOOKUP(E193,TaskValues_ref!E:F,2,FALSE)</f>
        <v>Travel HEH</v>
      </c>
      <c r="G193" t="str">
        <f>VLOOKUP($E193,TaskValues_ref!$E:$Z,3,FALSE)</f>
        <v>Non-productive</v>
      </c>
      <c r="H193" t="str">
        <f>VLOOKUP($E193,TaskValues_ref!$E:$Z,4,FALSE)</f>
        <v>-</v>
      </c>
      <c r="I193" t="str">
        <f>VLOOKUP($E193,TaskValues_ref!$E:$Z,5,FALSE)</f>
        <v>-</v>
      </c>
      <c r="J193" s="257" t="str">
        <f>VLOOKUP($E193,TaskValues_ref!$E:$Z,6,FALSE)</f>
        <v>all</v>
      </c>
      <c r="K193" t="str">
        <f>VLOOKUP($E193,TaskValues_ref!$E:$Z,10,FALSE)</f>
        <v>Amhara</v>
      </c>
      <c r="L193" s="195">
        <f>IF(VLOOKUP($E193,TaskValues_ref!$E:$Z,11,FALSE)=0,"",VLOOKUP($E193,TaskValues_ref!$E:$Z,11,FALSE))</f>
        <v>0.5</v>
      </c>
      <c r="M193" t="str">
        <f>IF(VLOOKUP($E193,TaskValues_ref!$E:$Z,13,FALSE)=0,"",VLOOKUP($E193,TaskValues_ref!$E:$Z,13,FALSE))</f>
        <v/>
      </c>
      <c r="N193" s="89">
        <f>IF(VLOOKUP($E193,TaskValues_ref!$E:$Z,15,FALSE)=0,"",VLOOKUP($E193,TaskValues_ref!$E:$Z,15,FALSE))</f>
        <v>0.98</v>
      </c>
      <c r="O193">
        <f>IF(VLOOKUP($E193,TaskValues_ref!$E:$Z,16,FALSE)=0,"",VLOOKUP($E193,TaskValues_ref!$E:$Z,16,FALSE))</f>
        <v>1</v>
      </c>
      <c r="P193" t="str">
        <f>IF(VLOOKUP($E193,TaskValues_ref!$E:$Z,17,FALSE)=0,"",VLOOKUP($E193,TaskValues_ref!$E:$Z,17,FALSE))</f>
        <v/>
      </c>
      <c r="Q193">
        <f>IF(VLOOKUP($E193,TaskValues_ref!$E:$Z,18,FALSE)=0,"",VLOOKUP($E193,TaskValues_ref!$E:$Z,18,FALSE))</f>
        <v>5.3832494807158753</v>
      </c>
      <c r="R193" t="str">
        <f>IF(VLOOKUP($E193,TaskValues_ref!$E:$Z,19,FALSE)=0,"",VLOOKUP($E193,TaskValues_ref!$E:$Z,19,FALSE))</f>
        <v/>
      </c>
      <c r="S193" t="str">
        <f>IF(VLOOKUP($E193,TaskValues_ref!$E:$Z,20,FALSE)=0,"",VLOOKUP($E193,TaskValues_ref!$E:$Z,20,FALSE))</f>
        <v/>
      </c>
    </row>
    <row r="194" spans="1:19" x14ac:dyDescent="0.45">
      <c r="A194" s="66" t="s">
        <v>192</v>
      </c>
      <c r="E194" s="64" t="s">
        <v>2794</v>
      </c>
      <c r="F194" t="str">
        <f>VLOOKUP(E194,TaskValues_ref!E:F,2,FALSE)</f>
        <v>Travel HEP</v>
      </c>
      <c r="G194" t="str">
        <f>VLOOKUP($E194,TaskValues_ref!$E:$Z,3,FALSE)</f>
        <v>Non-productive</v>
      </c>
      <c r="H194" t="str">
        <f>VLOOKUP($E194,TaskValues_ref!$E:$Z,4,FALSE)</f>
        <v>-</v>
      </c>
      <c r="I194" t="str">
        <f>VLOOKUP($E194,TaskValues_ref!$E:$Z,5,FALSE)</f>
        <v>-</v>
      </c>
      <c r="J194" s="257" t="str">
        <f>VLOOKUP($E194,TaskValues_ref!$E:$Z,6,FALSE)</f>
        <v>all</v>
      </c>
      <c r="K194" t="str">
        <f>VLOOKUP($E194,TaskValues_ref!$E:$Z,10,FALSE)</f>
        <v>Amhara</v>
      </c>
      <c r="L194" s="195">
        <f>IF(VLOOKUP($E194,TaskValues_ref!$E:$Z,11,FALSE)=0,"",VLOOKUP($E194,TaskValues_ref!$E:$Z,11,FALSE))</f>
        <v>0.5</v>
      </c>
      <c r="M194" t="str">
        <f>IF(VLOOKUP($E194,TaskValues_ref!$E:$Z,13,FALSE)=0,"",VLOOKUP($E194,TaskValues_ref!$E:$Z,13,FALSE))</f>
        <v/>
      </c>
      <c r="N194" s="89">
        <f>IF(VLOOKUP($E194,TaskValues_ref!$E:$Z,15,FALSE)=0,"",VLOOKUP($E194,TaskValues_ref!$E:$Z,15,FALSE))</f>
        <v>0.98</v>
      </c>
      <c r="O194">
        <f>IF(VLOOKUP($E194,TaskValues_ref!$E:$Z,16,FALSE)=0,"",VLOOKUP($E194,TaskValues_ref!$E:$Z,16,FALSE))</f>
        <v>1</v>
      </c>
      <c r="P194" t="str">
        <f>IF(VLOOKUP($E194,TaskValues_ref!$E:$Z,17,FALSE)=0,"",VLOOKUP($E194,TaskValues_ref!$E:$Z,17,FALSE))</f>
        <v/>
      </c>
      <c r="Q194">
        <f>IF(VLOOKUP($E194,TaskValues_ref!$E:$Z,18,FALSE)=0,"",VLOOKUP($E194,TaskValues_ref!$E:$Z,18,FALSE))</f>
        <v>5.3832494807158753</v>
      </c>
      <c r="R194" t="str">
        <f>IF(VLOOKUP($E194,TaskValues_ref!$E:$Z,19,FALSE)=0,"",VLOOKUP($E194,TaskValues_ref!$E:$Z,19,FALSE))</f>
        <v/>
      </c>
      <c r="S194" t="str">
        <f>IF(VLOOKUP($E194,TaskValues_ref!$E:$Z,20,FALSE)=0,"",VLOOKUP($E194,TaskValues_ref!$E:$Z,20,FALSE))</f>
        <v/>
      </c>
    </row>
    <row r="195" spans="1:19" x14ac:dyDescent="0.45">
      <c r="E195" s="64" t="s">
        <v>2811</v>
      </c>
      <c r="F195" t="s">
        <v>2817</v>
      </c>
      <c r="G195" t="str">
        <f>VLOOKUP($E195,TaskValues_ref!$E:$Z,3,FALSE)</f>
        <v>Non-productive</v>
      </c>
      <c r="H195" t="str">
        <f>VLOOKUP($E195,TaskValues_ref!$E:$Z,4,FALSE)</f>
        <v>-</v>
      </c>
      <c r="I195" t="str">
        <f>VLOOKUP($E195,TaskValues_ref!$E:$Z,5,FALSE)</f>
        <v>-</v>
      </c>
      <c r="J195" s="257" t="str">
        <f>VLOOKUP($E195,TaskValues_ref!$E:$Z,6,FALSE)</f>
        <v>-</v>
      </c>
      <c r="K195" t="str">
        <f>VLOOKUP($E195,TaskValues_ref!$E:$Z,10,FALSE)</f>
        <v>Amhara</v>
      </c>
      <c r="L195" s="195" t="str">
        <f>IF(VLOOKUP($E195,TaskValues_ref!$E:$Z,11,FALSE)=0,"",VLOOKUP($E195,TaskValues_ref!$E:$Z,11,FALSE))</f>
        <v/>
      </c>
      <c r="M195" t="str">
        <f>IF(VLOOKUP($E195,TaskValues_ref!$E:$Z,13,FALSE)=0,"",VLOOKUP($E195,TaskValues_ref!$E:$Z,13,FALSE))</f>
        <v/>
      </c>
      <c r="N195" s="89" t="str">
        <f>IF(VLOOKUP($E195,TaskValues_ref!$E:$Z,15,FALSE)=0,"",VLOOKUP($E195,TaskValues_ref!$E:$Z,15,FALSE))</f>
        <v/>
      </c>
      <c r="O195" t="str">
        <f>IF(VLOOKUP($E195,TaskValues_ref!$E:$Z,16,FALSE)=0,"",VLOOKUP($E195,TaskValues_ref!$E:$Z,16,FALSE))</f>
        <v/>
      </c>
      <c r="P195" t="str">
        <f>IF(VLOOKUP($E195,TaskValues_ref!$E:$Z,17,FALSE)=0,"",VLOOKUP($E195,TaskValues_ref!$E:$Z,17,FALSE))</f>
        <v/>
      </c>
      <c r="Q195" t="str">
        <f>IF(VLOOKUP($E195,TaskValues_ref!$E:$Z,18,FALSE)=0,"",VLOOKUP($E195,TaskValues_ref!$E:$Z,18,FALSE))</f>
        <v/>
      </c>
      <c r="R195">
        <f>IF(VLOOKUP($E195,TaskValues_ref!$E:$Z,19,FALSE)=0,"",VLOOKUP($E195,TaskValues_ref!$E:$Z,19,FALSE))</f>
        <v>4.5120000000000005</v>
      </c>
      <c r="S195" t="str">
        <f>IF(VLOOKUP($E195,TaskValues_ref!$E:$Z,20,FALSE)=0,"",VLOOKUP($E195,TaskValues_ref!$E:$Z,20,FALSE))</f>
        <v/>
      </c>
    </row>
    <row r="196" spans="1:19" x14ac:dyDescent="0.45">
      <c r="E196" s="64" t="s">
        <v>2812</v>
      </c>
      <c r="F196" t="s">
        <v>2818</v>
      </c>
      <c r="G196" t="str">
        <f>VLOOKUP($E196,TaskValues_ref!$E:$Z,3,FALSE)</f>
        <v>Non-productive</v>
      </c>
      <c r="H196" t="str">
        <f>VLOOKUP($E196,TaskValues_ref!$E:$Z,4,FALSE)</f>
        <v>-</v>
      </c>
      <c r="I196" t="str">
        <f>VLOOKUP($E196,TaskValues_ref!$E:$Z,5,FALSE)</f>
        <v>-</v>
      </c>
      <c r="J196" s="257" t="str">
        <f>VLOOKUP($E196,TaskValues_ref!$E:$Z,6,FALSE)</f>
        <v>-</v>
      </c>
      <c r="K196" t="str">
        <f>VLOOKUP($E196,TaskValues_ref!$E:$Z,10,FALSE)</f>
        <v>Amhara</v>
      </c>
      <c r="L196" s="195" t="str">
        <f>IF(VLOOKUP($E196,TaskValues_ref!$E:$Z,11,FALSE)=0,"",VLOOKUP($E196,TaskValues_ref!$E:$Z,11,FALSE))</f>
        <v/>
      </c>
      <c r="M196" t="str">
        <f>IF(VLOOKUP($E196,TaskValues_ref!$E:$Z,13,FALSE)=0,"",VLOOKUP($E196,TaskValues_ref!$E:$Z,13,FALSE))</f>
        <v/>
      </c>
      <c r="N196" s="89" t="str">
        <f>IF(VLOOKUP($E196,TaskValues_ref!$E:$Z,15,FALSE)=0,"",VLOOKUP($E196,TaskValues_ref!$E:$Z,15,FALSE))</f>
        <v/>
      </c>
      <c r="O196" t="str">
        <f>IF(VLOOKUP($E196,TaskValues_ref!$E:$Z,16,FALSE)=0,"",VLOOKUP($E196,TaskValues_ref!$E:$Z,16,FALSE))</f>
        <v/>
      </c>
      <c r="P196" t="str">
        <f>IF(VLOOKUP($E196,TaskValues_ref!$E:$Z,17,FALSE)=0,"",VLOOKUP($E196,TaskValues_ref!$E:$Z,17,FALSE))</f>
        <v/>
      </c>
      <c r="Q196" t="str">
        <f>IF(VLOOKUP($E196,TaskValues_ref!$E:$Z,18,FALSE)=0,"",VLOOKUP($E196,TaskValues_ref!$E:$Z,18,FALSE))</f>
        <v/>
      </c>
      <c r="R196">
        <f>IF(VLOOKUP($E196,TaskValues_ref!$E:$Z,19,FALSE)=0,"",VLOOKUP($E196,TaskValues_ref!$E:$Z,19,FALSE))</f>
        <v>4.5120000000000005</v>
      </c>
      <c r="S196" t="str">
        <f>IF(VLOOKUP($E196,TaskValues_ref!$E:$Z,20,FALSE)=0,"",VLOOKUP($E196,TaskValues_ref!$E:$Z,20,FALSE))</f>
        <v/>
      </c>
    </row>
    <row r="197" spans="1:19" x14ac:dyDescent="0.45">
      <c r="E197" s="64" t="s">
        <v>2813</v>
      </c>
      <c r="F197" t="s">
        <v>2819</v>
      </c>
      <c r="G197" t="str">
        <f>VLOOKUP($E197,TaskValues_ref!$E:$Z,3,FALSE)</f>
        <v>Non-productive</v>
      </c>
      <c r="H197" t="str">
        <f>VLOOKUP($E197,TaskValues_ref!$E:$Z,4,FALSE)</f>
        <v>-</v>
      </c>
      <c r="I197" t="str">
        <f>VLOOKUP($E197,TaskValues_ref!$E:$Z,5,FALSE)</f>
        <v>-</v>
      </c>
      <c r="J197" s="257" t="str">
        <f>VLOOKUP($E197,TaskValues_ref!$E:$Z,6,FALSE)</f>
        <v>-</v>
      </c>
      <c r="K197" t="str">
        <f>VLOOKUP($E197,TaskValues_ref!$E:$Z,10,FALSE)</f>
        <v>Amhara</v>
      </c>
      <c r="L197" s="195" t="str">
        <f>IF(VLOOKUP($E197,TaskValues_ref!$E:$Z,11,FALSE)=0,"",VLOOKUP($E197,TaskValues_ref!$E:$Z,11,FALSE))</f>
        <v/>
      </c>
      <c r="M197" t="str">
        <f>IF(VLOOKUP($E197,TaskValues_ref!$E:$Z,13,FALSE)=0,"",VLOOKUP($E197,TaskValues_ref!$E:$Z,13,FALSE))</f>
        <v/>
      </c>
      <c r="N197" s="89" t="str">
        <f>IF(VLOOKUP($E197,TaskValues_ref!$E:$Z,15,FALSE)=0,"",VLOOKUP($E197,TaskValues_ref!$E:$Z,15,FALSE))</f>
        <v/>
      </c>
      <c r="O197" t="str">
        <f>IF(VLOOKUP($E197,TaskValues_ref!$E:$Z,16,FALSE)=0,"",VLOOKUP($E197,TaskValues_ref!$E:$Z,16,FALSE))</f>
        <v/>
      </c>
      <c r="P197" t="str">
        <f>IF(VLOOKUP($E197,TaskValues_ref!$E:$Z,17,FALSE)=0,"",VLOOKUP($E197,TaskValues_ref!$E:$Z,17,FALSE))</f>
        <v/>
      </c>
      <c r="Q197" t="str">
        <f>IF(VLOOKUP($E197,TaskValues_ref!$E:$Z,18,FALSE)=0,"",VLOOKUP($E197,TaskValues_ref!$E:$Z,18,FALSE))</f>
        <v/>
      </c>
      <c r="R197">
        <f>IF(VLOOKUP($E197,TaskValues_ref!$E:$Z,19,FALSE)=0,"",VLOOKUP($E197,TaskValues_ref!$E:$Z,19,FALSE))</f>
        <v>4.5120000000000005</v>
      </c>
      <c r="S197" t="str">
        <f>IF(VLOOKUP($E197,TaskValues_ref!$E:$Z,20,FALSE)=0,"",VLOOKUP($E197,TaskValues_ref!$E:$Z,20,FALSE))</f>
        <v/>
      </c>
    </row>
    <row r="198" spans="1:19" x14ac:dyDescent="0.45">
      <c r="E198" s="64" t="s">
        <v>2814</v>
      </c>
      <c r="F198" t="s">
        <v>2820</v>
      </c>
      <c r="G198" t="str">
        <f>VLOOKUP($E198,TaskValues_ref!$E:$Z,3,FALSE)</f>
        <v>Non-productive</v>
      </c>
      <c r="H198" t="str">
        <f>VLOOKUP($E198,TaskValues_ref!$E:$Z,4,FALSE)</f>
        <v>-</v>
      </c>
      <c r="I198" t="str">
        <f>VLOOKUP($E198,TaskValues_ref!$E:$Z,5,FALSE)</f>
        <v>-</v>
      </c>
      <c r="J198" s="257" t="str">
        <f>VLOOKUP($E198,TaskValues_ref!$E:$Z,6,FALSE)</f>
        <v>-</v>
      </c>
      <c r="K198" t="str">
        <f>VLOOKUP($E198,TaskValues_ref!$E:$Z,10,FALSE)</f>
        <v>Amhara</v>
      </c>
      <c r="L198" s="195" t="str">
        <f>IF(VLOOKUP($E198,TaskValues_ref!$E:$Z,11,FALSE)=0,"",VLOOKUP($E198,TaskValues_ref!$E:$Z,11,FALSE))</f>
        <v/>
      </c>
      <c r="M198" t="str">
        <f>IF(VLOOKUP($E198,TaskValues_ref!$E:$Z,13,FALSE)=0,"",VLOOKUP($E198,TaskValues_ref!$E:$Z,13,FALSE))</f>
        <v/>
      </c>
      <c r="N198" s="89" t="str">
        <f>IF(VLOOKUP($E198,TaskValues_ref!$E:$Z,15,FALSE)=0,"",VLOOKUP($E198,TaskValues_ref!$E:$Z,15,FALSE))</f>
        <v/>
      </c>
      <c r="O198" t="str">
        <f>IF(VLOOKUP($E198,TaskValues_ref!$E:$Z,16,FALSE)=0,"",VLOOKUP($E198,TaskValues_ref!$E:$Z,16,FALSE))</f>
        <v/>
      </c>
      <c r="P198" t="str">
        <f>IF(VLOOKUP($E198,TaskValues_ref!$E:$Z,17,FALSE)=0,"",VLOOKUP($E198,TaskValues_ref!$E:$Z,17,FALSE))</f>
        <v/>
      </c>
      <c r="Q198" t="str">
        <f>IF(VLOOKUP($E198,TaskValues_ref!$E:$Z,18,FALSE)=0,"",VLOOKUP($E198,TaskValues_ref!$E:$Z,18,FALSE))</f>
        <v/>
      </c>
      <c r="R198">
        <f>IF(VLOOKUP($E198,TaskValues_ref!$E:$Z,19,FALSE)=0,"",VLOOKUP($E198,TaskValues_ref!$E:$Z,19,FALSE))</f>
        <v>4.5120000000000005</v>
      </c>
      <c r="S198" t="str">
        <f>IF(VLOOKUP($E198,TaskValues_ref!$E:$Z,20,FALSE)=0,"",VLOOKUP($E198,TaskValues_ref!$E:$Z,20,FALSE))</f>
        <v/>
      </c>
    </row>
    <row r="199" spans="1:19" x14ac:dyDescent="0.45">
      <c r="E199" s="64" t="s">
        <v>2815</v>
      </c>
      <c r="F199" t="s">
        <v>2821</v>
      </c>
      <c r="G199" t="str">
        <f>VLOOKUP($E199,TaskValues_ref!$E:$Z,3,FALSE)</f>
        <v>Non-productive</v>
      </c>
      <c r="H199" t="str">
        <f>VLOOKUP($E199,TaskValues_ref!$E:$Z,4,FALSE)</f>
        <v>-</v>
      </c>
      <c r="I199" t="str">
        <f>VLOOKUP($E199,TaskValues_ref!$E:$Z,5,FALSE)</f>
        <v>-</v>
      </c>
      <c r="J199" s="257" t="str">
        <f>VLOOKUP($E199,TaskValues_ref!$E:$Z,6,FALSE)</f>
        <v>-</v>
      </c>
      <c r="K199" t="str">
        <f>VLOOKUP($E199,TaskValues_ref!$E:$Z,10,FALSE)</f>
        <v>Amhara</v>
      </c>
      <c r="L199" s="195" t="str">
        <f>IF(VLOOKUP($E199,TaskValues_ref!$E:$Z,11,FALSE)=0,"",VLOOKUP($E199,TaskValues_ref!$E:$Z,11,FALSE))</f>
        <v/>
      </c>
      <c r="M199" t="str">
        <f>IF(VLOOKUP($E199,TaskValues_ref!$E:$Z,13,FALSE)=0,"",VLOOKUP($E199,TaskValues_ref!$E:$Z,13,FALSE))</f>
        <v/>
      </c>
      <c r="N199" s="89" t="str">
        <f>IF(VLOOKUP($E199,TaskValues_ref!$E:$Z,15,FALSE)=0,"",VLOOKUP($E199,TaskValues_ref!$E:$Z,15,FALSE))</f>
        <v/>
      </c>
      <c r="O199" t="str">
        <f>IF(VLOOKUP($E199,TaskValues_ref!$E:$Z,16,FALSE)=0,"",VLOOKUP($E199,TaskValues_ref!$E:$Z,16,FALSE))</f>
        <v/>
      </c>
      <c r="P199" t="str">
        <f>IF(VLOOKUP($E199,TaskValues_ref!$E:$Z,17,FALSE)=0,"",VLOOKUP($E199,TaskValues_ref!$E:$Z,17,FALSE))</f>
        <v/>
      </c>
      <c r="Q199" t="str">
        <f>IF(VLOOKUP($E199,TaskValues_ref!$E:$Z,18,FALSE)=0,"",VLOOKUP($E199,TaskValues_ref!$E:$Z,18,FALSE))</f>
        <v/>
      </c>
      <c r="R199">
        <f>IF(VLOOKUP($E199,TaskValues_ref!$E:$Z,19,FALSE)=0,"",VLOOKUP($E199,TaskValues_ref!$E:$Z,19,FALSE))</f>
        <v>4.5120000000000005</v>
      </c>
      <c r="S199" t="str">
        <f>IF(VLOOKUP($E199,TaskValues_ref!$E:$Z,20,FALSE)=0,"",VLOOKUP($E199,TaskValues_ref!$E:$Z,20,FALSE))</f>
        <v/>
      </c>
    </row>
    <row r="200" spans="1:19" x14ac:dyDescent="0.45">
      <c r="E200" s="64" t="s">
        <v>2816</v>
      </c>
      <c r="F200" t="s">
        <v>2822</v>
      </c>
      <c r="G200" t="str">
        <f>VLOOKUP($E200,TaskValues_ref!$E:$Z,3,FALSE)</f>
        <v>Non-productive</v>
      </c>
      <c r="H200" t="str">
        <f>VLOOKUP($E200,TaskValues_ref!$E:$Z,4,FALSE)</f>
        <v>-</v>
      </c>
      <c r="I200" t="str">
        <f>VLOOKUP($E200,TaskValues_ref!$E:$Z,5,FALSE)</f>
        <v>-</v>
      </c>
      <c r="J200" s="257" t="str">
        <f>VLOOKUP($E200,TaskValues_ref!$E:$Z,6,FALSE)</f>
        <v>-</v>
      </c>
      <c r="K200" t="str">
        <f>VLOOKUP($E200,TaskValues_ref!$E:$Z,10,FALSE)</f>
        <v>Amhara</v>
      </c>
      <c r="L200" s="195" t="str">
        <f>IF(VLOOKUP($E200,TaskValues_ref!$E:$Z,11,FALSE)=0,"",VLOOKUP($E200,TaskValues_ref!$E:$Z,11,FALSE))</f>
        <v/>
      </c>
      <c r="M200" t="str">
        <f>IF(VLOOKUP($E200,TaskValues_ref!$E:$Z,13,FALSE)=0,"",VLOOKUP($E200,TaskValues_ref!$E:$Z,13,FALSE))</f>
        <v/>
      </c>
      <c r="N200" s="89" t="str">
        <f>IF(VLOOKUP($E200,TaskValues_ref!$E:$Z,15,FALSE)=0,"",VLOOKUP($E200,TaskValues_ref!$E:$Z,15,FALSE))</f>
        <v/>
      </c>
      <c r="O200" t="str">
        <f>IF(VLOOKUP($E200,TaskValues_ref!$E:$Z,16,FALSE)=0,"",VLOOKUP($E200,TaskValues_ref!$E:$Z,16,FALSE))</f>
        <v/>
      </c>
      <c r="P200" t="str">
        <f>IF(VLOOKUP($E200,TaskValues_ref!$E:$Z,17,FALSE)=0,"",VLOOKUP($E200,TaskValues_ref!$E:$Z,17,FALSE))</f>
        <v/>
      </c>
      <c r="Q200" t="str">
        <f>IF(VLOOKUP($E200,TaskValues_ref!$E:$Z,18,FALSE)=0,"",VLOOKUP($E200,TaskValues_ref!$E:$Z,18,FALSE))</f>
        <v/>
      </c>
      <c r="R200">
        <f>IF(VLOOKUP($E200,TaskValues_ref!$E:$Z,19,FALSE)=0,"",VLOOKUP($E200,TaskValues_ref!$E:$Z,19,FALSE))</f>
        <v>4.5120000000000005</v>
      </c>
      <c r="S200" t="str">
        <f>IF(VLOOKUP($E200,TaskValues_ref!$E:$Z,20,FALSE)=0,"",VLOOKUP($E200,TaskValues_ref!$E:$Z,20,FALSE))</f>
        <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0EB2C4E0-09DE-4E4B-822F-6A38681F2704}">
          <x14:formula1>
            <xm:f>Lookup!$B$2:$B$9</xm:f>
          </x14:formula1>
          <xm:sqref>H192 H201:H421</xm:sqref>
        </x14:dataValidation>
        <x14:dataValidation type="list" allowBlank="1" showInputMessage="1" showErrorMessage="1" xr:uid="{C778851C-6D51-4973-BEA4-95ED53345D6A}">
          <x14:formula1>
            <xm:f>Lookup!$D$2:$D$15</xm:f>
          </x14:formula1>
          <xm:sqref>I192 I201:I520</xm:sqref>
        </x14:dataValidation>
        <x14:dataValidation type="list" allowBlank="1" showInputMessage="1" showErrorMessage="1" xr:uid="{44980E56-DBE4-4B18-A93C-99BBAF388053}">
          <x14:formula1>
            <xm:f>Lookup!$F$2:$F$45</xm:f>
          </x14:formula1>
          <xm:sqref>J2:J1048576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80BF0-22BB-454B-8808-EB8FC5F2D877}">
  <sheetPr>
    <tabColor theme="9"/>
  </sheetPr>
  <dimension ref="A1:S136"/>
  <sheetViews>
    <sheetView zoomScale="60" zoomScaleNormal="60" workbookViewId="0">
      <pane ySplit="1" topLeftCell="A2" activePane="bottomLeft" state="frozen"/>
      <selection activeCell="O195" sqref="O195"/>
      <selection pane="bottomLeft" activeCell="A2" sqref="A2"/>
    </sheetView>
  </sheetViews>
  <sheetFormatPr defaultRowHeight="14.25" x14ac:dyDescent="0.45"/>
  <cols>
    <col min="1" max="4" width="4.53125" style="66" customWidth="1"/>
    <col min="5" max="5" width="15.19921875" style="64" customWidth="1"/>
    <col min="6" max="6" width="42" bestFit="1" customWidth="1"/>
    <col min="7" max="9" width="7.46484375" customWidth="1"/>
    <col min="10" max="10" width="12.19921875" style="257" bestFit="1" customWidth="1"/>
    <col min="11" max="11" width="15.19921875" customWidth="1"/>
    <col min="12" max="12" width="17.46484375" style="195" customWidth="1"/>
    <col min="13" max="13" width="15.19921875" customWidth="1"/>
    <col min="14" max="14" width="18.46484375" style="89" customWidth="1"/>
    <col min="15" max="15" width="19.19921875" customWidth="1"/>
    <col min="16" max="16" width="18.73046875" customWidth="1"/>
    <col min="17" max="17" width="15.19921875" style="6" customWidth="1"/>
    <col min="18" max="19" width="15.19921875" customWidth="1"/>
  </cols>
  <sheetData>
    <row r="1" spans="1:19" s="177" customFormat="1" ht="87.7" customHeight="1" x14ac:dyDescent="0.45">
      <c r="A1" s="299" t="s">
        <v>2776</v>
      </c>
      <c r="B1" s="299" t="s">
        <v>2777</v>
      </c>
      <c r="C1" s="299" t="s">
        <v>1012</v>
      </c>
      <c r="D1" s="299" t="s">
        <v>2778</v>
      </c>
      <c r="E1" s="301" t="s">
        <v>135</v>
      </c>
      <c r="F1" s="302" t="s">
        <v>136</v>
      </c>
      <c r="G1" s="302" t="s">
        <v>137</v>
      </c>
      <c r="H1" s="302" t="s">
        <v>138</v>
      </c>
      <c r="I1" s="302" t="s">
        <v>139</v>
      </c>
      <c r="J1" s="304" t="s">
        <v>140</v>
      </c>
      <c r="K1" s="299" t="s">
        <v>141</v>
      </c>
      <c r="L1" s="308" t="s">
        <v>142</v>
      </c>
      <c r="M1" s="300" t="s">
        <v>144</v>
      </c>
      <c r="N1" s="300" t="s">
        <v>146</v>
      </c>
      <c r="O1" s="299" t="s">
        <v>147</v>
      </c>
      <c r="P1" s="299" t="s">
        <v>148</v>
      </c>
      <c r="Q1" s="313" t="s">
        <v>149</v>
      </c>
      <c r="R1" s="299" t="s">
        <v>150</v>
      </c>
      <c r="S1" s="299" t="s">
        <v>151</v>
      </c>
    </row>
    <row r="2" spans="1:19" x14ac:dyDescent="0.45">
      <c r="A2" t="s">
        <v>2163</v>
      </c>
      <c r="B2" t="s">
        <v>2164</v>
      </c>
      <c r="C2" s="66" t="s">
        <v>153</v>
      </c>
      <c r="D2" s="324">
        <v>1</v>
      </c>
      <c r="E2" s="64" t="s">
        <v>2165</v>
      </c>
      <c r="F2" t="str">
        <f>VLOOKUP(E2,TaskValues_ref!E:F,2,FALSE)</f>
        <v>ANC visits</v>
      </c>
      <c r="G2" t="str">
        <f>VLOOKUP($E2,TaskValues_ref!$E:$Z,3,FALSE)</f>
        <v>Clinical</v>
      </c>
      <c r="H2" t="str">
        <f>VLOOKUP($E2,TaskValues_ref!$E:$Z,4,FALSE)</f>
        <v>Preventive</v>
      </c>
      <c r="I2" t="str">
        <f>VLOOKUP($E2,TaskValues_ref!$E:$Z,5,FALSE)</f>
        <v>Pregnancy</v>
      </c>
      <c r="J2" s="257" t="str">
        <f>VLOOKUP($E2,TaskValues_ref!$E:$Z,6,FALSE)</f>
        <v>births</v>
      </c>
      <c r="K2" t="str">
        <f>VLOOKUP($E2,TaskValues_ref!$E:$Z,10,FALSE)</f>
        <v>Amhara</v>
      </c>
      <c r="L2" s="195">
        <f>IF(VLOOKUP($E2,TaskValues_ref!$E:$Z,11,FALSE)=0,"",VLOOKUP($E2,TaskValues_ref!$E:$Z,11,FALSE))</f>
        <v>1</v>
      </c>
      <c r="M2" t="str">
        <f>IF(VLOOKUP($E2,TaskValues_ref!$E:$Z,13,FALSE)=0,"",VLOOKUP($E2,TaskValues_ref!$E:$Z,13,FALSE))</f>
        <v/>
      </c>
      <c r="N2" s="89">
        <f>IF(VLOOKUP($E2,TaskValues_ref!$E:$Z,15,FALSE)=0,"",VLOOKUP($E2,TaskValues_ref!$E:$Z,15,FALSE))</f>
        <v>1</v>
      </c>
      <c r="O2">
        <f>IF(VLOOKUP($E2,TaskValues_ref!$E:$Z,16,FALSE)=0,"",VLOOKUP($E2,TaskValues_ref!$E:$Z,16,FALSE))</f>
        <v>4</v>
      </c>
      <c r="P2" t="str">
        <f>IF(VLOOKUP($E2,TaskValues_ref!$E:$Z,17,FALSE)=0,"",VLOOKUP($E2,TaskValues_ref!$E:$Z,17,FALSE))</f>
        <v/>
      </c>
      <c r="Q2">
        <f>IF(VLOOKUP($E2,TaskValues_ref!$E:$Z,18,FALSE)=0,"",VLOOKUP($E2,TaskValues_ref!$E:$Z,18,FALSE))</f>
        <v>10</v>
      </c>
      <c r="R2" t="str">
        <f>IF(VLOOKUP($E2,TaskValues_ref!$E:$Z,19,FALSE)=0,"",VLOOKUP($E2,TaskValues_ref!$E:$Z,19,FALSE))</f>
        <v/>
      </c>
      <c r="S2" t="str">
        <f>IF(VLOOKUP($E2,TaskValues_ref!$E:$Z,20,FALSE)=0,"",VLOOKUP($E2,TaskValues_ref!$E:$Z,20,FALSE))</f>
        <v/>
      </c>
    </row>
    <row r="3" spans="1:19" x14ac:dyDescent="0.45">
      <c r="A3" t="s">
        <v>2163</v>
      </c>
      <c r="B3" t="s">
        <v>2164</v>
      </c>
      <c r="C3" s="66" t="s">
        <v>2185</v>
      </c>
      <c r="D3" s="324">
        <v>7</v>
      </c>
      <c r="E3" s="64" t="s">
        <v>2191</v>
      </c>
      <c r="F3" t="str">
        <f>VLOOKUP(E3,TaskValues_ref!E:F,2,FALSE)</f>
        <v>PNC home visits</v>
      </c>
      <c r="G3" t="str">
        <f>VLOOKUP($E3,TaskValues_ref!$E:$Z,3,FALSE)</f>
        <v>Clinical</v>
      </c>
      <c r="H3" t="str">
        <f>VLOOKUP($E3,TaskValues_ref!$E:$Z,4,FALSE)</f>
        <v>Preventive</v>
      </c>
      <c r="I3" t="str">
        <f>VLOOKUP($E3,TaskValues_ref!$E:$Z,5,FALSE)</f>
        <v>Pregnancy</v>
      </c>
      <c r="J3" s="257" t="str">
        <f>VLOOKUP($E3,TaskValues_ref!$E:$Z,6,FALSE)</f>
        <v>births</v>
      </c>
      <c r="K3" t="str">
        <f>VLOOKUP($E3,TaskValues_ref!$E:$Z,10,FALSE)</f>
        <v>Amhara</v>
      </c>
      <c r="L3" s="195">
        <f>IF(VLOOKUP($E3,TaskValues_ref!$E:$Z,11,FALSE)=0,"",VLOOKUP($E3,TaskValues_ref!$E:$Z,11,FALSE))</f>
        <v>1</v>
      </c>
      <c r="M3" t="str">
        <f>IF(VLOOKUP($E3,TaskValues_ref!$E:$Z,13,FALSE)=0,"",VLOOKUP($E3,TaskValues_ref!$E:$Z,13,FALSE))</f>
        <v/>
      </c>
      <c r="N3" s="89">
        <f>IF(VLOOKUP($E3,TaskValues_ref!$E:$Z,15,FALSE)=0,"",VLOOKUP($E3,TaskValues_ref!$E:$Z,15,FALSE))</f>
        <v>1</v>
      </c>
      <c r="O3">
        <f>IF(VLOOKUP($E3,TaskValues_ref!$E:$Z,16,FALSE)=0,"",VLOOKUP($E3,TaskValues_ref!$E:$Z,16,FALSE))</f>
        <v>2</v>
      </c>
      <c r="P3" t="str">
        <f>IF(VLOOKUP($E3,TaskValues_ref!$E:$Z,17,FALSE)=0,"",VLOOKUP($E3,TaskValues_ref!$E:$Z,17,FALSE))</f>
        <v/>
      </c>
      <c r="Q3">
        <f>IF(VLOOKUP($E3,TaskValues_ref!$E:$Z,18,FALSE)=0,"",VLOOKUP($E3,TaskValues_ref!$E:$Z,18,FALSE))</f>
        <v>60</v>
      </c>
      <c r="R3" t="str">
        <f>IF(VLOOKUP($E3,TaskValues_ref!$E:$Z,19,FALSE)=0,"",VLOOKUP($E3,TaskValues_ref!$E:$Z,19,FALSE))</f>
        <v/>
      </c>
      <c r="S3" t="str">
        <f>IF(VLOOKUP($E3,TaskValues_ref!$E:$Z,20,FALSE)=0,"",VLOOKUP($E3,TaskValues_ref!$E:$Z,20,FALSE))</f>
        <v/>
      </c>
    </row>
    <row r="4" spans="1:19" x14ac:dyDescent="0.45">
      <c r="A4" t="s">
        <v>2163</v>
      </c>
      <c r="B4" t="s">
        <v>2164</v>
      </c>
      <c r="C4" s="66" t="s">
        <v>2206</v>
      </c>
      <c r="D4" s="324">
        <v>12</v>
      </c>
      <c r="E4" s="64" t="s">
        <v>2207</v>
      </c>
      <c r="F4" t="str">
        <f>VLOOKUP(E4,TaskValues_ref!E:F,2,FALSE)</f>
        <v>Mortality surveillance</v>
      </c>
      <c r="G4" t="str">
        <f>VLOOKUP($E4,TaskValues_ref!$E:$Z,3,FALSE)</f>
        <v>Non-productive</v>
      </c>
      <c r="H4" t="str">
        <f>VLOOKUP($E4,TaskValues_ref!$E:$Z,4,FALSE)</f>
        <v>Public Health</v>
      </c>
      <c r="I4" t="str">
        <f>VLOOKUP($E4,TaskValues_ref!$E:$Z,5,FALSE)</f>
        <v>-</v>
      </c>
      <c r="J4" s="257" t="str">
        <f>VLOOKUP($E4,TaskValues_ref!$E:$Z,6,FALSE)</f>
        <v>-</v>
      </c>
      <c r="K4" t="str">
        <f>VLOOKUP($E4,TaskValues_ref!$E:$Z,10,FALSE)</f>
        <v>Amhara</v>
      </c>
      <c r="L4" s="195" t="str">
        <f>IF(VLOOKUP($E4,TaskValues_ref!$E:$Z,11,FALSE)=0,"",VLOOKUP($E4,TaskValues_ref!$E:$Z,11,FALSE))</f>
        <v/>
      </c>
      <c r="M4" t="str">
        <f>IF(VLOOKUP($E4,TaskValues_ref!$E:$Z,13,FALSE)=0,"",VLOOKUP($E4,TaskValues_ref!$E:$Z,13,FALSE))</f>
        <v/>
      </c>
      <c r="N4" s="89" t="str">
        <f>IF(VLOOKUP($E4,TaskValues_ref!$E:$Z,15,FALSE)=0,"",VLOOKUP($E4,TaskValues_ref!$E:$Z,15,FALSE))</f>
        <v/>
      </c>
      <c r="O4" t="str">
        <f>IF(VLOOKUP($E4,TaskValues_ref!$E:$Z,16,FALSE)=0,"",VLOOKUP($E4,TaskValues_ref!$E:$Z,16,FALSE))</f>
        <v/>
      </c>
      <c r="P4" t="str">
        <f>IF(VLOOKUP($E4,TaskValues_ref!$E:$Z,17,FALSE)=0,"",VLOOKUP($E4,TaskValues_ref!$E:$Z,17,FALSE))</f>
        <v/>
      </c>
      <c r="Q4" t="str">
        <f>IF(VLOOKUP($E4,TaskValues_ref!$E:$Z,18,FALSE)=0,"",VLOOKUP($E4,TaskValues_ref!$E:$Z,18,FALSE))</f>
        <v/>
      </c>
      <c r="R4" t="str">
        <f>IF(VLOOKUP($E4,TaskValues_ref!$E:$Z,19,FALSE)=0,"",VLOOKUP($E4,TaskValues_ref!$E:$Z,19,FALSE))</f>
        <v/>
      </c>
      <c r="S4" t="str">
        <f>IF(VLOOKUP($E4,TaskValues_ref!$E:$Z,20,FALSE)=0,"",VLOOKUP($E4,TaskValues_ref!$E:$Z,20,FALSE))</f>
        <v/>
      </c>
    </row>
    <row r="5" spans="1:19" x14ac:dyDescent="0.45">
      <c r="A5" t="s">
        <v>2163</v>
      </c>
      <c r="B5" t="s">
        <v>2164</v>
      </c>
      <c r="C5" s="66" t="s">
        <v>2206</v>
      </c>
      <c r="D5" s="324">
        <v>13</v>
      </c>
      <c r="E5" s="64" t="s">
        <v>2768</v>
      </c>
      <c r="F5" t="str">
        <f>VLOOKUP(E5,TaskValues_ref!E:F,2,FALSE)</f>
        <v>ID fistula and prolapse</v>
      </c>
      <c r="G5" t="str">
        <f>VLOOKUP($E5,TaskValues_ref!$E:$Z,3,FALSE)</f>
        <v>Non-clinical</v>
      </c>
      <c r="H5" t="str">
        <f>VLOOKUP($E5,TaskValues_ref!$E:$Z,4,FALSE)</f>
        <v>Public Health</v>
      </c>
      <c r="I5" t="str">
        <f>VLOOKUP($E5,TaskValues_ref!$E:$Z,5,FALSE)</f>
        <v>-</v>
      </c>
      <c r="J5" s="257" t="str">
        <f>VLOOKUP($E5,TaskValues_ref!$E:$Z,6,FALSE)</f>
        <v>births</v>
      </c>
      <c r="K5" t="str">
        <f>VLOOKUP($E5,TaskValues_ref!$E:$Z,10,FALSE)</f>
        <v>Amhara</v>
      </c>
      <c r="L5" s="195" t="str">
        <f>IF(VLOOKUP($E5,TaskValues_ref!$E:$Z,11,FALSE)=0,"",VLOOKUP($E5,TaskValues_ref!$E:$Z,11,FALSE))</f>
        <v/>
      </c>
      <c r="M5" t="str">
        <f>IF(VLOOKUP($E5,TaskValues_ref!$E:$Z,13,FALSE)=0,"",VLOOKUP($E5,TaskValues_ref!$E:$Z,13,FALSE))</f>
        <v/>
      </c>
      <c r="N5" s="89" t="str">
        <f>IF(VLOOKUP($E5,TaskValues_ref!$E:$Z,15,FALSE)=0,"",VLOOKUP($E5,TaskValues_ref!$E:$Z,15,FALSE))</f>
        <v/>
      </c>
      <c r="O5" t="str">
        <f>IF(VLOOKUP($E5,TaskValues_ref!$E:$Z,16,FALSE)=0,"",VLOOKUP($E5,TaskValues_ref!$E:$Z,16,FALSE))</f>
        <v/>
      </c>
      <c r="P5" t="str">
        <f>IF(VLOOKUP($E5,TaskValues_ref!$E:$Z,17,FALSE)=0,"",VLOOKUP($E5,TaskValues_ref!$E:$Z,17,FALSE))</f>
        <v/>
      </c>
      <c r="Q5" t="str">
        <f>IF(VLOOKUP($E5,TaskValues_ref!$E:$Z,18,FALSE)=0,"",VLOOKUP($E5,TaskValues_ref!$E:$Z,18,FALSE))</f>
        <v/>
      </c>
      <c r="R5" t="str">
        <f>IF(VLOOKUP($E5,TaskValues_ref!$E:$Z,19,FALSE)=0,"",VLOOKUP($E5,TaskValues_ref!$E:$Z,19,FALSE))</f>
        <v/>
      </c>
      <c r="S5" t="str">
        <f>IF(VLOOKUP($E5,TaskValues_ref!$E:$Z,20,FALSE)=0,"",VLOOKUP($E5,TaskValues_ref!$E:$Z,20,FALSE))</f>
        <v/>
      </c>
    </row>
    <row r="6" spans="1:19" x14ac:dyDescent="0.45">
      <c r="A6" t="s">
        <v>2163</v>
      </c>
      <c r="B6" t="s">
        <v>2164</v>
      </c>
      <c r="C6" s="66" t="s">
        <v>2206</v>
      </c>
      <c r="D6" s="324">
        <v>14</v>
      </c>
      <c r="E6" s="64" t="s">
        <v>2769</v>
      </c>
      <c r="F6" t="str">
        <f>VLOOKUP(E6,TaskValues_ref!E:F,2,FALSE)</f>
        <v>Promote cervical cancer ID and treat</v>
      </c>
      <c r="G6" t="str">
        <f>VLOOKUP($E6,TaskValues_ref!$E:$Z,3,FALSE)</f>
        <v>Non-clinical</v>
      </c>
      <c r="H6" t="str">
        <f>VLOOKUP($E6,TaskValues_ref!$E:$Z,4,FALSE)</f>
        <v>Preventive</v>
      </c>
      <c r="I6" t="str">
        <f>VLOOKUP($E6,TaskValues_ref!$E:$Z,5,FALSE)</f>
        <v>Sexual health</v>
      </c>
      <c r="J6" s="257" t="str">
        <f>VLOOKUP($E6,TaskValues_ref!$E:$Z,6,FALSE)</f>
        <v>women 15-49</v>
      </c>
      <c r="K6" t="str">
        <f>VLOOKUP($E6,TaskValues_ref!$E:$Z,10,FALSE)</f>
        <v>Amhara</v>
      </c>
      <c r="L6" s="195" t="str">
        <f>IF(VLOOKUP($E6,TaskValues_ref!$E:$Z,11,FALSE)=0,"",VLOOKUP($E6,TaskValues_ref!$E:$Z,11,FALSE))</f>
        <v/>
      </c>
      <c r="M6" t="str">
        <f>IF(VLOOKUP($E6,TaskValues_ref!$E:$Z,13,FALSE)=0,"",VLOOKUP($E6,TaskValues_ref!$E:$Z,13,FALSE))</f>
        <v/>
      </c>
      <c r="N6" s="89" t="str">
        <f>IF(VLOOKUP($E6,TaskValues_ref!$E:$Z,15,FALSE)=0,"",VLOOKUP($E6,TaskValues_ref!$E:$Z,15,FALSE))</f>
        <v/>
      </c>
      <c r="O6" t="str">
        <f>IF(VLOOKUP($E6,TaskValues_ref!$E:$Z,16,FALSE)=0,"",VLOOKUP($E6,TaskValues_ref!$E:$Z,16,FALSE))</f>
        <v/>
      </c>
      <c r="P6" t="str">
        <f>IF(VLOOKUP($E6,TaskValues_ref!$E:$Z,17,FALSE)=0,"",VLOOKUP($E6,TaskValues_ref!$E:$Z,17,FALSE))</f>
        <v/>
      </c>
      <c r="Q6" t="str">
        <f>IF(VLOOKUP($E6,TaskValues_ref!$E:$Z,18,FALSE)=0,"",VLOOKUP($E6,TaskValues_ref!$E:$Z,18,FALSE))</f>
        <v/>
      </c>
      <c r="R6" t="str">
        <f>IF(VLOOKUP($E6,TaskValues_ref!$E:$Z,19,FALSE)=0,"",VLOOKUP($E6,TaskValues_ref!$E:$Z,19,FALSE))</f>
        <v/>
      </c>
      <c r="S6" t="str">
        <f>IF(VLOOKUP($E6,TaskValues_ref!$E:$Z,20,FALSE)=0,"",VLOOKUP($E6,TaskValues_ref!$E:$Z,20,FALSE))</f>
        <v/>
      </c>
    </row>
    <row r="7" spans="1:19" x14ac:dyDescent="0.45">
      <c r="A7" t="s">
        <v>2163</v>
      </c>
      <c r="B7" s="66" t="s">
        <v>2213</v>
      </c>
      <c r="D7" s="324">
        <v>15</v>
      </c>
      <c r="E7" s="64" t="s">
        <v>2630</v>
      </c>
      <c r="F7" t="str">
        <f>VLOOKUP(E7,TaskValues_ref!E:F,2,FALSE)</f>
        <v>Newborn care</v>
      </c>
      <c r="G7" t="str">
        <f>VLOOKUP($E7,TaskValues_ref!$E:$Z,3,FALSE)</f>
        <v>Clinical</v>
      </c>
      <c r="H7" t="str">
        <f>VLOOKUP($E7,TaskValues_ref!$E:$Z,4,FALSE)</f>
        <v>Preventive</v>
      </c>
      <c r="I7" t="str">
        <f>VLOOKUP($E7,TaskValues_ref!$E:$Z,5,FALSE)</f>
        <v>Pregnancy</v>
      </c>
      <c r="J7" s="257" t="str">
        <f>VLOOKUP($E7,TaskValues_ref!$E:$Z,6,FALSE)</f>
        <v>births</v>
      </c>
      <c r="K7" t="str">
        <f>VLOOKUP($E7,TaskValues_ref!$E:$Z,10,FALSE)</f>
        <v>Amhara</v>
      </c>
      <c r="L7" s="195">
        <f>IF(VLOOKUP($E7,TaskValues_ref!$E:$Z,11,FALSE)=0,"",VLOOKUP($E7,TaskValues_ref!$E:$Z,11,FALSE))</f>
        <v>1</v>
      </c>
      <c r="M7" t="str">
        <f>IF(VLOOKUP($E7,TaskValues_ref!$E:$Z,13,FALSE)=0,"",VLOOKUP($E7,TaskValues_ref!$E:$Z,13,FALSE))</f>
        <v/>
      </c>
      <c r="N7" s="89">
        <f>IF(VLOOKUP($E7,TaskValues_ref!$E:$Z,15,FALSE)=0,"",VLOOKUP($E7,TaskValues_ref!$E:$Z,15,FALSE))</f>
        <v>1</v>
      </c>
      <c r="O7">
        <f>IF(VLOOKUP($E7,TaskValues_ref!$E:$Z,16,FALSE)=0,"",VLOOKUP($E7,TaskValues_ref!$E:$Z,16,FALSE))</f>
        <v>2</v>
      </c>
      <c r="P7" t="str">
        <f>IF(VLOOKUP($E7,TaskValues_ref!$E:$Z,17,FALSE)=0,"",VLOOKUP($E7,TaskValues_ref!$E:$Z,17,FALSE))</f>
        <v/>
      </c>
      <c r="Q7">
        <f>IF(VLOOKUP($E7,TaskValues_ref!$E:$Z,18,FALSE)=0,"",VLOOKUP($E7,TaskValues_ref!$E:$Z,18,FALSE))</f>
        <v>30</v>
      </c>
      <c r="R7" t="str">
        <f>IF(VLOOKUP($E7,TaskValues_ref!$E:$Z,19,FALSE)=0,"",VLOOKUP($E7,TaskValues_ref!$E:$Z,19,FALSE))</f>
        <v/>
      </c>
      <c r="S7" t="str">
        <f>IF(VLOOKUP($E7,TaskValues_ref!$E:$Z,20,FALSE)=0,"",VLOOKUP($E7,TaskValues_ref!$E:$Z,20,FALSE))</f>
        <v/>
      </c>
    </row>
    <row r="8" spans="1:19" x14ac:dyDescent="0.45">
      <c r="A8" t="s">
        <v>2163</v>
      </c>
      <c r="B8" s="66" t="s">
        <v>2213</v>
      </c>
      <c r="D8" s="324">
        <v>17</v>
      </c>
      <c r="E8" s="64" t="s">
        <v>2632</v>
      </c>
      <c r="F8" t="str">
        <f>VLOOKUP(E8,TaskValues_ref!E:F,2,FALSE)</f>
        <v>Kangaroo care</v>
      </c>
      <c r="G8" t="str">
        <f>VLOOKUP($E8,TaskValues_ref!$E:$Z,3,FALSE)</f>
        <v>Clinical</v>
      </c>
      <c r="H8" t="str">
        <f>VLOOKUP($E8,TaskValues_ref!$E:$Z,4,FALSE)</f>
        <v>Preventive</v>
      </c>
      <c r="I8" t="str">
        <f>VLOOKUP($E8,TaskValues_ref!$E:$Z,5,FALSE)</f>
        <v>Pregnancy</v>
      </c>
      <c r="J8" s="257" t="str">
        <f>VLOOKUP($E8,TaskValues_ref!$E:$Z,6,FALSE)</f>
        <v>births</v>
      </c>
      <c r="K8" t="str">
        <f>VLOOKUP($E8,TaskValues_ref!$E:$Z,10,FALSE)</f>
        <v>Amhara</v>
      </c>
      <c r="L8" s="195">
        <f>IF(VLOOKUP($E8,TaskValues_ref!$E:$Z,11,FALSE)=0,"",VLOOKUP($E8,TaskValues_ref!$E:$Z,11,FALSE))</f>
        <v>1</v>
      </c>
      <c r="M8" t="str">
        <f>IF(VLOOKUP($E8,TaskValues_ref!$E:$Z,13,FALSE)=0,"",VLOOKUP($E8,TaskValues_ref!$E:$Z,13,FALSE))</f>
        <v/>
      </c>
      <c r="N8" s="89">
        <f>IF(VLOOKUP($E8,TaskValues_ref!$E:$Z,15,FALSE)=0,"",VLOOKUP($E8,TaskValues_ref!$E:$Z,15,FALSE))</f>
        <v>1</v>
      </c>
      <c r="O8" t="str">
        <f>IF(VLOOKUP($E8,TaskValues_ref!$E:$Z,16,FALSE)=0,"",VLOOKUP($E8,TaskValues_ref!$E:$Z,16,FALSE))</f>
        <v/>
      </c>
      <c r="P8" t="str">
        <f>IF(VLOOKUP($E8,TaskValues_ref!$E:$Z,17,FALSE)=0,"",VLOOKUP($E8,TaskValues_ref!$E:$Z,17,FALSE))</f>
        <v/>
      </c>
      <c r="Q8" t="str">
        <f>IF(VLOOKUP($E8,TaskValues_ref!$E:$Z,18,FALSE)=0,"",VLOOKUP($E8,TaskValues_ref!$E:$Z,18,FALSE))</f>
        <v/>
      </c>
      <c r="R8" t="str">
        <f>IF(VLOOKUP($E8,TaskValues_ref!$E:$Z,19,FALSE)=0,"",VLOOKUP($E8,TaskValues_ref!$E:$Z,19,FALSE))</f>
        <v/>
      </c>
      <c r="S8" t="str">
        <f>IF(VLOOKUP($E8,TaskValues_ref!$E:$Z,20,FALSE)=0,"",VLOOKUP($E8,TaskValues_ref!$E:$Z,20,FALSE))</f>
        <v/>
      </c>
    </row>
    <row r="9" spans="1:19" x14ac:dyDescent="0.45">
      <c r="A9" t="s">
        <v>2163</v>
      </c>
      <c r="B9" s="66" t="s">
        <v>2213</v>
      </c>
      <c r="D9" s="324">
        <v>18</v>
      </c>
      <c r="E9" s="64" t="s">
        <v>2633</v>
      </c>
      <c r="F9" t="str">
        <f>VLOOKUP(E9,TaskValues_ref!E:F,2,FALSE)</f>
        <v>Refer congenital anomalies</v>
      </c>
      <c r="G9" t="str">
        <f>VLOOKUP($E9,TaskValues_ref!$E:$Z,3,FALSE)</f>
        <v>Clinical</v>
      </c>
      <c r="H9" t="str">
        <f>VLOOKUP($E9,TaskValues_ref!$E:$Z,4,FALSE)</f>
        <v>Chronic</v>
      </c>
      <c r="I9" t="str">
        <f>VLOOKUP($E9,TaskValues_ref!$E:$Z,5,FALSE)</f>
        <v>Sick child</v>
      </c>
      <c r="J9" s="257" t="str">
        <f>VLOOKUP($E9,TaskValues_ref!$E:$Z,6,FALSE)</f>
        <v>births</v>
      </c>
      <c r="K9" t="str">
        <f>VLOOKUP($E9,TaskValues_ref!$E:$Z,10,FALSE)</f>
        <v>Amhara</v>
      </c>
      <c r="L9" s="195">
        <f>IF(VLOOKUP($E9,TaskValues_ref!$E:$Z,11,FALSE)=0,"",VLOOKUP($E9,TaskValues_ref!$E:$Z,11,FALSE))</f>
        <v>1</v>
      </c>
      <c r="M9" t="str">
        <f>IF(VLOOKUP($E9,TaskValues_ref!$E:$Z,13,FALSE)=0,"",VLOOKUP($E9,TaskValues_ref!$E:$Z,13,FALSE))</f>
        <v/>
      </c>
      <c r="N9" s="89">
        <f>IF(VLOOKUP($E9,TaskValues_ref!$E:$Z,15,FALSE)=0,"",VLOOKUP($E9,TaskValues_ref!$E:$Z,15,FALSE))</f>
        <v>1</v>
      </c>
      <c r="O9" t="str">
        <f>IF(VLOOKUP($E9,TaskValues_ref!$E:$Z,16,FALSE)=0,"",VLOOKUP($E9,TaskValues_ref!$E:$Z,16,FALSE))</f>
        <v/>
      </c>
      <c r="P9" t="str">
        <f>IF(VLOOKUP($E9,TaskValues_ref!$E:$Z,17,FALSE)=0,"",VLOOKUP($E9,TaskValues_ref!$E:$Z,17,FALSE))</f>
        <v/>
      </c>
      <c r="Q9" t="str">
        <f>IF(VLOOKUP($E9,TaskValues_ref!$E:$Z,18,FALSE)=0,"",VLOOKUP($E9,TaskValues_ref!$E:$Z,18,FALSE))</f>
        <v/>
      </c>
      <c r="R9" t="str">
        <f>IF(VLOOKUP($E9,TaskValues_ref!$E:$Z,19,FALSE)=0,"",VLOOKUP($E9,TaskValues_ref!$E:$Z,19,FALSE))</f>
        <v/>
      </c>
      <c r="S9" t="str">
        <f>IF(VLOOKUP($E9,TaskValues_ref!$E:$Z,20,FALSE)=0,"",VLOOKUP($E9,TaskValues_ref!$E:$Z,20,FALSE))</f>
        <v/>
      </c>
    </row>
    <row r="10" spans="1:19" x14ac:dyDescent="0.45">
      <c r="A10" t="s">
        <v>2163</v>
      </c>
      <c r="B10" s="66" t="s">
        <v>2213</v>
      </c>
      <c r="D10" s="324">
        <v>19</v>
      </c>
      <c r="E10" s="64" t="s">
        <v>2225</v>
      </c>
      <c r="F10" t="str">
        <f>VLOOKUP(E10,TaskValues_ref!E:F,2,FALSE)</f>
        <v>Pneumonia (ARI)</v>
      </c>
      <c r="G10" t="str">
        <f>VLOOKUP($E10,TaskValues_ref!$E:$Z,3,FALSE)</f>
        <v>Clinical</v>
      </c>
      <c r="H10" t="str">
        <f>VLOOKUP($E10,TaskValues_ref!$E:$Z,4,FALSE)</f>
        <v>Acute</v>
      </c>
      <c r="I10" t="str">
        <f>VLOOKUP($E10,TaskValues_ref!$E:$Z,5,FALSE)</f>
        <v>Sick child</v>
      </c>
      <c r="J10" s="257" t="str">
        <f>VLOOKUP($E10,TaskValues_ref!$E:$Z,6,FALSE)</f>
        <v>1-4</v>
      </c>
      <c r="K10" t="str">
        <f>VLOOKUP($E10,TaskValues_ref!$E:$Z,10,FALSE)</f>
        <v>Amhara</v>
      </c>
      <c r="L10" s="195">
        <f>IF(VLOOKUP($E10,TaskValues_ref!$E:$Z,11,FALSE)=0,"",VLOOKUP($E10,TaskValues_ref!$E:$Z,11,FALSE))</f>
        <v>2</v>
      </c>
      <c r="M10" t="str">
        <f>IF(VLOOKUP($E10,TaskValues_ref!$E:$Z,13,FALSE)=0,"",VLOOKUP($E10,TaskValues_ref!$E:$Z,13,FALSE))</f>
        <v/>
      </c>
      <c r="N10" s="89">
        <f>IF(VLOOKUP($E10,TaskValues_ref!$E:$Z,15,FALSE)=0,"",VLOOKUP($E10,TaskValues_ref!$E:$Z,15,FALSE))</f>
        <v>0.98</v>
      </c>
      <c r="O10">
        <f>IF(VLOOKUP($E10,TaskValues_ref!$E:$Z,16,FALSE)=0,"",VLOOKUP($E10,TaskValues_ref!$E:$Z,16,FALSE))</f>
        <v>1</v>
      </c>
      <c r="P10" t="str">
        <f>IF(VLOOKUP($E10,TaskValues_ref!$E:$Z,17,FALSE)=0,"",VLOOKUP($E10,TaskValues_ref!$E:$Z,17,FALSE))</f>
        <v/>
      </c>
      <c r="Q10">
        <f>IF(VLOOKUP($E10,TaskValues_ref!$E:$Z,18,FALSE)=0,"",VLOOKUP($E10,TaskValues_ref!$E:$Z,18,FALSE))</f>
        <v>5</v>
      </c>
      <c r="R10" t="str">
        <f>IF(VLOOKUP($E10,TaskValues_ref!$E:$Z,19,FALSE)=0,"",VLOOKUP($E10,TaskValues_ref!$E:$Z,19,FALSE))</f>
        <v/>
      </c>
      <c r="S10" t="str">
        <f>IF(VLOOKUP($E10,TaskValues_ref!$E:$Z,20,FALSE)=0,"",VLOOKUP($E10,TaskValues_ref!$E:$Z,20,FALSE))</f>
        <v/>
      </c>
    </row>
    <row r="11" spans="1:19" x14ac:dyDescent="0.45">
      <c r="A11" t="s">
        <v>2163</v>
      </c>
      <c r="B11" s="66" t="s">
        <v>2213</v>
      </c>
      <c r="D11" s="324">
        <v>19</v>
      </c>
      <c r="E11" s="64" t="s">
        <v>2227</v>
      </c>
      <c r="F11" t="str">
        <f>VLOOKUP(E11,TaskValues_ref!E:F,2,FALSE)</f>
        <v>Diarrhea</v>
      </c>
      <c r="G11" t="str">
        <f>VLOOKUP($E11,TaskValues_ref!$E:$Z,3,FALSE)</f>
        <v>Clinical</v>
      </c>
      <c r="H11" t="str">
        <f>VLOOKUP($E11,TaskValues_ref!$E:$Z,4,FALSE)</f>
        <v>Acute</v>
      </c>
      <c r="I11" t="str">
        <f>VLOOKUP($E11,TaskValues_ref!$E:$Z,5,FALSE)</f>
        <v>Sick child</v>
      </c>
      <c r="J11" s="257" t="str">
        <f>VLOOKUP($E11,TaskValues_ref!$E:$Z,6,FALSE)</f>
        <v>1-4</v>
      </c>
      <c r="K11" t="str">
        <f>VLOOKUP($E11,TaskValues_ref!$E:$Z,10,FALSE)</f>
        <v>Amhara</v>
      </c>
      <c r="L11" s="195">
        <f>IF(VLOOKUP($E11,TaskValues_ref!$E:$Z,11,FALSE)=0,"",VLOOKUP($E11,TaskValues_ref!$E:$Z,11,FALSE))</f>
        <v>3</v>
      </c>
      <c r="M11" t="str">
        <f>IF(VLOOKUP($E11,TaskValues_ref!$E:$Z,13,FALSE)=0,"",VLOOKUP($E11,TaskValues_ref!$E:$Z,13,FALSE))</f>
        <v/>
      </c>
      <c r="N11" s="89">
        <f>IF(VLOOKUP($E11,TaskValues_ref!$E:$Z,15,FALSE)=0,"",VLOOKUP($E11,TaskValues_ref!$E:$Z,15,FALSE))</f>
        <v>0.98</v>
      </c>
      <c r="O11">
        <f>IF(VLOOKUP($E11,TaskValues_ref!$E:$Z,16,FALSE)=0,"",VLOOKUP($E11,TaskValues_ref!$E:$Z,16,FALSE))</f>
        <v>1</v>
      </c>
      <c r="P11" t="str">
        <f>IF(VLOOKUP($E11,TaskValues_ref!$E:$Z,17,FALSE)=0,"",VLOOKUP($E11,TaskValues_ref!$E:$Z,17,FALSE))</f>
        <v/>
      </c>
      <c r="Q11">
        <f>IF(VLOOKUP($E11,TaskValues_ref!$E:$Z,18,FALSE)=0,"",VLOOKUP($E11,TaskValues_ref!$E:$Z,18,FALSE))</f>
        <v>5</v>
      </c>
      <c r="R11" t="str">
        <f>IF(VLOOKUP($E11,TaskValues_ref!$E:$Z,19,FALSE)=0,"",VLOOKUP($E11,TaskValues_ref!$E:$Z,19,FALSE))</f>
        <v/>
      </c>
      <c r="S11" t="str">
        <f>IF(VLOOKUP($E11,TaskValues_ref!$E:$Z,20,FALSE)=0,"",VLOOKUP($E11,TaskValues_ref!$E:$Z,20,FALSE))</f>
        <v/>
      </c>
    </row>
    <row r="12" spans="1:19" x14ac:dyDescent="0.45">
      <c r="A12" t="s">
        <v>2163</v>
      </c>
      <c r="B12" s="66" t="s">
        <v>2213</v>
      </c>
      <c r="D12" s="324">
        <v>19</v>
      </c>
      <c r="E12" s="64" t="s">
        <v>2228</v>
      </c>
      <c r="F12" t="str">
        <f>VLOOKUP(E12,TaskValues_ref!E:F,2,FALSE)</f>
        <v>Parasites</v>
      </c>
      <c r="G12" t="str">
        <f>VLOOKUP($E12,TaskValues_ref!$E:$Z,3,FALSE)</f>
        <v>Clinical</v>
      </c>
      <c r="H12" t="str">
        <f>VLOOKUP($E12,TaskValues_ref!$E:$Z,4,FALSE)</f>
        <v>Acute</v>
      </c>
      <c r="I12" t="str">
        <f>VLOOKUP($E12,TaskValues_ref!$E:$Z,5,FALSE)</f>
        <v>Sick child</v>
      </c>
      <c r="J12" s="257" t="str">
        <f>VLOOKUP($E12,TaskValues_ref!$E:$Z,6,FALSE)</f>
        <v>1-4</v>
      </c>
      <c r="K12" t="str">
        <f>VLOOKUP($E12,TaskValues_ref!$E:$Z,10,FALSE)</f>
        <v>Amhara</v>
      </c>
      <c r="L12" s="195">
        <f>IF(VLOOKUP($E12,TaskValues_ref!$E:$Z,11,FALSE)=0,"",VLOOKUP($E12,TaskValues_ref!$E:$Z,11,FALSE))</f>
        <v>0.46090000000000003</v>
      </c>
      <c r="M12" t="str">
        <f>IF(VLOOKUP($E12,TaskValues_ref!$E:$Z,13,FALSE)=0,"",VLOOKUP($E12,TaskValues_ref!$E:$Z,13,FALSE))</f>
        <v/>
      </c>
      <c r="N12" s="89">
        <f>IF(VLOOKUP($E12,TaskValues_ref!$E:$Z,15,FALSE)=0,"",VLOOKUP($E12,TaskValues_ref!$E:$Z,15,FALSE))</f>
        <v>0.98</v>
      </c>
      <c r="O12">
        <f>IF(VLOOKUP($E12,TaskValues_ref!$E:$Z,16,FALSE)=0,"",VLOOKUP($E12,TaskValues_ref!$E:$Z,16,FALSE))</f>
        <v>2</v>
      </c>
      <c r="P12" t="str">
        <f>IF(VLOOKUP($E12,TaskValues_ref!$E:$Z,17,FALSE)=0,"",VLOOKUP($E12,TaskValues_ref!$E:$Z,17,FALSE))</f>
        <v/>
      </c>
      <c r="Q12">
        <f>IF(VLOOKUP($E12,TaskValues_ref!$E:$Z,18,FALSE)=0,"",VLOOKUP($E12,TaskValues_ref!$E:$Z,18,FALSE))</f>
        <v>5</v>
      </c>
      <c r="R12" t="str">
        <f>IF(VLOOKUP($E12,TaskValues_ref!$E:$Z,19,FALSE)=0,"",VLOOKUP($E12,TaskValues_ref!$E:$Z,19,FALSE))</f>
        <v/>
      </c>
      <c r="S12" t="str">
        <f>IF(VLOOKUP($E12,TaskValues_ref!$E:$Z,20,FALSE)=0,"",VLOOKUP($E12,TaskValues_ref!$E:$Z,20,FALSE))</f>
        <v/>
      </c>
    </row>
    <row r="13" spans="1:19" x14ac:dyDescent="0.45">
      <c r="A13" t="s">
        <v>2163</v>
      </c>
      <c r="B13" s="66" t="s">
        <v>2213</v>
      </c>
      <c r="D13" s="324">
        <v>19</v>
      </c>
      <c r="E13" s="64" t="s">
        <v>2829</v>
      </c>
      <c r="F13" t="str">
        <f>VLOOKUP(E13,TaskValues_ref!E:F,2,FALSE)</f>
        <v>Fever, excluding diarrhea and ARI</v>
      </c>
      <c r="G13" t="str">
        <f>VLOOKUP($E13,TaskValues_ref!$E:$Z,3,FALSE)</f>
        <v>Clinical</v>
      </c>
      <c r="H13" t="str">
        <f>VLOOKUP($E13,TaskValues_ref!$E:$Z,4,FALSE)</f>
        <v>Acute</v>
      </c>
      <c r="I13" t="str">
        <f>VLOOKUP($E13,TaskValues_ref!$E:$Z,5,FALSE)</f>
        <v>Sick child</v>
      </c>
      <c r="J13" s="257" t="str">
        <f>VLOOKUP($E13,TaskValues_ref!$E:$Z,6,FALSE)</f>
        <v>1-4</v>
      </c>
      <c r="K13" t="str">
        <f>VLOOKUP($E13,TaskValues_ref!$E:$Z,10,FALSE)</f>
        <v>Amhara</v>
      </c>
      <c r="L13" s="195" t="str">
        <f>IF(VLOOKUP($E13,TaskValues_ref!$E:$Z,11,FALSE)=0,"",VLOOKUP($E13,TaskValues_ref!$E:$Z,11,FALSE))</f>
        <v/>
      </c>
      <c r="M13" t="str">
        <f>IF(VLOOKUP($E13,TaskValues_ref!$E:$Z,13,FALSE)=0,"",VLOOKUP($E13,TaskValues_ref!$E:$Z,13,FALSE))</f>
        <v/>
      </c>
      <c r="N13" s="89">
        <f>IF(VLOOKUP($E13,TaskValues_ref!$E:$Z,15,FALSE)=0,"",VLOOKUP($E13,TaskValues_ref!$E:$Z,15,FALSE))</f>
        <v>0.98</v>
      </c>
      <c r="O13">
        <f>IF(VLOOKUP($E13,TaskValues_ref!$E:$Z,16,FALSE)=0,"",VLOOKUP($E13,TaskValues_ref!$E:$Z,16,FALSE))</f>
        <v>1</v>
      </c>
      <c r="P13" t="str">
        <f>IF(VLOOKUP($E13,TaskValues_ref!$E:$Z,17,FALSE)=0,"",VLOOKUP($E13,TaskValues_ref!$E:$Z,17,FALSE))</f>
        <v/>
      </c>
      <c r="Q13">
        <f>IF(VLOOKUP($E13,TaskValues_ref!$E:$Z,18,FALSE)=0,"",VLOOKUP($E13,TaskValues_ref!$E:$Z,18,FALSE))</f>
        <v>5</v>
      </c>
      <c r="R13" t="str">
        <f>IF(VLOOKUP($E13,TaskValues_ref!$E:$Z,19,FALSE)=0,"",VLOOKUP($E13,TaskValues_ref!$E:$Z,19,FALSE))</f>
        <v/>
      </c>
      <c r="S13" t="str">
        <f>IF(VLOOKUP($E13,TaskValues_ref!$E:$Z,20,FALSE)=0,"",VLOOKUP($E13,TaskValues_ref!$E:$Z,20,FALSE))</f>
        <v/>
      </c>
    </row>
    <row r="14" spans="1:19" x14ac:dyDescent="0.45">
      <c r="A14" t="s">
        <v>2163</v>
      </c>
      <c r="B14" s="66" t="s">
        <v>2213</v>
      </c>
      <c r="D14" s="324">
        <v>23</v>
      </c>
      <c r="E14" s="64" t="s">
        <v>2637</v>
      </c>
      <c r="F14" t="str">
        <f>VLOOKUP(E14,TaskValues_ref!E:F,2,FALSE)</f>
        <v>Deworming &amp; VitA</v>
      </c>
      <c r="G14" t="str">
        <f>VLOOKUP($E14,TaskValues_ref!$E:$Z,3,FALSE)</f>
        <v>Clinical</v>
      </c>
      <c r="H14" t="str">
        <f>VLOOKUP($E14,TaskValues_ref!$E:$Z,4,FALSE)</f>
        <v>Preventive</v>
      </c>
      <c r="I14" t="str">
        <f>VLOOKUP($E14,TaskValues_ref!$E:$Z,5,FALSE)</f>
        <v>Nutrition</v>
      </c>
      <c r="J14" s="257" t="str">
        <f>VLOOKUP($E14,TaskValues_ref!$E:$Z,6,FALSE)</f>
        <v>1-4</v>
      </c>
      <c r="K14" t="str">
        <f>VLOOKUP($E14,TaskValues_ref!$E:$Z,10,FALSE)</f>
        <v>Amhara</v>
      </c>
      <c r="L14" s="195">
        <f>IF(VLOOKUP($E14,TaskValues_ref!$E:$Z,11,FALSE)=0,"",VLOOKUP($E14,TaskValues_ref!$E:$Z,11,FALSE))</f>
        <v>1</v>
      </c>
      <c r="M14" t="str">
        <f>IF(VLOOKUP($E14,TaskValues_ref!$E:$Z,13,FALSE)=0,"",VLOOKUP($E14,TaskValues_ref!$E:$Z,13,FALSE))</f>
        <v/>
      </c>
      <c r="N14" s="89">
        <f>IF(VLOOKUP($E14,TaskValues_ref!$E:$Z,15,FALSE)=0,"",VLOOKUP($E14,TaskValues_ref!$E:$Z,15,FALSE))</f>
        <v>1</v>
      </c>
      <c r="O14" t="str">
        <f>IF(VLOOKUP($E14,TaskValues_ref!$E:$Z,16,FALSE)=0,"",VLOOKUP($E14,TaskValues_ref!$E:$Z,16,FALSE))</f>
        <v/>
      </c>
      <c r="P14">
        <f>IF(VLOOKUP($E14,TaskValues_ref!$E:$Z,17,FALSE)=0,"",VLOOKUP($E14,TaskValues_ref!$E:$Z,17,FALSE))</f>
        <v>2</v>
      </c>
      <c r="Q14">
        <f>IF(VLOOKUP($E14,TaskValues_ref!$E:$Z,18,FALSE)=0,"",VLOOKUP($E14,TaskValues_ref!$E:$Z,18,FALSE))</f>
        <v>5</v>
      </c>
      <c r="R14" t="str">
        <f>IF(VLOOKUP($E14,TaskValues_ref!$E:$Z,19,FALSE)=0,"",VLOOKUP($E14,TaskValues_ref!$E:$Z,19,FALSE))</f>
        <v/>
      </c>
      <c r="S14" t="str">
        <f>IF(VLOOKUP($E14,TaskValues_ref!$E:$Z,20,FALSE)=0,"",VLOOKUP($E14,TaskValues_ref!$E:$Z,20,FALSE))</f>
        <v/>
      </c>
    </row>
    <row r="15" spans="1:19" x14ac:dyDescent="0.45">
      <c r="A15" t="s">
        <v>2163</v>
      </c>
      <c r="B15" s="66" t="s">
        <v>2213</v>
      </c>
      <c r="D15" s="324">
        <v>24</v>
      </c>
      <c r="E15" s="64" t="s">
        <v>2638</v>
      </c>
      <c r="F15" t="str">
        <f>VLOOKUP(E15,TaskValues_ref!E:F,2,FALSE)</f>
        <v>Paediatric palliative</v>
      </c>
      <c r="G15" t="str">
        <f>VLOOKUP($E15,TaskValues_ref!$E:$Z,3,FALSE)</f>
        <v>Clinical</v>
      </c>
      <c r="H15" t="str">
        <f>VLOOKUP($E15,TaskValues_ref!$E:$Z,4,FALSE)</f>
        <v>Acute</v>
      </c>
      <c r="I15" t="str">
        <f>VLOOKUP($E15,TaskValues_ref!$E:$Z,5,FALSE)</f>
        <v>Sick child</v>
      </c>
      <c r="J15" s="257" t="str">
        <f>VLOOKUP($E15,TaskValues_ref!$E:$Z,6,FALSE)</f>
        <v>1-4</v>
      </c>
      <c r="K15" t="str">
        <f>VLOOKUP($E15,TaskValues_ref!$E:$Z,10,FALSE)</f>
        <v>Amhara</v>
      </c>
      <c r="L15" s="195">
        <f>IF(VLOOKUP($E15,TaskValues_ref!$E:$Z,11,FALSE)=0,"",VLOOKUP($E15,TaskValues_ref!$E:$Z,11,FALSE))</f>
        <v>2.7499999999999998E-3</v>
      </c>
      <c r="M15" t="str">
        <f>IF(VLOOKUP($E15,TaskValues_ref!$E:$Z,13,FALSE)=0,"",VLOOKUP($E15,TaskValues_ref!$E:$Z,13,FALSE))</f>
        <v/>
      </c>
      <c r="N15" s="89">
        <f>IF(VLOOKUP($E15,TaskValues_ref!$E:$Z,15,FALSE)=0,"",VLOOKUP($E15,TaskValues_ref!$E:$Z,15,FALSE))</f>
        <v>0.95480225988700573</v>
      </c>
      <c r="O15">
        <f>IF(VLOOKUP($E15,TaskValues_ref!$E:$Z,16,FALSE)=0,"",VLOOKUP($E15,TaskValues_ref!$E:$Z,16,FALSE))</f>
        <v>1</v>
      </c>
      <c r="P15" t="str">
        <f>IF(VLOOKUP($E15,TaskValues_ref!$E:$Z,17,FALSE)=0,"",VLOOKUP($E15,TaskValues_ref!$E:$Z,17,FALSE))</f>
        <v/>
      </c>
      <c r="Q15">
        <f>IF(VLOOKUP($E15,TaskValues_ref!$E:$Z,18,FALSE)=0,"",VLOOKUP($E15,TaskValues_ref!$E:$Z,18,FALSE))</f>
        <v>15</v>
      </c>
      <c r="R15" t="str">
        <f>IF(VLOOKUP($E15,TaskValues_ref!$E:$Z,19,FALSE)=0,"",VLOOKUP($E15,TaskValues_ref!$E:$Z,19,FALSE))</f>
        <v/>
      </c>
      <c r="S15" t="str">
        <f>IF(VLOOKUP($E15,TaskValues_ref!$E:$Z,20,FALSE)=0,"",VLOOKUP($E15,TaskValues_ref!$E:$Z,20,FALSE))</f>
        <v/>
      </c>
    </row>
    <row r="16" spans="1:19" x14ac:dyDescent="0.45">
      <c r="A16" t="s">
        <v>2163</v>
      </c>
      <c r="B16" s="66" t="s">
        <v>2213</v>
      </c>
      <c r="D16" s="324">
        <v>29</v>
      </c>
      <c r="E16" s="64" t="s">
        <v>2641</v>
      </c>
      <c r="F16" t="str">
        <f>VLOOKUP(E16,TaskValues_ref!E:F,2,FALSE)</f>
        <v>Child abuse</v>
      </c>
      <c r="G16" t="str">
        <f>VLOOKUP($E16,TaskValues_ref!$E:$Z,3,FALSE)</f>
        <v>Non-clinical</v>
      </c>
      <c r="H16" t="str">
        <f>VLOOKUP($E16,TaskValues_ref!$E:$Z,4,FALSE)</f>
        <v>Public Health</v>
      </c>
      <c r="I16" t="str">
        <f>VLOOKUP($E16,TaskValues_ref!$E:$Z,5,FALSE)</f>
        <v>-</v>
      </c>
      <c r="J16" s="257" t="str">
        <f>VLOOKUP($E16,TaskValues_ref!$E:$Z,6,FALSE)</f>
        <v>18 yo adults</v>
      </c>
      <c r="K16" t="str">
        <f>VLOOKUP($E16,TaskValues_ref!$E:$Z,10,FALSE)</f>
        <v>Amhara</v>
      </c>
      <c r="L16" s="195">
        <f>IF(VLOOKUP($E16,TaskValues_ref!$E:$Z,11,FALSE)=0,"",VLOOKUP($E16,TaskValues_ref!$E:$Z,11,FALSE))</f>
        <v>0.1</v>
      </c>
      <c r="M16" t="str">
        <f>IF(VLOOKUP($E16,TaskValues_ref!$E:$Z,13,FALSE)=0,"",VLOOKUP($E16,TaskValues_ref!$E:$Z,13,FALSE))</f>
        <v/>
      </c>
      <c r="N16" s="89">
        <f>IF(VLOOKUP($E16,TaskValues_ref!$E:$Z,15,FALSE)=0,"",VLOOKUP($E16,TaskValues_ref!$E:$Z,15,FALSE))</f>
        <v>1</v>
      </c>
      <c r="O16">
        <f>IF(VLOOKUP($E16,TaskValues_ref!$E:$Z,16,FALSE)=0,"",VLOOKUP($E16,TaskValues_ref!$E:$Z,16,FALSE))</f>
        <v>2</v>
      </c>
      <c r="P16" t="str">
        <f>IF(VLOOKUP($E16,TaskValues_ref!$E:$Z,17,FALSE)=0,"",VLOOKUP($E16,TaskValues_ref!$E:$Z,17,FALSE))</f>
        <v/>
      </c>
      <c r="Q16">
        <f>IF(VLOOKUP($E16,TaskValues_ref!$E:$Z,18,FALSE)=0,"",VLOOKUP($E16,TaskValues_ref!$E:$Z,18,FALSE))</f>
        <v>15</v>
      </c>
      <c r="R16" t="str">
        <f>IF(VLOOKUP($E16,TaskValues_ref!$E:$Z,19,FALSE)=0,"",VLOOKUP($E16,TaskValues_ref!$E:$Z,19,FALSE))</f>
        <v/>
      </c>
      <c r="S16" t="str">
        <f>IF(VLOOKUP($E16,TaskValues_ref!$E:$Z,20,FALSE)=0,"",VLOOKUP($E16,TaskValues_ref!$E:$Z,20,FALSE))</f>
        <v/>
      </c>
    </row>
    <row r="17" spans="1:19" x14ac:dyDescent="0.45">
      <c r="A17" t="s">
        <v>2163</v>
      </c>
      <c r="B17" s="66" t="s">
        <v>2213</v>
      </c>
      <c r="D17" s="324">
        <v>30</v>
      </c>
      <c r="E17" s="64" t="s">
        <v>2642</v>
      </c>
      <c r="F17" t="str">
        <f>VLOOKUP(E17,TaskValues_ref!E:F,2,FALSE)</f>
        <v>Social services</v>
      </c>
      <c r="G17" t="str">
        <f>VLOOKUP($E17,TaskValues_ref!$E:$Z,3,FALSE)</f>
        <v>Non-clinical</v>
      </c>
      <c r="H17" t="str">
        <f>VLOOKUP($E17,TaskValues_ref!$E:$Z,4,FALSE)</f>
        <v>Public Health</v>
      </c>
      <c r="I17" t="str">
        <f>VLOOKUP($E17,TaskValues_ref!$E:$Z,5,FALSE)</f>
        <v>-</v>
      </c>
      <c r="J17" s="257" t="str">
        <f>VLOOKUP($E17,TaskValues_ref!$E:$Z,6,FALSE)</f>
        <v>1-18</v>
      </c>
      <c r="K17" t="str">
        <f>VLOOKUP($E17,TaskValues_ref!$E:$Z,10,FALSE)</f>
        <v>Amhara</v>
      </c>
      <c r="L17" s="195" t="str">
        <f>IF(VLOOKUP($E17,TaskValues_ref!$E:$Z,11,FALSE)=0,"",VLOOKUP($E17,TaskValues_ref!$E:$Z,11,FALSE))</f>
        <v/>
      </c>
      <c r="M17" t="str">
        <f>IF(VLOOKUP($E17,TaskValues_ref!$E:$Z,13,FALSE)=0,"",VLOOKUP($E17,TaskValues_ref!$E:$Z,13,FALSE))</f>
        <v/>
      </c>
      <c r="N17" s="89">
        <f>IF(VLOOKUP($E17,TaskValues_ref!$E:$Z,15,FALSE)=0,"",VLOOKUP($E17,TaskValues_ref!$E:$Z,15,FALSE))</f>
        <v>1</v>
      </c>
      <c r="O17">
        <f>IF(VLOOKUP($E17,TaskValues_ref!$E:$Z,16,FALSE)=0,"",VLOOKUP($E17,TaskValues_ref!$E:$Z,16,FALSE))</f>
        <v>2</v>
      </c>
      <c r="P17" t="str">
        <f>IF(VLOOKUP($E17,TaskValues_ref!$E:$Z,17,FALSE)=0,"",VLOOKUP($E17,TaskValues_ref!$E:$Z,17,FALSE))</f>
        <v/>
      </c>
      <c r="Q17">
        <f>IF(VLOOKUP($E17,TaskValues_ref!$E:$Z,18,FALSE)=0,"",VLOOKUP($E17,TaskValues_ref!$E:$Z,18,FALSE))</f>
        <v>15</v>
      </c>
      <c r="R17" t="str">
        <f>IF(VLOOKUP($E17,TaskValues_ref!$E:$Z,19,FALSE)=0,"",VLOOKUP($E17,TaskValues_ref!$E:$Z,19,FALSE))</f>
        <v/>
      </c>
      <c r="S17" t="str">
        <f>IF(VLOOKUP($E17,TaskValues_ref!$E:$Z,20,FALSE)=0,"",VLOOKUP($E17,TaskValues_ref!$E:$Z,20,FALSE))</f>
        <v/>
      </c>
    </row>
    <row r="18" spans="1:19" x14ac:dyDescent="0.45">
      <c r="A18" t="s">
        <v>2163</v>
      </c>
      <c r="B18" s="66" t="s">
        <v>2235</v>
      </c>
      <c r="D18" s="324">
        <v>31</v>
      </c>
      <c r="E18" s="64" t="s">
        <v>2253</v>
      </c>
      <c r="F18" t="str">
        <f>VLOOKUP(E18,TaskValues_ref!E:F,2,FALSE)</f>
        <v>Promotion of immunization</v>
      </c>
      <c r="G18" t="str">
        <f>VLOOKUP($E18,TaskValues_ref!$E:$Z,3,FALSE)</f>
        <v>Non-clinical</v>
      </c>
      <c r="H18" t="str">
        <f>VLOOKUP($E18,TaskValues_ref!$E:$Z,4,FALSE)</f>
        <v>Public Health</v>
      </c>
      <c r="I18" t="str">
        <f>VLOOKUP($E18,TaskValues_ref!$E:$Z,5,FALSE)</f>
        <v>Immunization</v>
      </c>
      <c r="J18" s="257" t="str">
        <f>VLOOKUP($E18,TaskValues_ref!$E:$Z,6,FALSE)</f>
        <v>-</v>
      </c>
      <c r="K18" t="str">
        <f>VLOOKUP($E18,TaskValues_ref!$E:$Z,10,FALSE)</f>
        <v>Amhara</v>
      </c>
      <c r="L18" s="195" t="str">
        <f>IF(VLOOKUP($E18,TaskValues_ref!$E:$Z,11,FALSE)=0,"",VLOOKUP($E18,TaskValues_ref!$E:$Z,11,FALSE))</f>
        <v/>
      </c>
      <c r="M18" t="str">
        <f>IF(VLOOKUP($E18,TaskValues_ref!$E:$Z,13,FALSE)=0,"",VLOOKUP($E18,TaskValues_ref!$E:$Z,13,FALSE))</f>
        <v/>
      </c>
      <c r="N18" s="89" t="str">
        <f>IF(VLOOKUP($E18,TaskValues_ref!$E:$Z,15,FALSE)=0,"",VLOOKUP($E18,TaskValues_ref!$E:$Z,15,FALSE))</f>
        <v/>
      </c>
      <c r="O18" t="str">
        <f>IF(VLOOKUP($E18,TaskValues_ref!$E:$Z,16,FALSE)=0,"",VLOOKUP($E18,TaskValues_ref!$E:$Z,16,FALSE))</f>
        <v/>
      </c>
      <c r="P18" t="str">
        <f>IF(VLOOKUP($E18,TaskValues_ref!$E:$Z,17,FALSE)=0,"",VLOOKUP($E18,TaskValues_ref!$E:$Z,17,FALSE))</f>
        <v/>
      </c>
      <c r="Q18" t="str">
        <f>IF(VLOOKUP($E18,TaskValues_ref!$E:$Z,18,FALSE)=0,"",VLOOKUP($E18,TaskValues_ref!$E:$Z,18,FALSE))</f>
        <v/>
      </c>
      <c r="R18" t="str">
        <f>IF(VLOOKUP($E18,TaskValues_ref!$E:$Z,19,FALSE)=0,"",VLOOKUP($E18,TaskValues_ref!$E:$Z,19,FALSE))</f>
        <v/>
      </c>
      <c r="S18" t="str">
        <f>IF(VLOOKUP($E18,TaskValues_ref!$E:$Z,20,FALSE)=0,"",VLOOKUP($E18,TaskValues_ref!$E:$Z,20,FALSE))</f>
        <v/>
      </c>
    </row>
    <row r="19" spans="1:19" x14ac:dyDescent="0.45">
      <c r="A19" t="s">
        <v>2163</v>
      </c>
      <c r="B19" s="66" t="s">
        <v>2235</v>
      </c>
      <c r="D19" s="324">
        <v>32</v>
      </c>
      <c r="E19" s="64" t="s">
        <v>2259</v>
      </c>
      <c r="F19" t="str">
        <f>VLOOKUP(E19,TaskValues_ref!E:F,2,FALSE)</f>
        <v>RI birth</v>
      </c>
      <c r="G19" t="str">
        <f>VLOOKUP($E19,TaskValues_ref!$E:$Z,3,FALSE)</f>
        <v>Clinical</v>
      </c>
      <c r="H19" t="str">
        <f>VLOOKUP($E19,TaskValues_ref!$E:$Z,4,FALSE)</f>
        <v>Preventive</v>
      </c>
      <c r="I19" t="str">
        <f>VLOOKUP($E19,TaskValues_ref!$E:$Z,5,FALSE)</f>
        <v>Immunization</v>
      </c>
      <c r="J19" s="257" t="str">
        <f>VLOOKUP($E19,TaskValues_ref!$E:$Z,6,FALSE)</f>
        <v>births</v>
      </c>
      <c r="K19" t="str">
        <f>VLOOKUP($E19,TaskValues_ref!$E:$Z,10,FALSE)</f>
        <v>Amhara</v>
      </c>
      <c r="L19" s="195" t="str">
        <f>IF(VLOOKUP($E19,TaskValues_ref!$E:$Z,11,FALSE)=0,"",VLOOKUP($E19,TaskValues_ref!$E:$Z,11,FALSE))</f>
        <v/>
      </c>
      <c r="M19" t="str">
        <f>IF(VLOOKUP($E19,TaskValues_ref!$E:$Z,13,FALSE)=0,"",VLOOKUP($E19,TaskValues_ref!$E:$Z,13,FALSE))</f>
        <v/>
      </c>
      <c r="N19" s="89" t="str">
        <f>IF(VLOOKUP($E19,TaskValues_ref!$E:$Z,15,FALSE)=0,"",VLOOKUP($E19,TaskValues_ref!$E:$Z,15,FALSE))</f>
        <v/>
      </c>
      <c r="O19" t="str">
        <f>IF(VLOOKUP($E19,TaskValues_ref!$E:$Z,16,FALSE)=0,"",VLOOKUP($E19,TaskValues_ref!$E:$Z,16,FALSE))</f>
        <v/>
      </c>
      <c r="P19" t="str">
        <f>IF(VLOOKUP($E19,TaskValues_ref!$E:$Z,17,FALSE)=0,"",VLOOKUP($E19,TaskValues_ref!$E:$Z,17,FALSE))</f>
        <v/>
      </c>
      <c r="Q19" t="str">
        <f>IF(VLOOKUP($E19,TaskValues_ref!$E:$Z,18,FALSE)=0,"",VLOOKUP($E19,TaskValues_ref!$E:$Z,18,FALSE))</f>
        <v/>
      </c>
      <c r="R19" t="str">
        <f>IF(VLOOKUP($E19,TaskValues_ref!$E:$Z,19,FALSE)=0,"",VLOOKUP($E19,TaskValues_ref!$E:$Z,19,FALSE))</f>
        <v/>
      </c>
      <c r="S19" t="str">
        <f>IF(VLOOKUP($E19,TaskValues_ref!$E:$Z,20,FALSE)=0,"",VLOOKUP($E19,TaskValues_ref!$E:$Z,20,FALSE))</f>
        <v/>
      </c>
    </row>
    <row r="20" spans="1:19" x14ac:dyDescent="0.45">
      <c r="A20" t="s">
        <v>2163</v>
      </c>
      <c r="B20" s="66" t="s">
        <v>2235</v>
      </c>
      <c r="D20" s="324">
        <v>32</v>
      </c>
      <c r="E20" s="64" t="s">
        <v>2260</v>
      </c>
      <c r="F20" t="str">
        <f>VLOOKUP(E20,TaskValues_ref!E:F,2,FALSE)</f>
        <v>RI 1st year</v>
      </c>
      <c r="G20" t="str">
        <f>VLOOKUP($E20,TaskValues_ref!$E:$Z,3,FALSE)</f>
        <v>Clinical</v>
      </c>
      <c r="H20" t="str">
        <f>VLOOKUP($E20,TaskValues_ref!$E:$Z,4,FALSE)</f>
        <v>Preventive</v>
      </c>
      <c r="I20" t="str">
        <f>VLOOKUP($E20,TaskValues_ref!$E:$Z,5,FALSE)</f>
        <v>Immunization</v>
      </c>
      <c r="J20" s="257" t="str">
        <f>VLOOKUP($E20,TaskValues_ref!$E:$Z,6,FALSE)</f>
        <v>1 yo</v>
      </c>
      <c r="K20" t="str">
        <f>VLOOKUP($E20,TaskValues_ref!$E:$Z,10,FALSE)</f>
        <v>Amhara</v>
      </c>
      <c r="L20" s="195">
        <f>IF(VLOOKUP($E20,TaskValues_ref!$E:$Z,11,FALSE)=0,"",VLOOKUP($E20,TaskValues_ref!$E:$Z,11,FALSE))</f>
        <v>1</v>
      </c>
      <c r="M20" t="str">
        <f>IF(VLOOKUP($E20,TaskValues_ref!$E:$Z,13,FALSE)=0,"",VLOOKUP($E20,TaskValues_ref!$E:$Z,13,FALSE))</f>
        <v/>
      </c>
      <c r="N20" s="89">
        <f>IF(VLOOKUP($E20,TaskValues_ref!$E:$Z,15,FALSE)=0,"",VLOOKUP($E20,TaskValues_ref!$E:$Z,15,FALSE))</f>
        <v>1</v>
      </c>
      <c r="O20">
        <f>IF(VLOOKUP($E20,TaskValues_ref!$E:$Z,16,FALSE)=0,"",VLOOKUP($E20,TaskValues_ref!$E:$Z,16,FALSE))</f>
        <v>4</v>
      </c>
      <c r="P20" t="str">
        <f>IF(VLOOKUP($E20,TaskValues_ref!$E:$Z,17,FALSE)=0,"",VLOOKUP($E20,TaskValues_ref!$E:$Z,17,FALSE))</f>
        <v/>
      </c>
      <c r="Q20">
        <f>IF(VLOOKUP($E20,TaskValues_ref!$E:$Z,18,FALSE)=0,"",VLOOKUP($E20,TaskValues_ref!$E:$Z,18,FALSE))</f>
        <v>5</v>
      </c>
      <c r="R20" t="str">
        <f>IF(VLOOKUP($E20,TaskValues_ref!$E:$Z,19,FALSE)=0,"",VLOOKUP($E20,TaskValues_ref!$E:$Z,19,FALSE))</f>
        <v/>
      </c>
      <c r="S20" t="str">
        <f>IF(VLOOKUP($E20,TaskValues_ref!$E:$Z,20,FALSE)=0,"",VLOOKUP($E20,TaskValues_ref!$E:$Z,20,FALSE))</f>
        <v/>
      </c>
    </row>
    <row r="21" spans="1:19" x14ac:dyDescent="0.45">
      <c r="A21" t="s">
        <v>2163</v>
      </c>
      <c r="B21" s="66" t="s">
        <v>2235</v>
      </c>
      <c r="D21" s="324">
        <v>32</v>
      </c>
      <c r="E21" s="64" t="s">
        <v>2261</v>
      </c>
      <c r="F21" t="str">
        <f>VLOOKUP(E21,TaskValues_ref!E:F,2,FALSE)</f>
        <v>RI 2nd year</v>
      </c>
      <c r="G21" t="str">
        <f>VLOOKUP($E21,TaskValues_ref!$E:$Z,3,FALSE)</f>
        <v>Clinical</v>
      </c>
      <c r="H21" t="str">
        <f>VLOOKUP($E21,TaskValues_ref!$E:$Z,4,FALSE)</f>
        <v>Preventive</v>
      </c>
      <c r="I21" t="str">
        <f>VLOOKUP($E21,TaskValues_ref!$E:$Z,5,FALSE)</f>
        <v>Immunization</v>
      </c>
      <c r="J21" s="257" t="str">
        <f>VLOOKUP($E21,TaskValues_ref!$E:$Z,6,FALSE)</f>
        <v>2 yo</v>
      </c>
      <c r="K21" t="str">
        <f>VLOOKUP($E21,TaskValues_ref!$E:$Z,10,FALSE)</f>
        <v>Amhara</v>
      </c>
      <c r="L21" s="195">
        <f>IF(VLOOKUP($E21,TaskValues_ref!$E:$Z,11,FALSE)=0,"",VLOOKUP($E21,TaskValues_ref!$E:$Z,11,FALSE))</f>
        <v>1</v>
      </c>
      <c r="M21" t="str">
        <f>IF(VLOOKUP($E21,TaskValues_ref!$E:$Z,13,FALSE)=0,"",VLOOKUP($E21,TaskValues_ref!$E:$Z,13,FALSE))</f>
        <v/>
      </c>
      <c r="N21" s="89">
        <f>IF(VLOOKUP($E21,TaskValues_ref!$E:$Z,15,FALSE)=0,"",VLOOKUP($E21,TaskValues_ref!$E:$Z,15,FALSE))</f>
        <v>1</v>
      </c>
      <c r="O21">
        <f>IF(VLOOKUP($E21,TaskValues_ref!$E:$Z,16,FALSE)=0,"",VLOOKUP($E21,TaskValues_ref!$E:$Z,16,FALSE))</f>
        <v>1</v>
      </c>
      <c r="P21" t="str">
        <f>IF(VLOOKUP($E21,TaskValues_ref!$E:$Z,17,FALSE)=0,"",VLOOKUP($E21,TaskValues_ref!$E:$Z,17,FALSE))</f>
        <v/>
      </c>
      <c r="Q21">
        <f>IF(VLOOKUP($E21,TaskValues_ref!$E:$Z,18,FALSE)=0,"",VLOOKUP($E21,TaskValues_ref!$E:$Z,18,FALSE))</f>
        <v>5</v>
      </c>
      <c r="R21" t="str">
        <f>IF(VLOOKUP($E21,TaskValues_ref!$E:$Z,19,FALSE)=0,"",VLOOKUP($E21,TaskValues_ref!$E:$Z,19,FALSE))</f>
        <v/>
      </c>
      <c r="S21" t="str">
        <f>IF(VLOOKUP($E21,TaskValues_ref!$E:$Z,20,FALSE)=0,"",VLOOKUP($E21,TaskValues_ref!$E:$Z,20,FALSE))</f>
        <v/>
      </c>
    </row>
    <row r="22" spans="1:19" x14ac:dyDescent="0.45">
      <c r="A22" t="s">
        <v>2163</v>
      </c>
      <c r="B22" s="66" t="s">
        <v>2235</v>
      </c>
      <c r="D22" s="324">
        <v>32</v>
      </c>
      <c r="E22" s="64" t="s">
        <v>2262</v>
      </c>
      <c r="F22" t="str">
        <f>VLOOKUP(E22,TaskValues_ref!E:F,2,FALSE)</f>
        <v>RI Td CBA</v>
      </c>
      <c r="G22" t="str">
        <f>VLOOKUP($E22,TaskValues_ref!$E:$Z,3,FALSE)</f>
        <v>Clinical</v>
      </c>
      <c r="H22" t="str">
        <f>VLOOKUP($E22,TaskValues_ref!$E:$Z,4,FALSE)</f>
        <v>Preventive</v>
      </c>
      <c r="I22" t="str">
        <f>VLOOKUP($E22,TaskValues_ref!$E:$Z,5,FALSE)</f>
        <v>Immunization</v>
      </c>
      <c r="J22" s="257" t="str">
        <f>VLOOKUP($E22,TaskValues_ref!$E:$Z,6,FALSE)</f>
        <v>births</v>
      </c>
      <c r="K22" t="str">
        <f>VLOOKUP($E22,TaskValues_ref!$E:$Z,10,FALSE)</f>
        <v>Amhara</v>
      </c>
      <c r="L22" s="195">
        <f>IF(VLOOKUP($E22,TaskValues_ref!$E:$Z,11,FALSE)=0,"",VLOOKUP($E22,TaskValues_ref!$E:$Z,11,FALSE))</f>
        <v>1</v>
      </c>
      <c r="M22" t="str">
        <f>IF(VLOOKUP($E22,TaskValues_ref!$E:$Z,13,FALSE)=0,"",VLOOKUP($E22,TaskValues_ref!$E:$Z,13,FALSE))</f>
        <v/>
      </c>
      <c r="N22" s="89">
        <f>IF(VLOOKUP($E22,TaskValues_ref!$E:$Z,15,FALSE)=0,"",VLOOKUP($E22,TaskValues_ref!$E:$Z,15,FALSE))</f>
        <v>1</v>
      </c>
      <c r="O22">
        <f>IF(VLOOKUP($E22,TaskValues_ref!$E:$Z,16,FALSE)=0,"",VLOOKUP($E22,TaskValues_ref!$E:$Z,16,FALSE))</f>
        <v>2</v>
      </c>
      <c r="P22" t="str">
        <f>IF(VLOOKUP($E22,TaskValues_ref!$E:$Z,17,FALSE)=0,"",VLOOKUP($E22,TaskValues_ref!$E:$Z,17,FALSE))</f>
        <v/>
      </c>
      <c r="Q22" t="str">
        <f>IF(VLOOKUP($E22,TaskValues_ref!$E:$Z,18,FALSE)=0,"",VLOOKUP($E22,TaskValues_ref!$E:$Z,18,FALSE))</f>
        <v/>
      </c>
      <c r="R22" t="str">
        <f>IF(VLOOKUP($E22,TaskValues_ref!$E:$Z,19,FALSE)=0,"",VLOOKUP($E22,TaskValues_ref!$E:$Z,19,FALSE))</f>
        <v/>
      </c>
      <c r="S22" t="str">
        <f>IF(VLOOKUP($E22,TaskValues_ref!$E:$Z,20,FALSE)=0,"",VLOOKUP($E22,TaskValues_ref!$E:$Z,20,FALSE))</f>
        <v/>
      </c>
    </row>
    <row r="23" spans="1:19" x14ac:dyDescent="0.45">
      <c r="A23" t="s">
        <v>2163</v>
      </c>
      <c r="B23" s="66" t="s">
        <v>2235</v>
      </c>
      <c r="D23" s="324">
        <v>33</v>
      </c>
      <c r="E23" s="64" t="s">
        <v>2254</v>
      </c>
      <c r="F23" t="str">
        <f>VLOOKUP(E23,TaskValues_ref!E:F,2,FALSE)</f>
        <v>SIAs</v>
      </c>
      <c r="G23" t="str">
        <f>VLOOKUP($E23,TaskValues_ref!$E:$Z,3,FALSE)</f>
        <v>Clinical</v>
      </c>
      <c r="H23" t="str">
        <f>VLOOKUP($E23,TaskValues_ref!$E:$Z,4,FALSE)</f>
        <v>Preventive</v>
      </c>
      <c r="I23" t="str">
        <f>VLOOKUP($E23,TaskValues_ref!$E:$Z,5,FALSE)</f>
        <v>Immunization</v>
      </c>
      <c r="J23" s="257" t="str">
        <f>VLOOKUP($E23,TaskValues_ref!$E:$Z,6,FALSE)</f>
        <v>1-4</v>
      </c>
      <c r="K23" t="str">
        <f>VLOOKUP($E23,TaskValues_ref!$E:$Z,10,FALSE)</f>
        <v>Amhara</v>
      </c>
      <c r="L23" s="195">
        <f>IF(VLOOKUP($E23,TaskValues_ref!$E:$Z,11,FALSE)=0,"",VLOOKUP($E23,TaskValues_ref!$E:$Z,11,FALSE))</f>
        <v>1</v>
      </c>
      <c r="M23" t="str">
        <f>IF(VLOOKUP($E23,TaskValues_ref!$E:$Z,13,FALSE)=0,"",VLOOKUP($E23,TaskValues_ref!$E:$Z,13,FALSE))</f>
        <v/>
      </c>
      <c r="N23" s="89" t="str">
        <f>IF(VLOOKUP($E23,TaskValues_ref!$E:$Z,15,FALSE)=0,"",VLOOKUP($E23,TaskValues_ref!$E:$Z,15,FALSE))</f>
        <v/>
      </c>
      <c r="O23" t="str">
        <f>IF(VLOOKUP($E23,TaskValues_ref!$E:$Z,16,FALSE)=0,"",VLOOKUP($E23,TaskValues_ref!$E:$Z,16,FALSE))</f>
        <v/>
      </c>
      <c r="P23">
        <f>IF(VLOOKUP($E23,TaskValues_ref!$E:$Z,17,FALSE)=0,"",VLOOKUP($E23,TaskValues_ref!$E:$Z,17,FALSE))</f>
        <v>1</v>
      </c>
      <c r="Q23">
        <f>IF(VLOOKUP($E23,TaskValues_ref!$E:$Z,18,FALSE)=0,"",VLOOKUP($E23,TaskValues_ref!$E:$Z,18,FALSE))</f>
        <v>2</v>
      </c>
      <c r="R23" t="str">
        <f>IF(VLOOKUP($E23,TaskValues_ref!$E:$Z,19,FALSE)=0,"",VLOOKUP($E23,TaskValues_ref!$E:$Z,19,FALSE))</f>
        <v/>
      </c>
      <c r="S23" t="str">
        <f>IF(VLOOKUP($E23,TaskValues_ref!$E:$Z,20,FALSE)=0,"",VLOOKUP($E23,TaskValues_ref!$E:$Z,20,FALSE))</f>
        <v/>
      </c>
    </row>
    <row r="24" spans="1:19" x14ac:dyDescent="0.45">
      <c r="A24" t="s">
        <v>2163</v>
      </c>
      <c r="B24" s="66" t="s">
        <v>2235</v>
      </c>
      <c r="D24" s="324">
        <v>34</v>
      </c>
      <c r="E24" s="64" t="s">
        <v>2255</v>
      </c>
      <c r="F24" t="str">
        <f>VLOOKUP(E24,TaskValues_ref!E:F,2,FALSE)</f>
        <v>RI adverse effects</v>
      </c>
      <c r="G24" t="str">
        <f>VLOOKUP($E24,TaskValues_ref!$E:$Z,3,FALSE)</f>
        <v>Clinical</v>
      </c>
      <c r="H24" t="str">
        <f>VLOOKUP($E24,TaskValues_ref!$E:$Z,4,FALSE)</f>
        <v>Acute</v>
      </c>
      <c r="I24" t="str">
        <f>VLOOKUP($E24,TaskValues_ref!$E:$Z,5,FALSE)</f>
        <v>Immunization</v>
      </c>
      <c r="J24" s="257" t="str">
        <f>VLOOKUP($E24,TaskValues_ref!$E:$Z,6,FALSE)</f>
        <v>-</v>
      </c>
      <c r="K24" t="str">
        <f>VLOOKUP($E24,TaskValues_ref!$E:$Z,10,FALSE)</f>
        <v>Amhara</v>
      </c>
      <c r="L24" s="195">
        <f>IF(VLOOKUP($E24,TaskValues_ref!$E:$Z,11,FALSE)=0,"",VLOOKUP($E24,TaskValues_ref!$E:$Z,11,FALSE))</f>
        <v>1.4999999999999999E-2</v>
      </c>
      <c r="M24" t="str">
        <f>IF(VLOOKUP($E24,TaskValues_ref!$E:$Z,13,FALSE)=0,"",VLOOKUP($E24,TaskValues_ref!$E:$Z,13,FALSE))</f>
        <v/>
      </c>
      <c r="N24" s="89">
        <f>IF(VLOOKUP($E24,TaskValues_ref!$E:$Z,15,FALSE)=0,"",VLOOKUP($E24,TaskValues_ref!$E:$Z,15,FALSE))</f>
        <v>1</v>
      </c>
      <c r="O24">
        <f>IF(VLOOKUP($E24,TaskValues_ref!$E:$Z,16,FALSE)=0,"",VLOOKUP($E24,TaskValues_ref!$E:$Z,16,FALSE))</f>
        <v>1</v>
      </c>
      <c r="P24" t="str">
        <f>IF(VLOOKUP($E24,TaskValues_ref!$E:$Z,17,FALSE)=0,"",VLOOKUP($E24,TaskValues_ref!$E:$Z,17,FALSE))</f>
        <v/>
      </c>
      <c r="Q24">
        <f>IF(VLOOKUP($E24,TaskValues_ref!$E:$Z,18,FALSE)=0,"",VLOOKUP($E24,TaskValues_ref!$E:$Z,18,FALSE))</f>
        <v>5</v>
      </c>
      <c r="R24" t="str">
        <f>IF(VLOOKUP($E24,TaskValues_ref!$E:$Z,19,FALSE)=0,"",VLOOKUP($E24,TaskValues_ref!$E:$Z,19,FALSE))</f>
        <v/>
      </c>
      <c r="S24" t="str">
        <f>IF(VLOOKUP($E24,TaskValues_ref!$E:$Z,20,FALSE)=0,"",VLOOKUP($E24,TaskValues_ref!$E:$Z,20,FALSE))</f>
        <v/>
      </c>
    </row>
    <row r="25" spans="1:19" x14ac:dyDescent="0.45">
      <c r="A25" t="s">
        <v>2163</v>
      </c>
      <c r="B25" s="66" t="s">
        <v>2235</v>
      </c>
      <c r="D25" s="324">
        <v>35</v>
      </c>
      <c r="E25" s="64" t="s">
        <v>2256</v>
      </c>
      <c r="F25" t="str">
        <f>VLOOKUP(E25,TaskValues_ref!E:F,2,FALSE)</f>
        <v>Outbreak detection &amp; response</v>
      </c>
      <c r="G25" t="str">
        <f>VLOOKUP($E25,TaskValues_ref!$E:$Z,3,FALSE)</f>
        <v>Non-clinical</v>
      </c>
      <c r="H25" t="str">
        <f>VLOOKUP($E25,TaskValues_ref!$E:$Z,4,FALSE)</f>
        <v>Public Health</v>
      </c>
      <c r="I25" t="str">
        <f>VLOOKUP($E25,TaskValues_ref!$E:$Z,5,FALSE)</f>
        <v>Immunization</v>
      </c>
      <c r="J25" s="257" t="str">
        <f>VLOOKUP($E25,TaskValues_ref!$E:$Z,6,FALSE)</f>
        <v>-</v>
      </c>
      <c r="K25" t="str">
        <f>VLOOKUP($E25,TaskValues_ref!$E:$Z,10,FALSE)</f>
        <v>Amhara</v>
      </c>
      <c r="L25" s="195" t="str">
        <f>IF(VLOOKUP($E25,TaskValues_ref!$E:$Z,11,FALSE)=0,"",VLOOKUP($E25,TaskValues_ref!$E:$Z,11,FALSE))</f>
        <v/>
      </c>
      <c r="M25" t="str">
        <f>IF(VLOOKUP($E25,TaskValues_ref!$E:$Z,13,FALSE)=0,"",VLOOKUP($E25,TaskValues_ref!$E:$Z,13,FALSE))</f>
        <v/>
      </c>
      <c r="N25" s="89" t="str">
        <f>IF(VLOOKUP($E25,TaskValues_ref!$E:$Z,15,FALSE)=0,"",VLOOKUP($E25,TaskValues_ref!$E:$Z,15,FALSE))</f>
        <v/>
      </c>
      <c r="O25" t="str">
        <f>IF(VLOOKUP($E25,TaskValues_ref!$E:$Z,16,FALSE)=0,"",VLOOKUP($E25,TaskValues_ref!$E:$Z,16,FALSE))</f>
        <v/>
      </c>
      <c r="P25" t="str">
        <f>IF(VLOOKUP($E25,TaskValues_ref!$E:$Z,17,FALSE)=0,"",VLOOKUP($E25,TaskValues_ref!$E:$Z,17,FALSE))</f>
        <v/>
      </c>
      <c r="Q25" t="str">
        <f>IF(VLOOKUP($E25,TaskValues_ref!$E:$Z,18,FALSE)=0,"",VLOOKUP($E25,TaskValues_ref!$E:$Z,18,FALSE))</f>
        <v/>
      </c>
      <c r="R25" t="str">
        <f>IF(VLOOKUP($E25,TaskValues_ref!$E:$Z,19,FALSE)=0,"",VLOOKUP($E25,TaskValues_ref!$E:$Z,19,FALSE))</f>
        <v/>
      </c>
      <c r="S25" t="str">
        <f>IF(VLOOKUP($E25,TaskValues_ref!$E:$Z,20,FALSE)=0,"",VLOOKUP($E25,TaskValues_ref!$E:$Z,20,FALSE))</f>
        <v/>
      </c>
    </row>
    <row r="26" spans="1:19" x14ac:dyDescent="0.45">
      <c r="A26" t="s">
        <v>2163</v>
      </c>
      <c r="B26" s="66" t="s">
        <v>2235</v>
      </c>
      <c r="D26" s="324">
        <v>36</v>
      </c>
      <c r="E26" s="64" t="s">
        <v>2257</v>
      </c>
      <c r="F26" t="str">
        <f>VLOOKUP(E26,TaskValues_ref!E:F,2,FALSE)</f>
        <v>Mobiliation &amp; promotion of EPI</v>
      </c>
      <c r="G26" t="str">
        <f>VLOOKUP($E26,TaskValues_ref!$E:$Z,3,FALSE)</f>
        <v>Non-clinical</v>
      </c>
      <c r="H26" t="str">
        <f>VLOOKUP($E26,TaskValues_ref!$E:$Z,4,FALSE)</f>
        <v>Public Health</v>
      </c>
      <c r="I26" t="str">
        <f>VLOOKUP($E26,TaskValues_ref!$E:$Z,5,FALSE)</f>
        <v>Immunization</v>
      </c>
      <c r="J26" s="257" t="str">
        <f>VLOOKUP($E26,TaskValues_ref!$E:$Z,6,FALSE)</f>
        <v>-</v>
      </c>
      <c r="K26" t="str">
        <f>VLOOKUP($E26,TaskValues_ref!$E:$Z,10,FALSE)</f>
        <v>Amhara</v>
      </c>
      <c r="L26" s="195" t="str">
        <f>IF(VLOOKUP($E26,TaskValues_ref!$E:$Z,11,FALSE)=0,"",VLOOKUP($E26,TaskValues_ref!$E:$Z,11,FALSE))</f>
        <v/>
      </c>
      <c r="M26" t="str">
        <f>IF(VLOOKUP($E26,TaskValues_ref!$E:$Z,13,FALSE)=0,"",VLOOKUP($E26,TaskValues_ref!$E:$Z,13,FALSE))</f>
        <v/>
      </c>
      <c r="N26" s="89" t="str">
        <f>IF(VLOOKUP($E26,TaskValues_ref!$E:$Z,15,FALSE)=0,"",VLOOKUP($E26,TaskValues_ref!$E:$Z,15,FALSE))</f>
        <v/>
      </c>
      <c r="O26" t="str">
        <f>IF(VLOOKUP($E26,TaskValues_ref!$E:$Z,16,FALSE)=0,"",VLOOKUP($E26,TaskValues_ref!$E:$Z,16,FALSE))</f>
        <v/>
      </c>
      <c r="P26" t="str">
        <f>IF(VLOOKUP($E26,TaskValues_ref!$E:$Z,17,FALSE)=0,"",VLOOKUP($E26,TaskValues_ref!$E:$Z,17,FALSE))</f>
        <v/>
      </c>
      <c r="Q26" t="str">
        <f>IF(VLOOKUP($E26,TaskValues_ref!$E:$Z,18,FALSE)=0,"",VLOOKUP($E26,TaskValues_ref!$E:$Z,18,FALSE))</f>
        <v/>
      </c>
      <c r="R26" t="str">
        <f>IF(VLOOKUP($E26,TaskValues_ref!$E:$Z,19,FALSE)=0,"",VLOOKUP($E26,TaskValues_ref!$E:$Z,19,FALSE))</f>
        <v/>
      </c>
      <c r="S26" t="str">
        <f>IF(VLOOKUP($E26,TaskValues_ref!$E:$Z,20,FALSE)=0,"",VLOOKUP($E26,TaskValues_ref!$E:$Z,20,FALSE))</f>
        <v/>
      </c>
    </row>
    <row r="27" spans="1:19" x14ac:dyDescent="0.45">
      <c r="A27" t="s">
        <v>2163</v>
      </c>
      <c r="B27" s="66" t="s">
        <v>2235</v>
      </c>
      <c r="D27" s="324">
        <v>37</v>
      </c>
      <c r="E27" s="64" t="s">
        <v>2258</v>
      </c>
      <c r="F27" t="str">
        <f>VLOOKUP(E27,TaskValues_ref!E:F,2,FALSE)</f>
        <v>VPD surveillance</v>
      </c>
      <c r="G27" t="str">
        <f>VLOOKUP($E27,TaskValues_ref!$E:$Z,3,FALSE)</f>
        <v>Non-productive</v>
      </c>
      <c r="H27" t="str">
        <f>VLOOKUP($E27,TaskValues_ref!$E:$Z,4,FALSE)</f>
        <v>Public Health</v>
      </c>
      <c r="I27" t="str">
        <f>VLOOKUP($E27,TaskValues_ref!$E:$Z,5,FALSE)</f>
        <v>Immunization</v>
      </c>
      <c r="J27" s="257" t="str">
        <f>VLOOKUP($E27,TaskValues_ref!$E:$Z,6,FALSE)</f>
        <v>-</v>
      </c>
      <c r="K27" t="str">
        <f>VLOOKUP($E27,TaskValues_ref!$E:$Z,10,FALSE)</f>
        <v>Amhara</v>
      </c>
      <c r="L27" s="195" t="str">
        <f>IF(VLOOKUP($E27,TaskValues_ref!$E:$Z,11,FALSE)=0,"",VLOOKUP($E27,TaskValues_ref!$E:$Z,11,FALSE))</f>
        <v/>
      </c>
      <c r="M27" t="str">
        <f>IF(VLOOKUP($E27,TaskValues_ref!$E:$Z,13,FALSE)=0,"",VLOOKUP($E27,TaskValues_ref!$E:$Z,13,FALSE))</f>
        <v/>
      </c>
      <c r="N27" s="89" t="str">
        <f>IF(VLOOKUP($E27,TaskValues_ref!$E:$Z,15,FALSE)=0,"",VLOOKUP($E27,TaskValues_ref!$E:$Z,15,FALSE))</f>
        <v/>
      </c>
      <c r="O27" t="str">
        <f>IF(VLOOKUP($E27,TaskValues_ref!$E:$Z,16,FALSE)=0,"",VLOOKUP($E27,TaskValues_ref!$E:$Z,16,FALSE))</f>
        <v/>
      </c>
      <c r="P27" t="str">
        <f>IF(VLOOKUP($E27,TaskValues_ref!$E:$Z,17,FALSE)=0,"",VLOOKUP($E27,TaskValues_ref!$E:$Z,17,FALSE))</f>
        <v/>
      </c>
      <c r="Q27" t="str">
        <f>IF(VLOOKUP($E27,TaskValues_ref!$E:$Z,18,FALSE)=0,"",VLOOKUP($E27,TaskValues_ref!$E:$Z,18,FALSE))</f>
        <v/>
      </c>
      <c r="R27" t="str">
        <f>IF(VLOOKUP($E27,TaskValues_ref!$E:$Z,19,FALSE)=0,"",VLOOKUP($E27,TaskValues_ref!$E:$Z,19,FALSE))</f>
        <v/>
      </c>
      <c r="S27" t="str">
        <f>IF(VLOOKUP($E27,TaskValues_ref!$E:$Z,20,FALSE)=0,"",VLOOKUP($E27,TaskValues_ref!$E:$Z,20,FALSE))</f>
        <v/>
      </c>
    </row>
    <row r="28" spans="1:19" x14ac:dyDescent="0.45">
      <c r="A28" t="s">
        <v>2163</v>
      </c>
      <c r="B28" s="66" t="s">
        <v>2266</v>
      </c>
      <c r="D28" s="324">
        <v>38</v>
      </c>
      <c r="E28" s="64" t="s">
        <v>2293</v>
      </c>
      <c r="F28" t="str">
        <f>VLOOKUP(E28,TaskValues_ref!E:F,2,FALSE)</f>
        <v>FP consult first time</v>
      </c>
      <c r="G28" t="str">
        <f>VLOOKUP($E28,TaskValues_ref!$E:$Z,3,FALSE)</f>
        <v>Clinical</v>
      </c>
      <c r="H28" t="str">
        <f>VLOOKUP($E28,TaskValues_ref!$E:$Z,4,FALSE)</f>
        <v>Preventive</v>
      </c>
      <c r="I28" t="str">
        <f>VLOOKUP($E28,TaskValues_ref!$E:$Z,5,FALSE)</f>
        <v>Family planning</v>
      </c>
      <c r="J28" s="257" t="str">
        <f>VLOOKUP($E28,TaskValues_ref!$E:$Z,6,FALSE)</f>
        <v>18 yo women</v>
      </c>
      <c r="K28" t="str">
        <f>VLOOKUP($E28,TaskValues_ref!$E:$Z,10,FALSE)</f>
        <v>Amhara</v>
      </c>
      <c r="L28" s="195">
        <f>IF(VLOOKUP($E28,TaskValues_ref!$E:$Z,11,FALSE)=0,"",VLOOKUP($E28,TaskValues_ref!$E:$Z,11,FALSE))</f>
        <v>0.45899999999999996</v>
      </c>
      <c r="M28" t="str">
        <f>IF(VLOOKUP($E28,TaskValues_ref!$E:$Z,13,FALSE)=0,"",VLOOKUP($E28,TaskValues_ref!$E:$Z,13,FALSE))</f>
        <v/>
      </c>
      <c r="N28" s="89">
        <f>IF(VLOOKUP($E28,TaskValues_ref!$E:$Z,15,FALSE)=0,"",VLOOKUP($E28,TaskValues_ref!$E:$Z,15,FALSE))</f>
        <v>1</v>
      </c>
      <c r="O28">
        <f>IF(VLOOKUP($E28,TaskValues_ref!$E:$Z,16,FALSE)=0,"",VLOOKUP($E28,TaskValues_ref!$E:$Z,16,FALSE))</f>
        <v>1</v>
      </c>
      <c r="P28" t="str">
        <f>IF(VLOOKUP($E28,TaskValues_ref!$E:$Z,17,FALSE)=0,"",VLOOKUP($E28,TaskValues_ref!$E:$Z,17,FALSE))</f>
        <v/>
      </c>
      <c r="Q28">
        <f>IF(VLOOKUP($E28,TaskValues_ref!$E:$Z,18,FALSE)=0,"",VLOOKUP($E28,TaskValues_ref!$E:$Z,18,FALSE))</f>
        <v>15</v>
      </c>
      <c r="R28" t="str">
        <f>IF(VLOOKUP($E28,TaskValues_ref!$E:$Z,19,FALSE)=0,"",VLOOKUP($E28,TaskValues_ref!$E:$Z,19,FALSE))</f>
        <v/>
      </c>
      <c r="S28" t="str">
        <f>IF(VLOOKUP($E28,TaskValues_ref!$E:$Z,20,FALSE)=0,"",VLOOKUP($E28,TaskValues_ref!$E:$Z,20,FALSE))</f>
        <v/>
      </c>
    </row>
    <row r="29" spans="1:19" x14ac:dyDescent="0.45">
      <c r="A29" t="s">
        <v>2163</v>
      </c>
      <c r="B29" s="66" t="s">
        <v>2266</v>
      </c>
      <c r="D29" s="324">
        <v>38</v>
      </c>
      <c r="E29" s="64" t="s">
        <v>2294</v>
      </c>
      <c r="F29" t="str">
        <f>VLOOKUP(E29,TaskValues_ref!E:F,2,FALSE)</f>
        <v>FP consult postpartum</v>
      </c>
      <c r="G29" t="str">
        <f>VLOOKUP($E29,TaskValues_ref!$E:$Z,3,FALSE)</f>
        <v>Clinical</v>
      </c>
      <c r="H29" t="str">
        <f>VLOOKUP($E29,TaskValues_ref!$E:$Z,4,FALSE)</f>
        <v>Preventive</v>
      </c>
      <c r="I29" t="str">
        <f>VLOOKUP($E29,TaskValues_ref!$E:$Z,5,FALSE)</f>
        <v>Family planning</v>
      </c>
      <c r="J29" s="257" t="str">
        <f>VLOOKUP($E29,TaskValues_ref!$E:$Z,6,FALSE)</f>
        <v>births</v>
      </c>
      <c r="K29" t="str">
        <f>VLOOKUP($E29,TaskValues_ref!$E:$Z,10,FALSE)</f>
        <v>Amhara</v>
      </c>
      <c r="L29" s="195">
        <f>IF(VLOOKUP($E29,TaskValues_ref!$E:$Z,11,FALSE)=0,"",VLOOKUP($E29,TaskValues_ref!$E:$Z,11,FALSE))</f>
        <v>1</v>
      </c>
      <c r="M29" t="str">
        <f>IF(VLOOKUP($E29,TaskValues_ref!$E:$Z,13,FALSE)=0,"",VLOOKUP($E29,TaskValues_ref!$E:$Z,13,FALSE))</f>
        <v/>
      </c>
      <c r="N29" s="89">
        <f>IF(VLOOKUP($E29,TaskValues_ref!$E:$Z,15,FALSE)=0,"",VLOOKUP($E29,TaskValues_ref!$E:$Z,15,FALSE))</f>
        <v>1</v>
      </c>
      <c r="O29">
        <f>IF(VLOOKUP($E29,TaskValues_ref!$E:$Z,16,FALSE)=0,"",VLOOKUP($E29,TaskValues_ref!$E:$Z,16,FALSE))</f>
        <v>1</v>
      </c>
      <c r="P29" t="str">
        <f>IF(VLOOKUP($E29,TaskValues_ref!$E:$Z,17,FALSE)=0,"",VLOOKUP($E29,TaskValues_ref!$E:$Z,17,FALSE))</f>
        <v/>
      </c>
      <c r="Q29">
        <f>IF(VLOOKUP($E29,TaskValues_ref!$E:$Z,18,FALSE)=0,"",VLOOKUP($E29,TaskValues_ref!$E:$Z,18,FALSE))</f>
        <v>15</v>
      </c>
      <c r="R29" t="str">
        <f>IF(VLOOKUP($E29,TaskValues_ref!$E:$Z,19,FALSE)=0,"",VLOOKUP($E29,TaskValues_ref!$E:$Z,19,FALSE))</f>
        <v/>
      </c>
      <c r="S29" t="str">
        <f>IF(VLOOKUP($E29,TaskValues_ref!$E:$Z,20,FALSE)=0,"",VLOOKUP($E29,TaskValues_ref!$E:$Z,20,FALSE))</f>
        <v/>
      </c>
    </row>
    <row r="30" spans="1:19" x14ac:dyDescent="0.45">
      <c r="A30" t="s">
        <v>2163</v>
      </c>
      <c r="B30" s="66" t="s">
        <v>2266</v>
      </c>
      <c r="D30" s="324">
        <v>38</v>
      </c>
      <c r="E30" s="64" t="s">
        <v>2295</v>
      </c>
      <c r="F30" t="str">
        <f>VLOOKUP(E30,TaskValues_ref!E:F,2,FALSE)</f>
        <v>FP consult switch</v>
      </c>
      <c r="G30" t="str">
        <f>VLOOKUP($E30,TaskValues_ref!$E:$Z,3,FALSE)</f>
        <v>Clinical</v>
      </c>
      <c r="H30" t="str">
        <f>VLOOKUP($E30,TaskValues_ref!$E:$Z,4,FALSE)</f>
        <v>Preventive</v>
      </c>
      <c r="I30" t="str">
        <f>VLOOKUP($E30,TaskValues_ref!$E:$Z,5,FALSE)</f>
        <v>Family planning</v>
      </c>
      <c r="J30" s="257" t="str">
        <f>VLOOKUP($E30,TaskValues_ref!$E:$Z,6,FALSE)</f>
        <v>women 15-49</v>
      </c>
      <c r="K30" t="str">
        <f>VLOOKUP($E30,TaskValues_ref!$E:$Z,10,FALSE)</f>
        <v>Amhara</v>
      </c>
      <c r="L30" s="195">
        <f>IF(VLOOKUP($E30,TaskValues_ref!$E:$Z,11,FALSE)=0,"",VLOOKUP($E30,TaskValues_ref!$E:$Z,11,FALSE))</f>
        <v>2.1103103857566762E-2</v>
      </c>
      <c r="M30" t="str">
        <f>IF(VLOOKUP($E30,TaskValues_ref!$E:$Z,13,FALSE)=0,"",VLOOKUP($E30,TaskValues_ref!$E:$Z,13,FALSE))</f>
        <v/>
      </c>
      <c r="N30" s="89">
        <f>IF(VLOOKUP($E30,TaskValues_ref!$E:$Z,15,FALSE)=0,"",VLOOKUP($E30,TaskValues_ref!$E:$Z,15,FALSE))</f>
        <v>1</v>
      </c>
      <c r="O30">
        <f>IF(VLOOKUP($E30,TaskValues_ref!$E:$Z,16,FALSE)=0,"",VLOOKUP($E30,TaskValues_ref!$E:$Z,16,FALSE))</f>
        <v>1</v>
      </c>
      <c r="P30" t="str">
        <f>IF(VLOOKUP($E30,TaskValues_ref!$E:$Z,17,FALSE)=0,"",VLOOKUP($E30,TaskValues_ref!$E:$Z,17,FALSE))</f>
        <v/>
      </c>
      <c r="Q30">
        <f>IF(VLOOKUP($E30,TaskValues_ref!$E:$Z,18,FALSE)=0,"",VLOOKUP($E30,TaskValues_ref!$E:$Z,18,FALSE))</f>
        <v>15</v>
      </c>
      <c r="R30" t="str">
        <f>IF(VLOOKUP($E30,TaskValues_ref!$E:$Z,19,FALSE)=0,"",VLOOKUP($E30,TaskValues_ref!$E:$Z,19,FALSE))</f>
        <v/>
      </c>
      <c r="S30" t="str">
        <f>IF(VLOOKUP($E30,TaskValues_ref!$E:$Z,20,FALSE)=0,"",VLOOKUP($E30,TaskValues_ref!$E:$Z,20,FALSE))</f>
        <v/>
      </c>
    </row>
    <row r="31" spans="1:19" x14ac:dyDescent="0.45">
      <c r="A31" t="s">
        <v>2163</v>
      </c>
      <c r="B31" s="66" t="s">
        <v>2266</v>
      </c>
      <c r="D31" s="324">
        <v>39</v>
      </c>
      <c r="E31" s="64" t="s">
        <v>2643</v>
      </c>
      <c r="F31" t="str">
        <f>VLOOKUP(E31,TaskValues_ref!E:F,2,FALSE)</f>
        <v>Provision of contraceptives</v>
      </c>
      <c r="G31" t="str">
        <f>VLOOKUP($E31,TaskValues_ref!$E:$Z,3,FALSE)</f>
        <v>Clinical</v>
      </c>
      <c r="H31" t="str">
        <f>VLOOKUP($E31,TaskValues_ref!$E:$Z,4,FALSE)</f>
        <v>Preventive</v>
      </c>
      <c r="I31" t="str">
        <f>VLOOKUP($E31,TaskValues_ref!$E:$Z,5,FALSE)</f>
        <v>Family planning</v>
      </c>
      <c r="J31" s="257" t="str">
        <f>VLOOKUP($E31,TaskValues_ref!$E:$Z,6,FALSE)</f>
        <v>women 15-49</v>
      </c>
      <c r="K31" t="str">
        <f>VLOOKUP($E31,TaskValues_ref!$E:$Z,10,FALSE)</f>
        <v>Amhara</v>
      </c>
      <c r="L31" s="195">
        <f>IF(VLOOKUP($E31,TaskValues_ref!$E:$Z,11,FALSE)=0,"",VLOOKUP($E31,TaskValues_ref!$E:$Z,11,FALSE))</f>
        <v>0.30100593471810083</v>
      </c>
      <c r="M31" t="str">
        <f>IF(VLOOKUP($E31,TaskValues_ref!$E:$Z,13,FALSE)=0,"",VLOOKUP($E31,TaskValues_ref!$E:$Z,13,FALSE))</f>
        <v/>
      </c>
      <c r="N31" s="89">
        <f>IF(VLOOKUP($E31,TaskValues_ref!$E:$Z,15,FALSE)=0,"",VLOOKUP($E31,TaskValues_ref!$E:$Z,15,FALSE))</f>
        <v>1</v>
      </c>
      <c r="O31" t="str">
        <f>IF(VLOOKUP($E31,TaskValues_ref!$E:$Z,16,FALSE)=0,"",VLOOKUP($E31,TaskValues_ref!$E:$Z,16,FALSE))</f>
        <v/>
      </c>
      <c r="P31">
        <f>IF(VLOOKUP($E31,TaskValues_ref!$E:$Z,17,FALSE)=0,"",VLOOKUP($E31,TaskValues_ref!$E:$Z,17,FALSE))</f>
        <v>4</v>
      </c>
      <c r="Q31">
        <f>IF(VLOOKUP($E31,TaskValues_ref!$E:$Z,18,FALSE)=0,"",VLOOKUP($E31,TaskValues_ref!$E:$Z,18,FALSE))</f>
        <v>5</v>
      </c>
      <c r="R31" t="str">
        <f>IF(VLOOKUP($E31,TaskValues_ref!$E:$Z,19,FALSE)=0,"",VLOOKUP($E31,TaskValues_ref!$E:$Z,19,FALSE))</f>
        <v/>
      </c>
      <c r="S31" t="str">
        <f>IF(VLOOKUP($E31,TaskValues_ref!$E:$Z,20,FALSE)=0,"",VLOOKUP($E31,TaskValues_ref!$E:$Z,20,FALSE))</f>
        <v/>
      </c>
    </row>
    <row r="32" spans="1:19" x14ac:dyDescent="0.45">
      <c r="A32" t="s">
        <v>2163</v>
      </c>
      <c r="B32" s="66" t="s">
        <v>2266</v>
      </c>
      <c r="D32" s="324">
        <v>42</v>
      </c>
      <c r="E32" s="64" t="s">
        <v>2646</v>
      </c>
      <c r="F32" t="str">
        <f>VLOOKUP(E32,TaskValues_ref!E:F,2,FALSE)</f>
        <v>Psycho-social counseling</v>
      </c>
      <c r="G32" t="str">
        <f>VLOOKUP($E32,TaskValues_ref!$E:$Z,3,FALSE)</f>
        <v>Clinical</v>
      </c>
      <c r="H32" t="str">
        <f>VLOOKUP($E32,TaskValues_ref!$E:$Z,4,FALSE)</f>
        <v>Preventive</v>
      </c>
      <c r="I32" t="str">
        <f>VLOOKUP($E32,TaskValues_ref!$E:$Z,5,FALSE)</f>
        <v>Family planning</v>
      </c>
      <c r="J32" s="257" t="str">
        <f>VLOOKUP($E32,TaskValues_ref!$E:$Z,6,FALSE)</f>
        <v>women 15-49</v>
      </c>
      <c r="K32" t="str">
        <f>VLOOKUP($E32,TaskValues_ref!$E:$Z,10,FALSE)</f>
        <v>Amhara</v>
      </c>
      <c r="L32" s="195" t="str">
        <f>IF(VLOOKUP($E32,TaskValues_ref!$E:$Z,11,FALSE)=0,"",VLOOKUP($E32,TaskValues_ref!$E:$Z,11,FALSE))</f>
        <v/>
      </c>
      <c r="M32" t="str">
        <f>IF(VLOOKUP($E32,TaskValues_ref!$E:$Z,13,FALSE)=0,"",VLOOKUP($E32,TaskValues_ref!$E:$Z,13,FALSE))</f>
        <v/>
      </c>
      <c r="N32" s="89">
        <f>IF(VLOOKUP($E32,TaskValues_ref!$E:$Z,15,FALSE)=0,"",VLOOKUP($E32,TaskValues_ref!$E:$Z,15,FALSE))</f>
        <v>1</v>
      </c>
      <c r="O32">
        <f>IF(VLOOKUP($E32,TaskValues_ref!$E:$Z,16,FALSE)=0,"",VLOOKUP($E32,TaskValues_ref!$E:$Z,16,FALSE))</f>
        <v>1</v>
      </c>
      <c r="P32" t="str">
        <f>IF(VLOOKUP($E32,TaskValues_ref!$E:$Z,17,FALSE)=0,"",VLOOKUP($E32,TaskValues_ref!$E:$Z,17,FALSE))</f>
        <v/>
      </c>
      <c r="Q32">
        <f>IF(VLOOKUP($E32,TaskValues_ref!$E:$Z,18,FALSE)=0,"",VLOOKUP($E32,TaskValues_ref!$E:$Z,18,FALSE))</f>
        <v>15</v>
      </c>
      <c r="R32" t="str">
        <f>IF(VLOOKUP($E32,TaskValues_ref!$E:$Z,19,FALSE)=0,"",VLOOKUP($E32,TaskValues_ref!$E:$Z,19,FALSE))</f>
        <v/>
      </c>
      <c r="S32" t="str">
        <f>IF(VLOOKUP($E32,TaskValues_ref!$E:$Z,20,FALSE)=0,"",VLOOKUP($E32,TaskValues_ref!$E:$Z,20,FALSE))</f>
        <v/>
      </c>
    </row>
    <row r="33" spans="1:19" x14ac:dyDescent="0.45">
      <c r="A33" t="s">
        <v>2163</v>
      </c>
      <c r="B33" s="66" t="s">
        <v>2266</v>
      </c>
      <c r="D33" s="324">
        <v>44</v>
      </c>
      <c r="E33" s="64" t="s">
        <v>2648</v>
      </c>
      <c r="F33" t="str">
        <f>VLOOKUP(E33,TaskValues_ref!E:F,2,FALSE)</f>
        <v>Post-abortion follow-up</v>
      </c>
      <c r="G33" t="str">
        <f>VLOOKUP($E33,TaskValues_ref!$E:$Z,3,FALSE)</f>
        <v>Clinical</v>
      </c>
      <c r="H33" t="str">
        <f>VLOOKUP($E33,TaskValues_ref!$E:$Z,4,FALSE)</f>
        <v>Acute</v>
      </c>
      <c r="I33" t="str">
        <f>VLOOKUP($E33,TaskValues_ref!$E:$Z,5,FALSE)</f>
        <v>Family planning</v>
      </c>
      <c r="J33" s="257" t="str">
        <f>VLOOKUP($E33,TaskValues_ref!$E:$Z,6,FALSE)</f>
        <v>births</v>
      </c>
      <c r="K33" t="str">
        <f>VLOOKUP($E33,TaskValues_ref!$E:$Z,10,FALSE)</f>
        <v>Amhara</v>
      </c>
      <c r="L33" s="195">
        <f>IF(VLOOKUP($E33,TaskValues_ref!$E:$Z,11,FALSE)=0,"",VLOOKUP($E33,TaskValues_ref!$E:$Z,11,FALSE))</f>
        <v>0.16649999999999998</v>
      </c>
      <c r="M33" t="str">
        <f>IF(VLOOKUP($E33,TaskValues_ref!$E:$Z,13,FALSE)=0,"",VLOOKUP($E33,TaskValues_ref!$E:$Z,13,FALSE))</f>
        <v/>
      </c>
      <c r="N33" s="89">
        <f>IF(VLOOKUP($E33,TaskValues_ref!$E:$Z,15,FALSE)=0,"",VLOOKUP($E33,TaskValues_ref!$E:$Z,15,FALSE))</f>
        <v>1</v>
      </c>
      <c r="O33">
        <f>IF(VLOOKUP($E33,TaskValues_ref!$E:$Z,16,FALSE)=0,"",VLOOKUP($E33,TaskValues_ref!$E:$Z,16,FALSE))</f>
        <v>1</v>
      </c>
      <c r="P33" t="str">
        <f>IF(VLOOKUP($E33,TaskValues_ref!$E:$Z,17,FALSE)=0,"",VLOOKUP($E33,TaskValues_ref!$E:$Z,17,FALSE))</f>
        <v/>
      </c>
      <c r="Q33">
        <f>IF(VLOOKUP($E33,TaskValues_ref!$E:$Z,18,FALSE)=0,"",VLOOKUP($E33,TaskValues_ref!$E:$Z,18,FALSE))</f>
        <v>10</v>
      </c>
      <c r="R33" t="str">
        <f>IF(VLOOKUP($E33,TaskValues_ref!$E:$Z,19,FALSE)=0,"",VLOOKUP($E33,TaskValues_ref!$E:$Z,19,FALSE))</f>
        <v/>
      </c>
      <c r="S33" t="str">
        <f>IF(VLOOKUP($E33,TaskValues_ref!$E:$Z,20,FALSE)=0,"",VLOOKUP($E33,TaskValues_ref!$E:$Z,20,FALSE))</f>
        <v/>
      </c>
    </row>
    <row r="34" spans="1:19" x14ac:dyDescent="0.45">
      <c r="A34" t="s">
        <v>2163</v>
      </c>
      <c r="B34" s="66" t="s">
        <v>2266</v>
      </c>
      <c r="D34" s="324">
        <v>45</v>
      </c>
      <c r="E34" s="64" t="s">
        <v>2649</v>
      </c>
      <c r="F34" t="str">
        <f>VLOOKUP(E34,TaskValues_ref!E:F,2,FALSE)</f>
        <v>Education on menstration</v>
      </c>
      <c r="G34" t="str">
        <f>VLOOKUP($E34,TaskValues_ref!$E:$Z,3,FALSE)</f>
        <v>Non-clinical</v>
      </c>
      <c r="H34" t="str">
        <f>VLOOKUP($E34,TaskValues_ref!$E:$Z,4,FALSE)</f>
        <v>Public Health</v>
      </c>
      <c r="I34" t="str">
        <f>VLOOKUP($E34,TaskValues_ref!$E:$Z,5,FALSE)</f>
        <v>Sexual health</v>
      </c>
      <c r="J34" s="257" t="str">
        <f>VLOOKUP($E34,TaskValues_ref!$E:$Z,6,FALSE)</f>
        <v>18 yo women</v>
      </c>
      <c r="K34" t="str">
        <f>VLOOKUP($E34,TaskValues_ref!$E:$Z,10,FALSE)</f>
        <v>Amhara</v>
      </c>
      <c r="L34" s="195">
        <f>IF(VLOOKUP($E34,TaskValues_ref!$E:$Z,11,FALSE)=0,"",VLOOKUP($E34,TaskValues_ref!$E:$Z,11,FALSE))</f>
        <v>1</v>
      </c>
      <c r="M34" t="str">
        <f>IF(VLOOKUP($E34,TaskValues_ref!$E:$Z,13,FALSE)=0,"",VLOOKUP($E34,TaskValues_ref!$E:$Z,13,FALSE))</f>
        <v/>
      </c>
      <c r="N34" s="89">
        <f>IF(VLOOKUP($E34,TaskValues_ref!$E:$Z,15,FALSE)=0,"",VLOOKUP($E34,TaskValues_ref!$E:$Z,15,FALSE))</f>
        <v>1</v>
      </c>
      <c r="O34" t="str">
        <f>IF(VLOOKUP($E34,TaskValues_ref!$E:$Z,16,FALSE)=0,"",VLOOKUP($E34,TaskValues_ref!$E:$Z,16,FALSE))</f>
        <v/>
      </c>
      <c r="P34" t="str">
        <f>IF(VLOOKUP($E34,TaskValues_ref!$E:$Z,17,FALSE)=0,"",VLOOKUP($E34,TaskValues_ref!$E:$Z,17,FALSE))</f>
        <v/>
      </c>
      <c r="Q34" t="str">
        <f>IF(VLOOKUP($E34,TaskValues_ref!$E:$Z,18,FALSE)=0,"",VLOOKUP($E34,TaskValues_ref!$E:$Z,18,FALSE))</f>
        <v/>
      </c>
      <c r="R34" t="str">
        <f>IF(VLOOKUP($E34,TaskValues_ref!$E:$Z,19,FALSE)=0,"",VLOOKUP($E34,TaskValues_ref!$E:$Z,19,FALSE))</f>
        <v/>
      </c>
      <c r="S34" t="str">
        <f>IF(VLOOKUP($E34,TaskValues_ref!$E:$Z,20,FALSE)=0,"",VLOOKUP($E34,TaskValues_ref!$E:$Z,20,FALSE))</f>
        <v/>
      </c>
    </row>
    <row r="35" spans="1:19" x14ac:dyDescent="0.45">
      <c r="A35" t="s">
        <v>2163</v>
      </c>
      <c r="B35" s="66" t="s">
        <v>2266</v>
      </c>
      <c r="D35" s="324">
        <v>47</v>
      </c>
      <c r="E35" s="64" t="s">
        <v>2651</v>
      </c>
      <c r="F35" t="str">
        <f>VLOOKUP(E35,TaskValues_ref!E:F,2,FALSE)</f>
        <v>Promote self-breast exam</v>
      </c>
      <c r="G35" t="str">
        <f>VLOOKUP($E35,TaskValues_ref!$E:$Z,3,FALSE)</f>
        <v>Non-clinical</v>
      </c>
      <c r="H35" t="str">
        <f>VLOOKUP($E35,TaskValues_ref!$E:$Z,4,FALSE)</f>
        <v>Preventive</v>
      </c>
      <c r="I35" t="str">
        <f>VLOOKUP($E35,TaskValues_ref!$E:$Z,5,FALSE)</f>
        <v>Sexual health</v>
      </c>
      <c r="J35" s="257" t="str">
        <f>VLOOKUP($E35,TaskValues_ref!$E:$Z,6,FALSE)</f>
        <v>18 yo women</v>
      </c>
      <c r="K35" t="str">
        <f>VLOOKUP($E35,TaskValues_ref!$E:$Z,10,FALSE)</f>
        <v>Amhara</v>
      </c>
      <c r="L35" s="195">
        <f>IF(VLOOKUP($E35,TaskValues_ref!$E:$Z,11,FALSE)=0,"",VLOOKUP($E35,TaskValues_ref!$E:$Z,11,FALSE))</f>
        <v>1</v>
      </c>
      <c r="M35" t="str">
        <f>IF(VLOOKUP($E35,TaskValues_ref!$E:$Z,13,FALSE)=0,"",VLOOKUP($E35,TaskValues_ref!$E:$Z,13,FALSE))</f>
        <v/>
      </c>
      <c r="N35" s="89">
        <f>IF(VLOOKUP($E35,TaskValues_ref!$E:$Z,15,FALSE)=0,"",VLOOKUP($E35,TaskValues_ref!$E:$Z,15,FALSE))</f>
        <v>1</v>
      </c>
      <c r="O35" t="str">
        <f>IF(VLOOKUP($E35,TaskValues_ref!$E:$Z,16,FALSE)=0,"",VLOOKUP($E35,TaskValues_ref!$E:$Z,16,FALSE))</f>
        <v/>
      </c>
      <c r="P35" t="str">
        <f>IF(VLOOKUP($E35,TaskValues_ref!$E:$Z,17,FALSE)=0,"",VLOOKUP($E35,TaskValues_ref!$E:$Z,17,FALSE))</f>
        <v/>
      </c>
      <c r="Q35" t="str">
        <f>IF(VLOOKUP($E35,TaskValues_ref!$E:$Z,18,FALSE)=0,"",VLOOKUP($E35,TaskValues_ref!$E:$Z,18,FALSE))</f>
        <v/>
      </c>
      <c r="R35" t="str">
        <f>IF(VLOOKUP($E35,TaskValues_ref!$E:$Z,19,FALSE)=0,"",VLOOKUP($E35,TaskValues_ref!$E:$Z,19,FALSE))</f>
        <v/>
      </c>
      <c r="S35" t="str">
        <f>IF(VLOOKUP($E35,TaskValues_ref!$E:$Z,20,FALSE)=0,"",VLOOKUP($E35,TaskValues_ref!$E:$Z,20,FALSE))</f>
        <v/>
      </c>
    </row>
    <row r="36" spans="1:19" x14ac:dyDescent="0.45">
      <c r="A36" t="s">
        <v>2163</v>
      </c>
      <c r="B36" s="66" t="s">
        <v>2266</v>
      </c>
      <c r="D36" s="324">
        <v>48</v>
      </c>
      <c r="E36" s="64" t="s">
        <v>2652</v>
      </c>
      <c r="F36" t="str">
        <f>VLOOKUP(E36,TaskValues_ref!E:F,2,FALSE)</f>
        <v>HPV vacination</v>
      </c>
      <c r="G36" t="str">
        <f>VLOOKUP($E36,TaskValues_ref!$E:$Z,3,FALSE)</f>
        <v>Clinical</v>
      </c>
      <c r="H36" t="str">
        <f>VLOOKUP($E36,TaskValues_ref!$E:$Z,4,FALSE)</f>
        <v>Preventive</v>
      </c>
      <c r="I36" t="str">
        <f>VLOOKUP($E36,TaskValues_ref!$E:$Z,5,FALSE)</f>
        <v>Immunization</v>
      </c>
      <c r="J36" s="257" t="str">
        <f>VLOOKUP($E36,TaskValues_ref!$E:$Z,6,FALSE)</f>
        <v>15 yo girls</v>
      </c>
      <c r="K36" t="str">
        <f>VLOOKUP($E36,TaskValues_ref!$E:$Z,10,FALSE)</f>
        <v>Amhara</v>
      </c>
      <c r="L36" s="195">
        <f>IF(VLOOKUP($E36,TaskValues_ref!$E:$Z,11,FALSE)=0,"",VLOOKUP($E36,TaskValues_ref!$E:$Z,11,FALSE))</f>
        <v>1</v>
      </c>
      <c r="M36" t="str">
        <f>IF(VLOOKUP($E36,TaskValues_ref!$E:$Z,13,FALSE)=0,"",VLOOKUP($E36,TaskValues_ref!$E:$Z,13,FALSE))</f>
        <v/>
      </c>
      <c r="N36" s="89">
        <f>IF(VLOOKUP($E36,TaskValues_ref!$E:$Z,15,FALSE)=0,"",VLOOKUP($E36,TaskValues_ref!$E:$Z,15,FALSE))</f>
        <v>1</v>
      </c>
      <c r="O36">
        <f>IF(VLOOKUP($E36,TaskValues_ref!$E:$Z,16,FALSE)=0,"",VLOOKUP($E36,TaskValues_ref!$E:$Z,16,FALSE))</f>
        <v>2</v>
      </c>
      <c r="P36" t="str">
        <f>IF(VLOOKUP($E36,TaskValues_ref!$E:$Z,17,FALSE)=0,"",VLOOKUP($E36,TaskValues_ref!$E:$Z,17,FALSE))</f>
        <v/>
      </c>
      <c r="Q36" t="str">
        <f>IF(VLOOKUP($E36,TaskValues_ref!$E:$Z,18,FALSE)=0,"",VLOOKUP($E36,TaskValues_ref!$E:$Z,18,FALSE))</f>
        <v/>
      </c>
      <c r="R36" t="str">
        <f>IF(VLOOKUP($E36,TaskValues_ref!$E:$Z,19,FALSE)=0,"",VLOOKUP($E36,TaskValues_ref!$E:$Z,19,FALSE))</f>
        <v/>
      </c>
      <c r="S36" t="str">
        <f>IF(VLOOKUP($E36,TaskValues_ref!$E:$Z,20,FALSE)=0,"",VLOOKUP($E36,TaskValues_ref!$E:$Z,20,FALSE))</f>
        <v/>
      </c>
    </row>
    <row r="37" spans="1:19" x14ac:dyDescent="0.45">
      <c r="A37" t="s">
        <v>2163</v>
      </c>
      <c r="B37" s="66" t="s">
        <v>2266</v>
      </c>
      <c r="D37" s="324">
        <v>49</v>
      </c>
      <c r="E37" s="64" t="s">
        <v>2653</v>
      </c>
      <c r="F37" t="str">
        <f>VLOOKUP(E37,TaskValues_ref!E:F,2,FALSE)</f>
        <v>Education on health &amp; wellbeing</v>
      </c>
      <c r="G37" t="str">
        <f>VLOOKUP($E37,TaskValues_ref!$E:$Z,3,FALSE)</f>
        <v>Non-clinical</v>
      </c>
      <c r="H37" t="str">
        <f>VLOOKUP($E37,TaskValues_ref!$E:$Z,4,FALSE)</f>
        <v>Public Health</v>
      </c>
      <c r="I37" t="str">
        <f>VLOOKUP($E37,TaskValues_ref!$E:$Z,5,FALSE)</f>
        <v>Sexual health</v>
      </c>
      <c r="J37" s="257" t="str">
        <f>VLOOKUP($E37,TaskValues_ref!$E:$Z,6,FALSE)</f>
        <v>women 15-49</v>
      </c>
      <c r="K37" t="str">
        <f>VLOOKUP($E37,TaskValues_ref!$E:$Z,10,FALSE)</f>
        <v>Amhara</v>
      </c>
      <c r="L37" s="195" t="str">
        <f>IF(VLOOKUP($E37,TaskValues_ref!$E:$Z,11,FALSE)=0,"",VLOOKUP($E37,TaskValues_ref!$E:$Z,11,FALSE))</f>
        <v/>
      </c>
      <c r="M37" t="str">
        <f>IF(VLOOKUP($E37,TaskValues_ref!$E:$Z,13,FALSE)=0,"",VLOOKUP($E37,TaskValues_ref!$E:$Z,13,FALSE))</f>
        <v/>
      </c>
      <c r="N37" s="89" t="str">
        <f>IF(VLOOKUP($E37,TaskValues_ref!$E:$Z,15,FALSE)=0,"",VLOOKUP($E37,TaskValues_ref!$E:$Z,15,FALSE))</f>
        <v/>
      </c>
      <c r="O37" t="str">
        <f>IF(VLOOKUP($E37,TaskValues_ref!$E:$Z,16,FALSE)=0,"",VLOOKUP($E37,TaskValues_ref!$E:$Z,16,FALSE))</f>
        <v/>
      </c>
      <c r="P37" t="str">
        <f>IF(VLOOKUP($E37,TaskValues_ref!$E:$Z,17,FALSE)=0,"",VLOOKUP($E37,TaskValues_ref!$E:$Z,17,FALSE))</f>
        <v/>
      </c>
      <c r="Q37" t="str">
        <f>IF(VLOOKUP($E37,TaskValues_ref!$E:$Z,18,FALSE)=0,"",VLOOKUP($E37,TaskValues_ref!$E:$Z,18,FALSE))</f>
        <v/>
      </c>
      <c r="R37" t="str">
        <f>IF(VLOOKUP($E37,TaskValues_ref!$E:$Z,19,FALSE)=0,"",VLOOKUP($E37,TaskValues_ref!$E:$Z,19,FALSE))</f>
        <v/>
      </c>
      <c r="S37" t="str">
        <f>IF(VLOOKUP($E37,TaskValues_ref!$E:$Z,20,FALSE)=0,"",VLOOKUP($E37,TaskValues_ref!$E:$Z,20,FALSE))</f>
        <v/>
      </c>
    </row>
    <row r="38" spans="1:19" x14ac:dyDescent="0.45">
      <c r="A38" t="s">
        <v>2163</v>
      </c>
      <c r="B38" s="66" t="s">
        <v>2266</v>
      </c>
      <c r="D38" s="324">
        <v>50</v>
      </c>
      <c r="E38" s="64" t="s">
        <v>2654</v>
      </c>
      <c r="F38" t="str">
        <f>VLOOKUP(E38,TaskValues_ref!E:F,2,FALSE)</f>
        <v>Adolescent SRH</v>
      </c>
      <c r="G38" t="str">
        <f>VLOOKUP($E38,TaskValues_ref!$E:$Z,3,FALSE)</f>
        <v>Clinical</v>
      </c>
      <c r="H38" t="str">
        <f>VLOOKUP($E38,TaskValues_ref!$E:$Z,4,FALSE)</f>
        <v>Preventive</v>
      </c>
      <c r="I38" t="str">
        <f>VLOOKUP($E38,TaskValues_ref!$E:$Z,5,FALSE)</f>
        <v>Family planning</v>
      </c>
      <c r="J38" s="257" t="str">
        <f>VLOOKUP($E38,TaskValues_ref!$E:$Z,6,FALSE)</f>
        <v>15 yo girls</v>
      </c>
      <c r="K38" t="str">
        <f>VLOOKUP($E38,TaskValues_ref!$E:$Z,10,FALSE)</f>
        <v>Amhara</v>
      </c>
      <c r="L38" s="195" t="str">
        <f>IF(VLOOKUP($E38,TaskValues_ref!$E:$Z,11,FALSE)=0,"",VLOOKUP($E38,TaskValues_ref!$E:$Z,11,FALSE))</f>
        <v/>
      </c>
      <c r="M38" t="str">
        <f>IF(VLOOKUP($E38,TaskValues_ref!$E:$Z,13,FALSE)=0,"",VLOOKUP($E38,TaskValues_ref!$E:$Z,13,FALSE))</f>
        <v/>
      </c>
      <c r="N38" s="89" t="str">
        <f>IF(VLOOKUP($E38,TaskValues_ref!$E:$Z,15,FALSE)=0,"",VLOOKUP($E38,TaskValues_ref!$E:$Z,15,FALSE))</f>
        <v/>
      </c>
      <c r="O38" t="str">
        <f>IF(VLOOKUP($E38,TaskValues_ref!$E:$Z,16,FALSE)=0,"",VLOOKUP($E38,TaskValues_ref!$E:$Z,16,FALSE))</f>
        <v/>
      </c>
      <c r="P38" t="str">
        <f>IF(VLOOKUP($E38,TaskValues_ref!$E:$Z,17,FALSE)=0,"",VLOOKUP($E38,TaskValues_ref!$E:$Z,17,FALSE))</f>
        <v/>
      </c>
      <c r="Q38" t="str">
        <f>IF(VLOOKUP($E38,TaskValues_ref!$E:$Z,18,FALSE)=0,"",VLOOKUP($E38,TaskValues_ref!$E:$Z,18,FALSE))</f>
        <v/>
      </c>
      <c r="R38" t="str">
        <f>IF(VLOOKUP($E38,TaskValues_ref!$E:$Z,19,FALSE)=0,"",VLOOKUP($E38,TaskValues_ref!$E:$Z,19,FALSE))</f>
        <v/>
      </c>
      <c r="S38" t="str">
        <f>IF(VLOOKUP($E38,TaskValues_ref!$E:$Z,20,FALSE)=0,"",VLOOKUP($E38,TaskValues_ref!$E:$Z,20,FALSE))</f>
        <v/>
      </c>
    </row>
    <row r="39" spans="1:19" x14ac:dyDescent="0.45">
      <c r="A39" t="s">
        <v>2163</v>
      </c>
      <c r="B39" s="66" t="s">
        <v>2266</v>
      </c>
      <c r="D39" s="324">
        <v>51</v>
      </c>
      <c r="E39" s="64" t="s">
        <v>2655</v>
      </c>
      <c r="F39" t="str">
        <f>VLOOKUP(E39,TaskValues_ref!E:F,2,FALSE)</f>
        <v>Provision of adolescent-friendly contraceptives</v>
      </c>
      <c r="G39" t="str">
        <f>VLOOKUP($E39,TaskValues_ref!$E:$Z,3,FALSE)</f>
        <v>Clinical</v>
      </c>
      <c r="H39" t="str">
        <f>VLOOKUP($E39,TaskValues_ref!$E:$Z,4,FALSE)</f>
        <v>Preventive</v>
      </c>
      <c r="I39" t="str">
        <f>VLOOKUP($E39,TaskValues_ref!$E:$Z,5,FALSE)</f>
        <v>Family planning</v>
      </c>
      <c r="J39" s="257" t="str">
        <f>VLOOKUP($E39,TaskValues_ref!$E:$Z,6,FALSE)</f>
        <v>15 yo girls</v>
      </c>
      <c r="K39" t="str">
        <f>VLOOKUP($E39,TaskValues_ref!$E:$Z,10,FALSE)</f>
        <v>Amhara</v>
      </c>
      <c r="L39" s="195" t="str">
        <f>IF(VLOOKUP($E39,TaskValues_ref!$E:$Z,11,FALSE)=0,"",VLOOKUP($E39,TaskValues_ref!$E:$Z,11,FALSE))</f>
        <v/>
      </c>
      <c r="M39" t="str">
        <f>IF(VLOOKUP($E39,TaskValues_ref!$E:$Z,13,FALSE)=0,"",VLOOKUP($E39,TaskValues_ref!$E:$Z,13,FALSE))</f>
        <v/>
      </c>
      <c r="N39" s="89" t="str">
        <f>IF(VLOOKUP($E39,TaskValues_ref!$E:$Z,15,FALSE)=0,"",VLOOKUP($E39,TaskValues_ref!$E:$Z,15,FALSE))</f>
        <v/>
      </c>
      <c r="O39" t="str">
        <f>IF(VLOOKUP($E39,TaskValues_ref!$E:$Z,16,FALSE)=0,"",VLOOKUP($E39,TaskValues_ref!$E:$Z,16,FALSE))</f>
        <v/>
      </c>
      <c r="P39" t="str">
        <f>IF(VLOOKUP($E39,TaskValues_ref!$E:$Z,17,FALSE)=0,"",VLOOKUP($E39,TaskValues_ref!$E:$Z,17,FALSE))</f>
        <v/>
      </c>
      <c r="Q39" t="str">
        <f>IF(VLOOKUP($E39,TaskValues_ref!$E:$Z,18,FALSE)=0,"",VLOOKUP($E39,TaskValues_ref!$E:$Z,18,FALSE))</f>
        <v/>
      </c>
      <c r="R39" t="str">
        <f>IF(VLOOKUP($E39,TaskValues_ref!$E:$Z,19,FALSE)=0,"",VLOOKUP($E39,TaskValues_ref!$E:$Z,19,FALSE))</f>
        <v/>
      </c>
      <c r="S39" t="str">
        <f>IF(VLOOKUP($E39,TaskValues_ref!$E:$Z,20,FALSE)=0,"",VLOOKUP($E39,TaskValues_ref!$E:$Z,20,FALSE))</f>
        <v/>
      </c>
    </row>
    <row r="40" spans="1:19" x14ac:dyDescent="0.45">
      <c r="A40" t="s">
        <v>2163</v>
      </c>
      <c r="B40" s="66" t="s">
        <v>2266</v>
      </c>
      <c r="D40" s="324">
        <v>52</v>
      </c>
      <c r="E40" s="64" t="s">
        <v>2656</v>
      </c>
      <c r="F40" t="str">
        <f>VLOOKUP(E40,TaskValues_ref!E:F,2,FALSE)</f>
        <v>Education about GBV</v>
      </c>
      <c r="G40" t="str">
        <f>VLOOKUP($E40,TaskValues_ref!$E:$Z,3,FALSE)</f>
        <v>Non-clinical</v>
      </c>
      <c r="H40" t="str">
        <f>VLOOKUP($E40,TaskValues_ref!$E:$Z,4,FALSE)</f>
        <v>Public Health</v>
      </c>
      <c r="I40" t="str">
        <f>VLOOKUP($E40,TaskValues_ref!$E:$Z,5,FALSE)</f>
        <v>Sexual health</v>
      </c>
      <c r="J40" s="257" t="str">
        <f>VLOOKUP($E40,TaskValues_ref!$E:$Z,6,FALSE)</f>
        <v>-</v>
      </c>
      <c r="K40" t="str">
        <f>VLOOKUP($E40,TaskValues_ref!$E:$Z,10,FALSE)</f>
        <v>Amhara</v>
      </c>
      <c r="L40" s="195" t="str">
        <f>IF(VLOOKUP($E40,TaskValues_ref!$E:$Z,11,FALSE)=0,"",VLOOKUP($E40,TaskValues_ref!$E:$Z,11,FALSE))</f>
        <v/>
      </c>
      <c r="M40" t="str">
        <f>IF(VLOOKUP($E40,TaskValues_ref!$E:$Z,13,FALSE)=0,"",VLOOKUP($E40,TaskValues_ref!$E:$Z,13,FALSE))</f>
        <v/>
      </c>
      <c r="N40" s="89" t="str">
        <f>IF(VLOOKUP($E40,TaskValues_ref!$E:$Z,15,FALSE)=0,"",VLOOKUP($E40,TaskValues_ref!$E:$Z,15,FALSE))</f>
        <v/>
      </c>
      <c r="O40" t="str">
        <f>IF(VLOOKUP($E40,TaskValues_ref!$E:$Z,16,FALSE)=0,"",VLOOKUP($E40,TaskValues_ref!$E:$Z,16,FALSE))</f>
        <v/>
      </c>
      <c r="P40" t="str">
        <f>IF(VLOOKUP($E40,TaskValues_ref!$E:$Z,17,FALSE)=0,"",VLOOKUP($E40,TaskValues_ref!$E:$Z,17,FALSE))</f>
        <v/>
      </c>
      <c r="Q40" t="str">
        <f>IF(VLOOKUP($E40,TaskValues_ref!$E:$Z,18,FALSE)=0,"",VLOOKUP($E40,TaskValues_ref!$E:$Z,18,FALSE))</f>
        <v/>
      </c>
      <c r="R40" t="str">
        <f>IF(VLOOKUP($E40,TaskValues_ref!$E:$Z,19,FALSE)=0,"",VLOOKUP($E40,TaskValues_ref!$E:$Z,19,FALSE))</f>
        <v/>
      </c>
      <c r="S40" t="str">
        <f>IF(VLOOKUP($E40,TaskValues_ref!$E:$Z,20,FALSE)=0,"",VLOOKUP($E40,TaskValues_ref!$E:$Z,20,FALSE))</f>
        <v/>
      </c>
    </row>
    <row r="41" spans="1:19" x14ac:dyDescent="0.45">
      <c r="A41" t="s">
        <v>2163</v>
      </c>
      <c r="B41" s="66" t="s">
        <v>2266</v>
      </c>
      <c r="D41" s="324">
        <v>53</v>
      </c>
      <c r="E41" s="64" t="s">
        <v>2657</v>
      </c>
      <c r="F41" t="str">
        <f>VLOOKUP(E41,TaskValues_ref!E:F,2,FALSE)</f>
        <v>Community dialogue about GBV</v>
      </c>
      <c r="G41" t="str">
        <f>VLOOKUP($E41,TaskValues_ref!$E:$Z,3,FALSE)</f>
        <v>Non-clinical</v>
      </c>
      <c r="H41" t="str">
        <f>VLOOKUP($E41,TaskValues_ref!$E:$Z,4,FALSE)</f>
        <v>Public Health</v>
      </c>
      <c r="I41" t="str">
        <f>VLOOKUP($E41,TaskValues_ref!$E:$Z,5,FALSE)</f>
        <v>Sexual health</v>
      </c>
      <c r="J41" s="257" t="str">
        <f>VLOOKUP($E41,TaskValues_ref!$E:$Z,6,FALSE)</f>
        <v>-</v>
      </c>
      <c r="K41" t="str">
        <f>VLOOKUP($E41,TaskValues_ref!$E:$Z,10,FALSE)</f>
        <v>Amhara</v>
      </c>
      <c r="L41" s="195" t="str">
        <f>IF(VLOOKUP($E41,TaskValues_ref!$E:$Z,11,FALSE)=0,"",VLOOKUP($E41,TaskValues_ref!$E:$Z,11,FALSE))</f>
        <v/>
      </c>
      <c r="M41" t="str">
        <f>IF(VLOOKUP($E41,TaskValues_ref!$E:$Z,13,FALSE)=0,"",VLOOKUP($E41,TaskValues_ref!$E:$Z,13,FALSE))</f>
        <v/>
      </c>
      <c r="N41" s="89" t="str">
        <f>IF(VLOOKUP($E41,TaskValues_ref!$E:$Z,15,FALSE)=0,"",VLOOKUP($E41,TaskValues_ref!$E:$Z,15,FALSE))</f>
        <v/>
      </c>
      <c r="O41" t="str">
        <f>IF(VLOOKUP($E41,TaskValues_ref!$E:$Z,16,FALSE)=0,"",VLOOKUP($E41,TaskValues_ref!$E:$Z,16,FALSE))</f>
        <v/>
      </c>
      <c r="P41" t="str">
        <f>IF(VLOOKUP($E41,TaskValues_ref!$E:$Z,17,FALSE)=0,"",VLOOKUP($E41,TaskValues_ref!$E:$Z,17,FALSE))</f>
        <v/>
      </c>
      <c r="Q41" t="str">
        <f>IF(VLOOKUP($E41,TaskValues_ref!$E:$Z,18,FALSE)=0,"",VLOOKUP($E41,TaskValues_ref!$E:$Z,18,FALSE))</f>
        <v/>
      </c>
      <c r="R41" t="str">
        <f>IF(VLOOKUP($E41,TaskValues_ref!$E:$Z,19,FALSE)=0,"",VLOOKUP($E41,TaskValues_ref!$E:$Z,19,FALSE))</f>
        <v/>
      </c>
      <c r="S41" t="str">
        <f>IF(VLOOKUP($E41,TaskValues_ref!$E:$Z,20,FALSE)=0,"",VLOOKUP($E41,TaskValues_ref!$E:$Z,20,FALSE))</f>
        <v/>
      </c>
    </row>
    <row r="42" spans="1:19" x14ac:dyDescent="0.45">
      <c r="A42" t="s">
        <v>2163</v>
      </c>
      <c r="B42" s="66" t="s">
        <v>2266</v>
      </c>
      <c r="D42" s="324">
        <v>58</v>
      </c>
      <c r="E42" s="64" t="s">
        <v>2662</v>
      </c>
      <c r="F42" t="str">
        <f>VLOOKUP(E42,TaskValues_ref!E:F,2,FALSE)</f>
        <v>Psycho-social support for GBV</v>
      </c>
      <c r="G42" t="str">
        <f>VLOOKUP($E42,TaskValues_ref!$E:$Z,3,FALSE)</f>
        <v>Clinical</v>
      </c>
      <c r="H42" t="str">
        <f>VLOOKUP($E42,TaskValues_ref!$E:$Z,4,FALSE)</f>
        <v>Acute</v>
      </c>
      <c r="I42" t="str">
        <f>VLOOKUP($E42,TaskValues_ref!$E:$Z,5,FALSE)</f>
        <v>Sexual health</v>
      </c>
      <c r="J42" s="257" t="str">
        <f>VLOOKUP($E42,TaskValues_ref!$E:$Z,6,FALSE)</f>
        <v>women 15-49</v>
      </c>
      <c r="K42" t="str">
        <f>VLOOKUP($E42,TaskValues_ref!$E:$Z,10,FALSE)</f>
        <v>Amhara</v>
      </c>
      <c r="L42" s="195">
        <f>IF(VLOOKUP($E42,TaskValues_ref!$E:$Z,11,FALSE)=0,"",VLOOKUP($E42,TaskValues_ref!$E:$Z,11,FALSE))</f>
        <v>0.20300000000000001</v>
      </c>
      <c r="M42">
        <f>IF(VLOOKUP($E42,TaskValues_ref!$E:$Z,13,FALSE)=0,"",VLOOKUP($E42,TaskValues_ref!$E:$Z,13,FALSE))</f>
        <v>0.1</v>
      </c>
      <c r="N42" s="89">
        <f>IF(VLOOKUP($E42,TaskValues_ref!$E:$Z,15,FALSE)=0,"",VLOOKUP($E42,TaskValues_ref!$E:$Z,15,FALSE))</f>
        <v>0.98</v>
      </c>
      <c r="O42">
        <f>IF(VLOOKUP($E42,TaskValues_ref!$E:$Z,16,FALSE)=0,"",VLOOKUP($E42,TaskValues_ref!$E:$Z,16,FALSE))</f>
        <v>1</v>
      </c>
      <c r="P42" t="str">
        <f>IF(VLOOKUP($E42,TaskValues_ref!$E:$Z,17,FALSE)=0,"",VLOOKUP($E42,TaskValues_ref!$E:$Z,17,FALSE))</f>
        <v/>
      </c>
      <c r="Q42">
        <f>IF(VLOOKUP($E42,TaskValues_ref!$E:$Z,18,FALSE)=0,"",VLOOKUP($E42,TaskValues_ref!$E:$Z,18,FALSE))</f>
        <v>20</v>
      </c>
      <c r="R42" t="str">
        <f>IF(VLOOKUP($E42,TaskValues_ref!$E:$Z,19,FALSE)=0,"",VLOOKUP($E42,TaskValues_ref!$E:$Z,19,FALSE))</f>
        <v/>
      </c>
      <c r="S42" t="str">
        <f>IF(VLOOKUP($E42,TaskValues_ref!$E:$Z,20,FALSE)=0,"",VLOOKUP($E42,TaskValues_ref!$E:$Z,20,FALSE))</f>
        <v/>
      </c>
    </row>
    <row r="43" spans="1:19" x14ac:dyDescent="0.45">
      <c r="A43" t="s">
        <v>2163</v>
      </c>
      <c r="B43" s="66" t="s">
        <v>2266</v>
      </c>
      <c r="D43" s="324">
        <v>59</v>
      </c>
      <c r="E43" s="64" t="s">
        <v>2663</v>
      </c>
      <c r="F43" t="str">
        <f>VLOOKUP(E43,TaskValues_ref!E:F,2,FALSE)</f>
        <v>Adovacy against HTP</v>
      </c>
      <c r="G43" t="str">
        <f>VLOOKUP($E43,TaskValues_ref!$E:$Z,3,FALSE)</f>
        <v>Non-clinical</v>
      </c>
      <c r="H43" t="str">
        <f>VLOOKUP($E43,TaskValues_ref!$E:$Z,4,FALSE)</f>
        <v>Public Health</v>
      </c>
      <c r="I43" t="str">
        <f>VLOOKUP($E43,TaskValues_ref!$E:$Z,5,FALSE)</f>
        <v>Sexual health</v>
      </c>
      <c r="J43" s="257" t="str">
        <f>VLOOKUP($E43,TaskValues_ref!$E:$Z,6,FALSE)</f>
        <v>-</v>
      </c>
      <c r="K43" t="str">
        <f>VLOOKUP($E43,TaskValues_ref!$E:$Z,10,FALSE)</f>
        <v>Amhara</v>
      </c>
      <c r="L43" s="195" t="str">
        <f>IF(VLOOKUP($E43,TaskValues_ref!$E:$Z,11,FALSE)=0,"",VLOOKUP($E43,TaskValues_ref!$E:$Z,11,FALSE))</f>
        <v/>
      </c>
      <c r="M43" t="str">
        <f>IF(VLOOKUP($E43,TaskValues_ref!$E:$Z,13,FALSE)=0,"",VLOOKUP($E43,TaskValues_ref!$E:$Z,13,FALSE))</f>
        <v/>
      </c>
      <c r="N43" s="89" t="str">
        <f>IF(VLOOKUP($E43,TaskValues_ref!$E:$Z,15,FALSE)=0,"",VLOOKUP($E43,TaskValues_ref!$E:$Z,15,FALSE))</f>
        <v/>
      </c>
      <c r="O43" t="str">
        <f>IF(VLOOKUP($E43,TaskValues_ref!$E:$Z,16,FALSE)=0,"",VLOOKUP($E43,TaskValues_ref!$E:$Z,16,FALSE))</f>
        <v/>
      </c>
      <c r="P43" t="str">
        <f>IF(VLOOKUP($E43,TaskValues_ref!$E:$Z,17,FALSE)=0,"",VLOOKUP($E43,TaskValues_ref!$E:$Z,17,FALSE))</f>
        <v/>
      </c>
      <c r="Q43" t="str">
        <f>IF(VLOOKUP($E43,TaskValues_ref!$E:$Z,18,FALSE)=0,"",VLOOKUP($E43,TaskValues_ref!$E:$Z,18,FALSE))</f>
        <v/>
      </c>
      <c r="R43" t="str">
        <f>IF(VLOOKUP($E43,TaskValues_ref!$E:$Z,19,FALSE)=0,"",VLOOKUP($E43,TaskValues_ref!$E:$Z,19,FALSE))</f>
        <v/>
      </c>
      <c r="S43" t="str">
        <f>IF(VLOOKUP($E43,TaskValues_ref!$E:$Z,20,FALSE)=0,"",VLOOKUP($E43,TaskValues_ref!$E:$Z,20,FALSE))</f>
        <v/>
      </c>
    </row>
    <row r="44" spans="1:19" x14ac:dyDescent="0.45">
      <c r="A44" t="s">
        <v>2163</v>
      </c>
      <c r="B44" s="66" t="s">
        <v>2266</v>
      </c>
      <c r="D44" s="324">
        <v>62</v>
      </c>
      <c r="E44" s="64" t="s">
        <v>2666</v>
      </c>
      <c r="F44" t="str">
        <f>VLOOKUP(E44,TaskValues_ref!E:F,2,FALSE)</f>
        <v>SRH counseling for men</v>
      </c>
      <c r="G44" t="str">
        <f>VLOOKUP($E44,TaskValues_ref!$E:$Z,3,FALSE)</f>
        <v>Clinical</v>
      </c>
      <c r="H44" t="str">
        <f>VLOOKUP($E44,TaskValues_ref!$E:$Z,4,FALSE)</f>
        <v>Acute</v>
      </c>
      <c r="I44" t="str">
        <f>VLOOKUP($E44,TaskValues_ref!$E:$Z,5,FALSE)</f>
        <v>Sexual health</v>
      </c>
      <c r="J44" s="257" t="str">
        <f>VLOOKUP($E44,TaskValues_ref!$E:$Z,6,FALSE)</f>
        <v>men 15-49</v>
      </c>
      <c r="K44" t="str">
        <f>VLOOKUP($E44,TaskValues_ref!$E:$Z,10,FALSE)</f>
        <v>Amhara</v>
      </c>
      <c r="L44" s="195">
        <f>IF(VLOOKUP($E44,TaskValues_ref!$E:$Z,11,FALSE)=0,"",VLOOKUP($E44,TaskValues_ref!$E:$Z,11,FALSE))</f>
        <v>1</v>
      </c>
      <c r="M44" t="str">
        <f>IF(VLOOKUP($E44,TaskValues_ref!$E:$Z,13,FALSE)=0,"",VLOOKUP($E44,TaskValues_ref!$E:$Z,13,FALSE))</f>
        <v/>
      </c>
      <c r="N44" s="89">
        <f>IF(VLOOKUP($E44,TaskValues_ref!$E:$Z,15,FALSE)=0,"",VLOOKUP($E44,TaskValues_ref!$E:$Z,15,FALSE))</f>
        <v>1</v>
      </c>
      <c r="O44" t="str">
        <f>IF(VLOOKUP($E44,TaskValues_ref!$E:$Z,16,FALSE)=0,"",VLOOKUP($E44,TaskValues_ref!$E:$Z,16,FALSE))</f>
        <v/>
      </c>
      <c r="P44">
        <f>IF(VLOOKUP($E44,TaskValues_ref!$E:$Z,17,FALSE)=0,"",VLOOKUP($E44,TaskValues_ref!$E:$Z,17,FALSE))</f>
        <v>0.1</v>
      </c>
      <c r="Q44">
        <f>IF(VLOOKUP($E44,TaskValues_ref!$E:$Z,18,FALSE)=0,"",VLOOKUP($E44,TaskValues_ref!$E:$Z,18,FALSE))</f>
        <v>10</v>
      </c>
      <c r="R44" t="str">
        <f>IF(VLOOKUP($E44,TaskValues_ref!$E:$Z,19,FALSE)=0,"",VLOOKUP($E44,TaskValues_ref!$E:$Z,19,FALSE))</f>
        <v/>
      </c>
      <c r="S44" t="str">
        <f>IF(VLOOKUP($E44,TaskValues_ref!$E:$Z,20,FALSE)=0,"",VLOOKUP($E44,TaskValues_ref!$E:$Z,20,FALSE))</f>
        <v/>
      </c>
    </row>
    <row r="45" spans="1:19" x14ac:dyDescent="0.45">
      <c r="A45" t="s">
        <v>2163</v>
      </c>
      <c r="B45" s="66" t="s">
        <v>70</v>
      </c>
      <c r="D45" s="324">
        <v>64</v>
      </c>
      <c r="E45" s="64" t="s">
        <v>2667</v>
      </c>
      <c r="F45" t="str">
        <f>VLOOKUP(E45,TaskValues_ref!E:F,2,FALSE)</f>
        <v>Promote breast feeding</v>
      </c>
      <c r="G45" t="str">
        <f>VLOOKUP($E45,TaskValues_ref!$E:$Z,3,FALSE)</f>
        <v>Clinical</v>
      </c>
      <c r="H45" t="str">
        <f>VLOOKUP($E45,TaskValues_ref!$E:$Z,4,FALSE)</f>
        <v>Preventive</v>
      </c>
      <c r="I45" t="str">
        <f>VLOOKUP($E45,TaskValues_ref!$E:$Z,5,FALSE)</f>
        <v>Nutrition</v>
      </c>
      <c r="J45" s="257" t="str">
        <f>VLOOKUP($E45,TaskValues_ref!$E:$Z,6,FALSE)</f>
        <v>births</v>
      </c>
      <c r="K45" t="str">
        <f>VLOOKUP($E45,TaskValues_ref!$E:$Z,10,FALSE)</f>
        <v>Amhara</v>
      </c>
      <c r="L45" s="195" t="str">
        <f>IF(VLOOKUP($E45,TaskValues_ref!$E:$Z,11,FALSE)=0,"",VLOOKUP($E45,TaskValues_ref!$E:$Z,11,FALSE))</f>
        <v/>
      </c>
      <c r="M45" t="str">
        <f>IF(VLOOKUP($E45,TaskValues_ref!$E:$Z,13,FALSE)=0,"",VLOOKUP($E45,TaskValues_ref!$E:$Z,13,FALSE))</f>
        <v/>
      </c>
      <c r="N45" s="89" t="str">
        <f>IF(VLOOKUP($E45,TaskValues_ref!$E:$Z,15,FALSE)=0,"",VLOOKUP($E45,TaskValues_ref!$E:$Z,15,FALSE))</f>
        <v/>
      </c>
      <c r="O45" t="str">
        <f>IF(VLOOKUP($E45,TaskValues_ref!$E:$Z,16,FALSE)=0,"",VLOOKUP($E45,TaskValues_ref!$E:$Z,16,FALSE))</f>
        <v/>
      </c>
      <c r="P45" t="str">
        <f>IF(VLOOKUP($E45,TaskValues_ref!$E:$Z,17,FALSE)=0,"",VLOOKUP($E45,TaskValues_ref!$E:$Z,17,FALSE))</f>
        <v/>
      </c>
      <c r="Q45" t="str">
        <f>IF(VLOOKUP($E45,TaskValues_ref!$E:$Z,18,FALSE)=0,"",VLOOKUP($E45,TaskValues_ref!$E:$Z,18,FALSE))</f>
        <v/>
      </c>
      <c r="R45" t="str">
        <f>IF(VLOOKUP($E45,TaskValues_ref!$E:$Z,19,FALSE)=0,"",VLOOKUP($E45,TaskValues_ref!$E:$Z,19,FALSE))</f>
        <v/>
      </c>
      <c r="S45" t="str">
        <f>IF(VLOOKUP($E45,TaskValues_ref!$E:$Z,20,FALSE)=0,"",VLOOKUP($E45,TaskValues_ref!$E:$Z,20,FALSE))</f>
        <v/>
      </c>
    </row>
    <row r="46" spans="1:19" x14ac:dyDescent="0.45">
      <c r="A46" t="s">
        <v>2163</v>
      </c>
      <c r="B46" s="66" t="s">
        <v>70</v>
      </c>
      <c r="D46" s="324">
        <v>65</v>
      </c>
      <c r="E46" s="64" t="s">
        <v>2668</v>
      </c>
      <c r="F46" t="str">
        <f>VLOOKUP(E46,TaskValues_ref!E:F,2,FALSE)</f>
        <v>Nutritional screening during pregnancy</v>
      </c>
      <c r="G46" t="str">
        <f>VLOOKUP($E46,TaskValues_ref!$E:$Z,3,FALSE)</f>
        <v>Clinical</v>
      </c>
      <c r="H46" t="str">
        <f>VLOOKUP($E46,TaskValues_ref!$E:$Z,4,FALSE)</f>
        <v>Preventive</v>
      </c>
      <c r="I46" t="str">
        <f>VLOOKUP($E46,TaskValues_ref!$E:$Z,5,FALSE)</f>
        <v>Nutrition</v>
      </c>
      <c r="J46" s="257" t="str">
        <f>VLOOKUP($E46,TaskValues_ref!$E:$Z,6,FALSE)</f>
        <v>births</v>
      </c>
      <c r="K46" t="str">
        <f>VLOOKUP($E46,TaskValues_ref!$E:$Z,10,FALSE)</f>
        <v>Amhara</v>
      </c>
      <c r="L46" s="195" t="str">
        <f>IF(VLOOKUP($E46,TaskValues_ref!$E:$Z,11,FALSE)=0,"",VLOOKUP($E46,TaskValues_ref!$E:$Z,11,FALSE))</f>
        <v/>
      </c>
      <c r="M46" t="str">
        <f>IF(VLOOKUP($E46,TaskValues_ref!$E:$Z,13,FALSE)=0,"",VLOOKUP($E46,TaskValues_ref!$E:$Z,13,FALSE))</f>
        <v/>
      </c>
      <c r="N46" s="89" t="str">
        <f>IF(VLOOKUP($E46,TaskValues_ref!$E:$Z,15,FALSE)=0,"",VLOOKUP($E46,TaskValues_ref!$E:$Z,15,FALSE))</f>
        <v/>
      </c>
      <c r="O46" t="str">
        <f>IF(VLOOKUP($E46,TaskValues_ref!$E:$Z,16,FALSE)=0,"",VLOOKUP($E46,TaskValues_ref!$E:$Z,16,FALSE))</f>
        <v/>
      </c>
      <c r="P46" t="str">
        <f>IF(VLOOKUP($E46,TaskValues_ref!$E:$Z,17,FALSE)=0,"",VLOOKUP($E46,TaskValues_ref!$E:$Z,17,FALSE))</f>
        <v/>
      </c>
      <c r="Q46" t="str">
        <f>IF(VLOOKUP($E46,TaskValues_ref!$E:$Z,18,FALSE)=0,"",VLOOKUP($E46,TaskValues_ref!$E:$Z,18,FALSE))</f>
        <v/>
      </c>
      <c r="R46" t="str">
        <f>IF(VLOOKUP($E46,TaskValues_ref!$E:$Z,19,FALSE)=0,"",VLOOKUP($E46,TaskValues_ref!$E:$Z,19,FALSE))</f>
        <v/>
      </c>
      <c r="S46" t="str">
        <f>IF(VLOOKUP($E46,TaskValues_ref!$E:$Z,20,FALSE)=0,"",VLOOKUP($E46,TaskValues_ref!$E:$Z,20,FALSE))</f>
        <v/>
      </c>
    </row>
    <row r="47" spans="1:19" x14ac:dyDescent="0.45">
      <c r="A47" t="s">
        <v>2163</v>
      </c>
      <c r="B47" s="66" t="s">
        <v>70</v>
      </c>
      <c r="D47" s="324">
        <v>66</v>
      </c>
      <c r="E47" s="64" t="s">
        <v>2669</v>
      </c>
      <c r="F47" t="str">
        <f>VLOOKUP(E47,TaskValues_ref!E:F,2,FALSE)</f>
        <v>Monthly monitoring</v>
      </c>
      <c r="G47" t="str">
        <f>VLOOKUP($E47,TaskValues_ref!$E:$Z,3,FALSE)</f>
        <v>Clinical</v>
      </c>
      <c r="H47" t="str">
        <f>VLOOKUP($E47,TaskValues_ref!$E:$Z,4,FALSE)</f>
        <v>Preventive</v>
      </c>
      <c r="I47" t="str">
        <f>VLOOKUP($E47,TaskValues_ref!$E:$Z,5,FALSE)</f>
        <v>Nutrition</v>
      </c>
      <c r="J47" s="257" t="str">
        <f>VLOOKUP($E47,TaskValues_ref!$E:$Z,6,FALSE)</f>
        <v>births</v>
      </c>
      <c r="K47" t="str">
        <f>VLOOKUP($E47,TaskValues_ref!$E:$Z,10,FALSE)</f>
        <v>Amhara</v>
      </c>
      <c r="L47" s="195" t="str">
        <f>IF(VLOOKUP($E47,TaskValues_ref!$E:$Z,11,FALSE)=0,"",VLOOKUP($E47,TaskValues_ref!$E:$Z,11,FALSE))</f>
        <v/>
      </c>
      <c r="M47" t="str">
        <f>IF(VLOOKUP($E47,TaskValues_ref!$E:$Z,13,FALSE)=0,"",VLOOKUP($E47,TaskValues_ref!$E:$Z,13,FALSE))</f>
        <v/>
      </c>
      <c r="N47" s="89" t="str">
        <f>IF(VLOOKUP($E47,TaskValues_ref!$E:$Z,15,FALSE)=0,"",VLOOKUP($E47,TaskValues_ref!$E:$Z,15,FALSE))</f>
        <v/>
      </c>
      <c r="O47" t="str">
        <f>IF(VLOOKUP($E47,TaskValues_ref!$E:$Z,16,FALSE)=0,"",VLOOKUP($E47,TaskValues_ref!$E:$Z,16,FALSE))</f>
        <v/>
      </c>
      <c r="P47" t="str">
        <f>IF(VLOOKUP($E47,TaskValues_ref!$E:$Z,17,FALSE)=0,"",VLOOKUP($E47,TaskValues_ref!$E:$Z,17,FALSE))</f>
        <v/>
      </c>
      <c r="Q47" t="str">
        <f>IF(VLOOKUP($E47,TaskValues_ref!$E:$Z,18,FALSE)=0,"",VLOOKUP($E47,TaskValues_ref!$E:$Z,18,FALSE))</f>
        <v/>
      </c>
      <c r="R47" t="str">
        <f>IF(VLOOKUP($E47,TaskValues_ref!$E:$Z,19,FALSE)=0,"",VLOOKUP($E47,TaskValues_ref!$E:$Z,19,FALSE))</f>
        <v/>
      </c>
      <c r="S47" t="str">
        <f>IF(VLOOKUP($E47,TaskValues_ref!$E:$Z,20,FALSE)=0,"",VLOOKUP($E47,TaskValues_ref!$E:$Z,20,FALSE))</f>
        <v/>
      </c>
    </row>
    <row r="48" spans="1:19" x14ac:dyDescent="0.45">
      <c r="A48" t="s">
        <v>2163</v>
      </c>
      <c r="B48" s="66" t="s">
        <v>70</v>
      </c>
      <c r="D48" s="324">
        <v>67</v>
      </c>
      <c r="E48" s="64" t="s">
        <v>2670</v>
      </c>
      <c r="F48" t="str">
        <f>VLOOKUP(E48,TaskValues_ref!E:F,2,FALSE)</f>
        <v>MUAC and oedema screening</v>
      </c>
      <c r="G48" t="str">
        <f>VLOOKUP($E48,TaskValues_ref!$E:$Z,3,FALSE)</f>
        <v>Clinical</v>
      </c>
      <c r="H48" t="str">
        <f>VLOOKUP($E48,TaskValues_ref!$E:$Z,4,FALSE)</f>
        <v>Acute</v>
      </c>
      <c r="I48" t="str">
        <f>VLOOKUP($E48,TaskValues_ref!$E:$Z,5,FALSE)</f>
        <v>Nutrition</v>
      </c>
      <c r="J48" s="257" t="str">
        <f>VLOOKUP($E48,TaskValues_ref!$E:$Z,6,FALSE)</f>
        <v>births</v>
      </c>
      <c r="K48" t="str">
        <f>VLOOKUP($E48,TaskValues_ref!$E:$Z,10,FALSE)</f>
        <v>Amhara</v>
      </c>
      <c r="L48" s="195" t="str">
        <f>IF(VLOOKUP($E48,TaskValues_ref!$E:$Z,11,FALSE)=0,"",VLOOKUP($E48,TaskValues_ref!$E:$Z,11,FALSE))</f>
        <v/>
      </c>
      <c r="M48" t="str">
        <f>IF(VLOOKUP($E48,TaskValues_ref!$E:$Z,13,FALSE)=0,"",VLOOKUP($E48,TaskValues_ref!$E:$Z,13,FALSE))</f>
        <v/>
      </c>
      <c r="N48" s="89" t="str">
        <f>IF(VLOOKUP($E48,TaskValues_ref!$E:$Z,15,FALSE)=0,"",VLOOKUP($E48,TaskValues_ref!$E:$Z,15,FALSE))</f>
        <v/>
      </c>
      <c r="O48" t="str">
        <f>IF(VLOOKUP($E48,TaskValues_ref!$E:$Z,16,FALSE)=0,"",VLOOKUP($E48,TaskValues_ref!$E:$Z,16,FALSE))</f>
        <v/>
      </c>
      <c r="P48" t="str">
        <f>IF(VLOOKUP($E48,TaskValues_ref!$E:$Z,17,FALSE)=0,"",VLOOKUP($E48,TaskValues_ref!$E:$Z,17,FALSE))</f>
        <v/>
      </c>
      <c r="Q48" t="str">
        <f>IF(VLOOKUP($E48,TaskValues_ref!$E:$Z,18,FALSE)=0,"",VLOOKUP($E48,TaskValues_ref!$E:$Z,18,FALSE))</f>
        <v/>
      </c>
      <c r="R48" t="str">
        <f>IF(VLOOKUP($E48,TaskValues_ref!$E:$Z,19,FALSE)=0,"",VLOOKUP($E48,TaskValues_ref!$E:$Z,19,FALSE))</f>
        <v/>
      </c>
      <c r="S48" t="str">
        <f>IF(VLOOKUP($E48,TaskValues_ref!$E:$Z,20,FALSE)=0,"",VLOOKUP($E48,TaskValues_ref!$E:$Z,20,FALSE))</f>
        <v/>
      </c>
    </row>
    <row r="49" spans="1:19" x14ac:dyDescent="0.45">
      <c r="A49" t="s">
        <v>2163</v>
      </c>
      <c r="B49" s="66" t="s">
        <v>70</v>
      </c>
      <c r="D49" s="66">
        <v>70</v>
      </c>
      <c r="E49" s="64" t="s">
        <v>2672</v>
      </c>
      <c r="F49" t="str">
        <f>VLOOKUP(E49,TaskValues_ref!E:F,2,FALSE)</f>
        <v>Promote nutrition for MNC</v>
      </c>
      <c r="G49" t="str">
        <f>VLOOKUP($E49,TaskValues_ref!$E:$Z,3,FALSE)</f>
        <v>Non-clinical</v>
      </c>
      <c r="H49" t="str">
        <f>VLOOKUP($E49,TaskValues_ref!$E:$Z,4,FALSE)</f>
        <v>Public Health</v>
      </c>
      <c r="I49" t="str">
        <f>VLOOKUP($E49,TaskValues_ref!$E:$Z,5,FALSE)</f>
        <v>Nutrition</v>
      </c>
      <c r="J49" s="257" t="str">
        <f>VLOOKUP($E49,TaskValues_ref!$E:$Z,6,FALSE)</f>
        <v>-</v>
      </c>
      <c r="K49" t="str">
        <f>VLOOKUP($E49,TaskValues_ref!$E:$Z,10,FALSE)</f>
        <v>Amhara</v>
      </c>
      <c r="L49" s="195" t="str">
        <f>IF(VLOOKUP($E49,TaskValues_ref!$E:$Z,11,FALSE)=0,"",VLOOKUP($E49,TaskValues_ref!$E:$Z,11,FALSE))</f>
        <v/>
      </c>
      <c r="M49" t="str">
        <f>IF(VLOOKUP($E49,TaskValues_ref!$E:$Z,13,FALSE)=0,"",VLOOKUP($E49,TaskValues_ref!$E:$Z,13,FALSE))</f>
        <v/>
      </c>
      <c r="N49" s="89" t="str">
        <f>IF(VLOOKUP($E49,TaskValues_ref!$E:$Z,15,FALSE)=0,"",VLOOKUP($E49,TaskValues_ref!$E:$Z,15,FALSE))</f>
        <v/>
      </c>
      <c r="O49" t="str">
        <f>IF(VLOOKUP($E49,TaskValues_ref!$E:$Z,16,FALSE)=0,"",VLOOKUP($E49,TaskValues_ref!$E:$Z,16,FALSE))</f>
        <v/>
      </c>
      <c r="P49" t="str">
        <f>IF(VLOOKUP($E49,TaskValues_ref!$E:$Z,17,FALSE)=0,"",VLOOKUP($E49,TaskValues_ref!$E:$Z,17,FALSE))</f>
        <v/>
      </c>
      <c r="Q49" t="str">
        <f>IF(VLOOKUP($E49,TaskValues_ref!$E:$Z,18,FALSE)=0,"",VLOOKUP($E49,TaskValues_ref!$E:$Z,18,FALSE))</f>
        <v/>
      </c>
      <c r="R49" t="str">
        <f>IF(VLOOKUP($E49,TaskValues_ref!$E:$Z,19,FALSE)=0,"",VLOOKUP($E49,TaskValues_ref!$E:$Z,19,FALSE))</f>
        <v/>
      </c>
      <c r="S49" t="str">
        <f>IF(VLOOKUP($E49,TaskValues_ref!$E:$Z,20,FALSE)=0,"",VLOOKUP($E49,TaskValues_ref!$E:$Z,20,FALSE))</f>
        <v/>
      </c>
    </row>
    <row r="50" spans="1:19" x14ac:dyDescent="0.45">
      <c r="A50" t="s">
        <v>2163</v>
      </c>
      <c r="B50" s="66" t="s">
        <v>70</v>
      </c>
      <c r="D50" s="66">
        <v>71</v>
      </c>
      <c r="E50" s="64" t="s">
        <v>2673</v>
      </c>
      <c r="F50" t="str">
        <f>VLOOKUP(E50,TaskValues_ref!E:F,2,FALSE)</f>
        <v>Education re nutrition</v>
      </c>
      <c r="G50" t="str">
        <f>VLOOKUP($E50,TaskValues_ref!$E:$Z,3,FALSE)</f>
        <v>Non-clinical</v>
      </c>
      <c r="H50" t="str">
        <f>VLOOKUP($E50,TaskValues_ref!$E:$Z,4,FALSE)</f>
        <v>Public Health</v>
      </c>
      <c r="I50" t="str">
        <f>VLOOKUP($E50,TaskValues_ref!$E:$Z,5,FALSE)</f>
        <v>Nutrition</v>
      </c>
      <c r="J50" s="257" t="str">
        <f>VLOOKUP($E50,TaskValues_ref!$E:$Z,6,FALSE)</f>
        <v>-</v>
      </c>
      <c r="K50" t="str">
        <f>VLOOKUP($E50,TaskValues_ref!$E:$Z,10,FALSE)</f>
        <v>Amhara</v>
      </c>
      <c r="L50" s="195" t="str">
        <f>IF(VLOOKUP($E50,TaskValues_ref!$E:$Z,11,FALSE)=0,"",VLOOKUP($E50,TaskValues_ref!$E:$Z,11,FALSE))</f>
        <v/>
      </c>
      <c r="M50" t="str">
        <f>IF(VLOOKUP($E50,TaskValues_ref!$E:$Z,13,FALSE)=0,"",VLOOKUP($E50,TaskValues_ref!$E:$Z,13,FALSE))</f>
        <v/>
      </c>
      <c r="N50" s="89" t="str">
        <f>IF(VLOOKUP($E50,TaskValues_ref!$E:$Z,15,FALSE)=0,"",VLOOKUP($E50,TaskValues_ref!$E:$Z,15,FALSE))</f>
        <v/>
      </c>
      <c r="O50" t="str">
        <f>IF(VLOOKUP($E50,TaskValues_ref!$E:$Z,16,FALSE)=0,"",VLOOKUP($E50,TaskValues_ref!$E:$Z,16,FALSE))</f>
        <v/>
      </c>
      <c r="P50" t="str">
        <f>IF(VLOOKUP($E50,TaskValues_ref!$E:$Z,17,FALSE)=0,"",VLOOKUP($E50,TaskValues_ref!$E:$Z,17,FALSE))</f>
        <v/>
      </c>
      <c r="Q50" t="str">
        <f>IF(VLOOKUP($E50,TaskValues_ref!$E:$Z,18,FALSE)=0,"",VLOOKUP($E50,TaskValues_ref!$E:$Z,18,FALSE))</f>
        <v/>
      </c>
      <c r="R50" t="str">
        <f>IF(VLOOKUP($E50,TaskValues_ref!$E:$Z,19,FALSE)=0,"",VLOOKUP($E50,TaskValues_ref!$E:$Z,19,FALSE))</f>
        <v/>
      </c>
      <c r="S50" t="str">
        <f>IF(VLOOKUP($E50,TaskValues_ref!$E:$Z,20,FALSE)=0,"",VLOOKUP($E50,TaskValues_ref!$E:$Z,20,FALSE))</f>
        <v/>
      </c>
    </row>
    <row r="51" spans="1:19" x14ac:dyDescent="0.45">
      <c r="A51" t="s">
        <v>2163</v>
      </c>
      <c r="B51" s="66" t="s">
        <v>70</v>
      </c>
      <c r="D51" s="66">
        <v>74</v>
      </c>
      <c r="E51" s="64" t="s">
        <v>2676</v>
      </c>
      <c r="F51" t="str">
        <f>VLOOKUP(E51,TaskValues_ref!E:F,2,FALSE)</f>
        <v>Promote iodized salt &amp; fortified food</v>
      </c>
      <c r="G51" t="str">
        <f>VLOOKUP($E51,TaskValues_ref!$E:$Z,3,FALSE)</f>
        <v>Non-clinical</v>
      </c>
      <c r="H51" t="str">
        <f>VLOOKUP($E51,TaskValues_ref!$E:$Z,4,FALSE)</f>
        <v>Public Health</v>
      </c>
      <c r="I51" t="str">
        <f>VLOOKUP($E51,TaskValues_ref!$E:$Z,5,FALSE)</f>
        <v>Nutrition</v>
      </c>
      <c r="J51" s="257" t="str">
        <f>VLOOKUP($E51,TaskValues_ref!$E:$Z,6,FALSE)</f>
        <v>-</v>
      </c>
      <c r="K51" t="str">
        <f>VLOOKUP($E51,TaskValues_ref!$E:$Z,10,FALSE)</f>
        <v>Amhara</v>
      </c>
      <c r="L51" s="195" t="str">
        <f>IF(VLOOKUP($E51,TaskValues_ref!$E:$Z,11,FALSE)=0,"",VLOOKUP($E51,TaskValues_ref!$E:$Z,11,FALSE))</f>
        <v/>
      </c>
      <c r="M51" t="str">
        <f>IF(VLOOKUP($E51,TaskValues_ref!$E:$Z,13,FALSE)=0,"",VLOOKUP($E51,TaskValues_ref!$E:$Z,13,FALSE))</f>
        <v/>
      </c>
      <c r="N51" s="89" t="str">
        <f>IF(VLOOKUP($E51,TaskValues_ref!$E:$Z,15,FALSE)=0,"",VLOOKUP($E51,TaskValues_ref!$E:$Z,15,FALSE))</f>
        <v/>
      </c>
      <c r="O51" t="str">
        <f>IF(VLOOKUP($E51,TaskValues_ref!$E:$Z,16,FALSE)=0,"",VLOOKUP($E51,TaskValues_ref!$E:$Z,16,FALSE))</f>
        <v/>
      </c>
      <c r="P51" t="str">
        <f>IF(VLOOKUP($E51,TaskValues_ref!$E:$Z,17,FALSE)=0,"",VLOOKUP($E51,TaskValues_ref!$E:$Z,17,FALSE))</f>
        <v/>
      </c>
      <c r="Q51" t="str">
        <f>IF(VLOOKUP($E51,TaskValues_ref!$E:$Z,18,FALSE)=0,"",VLOOKUP($E51,TaskValues_ref!$E:$Z,18,FALSE))</f>
        <v/>
      </c>
      <c r="R51" t="str">
        <f>IF(VLOOKUP($E51,TaskValues_ref!$E:$Z,19,FALSE)=0,"",VLOOKUP($E51,TaskValues_ref!$E:$Z,19,FALSE))</f>
        <v/>
      </c>
      <c r="S51" t="str">
        <f>IF(VLOOKUP($E51,TaskValues_ref!$E:$Z,20,FALSE)=0,"",VLOOKUP($E51,TaskValues_ref!$E:$Z,20,FALSE))</f>
        <v/>
      </c>
    </row>
    <row r="52" spans="1:19" x14ac:dyDescent="0.45">
      <c r="A52" t="s">
        <v>2163</v>
      </c>
      <c r="B52" s="66" t="s">
        <v>70</v>
      </c>
      <c r="D52" s="66">
        <v>75</v>
      </c>
      <c r="E52" s="64" t="s">
        <v>2677</v>
      </c>
      <c r="F52" t="str">
        <f>VLOOKUP(E52,TaskValues_ref!E:F,2,FALSE)</f>
        <v>Nutrition outreach</v>
      </c>
      <c r="G52" t="str">
        <f>VLOOKUP($E52,TaskValues_ref!$E:$Z,3,FALSE)</f>
        <v>Non-clinical</v>
      </c>
      <c r="H52" t="str">
        <f>VLOOKUP($E52,TaskValues_ref!$E:$Z,4,FALSE)</f>
        <v>Public Health</v>
      </c>
      <c r="I52" t="str">
        <f>VLOOKUP($E52,TaskValues_ref!$E:$Z,5,FALSE)</f>
        <v>Nutrition</v>
      </c>
      <c r="J52" s="257" t="str">
        <f>VLOOKUP($E52,TaskValues_ref!$E:$Z,6,FALSE)</f>
        <v>-</v>
      </c>
      <c r="K52" t="str">
        <f>VLOOKUP($E52,TaskValues_ref!$E:$Z,10,FALSE)</f>
        <v>Amhara</v>
      </c>
      <c r="L52" s="195" t="str">
        <f>IF(VLOOKUP($E52,TaskValues_ref!$E:$Z,11,FALSE)=0,"",VLOOKUP($E52,TaskValues_ref!$E:$Z,11,FALSE))</f>
        <v/>
      </c>
      <c r="M52" t="str">
        <f>IF(VLOOKUP($E52,TaskValues_ref!$E:$Z,13,FALSE)=0,"",VLOOKUP($E52,TaskValues_ref!$E:$Z,13,FALSE))</f>
        <v/>
      </c>
      <c r="N52" s="89" t="str">
        <f>IF(VLOOKUP($E52,TaskValues_ref!$E:$Z,15,FALSE)=0,"",VLOOKUP($E52,TaskValues_ref!$E:$Z,15,FALSE))</f>
        <v/>
      </c>
      <c r="O52" t="str">
        <f>IF(VLOOKUP($E52,TaskValues_ref!$E:$Z,16,FALSE)=0,"",VLOOKUP($E52,TaskValues_ref!$E:$Z,16,FALSE))</f>
        <v/>
      </c>
      <c r="P52" t="str">
        <f>IF(VLOOKUP($E52,TaskValues_ref!$E:$Z,17,FALSE)=0,"",VLOOKUP($E52,TaskValues_ref!$E:$Z,17,FALSE))</f>
        <v/>
      </c>
      <c r="Q52" t="str">
        <f>IF(VLOOKUP($E52,TaskValues_ref!$E:$Z,18,FALSE)=0,"",VLOOKUP($E52,TaskValues_ref!$E:$Z,18,FALSE))</f>
        <v/>
      </c>
      <c r="R52" t="str">
        <f>IF(VLOOKUP($E52,TaskValues_ref!$E:$Z,19,FALSE)=0,"",VLOOKUP($E52,TaskValues_ref!$E:$Z,19,FALSE))</f>
        <v/>
      </c>
      <c r="S52" t="str">
        <f>IF(VLOOKUP($E52,TaskValues_ref!$E:$Z,20,FALSE)=0,"",VLOOKUP($E52,TaskValues_ref!$E:$Z,20,FALSE))</f>
        <v/>
      </c>
    </row>
    <row r="53" spans="1:19" x14ac:dyDescent="0.45">
      <c r="A53" t="s">
        <v>2163</v>
      </c>
      <c r="B53" s="66" t="s">
        <v>70</v>
      </c>
      <c r="D53" s="66">
        <v>76</v>
      </c>
      <c r="E53" s="64" t="s">
        <v>2678</v>
      </c>
      <c r="F53" t="str">
        <f>VLOOKUP(E53,TaskValues_ref!E:F,2,FALSE)</f>
        <v>Promote gender equity &amp; empowerment</v>
      </c>
      <c r="G53" t="str">
        <f>VLOOKUP($E53,TaskValues_ref!$E:$Z,3,FALSE)</f>
        <v>Non-clinical</v>
      </c>
      <c r="H53" t="str">
        <f>VLOOKUP($E53,TaskValues_ref!$E:$Z,4,FALSE)</f>
        <v>Public Health</v>
      </c>
      <c r="I53" t="str">
        <f>VLOOKUP($E53,TaskValues_ref!$E:$Z,5,FALSE)</f>
        <v>Nutrition</v>
      </c>
      <c r="J53" s="257" t="str">
        <f>VLOOKUP($E53,TaskValues_ref!$E:$Z,6,FALSE)</f>
        <v>-</v>
      </c>
      <c r="K53" t="str">
        <f>VLOOKUP($E53,TaskValues_ref!$E:$Z,10,FALSE)</f>
        <v>Amhara</v>
      </c>
      <c r="L53" s="195" t="str">
        <f>IF(VLOOKUP($E53,TaskValues_ref!$E:$Z,11,FALSE)=0,"",VLOOKUP($E53,TaskValues_ref!$E:$Z,11,FALSE))</f>
        <v/>
      </c>
      <c r="M53" t="str">
        <f>IF(VLOOKUP($E53,TaskValues_ref!$E:$Z,13,FALSE)=0,"",VLOOKUP($E53,TaskValues_ref!$E:$Z,13,FALSE))</f>
        <v/>
      </c>
      <c r="N53" s="89" t="str">
        <f>IF(VLOOKUP($E53,TaskValues_ref!$E:$Z,15,FALSE)=0,"",VLOOKUP($E53,TaskValues_ref!$E:$Z,15,FALSE))</f>
        <v/>
      </c>
      <c r="O53" t="str">
        <f>IF(VLOOKUP($E53,TaskValues_ref!$E:$Z,16,FALSE)=0,"",VLOOKUP($E53,TaskValues_ref!$E:$Z,16,FALSE))</f>
        <v/>
      </c>
      <c r="P53" t="str">
        <f>IF(VLOOKUP($E53,TaskValues_ref!$E:$Z,17,FALSE)=0,"",VLOOKUP($E53,TaskValues_ref!$E:$Z,17,FALSE))</f>
        <v/>
      </c>
      <c r="Q53" t="str">
        <f>IF(VLOOKUP($E53,TaskValues_ref!$E:$Z,18,FALSE)=0,"",VLOOKUP($E53,TaskValues_ref!$E:$Z,18,FALSE))</f>
        <v/>
      </c>
      <c r="R53" t="str">
        <f>IF(VLOOKUP($E53,TaskValues_ref!$E:$Z,19,FALSE)=0,"",VLOOKUP($E53,TaskValues_ref!$E:$Z,19,FALSE))</f>
        <v/>
      </c>
      <c r="S53" t="str">
        <f>IF(VLOOKUP($E53,TaskValues_ref!$E:$Z,20,FALSE)=0,"",VLOOKUP($E53,TaskValues_ref!$E:$Z,20,FALSE))</f>
        <v/>
      </c>
    </row>
    <row r="54" spans="1:19" x14ac:dyDescent="0.45">
      <c r="A54" t="s">
        <v>2163</v>
      </c>
      <c r="B54" s="66" t="s">
        <v>70</v>
      </c>
      <c r="D54" s="66">
        <v>77</v>
      </c>
      <c r="E54" s="64" t="s">
        <v>2679</v>
      </c>
      <c r="F54" t="str">
        <f>VLOOKUP(E54,TaskValues_ref!E:F,2,FALSE)</f>
        <v>Nutritional disaster response</v>
      </c>
      <c r="G54" t="str">
        <f>VLOOKUP($E54,TaskValues_ref!$E:$Z,3,FALSE)</f>
        <v>Clinical</v>
      </c>
      <c r="H54" t="str">
        <f>VLOOKUP($E54,TaskValues_ref!$E:$Z,4,FALSE)</f>
        <v>Public Health</v>
      </c>
      <c r="I54" t="str">
        <f>VLOOKUP($E54,TaskValues_ref!$E:$Z,5,FALSE)</f>
        <v>Nutrition</v>
      </c>
      <c r="J54" s="257" t="str">
        <f>VLOOKUP($E54,TaskValues_ref!$E:$Z,6,FALSE)</f>
        <v>-</v>
      </c>
      <c r="K54" t="str">
        <f>VLOOKUP($E54,TaskValues_ref!$E:$Z,10,FALSE)</f>
        <v>Amhara</v>
      </c>
      <c r="L54" s="195" t="str">
        <f>IF(VLOOKUP($E54,TaskValues_ref!$E:$Z,11,FALSE)=0,"",VLOOKUP($E54,TaskValues_ref!$E:$Z,11,FALSE))</f>
        <v/>
      </c>
      <c r="M54" t="str">
        <f>IF(VLOOKUP($E54,TaskValues_ref!$E:$Z,13,FALSE)=0,"",VLOOKUP($E54,TaskValues_ref!$E:$Z,13,FALSE))</f>
        <v/>
      </c>
      <c r="N54" s="89" t="str">
        <f>IF(VLOOKUP($E54,TaskValues_ref!$E:$Z,15,FALSE)=0,"",VLOOKUP($E54,TaskValues_ref!$E:$Z,15,FALSE))</f>
        <v/>
      </c>
      <c r="O54" t="str">
        <f>IF(VLOOKUP($E54,TaskValues_ref!$E:$Z,16,FALSE)=0,"",VLOOKUP($E54,TaskValues_ref!$E:$Z,16,FALSE))</f>
        <v/>
      </c>
      <c r="P54" t="str">
        <f>IF(VLOOKUP($E54,TaskValues_ref!$E:$Z,17,FALSE)=0,"",VLOOKUP($E54,TaskValues_ref!$E:$Z,17,FALSE))</f>
        <v/>
      </c>
      <c r="Q54" t="str">
        <f>IF(VLOOKUP($E54,TaskValues_ref!$E:$Z,18,FALSE)=0,"",VLOOKUP($E54,TaskValues_ref!$E:$Z,18,FALSE))</f>
        <v/>
      </c>
      <c r="R54" t="str">
        <f>IF(VLOOKUP($E54,TaskValues_ref!$E:$Z,19,FALSE)=0,"",VLOOKUP($E54,TaskValues_ref!$E:$Z,19,FALSE))</f>
        <v/>
      </c>
      <c r="S54" t="str">
        <f>IF(VLOOKUP($E54,TaskValues_ref!$E:$Z,20,FALSE)=0,"",VLOOKUP($E54,TaskValues_ref!$E:$Z,20,FALSE))</f>
        <v/>
      </c>
    </row>
    <row r="55" spans="1:19" x14ac:dyDescent="0.45">
      <c r="A55" t="s">
        <v>2163</v>
      </c>
      <c r="B55" s="66" t="s">
        <v>70</v>
      </c>
      <c r="D55" s="66">
        <v>78</v>
      </c>
      <c r="E55" s="64" t="s">
        <v>2680</v>
      </c>
      <c r="F55" t="str">
        <f>VLOOKUP(E55,TaskValues_ref!E:F,2,FALSE)</f>
        <v>Multisectoral nutrition intervention</v>
      </c>
      <c r="G55" t="str">
        <f>VLOOKUP($E55,TaskValues_ref!$E:$Z,3,FALSE)</f>
        <v>Non-clinical</v>
      </c>
      <c r="H55" t="str">
        <f>VLOOKUP($E55,TaskValues_ref!$E:$Z,4,FALSE)</f>
        <v>Public Health</v>
      </c>
      <c r="I55" t="str">
        <f>VLOOKUP($E55,TaskValues_ref!$E:$Z,5,FALSE)</f>
        <v>Nutrition</v>
      </c>
      <c r="J55" s="257" t="str">
        <f>VLOOKUP($E55,TaskValues_ref!$E:$Z,6,FALSE)</f>
        <v>-</v>
      </c>
      <c r="K55" t="str">
        <f>VLOOKUP($E55,TaskValues_ref!$E:$Z,10,FALSE)</f>
        <v>Amhara</v>
      </c>
      <c r="L55" s="195" t="str">
        <f>IF(VLOOKUP($E55,TaskValues_ref!$E:$Z,11,FALSE)=0,"",VLOOKUP($E55,TaskValues_ref!$E:$Z,11,FALSE))</f>
        <v/>
      </c>
      <c r="M55" t="str">
        <f>IF(VLOOKUP($E55,TaskValues_ref!$E:$Z,13,FALSE)=0,"",VLOOKUP($E55,TaskValues_ref!$E:$Z,13,FALSE))</f>
        <v/>
      </c>
      <c r="N55" s="89" t="str">
        <f>IF(VLOOKUP($E55,TaskValues_ref!$E:$Z,15,FALSE)=0,"",VLOOKUP($E55,TaskValues_ref!$E:$Z,15,FALSE))</f>
        <v/>
      </c>
      <c r="O55" t="str">
        <f>IF(VLOOKUP($E55,TaskValues_ref!$E:$Z,16,FALSE)=0,"",VLOOKUP($E55,TaskValues_ref!$E:$Z,16,FALSE))</f>
        <v/>
      </c>
      <c r="P55" t="str">
        <f>IF(VLOOKUP($E55,TaskValues_ref!$E:$Z,17,FALSE)=0,"",VLOOKUP($E55,TaskValues_ref!$E:$Z,17,FALSE))</f>
        <v/>
      </c>
      <c r="Q55" t="str">
        <f>IF(VLOOKUP($E55,TaskValues_ref!$E:$Z,18,FALSE)=0,"",VLOOKUP($E55,TaskValues_ref!$E:$Z,18,FALSE))</f>
        <v/>
      </c>
      <c r="R55" t="str">
        <f>IF(VLOOKUP($E55,TaskValues_ref!$E:$Z,19,FALSE)=0,"",VLOOKUP($E55,TaskValues_ref!$E:$Z,19,FALSE))</f>
        <v/>
      </c>
      <c r="S55" t="str">
        <f>IF(VLOOKUP($E55,TaskValues_ref!$E:$Z,20,FALSE)=0,"",VLOOKUP($E55,TaskValues_ref!$E:$Z,20,FALSE))</f>
        <v/>
      </c>
    </row>
    <row r="56" spans="1:19" x14ac:dyDescent="0.45">
      <c r="A56" t="s">
        <v>2163</v>
      </c>
      <c r="B56" s="66" t="s">
        <v>70</v>
      </c>
      <c r="D56" s="66">
        <v>79</v>
      </c>
      <c r="E56" s="64" t="s">
        <v>2681</v>
      </c>
      <c r="F56" t="str">
        <f>VLOOKUP(E56,TaskValues_ref!E:F,2,FALSE)</f>
        <v>Breast feeding technique</v>
      </c>
      <c r="G56" t="str">
        <f>VLOOKUP($E56,TaskValues_ref!$E:$Z,3,FALSE)</f>
        <v>Clinical</v>
      </c>
      <c r="H56" t="str">
        <f>VLOOKUP($E56,TaskValues_ref!$E:$Z,4,FALSE)</f>
        <v>Preventive</v>
      </c>
      <c r="I56" t="str">
        <f>VLOOKUP($E56,TaskValues_ref!$E:$Z,5,FALSE)</f>
        <v>Nutrition</v>
      </c>
      <c r="J56" s="257" t="str">
        <f>VLOOKUP($E56,TaskValues_ref!$E:$Z,6,FALSE)</f>
        <v>births</v>
      </c>
      <c r="K56" t="str">
        <f>VLOOKUP($E56,TaskValues_ref!$E:$Z,10,FALSE)</f>
        <v>Amhara</v>
      </c>
      <c r="L56" s="195" t="str">
        <f>IF(VLOOKUP($E56,TaskValues_ref!$E:$Z,11,FALSE)=0,"",VLOOKUP($E56,TaskValues_ref!$E:$Z,11,FALSE))</f>
        <v/>
      </c>
      <c r="M56" t="str">
        <f>IF(VLOOKUP($E56,TaskValues_ref!$E:$Z,13,FALSE)=0,"",VLOOKUP($E56,TaskValues_ref!$E:$Z,13,FALSE))</f>
        <v/>
      </c>
      <c r="N56" s="89" t="str">
        <f>IF(VLOOKUP($E56,TaskValues_ref!$E:$Z,15,FALSE)=0,"",VLOOKUP($E56,TaskValues_ref!$E:$Z,15,FALSE))</f>
        <v/>
      </c>
      <c r="O56" t="str">
        <f>IF(VLOOKUP($E56,TaskValues_ref!$E:$Z,16,FALSE)=0,"",VLOOKUP($E56,TaskValues_ref!$E:$Z,16,FALSE))</f>
        <v/>
      </c>
      <c r="P56" t="str">
        <f>IF(VLOOKUP($E56,TaskValues_ref!$E:$Z,17,FALSE)=0,"",VLOOKUP($E56,TaskValues_ref!$E:$Z,17,FALSE))</f>
        <v/>
      </c>
      <c r="Q56" t="str">
        <f>IF(VLOOKUP($E56,TaskValues_ref!$E:$Z,18,FALSE)=0,"",VLOOKUP($E56,TaskValues_ref!$E:$Z,18,FALSE))</f>
        <v/>
      </c>
      <c r="R56" t="str">
        <f>IF(VLOOKUP($E56,TaskValues_ref!$E:$Z,19,FALSE)=0,"",VLOOKUP($E56,TaskValues_ref!$E:$Z,19,FALSE))</f>
        <v/>
      </c>
      <c r="S56" t="str">
        <f>IF(VLOOKUP($E56,TaskValues_ref!$E:$Z,20,FALSE)=0,"",VLOOKUP($E56,TaskValues_ref!$E:$Z,20,FALSE))</f>
        <v/>
      </c>
    </row>
    <row r="57" spans="1:19" x14ac:dyDescent="0.45">
      <c r="A57" t="s">
        <v>2163</v>
      </c>
      <c r="B57" s="66" t="s">
        <v>70</v>
      </c>
      <c r="D57" s="66">
        <v>80</v>
      </c>
      <c r="E57" s="64" t="s">
        <v>2682</v>
      </c>
      <c r="F57" t="str">
        <f>VLOOKUP(E57,TaskValues_ref!E:F,2,FALSE)</f>
        <v>Acute malnutrition</v>
      </c>
      <c r="G57" t="str">
        <f>VLOOKUP($E57,TaskValues_ref!$E:$Z,3,FALSE)</f>
        <v>Clinical</v>
      </c>
      <c r="H57" t="str">
        <f>VLOOKUP($E57,TaskValues_ref!$E:$Z,4,FALSE)</f>
        <v>Acute</v>
      </c>
      <c r="I57" t="str">
        <f>VLOOKUP($E57,TaskValues_ref!$E:$Z,5,FALSE)</f>
        <v>Nutrition</v>
      </c>
      <c r="J57" s="257" t="str">
        <f>VLOOKUP($E57,TaskValues_ref!$E:$Z,6,FALSE)</f>
        <v>1-4</v>
      </c>
      <c r="K57" t="str">
        <f>VLOOKUP($E57,TaskValues_ref!$E:$Z,10,FALSE)</f>
        <v>Amhara</v>
      </c>
      <c r="L57" s="195" t="str">
        <f>IF(VLOOKUP($E57,TaskValues_ref!$E:$Z,11,FALSE)=0,"",VLOOKUP($E57,TaskValues_ref!$E:$Z,11,FALSE))</f>
        <v/>
      </c>
      <c r="M57" t="str">
        <f>IF(VLOOKUP($E57,TaskValues_ref!$E:$Z,13,FALSE)=0,"",VLOOKUP($E57,TaskValues_ref!$E:$Z,13,FALSE))</f>
        <v/>
      </c>
      <c r="N57" s="89" t="str">
        <f>IF(VLOOKUP($E57,TaskValues_ref!$E:$Z,15,FALSE)=0,"",VLOOKUP($E57,TaskValues_ref!$E:$Z,15,FALSE))</f>
        <v/>
      </c>
      <c r="O57" t="str">
        <f>IF(VLOOKUP($E57,TaskValues_ref!$E:$Z,16,FALSE)=0,"",VLOOKUP($E57,TaskValues_ref!$E:$Z,16,FALSE))</f>
        <v/>
      </c>
      <c r="P57" t="str">
        <f>IF(VLOOKUP($E57,TaskValues_ref!$E:$Z,17,FALSE)=0,"",VLOOKUP($E57,TaskValues_ref!$E:$Z,17,FALSE))</f>
        <v/>
      </c>
      <c r="Q57" t="str">
        <f>IF(VLOOKUP($E57,TaskValues_ref!$E:$Z,18,FALSE)=0,"",VLOOKUP($E57,TaskValues_ref!$E:$Z,18,FALSE))</f>
        <v/>
      </c>
      <c r="R57" t="str">
        <f>IF(VLOOKUP($E57,TaskValues_ref!$E:$Z,19,FALSE)=0,"",VLOOKUP($E57,TaskValues_ref!$E:$Z,19,FALSE))</f>
        <v/>
      </c>
      <c r="S57" t="str">
        <f>IF(VLOOKUP($E57,TaskValues_ref!$E:$Z,20,FALSE)=0,"",VLOOKUP($E57,TaskValues_ref!$E:$Z,20,FALSE))</f>
        <v/>
      </c>
    </row>
    <row r="58" spans="1:19" x14ac:dyDescent="0.45">
      <c r="A58" t="s">
        <v>2163</v>
      </c>
      <c r="B58" s="66" t="s">
        <v>70</v>
      </c>
      <c r="D58" s="66">
        <v>81</v>
      </c>
      <c r="E58" s="64" t="s">
        <v>2683</v>
      </c>
      <c r="F58" t="str">
        <f>VLOOKUP(E58,TaskValues_ref!E:F,2,FALSE)</f>
        <v>Counsel complementary feeding</v>
      </c>
      <c r="G58" t="str">
        <f>VLOOKUP($E58,TaskValues_ref!$E:$Z,3,FALSE)</f>
        <v>Clinical</v>
      </c>
      <c r="H58" t="str">
        <f>VLOOKUP($E58,TaskValues_ref!$E:$Z,4,FALSE)</f>
        <v>Public Health</v>
      </c>
      <c r="I58" t="str">
        <f>VLOOKUP($E58,TaskValues_ref!$E:$Z,5,FALSE)</f>
        <v>Nutrition</v>
      </c>
      <c r="J58" s="257" t="str">
        <f>VLOOKUP($E58,TaskValues_ref!$E:$Z,6,FALSE)</f>
        <v>births</v>
      </c>
      <c r="K58" t="str">
        <f>VLOOKUP($E58,TaskValues_ref!$E:$Z,10,FALSE)</f>
        <v>Amhara</v>
      </c>
      <c r="L58" s="195" t="str">
        <f>IF(VLOOKUP($E58,TaskValues_ref!$E:$Z,11,FALSE)=0,"",VLOOKUP($E58,TaskValues_ref!$E:$Z,11,FALSE))</f>
        <v/>
      </c>
      <c r="M58" t="str">
        <f>IF(VLOOKUP($E58,TaskValues_ref!$E:$Z,13,FALSE)=0,"",VLOOKUP($E58,TaskValues_ref!$E:$Z,13,FALSE))</f>
        <v/>
      </c>
      <c r="N58" s="89" t="str">
        <f>IF(VLOOKUP($E58,TaskValues_ref!$E:$Z,15,FALSE)=0,"",VLOOKUP($E58,TaskValues_ref!$E:$Z,15,FALSE))</f>
        <v/>
      </c>
      <c r="O58" t="str">
        <f>IF(VLOOKUP($E58,TaskValues_ref!$E:$Z,16,FALSE)=0,"",VLOOKUP($E58,TaskValues_ref!$E:$Z,16,FALSE))</f>
        <v/>
      </c>
      <c r="P58" t="str">
        <f>IF(VLOOKUP($E58,TaskValues_ref!$E:$Z,17,FALSE)=0,"",VLOOKUP($E58,TaskValues_ref!$E:$Z,17,FALSE))</f>
        <v/>
      </c>
      <c r="Q58" t="str">
        <f>IF(VLOOKUP($E58,TaskValues_ref!$E:$Z,18,FALSE)=0,"",VLOOKUP($E58,TaskValues_ref!$E:$Z,18,FALSE))</f>
        <v/>
      </c>
      <c r="R58" t="str">
        <f>IF(VLOOKUP($E58,TaskValues_ref!$E:$Z,19,FALSE)=0,"",VLOOKUP($E58,TaskValues_ref!$E:$Z,19,FALSE))</f>
        <v/>
      </c>
      <c r="S58" t="str">
        <f>IF(VLOOKUP($E58,TaskValues_ref!$E:$Z,20,FALSE)=0,"",VLOOKUP($E58,TaskValues_ref!$E:$Z,20,FALSE))</f>
        <v/>
      </c>
    </row>
    <row r="59" spans="1:19" x14ac:dyDescent="0.45">
      <c r="A59" t="s">
        <v>2163</v>
      </c>
      <c r="B59" s="66" t="s">
        <v>70</v>
      </c>
      <c r="D59" s="66">
        <v>82</v>
      </c>
      <c r="E59" s="64" t="s">
        <v>2684</v>
      </c>
      <c r="F59" t="str">
        <f>VLOOKUP(E59,TaskValues_ref!E:F,2,FALSE)</f>
        <v>Timely complementary feeding</v>
      </c>
      <c r="G59" t="str">
        <f>VLOOKUP($E59,TaskValues_ref!$E:$Z,3,FALSE)</f>
        <v>Clinical</v>
      </c>
      <c r="H59" t="str">
        <f>VLOOKUP($E59,TaskValues_ref!$E:$Z,4,FALSE)</f>
        <v>Public Health</v>
      </c>
      <c r="I59" t="str">
        <f>VLOOKUP($E59,TaskValues_ref!$E:$Z,5,FALSE)</f>
        <v>Nutrition</v>
      </c>
      <c r="J59" s="257" t="str">
        <f>VLOOKUP($E59,TaskValues_ref!$E:$Z,6,FALSE)</f>
        <v>births</v>
      </c>
      <c r="K59" t="str">
        <f>VLOOKUP($E59,TaskValues_ref!$E:$Z,10,FALSE)</f>
        <v>Amhara</v>
      </c>
      <c r="L59" s="195" t="str">
        <f>IF(VLOOKUP($E59,TaskValues_ref!$E:$Z,11,FALSE)=0,"",VLOOKUP($E59,TaskValues_ref!$E:$Z,11,FALSE))</f>
        <v/>
      </c>
      <c r="M59" t="str">
        <f>IF(VLOOKUP($E59,TaskValues_ref!$E:$Z,13,FALSE)=0,"",VLOOKUP($E59,TaskValues_ref!$E:$Z,13,FALSE))</f>
        <v/>
      </c>
      <c r="N59" s="89" t="str">
        <f>IF(VLOOKUP($E59,TaskValues_ref!$E:$Z,15,FALSE)=0,"",VLOOKUP($E59,TaskValues_ref!$E:$Z,15,FALSE))</f>
        <v/>
      </c>
      <c r="O59" t="str">
        <f>IF(VLOOKUP($E59,TaskValues_ref!$E:$Z,16,FALSE)=0,"",VLOOKUP($E59,TaskValues_ref!$E:$Z,16,FALSE))</f>
        <v/>
      </c>
      <c r="P59" t="str">
        <f>IF(VLOOKUP($E59,TaskValues_ref!$E:$Z,17,FALSE)=0,"",VLOOKUP($E59,TaskValues_ref!$E:$Z,17,FALSE))</f>
        <v/>
      </c>
      <c r="Q59" t="str">
        <f>IF(VLOOKUP($E59,TaskValues_ref!$E:$Z,18,FALSE)=0,"",VLOOKUP($E59,TaskValues_ref!$E:$Z,18,FALSE))</f>
        <v/>
      </c>
      <c r="R59" t="str">
        <f>IF(VLOOKUP($E59,TaskValues_ref!$E:$Z,19,FALSE)=0,"",VLOOKUP($E59,TaskValues_ref!$E:$Z,19,FALSE))</f>
        <v/>
      </c>
      <c r="S59" t="str">
        <f>IF(VLOOKUP($E59,TaskValues_ref!$E:$Z,20,FALSE)=0,"",VLOOKUP($E59,TaskValues_ref!$E:$Z,20,FALSE))</f>
        <v/>
      </c>
    </row>
    <row r="60" spans="1:19" x14ac:dyDescent="0.45">
      <c r="A60" t="s">
        <v>2163</v>
      </c>
      <c r="B60" s="66" t="s">
        <v>70</v>
      </c>
      <c r="D60" s="66">
        <v>83</v>
      </c>
      <c r="E60" s="64" t="s">
        <v>2685</v>
      </c>
      <c r="F60" t="str">
        <f>VLOOKUP(E60,TaskValues_ref!E:F,2,FALSE)</f>
        <v>Promote BF until 24 months</v>
      </c>
      <c r="G60" t="str">
        <f>VLOOKUP($E60,TaskValues_ref!$E:$Z,3,FALSE)</f>
        <v>Clinical</v>
      </c>
      <c r="H60" t="str">
        <f>VLOOKUP($E60,TaskValues_ref!$E:$Z,4,FALSE)</f>
        <v>Public Health</v>
      </c>
      <c r="I60" t="str">
        <f>VLOOKUP($E60,TaskValues_ref!$E:$Z,5,FALSE)</f>
        <v>Nutrition</v>
      </c>
      <c r="J60" s="257" t="str">
        <f>VLOOKUP($E60,TaskValues_ref!$E:$Z,6,FALSE)</f>
        <v>births</v>
      </c>
      <c r="K60" t="str">
        <f>VLOOKUP($E60,TaskValues_ref!$E:$Z,10,FALSE)</f>
        <v>Amhara</v>
      </c>
      <c r="L60" s="195" t="str">
        <f>IF(VLOOKUP($E60,TaskValues_ref!$E:$Z,11,FALSE)=0,"",VLOOKUP($E60,TaskValues_ref!$E:$Z,11,FALSE))</f>
        <v/>
      </c>
      <c r="M60" t="str">
        <f>IF(VLOOKUP($E60,TaskValues_ref!$E:$Z,13,FALSE)=0,"",VLOOKUP($E60,TaskValues_ref!$E:$Z,13,FALSE))</f>
        <v/>
      </c>
      <c r="N60" s="89" t="str">
        <f>IF(VLOOKUP($E60,TaskValues_ref!$E:$Z,15,FALSE)=0,"",VLOOKUP($E60,TaskValues_ref!$E:$Z,15,FALSE))</f>
        <v/>
      </c>
      <c r="O60" t="str">
        <f>IF(VLOOKUP($E60,TaskValues_ref!$E:$Z,16,FALSE)=0,"",VLOOKUP($E60,TaskValues_ref!$E:$Z,16,FALSE))</f>
        <v/>
      </c>
      <c r="P60" t="str">
        <f>IF(VLOOKUP($E60,TaskValues_ref!$E:$Z,17,FALSE)=0,"",VLOOKUP($E60,TaskValues_ref!$E:$Z,17,FALSE))</f>
        <v/>
      </c>
      <c r="Q60" t="str">
        <f>IF(VLOOKUP($E60,TaskValues_ref!$E:$Z,18,FALSE)=0,"",VLOOKUP($E60,TaskValues_ref!$E:$Z,18,FALSE))</f>
        <v/>
      </c>
      <c r="R60" t="str">
        <f>IF(VLOOKUP($E60,TaskValues_ref!$E:$Z,19,FALSE)=0,"",VLOOKUP($E60,TaskValues_ref!$E:$Z,19,FALSE))</f>
        <v/>
      </c>
      <c r="S60" t="str">
        <f>IF(VLOOKUP($E60,TaskValues_ref!$E:$Z,20,FALSE)=0,"",VLOOKUP($E60,TaskValues_ref!$E:$Z,20,FALSE))</f>
        <v/>
      </c>
    </row>
    <row r="61" spans="1:19" x14ac:dyDescent="0.45">
      <c r="A61" t="s">
        <v>2163</v>
      </c>
      <c r="B61" s="66" t="s">
        <v>70</v>
      </c>
      <c r="D61" s="66">
        <v>84</v>
      </c>
      <c r="E61" s="64" t="s">
        <v>2686</v>
      </c>
      <c r="F61" t="str">
        <f>VLOOKUP(E61,TaskValues_ref!E:F,2,FALSE)</f>
        <v>Promote BF during child illness</v>
      </c>
      <c r="G61" t="str">
        <f>VLOOKUP($E61,TaskValues_ref!$E:$Z,3,FALSE)</f>
        <v>Clinical</v>
      </c>
      <c r="H61" t="str">
        <f>VLOOKUP($E61,TaskValues_ref!$E:$Z,4,FALSE)</f>
        <v>Public Health</v>
      </c>
      <c r="I61" t="str">
        <f>VLOOKUP($E61,TaskValues_ref!$E:$Z,5,FALSE)</f>
        <v>Nutrition</v>
      </c>
      <c r="J61" s="257" t="str">
        <f>VLOOKUP($E61,TaskValues_ref!$E:$Z,6,FALSE)</f>
        <v>births</v>
      </c>
      <c r="K61" t="str">
        <f>VLOOKUP($E61,TaskValues_ref!$E:$Z,10,FALSE)</f>
        <v>Amhara</v>
      </c>
      <c r="L61" s="195" t="str">
        <f>IF(VLOOKUP($E61,TaskValues_ref!$E:$Z,11,FALSE)=0,"",VLOOKUP($E61,TaskValues_ref!$E:$Z,11,FALSE))</f>
        <v/>
      </c>
      <c r="M61" t="str">
        <f>IF(VLOOKUP($E61,TaskValues_ref!$E:$Z,13,FALSE)=0,"",VLOOKUP($E61,TaskValues_ref!$E:$Z,13,FALSE))</f>
        <v/>
      </c>
      <c r="N61" s="89" t="str">
        <f>IF(VLOOKUP($E61,TaskValues_ref!$E:$Z,15,FALSE)=0,"",VLOOKUP($E61,TaskValues_ref!$E:$Z,15,FALSE))</f>
        <v/>
      </c>
      <c r="O61" t="str">
        <f>IF(VLOOKUP($E61,TaskValues_ref!$E:$Z,16,FALSE)=0,"",VLOOKUP($E61,TaskValues_ref!$E:$Z,16,FALSE))</f>
        <v/>
      </c>
      <c r="P61" t="str">
        <f>IF(VLOOKUP($E61,TaskValues_ref!$E:$Z,17,FALSE)=0,"",VLOOKUP($E61,TaskValues_ref!$E:$Z,17,FALSE))</f>
        <v/>
      </c>
      <c r="Q61" t="str">
        <f>IF(VLOOKUP($E61,TaskValues_ref!$E:$Z,18,FALSE)=0,"",VLOOKUP($E61,TaskValues_ref!$E:$Z,18,FALSE))</f>
        <v/>
      </c>
      <c r="R61" t="str">
        <f>IF(VLOOKUP($E61,TaskValues_ref!$E:$Z,19,FALSE)=0,"",VLOOKUP($E61,TaskValues_ref!$E:$Z,19,FALSE))</f>
        <v/>
      </c>
      <c r="S61" t="str">
        <f>IF(VLOOKUP($E61,TaskValues_ref!$E:$Z,20,FALSE)=0,"",VLOOKUP($E61,TaskValues_ref!$E:$Z,20,FALSE))</f>
        <v/>
      </c>
    </row>
    <row r="62" spans="1:19" x14ac:dyDescent="0.45">
      <c r="A62" t="s">
        <v>2163</v>
      </c>
      <c r="B62" s="66" t="s">
        <v>70</v>
      </c>
      <c r="D62" s="66">
        <v>85</v>
      </c>
      <c r="E62" s="64" t="s">
        <v>2687</v>
      </c>
      <c r="F62" t="str">
        <f>VLOOKUP(E62,TaskValues_ref!E:F,2,FALSE)</f>
        <v>Educate on complementary foods</v>
      </c>
      <c r="G62" t="str">
        <f>VLOOKUP($E62,TaskValues_ref!$E:$Z,3,FALSE)</f>
        <v>Non-clinical</v>
      </c>
      <c r="H62" t="str">
        <f>VLOOKUP($E62,TaskValues_ref!$E:$Z,4,FALSE)</f>
        <v>Public Health</v>
      </c>
      <c r="I62" t="str">
        <f>VLOOKUP($E62,TaskValues_ref!$E:$Z,5,FALSE)</f>
        <v>Nutrition</v>
      </c>
      <c r="J62" s="257" t="str">
        <f>VLOOKUP($E62,TaskValues_ref!$E:$Z,6,FALSE)</f>
        <v>-</v>
      </c>
      <c r="K62" t="str">
        <f>VLOOKUP($E62,TaskValues_ref!$E:$Z,10,FALSE)</f>
        <v>Amhara</v>
      </c>
      <c r="L62" s="195" t="str">
        <f>IF(VLOOKUP($E62,TaskValues_ref!$E:$Z,11,FALSE)=0,"",VLOOKUP($E62,TaskValues_ref!$E:$Z,11,FALSE))</f>
        <v/>
      </c>
      <c r="M62" t="str">
        <f>IF(VLOOKUP($E62,TaskValues_ref!$E:$Z,13,FALSE)=0,"",VLOOKUP($E62,TaskValues_ref!$E:$Z,13,FALSE))</f>
        <v/>
      </c>
      <c r="N62" s="89" t="str">
        <f>IF(VLOOKUP($E62,TaskValues_ref!$E:$Z,15,FALSE)=0,"",VLOOKUP($E62,TaskValues_ref!$E:$Z,15,FALSE))</f>
        <v/>
      </c>
      <c r="O62" t="str">
        <f>IF(VLOOKUP($E62,TaskValues_ref!$E:$Z,16,FALSE)=0,"",VLOOKUP($E62,TaskValues_ref!$E:$Z,16,FALSE))</f>
        <v/>
      </c>
      <c r="P62" t="str">
        <f>IF(VLOOKUP($E62,TaskValues_ref!$E:$Z,17,FALSE)=0,"",VLOOKUP($E62,TaskValues_ref!$E:$Z,17,FALSE))</f>
        <v/>
      </c>
      <c r="Q62" t="str">
        <f>IF(VLOOKUP($E62,TaskValues_ref!$E:$Z,18,FALSE)=0,"",VLOOKUP($E62,TaskValues_ref!$E:$Z,18,FALSE))</f>
        <v/>
      </c>
      <c r="R62" t="str">
        <f>IF(VLOOKUP($E62,TaskValues_ref!$E:$Z,19,FALSE)=0,"",VLOOKUP($E62,TaskValues_ref!$E:$Z,19,FALSE))</f>
        <v/>
      </c>
      <c r="S62" t="str">
        <f>IF(VLOOKUP($E62,TaskValues_ref!$E:$Z,20,FALSE)=0,"",VLOOKUP($E62,TaskValues_ref!$E:$Z,20,FALSE))</f>
        <v/>
      </c>
    </row>
    <row r="63" spans="1:19" x14ac:dyDescent="0.45">
      <c r="A63" t="s">
        <v>2163</v>
      </c>
      <c r="B63" s="66" t="s">
        <v>70</v>
      </c>
      <c r="D63" s="66">
        <v>86</v>
      </c>
      <c r="E63" s="64" t="s">
        <v>2688</v>
      </c>
      <c r="F63" t="str">
        <f>VLOOKUP(E63,TaskValues_ref!E:F,2,FALSE)</f>
        <v>Nutrition education for children</v>
      </c>
      <c r="G63" t="str">
        <f>VLOOKUP($E63,TaskValues_ref!$E:$Z,3,FALSE)</f>
        <v>Non-clinical</v>
      </c>
      <c r="H63" t="str">
        <f>VLOOKUP($E63,TaskValues_ref!$E:$Z,4,FALSE)</f>
        <v>Public Health</v>
      </c>
      <c r="I63" t="str">
        <f>VLOOKUP($E63,TaskValues_ref!$E:$Z,5,FALSE)</f>
        <v>Nutrition</v>
      </c>
      <c r="J63" s="257" t="str">
        <f>VLOOKUP($E63,TaskValues_ref!$E:$Z,6,FALSE)</f>
        <v>-</v>
      </c>
      <c r="K63" t="str">
        <f>VLOOKUP($E63,TaskValues_ref!$E:$Z,10,FALSE)</f>
        <v>Amhara</v>
      </c>
      <c r="L63" s="195" t="str">
        <f>IF(VLOOKUP($E63,TaskValues_ref!$E:$Z,11,FALSE)=0,"",VLOOKUP($E63,TaskValues_ref!$E:$Z,11,FALSE))</f>
        <v/>
      </c>
      <c r="M63" t="str">
        <f>IF(VLOOKUP($E63,TaskValues_ref!$E:$Z,13,FALSE)=0,"",VLOOKUP($E63,TaskValues_ref!$E:$Z,13,FALSE))</f>
        <v/>
      </c>
      <c r="N63" s="89" t="str">
        <f>IF(VLOOKUP($E63,TaskValues_ref!$E:$Z,15,FALSE)=0,"",VLOOKUP($E63,TaskValues_ref!$E:$Z,15,FALSE))</f>
        <v/>
      </c>
      <c r="O63" t="str">
        <f>IF(VLOOKUP($E63,TaskValues_ref!$E:$Z,16,FALSE)=0,"",VLOOKUP($E63,TaskValues_ref!$E:$Z,16,FALSE))</f>
        <v/>
      </c>
      <c r="P63" t="str">
        <f>IF(VLOOKUP($E63,TaskValues_ref!$E:$Z,17,FALSE)=0,"",VLOOKUP($E63,TaskValues_ref!$E:$Z,17,FALSE))</f>
        <v/>
      </c>
      <c r="Q63" t="str">
        <f>IF(VLOOKUP($E63,TaskValues_ref!$E:$Z,18,FALSE)=0,"",VLOOKUP($E63,TaskValues_ref!$E:$Z,18,FALSE))</f>
        <v/>
      </c>
      <c r="R63" t="str">
        <f>IF(VLOOKUP($E63,TaskValues_ref!$E:$Z,19,FALSE)=0,"",VLOOKUP($E63,TaskValues_ref!$E:$Z,19,FALSE))</f>
        <v/>
      </c>
      <c r="S63" t="str">
        <f>IF(VLOOKUP($E63,TaskValues_ref!$E:$Z,20,FALSE)=0,"",VLOOKUP($E63,TaskValues_ref!$E:$Z,20,FALSE))</f>
        <v/>
      </c>
    </row>
    <row r="64" spans="1:19" x14ac:dyDescent="0.45">
      <c r="A64" s="66" t="s">
        <v>2337</v>
      </c>
      <c r="B64" s="66" t="s">
        <v>2335</v>
      </c>
      <c r="C64" s="66" t="s">
        <v>2336</v>
      </c>
      <c r="D64" s="66">
        <v>95</v>
      </c>
      <c r="E64" s="64" t="s">
        <v>2690</v>
      </c>
      <c r="F64" t="str">
        <f>VLOOKUP(E64,TaskValues_ref!E:F,2,FALSE)</f>
        <v>Risk reduction</v>
      </c>
      <c r="G64" t="str">
        <f>VLOOKUP($E64,TaskValues_ref!$E:$Z,3,FALSE)</f>
        <v>Clinical</v>
      </c>
      <c r="H64" t="str">
        <f>VLOOKUP($E64,TaskValues_ref!$E:$Z,4,FALSE)</f>
        <v>Public Health</v>
      </c>
      <c r="I64" t="str">
        <f>VLOOKUP($E64,TaskValues_ref!$E:$Z,5,FALSE)</f>
        <v>Sexual health</v>
      </c>
      <c r="J64" s="257" t="str">
        <f>VLOOKUP($E64,TaskValues_ref!$E:$Z,6,FALSE)</f>
        <v>adults 18+</v>
      </c>
      <c r="K64" t="str">
        <f>VLOOKUP($E64,TaskValues_ref!$E:$Z,10,FALSE)</f>
        <v>Amhara</v>
      </c>
      <c r="L64" s="195">
        <f>IF(VLOOKUP($E64,TaskValues_ref!$E:$Z,11,FALSE)=0,"",VLOOKUP($E64,TaskValues_ref!$E:$Z,11,FALSE))</f>
        <v>2.0927000000000001E-4</v>
      </c>
      <c r="M64" t="str">
        <f>IF(VLOOKUP($E64,TaskValues_ref!$E:$Z,13,FALSE)=0,"",VLOOKUP($E64,TaskValues_ref!$E:$Z,13,FALSE))</f>
        <v/>
      </c>
      <c r="N64" s="89">
        <f>IF(VLOOKUP($E64,TaskValues_ref!$E:$Z,15,FALSE)=0,"",VLOOKUP($E64,TaskValues_ref!$E:$Z,15,FALSE))</f>
        <v>0.90986310592664843</v>
      </c>
      <c r="O64" t="str">
        <f>IF(VLOOKUP($E64,TaskValues_ref!$E:$Z,16,FALSE)=0,"",VLOOKUP($E64,TaskValues_ref!$E:$Z,16,FALSE))</f>
        <v/>
      </c>
      <c r="P64">
        <f>IF(VLOOKUP($E64,TaskValues_ref!$E:$Z,17,FALSE)=0,"",VLOOKUP($E64,TaskValues_ref!$E:$Z,17,FALSE))</f>
        <v>1</v>
      </c>
      <c r="Q64">
        <f>IF(VLOOKUP($E64,TaskValues_ref!$E:$Z,18,FALSE)=0,"",VLOOKUP($E64,TaskValues_ref!$E:$Z,18,FALSE))</f>
        <v>5</v>
      </c>
      <c r="R64" t="str">
        <f>IF(VLOOKUP($E64,TaskValues_ref!$E:$Z,19,FALSE)=0,"",VLOOKUP($E64,TaskValues_ref!$E:$Z,19,FALSE))</f>
        <v/>
      </c>
      <c r="S64" t="str">
        <f>IF(VLOOKUP($E64,TaskValues_ref!$E:$Z,20,FALSE)=0,"",VLOOKUP($E64,TaskValues_ref!$E:$Z,20,FALSE))</f>
        <v/>
      </c>
    </row>
    <row r="65" spans="1:19" x14ac:dyDescent="0.45">
      <c r="A65" s="66" t="s">
        <v>2337</v>
      </c>
      <c r="B65" s="66" t="s">
        <v>2335</v>
      </c>
      <c r="C65" s="66" t="s">
        <v>2336</v>
      </c>
      <c r="D65" s="66">
        <v>99</v>
      </c>
      <c r="E65" s="64" t="s">
        <v>2694</v>
      </c>
      <c r="F65" t="str">
        <f>VLOOKUP(E65,TaskValues_ref!E:F,2,FALSE)</f>
        <v>HIV linkages</v>
      </c>
      <c r="G65" t="str">
        <f>VLOOKUP($E65,TaskValues_ref!$E:$Z,3,FALSE)</f>
        <v>Clinical</v>
      </c>
      <c r="H65" t="str">
        <f>VLOOKUP($E65,TaskValues_ref!$E:$Z,4,FALSE)</f>
        <v>Acute</v>
      </c>
      <c r="I65" t="str">
        <f>VLOOKUP($E65,TaskValues_ref!$E:$Z,5,FALSE)</f>
        <v>HIV</v>
      </c>
      <c r="J65" s="257" t="str">
        <f>VLOOKUP($E65,TaskValues_ref!$E:$Z,6,FALSE)</f>
        <v>adults 18+</v>
      </c>
      <c r="K65" t="str">
        <f>VLOOKUP($E65,TaskValues_ref!$E:$Z,10,FALSE)</f>
        <v>Amhara</v>
      </c>
      <c r="L65" s="195">
        <f>IF(VLOOKUP($E65,TaskValues_ref!$E:$Z,11,FALSE)=0,"",VLOOKUP($E65,TaskValues_ref!$E:$Z,11,FALSE))</f>
        <v>2.0927000000000001E-4</v>
      </c>
      <c r="M65" t="str">
        <f>IF(VLOOKUP($E65,TaskValues_ref!$E:$Z,13,FALSE)=0,"",VLOOKUP($E65,TaskValues_ref!$E:$Z,13,FALSE))</f>
        <v/>
      </c>
      <c r="N65" s="89">
        <f>IF(VLOOKUP($E65,TaskValues_ref!$E:$Z,15,FALSE)=0,"",VLOOKUP($E65,TaskValues_ref!$E:$Z,15,FALSE))</f>
        <v>0.90986310592664843</v>
      </c>
      <c r="O65">
        <f>IF(VLOOKUP($E65,TaskValues_ref!$E:$Z,16,FALSE)=0,"",VLOOKUP($E65,TaskValues_ref!$E:$Z,16,FALSE))</f>
        <v>1</v>
      </c>
      <c r="P65" t="str">
        <f>IF(VLOOKUP($E65,TaskValues_ref!$E:$Z,17,FALSE)=0,"",VLOOKUP($E65,TaskValues_ref!$E:$Z,17,FALSE))</f>
        <v/>
      </c>
      <c r="Q65">
        <f>IF(VLOOKUP($E65,TaskValues_ref!$E:$Z,18,FALSE)=0,"",VLOOKUP($E65,TaskValues_ref!$E:$Z,18,FALSE))</f>
        <v>15</v>
      </c>
      <c r="R65" t="str">
        <f>IF(VLOOKUP($E65,TaskValues_ref!$E:$Z,19,FALSE)=0,"",VLOOKUP($E65,TaskValues_ref!$E:$Z,19,FALSE))</f>
        <v/>
      </c>
      <c r="S65" t="str">
        <f>IF(VLOOKUP($E65,TaskValues_ref!$E:$Z,20,FALSE)=0,"",VLOOKUP($E65,TaskValues_ref!$E:$Z,20,FALSE))</f>
        <v/>
      </c>
    </row>
    <row r="66" spans="1:19" x14ac:dyDescent="0.45">
      <c r="A66" s="66" t="s">
        <v>2337</v>
      </c>
      <c r="B66" s="66" t="s">
        <v>2335</v>
      </c>
      <c r="C66" s="66" t="s">
        <v>69</v>
      </c>
      <c r="D66" s="66">
        <v>102</v>
      </c>
      <c r="E66" s="64" t="s">
        <v>2697</v>
      </c>
      <c r="F66" t="str">
        <f>VLOOKUP(E66,TaskValues_ref!E:F,2,FALSE)</f>
        <v>Vector control</v>
      </c>
      <c r="G66" t="str">
        <f>VLOOKUP($E66,TaskValues_ref!$E:$Z,3,FALSE)</f>
        <v>Non-clinical</v>
      </c>
      <c r="H66" t="str">
        <f>VLOOKUP($E66,TaskValues_ref!$E:$Z,4,FALSE)</f>
        <v>Public Health</v>
      </c>
      <c r="I66" t="str">
        <f>VLOOKUP($E66,TaskValues_ref!$E:$Z,5,FALSE)</f>
        <v>Malaria</v>
      </c>
      <c r="J66" s="257" t="str">
        <f>VLOOKUP($E66,TaskValues_ref!$E:$Z,6,FALSE)</f>
        <v>all</v>
      </c>
      <c r="K66" t="str">
        <f>VLOOKUP($E66,TaskValues_ref!$E:$Z,10,FALSE)</f>
        <v>Amhara</v>
      </c>
      <c r="L66" s="195">
        <f>IF(VLOOKUP($E66,TaskValues_ref!$E:$Z,11,FALSE)=0,"",VLOOKUP($E66,TaskValues_ref!$E:$Z,11,FALSE))</f>
        <v>0.25</v>
      </c>
      <c r="M66" t="str">
        <f>IF(VLOOKUP($E66,TaskValues_ref!$E:$Z,13,FALSE)=0,"",VLOOKUP($E66,TaskValues_ref!$E:$Z,13,FALSE))</f>
        <v/>
      </c>
      <c r="N66" s="89" t="str">
        <f>IF(VLOOKUP($E66,TaskValues_ref!$E:$Z,15,FALSE)=0,"",VLOOKUP($E66,TaskValues_ref!$E:$Z,15,FALSE))</f>
        <v/>
      </c>
      <c r="O66" t="str">
        <f>IF(VLOOKUP($E66,TaskValues_ref!$E:$Z,16,FALSE)=0,"",VLOOKUP($E66,TaskValues_ref!$E:$Z,16,FALSE))</f>
        <v/>
      </c>
      <c r="P66">
        <f>IF(VLOOKUP($E66,TaskValues_ref!$E:$Z,17,FALSE)=0,"",VLOOKUP($E66,TaskValues_ref!$E:$Z,17,FALSE))</f>
        <v>1</v>
      </c>
      <c r="Q66">
        <f>IF(VLOOKUP($E66,TaskValues_ref!$E:$Z,18,FALSE)=0,"",VLOOKUP($E66,TaskValues_ref!$E:$Z,18,FALSE))</f>
        <v>5</v>
      </c>
      <c r="R66" t="str">
        <f>IF(VLOOKUP($E66,TaskValues_ref!$E:$Z,19,FALSE)=0,"",VLOOKUP($E66,TaskValues_ref!$E:$Z,19,FALSE))</f>
        <v/>
      </c>
      <c r="S66" t="str">
        <f>IF(VLOOKUP($E66,TaskValues_ref!$E:$Z,20,FALSE)=0,"",VLOOKUP($E66,TaskValues_ref!$E:$Z,20,FALSE))</f>
        <v/>
      </c>
    </row>
    <row r="67" spans="1:19" x14ac:dyDescent="0.45">
      <c r="A67" s="66" t="s">
        <v>2337</v>
      </c>
      <c r="B67" s="66" t="s">
        <v>2335</v>
      </c>
      <c r="C67" s="66" t="s">
        <v>69</v>
      </c>
      <c r="D67" s="66">
        <v>105</v>
      </c>
      <c r="E67" s="64" t="s">
        <v>2698</v>
      </c>
      <c r="F67" t="str">
        <f>VLOOKUP(E67,TaskValues_ref!E:F,2,FALSE)</f>
        <v>Malaria surveillance</v>
      </c>
      <c r="G67" t="str">
        <f>VLOOKUP($E67,TaskValues_ref!$E:$Z,3,FALSE)</f>
        <v>Non-productive</v>
      </c>
      <c r="H67" t="str">
        <f>VLOOKUP($E67,TaskValues_ref!$E:$Z,4,FALSE)</f>
        <v>Public Health</v>
      </c>
      <c r="I67" t="str">
        <f>VLOOKUP($E67,TaskValues_ref!$E:$Z,5,FALSE)</f>
        <v>Malaria</v>
      </c>
      <c r="J67" s="257" t="str">
        <f>VLOOKUP($E67,TaskValues_ref!$E:$Z,6,FALSE)</f>
        <v>-</v>
      </c>
      <c r="K67" t="str">
        <f>VLOOKUP($E67,TaskValues_ref!$E:$Z,10,FALSE)</f>
        <v>Amhara</v>
      </c>
      <c r="L67" s="195" t="str">
        <f>IF(VLOOKUP($E67,TaskValues_ref!$E:$Z,11,FALSE)=0,"",VLOOKUP($E67,TaskValues_ref!$E:$Z,11,FALSE))</f>
        <v/>
      </c>
      <c r="M67" t="str">
        <f>IF(VLOOKUP($E67,TaskValues_ref!$E:$Z,13,FALSE)=0,"",VLOOKUP($E67,TaskValues_ref!$E:$Z,13,FALSE))</f>
        <v/>
      </c>
      <c r="N67" s="89" t="str">
        <f>IF(VLOOKUP($E67,TaskValues_ref!$E:$Z,15,FALSE)=0,"",VLOOKUP($E67,TaskValues_ref!$E:$Z,15,FALSE))</f>
        <v/>
      </c>
      <c r="O67" t="str">
        <f>IF(VLOOKUP($E67,TaskValues_ref!$E:$Z,16,FALSE)=0,"",VLOOKUP($E67,TaskValues_ref!$E:$Z,16,FALSE))</f>
        <v/>
      </c>
      <c r="P67" t="str">
        <f>IF(VLOOKUP($E67,TaskValues_ref!$E:$Z,17,FALSE)=0,"",VLOOKUP($E67,TaskValues_ref!$E:$Z,17,FALSE))</f>
        <v/>
      </c>
      <c r="Q67" t="str">
        <f>IF(VLOOKUP($E67,TaskValues_ref!$E:$Z,18,FALSE)=0,"",VLOOKUP($E67,TaskValues_ref!$E:$Z,18,FALSE))</f>
        <v/>
      </c>
      <c r="R67" t="str">
        <f>IF(VLOOKUP($E67,TaskValues_ref!$E:$Z,19,FALSE)=0,"",VLOOKUP($E67,TaskValues_ref!$E:$Z,19,FALSE))</f>
        <v/>
      </c>
      <c r="S67" t="str">
        <f>IF(VLOOKUP($E67,TaskValues_ref!$E:$Z,20,FALSE)=0,"",VLOOKUP($E67,TaskValues_ref!$E:$Z,20,FALSE))</f>
        <v/>
      </c>
    </row>
    <row r="68" spans="1:19" x14ac:dyDescent="0.45">
      <c r="A68" s="66" t="s">
        <v>2337</v>
      </c>
      <c r="B68" s="66" t="s">
        <v>2335</v>
      </c>
      <c r="C68" s="66" t="s">
        <v>69</v>
      </c>
      <c r="D68" s="66">
        <v>106</v>
      </c>
      <c r="E68" s="64" t="s">
        <v>2699</v>
      </c>
      <c r="F68" t="str">
        <f>VLOOKUP(E68,TaskValues_ref!E:F,2,FALSE)</f>
        <v>Risk reduction</v>
      </c>
      <c r="G68" t="str">
        <f>VLOOKUP($E68,TaskValues_ref!$E:$Z,3,FALSE)</f>
        <v>Non-clinical</v>
      </c>
      <c r="H68" t="str">
        <f>VLOOKUP($E68,TaskValues_ref!$E:$Z,4,FALSE)</f>
        <v>Public Health</v>
      </c>
      <c r="I68" t="str">
        <f>VLOOKUP($E68,TaskValues_ref!$E:$Z,5,FALSE)</f>
        <v>Malaria</v>
      </c>
      <c r="J68" s="257" t="str">
        <f>VLOOKUP($E68,TaskValues_ref!$E:$Z,6,FALSE)</f>
        <v>-</v>
      </c>
      <c r="K68" t="str">
        <f>VLOOKUP($E68,TaskValues_ref!$E:$Z,10,FALSE)</f>
        <v>Amhara</v>
      </c>
      <c r="L68" s="195" t="str">
        <f>IF(VLOOKUP($E68,TaskValues_ref!$E:$Z,11,FALSE)=0,"",VLOOKUP($E68,TaskValues_ref!$E:$Z,11,FALSE))</f>
        <v/>
      </c>
      <c r="M68" t="str">
        <f>IF(VLOOKUP($E68,TaskValues_ref!$E:$Z,13,FALSE)=0,"",VLOOKUP($E68,TaskValues_ref!$E:$Z,13,FALSE))</f>
        <v/>
      </c>
      <c r="N68" s="89" t="str">
        <f>IF(VLOOKUP($E68,TaskValues_ref!$E:$Z,15,FALSE)=0,"",VLOOKUP($E68,TaskValues_ref!$E:$Z,15,FALSE))</f>
        <v/>
      </c>
      <c r="O68" t="str">
        <f>IF(VLOOKUP($E68,TaskValues_ref!$E:$Z,16,FALSE)=0,"",VLOOKUP($E68,TaskValues_ref!$E:$Z,16,FALSE))</f>
        <v/>
      </c>
      <c r="P68" t="str">
        <f>IF(VLOOKUP($E68,TaskValues_ref!$E:$Z,17,FALSE)=0,"",VLOOKUP($E68,TaskValues_ref!$E:$Z,17,FALSE))</f>
        <v/>
      </c>
      <c r="Q68" t="str">
        <f>IF(VLOOKUP($E68,TaskValues_ref!$E:$Z,18,FALSE)=0,"",VLOOKUP($E68,TaskValues_ref!$E:$Z,18,FALSE))</f>
        <v/>
      </c>
      <c r="R68" t="str">
        <f>IF(VLOOKUP($E68,TaskValues_ref!$E:$Z,19,FALSE)=0,"",VLOOKUP($E68,TaskValues_ref!$E:$Z,19,FALSE))</f>
        <v/>
      </c>
      <c r="S68" t="str">
        <f>IF(VLOOKUP($E68,TaskValues_ref!$E:$Z,20,FALSE)=0,"",VLOOKUP($E68,TaskValues_ref!$E:$Z,20,FALSE))</f>
        <v/>
      </c>
    </row>
    <row r="69" spans="1:19" x14ac:dyDescent="0.45">
      <c r="A69" s="66" t="s">
        <v>2337</v>
      </c>
      <c r="B69" s="66" t="s">
        <v>2335</v>
      </c>
      <c r="C69" s="66" t="s">
        <v>69</v>
      </c>
      <c r="D69" s="66">
        <v>107</v>
      </c>
      <c r="E69" s="64" t="s">
        <v>2700</v>
      </c>
      <c r="F69" t="str">
        <f>VLOOKUP(E69,TaskValues_ref!E:F,2,FALSE)</f>
        <v>Outbreak detection &amp; response</v>
      </c>
      <c r="G69" t="str">
        <f>VLOOKUP($E69,TaskValues_ref!$E:$Z,3,FALSE)</f>
        <v>Non-clinical</v>
      </c>
      <c r="H69" t="str">
        <f>VLOOKUP($E69,TaskValues_ref!$E:$Z,4,FALSE)</f>
        <v>Public Health</v>
      </c>
      <c r="I69" t="str">
        <f>VLOOKUP($E69,TaskValues_ref!$E:$Z,5,FALSE)</f>
        <v>Malaria</v>
      </c>
      <c r="J69" s="257" t="str">
        <f>VLOOKUP($E69,TaskValues_ref!$E:$Z,6,FALSE)</f>
        <v>-</v>
      </c>
      <c r="K69" t="str">
        <f>VLOOKUP($E69,TaskValues_ref!$E:$Z,10,FALSE)</f>
        <v>Amhara</v>
      </c>
      <c r="L69" s="195" t="str">
        <f>IF(VLOOKUP($E69,TaskValues_ref!$E:$Z,11,FALSE)=0,"",VLOOKUP($E69,TaskValues_ref!$E:$Z,11,FALSE))</f>
        <v/>
      </c>
      <c r="M69" t="str">
        <f>IF(VLOOKUP($E69,TaskValues_ref!$E:$Z,13,FALSE)=0,"",VLOOKUP($E69,TaskValues_ref!$E:$Z,13,FALSE))</f>
        <v/>
      </c>
      <c r="N69" s="89" t="str">
        <f>IF(VLOOKUP($E69,TaskValues_ref!$E:$Z,15,FALSE)=0,"",VLOOKUP($E69,TaskValues_ref!$E:$Z,15,FALSE))</f>
        <v/>
      </c>
      <c r="O69" t="str">
        <f>IF(VLOOKUP($E69,TaskValues_ref!$E:$Z,16,FALSE)=0,"",VLOOKUP($E69,TaskValues_ref!$E:$Z,16,FALSE))</f>
        <v/>
      </c>
      <c r="P69" t="str">
        <f>IF(VLOOKUP($E69,TaskValues_ref!$E:$Z,17,FALSE)=0,"",VLOOKUP($E69,TaskValues_ref!$E:$Z,17,FALSE))</f>
        <v/>
      </c>
      <c r="Q69" t="str">
        <f>IF(VLOOKUP($E69,TaskValues_ref!$E:$Z,18,FALSE)=0,"",VLOOKUP($E69,TaskValues_ref!$E:$Z,18,FALSE))</f>
        <v/>
      </c>
      <c r="R69" t="str">
        <f>IF(VLOOKUP($E69,TaskValues_ref!$E:$Z,19,FALSE)=0,"",VLOOKUP($E69,TaskValues_ref!$E:$Z,19,FALSE))</f>
        <v/>
      </c>
      <c r="S69" t="str">
        <f>IF(VLOOKUP($E69,TaskValues_ref!$E:$Z,20,FALSE)=0,"",VLOOKUP($E69,TaskValues_ref!$E:$Z,20,FALSE))</f>
        <v/>
      </c>
    </row>
    <row r="70" spans="1:19" x14ac:dyDescent="0.45">
      <c r="A70" s="66" t="s">
        <v>2337</v>
      </c>
      <c r="B70" s="66" t="s">
        <v>2335</v>
      </c>
      <c r="C70" s="66" t="s">
        <v>2367</v>
      </c>
      <c r="D70" s="66">
        <v>108</v>
      </c>
      <c r="E70" s="64" t="s">
        <v>2373</v>
      </c>
      <c r="F70" t="str">
        <f>VLOOKUP(E70,TaskValues_ref!E:F,2,FALSE)</f>
        <v>Testing</v>
      </c>
      <c r="G70" t="str">
        <f>VLOOKUP($E70,TaskValues_ref!$E:$Z,3,FALSE)</f>
        <v>Clinical</v>
      </c>
      <c r="H70" t="str">
        <f>VLOOKUP($E70,TaskValues_ref!$E:$Z,4,FALSE)</f>
        <v>Acute</v>
      </c>
      <c r="I70" t="str">
        <f>VLOOKUP($E70,TaskValues_ref!$E:$Z,5,FALSE)</f>
        <v>Tuberculosis</v>
      </c>
      <c r="J70" s="257" t="str">
        <f>VLOOKUP($E70,TaskValues_ref!$E:$Z,6,FALSE)</f>
        <v>adults 18+</v>
      </c>
      <c r="K70" t="str">
        <f>VLOOKUP($E70,TaskValues_ref!$E:$Z,10,FALSE)</f>
        <v>Amhara</v>
      </c>
      <c r="L70" s="195">
        <f>IF(VLOOKUP($E70,TaskValues_ref!$E:$Z,11,FALSE)=0,"",VLOOKUP($E70,TaskValues_ref!$E:$Z,11,FALSE))</f>
        <v>1.083E-3</v>
      </c>
      <c r="M70">
        <f>IF(VLOOKUP($E70,TaskValues_ref!$E:$Z,13,FALSE)=0,"",VLOOKUP($E70,TaskValues_ref!$E:$Z,13,FALSE))</f>
        <v>8.3333333333333339</v>
      </c>
      <c r="N70" s="89">
        <f>IF(VLOOKUP($E70,TaskValues_ref!$E:$Z,15,FALSE)=0,"",VLOOKUP($E70,TaskValues_ref!$E:$Z,15,FALSE))</f>
        <v>0.92465934537590888</v>
      </c>
      <c r="O70">
        <f>IF(VLOOKUP($E70,TaskValues_ref!$E:$Z,16,FALSE)=0,"",VLOOKUP($E70,TaskValues_ref!$E:$Z,16,FALSE))</f>
        <v>1</v>
      </c>
      <c r="P70" t="str">
        <f>IF(VLOOKUP($E70,TaskValues_ref!$E:$Z,17,FALSE)=0,"",VLOOKUP($E70,TaskValues_ref!$E:$Z,17,FALSE))</f>
        <v/>
      </c>
      <c r="Q70">
        <f>IF(VLOOKUP($E70,TaskValues_ref!$E:$Z,18,FALSE)=0,"",VLOOKUP($E70,TaskValues_ref!$E:$Z,18,FALSE))</f>
        <v>10</v>
      </c>
      <c r="R70" t="str">
        <f>IF(VLOOKUP($E70,TaskValues_ref!$E:$Z,19,FALSE)=0,"",VLOOKUP($E70,TaskValues_ref!$E:$Z,19,FALSE))</f>
        <v/>
      </c>
      <c r="S70" t="str">
        <f>IF(VLOOKUP($E70,TaskValues_ref!$E:$Z,20,FALSE)=0,"",VLOOKUP($E70,TaskValues_ref!$E:$Z,20,FALSE))</f>
        <v/>
      </c>
    </row>
    <row r="71" spans="1:19" x14ac:dyDescent="0.45">
      <c r="A71" s="66" t="s">
        <v>2337</v>
      </c>
      <c r="B71" s="66" t="s">
        <v>2335</v>
      </c>
      <c r="C71" s="66" t="s">
        <v>2367</v>
      </c>
      <c r="D71" s="66">
        <v>108</v>
      </c>
      <c r="E71" s="64" t="s">
        <v>2374</v>
      </c>
      <c r="F71" t="str">
        <f>VLOOKUP(E71,TaskValues_ref!E:F,2,FALSE)</f>
        <v>Follow-up and linkage for positives</v>
      </c>
      <c r="G71" t="str">
        <f>VLOOKUP($E71,TaskValues_ref!$E:$Z,3,FALSE)</f>
        <v>Clinical</v>
      </c>
      <c r="H71" t="str">
        <f>VLOOKUP($E71,TaskValues_ref!$E:$Z,4,FALSE)</f>
        <v>Acute</v>
      </c>
      <c r="I71" t="str">
        <f>VLOOKUP($E71,TaskValues_ref!$E:$Z,5,FALSE)</f>
        <v>Tuberculosis</v>
      </c>
      <c r="J71" s="257" t="str">
        <f>VLOOKUP($E71,TaskValues_ref!$E:$Z,6,FALSE)</f>
        <v>adults 18+</v>
      </c>
      <c r="K71" t="str">
        <f>VLOOKUP($E71,TaskValues_ref!$E:$Z,10,FALSE)</f>
        <v>Amhara</v>
      </c>
      <c r="L71" s="195">
        <f>IF(VLOOKUP($E71,TaskValues_ref!$E:$Z,11,FALSE)=0,"",VLOOKUP($E71,TaskValues_ref!$E:$Z,11,FALSE))</f>
        <v>1.083E-3</v>
      </c>
      <c r="M71" t="str">
        <f>IF(VLOOKUP($E71,TaskValues_ref!$E:$Z,13,FALSE)=0,"",VLOOKUP($E71,TaskValues_ref!$E:$Z,13,FALSE))</f>
        <v/>
      </c>
      <c r="N71" s="89">
        <f>IF(VLOOKUP($E71,TaskValues_ref!$E:$Z,15,FALSE)=0,"",VLOOKUP($E71,TaskValues_ref!$E:$Z,15,FALSE))</f>
        <v>0.92465934537590888</v>
      </c>
      <c r="O71">
        <f>IF(VLOOKUP($E71,TaskValues_ref!$E:$Z,16,FALSE)=0,"",VLOOKUP($E71,TaskValues_ref!$E:$Z,16,FALSE))</f>
        <v>1</v>
      </c>
      <c r="P71" t="str">
        <f>IF(VLOOKUP($E71,TaskValues_ref!$E:$Z,17,FALSE)=0,"",VLOOKUP($E71,TaskValues_ref!$E:$Z,17,FALSE))</f>
        <v/>
      </c>
      <c r="Q71">
        <f>IF(VLOOKUP($E71,TaskValues_ref!$E:$Z,18,FALSE)=0,"",VLOOKUP($E71,TaskValues_ref!$E:$Z,18,FALSE))</f>
        <v>10</v>
      </c>
      <c r="R71" t="str">
        <f>IF(VLOOKUP($E71,TaskValues_ref!$E:$Z,19,FALSE)=0,"",VLOOKUP($E71,TaskValues_ref!$E:$Z,19,FALSE))</f>
        <v/>
      </c>
      <c r="S71" t="str">
        <f>IF(VLOOKUP($E71,TaskValues_ref!$E:$Z,20,FALSE)=0,"",VLOOKUP($E71,TaskValues_ref!$E:$Z,20,FALSE))</f>
        <v/>
      </c>
    </row>
    <row r="72" spans="1:19" x14ac:dyDescent="0.45">
      <c r="A72" s="66" t="s">
        <v>2337</v>
      </c>
      <c r="B72" s="66" t="s">
        <v>2335</v>
      </c>
      <c r="C72" s="66" t="s">
        <v>2367</v>
      </c>
      <c r="D72" s="66">
        <v>110</v>
      </c>
      <c r="E72" s="64" t="s">
        <v>2702</v>
      </c>
      <c r="F72" t="str">
        <f>VLOOKUP(E72,TaskValues_ref!E:F,2,FALSE)</f>
        <v>HIV prevention for TB patients</v>
      </c>
      <c r="G72" t="str">
        <f>VLOOKUP($E72,TaskValues_ref!$E:$Z,3,FALSE)</f>
        <v>Non-clinical</v>
      </c>
      <c r="H72" t="str">
        <f>VLOOKUP($E72,TaskValues_ref!$E:$Z,4,FALSE)</f>
        <v>Public Health</v>
      </c>
      <c r="I72" t="str">
        <f>VLOOKUP($E72,TaskValues_ref!$E:$Z,5,FALSE)</f>
        <v>Tuberculosis</v>
      </c>
      <c r="J72" s="257" t="str">
        <f>VLOOKUP($E72,TaskValues_ref!$E:$Z,6,FALSE)</f>
        <v>-</v>
      </c>
      <c r="K72" t="str">
        <f>VLOOKUP($E72,TaskValues_ref!$E:$Z,10,FALSE)</f>
        <v>Amhara</v>
      </c>
      <c r="L72" s="195" t="str">
        <f>IF(VLOOKUP($E72,TaskValues_ref!$E:$Z,11,FALSE)=0,"",VLOOKUP($E72,TaskValues_ref!$E:$Z,11,FALSE))</f>
        <v/>
      </c>
      <c r="M72" t="str">
        <f>IF(VLOOKUP($E72,TaskValues_ref!$E:$Z,13,FALSE)=0,"",VLOOKUP($E72,TaskValues_ref!$E:$Z,13,FALSE))</f>
        <v/>
      </c>
      <c r="N72" s="89" t="str">
        <f>IF(VLOOKUP($E72,TaskValues_ref!$E:$Z,15,FALSE)=0,"",VLOOKUP($E72,TaskValues_ref!$E:$Z,15,FALSE))</f>
        <v/>
      </c>
      <c r="O72" t="str">
        <f>IF(VLOOKUP($E72,TaskValues_ref!$E:$Z,16,FALSE)=0,"",VLOOKUP($E72,TaskValues_ref!$E:$Z,16,FALSE))</f>
        <v/>
      </c>
      <c r="P72" t="str">
        <f>IF(VLOOKUP($E72,TaskValues_ref!$E:$Z,17,FALSE)=0,"",VLOOKUP($E72,TaskValues_ref!$E:$Z,17,FALSE))</f>
        <v/>
      </c>
      <c r="Q72" t="str">
        <f>IF(VLOOKUP($E72,TaskValues_ref!$E:$Z,18,FALSE)=0,"",VLOOKUP($E72,TaskValues_ref!$E:$Z,18,FALSE))</f>
        <v/>
      </c>
      <c r="R72" t="str">
        <f>IF(VLOOKUP($E72,TaskValues_ref!$E:$Z,19,FALSE)=0,"",VLOOKUP($E72,TaskValues_ref!$E:$Z,19,FALSE))</f>
        <v/>
      </c>
      <c r="S72" t="str">
        <f>IF(VLOOKUP($E72,TaskValues_ref!$E:$Z,20,FALSE)=0,"",VLOOKUP($E72,TaskValues_ref!$E:$Z,20,FALSE))</f>
        <v/>
      </c>
    </row>
    <row r="73" spans="1:19" x14ac:dyDescent="0.45">
      <c r="A73" s="66" t="s">
        <v>2337</v>
      </c>
      <c r="B73" s="66" t="s">
        <v>2378</v>
      </c>
      <c r="C73" s="66" t="s">
        <v>2379</v>
      </c>
      <c r="D73" s="66">
        <v>112</v>
      </c>
      <c r="E73" s="64" t="s">
        <v>2383</v>
      </c>
      <c r="F73" t="str">
        <f>VLOOKUP(E73,TaskValues_ref!E:F,2,FALSE)</f>
        <v>Promote protection from tobacco smoke</v>
      </c>
      <c r="G73" t="str">
        <f>VLOOKUP($E73,TaskValues_ref!$E:$Z,3,FALSE)</f>
        <v>Non-clinical</v>
      </c>
      <c r="H73" t="str">
        <f>VLOOKUP($E73,TaskValues_ref!$E:$Z,4,FALSE)</f>
        <v>Public Health</v>
      </c>
      <c r="I73" t="str">
        <f>VLOOKUP($E73,TaskValues_ref!$E:$Z,5,FALSE)</f>
        <v>-</v>
      </c>
      <c r="J73" s="257" t="str">
        <f>VLOOKUP($E73,TaskValues_ref!$E:$Z,6,FALSE)</f>
        <v>-</v>
      </c>
      <c r="K73" t="str">
        <f>VLOOKUP($E73,TaskValues_ref!$E:$Z,10,FALSE)</f>
        <v>Amhara</v>
      </c>
      <c r="L73" s="195" t="str">
        <f>IF(VLOOKUP($E73,TaskValues_ref!$E:$Z,11,FALSE)=0,"",VLOOKUP($E73,TaskValues_ref!$E:$Z,11,FALSE))</f>
        <v/>
      </c>
      <c r="M73" t="str">
        <f>IF(VLOOKUP($E73,TaskValues_ref!$E:$Z,13,FALSE)=0,"",VLOOKUP($E73,TaskValues_ref!$E:$Z,13,FALSE))</f>
        <v/>
      </c>
      <c r="N73" s="89" t="str">
        <f>IF(VLOOKUP($E73,TaskValues_ref!$E:$Z,15,FALSE)=0,"",VLOOKUP($E73,TaskValues_ref!$E:$Z,15,FALSE))</f>
        <v/>
      </c>
      <c r="O73" t="str">
        <f>IF(VLOOKUP($E73,TaskValues_ref!$E:$Z,16,FALSE)=0,"",VLOOKUP($E73,TaskValues_ref!$E:$Z,16,FALSE))</f>
        <v/>
      </c>
      <c r="P73" t="str">
        <f>IF(VLOOKUP($E73,TaskValues_ref!$E:$Z,17,FALSE)=0,"",VLOOKUP($E73,TaskValues_ref!$E:$Z,17,FALSE))</f>
        <v/>
      </c>
      <c r="Q73" t="str">
        <f>IF(VLOOKUP($E73,TaskValues_ref!$E:$Z,18,FALSE)=0,"",VLOOKUP($E73,TaskValues_ref!$E:$Z,18,FALSE))</f>
        <v/>
      </c>
      <c r="R73" t="str">
        <f>IF(VLOOKUP($E73,TaskValues_ref!$E:$Z,19,FALSE)=0,"",VLOOKUP($E73,TaskValues_ref!$E:$Z,19,FALSE))</f>
        <v/>
      </c>
      <c r="S73" t="str">
        <f>IF(VLOOKUP($E73,TaskValues_ref!$E:$Z,20,FALSE)=0,"",VLOOKUP($E73,TaskValues_ref!$E:$Z,20,FALSE))</f>
        <v/>
      </c>
    </row>
    <row r="74" spans="1:19" x14ac:dyDescent="0.45">
      <c r="A74" s="66" t="s">
        <v>2337</v>
      </c>
      <c r="B74" s="66" t="s">
        <v>2378</v>
      </c>
      <c r="C74" s="66" t="s">
        <v>2379</v>
      </c>
      <c r="D74" s="66">
        <v>113</v>
      </c>
      <c r="E74" s="64" t="s">
        <v>2384</v>
      </c>
      <c r="F74" t="str">
        <f>VLOOKUP(E74,TaskValues_ref!E:F,2,FALSE)</f>
        <v>Campaigns re: alcohol use</v>
      </c>
      <c r="G74" t="str">
        <f>VLOOKUP($E74,TaskValues_ref!$E:$Z,3,FALSE)</f>
        <v>Non-clinical</v>
      </c>
      <c r="H74" t="str">
        <f>VLOOKUP($E74,TaskValues_ref!$E:$Z,4,FALSE)</f>
        <v>Public Health</v>
      </c>
      <c r="I74" t="str">
        <f>VLOOKUP($E74,TaskValues_ref!$E:$Z,5,FALSE)</f>
        <v>-</v>
      </c>
      <c r="J74" s="257" t="str">
        <f>VLOOKUP($E74,TaskValues_ref!$E:$Z,6,FALSE)</f>
        <v>-</v>
      </c>
      <c r="K74" t="str">
        <f>VLOOKUP($E74,TaskValues_ref!$E:$Z,10,FALSE)</f>
        <v>Amhara</v>
      </c>
      <c r="L74" s="195" t="str">
        <f>IF(VLOOKUP($E74,TaskValues_ref!$E:$Z,11,FALSE)=0,"",VLOOKUP($E74,TaskValues_ref!$E:$Z,11,FALSE))</f>
        <v/>
      </c>
      <c r="M74" t="str">
        <f>IF(VLOOKUP($E74,TaskValues_ref!$E:$Z,13,FALSE)=0,"",VLOOKUP($E74,TaskValues_ref!$E:$Z,13,FALSE))</f>
        <v/>
      </c>
      <c r="N74" s="89" t="str">
        <f>IF(VLOOKUP($E74,TaskValues_ref!$E:$Z,15,FALSE)=0,"",VLOOKUP($E74,TaskValues_ref!$E:$Z,15,FALSE))</f>
        <v/>
      </c>
      <c r="O74" t="str">
        <f>IF(VLOOKUP($E74,TaskValues_ref!$E:$Z,16,FALSE)=0,"",VLOOKUP($E74,TaskValues_ref!$E:$Z,16,FALSE))</f>
        <v/>
      </c>
      <c r="P74" t="str">
        <f>IF(VLOOKUP($E74,TaskValues_ref!$E:$Z,17,FALSE)=0,"",VLOOKUP($E74,TaskValues_ref!$E:$Z,17,FALSE))</f>
        <v/>
      </c>
      <c r="Q74" t="str">
        <f>IF(VLOOKUP($E74,TaskValues_ref!$E:$Z,18,FALSE)=0,"",VLOOKUP($E74,TaskValues_ref!$E:$Z,18,FALSE))</f>
        <v/>
      </c>
      <c r="R74" t="str">
        <f>IF(VLOOKUP($E74,TaskValues_ref!$E:$Z,19,FALSE)=0,"",VLOOKUP($E74,TaskValues_ref!$E:$Z,19,FALSE))</f>
        <v/>
      </c>
      <c r="S74" t="str">
        <f>IF(VLOOKUP($E74,TaskValues_ref!$E:$Z,20,FALSE)=0,"",VLOOKUP($E74,TaskValues_ref!$E:$Z,20,FALSE))</f>
        <v/>
      </c>
    </row>
    <row r="75" spans="1:19" x14ac:dyDescent="0.45">
      <c r="A75" s="66" t="s">
        <v>2337</v>
      </c>
      <c r="B75" s="66" t="s">
        <v>2378</v>
      </c>
      <c r="C75" s="66" t="s">
        <v>2379</v>
      </c>
      <c r="D75" s="66">
        <v>114</v>
      </c>
      <c r="E75" s="64" t="s">
        <v>2385</v>
      </c>
      <c r="F75" t="str">
        <f>VLOOKUP(E75,TaskValues_ref!E:F,2,FALSE)</f>
        <v>Community-level physical activity</v>
      </c>
      <c r="G75" t="str">
        <f>VLOOKUP($E75,TaskValues_ref!$E:$Z,3,FALSE)</f>
        <v>Non-clinical</v>
      </c>
      <c r="H75" t="str">
        <f>VLOOKUP($E75,TaskValues_ref!$E:$Z,4,FALSE)</f>
        <v>Public Health</v>
      </c>
      <c r="I75" t="str">
        <f>VLOOKUP($E75,TaskValues_ref!$E:$Z,5,FALSE)</f>
        <v>-</v>
      </c>
      <c r="J75" s="257" t="str">
        <f>VLOOKUP($E75,TaskValues_ref!$E:$Z,6,FALSE)</f>
        <v>-</v>
      </c>
      <c r="K75" t="str">
        <f>VLOOKUP($E75,TaskValues_ref!$E:$Z,10,FALSE)</f>
        <v>Amhara</v>
      </c>
      <c r="L75" s="195" t="str">
        <f>IF(VLOOKUP($E75,TaskValues_ref!$E:$Z,11,FALSE)=0,"",VLOOKUP($E75,TaskValues_ref!$E:$Z,11,FALSE))</f>
        <v/>
      </c>
      <c r="M75" t="str">
        <f>IF(VLOOKUP($E75,TaskValues_ref!$E:$Z,13,FALSE)=0,"",VLOOKUP($E75,TaskValues_ref!$E:$Z,13,FALSE))</f>
        <v/>
      </c>
      <c r="N75" s="89" t="str">
        <f>IF(VLOOKUP($E75,TaskValues_ref!$E:$Z,15,FALSE)=0,"",VLOOKUP($E75,TaskValues_ref!$E:$Z,15,FALSE))</f>
        <v/>
      </c>
      <c r="O75" t="str">
        <f>IF(VLOOKUP($E75,TaskValues_ref!$E:$Z,16,FALSE)=0,"",VLOOKUP($E75,TaskValues_ref!$E:$Z,16,FALSE))</f>
        <v/>
      </c>
      <c r="P75" t="str">
        <f>IF(VLOOKUP($E75,TaskValues_ref!$E:$Z,17,FALSE)=0,"",VLOOKUP($E75,TaskValues_ref!$E:$Z,17,FALSE))</f>
        <v/>
      </c>
      <c r="Q75" t="str">
        <f>IF(VLOOKUP($E75,TaskValues_ref!$E:$Z,18,FALSE)=0,"",VLOOKUP($E75,TaskValues_ref!$E:$Z,18,FALSE))</f>
        <v/>
      </c>
      <c r="R75" t="str">
        <f>IF(VLOOKUP($E75,TaskValues_ref!$E:$Z,19,FALSE)=0,"",VLOOKUP($E75,TaskValues_ref!$E:$Z,19,FALSE))</f>
        <v/>
      </c>
      <c r="S75" t="str">
        <f>IF(VLOOKUP($E75,TaskValues_ref!$E:$Z,20,FALSE)=0,"",VLOOKUP($E75,TaskValues_ref!$E:$Z,20,FALSE))</f>
        <v/>
      </c>
    </row>
    <row r="76" spans="1:19" x14ac:dyDescent="0.45">
      <c r="A76" s="66" t="s">
        <v>2337</v>
      </c>
      <c r="B76" s="66" t="s">
        <v>2378</v>
      </c>
      <c r="C76" s="66" t="s">
        <v>2386</v>
      </c>
      <c r="D76" s="66">
        <v>115</v>
      </c>
      <c r="E76" s="64" t="s">
        <v>2703</v>
      </c>
      <c r="F76" t="str">
        <f>VLOOKUP(E76,TaskValues_ref!E:F,2,FALSE)</f>
        <v>Awareness on risk factors</v>
      </c>
      <c r="G76" t="str">
        <f>VLOOKUP($E76,TaskValues_ref!$E:$Z,3,FALSE)</f>
        <v>Non-clinical</v>
      </c>
      <c r="H76" t="str">
        <f>VLOOKUP($E76,TaskValues_ref!$E:$Z,4,FALSE)</f>
        <v>Public Health</v>
      </c>
      <c r="I76" t="str">
        <f>VLOOKUP($E76,TaskValues_ref!$E:$Z,5,FALSE)</f>
        <v>-</v>
      </c>
      <c r="J76" s="257" t="str">
        <f>VLOOKUP($E76,TaskValues_ref!$E:$Z,6,FALSE)</f>
        <v>-</v>
      </c>
      <c r="K76" t="str">
        <f>VLOOKUP($E76,TaskValues_ref!$E:$Z,10,FALSE)</f>
        <v>Amhara</v>
      </c>
      <c r="L76" s="195" t="str">
        <f>IF(VLOOKUP($E76,TaskValues_ref!$E:$Z,11,FALSE)=0,"",VLOOKUP($E76,TaskValues_ref!$E:$Z,11,FALSE))</f>
        <v/>
      </c>
      <c r="M76" t="str">
        <f>IF(VLOOKUP($E76,TaskValues_ref!$E:$Z,13,FALSE)=0,"",VLOOKUP($E76,TaskValues_ref!$E:$Z,13,FALSE))</f>
        <v/>
      </c>
      <c r="N76" s="89" t="str">
        <f>IF(VLOOKUP($E76,TaskValues_ref!$E:$Z,15,FALSE)=0,"",VLOOKUP($E76,TaskValues_ref!$E:$Z,15,FALSE))</f>
        <v/>
      </c>
      <c r="O76" t="str">
        <f>IF(VLOOKUP($E76,TaskValues_ref!$E:$Z,16,FALSE)=0,"",VLOOKUP($E76,TaskValues_ref!$E:$Z,16,FALSE))</f>
        <v/>
      </c>
      <c r="P76" t="str">
        <f>IF(VLOOKUP($E76,TaskValues_ref!$E:$Z,17,FALSE)=0,"",VLOOKUP($E76,TaskValues_ref!$E:$Z,17,FALSE))</f>
        <v/>
      </c>
      <c r="Q76" t="str">
        <f>IF(VLOOKUP($E76,TaskValues_ref!$E:$Z,18,FALSE)=0,"",VLOOKUP($E76,TaskValues_ref!$E:$Z,18,FALSE))</f>
        <v/>
      </c>
      <c r="R76" t="str">
        <f>IF(VLOOKUP($E76,TaskValues_ref!$E:$Z,19,FALSE)=0,"",VLOOKUP($E76,TaskValues_ref!$E:$Z,19,FALSE))</f>
        <v/>
      </c>
      <c r="S76" t="str">
        <f>IF(VLOOKUP($E76,TaskValues_ref!$E:$Z,20,FALSE)=0,"",VLOOKUP($E76,TaskValues_ref!$E:$Z,20,FALSE))</f>
        <v/>
      </c>
    </row>
    <row r="77" spans="1:19" x14ac:dyDescent="0.45">
      <c r="A77" s="66" t="s">
        <v>2337</v>
      </c>
      <c r="B77" s="66" t="s">
        <v>2378</v>
      </c>
      <c r="C77" s="66" t="s">
        <v>2386</v>
      </c>
      <c r="D77" s="66">
        <v>117</v>
      </c>
      <c r="E77" s="64" t="s">
        <v>2705</v>
      </c>
      <c r="F77" t="str">
        <f>VLOOKUP(E77,TaskValues_ref!E:F,2,FALSE)</f>
        <v>Breast cancer education</v>
      </c>
      <c r="G77" t="str">
        <f>VLOOKUP($E77,TaskValues_ref!$E:$Z,3,FALSE)</f>
        <v>Clinical</v>
      </c>
      <c r="H77" t="str">
        <f>VLOOKUP($E77,TaskValues_ref!$E:$Z,4,FALSE)</f>
        <v>Public Health</v>
      </c>
      <c r="I77" t="str">
        <f>VLOOKUP($E77,TaskValues_ref!$E:$Z,5,FALSE)</f>
        <v>-</v>
      </c>
      <c r="J77" s="257" t="str">
        <f>VLOOKUP($E77,TaskValues_ref!$E:$Z,6,FALSE)</f>
        <v>-</v>
      </c>
      <c r="K77" t="str">
        <f>VLOOKUP($E77,TaskValues_ref!$E:$Z,10,FALSE)</f>
        <v>Amhara</v>
      </c>
      <c r="L77" s="195" t="str">
        <f>IF(VLOOKUP($E77,TaskValues_ref!$E:$Z,11,FALSE)=0,"",VLOOKUP($E77,TaskValues_ref!$E:$Z,11,FALSE))</f>
        <v/>
      </c>
      <c r="M77" t="str">
        <f>IF(VLOOKUP($E77,TaskValues_ref!$E:$Z,13,FALSE)=0,"",VLOOKUP($E77,TaskValues_ref!$E:$Z,13,FALSE))</f>
        <v/>
      </c>
      <c r="N77" s="89" t="str">
        <f>IF(VLOOKUP($E77,TaskValues_ref!$E:$Z,15,FALSE)=0,"",VLOOKUP($E77,TaskValues_ref!$E:$Z,15,FALSE))</f>
        <v/>
      </c>
      <c r="O77" t="str">
        <f>IF(VLOOKUP($E77,TaskValues_ref!$E:$Z,16,FALSE)=0,"",VLOOKUP($E77,TaskValues_ref!$E:$Z,16,FALSE))</f>
        <v/>
      </c>
      <c r="P77" t="str">
        <f>IF(VLOOKUP($E77,TaskValues_ref!$E:$Z,17,FALSE)=0,"",VLOOKUP($E77,TaskValues_ref!$E:$Z,17,FALSE))</f>
        <v/>
      </c>
      <c r="Q77" t="str">
        <f>IF(VLOOKUP($E77,TaskValues_ref!$E:$Z,18,FALSE)=0,"",VLOOKUP($E77,TaskValues_ref!$E:$Z,18,FALSE))</f>
        <v/>
      </c>
      <c r="R77" t="str">
        <f>IF(VLOOKUP($E77,TaskValues_ref!$E:$Z,19,FALSE)=0,"",VLOOKUP($E77,TaskValues_ref!$E:$Z,19,FALSE))</f>
        <v/>
      </c>
      <c r="S77" t="str">
        <f>IF(VLOOKUP($E77,TaskValues_ref!$E:$Z,20,FALSE)=0,"",VLOOKUP($E77,TaskValues_ref!$E:$Z,20,FALSE))</f>
        <v/>
      </c>
    </row>
    <row r="78" spans="1:19" x14ac:dyDescent="0.45">
      <c r="A78" s="66" t="s">
        <v>2337</v>
      </c>
      <c r="B78" s="66" t="s">
        <v>2378</v>
      </c>
      <c r="C78" s="66" t="s">
        <v>2386</v>
      </c>
      <c r="D78" s="66">
        <v>119</v>
      </c>
      <c r="E78" s="64" t="s">
        <v>3368</v>
      </c>
      <c r="F78" t="str">
        <f>VLOOKUP(E78,TaskValues_ref!E:F,2,FALSE)</f>
        <v>Palliative care for cancer, men 20-29</v>
      </c>
      <c r="G78" t="str">
        <f>VLOOKUP($E78,TaskValues_ref!$E:$Z,3,FALSE)</f>
        <v>Clinical</v>
      </c>
      <c r="H78" t="str">
        <f>VLOOKUP($E78,TaskValues_ref!$E:$Z,4,FALSE)</f>
        <v>Acute</v>
      </c>
      <c r="I78" t="str">
        <f>VLOOKUP($E78,TaskValues_ref!$E:$Z,5,FALSE)</f>
        <v>NCDs</v>
      </c>
      <c r="J78" s="257" t="str">
        <f>VLOOKUP($E78,TaskValues_ref!$E:$Z,6,FALSE)</f>
        <v>men 20-29</v>
      </c>
      <c r="K78" t="str">
        <f>VLOOKUP($E78,TaskValues_ref!$E:$Z,10,FALSE)</f>
        <v>Amhara</v>
      </c>
      <c r="L78" s="195">
        <f>IF(VLOOKUP($E78,TaskValues_ref!$E:$Z,11,FALSE)=0,"",VLOOKUP($E78,TaskValues_ref!$E:$Z,11,FALSE))</f>
        <v>1.0900000000000001E-4</v>
      </c>
      <c r="M78">
        <f>IF(VLOOKUP($E78,TaskValues_ref!$E:$Z,13,FALSE)=0,"",VLOOKUP($E78,TaskValues_ref!$E:$Z,13,FALSE))</f>
        <v>0.5</v>
      </c>
      <c r="N78" s="89">
        <f>IF(VLOOKUP($E78,TaskValues_ref!$E:$Z,15,FALSE)=0,"",VLOOKUP($E78,TaskValues_ref!$E:$Z,15,FALSE))</f>
        <v>1</v>
      </c>
      <c r="O78">
        <f>IF(VLOOKUP($E78,TaskValues_ref!$E:$Z,16,FALSE)=0,"",VLOOKUP($E78,TaskValues_ref!$E:$Z,16,FALSE))</f>
        <v>12</v>
      </c>
      <c r="P78" t="str">
        <f>IF(VLOOKUP($E78,TaskValues_ref!$E:$Z,17,FALSE)=0,"",VLOOKUP($E78,TaskValues_ref!$E:$Z,17,FALSE))</f>
        <v/>
      </c>
      <c r="Q78">
        <f>IF(VLOOKUP($E78,TaskValues_ref!$E:$Z,18,FALSE)=0,"",VLOOKUP($E78,TaskValues_ref!$E:$Z,18,FALSE))</f>
        <v>15</v>
      </c>
      <c r="R78" t="str">
        <f>IF(VLOOKUP($E78,TaskValues_ref!$E:$Z,19,FALSE)=0,"",VLOOKUP($E78,TaskValues_ref!$E:$Z,19,FALSE))</f>
        <v/>
      </c>
      <c r="S78" t="str">
        <f>IF(VLOOKUP($E78,TaskValues_ref!$E:$Z,20,FALSE)=0,"",VLOOKUP($E78,TaskValues_ref!$E:$Z,20,FALSE))</f>
        <v/>
      </c>
    </row>
    <row r="79" spans="1:19" x14ac:dyDescent="0.45">
      <c r="A79" s="66" t="s">
        <v>2337</v>
      </c>
      <c r="B79" s="66" t="s">
        <v>2378</v>
      </c>
      <c r="C79" s="66" t="s">
        <v>2386</v>
      </c>
      <c r="D79" s="66">
        <v>119</v>
      </c>
      <c r="E79" s="64" t="s">
        <v>3369</v>
      </c>
      <c r="F79" t="str">
        <f>VLOOKUP(E79,TaskValues_ref!E:F,2,FALSE)</f>
        <v>Palliative care for cancer, men 30-39</v>
      </c>
      <c r="G79" t="str">
        <f>VLOOKUP($E79,TaskValues_ref!$E:$Z,3,FALSE)</f>
        <v>Clinical</v>
      </c>
      <c r="H79" t="str">
        <f>VLOOKUP($E79,TaskValues_ref!$E:$Z,4,FALSE)</f>
        <v>Acute</v>
      </c>
      <c r="I79" t="str">
        <f>VLOOKUP($E79,TaskValues_ref!$E:$Z,5,FALSE)</f>
        <v>NCDs</v>
      </c>
      <c r="J79" s="257" t="str">
        <f>VLOOKUP($E79,TaskValues_ref!$E:$Z,6,FALSE)</f>
        <v>men 30-39</v>
      </c>
      <c r="K79" t="str">
        <f>VLOOKUP($E79,TaskValues_ref!$E:$Z,10,FALSE)</f>
        <v>Amhara</v>
      </c>
      <c r="L79" s="195">
        <f>IF(VLOOKUP($E79,TaskValues_ref!$E:$Z,11,FALSE)=0,"",VLOOKUP($E79,TaskValues_ref!$E:$Z,11,FALSE))</f>
        <v>1.8100000000000001E-4</v>
      </c>
      <c r="M79">
        <f>IF(VLOOKUP($E79,TaskValues_ref!$E:$Z,13,FALSE)=0,"",VLOOKUP($E79,TaskValues_ref!$E:$Z,13,FALSE))</f>
        <v>0.5</v>
      </c>
      <c r="N79" s="89">
        <f>IF(VLOOKUP($E79,TaskValues_ref!$E:$Z,15,FALSE)=0,"",VLOOKUP($E79,TaskValues_ref!$E:$Z,15,FALSE))</f>
        <v>1</v>
      </c>
      <c r="O79">
        <f>IF(VLOOKUP($E79,TaskValues_ref!$E:$Z,16,FALSE)=0,"",VLOOKUP($E79,TaskValues_ref!$E:$Z,16,FALSE))</f>
        <v>12</v>
      </c>
      <c r="P79" t="str">
        <f>IF(VLOOKUP($E79,TaskValues_ref!$E:$Z,17,FALSE)=0,"",VLOOKUP($E79,TaskValues_ref!$E:$Z,17,FALSE))</f>
        <v/>
      </c>
      <c r="Q79">
        <f>IF(VLOOKUP($E79,TaskValues_ref!$E:$Z,18,FALSE)=0,"",VLOOKUP($E79,TaskValues_ref!$E:$Z,18,FALSE))</f>
        <v>15</v>
      </c>
      <c r="R79" t="str">
        <f>IF(VLOOKUP($E79,TaskValues_ref!$E:$Z,19,FALSE)=0,"",VLOOKUP($E79,TaskValues_ref!$E:$Z,19,FALSE))</f>
        <v/>
      </c>
      <c r="S79" t="str">
        <f>IF(VLOOKUP($E79,TaskValues_ref!$E:$Z,20,FALSE)=0,"",VLOOKUP($E79,TaskValues_ref!$E:$Z,20,FALSE))</f>
        <v/>
      </c>
    </row>
    <row r="80" spans="1:19" x14ac:dyDescent="0.45">
      <c r="A80" s="66" t="s">
        <v>2337</v>
      </c>
      <c r="B80" s="66" t="s">
        <v>2378</v>
      </c>
      <c r="C80" s="66" t="s">
        <v>2386</v>
      </c>
      <c r="D80" s="66">
        <v>119</v>
      </c>
      <c r="E80" s="64" t="s">
        <v>3370</v>
      </c>
      <c r="F80" t="str">
        <f>VLOOKUP(E80,TaskValues_ref!E:F,2,FALSE)</f>
        <v>Palliative care for cancer, men 40-49</v>
      </c>
      <c r="G80" t="str">
        <f>VLOOKUP($E80,TaskValues_ref!$E:$Z,3,FALSE)</f>
        <v>Clinical</v>
      </c>
      <c r="H80" t="str">
        <f>VLOOKUP($E80,TaskValues_ref!$E:$Z,4,FALSE)</f>
        <v>Acute</v>
      </c>
      <c r="I80" t="str">
        <f>VLOOKUP($E80,TaskValues_ref!$E:$Z,5,FALSE)</f>
        <v>NCDs</v>
      </c>
      <c r="J80" s="257" t="str">
        <f>VLOOKUP($E80,TaskValues_ref!$E:$Z,6,FALSE)</f>
        <v>men 40-49</v>
      </c>
      <c r="K80" t="str">
        <f>VLOOKUP($E80,TaskValues_ref!$E:$Z,10,FALSE)</f>
        <v>Amhara</v>
      </c>
      <c r="L80" s="195">
        <f>IF(VLOOKUP($E80,TaskValues_ref!$E:$Z,11,FALSE)=0,"",VLOOKUP($E80,TaskValues_ref!$E:$Z,11,FALSE))</f>
        <v>4.2700000000000002E-4</v>
      </c>
      <c r="M80">
        <f>IF(VLOOKUP($E80,TaskValues_ref!$E:$Z,13,FALSE)=0,"",VLOOKUP($E80,TaskValues_ref!$E:$Z,13,FALSE))</f>
        <v>0.5</v>
      </c>
      <c r="N80" s="89">
        <f>IF(VLOOKUP($E80,TaskValues_ref!$E:$Z,15,FALSE)=0,"",VLOOKUP($E80,TaskValues_ref!$E:$Z,15,FALSE))</f>
        <v>1</v>
      </c>
      <c r="O80">
        <f>IF(VLOOKUP($E80,TaskValues_ref!$E:$Z,16,FALSE)=0,"",VLOOKUP($E80,TaskValues_ref!$E:$Z,16,FALSE))</f>
        <v>12</v>
      </c>
      <c r="P80" t="str">
        <f>IF(VLOOKUP($E80,TaskValues_ref!$E:$Z,17,FALSE)=0,"",VLOOKUP($E80,TaskValues_ref!$E:$Z,17,FALSE))</f>
        <v/>
      </c>
      <c r="Q80">
        <f>IF(VLOOKUP($E80,TaskValues_ref!$E:$Z,18,FALSE)=0,"",VLOOKUP($E80,TaskValues_ref!$E:$Z,18,FALSE))</f>
        <v>15</v>
      </c>
      <c r="R80" t="str">
        <f>IF(VLOOKUP($E80,TaskValues_ref!$E:$Z,19,FALSE)=0,"",VLOOKUP($E80,TaskValues_ref!$E:$Z,19,FALSE))</f>
        <v/>
      </c>
      <c r="S80" t="str">
        <f>IF(VLOOKUP($E80,TaskValues_ref!$E:$Z,20,FALSE)=0,"",VLOOKUP($E80,TaskValues_ref!$E:$Z,20,FALSE))</f>
        <v/>
      </c>
    </row>
    <row r="81" spans="1:19" x14ac:dyDescent="0.45">
      <c r="A81" s="66" t="s">
        <v>2337</v>
      </c>
      <c r="B81" s="66" t="s">
        <v>2378</v>
      </c>
      <c r="C81" s="66" t="s">
        <v>2386</v>
      </c>
      <c r="D81" s="66">
        <v>119</v>
      </c>
      <c r="E81" s="64" t="s">
        <v>3371</v>
      </c>
      <c r="F81" t="str">
        <f>VLOOKUP(E81,TaskValues_ref!E:F,2,FALSE)</f>
        <v>Palliative care for cancer, men 50-59</v>
      </c>
      <c r="G81" t="str">
        <f>VLOOKUP($E81,TaskValues_ref!$E:$Z,3,FALSE)</f>
        <v>Clinical</v>
      </c>
      <c r="H81" t="str">
        <f>VLOOKUP($E81,TaskValues_ref!$E:$Z,4,FALSE)</f>
        <v>Acute</v>
      </c>
      <c r="I81" t="str">
        <f>VLOOKUP($E81,TaskValues_ref!$E:$Z,5,FALSE)</f>
        <v>NCDs</v>
      </c>
      <c r="J81" s="257" t="str">
        <f>VLOOKUP($E81,TaskValues_ref!$E:$Z,6,FALSE)</f>
        <v>men 50-59</v>
      </c>
      <c r="K81" t="str">
        <f>VLOOKUP($E81,TaskValues_ref!$E:$Z,10,FALSE)</f>
        <v>Amhara</v>
      </c>
      <c r="L81" s="195">
        <f>IF(VLOOKUP($E81,TaskValues_ref!$E:$Z,11,FALSE)=0,"",VLOOKUP($E81,TaskValues_ref!$E:$Z,11,FALSE))</f>
        <v>1.1199999999999999E-3</v>
      </c>
      <c r="M81">
        <f>IF(VLOOKUP($E81,TaskValues_ref!$E:$Z,13,FALSE)=0,"",VLOOKUP($E81,TaskValues_ref!$E:$Z,13,FALSE))</f>
        <v>0.5</v>
      </c>
      <c r="N81" s="89">
        <f>IF(VLOOKUP($E81,TaskValues_ref!$E:$Z,15,FALSE)=0,"",VLOOKUP($E81,TaskValues_ref!$E:$Z,15,FALSE))</f>
        <v>1</v>
      </c>
      <c r="O81">
        <f>IF(VLOOKUP($E81,TaskValues_ref!$E:$Z,16,FALSE)=0,"",VLOOKUP($E81,TaskValues_ref!$E:$Z,16,FALSE))</f>
        <v>12</v>
      </c>
      <c r="P81" t="str">
        <f>IF(VLOOKUP($E81,TaskValues_ref!$E:$Z,17,FALSE)=0,"",VLOOKUP($E81,TaskValues_ref!$E:$Z,17,FALSE))</f>
        <v/>
      </c>
      <c r="Q81">
        <f>IF(VLOOKUP($E81,TaskValues_ref!$E:$Z,18,FALSE)=0,"",VLOOKUP($E81,TaskValues_ref!$E:$Z,18,FALSE))</f>
        <v>15</v>
      </c>
      <c r="R81" t="str">
        <f>IF(VLOOKUP($E81,TaskValues_ref!$E:$Z,19,FALSE)=0,"",VLOOKUP($E81,TaskValues_ref!$E:$Z,19,FALSE))</f>
        <v/>
      </c>
      <c r="S81" t="str">
        <f>IF(VLOOKUP($E81,TaskValues_ref!$E:$Z,20,FALSE)=0,"",VLOOKUP($E81,TaskValues_ref!$E:$Z,20,FALSE))</f>
        <v/>
      </c>
    </row>
    <row r="82" spans="1:19" x14ac:dyDescent="0.45">
      <c r="A82" s="66" t="s">
        <v>2337</v>
      </c>
      <c r="B82" s="66" t="s">
        <v>2378</v>
      </c>
      <c r="C82" s="66" t="s">
        <v>2386</v>
      </c>
      <c r="D82" s="66">
        <v>119</v>
      </c>
      <c r="E82" s="64" t="s">
        <v>3372</v>
      </c>
      <c r="F82" t="str">
        <f>VLOOKUP(E82,TaskValues_ref!E:F,2,FALSE)</f>
        <v>Palliative care for cancer, men 60-69</v>
      </c>
      <c r="G82" t="str">
        <f>VLOOKUP($E82,TaskValues_ref!$E:$Z,3,FALSE)</f>
        <v>Clinical</v>
      </c>
      <c r="H82" t="str">
        <f>VLOOKUP($E82,TaskValues_ref!$E:$Z,4,FALSE)</f>
        <v>Acute</v>
      </c>
      <c r="I82" t="str">
        <f>VLOOKUP($E82,TaskValues_ref!$E:$Z,5,FALSE)</f>
        <v>NCDs</v>
      </c>
      <c r="J82" s="257" t="str">
        <f>VLOOKUP($E82,TaskValues_ref!$E:$Z,6,FALSE)</f>
        <v>men 60-69</v>
      </c>
      <c r="K82" t="str">
        <f>VLOOKUP($E82,TaskValues_ref!$E:$Z,10,FALSE)</f>
        <v>Amhara</v>
      </c>
      <c r="L82" s="195">
        <f>IF(VLOOKUP($E82,TaskValues_ref!$E:$Z,11,FALSE)=0,"",VLOOKUP($E82,TaskValues_ref!$E:$Z,11,FALSE))</f>
        <v>2.47E-3</v>
      </c>
      <c r="M82">
        <f>IF(VLOOKUP($E82,TaskValues_ref!$E:$Z,13,FALSE)=0,"",VLOOKUP($E82,TaskValues_ref!$E:$Z,13,FALSE))</f>
        <v>0.5</v>
      </c>
      <c r="N82" s="89">
        <f>IF(VLOOKUP($E82,TaskValues_ref!$E:$Z,15,FALSE)=0,"",VLOOKUP($E82,TaskValues_ref!$E:$Z,15,FALSE))</f>
        <v>1</v>
      </c>
      <c r="O82">
        <f>IF(VLOOKUP($E82,TaskValues_ref!$E:$Z,16,FALSE)=0,"",VLOOKUP($E82,TaskValues_ref!$E:$Z,16,FALSE))</f>
        <v>12</v>
      </c>
      <c r="P82" t="str">
        <f>IF(VLOOKUP($E82,TaskValues_ref!$E:$Z,17,FALSE)=0,"",VLOOKUP($E82,TaskValues_ref!$E:$Z,17,FALSE))</f>
        <v/>
      </c>
      <c r="Q82">
        <f>IF(VLOOKUP($E82,TaskValues_ref!$E:$Z,18,FALSE)=0,"",VLOOKUP($E82,TaskValues_ref!$E:$Z,18,FALSE))</f>
        <v>15</v>
      </c>
      <c r="R82" t="str">
        <f>IF(VLOOKUP($E82,TaskValues_ref!$E:$Z,19,FALSE)=0,"",VLOOKUP($E82,TaskValues_ref!$E:$Z,19,FALSE))</f>
        <v/>
      </c>
      <c r="S82" t="str">
        <f>IF(VLOOKUP($E82,TaskValues_ref!$E:$Z,20,FALSE)=0,"",VLOOKUP($E82,TaskValues_ref!$E:$Z,20,FALSE))</f>
        <v/>
      </c>
    </row>
    <row r="83" spans="1:19" x14ac:dyDescent="0.45">
      <c r="A83" s="66" t="s">
        <v>2337</v>
      </c>
      <c r="B83" s="66" t="s">
        <v>2378</v>
      </c>
      <c r="C83" s="66" t="s">
        <v>2386</v>
      </c>
      <c r="D83" s="66">
        <v>119</v>
      </c>
      <c r="E83" s="64" t="s">
        <v>3373</v>
      </c>
      <c r="F83" t="str">
        <f>VLOOKUP(E83,TaskValues_ref!E:F,2,FALSE)</f>
        <v>Palliative care for cancer, women 20-29</v>
      </c>
      <c r="G83" t="str">
        <f>VLOOKUP($E83,TaskValues_ref!$E:$Z,3,FALSE)</f>
        <v>Clinical</v>
      </c>
      <c r="H83" t="str">
        <f>VLOOKUP($E83,TaskValues_ref!$E:$Z,4,FALSE)</f>
        <v>Acute</v>
      </c>
      <c r="I83" t="str">
        <f>VLOOKUP($E83,TaskValues_ref!$E:$Z,5,FALSE)</f>
        <v>NCDs</v>
      </c>
      <c r="J83" s="257" t="str">
        <f>VLOOKUP($E83,TaskValues_ref!$E:$Z,6,FALSE)</f>
        <v>women 20-29</v>
      </c>
      <c r="K83" t="str">
        <f>VLOOKUP($E83,TaskValues_ref!$E:$Z,10,FALSE)</f>
        <v>Amhara</v>
      </c>
      <c r="L83" s="195">
        <f>IF(VLOOKUP($E83,TaskValues_ref!$E:$Z,11,FALSE)=0,"",VLOOKUP($E83,TaskValues_ref!$E:$Z,11,FALSE))</f>
        <v>1.7000000000000001E-4</v>
      </c>
      <c r="M83">
        <f>IF(VLOOKUP($E83,TaskValues_ref!$E:$Z,13,FALSE)=0,"",VLOOKUP($E83,TaskValues_ref!$E:$Z,13,FALSE))</f>
        <v>0.5</v>
      </c>
      <c r="N83" s="89">
        <f>IF(VLOOKUP($E83,TaskValues_ref!$E:$Z,15,FALSE)=0,"",VLOOKUP($E83,TaskValues_ref!$E:$Z,15,FALSE))</f>
        <v>1</v>
      </c>
      <c r="O83">
        <f>IF(VLOOKUP($E83,TaskValues_ref!$E:$Z,16,FALSE)=0,"",VLOOKUP($E83,TaskValues_ref!$E:$Z,16,FALSE))</f>
        <v>12</v>
      </c>
      <c r="P83" t="str">
        <f>IF(VLOOKUP($E83,TaskValues_ref!$E:$Z,17,FALSE)=0,"",VLOOKUP($E83,TaskValues_ref!$E:$Z,17,FALSE))</f>
        <v/>
      </c>
      <c r="Q83">
        <f>IF(VLOOKUP($E83,TaskValues_ref!$E:$Z,18,FALSE)=0,"",VLOOKUP($E83,TaskValues_ref!$E:$Z,18,FALSE))</f>
        <v>15</v>
      </c>
      <c r="R83" t="str">
        <f>IF(VLOOKUP($E83,TaskValues_ref!$E:$Z,19,FALSE)=0,"",VLOOKUP($E83,TaskValues_ref!$E:$Z,19,FALSE))</f>
        <v/>
      </c>
      <c r="S83" t="str">
        <f>IF(VLOOKUP($E83,TaskValues_ref!$E:$Z,20,FALSE)=0,"",VLOOKUP($E83,TaskValues_ref!$E:$Z,20,FALSE))</f>
        <v/>
      </c>
    </row>
    <row r="84" spans="1:19" x14ac:dyDescent="0.45">
      <c r="A84" s="66" t="s">
        <v>2337</v>
      </c>
      <c r="B84" s="66" t="s">
        <v>2378</v>
      </c>
      <c r="C84" s="66" t="s">
        <v>2386</v>
      </c>
      <c r="D84" s="66">
        <v>119</v>
      </c>
      <c r="E84" s="64" t="s">
        <v>3374</v>
      </c>
      <c r="F84" t="str">
        <f>VLOOKUP(E84,TaskValues_ref!E:F,2,FALSE)</f>
        <v>Palliative care for cancer, women 30-39</v>
      </c>
      <c r="G84" t="str">
        <f>VLOOKUP($E84,TaskValues_ref!$E:$Z,3,FALSE)</f>
        <v>Clinical</v>
      </c>
      <c r="H84" t="str">
        <f>VLOOKUP($E84,TaskValues_ref!$E:$Z,4,FALSE)</f>
        <v>Acute</v>
      </c>
      <c r="I84" t="str">
        <f>VLOOKUP($E84,TaskValues_ref!$E:$Z,5,FALSE)</f>
        <v>NCDs</v>
      </c>
      <c r="J84" s="257" t="str">
        <f>VLOOKUP($E84,TaskValues_ref!$E:$Z,6,FALSE)</f>
        <v>women 30-39</v>
      </c>
      <c r="K84" t="str">
        <f>VLOOKUP($E84,TaskValues_ref!$E:$Z,10,FALSE)</f>
        <v>Amhara</v>
      </c>
      <c r="L84" s="195">
        <f>IF(VLOOKUP($E84,TaskValues_ref!$E:$Z,11,FALSE)=0,"",VLOOKUP($E84,TaskValues_ref!$E:$Z,11,FALSE))</f>
        <v>5.0600000000000005E-4</v>
      </c>
      <c r="M84">
        <f>IF(VLOOKUP($E84,TaskValues_ref!$E:$Z,13,FALSE)=0,"",VLOOKUP($E84,TaskValues_ref!$E:$Z,13,FALSE))</f>
        <v>0.5</v>
      </c>
      <c r="N84" s="89">
        <f>IF(VLOOKUP($E84,TaskValues_ref!$E:$Z,15,FALSE)=0,"",VLOOKUP($E84,TaskValues_ref!$E:$Z,15,FALSE))</f>
        <v>1</v>
      </c>
      <c r="O84">
        <f>IF(VLOOKUP($E84,TaskValues_ref!$E:$Z,16,FALSE)=0,"",VLOOKUP($E84,TaskValues_ref!$E:$Z,16,FALSE))</f>
        <v>12</v>
      </c>
      <c r="P84" t="str">
        <f>IF(VLOOKUP($E84,TaskValues_ref!$E:$Z,17,FALSE)=0,"",VLOOKUP($E84,TaskValues_ref!$E:$Z,17,FALSE))</f>
        <v/>
      </c>
      <c r="Q84">
        <f>IF(VLOOKUP($E84,TaskValues_ref!$E:$Z,18,FALSE)=0,"",VLOOKUP($E84,TaskValues_ref!$E:$Z,18,FALSE))</f>
        <v>15</v>
      </c>
      <c r="R84" t="str">
        <f>IF(VLOOKUP($E84,TaskValues_ref!$E:$Z,19,FALSE)=0,"",VLOOKUP($E84,TaskValues_ref!$E:$Z,19,FALSE))</f>
        <v/>
      </c>
      <c r="S84" t="str">
        <f>IF(VLOOKUP($E84,TaskValues_ref!$E:$Z,20,FALSE)=0,"",VLOOKUP($E84,TaskValues_ref!$E:$Z,20,FALSE))</f>
        <v/>
      </c>
    </row>
    <row r="85" spans="1:19" x14ac:dyDescent="0.45">
      <c r="A85" s="66" t="s">
        <v>2337</v>
      </c>
      <c r="B85" s="66" t="s">
        <v>2378</v>
      </c>
      <c r="C85" s="66" t="s">
        <v>2386</v>
      </c>
      <c r="D85" s="66">
        <v>119</v>
      </c>
      <c r="E85" s="64" t="s">
        <v>3375</v>
      </c>
      <c r="F85" t="str">
        <f>VLOOKUP(E85,TaskValues_ref!E:F,2,FALSE)</f>
        <v>Palliative care for cancer, women 40-49</v>
      </c>
      <c r="G85" t="str">
        <f>VLOOKUP($E85,TaskValues_ref!$E:$Z,3,FALSE)</f>
        <v>Clinical</v>
      </c>
      <c r="H85" t="str">
        <f>VLOOKUP($E85,TaskValues_ref!$E:$Z,4,FALSE)</f>
        <v>Acute</v>
      </c>
      <c r="I85" t="str">
        <f>VLOOKUP($E85,TaskValues_ref!$E:$Z,5,FALSE)</f>
        <v>NCDs</v>
      </c>
      <c r="J85" s="257" t="str">
        <f>VLOOKUP($E85,TaskValues_ref!$E:$Z,6,FALSE)</f>
        <v>women 40-49</v>
      </c>
      <c r="K85" t="str">
        <f>VLOOKUP($E85,TaskValues_ref!$E:$Z,10,FALSE)</f>
        <v>Amhara</v>
      </c>
      <c r="L85" s="195">
        <f>IF(VLOOKUP($E85,TaskValues_ref!$E:$Z,11,FALSE)=0,"",VLOOKUP($E85,TaskValues_ref!$E:$Z,11,FALSE))</f>
        <v>1.286E-3</v>
      </c>
      <c r="M85">
        <f>IF(VLOOKUP($E85,TaskValues_ref!$E:$Z,13,FALSE)=0,"",VLOOKUP($E85,TaskValues_ref!$E:$Z,13,FALSE))</f>
        <v>0.5</v>
      </c>
      <c r="N85" s="89">
        <f>IF(VLOOKUP($E85,TaskValues_ref!$E:$Z,15,FALSE)=0,"",VLOOKUP($E85,TaskValues_ref!$E:$Z,15,FALSE))</f>
        <v>1</v>
      </c>
      <c r="O85">
        <f>IF(VLOOKUP($E85,TaskValues_ref!$E:$Z,16,FALSE)=0,"",VLOOKUP($E85,TaskValues_ref!$E:$Z,16,FALSE))</f>
        <v>12</v>
      </c>
      <c r="P85" t="str">
        <f>IF(VLOOKUP($E85,TaskValues_ref!$E:$Z,17,FALSE)=0,"",VLOOKUP($E85,TaskValues_ref!$E:$Z,17,FALSE))</f>
        <v/>
      </c>
      <c r="Q85">
        <f>IF(VLOOKUP($E85,TaskValues_ref!$E:$Z,18,FALSE)=0,"",VLOOKUP($E85,TaskValues_ref!$E:$Z,18,FALSE))</f>
        <v>15</v>
      </c>
      <c r="R85" t="str">
        <f>IF(VLOOKUP($E85,TaskValues_ref!$E:$Z,19,FALSE)=0,"",VLOOKUP($E85,TaskValues_ref!$E:$Z,19,FALSE))</f>
        <v/>
      </c>
      <c r="S85" t="str">
        <f>IF(VLOOKUP($E85,TaskValues_ref!$E:$Z,20,FALSE)=0,"",VLOOKUP($E85,TaskValues_ref!$E:$Z,20,FALSE))</f>
        <v/>
      </c>
    </row>
    <row r="86" spans="1:19" x14ac:dyDescent="0.45">
      <c r="A86" s="66" t="s">
        <v>2337</v>
      </c>
      <c r="B86" s="66" t="s">
        <v>2378</v>
      </c>
      <c r="C86" s="66" t="s">
        <v>2386</v>
      </c>
      <c r="D86" s="66">
        <v>119</v>
      </c>
      <c r="E86" s="64" t="s">
        <v>3384</v>
      </c>
      <c r="F86" t="str">
        <f>VLOOKUP(E86,TaskValues_ref!E:F,2,FALSE)</f>
        <v>Palliative care for cancer, women 50-59</v>
      </c>
      <c r="G86" t="str">
        <f>VLOOKUP($E86,TaskValues_ref!$E:$Z,3,FALSE)</f>
        <v>Clinical</v>
      </c>
      <c r="H86" t="str">
        <f>VLOOKUP($E86,TaskValues_ref!$E:$Z,4,FALSE)</f>
        <v>Acute</v>
      </c>
      <c r="I86" t="str">
        <f>VLOOKUP($E86,TaskValues_ref!$E:$Z,5,FALSE)</f>
        <v>NCDs</v>
      </c>
      <c r="J86" s="257" t="str">
        <f>VLOOKUP($E86,TaskValues_ref!$E:$Z,6,FALSE)</f>
        <v>women 50-59</v>
      </c>
      <c r="K86" t="str">
        <f>VLOOKUP($E86,TaskValues_ref!$E:$Z,10,FALSE)</f>
        <v>Amhara</v>
      </c>
      <c r="L86" s="195">
        <f>IF(VLOOKUP($E86,TaskValues_ref!$E:$Z,11,FALSE)=0,"",VLOOKUP($E86,TaskValues_ref!$E:$Z,11,FALSE))</f>
        <v>2.5500000000000002E-3</v>
      </c>
      <c r="M86">
        <f>IF(VLOOKUP($E86,TaskValues_ref!$E:$Z,13,FALSE)=0,"",VLOOKUP($E86,TaskValues_ref!$E:$Z,13,FALSE))</f>
        <v>0.5</v>
      </c>
      <c r="N86" s="89">
        <f>IF(VLOOKUP($E86,TaskValues_ref!$E:$Z,15,FALSE)=0,"",VLOOKUP($E86,TaskValues_ref!$E:$Z,15,FALSE))</f>
        <v>1</v>
      </c>
      <c r="O86">
        <f>IF(VLOOKUP($E86,TaskValues_ref!$E:$Z,16,FALSE)=0,"",VLOOKUP($E86,TaskValues_ref!$E:$Z,16,FALSE))</f>
        <v>12</v>
      </c>
      <c r="P86" t="str">
        <f>IF(VLOOKUP($E86,TaskValues_ref!$E:$Z,17,FALSE)=0,"",VLOOKUP($E86,TaskValues_ref!$E:$Z,17,FALSE))</f>
        <v/>
      </c>
      <c r="Q86">
        <f>IF(VLOOKUP($E86,TaskValues_ref!$E:$Z,18,FALSE)=0,"",VLOOKUP($E86,TaskValues_ref!$E:$Z,18,FALSE))</f>
        <v>15</v>
      </c>
      <c r="R86" t="str">
        <f>IF(VLOOKUP($E86,TaskValues_ref!$E:$Z,19,FALSE)=0,"",VLOOKUP($E86,TaskValues_ref!$E:$Z,19,FALSE))</f>
        <v/>
      </c>
      <c r="S86" t="str">
        <f>IF(VLOOKUP($E86,TaskValues_ref!$E:$Z,20,FALSE)=0,"",VLOOKUP($E86,TaskValues_ref!$E:$Z,20,FALSE))</f>
        <v/>
      </c>
    </row>
    <row r="87" spans="1:19" x14ac:dyDescent="0.45">
      <c r="A87" s="66" t="s">
        <v>2337</v>
      </c>
      <c r="B87" s="66" t="s">
        <v>2378</v>
      </c>
      <c r="C87" s="66" t="s">
        <v>2386</v>
      </c>
      <c r="D87" s="66">
        <v>119</v>
      </c>
      <c r="E87" s="64" t="s">
        <v>3385</v>
      </c>
      <c r="F87" t="str">
        <f>VLOOKUP(E87,TaskValues_ref!E:F,2,FALSE)</f>
        <v>Palliative care for cancer, women 60-69</v>
      </c>
      <c r="G87" t="str">
        <f>VLOOKUP($E87,TaskValues_ref!$E:$Z,3,FALSE)</f>
        <v>Clinical</v>
      </c>
      <c r="H87" t="str">
        <f>VLOOKUP($E87,TaskValues_ref!$E:$Z,4,FALSE)</f>
        <v>Acute</v>
      </c>
      <c r="I87" t="str">
        <f>VLOOKUP($E87,TaskValues_ref!$E:$Z,5,FALSE)</f>
        <v>NCDs</v>
      </c>
      <c r="J87" s="257" t="str">
        <f>VLOOKUP($E87,TaskValues_ref!$E:$Z,6,FALSE)</f>
        <v>women 60-69</v>
      </c>
      <c r="K87" t="str">
        <f>VLOOKUP($E87,TaskValues_ref!$E:$Z,10,FALSE)</f>
        <v>Amhara</v>
      </c>
      <c r="L87" s="195">
        <f>IF(VLOOKUP($E87,TaskValues_ref!$E:$Z,11,FALSE)=0,"",VLOOKUP($E87,TaskValues_ref!$E:$Z,11,FALSE))</f>
        <v>3.5810000000000004E-3</v>
      </c>
      <c r="M87">
        <f>IF(VLOOKUP($E87,TaskValues_ref!$E:$Z,13,FALSE)=0,"",VLOOKUP($E87,TaskValues_ref!$E:$Z,13,FALSE))</f>
        <v>0.5</v>
      </c>
      <c r="N87" s="89">
        <f>IF(VLOOKUP($E87,TaskValues_ref!$E:$Z,15,FALSE)=0,"",VLOOKUP($E87,TaskValues_ref!$E:$Z,15,FALSE))</f>
        <v>1</v>
      </c>
      <c r="O87">
        <f>IF(VLOOKUP($E87,TaskValues_ref!$E:$Z,16,FALSE)=0,"",VLOOKUP($E87,TaskValues_ref!$E:$Z,16,FALSE))</f>
        <v>12</v>
      </c>
      <c r="P87" t="str">
        <f>IF(VLOOKUP($E87,TaskValues_ref!$E:$Z,17,FALSE)=0,"",VLOOKUP($E87,TaskValues_ref!$E:$Z,17,FALSE))</f>
        <v/>
      </c>
      <c r="Q87">
        <f>IF(VLOOKUP($E87,TaskValues_ref!$E:$Z,18,FALSE)=0,"",VLOOKUP($E87,TaskValues_ref!$E:$Z,18,FALSE))</f>
        <v>15</v>
      </c>
      <c r="R87" t="str">
        <f>IF(VLOOKUP($E87,TaskValues_ref!$E:$Z,19,FALSE)=0,"",VLOOKUP($E87,TaskValues_ref!$E:$Z,19,FALSE))</f>
        <v/>
      </c>
      <c r="S87" t="str">
        <f>IF(VLOOKUP($E87,TaskValues_ref!$E:$Z,20,FALSE)=0,"",VLOOKUP($E87,TaskValues_ref!$E:$Z,20,FALSE))</f>
        <v/>
      </c>
    </row>
    <row r="88" spans="1:19" x14ac:dyDescent="0.45">
      <c r="A88" s="66" t="s">
        <v>2337</v>
      </c>
      <c r="B88" s="66" t="s">
        <v>2378</v>
      </c>
      <c r="C88" s="66" t="s">
        <v>2386</v>
      </c>
      <c r="D88" s="66">
        <v>119</v>
      </c>
      <c r="E88" s="64" t="s">
        <v>3386</v>
      </c>
      <c r="F88" t="str">
        <f>VLOOKUP(E88,TaskValues_ref!E:F,2,FALSE)</f>
        <v>Palliative care for cancer, men &amp; women 70+</v>
      </c>
      <c r="G88" t="str">
        <f>VLOOKUP($E88,TaskValues_ref!$E:$Z,3,FALSE)</f>
        <v>Clinical</v>
      </c>
      <c r="H88" t="str">
        <f>VLOOKUP($E88,TaskValues_ref!$E:$Z,4,FALSE)</f>
        <v>Acute</v>
      </c>
      <c r="I88" t="str">
        <f>VLOOKUP($E88,TaskValues_ref!$E:$Z,5,FALSE)</f>
        <v>NCDs</v>
      </c>
      <c r="J88" s="257" t="str">
        <f>VLOOKUP($E88,TaskValues_ref!$E:$Z,6,FALSE)</f>
        <v>adults 70+</v>
      </c>
      <c r="K88" t="str">
        <f>VLOOKUP($E88,TaskValues_ref!$E:$Z,10,FALSE)</f>
        <v>Amhara</v>
      </c>
      <c r="L88" s="195">
        <f>IF(VLOOKUP($E88,TaskValues_ref!$E:$Z,11,FALSE)=0,"",VLOOKUP($E88,TaskValues_ref!$E:$Z,11,FALSE))</f>
        <v>4.3550000000000004E-3</v>
      </c>
      <c r="M88">
        <f>IF(VLOOKUP($E88,TaskValues_ref!$E:$Z,13,FALSE)=0,"",VLOOKUP($E88,TaskValues_ref!$E:$Z,13,FALSE))</f>
        <v>0.5</v>
      </c>
      <c r="N88" s="89">
        <f>IF(VLOOKUP($E88,TaskValues_ref!$E:$Z,15,FALSE)=0,"",VLOOKUP($E88,TaskValues_ref!$E:$Z,15,FALSE))</f>
        <v>1</v>
      </c>
      <c r="O88">
        <f>IF(VLOOKUP($E88,TaskValues_ref!$E:$Z,16,FALSE)=0,"",VLOOKUP($E88,TaskValues_ref!$E:$Z,16,FALSE))</f>
        <v>12</v>
      </c>
      <c r="P88" t="str">
        <f>IF(VLOOKUP($E88,TaskValues_ref!$E:$Z,17,FALSE)=0,"",VLOOKUP($E88,TaskValues_ref!$E:$Z,17,FALSE))</f>
        <v/>
      </c>
      <c r="Q88">
        <f>IF(VLOOKUP($E88,TaskValues_ref!$E:$Z,18,FALSE)=0,"",VLOOKUP($E88,TaskValues_ref!$E:$Z,18,FALSE))</f>
        <v>15</v>
      </c>
      <c r="R88" t="str">
        <f>IF(VLOOKUP($E88,TaskValues_ref!$E:$Z,19,FALSE)=0,"",VLOOKUP($E88,TaskValues_ref!$E:$Z,19,FALSE))</f>
        <v/>
      </c>
      <c r="S88" t="str">
        <f>IF(VLOOKUP($E88,TaskValues_ref!$E:$Z,20,FALSE)=0,"",VLOOKUP($E88,TaskValues_ref!$E:$Z,20,FALSE))</f>
        <v/>
      </c>
    </row>
    <row r="89" spans="1:19" x14ac:dyDescent="0.45">
      <c r="A89" s="66" t="s">
        <v>2337</v>
      </c>
      <c r="B89" s="66" t="s">
        <v>2378</v>
      </c>
      <c r="C89" s="66" t="s">
        <v>2393</v>
      </c>
      <c r="D89" s="66">
        <v>120</v>
      </c>
      <c r="E89" s="64" t="s">
        <v>2708</v>
      </c>
      <c r="F89" t="str">
        <f>VLOOKUP(E89,TaskValues_ref!E:F,2,FALSE)</f>
        <v>Lifestyle counseling</v>
      </c>
      <c r="G89" t="str">
        <f>VLOOKUP($E89,TaskValues_ref!$E:$Z,3,FALSE)</f>
        <v>Clinical</v>
      </c>
      <c r="H89" t="str">
        <f>VLOOKUP($E89,TaskValues_ref!$E:$Z,4,FALSE)</f>
        <v>Preventive</v>
      </c>
      <c r="I89" t="str">
        <f>VLOOKUP($E89,TaskValues_ref!$E:$Z,5,FALSE)</f>
        <v>NCDs</v>
      </c>
      <c r="J89" s="257" t="str">
        <f>VLOOKUP($E89,TaskValues_ref!$E:$Z,6,FALSE)</f>
        <v>-</v>
      </c>
      <c r="K89" t="str">
        <f>VLOOKUP($E89,TaskValues_ref!$E:$Z,10,FALSE)</f>
        <v>Amhara</v>
      </c>
      <c r="L89" s="195" t="str">
        <f>IF(VLOOKUP($E89,TaskValues_ref!$E:$Z,11,FALSE)=0,"",VLOOKUP($E89,TaskValues_ref!$E:$Z,11,FALSE))</f>
        <v/>
      </c>
      <c r="M89" t="str">
        <f>IF(VLOOKUP($E89,TaskValues_ref!$E:$Z,13,FALSE)=0,"",VLOOKUP($E89,TaskValues_ref!$E:$Z,13,FALSE))</f>
        <v/>
      </c>
      <c r="N89" s="89" t="str">
        <f>IF(VLOOKUP($E89,TaskValues_ref!$E:$Z,15,FALSE)=0,"",VLOOKUP($E89,TaskValues_ref!$E:$Z,15,FALSE))</f>
        <v/>
      </c>
      <c r="O89" t="str">
        <f>IF(VLOOKUP($E89,TaskValues_ref!$E:$Z,16,FALSE)=0,"",VLOOKUP($E89,TaskValues_ref!$E:$Z,16,FALSE))</f>
        <v/>
      </c>
      <c r="P89" t="str">
        <f>IF(VLOOKUP($E89,TaskValues_ref!$E:$Z,17,FALSE)=0,"",VLOOKUP($E89,TaskValues_ref!$E:$Z,17,FALSE))</f>
        <v/>
      </c>
      <c r="Q89" t="str">
        <f>IF(VLOOKUP($E89,TaskValues_ref!$E:$Z,18,FALSE)=0,"",VLOOKUP($E89,TaskValues_ref!$E:$Z,18,FALSE))</f>
        <v/>
      </c>
      <c r="R89" t="str">
        <f>IF(VLOOKUP($E89,TaskValues_ref!$E:$Z,19,FALSE)=0,"",VLOOKUP($E89,TaskValues_ref!$E:$Z,19,FALSE))</f>
        <v/>
      </c>
      <c r="S89" t="str">
        <f>IF(VLOOKUP($E89,TaskValues_ref!$E:$Z,20,FALSE)=0,"",VLOOKUP($E89,TaskValues_ref!$E:$Z,20,FALSE))</f>
        <v/>
      </c>
    </row>
    <row r="90" spans="1:19" x14ac:dyDescent="0.45">
      <c r="A90" s="66" t="s">
        <v>2337</v>
      </c>
      <c r="B90" s="66" t="s">
        <v>2378</v>
      </c>
      <c r="C90" s="66" t="s">
        <v>519</v>
      </c>
      <c r="D90" s="66">
        <v>123</v>
      </c>
      <c r="E90" s="64" t="s">
        <v>2711</v>
      </c>
      <c r="F90" t="str">
        <f>VLOOKUP(E90,TaskValues_ref!E:F,2,FALSE)</f>
        <v>Lifestyle counseling</v>
      </c>
      <c r="G90" t="str">
        <f>VLOOKUP($E90,TaskValues_ref!$E:$Z,3,FALSE)</f>
        <v>Clinical</v>
      </c>
      <c r="H90" t="str">
        <f>VLOOKUP($E90,TaskValues_ref!$E:$Z,4,FALSE)</f>
        <v>Preventive</v>
      </c>
      <c r="I90" t="str">
        <f>VLOOKUP($E90,TaskValues_ref!$E:$Z,5,FALSE)</f>
        <v>NCDs</v>
      </c>
      <c r="J90" s="257" t="str">
        <f>VLOOKUP($E90,TaskValues_ref!$E:$Z,6,FALSE)</f>
        <v>-</v>
      </c>
      <c r="K90" t="str">
        <f>VLOOKUP($E90,TaskValues_ref!$E:$Z,10,FALSE)</f>
        <v>Amhara</v>
      </c>
      <c r="L90" s="195" t="str">
        <f>IF(VLOOKUP($E90,TaskValues_ref!$E:$Z,11,FALSE)=0,"",VLOOKUP($E90,TaskValues_ref!$E:$Z,11,FALSE))</f>
        <v/>
      </c>
      <c r="M90" t="str">
        <f>IF(VLOOKUP($E90,TaskValues_ref!$E:$Z,13,FALSE)=0,"",VLOOKUP($E90,TaskValues_ref!$E:$Z,13,FALSE))</f>
        <v/>
      </c>
      <c r="N90" s="89" t="str">
        <f>IF(VLOOKUP($E90,TaskValues_ref!$E:$Z,15,FALSE)=0,"",VLOOKUP($E90,TaskValues_ref!$E:$Z,15,FALSE))</f>
        <v/>
      </c>
      <c r="O90" t="str">
        <f>IF(VLOOKUP($E90,TaskValues_ref!$E:$Z,16,FALSE)=0,"",VLOOKUP($E90,TaskValues_ref!$E:$Z,16,FALSE))</f>
        <v/>
      </c>
      <c r="P90" t="str">
        <f>IF(VLOOKUP($E90,TaskValues_ref!$E:$Z,17,FALSE)=0,"",VLOOKUP($E90,TaskValues_ref!$E:$Z,17,FALSE))</f>
        <v/>
      </c>
      <c r="Q90" t="str">
        <f>IF(VLOOKUP($E90,TaskValues_ref!$E:$Z,18,FALSE)=0,"",VLOOKUP($E90,TaskValues_ref!$E:$Z,18,FALSE))</f>
        <v/>
      </c>
      <c r="R90" t="str">
        <f>IF(VLOOKUP($E90,TaskValues_ref!$E:$Z,19,FALSE)=0,"",VLOOKUP($E90,TaskValues_ref!$E:$Z,19,FALSE))</f>
        <v/>
      </c>
      <c r="S90" t="str">
        <f>IF(VLOOKUP($E90,TaskValues_ref!$E:$Z,20,FALSE)=0,"",VLOOKUP($E90,TaskValues_ref!$E:$Z,20,FALSE))</f>
        <v/>
      </c>
    </row>
    <row r="91" spans="1:19" x14ac:dyDescent="0.45">
      <c r="A91" s="66" t="s">
        <v>2337</v>
      </c>
      <c r="B91" s="66" t="s">
        <v>2378</v>
      </c>
      <c r="C91" s="66" t="s">
        <v>2394</v>
      </c>
      <c r="D91" s="66">
        <v>126</v>
      </c>
      <c r="E91" s="64" t="s">
        <v>2714</v>
      </c>
      <c r="F91" t="str">
        <f>VLOOKUP(E91,TaskValues_ref!E:F,2,FALSE)</f>
        <v>Smoking cessation</v>
      </c>
      <c r="G91" t="str">
        <f>VLOOKUP($E91,TaskValues_ref!$E:$Z,3,FALSE)</f>
        <v>Clinical</v>
      </c>
      <c r="H91" t="str">
        <f>VLOOKUP($E91,TaskValues_ref!$E:$Z,4,FALSE)</f>
        <v>Preventive</v>
      </c>
      <c r="I91" t="str">
        <f>VLOOKUP($E91,TaskValues_ref!$E:$Z,5,FALSE)</f>
        <v>NCDs</v>
      </c>
      <c r="J91" s="257" t="str">
        <f>VLOOKUP($E91,TaskValues_ref!$E:$Z,6,FALSE)</f>
        <v>men 18+</v>
      </c>
      <c r="K91" t="str">
        <f>VLOOKUP($E91,TaskValues_ref!$E:$Z,10,FALSE)</f>
        <v>Amhara</v>
      </c>
      <c r="L91" s="195">
        <f>IF(VLOOKUP($E91,TaskValues_ref!$E:$Z,11,FALSE)=0,"",VLOOKUP($E91,TaskValues_ref!$E:$Z,11,FALSE))</f>
        <v>6.9999999999999993E-3</v>
      </c>
      <c r="M91">
        <f>IF(VLOOKUP($E91,TaskValues_ref!$E:$Z,13,FALSE)=0,"",VLOOKUP($E91,TaskValues_ref!$E:$Z,13,FALSE))</f>
        <v>0.1</v>
      </c>
      <c r="N91" s="89">
        <f>IF(VLOOKUP($E91,TaskValues_ref!$E:$Z,15,FALSE)=0,"",VLOOKUP($E91,TaskValues_ref!$E:$Z,15,FALSE))</f>
        <v>1</v>
      </c>
      <c r="O91">
        <f>IF(VLOOKUP($E91,TaskValues_ref!$E:$Z,16,FALSE)=0,"",VLOOKUP($E91,TaskValues_ref!$E:$Z,16,FALSE))</f>
        <v>2</v>
      </c>
      <c r="P91" t="str">
        <f>IF(VLOOKUP($E91,TaskValues_ref!$E:$Z,17,FALSE)=0,"",VLOOKUP($E91,TaskValues_ref!$E:$Z,17,FALSE))</f>
        <v/>
      </c>
      <c r="Q91">
        <f>IF(VLOOKUP($E91,TaskValues_ref!$E:$Z,18,FALSE)=0,"",VLOOKUP($E91,TaskValues_ref!$E:$Z,18,FALSE))</f>
        <v>10</v>
      </c>
      <c r="R91" t="str">
        <f>IF(VLOOKUP($E91,TaskValues_ref!$E:$Z,19,FALSE)=0,"",VLOOKUP($E91,TaskValues_ref!$E:$Z,19,FALSE))</f>
        <v/>
      </c>
      <c r="S91" t="str">
        <f>IF(VLOOKUP($E91,TaskValues_ref!$E:$Z,20,FALSE)=0,"",VLOOKUP($E91,TaskValues_ref!$E:$Z,20,FALSE))</f>
        <v/>
      </c>
    </row>
    <row r="92" spans="1:19" x14ac:dyDescent="0.45">
      <c r="A92" s="66" t="s">
        <v>2337</v>
      </c>
      <c r="B92" s="66" t="s">
        <v>2378</v>
      </c>
      <c r="C92" s="66" t="s">
        <v>2394</v>
      </c>
      <c r="D92" s="66">
        <v>127</v>
      </c>
      <c r="E92" s="64" t="s">
        <v>2715</v>
      </c>
      <c r="F92" t="str">
        <f>VLOOKUP(E92,TaskValues_ref!E:F,2,FALSE)</f>
        <v>Prevention of risk factors</v>
      </c>
      <c r="G92" t="str">
        <f>VLOOKUP($E92,TaskValues_ref!$E:$Z,3,FALSE)</f>
        <v>Clinical</v>
      </c>
      <c r="H92" t="str">
        <f>VLOOKUP($E92,TaskValues_ref!$E:$Z,4,FALSE)</f>
        <v>Preventive</v>
      </c>
      <c r="I92" t="str">
        <f>VLOOKUP($E92,TaskValues_ref!$E:$Z,5,FALSE)</f>
        <v>NCDs</v>
      </c>
      <c r="J92" s="257" t="str">
        <f>VLOOKUP($E92,TaskValues_ref!$E:$Z,6,FALSE)</f>
        <v>adults 18+</v>
      </c>
      <c r="K92" t="str">
        <f>VLOOKUP($E92,TaskValues_ref!$E:$Z,10,FALSE)</f>
        <v>Amhara</v>
      </c>
      <c r="L92" s="195" t="str">
        <f>IF(VLOOKUP($E92,TaskValues_ref!$E:$Z,11,FALSE)=0,"",VLOOKUP($E92,TaskValues_ref!$E:$Z,11,FALSE))</f>
        <v/>
      </c>
      <c r="M92" t="str">
        <f>IF(VLOOKUP($E92,TaskValues_ref!$E:$Z,13,FALSE)=0,"",VLOOKUP($E92,TaskValues_ref!$E:$Z,13,FALSE))</f>
        <v/>
      </c>
      <c r="N92" s="89" t="str">
        <f>IF(VLOOKUP($E92,TaskValues_ref!$E:$Z,15,FALSE)=0,"",VLOOKUP($E92,TaskValues_ref!$E:$Z,15,FALSE))</f>
        <v/>
      </c>
      <c r="O92" t="str">
        <f>IF(VLOOKUP($E92,TaskValues_ref!$E:$Z,16,FALSE)=0,"",VLOOKUP($E92,TaskValues_ref!$E:$Z,16,FALSE))</f>
        <v/>
      </c>
      <c r="P92" t="str">
        <f>IF(VLOOKUP($E92,TaskValues_ref!$E:$Z,17,FALSE)=0,"",VLOOKUP($E92,TaskValues_ref!$E:$Z,17,FALSE))</f>
        <v/>
      </c>
      <c r="Q92" t="str">
        <f>IF(VLOOKUP($E92,TaskValues_ref!$E:$Z,18,FALSE)=0,"",VLOOKUP($E92,TaskValues_ref!$E:$Z,18,FALSE))</f>
        <v/>
      </c>
      <c r="R92" t="str">
        <f>IF(VLOOKUP($E92,TaskValues_ref!$E:$Z,19,FALSE)=0,"",VLOOKUP($E92,TaskValues_ref!$E:$Z,19,FALSE))</f>
        <v/>
      </c>
      <c r="S92" t="str">
        <f>IF(VLOOKUP($E92,TaskValues_ref!$E:$Z,20,FALSE)=0,"",VLOOKUP($E92,TaskValues_ref!$E:$Z,20,FALSE))</f>
        <v/>
      </c>
    </row>
    <row r="93" spans="1:19" x14ac:dyDescent="0.45">
      <c r="A93" s="66" t="s">
        <v>2337</v>
      </c>
      <c r="B93" s="66" t="s">
        <v>2378</v>
      </c>
      <c r="C93" s="66" t="s">
        <v>232</v>
      </c>
      <c r="D93" s="66">
        <v>130</v>
      </c>
      <c r="E93" s="64" t="s">
        <v>2442</v>
      </c>
      <c r="F93" t="str">
        <f>VLOOKUP(E93,TaskValues_ref!E:F,2,FALSE)</f>
        <v>Generate community awareness</v>
      </c>
      <c r="G93" t="str">
        <f>VLOOKUP($E93,TaskValues_ref!$E:$Z,3,FALSE)</f>
        <v>Non-clinical</v>
      </c>
      <c r="H93" t="str">
        <f>VLOOKUP($E93,TaskValues_ref!$E:$Z,4,FALSE)</f>
        <v>Public health</v>
      </c>
      <c r="I93" t="str">
        <f>VLOOKUP($E93,TaskValues_ref!$E:$Z,5,FALSE)</f>
        <v>Mental health</v>
      </c>
      <c r="J93" s="257" t="str">
        <f>VLOOKUP($E93,TaskValues_ref!$E:$Z,6,FALSE)</f>
        <v>-</v>
      </c>
      <c r="K93" t="str">
        <f>VLOOKUP($E93,TaskValues_ref!$E:$Z,10,FALSE)</f>
        <v>Amhara</v>
      </c>
      <c r="L93" s="195" t="str">
        <f>IF(VLOOKUP($E93,TaskValues_ref!$E:$Z,11,FALSE)=0,"",VLOOKUP($E93,TaskValues_ref!$E:$Z,11,FALSE))</f>
        <v/>
      </c>
      <c r="M93" t="str">
        <f>IF(VLOOKUP($E93,TaskValues_ref!$E:$Z,13,FALSE)=0,"",VLOOKUP($E93,TaskValues_ref!$E:$Z,13,FALSE))</f>
        <v/>
      </c>
      <c r="N93" s="89" t="str">
        <f>IF(VLOOKUP($E93,TaskValues_ref!$E:$Z,15,FALSE)=0,"",VLOOKUP($E93,TaskValues_ref!$E:$Z,15,FALSE))</f>
        <v/>
      </c>
      <c r="O93" t="str">
        <f>IF(VLOOKUP($E93,TaskValues_ref!$E:$Z,16,FALSE)=0,"",VLOOKUP($E93,TaskValues_ref!$E:$Z,16,FALSE))</f>
        <v/>
      </c>
      <c r="P93" t="str">
        <f>IF(VLOOKUP($E93,TaskValues_ref!$E:$Z,17,FALSE)=0,"",VLOOKUP($E93,TaskValues_ref!$E:$Z,17,FALSE))</f>
        <v/>
      </c>
      <c r="Q93" t="str">
        <f>IF(VLOOKUP($E93,TaskValues_ref!$E:$Z,18,FALSE)=0,"",VLOOKUP($E93,TaskValues_ref!$E:$Z,18,FALSE))</f>
        <v/>
      </c>
      <c r="R93" t="str">
        <f>IF(VLOOKUP($E93,TaskValues_ref!$E:$Z,19,FALSE)=0,"",VLOOKUP($E93,TaskValues_ref!$E:$Z,19,FALSE))</f>
        <v/>
      </c>
      <c r="S93" t="str">
        <f>IF(VLOOKUP($E93,TaskValues_ref!$E:$Z,20,FALSE)=0,"",VLOOKUP($E93,TaskValues_ref!$E:$Z,20,FALSE))</f>
        <v/>
      </c>
    </row>
    <row r="94" spans="1:19" x14ac:dyDescent="0.45">
      <c r="A94" s="66" t="s">
        <v>2337</v>
      </c>
      <c r="B94" s="66" t="s">
        <v>2378</v>
      </c>
      <c r="C94" s="66" t="s">
        <v>232</v>
      </c>
      <c r="D94" s="66">
        <v>130</v>
      </c>
      <c r="E94" s="64" t="s">
        <v>2443</v>
      </c>
      <c r="F94" t="str">
        <f>VLOOKUP(E94,TaskValues_ref!E:F,2,FALSE)</f>
        <v>Identify &amp; link to care</v>
      </c>
      <c r="G94" t="str">
        <f>VLOOKUP($E94,TaskValues_ref!$E:$Z,3,FALSE)</f>
        <v>Clinical</v>
      </c>
      <c r="H94" t="str">
        <f>VLOOKUP($E94,TaskValues_ref!$E:$Z,4,FALSE)</f>
        <v>Acute</v>
      </c>
      <c r="I94" t="str">
        <f>VLOOKUP($E94,TaskValues_ref!$E:$Z,5,FALSE)</f>
        <v>Mental health</v>
      </c>
      <c r="J94" s="257" t="str">
        <f>VLOOKUP($E94,TaskValues_ref!$E:$Z,6,FALSE)</f>
        <v>30 yo adults</v>
      </c>
      <c r="K94" t="str">
        <f>VLOOKUP($E94,TaskValues_ref!$E:$Z,10,FALSE)</f>
        <v>Amhara</v>
      </c>
      <c r="L94" s="195">
        <f>IF(VLOOKUP($E94,TaskValues_ref!$E:$Z,11,FALSE)=0,"",VLOOKUP($E94,TaskValues_ref!$E:$Z,11,FALSE))</f>
        <v>0.21579999999999999</v>
      </c>
      <c r="M94" t="str">
        <f>IF(VLOOKUP($E94,TaskValues_ref!$E:$Z,13,FALSE)=0,"",VLOOKUP($E94,TaskValues_ref!$E:$Z,13,FALSE))</f>
        <v/>
      </c>
      <c r="N94" s="89">
        <f>IF(VLOOKUP($E94,TaskValues_ref!$E:$Z,15,FALSE)=0,"",VLOOKUP($E94,TaskValues_ref!$E:$Z,15,FALSE))</f>
        <v>1</v>
      </c>
      <c r="O94">
        <f>IF(VLOOKUP($E94,TaskValues_ref!$E:$Z,16,FALSE)=0,"",VLOOKUP($E94,TaskValues_ref!$E:$Z,16,FALSE))</f>
        <v>1</v>
      </c>
      <c r="P94" t="str">
        <f>IF(VLOOKUP($E94,TaskValues_ref!$E:$Z,17,FALSE)=0,"",VLOOKUP($E94,TaskValues_ref!$E:$Z,17,FALSE))</f>
        <v/>
      </c>
      <c r="Q94">
        <f>IF(VLOOKUP($E94,TaskValues_ref!$E:$Z,18,FALSE)=0,"",VLOOKUP($E94,TaskValues_ref!$E:$Z,18,FALSE))</f>
        <v>15</v>
      </c>
      <c r="R94" t="str">
        <f>IF(VLOOKUP($E94,TaskValues_ref!$E:$Z,19,FALSE)=0,"",VLOOKUP($E94,TaskValues_ref!$E:$Z,19,FALSE))</f>
        <v/>
      </c>
      <c r="S94" t="str">
        <f>IF(VLOOKUP($E94,TaskValues_ref!$E:$Z,20,FALSE)=0,"",VLOOKUP($E94,TaskValues_ref!$E:$Z,20,FALSE))</f>
        <v/>
      </c>
    </row>
    <row r="95" spans="1:19" x14ac:dyDescent="0.45">
      <c r="A95" s="66" t="s">
        <v>2337</v>
      </c>
      <c r="B95" s="66" t="s">
        <v>2378</v>
      </c>
      <c r="C95" s="66" t="s">
        <v>232</v>
      </c>
      <c r="D95" s="66">
        <v>131</v>
      </c>
      <c r="E95" s="64" t="s">
        <v>2718</v>
      </c>
      <c r="F95" t="str">
        <f>VLOOKUP(E95,TaskValues_ref!E:F,2,FALSE)</f>
        <v>Workplace stress reduction</v>
      </c>
      <c r="G95" t="str">
        <f>VLOOKUP($E95,TaskValues_ref!$E:$Z,3,FALSE)</f>
        <v>Non-clinical</v>
      </c>
      <c r="H95" t="str">
        <f>VLOOKUP($E95,TaskValues_ref!$E:$Z,4,FALSE)</f>
        <v>Public health</v>
      </c>
      <c r="I95" t="str">
        <f>VLOOKUP($E95,TaskValues_ref!$E:$Z,5,FALSE)</f>
        <v>Mental health</v>
      </c>
      <c r="J95" s="257" t="str">
        <f>VLOOKUP($E95,TaskValues_ref!$E:$Z,6,FALSE)</f>
        <v>-</v>
      </c>
      <c r="K95" t="str">
        <f>VLOOKUP($E95,TaskValues_ref!$E:$Z,10,FALSE)</f>
        <v>Amhara</v>
      </c>
      <c r="L95" s="195" t="str">
        <f>IF(VLOOKUP($E95,TaskValues_ref!$E:$Z,11,FALSE)=0,"",VLOOKUP($E95,TaskValues_ref!$E:$Z,11,FALSE))</f>
        <v/>
      </c>
      <c r="M95" t="str">
        <f>IF(VLOOKUP($E95,TaskValues_ref!$E:$Z,13,FALSE)=0,"",VLOOKUP($E95,TaskValues_ref!$E:$Z,13,FALSE))</f>
        <v/>
      </c>
      <c r="N95" s="89" t="str">
        <f>IF(VLOOKUP($E95,TaskValues_ref!$E:$Z,15,FALSE)=0,"",VLOOKUP($E95,TaskValues_ref!$E:$Z,15,FALSE))</f>
        <v/>
      </c>
      <c r="O95" t="str">
        <f>IF(VLOOKUP($E95,TaskValues_ref!$E:$Z,16,FALSE)=0,"",VLOOKUP($E95,TaskValues_ref!$E:$Z,16,FALSE))</f>
        <v/>
      </c>
      <c r="P95" t="str">
        <f>IF(VLOOKUP($E95,TaskValues_ref!$E:$Z,17,FALSE)=0,"",VLOOKUP($E95,TaskValues_ref!$E:$Z,17,FALSE))</f>
        <v/>
      </c>
      <c r="Q95" t="str">
        <f>IF(VLOOKUP($E95,TaskValues_ref!$E:$Z,18,FALSE)=0,"",VLOOKUP($E95,TaskValues_ref!$E:$Z,18,FALSE))</f>
        <v/>
      </c>
      <c r="R95" t="str">
        <f>IF(VLOOKUP($E95,TaskValues_ref!$E:$Z,19,FALSE)=0,"",VLOOKUP($E95,TaskValues_ref!$E:$Z,19,FALSE))</f>
        <v/>
      </c>
      <c r="S95" t="str">
        <f>IF(VLOOKUP($E95,TaskValues_ref!$E:$Z,20,FALSE)=0,"",VLOOKUP($E95,TaskValues_ref!$E:$Z,20,FALSE))</f>
        <v/>
      </c>
    </row>
    <row r="96" spans="1:19" x14ac:dyDescent="0.45">
      <c r="A96" s="66" t="s">
        <v>2337</v>
      </c>
      <c r="B96" s="66" t="s">
        <v>2378</v>
      </c>
      <c r="C96" s="66" t="s">
        <v>232</v>
      </c>
      <c r="D96" s="66">
        <v>132</v>
      </c>
      <c r="E96" s="64" t="s">
        <v>2719</v>
      </c>
      <c r="F96" t="str">
        <f>VLOOKUP(E96,TaskValues_ref!E:F,2,FALSE)</f>
        <v>School-based mental health programs</v>
      </c>
      <c r="G96" t="str">
        <f>VLOOKUP($E96,TaskValues_ref!$E:$Z,3,FALSE)</f>
        <v>Non-clinical</v>
      </c>
      <c r="H96" t="str">
        <f>VLOOKUP($E96,TaskValues_ref!$E:$Z,4,FALSE)</f>
        <v>Public health</v>
      </c>
      <c r="I96" t="str">
        <f>VLOOKUP($E96,TaskValues_ref!$E:$Z,5,FALSE)</f>
        <v>Mental health</v>
      </c>
      <c r="J96" s="257" t="str">
        <f>VLOOKUP($E96,TaskValues_ref!$E:$Z,6,FALSE)</f>
        <v>-</v>
      </c>
      <c r="K96" t="str">
        <f>VLOOKUP($E96,TaskValues_ref!$E:$Z,10,FALSE)</f>
        <v>Amhara</v>
      </c>
      <c r="L96" s="195" t="str">
        <f>IF(VLOOKUP($E96,TaskValues_ref!$E:$Z,11,FALSE)=0,"",VLOOKUP($E96,TaskValues_ref!$E:$Z,11,FALSE))</f>
        <v/>
      </c>
      <c r="M96" t="str">
        <f>IF(VLOOKUP($E96,TaskValues_ref!$E:$Z,13,FALSE)=0,"",VLOOKUP($E96,TaskValues_ref!$E:$Z,13,FALSE))</f>
        <v/>
      </c>
      <c r="N96" s="89" t="str">
        <f>IF(VLOOKUP($E96,TaskValues_ref!$E:$Z,15,FALSE)=0,"",VLOOKUP($E96,TaskValues_ref!$E:$Z,15,FALSE))</f>
        <v/>
      </c>
      <c r="O96" t="str">
        <f>IF(VLOOKUP($E96,TaskValues_ref!$E:$Z,16,FALSE)=0,"",VLOOKUP($E96,TaskValues_ref!$E:$Z,16,FALSE))</f>
        <v/>
      </c>
      <c r="P96" t="str">
        <f>IF(VLOOKUP($E96,TaskValues_ref!$E:$Z,17,FALSE)=0,"",VLOOKUP($E96,TaskValues_ref!$E:$Z,17,FALSE))</f>
        <v/>
      </c>
      <c r="Q96" t="str">
        <f>IF(VLOOKUP($E96,TaskValues_ref!$E:$Z,18,FALSE)=0,"",VLOOKUP($E96,TaskValues_ref!$E:$Z,18,FALSE))</f>
        <v/>
      </c>
      <c r="R96" t="str">
        <f>IF(VLOOKUP($E96,TaskValues_ref!$E:$Z,19,FALSE)=0,"",VLOOKUP($E96,TaskValues_ref!$E:$Z,19,FALSE))</f>
        <v/>
      </c>
      <c r="S96" t="str">
        <f>IF(VLOOKUP($E96,TaskValues_ref!$E:$Z,20,FALSE)=0,"",VLOOKUP($E96,TaskValues_ref!$E:$Z,20,FALSE))</f>
        <v/>
      </c>
    </row>
    <row r="97" spans="1:19" x14ac:dyDescent="0.45">
      <c r="A97" s="66" t="s">
        <v>2337</v>
      </c>
      <c r="B97" s="66" t="s">
        <v>2378</v>
      </c>
      <c r="C97" s="66" t="s">
        <v>232</v>
      </c>
      <c r="D97" s="66">
        <v>133</v>
      </c>
      <c r="E97" s="64" t="s">
        <v>2720</v>
      </c>
      <c r="F97" t="str">
        <f>VLOOKUP(E97,TaskValues_ref!E:F,2,FALSE)</f>
        <v>Identify &amp; assess drug use</v>
      </c>
      <c r="G97" t="str">
        <f>VLOOKUP($E97,TaskValues_ref!$E:$Z,3,FALSE)</f>
        <v>Clinical</v>
      </c>
      <c r="H97" t="str">
        <f>VLOOKUP($E97,TaskValues_ref!$E:$Z,4,FALSE)</f>
        <v>Acute</v>
      </c>
      <c r="I97" t="str">
        <f>VLOOKUP($E97,TaskValues_ref!$E:$Z,5,FALSE)</f>
        <v>Mental health</v>
      </c>
      <c r="J97" s="257" t="str">
        <f>VLOOKUP($E97,TaskValues_ref!$E:$Z,6,FALSE)</f>
        <v>30 yo adults</v>
      </c>
      <c r="K97" t="str">
        <f>VLOOKUP($E97,TaskValues_ref!$E:$Z,10,FALSE)</f>
        <v>Amhara</v>
      </c>
      <c r="L97" s="195" t="str">
        <f>IF(VLOOKUP($E97,TaskValues_ref!$E:$Z,11,FALSE)=0,"",VLOOKUP($E97,TaskValues_ref!$E:$Z,11,FALSE))</f>
        <v/>
      </c>
      <c r="M97" t="str">
        <f>IF(VLOOKUP($E97,TaskValues_ref!$E:$Z,13,FALSE)=0,"",VLOOKUP($E97,TaskValues_ref!$E:$Z,13,FALSE))</f>
        <v/>
      </c>
      <c r="N97" s="89">
        <f>IF(VLOOKUP($E97,TaskValues_ref!$E:$Z,15,FALSE)=0,"",VLOOKUP($E97,TaskValues_ref!$E:$Z,15,FALSE))</f>
        <v>1</v>
      </c>
      <c r="O97">
        <f>IF(VLOOKUP($E97,TaskValues_ref!$E:$Z,16,FALSE)=0,"",VLOOKUP($E97,TaskValues_ref!$E:$Z,16,FALSE))</f>
        <v>1</v>
      </c>
      <c r="P97" t="str">
        <f>IF(VLOOKUP($E97,TaskValues_ref!$E:$Z,17,FALSE)=0,"",VLOOKUP($E97,TaskValues_ref!$E:$Z,17,FALSE))</f>
        <v/>
      </c>
      <c r="Q97">
        <f>IF(VLOOKUP($E97,TaskValues_ref!$E:$Z,18,FALSE)=0,"",VLOOKUP($E97,TaskValues_ref!$E:$Z,18,FALSE))</f>
        <v>15</v>
      </c>
      <c r="R97" t="str">
        <f>IF(VLOOKUP($E97,TaskValues_ref!$E:$Z,19,FALSE)=0,"",VLOOKUP($E97,TaskValues_ref!$E:$Z,19,FALSE))</f>
        <v/>
      </c>
      <c r="S97" t="str">
        <f>IF(VLOOKUP($E97,TaskValues_ref!$E:$Z,20,FALSE)=0,"",VLOOKUP($E97,TaskValues_ref!$E:$Z,20,FALSE))</f>
        <v/>
      </c>
    </row>
    <row r="98" spans="1:19" x14ac:dyDescent="0.45">
      <c r="A98" s="66" t="s">
        <v>2337</v>
      </c>
      <c r="B98" s="66" t="s">
        <v>2378</v>
      </c>
      <c r="C98" s="66" t="s">
        <v>232</v>
      </c>
      <c r="D98" s="66">
        <v>134</v>
      </c>
      <c r="E98" s="64" t="s">
        <v>2721</v>
      </c>
      <c r="F98" t="str">
        <f>VLOOKUP(E98,TaskValues_ref!E:F,2,FALSE)</f>
        <v>Safer storage of pesticides</v>
      </c>
      <c r="G98" t="str">
        <f>VLOOKUP($E98,TaskValues_ref!$E:$Z,3,FALSE)</f>
        <v>Non-clinical</v>
      </c>
      <c r="H98" t="str">
        <f>VLOOKUP($E98,TaskValues_ref!$E:$Z,4,FALSE)</f>
        <v>Public health</v>
      </c>
      <c r="I98" t="str">
        <f>VLOOKUP($E98,TaskValues_ref!$E:$Z,5,FALSE)</f>
        <v>Mental health</v>
      </c>
      <c r="J98" s="257" t="str">
        <f>VLOOKUP($E98,TaskValues_ref!$E:$Z,6,FALSE)</f>
        <v>-</v>
      </c>
      <c r="K98" t="str">
        <f>VLOOKUP($E98,TaskValues_ref!$E:$Z,10,FALSE)</f>
        <v>Amhara</v>
      </c>
      <c r="L98" s="195" t="str">
        <f>IF(VLOOKUP($E98,TaskValues_ref!$E:$Z,11,FALSE)=0,"",VLOOKUP($E98,TaskValues_ref!$E:$Z,11,FALSE))</f>
        <v/>
      </c>
      <c r="M98" t="str">
        <f>IF(VLOOKUP($E98,TaskValues_ref!$E:$Z,13,FALSE)=0,"",VLOOKUP($E98,TaskValues_ref!$E:$Z,13,FALSE))</f>
        <v/>
      </c>
      <c r="N98" s="89" t="str">
        <f>IF(VLOOKUP($E98,TaskValues_ref!$E:$Z,15,FALSE)=0,"",VLOOKUP($E98,TaskValues_ref!$E:$Z,15,FALSE))</f>
        <v/>
      </c>
      <c r="O98" t="str">
        <f>IF(VLOOKUP($E98,TaskValues_ref!$E:$Z,16,FALSE)=0,"",VLOOKUP($E98,TaskValues_ref!$E:$Z,16,FALSE))</f>
        <v/>
      </c>
      <c r="P98" t="str">
        <f>IF(VLOOKUP($E98,TaskValues_ref!$E:$Z,17,FALSE)=0,"",VLOOKUP($E98,TaskValues_ref!$E:$Z,17,FALSE))</f>
        <v/>
      </c>
      <c r="Q98" t="str">
        <f>IF(VLOOKUP($E98,TaskValues_ref!$E:$Z,18,FALSE)=0,"",VLOOKUP($E98,TaskValues_ref!$E:$Z,18,FALSE))</f>
        <v/>
      </c>
      <c r="R98" t="str">
        <f>IF(VLOOKUP($E98,TaskValues_ref!$E:$Z,19,FALSE)=0,"",VLOOKUP($E98,TaskValues_ref!$E:$Z,19,FALSE))</f>
        <v/>
      </c>
      <c r="S98" t="str">
        <f>IF(VLOOKUP($E98,TaskValues_ref!$E:$Z,20,FALSE)=0,"",VLOOKUP($E98,TaskValues_ref!$E:$Z,20,FALSE))</f>
        <v/>
      </c>
    </row>
    <row r="99" spans="1:19" x14ac:dyDescent="0.45">
      <c r="A99" s="66" t="s">
        <v>2337</v>
      </c>
      <c r="B99" s="66" t="s">
        <v>2378</v>
      </c>
      <c r="C99" s="66" t="s">
        <v>232</v>
      </c>
      <c r="D99" s="66">
        <v>135</v>
      </c>
      <c r="E99" s="64" t="s">
        <v>2722</v>
      </c>
      <c r="F99" t="str">
        <f>VLOOKUP(E99,TaskValues_ref!E:F,2,FALSE)</f>
        <v>Emergency poisoning response</v>
      </c>
      <c r="G99" t="str">
        <f>VLOOKUP($E99,TaskValues_ref!$E:$Z,3,FALSE)</f>
        <v>Clinical</v>
      </c>
      <c r="H99" t="str">
        <f>VLOOKUP($E99,TaskValues_ref!$E:$Z,4,FALSE)</f>
        <v>Acute</v>
      </c>
      <c r="I99" t="str">
        <f>VLOOKUP($E99,TaskValues_ref!$E:$Z,5,FALSE)</f>
        <v>Mental health</v>
      </c>
      <c r="J99" s="257" t="str">
        <f>VLOOKUP($E99,TaskValues_ref!$E:$Z,6,FALSE)</f>
        <v>adults 18+</v>
      </c>
      <c r="K99" t="str">
        <f>VLOOKUP($E99,TaskValues_ref!$E:$Z,10,FALSE)</f>
        <v>Amhara</v>
      </c>
      <c r="L99" s="195" t="str">
        <f>IF(VLOOKUP($E99,TaskValues_ref!$E:$Z,11,FALSE)=0,"",VLOOKUP($E99,TaskValues_ref!$E:$Z,11,FALSE))</f>
        <v/>
      </c>
      <c r="M99" t="str">
        <f>IF(VLOOKUP($E99,TaskValues_ref!$E:$Z,13,FALSE)=0,"",VLOOKUP($E99,TaskValues_ref!$E:$Z,13,FALSE))</f>
        <v/>
      </c>
      <c r="N99" s="89">
        <f>IF(VLOOKUP($E99,TaskValues_ref!$E:$Z,15,FALSE)=0,"",VLOOKUP($E99,TaskValues_ref!$E:$Z,15,FALSE))</f>
        <v>1</v>
      </c>
      <c r="O99">
        <f>IF(VLOOKUP($E99,TaskValues_ref!$E:$Z,16,FALSE)=0,"",VLOOKUP($E99,TaskValues_ref!$E:$Z,16,FALSE))</f>
        <v>1</v>
      </c>
      <c r="P99" t="str">
        <f>IF(VLOOKUP($E99,TaskValues_ref!$E:$Z,17,FALSE)=0,"",VLOOKUP($E99,TaskValues_ref!$E:$Z,17,FALSE))</f>
        <v/>
      </c>
      <c r="Q99">
        <f>IF(VLOOKUP($E99,TaskValues_ref!$E:$Z,18,FALSE)=0,"",VLOOKUP($E99,TaskValues_ref!$E:$Z,18,FALSE))</f>
        <v>15</v>
      </c>
      <c r="R99" t="str">
        <f>IF(VLOOKUP($E99,TaskValues_ref!$E:$Z,19,FALSE)=0,"",VLOOKUP($E99,TaskValues_ref!$E:$Z,19,FALSE))</f>
        <v/>
      </c>
      <c r="S99" t="str">
        <f>IF(VLOOKUP($E99,TaskValues_ref!$E:$Z,20,FALSE)=0,"",VLOOKUP($E99,TaskValues_ref!$E:$Z,20,FALSE))</f>
        <v/>
      </c>
    </row>
    <row r="100" spans="1:19" x14ac:dyDescent="0.45">
      <c r="A100" s="66" t="s">
        <v>2337</v>
      </c>
      <c r="B100" s="66" t="s">
        <v>2378</v>
      </c>
      <c r="C100" s="66" t="s">
        <v>2395</v>
      </c>
      <c r="D100" s="66">
        <v>136</v>
      </c>
      <c r="E100" s="64" t="s">
        <v>2723</v>
      </c>
      <c r="F100" t="str">
        <f>VLOOKUP(E100,TaskValues_ref!E:F,2,FALSE)</f>
        <v>Awareness &amp; screening for cataracts</v>
      </c>
      <c r="G100" t="str">
        <f>VLOOKUP($E100,TaskValues_ref!$E:$Z,3,FALSE)</f>
        <v>Clinical</v>
      </c>
      <c r="H100" t="str">
        <f>VLOOKUP($E100,TaskValues_ref!$E:$Z,4,FALSE)</f>
        <v>Preventive</v>
      </c>
      <c r="I100" t="str">
        <f>VLOOKUP($E100,TaskValues_ref!$E:$Z,5,FALSE)</f>
        <v>NCDs</v>
      </c>
      <c r="J100" s="257" t="str">
        <f>VLOOKUP($E100,TaskValues_ref!$E:$Z,6,FALSE)</f>
        <v>adults 18+</v>
      </c>
      <c r="K100" t="str">
        <f>VLOOKUP($E100,TaskValues_ref!$E:$Z,10,FALSE)</f>
        <v>Amhara</v>
      </c>
      <c r="L100" s="195">
        <f>IF(VLOOKUP($E100,TaskValues_ref!$E:$Z,11,FALSE)=0,"",VLOOKUP($E100,TaskValues_ref!$E:$Z,11,FALSE))</f>
        <v>4.8212E-4</v>
      </c>
      <c r="M100" t="str">
        <f>IF(VLOOKUP($E100,TaskValues_ref!$E:$Z,13,FALSE)=0,"",VLOOKUP($E100,TaskValues_ref!$E:$Z,13,FALSE))</f>
        <v/>
      </c>
      <c r="N100" s="89">
        <f>IF(VLOOKUP($E100,TaskValues_ref!$E:$Z,15,FALSE)=0,"",VLOOKUP($E100,TaskValues_ref!$E:$Z,15,FALSE))</f>
        <v>1.0311999999999999</v>
      </c>
      <c r="O100">
        <f>IF(VLOOKUP($E100,TaskValues_ref!$E:$Z,16,FALSE)=0,"",VLOOKUP($E100,TaskValues_ref!$E:$Z,16,FALSE))</f>
        <v>1</v>
      </c>
      <c r="P100" t="str">
        <f>IF(VLOOKUP($E100,TaskValues_ref!$E:$Z,17,FALSE)=0,"",VLOOKUP($E100,TaskValues_ref!$E:$Z,17,FALSE))</f>
        <v/>
      </c>
      <c r="Q100">
        <f>IF(VLOOKUP($E100,TaskValues_ref!$E:$Z,18,FALSE)=0,"",VLOOKUP($E100,TaskValues_ref!$E:$Z,18,FALSE))</f>
        <v>10</v>
      </c>
      <c r="R100" t="str">
        <f>IF(VLOOKUP($E100,TaskValues_ref!$E:$Z,19,FALSE)=0,"",VLOOKUP($E100,TaskValues_ref!$E:$Z,19,FALSE))</f>
        <v/>
      </c>
      <c r="S100" t="str">
        <f>IF(VLOOKUP($E100,TaskValues_ref!$E:$Z,20,FALSE)=0,"",VLOOKUP($E100,TaskValues_ref!$E:$Z,20,FALSE))</f>
        <v/>
      </c>
    </row>
    <row r="101" spans="1:19" x14ac:dyDescent="0.45">
      <c r="A101" s="66" t="s">
        <v>2337</v>
      </c>
      <c r="B101" s="66" t="s">
        <v>2378</v>
      </c>
      <c r="C101" s="66" t="s">
        <v>2395</v>
      </c>
      <c r="D101" s="66">
        <v>137</v>
      </c>
      <c r="E101" s="64" t="s">
        <v>2724</v>
      </c>
      <c r="F101" t="str">
        <f>VLOOKUP(E101,TaskValues_ref!E:F,2,FALSE)</f>
        <v>Awareness of eye glasses</v>
      </c>
      <c r="G101" t="str">
        <f>VLOOKUP($E101,TaskValues_ref!$E:$Z,3,FALSE)</f>
        <v>Clinical</v>
      </c>
      <c r="H101" t="str">
        <f>VLOOKUP($E101,TaskValues_ref!$E:$Z,4,FALSE)</f>
        <v>Public health</v>
      </c>
      <c r="I101" t="str">
        <f>VLOOKUP($E101,TaskValues_ref!$E:$Z,5,FALSE)</f>
        <v>NCDs</v>
      </c>
      <c r="J101" s="257" t="str">
        <f>VLOOKUP($E101,TaskValues_ref!$E:$Z,6,FALSE)</f>
        <v>-</v>
      </c>
      <c r="K101" t="str">
        <f>VLOOKUP($E101,TaskValues_ref!$E:$Z,10,FALSE)</f>
        <v>Amhara</v>
      </c>
      <c r="L101" s="195" t="str">
        <f>IF(VLOOKUP($E101,TaskValues_ref!$E:$Z,11,FALSE)=0,"",VLOOKUP($E101,TaskValues_ref!$E:$Z,11,FALSE))</f>
        <v/>
      </c>
      <c r="M101" t="str">
        <f>IF(VLOOKUP($E101,TaskValues_ref!$E:$Z,13,FALSE)=0,"",VLOOKUP($E101,TaskValues_ref!$E:$Z,13,FALSE))</f>
        <v/>
      </c>
      <c r="N101" s="89" t="str">
        <f>IF(VLOOKUP($E101,TaskValues_ref!$E:$Z,15,FALSE)=0,"",VLOOKUP($E101,TaskValues_ref!$E:$Z,15,FALSE))</f>
        <v/>
      </c>
      <c r="O101" t="str">
        <f>IF(VLOOKUP($E101,TaskValues_ref!$E:$Z,16,FALSE)=0,"",VLOOKUP($E101,TaskValues_ref!$E:$Z,16,FALSE))</f>
        <v/>
      </c>
      <c r="P101" t="str">
        <f>IF(VLOOKUP($E101,TaskValues_ref!$E:$Z,17,FALSE)=0,"",VLOOKUP($E101,TaskValues_ref!$E:$Z,17,FALSE))</f>
        <v/>
      </c>
      <c r="Q101" t="str">
        <f>IF(VLOOKUP($E101,TaskValues_ref!$E:$Z,18,FALSE)=0,"",VLOOKUP($E101,TaskValues_ref!$E:$Z,18,FALSE))</f>
        <v/>
      </c>
      <c r="R101" t="str">
        <f>IF(VLOOKUP($E101,TaskValues_ref!$E:$Z,19,FALSE)=0,"",VLOOKUP($E101,TaskValues_ref!$E:$Z,19,FALSE))</f>
        <v/>
      </c>
      <c r="S101" t="str">
        <f>IF(VLOOKUP($E101,TaskValues_ref!$E:$Z,20,FALSE)=0,"",VLOOKUP($E101,TaskValues_ref!$E:$Z,20,FALSE))</f>
        <v/>
      </c>
    </row>
    <row r="102" spans="1:19" x14ac:dyDescent="0.45">
      <c r="A102" s="66" t="s">
        <v>2337</v>
      </c>
      <c r="B102" s="66" t="s">
        <v>2378</v>
      </c>
      <c r="C102" s="66" t="s">
        <v>2395</v>
      </c>
      <c r="D102" s="66">
        <v>140</v>
      </c>
      <c r="E102" s="64" t="s">
        <v>2727</v>
      </c>
      <c r="F102" t="str">
        <f>VLOOKUP(E102,TaskValues_ref!E:F,2,FALSE)</f>
        <v>Awareness &amp; screening for glaucoma</v>
      </c>
      <c r="G102" t="str">
        <f>VLOOKUP($E102,TaskValues_ref!$E:$Z,3,FALSE)</f>
        <v>Clinical</v>
      </c>
      <c r="H102" t="str">
        <f>VLOOKUP($E102,TaskValues_ref!$E:$Z,4,FALSE)</f>
        <v>Preventive</v>
      </c>
      <c r="I102" t="str">
        <f>VLOOKUP($E102,TaskValues_ref!$E:$Z,5,FALSE)</f>
        <v>NCDs</v>
      </c>
      <c r="J102" s="257" t="str">
        <f>VLOOKUP($E102,TaskValues_ref!$E:$Z,6,FALSE)</f>
        <v>50 yo adults</v>
      </c>
      <c r="K102" t="str">
        <f>VLOOKUP($E102,TaskValues_ref!$E:$Z,10,FALSE)</f>
        <v>Amhara</v>
      </c>
      <c r="L102" s="195" t="str">
        <f>IF(VLOOKUP($E102,TaskValues_ref!$E:$Z,11,FALSE)=0,"",VLOOKUP($E102,TaskValues_ref!$E:$Z,11,FALSE))</f>
        <v/>
      </c>
      <c r="M102" t="str">
        <f>IF(VLOOKUP($E102,TaskValues_ref!$E:$Z,13,FALSE)=0,"",VLOOKUP($E102,TaskValues_ref!$E:$Z,13,FALSE))</f>
        <v/>
      </c>
      <c r="N102" s="89">
        <f>IF(VLOOKUP($E102,TaskValues_ref!$E:$Z,15,FALSE)=0,"",VLOOKUP($E102,TaskValues_ref!$E:$Z,15,FALSE))</f>
        <v>1</v>
      </c>
      <c r="O102">
        <f>IF(VLOOKUP($E102,TaskValues_ref!$E:$Z,16,FALSE)=0,"",VLOOKUP($E102,TaskValues_ref!$E:$Z,16,FALSE))</f>
        <v>1</v>
      </c>
      <c r="P102" t="str">
        <f>IF(VLOOKUP($E102,TaskValues_ref!$E:$Z,17,FALSE)=0,"",VLOOKUP($E102,TaskValues_ref!$E:$Z,17,FALSE))</f>
        <v/>
      </c>
      <c r="Q102">
        <f>IF(VLOOKUP($E102,TaskValues_ref!$E:$Z,18,FALSE)=0,"",VLOOKUP($E102,TaskValues_ref!$E:$Z,18,FALSE))</f>
        <v>15</v>
      </c>
      <c r="R102" t="str">
        <f>IF(VLOOKUP($E102,TaskValues_ref!$E:$Z,19,FALSE)=0,"",VLOOKUP($E102,TaskValues_ref!$E:$Z,19,FALSE))</f>
        <v/>
      </c>
      <c r="S102" t="str">
        <f>IF(VLOOKUP($E102,TaskValues_ref!$E:$Z,20,FALSE)=0,"",VLOOKUP($E102,TaskValues_ref!$E:$Z,20,FALSE))</f>
        <v/>
      </c>
    </row>
    <row r="103" spans="1:19" x14ac:dyDescent="0.45">
      <c r="A103" s="66" t="s">
        <v>2337</v>
      </c>
      <c r="B103" s="66" t="s">
        <v>528</v>
      </c>
      <c r="D103" s="66">
        <v>156</v>
      </c>
      <c r="E103" s="64" t="s">
        <v>2451</v>
      </c>
      <c r="F103" t="str">
        <f>VLOOKUP(E103,TaskValues_ref!E:F,2,FALSE)</f>
        <v>Surveillance for NTDs</v>
      </c>
      <c r="G103" t="str">
        <f>VLOOKUP($E103,TaskValues_ref!$E:$Z,3,FALSE)</f>
        <v>Non-productive</v>
      </c>
      <c r="H103" t="str">
        <f>VLOOKUP($E103,TaskValues_ref!$E:$Z,4,FALSE)</f>
        <v>Public Health</v>
      </c>
      <c r="I103" t="str">
        <f>VLOOKUP($E103,TaskValues_ref!$E:$Z,5,FALSE)</f>
        <v>-</v>
      </c>
      <c r="J103" s="257" t="str">
        <f>VLOOKUP($E103,TaskValues_ref!$E:$Z,6,FALSE)</f>
        <v>-</v>
      </c>
      <c r="K103" t="str">
        <f>VLOOKUP($E103,TaskValues_ref!$E:$Z,10,FALSE)</f>
        <v>Amhara</v>
      </c>
      <c r="L103" s="195" t="str">
        <f>IF(VLOOKUP($E103,TaskValues_ref!$E:$Z,11,FALSE)=0,"",VLOOKUP($E103,TaskValues_ref!$E:$Z,11,FALSE))</f>
        <v/>
      </c>
      <c r="M103" t="str">
        <f>IF(VLOOKUP($E103,TaskValues_ref!$E:$Z,13,FALSE)=0,"",VLOOKUP($E103,TaskValues_ref!$E:$Z,13,FALSE))</f>
        <v/>
      </c>
      <c r="N103" s="89" t="str">
        <f>IF(VLOOKUP($E103,TaskValues_ref!$E:$Z,15,FALSE)=0,"",VLOOKUP($E103,TaskValues_ref!$E:$Z,15,FALSE))</f>
        <v/>
      </c>
      <c r="O103" t="str">
        <f>IF(VLOOKUP($E103,TaskValues_ref!$E:$Z,16,FALSE)=0,"",VLOOKUP($E103,TaskValues_ref!$E:$Z,16,FALSE))</f>
        <v/>
      </c>
      <c r="P103" t="str">
        <f>IF(VLOOKUP($E103,TaskValues_ref!$E:$Z,17,FALSE)=0,"",VLOOKUP($E103,TaskValues_ref!$E:$Z,17,FALSE))</f>
        <v/>
      </c>
      <c r="Q103" t="str">
        <f>IF(VLOOKUP($E103,TaskValues_ref!$E:$Z,18,FALSE)=0,"",VLOOKUP($E103,TaskValues_ref!$E:$Z,18,FALSE))</f>
        <v/>
      </c>
      <c r="R103" t="str">
        <f>IF(VLOOKUP($E103,TaskValues_ref!$E:$Z,19,FALSE)=0,"",VLOOKUP($E103,TaskValues_ref!$E:$Z,19,FALSE))</f>
        <v/>
      </c>
      <c r="S103" t="str">
        <f>IF(VLOOKUP($E103,TaskValues_ref!$E:$Z,20,FALSE)=0,"",VLOOKUP($E103,TaskValues_ref!$E:$Z,20,FALSE))</f>
        <v/>
      </c>
    </row>
    <row r="104" spans="1:19" x14ac:dyDescent="0.45">
      <c r="A104" s="66" t="s">
        <v>2337</v>
      </c>
      <c r="B104" s="66" t="s">
        <v>528</v>
      </c>
      <c r="C104" s="66" t="s">
        <v>2453</v>
      </c>
      <c r="D104" s="66">
        <v>157</v>
      </c>
      <c r="E104" s="64" t="s">
        <v>2730</v>
      </c>
      <c r="F104" t="str">
        <f>VLOOKUP(E104,TaskValues_ref!E:F,2,FALSE)</f>
        <v>LF screening &amp; referral</v>
      </c>
      <c r="G104" t="str">
        <f>VLOOKUP($E104,TaskValues_ref!$E:$Z,3,FALSE)</f>
        <v>Clinical</v>
      </c>
      <c r="H104" t="str">
        <f>VLOOKUP($E104,TaskValues_ref!$E:$Z,4,FALSE)</f>
        <v>Acute</v>
      </c>
      <c r="I104" t="str">
        <f>VLOOKUP($E104,TaskValues_ref!$E:$Z,5,FALSE)</f>
        <v>NTDs</v>
      </c>
      <c r="J104" s="257" t="str">
        <f>VLOOKUP($E104,TaskValues_ref!$E:$Z,6,FALSE)</f>
        <v>adults 18+</v>
      </c>
      <c r="K104" t="str">
        <f>VLOOKUP($E104,TaskValues_ref!$E:$Z,10,FALSE)</f>
        <v>Amhara</v>
      </c>
      <c r="L104" s="195">
        <f>IF(VLOOKUP($E104,TaskValues_ref!$E:$Z,11,FALSE)=0,"",VLOOKUP($E104,TaskValues_ref!$E:$Z,11,FALSE))</f>
        <v>5.2961877439969256E-3</v>
      </c>
      <c r="M104" t="str">
        <f>IF(VLOOKUP($E104,TaskValues_ref!$E:$Z,13,FALSE)=0,"",VLOOKUP($E104,TaskValues_ref!$E:$Z,13,FALSE))</f>
        <v/>
      </c>
      <c r="N104" s="89">
        <f>IF(VLOOKUP($E104,TaskValues_ref!$E:$Z,15,FALSE)=0,"",VLOOKUP($E104,TaskValues_ref!$E:$Z,15,FALSE))</f>
        <v>0.98</v>
      </c>
      <c r="O104">
        <f>IF(VLOOKUP($E104,TaskValues_ref!$E:$Z,16,FALSE)=0,"",VLOOKUP($E104,TaskValues_ref!$E:$Z,16,FALSE))</f>
        <v>1</v>
      </c>
      <c r="P104" t="str">
        <f>IF(VLOOKUP($E104,TaskValues_ref!$E:$Z,17,FALSE)=0,"",VLOOKUP($E104,TaskValues_ref!$E:$Z,17,FALSE))</f>
        <v/>
      </c>
      <c r="Q104">
        <f>IF(VLOOKUP($E104,TaskValues_ref!$E:$Z,18,FALSE)=0,"",VLOOKUP($E104,TaskValues_ref!$E:$Z,18,FALSE))</f>
        <v>5</v>
      </c>
      <c r="R104" t="str">
        <f>IF(VLOOKUP($E104,TaskValues_ref!$E:$Z,19,FALSE)=0,"",VLOOKUP($E104,TaskValues_ref!$E:$Z,19,FALSE))</f>
        <v/>
      </c>
      <c r="S104" t="str">
        <f>IF(VLOOKUP($E104,TaskValues_ref!$E:$Z,20,FALSE)=0,"",VLOOKUP($E104,TaskValues_ref!$E:$Z,20,FALSE))</f>
        <v/>
      </c>
    </row>
    <row r="105" spans="1:19" x14ac:dyDescent="0.45">
      <c r="A105" s="66" t="s">
        <v>2337</v>
      </c>
      <c r="B105" s="66" t="s">
        <v>528</v>
      </c>
      <c r="C105" s="66" t="s">
        <v>2453</v>
      </c>
      <c r="D105" s="66">
        <v>159</v>
      </c>
      <c r="E105" s="64" t="s">
        <v>2732</v>
      </c>
      <c r="F105" t="str">
        <f>VLOOKUP(E105,TaskValues_ref!E:F,2,FALSE)</f>
        <v>LLINs and IRS</v>
      </c>
      <c r="G105" t="str">
        <f>VLOOKUP($E105,TaskValues_ref!$E:$Z,3,FALSE)</f>
        <v>Non-clinical</v>
      </c>
      <c r="H105" t="str">
        <f>VLOOKUP($E105,TaskValues_ref!$E:$Z,4,FALSE)</f>
        <v>Public Health</v>
      </c>
      <c r="I105" t="str">
        <f>VLOOKUP($E105,TaskValues_ref!$E:$Z,5,FALSE)</f>
        <v>NTDs</v>
      </c>
      <c r="J105" s="257" t="str">
        <f>VLOOKUP($E105,TaskValues_ref!$E:$Z,6,FALSE)</f>
        <v>all</v>
      </c>
      <c r="K105" t="str">
        <f>VLOOKUP($E105,TaskValues_ref!$E:$Z,10,FALSE)</f>
        <v>Amhara</v>
      </c>
      <c r="L105" s="195">
        <f>IF(VLOOKUP($E105,TaskValues_ref!$E:$Z,11,FALSE)=0,"",VLOOKUP($E105,TaskValues_ref!$E:$Z,11,FALSE))</f>
        <v>0.25</v>
      </c>
      <c r="M105" t="str">
        <f>IF(VLOOKUP($E105,TaskValues_ref!$E:$Z,13,FALSE)=0,"",VLOOKUP($E105,TaskValues_ref!$E:$Z,13,FALSE))</f>
        <v/>
      </c>
      <c r="N105" s="89" t="str">
        <f>IF(VLOOKUP($E105,TaskValues_ref!$E:$Z,15,FALSE)=0,"",VLOOKUP($E105,TaskValues_ref!$E:$Z,15,FALSE))</f>
        <v/>
      </c>
      <c r="O105" t="str">
        <f>IF(VLOOKUP($E105,TaskValues_ref!$E:$Z,16,FALSE)=0,"",VLOOKUP($E105,TaskValues_ref!$E:$Z,16,FALSE))</f>
        <v/>
      </c>
      <c r="P105">
        <f>IF(VLOOKUP($E105,TaskValues_ref!$E:$Z,17,FALSE)=0,"",VLOOKUP($E105,TaskValues_ref!$E:$Z,17,FALSE))</f>
        <v>1</v>
      </c>
      <c r="Q105">
        <f>IF(VLOOKUP($E105,TaskValues_ref!$E:$Z,18,FALSE)=0,"",VLOOKUP($E105,TaskValues_ref!$E:$Z,18,FALSE))</f>
        <v>5</v>
      </c>
      <c r="R105" t="str">
        <f>IF(VLOOKUP($E105,TaskValues_ref!$E:$Z,19,FALSE)=0,"",VLOOKUP($E105,TaskValues_ref!$E:$Z,19,FALSE))</f>
        <v/>
      </c>
      <c r="S105" t="str">
        <f>IF(VLOOKUP($E105,TaskValues_ref!$E:$Z,20,FALSE)=0,"",VLOOKUP($E105,TaskValues_ref!$E:$Z,20,FALSE))</f>
        <v/>
      </c>
    </row>
    <row r="106" spans="1:19" x14ac:dyDescent="0.45">
      <c r="A106" s="66" t="s">
        <v>2337</v>
      </c>
      <c r="B106" s="66" t="s">
        <v>528</v>
      </c>
      <c r="C106" s="66" t="s">
        <v>406</v>
      </c>
      <c r="D106" s="66">
        <v>160</v>
      </c>
      <c r="E106" s="64" t="s">
        <v>2733</v>
      </c>
      <c r="F106" t="str">
        <f>VLOOKUP(E106,TaskValues_ref!E:F,2,FALSE)</f>
        <v>LF behavior change</v>
      </c>
      <c r="G106" t="str">
        <f>VLOOKUP($E106,TaskValues_ref!$E:$Z,3,FALSE)</f>
        <v>Non-clinical</v>
      </c>
      <c r="H106" t="str">
        <f>VLOOKUP($E106,TaskValues_ref!$E:$Z,4,FALSE)</f>
        <v>Public Health</v>
      </c>
      <c r="I106" t="str">
        <f>VLOOKUP($E106,TaskValues_ref!$E:$Z,5,FALSE)</f>
        <v>NTDs</v>
      </c>
      <c r="J106" s="257" t="str">
        <f>VLOOKUP($E106,TaskValues_ref!$E:$Z,6,FALSE)</f>
        <v>-</v>
      </c>
      <c r="K106" t="str">
        <f>VLOOKUP($E106,TaskValues_ref!$E:$Z,10,FALSE)</f>
        <v>Amhara</v>
      </c>
      <c r="L106" s="195" t="str">
        <f>IF(VLOOKUP($E106,TaskValues_ref!$E:$Z,11,FALSE)=0,"",VLOOKUP($E106,TaskValues_ref!$E:$Z,11,FALSE))</f>
        <v/>
      </c>
      <c r="M106" t="str">
        <f>IF(VLOOKUP($E106,TaskValues_ref!$E:$Z,13,FALSE)=0,"",VLOOKUP($E106,TaskValues_ref!$E:$Z,13,FALSE))</f>
        <v/>
      </c>
      <c r="N106" s="89" t="str">
        <f>IF(VLOOKUP($E106,TaskValues_ref!$E:$Z,15,FALSE)=0,"",VLOOKUP($E106,TaskValues_ref!$E:$Z,15,FALSE))</f>
        <v/>
      </c>
      <c r="O106" t="str">
        <f>IF(VLOOKUP($E106,TaskValues_ref!$E:$Z,16,FALSE)=0,"",VLOOKUP($E106,TaskValues_ref!$E:$Z,16,FALSE))</f>
        <v/>
      </c>
      <c r="P106" t="str">
        <f>IF(VLOOKUP($E106,TaskValues_ref!$E:$Z,17,FALSE)=0,"",VLOOKUP($E106,TaskValues_ref!$E:$Z,17,FALSE))</f>
        <v/>
      </c>
      <c r="Q106" t="str">
        <f>IF(VLOOKUP($E106,TaskValues_ref!$E:$Z,18,FALSE)=0,"",VLOOKUP($E106,TaskValues_ref!$E:$Z,18,FALSE))</f>
        <v/>
      </c>
      <c r="R106" t="str">
        <f>IF(VLOOKUP($E106,TaskValues_ref!$E:$Z,19,FALSE)=0,"",VLOOKUP($E106,TaskValues_ref!$E:$Z,19,FALSE))</f>
        <v/>
      </c>
      <c r="S106" t="str">
        <f>IF(VLOOKUP($E106,TaskValues_ref!$E:$Z,20,FALSE)=0,"",VLOOKUP($E106,TaskValues_ref!$E:$Z,20,FALSE))</f>
        <v/>
      </c>
    </row>
    <row r="107" spans="1:19" x14ac:dyDescent="0.45">
      <c r="A107" s="66" t="s">
        <v>2337</v>
      </c>
      <c r="B107" s="66" t="s">
        <v>528</v>
      </c>
      <c r="C107" s="66" t="s">
        <v>410</v>
      </c>
      <c r="D107" s="66">
        <v>162</v>
      </c>
      <c r="E107" s="64" t="s">
        <v>2735</v>
      </c>
      <c r="F107" t="str">
        <f>VLOOKUP(E107,TaskValues_ref!E:F,2,FALSE)</f>
        <v>Oncho behavior change</v>
      </c>
      <c r="G107" t="str">
        <f>VLOOKUP($E107,TaskValues_ref!$E:$Z,3,FALSE)</f>
        <v>Non-clinical</v>
      </c>
      <c r="H107" t="str">
        <f>VLOOKUP($E107,TaskValues_ref!$E:$Z,4,FALSE)</f>
        <v>Public Health</v>
      </c>
      <c r="I107" t="str">
        <f>VLOOKUP($E107,TaskValues_ref!$E:$Z,5,FALSE)</f>
        <v>NTDs</v>
      </c>
      <c r="J107" s="257" t="str">
        <f>VLOOKUP($E107,TaskValues_ref!$E:$Z,6,FALSE)</f>
        <v>-</v>
      </c>
      <c r="K107" t="str">
        <f>VLOOKUP($E107,TaskValues_ref!$E:$Z,10,FALSE)</f>
        <v>Amhara</v>
      </c>
      <c r="L107" s="195" t="str">
        <f>IF(VLOOKUP($E107,TaskValues_ref!$E:$Z,11,FALSE)=0,"",VLOOKUP($E107,TaskValues_ref!$E:$Z,11,FALSE))</f>
        <v/>
      </c>
      <c r="M107" t="str">
        <f>IF(VLOOKUP($E107,TaskValues_ref!$E:$Z,13,FALSE)=0,"",VLOOKUP($E107,TaskValues_ref!$E:$Z,13,FALSE))</f>
        <v/>
      </c>
      <c r="N107" s="89" t="str">
        <f>IF(VLOOKUP($E107,TaskValues_ref!$E:$Z,15,FALSE)=0,"",VLOOKUP($E107,TaskValues_ref!$E:$Z,15,FALSE))</f>
        <v/>
      </c>
      <c r="O107" t="str">
        <f>IF(VLOOKUP($E107,TaskValues_ref!$E:$Z,16,FALSE)=0,"",VLOOKUP($E107,TaskValues_ref!$E:$Z,16,FALSE))</f>
        <v/>
      </c>
      <c r="P107" t="str">
        <f>IF(VLOOKUP($E107,TaskValues_ref!$E:$Z,17,FALSE)=0,"",VLOOKUP($E107,TaskValues_ref!$E:$Z,17,FALSE))</f>
        <v/>
      </c>
      <c r="Q107" t="str">
        <f>IF(VLOOKUP($E107,TaskValues_ref!$E:$Z,18,FALSE)=0,"",VLOOKUP($E107,TaskValues_ref!$E:$Z,18,FALSE))</f>
        <v/>
      </c>
      <c r="R107" t="str">
        <f>IF(VLOOKUP($E107,TaskValues_ref!$E:$Z,19,FALSE)=0,"",VLOOKUP($E107,TaskValues_ref!$E:$Z,19,FALSE))</f>
        <v/>
      </c>
      <c r="S107" t="str">
        <f>IF(VLOOKUP($E107,TaskValues_ref!$E:$Z,20,FALSE)=0,"",VLOOKUP($E107,TaskValues_ref!$E:$Z,20,FALSE))</f>
        <v/>
      </c>
    </row>
    <row r="108" spans="1:19" x14ac:dyDescent="0.45">
      <c r="A108" s="66" t="s">
        <v>2337</v>
      </c>
      <c r="B108" s="66" t="s">
        <v>528</v>
      </c>
      <c r="C108" s="66" t="s">
        <v>410</v>
      </c>
      <c r="D108" s="66">
        <v>163</v>
      </c>
      <c r="E108" s="64" t="s">
        <v>2736</v>
      </c>
      <c r="F108" t="str">
        <f>VLOOKUP(E108,TaskValues_ref!E:F,2,FALSE)</f>
        <v>Trachoma behavior change</v>
      </c>
      <c r="G108" t="str">
        <f>VLOOKUP($E108,TaskValues_ref!$E:$Z,3,FALSE)</f>
        <v>Non-clinical</v>
      </c>
      <c r="H108" t="str">
        <f>VLOOKUP($E108,TaskValues_ref!$E:$Z,4,FALSE)</f>
        <v>Public Health</v>
      </c>
      <c r="I108" t="str">
        <f>VLOOKUP($E108,TaskValues_ref!$E:$Z,5,FALSE)</f>
        <v>NTDs</v>
      </c>
      <c r="J108" s="257" t="str">
        <f>VLOOKUP($E108,TaskValues_ref!$E:$Z,6,FALSE)</f>
        <v>-</v>
      </c>
      <c r="K108" t="str">
        <f>VLOOKUP($E108,TaskValues_ref!$E:$Z,10,FALSE)</f>
        <v>Amhara</v>
      </c>
      <c r="L108" s="195" t="str">
        <f>IF(VLOOKUP($E108,TaskValues_ref!$E:$Z,11,FALSE)=0,"",VLOOKUP($E108,TaskValues_ref!$E:$Z,11,FALSE))</f>
        <v/>
      </c>
      <c r="M108" t="str">
        <f>IF(VLOOKUP($E108,TaskValues_ref!$E:$Z,13,FALSE)=0,"",VLOOKUP($E108,TaskValues_ref!$E:$Z,13,FALSE))</f>
        <v/>
      </c>
      <c r="N108" s="89" t="str">
        <f>IF(VLOOKUP($E108,TaskValues_ref!$E:$Z,15,FALSE)=0,"",VLOOKUP($E108,TaskValues_ref!$E:$Z,15,FALSE))</f>
        <v/>
      </c>
      <c r="O108" t="str">
        <f>IF(VLOOKUP($E108,TaskValues_ref!$E:$Z,16,FALSE)=0,"",VLOOKUP($E108,TaskValues_ref!$E:$Z,16,FALSE))</f>
        <v/>
      </c>
      <c r="P108" t="str">
        <f>IF(VLOOKUP($E108,TaskValues_ref!$E:$Z,17,FALSE)=0,"",VLOOKUP($E108,TaskValues_ref!$E:$Z,17,FALSE))</f>
        <v/>
      </c>
      <c r="Q108" t="str">
        <f>IF(VLOOKUP($E108,TaskValues_ref!$E:$Z,18,FALSE)=0,"",VLOOKUP($E108,TaskValues_ref!$E:$Z,18,FALSE))</f>
        <v/>
      </c>
      <c r="R108" t="str">
        <f>IF(VLOOKUP($E108,TaskValues_ref!$E:$Z,19,FALSE)=0,"",VLOOKUP($E108,TaskValues_ref!$E:$Z,19,FALSE))</f>
        <v/>
      </c>
      <c r="S108" t="str">
        <f>IF(VLOOKUP($E108,TaskValues_ref!$E:$Z,20,FALSE)=0,"",VLOOKUP($E108,TaskValues_ref!$E:$Z,20,FALSE))</f>
        <v/>
      </c>
    </row>
    <row r="109" spans="1:19" x14ac:dyDescent="0.45">
      <c r="A109" s="66" t="s">
        <v>2337</v>
      </c>
      <c r="B109" s="66" t="s">
        <v>528</v>
      </c>
      <c r="C109" s="66" t="s">
        <v>410</v>
      </c>
      <c r="D109" s="66">
        <v>164</v>
      </c>
      <c r="E109" s="64" t="s">
        <v>2737</v>
      </c>
      <c r="F109" t="str">
        <f>VLOOKUP(E109,TaskValues_ref!E:F,2,FALSE)</f>
        <v>Promote water and sanitation</v>
      </c>
      <c r="G109" t="str">
        <f>VLOOKUP($E109,TaskValues_ref!$E:$Z,3,FALSE)</f>
        <v>Non-clinical</v>
      </c>
      <c r="H109" t="str">
        <f>VLOOKUP($E109,TaskValues_ref!$E:$Z,4,FALSE)</f>
        <v>Public Health</v>
      </c>
      <c r="I109" t="str">
        <f>VLOOKUP($E109,TaskValues_ref!$E:$Z,5,FALSE)</f>
        <v>NTDs</v>
      </c>
      <c r="J109" s="257" t="str">
        <f>VLOOKUP($E109,TaskValues_ref!$E:$Z,6,FALSE)</f>
        <v>-</v>
      </c>
      <c r="K109" t="str">
        <f>VLOOKUP($E109,TaskValues_ref!$E:$Z,10,FALSE)</f>
        <v>Amhara</v>
      </c>
      <c r="L109" s="195" t="str">
        <f>IF(VLOOKUP($E109,TaskValues_ref!$E:$Z,11,FALSE)=0,"",VLOOKUP($E109,TaskValues_ref!$E:$Z,11,FALSE))</f>
        <v/>
      </c>
      <c r="M109" t="str">
        <f>IF(VLOOKUP($E109,TaskValues_ref!$E:$Z,13,FALSE)=0,"",VLOOKUP($E109,TaskValues_ref!$E:$Z,13,FALSE))</f>
        <v/>
      </c>
      <c r="N109" s="89" t="str">
        <f>IF(VLOOKUP($E109,TaskValues_ref!$E:$Z,15,FALSE)=0,"",VLOOKUP($E109,TaskValues_ref!$E:$Z,15,FALSE))</f>
        <v/>
      </c>
      <c r="O109" t="str">
        <f>IF(VLOOKUP($E109,TaskValues_ref!$E:$Z,16,FALSE)=0,"",VLOOKUP($E109,TaskValues_ref!$E:$Z,16,FALSE))</f>
        <v/>
      </c>
      <c r="P109" t="str">
        <f>IF(VLOOKUP($E109,TaskValues_ref!$E:$Z,17,FALSE)=0,"",VLOOKUP($E109,TaskValues_ref!$E:$Z,17,FALSE))</f>
        <v/>
      </c>
      <c r="Q109" t="str">
        <f>IF(VLOOKUP($E109,TaskValues_ref!$E:$Z,18,FALSE)=0,"",VLOOKUP($E109,TaskValues_ref!$E:$Z,18,FALSE))</f>
        <v/>
      </c>
      <c r="R109" t="str">
        <f>IF(VLOOKUP($E109,TaskValues_ref!$E:$Z,19,FALSE)=0,"",VLOOKUP($E109,TaskValues_ref!$E:$Z,19,FALSE))</f>
        <v/>
      </c>
      <c r="S109" t="str">
        <f>IF(VLOOKUP($E109,TaskValues_ref!$E:$Z,20,FALSE)=0,"",VLOOKUP($E109,TaskValues_ref!$E:$Z,20,FALSE))</f>
        <v/>
      </c>
    </row>
    <row r="110" spans="1:19" x14ac:dyDescent="0.45">
      <c r="A110" s="66" t="s">
        <v>2337</v>
      </c>
      <c r="B110" s="66" t="s">
        <v>528</v>
      </c>
      <c r="C110" s="66" t="s">
        <v>2455</v>
      </c>
      <c r="D110" s="66">
        <v>168</v>
      </c>
      <c r="E110" s="64" t="s">
        <v>2741</v>
      </c>
      <c r="F110" t="str">
        <f>VLOOKUP(E110,TaskValues_ref!E:F,2,FALSE)</f>
        <v>Promote face washing</v>
      </c>
      <c r="G110" t="str">
        <f>VLOOKUP($E110,TaskValues_ref!$E:$Z,3,FALSE)</f>
        <v>Non-clinical</v>
      </c>
      <c r="H110" t="str">
        <f>VLOOKUP($E110,TaskValues_ref!$E:$Z,4,FALSE)</f>
        <v>Public Health</v>
      </c>
      <c r="I110" t="str">
        <f>VLOOKUP($E110,TaskValues_ref!$E:$Z,5,FALSE)</f>
        <v>NTDs</v>
      </c>
      <c r="J110" s="257" t="str">
        <f>VLOOKUP($E110,TaskValues_ref!$E:$Z,6,FALSE)</f>
        <v>-</v>
      </c>
      <c r="K110" t="str">
        <f>VLOOKUP($E110,TaskValues_ref!$E:$Z,10,FALSE)</f>
        <v>Amhara</v>
      </c>
      <c r="L110" s="195" t="str">
        <f>IF(VLOOKUP($E110,TaskValues_ref!$E:$Z,11,FALSE)=0,"",VLOOKUP($E110,TaskValues_ref!$E:$Z,11,FALSE))</f>
        <v/>
      </c>
      <c r="M110" t="str">
        <f>IF(VLOOKUP($E110,TaskValues_ref!$E:$Z,13,FALSE)=0,"",VLOOKUP($E110,TaskValues_ref!$E:$Z,13,FALSE))</f>
        <v/>
      </c>
      <c r="N110" s="89" t="str">
        <f>IF(VLOOKUP($E110,TaskValues_ref!$E:$Z,15,FALSE)=0,"",VLOOKUP($E110,TaskValues_ref!$E:$Z,15,FALSE))</f>
        <v/>
      </c>
      <c r="O110" t="str">
        <f>IF(VLOOKUP($E110,TaskValues_ref!$E:$Z,16,FALSE)=0,"",VLOOKUP($E110,TaskValues_ref!$E:$Z,16,FALSE))</f>
        <v/>
      </c>
      <c r="P110" t="str">
        <f>IF(VLOOKUP($E110,TaskValues_ref!$E:$Z,17,FALSE)=0,"",VLOOKUP($E110,TaskValues_ref!$E:$Z,17,FALSE))</f>
        <v/>
      </c>
      <c r="Q110" t="str">
        <f>IF(VLOOKUP($E110,TaskValues_ref!$E:$Z,18,FALSE)=0,"",VLOOKUP($E110,TaskValues_ref!$E:$Z,18,FALSE))</f>
        <v/>
      </c>
      <c r="R110" t="str">
        <f>IF(VLOOKUP($E110,TaskValues_ref!$E:$Z,19,FALSE)=0,"",VLOOKUP($E110,TaskValues_ref!$E:$Z,19,FALSE))</f>
        <v/>
      </c>
      <c r="S110" t="str">
        <f>IF(VLOOKUP($E110,TaskValues_ref!$E:$Z,20,FALSE)=0,"",VLOOKUP($E110,TaskValues_ref!$E:$Z,20,FALSE))</f>
        <v/>
      </c>
    </row>
    <row r="111" spans="1:19" x14ac:dyDescent="0.45">
      <c r="A111" s="66" t="s">
        <v>2337</v>
      </c>
      <c r="B111" s="66" t="s">
        <v>528</v>
      </c>
      <c r="C111" s="66" t="s">
        <v>2237</v>
      </c>
      <c r="D111" s="66">
        <v>169</v>
      </c>
      <c r="E111" s="64" t="s">
        <v>2742</v>
      </c>
      <c r="F111" t="str">
        <f>VLOOKUP(E111,TaskValues_ref!E:F,2,FALSE)</f>
        <v>Schisto behavior change</v>
      </c>
      <c r="G111" t="str">
        <f>VLOOKUP($E111,TaskValues_ref!$E:$Z,3,FALSE)</f>
        <v>Non-clinical</v>
      </c>
      <c r="H111" t="str">
        <f>VLOOKUP($E111,TaskValues_ref!$E:$Z,4,FALSE)</f>
        <v>Public Health</v>
      </c>
      <c r="I111" t="str">
        <f>VLOOKUP($E111,TaskValues_ref!$E:$Z,5,FALSE)</f>
        <v>NTDs</v>
      </c>
      <c r="J111" s="257" t="str">
        <f>VLOOKUP($E111,TaskValues_ref!$E:$Z,6,FALSE)</f>
        <v>-</v>
      </c>
      <c r="K111" t="str">
        <f>VLOOKUP($E111,TaskValues_ref!$E:$Z,10,FALSE)</f>
        <v>Amhara</v>
      </c>
      <c r="L111" s="195" t="str">
        <f>IF(VLOOKUP($E111,TaskValues_ref!$E:$Z,11,FALSE)=0,"",VLOOKUP($E111,TaskValues_ref!$E:$Z,11,FALSE))</f>
        <v/>
      </c>
      <c r="M111" t="str">
        <f>IF(VLOOKUP($E111,TaskValues_ref!$E:$Z,13,FALSE)=0,"",VLOOKUP($E111,TaskValues_ref!$E:$Z,13,FALSE))</f>
        <v/>
      </c>
      <c r="N111" s="89" t="str">
        <f>IF(VLOOKUP($E111,TaskValues_ref!$E:$Z,15,FALSE)=0,"",VLOOKUP($E111,TaskValues_ref!$E:$Z,15,FALSE))</f>
        <v/>
      </c>
      <c r="O111" t="str">
        <f>IF(VLOOKUP($E111,TaskValues_ref!$E:$Z,16,FALSE)=0,"",VLOOKUP($E111,TaskValues_ref!$E:$Z,16,FALSE))</f>
        <v/>
      </c>
      <c r="P111" t="str">
        <f>IF(VLOOKUP($E111,TaskValues_ref!$E:$Z,17,FALSE)=0,"",VLOOKUP($E111,TaskValues_ref!$E:$Z,17,FALSE))</f>
        <v/>
      </c>
      <c r="Q111" t="str">
        <f>IF(VLOOKUP($E111,TaskValues_ref!$E:$Z,18,FALSE)=0,"",VLOOKUP($E111,TaskValues_ref!$E:$Z,18,FALSE))</f>
        <v/>
      </c>
      <c r="R111" t="str">
        <f>IF(VLOOKUP($E111,TaskValues_ref!$E:$Z,19,FALSE)=0,"",VLOOKUP($E111,TaskValues_ref!$E:$Z,19,FALSE))</f>
        <v/>
      </c>
      <c r="S111" t="str">
        <f>IF(VLOOKUP($E111,TaskValues_ref!$E:$Z,20,FALSE)=0,"",VLOOKUP($E111,TaskValues_ref!$E:$Z,20,FALSE))</f>
        <v/>
      </c>
    </row>
    <row r="112" spans="1:19" x14ac:dyDescent="0.45">
      <c r="A112" s="66" t="s">
        <v>2337</v>
      </c>
      <c r="B112" s="66" t="s">
        <v>528</v>
      </c>
      <c r="C112" s="66" t="s">
        <v>2456</v>
      </c>
      <c r="D112" s="66">
        <v>171</v>
      </c>
      <c r="E112" s="64" t="s">
        <v>2744</v>
      </c>
      <c r="F112" t="str">
        <f>VLOOKUP(E112,TaskValues_ref!E:F,2,FALSE)</f>
        <v>Schisto MDA</v>
      </c>
      <c r="G112" t="str">
        <f>VLOOKUP($E112,TaskValues_ref!$E:$Z,3,FALSE)</f>
        <v>Non-clinical</v>
      </c>
      <c r="H112" t="str">
        <f>VLOOKUP($E112,TaskValues_ref!$E:$Z,4,FALSE)</f>
        <v>Public Health</v>
      </c>
      <c r="I112" t="str">
        <f>VLOOKUP($E112,TaskValues_ref!$E:$Z,5,FALSE)</f>
        <v>NTDs</v>
      </c>
      <c r="J112" s="257" t="str">
        <f>VLOOKUP($E112,TaskValues_ref!$E:$Z,6,FALSE)</f>
        <v>all</v>
      </c>
      <c r="K112" t="str">
        <f>VLOOKUP($E112,TaskValues_ref!$E:$Z,10,FALSE)</f>
        <v>Amhara</v>
      </c>
      <c r="L112" s="195">
        <f>IF(VLOOKUP($E112,TaskValues_ref!$E:$Z,11,FALSE)=0,"",VLOOKUP($E112,TaskValues_ref!$E:$Z,11,FALSE))</f>
        <v>0.25</v>
      </c>
      <c r="M112" t="str">
        <f>IF(VLOOKUP($E112,TaskValues_ref!$E:$Z,13,FALSE)=0,"",VLOOKUP($E112,TaskValues_ref!$E:$Z,13,FALSE))</f>
        <v/>
      </c>
      <c r="N112" s="89" t="str">
        <f>IF(VLOOKUP($E112,TaskValues_ref!$E:$Z,15,FALSE)=0,"",VLOOKUP($E112,TaskValues_ref!$E:$Z,15,FALSE))</f>
        <v/>
      </c>
      <c r="O112" t="str">
        <f>IF(VLOOKUP($E112,TaskValues_ref!$E:$Z,16,FALSE)=0,"",VLOOKUP($E112,TaskValues_ref!$E:$Z,16,FALSE))</f>
        <v/>
      </c>
      <c r="P112">
        <f>IF(VLOOKUP($E112,TaskValues_ref!$E:$Z,17,FALSE)=0,"",VLOOKUP($E112,TaskValues_ref!$E:$Z,17,FALSE))</f>
        <v>1</v>
      </c>
      <c r="Q112">
        <f>IF(VLOOKUP($E112,TaskValues_ref!$E:$Z,18,FALSE)=0,"",VLOOKUP($E112,TaskValues_ref!$E:$Z,18,FALSE))</f>
        <v>5</v>
      </c>
      <c r="R112" t="str">
        <f>IF(VLOOKUP($E112,TaskValues_ref!$E:$Z,19,FALSE)=0,"",VLOOKUP($E112,TaskValues_ref!$E:$Z,19,FALSE))</f>
        <v/>
      </c>
      <c r="S112" t="str">
        <f>IF(VLOOKUP($E112,TaskValues_ref!$E:$Z,20,FALSE)=0,"",VLOOKUP($E112,TaskValues_ref!$E:$Z,20,FALSE))</f>
        <v/>
      </c>
    </row>
    <row r="113" spans="1:19" x14ac:dyDescent="0.45">
      <c r="A113" s="66" t="s">
        <v>2337</v>
      </c>
      <c r="B113" s="66" t="s">
        <v>528</v>
      </c>
      <c r="C113" s="66" t="s">
        <v>2456</v>
      </c>
      <c r="D113" s="66">
        <v>172</v>
      </c>
      <c r="E113" s="64" t="s">
        <v>2745</v>
      </c>
      <c r="F113" t="str">
        <f>VLOOKUP(E113,TaskValues_ref!E:F,2,FALSE)</f>
        <v>STH behavior change</v>
      </c>
      <c r="G113" t="str">
        <f>VLOOKUP($E113,TaskValues_ref!$E:$Z,3,FALSE)</f>
        <v>Non-clinical</v>
      </c>
      <c r="H113" t="str">
        <f>VLOOKUP($E113,TaskValues_ref!$E:$Z,4,FALSE)</f>
        <v>Public Health</v>
      </c>
      <c r="I113" t="str">
        <f>VLOOKUP($E113,TaskValues_ref!$E:$Z,5,FALSE)</f>
        <v>NTDs</v>
      </c>
      <c r="J113" s="257" t="str">
        <f>VLOOKUP($E113,TaskValues_ref!$E:$Z,6,FALSE)</f>
        <v>-</v>
      </c>
      <c r="K113" t="str">
        <f>VLOOKUP($E113,TaskValues_ref!$E:$Z,10,FALSE)</f>
        <v>Amhara</v>
      </c>
      <c r="L113" s="195" t="str">
        <f>IF(VLOOKUP($E113,TaskValues_ref!$E:$Z,11,FALSE)=0,"",VLOOKUP($E113,TaskValues_ref!$E:$Z,11,FALSE))</f>
        <v/>
      </c>
      <c r="M113" t="str">
        <f>IF(VLOOKUP($E113,TaskValues_ref!$E:$Z,13,FALSE)=0,"",VLOOKUP($E113,TaskValues_ref!$E:$Z,13,FALSE))</f>
        <v/>
      </c>
      <c r="N113" s="89" t="str">
        <f>IF(VLOOKUP($E113,TaskValues_ref!$E:$Z,15,FALSE)=0,"",VLOOKUP($E113,TaskValues_ref!$E:$Z,15,FALSE))</f>
        <v/>
      </c>
      <c r="O113" t="str">
        <f>IF(VLOOKUP($E113,TaskValues_ref!$E:$Z,16,FALSE)=0,"",VLOOKUP($E113,TaskValues_ref!$E:$Z,16,FALSE))</f>
        <v/>
      </c>
      <c r="P113" t="str">
        <f>IF(VLOOKUP($E113,TaskValues_ref!$E:$Z,17,FALSE)=0,"",VLOOKUP($E113,TaskValues_ref!$E:$Z,17,FALSE))</f>
        <v/>
      </c>
      <c r="Q113" t="str">
        <f>IF(VLOOKUP($E113,TaskValues_ref!$E:$Z,18,FALSE)=0,"",VLOOKUP($E113,TaskValues_ref!$E:$Z,18,FALSE))</f>
        <v/>
      </c>
      <c r="R113" t="str">
        <f>IF(VLOOKUP($E113,TaskValues_ref!$E:$Z,19,FALSE)=0,"",VLOOKUP($E113,TaskValues_ref!$E:$Z,19,FALSE))</f>
        <v/>
      </c>
      <c r="S113" t="str">
        <f>IF(VLOOKUP($E113,TaskValues_ref!$E:$Z,20,FALSE)=0,"",VLOOKUP($E113,TaskValues_ref!$E:$Z,20,FALSE))</f>
        <v/>
      </c>
    </row>
    <row r="114" spans="1:19" x14ac:dyDescent="0.45">
      <c r="A114" s="66" t="s">
        <v>2337</v>
      </c>
      <c r="B114" s="66" t="s">
        <v>528</v>
      </c>
      <c r="C114" s="66" t="s">
        <v>2482</v>
      </c>
      <c r="D114" s="66">
        <v>175</v>
      </c>
      <c r="E114" s="64" t="s">
        <v>2748</v>
      </c>
      <c r="F114" t="str">
        <f>VLOOKUP(E114,TaskValues_ref!E:F,2,FALSE)</f>
        <v>Scabies behavior change</v>
      </c>
      <c r="G114" t="str">
        <f>VLOOKUP($E114,TaskValues_ref!$E:$Z,3,FALSE)</f>
        <v>Non-clinical</v>
      </c>
      <c r="H114" t="str">
        <f>VLOOKUP($E114,TaskValues_ref!$E:$Z,4,FALSE)</f>
        <v>Public Health</v>
      </c>
      <c r="I114" t="str">
        <f>VLOOKUP($E114,TaskValues_ref!$E:$Z,5,FALSE)</f>
        <v>NTDs</v>
      </c>
      <c r="J114" s="257" t="str">
        <f>VLOOKUP($E114,TaskValues_ref!$E:$Z,6,FALSE)</f>
        <v>-</v>
      </c>
      <c r="K114" t="str">
        <f>VLOOKUP($E114,TaskValues_ref!$E:$Z,10,FALSE)</f>
        <v>Amhara</v>
      </c>
      <c r="L114" s="195" t="str">
        <f>IF(VLOOKUP($E114,TaskValues_ref!$E:$Z,11,FALSE)=0,"",VLOOKUP($E114,TaskValues_ref!$E:$Z,11,FALSE))</f>
        <v/>
      </c>
      <c r="M114" t="str">
        <f>IF(VLOOKUP($E114,TaskValues_ref!$E:$Z,13,FALSE)=0,"",VLOOKUP($E114,TaskValues_ref!$E:$Z,13,FALSE))</f>
        <v/>
      </c>
      <c r="N114" s="89" t="str">
        <f>IF(VLOOKUP($E114,TaskValues_ref!$E:$Z,15,FALSE)=0,"",VLOOKUP($E114,TaskValues_ref!$E:$Z,15,FALSE))</f>
        <v/>
      </c>
      <c r="O114" t="str">
        <f>IF(VLOOKUP($E114,TaskValues_ref!$E:$Z,16,FALSE)=0,"",VLOOKUP($E114,TaskValues_ref!$E:$Z,16,FALSE))</f>
        <v/>
      </c>
      <c r="P114" t="str">
        <f>IF(VLOOKUP($E114,TaskValues_ref!$E:$Z,17,FALSE)=0,"",VLOOKUP($E114,TaskValues_ref!$E:$Z,17,FALSE))</f>
        <v/>
      </c>
      <c r="Q114" t="str">
        <f>IF(VLOOKUP($E114,TaskValues_ref!$E:$Z,18,FALSE)=0,"",VLOOKUP($E114,TaskValues_ref!$E:$Z,18,FALSE))</f>
        <v/>
      </c>
      <c r="R114" t="str">
        <f>IF(VLOOKUP($E114,TaskValues_ref!$E:$Z,19,FALSE)=0,"",VLOOKUP($E114,TaskValues_ref!$E:$Z,19,FALSE))</f>
        <v/>
      </c>
      <c r="S114" t="str">
        <f>IF(VLOOKUP($E114,TaskValues_ref!$E:$Z,20,FALSE)=0,"",VLOOKUP($E114,TaskValues_ref!$E:$Z,20,FALSE))</f>
        <v/>
      </c>
    </row>
    <row r="115" spans="1:19" x14ac:dyDescent="0.45">
      <c r="A115" s="66" t="s">
        <v>2484</v>
      </c>
      <c r="D115" s="66" t="s">
        <v>2486</v>
      </c>
      <c r="E115" s="64" t="s">
        <v>2625</v>
      </c>
      <c r="F115" t="str">
        <f>VLOOKUP(E115,TaskValues_ref!E:F,2,FALSE)</f>
        <v>Model household program</v>
      </c>
      <c r="G115" t="str">
        <f>VLOOKUP($E115,TaskValues_ref!$E:$Z,3,FALSE)</f>
        <v>Non-clinical</v>
      </c>
      <c r="H115" t="str">
        <f>VLOOKUP($E115,TaskValues_ref!$E:$Z,4,FALSE)</f>
        <v>-</v>
      </c>
      <c r="I115" t="str">
        <f>VLOOKUP($E115,TaskValues_ref!$E:$Z,5,FALSE)</f>
        <v>-</v>
      </c>
      <c r="J115" s="257" t="str">
        <f>VLOOKUP($E115,TaskValues_ref!$E:$Z,6,FALSE)</f>
        <v>all</v>
      </c>
      <c r="K115" t="str">
        <f>VLOOKUP($E115,TaskValues_ref!$E:$Z,10,FALSE)</f>
        <v>Amhara</v>
      </c>
      <c r="L115" s="195" t="str">
        <f>IF(VLOOKUP($E115,TaskValues_ref!$E:$Z,11,FALSE)=0,"",VLOOKUP($E115,TaskValues_ref!$E:$Z,11,FALSE))</f>
        <v/>
      </c>
      <c r="M115" t="str">
        <f>IF(VLOOKUP($E115,TaskValues_ref!$E:$Z,13,FALSE)=0,"",VLOOKUP($E115,TaskValues_ref!$E:$Z,13,FALSE))</f>
        <v/>
      </c>
      <c r="N115" s="89" t="str">
        <f>IF(VLOOKUP($E115,TaskValues_ref!$E:$Z,15,FALSE)=0,"",VLOOKUP($E115,TaskValues_ref!$E:$Z,15,FALSE))</f>
        <v/>
      </c>
      <c r="O115" t="str">
        <f>IF(VLOOKUP($E115,TaskValues_ref!$E:$Z,16,FALSE)=0,"",VLOOKUP($E115,TaskValues_ref!$E:$Z,16,FALSE))</f>
        <v/>
      </c>
      <c r="P115" t="str">
        <f>IF(VLOOKUP($E115,TaskValues_ref!$E:$Z,17,FALSE)=0,"",VLOOKUP($E115,TaskValues_ref!$E:$Z,17,FALSE))</f>
        <v/>
      </c>
      <c r="Q115" t="str">
        <f>IF(VLOOKUP($E115,TaskValues_ref!$E:$Z,18,FALSE)=0,"",VLOOKUP($E115,TaskValues_ref!$E:$Z,18,FALSE))</f>
        <v/>
      </c>
      <c r="R115">
        <f>IF(VLOOKUP($E115,TaskValues_ref!$E:$Z,19,FALSE)=0,"",VLOOKUP($E115,TaskValues_ref!$E:$Z,19,FALSE))</f>
        <v>15</v>
      </c>
      <c r="S115" t="str">
        <f>IF(VLOOKUP($E115,TaskValues_ref!$E:$Z,20,FALSE)=0,"",VLOOKUP($E115,TaskValues_ref!$E:$Z,20,FALSE))</f>
        <v/>
      </c>
    </row>
    <row r="116" spans="1:19" x14ac:dyDescent="0.45">
      <c r="A116" s="66" t="s">
        <v>2487</v>
      </c>
      <c r="D116" s="66" t="s">
        <v>2488</v>
      </c>
      <c r="E116" s="64" t="s">
        <v>2626</v>
      </c>
      <c r="F116" t="str">
        <f>VLOOKUP(E116,TaskValues_ref!E:F,2,FALSE)</f>
        <v>Model household program</v>
      </c>
      <c r="G116" t="str">
        <f>VLOOKUP($E116,TaskValues_ref!$E:$Z,3,FALSE)</f>
        <v>Non-clinical</v>
      </c>
      <c r="H116" t="str">
        <f>VLOOKUP($E116,TaskValues_ref!$E:$Z,4,FALSE)</f>
        <v>-</v>
      </c>
      <c r="I116" t="str">
        <f>VLOOKUP($E116,TaskValues_ref!$E:$Z,5,FALSE)</f>
        <v>-</v>
      </c>
      <c r="J116" s="257" t="str">
        <f>VLOOKUP($E116,TaskValues_ref!$E:$Z,6,FALSE)</f>
        <v>all</v>
      </c>
      <c r="K116" t="str">
        <f>VLOOKUP($E116,TaskValues_ref!$E:$Z,10,FALSE)</f>
        <v>Amhara</v>
      </c>
      <c r="L116" s="195" t="str">
        <f>IF(VLOOKUP($E116,TaskValues_ref!$E:$Z,11,FALSE)=0,"",VLOOKUP($E116,TaskValues_ref!$E:$Z,11,FALSE))</f>
        <v/>
      </c>
      <c r="M116" t="str">
        <f>IF(VLOOKUP($E116,TaskValues_ref!$E:$Z,13,FALSE)=0,"",VLOOKUP($E116,TaskValues_ref!$E:$Z,13,FALSE))</f>
        <v/>
      </c>
      <c r="N116" s="89" t="str">
        <f>IF(VLOOKUP($E116,TaskValues_ref!$E:$Z,15,FALSE)=0,"",VLOOKUP($E116,TaskValues_ref!$E:$Z,15,FALSE))</f>
        <v/>
      </c>
      <c r="O116" t="str">
        <f>IF(VLOOKUP($E116,TaskValues_ref!$E:$Z,16,FALSE)=0,"",VLOOKUP($E116,TaskValues_ref!$E:$Z,16,FALSE))</f>
        <v/>
      </c>
      <c r="P116" t="str">
        <f>IF(VLOOKUP($E116,TaskValues_ref!$E:$Z,17,FALSE)=0,"",VLOOKUP($E116,TaskValues_ref!$E:$Z,17,FALSE))</f>
        <v/>
      </c>
      <c r="Q116" t="str">
        <f>IF(VLOOKUP($E116,TaskValues_ref!$E:$Z,18,FALSE)=0,"",VLOOKUP($E116,TaskValues_ref!$E:$Z,18,FALSE))</f>
        <v/>
      </c>
      <c r="R116">
        <f>IF(VLOOKUP($E116,TaskValues_ref!$E:$Z,19,FALSE)=0,"",VLOOKUP($E116,TaskValues_ref!$E:$Z,19,FALSE))</f>
        <v>15</v>
      </c>
      <c r="S116" t="str">
        <f>IF(VLOOKUP($E116,TaskValues_ref!$E:$Z,20,FALSE)=0,"",VLOOKUP($E116,TaskValues_ref!$E:$Z,20,FALSE))</f>
        <v/>
      </c>
    </row>
    <row r="117" spans="1:19" x14ac:dyDescent="0.45">
      <c r="A117" t="s">
        <v>1952</v>
      </c>
      <c r="E117" s="64" t="s">
        <v>1952</v>
      </c>
      <c r="F117" t="str">
        <f>VLOOKUP(E117,TaskValues_ref!E:F,2,FALSE)</f>
        <v>Record keeping</v>
      </c>
      <c r="G117" t="str">
        <f>VLOOKUP($E117,TaskValues_ref!$E:$Z,3,FALSE)</f>
        <v>Non-productive</v>
      </c>
      <c r="H117" t="str">
        <f>VLOOKUP($E117,TaskValues_ref!$E:$Z,4,FALSE)</f>
        <v>-</v>
      </c>
      <c r="I117" t="str">
        <f>VLOOKUP($E117,TaskValues_ref!$E:$Z,5,FALSE)</f>
        <v>-</v>
      </c>
      <c r="J117" s="257" t="str">
        <f>VLOOKUP($E117,TaskValues_ref!$E:$Z,6,FALSE)</f>
        <v>all</v>
      </c>
      <c r="K117" t="str">
        <f>VLOOKUP($E117,TaskValues_ref!$E:$Z,10,FALSE)</f>
        <v>Amhara</v>
      </c>
      <c r="L117" s="195">
        <f>IF(VLOOKUP($E117,TaskValues_ref!$E:$Z,11,FALSE)=0,"",VLOOKUP($E117,TaskValues_ref!$E:$Z,11,FALSE))</f>
        <v>1</v>
      </c>
      <c r="M117" t="str">
        <f>IF(VLOOKUP($E117,TaskValues_ref!$E:$Z,13,FALSE)=0,"",VLOOKUP($E117,TaskValues_ref!$E:$Z,13,FALSE))</f>
        <v/>
      </c>
      <c r="N117" s="89">
        <f>IF(VLOOKUP($E117,TaskValues_ref!$E:$Z,15,FALSE)=0,"",VLOOKUP($E117,TaskValues_ref!$E:$Z,15,FALSE))</f>
        <v>1</v>
      </c>
      <c r="O117">
        <f>IF(VLOOKUP($E117,TaskValues_ref!$E:$Z,16,FALSE)=0,"",VLOOKUP($E117,TaskValues_ref!$E:$Z,16,FALSE))</f>
        <v>1</v>
      </c>
      <c r="P117" t="str">
        <f>IF(VLOOKUP($E117,TaskValues_ref!$E:$Z,17,FALSE)=0,"",VLOOKUP($E117,TaskValues_ref!$E:$Z,17,FALSE))</f>
        <v/>
      </c>
      <c r="Q117">
        <f>IF(VLOOKUP($E117,TaskValues_ref!$E:$Z,18,FALSE)=0,"",VLOOKUP($E117,TaskValues_ref!$E:$Z,18,FALSE))</f>
        <v>4.5844447190612616</v>
      </c>
      <c r="R117" t="str">
        <f>IF(VLOOKUP($E117,TaskValues_ref!$E:$Z,19,FALSE)=0,"",VLOOKUP($E117,TaskValues_ref!$E:$Z,19,FALSE))</f>
        <v/>
      </c>
      <c r="S117" t="str">
        <f>IF(VLOOKUP($E117,TaskValues_ref!$E:$Z,20,FALSE)=0,"",VLOOKUP($E117,TaskValues_ref!$E:$Z,20,FALSE))</f>
        <v/>
      </c>
    </row>
    <row r="118" spans="1:19" s="127" customFormat="1" x14ac:dyDescent="0.45">
      <c r="A118" s="337" t="s">
        <v>2770</v>
      </c>
      <c r="B118" s="337"/>
      <c r="C118" s="337"/>
      <c r="D118" s="337"/>
      <c r="E118" s="337" t="s">
        <v>2770</v>
      </c>
      <c r="F118" s="127" t="str">
        <f>VLOOKUP(E118,TaskValues_ref!E:F,2,FALSE)</f>
        <v>Test additional</v>
      </c>
      <c r="J118" s="338" t="s">
        <v>194</v>
      </c>
      <c r="K118" s="127" t="str">
        <f>VLOOKUP($E118,TaskValues_ref!$E:$Z,10,FALSE)</f>
        <v>Amhara</v>
      </c>
      <c r="L118" s="309"/>
      <c r="N118" s="339"/>
      <c r="Q118" s="253"/>
      <c r="S118" s="127">
        <v>1E-3</v>
      </c>
    </row>
    <row r="119" spans="1:19" s="127" customFormat="1" x14ac:dyDescent="0.45">
      <c r="A119" s="337"/>
      <c r="B119" s="337"/>
      <c r="C119" s="337"/>
      <c r="D119" s="337"/>
      <c r="E119" s="127" t="s">
        <v>2179</v>
      </c>
      <c r="F119" s="127" t="str">
        <f>VLOOKUP(E119,TaskValues_ref!E:F,2,FALSE)</f>
        <v>Normal labor management</v>
      </c>
      <c r="G119" s="127" t="s">
        <v>154</v>
      </c>
      <c r="H119" s="127" t="s">
        <v>155</v>
      </c>
      <c r="I119" s="127" t="s">
        <v>65</v>
      </c>
      <c r="J119" s="338" t="s">
        <v>156</v>
      </c>
      <c r="K119" s="127" t="str">
        <f>VLOOKUP($E119,TaskValues_ref!$E:$Z,10,FALSE)</f>
        <v>Amhara</v>
      </c>
      <c r="L119" s="309">
        <v>1</v>
      </c>
      <c r="N119" s="339">
        <v>1</v>
      </c>
      <c r="O119" s="127">
        <v>1</v>
      </c>
      <c r="Q119" s="340">
        <v>0</v>
      </c>
    </row>
    <row r="120" spans="1:19" s="127" customFormat="1" x14ac:dyDescent="0.45">
      <c r="A120" s="337"/>
      <c r="B120" s="337"/>
      <c r="C120" s="337"/>
      <c r="D120" s="337"/>
      <c r="E120" s="127" t="s">
        <v>2181</v>
      </c>
      <c r="F120" s="127" t="str">
        <f>VLOOKUP(E120,TaskValues_ref!E:F,2,FALSE)</f>
        <v>Emergency OB</v>
      </c>
      <c r="G120" s="127" t="s">
        <v>154</v>
      </c>
      <c r="H120" s="127" t="s">
        <v>155</v>
      </c>
      <c r="I120" s="127" t="s">
        <v>65</v>
      </c>
      <c r="J120" s="338" t="s">
        <v>156</v>
      </c>
      <c r="K120" s="127" t="str">
        <f>VLOOKUP($E120,TaskValues_ref!$E:$Z,10,FALSE)</f>
        <v>Amhara</v>
      </c>
      <c r="L120" s="309">
        <v>1</v>
      </c>
      <c r="N120" s="339">
        <v>1</v>
      </c>
      <c r="O120" s="127">
        <v>1</v>
      </c>
      <c r="Q120" s="340">
        <v>0</v>
      </c>
    </row>
    <row r="121" spans="1:19" s="127" customFormat="1" x14ac:dyDescent="0.45">
      <c r="A121" s="337"/>
      <c r="B121" s="337"/>
      <c r="C121" s="337"/>
      <c r="D121" s="337"/>
      <c r="E121" s="127" t="s">
        <v>2180</v>
      </c>
      <c r="F121" s="127" t="str">
        <f>VLOOKUP(E121,TaskValues_ref!E:F,2,FALSE)</f>
        <v>Active management 3rd stage</v>
      </c>
      <c r="G121" s="127" t="s">
        <v>154</v>
      </c>
      <c r="H121" s="127" t="s">
        <v>155</v>
      </c>
      <c r="I121" s="127" t="s">
        <v>65</v>
      </c>
      <c r="J121" s="338" t="s">
        <v>156</v>
      </c>
      <c r="K121" s="127" t="str">
        <f>VLOOKUP($E121,TaskValues_ref!$E:$Z,10,FALSE)</f>
        <v>Amhara</v>
      </c>
      <c r="L121" s="309">
        <v>1</v>
      </c>
      <c r="N121" s="339">
        <v>1</v>
      </c>
      <c r="O121" s="127">
        <v>1</v>
      </c>
      <c r="Q121" s="340">
        <v>0</v>
      </c>
    </row>
    <row r="122" spans="1:19" s="127" customFormat="1" x14ac:dyDescent="0.45">
      <c r="A122" s="337"/>
      <c r="B122" s="337"/>
      <c r="C122" s="337"/>
      <c r="D122" s="337"/>
      <c r="E122" s="127" t="s">
        <v>2192</v>
      </c>
      <c r="F122" s="127" t="str">
        <f>VLOOKUP(E122,TaskValues_ref!E:F,2,FALSE)</f>
        <v>Maternal sepsis</v>
      </c>
      <c r="G122" s="127" t="s">
        <v>154</v>
      </c>
      <c r="H122" s="127" t="s">
        <v>155</v>
      </c>
      <c r="I122" s="127" t="s">
        <v>65</v>
      </c>
      <c r="J122" s="338" t="s">
        <v>156</v>
      </c>
      <c r="K122" s="127" t="str">
        <f>VLOOKUP($E122,TaskValues_ref!$E:$Z,10,FALSE)</f>
        <v>Amhara</v>
      </c>
      <c r="L122" s="309">
        <v>1</v>
      </c>
      <c r="N122" s="339">
        <v>1</v>
      </c>
      <c r="O122" s="127">
        <v>1</v>
      </c>
      <c r="Q122" s="340">
        <v>0</v>
      </c>
    </row>
    <row r="123" spans="1:19" s="127" customFormat="1" x14ac:dyDescent="0.45">
      <c r="A123" s="127" t="s">
        <v>2163</v>
      </c>
      <c r="B123" s="127" t="s">
        <v>2164</v>
      </c>
      <c r="C123" s="337" t="s">
        <v>153</v>
      </c>
      <c r="D123" s="343">
        <v>2</v>
      </c>
      <c r="E123" s="342" t="s">
        <v>2198</v>
      </c>
      <c r="F123" s="127" t="str">
        <f>VLOOKUP(E123,TaskValues_ref!E:F,2,FALSE)</f>
        <v>ANC rapid testing</v>
      </c>
      <c r="G123" s="127" t="s">
        <v>154</v>
      </c>
      <c r="H123" s="127" t="s">
        <v>155</v>
      </c>
      <c r="I123" s="127" t="s">
        <v>65</v>
      </c>
      <c r="J123" s="338" t="s">
        <v>156</v>
      </c>
      <c r="K123" s="127" t="str">
        <f>VLOOKUP($E123,TaskValues_ref!$E:$Z,10,FALSE)</f>
        <v>Amhara</v>
      </c>
      <c r="L123" s="309">
        <v>1</v>
      </c>
      <c r="N123" s="339">
        <v>1</v>
      </c>
      <c r="O123" s="127">
        <v>1</v>
      </c>
      <c r="Q123" s="340">
        <v>0</v>
      </c>
    </row>
    <row r="124" spans="1:19" s="127" customFormat="1" x14ac:dyDescent="0.45">
      <c r="A124" s="127" t="s">
        <v>2163</v>
      </c>
      <c r="B124" s="337" t="s">
        <v>70</v>
      </c>
      <c r="C124" s="337"/>
      <c r="D124" s="343">
        <v>68</v>
      </c>
      <c r="E124" s="342" t="s">
        <v>2671</v>
      </c>
      <c r="F124" s="127" t="str">
        <f>VLOOKUP(E124,TaskValues_ref!E:F,2,FALSE)</f>
        <v>Treat malnourished mothers</v>
      </c>
      <c r="G124" s="127" t="str">
        <f>VLOOKUP($E124,TaskValues_ref!$E:$Z,3,FALSE)</f>
        <v>Clinical</v>
      </c>
      <c r="H124" s="127" t="str">
        <f>VLOOKUP($E124,TaskValues_ref!$E:$Z,4,FALSE)</f>
        <v>Acute</v>
      </c>
      <c r="I124" s="127" t="str">
        <f>VLOOKUP($E124,TaskValues_ref!$E:$Z,5,FALSE)</f>
        <v>Nutrition</v>
      </c>
      <c r="J124" s="338" t="str">
        <f>VLOOKUP($E124,TaskValues_ref!$E:$Z,6,FALSE)</f>
        <v>births</v>
      </c>
      <c r="K124" s="127" t="str">
        <f>VLOOKUP($E124,TaskValues_ref!$E:$Z,10,FALSE)</f>
        <v>Amhara</v>
      </c>
      <c r="L124" s="309">
        <v>1</v>
      </c>
      <c r="N124" s="339">
        <v>1</v>
      </c>
      <c r="O124" s="127">
        <v>1</v>
      </c>
      <c r="Q124" s="340">
        <v>0</v>
      </c>
      <c r="R124" s="127" t="str">
        <f>IF(VLOOKUP($E124,TaskValues_ref!$E:$Z,19,FALSE)=0,"",VLOOKUP($E124,TaskValues_ref!$E:$Z,19,FALSE))</f>
        <v/>
      </c>
      <c r="S124" s="127" t="str">
        <f>IF(VLOOKUP($E124,TaskValues_ref!$E:$Z,20,FALSE)=0,"",VLOOKUP($E124,TaskValues_ref!$E:$Z,20,FALSE))</f>
        <v/>
      </c>
    </row>
    <row r="125" spans="1:19" s="127" customFormat="1" x14ac:dyDescent="0.45">
      <c r="A125" s="127" t="s">
        <v>2163</v>
      </c>
      <c r="B125" s="337" t="s">
        <v>2213</v>
      </c>
      <c r="C125" s="337"/>
      <c r="D125" s="343">
        <v>21</v>
      </c>
      <c r="E125" s="342" t="s">
        <v>2226</v>
      </c>
      <c r="F125" s="127" t="str">
        <f>VLOOKUP(E125,TaskValues_ref!E:F,2,FALSE)</f>
        <v>Well child check &amp; growth monitoring</v>
      </c>
      <c r="G125" s="127" t="str">
        <f>VLOOKUP($E125,TaskValues_ref!$E:$Z,3,FALSE)</f>
        <v>Clinical</v>
      </c>
      <c r="H125" s="127" t="str">
        <f>VLOOKUP($E125,TaskValues_ref!$E:$Z,4,FALSE)</f>
        <v>Preventive</v>
      </c>
      <c r="I125" s="127" t="str">
        <f>VLOOKUP($E125,TaskValues_ref!$E:$Z,5,FALSE)</f>
        <v>Nutrition</v>
      </c>
      <c r="J125" s="338" t="str">
        <f>VLOOKUP($E125,TaskValues_ref!$E:$Z,6,FALSE)</f>
        <v>1-4</v>
      </c>
      <c r="K125" s="127" t="str">
        <f>VLOOKUP($E125,TaskValues_ref!$E:$Z,10,FALSE)</f>
        <v>Amhara</v>
      </c>
      <c r="L125" s="309">
        <v>1</v>
      </c>
      <c r="N125" s="339">
        <v>1</v>
      </c>
      <c r="O125" s="127">
        <v>1</v>
      </c>
      <c r="Q125" s="340">
        <v>0</v>
      </c>
      <c r="R125" s="127" t="str">
        <f>IF(VLOOKUP($E125,TaskValues_ref!$E:$Z,19,FALSE)=0,"",VLOOKUP($E125,TaskValues_ref!$E:$Z,19,FALSE))</f>
        <v/>
      </c>
      <c r="S125" s="127" t="str">
        <f>IF(VLOOKUP($E125,TaskValues_ref!$E:$Z,20,FALSE)=0,"",VLOOKUP($E125,TaskValues_ref!$E:$Z,20,FALSE))</f>
        <v/>
      </c>
    </row>
    <row r="126" spans="1:19" s="127" customFormat="1" x14ac:dyDescent="0.45">
      <c r="A126" s="127" t="s">
        <v>2163</v>
      </c>
      <c r="B126" s="337" t="s">
        <v>2213</v>
      </c>
      <c r="C126" s="337"/>
      <c r="D126" s="343">
        <v>21</v>
      </c>
      <c r="E126" s="342" t="s">
        <v>2635</v>
      </c>
      <c r="F126" s="127" t="str">
        <f>VLOOKUP(E126,TaskValues_ref!E:F,2,FALSE)</f>
        <v>Treat severe malnutrition</v>
      </c>
      <c r="G126" s="127" t="str">
        <f>VLOOKUP($E126,TaskValues_ref!$E:$Z,3,FALSE)</f>
        <v>Clinical</v>
      </c>
      <c r="H126" s="127" t="str">
        <f>VLOOKUP($E126,TaskValues_ref!$E:$Z,4,FALSE)</f>
        <v>Acute</v>
      </c>
      <c r="I126" s="127" t="str">
        <f>VLOOKUP($E126,TaskValues_ref!$E:$Z,5,FALSE)</f>
        <v>Nutrition</v>
      </c>
      <c r="J126" s="338" t="str">
        <f>VLOOKUP($E126,TaskValues_ref!$E:$Z,6,FALSE)</f>
        <v>1-4</v>
      </c>
      <c r="K126" s="127" t="str">
        <f>VLOOKUP($E126,TaskValues_ref!$E:$Z,10,FALSE)</f>
        <v>Amhara</v>
      </c>
      <c r="L126" s="309">
        <v>1</v>
      </c>
      <c r="N126" s="339">
        <v>1</v>
      </c>
      <c r="O126" s="127">
        <v>1</v>
      </c>
      <c r="Q126" s="340">
        <v>0</v>
      </c>
      <c r="R126" s="127" t="str">
        <f>IF(VLOOKUP($E126,TaskValues_ref!$E:$Z,19,FALSE)=0,"",VLOOKUP($E126,TaskValues_ref!$E:$Z,19,FALSE))</f>
        <v/>
      </c>
      <c r="S126" s="127" t="str">
        <f>IF(VLOOKUP($E126,TaskValues_ref!$E:$Z,20,FALSE)=0,"",VLOOKUP($E126,TaskValues_ref!$E:$Z,20,FALSE))</f>
        <v/>
      </c>
    </row>
    <row r="127" spans="1:19" s="127" customFormat="1" x14ac:dyDescent="0.45">
      <c r="A127" s="127" t="s">
        <v>2163</v>
      </c>
      <c r="B127" s="337" t="s">
        <v>2213</v>
      </c>
      <c r="C127" s="337"/>
      <c r="D127" s="343">
        <v>22</v>
      </c>
      <c r="E127" s="342" t="s">
        <v>2636</v>
      </c>
      <c r="F127" s="127" t="str">
        <f>VLOOKUP(E127,TaskValues_ref!E:F,2,FALSE)</f>
        <v>Treat moderate malnutrition</v>
      </c>
      <c r="G127" s="127" t="str">
        <f>VLOOKUP($E127,TaskValues_ref!$E:$Z,3,FALSE)</f>
        <v>Clinical</v>
      </c>
      <c r="H127" s="127" t="str">
        <f>VLOOKUP($E127,TaskValues_ref!$E:$Z,4,FALSE)</f>
        <v>Acute</v>
      </c>
      <c r="I127" s="127" t="str">
        <f>VLOOKUP($E127,TaskValues_ref!$E:$Z,5,FALSE)</f>
        <v>Nutrition</v>
      </c>
      <c r="J127" s="338" t="str">
        <f>VLOOKUP($E127,TaskValues_ref!$E:$Z,6,FALSE)</f>
        <v>1-4</v>
      </c>
      <c r="K127" s="127" t="str">
        <f>VLOOKUP($E127,TaskValues_ref!$E:$Z,10,FALSE)</f>
        <v>Amhara</v>
      </c>
      <c r="L127" s="309">
        <v>1</v>
      </c>
      <c r="N127" s="339">
        <v>1</v>
      </c>
      <c r="O127" s="127">
        <v>1</v>
      </c>
      <c r="Q127" s="340">
        <v>0</v>
      </c>
      <c r="R127" s="127" t="str">
        <f>IF(VLOOKUP($E127,TaskValues_ref!$E:$Z,19,FALSE)=0,"",VLOOKUP($E127,TaskValues_ref!$E:$Z,19,FALSE))</f>
        <v/>
      </c>
      <c r="S127" s="127" t="str">
        <f>IF(VLOOKUP($E127,TaskValues_ref!$E:$Z,20,FALSE)=0,"",VLOOKUP($E127,TaskValues_ref!$E:$Z,20,FALSE))</f>
        <v/>
      </c>
    </row>
    <row r="128" spans="1:19" s="127" customFormat="1" x14ac:dyDescent="0.45">
      <c r="A128" s="337" t="s">
        <v>2337</v>
      </c>
      <c r="B128" s="337" t="s">
        <v>2335</v>
      </c>
      <c r="C128" s="337" t="s">
        <v>69</v>
      </c>
      <c r="D128" s="337">
        <v>103</v>
      </c>
      <c r="E128" s="342" t="s">
        <v>2354</v>
      </c>
      <c r="F128" s="127" t="str">
        <f>VLOOKUP(E128,TaskValues_ref!E:F,2,FALSE)</f>
        <v>Uncomplicated malaria in adults</v>
      </c>
      <c r="G128" s="127" t="str">
        <f>VLOOKUP($E128,TaskValues_ref!$E:$Z,3,FALSE)</f>
        <v>Clinical</v>
      </c>
      <c r="H128" s="127" t="str">
        <f>VLOOKUP($E128,TaskValues_ref!$E:$Z,4,FALSE)</f>
        <v>Acute</v>
      </c>
      <c r="I128" s="127" t="str">
        <f>VLOOKUP($E128,TaskValues_ref!$E:$Z,5,FALSE)</f>
        <v>Malaria</v>
      </c>
      <c r="J128" s="338" t="str">
        <f>VLOOKUP($E128,TaskValues_ref!$E:$Z,6,FALSE)</f>
        <v>adults 18+</v>
      </c>
      <c r="K128" s="127" t="str">
        <f>VLOOKUP($E128,TaskValues_ref!$E:$Z,10,FALSE)</f>
        <v>Amhara</v>
      </c>
      <c r="L128" s="309">
        <v>1</v>
      </c>
      <c r="N128" s="339">
        <v>1</v>
      </c>
      <c r="O128" s="127">
        <v>1</v>
      </c>
      <c r="Q128" s="340">
        <v>0</v>
      </c>
      <c r="R128" s="127" t="str">
        <f>IF(VLOOKUP($E128,TaskValues_ref!$E:$Z,19,FALSE)=0,"",VLOOKUP($E128,TaskValues_ref!$E:$Z,19,FALSE))</f>
        <v/>
      </c>
      <c r="S128" s="127" t="str">
        <f>IF(VLOOKUP($E128,TaskValues_ref!$E:$Z,20,FALSE)=0,"",VLOOKUP($E128,TaskValues_ref!$E:$Z,20,FALSE))</f>
        <v/>
      </c>
    </row>
    <row r="129" spans="1:19" s="127" customFormat="1" x14ac:dyDescent="0.45">
      <c r="A129" s="337" t="s">
        <v>2337</v>
      </c>
      <c r="B129" s="337" t="s">
        <v>2335</v>
      </c>
      <c r="C129" s="337" t="s">
        <v>69</v>
      </c>
      <c r="D129" s="337">
        <v>103</v>
      </c>
      <c r="E129" s="342" t="s">
        <v>2355</v>
      </c>
      <c r="F129" s="127" t="str">
        <f>VLOOKUP(E129,TaskValues_ref!E:F,2,FALSE)</f>
        <v>Uncomplicated malaria in children</v>
      </c>
      <c r="G129" s="127" t="str">
        <f>VLOOKUP($E129,TaskValues_ref!$E:$Z,3,FALSE)</f>
        <v>Clinical</v>
      </c>
      <c r="H129" s="127" t="str">
        <f>VLOOKUP($E129,TaskValues_ref!$E:$Z,4,FALSE)</f>
        <v>Acute</v>
      </c>
      <c r="I129" s="127" t="str">
        <f>VLOOKUP($E129,TaskValues_ref!$E:$Z,5,FALSE)</f>
        <v>Malaria</v>
      </c>
      <c r="J129" s="338" t="str">
        <f>VLOOKUP($E129,TaskValues_ref!$E:$Z,6,FALSE)</f>
        <v>1-18</v>
      </c>
      <c r="K129" s="127" t="str">
        <f>VLOOKUP($E129,TaskValues_ref!$E:$Z,10,FALSE)</f>
        <v>Amhara</v>
      </c>
      <c r="L129" s="309">
        <v>1</v>
      </c>
      <c r="N129" s="339">
        <v>1</v>
      </c>
      <c r="O129" s="127">
        <v>1</v>
      </c>
      <c r="Q129" s="340">
        <v>0</v>
      </c>
      <c r="R129" s="127" t="str">
        <f>IF(VLOOKUP($E129,TaskValues_ref!$E:$Z,19,FALSE)=0,"",VLOOKUP($E129,TaskValues_ref!$E:$Z,19,FALSE))</f>
        <v/>
      </c>
      <c r="S129" s="127" t="str">
        <f>IF(VLOOKUP($E129,TaskValues_ref!$E:$Z,20,FALSE)=0,"",VLOOKUP($E129,TaskValues_ref!$E:$Z,20,FALSE))</f>
        <v/>
      </c>
    </row>
    <row r="130" spans="1:19" s="127" customFormat="1" x14ac:dyDescent="0.45">
      <c r="A130" s="337" t="s">
        <v>2337</v>
      </c>
      <c r="B130" s="337" t="s">
        <v>2335</v>
      </c>
      <c r="C130" s="337" t="s">
        <v>69</v>
      </c>
      <c r="D130" s="337">
        <v>103</v>
      </c>
      <c r="E130" s="342" t="s">
        <v>2358</v>
      </c>
      <c r="F130" s="127" t="str">
        <f>VLOOKUP(E130,TaskValues_ref!E:F,2,FALSE)</f>
        <v>Testing non-malaria cases</v>
      </c>
      <c r="G130" s="127" t="str">
        <f>VLOOKUP($E130,TaskValues_ref!$E:$Z,3,FALSE)</f>
        <v>Clinical</v>
      </c>
      <c r="H130" s="127" t="str">
        <f>VLOOKUP($E130,TaskValues_ref!$E:$Z,4,FALSE)</f>
        <v>Public Health</v>
      </c>
      <c r="I130" s="127" t="str">
        <f>VLOOKUP($E130,TaskValues_ref!$E:$Z,5,FALSE)</f>
        <v>Malaria</v>
      </c>
      <c r="J130" s="338" t="str">
        <f>VLOOKUP($E130,TaskValues_ref!$E:$Z,6,FALSE)</f>
        <v>all</v>
      </c>
      <c r="K130" s="127" t="str">
        <f>VLOOKUP($E130,TaskValues_ref!$E:$Z,10,FALSE)</f>
        <v>Amhara</v>
      </c>
      <c r="L130" s="309">
        <v>1</v>
      </c>
      <c r="N130" s="339">
        <v>1</v>
      </c>
      <c r="O130" s="127">
        <v>1</v>
      </c>
      <c r="Q130" s="340">
        <v>0</v>
      </c>
      <c r="R130" s="127" t="str">
        <f>IF(VLOOKUP($E130,TaskValues_ref!$E:$Z,19,FALSE)=0,"",VLOOKUP($E130,TaskValues_ref!$E:$Z,19,FALSE))</f>
        <v/>
      </c>
      <c r="S130" s="127" t="str">
        <f>IF(VLOOKUP($E130,TaskValues_ref!$E:$Z,20,FALSE)=0,"",VLOOKUP($E130,TaskValues_ref!$E:$Z,20,FALSE))</f>
        <v/>
      </c>
    </row>
    <row r="131" spans="1:19" s="127" customFormat="1" x14ac:dyDescent="0.45">
      <c r="A131" s="337" t="s">
        <v>2337</v>
      </c>
      <c r="B131" s="337" t="s">
        <v>2335</v>
      </c>
      <c r="C131" s="337" t="s">
        <v>69</v>
      </c>
      <c r="D131" s="337">
        <v>104</v>
      </c>
      <c r="E131" s="342" t="s">
        <v>2356</v>
      </c>
      <c r="F131" s="127" t="str">
        <f>VLOOKUP(E131,TaskValues_ref!E:F,2,FALSE)</f>
        <v>Severe malaria in adults</v>
      </c>
      <c r="G131" s="127" t="str">
        <f>VLOOKUP($E131,TaskValues_ref!$E:$Z,3,FALSE)</f>
        <v>Clinical</v>
      </c>
      <c r="H131" s="127" t="str">
        <f>VLOOKUP($E131,TaskValues_ref!$E:$Z,4,FALSE)</f>
        <v>Acute</v>
      </c>
      <c r="I131" s="127" t="str">
        <f>VLOOKUP($E131,TaskValues_ref!$E:$Z,5,FALSE)</f>
        <v>Malaria</v>
      </c>
      <c r="J131" s="338" t="str">
        <f>VLOOKUP($E131,TaskValues_ref!$E:$Z,6,FALSE)</f>
        <v>adults 18+</v>
      </c>
      <c r="K131" s="127" t="str">
        <f>VLOOKUP($E131,TaskValues_ref!$E:$Z,10,FALSE)</f>
        <v>Amhara</v>
      </c>
      <c r="L131" s="309">
        <v>1</v>
      </c>
      <c r="N131" s="339">
        <v>1</v>
      </c>
      <c r="O131" s="127">
        <v>1</v>
      </c>
      <c r="Q131" s="340">
        <v>0</v>
      </c>
      <c r="R131" s="127" t="str">
        <f>IF(VLOOKUP($E131,TaskValues_ref!$E:$Z,19,FALSE)=0,"",VLOOKUP($E131,TaskValues_ref!$E:$Z,19,FALSE))</f>
        <v/>
      </c>
      <c r="S131" s="127" t="str">
        <f>IF(VLOOKUP($E131,TaskValues_ref!$E:$Z,20,FALSE)=0,"",VLOOKUP($E131,TaskValues_ref!$E:$Z,20,FALSE))</f>
        <v/>
      </c>
    </row>
    <row r="132" spans="1:19" s="127" customFormat="1" x14ac:dyDescent="0.45">
      <c r="A132" s="337" t="s">
        <v>2337</v>
      </c>
      <c r="B132" s="337" t="s">
        <v>2335</v>
      </c>
      <c r="C132" s="337" t="s">
        <v>69</v>
      </c>
      <c r="D132" s="337">
        <v>104</v>
      </c>
      <c r="E132" s="342" t="s">
        <v>2357</v>
      </c>
      <c r="F132" s="127" t="str">
        <f>VLOOKUP(E132,TaskValues_ref!E:F,2,FALSE)</f>
        <v>Severe malaria in children</v>
      </c>
      <c r="G132" s="127" t="str">
        <f>VLOOKUP($E132,TaskValues_ref!$E:$Z,3,FALSE)</f>
        <v>Clinical</v>
      </c>
      <c r="H132" s="127" t="str">
        <f>VLOOKUP($E132,TaskValues_ref!$E:$Z,4,FALSE)</f>
        <v>Acute</v>
      </c>
      <c r="I132" s="127" t="str">
        <f>VLOOKUP($E132,TaskValues_ref!$E:$Z,5,FALSE)</f>
        <v>Malaria</v>
      </c>
      <c r="J132" s="338" t="str">
        <f>VLOOKUP($E132,TaskValues_ref!$E:$Z,6,FALSE)</f>
        <v>1-18</v>
      </c>
      <c r="K132" s="127" t="str">
        <f>VLOOKUP($E132,TaskValues_ref!$E:$Z,10,FALSE)</f>
        <v>Amhara</v>
      </c>
      <c r="L132" s="309">
        <v>1</v>
      </c>
      <c r="N132" s="339">
        <v>1</v>
      </c>
      <c r="O132" s="127">
        <v>1</v>
      </c>
      <c r="Q132" s="340">
        <v>0</v>
      </c>
      <c r="R132" s="127" t="str">
        <f>IF(VLOOKUP($E132,TaskValues_ref!$E:$Z,19,FALSE)=0,"",VLOOKUP($E132,TaskValues_ref!$E:$Z,19,FALSE))</f>
        <v/>
      </c>
      <c r="S132" s="127" t="str">
        <f>IF(VLOOKUP($E132,TaskValues_ref!$E:$Z,20,FALSE)=0,"",VLOOKUP($E132,TaskValues_ref!$E:$Z,20,FALSE))</f>
        <v/>
      </c>
    </row>
    <row r="133" spans="1:19" x14ac:dyDescent="0.45">
      <c r="A133" s="66" t="s">
        <v>192</v>
      </c>
      <c r="E133" s="64" t="s">
        <v>2793</v>
      </c>
      <c r="F133" t="str">
        <f>VLOOKUP(E133,TaskValues_ref!E:F,2,FALSE)</f>
        <v>Travel HEH</v>
      </c>
      <c r="G133" t="str">
        <f>VLOOKUP($E133,TaskValues_ref!$E:$Z,3,FALSE)</f>
        <v>Non-productive</v>
      </c>
      <c r="H133" t="str">
        <f>VLOOKUP($E133,TaskValues_ref!$E:$Z,4,FALSE)</f>
        <v>-</v>
      </c>
      <c r="I133" t="str">
        <f>VLOOKUP($E133,TaskValues_ref!$E:$Z,5,FALSE)</f>
        <v>-</v>
      </c>
      <c r="J133" s="257" t="str">
        <f>VLOOKUP($E133,TaskValues_ref!$E:$Z,6,FALSE)</f>
        <v>all</v>
      </c>
      <c r="K133" t="str">
        <f>VLOOKUP($E133,TaskValues_ref!$E:$Z,10,FALSE)</f>
        <v>Amhara</v>
      </c>
      <c r="L133" s="195">
        <f>IF(VLOOKUP($E133,TaskValues_ref!$E:$Z,11,FALSE)=0,"",VLOOKUP($E133,TaskValues_ref!$E:$Z,11,FALSE))</f>
        <v>0.5</v>
      </c>
      <c r="M133" t="str">
        <f>IF(VLOOKUP($E133,TaskValues_ref!$E:$Z,13,FALSE)=0,"",VLOOKUP($E133,TaskValues_ref!$E:$Z,13,FALSE))</f>
        <v/>
      </c>
      <c r="N133" s="89">
        <f>IF(VLOOKUP($E133,TaskValues_ref!$E:$Z,15,FALSE)=0,"",VLOOKUP($E133,TaskValues_ref!$E:$Z,15,FALSE))</f>
        <v>0.98</v>
      </c>
      <c r="O133">
        <f>IF(VLOOKUP($E133,TaskValues_ref!$E:$Z,16,FALSE)=0,"",VLOOKUP($E133,TaskValues_ref!$E:$Z,16,FALSE))</f>
        <v>1</v>
      </c>
      <c r="P133" t="str">
        <f>IF(VLOOKUP($E133,TaskValues_ref!$E:$Z,17,FALSE)=0,"",VLOOKUP($E133,TaskValues_ref!$E:$Z,17,FALSE))</f>
        <v/>
      </c>
      <c r="Q133">
        <f>IF(VLOOKUP($E133,TaskValues_ref!$E:$Z,18,FALSE)=0,"",VLOOKUP($E133,TaskValues_ref!$E:$Z,18,FALSE))</f>
        <v>5.3832494807158753</v>
      </c>
      <c r="R133" t="str">
        <f>IF(VLOOKUP($E133,TaskValues_ref!$E:$Z,19,FALSE)=0,"",VLOOKUP($E133,TaskValues_ref!$E:$Z,19,FALSE))</f>
        <v/>
      </c>
      <c r="S133" t="str">
        <f>IF(VLOOKUP($E133,TaskValues_ref!$E:$Z,20,FALSE)=0,"",VLOOKUP($E133,TaskValues_ref!$E:$Z,20,FALSE))</f>
        <v/>
      </c>
    </row>
    <row r="134" spans="1:19" x14ac:dyDescent="0.45">
      <c r="A134" s="66" t="s">
        <v>192</v>
      </c>
      <c r="E134" s="64" t="s">
        <v>2794</v>
      </c>
      <c r="F134" t="str">
        <f>VLOOKUP(E134,TaskValues_ref!E:F,2,FALSE)</f>
        <v>Travel HEP</v>
      </c>
      <c r="G134" t="str">
        <f>VLOOKUP($E134,TaskValues_ref!$E:$Z,3,FALSE)</f>
        <v>Non-productive</v>
      </c>
      <c r="H134" t="str">
        <f>VLOOKUP($E134,TaskValues_ref!$E:$Z,4,FALSE)</f>
        <v>-</v>
      </c>
      <c r="I134" t="str">
        <f>VLOOKUP($E134,TaskValues_ref!$E:$Z,5,FALSE)</f>
        <v>-</v>
      </c>
      <c r="J134" s="257" t="str">
        <f>VLOOKUP($E134,TaskValues_ref!$E:$Z,6,FALSE)</f>
        <v>all</v>
      </c>
      <c r="K134" t="str">
        <f>VLOOKUP($E134,TaskValues_ref!$E:$Z,10,FALSE)</f>
        <v>Amhara</v>
      </c>
      <c r="L134" s="195">
        <f>IF(VLOOKUP($E134,TaskValues_ref!$E:$Z,11,FALSE)=0,"",VLOOKUP($E134,TaskValues_ref!$E:$Z,11,FALSE))</f>
        <v>0.5</v>
      </c>
      <c r="M134" t="str">
        <f>IF(VLOOKUP($E134,TaskValues_ref!$E:$Z,13,FALSE)=0,"",VLOOKUP($E134,TaskValues_ref!$E:$Z,13,FALSE))</f>
        <v/>
      </c>
      <c r="N134" s="89">
        <f>IF(VLOOKUP($E134,TaskValues_ref!$E:$Z,15,FALSE)=0,"",VLOOKUP($E134,TaskValues_ref!$E:$Z,15,FALSE))</f>
        <v>0.98</v>
      </c>
      <c r="O134">
        <f>IF(VLOOKUP($E134,TaskValues_ref!$E:$Z,16,FALSE)=0,"",VLOOKUP($E134,TaskValues_ref!$E:$Z,16,FALSE))</f>
        <v>1</v>
      </c>
      <c r="P134" t="str">
        <f>IF(VLOOKUP($E134,TaskValues_ref!$E:$Z,17,FALSE)=0,"",VLOOKUP($E134,TaskValues_ref!$E:$Z,17,FALSE))</f>
        <v/>
      </c>
      <c r="Q134">
        <f>IF(VLOOKUP($E134,TaskValues_ref!$E:$Z,18,FALSE)=0,"",VLOOKUP($E134,TaskValues_ref!$E:$Z,18,FALSE))</f>
        <v>5.3832494807158753</v>
      </c>
      <c r="R134" t="str">
        <f>IF(VLOOKUP($E134,TaskValues_ref!$E:$Z,19,FALSE)=0,"",VLOOKUP($E134,TaskValues_ref!$E:$Z,19,FALSE))</f>
        <v/>
      </c>
      <c r="S134" t="str">
        <f>IF(VLOOKUP($E134,TaskValues_ref!$E:$Z,20,FALSE)=0,"",VLOOKUP($E134,TaskValues_ref!$E:$Z,20,FALSE))</f>
        <v/>
      </c>
    </row>
    <row r="135" spans="1:19" x14ac:dyDescent="0.45">
      <c r="E135" s="64" t="s">
        <v>2811</v>
      </c>
      <c r="F135" t="s">
        <v>2817</v>
      </c>
      <c r="G135" t="str">
        <f>VLOOKUP($E135,TaskValues_ref!$E:$Z,3,FALSE)</f>
        <v>Non-productive</v>
      </c>
      <c r="H135" t="str">
        <f>VLOOKUP($E135,TaskValues_ref!$E:$Z,4,FALSE)</f>
        <v>-</v>
      </c>
      <c r="I135" t="str">
        <f>VLOOKUP($E135,TaskValues_ref!$E:$Z,5,FALSE)</f>
        <v>-</v>
      </c>
      <c r="J135" s="257" t="str">
        <f>VLOOKUP($E135,TaskValues_ref!$E:$Z,6,FALSE)</f>
        <v>-</v>
      </c>
      <c r="K135" t="str">
        <f>VLOOKUP($E135,TaskValues_ref!$E:$Z,10,FALSE)</f>
        <v>Amhara</v>
      </c>
      <c r="L135" s="195" t="str">
        <f>IF(VLOOKUP($E135,TaskValues_ref!$E:$Z,11,FALSE)=0,"",VLOOKUP($E135,TaskValues_ref!$E:$Z,11,FALSE))</f>
        <v/>
      </c>
      <c r="M135" t="str">
        <f>IF(VLOOKUP($E135,TaskValues_ref!$E:$Z,13,FALSE)=0,"",VLOOKUP($E135,TaskValues_ref!$E:$Z,13,FALSE))</f>
        <v/>
      </c>
      <c r="N135" s="89" t="str">
        <f>IF(VLOOKUP($E135,TaskValues_ref!$E:$Z,15,FALSE)=0,"",VLOOKUP($E135,TaskValues_ref!$E:$Z,15,FALSE))</f>
        <v/>
      </c>
      <c r="O135" t="str">
        <f>IF(VLOOKUP($E135,TaskValues_ref!$E:$Z,16,FALSE)=0,"",VLOOKUP($E135,TaskValues_ref!$E:$Z,16,FALSE))</f>
        <v/>
      </c>
      <c r="P135" t="str">
        <f>IF(VLOOKUP($E135,TaskValues_ref!$E:$Z,17,FALSE)=0,"",VLOOKUP($E135,TaskValues_ref!$E:$Z,17,FALSE))</f>
        <v/>
      </c>
      <c r="Q135" t="str">
        <f>IF(VLOOKUP($E135,TaskValues_ref!$E:$Z,18,FALSE)=0,"",VLOOKUP($E135,TaskValues_ref!$E:$Z,18,FALSE))</f>
        <v/>
      </c>
      <c r="R135">
        <f>IF(VLOOKUP($E135,TaskValues_ref!$E:$Z,19,FALSE)=0,"",VLOOKUP($E135,TaskValues_ref!$E:$Z,19,FALSE))</f>
        <v>4.5120000000000005</v>
      </c>
      <c r="S135" t="str">
        <f>IF(VLOOKUP($E135,TaskValues_ref!$E:$Z,20,FALSE)=0,"",VLOOKUP($E135,TaskValues_ref!$E:$Z,20,FALSE))</f>
        <v/>
      </c>
    </row>
    <row r="136" spans="1:19" x14ac:dyDescent="0.45">
      <c r="E136" s="64" t="s">
        <v>2812</v>
      </c>
      <c r="F136" t="s">
        <v>2818</v>
      </c>
      <c r="G136" t="str">
        <f>VLOOKUP($E136,TaskValues_ref!$E:$Z,3,FALSE)</f>
        <v>Non-productive</v>
      </c>
      <c r="H136" t="str">
        <f>VLOOKUP($E136,TaskValues_ref!$E:$Z,4,FALSE)</f>
        <v>-</v>
      </c>
      <c r="I136" t="str">
        <f>VLOOKUP($E136,TaskValues_ref!$E:$Z,5,FALSE)</f>
        <v>-</v>
      </c>
      <c r="J136" s="257" t="str">
        <f>VLOOKUP($E136,TaskValues_ref!$E:$Z,6,FALSE)</f>
        <v>-</v>
      </c>
      <c r="K136" t="str">
        <f>VLOOKUP($E136,TaskValues_ref!$E:$Z,10,FALSE)</f>
        <v>Amhara</v>
      </c>
      <c r="L136" s="195" t="str">
        <f>IF(VLOOKUP($E136,TaskValues_ref!$E:$Z,11,FALSE)=0,"",VLOOKUP($E136,TaskValues_ref!$E:$Z,11,FALSE))</f>
        <v/>
      </c>
      <c r="M136" t="str">
        <f>IF(VLOOKUP($E136,TaskValues_ref!$E:$Z,13,FALSE)=0,"",VLOOKUP($E136,TaskValues_ref!$E:$Z,13,FALSE))</f>
        <v/>
      </c>
      <c r="N136" s="89" t="str">
        <f>IF(VLOOKUP($E136,TaskValues_ref!$E:$Z,15,FALSE)=0,"",VLOOKUP($E136,TaskValues_ref!$E:$Z,15,FALSE))</f>
        <v/>
      </c>
      <c r="O136" t="str">
        <f>IF(VLOOKUP($E136,TaskValues_ref!$E:$Z,16,FALSE)=0,"",VLOOKUP($E136,TaskValues_ref!$E:$Z,16,FALSE))</f>
        <v/>
      </c>
      <c r="P136" t="str">
        <f>IF(VLOOKUP($E136,TaskValues_ref!$E:$Z,17,FALSE)=0,"",VLOOKUP($E136,TaskValues_ref!$E:$Z,17,FALSE))</f>
        <v/>
      </c>
      <c r="Q136" t="str">
        <f>IF(VLOOKUP($E136,TaskValues_ref!$E:$Z,18,FALSE)=0,"",VLOOKUP($E136,TaskValues_ref!$E:$Z,18,FALSE))</f>
        <v/>
      </c>
      <c r="R136">
        <f>IF(VLOOKUP($E136,TaskValues_ref!$E:$Z,19,FALSE)=0,"",VLOOKUP($E136,TaskValues_ref!$E:$Z,19,FALSE))</f>
        <v>4.5120000000000005</v>
      </c>
      <c r="S136" t="str">
        <f>IF(VLOOKUP($E136,TaskValues_ref!$E:$Z,20,FALSE)=0,"",VLOOKUP($E136,TaskValues_ref!$E:$Z,20,FALSE))</f>
        <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F018A38B-6EC1-4A73-80D5-89D20A904DA7}">
          <x14:formula1>
            <xm:f>Lookup!$B$2:$B$9</xm:f>
          </x14:formula1>
          <xm:sqref>H118:H132 H137:H338</xm:sqref>
        </x14:dataValidation>
        <x14:dataValidation type="list" allowBlank="1" showInputMessage="1" showErrorMessage="1" xr:uid="{8D8007AD-CB0B-468B-83B5-C2695482895C}">
          <x14:formula1>
            <xm:f>Lookup!$D$2:$D$15</xm:f>
          </x14:formula1>
          <xm:sqref>I118:I132 I137:I437</xm:sqref>
        </x14:dataValidation>
        <x14:dataValidation type="list" allowBlank="1" showInputMessage="1" showErrorMessage="1" xr:uid="{9CD67D9B-2247-4CF6-A5EF-2043133EFEFF}">
          <x14:formula1>
            <xm:f>Lookup!$F$2:$F$45</xm:f>
          </x14:formula1>
          <xm:sqref>J2:J1048576</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D47B9-0311-45D8-B4FF-31FD39A4DDCD}">
  <sheetPr>
    <tabColor theme="9"/>
  </sheetPr>
  <dimension ref="A1:Z198"/>
  <sheetViews>
    <sheetView zoomScale="80" zoomScaleNormal="80" workbookViewId="0">
      <pane ySplit="1" topLeftCell="A2" activePane="bottomLeft" state="frozen"/>
      <selection activeCell="B15" sqref="B15"/>
      <selection pane="bottomLeft" activeCell="B45" sqref="B45"/>
    </sheetView>
  </sheetViews>
  <sheetFormatPr defaultRowHeight="14.25" x14ac:dyDescent="0.45"/>
  <cols>
    <col min="1" max="1" width="15.19921875" customWidth="1"/>
    <col min="2" max="2" width="42" bestFit="1" customWidth="1"/>
    <col min="3" max="4" width="3.796875" customWidth="1"/>
    <col min="5" max="5" width="3.796875" style="257" customWidth="1"/>
    <col min="6" max="6" width="3.796875" style="64" customWidth="1"/>
    <col min="7" max="9" width="3.796875" customWidth="1"/>
    <col min="10" max="10" width="3.796875" style="257" customWidth="1"/>
    <col min="11" max="11" width="3.796875" style="64" customWidth="1"/>
    <col min="12" max="17" width="3.796875" customWidth="1"/>
    <col min="18" max="18" width="3.796875" style="257" customWidth="1"/>
    <col min="19" max="19" width="3.796875" style="64" customWidth="1"/>
    <col min="20" max="24" width="3.796875" customWidth="1"/>
    <col min="25" max="25" width="3.796875" style="257" customWidth="1"/>
  </cols>
  <sheetData>
    <row r="1" spans="1:25" s="177" customFormat="1" ht="87.7" customHeight="1" x14ac:dyDescent="0.45">
      <c r="A1" s="302" t="s">
        <v>135</v>
      </c>
      <c r="B1" s="302" t="s">
        <v>136</v>
      </c>
      <c r="C1" s="330" t="s">
        <v>2627</v>
      </c>
      <c r="D1" s="330" t="s">
        <v>2629</v>
      </c>
      <c r="E1" s="331" t="s">
        <v>2628</v>
      </c>
      <c r="F1" s="329" t="s">
        <v>2790</v>
      </c>
      <c r="G1" s="330" t="s">
        <v>2750</v>
      </c>
      <c r="H1" s="330" t="s">
        <v>2751</v>
      </c>
      <c r="I1" s="330" t="s">
        <v>2754</v>
      </c>
      <c r="J1" s="331" t="s">
        <v>2755</v>
      </c>
      <c r="K1" s="329" t="s">
        <v>2791</v>
      </c>
      <c r="L1" s="330" t="s">
        <v>2756</v>
      </c>
      <c r="M1" s="330" t="s">
        <v>2757</v>
      </c>
      <c r="N1" s="330" t="s">
        <v>2752</v>
      </c>
      <c r="O1" s="330" t="s">
        <v>2758</v>
      </c>
      <c r="P1" s="330" t="s">
        <v>2759</v>
      </c>
      <c r="Q1" s="330" t="s">
        <v>2760</v>
      </c>
      <c r="R1" s="331" t="s">
        <v>2761</v>
      </c>
      <c r="S1" s="329" t="s">
        <v>2792</v>
      </c>
      <c r="T1" s="330" t="s">
        <v>2762</v>
      </c>
      <c r="U1" s="330" t="s">
        <v>2763</v>
      </c>
      <c r="V1" s="330" t="s">
        <v>2764</v>
      </c>
      <c r="W1" s="330" t="s">
        <v>2765</v>
      </c>
      <c r="X1" s="330" t="s">
        <v>2766</v>
      </c>
      <c r="Y1" s="331" t="s">
        <v>2767</v>
      </c>
    </row>
    <row r="2" spans="1:25" x14ac:dyDescent="0.45">
      <c r="A2" t="s">
        <v>2165</v>
      </c>
      <c r="B2" t="str">
        <f>VLOOKUP(A2,TaskValues_ref!E:F,2,FALSE)</f>
        <v>ANC visits</v>
      </c>
      <c r="C2" s="58">
        <v>100</v>
      </c>
      <c r="D2" s="127"/>
      <c r="E2" s="345">
        <f t="shared" ref="E2:E33" si="0">SUM(C2:D2)</f>
        <v>100</v>
      </c>
      <c r="F2" s="344">
        <v>100</v>
      </c>
      <c r="G2" s="58"/>
      <c r="H2" s="58"/>
      <c r="I2" s="58"/>
      <c r="J2" s="345">
        <f>SUM(F2:I2)</f>
        <v>100</v>
      </c>
      <c r="K2" s="344">
        <v>100</v>
      </c>
      <c r="L2" s="58"/>
      <c r="M2" s="58"/>
      <c r="N2" s="58"/>
      <c r="O2" s="58"/>
      <c r="P2" s="58"/>
      <c r="Q2" s="58"/>
      <c r="R2" s="345">
        <f>SUM(K2:Q2)</f>
        <v>100</v>
      </c>
      <c r="S2" s="344">
        <v>100</v>
      </c>
      <c r="T2" s="58"/>
      <c r="U2" s="58"/>
      <c r="V2" s="58"/>
      <c r="W2" s="58"/>
      <c r="X2" s="58"/>
      <c r="Y2" s="345">
        <f>SUM(S2:X2)</f>
        <v>100</v>
      </c>
    </row>
    <row r="3" spans="1:25" x14ac:dyDescent="0.45">
      <c r="A3" t="s">
        <v>2198</v>
      </c>
      <c r="B3" t="str">
        <f>VLOOKUP(A3,TaskValues_ref!E:F,2,FALSE)</f>
        <v>ANC rapid testing</v>
      </c>
      <c r="C3" s="58">
        <v>100</v>
      </c>
      <c r="D3" s="127"/>
      <c r="E3" s="345">
        <f t="shared" si="0"/>
        <v>100</v>
      </c>
      <c r="F3" s="344">
        <v>100</v>
      </c>
      <c r="G3" s="58"/>
      <c r="H3" s="58"/>
      <c r="I3" s="58"/>
      <c r="J3" s="345">
        <f t="shared" ref="J3:J65" si="1">SUM(F3:I3)</f>
        <v>100</v>
      </c>
      <c r="K3" s="344">
        <v>100</v>
      </c>
      <c r="L3" s="58"/>
      <c r="M3" s="58"/>
      <c r="N3" s="58"/>
      <c r="O3" s="58"/>
      <c r="P3" s="58"/>
      <c r="Q3" s="58"/>
      <c r="R3" s="345">
        <f t="shared" ref="R3:R65" si="2">SUM(K3:Q3)</f>
        <v>100</v>
      </c>
      <c r="S3" s="344">
        <v>100</v>
      </c>
      <c r="T3" s="58"/>
      <c r="U3" s="58"/>
      <c r="V3" s="58"/>
      <c r="W3" s="58"/>
      <c r="X3" s="58"/>
      <c r="Y3" s="345">
        <f t="shared" ref="Y3:Y65" si="3">SUM(S3:X3)</f>
        <v>100</v>
      </c>
    </row>
    <row r="4" spans="1:25" x14ac:dyDescent="0.45">
      <c r="A4" t="s">
        <v>2179</v>
      </c>
      <c r="B4" t="str">
        <f>VLOOKUP(A4,TaskValues_ref!E:F,2,FALSE)</f>
        <v>Normal labor management</v>
      </c>
      <c r="C4" s="58">
        <v>100</v>
      </c>
      <c r="D4" s="127"/>
      <c r="E4" s="345">
        <f t="shared" si="0"/>
        <v>100</v>
      </c>
      <c r="F4" s="344">
        <v>100</v>
      </c>
      <c r="G4" s="58"/>
      <c r="H4" s="58"/>
      <c r="I4" s="58"/>
      <c r="J4" s="345">
        <f t="shared" si="1"/>
        <v>100</v>
      </c>
      <c r="K4" s="344">
        <v>100</v>
      </c>
      <c r="L4" s="58"/>
      <c r="M4" s="58"/>
      <c r="N4" s="58"/>
      <c r="O4" s="58"/>
      <c r="P4" s="58"/>
      <c r="Q4" s="58"/>
      <c r="R4" s="345">
        <f t="shared" si="2"/>
        <v>100</v>
      </c>
      <c r="S4" s="344">
        <v>100</v>
      </c>
      <c r="T4" s="58"/>
      <c r="U4" s="58"/>
      <c r="V4" s="58"/>
      <c r="W4" s="58"/>
      <c r="X4" s="58"/>
      <c r="Y4" s="345">
        <f t="shared" si="3"/>
        <v>100</v>
      </c>
    </row>
    <row r="5" spans="1:25" x14ac:dyDescent="0.45">
      <c r="A5" t="s">
        <v>2180</v>
      </c>
      <c r="B5" t="str">
        <f>VLOOKUP(A5,TaskValues_ref!E:F,2,FALSE)</f>
        <v>Active management 3rd stage</v>
      </c>
      <c r="C5" s="58">
        <v>100</v>
      </c>
      <c r="D5" s="127"/>
      <c r="E5" s="345">
        <f t="shared" si="0"/>
        <v>100</v>
      </c>
      <c r="F5" s="344">
        <v>100</v>
      </c>
      <c r="G5" s="58"/>
      <c r="H5" s="58"/>
      <c r="I5" s="58"/>
      <c r="J5" s="345">
        <f t="shared" si="1"/>
        <v>100</v>
      </c>
      <c r="K5" s="344">
        <v>100</v>
      </c>
      <c r="L5" s="58"/>
      <c r="M5" s="58"/>
      <c r="N5" s="58"/>
      <c r="O5" s="58"/>
      <c r="P5" s="58"/>
      <c r="Q5" s="58"/>
      <c r="R5" s="345">
        <f t="shared" si="2"/>
        <v>100</v>
      </c>
      <c r="S5" s="344">
        <v>100</v>
      </c>
      <c r="T5" s="58"/>
      <c r="U5" s="58"/>
      <c r="V5" s="58"/>
      <c r="W5" s="58"/>
      <c r="X5" s="58"/>
      <c r="Y5" s="345">
        <f t="shared" si="3"/>
        <v>100</v>
      </c>
    </row>
    <row r="6" spans="1:25" x14ac:dyDescent="0.45">
      <c r="A6" t="s">
        <v>2181</v>
      </c>
      <c r="B6" t="str">
        <f>VLOOKUP(A6,TaskValues_ref!E:F,2,FALSE)</f>
        <v>Emergency OB</v>
      </c>
      <c r="C6" s="58">
        <v>100</v>
      </c>
      <c r="D6" s="127"/>
      <c r="E6" s="345">
        <f t="shared" si="0"/>
        <v>100</v>
      </c>
      <c r="F6" s="344">
        <v>100</v>
      </c>
      <c r="G6" s="58"/>
      <c r="H6" s="58"/>
      <c r="I6" s="58"/>
      <c r="J6" s="345">
        <f t="shared" si="1"/>
        <v>100</v>
      </c>
      <c r="K6" s="344">
        <v>100</v>
      </c>
      <c r="L6" s="58"/>
      <c r="M6" s="58"/>
      <c r="N6" s="58"/>
      <c r="O6" s="58"/>
      <c r="P6" s="58"/>
      <c r="Q6" s="58"/>
      <c r="R6" s="345">
        <f t="shared" si="2"/>
        <v>100</v>
      </c>
      <c r="S6" s="344">
        <v>100</v>
      </c>
      <c r="T6" s="58"/>
      <c r="U6" s="58"/>
      <c r="V6" s="58"/>
      <c r="W6" s="58"/>
      <c r="X6" s="58"/>
      <c r="Y6" s="345">
        <f t="shared" si="3"/>
        <v>100</v>
      </c>
    </row>
    <row r="7" spans="1:25" x14ac:dyDescent="0.45">
      <c r="A7" t="s">
        <v>2182</v>
      </c>
      <c r="B7" t="str">
        <f>VLOOKUP(A7,TaskValues_ref!E:F,2,FALSE)</f>
        <v>Pre-referral for complications</v>
      </c>
      <c r="C7" s="58">
        <v>100</v>
      </c>
      <c r="D7" s="127"/>
      <c r="E7" s="345">
        <f t="shared" si="0"/>
        <v>100</v>
      </c>
      <c r="F7" s="344">
        <v>100</v>
      </c>
      <c r="G7" s="58"/>
      <c r="H7" s="58"/>
      <c r="I7" s="58"/>
      <c r="J7" s="345">
        <f t="shared" si="1"/>
        <v>100</v>
      </c>
      <c r="K7" s="344">
        <v>100</v>
      </c>
      <c r="L7" s="58"/>
      <c r="M7" s="58"/>
      <c r="N7" s="58"/>
      <c r="O7" s="58"/>
      <c r="P7" s="58"/>
      <c r="Q7" s="58"/>
      <c r="R7" s="345">
        <f t="shared" si="2"/>
        <v>100</v>
      </c>
      <c r="S7" s="344">
        <v>100</v>
      </c>
      <c r="T7" s="58"/>
      <c r="U7" s="58"/>
      <c r="V7" s="58"/>
      <c r="W7" s="58"/>
      <c r="X7" s="58"/>
      <c r="Y7" s="345">
        <f t="shared" si="3"/>
        <v>100</v>
      </c>
    </row>
    <row r="8" spans="1:25" x14ac:dyDescent="0.45">
      <c r="A8" t="s">
        <v>2191</v>
      </c>
      <c r="B8" t="str">
        <f>VLOOKUP(A8,TaskValues_ref!E:F,2,FALSE)</f>
        <v>PNC home visits</v>
      </c>
      <c r="C8" s="58">
        <v>100</v>
      </c>
      <c r="D8" s="127"/>
      <c r="E8" s="345">
        <f t="shared" si="0"/>
        <v>100</v>
      </c>
      <c r="F8" s="344">
        <v>100</v>
      </c>
      <c r="G8" s="58"/>
      <c r="H8" s="58"/>
      <c r="I8" s="58"/>
      <c r="J8" s="345">
        <f t="shared" si="1"/>
        <v>100</v>
      </c>
      <c r="K8" s="344">
        <v>100</v>
      </c>
      <c r="L8" s="58"/>
      <c r="M8" s="58"/>
      <c r="N8" s="58"/>
      <c r="O8" s="58"/>
      <c r="P8" s="58"/>
      <c r="Q8" s="58"/>
      <c r="R8" s="345">
        <f t="shared" si="2"/>
        <v>100</v>
      </c>
      <c r="S8" s="344">
        <v>100</v>
      </c>
      <c r="T8" s="58"/>
      <c r="U8" s="58"/>
      <c r="V8" s="58"/>
      <c r="W8" s="58"/>
      <c r="X8" s="58"/>
      <c r="Y8" s="345">
        <f t="shared" si="3"/>
        <v>100</v>
      </c>
    </row>
    <row r="9" spans="1:25" x14ac:dyDescent="0.45">
      <c r="A9" t="s">
        <v>2192</v>
      </c>
      <c r="B9" t="str">
        <f>VLOOKUP(A9,TaskValues_ref!E:F,2,FALSE)</f>
        <v>Maternal sepsis</v>
      </c>
      <c r="C9" s="58">
        <v>100</v>
      </c>
      <c r="D9" s="127"/>
      <c r="E9" s="345">
        <f t="shared" si="0"/>
        <v>100</v>
      </c>
      <c r="F9" s="344">
        <v>100</v>
      </c>
      <c r="G9" s="58"/>
      <c r="H9" s="58"/>
      <c r="I9" s="58"/>
      <c r="J9" s="345">
        <f t="shared" si="1"/>
        <v>100</v>
      </c>
      <c r="K9" s="344">
        <v>100</v>
      </c>
      <c r="L9" s="58"/>
      <c r="M9" s="58"/>
      <c r="N9" s="58"/>
      <c r="O9" s="58"/>
      <c r="P9" s="58"/>
      <c r="Q9" s="58"/>
      <c r="R9" s="345">
        <f t="shared" si="2"/>
        <v>100</v>
      </c>
      <c r="S9" s="344">
        <v>100</v>
      </c>
      <c r="T9" s="58"/>
      <c r="U9" s="58"/>
      <c r="V9" s="58"/>
      <c r="W9" s="58"/>
      <c r="X9" s="58"/>
      <c r="Y9" s="345">
        <f t="shared" si="3"/>
        <v>100</v>
      </c>
    </row>
    <row r="10" spans="1:25" x14ac:dyDescent="0.45">
      <c r="A10" t="s">
        <v>2193</v>
      </c>
      <c r="B10" t="str">
        <f>VLOOKUP(A10,TaskValues_ref!E:F,2,FALSE)</f>
        <v>Mastitis</v>
      </c>
      <c r="C10" s="58">
        <v>100</v>
      </c>
      <c r="D10" s="127"/>
      <c r="E10" s="345">
        <f t="shared" si="0"/>
        <v>100</v>
      </c>
      <c r="F10" s="344">
        <v>100</v>
      </c>
      <c r="G10" s="58"/>
      <c r="H10" s="58"/>
      <c r="I10" s="58"/>
      <c r="J10" s="345">
        <f t="shared" si="1"/>
        <v>100</v>
      </c>
      <c r="K10" s="344">
        <v>100</v>
      </c>
      <c r="L10" s="58"/>
      <c r="M10" s="58"/>
      <c r="N10" s="58"/>
      <c r="O10" s="58"/>
      <c r="P10" s="58"/>
      <c r="Q10" s="58"/>
      <c r="R10" s="345">
        <f t="shared" si="2"/>
        <v>100</v>
      </c>
      <c r="S10" s="344">
        <v>100</v>
      </c>
      <c r="T10" s="58"/>
      <c r="U10" s="58"/>
      <c r="V10" s="58"/>
      <c r="W10" s="58"/>
      <c r="X10" s="58"/>
      <c r="Y10" s="345">
        <f t="shared" si="3"/>
        <v>100</v>
      </c>
    </row>
    <row r="11" spans="1:25" x14ac:dyDescent="0.45">
      <c r="A11" t="s">
        <v>2194</v>
      </c>
      <c r="B11" t="str">
        <f>VLOOKUP(A11,TaskValues_ref!E:F,2,FALSE)</f>
        <v>Postpartum haemorrhage</v>
      </c>
      <c r="C11" s="58">
        <v>100</v>
      </c>
      <c r="D11" s="127"/>
      <c r="E11" s="345">
        <f t="shared" si="0"/>
        <v>100</v>
      </c>
      <c r="F11" s="344">
        <v>100</v>
      </c>
      <c r="G11" s="58"/>
      <c r="H11" s="58"/>
      <c r="I11" s="58"/>
      <c r="J11" s="345">
        <f t="shared" si="1"/>
        <v>100</v>
      </c>
      <c r="K11" s="344">
        <v>100</v>
      </c>
      <c r="L11" s="58"/>
      <c r="M11" s="58"/>
      <c r="N11" s="58"/>
      <c r="O11" s="58"/>
      <c r="P11" s="58"/>
      <c r="Q11" s="58"/>
      <c r="R11" s="345">
        <f t="shared" si="2"/>
        <v>100</v>
      </c>
      <c r="S11" s="344">
        <v>100</v>
      </c>
      <c r="T11" s="58"/>
      <c r="U11" s="58"/>
      <c r="V11" s="58"/>
      <c r="W11" s="58"/>
      <c r="X11" s="58"/>
      <c r="Y11" s="345">
        <f t="shared" si="3"/>
        <v>100</v>
      </c>
    </row>
    <row r="12" spans="1:25" x14ac:dyDescent="0.45">
      <c r="A12" t="s">
        <v>2202</v>
      </c>
      <c r="B12" t="str">
        <f>VLOOKUP(A12,TaskValues_ref!E:F,2,FALSE)</f>
        <v>Pre-referral PPH</v>
      </c>
      <c r="C12" s="58">
        <v>100</v>
      </c>
      <c r="D12" s="127"/>
      <c r="E12" s="345">
        <f t="shared" si="0"/>
        <v>100</v>
      </c>
      <c r="F12" s="344">
        <v>100</v>
      </c>
      <c r="G12" s="58"/>
      <c r="H12" s="58"/>
      <c r="I12" s="58"/>
      <c r="J12" s="345">
        <f t="shared" si="1"/>
        <v>100</v>
      </c>
      <c r="K12" s="344">
        <v>100</v>
      </c>
      <c r="L12" s="58"/>
      <c r="M12" s="58"/>
      <c r="N12" s="58"/>
      <c r="O12" s="58"/>
      <c r="P12" s="58"/>
      <c r="Q12" s="58"/>
      <c r="R12" s="345">
        <f t="shared" si="2"/>
        <v>100</v>
      </c>
      <c r="S12" s="344">
        <v>100</v>
      </c>
      <c r="T12" s="58"/>
      <c r="U12" s="58"/>
      <c r="V12" s="58"/>
      <c r="W12" s="58"/>
      <c r="X12" s="58"/>
      <c r="Y12" s="345">
        <f t="shared" si="3"/>
        <v>100</v>
      </c>
    </row>
    <row r="13" spans="1:25" x14ac:dyDescent="0.45">
      <c r="A13" t="s">
        <v>2207</v>
      </c>
      <c r="B13" t="str">
        <f>VLOOKUP(A13,TaskValues_ref!E:F,2,FALSE)</f>
        <v>Mortality surveillance</v>
      </c>
      <c r="C13" s="58">
        <v>100</v>
      </c>
      <c r="D13" s="127"/>
      <c r="E13" s="345">
        <f t="shared" si="0"/>
        <v>100</v>
      </c>
      <c r="F13" s="344">
        <v>100</v>
      </c>
      <c r="G13" s="58"/>
      <c r="H13" s="58"/>
      <c r="I13" s="58"/>
      <c r="J13" s="345">
        <f t="shared" si="1"/>
        <v>100</v>
      </c>
      <c r="K13" s="344">
        <v>100</v>
      </c>
      <c r="L13" s="58"/>
      <c r="M13" s="58"/>
      <c r="N13" s="58"/>
      <c r="O13" s="58"/>
      <c r="P13" s="58"/>
      <c r="Q13" s="58"/>
      <c r="R13" s="345">
        <f t="shared" si="2"/>
        <v>100</v>
      </c>
      <c r="S13" s="344">
        <v>100</v>
      </c>
      <c r="T13" s="58"/>
      <c r="U13" s="58"/>
      <c r="V13" s="58"/>
      <c r="W13" s="58"/>
      <c r="X13" s="58"/>
      <c r="Y13" s="345">
        <f t="shared" si="3"/>
        <v>100</v>
      </c>
    </row>
    <row r="14" spans="1:25" x14ac:dyDescent="0.45">
      <c r="A14" t="s">
        <v>2768</v>
      </c>
      <c r="B14" t="str">
        <f>VLOOKUP(A14,TaskValues_ref!E:F,2,FALSE)</f>
        <v>ID fistula and prolapse</v>
      </c>
      <c r="C14" s="58">
        <v>100</v>
      </c>
      <c r="D14" s="127"/>
      <c r="E14" s="345">
        <f t="shared" si="0"/>
        <v>100</v>
      </c>
      <c r="F14" s="344">
        <v>100</v>
      </c>
      <c r="G14" s="58"/>
      <c r="H14" s="58"/>
      <c r="I14" s="58"/>
      <c r="J14" s="345">
        <f t="shared" si="1"/>
        <v>100</v>
      </c>
      <c r="K14" s="344">
        <v>100</v>
      </c>
      <c r="L14" s="58"/>
      <c r="M14" s="58"/>
      <c r="N14" s="58"/>
      <c r="O14" s="58"/>
      <c r="P14" s="58"/>
      <c r="Q14" s="58"/>
      <c r="R14" s="345">
        <f t="shared" si="2"/>
        <v>100</v>
      </c>
      <c r="S14" s="344">
        <v>100</v>
      </c>
      <c r="T14" s="58"/>
      <c r="U14" s="58"/>
      <c r="V14" s="58"/>
      <c r="W14" s="58"/>
      <c r="X14" s="58"/>
      <c r="Y14" s="345">
        <f t="shared" si="3"/>
        <v>100</v>
      </c>
    </row>
    <row r="15" spans="1:25" x14ac:dyDescent="0.45">
      <c r="A15" t="s">
        <v>2769</v>
      </c>
      <c r="B15" t="str">
        <f>VLOOKUP(A15,TaskValues_ref!E:F,2,FALSE)</f>
        <v>Promote cervical cancer ID and treat</v>
      </c>
      <c r="C15" s="58">
        <v>100</v>
      </c>
      <c r="D15" s="127"/>
      <c r="E15" s="345">
        <f t="shared" si="0"/>
        <v>100</v>
      </c>
      <c r="F15" s="344">
        <v>100</v>
      </c>
      <c r="G15" s="58"/>
      <c r="H15" s="58"/>
      <c r="I15" s="58"/>
      <c r="J15" s="345">
        <f t="shared" si="1"/>
        <v>100</v>
      </c>
      <c r="K15" s="344">
        <v>100</v>
      </c>
      <c r="L15" s="58"/>
      <c r="M15" s="58"/>
      <c r="N15" s="58"/>
      <c r="O15" s="58"/>
      <c r="P15" s="58"/>
      <c r="Q15" s="58"/>
      <c r="R15" s="345">
        <f t="shared" si="2"/>
        <v>100</v>
      </c>
      <c r="S15" s="344">
        <v>100</v>
      </c>
      <c r="T15" s="58"/>
      <c r="U15" s="58"/>
      <c r="V15" s="58"/>
      <c r="W15" s="58"/>
      <c r="X15" s="58"/>
      <c r="Y15" s="345">
        <f t="shared" si="3"/>
        <v>100</v>
      </c>
    </row>
    <row r="16" spans="1:25" x14ac:dyDescent="0.45">
      <c r="A16" t="s">
        <v>2630</v>
      </c>
      <c r="B16" t="str">
        <f>VLOOKUP(A16,TaskValues_ref!E:F,2,FALSE)</f>
        <v>Newborn care</v>
      </c>
      <c r="C16" s="58">
        <v>100</v>
      </c>
      <c r="D16" s="127"/>
      <c r="E16" s="345">
        <f t="shared" si="0"/>
        <v>100</v>
      </c>
      <c r="F16" s="344">
        <v>100</v>
      </c>
      <c r="G16" s="58"/>
      <c r="H16" s="58"/>
      <c r="I16" s="58"/>
      <c r="J16" s="345">
        <f t="shared" si="1"/>
        <v>100</v>
      </c>
      <c r="K16" s="344">
        <v>100</v>
      </c>
      <c r="L16" s="58"/>
      <c r="M16" s="58"/>
      <c r="N16" s="58"/>
      <c r="O16" s="58"/>
      <c r="P16" s="58"/>
      <c r="Q16" s="58"/>
      <c r="R16" s="345">
        <f t="shared" si="2"/>
        <v>100</v>
      </c>
      <c r="S16" s="344">
        <v>100</v>
      </c>
      <c r="T16" s="58"/>
      <c r="U16" s="58"/>
      <c r="V16" s="58"/>
      <c r="W16" s="58"/>
      <c r="X16" s="58"/>
      <c r="Y16" s="345">
        <f t="shared" si="3"/>
        <v>100</v>
      </c>
    </row>
    <row r="17" spans="1:26" x14ac:dyDescent="0.45">
      <c r="A17" t="s">
        <v>2631</v>
      </c>
      <c r="B17" t="str">
        <f>VLOOKUP(A17,TaskValues_ref!E:F,2,FALSE)</f>
        <v>Chlorhexidine</v>
      </c>
      <c r="C17" s="58">
        <v>100</v>
      </c>
      <c r="D17" s="127"/>
      <c r="E17" s="345">
        <f t="shared" si="0"/>
        <v>100</v>
      </c>
      <c r="F17" s="344">
        <v>100</v>
      </c>
      <c r="G17" s="58"/>
      <c r="H17" s="58"/>
      <c r="I17" s="58"/>
      <c r="J17" s="345">
        <f t="shared" si="1"/>
        <v>100</v>
      </c>
      <c r="K17" s="344">
        <v>100</v>
      </c>
      <c r="L17" s="58"/>
      <c r="M17" s="58"/>
      <c r="N17" s="58"/>
      <c r="O17" s="58"/>
      <c r="P17" s="58"/>
      <c r="Q17" s="58"/>
      <c r="R17" s="345">
        <f t="shared" si="2"/>
        <v>100</v>
      </c>
      <c r="S17" s="344">
        <v>100</v>
      </c>
      <c r="T17" s="58"/>
      <c r="U17" s="58"/>
      <c r="V17" s="58"/>
      <c r="W17" s="58"/>
      <c r="X17" s="58"/>
      <c r="Y17" s="345">
        <f t="shared" si="3"/>
        <v>100</v>
      </c>
    </row>
    <row r="18" spans="1:26" x14ac:dyDescent="0.45">
      <c r="A18" t="s">
        <v>2632</v>
      </c>
      <c r="B18" t="str">
        <f>VLOOKUP(A18,TaskValues_ref!E:F,2,FALSE)</f>
        <v>Kangaroo care</v>
      </c>
      <c r="C18" s="58">
        <v>100</v>
      </c>
      <c r="D18" s="127"/>
      <c r="E18" s="345">
        <f t="shared" si="0"/>
        <v>100</v>
      </c>
      <c r="F18" s="344">
        <v>100</v>
      </c>
      <c r="G18" s="58"/>
      <c r="H18" s="58"/>
      <c r="I18" s="58"/>
      <c r="J18" s="345">
        <f t="shared" si="1"/>
        <v>100</v>
      </c>
      <c r="K18" s="344">
        <v>100</v>
      </c>
      <c r="L18" s="58"/>
      <c r="M18" s="58"/>
      <c r="N18" s="58"/>
      <c r="O18" s="58"/>
      <c r="P18" s="58"/>
      <c r="Q18" s="58"/>
      <c r="R18" s="345">
        <f t="shared" si="2"/>
        <v>100</v>
      </c>
      <c r="S18" s="344">
        <v>100</v>
      </c>
      <c r="T18" s="58"/>
      <c r="U18" s="58"/>
      <c r="V18" s="58"/>
      <c r="W18" s="58"/>
      <c r="X18" s="58"/>
      <c r="Y18" s="345">
        <f t="shared" si="3"/>
        <v>100</v>
      </c>
    </row>
    <row r="19" spans="1:26" x14ac:dyDescent="0.45">
      <c r="A19" t="s">
        <v>2633</v>
      </c>
      <c r="B19" t="str">
        <f>VLOOKUP(A19,TaskValues_ref!E:F,2,FALSE)</f>
        <v>Refer congenital anomalies</v>
      </c>
      <c r="C19" s="58">
        <v>100</v>
      </c>
      <c r="D19" s="127"/>
      <c r="E19" s="345">
        <f t="shared" si="0"/>
        <v>100</v>
      </c>
      <c r="F19" s="344">
        <v>100</v>
      </c>
      <c r="G19" s="58"/>
      <c r="H19" s="58"/>
      <c r="I19" s="58"/>
      <c r="J19" s="345">
        <f t="shared" si="1"/>
        <v>100</v>
      </c>
      <c r="K19" s="344">
        <v>100</v>
      </c>
      <c r="L19" s="58"/>
      <c r="M19" s="58"/>
      <c r="N19" s="58"/>
      <c r="O19" s="58"/>
      <c r="P19" s="58"/>
      <c r="Q19" s="58"/>
      <c r="R19" s="345">
        <f t="shared" si="2"/>
        <v>100</v>
      </c>
      <c r="S19" s="344">
        <v>100</v>
      </c>
      <c r="T19" s="58"/>
      <c r="U19" s="58"/>
      <c r="V19" s="58"/>
      <c r="W19" s="58"/>
      <c r="X19" s="58"/>
      <c r="Y19" s="345">
        <f t="shared" si="3"/>
        <v>100</v>
      </c>
    </row>
    <row r="20" spans="1:26" x14ac:dyDescent="0.45">
      <c r="A20" t="s">
        <v>2225</v>
      </c>
      <c r="B20" t="str">
        <f>VLOOKUP(A20,TaskValues_ref!E:F,2,FALSE)</f>
        <v>Pneumonia (ARI)</v>
      </c>
      <c r="C20" s="58">
        <v>100</v>
      </c>
      <c r="D20" s="127"/>
      <c r="E20" s="345">
        <f t="shared" si="0"/>
        <v>100</v>
      </c>
      <c r="F20" s="344"/>
      <c r="G20" s="58">
        <v>10</v>
      </c>
      <c r="H20" s="58">
        <v>90</v>
      </c>
      <c r="I20" s="58"/>
      <c r="J20" s="345">
        <f t="shared" si="1"/>
        <v>100</v>
      </c>
      <c r="K20" s="344"/>
      <c r="L20" s="58">
        <v>10</v>
      </c>
      <c r="M20" s="58">
        <v>45</v>
      </c>
      <c r="N20" s="58">
        <v>45</v>
      </c>
      <c r="O20" s="58"/>
      <c r="P20" s="58"/>
      <c r="Q20" s="58"/>
      <c r="R20" s="345">
        <f t="shared" si="2"/>
        <v>100</v>
      </c>
      <c r="S20" s="344"/>
      <c r="T20" s="58">
        <v>10</v>
      </c>
      <c r="U20" s="58">
        <v>45</v>
      </c>
      <c r="V20" s="58">
        <v>45</v>
      </c>
      <c r="W20" s="58"/>
      <c r="X20" s="58"/>
      <c r="Y20" s="345">
        <f t="shared" si="3"/>
        <v>100</v>
      </c>
      <c r="Z20" s="58"/>
    </row>
    <row r="21" spans="1:26" x14ac:dyDescent="0.45">
      <c r="A21" t="s">
        <v>2227</v>
      </c>
      <c r="B21" t="str">
        <f>VLOOKUP(A21,TaskValues_ref!E:F,2,FALSE)</f>
        <v>Diarrhea</v>
      </c>
      <c r="C21" s="58">
        <v>100</v>
      </c>
      <c r="D21" s="127"/>
      <c r="E21" s="345">
        <f t="shared" si="0"/>
        <v>100</v>
      </c>
      <c r="F21" s="344"/>
      <c r="G21" s="58">
        <v>10</v>
      </c>
      <c r="H21" s="58">
        <v>90</v>
      </c>
      <c r="I21" s="58"/>
      <c r="J21" s="345">
        <f t="shared" si="1"/>
        <v>100</v>
      </c>
      <c r="K21" s="344"/>
      <c r="L21" s="58">
        <v>10</v>
      </c>
      <c r="M21" s="58">
        <v>45</v>
      </c>
      <c r="N21" s="58">
        <v>45</v>
      </c>
      <c r="O21" s="58"/>
      <c r="P21" s="58"/>
      <c r="Q21" s="58"/>
      <c r="R21" s="345">
        <f t="shared" si="2"/>
        <v>100</v>
      </c>
      <c r="S21" s="344"/>
      <c r="T21" s="58">
        <v>10</v>
      </c>
      <c r="U21" s="58">
        <v>45</v>
      </c>
      <c r="V21" s="58">
        <v>45</v>
      </c>
      <c r="W21" s="58"/>
      <c r="X21" s="58"/>
      <c r="Y21" s="345">
        <f t="shared" si="3"/>
        <v>100</v>
      </c>
      <c r="Z21" s="58"/>
    </row>
    <row r="22" spans="1:26" x14ac:dyDescent="0.45">
      <c r="A22" t="s">
        <v>2228</v>
      </c>
      <c r="B22" t="str">
        <f>VLOOKUP(A22,TaskValues_ref!E:F,2,FALSE)</f>
        <v>Parasites</v>
      </c>
      <c r="C22" s="58">
        <v>100</v>
      </c>
      <c r="D22" s="127"/>
      <c r="E22" s="345">
        <f t="shared" si="0"/>
        <v>100</v>
      </c>
      <c r="F22" s="344"/>
      <c r="G22" s="58">
        <v>10</v>
      </c>
      <c r="H22" s="58">
        <v>90</v>
      </c>
      <c r="I22" s="58"/>
      <c r="J22" s="345">
        <f t="shared" si="1"/>
        <v>100</v>
      </c>
      <c r="K22" s="344"/>
      <c r="L22" s="58">
        <v>10</v>
      </c>
      <c r="M22" s="58">
        <v>45</v>
      </c>
      <c r="N22" s="58">
        <v>45</v>
      </c>
      <c r="O22" s="58"/>
      <c r="P22" s="58"/>
      <c r="Q22" s="58"/>
      <c r="R22" s="345">
        <f t="shared" si="2"/>
        <v>100</v>
      </c>
      <c r="S22" s="344"/>
      <c r="T22" s="58">
        <v>10</v>
      </c>
      <c r="U22" s="58">
        <v>45</v>
      </c>
      <c r="V22" s="58">
        <v>45</v>
      </c>
      <c r="W22" s="58"/>
      <c r="X22" s="58"/>
      <c r="Y22" s="345">
        <f t="shared" si="3"/>
        <v>100</v>
      </c>
      <c r="Z22" s="58"/>
    </row>
    <row r="23" spans="1:26" x14ac:dyDescent="0.45">
      <c r="A23" t="s">
        <v>2634</v>
      </c>
      <c r="B23" t="str">
        <f>VLOOKUP(A23,TaskValues_ref!E:F,2,FALSE)</f>
        <v>IMNCI</v>
      </c>
      <c r="C23" s="58">
        <v>100</v>
      </c>
      <c r="D23" s="127"/>
      <c r="E23" s="345">
        <f t="shared" si="0"/>
        <v>100</v>
      </c>
      <c r="F23" s="344"/>
      <c r="G23" s="58">
        <v>10</v>
      </c>
      <c r="H23" s="58">
        <v>90</v>
      </c>
      <c r="I23" s="58"/>
      <c r="J23" s="345">
        <f t="shared" si="1"/>
        <v>100</v>
      </c>
      <c r="K23" s="344"/>
      <c r="L23" s="58">
        <v>10</v>
      </c>
      <c r="M23" s="58">
        <v>45</v>
      </c>
      <c r="N23" s="58">
        <v>45</v>
      </c>
      <c r="O23" s="58"/>
      <c r="P23" s="58"/>
      <c r="Q23" s="58"/>
      <c r="R23" s="345">
        <f t="shared" si="2"/>
        <v>100</v>
      </c>
      <c r="S23" s="344"/>
      <c r="T23" s="58">
        <v>10</v>
      </c>
      <c r="U23" s="58">
        <v>45</v>
      </c>
      <c r="V23" s="58">
        <v>45</v>
      </c>
      <c r="W23" s="58"/>
      <c r="X23" s="58"/>
      <c r="Y23" s="345">
        <f t="shared" si="3"/>
        <v>100</v>
      </c>
      <c r="Z23" s="58"/>
    </row>
    <row r="24" spans="1:26" s="58" customFormat="1" x14ac:dyDescent="0.45">
      <c r="A24" s="58" t="s">
        <v>2226</v>
      </c>
      <c r="B24" s="58" t="str">
        <f>VLOOKUP(A24,TaskValues_ref!E:F,2,FALSE)</f>
        <v>Well child check &amp; growth monitoring</v>
      </c>
      <c r="C24" s="58">
        <v>100</v>
      </c>
      <c r="E24" s="345">
        <f t="shared" si="0"/>
        <v>100</v>
      </c>
      <c r="F24" s="344"/>
      <c r="H24" s="58">
        <v>100</v>
      </c>
      <c r="J24" s="345">
        <f t="shared" si="1"/>
        <v>100</v>
      </c>
      <c r="K24" s="344"/>
      <c r="M24" s="58">
        <v>40</v>
      </c>
      <c r="N24" s="58">
        <v>40</v>
      </c>
      <c r="O24" s="58">
        <v>20</v>
      </c>
      <c r="R24" s="345">
        <f t="shared" si="2"/>
        <v>100</v>
      </c>
      <c r="S24" s="344"/>
      <c r="U24" s="58">
        <v>80</v>
      </c>
      <c r="V24" s="58">
        <v>20</v>
      </c>
      <c r="Y24" s="345">
        <f t="shared" si="3"/>
        <v>100</v>
      </c>
    </row>
    <row r="25" spans="1:26" s="58" customFormat="1" x14ac:dyDescent="0.45">
      <c r="A25" s="58" t="s">
        <v>2635</v>
      </c>
      <c r="B25" s="58" t="str">
        <f>VLOOKUP(A25,TaskValues_ref!E:F,2,FALSE)</f>
        <v>Treat severe malnutrition</v>
      </c>
      <c r="C25" s="58">
        <v>100</v>
      </c>
      <c r="E25" s="345">
        <f t="shared" si="0"/>
        <v>100</v>
      </c>
      <c r="F25" s="344"/>
      <c r="G25" s="58">
        <v>100</v>
      </c>
      <c r="J25" s="345">
        <f t="shared" si="1"/>
        <v>100</v>
      </c>
      <c r="K25" s="344"/>
      <c r="L25" s="58">
        <v>100</v>
      </c>
      <c r="R25" s="345">
        <f t="shared" si="2"/>
        <v>100</v>
      </c>
      <c r="S25" s="344"/>
      <c r="T25" s="58">
        <v>100</v>
      </c>
      <c r="Y25" s="345">
        <f t="shared" si="3"/>
        <v>100</v>
      </c>
    </row>
    <row r="26" spans="1:26" s="58" customFormat="1" x14ac:dyDescent="0.45">
      <c r="A26" s="58" t="s">
        <v>2636</v>
      </c>
      <c r="B26" s="58" t="str">
        <f>VLOOKUP(A26,TaskValues_ref!E:F,2,FALSE)</f>
        <v>Treat moderate malnutrition</v>
      </c>
      <c r="C26" s="58">
        <v>100</v>
      </c>
      <c r="E26" s="345">
        <f t="shared" si="0"/>
        <v>100</v>
      </c>
      <c r="F26" s="344"/>
      <c r="H26" s="58">
        <v>100</v>
      </c>
      <c r="J26" s="345">
        <f t="shared" si="1"/>
        <v>100</v>
      </c>
      <c r="K26" s="344"/>
      <c r="M26" s="58">
        <v>20</v>
      </c>
      <c r="N26" s="58">
        <v>40</v>
      </c>
      <c r="O26" s="58">
        <v>40</v>
      </c>
      <c r="R26" s="345">
        <f t="shared" si="2"/>
        <v>100</v>
      </c>
      <c r="S26" s="344"/>
      <c r="U26" s="58">
        <v>60</v>
      </c>
      <c r="V26" s="58">
        <v>40</v>
      </c>
      <c r="Y26" s="345">
        <f t="shared" si="3"/>
        <v>100</v>
      </c>
    </row>
    <row r="27" spans="1:26" s="58" customFormat="1" x14ac:dyDescent="0.45">
      <c r="A27" s="58" t="s">
        <v>2637</v>
      </c>
      <c r="B27" s="58" t="str">
        <f>VLOOKUP(A27,TaskValues_ref!E:F,2,FALSE)</f>
        <v>Deworming &amp; VitA</v>
      </c>
      <c r="C27" s="58">
        <v>100</v>
      </c>
      <c r="E27" s="345">
        <f t="shared" si="0"/>
        <v>100</v>
      </c>
      <c r="F27" s="344"/>
      <c r="H27" s="58">
        <v>100</v>
      </c>
      <c r="J27" s="345">
        <f t="shared" si="1"/>
        <v>100</v>
      </c>
      <c r="K27" s="344"/>
      <c r="M27" s="58">
        <v>50</v>
      </c>
      <c r="N27" s="58">
        <v>50</v>
      </c>
      <c r="R27" s="345">
        <f t="shared" si="2"/>
        <v>100</v>
      </c>
      <c r="S27" s="344"/>
      <c r="U27" s="58">
        <v>100</v>
      </c>
      <c r="Y27" s="345">
        <f t="shared" si="3"/>
        <v>100</v>
      </c>
    </row>
    <row r="28" spans="1:26" s="58" customFormat="1" x14ac:dyDescent="0.45">
      <c r="A28" s="58" t="s">
        <v>2638</v>
      </c>
      <c r="B28" s="58" t="str">
        <f>VLOOKUP(A28,TaskValues_ref!E:F,2,FALSE)</f>
        <v>Paediatric palliative</v>
      </c>
      <c r="C28" s="58">
        <v>100</v>
      </c>
      <c r="E28" s="345">
        <f t="shared" si="0"/>
        <v>100</v>
      </c>
      <c r="F28" s="344"/>
      <c r="G28" s="58">
        <v>100</v>
      </c>
      <c r="J28" s="345">
        <f t="shared" si="1"/>
        <v>100</v>
      </c>
      <c r="K28" s="344"/>
      <c r="L28" s="58">
        <v>100</v>
      </c>
      <c r="R28" s="345">
        <f t="shared" si="2"/>
        <v>100</v>
      </c>
      <c r="S28" s="344"/>
      <c r="T28" s="58">
        <v>100</v>
      </c>
      <c r="Y28" s="345">
        <f t="shared" si="3"/>
        <v>100</v>
      </c>
    </row>
    <row r="29" spans="1:26" s="58" customFormat="1" x14ac:dyDescent="0.45">
      <c r="A29" s="58" t="s">
        <v>2639</v>
      </c>
      <c r="B29" s="58" t="str">
        <f>VLOOKUP(A29,TaskValues_ref!E:F,2,FALSE)</f>
        <v>Pharyngitis, tonsillitis, sinusitis</v>
      </c>
      <c r="C29" s="58">
        <v>100</v>
      </c>
      <c r="E29" s="345">
        <f t="shared" si="0"/>
        <v>100</v>
      </c>
      <c r="F29" s="344"/>
      <c r="G29" s="58">
        <v>20</v>
      </c>
      <c r="H29" s="58">
        <v>80</v>
      </c>
      <c r="J29" s="345">
        <f t="shared" si="1"/>
        <v>100</v>
      </c>
      <c r="K29" s="344"/>
      <c r="L29" s="58">
        <v>20</v>
      </c>
      <c r="M29" s="58">
        <v>20</v>
      </c>
      <c r="N29" s="58">
        <v>30</v>
      </c>
      <c r="O29" s="58">
        <v>30</v>
      </c>
      <c r="R29" s="345">
        <f t="shared" si="2"/>
        <v>100</v>
      </c>
      <c r="S29" s="344"/>
      <c r="T29" s="58">
        <v>20</v>
      </c>
      <c r="U29" s="58">
        <v>40</v>
      </c>
      <c r="V29" s="58">
        <v>40</v>
      </c>
      <c r="Y29" s="345">
        <f t="shared" si="3"/>
        <v>100</v>
      </c>
    </row>
    <row r="30" spans="1:26" s="58" customFormat="1" x14ac:dyDescent="0.45">
      <c r="A30" s="58" t="s">
        <v>2640</v>
      </c>
      <c r="B30" s="58" t="str">
        <f>VLOOKUP(A30,TaskValues_ref!E:F,2,FALSE)</f>
        <v>Scabies</v>
      </c>
      <c r="C30" s="58">
        <v>100</v>
      </c>
      <c r="E30" s="345">
        <f t="shared" si="0"/>
        <v>100</v>
      </c>
      <c r="F30" s="344"/>
      <c r="H30" s="58">
        <v>100</v>
      </c>
      <c r="J30" s="345">
        <f t="shared" si="1"/>
        <v>100</v>
      </c>
      <c r="K30" s="344"/>
      <c r="M30" s="58">
        <v>50</v>
      </c>
      <c r="N30" s="58">
        <v>50</v>
      </c>
      <c r="R30" s="345">
        <f t="shared" si="2"/>
        <v>100</v>
      </c>
      <c r="S30" s="344"/>
      <c r="U30" s="58">
        <v>100</v>
      </c>
      <c r="Y30" s="345">
        <f t="shared" si="3"/>
        <v>100</v>
      </c>
    </row>
    <row r="31" spans="1:26" x14ac:dyDescent="0.45">
      <c r="A31" t="s">
        <v>2641</v>
      </c>
      <c r="B31" t="str">
        <f>VLOOKUP(A31,TaskValues_ref!E:F,2,FALSE)</f>
        <v>Child abuse</v>
      </c>
      <c r="C31" s="58">
        <v>100</v>
      </c>
      <c r="D31" s="58"/>
      <c r="E31" s="345">
        <f t="shared" si="0"/>
        <v>100</v>
      </c>
      <c r="F31" s="344"/>
      <c r="G31" s="58">
        <v>50</v>
      </c>
      <c r="H31" s="58">
        <v>50</v>
      </c>
      <c r="I31" s="58"/>
      <c r="J31" s="345">
        <f t="shared" si="1"/>
        <v>100</v>
      </c>
      <c r="K31" s="344"/>
      <c r="L31" s="58">
        <v>25</v>
      </c>
      <c r="M31" s="58">
        <v>25</v>
      </c>
      <c r="N31" s="58">
        <v>50</v>
      </c>
      <c r="O31" s="58"/>
      <c r="P31" s="58"/>
      <c r="Q31" s="58"/>
      <c r="R31" s="345">
        <f t="shared" si="2"/>
        <v>100</v>
      </c>
      <c r="S31" s="344"/>
      <c r="T31" s="58">
        <v>25</v>
      </c>
      <c r="U31" s="58">
        <v>75</v>
      </c>
      <c r="V31" s="58"/>
      <c r="W31" s="58"/>
      <c r="X31" s="58"/>
      <c r="Y31" s="345">
        <f t="shared" si="3"/>
        <v>100</v>
      </c>
    </row>
    <row r="32" spans="1:26" x14ac:dyDescent="0.45">
      <c r="A32" t="s">
        <v>2642</v>
      </c>
      <c r="B32" t="str">
        <f>VLOOKUP(A32,TaskValues_ref!E:F,2,FALSE)</f>
        <v>Social services</v>
      </c>
      <c r="C32" s="58">
        <v>100</v>
      </c>
      <c r="D32" s="58"/>
      <c r="E32" s="345">
        <f t="shared" si="0"/>
        <v>100</v>
      </c>
      <c r="F32" s="344"/>
      <c r="G32" s="58">
        <v>50</v>
      </c>
      <c r="H32" s="58">
        <v>50</v>
      </c>
      <c r="I32" s="58"/>
      <c r="J32" s="345">
        <f t="shared" ref="J32:J33" si="4">SUM(F32:I32)</f>
        <v>100</v>
      </c>
      <c r="K32" s="344"/>
      <c r="L32" s="58">
        <v>25</v>
      </c>
      <c r="M32" s="58">
        <v>25</v>
      </c>
      <c r="N32" s="58">
        <v>50</v>
      </c>
      <c r="O32" s="58"/>
      <c r="P32" s="58"/>
      <c r="Q32" s="58"/>
      <c r="R32" s="345">
        <f t="shared" ref="R32:R33" si="5">SUM(K32:Q32)</f>
        <v>100</v>
      </c>
      <c r="S32" s="344"/>
      <c r="T32" s="58">
        <v>25</v>
      </c>
      <c r="U32" s="58">
        <v>75</v>
      </c>
      <c r="V32" s="58"/>
      <c r="W32" s="58"/>
      <c r="X32" s="58"/>
      <c r="Y32" s="345">
        <f t="shared" ref="Y32:Y33" si="6">SUM(S32:X32)</f>
        <v>100</v>
      </c>
    </row>
    <row r="33" spans="1:25" x14ac:dyDescent="0.45">
      <c r="A33" t="s">
        <v>2253</v>
      </c>
      <c r="B33" t="str">
        <f>VLOOKUP(A33,TaskValues_ref!E:F,2,FALSE)</f>
        <v>Promotion of immunization</v>
      </c>
      <c r="C33" s="58">
        <v>100</v>
      </c>
      <c r="D33" s="58"/>
      <c r="E33" s="345">
        <f t="shared" si="0"/>
        <v>100</v>
      </c>
      <c r="F33" s="344"/>
      <c r="G33" s="58"/>
      <c r="H33" s="58">
        <v>100</v>
      </c>
      <c r="I33" s="58"/>
      <c r="J33" s="345">
        <f t="shared" si="4"/>
        <v>100</v>
      </c>
      <c r="K33" s="344"/>
      <c r="L33" s="58"/>
      <c r="M33" s="58">
        <v>50</v>
      </c>
      <c r="N33" s="58">
        <v>50</v>
      </c>
      <c r="O33" s="58"/>
      <c r="P33" s="58"/>
      <c r="Q33" s="58"/>
      <c r="R33" s="345">
        <f t="shared" si="5"/>
        <v>100</v>
      </c>
      <c r="S33" s="344"/>
      <c r="T33" s="58"/>
      <c r="U33" s="58">
        <v>100</v>
      </c>
      <c r="V33" s="58"/>
      <c r="W33" s="58"/>
      <c r="X33" s="58"/>
      <c r="Y33" s="345">
        <f t="shared" si="6"/>
        <v>100</v>
      </c>
    </row>
    <row r="34" spans="1:25" s="58" customFormat="1" x14ac:dyDescent="0.45">
      <c r="A34" s="58" t="s">
        <v>2259</v>
      </c>
      <c r="B34" s="58" t="str">
        <f>VLOOKUP(A34,TaskValues_ref!E:F,2,FALSE)</f>
        <v>RI birth</v>
      </c>
      <c r="C34" s="58">
        <v>100</v>
      </c>
      <c r="E34" s="345">
        <f t="shared" ref="E34:E64" si="7">SUM(C34:D34)</f>
        <v>100</v>
      </c>
      <c r="F34" s="344">
        <v>100</v>
      </c>
      <c r="J34" s="345">
        <f t="shared" si="1"/>
        <v>100</v>
      </c>
      <c r="K34" s="344">
        <v>100</v>
      </c>
      <c r="R34" s="345">
        <f t="shared" si="2"/>
        <v>100</v>
      </c>
      <c r="S34" s="344">
        <v>100</v>
      </c>
      <c r="Y34" s="345">
        <f t="shared" si="3"/>
        <v>100</v>
      </c>
    </row>
    <row r="35" spans="1:25" s="58" customFormat="1" x14ac:dyDescent="0.45">
      <c r="A35" s="58" t="s">
        <v>2260</v>
      </c>
      <c r="B35" s="58" t="str">
        <f>VLOOKUP(A35,TaskValues_ref!E:F,2,FALSE)</f>
        <v>RI 1st year</v>
      </c>
      <c r="C35" s="58">
        <v>100</v>
      </c>
      <c r="E35" s="345">
        <f t="shared" si="7"/>
        <v>100</v>
      </c>
      <c r="F35" s="344"/>
      <c r="H35" s="58">
        <v>100</v>
      </c>
      <c r="J35" s="345">
        <f t="shared" si="1"/>
        <v>100</v>
      </c>
      <c r="K35" s="344"/>
      <c r="M35" s="58">
        <v>50</v>
      </c>
      <c r="N35" s="58">
        <v>50</v>
      </c>
      <c r="R35" s="345">
        <f t="shared" si="2"/>
        <v>100</v>
      </c>
      <c r="S35" s="344"/>
      <c r="U35" s="58">
        <v>100</v>
      </c>
      <c r="Y35" s="345">
        <f t="shared" si="3"/>
        <v>100</v>
      </c>
    </row>
    <row r="36" spans="1:25" s="58" customFormat="1" x14ac:dyDescent="0.45">
      <c r="A36" s="58" t="s">
        <v>2261</v>
      </c>
      <c r="B36" s="58" t="str">
        <f>VLOOKUP(A36,TaskValues_ref!E:F,2,FALSE)</f>
        <v>RI 2nd year</v>
      </c>
      <c r="C36" s="58">
        <v>100</v>
      </c>
      <c r="E36" s="345">
        <f t="shared" si="7"/>
        <v>100</v>
      </c>
      <c r="F36" s="344"/>
      <c r="H36" s="58">
        <v>100</v>
      </c>
      <c r="J36" s="345">
        <f t="shared" si="1"/>
        <v>100</v>
      </c>
      <c r="K36" s="344"/>
      <c r="M36" s="58">
        <v>50</v>
      </c>
      <c r="N36" s="58">
        <v>50</v>
      </c>
      <c r="R36" s="345">
        <f t="shared" si="2"/>
        <v>100</v>
      </c>
      <c r="S36" s="344"/>
      <c r="U36" s="58">
        <v>100</v>
      </c>
      <c r="Y36" s="345">
        <f t="shared" si="3"/>
        <v>100</v>
      </c>
    </row>
    <row r="37" spans="1:25" s="58" customFormat="1" x14ac:dyDescent="0.45">
      <c r="A37" s="58" t="s">
        <v>2262</v>
      </c>
      <c r="B37" s="58" t="str">
        <f>VLOOKUP(A37,TaskValues_ref!E:F,2,FALSE)</f>
        <v>RI Td CBA</v>
      </c>
      <c r="C37" s="58">
        <v>100</v>
      </c>
      <c r="E37" s="345">
        <f t="shared" si="7"/>
        <v>100</v>
      </c>
      <c r="F37" s="344"/>
      <c r="H37" s="58">
        <v>100</v>
      </c>
      <c r="J37" s="345">
        <f t="shared" si="1"/>
        <v>100</v>
      </c>
      <c r="K37" s="344"/>
      <c r="M37" s="58">
        <v>50</v>
      </c>
      <c r="N37" s="58">
        <v>50</v>
      </c>
      <c r="R37" s="345">
        <f t="shared" si="2"/>
        <v>100</v>
      </c>
      <c r="S37" s="344"/>
      <c r="U37" s="58">
        <v>100</v>
      </c>
      <c r="Y37" s="345">
        <f t="shared" si="3"/>
        <v>100</v>
      </c>
    </row>
    <row r="38" spans="1:25" s="58" customFormat="1" x14ac:dyDescent="0.45">
      <c r="A38" s="58" t="s">
        <v>2254</v>
      </c>
      <c r="B38" s="58" t="str">
        <f>VLOOKUP(A38,TaskValues_ref!E:F,2,FALSE)</f>
        <v>SIAs</v>
      </c>
      <c r="C38" s="58">
        <v>100</v>
      </c>
      <c r="E38" s="345">
        <f t="shared" si="7"/>
        <v>100</v>
      </c>
      <c r="F38" s="344"/>
      <c r="H38" s="58">
        <v>100</v>
      </c>
      <c r="J38" s="345">
        <f t="shared" si="1"/>
        <v>100</v>
      </c>
      <c r="K38" s="344"/>
      <c r="M38" s="58">
        <v>50</v>
      </c>
      <c r="N38" s="58">
        <v>50</v>
      </c>
      <c r="R38" s="345">
        <f t="shared" si="2"/>
        <v>100</v>
      </c>
      <c r="S38" s="344"/>
      <c r="U38" s="58">
        <v>100</v>
      </c>
      <c r="Y38" s="345">
        <f t="shared" si="3"/>
        <v>100</v>
      </c>
    </row>
    <row r="39" spans="1:25" s="58" customFormat="1" x14ac:dyDescent="0.45">
      <c r="A39" s="58" t="s">
        <v>2255</v>
      </c>
      <c r="B39" s="58" t="str">
        <f>VLOOKUP(A39,TaskValues_ref!E:F,2,FALSE)</f>
        <v>RI adverse effects</v>
      </c>
      <c r="C39" s="58">
        <v>100</v>
      </c>
      <c r="E39" s="345">
        <f t="shared" si="7"/>
        <v>100</v>
      </c>
      <c r="F39" s="344"/>
      <c r="G39" s="58">
        <v>50</v>
      </c>
      <c r="H39" s="58">
        <v>50</v>
      </c>
      <c r="J39" s="345">
        <f t="shared" si="1"/>
        <v>100</v>
      </c>
      <c r="K39" s="344"/>
      <c r="N39" s="58">
        <v>50</v>
      </c>
      <c r="O39" s="58">
        <v>50</v>
      </c>
      <c r="R39" s="345">
        <f t="shared" si="2"/>
        <v>100</v>
      </c>
      <c r="S39" s="344"/>
      <c r="U39" s="58">
        <v>50</v>
      </c>
      <c r="V39" s="58">
        <v>50</v>
      </c>
      <c r="Y39" s="345">
        <f t="shared" si="3"/>
        <v>100</v>
      </c>
    </row>
    <row r="40" spans="1:25" s="58" customFormat="1" x14ac:dyDescent="0.45">
      <c r="A40" s="58" t="s">
        <v>2256</v>
      </c>
      <c r="B40" s="58" t="str">
        <f>VLOOKUP(A40,TaskValues_ref!E:F,2,FALSE)</f>
        <v>Outbreak detection &amp; response</v>
      </c>
      <c r="C40" s="58">
        <v>100</v>
      </c>
      <c r="E40" s="345">
        <f t="shared" si="7"/>
        <v>100</v>
      </c>
      <c r="F40" s="344"/>
      <c r="G40" s="58">
        <v>25</v>
      </c>
      <c r="H40" s="58">
        <v>75</v>
      </c>
      <c r="J40" s="345">
        <f t="shared" si="1"/>
        <v>100</v>
      </c>
      <c r="K40" s="344"/>
      <c r="L40" s="58">
        <v>25</v>
      </c>
      <c r="M40" s="58">
        <v>75</v>
      </c>
      <c r="R40" s="345">
        <f t="shared" si="2"/>
        <v>100</v>
      </c>
      <c r="S40" s="344"/>
      <c r="T40" s="58">
        <v>25</v>
      </c>
      <c r="U40" s="58">
        <v>75</v>
      </c>
      <c r="Y40" s="345">
        <f t="shared" si="3"/>
        <v>100</v>
      </c>
    </row>
    <row r="41" spans="1:25" x14ac:dyDescent="0.45">
      <c r="A41" t="s">
        <v>2257</v>
      </c>
      <c r="B41" t="str">
        <f>VLOOKUP(A41,TaskValues_ref!E:F,2,FALSE)</f>
        <v>Mobiliation &amp; promotion of EPI</v>
      </c>
      <c r="C41" s="58">
        <v>100</v>
      </c>
      <c r="D41" s="58"/>
      <c r="E41" s="345">
        <f t="shared" si="7"/>
        <v>100</v>
      </c>
      <c r="F41" s="344"/>
      <c r="G41" s="58"/>
      <c r="H41" s="58">
        <v>100</v>
      </c>
      <c r="I41" s="58"/>
      <c r="J41" s="345">
        <f t="shared" si="1"/>
        <v>100</v>
      </c>
      <c r="K41" s="344"/>
      <c r="L41" s="58"/>
      <c r="M41" s="58">
        <v>50</v>
      </c>
      <c r="N41" s="58">
        <v>50</v>
      </c>
      <c r="O41" s="58"/>
      <c r="P41" s="58"/>
      <c r="Q41" s="58"/>
      <c r="R41" s="345">
        <f t="shared" si="2"/>
        <v>100</v>
      </c>
      <c r="S41" s="344"/>
      <c r="T41" s="58"/>
      <c r="U41" s="58">
        <v>100</v>
      </c>
      <c r="V41" s="58"/>
      <c r="W41" s="58"/>
      <c r="X41" s="58"/>
      <c r="Y41" s="345">
        <f t="shared" si="3"/>
        <v>100</v>
      </c>
    </row>
    <row r="42" spans="1:25" x14ac:dyDescent="0.45">
      <c r="A42" t="s">
        <v>2258</v>
      </c>
      <c r="B42" t="str">
        <f>VLOOKUP(A42,TaskValues_ref!E:F,2,FALSE)</f>
        <v>VPD surveillance</v>
      </c>
      <c r="C42" s="58">
        <v>100</v>
      </c>
      <c r="D42" s="58"/>
      <c r="E42" s="345">
        <f t="shared" si="7"/>
        <v>100</v>
      </c>
      <c r="F42" s="344"/>
      <c r="G42" s="58"/>
      <c r="H42" s="58">
        <v>100</v>
      </c>
      <c r="I42" s="58"/>
      <c r="J42" s="345">
        <f t="shared" si="1"/>
        <v>100</v>
      </c>
      <c r="K42" s="344"/>
      <c r="L42" s="58"/>
      <c r="M42" s="58">
        <v>50</v>
      </c>
      <c r="N42" s="58">
        <v>50</v>
      </c>
      <c r="O42" s="58"/>
      <c r="P42" s="58"/>
      <c r="Q42" s="58"/>
      <c r="R42" s="345">
        <f t="shared" si="2"/>
        <v>100</v>
      </c>
      <c r="S42" s="344"/>
      <c r="T42" s="58"/>
      <c r="U42" s="58">
        <v>100</v>
      </c>
      <c r="V42" s="58"/>
      <c r="W42" s="58"/>
      <c r="X42" s="58"/>
      <c r="Y42" s="345">
        <f t="shared" si="3"/>
        <v>100</v>
      </c>
    </row>
    <row r="43" spans="1:25" s="58" customFormat="1" x14ac:dyDescent="0.45">
      <c r="A43" s="58" t="s">
        <v>2293</v>
      </c>
      <c r="B43" s="58" t="str">
        <f>VLOOKUP(A43,TaskValues_ref!E:F,2,FALSE)</f>
        <v>FP consult first time</v>
      </c>
      <c r="C43" s="58">
        <v>100</v>
      </c>
      <c r="E43" s="345">
        <f t="shared" si="7"/>
        <v>100</v>
      </c>
      <c r="F43" s="344">
        <v>80</v>
      </c>
      <c r="H43" s="58">
        <v>20</v>
      </c>
      <c r="J43" s="345">
        <f t="shared" si="1"/>
        <v>100</v>
      </c>
      <c r="K43" s="344">
        <v>80</v>
      </c>
      <c r="M43" s="58">
        <v>20</v>
      </c>
      <c r="R43" s="345">
        <f t="shared" si="2"/>
        <v>100</v>
      </c>
      <c r="S43" s="344">
        <v>80</v>
      </c>
      <c r="U43" s="58">
        <v>20</v>
      </c>
      <c r="Y43" s="345">
        <f t="shared" si="3"/>
        <v>100</v>
      </c>
    </row>
    <row r="44" spans="1:25" s="58" customFormat="1" x14ac:dyDescent="0.45">
      <c r="A44" s="58" t="s">
        <v>2294</v>
      </c>
      <c r="B44" s="58" t="str">
        <f>VLOOKUP(A44,TaskValues_ref!E:F,2,FALSE)</f>
        <v>FP consult postpartum</v>
      </c>
      <c r="C44" s="58">
        <v>100</v>
      </c>
      <c r="E44" s="345">
        <f t="shared" si="7"/>
        <v>100</v>
      </c>
      <c r="F44" s="344">
        <v>80</v>
      </c>
      <c r="H44" s="58">
        <v>20</v>
      </c>
      <c r="J44" s="345">
        <f t="shared" si="1"/>
        <v>100</v>
      </c>
      <c r="K44" s="344">
        <v>80</v>
      </c>
      <c r="M44" s="58">
        <v>20</v>
      </c>
      <c r="R44" s="345">
        <f t="shared" si="2"/>
        <v>100</v>
      </c>
      <c r="S44" s="344">
        <v>80</v>
      </c>
      <c r="U44" s="58">
        <v>20</v>
      </c>
      <c r="Y44" s="345">
        <f t="shared" si="3"/>
        <v>100</v>
      </c>
    </row>
    <row r="45" spans="1:25" s="58" customFormat="1" x14ac:dyDescent="0.45">
      <c r="A45" s="58" t="s">
        <v>2295</v>
      </c>
      <c r="B45" s="58" t="str">
        <f>VLOOKUP(A45,TaskValues_ref!E:F,2,FALSE)</f>
        <v>FP consult switch</v>
      </c>
      <c r="C45" s="58">
        <v>100</v>
      </c>
      <c r="E45" s="345">
        <f t="shared" si="7"/>
        <v>100</v>
      </c>
      <c r="F45" s="344">
        <v>80</v>
      </c>
      <c r="H45" s="58">
        <v>20</v>
      </c>
      <c r="J45" s="345">
        <f t="shared" si="1"/>
        <v>100</v>
      </c>
      <c r="K45" s="344">
        <v>80</v>
      </c>
      <c r="M45" s="58">
        <v>20</v>
      </c>
      <c r="R45" s="345">
        <f t="shared" si="2"/>
        <v>100</v>
      </c>
      <c r="S45" s="344">
        <v>80</v>
      </c>
      <c r="U45" s="58">
        <v>20</v>
      </c>
      <c r="Y45" s="345">
        <f t="shared" si="3"/>
        <v>100</v>
      </c>
    </row>
    <row r="46" spans="1:25" s="58" customFormat="1" x14ac:dyDescent="0.45">
      <c r="A46" s="58" t="s">
        <v>2643</v>
      </c>
      <c r="B46" s="58" t="str">
        <f>VLOOKUP(A46,TaskValues_ref!E:F,2,FALSE)</f>
        <v>Provision of contraceptives</v>
      </c>
      <c r="C46" s="58">
        <v>100</v>
      </c>
      <c r="E46" s="345">
        <f t="shared" si="7"/>
        <v>100</v>
      </c>
      <c r="F46" s="344">
        <v>80</v>
      </c>
      <c r="H46" s="58">
        <v>20</v>
      </c>
      <c r="J46" s="345">
        <f t="shared" si="1"/>
        <v>100</v>
      </c>
      <c r="K46" s="344">
        <v>80</v>
      </c>
      <c r="M46" s="58">
        <v>20</v>
      </c>
      <c r="R46" s="345">
        <f t="shared" si="2"/>
        <v>100</v>
      </c>
      <c r="S46" s="344">
        <v>80</v>
      </c>
      <c r="U46" s="58">
        <v>20</v>
      </c>
      <c r="Y46" s="345">
        <f t="shared" si="3"/>
        <v>100</v>
      </c>
    </row>
    <row r="47" spans="1:25" s="58" customFormat="1" x14ac:dyDescent="0.45">
      <c r="A47" s="58" t="s">
        <v>2644</v>
      </c>
      <c r="B47" s="58" t="str">
        <f>VLOOKUP(A47,TaskValues_ref!E:F,2,FALSE)</f>
        <v>Provision of implants and IUCD</v>
      </c>
      <c r="C47" s="58">
        <v>100</v>
      </c>
      <c r="E47" s="345">
        <f t="shared" si="7"/>
        <v>100</v>
      </c>
      <c r="F47" s="344"/>
      <c r="G47" s="58">
        <v>100</v>
      </c>
      <c r="J47" s="345">
        <f t="shared" si="1"/>
        <v>100</v>
      </c>
      <c r="K47" s="344"/>
      <c r="L47" s="58">
        <v>100</v>
      </c>
      <c r="R47" s="345">
        <f t="shared" si="2"/>
        <v>100</v>
      </c>
      <c r="S47" s="344"/>
      <c r="T47" s="58">
        <v>100</v>
      </c>
      <c r="Y47" s="345">
        <f t="shared" si="3"/>
        <v>100</v>
      </c>
    </row>
    <row r="48" spans="1:25" s="58" customFormat="1" x14ac:dyDescent="0.45">
      <c r="A48" s="58" t="s">
        <v>2645</v>
      </c>
      <c r="B48" s="58" t="str">
        <f>VLOOKUP(A48,TaskValues_ref!E:F,2,FALSE)</f>
        <v>Removal of implants and IUCD</v>
      </c>
      <c r="C48" s="58">
        <v>100</v>
      </c>
      <c r="E48" s="345">
        <f t="shared" si="7"/>
        <v>100</v>
      </c>
      <c r="F48" s="344"/>
      <c r="G48" s="58">
        <v>100</v>
      </c>
      <c r="J48" s="345">
        <f t="shared" si="1"/>
        <v>100</v>
      </c>
      <c r="K48" s="344"/>
      <c r="L48" s="58">
        <v>100</v>
      </c>
      <c r="R48" s="345">
        <f t="shared" si="2"/>
        <v>100</v>
      </c>
      <c r="S48" s="344"/>
      <c r="T48" s="58">
        <v>100</v>
      </c>
      <c r="Y48" s="345">
        <f t="shared" si="3"/>
        <v>100</v>
      </c>
    </row>
    <row r="49" spans="1:25" s="58" customFormat="1" x14ac:dyDescent="0.45">
      <c r="A49" s="58" t="s">
        <v>2646</v>
      </c>
      <c r="B49" s="58" t="str">
        <f>VLOOKUP(A49,TaskValues_ref!E:F,2,FALSE)</f>
        <v>Psycho-social counseling</v>
      </c>
      <c r="C49" s="58">
        <v>100</v>
      </c>
      <c r="E49" s="345">
        <f t="shared" si="7"/>
        <v>100</v>
      </c>
      <c r="F49" s="344">
        <v>50</v>
      </c>
      <c r="H49" s="58">
        <v>50</v>
      </c>
      <c r="J49" s="345">
        <f t="shared" si="1"/>
        <v>100</v>
      </c>
      <c r="K49" s="344">
        <v>50</v>
      </c>
      <c r="M49" s="58">
        <v>25</v>
      </c>
      <c r="O49" s="58">
        <v>25</v>
      </c>
      <c r="R49" s="345">
        <f t="shared" si="2"/>
        <v>100</v>
      </c>
      <c r="S49" s="344">
        <v>50</v>
      </c>
      <c r="U49" s="58">
        <v>25</v>
      </c>
      <c r="V49" s="58">
        <v>25</v>
      </c>
      <c r="Y49" s="345">
        <f t="shared" si="3"/>
        <v>100</v>
      </c>
    </row>
    <row r="50" spans="1:25" s="58" customFormat="1" x14ac:dyDescent="0.45">
      <c r="A50" s="58" t="s">
        <v>2647</v>
      </c>
      <c r="B50" s="58" t="str">
        <f>VLOOKUP(A50,TaskValues_ref!E:F,2,FALSE)</f>
        <v>Abortion care &amp; referral</v>
      </c>
      <c r="C50" s="58">
        <v>100</v>
      </c>
      <c r="E50" s="345">
        <f t="shared" si="7"/>
        <v>100</v>
      </c>
      <c r="F50" s="344"/>
      <c r="G50" s="58">
        <v>100</v>
      </c>
      <c r="J50" s="345">
        <f t="shared" si="1"/>
        <v>100</v>
      </c>
      <c r="K50" s="344"/>
      <c r="L50" s="58">
        <v>100</v>
      </c>
      <c r="R50" s="345">
        <f t="shared" si="2"/>
        <v>100</v>
      </c>
      <c r="S50" s="344"/>
      <c r="T50" s="58">
        <v>100</v>
      </c>
      <c r="Y50" s="345">
        <f t="shared" si="3"/>
        <v>100</v>
      </c>
    </row>
    <row r="51" spans="1:25" s="58" customFormat="1" x14ac:dyDescent="0.45">
      <c r="A51" s="58" t="s">
        <v>2648</v>
      </c>
      <c r="B51" s="58" t="str">
        <f>VLOOKUP(A51,TaskValues_ref!E:F,2,FALSE)</f>
        <v>Post-abortion follow-up</v>
      </c>
      <c r="C51" s="58">
        <v>100</v>
      </c>
      <c r="E51" s="345">
        <f t="shared" si="7"/>
        <v>100</v>
      </c>
      <c r="F51" s="344"/>
      <c r="G51" s="58">
        <v>50</v>
      </c>
      <c r="H51" s="58">
        <v>50</v>
      </c>
      <c r="J51" s="345">
        <f t="shared" si="1"/>
        <v>100</v>
      </c>
      <c r="K51" s="344"/>
      <c r="L51" s="58">
        <v>25</v>
      </c>
      <c r="M51" s="58">
        <v>25</v>
      </c>
      <c r="N51" s="58">
        <v>50</v>
      </c>
      <c r="R51" s="345">
        <f t="shared" si="2"/>
        <v>100</v>
      </c>
      <c r="S51" s="344"/>
      <c r="T51" s="58">
        <v>25</v>
      </c>
      <c r="U51" s="58">
        <v>75</v>
      </c>
      <c r="Y51" s="345">
        <f t="shared" si="3"/>
        <v>100</v>
      </c>
    </row>
    <row r="52" spans="1:25" x14ac:dyDescent="0.45">
      <c r="A52" t="s">
        <v>2649</v>
      </c>
      <c r="B52" t="str">
        <f>VLOOKUP(A52,TaskValues_ref!E:F,2,FALSE)</f>
        <v>Education on menstration</v>
      </c>
      <c r="C52" s="58">
        <v>100</v>
      </c>
      <c r="D52" s="58"/>
      <c r="E52" s="345">
        <f t="shared" si="7"/>
        <v>100</v>
      </c>
      <c r="F52" s="344"/>
      <c r="G52" s="58"/>
      <c r="H52" s="58">
        <v>100</v>
      </c>
      <c r="I52" s="58"/>
      <c r="J52" s="345">
        <f t="shared" si="1"/>
        <v>100</v>
      </c>
      <c r="K52" s="344"/>
      <c r="L52" s="58"/>
      <c r="M52" s="58">
        <v>50</v>
      </c>
      <c r="N52" s="58">
        <v>50</v>
      </c>
      <c r="O52" s="58"/>
      <c r="P52" s="58"/>
      <c r="Q52" s="58"/>
      <c r="R52" s="345">
        <f t="shared" si="2"/>
        <v>100</v>
      </c>
      <c r="S52" s="344"/>
      <c r="T52" s="58"/>
      <c r="U52" s="58">
        <v>100</v>
      </c>
      <c r="V52" s="58"/>
      <c r="W52" s="58"/>
      <c r="X52" s="58"/>
      <c r="Y52" s="345">
        <f t="shared" si="3"/>
        <v>100</v>
      </c>
    </row>
    <row r="53" spans="1:25" x14ac:dyDescent="0.45">
      <c r="A53" t="s">
        <v>2650</v>
      </c>
      <c r="B53" t="str">
        <f>VLOOKUP(A53,TaskValues_ref!E:F,2,FALSE)</f>
        <v>Treatment of menstrual problems</v>
      </c>
      <c r="C53" s="58">
        <v>100</v>
      </c>
      <c r="D53" s="58"/>
      <c r="E53" s="345">
        <f t="shared" si="7"/>
        <v>100</v>
      </c>
      <c r="F53" s="344"/>
      <c r="G53" s="58"/>
      <c r="H53" s="58">
        <v>100</v>
      </c>
      <c r="I53" s="58"/>
      <c r="J53" s="345">
        <f t="shared" ref="J53" si="8">SUM(F53:I53)</f>
        <v>100</v>
      </c>
      <c r="K53" s="344"/>
      <c r="L53" s="58"/>
      <c r="M53" s="58">
        <v>25</v>
      </c>
      <c r="N53" s="58">
        <v>25</v>
      </c>
      <c r="O53" s="58">
        <v>50</v>
      </c>
      <c r="P53" s="58"/>
      <c r="Q53" s="58"/>
      <c r="R53" s="345">
        <f t="shared" ref="R53" si="9">SUM(K53:Q53)</f>
        <v>100</v>
      </c>
      <c r="S53" s="344"/>
      <c r="T53" s="58"/>
      <c r="U53" s="58">
        <v>50</v>
      </c>
      <c r="V53" s="58">
        <v>50</v>
      </c>
      <c r="W53" s="58"/>
      <c r="X53" s="58"/>
      <c r="Y53" s="345">
        <f t="shared" ref="Y53" si="10">SUM(S53:X53)</f>
        <v>100</v>
      </c>
    </row>
    <row r="54" spans="1:25" x14ac:dyDescent="0.45">
      <c r="A54" t="s">
        <v>2651</v>
      </c>
      <c r="B54" t="str">
        <f>VLOOKUP(A54,TaskValues_ref!E:F,2,FALSE)</f>
        <v>Promote self-breast exam</v>
      </c>
      <c r="C54" s="58">
        <v>100</v>
      </c>
      <c r="D54" s="58"/>
      <c r="E54" s="345">
        <f t="shared" si="7"/>
        <v>100</v>
      </c>
      <c r="F54" s="344"/>
      <c r="G54" s="58"/>
      <c r="H54" s="58">
        <v>100</v>
      </c>
      <c r="I54" s="58"/>
      <c r="J54" s="345">
        <f t="shared" si="1"/>
        <v>100</v>
      </c>
      <c r="K54" s="344"/>
      <c r="L54" s="58"/>
      <c r="M54" s="58">
        <v>50</v>
      </c>
      <c r="N54" s="58">
        <v>50</v>
      </c>
      <c r="O54" s="58"/>
      <c r="P54" s="58"/>
      <c r="Q54" s="58"/>
      <c r="R54" s="345">
        <f t="shared" si="2"/>
        <v>100</v>
      </c>
      <c r="S54" s="344"/>
      <c r="T54" s="58"/>
      <c r="U54" s="58">
        <v>100</v>
      </c>
      <c r="V54" s="58"/>
      <c r="W54" s="58"/>
      <c r="X54" s="58"/>
      <c r="Y54" s="345">
        <f t="shared" si="3"/>
        <v>100</v>
      </c>
    </row>
    <row r="55" spans="1:25" s="58" customFormat="1" x14ac:dyDescent="0.45">
      <c r="A55" s="58" t="s">
        <v>2652</v>
      </c>
      <c r="B55" s="58" t="str">
        <f>VLOOKUP(A55,TaskValues_ref!E:F,2,FALSE)</f>
        <v>HPV vacination</v>
      </c>
      <c r="C55" s="58">
        <v>100</v>
      </c>
      <c r="E55" s="345">
        <f t="shared" si="7"/>
        <v>100</v>
      </c>
      <c r="F55" s="344"/>
      <c r="H55" s="58">
        <v>100</v>
      </c>
      <c r="J55" s="345">
        <f t="shared" si="1"/>
        <v>100</v>
      </c>
      <c r="K55" s="344"/>
      <c r="M55" s="58">
        <v>50</v>
      </c>
      <c r="N55" s="58">
        <v>50</v>
      </c>
      <c r="R55" s="345">
        <f t="shared" si="2"/>
        <v>100</v>
      </c>
      <c r="S55" s="344"/>
      <c r="U55" s="58">
        <v>100</v>
      </c>
      <c r="Y55" s="345">
        <f t="shared" si="3"/>
        <v>100</v>
      </c>
    </row>
    <row r="56" spans="1:25" s="58" customFormat="1" x14ac:dyDescent="0.45">
      <c r="A56" s="58" t="s">
        <v>2653</v>
      </c>
      <c r="B56" s="58" t="str">
        <f>VLOOKUP(A56,TaskValues_ref!E:F,2,FALSE)</f>
        <v>Education on health &amp; wellbeing</v>
      </c>
      <c r="C56" s="58">
        <v>100</v>
      </c>
      <c r="E56" s="345">
        <f t="shared" si="7"/>
        <v>100</v>
      </c>
      <c r="F56" s="344"/>
      <c r="H56" s="58">
        <v>100</v>
      </c>
      <c r="J56" s="345">
        <f t="shared" si="1"/>
        <v>100</v>
      </c>
      <c r="K56" s="344"/>
      <c r="M56" s="58">
        <v>50</v>
      </c>
      <c r="N56" s="58">
        <v>50</v>
      </c>
      <c r="R56" s="345">
        <f t="shared" si="2"/>
        <v>100</v>
      </c>
      <c r="S56" s="344"/>
      <c r="U56" s="58">
        <v>100</v>
      </c>
      <c r="Y56" s="345">
        <f t="shared" si="3"/>
        <v>100</v>
      </c>
    </row>
    <row r="57" spans="1:25" s="58" customFormat="1" x14ac:dyDescent="0.45">
      <c r="A57" s="58" t="s">
        <v>2654</v>
      </c>
      <c r="B57" s="58" t="str">
        <f>VLOOKUP(A57,TaskValues_ref!E:F,2,FALSE)</f>
        <v>Adolescent SRH</v>
      </c>
      <c r="C57" s="58">
        <v>100</v>
      </c>
      <c r="E57" s="345">
        <f t="shared" si="7"/>
        <v>100</v>
      </c>
      <c r="F57" s="344">
        <v>100</v>
      </c>
      <c r="J57" s="345">
        <f t="shared" si="1"/>
        <v>100</v>
      </c>
      <c r="K57" s="344">
        <v>100</v>
      </c>
      <c r="R57" s="345">
        <f t="shared" si="2"/>
        <v>100</v>
      </c>
      <c r="S57" s="344">
        <v>100</v>
      </c>
      <c r="Y57" s="345">
        <f t="shared" si="3"/>
        <v>100</v>
      </c>
    </row>
    <row r="58" spans="1:25" s="58" customFormat="1" x14ac:dyDescent="0.45">
      <c r="A58" s="58" t="s">
        <v>2655</v>
      </c>
      <c r="B58" s="58" t="str">
        <f>VLOOKUP(A58,TaskValues_ref!E:F,2,FALSE)</f>
        <v>Provision of adolescent-friendly contraceptives</v>
      </c>
      <c r="C58" s="58">
        <v>100</v>
      </c>
      <c r="E58" s="345">
        <f t="shared" si="7"/>
        <v>100</v>
      </c>
      <c r="F58" s="344">
        <v>100</v>
      </c>
      <c r="J58" s="345">
        <f t="shared" si="1"/>
        <v>100</v>
      </c>
      <c r="K58" s="344">
        <v>100</v>
      </c>
      <c r="R58" s="345">
        <f t="shared" si="2"/>
        <v>100</v>
      </c>
      <c r="S58" s="344">
        <v>100</v>
      </c>
      <c r="Y58" s="345">
        <f t="shared" si="3"/>
        <v>100</v>
      </c>
    </row>
    <row r="59" spans="1:25" x14ac:dyDescent="0.45">
      <c r="A59" t="s">
        <v>2656</v>
      </c>
      <c r="B59" t="str">
        <f>VLOOKUP(A59,TaskValues_ref!E:F,2,FALSE)</f>
        <v>Education about GBV</v>
      </c>
      <c r="C59" s="58">
        <v>100</v>
      </c>
      <c r="D59" s="58"/>
      <c r="E59" s="345">
        <f t="shared" si="7"/>
        <v>100</v>
      </c>
      <c r="F59" s="344"/>
      <c r="G59" s="58"/>
      <c r="H59" s="58">
        <v>100</v>
      </c>
      <c r="I59" s="58"/>
      <c r="J59" s="345">
        <f t="shared" ref="J59:J60" si="11">SUM(F59:I59)</f>
        <v>100</v>
      </c>
      <c r="K59" s="344"/>
      <c r="L59" s="58"/>
      <c r="M59" s="58">
        <v>50</v>
      </c>
      <c r="N59" s="58">
        <v>50</v>
      </c>
      <c r="O59" s="58"/>
      <c r="P59" s="58"/>
      <c r="Q59" s="58"/>
      <c r="R59" s="345">
        <f t="shared" ref="R59:R60" si="12">SUM(K59:Q59)</f>
        <v>100</v>
      </c>
      <c r="S59" s="344"/>
      <c r="T59" s="58"/>
      <c r="U59" s="58">
        <v>100</v>
      </c>
      <c r="V59" s="58"/>
      <c r="W59" s="58"/>
      <c r="X59" s="58"/>
      <c r="Y59" s="345">
        <f t="shared" ref="Y59:Y60" si="13">SUM(S59:X59)</f>
        <v>100</v>
      </c>
    </row>
    <row r="60" spans="1:25" x14ac:dyDescent="0.45">
      <c r="A60" t="s">
        <v>2657</v>
      </c>
      <c r="B60" t="str">
        <f>VLOOKUP(A60,TaskValues_ref!E:F,2,FALSE)</f>
        <v>Community dialogue about GBV</v>
      </c>
      <c r="C60" s="58">
        <v>100</v>
      </c>
      <c r="D60" s="58"/>
      <c r="E60" s="345">
        <f t="shared" si="7"/>
        <v>100</v>
      </c>
      <c r="F60" s="344"/>
      <c r="G60" s="58"/>
      <c r="H60" s="58">
        <v>100</v>
      </c>
      <c r="I60" s="58"/>
      <c r="J60" s="345">
        <f t="shared" si="11"/>
        <v>100</v>
      </c>
      <c r="K60" s="344"/>
      <c r="L60" s="58"/>
      <c r="M60" s="58">
        <v>50</v>
      </c>
      <c r="N60" s="58">
        <v>50</v>
      </c>
      <c r="O60" s="58"/>
      <c r="P60" s="58"/>
      <c r="Q60" s="58"/>
      <c r="R60" s="345">
        <f t="shared" si="12"/>
        <v>100</v>
      </c>
      <c r="S60" s="344"/>
      <c r="T60" s="58"/>
      <c r="U60" s="58">
        <v>100</v>
      </c>
      <c r="V60" s="58"/>
      <c r="W60" s="58"/>
      <c r="X60" s="58"/>
      <c r="Y60" s="345">
        <f t="shared" si="13"/>
        <v>100</v>
      </c>
    </row>
    <row r="61" spans="1:25" s="58" customFormat="1" x14ac:dyDescent="0.45">
      <c r="A61" s="58" t="s">
        <v>2658</v>
      </c>
      <c r="B61" s="58" t="str">
        <f>VLOOKUP(A61,TaskValues_ref!E:F,2,FALSE)</f>
        <v>Pregnancy test for GBV</v>
      </c>
      <c r="C61" s="58">
        <v>100</v>
      </c>
      <c r="E61" s="345">
        <f t="shared" si="7"/>
        <v>100</v>
      </c>
      <c r="F61" s="344">
        <v>100</v>
      </c>
      <c r="J61" s="345">
        <f t="shared" si="1"/>
        <v>100</v>
      </c>
      <c r="K61" s="344">
        <v>50</v>
      </c>
      <c r="O61" s="58">
        <v>50</v>
      </c>
      <c r="R61" s="345">
        <f t="shared" si="2"/>
        <v>100</v>
      </c>
      <c r="S61" s="344">
        <v>50</v>
      </c>
      <c r="V61" s="58">
        <v>50</v>
      </c>
      <c r="Y61" s="345">
        <f t="shared" si="3"/>
        <v>100</v>
      </c>
    </row>
    <row r="62" spans="1:25" s="58" customFormat="1" x14ac:dyDescent="0.45">
      <c r="A62" s="58" t="s">
        <v>2659</v>
      </c>
      <c r="B62" s="58" t="str">
        <f>VLOOKUP(A62,TaskValues_ref!E:F,2,FALSE)</f>
        <v>HIV test for GBV</v>
      </c>
      <c r="C62" s="58">
        <v>100</v>
      </c>
      <c r="E62" s="345">
        <f t="shared" si="7"/>
        <v>100</v>
      </c>
      <c r="F62" s="344">
        <v>100</v>
      </c>
      <c r="J62" s="345">
        <f t="shared" si="1"/>
        <v>100</v>
      </c>
      <c r="K62" s="344">
        <v>50</v>
      </c>
      <c r="O62" s="58">
        <v>50</v>
      </c>
      <c r="R62" s="345">
        <f t="shared" si="2"/>
        <v>100</v>
      </c>
      <c r="S62" s="344">
        <v>50</v>
      </c>
      <c r="V62" s="58">
        <v>50</v>
      </c>
      <c r="Y62" s="345">
        <f t="shared" si="3"/>
        <v>100</v>
      </c>
    </row>
    <row r="63" spans="1:25" s="58" customFormat="1" x14ac:dyDescent="0.45">
      <c r="A63" s="58" t="s">
        <v>2660</v>
      </c>
      <c r="B63" s="58" t="str">
        <f>VLOOKUP(A63,TaskValues_ref!E:F,2,FALSE)</f>
        <v>Emergency GBV response</v>
      </c>
      <c r="C63" s="58">
        <v>100</v>
      </c>
      <c r="E63" s="345">
        <f t="shared" si="7"/>
        <v>100</v>
      </c>
      <c r="F63" s="344"/>
      <c r="H63" s="58">
        <v>100</v>
      </c>
      <c r="J63" s="345">
        <f t="shared" si="1"/>
        <v>100</v>
      </c>
      <c r="K63" s="344"/>
      <c r="M63" s="58">
        <v>50</v>
      </c>
      <c r="N63" s="58">
        <v>50</v>
      </c>
      <c r="R63" s="345">
        <f t="shared" si="2"/>
        <v>100</v>
      </c>
      <c r="S63" s="344"/>
      <c r="U63" s="58">
        <v>50</v>
      </c>
      <c r="V63" s="58">
        <v>50</v>
      </c>
      <c r="Y63" s="345">
        <f t="shared" si="3"/>
        <v>100</v>
      </c>
    </row>
    <row r="64" spans="1:25" s="58" customFormat="1" x14ac:dyDescent="0.45">
      <c r="A64" s="58" t="s">
        <v>2661</v>
      </c>
      <c r="B64" s="58" t="str">
        <f>VLOOKUP(A64,TaskValues_ref!E:F,2,FALSE)</f>
        <v>Medical treatment for GBV</v>
      </c>
      <c r="C64" s="58">
        <v>100</v>
      </c>
      <c r="E64" s="345">
        <f t="shared" si="7"/>
        <v>100</v>
      </c>
      <c r="F64" s="344">
        <v>50</v>
      </c>
      <c r="G64" s="58">
        <v>50</v>
      </c>
      <c r="J64" s="345">
        <f t="shared" si="1"/>
        <v>100</v>
      </c>
      <c r="K64" s="344">
        <v>50</v>
      </c>
      <c r="L64" s="58">
        <v>25</v>
      </c>
      <c r="O64" s="58">
        <v>25</v>
      </c>
      <c r="R64" s="345">
        <f t="shared" si="2"/>
        <v>100</v>
      </c>
      <c r="S64" s="344">
        <v>50</v>
      </c>
      <c r="T64" s="58">
        <v>25</v>
      </c>
      <c r="V64" s="58">
        <v>25</v>
      </c>
      <c r="Y64" s="345">
        <f t="shared" si="3"/>
        <v>100</v>
      </c>
    </row>
    <row r="65" spans="1:25" s="58" customFormat="1" x14ac:dyDescent="0.45">
      <c r="A65" s="58" t="s">
        <v>2662</v>
      </c>
      <c r="B65" s="58" t="str">
        <f>VLOOKUP(A65,TaskValues_ref!E:F,2,FALSE)</f>
        <v>Psycho-social support for GBV</v>
      </c>
      <c r="C65" s="58">
        <v>100</v>
      </c>
      <c r="E65" s="345">
        <f t="shared" ref="E65:E96" si="14">SUM(C65:D65)</f>
        <v>100</v>
      </c>
      <c r="F65" s="344"/>
      <c r="H65" s="58">
        <v>100</v>
      </c>
      <c r="J65" s="345">
        <f t="shared" si="1"/>
        <v>100</v>
      </c>
      <c r="K65" s="344"/>
      <c r="M65" s="58">
        <v>50</v>
      </c>
      <c r="N65" s="58">
        <v>50</v>
      </c>
      <c r="R65" s="345">
        <f t="shared" si="2"/>
        <v>100</v>
      </c>
      <c r="S65" s="344"/>
      <c r="U65" s="58">
        <v>100</v>
      </c>
      <c r="Y65" s="345">
        <f t="shared" si="3"/>
        <v>100</v>
      </c>
    </row>
    <row r="66" spans="1:25" x14ac:dyDescent="0.45">
      <c r="A66" t="s">
        <v>2663</v>
      </c>
      <c r="B66" t="str">
        <f>VLOOKUP(A66,TaskValues_ref!E:F,2,FALSE)</f>
        <v>Adovacy against HTP</v>
      </c>
      <c r="C66" s="58">
        <v>100</v>
      </c>
      <c r="D66" s="58"/>
      <c r="E66" s="345">
        <f t="shared" si="14"/>
        <v>100</v>
      </c>
      <c r="F66" s="344"/>
      <c r="G66" s="58"/>
      <c r="H66" s="58">
        <v>100</v>
      </c>
      <c r="I66" s="58"/>
      <c r="J66" s="345">
        <f t="shared" ref="J66" si="15">SUM(F66:I66)</f>
        <v>100</v>
      </c>
      <c r="K66" s="344"/>
      <c r="L66" s="58"/>
      <c r="M66" s="58">
        <v>50</v>
      </c>
      <c r="N66" s="58">
        <v>50</v>
      </c>
      <c r="O66" s="58"/>
      <c r="P66" s="58"/>
      <c r="Q66" s="58"/>
      <c r="R66" s="345">
        <f t="shared" ref="R66" si="16">SUM(K66:Q66)</f>
        <v>100</v>
      </c>
      <c r="S66" s="344"/>
      <c r="T66" s="58"/>
      <c r="U66" s="58">
        <v>100</v>
      </c>
      <c r="V66" s="58"/>
      <c r="W66" s="58"/>
      <c r="X66" s="58"/>
      <c r="Y66" s="345">
        <f t="shared" ref="Y66" si="17">SUM(S66:X66)</f>
        <v>100</v>
      </c>
    </row>
    <row r="67" spans="1:25" s="58" customFormat="1" x14ac:dyDescent="0.45">
      <c r="A67" s="58" t="s">
        <v>2664</v>
      </c>
      <c r="B67" s="58" t="str">
        <f>VLOOKUP(A67,TaskValues_ref!E:F,2,FALSE)</f>
        <v>Prevention of teen pregnancy</v>
      </c>
      <c r="C67" s="58">
        <v>100</v>
      </c>
      <c r="E67" s="345">
        <f t="shared" si="14"/>
        <v>100</v>
      </c>
      <c r="F67" s="344">
        <v>20</v>
      </c>
      <c r="H67" s="58">
        <v>80</v>
      </c>
      <c r="J67" s="345">
        <f t="shared" ref="J67:J137" si="18">SUM(F67:I67)</f>
        <v>100</v>
      </c>
      <c r="K67" s="344">
        <v>20</v>
      </c>
      <c r="M67" s="58">
        <v>40</v>
      </c>
      <c r="N67" s="58">
        <v>40</v>
      </c>
      <c r="R67" s="345">
        <f t="shared" ref="R67:R137" si="19">SUM(K67:Q67)</f>
        <v>100</v>
      </c>
      <c r="S67" s="344">
        <v>20</v>
      </c>
      <c r="U67" s="58">
        <v>80</v>
      </c>
      <c r="Y67" s="345">
        <f t="shared" ref="Y67:Y137" si="20">SUM(S67:X67)</f>
        <v>100</v>
      </c>
    </row>
    <row r="68" spans="1:25" x14ac:dyDescent="0.45">
      <c r="A68" t="s">
        <v>2665</v>
      </c>
      <c r="B68" t="str">
        <f>VLOOKUP(A68,TaskValues_ref!E:F,2,FALSE)</f>
        <v>Folic acid</v>
      </c>
      <c r="C68" s="58">
        <v>100</v>
      </c>
      <c r="D68" s="58"/>
      <c r="E68" s="345">
        <f t="shared" si="14"/>
        <v>100</v>
      </c>
      <c r="F68" s="344">
        <v>20</v>
      </c>
      <c r="G68" s="58"/>
      <c r="H68" s="58">
        <v>80</v>
      </c>
      <c r="I68" s="58"/>
      <c r="J68" s="345">
        <f t="shared" ref="J68" si="21">SUM(F68:I68)</f>
        <v>100</v>
      </c>
      <c r="K68" s="344">
        <v>20</v>
      </c>
      <c r="L68" s="58"/>
      <c r="M68" s="58">
        <v>40</v>
      </c>
      <c r="N68" s="58">
        <v>40</v>
      </c>
      <c r="O68" s="58"/>
      <c r="P68" s="58"/>
      <c r="Q68" s="58"/>
      <c r="R68" s="345">
        <f t="shared" ref="R68" si="22">SUM(K68:Q68)</f>
        <v>100</v>
      </c>
      <c r="S68" s="344">
        <v>20</v>
      </c>
      <c r="T68" s="58"/>
      <c r="U68" s="58">
        <v>80</v>
      </c>
      <c r="V68" s="58"/>
      <c r="W68" s="58"/>
      <c r="X68" s="58"/>
      <c r="Y68" s="345">
        <f t="shared" ref="Y68" si="23">SUM(S68:X68)</f>
        <v>100</v>
      </c>
    </row>
    <row r="69" spans="1:25" s="58" customFormat="1" x14ac:dyDescent="0.45">
      <c r="A69" s="58" t="s">
        <v>2666</v>
      </c>
      <c r="B69" s="58" t="str">
        <f>VLOOKUP(A69,TaskValues_ref!E:F,2,FALSE)</f>
        <v>SRH counseling for men</v>
      </c>
      <c r="C69" s="58">
        <v>100</v>
      </c>
      <c r="E69" s="345">
        <f t="shared" si="14"/>
        <v>100</v>
      </c>
      <c r="F69" s="344">
        <v>25</v>
      </c>
      <c r="G69" s="58">
        <v>75</v>
      </c>
      <c r="J69" s="345">
        <f t="shared" si="18"/>
        <v>100</v>
      </c>
      <c r="K69" s="344">
        <v>25</v>
      </c>
      <c r="L69" s="58">
        <v>25</v>
      </c>
      <c r="O69" s="58">
        <v>50</v>
      </c>
      <c r="R69" s="345">
        <f t="shared" si="19"/>
        <v>100</v>
      </c>
      <c r="S69" s="344">
        <v>25</v>
      </c>
      <c r="T69" s="58">
        <v>25</v>
      </c>
      <c r="V69" s="58">
        <v>50</v>
      </c>
      <c r="Y69" s="345">
        <f t="shared" si="20"/>
        <v>100</v>
      </c>
    </row>
    <row r="70" spans="1:25" x14ac:dyDescent="0.45">
      <c r="A70" t="s">
        <v>2667</v>
      </c>
      <c r="B70" t="str">
        <f>VLOOKUP(A70,TaskValues_ref!E:F,2,FALSE)</f>
        <v>Promote breast feeding</v>
      </c>
      <c r="C70" s="58">
        <v>100</v>
      </c>
      <c r="D70" s="58"/>
      <c r="E70" s="345">
        <f t="shared" si="14"/>
        <v>100</v>
      </c>
      <c r="F70" s="344"/>
      <c r="G70" s="58"/>
      <c r="H70" s="58">
        <v>100</v>
      </c>
      <c r="I70" s="58"/>
      <c r="J70" s="345">
        <f t="shared" si="18"/>
        <v>100</v>
      </c>
      <c r="K70" s="344"/>
      <c r="L70" s="58"/>
      <c r="M70" s="58">
        <v>50</v>
      </c>
      <c r="N70" s="58">
        <v>50</v>
      </c>
      <c r="O70" s="58"/>
      <c r="P70" s="58"/>
      <c r="Q70" s="58"/>
      <c r="R70" s="345">
        <f t="shared" si="19"/>
        <v>100</v>
      </c>
      <c r="S70" s="344"/>
      <c r="T70" s="58"/>
      <c r="U70" s="58">
        <v>100</v>
      </c>
      <c r="V70" s="58"/>
      <c r="W70" s="58"/>
      <c r="X70" s="58"/>
      <c r="Y70" s="345">
        <f t="shared" si="20"/>
        <v>100</v>
      </c>
    </row>
    <row r="71" spans="1:25" s="58" customFormat="1" x14ac:dyDescent="0.45">
      <c r="A71" s="58" t="s">
        <v>2668</v>
      </c>
      <c r="B71" s="58" t="str">
        <f>VLOOKUP(A71,TaskValues_ref!E:F,2,FALSE)</f>
        <v>Nutritional screening during pregnancy</v>
      </c>
      <c r="C71" s="58">
        <v>100</v>
      </c>
      <c r="E71" s="345">
        <f t="shared" si="14"/>
        <v>100</v>
      </c>
      <c r="F71" s="344">
        <v>100</v>
      </c>
      <c r="J71" s="345">
        <f t="shared" si="18"/>
        <v>100</v>
      </c>
      <c r="K71" s="344">
        <v>100</v>
      </c>
      <c r="R71" s="345">
        <f t="shared" si="19"/>
        <v>100</v>
      </c>
      <c r="S71" s="344">
        <v>100</v>
      </c>
      <c r="W71" s="58">
        <f t="shared" ref="W71:W74" si="24">M71+P71</f>
        <v>0</v>
      </c>
      <c r="Y71" s="345">
        <f t="shared" si="20"/>
        <v>100</v>
      </c>
    </row>
    <row r="72" spans="1:25" x14ac:dyDescent="0.45">
      <c r="A72" t="s">
        <v>2669</v>
      </c>
      <c r="B72" t="str">
        <f>VLOOKUP(A72,TaskValues_ref!E:F,2,FALSE)</f>
        <v>Monthly monitoring</v>
      </c>
      <c r="C72" s="58">
        <v>100</v>
      </c>
      <c r="D72" s="58"/>
      <c r="E72" s="345">
        <f t="shared" si="14"/>
        <v>100</v>
      </c>
      <c r="F72" s="344"/>
      <c r="G72" s="58"/>
      <c r="H72" s="58">
        <v>100</v>
      </c>
      <c r="I72" s="58"/>
      <c r="J72" s="345">
        <f t="shared" si="18"/>
        <v>100</v>
      </c>
      <c r="K72" s="344"/>
      <c r="L72" s="58"/>
      <c r="M72" s="58">
        <v>50</v>
      </c>
      <c r="N72" s="58">
        <v>25</v>
      </c>
      <c r="O72" s="58">
        <v>25</v>
      </c>
      <c r="P72" s="58"/>
      <c r="Q72" s="58"/>
      <c r="R72" s="345">
        <f t="shared" si="19"/>
        <v>100</v>
      </c>
      <c r="S72" s="344"/>
      <c r="T72" s="58"/>
      <c r="U72" s="58">
        <v>75</v>
      </c>
      <c r="V72" s="58">
        <v>25</v>
      </c>
      <c r="W72" s="58"/>
      <c r="X72" s="58"/>
      <c r="Y72" s="345">
        <f t="shared" si="20"/>
        <v>100</v>
      </c>
    </row>
    <row r="73" spans="1:25" s="58" customFormat="1" x14ac:dyDescent="0.45">
      <c r="A73" s="58" t="s">
        <v>2670</v>
      </c>
      <c r="B73" s="58" t="str">
        <f>VLOOKUP(A73,TaskValues_ref!E:F,2,FALSE)</f>
        <v>MUAC and oedema screening</v>
      </c>
      <c r="C73" s="58">
        <v>100</v>
      </c>
      <c r="E73" s="345">
        <f t="shared" si="14"/>
        <v>100</v>
      </c>
      <c r="F73" s="344">
        <v>100</v>
      </c>
      <c r="J73" s="345">
        <f t="shared" si="18"/>
        <v>100</v>
      </c>
      <c r="K73" s="344">
        <v>100</v>
      </c>
      <c r="R73" s="345">
        <f t="shared" si="19"/>
        <v>100</v>
      </c>
      <c r="S73" s="344">
        <v>100</v>
      </c>
      <c r="W73" s="58">
        <f t="shared" si="24"/>
        <v>0</v>
      </c>
      <c r="Y73" s="345">
        <f t="shared" si="20"/>
        <v>100</v>
      </c>
    </row>
    <row r="74" spans="1:25" s="58" customFormat="1" x14ac:dyDescent="0.45">
      <c r="A74" s="58" t="s">
        <v>2671</v>
      </c>
      <c r="B74" s="58" t="str">
        <f>VLOOKUP(A74,TaskValues_ref!E:F,2,FALSE)</f>
        <v>Treat malnourished mothers</v>
      </c>
      <c r="C74" s="58">
        <v>100</v>
      </c>
      <c r="E74" s="345">
        <f t="shared" si="14"/>
        <v>100</v>
      </c>
      <c r="F74" s="344">
        <v>100</v>
      </c>
      <c r="J74" s="345">
        <f t="shared" si="18"/>
        <v>100</v>
      </c>
      <c r="K74" s="344">
        <v>100</v>
      </c>
      <c r="R74" s="345">
        <f t="shared" si="19"/>
        <v>100</v>
      </c>
      <c r="S74" s="344">
        <v>100</v>
      </c>
      <c r="W74" s="58">
        <f t="shared" si="24"/>
        <v>0</v>
      </c>
      <c r="Y74" s="345">
        <f t="shared" si="20"/>
        <v>100</v>
      </c>
    </row>
    <row r="75" spans="1:25" s="58" customFormat="1" x14ac:dyDescent="0.45">
      <c r="A75" s="58" t="s">
        <v>2621</v>
      </c>
      <c r="B75" s="58" t="str">
        <f>VLOOKUP(A75,TaskValues_ref!E:F,2,FALSE)</f>
        <v>Anaemia severe U5</v>
      </c>
      <c r="C75" s="58">
        <v>100</v>
      </c>
      <c r="E75" s="345">
        <f t="shared" si="14"/>
        <v>100</v>
      </c>
      <c r="F75" s="344"/>
      <c r="G75" s="58">
        <v>100</v>
      </c>
      <c r="J75" s="345">
        <f t="shared" si="18"/>
        <v>100</v>
      </c>
      <c r="K75" s="344"/>
      <c r="L75" s="58">
        <v>25</v>
      </c>
      <c r="O75" s="58">
        <v>75</v>
      </c>
      <c r="R75" s="345">
        <f t="shared" si="19"/>
        <v>100</v>
      </c>
      <c r="S75" s="344"/>
      <c r="T75" s="58">
        <v>25</v>
      </c>
      <c r="V75" s="58">
        <v>75</v>
      </c>
      <c r="Y75" s="345">
        <f t="shared" si="20"/>
        <v>100</v>
      </c>
    </row>
    <row r="76" spans="1:25" s="58" customFormat="1" x14ac:dyDescent="0.45">
      <c r="A76" s="58" t="s">
        <v>2534</v>
      </c>
      <c r="B76" s="58" t="str">
        <f>VLOOKUP(A76,TaskValues_ref!E:F,2,FALSE)</f>
        <v>Anaemia severe children</v>
      </c>
      <c r="C76" s="58">
        <v>100</v>
      </c>
      <c r="E76" s="345">
        <f t="shared" si="14"/>
        <v>100</v>
      </c>
      <c r="F76" s="344"/>
      <c r="G76" s="58">
        <v>100</v>
      </c>
      <c r="J76" s="345">
        <f t="shared" si="18"/>
        <v>100</v>
      </c>
      <c r="K76" s="344"/>
      <c r="L76" s="58">
        <v>25</v>
      </c>
      <c r="O76" s="58">
        <v>75</v>
      </c>
      <c r="R76" s="345">
        <f t="shared" si="19"/>
        <v>100</v>
      </c>
      <c r="S76" s="344"/>
      <c r="T76" s="58">
        <v>25</v>
      </c>
      <c r="V76" s="58">
        <v>75</v>
      </c>
      <c r="Y76" s="345">
        <f t="shared" si="20"/>
        <v>100</v>
      </c>
    </row>
    <row r="77" spans="1:25" s="58" customFormat="1" x14ac:dyDescent="0.45">
      <c r="A77" s="58" t="s">
        <v>2535</v>
      </c>
      <c r="B77" s="58" t="str">
        <f>VLOOKUP(A77,TaskValues_ref!E:F,2,FALSE)</f>
        <v>Anaemia severe adults</v>
      </c>
      <c r="C77" s="58">
        <v>100</v>
      </c>
      <c r="E77" s="345">
        <f t="shared" si="14"/>
        <v>100</v>
      </c>
      <c r="F77" s="344"/>
      <c r="G77" s="58">
        <v>100</v>
      </c>
      <c r="J77" s="345">
        <f t="shared" si="18"/>
        <v>100</v>
      </c>
      <c r="K77" s="344"/>
      <c r="L77" s="58">
        <v>25</v>
      </c>
      <c r="O77" s="58">
        <v>75</v>
      </c>
      <c r="R77" s="345">
        <f t="shared" si="19"/>
        <v>100</v>
      </c>
      <c r="S77" s="344"/>
      <c r="T77" s="58">
        <v>25</v>
      </c>
      <c r="V77" s="58">
        <v>75</v>
      </c>
      <c r="Y77" s="345">
        <f t="shared" si="20"/>
        <v>100</v>
      </c>
    </row>
    <row r="78" spans="1:25" x14ac:dyDescent="0.45">
      <c r="A78" t="s">
        <v>2672</v>
      </c>
      <c r="B78" t="str">
        <f>VLOOKUP(A78,TaskValues_ref!E:F,2,FALSE)</f>
        <v>Promote nutrition for MNC</v>
      </c>
      <c r="C78" s="58">
        <v>100</v>
      </c>
      <c r="D78" s="58"/>
      <c r="E78" s="345">
        <f t="shared" si="14"/>
        <v>100</v>
      </c>
      <c r="F78" s="344"/>
      <c r="G78" s="58"/>
      <c r="H78" s="58">
        <v>100</v>
      </c>
      <c r="I78" s="58"/>
      <c r="J78" s="345">
        <f t="shared" si="18"/>
        <v>100</v>
      </c>
      <c r="K78" s="344"/>
      <c r="L78" s="58"/>
      <c r="M78" s="58">
        <v>50</v>
      </c>
      <c r="N78" s="58">
        <v>50</v>
      </c>
      <c r="O78" s="58"/>
      <c r="P78" s="58"/>
      <c r="Q78" s="58"/>
      <c r="R78" s="345">
        <f t="shared" si="19"/>
        <v>100</v>
      </c>
      <c r="S78" s="344"/>
      <c r="T78" s="58"/>
      <c r="U78" s="58">
        <v>100</v>
      </c>
      <c r="V78" s="58"/>
      <c r="W78" s="58"/>
      <c r="X78" s="58"/>
      <c r="Y78" s="345">
        <f t="shared" si="20"/>
        <v>100</v>
      </c>
    </row>
    <row r="79" spans="1:25" x14ac:dyDescent="0.45">
      <c r="A79" t="s">
        <v>2673</v>
      </c>
      <c r="B79" t="str">
        <f>VLOOKUP(A79,TaskValues_ref!E:F,2,FALSE)</f>
        <v>Education re nutrition</v>
      </c>
      <c r="C79" s="58">
        <v>100</v>
      </c>
      <c r="D79" s="58"/>
      <c r="E79" s="345">
        <f t="shared" si="14"/>
        <v>100</v>
      </c>
      <c r="F79" s="344"/>
      <c r="G79" s="58"/>
      <c r="H79" s="58">
        <v>100</v>
      </c>
      <c r="I79" s="58"/>
      <c r="J79" s="345">
        <f t="shared" si="18"/>
        <v>100</v>
      </c>
      <c r="K79" s="344"/>
      <c r="L79" s="58"/>
      <c r="M79" s="58">
        <v>50</v>
      </c>
      <c r="N79" s="58">
        <v>50</v>
      </c>
      <c r="O79" s="58"/>
      <c r="P79" s="58"/>
      <c r="Q79" s="58"/>
      <c r="R79" s="345">
        <f t="shared" si="19"/>
        <v>100</v>
      </c>
      <c r="S79" s="344"/>
      <c r="T79" s="58"/>
      <c r="U79" s="58">
        <v>100</v>
      </c>
      <c r="V79" s="58"/>
      <c r="W79" s="58"/>
      <c r="X79" s="58"/>
      <c r="Y79" s="345">
        <f t="shared" si="20"/>
        <v>100</v>
      </c>
    </row>
    <row r="80" spans="1:25" x14ac:dyDescent="0.45">
      <c r="A80" t="s">
        <v>2674</v>
      </c>
      <c r="B80" t="str">
        <f>VLOOKUP(A80,TaskValues_ref!E:F,2,FALSE)</f>
        <v>Calcium supplementation</v>
      </c>
      <c r="C80" s="58">
        <v>100</v>
      </c>
      <c r="D80" s="58"/>
      <c r="E80" s="345">
        <f t="shared" si="14"/>
        <v>100</v>
      </c>
      <c r="F80" s="344"/>
      <c r="G80" s="58"/>
      <c r="H80" s="58">
        <v>100</v>
      </c>
      <c r="I80" s="58"/>
      <c r="J80" s="345">
        <f t="shared" ref="J80:J81" si="25">SUM(F80:I80)</f>
        <v>100</v>
      </c>
      <c r="K80" s="344"/>
      <c r="L80" s="58"/>
      <c r="M80" s="58">
        <v>50</v>
      </c>
      <c r="N80" s="58">
        <v>50</v>
      </c>
      <c r="O80" s="58"/>
      <c r="P80" s="58"/>
      <c r="Q80" s="58"/>
      <c r="R80" s="345">
        <f t="shared" ref="R80:R81" si="26">SUM(K80:Q80)</f>
        <v>100</v>
      </c>
      <c r="S80" s="344"/>
      <c r="T80" s="58"/>
      <c r="U80" s="58">
        <v>100</v>
      </c>
      <c r="V80" s="58"/>
      <c r="W80" s="58"/>
      <c r="X80" s="58"/>
      <c r="Y80" s="345">
        <f t="shared" ref="Y80:Y81" si="27">SUM(S80:X80)</f>
        <v>100</v>
      </c>
    </row>
    <row r="81" spans="1:25" x14ac:dyDescent="0.45">
      <c r="A81" t="s">
        <v>2675</v>
      </c>
      <c r="B81" t="str">
        <f>VLOOKUP(A81,TaskValues_ref!E:F,2,FALSE)</f>
        <v>Nutrition for HIV+ women</v>
      </c>
      <c r="C81" s="58">
        <v>100</v>
      </c>
      <c r="D81" s="58"/>
      <c r="E81" s="345">
        <f t="shared" si="14"/>
        <v>100</v>
      </c>
      <c r="F81" s="344"/>
      <c r="G81" s="58"/>
      <c r="H81" s="58">
        <v>100</v>
      </c>
      <c r="I81" s="58"/>
      <c r="J81" s="345">
        <f t="shared" si="25"/>
        <v>100</v>
      </c>
      <c r="K81" s="344"/>
      <c r="L81" s="58"/>
      <c r="M81" s="58">
        <v>50</v>
      </c>
      <c r="N81" s="58">
        <v>50</v>
      </c>
      <c r="O81" s="58"/>
      <c r="P81" s="58"/>
      <c r="Q81" s="58"/>
      <c r="R81" s="345">
        <f t="shared" si="26"/>
        <v>100</v>
      </c>
      <c r="S81" s="344"/>
      <c r="T81" s="58"/>
      <c r="U81" s="58">
        <v>100</v>
      </c>
      <c r="V81" s="58"/>
      <c r="W81" s="58"/>
      <c r="X81" s="58"/>
      <c r="Y81" s="345">
        <f t="shared" si="27"/>
        <v>100</v>
      </c>
    </row>
    <row r="82" spans="1:25" x14ac:dyDescent="0.45">
      <c r="A82" t="s">
        <v>2676</v>
      </c>
      <c r="B82" t="str">
        <f>VLOOKUP(A82,TaskValues_ref!E:F,2,FALSE)</f>
        <v>Promote iodized salt &amp; fortified food</v>
      </c>
      <c r="C82" s="58">
        <v>100</v>
      </c>
      <c r="D82" s="58"/>
      <c r="E82" s="345">
        <f t="shared" si="14"/>
        <v>100</v>
      </c>
      <c r="F82" s="344"/>
      <c r="G82" s="58"/>
      <c r="H82" s="58">
        <v>100</v>
      </c>
      <c r="I82" s="58"/>
      <c r="J82" s="345">
        <f t="shared" si="18"/>
        <v>100</v>
      </c>
      <c r="K82" s="344"/>
      <c r="L82" s="58"/>
      <c r="M82" s="58">
        <v>50</v>
      </c>
      <c r="N82" s="58">
        <v>50</v>
      </c>
      <c r="O82" s="58"/>
      <c r="P82" s="58"/>
      <c r="Q82" s="58"/>
      <c r="R82" s="345">
        <f t="shared" si="19"/>
        <v>100</v>
      </c>
      <c r="S82" s="344"/>
      <c r="T82" s="58"/>
      <c r="U82" s="58">
        <v>100</v>
      </c>
      <c r="V82" s="58"/>
      <c r="W82" s="58"/>
      <c r="X82" s="58"/>
      <c r="Y82" s="345">
        <f t="shared" si="20"/>
        <v>100</v>
      </c>
    </row>
    <row r="83" spans="1:25" x14ac:dyDescent="0.45">
      <c r="A83" t="s">
        <v>2677</v>
      </c>
      <c r="B83" t="str">
        <f>VLOOKUP(A83,TaskValues_ref!E:F,2,FALSE)</f>
        <v>Nutrition outreach</v>
      </c>
      <c r="C83" s="58">
        <v>100</v>
      </c>
      <c r="D83" s="58"/>
      <c r="E83" s="345">
        <f t="shared" si="14"/>
        <v>100</v>
      </c>
      <c r="F83" s="344"/>
      <c r="G83" s="58"/>
      <c r="H83" s="58">
        <v>100</v>
      </c>
      <c r="I83" s="58"/>
      <c r="J83" s="345">
        <f t="shared" si="18"/>
        <v>100</v>
      </c>
      <c r="K83" s="344"/>
      <c r="L83" s="58"/>
      <c r="M83" s="58">
        <v>50</v>
      </c>
      <c r="N83" s="58">
        <v>50</v>
      </c>
      <c r="O83" s="58"/>
      <c r="P83" s="58"/>
      <c r="Q83" s="58"/>
      <c r="R83" s="345">
        <f t="shared" si="19"/>
        <v>100</v>
      </c>
      <c r="S83" s="344"/>
      <c r="T83" s="58"/>
      <c r="U83" s="58">
        <v>100</v>
      </c>
      <c r="V83" s="58"/>
      <c r="W83" s="58"/>
      <c r="X83" s="58"/>
      <c r="Y83" s="345">
        <f t="shared" si="20"/>
        <v>100</v>
      </c>
    </row>
    <row r="84" spans="1:25" x14ac:dyDescent="0.45">
      <c r="A84" t="s">
        <v>2678</v>
      </c>
      <c r="B84" t="str">
        <f>VLOOKUP(A84,TaskValues_ref!E:F,2,FALSE)</f>
        <v>Promote gender equity &amp; empowerment</v>
      </c>
      <c r="C84" s="58">
        <v>100</v>
      </c>
      <c r="D84" s="58"/>
      <c r="E84" s="345">
        <f t="shared" si="14"/>
        <v>100</v>
      </c>
      <c r="F84" s="344"/>
      <c r="G84" s="58"/>
      <c r="H84" s="58">
        <v>100</v>
      </c>
      <c r="I84" s="58"/>
      <c r="J84" s="345">
        <f t="shared" si="18"/>
        <v>100</v>
      </c>
      <c r="K84" s="344"/>
      <c r="L84" s="58"/>
      <c r="M84" s="58">
        <v>50</v>
      </c>
      <c r="N84" s="58">
        <v>50</v>
      </c>
      <c r="O84" s="58"/>
      <c r="P84" s="58"/>
      <c r="Q84" s="58"/>
      <c r="R84" s="345">
        <f t="shared" si="19"/>
        <v>100</v>
      </c>
      <c r="S84" s="344"/>
      <c r="T84" s="58"/>
      <c r="U84" s="58">
        <v>100</v>
      </c>
      <c r="V84" s="58"/>
      <c r="W84" s="58"/>
      <c r="X84" s="58"/>
      <c r="Y84" s="345">
        <f t="shared" si="20"/>
        <v>100</v>
      </c>
    </row>
    <row r="85" spans="1:25" s="58" customFormat="1" x14ac:dyDescent="0.45">
      <c r="A85" s="58" t="s">
        <v>2679</v>
      </c>
      <c r="B85" s="58" t="str">
        <f>VLOOKUP(A85,TaskValues_ref!E:F,2,FALSE)</f>
        <v>Nutritional disaster response</v>
      </c>
      <c r="C85" s="58">
        <v>100</v>
      </c>
      <c r="E85" s="345">
        <f t="shared" si="14"/>
        <v>100</v>
      </c>
      <c r="F85" s="344"/>
      <c r="G85" s="58">
        <v>75</v>
      </c>
      <c r="H85" s="58">
        <v>25</v>
      </c>
      <c r="J85" s="345">
        <f t="shared" si="18"/>
        <v>100</v>
      </c>
      <c r="K85" s="344"/>
      <c r="L85" s="58">
        <v>25</v>
      </c>
      <c r="M85" s="58">
        <v>25</v>
      </c>
      <c r="N85" s="58">
        <v>25</v>
      </c>
      <c r="O85" s="58">
        <v>25</v>
      </c>
      <c r="R85" s="345">
        <f t="shared" si="19"/>
        <v>100</v>
      </c>
      <c r="S85" s="344"/>
      <c r="T85" s="58">
        <v>25</v>
      </c>
      <c r="U85" s="58">
        <v>25</v>
      </c>
      <c r="V85" s="58">
        <v>50</v>
      </c>
      <c r="Y85" s="345">
        <f t="shared" si="20"/>
        <v>100</v>
      </c>
    </row>
    <row r="86" spans="1:25" s="58" customFormat="1" x14ac:dyDescent="0.45">
      <c r="A86" s="58" t="s">
        <v>2680</v>
      </c>
      <c r="B86" s="58" t="str">
        <f>VLOOKUP(A86,TaskValues_ref!E:F,2,FALSE)</f>
        <v>Multisectoral nutrition intervention</v>
      </c>
      <c r="C86" s="58">
        <v>100</v>
      </c>
      <c r="E86" s="345">
        <f t="shared" si="14"/>
        <v>100</v>
      </c>
      <c r="F86" s="344"/>
      <c r="G86" s="58">
        <v>50</v>
      </c>
      <c r="H86" s="58">
        <v>50</v>
      </c>
      <c r="J86" s="345">
        <f t="shared" si="18"/>
        <v>100</v>
      </c>
      <c r="K86" s="344"/>
      <c r="L86" s="58">
        <v>50</v>
      </c>
      <c r="M86" s="58">
        <v>25</v>
      </c>
      <c r="N86" s="58">
        <v>25</v>
      </c>
      <c r="R86" s="345">
        <f t="shared" si="19"/>
        <v>100</v>
      </c>
      <c r="S86" s="344"/>
      <c r="T86" s="58">
        <v>50</v>
      </c>
      <c r="U86" s="58">
        <v>50</v>
      </c>
      <c r="Y86" s="345">
        <f t="shared" si="20"/>
        <v>100</v>
      </c>
    </row>
    <row r="87" spans="1:25" s="58" customFormat="1" x14ac:dyDescent="0.45">
      <c r="A87" s="58" t="s">
        <v>2681</v>
      </c>
      <c r="B87" s="58" t="str">
        <f>VLOOKUP(A87,TaskValues_ref!E:F,2,FALSE)</f>
        <v>Breast feeding technique</v>
      </c>
      <c r="C87" s="58">
        <v>100</v>
      </c>
      <c r="E87" s="345">
        <f t="shared" si="14"/>
        <v>100</v>
      </c>
      <c r="F87" s="344">
        <v>50</v>
      </c>
      <c r="H87" s="58">
        <v>50</v>
      </c>
      <c r="J87" s="345">
        <f t="shared" si="18"/>
        <v>100</v>
      </c>
      <c r="K87" s="344">
        <v>50</v>
      </c>
      <c r="M87" s="58">
        <v>25</v>
      </c>
      <c r="N87" s="58">
        <v>25</v>
      </c>
      <c r="R87" s="345">
        <f t="shared" si="19"/>
        <v>100</v>
      </c>
      <c r="S87" s="344">
        <v>50</v>
      </c>
      <c r="U87" s="58">
        <v>50</v>
      </c>
      <c r="Y87" s="345">
        <f t="shared" si="20"/>
        <v>100</v>
      </c>
    </row>
    <row r="88" spans="1:25" s="58" customFormat="1" x14ac:dyDescent="0.45">
      <c r="A88" s="58" t="s">
        <v>2682</v>
      </c>
      <c r="B88" s="58" t="str">
        <f>VLOOKUP(A88,TaskValues_ref!E:F,2,FALSE)</f>
        <v>Acute malnutrition</v>
      </c>
      <c r="C88" s="58">
        <v>100</v>
      </c>
      <c r="E88" s="345">
        <f t="shared" si="14"/>
        <v>100</v>
      </c>
      <c r="F88" s="344"/>
      <c r="G88" s="58">
        <v>100</v>
      </c>
      <c r="J88" s="345">
        <f t="shared" si="18"/>
        <v>100</v>
      </c>
      <c r="K88" s="344"/>
      <c r="L88" s="58">
        <v>25</v>
      </c>
      <c r="O88" s="58">
        <v>75</v>
      </c>
      <c r="R88" s="345">
        <f t="shared" si="19"/>
        <v>100</v>
      </c>
      <c r="S88" s="344"/>
      <c r="T88" s="58">
        <v>25</v>
      </c>
      <c r="V88" s="58">
        <v>75</v>
      </c>
      <c r="Y88" s="345">
        <f t="shared" si="20"/>
        <v>100</v>
      </c>
    </row>
    <row r="89" spans="1:25" s="58" customFormat="1" x14ac:dyDescent="0.45">
      <c r="A89" s="58" t="s">
        <v>2683</v>
      </c>
      <c r="B89" s="58" t="str">
        <f>VLOOKUP(A89,TaskValues_ref!E:F,2,FALSE)</f>
        <v>Counsel complementary feeding</v>
      </c>
      <c r="C89" s="58">
        <v>100</v>
      </c>
      <c r="E89" s="345">
        <f t="shared" si="14"/>
        <v>100</v>
      </c>
      <c r="F89" s="344">
        <v>50</v>
      </c>
      <c r="H89" s="58">
        <v>50</v>
      </c>
      <c r="J89" s="345">
        <f t="shared" si="18"/>
        <v>100</v>
      </c>
      <c r="K89" s="344">
        <v>50</v>
      </c>
      <c r="M89" s="58">
        <v>25</v>
      </c>
      <c r="N89" s="58">
        <v>25</v>
      </c>
      <c r="R89" s="345">
        <f t="shared" si="19"/>
        <v>100</v>
      </c>
      <c r="S89" s="344">
        <v>50</v>
      </c>
      <c r="U89" s="58">
        <v>50</v>
      </c>
      <c r="Y89" s="345">
        <f t="shared" si="20"/>
        <v>100</v>
      </c>
    </row>
    <row r="90" spans="1:25" s="58" customFormat="1" x14ac:dyDescent="0.45">
      <c r="A90" s="58" t="s">
        <v>2684</v>
      </c>
      <c r="B90" s="58" t="str">
        <f>VLOOKUP(A90,TaskValues_ref!E:F,2,FALSE)</f>
        <v>Timely complementary feeding</v>
      </c>
      <c r="C90" s="58">
        <v>100</v>
      </c>
      <c r="E90" s="345">
        <f t="shared" si="14"/>
        <v>100</v>
      </c>
      <c r="F90" s="344">
        <v>50</v>
      </c>
      <c r="H90" s="58">
        <v>50</v>
      </c>
      <c r="J90" s="345">
        <f t="shared" si="18"/>
        <v>100</v>
      </c>
      <c r="K90" s="344">
        <v>50</v>
      </c>
      <c r="M90" s="58">
        <v>25</v>
      </c>
      <c r="N90" s="58">
        <v>25</v>
      </c>
      <c r="R90" s="345">
        <f t="shared" si="19"/>
        <v>100</v>
      </c>
      <c r="S90" s="344">
        <v>50</v>
      </c>
      <c r="U90" s="58">
        <v>50</v>
      </c>
      <c r="Y90" s="345">
        <f t="shared" si="20"/>
        <v>100</v>
      </c>
    </row>
    <row r="91" spans="1:25" s="58" customFormat="1" x14ac:dyDescent="0.45">
      <c r="A91" s="58" t="s">
        <v>2685</v>
      </c>
      <c r="B91" s="58" t="str">
        <f>VLOOKUP(A91,TaskValues_ref!E:F,2,FALSE)</f>
        <v>Promote BF until 24 months</v>
      </c>
      <c r="C91" s="58">
        <v>100</v>
      </c>
      <c r="E91" s="345">
        <f t="shared" si="14"/>
        <v>100</v>
      </c>
      <c r="F91" s="344">
        <v>50</v>
      </c>
      <c r="H91" s="58">
        <v>50</v>
      </c>
      <c r="J91" s="345">
        <f t="shared" si="18"/>
        <v>100</v>
      </c>
      <c r="K91" s="344">
        <v>50</v>
      </c>
      <c r="M91" s="58">
        <v>25</v>
      </c>
      <c r="N91" s="58">
        <v>25</v>
      </c>
      <c r="R91" s="345">
        <f t="shared" si="19"/>
        <v>100</v>
      </c>
      <c r="S91" s="344">
        <v>50</v>
      </c>
      <c r="U91" s="58">
        <v>50</v>
      </c>
      <c r="Y91" s="345">
        <f t="shared" si="20"/>
        <v>100</v>
      </c>
    </row>
    <row r="92" spans="1:25" s="58" customFormat="1" x14ac:dyDescent="0.45">
      <c r="A92" s="58" t="s">
        <v>2686</v>
      </c>
      <c r="B92" s="58" t="str">
        <f>VLOOKUP(A92,TaskValues_ref!E:F,2,FALSE)</f>
        <v>Promote BF during child illness</v>
      </c>
      <c r="C92" s="58">
        <v>100</v>
      </c>
      <c r="E92" s="345">
        <f t="shared" si="14"/>
        <v>100</v>
      </c>
      <c r="F92" s="344">
        <v>50</v>
      </c>
      <c r="H92" s="58">
        <v>50</v>
      </c>
      <c r="J92" s="345">
        <f t="shared" si="18"/>
        <v>100</v>
      </c>
      <c r="K92" s="344">
        <v>50</v>
      </c>
      <c r="M92" s="58">
        <v>25</v>
      </c>
      <c r="N92" s="58">
        <v>25</v>
      </c>
      <c r="R92" s="345">
        <f t="shared" si="19"/>
        <v>100</v>
      </c>
      <c r="S92" s="344">
        <v>50</v>
      </c>
      <c r="U92" s="58">
        <v>50</v>
      </c>
      <c r="Y92" s="345">
        <f t="shared" si="20"/>
        <v>100</v>
      </c>
    </row>
    <row r="93" spans="1:25" x14ac:dyDescent="0.45">
      <c r="A93" t="s">
        <v>2687</v>
      </c>
      <c r="B93" t="str">
        <f>VLOOKUP(A93,TaskValues_ref!E:F,2,FALSE)</f>
        <v>Educate on complementary foods</v>
      </c>
      <c r="C93" s="58">
        <v>100</v>
      </c>
      <c r="D93" s="58"/>
      <c r="E93" s="345">
        <f t="shared" si="14"/>
        <v>100</v>
      </c>
      <c r="F93" s="344"/>
      <c r="G93" s="58"/>
      <c r="H93" s="58">
        <v>100</v>
      </c>
      <c r="I93" s="58"/>
      <c r="J93" s="345">
        <f t="shared" si="18"/>
        <v>100</v>
      </c>
      <c r="K93" s="344"/>
      <c r="L93" s="58"/>
      <c r="M93" s="58">
        <v>50</v>
      </c>
      <c r="N93" s="58">
        <v>50</v>
      </c>
      <c r="O93" s="58"/>
      <c r="P93" s="58"/>
      <c r="Q93" s="58"/>
      <c r="R93" s="345">
        <f t="shared" si="19"/>
        <v>100</v>
      </c>
      <c r="S93" s="344"/>
      <c r="T93" s="58"/>
      <c r="U93" s="58">
        <v>100</v>
      </c>
      <c r="V93" s="58"/>
      <c r="W93" s="58"/>
      <c r="X93" s="58"/>
      <c r="Y93" s="345">
        <f t="shared" si="20"/>
        <v>100</v>
      </c>
    </row>
    <row r="94" spans="1:25" x14ac:dyDescent="0.45">
      <c r="A94" t="s">
        <v>2688</v>
      </c>
      <c r="B94" t="str">
        <f>VLOOKUP(A94,TaskValues_ref!E:F,2,FALSE)</f>
        <v>Nutrition education for children</v>
      </c>
      <c r="C94" s="58">
        <v>100</v>
      </c>
      <c r="D94" s="58"/>
      <c r="E94" s="345">
        <f t="shared" si="14"/>
        <v>100</v>
      </c>
      <c r="F94" s="344"/>
      <c r="G94" s="58"/>
      <c r="H94" s="58">
        <v>100</v>
      </c>
      <c r="I94" s="58"/>
      <c r="J94" s="345">
        <f t="shared" si="18"/>
        <v>100</v>
      </c>
      <c r="K94" s="344"/>
      <c r="L94" s="58"/>
      <c r="M94" s="58">
        <v>50</v>
      </c>
      <c r="N94" s="58">
        <v>50</v>
      </c>
      <c r="O94" s="58"/>
      <c r="P94" s="58"/>
      <c r="Q94" s="58"/>
      <c r="R94" s="345">
        <f t="shared" si="19"/>
        <v>100</v>
      </c>
      <c r="S94" s="344"/>
      <c r="T94" s="58"/>
      <c r="U94" s="58">
        <v>100</v>
      </c>
      <c r="V94" s="58"/>
      <c r="W94" s="58"/>
      <c r="X94" s="58"/>
      <c r="Y94" s="345">
        <f t="shared" si="20"/>
        <v>100</v>
      </c>
    </row>
    <row r="95" spans="1:25" s="58" customFormat="1" x14ac:dyDescent="0.45">
      <c r="A95" s="58" t="s">
        <v>2544</v>
      </c>
      <c r="B95" s="58" t="str">
        <f>VLOOKUP(A95,TaskValues_ref!E:F,2,FALSE)</f>
        <v>STI management, women</v>
      </c>
      <c r="C95" s="58">
        <v>100</v>
      </c>
      <c r="E95" s="345">
        <f t="shared" si="14"/>
        <v>100</v>
      </c>
      <c r="F95" s="344">
        <v>100</v>
      </c>
      <c r="J95" s="345">
        <f t="shared" si="18"/>
        <v>100</v>
      </c>
      <c r="K95" s="344">
        <v>100</v>
      </c>
      <c r="R95" s="345">
        <f t="shared" si="19"/>
        <v>100</v>
      </c>
      <c r="S95" s="344">
        <v>100</v>
      </c>
      <c r="Y95" s="345">
        <f t="shared" si="20"/>
        <v>100</v>
      </c>
    </row>
    <row r="96" spans="1:25" s="58" customFormat="1" x14ac:dyDescent="0.45">
      <c r="A96" s="58" t="s">
        <v>2545</v>
      </c>
      <c r="B96" s="58" t="str">
        <f>VLOOKUP(A96,TaskValues_ref!E:F,2,FALSE)</f>
        <v>STI management, men</v>
      </c>
      <c r="C96" s="58">
        <v>100</v>
      </c>
      <c r="E96" s="345">
        <f t="shared" si="14"/>
        <v>100</v>
      </c>
      <c r="F96" s="344">
        <v>100</v>
      </c>
      <c r="J96" s="345">
        <f t="shared" si="18"/>
        <v>100</v>
      </c>
      <c r="K96" s="344">
        <v>100</v>
      </c>
      <c r="R96" s="345">
        <f t="shared" si="19"/>
        <v>100</v>
      </c>
      <c r="S96" s="344">
        <v>100</v>
      </c>
      <c r="Y96" s="345">
        <f t="shared" si="20"/>
        <v>100</v>
      </c>
    </row>
    <row r="97" spans="1:25" s="58" customFormat="1" x14ac:dyDescent="0.45">
      <c r="A97" s="58" t="s">
        <v>2689</v>
      </c>
      <c r="B97" s="58" t="str">
        <f>VLOOKUP(A97,TaskValues_ref!E:F,2,FALSE)</f>
        <v>STI prevention for sex workers</v>
      </c>
      <c r="C97" s="58">
        <v>100</v>
      </c>
      <c r="E97" s="345">
        <f t="shared" ref="E97:E138" si="28">SUM(C97:D97)</f>
        <v>100</v>
      </c>
      <c r="F97" s="344">
        <v>100</v>
      </c>
      <c r="J97" s="345">
        <f t="shared" si="18"/>
        <v>100</v>
      </c>
      <c r="K97" s="344">
        <v>100</v>
      </c>
      <c r="R97" s="345">
        <f t="shared" si="19"/>
        <v>100</v>
      </c>
      <c r="S97" s="344">
        <v>100</v>
      </c>
      <c r="Y97" s="345">
        <f t="shared" si="20"/>
        <v>100</v>
      </c>
    </row>
    <row r="98" spans="1:25" s="58" customFormat="1" x14ac:dyDescent="0.45">
      <c r="A98" s="58" t="s">
        <v>2690</v>
      </c>
      <c r="B98" s="58" t="str">
        <f>VLOOKUP(A98,TaskValues_ref!E:F,2,FALSE)</f>
        <v>Risk reduction</v>
      </c>
      <c r="C98" s="58">
        <v>100</v>
      </c>
      <c r="E98" s="345">
        <f t="shared" si="28"/>
        <v>100</v>
      </c>
      <c r="F98" s="344">
        <v>100</v>
      </c>
      <c r="J98" s="345">
        <f t="shared" si="18"/>
        <v>100</v>
      </c>
      <c r="K98" s="344">
        <v>100</v>
      </c>
      <c r="R98" s="345">
        <f t="shared" si="19"/>
        <v>100</v>
      </c>
      <c r="S98" s="344">
        <v>100</v>
      </c>
      <c r="Y98" s="345">
        <f t="shared" si="20"/>
        <v>100</v>
      </c>
    </row>
    <row r="99" spans="1:25" s="58" customFormat="1" x14ac:dyDescent="0.45">
      <c r="A99" s="58" t="s">
        <v>2691</v>
      </c>
      <c r="B99" s="58" t="str">
        <f>VLOOKUP(A99,TaskValues_ref!E:F,2,FALSE)</f>
        <v>HIV self-testing</v>
      </c>
      <c r="C99" s="58">
        <v>100</v>
      </c>
      <c r="E99" s="345">
        <f t="shared" si="28"/>
        <v>100</v>
      </c>
      <c r="F99" s="344">
        <v>50</v>
      </c>
      <c r="H99" s="58">
        <v>50</v>
      </c>
      <c r="J99" s="345">
        <f t="shared" si="18"/>
        <v>100</v>
      </c>
      <c r="K99" s="344">
        <v>50</v>
      </c>
      <c r="N99" s="58">
        <v>25</v>
      </c>
      <c r="O99" s="58">
        <v>25</v>
      </c>
      <c r="R99" s="345">
        <f t="shared" si="19"/>
        <v>100</v>
      </c>
      <c r="S99" s="344">
        <v>50</v>
      </c>
      <c r="V99" s="58">
        <v>50</v>
      </c>
      <c r="Y99" s="345">
        <f t="shared" si="20"/>
        <v>100</v>
      </c>
    </row>
    <row r="100" spans="1:25" s="58" customFormat="1" x14ac:dyDescent="0.45">
      <c r="A100" s="58" t="s">
        <v>2692</v>
      </c>
      <c r="B100" s="58" t="str">
        <f>VLOOKUP(A100,TaskValues_ref!E:F,2,FALSE)</f>
        <v>HIV voluntary counseling &amp; testing</v>
      </c>
      <c r="C100" s="58">
        <v>100</v>
      </c>
      <c r="E100" s="345">
        <f t="shared" si="28"/>
        <v>100</v>
      </c>
      <c r="F100" s="344">
        <v>50</v>
      </c>
      <c r="H100" s="58">
        <v>50</v>
      </c>
      <c r="J100" s="345">
        <f t="shared" si="18"/>
        <v>100</v>
      </c>
      <c r="K100" s="344">
        <v>50</v>
      </c>
      <c r="N100" s="58">
        <v>25</v>
      </c>
      <c r="O100" s="58">
        <v>25</v>
      </c>
      <c r="R100" s="345">
        <f t="shared" si="19"/>
        <v>100</v>
      </c>
      <c r="S100" s="344">
        <v>50</v>
      </c>
      <c r="V100" s="58">
        <v>50</v>
      </c>
      <c r="Y100" s="345">
        <f t="shared" si="20"/>
        <v>100</v>
      </c>
    </row>
    <row r="101" spans="1:25" s="58" customFormat="1" x14ac:dyDescent="0.45">
      <c r="A101" s="58" t="s">
        <v>2693</v>
      </c>
      <c r="B101" s="58" t="str">
        <f>VLOOKUP(A101,TaskValues_ref!E:F,2,FALSE)</f>
        <v>HIV provider-initiated counseling &amp; testing</v>
      </c>
      <c r="C101" s="58">
        <v>100</v>
      </c>
      <c r="E101" s="345">
        <f t="shared" si="28"/>
        <v>100</v>
      </c>
      <c r="F101" s="344">
        <v>50</v>
      </c>
      <c r="G101" s="58">
        <v>50</v>
      </c>
      <c r="J101" s="345">
        <f t="shared" si="18"/>
        <v>100</v>
      </c>
      <c r="K101" s="344">
        <v>50</v>
      </c>
      <c r="N101" s="58">
        <v>25</v>
      </c>
      <c r="O101" s="58">
        <v>25</v>
      </c>
      <c r="R101" s="345">
        <f t="shared" si="19"/>
        <v>100</v>
      </c>
      <c r="S101" s="344">
        <v>50</v>
      </c>
      <c r="V101" s="58">
        <v>50</v>
      </c>
      <c r="Y101" s="345">
        <f t="shared" si="20"/>
        <v>100</v>
      </c>
    </row>
    <row r="102" spans="1:25" s="58" customFormat="1" x14ac:dyDescent="0.45">
      <c r="A102" s="58" t="s">
        <v>2694</v>
      </c>
      <c r="B102" s="58" t="str">
        <f>VLOOKUP(A102,TaskValues_ref!E:F,2,FALSE)</f>
        <v>HIV linkages</v>
      </c>
      <c r="C102" s="58">
        <v>100</v>
      </c>
      <c r="E102" s="345">
        <f t="shared" si="28"/>
        <v>100</v>
      </c>
      <c r="F102" s="344">
        <v>50</v>
      </c>
      <c r="G102" s="58">
        <v>50</v>
      </c>
      <c r="J102" s="345">
        <f t="shared" si="18"/>
        <v>100</v>
      </c>
      <c r="K102" s="344">
        <v>50</v>
      </c>
      <c r="N102" s="58">
        <v>25</v>
      </c>
      <c r="O102" s="58">
        <v>25</v>
      </c>
      <c r="R102" s="345">
        <f t="shared" si="19"/>
        <v>100</v>
      </c>
      <c r="S102" s="344">
        <v>50</v>
      </c>
      <c r="V102" s="58">
        <v>50</v>
      </c>
      <c r="Y102" s="345">
        <f t="shared" si="20"/>
        <v>100</v>
      </c>
    </row>
    <row r="103" spans="1:25" s="58" customFormat="1" x14ac:dyDescent="0.45">
      <c r="A103" s="58" t="s">
        <v>2695</v>
      </c>
      <c r="B103" s="58" t="str">
        <f>VLOOKUP(A103,TaskValues_ref!E:F,2,FALSE)</f>
        <v>Post-exposure prophylaxis</v>
      </c>
      <c r="C103" s="58">
        <v>100</v>
      </c>
      <c r="E103" s="345">
        <f t="shared" si="28"/>
        <v>100</v>
      </c>
      <c r="F103" s="344">
        <v>50</v>
      </c>
      <c r="G103" s="58">
        <v>50</v>
      </c>
      <c r="J103" s="345">
        <f t="shared" si="18"/>
        <v>100</v>
      </c>
      <c r="K103" s="344">
        <v>50</v>
      </c>
      <c r="N103" s="58">
        <v>25</v>
      </c>
      <c r="O103" s="58">
        <v>25</v>
      </c>
      <c r="R103" s="345">
        <f t="shared" si="19"/>
        <v>100</v>
      </c>
      <c r="S103" s="344">
        <v>50</v>
      </c>
      <c r="V103" s="58">
        <v>50</v>
      </c>
      <c r="Y103" s="345">
        <f t="shared" si="20"/>
        <v>100</v>
      </c>
    </row>
    <row r="104" spans="1:25" s="58" customFormat="1" x14ac:dyDescent="0.45">
      <c r="A104" s="58" t="s">
        <v>2696</v>
      </c>
      <c r="B104" s="58" t="str">
        <f>VLOOKUP(A104,TaskValues_ref!E:F,2,FALSE)</f>
        <v>ART refilling/adherence</v>
      </c>
      <c r="C104" s="58">
        <v>100</v>
      </c>
      <c r="E104" s="345">
        <f t="shared" si="28"/>
        <v>100</v>
      </c>
      <c r="F104" s="344">
        <v>50</v>
      </c>
      <c r="G104" s="58">
        <v>50</v>
      </c>
      <c r="J104" s="345">
        <f t="shared" si="18"/>
        <v>100</v>
      </c>
      <c r="K104" s="344">
        <v>50</v>
      </c>
      <c r="N104" s="58">
        <v>25</v>
      </c>
      <c r="O104" s="58">
        <v>25</v>
      </c>
      <c r="R104" s="345">
        <f t="shared" si="19"/>
        <v>100</v>
      </c>
      <c r="S104" s="344">
        <v>50</v>
      </c>
      <c r="V104" s="58">
        <v>50</v>
      </c>
      <c r="Y104" s="345">
        <f t="shared" si="20"/>
        <v>100</v>
      </c>
    </row>
    <row r="105" spans="1:25" s="58" customFormat="1" x14ac:dyDescent="0.45">
      <c r="A105" s="58" t="s">
        <v>2697</v>
      </c>
      <c r="B105" s="58" t="str">
        <f>VLOOKUP(A105,TaskValues_ref!E:F,2,FALSE)</f>
        <v>Vector control</v>
      </c>
      <c r="C105" s="58">
        <v>100</v>
      </c>
      <c r="E105" s="345">
        <f t="shared" si="28"/>
        <v>100</v>
      </c>
      <c r="F105" s="344"/>
      <c r="H105" s="58">
        <v>100</v>
      </c>
      <c r="J105" s="345">
        <f t="shared" si="18"/>
        <v>100</v>
      </c>
      <c r="K105" s="344"/>
      <c r="P105" s="58">
        <v>100</v>
      </c>
      <c r="R105" s="345">
        <f t="shared" si="19"/>
        <v>100</v>
      </c>
      <c r="S105" s="344"/>
      <c r="W105" s="58">
        <f t="shared" ref="W105:W156" si="29">M105+P105</f>
        <v>100</v>
      </c>
      <c r="Y105" s="345">
        <f t="shared" si="20"/>
        <v>100</v>
      </c>
    </row>
    <row r="106" spans="1:25" s="58" customFormat="1" x14ac:dyDescent="0.45">
      <c r="A106" s="58" t="s">
        <v>2354</v>
      </c>
      <c r="B106" s="58" t="str">
        <f>VLOOKUP(A106,TaskValues_ref!E:F,2,FALSE)</f>
        <v>Uncomplicated malaria in adults</v>
      </c>
      <c r="C106" s="58">
        <v>100</v>
      </c>
      <c r="E106" s="345">
        <f t="shared" si="28"/>
        <v>100</v>
      </c>
      <c r="F106" s="344"/>
      <c r="H106" s="58">
        <v>100</v>
      </c>
      <c r="J106" s="345">
        <f t="shared" si="18"/>
        <v>100</v>
      </c>
      <c r="K106" s="344"/>
      <c r="M106" s="58">
        <v>50</v>
      </c>
      <c r="N106" s="58">
        <v>50</v>
      </c>
      <c r="R106" s="345">
        <f t="shared" si="19"/>
        <v>100</v>
      </c>
      <c r="S106" s="344"/>
      <c r="U106" s="58">
        <v>100</v>
      </c>
      <c r="Y106" s="345">
        <f t="shared" si="20"/>
        <v>100</v>
      </c>
    </row>
    <row r="107" spans="1:25" s="58" customFormat="1" x14ac:dyDescent="0.45">
      <c r="A107" s="58" t="s">
        <v>2355</v>
      </c>
      <c r="B107" s="58" t="str">
        <f>VLOOKUP(A107,TaskValues_ref!E:F,2,FALSE)</f>
        <v>Uncomplicated malaria in children</v>
      </c>
      <c r="C107" s="58">
        <v>100</v>
      </c>
      <c r="E107" s="345">
        <f t="shared" si="28"/>
        <v>100</v>
      </c>
      <c r="F107" s="344"/>
      <c r="H107" s="58">
        <v>100</v>
      </c>
      <c r="J107" s="345">
        <f t="shared" si="18"/>
        <v>100</v>
      </c>
      <c r="K107" s="344"/>
      <c r="M107" s="58">
        <v>50</v>
      </c>
      <c r="N107" s="58">
        <v>50</v>
      </c>
      <c r="R107" s="345">
        <f t="shared" si="19"/>
        <v>100</v>
      </c>
      <c r="S107" s="344"/>
      <c r="U107" s="58">
        <v>100</v>
      </c>
      <c r="Y107" s="345">
        <f t="shared" si="20"/>
        <v>100</v>
      </c>
    </row>
    <row r="108" spans="1:25" x14ac:dyDescent="0.45">
      <c r="A108" t="s">
        <v>2358</v>
      </c>
      <c r="B108" t="str">
        <f>VLOOKUP(A108,TaskValues_ref!E:F,2,FALSE)</f>
        <v>Testing non-malaria cases</v>
      </c>
      <c r="C108" s="58">
        <v>100</v>
      </c>
      <c r="D108" s="58"/>
      <c r="E108" s="345">
        <f t="shared" si="28"/>
        <v>100</v>
      </c>
      <c r="F108" s="344"/>
      <c r="G108" s="58"/>
      <c r="H108" s="58">
        <v>100</v>
      </c>
      <c r="I108" s="58"/>
      <c r="J108" s="345">
        <f t="shared" ref="J108" si="30">SUM(F108:I108)</f>
        <v>100</v>
      </c>
      <c r="K108" s="344"/>
      <c r="L108" s="58"/>
      <c r="M108" s="58">
        <v>50</v>
      </c>
      <c r="N108" s="58">
        <v>50</v>
      </c>
      <c r="O108" s="58"/>
      <c r="P108" s="58"/>
      <c r="Q108" s="58"/>
      <c r="R108" s="345">
        <f t="shared" ref="R108" si="31">SUM(K108:Q108)</f>
        <v>100</v>
      </c>
      <c r="S108" s="344"/>
      <c r="T108" s="58"/>
      <c r="U108" s="58">
        <v>100</v>
      </c>
      <c r="V108" s="58"/>
      <c r="W108" s="58"/>
      <c r="X108" s="58"/>
      <c r="Y108" s="345">
        <f t="shared" ref="Y108" si="32">SUM(S108:X108)</f>
        <v>100</v>
      </c>
    </row>
    <row r="109" spans="1:25" s="58" customFormat="1" x14ac:dyDescent="0.45">
      <c r="A109" s="58" t="s">
        <v>2356</v>
      </c>
      <c r="B109" s="58" t="str">
        <f>VLOOKUP(A109,TaskValues_ref!E:F,2,FALSE)</f>
        <v>Severe malaria in adults</v>
      </c>
      <c r="C109" s="58">
        <v>100</v>
      </c>
      <c r="E109" s="345">
        <f t="shared" si="28"/>
        <v>100</v>
      </c>
      <c r="F109" s="344"/>
      <c r="G109" s="58">
        <v>100</v>
      </c>
      <c r="J109" s="345">
        <f t="shared" si="18"/>
        <v>100</v>
      </c>
      <c r="K109" s="344"/>
      <c r="L109" s="58">
        <v>50</v>
      </c>
      <c r="O109" s="58">
        <v>50</v>
      </c>
      <c r="R109" s="345">
        <f t="shared" si="19"/>
        <v>100</v>
      </c>
      <c r="S109" s="344"/>
      <c r="T109" s="58">
        <v>50</v>
      </c>
      <c r="V109" s="58">
        <v>50</v>
      </c>
      <c r="Y109" s="345">
        <f t="shared" si="20"/>
        <v>100</v>
      </c>
    </row>
    <row r="110" spans="1:25" s="58" customFormat="1" x14ac:dyDescent="0.45">
      <c r="A110" s="58" t="s">
        <v>2357</v>
      </c>
      <c r="B110" s="58" t="str">
        <f>VLOOKUP(A110,TaskValues_ref!E:F,2,FALSE)</f>
        <v>Severe malaria in children</v>
      </c>
      <c r="C110" s="58">
        <v>100</v>
      </c>
      <c r="E110" s="345">
        <f t="shared" si="28"/>
        <v>100</v>
      </c>
      <c r="F110" s="344"/>
      <c r="G110" s="58">
        <v>100</v>
      </c>
      <c r="J110" s="345">
        <f t="shared" si="18"/>
        <v>100</v>
      </c>
      <c r="K110" s="344"/>
      <c r="L110" s="58">
        <v>50</v>
      </c>
      <c r="O110" s="58">
        <v>50</v>
      </c>
      <c r="R110" s="345">
        <f t="shared" si="19"/>
        <v>100</v>
      </c>
      <c r="S110" s="344"/>
      <c r="T110" s="58">
        <v>50</v>
      </c>
      <c r="V110" s="58">
        <v>50</v>
      </c>
      <c r="Y110" s="345">
        <f t="shared" si="20"/>
        <v>100</v>
      </c>
    </row>
    <row r="111" spans="1:25" s="58" customFormat="1" x14ac:dyDescent="0.45">
      <c r="A111" s="58" t="s">
        <v>2698</v>
      </c>
      <c r="B111" s="58" t="str">
        <f>VLOOKUP(A111,TaskValues_ref!E:F,2,FALSE)</f>
        <v>Malaria surveillance</v>
      </c>
      <c r="C111" s="58">
        <v>100</v>
      </c>
      <c r="E111" s="345">
        <f t="shared" si="28"/>
        <v>100</v>
      </c>
      <c r="F111" s="344"/>
      <c r="H111" s="58">
        <v>100</v>
      </c>
      <c r="J111" s="345">
        <f t="shared" si="18"/>
        <v>100</v>
      </c>
      <c r="K111" s="344"/>
      <c r="M111" s="58">
        <v>50</v>
      </c>
      <c r="N111" s="58">
        <v>50</v>
      </c>
      <c r="R111" s="345">
        <f t="shared" si="19"/>
        <v>100</v>
      </c>
      <c r="S111" s="344"/>
      <c r="U111" s="58">
        <v>100</v>
      </c>
      <c r="Y111" s="345">
        <f t="shared" si="20"/>
        <v>100</v>
      </c>
    </row>
    <row r="112" spans="1:25" x14ac:dyDescent="0.45">
      <c r="A112" t="s">
        <v>2699</v>
      </c>
      <c r="B112" t="str">
        <f>VLOOKUP(A112,TaskValues_ref!E:F,2,FALSE)</f>
        <v>Risk reduction</v>
      </c>
      <c r="C112" s="58">
        <v>100</v>
      </c>
      <c r="D112" s="58"/>
      <c r="E112" s="345">
        <f t="shared" si="28"/>
        <v>100</v>
      </c>
      <c r="F112" s="344"/>
      <c r="G112" s="58"/>
      <c r="H112" s="58">
        <v>100</v>
      </c>
      <c r="I112" s="58"/>
      <c r="J112" s="345">
        <f t="shared" ref="J112" si="33">SUM(F112:I112)</f>
        <v>100</v>
      </c>
      <c r="K112" s="344"/>
      <c r="L112" s="58"/>
      <c r="M112" s="58"/>
      <c r="N112" s="58"/>
      <c r="O112" s="58"/>
      <c r="P112" s="58">
        <v>100</v>
      </c>
      <c r="Q112" s="58"/>
      <c r="R112" s="345">
        <f t="shared" ref="R112" si="34">SUM(K112:Q112)</f>
        <v>100</v>
      </c>
      <c r="S112" s="344"/>
      <c r="T112" s="58"/>
      <c r="U112" s="58"/>
      <c r="V112" s="58"/>
      <c r="W112" s="58">
        <v>100</v>
      </c>
      <c r="X112" s="58"/>
      <c r="Y112" s="345">
        <f t="shared" ref="Y112" si="35">SUM(S112:X112)</f>
        <v>100</v>
      </c>
    </row>
    <row r="113" spans="1:25" x14ac:dyDescent="0.45">
      <c r="A113" t="s">
        <v>2700</v>
      </c>
      <c r="B113" t="str">
        <f>VLOOKUP(A113,TaskValues_ref!E:F,2,FALSE)</f>
        <v>Outbreak detection &amp; response</v>
      </c>
      <c r="C113" s="58">
        <v>100</v>
      </c>
      <c r="D113" s="58"/>
      <c r="E113" s="345">
        <f t="shared" si="28"/>
        <v>100</v>
      </c>
      <c r="F113" s="344"/>
      <c r="G113" s="58"/>
      <c r="H113" s="58">
        <v>100</v>
      </c>
      <c r="I113" s="58"/>
      <c r="J113" s="345">
        <f t="shared" ref="J113" si="36">SUM(F113:I113)</f>
        <v>100</v>
      </c>
      <c r="K113" s="344"/>
      <c r="L113" s="58"/>
      <c r="M113" s="58"/>
      <c r="N113" s="58"/>
      <c r="O113" s="58"/>
      <c r="P113" s="58">
        <v>100</v>
      </c>
      <c r="Q113" s="58"/>
      <c r="R113" s="345">
        <f t="shared" ref="R113" si="37">SUM(K113:Q113)</f>
        <v>100</v>
      </c>
      <c r="S113" s="344"/>
      <c r="T113" s="58"/>
      <c r="U113" s="58"/>
      <c r="V113" s="58"/>
      <c r="W113" s="58">
        <v>100</v>
      </c>
      <c r="X113" s="58"/>
      <c r="Y113" s="345">
        <f t="shared" ref="Y113" si="38">SUM(S113:X113)</f>
        <v>100</v>
      </c>
    </row>
    <row r="114" spans="1:25" s="58" customFormat="1" x14ac:dyDescent="0.45">
      <c r="A114" s="58" t="s">
        <v>2373</v>
      </c>
      <c r="B114" s="58" t="str">
        <f>VLOOKUP(A114,TaskValues_ref!E:F,2,FALSE)</f>
        <v>Testing</v>
      </c>
      <c r="C114" s="58">
        <v>100</v>
      </c>
      <c r="E114" s="345">
        <f t="shared" si="28"/>
        <v>100</v>
      </c>
      <c r="F114" s="344"/>
      <c r="G114" s="58">
        <v>50</v>
      </c>
      <c r="H114" s="58">
        <v>50</v>
      </c>
      <c r="J114" s="345">
        <f t="shared" si="18"/>
        <v>100</v>
      </c>
      <c r="K114" s="344"/>
      <c r="N114" s="58">
        <v>100</v>
      </c>
      <c r="R114" s="345">
        <f t="shared" si="19"/>
        <v>100</v>
      </c>
      <c r="S114" s="344"/>
      <c r="U114" s="58">
        <v>100</v>
      </c>
      <c r="W114" s="58">
        <f t="shared" si="29"/>
        <v>0</v>
      </c>
      <c r="Y114" s="345">
        <f t="shared" si="20"/>
        <v>100</v>
      </c>
    </row>
    <row r="115" spans="1:25" s="58" customFormat="1" x14ac:dyDescent="0.45">
      <c r="A115" s="58" t="s">
        <v>2374</v>
      </c>
      <c r="B115" s="58" t="str">
        <f>VLOOKUP(A115,TaskValues_ref!E:F,2,FALSE)</f>
        <v>Follow-up and linkage for positives</v>
      </c>
      <c r="C115" s="58">
        <v>100</v>
      </c>
      <c r="E115" s="345">
        <f t="shared" si="28"/>
        <v>100</v>
      </c>
      <c r="F115" s="344"/>
      <c r="H115" s="58">
        <v>100</v>
      </c>
      <c r="J115" s="345">
        <f t="shared" si="18"/>
        <v>100</v>
      </c>
      <c r="K115" s="344"/>
      <c r="M115" s="58">
        <v>50</v>
      </c>
      <c r="N115" s="58">
        <v>50</v>
      </c>
      <c r="R115" s="345">
        <f t="shared" si="19"/>
        <v>100</v>
      </c>
      <c r="S115" s="344"/>
      <c r="U115" s="58">
        <v>100</v>
      </c>
      <c r="Y115" s="345">
        <f t="shared" si="20"/>
        <v>100</v>
      </c>
    </row>
    <row r="116" spans="1:25" x14ac:dyDescent="0.45">
      <c r="A116" t="s">
        <v>2701</v>
      </c>
      <c r="B116" t="str">
        <f>VLOOKUP(A116,TaskValues_ref!E:F,2,FALSE)</f>
        <v>Treatment (DOT)</v>
      </c>
      <c r="C116" s="58">
        <v>100</v>
      </c>
      <c r="D116" s="58"/>
      <c r="E116" s="345">
        <f t="shared" si="28"/>
        <v>100</v>
      </c>
      <c r="F116" s="344"/>
      <c r="G116" s="58"/>
      <c r="H116" s="58">
        <v>100</v>
      </c>
      <c r="I116" s="58"/>
      <c r="J116" s="345">
        <f t="shared" ref="J116:J117" si="39">SUM(F116:I116)</f>
        <v>100</v>
      </c>
      <c r="K116" s="344"/>
      <c r="L116" s="58"/>
      <c r="M116" s="58">
        <v>50</v>
      </c>
      <c r="N116" s="58">
        <v>50</v>
      </c>
      <c r="O116" s="58"/>
      <c r="P116" s="58"/>
      <c r="Q116" s="58"/>
      <c r="R116" s="345">
        <f t="shared" ref="R116:R117" si="40">SUM(K116:Q116)</f>
        <v>100</v>
      </c>
      <c r="S116" s="344"/>
      <c r="T116" s="58"/>
      <c r="U116" s="58">
        <v>100</v>
      </c>
      <c r="V116" s="58"/>
      <c r="W116" s="58"/>
      <c r="X116" s="58"/>
      <c r="Y116" s="345">
        <f t="shared" ref="Y116:Y117" si="41">SUM(S116:X116)</f>
        <v>100</v>
      </c>
    </row>
    <row r="117" spans="1:25" x14ac:dyDescent="0.45">
      <c r="A117" t="s">
        <v>2702</v>
      </c>
      <c r="B117" t="str">
        <f>VLOOKUP(A117,TaskValues_ref!E:F,2,FALSE)</f>
        <v>HIV prevention for TB patients</v>
      </c>
      <c r="C117" s="58">
        <v>100</v>
      </c>
      <c r="D117" s="58"/>
      <c r="E117" s="345">
        <f t="shared" si="28"/>
        <v>100</v>
      </c>
      <c r="F117" s="344"/>
      <c r="G117" s="58"/>
      <c r="H117" s="58">
        <v>100</v>
      </c>
      <c r="I117" s="58"/>
      <c r="J117" s="345">
        <f t="shared" si="39"/>
        <v>100</v>
      </c>
      <c r="K117" s="344"/>
      <c r="L117" s="58"/>
      <c r="M117" s="58">
        <v>50</v>
      </c>
      <c r="N117" s="58">
        <v>50</v>
      </c>
      <c r="O117" s="58"/>
      <c r="P117" s="58"/>
      <c r="Q117" s="58"/>
      <c r="R117" s="345">
        <f t="shared" si="40"/>
        <v>100</v>
      </c>
      <c r="S117" s="344"/>
      <c r="T117" s="58"/>
      <c r="U117" s="58">
        <v>100</v>
      </c>
      <c r="V117" s="58"/>
      <c r="W117" s="58"/>
      <c r="X117" s="58"/>
      <c r="Y117" s="345">
        <f t="shared" si="41"/>
        <v>100</v>
      </c>
    </row>
    <row r="118" spans="1:25" x14ac:dyDescent="0.45">
      <c r="A118" t="s">
        <v>2383</v>
      </c>
      <c r="B118" t="str">
        <f>VLOOKUP(A118,TaskValues_ref!E:F,2,FALSE)</f>
        <v>Promote protection from tobacco smoke</v>
      </c>
      <c r="C118" s="58">
        <v>100</v>
      </c>
      <c r="D118" s="58"/>
      <c r="E118" s="345">
        <f t="shared" si="28"/>
        <v>100</v>
      </c>
      <c r="F118" s="344"/>
      <c r="G118" s="58"/>
      <c r="H118" s="58">
        <v>100</v>
      </c>
      <c r="I118" s="58"/>
      <c r="J118" s="345">
        <f t="shared" si="18"/>
        <v>100</v>
      </c>
      <c r="K118" s="344"/>
      <c r="L118" s="58"/>
      <c r="M118" s="58">
        <v>50</v>
      </c>
      <c r="N118" s="58">
        <v>50</v>
      </c>
      <c r="O118" s="58"/>
      <c r="P118" s="58"/>
      <c r="Q118" s="58"/>
      <c r="R118" s="345">
        <f t="shared" si="19"/>
        <v>100</v>
      </c>
      <c r="S118" s="344"/>
      <c r="T118" s="58"/>
      <c r="U118" s="58">
        <v>100</v>
      </c>
      <c r="V118" s="58"/>
      <c r="W118" s="58"/>
      <c r="X118" s="58"/>
      <c r="Y118" s="345">
        <f t="shared" si="20"/>
        <v>100</v>
      </c>
    </row>
    <row r="119" spans="1:25" x14ac:dyDescent="0.45">
      <c r="A119" t="s">
        <v>2384</v>
      </c>
      <c r="B119" t="str">
        <f>VLOOKUP(A119,TaskValues_ref!E:F,2,FALSE)</f>
        <v>Campaigns re: alcohol use</v>
      </c>
      <c r="C119" s="58">
        <v>100</v>
      </c>
      <c r="D119" s="58"/>
      <c r="E119" s="345">
        <f t="shared" si="28"/>
        <v>100</v>
      </c>
      <c r="F119" s="344"/>
      <c r="G119" s="58"/>
      <c r="H119" s="58">
        <v>100</v>
      </c>
      <c r="I119" s="58"/>
      <c r="J119" s="345">
        <f t="shared" ref="J119:J121" si="42">SUM(F119:I119)</f>
        <v>100</v>
      </c>
      <c r="K119" s="344"/>
      <c r="L119" s="58"/>
      <c r="M119" s="58">
        <v>50</v>
      </c>
      <c r="N119" s="58">
        <v>50</v>
      </c>
      <c r="O119" s="58"/>
      <c r="P119" s="58"/>
      <c r="Q119" s="58"/>
      <c r="R119" s="345">
        <f t="shared" ref="R119:R121" si="43">SUM(K119:Q119)</f>
        <v>100</v>
      </c>
      <c r="S119" s="344"/>
      <c r="T119" s="58"/>
      <c r="U119" s="58">
        <v>100</v>
      </c>
      <c r="V119" s="58"/>
      <c r="W119" s="58"/>
      <c r="X119" s="58"/>
      <c r="Y119" s="345">
        <f t="shared" ref="Y119:Y121" si="44">SUM(S119:X119)</f>
        <v>100</v>
      </c>
    </row>
    <row r="120" spans="1:25" x14ac:dyDescent="0.45">
      <c r="A120" t="s">
        <v>2385</v>
      </c>
      <c r="B120" t="str">
        <f>VLOOKUP(A120,TaskValues_ref!E:F,2,FALSE)</f>
        <v>Community-level physical activity</v>
      </c>
      <c r="C120" s="58">
        <v>100</v>
      </c>
      <c r="D120" s="58"/>
      <c r="E120" s="345">
        <f t="shared" si="28"/>
        <v>100</v>
      </c>
      <c r="F120" s="344"/>
      <c r="G120" s="58"/>
      <c r="H120" s="58">
        <v>100</v>
      </c>
      <c r="I120" s="58"/>
      <c r="J120" s="345">
        <f t="shared" si="42"/>
        <v>100</v>
      </c>
      <c r="K120" s="344"/>
      <c r="L120" s="58"/>
      <c r="M120" s="58">
        <v>50</v>
      </c>
      <c r="N120" s="58">
        <v>50</v>
      </c>
      <c r="O120" s="58"/>
      <c r="P120" s="58"/>
      <c r="Q120" s="58"/>
      <c r="R120" s="345">
        <f t="shared" si="43"/>
        <v>100</v>
      </c>
      <c r="S120" s="344"/>
      <c r="T120" s="58"/>
      <c r="U120" s="58">
        <v>100</v>
      </c>
      <c r="V120" s="58"/>
      <c r="W120" s="58"/>
      <c r="X120" s="58"/>
      <c r="Y120" s="345">
        <f t="shared" si="44"/>
        <v>100</v>
      </c>
    </row>
    <row r="121" spans="1:25" x14ac:dyDescent="0.45">
      <c r="A121" t="s">
        <v>2703</v>
      </c>
      <c r="B121" t="str">
        <f>VLOOKUP(A121,TaskValues_ref!E:F,2,FALSE)</f>
        <v>Awareness on risk factors</v>
      </c>
      <c r="C121" s="58">
        <v>100</v>
      </c>
      <c r="D121" s="58"/>
      <c r="E121" s="345">
        <f t="shared" si="28"/>
        <v>100</v>
      </c>
      <c r="F121" s="344"/>
      <c r="G121" s="58"/>
      <c r="H121" s="58">
        <v>100</v>
      </c>
      <c r="I121" s="58"/>
      <c r="J121" s="345">
        <f t="shared" si="42"/>
        <v>100</v>
      </c>
      <c r="K121" s="344"/>
      <c r="L121" s="58"/>
      <c r="M121" s="58">
        <v>50</v>
      </c>
      <c r="N121" s="58">
        <v>50</v>
      </c>
      <c r="O121" s="58"/>
      <c r="P121" s="58"/>
      <c r="Q121" s="58"/>
      <c r="R121" s="345">
        <f t="shared" si="43"/>
        <v>100</v>
      </c>
      <c r="S121" s="344"/>
      <c r="T121" s="58"/>
      <c r="U121" s="58">
        <v>100</v>
      </c>
      <c r="V121" s="58"/>
      <c r="W121" s="58"/>
      <c r="X121" s="58"/>
      <c r="Y121" s="345">
        <f t="shared" si="44"/>
        <v>100</v>
      </c>
    </row>
    <row r="122" spans="1:25" s="58" customFormat="1" x14ac:dyDescent="0.45">
      <c r="A122" s="58" t="s">
        <v>2704</v>
      </c>
      <c r="B122" s="58" t="str">
        <f>VLOOKUP(A122,TaskValues_ref!E:F,2,FALSE)</f>
        <v>Screening for common cancers</v>
      </c>
      <c r="C122" s="58">
        <v>100</v>
      </c>
      <c r="E122" s="345">
        <f t="shared" si="28"/>
        <v>100</v>
      </c>
      <c r="F122" s="344"/>
      <c r="G122" s="58">
        <v>100</v>
      </c>
      <c r="J122" s="345">
        <f t="shared" si="18"/>
        <v>100</v>
      </c>
      <c r="K122" s="344"/>
      <c r="O122" s="58">
        <v>100</v>
      </c>
      <c r="R122" s="345">
        <f t="shared" si="19"/>
        <v>100</v>
      </c>
      <c r="S122" s="344"/>
      <c r="V122" s="58">
        <v>100</v>
      </c>
      <c r="Y122" s="345">
        <f t="shared" si="20"/>
        <v>100</v>
      </c>
    </row>
    <row r="123" spans="1:25" s="58" customFormat="1" x14ac:dyDescent="0.45">
      <c r="A123" s="58" t="s">
        <v>2705</v>
      </c>
      <c r="B123" s="58" t="str">
        <f>VLOOKUP(A123,TaskValues_ref!E:F,2,FALSE)</f>
        <v>Breast cancer education</v>
      </c>
      <c r="C123" s="58">
        <v>100</v>
      </c>
      <c r="E123" s="345">
        <f t="shared" si="28"/>
        <v>100</v>
      </c>
      <c r="F123" s="344"/>
      <c r="G123" s="58">
        <v>100</v>
      </c>
      <c r="J123" s="345">
        <f t="shared" si="18"/>
        <v>100</v>
      </c>
      <c r="K123" s="344"/>
      <c r="O123" s="58">
        <v>100</v>
      </c>
      <c r="R123" s="345">
        <f t="shared" si="19"/>
        <v>100</v>
      </c>
      <c r="S123" s="344"/>
      <c r="V123" s="58">
        <v>100</v>
      </c>
      <c r="Y123" s="345">
        <f t="shared" si="20"/>
        <v>100</v>
      </c>
    </row>
    <row r="124" spans="1:25" s="58" customFormat="1" x14ac:dyDescent="0.45">
      <c r="A124" s="58" t="s">
        <v>2706</v>
      </c>
      <c r="B124" s="58" t="str">
        <f>VLOOKUP(A124,TaskValues_ref!E:F,2,FALSE)</f>
        <v>Clinical breast exams</v>
      </c>
      <c r="C124" s="58">
        <v>100</v>
      </c>
      <c r="E124" s="345">
        <f t="shared" si="28"/>
        <v>100</v>
      </c>
      <c r="F124" s="344"/>
      <c r="G124" s="58">
        <v>100</v>
      </c>
      <c r="J124" s="345">
        <f t="shared" si="18"/>
        <v>100</v>
      </c>
      <c r="K124" s="344"/>
      <c r="O124" s="58">
        <v>100</v>
      </c>
      <c r="R124" s="345">
        <f t="shared" si="19"/>
        <v>100</v>
      </c>
      <c r="S124" s="344"/>
      <c r="V124" s="58">
        <v>100</v>
      </c>
      <c r="Y124" s="345">
        <f t="shared" si="20"/>
        <v>100</v>
      </c>
    </row>
    <row r="125" spans="1:25" s="58" customFormat="1" x14ac:dyDescent="0.45">
      <c r="A125" s="58" t="s">
        <v>3368</v>
      </c>
      <c r="B125" s="58" t="str">
        <f>VLOOKUP(A125,TaskValues_ref!E:F,2,FALSE)</f>
        <v>Palliative care for cancer, men 20-29</v>
      </c>
      <c r="C125" s="58">
        <v>100</v>
      </c>
      <c r="E125" s="345">
        <f t="shared" si="28"/>
        <v>100</v>
      </c>
      <c r="F125" s="344"/>
      <c r="G125" s="58">
        <v>100</v>
      </c>
      <c r="J125" s="345">
        <f t="shared" si="18"/>
        <v>100</v>
      </c>
      <c r="K125" s="344"/>
      <c r="O125" s="58">
        <v>100</v>
      </c>
      <c r="R125" s="345">
        <f t="shared" si="19"/>
        <v>100</v>
      </c>
      <c r="S125" s="344"/>
      <c r="V125" s="58">
        <v>100</v>
      </c>
      <c r="Y125" s="345">
        <f t="shared" si="20"/>
        <v>100</v>
      </c>
    </row>
    <row r="126" spans="1:25" s="58" customFormat="1" x14ac:dyDescent="0.45">
      <c r="A126" s="58" t="s">
        <v>3369</v>
      </c>
      <c r="B126" s="58" t="str">
        <f>VLOOKUP(A126,TaskValues_ref!E:F,2,FALSE)</f>
        <v>Palliative care for cancer, men 30-39</v>
      </c>
      <c r="C126" s="58">
        <v>100</v>
      </c>
      <c r="E126" s="345">
        <f t="shared" si="28"/>
        <v>100</v>
      </c>
      <c r="F126" s="344"/>
      <c r="G126" s="58">
        <v>100</v>
      </c>
      <c r="J126" s="345">
        <f t="shared" si="18"/>
        <v>100</v>
      </c>
      <c r="K126" s="344"/>
      <c r="O126" s="58">
        <v>100</v>
      </c>
      <c r="R126" s="345">
        <f t="shared" si="19"/>
        <v>100</v>
      </c>
      <c r="S126" s="344"/>
      <c r="V126" s="58">
        <v>100</v>
      </c>
      <c r="Y126" s="345">
        <f t="shared" si="20"/>
        <v>100</v>
      </c>
    </row>
    <row r="127" spans="1:25" s="58" customFormat="1" x14ac:dyDescent="0.45">
      <c r="A127" s="58" t="s">
        <v>3370</v>
      </c>
      <c r="B127" s="58" t="str">
        <f>VLOOKUP(A127,TaskValues_ref!E:F,2,FALSE)</f>
        <v>Palliative care for cancer, men 40-49</v>
      </c>
      <c r="C127" s="58">
        <v>100</v>
      </c>
      <c r="E127" s="345">
        <f t="shared" si="28"/>
        <v>100</v>
      </c>
      <c r="F127" s="344"/>
      <c r="G127" s="58">
        <v>100</v>
      </c>
      <c r="J127" s="345">
        <f t="shared" si="18"/>
        <v>100</v>
      </c>
      <c r="K127" s="344"/>
      <c r="O127" s="58">
        <v>100</v>
      </c>
      <c r="R127" s="345">
        <f t="shared" si="19"/>
        <v>100</v>
      </c>
      <c r="S127" s="344"/>
      <c r="V127" s="58">
        <v>100</v>
      </c>
      <c r="Y127" s="345">
        <f t="shared" si="20"/>
        <v>100</v>
      </c>
    </row>
    <row r="128" spans="1:25" s="58" customFormat="1" x14ac:dyDescent="0.45">
      <c r="A128" s="58" t="s">
        <v>3371</v>
      </c>
      <c r="B128" s="58" t="str">
        <f>VLOOKUP(A128,TaskValues_ref!E:F,2,FALSE)</f>
        <v>Palliative care for cancer, men 50-59</v>
      </c>
      <c r="C128" s="58">
        <v>100</v>
      </c>
      <c r="E128" s="345">
        <f t="shared" si="28"/>
        <v>100</v>
      </c>
      <c r="F128" s="344"/>
      <c r="G128" s="58">
        <v>100</v>
      </c>
      <c r="J128" s="345">
        <f t="shared" si="18"/>
        <v>100</v>
      </c>
      <c r="K128" s="344"/>
      <c r="O128" s="58">
        <v>100</v>
      </c>
      <c r="R128" s="345">
        <f t="shared" si="19"/>
        <v>100</v>
      </c>
      <c r="S128" s="344"/>
      <c r="V128" s="58">
        <v>100</v>
      </c>
      <c r="Y128" s="345">
        <f t="shared" si="20"/>
        <v>100</v>
      </c>
    </row>
    <row r="129" spans="1:25" s="58" customFormat="1" x14ac:dyDescent="0.45">
      <c r="A129" s="58" t="s">
        <v>3372</v>
      </c>
      <c r="B129" s="58" t="str">
        <f>VLOOKUP(A129,TaskValues_ref!E:F,2,FALSE)</f>
        <v>Palliative care for cancer, men 60-69</v>
      </c>
      <c r="C129" s="58">
        <v>100</v>
      </c>
      <c r="E129" s="345">
        <f t="shared" si="28"/>
        <v>100</v>
      </c>
      <c r="F129" s="344"/>
      <c r="G129" s="58">
        <v>100</v>
      </c>
      <c r="J129" s="345">
        <f t="shared" si="18"/>
        <v>100</v>
      </c>
      <c r="K129" s="344"/>
      <c r="O129" s="58">
        <v>100</v>
      </c>
      <c r="R129" s="345">
        <f t="shared" si="19"/>
        <v>100</v>
      </c>
      <c r="S129" s="344"/>
      <c r="V129" s="58">
        <v>100</v>
      </c>
      <c r="Y129" s="345">
        <f t="shared" si="20"/>
        <v>100</v>
      </c>
    </row>
    <row r="130" spans="1:25" s="58" customFormat="1" x14ac:dyDescent="0.45">
      <c r="A130" s="58" t="s">
        <v>3373</v>
      </c>
      <c r="B130" s="58" t="str">
        <f>VLOOKUP(A130,TaskValues_ref!E:F,2,FALSE)</f>
        <v>Palliative care for cancer, women 20-29</v>
      </c>
      <c r="C130" s="58">
        <v>100</v>
      </c>
      <c r="E130" s="345">
        <f t="shared" si="28"/>
        <v>100</v>
      </c>
      <c r="F130" s="344"/>
      <c r="G130" s="58">
        <v>100</v>
      </c>
      <c r="J130" s="345">
        <f t="shared" si="18"/>
        <v>100</v>
      </c>
      <c r="K130" s="344"/>
      <c r="O130" s="58">
        <v>100</v>
      </c>
      <c r="R130" s="345">
        <f t="shared" si="19"/>
        <v>100</v>
      </c>
      <c r="S130" s="344"/>
      <c r="V130" s="58">
        <v>100</v>
      </c>
      <c r="Y130" s="345">
        <f t="shared" si="20"/>
        <v>100</v>
      </c>
    </row>
    <row r="131" spans="1:25" s="58" customFormat="1" x14ac:dyDescent="0.45">
      <c r="A131" s="58" t="s">
        <v>3374</v>
      </c>
      <c r="B131" s="58" t="str">
        <f>VLOOKUP(A131,TaskValues_ref!E:F,2,FALSE)</f>
        <v>Palliative care for cancer, women 30-39</v>
      </c>
      <c r="C131" s="58">
        <v>100</v>
      </c>
      <c r="E131" s="345">
        <f t="shared" si="28"/>
        <v>100</v>
      </c>
      <c r="F131" s="344"/>
      <c r="G131" s="58">
        <v>100</v>
      </c>
      <c r="J131" s="345">
        <f t="shared" si="18"/>
        <v>100</v>
      </c>
      <c r="K131" s="344"/>
      <c r="O131" s="58">
        <v>100</v>
      </c>
      <c r="R131" s="345">
        <f t="shared" si="19"/>
        <v>100</v>
      </c>
      <c r="S131" s="344"/>
      <c r="V131" s="58">
        <v>100</v>
      </c>
      <c r="Y131" s="345">
        <f t="shared" si="20"/>
        <v>100</v>
      </c>
    </row>
    <row r="132" spans="1:25" s="58" customFormat="1" x14ac:dyDescent="0.45">
      <c r="A132" s="58" t="s">
        <v>3375</v>
      </c>
      <c r="B132" s="58" t="str">
        <f>VLOOKUP(A132,TaskValues_ref!E:F,2,FALSE)</f>
        <v>Palliative care for cancer, women 40-49</v>
      </c>
      <c r="C132" s="58">
        <v>100</v>
      </c>
      <c r="E132" s="345">
        <f t="shared" si="28"/>
        <v>100</v>
      </c>
      <c r="F132" s="344"/>
      <c r="G132" s="58">
        <v>100</v>
      </c>
      <c r="J132" s="345">
        <f t="shared" si="18"/>
        <v>100</v>
      </c>
      <c r="K132" s="344"/>
      <c r="O132" s="58">
        <v>100</v>
      </c>
      <c r="R132" s="345">
        <f t="shared" si="19"/>
        <v>100</v>
      </c>
      <c r="S132" s="344"/>
      <c r="V132" s="58">
        <v>100</v>
      </c>
      <c r="Y132" s="345">
        <f t="shared" si="20"/>
        <v>100</v>
      </c>
    </row>
    <row r="133" spans="1:25" s="58" customFormat="1" x14ac:dyDescent="0.45">
      <c r="A133" s="58" t="s">
        <v>3384</v>
      </c>
      <c r="B133" s="58" t="str">
        <f>VLOOKUP(A133,TaskValues_ref!E:F,2,FALSE)</f>
        <v>Palliative care for cancer, women 50-59</v>
      </c>
      <c r="C133" s="58">
        <v>100</v>
      </c>
      <c r="E133" s="345">
        <f t="shared" si="28"/>
        <v>100</v>
      </c>
      <c r="F133" s="344"/>
      <c r="G133" s="58">
        <v>100</v>
      </c>
      <c r="J133" s="345">
        <f t="shared" si="18"/>
        <v>100</v>
      </c>
      <c r="K133" s="344"/>
      <c r="O133" s="58">
        <v>100</v>
      </c>
      <c r="R133" s="345">
        <f t="shared" si="19"/>
        <v>100</v>
      </c>
      <c r="S133" s="344"/>
      <c r="V133" s="58">
        <v>100</v>
      </c>
      <c r="Y133" s="345">
        <f t="shared" si="20"/>
        <v>100</v>
      </c>
    </row>
    <row r="134" spans="1:25" s="58" customFormat="1" x14ac:dyDescent="0.45">
      <c r="A134" s="58" t="s">
        <v>3385</v>
      </c>
      <c r="B134" s="58" t="str">
        <f>VLOOKUP(A134,TaskValues_ref!E:F,2,FALSE)</f>
        <v>Palliative care for cancer, women 60-69</v>
      </c>
      <c r="C134" s="58">
        <v>100</v>
      </c>
      <c r="E134" s="345">
        <f t="shared" si="28"/>
        <v>100</v>
      </c>
      <c r="F134" s="344"/>
      <c r="G134" s="58">
        <v>100</v>
      </c>
      <c r="J134" s="345">
        <f t="shared" si="18"/>
        <v>100</v>
      </c>
      <c r="K134" s="344"/>
      <c r="O134" s="58">
        <v>100</v>
      </c>
      <c r="R134" s="345">
        <f t="shared" si="19"/>
        <v>100</v>
      </c>
      <c r="S134" s="344"/>
      <c r="V134" s="58">
        <v>100</v>
      </c>
      <c r="Y134" s="345">
        <f t="shared" si="20"/>
        <v>100</v>
      </c>
    </row>
    <row r="135" spans="1:25" s="58" customFormat="1" x14ac:dyDescent="0.45">
      <c r="A135" s="58" t="s">
        <v>3386</v>
      </c>
      <c r="B135" s="58" t="str">
        <f>VLOOKUP(A135,TaskValues_ref!E:F,2,FALSE)</f>
        <v>Palliative care for cancer, men &amp; women 70+</v>
      </c>
      <c r="C135" s="58">
        <v>100</v>
      </c>
      <c r="E135" s="345">
        <f t="shared" si="28"/>
        <v>100</v>
      </c>
      <c r="F135" s="344"/>
      <c r="G135" s="58">
        <v>100</v>
      </c>
      <c r="J135" s="345">
        <f t="shared" si="18"/>
        <v>100</v>
      </c>
      <c r="K135" s="344"/>
      <c r="O135" s="58">
        <v>100</v>
      </c>
      <c r="R135" s="345">
        <f t="shared" si="19"/>
        <v>100</v>
      </c>
      <c r="S135" s="344"/>
      <c r="V135" s="58">
        <v>100</v>
      </c>
      <c r="Y135" s="345">
        <f t="shared" si="20"/>
        <v>100</v>
      </c>
    </row>
    <row r="136" spans="1:25" s="58" customFormat="1" x14ac:dyDescent="0.45">
      <c r="A136" s="58" t="s">
        <v>2708</v>
      </c>
      <c r="B136" s="58" t="str">
        <f>VLOOKUP(A136,TaskValues_ref!E:F,2,FALSE)</f>
        <v>Lifestyle counseling</v>
      </c>
      <c r="C136" s="58">
        <v>100</v>
      </c>
      <c r="E136" s="345">
        <f t="shared" si="28"/>
        <v>100</v>
      </c>
      <c r="F136" s="344"/>
      <c r="G136" s="58">
        <v>100</v>
      </c>
      <c r="J136" s="345">
        <f t="shared" si="18"/>
        <v>100</v>
      </c>
      <c r="K136" s="344"/>
      <c r="O136" s="58">
        <v>100</v>
      </c>
      <c r="R136" s="345">
        <f t="shared" si="19"/>
        <v>100</v>
      </c>
      <c r="S136" s="344"/>
      <c r="V136" s="58">
        <v>100</v>
      </c>
      <c r="Y136" s="345">
        <f t="shared" si="20"/>
        <v>100</v>
      </c>
    </row>
    <row r="137" spans="1:25" x14ac:dyDescent="0.45">
      <c r="A137" t="s">
        <v>2709</v>
      </c>
      <c r="B137" t="str">
        <f>VLOOKUP(A137,TaskValues_ref!E:F,2,FALSE)</f>
        <v>Hypertension screening</v>
      </c>
      <c r="C137" s="58">
        <v>100</v>
      </c>
      <c r="D137" s="58"/>
      <c r="E137" s="345">
        <f t="shared" si="28"/>
        <v>100</v>
      </c>
      <c r="F137" s="344"/>
      <c r="G137" s="58">
        <v>100</v>
      </c>
      <c r="H137" s="58"/>
      <c r="I137" s="58"/>
      <c r="J137" s="345">
        <f t="shared" si="18"/>
        <v>100</v>
      </c>
      <c r="K137" s="344"/>
      <c r="L137" s="58"/>
      <c r="M137" s="58"/>
      <c r="N137" s="58"/>
      <c r="O137" s="58">
        <v>100</v>
      </c>
      <c r="P137" s="58"/>
      <c r="Q137" s="58"/>
      <c r="R137" s="345">
        <f t="shared" si="19"/>
        <v>100</v>
      </c>
      <c r="S137" s="344"/>
      <c r="T137" s="58"/>
      <c r="U137" s="58"/>
      <c r="V137" s="58">
        <v>100</v>
      </c>
      <c r="W137" s="58"/>
      <c r="X137" s="58"/>
      <c r="Y137" s="345">
        <f t="shared" si="20"/>
        <v>100</v>
      </c>
    </row>
    <row r="138" spans="1:25" x14ac:dyDescent="0.45">
      <c r="A138" t="s">
        <v>2710</v>
      </c>
      <c r="B138" t="str">
        <f>VLOOKUP(A138,TaskValues_ref!E:F,2,FALSE)</f>
        <v>Hypertension routine care</v>
      </c>
      <c r="C138" s="58">
        <v>100</v>
      </c>
      <c r="D138" s="58"/>
      <c r="E138" s="345">
        <f t="shared" si="28"/>
        <v>100</v>
      </c>
      <c r="F138" s="344"/>
      <c r="G138" s="58">
        <v>100</v>
      </c>
      <c r="H138" s="58"/>
      <c r="I138" s="58"/>
      <c r="J138" s="345">
        <f t="shared" ref="J138:J146" si="45">SUM(F138:I138)</f>
        <v>100</v>
      </c>
      <c r="K138" s="344"/>
      <c r="L138" s="58"/>
      <c r="M138" s="58"/>
      <c r="N138" s="58"/>
      <c r="O138" s="58">
        <v>100</v>
      </c>
      <c r="P138" s="58"/>
      <c r="Q138" s="58"/>
      <c r="R138" s="345">
        <f t="shared" ref="R138:R146" si="46">SUM(K138:Q138)</f>
        <v>100</v>
      </c>
      <c r="S138" s="344"/>
      <c r="T138" s="58"/>
      <c r="U138" s="58"/>
      <c r="V138" s="58">
        <v>100</v>
      </c>
      <c r="W138" s="58"/>
      <c r="X138" s="58"/>
      <c r="Y138" s="345">
        <f t="shared" ref="Y138:Y146" si="47">SUM(S138:X138)</f>
        <v>100</v>
      </c>
    </row>
    <row r="139" spans="1:25" x14ac:dyDescent="0.45">
      <c r="A139" t="s">
        <v>2711</v>
      </c>
      <c r="B139" t="str">
        <f>VLOOKUP(A139,TaskValues_ref!E:F,2,FALSE)</f>
        <v>Lifestyle counseling</v>
      </c>
      <c r="C139" s="58">
        <v>100</v>
      </c>
      <c r="D139" s="58"/>
      <c r="E139" s="345">
        <f t="shared" ref="E139:E175" si="48">SUM(C139:D139)</f>
        <v>100</v>
      </c>
      <c r="F139" s="344"/>
      <c r="G139" s="58">
        <v>100</v>
      </c>
      <c r="H139" s="58"/>
      <c r="I139" s="58"/>
      <c r="J139" s="345">
        <f t="shared" si="45"/>
        <v>100</v>
      </c>
      <c r="K139" s="344"/>
      <c r="L139" s="58"/>
      <c r="M139" s="58"/>
      <c r="N139" s="58"/>
      <c r="O139" s="58">
        <v>100</v>
      </c>
      <c r="P139" s="58"/>
      <c r="Q139" s="58"/>
      <c r="R139" s="345">
        <f t="shared" si="46"/>
        <v>100</v>
      </c>
      <c r="S139" s="344"/>
      <c r="T139" s="58"/>
      <c r="U139" s="58"/>
      <c r="V139" s="58">
        <v>100</v>
      </c>
      <c r="W139" s="58"/>
      <c r="X139" s="58"/>
      <c r="Y139" s="345">
        <f t="shared" si="47"/>
        <v>100</v>
      </c>
    </row>
    <row r="140" spans="1:25" x14ac:dyDescent="0.45">
      <c r="A140" t="s">
        <v>2712</v>
      </c>
      <c r="B140" t="str">
        <f>VLOOKUP(A140,TaskValues_ref!E:F,2,FALSE)</f>
        <v>Screening for type 2 diabetes</v>
      </c>
      <c r="C140" s="58">
        <v>100</v>
      </c>
      <c r="D140" s="58"/>
      <c r="E140" s="345">
        <f t="shared" si="48"/>
        <v>100</v>
      </c>
      <c r="F140" s="344"/>
      <c r="G140" s="58">
        <v>100</v>
      </c>
      <c r="H140" s="58"/>
      <c r="I140" s="58"/>
      <c r="J140" s="345">
        <f t="shared" si="45"/>
        <v>100</v>
      </c>
      <c r="K140" s="344"/>
      <c r="L140" s="58"/>
      <c r="M140" s="58"/>
      <c r="N140" s="58"/>
      <c r="O140" s="58">
        <v>100</v>
      </c>
      <c r="P140" s="58"/>
      <c r="Q140" s="58"/>
      <c r="R140" s="345">
        <f t="shared" si="46"/>
        <v>100</v>
      </c>
      <c r="S140" s="344"/>
      <c r="T140" s="58"/>
      <c r="U140" s="58"/>
      <c r="V140" s="58">
        <v>100</v>
      </c>
      <c r="W140" s="58"/>
      <c r="X140" s="58"/>
      <c r="Y140" s="345">
        <f t="shared" si="47"/>
        <v>100</v>
      </c>
    </row>
    <row r="141" spans="1:25" x14ac:dyDescent="0.45">
      <c r="A141" t="s">
        <v>3390</v>
      </c>
      <c r="B141" t="str">
        <f>VLOOKUP(A141,TaskValues_ref!E:F,2,FALSE)</f>
        <v>Diabetes routine care, ages 15-24</v>
      </c>
      <c r="C141" s="58">
        <v>100</v>
      </c>
      <c r="D141" s="58"/>
      <c r="E141" s="345">
        <f t="shared" si="48"/>
        <v>100</v>
      </c>
      <c r="F141" s="344"/>
      <c r="G141" s="58">
        <v>100</v>
      </c>
      <c r="H141" s="58"/>
      <c r="I141" s="58"/>
      <c r="J141" s="345">
        <f t="shared" si="45"/>
        <v>100</v>
      </c>
      <c r="K141" s="344"/>
      <c r="L141" s="58"/>
      <c r="M141" s="58"/>
      <c r="N141" s="58"/>
      <c r="O141" s="58">
        <v>100</v>
      </c>
      <c r="P141" s="58"/>
      <c r="Q141" s="58"/>
      <c r="R141" s="345">
        <f t="shared" si="46"/>
        <v>100</v>
      </c>
      <c r="S141" s="344"/>
      <c r="T141" s="58"/>
      <c r="U141" s="58"/>
      <c r="V141" s="58">
        <v>100</v>
      </c>
      <c r="W141" s="58"/>
      <c r="X141" s="58"/>
      <c r="Y141" s="345">
        <f t="shared" si="47"/>
        <v>100</v>
      </c>
    </row>
    <row r="142" spans="1:25" x14ac:dyDescent="0.45">
      <c r="A142" t="s">
        <v>3391</v>
      </c>
      <c r="B142" t="str">
        <f>VLOOKUP(A142,TaskValues_ref!E:F,2,FALSE)</f>
        <v>Diabetes routine care, ages 25-34</v>
      </c>
      <c r="C142" s="58">
        <v>100</v>
      </c>
      <c r="D142" s="58"/>
      <c r="E142" s="345">
        <f t="shared" si="48"/>
        <v>100</v>
      </c>
      <c r="F142" s="344"/>
      <c r="G142" s="58">
        <v>100</v>
      </c>
      <c r="H142" s="58"/>
      <c r="I142" s="58"/>
      <c r="J142" s="345">
        <f t="shared" si="45"/>
        <v>100</v>
      </c>
      <c r="K142" s="344"/>
      <c r="L142" s="58"/>
      <c r="M142" s="58"/>
      <c r="N142" s="58"/>
      <c r="O142" s="58">
        <v>100</v>
      </c>
      <c r="P142" s="58"/>
      <c r="Q142" s="58"/>
      <c r="R142" s="345">
        <f t="shared" si="46"/>
        <v>100</v>
      </c>
      <c r="S142" s="344"/>
      <c r="T142" s="58"/>
      <c r="U142" s="58"/>
      <c r="V142" s="58">
        <v>100</v>
      </c>
      <c r="W142" s="58"/>
      <c r="X142" s="58"/>
      <c r="Y142" s="345">
        <f t="shared" si="47"/>
        <v>100</v>
      </c>
    </row>
    <row r="143" spans="1:25" x14ac:dyDescent="0.45">
      <c r="A143" t="s">
        <v>3392</v>
      </c>
      <c r="B143" t="str">
        <f>VLOOKUP(A143,TaskValues_ref!E:F,2,FALSE)</f>
        <v>Diabetes routine care, ages 35-44</v>
      </c>
      <c r="C143" s="58">
        <v>100</v>
      </c>
      <c r="D143" s="58"/>
      <c r="E143" s="345">
        <f t="shared" si="48"/>
        <v>100</v>
      </c>
      <c r="F143" s="344"/>
      <c r="G143" s="58">
        <v>100</v>
      </c>
      <c r="H143" s="58"/>
      <c r="I143" s="58"/>
      <c r="J143" s="345">
        <f t="shared" si="45"/>
        <v>100</v>
      </c>
      <c r="K143" s="344"/>
      <c r="L143" s="58"/>
      <c r="M143" s="58"/>
      <c r="N143" s="58"/>
      <c r="O143" s="58">
        <v>100</v>
      </c>
      <c r="P143" s="58"/>
      <c r="Q143" s="58"/>
      <c r="R143" s="345">
        <f t="shared" si="46"/>
        <v>100</v>
      </c>
      <c r="S143" s="344"/>
      <c r="T143" s="58"/>
      <c r="U143" s="58"/>
      <c r="V143" s="58">
        <v>100</v>
      </c>
      <c r="W143" s="58"/>
      <c r="X143" s="58"/>
      <c r="Y143" s="345">
        <f t="shared" si="47"/>
        <v>100</v>
      </c>
    </row>
    <row r="144" spans="1:25" x14ac:dyDescent="0.45">
      <c r="A144" t="s">
        <v>3393</v>
      </c>
      <c r="B144" t="str">
        <f>VLOOKUP(A144,TaskValues_ref!E:F,2,FALSE)</f>
        <v>Diabetes routine care, ages 45-54</v>
      </c>
      <c r="C144" s="58">
        <v>100</v>
      </c>
      <c r="D144" s="58"/>
      <c r="E144" s="345">
        <f t="shared" si="48"/>
        <v>100</v>
      </c>
      <c r="F144" s="344"/>
      <c r="G144" s="58">
        <v>100</v>
      </c>
      <c r="H144" s="58"/>
      <c r="I144" s="58"/>
      <c r="J144" s="345">
        <f t="shared" si="45"/>
        <v>100</v>
      </c>
      <c r="K144" s="344"/>
      <c r="L144" s="58"/>
      <c r="M144" s="58"/>
      <c r="N144" s="58"/>
      <c r="O144" s="58">
        <v>100</v>
      </c>
      <c r="P144" s="58"/>
      <c r="Q144" s="58"/>
      <c r="R144" s="345">
        <f t="shared" si="46"/>
        <v>100</v>
      </c>
      <c r="S144" s="344"/>
      <c r="T144" s="58"/>
      <c r="U144" s="58"/>
      <c r="V144" s="58">
        <v>100</v>
      </c>
      <c r="W144" s="58"/>
      <c r="X144" s="58"/>
      <c r="Y144" s="345">
        <f t="shared" si="47"/>
        <v>100</v>
      </c>
    </row>
    <row r="145" spans="1:25" x14ac:dyDescent="0.45">
      <c r="A145" t="s">
        <v>3394</v>
      </c>
      <c r="B145" t="str">
        <f>VLOOKUP(A145,TaskValues_ref!E:F,2,FALSE)</f>
        <v>Diabetes routine care, ages 55-64</v>
      </c>
      <c r="C145" s="58">
        <v>100</v>
      </c>
      <c r="D145" s="58"/>
      <c r="E145" s="345">
        <f t="shared" si="48"/>
        <v>100</v>
      </c>
      <c r="F145" s="344"/>
      <c r="G145" s="58">
        <v>100</v>
      </c>
      <c r="H145" s="58"/>
      <c r="I145" s="58"/>
      <c r="J145" s="345">
        <f t="shared" si="45"/>
        <v>100</v>
      </c>
      <c r="K145" s="344"/>
      <c r="L145" s="58"/>
      <c r="M145" s="58"/>
      <c r="N145" s="58"/>
      <c r="O145" s="58">
        <v>100</v>
      </c>
      <c r="P145" s="58"/>
      <c r="Q145" s="58"/>
      <c r="R145" s="345">
        <f t="shared" si="46"/>
        <v>100</v>
      </c>
      <c r="S145" s="344"/>
      <c r="T145" s="58"/>
      <c r="U145" s="58"/>
      <c r="V145" s="58">
        <v>100</v>
      </c>
      <c r="W145" s="58"/>
      <c r="X145" s="58"/>
      <c r="Y145" s="345">
        <f t="shared" si="47"/>
        <v>100</v>
      </c>
    </row>
    <row r="146" spans="1:25" x14ac:dyDescent="0.45">
      <c r="A146" t="s">
        <v>3461</v>
      </c>
      <c r="B146" t="str">
        <f>VLOOKUP(A146,TaskValues_ref!E:F,2,FALSE)</f>
        <v>Diabetes routine care, ages 65+</v>
      </c>
      <c r="C146" s="58">
        <v>100</v>
      </c>
      <c r="D146" s="58"/>
      <c r="E146" s="345">
        <f t="shared" si="48"/>
        <v>100</v>
      </c>
      <c r="F146" s="344"/>
      <c r="G146" s="58">
        <v>100</v>
      </c>
      <c r="H146" s="58"/>
      <c r="I146" s="58"/>
      <c r="J146" s="345">
        <f t="shared" si="45"/>
        <v>100</v>
      </c>
      <c r="K146" s="344"/>
      <c r="L146" s="58"/>
      <c r="M146" s="58"/>
      <c r="N146" s="58"/>
      <c r="O146" s="58">
        <v>100</v>
      </c>
      <c r="P146" s="58"/>
      <c r="Q146" s="58"/>
      <c r="R146" s="345">
        <f t="shared" si="46"/>
        <v>100</v>
      </c>
      <c r="S146" s="344"/>
      <c r="T146" s="58"/>
      <c r="U146" s="58"/>
      <c r="V146" s="58">
        <v>100</v>
      </c>
      <c r="W146" s="58"/>
      <c r="X146" s="58"/>
      <c r="Y146" s="345">
        <f t="shared" si="47"/>
        <v>100</v>
      </c>
    </row>
    <row r="147" spans="1:25" x14ac:dyDescent="0.45">
      <c r="A147" t="s">
        <v>2714</v>
      </c>
      <c r="B147" t="str">
        <f>VLOOKUP(A147,TaskValues_ref!E:F,2,FALSE)</f>
        <v>Smoking cessation</v>
      </c>
      <c r="C147" s="58">
        <v>100</v>
      </c>
      <c r="D147" s="58"/>
      <c r="E147" s="345">
        <f t="shared" si="48"/>
        <v>100</v>
      </c>
      <c r="F147" s="344"/>
      <c r="G147" s="58"/>
      <c r="H147" s="58">
        <v>100</v>
      </c>
      <c r="I147" s="58"/>
      <c r="J147" s="345">
        <f t="shared" ref="J147:J190" si="49">SUM(F147:I147)</f>
        <v>100</v>
      </c>
      <c r="K147" s="344"/>
      <c r="L147" s="58"/>
      <c r="M147" s="58">
        <v>50</v>
      </c>
      <c r="N147" s="58">
        <v>50</v>
      </c>
      <c r="O147" s="58"/>
      <c r="P147" s="58"/>
      <c r="Q147" s="58"/>
      <c r="R147" s="345">
        <f t="shared" ref="R147:R189" si="50">SUM(K147:Q147)</f>
        <v>100</v>
      </c>
      <c r="S147" s="344"/>
      <c r="T147" s="58"/>
      <c r="U147" s="58">
        <v>100</v>
      </c>
      <c r="V147" s="58"/>
      <c r="W147" s="58"/>
      <c r="X147" s="58"/>
      <c r="Y147" s="345">
        <f t="shared" ref="Y147:Y198" si="51">SUM(S147:X147)</f>
        <v>100</v>
      </c>
    </row>
    <row r="148" spans="1:25" x14ac:dyDescent="0.45">
      <c r="A148" t="s">
        <v>2715</v>
      </c>
      <c r="B148" t="str">
        <f>VLOOKUP(A148,TaskValues_ref!E:F,2,FALSE)</f>
        <v>Prevention of risk factors</v>
      </c>
      <c r="C148" s="58">
        <v>100</v>
      </c>
      <c r="D148" s="58"/>
      <c r="E148" s="345">
        <f t="shared" si="48"/>
        <v>100</v>
      </c>
      <c r="F148" s="344"/>
      <c r="G148" s="58"/>
      <c r="H148" s="58">
        <v>100</v>
      </c>
      <c r="I148" s="58"/>
      <c r="J148" s="345">
        <f t="shared" si="49"/>
        <v>100</v>
      </c>
      <c r="K148" s="344"/>
      <c r="L148" s="58"/>
      <c r="M148" s="58">
        <v>50</v>
      </c>
      <c r="N148" s="58">
        <v>50</v>
      </c>
      <c r="O148" s="58"/>
      <c r="P148" s="58"/>
      <c r="Q148" s="58"/>
      <c r="R148" s="345">
        <f t="shared" si="50"/>
        <v>100</v>
      </c>
      <c r="S148" s="344"/>
      <c r="T148" s="58"/>
      <c r="U148" s="58">
        <v>100</v>
      </c>
      <c r="V148" s="58"/>
      <c r="W148" s="58"/>
      <c r="X148" s="58"/>
      <c r="Y148" s="345">
        <f t="shared" si="51"/>
        <v>100</v>
      </c>
    </row>
    <row r="149" spans="1:25" x14ac:dyDescent="0.45">
      <c r="A149" t="s">
        <v>2716</v>
      </c>
      <c r="B149" t="str">
        <f>VLOOKUP(A149,TaskValues_ref!E:F,2,FALSE)</f>
        <v>Dx &amp; treat mild asthma</v>
      </c>
      <c r="C149" s="58">
        <v>100</v>
      </c>
      <c r="D149" s="58"/>
      <c r="E149" s="345">
        <f t="shared" si="48"/>
        <v>100</v>
      </c>
      <c r="F149" s="344"/>
      <c r="G149" s="58">
        <v>100</v>
      </c>
      <c r="H149" s="58"/>
      <c r="I149" s="58"/>
      <c r="J149" s="345">
        <f t="shared" si="49"/>
        <v>100</v>
      </c>
      <c r="K149" s="344"/>
      <c r="L149" s="58"/>
      <c r="M149" s="58"/>
      <c r="N149" s="58"/>
      <c r="O149" s="58">
        <v>100</v>
      </c>
      <c r="P149" s="58"/>
      <c r="Q149" s="58"/>
      <c r="R149" s="345">
        <f t="shared" si="50"/>
        <v>100</v>
      </c>
      <c r="S149" s="344"/>
      <c r="T149" s="58"/>
      <c r="U149" s="58"/>
      <c r="V149" s="58">
        <v>100</v>
      </c>
      <c r="W149" s="58"/>
      <c r="X149" s="58"/>
      <c r="Y149" s="345">
        <f t="shared" si="51"/>
        <v>100</v>
      </c>
    </row>
    <row r="150" spans="1:25" x14ac:dyDescent="0.45">
      <c r="A150" t="s">
        <v>2717</v>
      </c>
      <c r="B150" t="str">
        <f>VLOOKUP(A150,TaskValues_ref!E:F,2,FALSE)</f>
        <v>Dx &amp; refer severe asthma</v>
      </c>
      <c r="C150" s="58">
        <v>100</v>
      </c>
      <c r="D150" s="58"/>
      <c r="E150" s="345">
        <f t="shared" si="48"/>
        <v>100</v>
      </c>
      <c r="F150" s="344"/>
      <c r="G150" s="58">
        <v>100</v>
      </c>
      <c r="H150" s="58"/>
      <c r="I150" s="58"/>
      <c r="J150" s="345">
        <f t="shared" si="49"/>
        <v>100</v>
      </c>
      <c r="K150" s="344"/>
      <c r="L150" s="58"/>
      <c r="M150" s="58"/>
      <c r="N150" s="58"/>
      <c r="O150" s="58">
        <v>100</v>
      </c>
      <c r="P150" s="58"/>
      <c r="Q150" s="58"/>
      <c r="R150" s="345">
        <f t="shared" si="50"/>
        <v>100</v>
      </c>
      <c r="S150" s="344"/>
      <c r="T150" s="58"/>
      <c r="U150" s="58"/>
      <c r="V150" s="58">
        <v>100</v>
      </c>
      <c r="W150" s="58"/>
      <c r="X150" s="58"/>
      <c r="Y150" s="345">
        <f t="shared" si="51"/>
        <v>100</v>
      </c>
    </row>
    <row r="151" spans="1:25" x14ac:dyDescent="0.45">
      <c r="A151" t="s">
        <v>2442</v>
      </c>
      <c r="B151" t="str">
        <f>VLOOKUP(A151,TaskValues_ref!E:F,2,FALSE)</f>
        <v>Generate community awareness</v>
      </c>
      <c r="C151" s="58">
        <v>100</v>
      </c>
      <c r="D151" s="58"/>
      <c r="E151" s="345">
        <f t="shared" si="48"/>
        <v>100</v>
      </c>
      <c r="F151" s="344"/>
      <c r="G151" s="58"/>
      <c r="H151" s="58">
        <v>100</v>
      </c>
      <c r="I151" s="58"/>
      <c r="J151" s="345">
        <f t="shared" si="49"/>
        <v>100</v>
      </c>
      <c r="K151" s="344"/>
      <c r="L151" s="58"/>
      <c r="M151" s="58">
        <v>50</v>
      </c>
      <c r="N151" s="58">
        <v>50</v>
      </c>
      <c r="O151" s="58"/>
      <c r="P151" s="58"/>
      <c r="Q151" s="58"/>
      <c r="R151" s="345">
        <f t="shared" si="50"/>
        <v>100</v>
      </c>
      <c r="S151" s="344"/>
      <c r="T151" s="58"/>
      <c r="U151" s="58">
        <v>100</v>
      </c>
      <c r="V151" s="58"/>
      <c r="W151" s="58"/>
      <c r="X151" s="58"/>
      <c r="Y151" s="345">
        <f t="shared" si="51"/>
        <v>100</v>
      </c>
    </row>
    <row r="152" spans="1:25" x14ac:dyDescent="0.45">
      <c r="A152" t="s">
        <v>2443</v>
      </c>
      <c r="B152" t="str">
        <f>VLOOKUP(A152,TaskValues_ref!E:F,2,FALSE)</f>
        <v>Identify &amp; link to care</v>
      </c>
      <c r="C152" s="58">
        <v>100</v>
      </c>
      <c r="D152" s="58"/>
      <c r="E152" s="345">
        <f t="shared" si="48"/>
        <v>100</v>
      </c>
      <c r="F152" s="344"/>
      <c r="G152" s="58">
        <v>100</v>
      </c>
      <c r="H152" s="58"/>
      <c r="I152" s="58"/>
      <c r="J152" s="345">
        <f t="shared" si="49"/>
        <v>100</v>
      </c>
      <c r="K152" s="344"/>
      <c r="L152" s="58"/>
      <c r="M152" s="58"/>
      <c r="N152" s="58"/>
      <c r="O152" s="58">
        <v>100</v>
      </c>
      <c r="P152" s="58"/>
      <c r="Q152" s="58"/>
      <c r="R152" s="345">
        <f t="shared" si="50"/>
        <v>100</v>
      </c>
      <c r="S152" s="344"/>
      <c r="T152" s="58"/>
      <c r="U152" s="58"/>
      <c r="V152" s="58">
        <v>100</v>
      </c>
      <c r="W152" s="58"/>
      <c r="X152" s="58"/>
      <c r="Y152" s="345">
        <f t="shared" si="51"/>
        <v>100</v>
      </c>
    </row>
    <row r="153" spans="1:25" x14ac:dyDescent="0.45">
      <c r="A153" t="s">
        <v>2718</v>
      </c>
      <c r="B153" t="str">
        <f>VLOOKUP(A153,TaskValues_ref!E:F,2,FALSE)</f>
        <v>Workplace stress reduction</v>
      </c>
      <c r="C153" s="58">
        <v>100</v>
      </c>
      <c r="D153" s="58"/>
      <c r="E153" s="345">
        <f t="shared" si="48"/>
        <v>100</v>
      </c>
      <c r="F153" s="344"/>
      <c r="G153" s="58"/>
      <c r="H153" s="58">
        <v>100</v>
      </c>
      <c r="I153" s="58"/>
      <c r="J153" s="345">
        <f t="shared" si="49"/>
        <v>100</v>
      </c>
      <c r="K153" s="344"/>
      <c r="L153" s="58"/>
      <c r="M153" s="58">
        <v>50</v>
      </c>
      <c r="N153" s="58">
        <v>50</v>
      </c>
      <c r="O153" s="58"/>
      <c r="P153" s="58"/>
      <c r="Q153" s="58"/>
      <c r="R153" s="345">
        <f t="shared" si="50"/>
        <v>100</v>
      </c>
      <c r="S153" s="344"/>
      <c r="T153" s="58"/>
      <c r="U153" s="58">
        <v>100</v>
      </c>
      <c r="V153" s="58"/>
      <c r="W153" s="58"/>
      <c r="X153" s="58"/>
      <c r="Y153" s="345">
        <f t="shared" si="51"/>
        <v>100</v>
      </c>
    </row>
    <row r="154" spans="1:25" x14ac:dyDescent="0.45">
      <c r="A154" t="s">
        <v>2719</v>
      </c>
      <c r="B154" t="str">
        <f>VLOOKUP(A154,TaskValues_ref!E:F,2,FALSE)</f>
        <v>School-based mental health programs</v>
      </c>
      <c r="C154" s="58">
        <v>100</v>
      </c>
      <c r="D154" s="58"/>
      <c r="E154" s="345">
        <f t="shared" si="48"/>
        <v>100</v>
      </c>
      <c r="F154" s="344"/>
      <c r="G154" s="58"/>
      <c r="H154" s="58">
        <v>100</v>
      </c>
      <c r="I154" s="58"/>
      <c r="J154" s="345">
        <f t="shared" si="49"/>
        <v>100</v>
      </c>
      <c r="K154" s="344"/>
      <c r="L154" s="58"/>
      <c r="M154" s="58">
        <v>50</v>
      </c>
      <c r="N154" s="58">
        <v>50</v>
      </c>
      <c r="O154" s="58"/>
      <c r="P154" s="58"/>
      <c r="Q154" s="58"/>
      <c r="R154" s="345">
        <f t="shared" si="50"/>
        <v>100</v>
      </c>
      <c r="S154" s="344"/>
      <c r="T154" s="58"/>
      <c r="U154" s="58">
        <v>100</v>
      </c>
      <c r="V154" s="58"/>
      <c r="W154" s="58"/>
      <c r="X154" s="58"/>
      <c r="Y154" s="345">
        <f t="shared" si="51"/>
        <v>100</v>
      </c>
    </row>
    <row r="155" spans="1:25" x14ac:dyDescent="0.45">
      <c r="A155" t="s">
        <v>2720</v>
      </c>
      <c r="B155" t="str">
        <f>VLOOKUP(A155,TaskValues_ref!E:F,2,FALSE)</f>
        <v>Identify &amp; assess drug use</v>
      </c>
      <c r="C155" s="58">
        <v>100</v>
      </c>
      <c r="D155" s="58"/>
      <c r="E155" s="345">
        <f t="shared" si="48"/>
        <v>100</v>
      </c>
      <c r="F155" s="344"/>
      <c r="G155" s="58">
        <v>100</v>
      </c>
      <c r="H155" s="58"/>
      <c r="I155" s="58"/>
      <c r="J155" s="345">
        <f t="shared" si="49"/>
        <v>100</v>
      </c>
      <c r="K155" s="344"/>
      <c r="L155" s="58"/>
      <c r="M155" s="58"/>
      <c r="N155" s="58"/>
      <c r="O155" s="58">
        <v>100</v>
      </c>
      <c r="P155" s="58"/>
      <c r="Q155" s="58"/>
      <c r="R155" s="345">
        <f t="shared" si="50"/>
        <v>100</v>
      </c>
      <c r="S155" s="344"/>
      <c r="T155" s="58"/>
      <c r="U155" s="58"/>
      <c r="V155" s="58">
        <v>100</v>
      </c>
      <c r="W155" s="58"/>
      <c r="X155" s="58"/>
      <c r="Y155" s="345">
        <f t="shared" si="51"/>
        <v>100</v>
      </c>
    </row>
    <row r="156" spans="1:25" s="58" customFormat="1" x14ac:dyDescent="0.45">
      <c r="A156" s="58" t="s">
        <v>2721</v>
      </c>
      <c r="B156" s="58" t="str">
        <f>VLOOKUP(A156,TaskValues_ref!E:F,2,FALSE)</f>
        <v>Safer storage of pesticides</v>
      </c>
      <c r="C156" s="58">
        <v>100</v>
      </c>
      <c r="E156" s="345">
        <f t="shared" si="48"/>
        <v>100</v>
      </c>
      <c r="F156" s="344"/>
      <c r="H156" s="58">
        <v>100</v>
      </c>
      <c r="J156" s="345">
        <f t="shared" si="49"/>
        <v>100</v>
      </c>
      <c r="K156" s="344"/>
      <c r="P156" s="58">
        <v>100</v>
      </c>
      <c r="R156" s="345">
        <f t="shared" si="50"/>
        <v>100</v>
      </c>
      <c r="S156" s="344"/>
      <c r="W156" s="58">
        <f t="shared" si="29"/>
        <v>100</v>
      </c>
      <c r="Y156" s="345">
        <f t="shared" si="51"/>
        <v>100</v>
      </c>
    </row>
    <row r="157" spans="1:25" x14ac:dyDescent="0.45">
      <c r="A157" t="s">
        <v>2722</v>
      </c>
      <c r="B157" t="str">
        <f>VLOOKUP(A157,TaskValues_ref!E:F,2,FALSE)</f>
        <v>Emergency poisoning response</v>
      </c>
      <c r="C157" s="58">
        <v>100</v>
      </c>
      <c r="D157" s="58"/>
      <c r="E157" s="345">
        <f t="shared" si="48"/>
        <v>100</v>
      </c>
      <c r="F157" s="344"/>
      <c r="G157" s="58"/>
      <c r="H157" s="58">
        <v>100</v>
      </c>
      <c r="I157" s="58"/>
      <c r="J157" s="345">
        <f t="shared" ref="J157:J159" si="52">SUM(F157:I157)</f>
        <v>100</v>
      </c>
      <c r="K157" s="344"/>
      <c r="L157" s="58"/>
      <c r="M157" s="58"/>
      <c r="N157" s="58"/>
      <c r="O157" s="58"/>
      <c r="P157" s="58">
        <v>100</v>
      </c>
      <c r="Q157" s="58"/>
      <c r="R157" s="345">
        <f t="shared" ref="R157:R159" si="53">SUM(K157:Q157)</f>
        <v>100</v>
      </c>
      <c r="S157" s="344"/>
      <c r="T157" s="58"/>
      <c r="U157" s="58"/>
      <c r="V157" s="58"/>
      <c r="W157" s="58">
        <f t="shared" ref="W157" si="54">M157+P157</f>
        <v>100</v>
      </c>
      <c r="X157" s="58"/>
      <c r="Y157" s="345">
        <f t="shared" ref="Y157:Y159" si="55">SUM(S157:X157)</f>
        <v>100</v>
      </c>
    </row>
    <row r="158" spans="1:25" x14ac:dyDescent="0.45">
      <c r="A158" t="s">
        <v>2723</v>
      </c>
      <c r="B158" t="str">
        <f>VLOOKUP(A158,TaskValues_ref!E:F,2,FALSE)</f>
        <v>Awareness &amp; screening for cataracts</v>
      </c>
      <c r="C158" s="58">
        <v>100</v>
      </c>
      <c r="D158" s="58"/>
      <c r="E158" s="345">
        <f t="shared" si="48"/>
        <v>100</v>
      </c>
      <c r="F158" s="344"/>
      <c r="G158" s="58">
        <v>100</v>
      </c>
      <c r="H158" s="58"/>
      <c r="I158" s="58"/>
      <c r="J158" s="345">
        <f t="shared" si="52"/>
        <v>100</v>
      </c>
      <c r="K158" s="344"/>
      <c r="L158" s="58"/>
      <c r="M158" s="58"/>
      <c r="N158" s="58"/>
      <c r="O158" s="58">
        <v>100</v>
      </c>
      <c r="P158" s="58"/>
      <c r="Q158" s="58"/>
      <c r="R158" s="345">
        <f t="shared" si="53"/>
        <v>100</v>
      </c>
      <c r="S158" s="344"/>
      <c r="T158" s="58"/>
      <c r="U158" s="58"/>
      <c r="V158" s="58">
        <v>100</v>
      </c>
      <c r="W158" s="58"/>
      <c r="X158" s="58"/>
      <c r="Y158" s="345">
        <f t="shared" si="55"/>
        <v>100</v>
      </c>
    </row>
    <row r="159" spans="1:25" x14ac:dyDescent="0.45">
      <c r="A159" t="s">
        <v>2724</v>
      </c>
      <c r="B159" t="str">
        <f>VLOOKUP(A159,TaskValues_ref!E:F,2,FALSE)</f>
        <v>Awareness of eye glasses</v>
      </c>
      <c r="C159" s="58">
        <v>100</v>
      </c>
      <c r="D159" s="58"/>
      <c r="E159" s="345">
        <f t="shared" si="48"/>
        <v>100</v>
      </c>
      <c r="F159" s="344"/>
      <c r="G159" s="58">
        <v>100</v>
      </c>
      <c r="H159" s="58"/>
      <c r="I159" s="58"/>
      <c r="J159" s="345">
        <f t="shared" si="52"/>
        <v>100</v>
      </c>
      <c r="K159" s="344"/>
      <c r="L159" s="58"/>
      <c r="M159" s="58"/>
      <c r="N159" s="58"/>
      <c r="O159" s="58">
        <v>100</v>
      </c>
      <c r="P159" s="58"/>
      <c r="Q159" s="58"/>
      <c r="R159" s="345">
        <f t="shared" si="53"/>
        <v>100</v>
      </c>
      <c r="S159" s="344"/>
      <c r="T159" s="58"/>
      <c r="U159" s="58"/>
      <c r="V159" s="58">
        <v>100</v>
      </c>
      <c r="W159" s="58"/>
      <c r="X159" s="58"/>
      <c r="Y159" s="345">
        <f t="shared" si="55"/>
        <v>100</v>
      </c>
    </row>
    <row r="160" spans="1:25" x14ac:dyDescent="0.45">
      <c r="A160" t="s">
        <v>2725</v>
      </c>
      <c r="B160" t="str">
        <f>VLOOKUP(A160,TaskValues_ref!E:F,2,FALSE)</f>
        <v>School screenings for vision impairment</v>
      </c>
      <c r="C160" s="58">
        <v>100</v>
      </c>
      <c r="D160" s="58"/>
      <c r="E160" s="345">
        <f t="shared" si="48"/>
        <v>100</v>
      </c>
      <c r="F160" s="344"/>
      <c r="G160" s="58"/>
      <c r="H160" s="58">
        <v>100</v>
      </c>
      <c r="I160" s="58"/>
      <c r="J160" s="345">
        <f t="shared" si="49"/>
        <v>100</v>
      </c>
      <c r="K160" s="344"/>
      <c r="L160" s="58"/>
      <c r="M160" s="58">
        <v>50</v>
      </c>
      <c r="N160" s="58">
        <v>50</v>
      </c>
      <c r="O160" s="58"/>
      <c r="P160" s="58"/>
      <c r="Q160" s="58"/>
      <c r="R160" s="345">
        <f t="shared" si="50"/>
        <v>100</v>
      </c>
      <c r="S160" s="344"/>
      <c r="T160" s="58"/>
      <c r="U160" s="58">
        <v>100</v>
      </c>
      <c r="V160" s="58"/>
      <c r="W160" s="58"/>
      <c r="X160" s="58"/>
      <c r="Y160" s="345">
        <f t="shared" si="51"/>
        <v>100</v>
      </c>
    </row>
    <row r="161" spans="1:25" x14ac:dyDescent="0.45">
      <c r="A161" t="s">
        <v>2726</v>
      </c>
      <c r="B161" t="str">
        <f>VLOOKUP(A161,TaskValues_ref!E:F,2,FALSE)</f>
        <v>Opportunistic screenings for vision impairment</v>
      </c>
      <c r="C161" s="58">
        <v>100</v>
      </c>
      <c r="D161" s="58"/>
      <c r="E161" s="345">
        <f t="shared" si="48"/>
        <v>100</v>
      </c>
      <c r="F161" s="344"/>
      <c r="G161" s="58">
        <v>100</v>
      </c>
      <c r="H161" s="58"/>
      <c r="I161" s="58"/>
      <c r="J161" s="345">
        <f t="shared" si="49"/>
        <v>100</v>
      </c>
      <c r="K161" s="344"/>
      <c r="L161" s="58"/>
      <c r="M161" s="58"/>
      <c r="N161" s="58"/>
      <c r="O161" s="58">
        <v>100</v>
      </c>
      <c r="P161" s="58"/>
      <c r="Q161" s="58"/>
      <c r="R161" s="345">
        <f t="shared" si="50"/>
        <v>100</v>
      </c>
      <c r="S161" s="344"/>
      <c r="T161" s="58"/>
      <c r="U161" s="58"/>
      <c r="V161" s="58">
        <v>100</v>
      </c>
      <c r="W161" s="58"/>
      <c r="X161" s="58"/>
      <c r="Y161" s="345">
        <f t="shared" si="51"/>
        <v>100</v>
      </c>
    </row>
    <row r="162" spans="1:25" x14ac:dyDescent="0.45">
      <c r="A162" t="s">
        <v>2727</v>
      </c>
      <c r="B162" t="str">
        <f>VLOOKUP(A162,TaskValues_ref!E:F,2,FALSE)</f>
        <v>Awareness &amp; screening for glaucoma</v>
      </c>
      <c r="C162" s="58">
        <v>100</v>
      </c>
      <c r="D162" s="58"/>
      <c r="E162" s="345">
        <f t="shared" si="48"/>
        <v>100</v>
      </c>
      <c r="F162" s="344"/>
      <c r="G162" s="58">
        <v>100</v>
      </c>
      <c r="H162" s="58"/>
      <c r="I162" s="58"/>
      <c r="J162" s="345">
        <f t="shared" si="49"/>
        <v>100</v>
      </c>
      <c r="K162" s="344"/>
      <c r="L162" s="58"/>
      <c r="M162" s="58"/>
      <c r="N162" s="58"/>
      <c r="O162" s="58">
        <v>100</v>
      </c>
      <c r="P162" s="58"/>
      <c r="Q162" s="58"/>
      <c r="R162" s="345">
        <f t="shared" si="50"/>
        <v>100</v>
      </c>
      <c r="S162" s="344"/>
      <c r="T162" s="58"/>
      <c r="U162" s="58"/>
      <c r="V162" s="58">
        <v>100</v>
      </c>
      <c r="W162" s="58"/>
      <c r="X162" s="58"/>
      <c r="Y162" s="345">
        <f t="shared" si="51"/>
        <v>100</v>
      </c>
    </row>
    <row r="163" spans="1:25" x14ac:dyDescent="0.45">
      <c r="A163" t="s">
        <v>2728</v>
      </c>
      <c r="B163" t="str">
        <f>VLOOKUP(A163,TaskValues_ref!E:F,2,FALSE)</f>
        <v>Common eye infection treatment</v>
      </c>
      <c r="C163" s="58">
        <v>100</v>
      </c>
      <c r="D163" s="58"/>
      <c r="E163" s="345">
        <f t="shared" si="48"/>
        <v>100</v>
      </c>
      <c r="F163" s="344"/>
      <c r="G163" s="58"/>
      <c r="H163" s="58">
        <v>100</v>
      </c>
      <c r="I163" s="58"/>
      <c r="J163" s="345">
        <f t="shared" ref="J163" si="56">SUM(F163:I163)</f>
        <v>100</v>
      </c>
      <c r="K163" s="344"/>
      <c r="L163" s="58"/>
      <c r="M163" s="58"/>
      <c r="N163" s="58">
        <v>25</v>
      </c>
      <c r="O163" s="58">
        <v>75</v>
      </c>
      <c r="P163" s="58"/>
      <c r="Q163" s="58"/>
      <c r="R163" s="345">
        <f t="shared" ref="R163" si="57">SUM(K163:Q163)</f>
        <v>100</v>
      </c>
      <c r="S163" s="344"/>
      <c r="T163" s="58"/>
      <c r="U163" s="58">
        <v>25</v>
      </c>
      <c r="V163" s="58">
        <v>75</v>
      </c>
      <c r="W163" s="58"/>
      <c r="X163" s="58"/>
      <c r="Y163" s="345">
        <f t="shared" ref="Y163" si="58">SUM(S163:X163)</f>
        <v>100</v>
      </c>
    </row>
    <row r="164" spans="1:25" x14ac:dyDescent="0.45">
      <c r="A164" t="s">
        <v>2592</v>
      </c>
      <c r="B164" t="str">
        <f>VLOOKUP(A164,TaskValues_ref!E:F,2,FALSE)</f>
        <v>Basic first aid</v>
      </c>
      <c r="C164" s="58">
        <v>100</v>
      </c>
      <c r="D164" s="58"/>
      <c r="E164" s="345">
        <f t="shared" si="48"/>
        <v>100</v>
      </c>
      <c r="F164" s="344"/>
      <c r="G164" s="58"/>
      <c r="H164" s="58">
        <v>100</v>
      </c>
      <c r="I164" s="58"/>
      <c r="J164" s="345">
        <f t="shared" si="49"/>
        <v>100</v>
      </c>
      <c r="K164" s="344"/>
      <c r="L164" s="58"/>
      <c r="M164" s="58"/>
      <c r="N164" s="58">
        <v>25</v>
      </c>
      <c r="O164" s="58">
        <v>75</v>
      </c>
      <c r="P164" s="58"/>
      <c r="Q164" s="58"/>
      <c r="R164" s="345">
        <f t="shared" si="50"/>
        <v>100</v>
      </c>
      <c r="S164" s="344"/>
      <c r="T164" s="58"/>
      <c r="U164" s="58">
        <v>25</v>
      </c>
      <c r="V164" s="58">
        <v>75</v>
      </c>
      <c r="W164" s="58"/>
      <c r="X164" s="58"/>
      <c r="Y164" s="345">
        <f t="shared" si="51"/>
        <v>100</v>
      </c>
    </row>
    <row r="165" spans="1:25" x14ac:dyDescent="0.45">
      <c r="A165" t="s">
        <v>2594</v>
      </c>
      <c r="B165" t="str">
        <f>VLOOKUP(A165,TaskValues_ref!E:F,2,FALSE)</f>
        <v>Advanced first aid</v>
      </c>
      <c r="C165" s="58">
        <v>100</v>
      </c>
      <c r="D165" s="58"/>
      <c r="E165" s="345">
        <f t="shared" si="48"/>
        <v>100</v>
      </c>
      <c r="F165" s="344"/>
      <c r="G165" s="58">
        <v>100</v>
      </c>
      <c r="H165" s="58"/>
      <c r="I165" s="58"/>
      <c r="J165" s="345">
        <f t="shared" ref="J165" si="59">SUM(F165:I165)</f>
        <v>100</v>
      </c>
      <c r="K165" s="344"/>
      <c r="L165" s="58">
        <v>50</v>
      </c>
      <c r="M165" s="58"/>
      <c r="N165" s="58"/>
      <c r="O165" s="58">
        <v>50</v>
      </c>
      <c r="P165" s="58"/>
      <c r="Q165" s="58"/>
      <c r="R165" s="345">
        <f t="shared" ref="R165" si="60">SUM(K165:Q165)</f>
        <v>100</v>
      </c>
      <c r="S165" s="344"/>
      <c r="T165" s="58">
        <v>50</v>
      </c>
      <c r="U165" s="58"/>
      <c r="V165" s="58">
        <v>50</v>
      </c>
      <c r="W165" s="58"/>
      <c r="X165" s="127"/>
      <c r="Y165" s="345">
        <f t="shared" si="51"/>
        <v>100</v>
      </c>
    </row>
    <row r="166" spans="1:25" s="58" customFormat="1" x14ac:dyDescent="0.45">
      <c r="A166" s="58" t="s">
        <v>2729</v>
      </c>
      <c r="B166" s="58" t="str">
        <f>VLOOKUP(A166,TaskValues_ref!E:F,2,FALSE)</f>
        <v>Assorted adult outpatient</v>
      </c>
      <c r="C166" s="58">
        <v>100</v>
      </c>
      <c r="E166" s="345">
        <f t="shared" si="48"/>
        <v>100</v>
      </c>
      <c r="F166" s="344"/>
      <c r="G166" s="58">
        <v>100</v>
      </c>
      <c r="J166" s="345">
        <f t="shared" si="49"/>
        <v>100</v>
      </c>
      <c r="K166" s="344"/>
      <c r="L166" s="58">
        <v>50</v>
      </c>
      <c r="O166" s="58">
        <v>50</v>
      </c>
      <c r="R166" s="345">
        <f t="shared" si="50"/>
        <v>100</v>
      </c>
      <c r="S166" s="344"/>
      <c r="T166" s="58">
        <v>50</v>
      </c>
      <c r="V166" s="58">
        <v>50</v>
      </c>
      <c r="Y166" s="345">
        <f t="shared" si="51"/>
        <v>100</v>
      </c>
    </row>
    <row r="167" spans="1:25" s="58" customFormat="1" x14ac:dyDescent="0.45">
      <c r="A167" s="58" t="s">
        <v>2451</v>
      </c>
      <c r="B167" s="58" t="str">
        <f>VLOOKUP(A167,TaskValues_ref!E:F,2,FALSE)</f>
        <v>Surveillance for NTDs</v>
      </c>
      <c r="C167" s="58">
        <v>100</v>
      </c>
      <c r="E167" s="345">
        <f t="shared" si="48"/>
        <v>100</v>
      </c>
      <c r="F167" s="344"/>
      <c r="H167" s="58">
        <v>100</v>
      </c>
      <c r="J167" s="345">
        <f t="shared" si="49"/>
        <v>100</v>
      </c>
      <c r="K167" s="344"/>
      <c r="P167" s="58">
        <v>100</v>
      </c>
      <c r="R167" s="345">
        <f t="shared" si="50"/>
        <v>100</v>
      </c>
      <c r="S167" s="344"/>
      <c r="W167" s="58">
        <f t="shared" ref="W167:W187" si="61">M167+P167</f>
        <v>100</v>
      </c>
      <c r="Y167" s="345">
        <f t="shared" si="51"/>
        <v>100</v>
      </c>
    </row>
    <row r="168" spans="1:25" s="58" customFormat="1" x14ac:dyDescent="0.45">
      <c r="A168" s="58" t="s">
        <v>2730</v>
      </c>
      <c r="B168" s="58" t="str">
        <f>VLOOKUP(A168,TaskValues_ref!E:F,2,FALSE)</f>
        <v>LF screening &amp; referral</v>
      </c>
      <c r="C168" s="58">
        <v>100</v>
      </c>
      <c r="E168" s="345">
        <f t="shared" si="48"/>
        <v>100</v>
      </c>
      <c r="F168" s="344"/>
      <c r="H168" s="58">
        <v>100</v>
      </c>
      <c r="J168" s="345">
        <f t="shared" si="49"/>
        <v>100</v>
      </c>
      <c r="K168" s="344"/>
      <c r="M168" s="58">
        <v>100</v>
      </c>
      <c r="R168" s="345">
        <f t="shared" si="50"/>
        <v>100</v>
      </c>
      <c r="S168" s="344"/>
      <c r="W168" s="58">
        <f t="shared" si="61"/>
        <v>100</v>
      </c>
      <c r="Y168" s="345">
        <f t="shared" si="51"/>
        <v>100</v>
      </c>
    </row>
    <row r="169" spans="1:25" s="58" customFormat="1" x14ac:dyDescent="0.45">
      <c r="A169" s="58" t="s">
        <v>2731</v>
      </c>
      <c r="B169" s="58" t="str">
        <f>VLOOKUP(A169,TaskValues_ref!E:F,2,FALSE)</f>
        <v>LF MDA</v>
      </c>
      <c r="C169" s="58">
        <v>100</v>
      </c>
      <c r="E169" s="345">
        <f t="shared" si="48"/>
        <v>100</v>
      </c>
      <c r="F169" s="344"/>
      <c r="H169" s="58">
        <v>100</v>
      </c>
      <c r="J169" s="345">
        <f t="shared" si="49"/>
        <v>100</v>
      </c>
      <c r="K169" s="344"/>
      <c r="P169" s="58">
        <v>100</v>
      </c>
      <c r="R169" s="345">
        <f t="shared" si="50"/>
        <v>100</v>
      </c>
      <c r="S169" s="344"/>
      <c r="W169" s="58">
        <f t="shared" si="61"/>
        <v>100</v>
      </c>
      <c r="Y169" s="345">
        <f t="shared" si="51"/>
        <v>100</v>
      </c>
    </row>
    <row r="170" spans="1:25" s="58" customFormat="1" x14ac:dyDescent="0.45">
      <c r="A170" s="58" t="s">
        <v>2732</v>
      </c>
      <c r="B170" s="58" t="str">
        <f>VLOOKUP(A170,TaskValues_ref!E:F,2,FALSE)</f>
        <v>LLINs and IRS</v>
      </c>
      <c r="C170" s="58">
        <v>100</v>
      </c>
      <c r="E170" s="345">
        <f t="shared" si="48"/>
        <v>100</v>
      </c>
      <c r="F170" s="344"/>
      <c r="H170" s="58">
        <v>100</v>
      </c>
      <c r="J170" s="345">
        <f t="shared" si="49"/>
        <v>100</v>
      </c>
      <c r="K170" s="344"/>
      <c r="P170" s="58">
        <v>100</v>
      </c>
      <c r="R170" s="345">
        <f t="shared" si="50"/>
        <v>100</v>
      </c>
      <c r="S170" s="344"/>
      <c r="W170" s="58">
        <f t="shared" si="61"/>
        <v>100</v>
      </c>
      <c r="Y170" s="345">
        <f t="shared" si="51"/>
        <v>100</v>
      </c>
    </row>
    <row r="171" spans="1:25" s="58" customFormat="1" x14ac:dyDescent="0.45">
      <c r="A171" s="58" t="s">
        <v>2733</v>
      </c>
      <c r="B171" s="58" t="str">
        <f>VLOOKUP(A171,TaskValues_ref!E:F,2,FALSE)</f>
        <v>LF behavior change</v>
      </c>
      <c r="C171" s="58">
        <v>100</v>
      </c>
      <c r="E171" s="345">
        <f t="shared" si="48"/>
        <v>100</v>
      </c>
      <c r="F171" s="344"/>
      <c r="H171" s="58">
        <v>100</v>
      </c>
      <c r="J171" s="345">
        <f t="shared" si="49"/>
        <v>100</v>
      </c>
      <c r="K171" s="344"/>
      <c r="M171" s="58">
        <v>50</v>
      </c>
      <c r="P171" s="58">
        <v>50</v>
      </c>
      <c r="R171" s="345">
        <f t="shared" si="50"/>
        <v>100</v>
      </c>
      <c r="S171" s="344"/>
      <c r="U171" s="58">
        <v>50</v>
      </c>
      <c r="W171" s="58">
        <v>50</v>
      </c>
      <c r="Y171" s="345">
        <f t="shared" si="51"/>
        <v>100</v>
      </c>
    </row>
    <row r="172" spans="1:25" s="58" customFormat="1" x14ac:dyDescent="0.45">
      <c r="A172" s="58" t="s">
        <v>2734</v>
      </c>
      <c r="B172" s="58" t="str">
        <f>VLOOKUP(A172,TaskValues_ref!E:F,2,FALSE)</f>
        <v>Oncho MDA</v>
      </c>
      <c r="C172" s="58">
        <v>100</v>
      </c>
      <c r="E172" s="345">
        <f t="shared" si="48"/>
        <v>100</v>
      </c>
      <c r="F172" s="344"/>
      <c r="H172" s="58">
        <v>100</v>
      </c>
      <c r="J172" s="345">
        <f t="shared" si="49"/>
        <v>100</v>
      </c>
      <c r="K172" s="344"/>
      <c r="P172" s="58">
        <v>100</v>
      </c>
      <c r="R172" s="345">
        <f t="shared" si="50"/>
        <v>100</v>
      </c>
      <c r="S172" s="344"/>
      <c r="W172" s="58">
        <f t="shared" si="61"/>
        <v>100</v>
      </c>
      <c r="Y172" s="345">
        <f t="shared" si="51"/>
        <v>100</v>
      </c>
    </row>
    <row r="173" spans="1:25" s="58" customFormat="1" x14ac:dyDescent="0.45">
      <c r="A173" s="58" t="s">
        <v>2735</v>
      </c>
      <c r="B173" s="58" t="str">
        <f>VLOOKUP(A173,TaskValues_ref!E:F,2,FALSE)</f>
        <v>Oncho behavior change</v>
      </c>
      <c r="C173" s="58">
        <v>100</v>
      </c>
      <c r="E173" s="345">
        <f t="shared" si="48"/>
        <v>100</v>
      </c>
      <c r="F173" s="344"/>
      <c r="H173" s="58">
        <v>100</v>
      </c>
      <c r="J173" s="345">
        <f t="shared" si="49"/>
        <v>100</v>
      </c>
      <c r="K173" s="344"/>
      <c r="M173" s="58">
        <v>50</v>
      </c>
      <c r="P173" s="58">
        <v>50</v>
      </c>
      <c r="R173" s="345">
        <f t="shared" si="50"/>
        <v>100</v>
      </c>
      <c r="S173" s="344"/>
      <c r="U173" s="58">
        <v>50</v>
      </c>
      <c r="W173" s="58">
        <v>50</v>
      </c>
      <c r="Y173" s="345">
        <f t="shared" si="51"/>
        <v>100</v>
      </c>
    </row>
    <row r="174" spans="1:25" s="58" customFormat="1" x14ac:dyDescent="0.45">
      <c r="A174" s="58" t="s">
        <v>2736</v>
      </c>
      <c r="B174" s="58" t="str">
        <f>VLOOKUP(A174,TaskValues_ref!E:F,2,FALSE)</f>
        <v>Trachoma behavior change</v>
      </c>
      <c r="C174" s="58">
        <v>100</v>
      </c>
      <c r="E174" s="345">
        <f t="shared" si="48"/>
        <v>100</v>
      </c>
      <c r="F174" s="344"/>
      <c r="H174" s="58">
        <v>100</v>
      </c>
      <c r="J174" s="345">
        <f t="shared" si="49"/>
        <v>100</v>
      </c>
      <c r="K174" s="344"/>
      <c r="M174" s="58">
        <v>50</v>
      </c>
      <c r="P174" s="58">
        <v>50</v>
      </c>
      <c r="R174" s="345">
        <f t="shared" si="50"/>
        <v>100</v>
      </c>
      <c r="S174" s="344"/>
      <c r="U174" s="58">
        <v>50</v>
      </c>
      <c r="W174" s="58">
        <v>50</v>
      </c>
      <c r="Y174" s="345">
        <f t="shared" si="51"/>
        <v>100</v>
      </c>
    </row>
    <row r="175" spans="1:25" s="58" customFormat="1" x14ac:dyDescent="0.45">
      <c r="A175" s="58" t="s">
        <v>2737</v>
      </c>
      <c r="B175" s="58" t="str">
        <f>VLOOKUP(A175,TaskValues_ref!E:F,2,FALSE)</f>
        <v>Promote water and sanitation</v>
      </c>
      <c r="C175" s="58">
        <v>100</v>
      </c>
      <c r="E175" s="345">
        <f t="shared" si="48"/>
        <v>100</v>
      </c>
      <c r="F175" s="344"/>
      <c r="H175" s="58">
        <v>100</v>
      </c>
      <c r="J175" s="345">
        <f t="shared" si="49"/>
        <v>100</v>
      </c>
      <c r="K175" s="344"/>
      <c r="M175" s="58">
        <v>50</v>
      </c>
      <c r="P175" s="58">
        <v>50</v>
      </c>
      <c r="R175" s="345">
        <f t="shared" si="50"/>
        <v>100</v>
      </c>
      <c r="S175" s="344"/>
      <c r="U175" s="58">
        <v>50</v>
      </c>
      <c r="W175" s="58">
        <v>50</v>
      </c>
      <c r="Y175" s="345">
        <f t="shared" si="51"/>
        <v>100</v>
      </c>
    </row>
    <row r="176" spans="1:25" s="58" customFormat="1" x14ac:dyDescent="0.45">
      <c r="A176" s="58" t="s">
        <v>2738</v>
      </c>
      <c r="B176" s="58" t="str">
        <f>VLOOKUP(A176,TaskValues_ref!E:F,2,FALSE)</f>
        <v>Dx &amp; treat trachoma</v>
      </c>
      <c r="C176" s="58">
        <v>100</v>
      </c>
      <c r="E176" s="345">
        <f t="shared" ref="E176:E194" si="62">SUM(C176:D176)</f>
        <v>100</v>
      </c>
      <c r="F176" s="344"/>
      <c r="H176" s="58">
        <v>100</v>
      </c>
      <c r="J176" s="345">
        <f t="shared" si="49"/>
        <v>100</v>
      </c>
      <c r="K176" s="344"/>
      <c r="M176" s="58">
        <v>100</v>
      </c>
      <c r="R176" s="345">
        <f t="shared" si="50"/>
        <v>100</v>
      </c>
      <c r="S176" s="344"/>
      <c r="W176" s="58">
        <f t="shared" si="61"/>
        <v>100</v>
      </c>
      <c r="Y176" s="345">
        <f t="shared" si="51"/>
        <v>100</v>
      </c>
    </row>
    <row r="177" spans="1:25" s="58" customFormat="1" x14ac:dyDescent="0.45">
      <c r="A177" s="58" t="s">
        <v>2739</v>
      </c>
      <c r="B177" s="58" t="str">
        <f>VLOOKUP(A177,TaskValues_ref!E:F,2,FALSE)</f>
        <v>Trochomatous trichiasis surgery</v>
      </c>
      <c r="C177" s="58">
        <v>100</v>
      </c>
      <c r="E177" s="345">
        <f t="shared" si="62"/>
        <v>100</v>
      </c>
      <c r="F177" s="344"/>
      <c r="H177" s="58">
        <v>100</v>
      </c>
      <c r="J177" s="345">
        <f t="shared" si="49"/>
        <v>100</v>
      </c>
      <c r="K177" s="344"/>
      <c r="M177" s="58">
        <v>100</v>
      </c>
      <c r="R177" s="345">
        <f t="shared" si="50"/>
        <v>100</v>
      </c>
      <c r="S177" s="344"/>
      <c r="W177" s="58">
        <f t="shared" si="61"/>
        <v>100</v>
      </c>
      <c r="Y177" s="345">
        <f t="shared" si="51"/>
        <v>100</v>
      </c>
    </row>
    <row r="178" spans="1:25" s="58" customFormat="1" x14ac:dyDescent="0.45">
      <c r="A178" s="58" t="s">
        <v>2740</v>
      </c>
      <c r="B178" s="58" t="str">
        <f>VLOOKUP(A178,TaskValues_ref!E:F,2,FALSE)</f>
        <v>Trachoma MDA</v>
      </c>
      <c r="C178" s="58">
        <v>100</v>
      </c>
      <c r="E178" s="345">
        <f t="shared" si="62"/>
        <v>100</v>
      </c>
      <c r="F178" s="344"/>
      <c r="H178" s="58">
        <v>100</v>
      </c>
      <c r="J178" s="345">
        <f t="shared" si="49"/>
        <v>100</v>
      </c>
      <c r="K178" s="344"/>
      <c r="P178" s="58">
        <v>100</v>
      </c>
      <c r="R178" s="345">
        <f t="shared" si="50"/>
        <v>100</v>
      </c>
      <c r="S178" s="344"/>
      <c r="W178" s="58">
        <f t="shared" si="61"/>
        <v>100</v>
      </c>
      <c r="Y178" s="345">
        <f t="shared" si="51"/>
        <v>100</v>
      </c>
    </row>
    <row r="179" spans="1:25" s="58" customFormat="1" x14ac:dyDescent="0.45">
      <c r="A179" s="58" t="s">
        <v>2741</v>
      </c>
      <c r="B179" s="58" t="str">
        <f>VLOOKUP(A179,TaskValues_ref!E:F,2,FALSE)</f>
        <v>Promote face washing</v>
      </c>
      <c r="C179" s="58">
        <v>100</v>
      </c>
      <c r="E179" s="345">
        <f t="shared" si="62"/>
        <v>100</v>
      </c>
      <c r="F179" s="344"/>
      <c r="H179" s="58">
        <v>100</v>
      </c>
      <c r="J179" s="345">
        <f t="shared" si="49"/>
        <v>100</v>
      </c>
      <c r="K179" s="344"/>
      <c r="M179" s="58">
        <v>50</v>
      </c>
      <c r="P179" s="58">
        <v>50</v>
      </c>
      <c r="R179" s="345">
        <f t="shared" si="50"/>
        <v>100</v>
      </c>
      <c r="S179" s="344"/>
      <c r="U179" s="58">
        <v>50</v>
      </c>
      <c r="W179" s="58">
        <v>50</v>
      </c>
      <c r="Y179" s="345">
        <f t="shared" si="51"/>
        <v>100</v>
      </c>
    </row>
    <row r="180" spans="1:25" s="58" customFormat="1" x14ac:dyDescent="0.45">
      <c r="A180" s="58" t="s">
        <v>2742</v>
      </c>
      <c r="B180" s="58" t="str">
        <f>VLOOKUP(A180,TaskValues_ref!E:F,2,FALSE)</f>
        <v>Schisto behavior change</v>
      </c>
      <c r="C180" s="58">
        <v>100</v>
      </c>
      <c r="E180" s="345">
        <f t="shared" si="62"/>
        <v>100</v>
      </c>
      <c r="F180" s="344"/>
      <c r="H180" s="58">
        <v>100</v>
      </c>
      <c r="J180" s="345">
        <f t="shared" si="49"/>
        <v>100</v>
      </c>
      <c r="K180" s="344"/>
      <c r="M180" s="58">
        <v>50</v>
      </c>
      <c r="P180" s="58">
        <v>50</v>
      </c>
      <c r="R180" s="345">
        <f t="shared" si="50"/>
        <v>100</v>
      </c>
      <c r="S180" s="344"/>
      <c r="U180" s="58">
        <v>50</v>
      </c>
      <c r="W180" s="58">
        <v>50</v>
      </c>
      <c r="Y180" s="345">
        <f t="shared" si="51"/>
        <v>100</v>
      </c>
    </row>
    <row r="181" spans="1:25" s="58" customFormat="1" x14ac:dyDescent="0.45">
      <c r="A181" s="58" t="s">
        <v>2743</v>
      </c>
      <c r="B181" s="58" t="str">
        <f>VLOOKUP(A181,TaskValues_ref!E:F,2,FALSE)</f>
        <v>Snail control</v>
      </c>
      <c r="C181" s="58">
        <v>100</v>
      </c>
      <c r="E181" s="345">
        <f t="shared" si="62"/>
        <v>100</v>
      </c>
      <c r="F181" s="344"/>
      <c r="H181" s="58">
        <v>100</v>
      </c>
      <c r="J181" s="345">
        <f t="shared" si="49"/>
        <v>100</v>
      </c>
      <c r="K181" s="344"/>
      <c r="P181" s="58">
        <v>100</v>
      </c>
      <c r="R181" s="345">
        <f t="shared" si="50"/>
        <v>100</v>
      </c>
      <c r="S181" s="344"/>
      <c r="W181" s="58">
        <f t="shared" si="61"/>
        <v>100</v>
      </c>
      <c r="Y181" s="345">
        <f t="shared" si="51"/>
        <v>100</v>
      </c>
    </row>
    <row r="182" spans="1:25" s="58" customFormat="1" x14ac:dyDescent="0.45">
      <c r="A182" s="58" t="s">
        <v>2744</v>
      </c>
      <c r="B182" s="58" t="str">
        <f>VLOOKUP(A182,TaskValues_ref!E:F,2,FALSE)</f>
        <v>Schisto MDA</v>
      </c>
      <c r="C182" s="58">
        <v>100</v>
      </c>
      <c r="E182" s="345">
        <f t="shared" si="62"/>
        <v>100</v>
      </c>
      <c r="F182" s="344"/>
      <c r="H182" s="58">
        <v>100</v>
      </c>
      <c r="J182" s="345">
        <f t="shared" si="49"/>
        <v>100</v>
      </c>
      <c r="K182" s="344"/>
      <c r="P182" s="58">
        <v>100</v>
      </c>
      <c r="R182" s="345">
        <f t="shared" si="50"/>
        <v>100</v>
      </c>
      <c r="S182" s="344"/>
      <c r="W182" s="58">
        <f t="shared" si="61"/>
        <v>100</v>
      </c>
      <c r="Y182" s="345">
        <f t="shared" si="51"/>
        <v>100</v>
      </c>
    </row>
    <row r="183" spans="1:25" s="58" customFormat="1" x14ac:dyDescent="0.45">
      <c r="A183" s="58" t="s">
        <v>2745</v>
      </c>
      <c r="B183" s="58" t="str">
        <f>VLOOKUP(A183,TaskValues_ref!E:F,2,FALSE)</f>
        <v>STH behavior change</v>
      </c>
      <c r="C183" s="58">
        <v>100</v>
      </c>
      <c r="E183" s="345">
        <f t="shared" si="62"/>
        <v>100</v>
      </c>
      <c r="F183" s="344"/>
      <c r="H183" s="58">
        <v>100</v>
      </c>
      <c r="J183" s="345">
        <f t="shared" si="49"/>
        <v>100</v>
      </c>
      <c r="K183" s="344"/>
      <c r="M183" s="58">
        <v>50</v>
      </c>
      <c r="P183" s="58">
        <v>50</v>
      </c>
      <c r="R183" s="345">
        <f t="shared" si="50"/>
        <v>100</v>
      </c>
      <c r="S183" s="344"/>
      <c r="U183" s="58">
        <v>50</v>
      </c>
      <c r="W183" s="58">
        <v>50</v>
      </c>
      <c r="Y183" s="345">
        <f t="shared" si="51"/>
        <v>100</v>
      </c>
    </row>
    <row r="184" spans="1:25" s="58" customFormat="1" x14ac:dyDescent="0.45">
      <c r="A184" s="58" t="s">
        <v>2746</v>
      </c>
      <c r="B184" s="58" t="str">
        <f>VLOOKUP(A184,TaskValues_ref!E:F,2,FALSE)</f>
        <v>STH MDA</v>
      </c>
      <c r="C184" s="58">
        <v>100</v>
      </c>
      <c r="E184" s="345">
        <f t="shared" si="62"/>
        <v>100</v>
      </c>
      <c r="F184" s="344"/>
      <c r="H184" s="58">
        <v>100</v>
      </c>
      <c r="J184" s="345">
        <f t="shared" si="49"/>
        <v>100</v>
      </c>
      <c r="K184" s="344"/>
      <c r="P184" s="58">
        <v>100</v>
      </c>
      <c r="R184" s="345">
        <f t="shared" si="50"/>
        <v>100</v>
      </c>
      <c r="S184" s="344"/>
      <c r="W184" s="58">
        <f t="shared" si="61"/>
        <v>100</v>
      </c>
      <c r="Y184" s="345">
        <f t="shared" si="51"/>
        <v>100</v>
      </c>
    </row>
    <row r="185" spans="1:25" s="58" customFormat="1" x14ac:dyDescent="0.45">
      <c r="A185" s="58" t="s">
        <v>2747</v>
      </c>
      <c r="B185" s="58" t="str">
        <f>VLOOKUP(A185,TaskValues_ref!E:F,2,FALSE)</f>
        <v>STH dx &amp; treat in pregnancy</v>
      </c>
      <c r="C185" s="58">
        <v>100</v>
      </c>
      <c r="E185" s="345">
        <f t="shared" si="62"/>
        <v>100</v>
      </c>
      <c r="F185" s="344">
        <v>100</v>
      </c>
      <c r="J185" s="345">
        <f t="shared" si="49"/>
        <v>100</v>
      </c>
      <c r="K185" s="344">
        <v>100</v>
      </c>
      <c r="R185" s="345">
        <f t="shared" si="50"/>
        <v>100</v>
      </c>
      <c r="S185" s="344">
        <v>100</v>
      </c>
      <c r="Y185" s="345">
        <f t="shared" si="51"/>
        <v>100</v>
      </c>
    </row>
    <row r="186" spans="1:25" s="58" customFormat="1" x14ac:dyDescent="0.45">
      <c r="A186" s="58" t="s">
        <v>2748</v>
      </c>
      <c r="B186" s="58" t="str">
        <f>VLOOKUP(A186,TaskValues_ref!E:F,2,FALSE)</f>
        <v>Scabies behavior change</v>
      </c>
      <c r="C186" s="58">
        <v>100</v>
      </c>
      <c r="E186" s="345">
        <f t="shared" si="62"/>
        <v>100</v>
      </c>
      <c r="F186" s="344"/>
      <c r="H186" s="58">
        <v>100</v>
      </c>
      <c r="J186" s="345">
        <f t="shared" si="49"/>
        <v>100</v>
      </c>
      <c r="K186" s="344"/>
      <c r="M186" s="58">
        <v>50</v>
      </c>
      <c r="P186" s="58">
        <v>50</v>
      </c>
      <c r="R186" s="345">
        <f t="shared" si="50"/>
        <v>100</v>
      </c>
      <c r="S186" s="344"/>
      <c r="U186" s="58">
        <v>50</v>
      </c>
      <c r="W186" s="58">
        <v>50</v>
      </c>
      <c r="Y186" s="345">
        <f t="shared" si="51"/>
        <v>100</v>
      </c>
    </row>
    <row r="187" spans="1:25" s="58" customFormat="1" x14ac:dyDescent="0.45">
      <c r="A187" s="58" t="s">
        <v>2749</v>
      </c>
      <c r="B187" s="58" t="str">
        <f>VLOOKUP(A187,TaskValues_ref!E:F,2,FALSE)</f>
        <v>Scabies MDA</v>
      </c>
      <c r="C187" s="58">
        <v>100</v>
      </c>
      <c r="E187" s="345">
        <f t="shared" si="62"/>
        <v>100</v>
      </c>
      <c r="F187" s="344"/>
      <c r="H187" s="58">
        <v>100</v>
      </c>
      <c r="J187" s="345">
        <f t="shared" si="49"/>
        <v>100</v>
      </c>
      <c r="K187" s="344"/>
      <c r="P187" s="58">
        <v>100</v>
      </c>
      <c r="R187" s="345">
        <f t="shared" si="50"/>
        <v>100</v>
      </c>
      <c r="S187" s="344"/>
      <c r="W187" s="58">
        <f t="shared" si="61"/>
        <v>100</v>
      </c>
      <c r="Y187" s="345">
        <f t="shared" si="51"/>
        <v>100</v>
      </c>
    </row>
    <row r="188" spans="1:25" x14ac:dyDescent="0.45">
      <c r="A188" t="s">
        <v>2625</v>
      </c>
      <c r="B188" t="str">
        <f>VLOOKUP(A188,TaskValues_ref!E:F,2,FALSE)</f>
        <v>Model household program</v>
      </c>
      <c r="C188" s="58">
        <v>100</v>
      </c>
      <c r="E188" s="257">
        <f t="shared" si="62"/>
        <v>100</v>
      </c>
      <c r="H188">
        <v>100</v>
      </c>
      <c r="J188" s="257">
        <f t="shared" si="49"/>
        <v>100</v>
      </c>
      <c r="P188" s="58">
        <v>100</v>
      </c>
      <c r="R188" s="257">
        <f t="shared" si="50"/>
        <v>100</v>
      </c>
      <c r="W188">
        <v>100</v>
      </c>
      <c r="Y188" s="257">
        <f t="shared" si="51"/>
        <v>100</v>
      </c>
    </row>
    <row r="189" spans="1:25" x14ac:dyDescent="0.45">
      <c r="A189" t="s">
        <v>2626</v>
      </c>
      <c r="B189" t="str">
        <f>VLOOKUP(A189,TaskValues_ref!E:F,2,FALSE)</f>
        <v>Model household program</v>
      </c>
      <c r="C189" s="58">
        <v>100</v>
      </c>
      <c r="E189" s="257">
        <f t="shared" si="62"/>
        <v>100</v>
      </c>
      <c r="H189">
        <v>100</v>
      </c>
      <c r="J189" s="257">
        <f t="shared" si="49"/>
        <v>100</v>
      </c>
      <c r="M189">
        <v>50</v>
      </c>
      <c r="N189">
        <v>50</v>
      </c>
      <c r="R189" s="257">
        <f t="shared" si="50"/>
        <v>100</v>
      </c>
      <c r="U189">
        <v>100</v>
      </c>
      <c r="Y189" s="257">
        <f t="shared" si="51"/>
        <v>100</v>
      </c>
    </row>
    <row r="190" spans="1:25" x14ac:dyDescent="0.45">
      <c r="A190" t="s">
        <v>1952</v>
      </c>
      <c r="B190" t="str">
        <f>VLOOKUP(A190,TaskValues_ref!E:F,2,FALSE)</f>
        <v>Record keeping</v>
      </c>
      <c r="C190" s="58">
        <v>100</v>
      </c>
      <c r="E190" s="257">
        <f t="shared" si="62"/>
        <v>100</v>
      </c>
      <c r="F190" s="64">
        <v>25</v>
      </c>
      <c r="G190">
        <v>25</v>
      </c>
      <c r="H190" s="58">
        <v>50</v>
      </c>
      <c r="J190" s="257">
        <f t="shared" si="49"/>
        <v>100</v>
      </c>
      <c r="K190" s="64">
        <f>1/6*100</f>
        <v>16.666666666666664</v>
      </c>
      <c r="L190">
        <f t="shared" ref="L190:P190" si="63">1/6*100</f>
        <v>16.666666666666664</v>
      </c>
      <c r="M190">
        <f t="shared" si="63"/>
        <v>16.666666666666664</v>
      </c>
      <c r="N190">
        <f t="shared" si="63"/>
        <v>16.666666666666664</v>
      </c>
      <c r="O190">
        <f t="shared" si="63"/>
        <v>16.666666666666664</v>
      </c>
      <c r="P190">
        <f t="shared" si="63"/>
        <v>16.666666666666664</v>
      </c>
      <c r="R190" s="257">
        <f>SUM(K190:Q190)</f>
        <v>99.999999999999972</v>
      </c>
      <c r="S190" s="64">
        <f>1/6*100</f>
        <v>16.666666666666664</v>
      </c>
      <c r="T190">
        <f t="shared" ref="T190:W190" si="64">1/6*100</f>
        <v>16.666666666666664</v>
      </c>
      <c r="U190">
        <f>1/6*100*2</f>
        <v>33.333333333333329</v>
      </c>
      <c r="V190">
        <f t="shared" si="64"/>
        <v>16.666666666666664</v>
      </c>
      <c r="W190">
        <f t="shared" si="64"/>
        <v>16.666666666666664</v>
      </c>
      <c r="Y190" s="257">
        <f t="shared" si="51"/>
        <v>99.999999999999972</v>
      </c>
    </row>
    <row r="191" spans="1:25" x14ac:dyDescent="0.45">
      <c r="A191" t="s">
        <v>2793</v>
      </c>
      <c r="B191" t="s">
        <v>2795</v>
      </c>
      <c r="C191" s="58">
        <v>100</v>
      </c>
      <c r="E191" s="257">
        <f t="shared" si="62"/>
        <v>100</v>
      </c>
      <c r="H191">
        <v>100</v>
      </c>
      <c r="J191" s="257">
        <f t="shared" ref="J191:J192" si="65">SUM(F191:I191)</f>
        <v>100</v>
      </c>
      <c r="P191">
        <v>100</v>
      </c>
      <c r="R191" s="257">
        <f>SUM(K191:Q191)</f>
        <v>100</v>
      </c>
      <c r="W191">
        <v>100</v>
      </c>
      <c r="Y191" s="257">
        <f t="shared" si="51"/>
        <v>100</v>
      </c>
    </row>
    <row r="192" spans="1:25" x14ac:dyDescent="0.45">
      <c r="A192" t="s">
        <v>2794</v>
      </c>
      <c r="B192" t="s">
        <v>2796</v>
      </c>
      <c r="C192" s="58">
        <v>100</v>
      </c>
      <c r="E192" s="257">
        <f t="shared" si="62"/>
        <v>100</v>
      </c>
      <c r="H192">
        <v>100</v>
      </c>
      <c r="J192" s="257">
        <f t="shared" si="65"/>
        <v>100</v>
      </c>
      <c r="M192">
        <v>100</v>
      </c>
      <c r="R192" s="257">
        <f>SUM(K192:Q192)</f>
        <v>100</v>
      </c>
      <c r="U192">
        <v>100</v>
      </c>
      <c r="Y192" s="257">
        <f t="shared" si="51"/>
        <v>100</v>
      </c>
    </row>
    <row r="193" spans="1:25" x14ac:dyDescent="0.45">
      <c r="A193" s="64" t="s">
        <v>2811</v>
      </c>
      <c r="B193" t="s">
        <v>2817</v>
      </c>
      <c r="C193" s="58">
        <v>100</v>
      </c>
      <c r="E193" s="257">
        <f t="shared" si="62"/>
        <v>100</v>
      </c>
      <c r="H193">
        <v>100</v>
      </c>
      <c r="J193" s="257">
        <f t="shared" ref="J193:J196" si="66">SUM(F193:I193)</f>
        <v>100</v>
      </c>
      <c r="K193" s="64">
        <v>100</v>
      </c>
      <c r="R193" s="257">
        <f t="shared" ref="R193:R198" si="67">SUM(K193:Q193)</f>
        <v>100</v>
      </c>
      <c r="S193" s="64">
        <v>100</v>
      </c>
      <c r="Y193" s="257">
        <f t="shared" si="51"/>
        <v>100</v>
      </c>
    </row>
    <row r="194" spans="1:25" x14ac:dyDescent="0.45">
      <c r="A194" s="64" t="s">
        <v>2812</v>
      </c>
      <c r="B194" t="s">
        <v>2818</v>
      </c>
      <c r="C194" s="58">
        <v>100</v>
      </c>
      <c r="E194" s="257">
        <f t="shared" si="62"/>
        <v>100</v>
      </c>
      <c r="H194">
        <v>100</v>
      </c>
      <c r="J194" s="257">
        <f t="shared" si="66"/>
        <v>100</v>
      </c>
      <c r="L194">
        <v>100</v>
      </c>
      <c r="R194" s="257">
        <f t="shared" si="67"/>
        <v>100</v>
      </c>
      <c r="T194">
        <v>100</v>
      </c>
      <c r="Y194" s="257">
        <f t="shared" si="51"/>
        <v>100</v>
      </c>
    </row>
    <row r="195" spans="1:25" x14ac:dyDescent="0.45">
      <c r="A195" s="64" t="s">
        <v>2813</v>
      </c>
      <c r="B195" t="s">
        <v>2819</v>
      </c>
      <c r="H195">
        <v>100</v>
      </c>
      <c r="J195" s="257">
        <f t="shared" si="66"/>
        <v>100</v>
      </c>
      <c r="M195">
        <v>100</v>
      </c>
      <c r="R195" s="257">
        <f t="shared" si="67"/>
        <v>100</v>
      </c>
      <c r="U195">
        <v>100</v>
      </c>
      <c r="Y195" s="257">
        <f t="shared" si="51"/>
        <v>100</v>
      </c>
    </row>
    <row r="196" spans="1:25" x14ac:dyDescent="0.45">
      <c r="A196" s="64" t="s">
        <v>2814</v>
      </c>
      <c r="B196" t="s">
        <v>2820</v>
      </c>
      <c r="H196">
        <v>100</v>
      </c>
      <c r="J196" s="257">
        <f t="shared" si="66"/>
        <v>100</v>
      </c>
      <c r="N196">
        <v>100</v>
      </c>
      <c r="R196" s="257">
        <f t="shared" si="67"/>
        <v>100</v>
      </c>
      <c r="U196">
        <v>100</v>
      </c>
      <c r="Y196" s="257">
        <f t="shared" si="51"/>
        <v>100</v>
      </c>
    </row>
    <row r="197" spans="1:25" x14ac:dyDescent="0.45">
      <c r="A197" t="s">
        <v>2815</v>
      </c>
      <c r="B197" t="s">
        <v>2821</v>
      </c>
      <c r="O197">
        <v>100</v>
      </c>
      <c r="R197" s="257">
        <f t="shared" si="67"/>
        <v>100</v>
      </c>
      <c r="V197">
        <v>100</v>
      </c>
      <c r="Y197" s="257">
        <f t="shared" si="51"/>
        <v>100</v>
      </c>
    </row>
    <row r="198" spans="1:25" x14ac:dyDescent="0.45">
      <c r="A198" t="s">
        <v>2816</v>
      </c>
      <c r="B198" t="s">
        <v>2822</v>
      </c>
      <c r="P198">
        <v>100</v>
      </c>
      <c r="R198" s="257">
        <f t="shared" si="67"/>
        <v>100</v>
      </c>
      <c r="W198">
        <v>100</v>
      </c>
      <c r="Y198" s="257">
        <f t="shared" si="51"/>
        <v>100</v>
      </c>
    </row>
  </sheetData>
  <conditionalFormatting sqref="E2:E31 E34:E40 E54:E58 E61:E65 E67 E85:E92 E95:E107 E69 E71 E73:E77 E114:E115 E109:E111 E118 E156 J166:J190 R166:R190 Y165:Y190 E166:E198 E122:E137 E43:E52 J43:J52 R43:R52 Y43:Y52">
    <cfRule type="cellIs" dxfId="316" priority="213" operator="notEqual">
      <formula>100</formula>
    </cfRule>
  </conditionalFormatting>
  <conditionalFormatting sqref="J2:J31 J34:J40 J54:J58 J61:J65 J67 J85:J92 J95:J107 J69 J71 J73:J77 J114:J115 J109:J111 J118 J156 J122:J137">
    <cfRule type="cellIs" dxfId="315" priority="212" operator="notEqual">
      <formula>100</formula>
    </cfRule>
  </conditionalFormatting>
  <conditionalFormatting sqref="R2:R31 R34:R40 R54:R58 R61:R65 R67 R85:R92 R95:R107 R69 R71 R73:R77 R114:R115 R109:R111 R118 R156 R122:R137">
    <cfRule type="cellIs" dxfId="314" priority="211" operator="notEqual">
      <formula>100</formula>
    </cfRule>
  </conditionalFormatting>
  <conditionalFormatting sqref="Y2:Y31 Y34:Y40 Y54:Y58 Y61:Y65 Y67 Y85:Y92 Y95:Y107 Y69 Y71 Y73:Y77 Y114:Y115 Y109:Y111 Y118 Y156 Y122:Y137">
    <cfRule type="cellIs" dxfId="313" priority="210" operator="notEqual">
      <formula>100</formula>
    </cfRule>
  </conditionalFormatting>
  <conditionalFormatting sqref="E165">
    <cfRule type="cellIs" dxfId="312" priority="209" operator="notEqual">
      <formula>100</formula>
    </cfRule>
  </conditionalFormatting>
  <conditionalFormatting sqref="J165">
    <cfRule type="cellIs" dxfId="311" priority="208" operator="notEqual">
      <formula>100</formula>
    </cfRule>
  </conditionalFormatting>
  <conditionalFormatting sqref="R165">
    <cfRule type="cellIs" dxfId="310" priority="207" operator="notEqual">
      <formula>100</formula>
    </cfRule>
  </conditionalFormatting>
  <conditionalFormatting sqref="E32">
    <cfRule type="cellIs" dxfId="309" priority="206" operator="notEqual">
      <formula>100</formula>
    </cfRule>
  </conditionalFormatting>
  <conditionalFormatting sqref="J32">
    <cfRule type="cellIs" dxfId="308" priority="205" operator="notEqual">
      <formula>100</formula>
    </cfRule>
  </conditionalFormatting>
  <conditionalFormatting sqref="R32">
    <cfRule type="cellIs" dxfId="307" priority="204" operator="notEqual">
      <formula>100</formula>
    </cfRule>
  </conditionalFormatting>
  <conditionalFormatting sqref="Y32">
    <cfRule type="cellIs" dxfId="306" priority="203" operator="notEqual">
      <formula>100</formula>
    </cfRule>
  </conditionalFormatting>
  <conditionalFormatting sqref="E33">
    <cfRule type="cellIs" dxfId="305" priority="202" operator="notEqual">
      <formula>100</formula>
    </cfRule>
  </conditionalFormatting>
  <conditionalFormatting sqref="J33">
    <cfRule type="cellIs" dxfId="304" priority="201" operator="notEqual">
      <formula>100</formula>
    </cfRule>
  </conditionalFormatting>
  <conditionalFormatting sqref="R33">
    <cfRule type="cellIs" dxfId="303" priority="200" operator="notEqual">
      <formula>100</formula>
    </cfRule>
  </conditionalFormatting>
  <conditionalFormatting sqref="Y33">
    <cfRule type="cellIs" dxfId="302" priority="199" operator="notEqual">
      <formula>100</formula>
    </cfRule>
  </conditionalFormatting>
  <conditionalFormatting sqref="E41">
    <cfRule type="cellIs" dxfId="301" priority="198" operator="notEqual">
      <formula>100</formula>
    </cfRule>
  </conditionalFormatting>
  <conditionalFormatting sqref="J41">
    <cfRule type="cellIs" dxfId="300" priority="197" operator="notEqual">
      <formula>100</formula>
    </cfRule>
  </conditionalFormatting>
  <conditionalFormatting sqref="R41">
    <cfRule type="cellIs" dxfId="299" priority="196" operator="notEqual">
      <formula>100</formula>
    </cfRule>
  </conditionalFormatting>
  <conditionalFormatting sqref="Y41">
    <cfRule type="cellIs" dxfId="298" priority="195" operator="notEqual">
      <formula>100</formula>
    </cfRule>
  </conditionalFormatting>
  <conditionalFormatting sqref="E42">
    <cfRule type="cellIs" dxfId="297" priority="194" operator="notEqual">
      <formula>100</formula>
    </cfRule>
  </conditionalFormatting>
  <conditionalFormatting sqref="J42">
    <cfRule type="cellIs" dxfId="296" priority="193" operator="notEqual">
      <formula>100</formula>
    </cfRule>
  </conditionalFormatting>
  <conditionalFormatting sqref="R42">
    <cfRule type="cellIs" dxfId="295" priority="192" operator="notEqual">
      <formula>100</formula>
    </cfRule>
  </conditionalFormatting>
  <conditionalFormatting sqref="Y42">
    <cfRule type="cellIs" dxfId="294" priority="191" operator="notEqual">
      <formula>100</formula>
    </cfRule>
  </conditionalFormatting>
  <conditionalFormatting sqref="E53">
    <cfRule type="cellIs" dxfId="293" priority="190" operator="notEqual">
      <formula>100</formula>
    </cfRule>
  </conditionalFormatting>
  <conditionalFormatting sqref="J53">
    <cfRule type="cellIs" dxfId="292" priority="189" operator="notEqual">
      <formula>100</formula>
    </cfRule>
  </conditionalFormatting>
  <conditionalFormatting sqref="R53">
    <cfRule type="cellIs" dxfId="291" priority="188" operator="notEqual">
      <formula>100</formula>
    </cfRule>
  </conditionalFormatting>
  <conditionalFormatting sqref="Y53">
    <cfRule type="cellIs" dxfId="290" priority="187" operator="notEqual">
      <formula>100</formula>
    </cfRule>
  </conditionalFormatting>
  <conditionalFormatting sqref="E59">
    <cfRule type="cellIs" dxfId="289" priority="186" operator="notEqual">
      <formula>100</formula>
    </cfRule>
  </conditionalFormatting>
  <conditionalFormatting sqref="J59">
    <cfRule type="cellIs" dxfId="288" priority="185" operator="notEqual">
      <formula>100</formula>
    </cfRule>
  </conditionalFormatting>
  <conditionalFormatting sqref="R59">
    <cfRule type="cellIs" dxfId="287" priority="184" operator="notEqual">
      <formula>100</formula>
    </cfRule>
  </conditionalFormatting>
  <conditionalFormatting sqref="Y59">
    <cfRule type="cellIs" dxfId="286" priority="183" operator="notEqual">
      <formula>100</formula>
    </cfRule>
  </conditionalFormatting>
  <conditionalFormatting sqref="E60">
    <cfRule type="cellIs" dxfId="285" priority="182" operator="notEqual">
      <formula>100</formula>
    </cfRule>
  </conditionalFormatting>
  <conditionalFormatting sqref="J60">
    <cfRule type="cellIs" dxfId="284" priority="181" operator="notEqual">
      <formula>100</formula>
    </cfRule>
  </conditionalFormatting>
  <conditionalFormatting sqref="R60">
    <cfRule type="cellIs" dxfId="283" priority="180" operator="notEqual">
      <formula>100</formula>
    </cfRule>
  </conditionalFormatting>
  <conditionalFormatting sqref="Y60">
    <cfRule type="cellIs" dxfId="282" priority="179" operator="notEqual">
      <formula>100</formula>
    </cfRule>
  </conditionalFormatting>
  <conditionalFormatting sqref="E66">
    <cfRule type="cellIs" dxfId="281" priority="178" operator="notEqual">
      <formula>100</formula>
    </cfRule>
  </conditionalFormatting>
  <conditionalFormatting sqref="J66">
    <cfRule type="cellIs" dxfId="280" priority="177" operator="notEqual">
      <formula>100</formula>
    </cfRule>
  </conditionalFormatting>
  <conditionalFormatting sqref="R66">
    <cfRule type="cellIs" dxfId="279" priority="176" operator="notEqual">
      <formula>100</formula>
    </cfRule>
  </conditionalFormatting>
  <conditionalFormatting sqref="Y66">
    <cfRule type="cellIs" dxfId="278" priority="175" operator="notEqual">
      <formula>100</formula>
    </cfRule>
  </conditionalFormatting>
  <conditionalFormatting sqref="E78">
    <cfRule type="cellIs" dxfId="277" priority="174" operator="notEqual">
      <formula>100</formula>
    </cfRule>
  </conditionalFormatting>
  <conditionalFormatting sqref="J78">
    <cfRule type="cellIs" dxfId="276" priority="173" operator="notEqual">
      <formula>100</formula>
    </cfRule>
  </conditionalFormatting>
  <conditionalFormatting sqref="R78">
    <cfRule type="cellIs" dxfId="275" priority="172" operator="notEqual">
      <formula>100</formula>
    </cfRule>
  </conditionalFormatting>
  <conditionalFormatting sqref="Y78">
    <cfRule type="cellIs" dxfId="274" priority="171" operator="notEqual">
      <formula>100</formula>
    </cfRule>
  </conditionalFormatting>
  <conditionalFormatting sqref="E79">
    <cfRule type="cellIs" dxfId="273" priority="170" operator="notEqual">
      <formula>100</formula>
    </cfRule>
  </conditionalFormatting>
  <conditionalFormatting sqref="J79">
    <cfRule type="cellIs" dxfId="272" priority="169" operator="notEqual">
      <formula>100</formula>
    </cfRule>
  </conditionalFormatting>
  <conditionalFormatting sqref="R79">
    <cfRule type="cellIs" dxfId="271" priority="168" operator="notEqual">
      <formula>100</formula>
    </cfRule>
  </conditionalFormatting>
  <conditionalFormatting sqref="Y79">
    <cfRule type="cellIs" dxfId="270" priority="167" operator="notEqual">
      <formula>100</formula>
    </cfRule>
  </conditionalFormatting>
  <conditionalFormatting sqref="E82">
    <cfRule type="cellIs" dxfId="269" priority="166" operator="notEqual">
      <formula>100</formula>
    </cfRule>
  </conditionalFormatting>
  <conditionalFormatting sqref="J82">
    <cfRule type="cellIs" dxfId="268" priority="165" operator="notEqual">
      <formula>100</formula>
    </cfRule>
  </conditionalFormatting>
  <conditionalFormatting sqref="R82">
    <cfRule type="cellIs" dxfId="267" priority="164" operator="notEqual">
      <formula>100</formula>
    </cfRule>
  </conditionalFormatting>
  <conditionalFormatting sqref="Y82">
    <cfRule type="cellIs" dxfId="266" priority="163" operator="notEqual">
      <formula>100</formula>
    </cfRule>
  </conditionalFormatting>
  <conditionalFormatting sqref="E83">
    <cfRule type="cellIs" dxfId="265" priority="162" operator="notEqual">
      <formula>100</formula>
    </cfRule>
  </conditionalFormatting>
  <conditionalFormatting sqref="J83">
    <cfRule type="cellIs" dxfId="264" priority="161" operator="notEqual">
      <formula>100</formula>
    </cfRule>
  </conditionalFormatting>
  <conditionalFormatting sqref="R83">
    <cfRule type="cellIs" dxfId="263" priority="160" operator="notEqual">
      <formula>100</formula>
    </cfRule>
  </conditionalFormatting>
  <conditionalFormatting sqref="Y83">
    <cfRule type="cellIs" dxfId="262" priority="159" operator="notEqual">
      <formula>100</formula>
    </cfRule>
  </conditionalFormatting>
  <conditionalFormatting sqref="E84">
    <cfRule type="cellIs" dxfId="261" priority="158" operator="notEqual">
      <formula>100</formula>
    </cfRule>
  </conditionalFormatting>
  <conditionalFormatting sqref="J84">
    <cfRule type="cellIs" dxfId="260" priority="157" operator="notEqual">
      <formula>100</formula>
    </cfRule>
  </conditionalFormatting>
  <conditionalFormatting sqref="R84">
    <cfRule type="cellIs" dxfId="259" priority="156" operator="notEqual">
      <formula>100</formula>
    </cfRule>
  </conditionalFormatting>
  <conditionalFormatting sqref="Y84">
    <cfRule type="cellIs" dxfId="258" priority="155" operator="notEqual">
      <formula>100</formula>
    </cfRule>
  </conditionalFormatting>
  <conditionalFormatting sqref="E94">
    <cfRule type="cellIs" dxfId="257" priority="154" operator="notEqual">
      <formula>100</formula>
    </cfRule>
  </conditionalFormatting>
  <conditionalFormatting sqref="J94">
    <cfRule type="cellIs" dxfId="256" priority="153" operator="notEqual">
      <formula>100</formula>
    </cfRule>
  </conditionalFormatting>
  <conditionalFormatting sqref="R94">
    <cfRule type="cellIs" dxfId="255" priority="152" operator="notEqual">
      <formula>100</formula>
    </cfRule>
  </conditionalFormatting>
  <conditionalFormatting sqref="Y94">
    <cfRule type="cellIs" dxfId="254" priority="151" operator="notEqual">
      <formula>100</formula>
    </cfRule>
  </conditionalFormatting>
  <conditionalFormatting sqref="E93">
    <cfRule type="cellIs" dxfId="253" priority="150" operator="notEqual">
      <formula>100</formula>
    </cfRule>
  </conditionalFormatting>
  <conditionalFormatting sqref="J93">
    <cfRule type="cellIs" dxfId="252" priority="149" operator="notEqual">
      <formula>100</formula>
    </cfRule>
  </conditionalFormatting>
  <conditionalFormatting sqref="R93">
    <cfRule type="cellIs" dxfId="251" priority="148" operator="notEqual">
      <formula>100</formula>
    </cfRule>
  </conditionalFormatting>
  <conditionalFormatting sqref="Y93">
    <cfRule type="cellIs" dxfId="250" priority="147" operator="notEqual">
      <formula>100</formula>
    </cfRule>
  </conditionalFormatting>
  <conditionalFormatting sqref="E68">
    <cfRule type="cellIs" dxfId="249" priority="146" operator="notEqual">
      <formula>100</formula>
    </cfRule>
  </conditionalFormatting>
  <conditionalFormatting sqref="J68">
    <cfRule type="cellIs" dxfId="248" priority="145" operator="notEqual">
      <formula>100</formula>
    </cfRule>
  </conditionalFormatting>
  <conditionalFormatting sqref="R68">
    <cfRule type="cellIs" dxfId="247" priority="144" operator="notEqual">
      <formula>100</formula>
    </cfRule>
  </conditionalFormatting>
  <conditionalFormatting sqref="Y68">
    <cfRule type="cellIs" dxfId="246" priority="143" operator="notEqual">
      <formula>100</formula>
    </cfRule>
  </conditionalFormatting>
  <conditionalFormatting sqref="E70">
    <cfRule type="cellIs" dxfId="245" priority="142" operator="notEqual">
      <formula>100</formula>
    </cfRule>
  </conditionalFormatting>
  <conditionalFormatting sqref="J70">
    <cfRule type="cellIs" dxfId="244" priority="141" operator="notEqual">
      <formula>100</formula>
    </cfRule>
  </conditionalFormatting>
  <conditionalFormatting sqref="R70">
    <cfRule type="cellIs" dxfId="243" priority="140" operator="notEqual">
      <formula>100</formula>
    </cfRule>
  </conditionalFormatting>
  <conditionalFormatting sqref="Y70">
    <cfRule type="cellIs" dxfId="242" priority="139" operator="notEqual">
      <formula>100</formula>
    </cfRule>
  </conditionalFormatting>
  <conditionalFormatting sqref="E72">
    <cfRule type="cellIs" dxfId="241" priority="138" operator="notEqual">
      <formula>100</formula>
    </cfRule>
  </conditionalFormatting>
  <conditionalFormatting sqref="J72">
    <cfRule type="cellIs" dxfId="240" priority="137" operator="notEqual">
      <formula>100</formula>
    </cfRule>
  </conditionalFormatting>
  <conditionalFormatting sqref="R72">
    <cfRule type="cellIs" dxfId="239" priority="136" operator="notEqual">
      <formula>100</formula>
    </cfRule>
  </conditionalFormatting>
  <conditionalFormatting sqref="Y72">
    <cfRule type="cellIs" dxfId="238" priority="135" operator="notEqual">
      <formula>100</formula>
    </cfRule>
  </conditionalFormatting>
  <conditionalFormatting sqref="E80">
    <cfRule type="cellIs" dxfId="237" priority="134" operator="notEqual">
      <formula>100</formula>
    </cfRule>
  </conditionalFormatting>
  <conditionalFormatting sqref="J80">
    <cfRule type="cellIs" dxfId="236" priority="133" operator="notEqual">
      <formula>100</formula>
    </cfRule>
  </conditionalFormatting>
  <conditionalFormatting sqref="R80">
    <cfRule type="cellIs" dxfId="235" priority="132" operator="notEqual">
      <formula>100</formula>
    </cfRule>
  </conditionalFormatting>
  <conditionalFormatting sqref="Y80">
    <cfRule type="cellIs" dxfId="234" priority="131" operator="notEqual">
      <formula>100</formula>
    </cfRule>
  </conditionalFormatting>
  <conditionalFormatting sqref="E81">
    <cfRule type="cellIs" dxfId="233" priority="130" operator="notEqual">
      <formula>100</formula>
    </cfRule>
  </conditionalFormatting>
  <conditionalFormatting sqref="J81">
    <cfRule type="cellIs" dxfId="232" priority="129" operator="notEqual">
      <formula>100</formula>
    </cfRule>
  </conditionalFormatting>
  <conditionalFormatting sqref="R81">
    <cfRule type="cellIs" dxfId="231" priority="128" operator="notEqual">
      <formula>100</formula>
    </cfRule>
  </conditionalFormatting>
  <conditionalFormatting sqref="Y81">
    <cfRule type="cellIs" dxfId="230" priority="127" operator="notEqual">
      <formula>100</formula>
    </cfRule>
  </conditionalFormatting>
  <conditionalFormatting sqref="E119">
    <cfRule type="cellIs" dxfId="229" priority="126" operator="notEqual">
      <formula>100</formula>
    </cfRule>
  </conditionalFormatting>
  <conditionalFormatting sqref="J119">
    <cfRule type="cellIs" dxfId="228" priority="125" operator="notEqual">
      <formula>100</formula>
    </cfRule>
  </conditionalFormatting>
  <conditionalFormatting sqref="R119">
    <cfRule type="cellIs" dxfId="227" priority="124" operator="notEqual">
      <formula>100</formula>
    </cfRule>
  </conditionalFormatting>
  <conditionalFormatting sqref="Y119">
    <cfRule type="cellIs" dxfId="226" priority="123" operator="notEqual">
      <formula>100</formula>
    </cfRule>
  </conditionalFormatting>
  <conditionalFormatting sqref="E120">
    <cfRule type="cellIs" dxfId="225" priority="122" operator="notEqual">
      <formula>100</formula>
    </cfRule>
  </conditionalFormatting>
  <conditionalFormatting sqref="J120">
    <cfRule type="cellIs" dxfId="224" priority="121" operator="notEqual">
      <formula>100</formula>
    </cfRule>
  </conditionalFormatting>
  <conditionalFormatting sqref="R120">
    <cfRule type="cellIs" dxfId="223" priority="120" operator="notEqual">
      <formula>100</formula>
    </cfRule>
  </conditionalFormatting>
  <conditionalFormatting sqref="Y120">
    <cfRule type="cellIs" dxfId="222" priority="119" operator="notEqual">
      <formula>100</formula>
    </cfRule>
  </conditionalFormatting>
  <conditionalFormatting sqref="E113">
    <cfRule type="cellIs" dxfId="221" priority="118" operator="notEqual">
      <formula>100</formula>
    </cfRule>
  </conditionalFormatting>
  <conditionalFormatting sqref="J113">
    <cfRule type="cellIs" dxfId="220" priority="117" operator="notEqual">
      <formula>100</formula>
    </cfRule>
  </conditionalFormatting>
  <conditionalFormatting sqref="R113">
    <cfRule type="cellIs" dxfId="219" priority="116" operator="notEqual">
      <formula>100</formula>
    </cfRule>
  </conditionalFormatting>
  <conditionalFormatting sqref="Y113">
    <cfRule type="cellIs" dxfId="218" priority="115" operator="notEqual">
      <formula>100</formula>
    </cfRule>
  </conditionalFormatting>
  <conditionalFormatting sqref="E112">
    <cfRule type="cellIs" dxfId="217" priority="114" operator="notEqual">
      <formula>100</formula>
    </cfRule>
  </conditionalFormatting>
  <conditionalFormatting sqref="J112">
    <cfRule type="cellIs" dxfId="216" priority="113" operator="notEqual">
      <formula>100</formula>
    </cfRule>
  </conditionalFormatting>
  <conditionalFormatting sqref="R112">
    <cfRule type="cellIs" dxfId="215" priority="112" operator="notEqual">
      <formula>100</formula>
    </cfRule>
  </conditionalFormatting>
  <conditionalFormatting sqref="Y112">
    <cfRule type="cellIs" dxfId="214" priority="111" operator="notEqual">
      <formula>100</formula>
    </cfRule>
  </conditionalFormatting>
  <conditionalFormatting sqref="E157">
    <cfRule type="cellIs" dxfId="213" priority="110" operator="notEqual">
      <formula>100</formula>
    </cfRule>
  </conditionalFormatting>
  <conditionalFormatting sqref="J157">
    <cfRule type="cellIs" dxfId="212" priority="109" operator="notEqual">
      <formula>100</formula>
    </cfRule>
  </conditionalFormatting>
  <conditionalFormatting sqref="R157">
    <cfRule type="cellIs" dxfId="211" priority="108" operator="notEqual">
      <formula>100</formula>
    </cfRule>
  </conditionalFormatting>
  <conditionalFormatting sqref="Y157">
    <cfRule type="cellIs" dxfId="210" priority="107" operator="notEqual">
      <formula>100</formula>
    </cfRule>
  </conditionalFormatting>
  <conditionalFormatting sqref="E108">
    <cfRule type="cellIs" dxfId="209" priority="106" operator="notEqual">
      <formula>100</formula>
    </cfRule>
  </conditionalFormatting>
  <conditionalFormatting sqref="J108">
    <cfRule type="cellIs" dxfId="208" priority="105" operator="notEqual">
      <formula>100</formula>
    </cfRule>
  </conditionalFormatting>
  <conditionalFormatting sqref="R108">
    <cfRule type="cellIs" dxfId="207" priority="104" operator="notEqual">
      <formula>100</formula>
    </cfRule>
  </conditionalFormatting>
  <conditionalFormatting sqref="Y108">
    <cfRule type="cellIs" dxfId="206" priority="103" operator="notEqual">
      <formula>100</formula>
    </cfRule>
  </conditionalFormatting>
  <conditionalFormatting sqref="E116">
    <cfRule type="cellIs" dxfId="205" priority="102" operator="notEqual">
      <formula>100</formula>
    </cfRule>
  </conditionalFormatting>
  <conditionalFormatting sqref="J116">
    <cfRule type="cellIs" dxfId="204" priority="101" operator="notEqual">
      <formula>100</formula>
    </cfRule>
  </conditionalFormatting>
  <conditionalFormatting sqref="R116">
    <cfRule type="cellIs" dxfId="203" priority="100" operator="notEqual">
      <formula>100</formula>
    </cfRule>
  </conditionalFormatting>
  <conditionalFormatting sqref="Y116">
    <cfRule type="cellIs" dxfId="202" priority="99" operator="notEqual">
      <formula>100</formula>
    </cfRule>
  </conditionalFormatting>
  <conditionalFormatting sqref="E117">
    <cfRule type="cellIs" dxfId="201" priority="98" operator="notEqual">
      <formula>100</formula>
    </cfRule>
  </conditionalFormatting>
  <conditionalFormatting sqref="J117">
    <cfRule type="cellIs" dxfId="200" priority="97" operator="notEqual">
      <formula>100</formula>
    </cfRule>
  </conditionalFormatting>
  <conditionalFormatting sqref="R117">
    <cfRule type="cellIs" dxfId="199" priority="96" operator="notEqual">
      <formula>100</formula>
    </cfRule>
  </conditionalFormatting>
  <conditionalFormatting sqref="Y117">
    <cfRule type="cellIs" dxfId="198" priority="95" operator="notEqual">
      <formula>100</formula>
    </cfRule>
  </conditionalFormatting>
  <conditionalFormatting sqref="E121">
    <cfRule type="cellIs" dxfId="197" priority="94" operator="notEqual">
      <formula>100</formula>
    </cfRule>
  </conditionalFormatting>
  <conditionalFormatting sqref="J121">
    <cfRule type="cellIs" dxfId="196" priority="93" operator="notEqual">
      <formula>100</formula>
    </cfRule>
  </conditionalFormatting>
  <conditionalFormatting sqref="R121">
    <cfRule type="cellIs" dxfId="195" priority="92" operator="notEqual">
      <formula>100</formula>
    </cfRule>
  </conditionalFormatting>
  <conditionalFormatting sqref="Y121">
    <cfRule type="cellIs" dxfId="194" priority="91" operator="notEqual">
      <formula>100</formula>
    </cfRule>
  </conditionalFormatting>
  <conditionalFormatting sqref="E147">
    <cfRule type="cellIs" dxfId="193" priority="90" operator="notEqual">
      <formula>100</formula>
    </cfRule>
  </conditionalFormatting>
  <conditionalFormatting sqref="J147">
    <cfRule type="cellIs" dxfId="192" priority="89" operator="notEqual">
      <formula>100</formula>
    </cfRule>
  </conditionalFormatting>
  <conditionalFormatting sqref="R147">
    <cfRule type="cellIs" dxfId="191" priority="88" operator="notEqual">
      <formula>100</formula>
    </cfRule>
  </conditionalFormatting>
  <conditionalFormatting sqref="Y147">
    <cfRule type="cellIs" dxfId="190" priority="87" operator="notEqual">
      <formula>100</formula>
    </cfRule>
  </conditionalFormatting>
  <conditionalFormatting sqref="E148">
    <cfRule type="cellIs" dxfId="189" priority="86" operator="notEqual">
      <formula>100</formula>
    </cfRule>
  </conditionalFormatting>
  <conditionalFormatting sqref="J148">
    <cfRule type="cellIs" dxfId="188" priority="85" operator="notEqual">
      <formula>100</formula>
    </cfRule>
  </conditionalFormatting>
  <conditionalFormatting sqref="R148">
    <cfRule type="cellIs" dxfId="187" priority="84" operator="notEqual">
      <formula>100</formula>
    </cfRule>
  </conditionalFormatting>
  <conditionalFormatting sqref="Y148">
    <cfRule type="cellIs" dxfId="186" priority="83" operator="notEqual">
      <formula>100</formula>
    </cfRule>
  </conditionalFormatting>
  <conditionalFormatting sqref="E151">
    <cfRule type="cellIs" dxfId="185" priority="82" operator="notEqual">
      <formula>100</formula>
    </cfRule>
  </conditionalFormatting>
  <conditionalFormatting sqref="J151">
    <cfRule type="cellIs" dxfId="184" priority="81" operator="notEqual">
      <formula>100</formula>
    </cfRule>
  </conditionalFormatting>
  <conditionalFormatting sqref="R151">
    <cfRule type="cellIs" dxfId="183" priority="80" operator="notEqual">
      <formula>100</formula>
    </cfRule>
  </conditionalFormatting>
  <conditionalFormatting sqref="Y151">
    <cfRule type="cellIs" dxfId="182" priority="79" operator="notEqual">
      <formula>100</formula>
    </cfRule>
  </conditionalFormatting>
  <conditionalFormatting sqref="E153">
    <cfRule type="cellIs" dxfId="181" priority="78" operator="notEqual">
      <formula>100</formula>
    </cfRule>
  </conditionalFormatting>
  <conditionalFormatting sqref="J153">
    <cfRule type="cellIs" dxfId="180" priority="77" operator="notEqual">
      <formula>100</formula>
    </cfRule>
  </conditionalFormatting>
  <conditionalFormatting sqref="R153">
    <cfRule type="cellIs" dxfId="179" priority="76" operator="notEqual">
      <formula>100</formula>
    </cfRule>
  </conditionalFormatting>
  <conditionalFormatting sqref="Y153">
    <cfRule type="cellIs" dxfId="178" priority="75" operator="notEqual">
      <formula>100</formula>
    </cfRule>
  </conditionalFormatting>
  <conditionalFormatting sqref="E154">
    <cfRule type="cellIs" dxfId="177" priority="74" operator="notEqual">
      <formula>100</formula>
    </cfRule>
  </conditionalFormatting>
  <conditionalFormatting sqref="J154">
    <cfRule type="cellIs" dxfId="176" priority="73" operator="notEqual">
      <formula>100</formula>
    </cfRule>
  </conditionalFormatting>
  <conditionalFormatting sqref="R154">
    <cfRule type="cellIs" dxfId="175" priority="72" operator="notEqual">
      <formula>100</formula>
    </cfRule>
  </conditionalFormatting>
  <conditionalFormatting sqref="Y154">
    <cfRule type="cellIs" dxfId="174" priority="71" operator="notEqual">
      <formula>100</formula>
    </cfRule>
  </conditionalFormatting>
  <conditionalFormatting sqref="E160">
    <cfRule type="cellIs" dxfId="173" priority="70" operator="notEqual">
      <formula>100</formula>
    </cfRule>
  </conditionalFormatting>
  <conditionalFormatting sqref="J160">
    <cfRule type="cellIs" dxfId="172" priority="69" operator="notEqual">
      <formula>100</formula>
    </cfRule>
  </conditionalFormatting>
  <conditionalFormatting sqref="R160">
    <cfRule type="cellIs" dxfId="171" priority="68" operator="notEqual">
      <formula>100</formula>
    </cfRule>
  </conditionalFormatting>
  <conditionalFormatting sqref="Y160">
    <cfRule type="cellIs" dxfId="170" priority="67" operator="notEqual">
      <formula>100</formula>
    </cfRule>
  </conditionalFormatting>
  <conditionalFormatting sqref="E138">
    <cfRule type="cellIs" dxfId="169" priority="66" operator="notEqual">
      <formula>100</formula>
    </cfRule>
  </conditionalFormatting>
  <conditionalFormatting sqref="J138">
    <cfRule type="cellIs" dxfId="168" priority="65" operator="notEqual">
      <formula>100</formula>
    </cfRule>
  </conditionalFormatting>
  <conditionalFormatting sqref="R138">
    <cfRule type="cellIs" dxfId="167" priority="64" operator="notEqual">
      <formula>100</formula>
    </cfRule>
  </conditionalFormatting>
  <conditionalFormatting sqref="Y138">
    <cfRule type="cellIs" dxfId="166" priority="63" operator="notEqual">
      <formula>100</formula>
    </cfRule>
  </conditionalFormatting>
  <conditionalFormatting sqref="E139">
    <cfRule type="cellIs" dxfId="165" priority="62" operator="notEqual">
      <formula>100</formula>
    </cfRule>
  </conditionalFormatting>
  <conditionalFormatting sqref="J139">
    <cfRule type="cellIs" dxfId="164" priority="61" operator="notEqual">
      <formula>100</formula>
    </cfRule>
  </conditionalFormatting>
  <conditionalFormatting sqref="R139">
    <cfRule type="cellIs" dxfId="163" priority="60" operator="notEqual">
      <formula>100</formula>
    </cfRule>
  </conditionalFormatting>
  <conditionalFormatting sqref="Y139">
    <cfRule type="cellIs" dxfId="162" priority="59" operator="notEqual">
      <formula>100</formula>
    </cfRule>
  </conditionalFormatting>
  <conditionalFormatting sqref="E140">
    <cfRule type="cellIs" dxfId="161" priority="58" operator="notEqual">
      <formula>100</formula>
    </cfRule>
  </conditionalFormatting>
  <conditionalFormatting sqref="J140">
    <cfRule type="cellIs" dxfId="160" priority="57" operator="notEqual">
      <formula>100</formula>
    </cfRule>
  </conditionalFormatting>
  <conditionalFormatting sqref="R140">
    <cfRule type="cellIs" dxfId="159" priority="56" operator="notEqual">
      <formula>100</formula>
    </cfRule>
  </conditionalFormatting>
  <conditionalFormatting sqref="Y140">
    <cfRule type="cellIs" dxfId="158" priority="55" operator="notEqual">
      <formula>100</formula>
    </cfRule>
  </conditionalFormatting>
  <conditionalFormatting sqref="E141:E146">
    <cfRule type="cellIs" dxfId="157" priority="54" operator="notEqual">
      <formula>100</formula>
    </cfRule>
  </conditionalFormatting>
  <conditionalFormatting sqref="J141:J146">
    <cfRule type="cellIs" dxfId="156" priority="53" operator="notEqual">
      <formula>100</formula>
    </cfRule>
  </conditionalFormatting>
  <conditionalFormatting sqref="R141:R146">
    <cfRule type="cellIs" dxfId="155" priority="52" operator="notEqual">
      <formula>100</formula>
    </cfRule>
  </conditionalFormatting>
  <conditionalFormatting sqref="Y141:Y146">
    <cfRule type="cellIs" dxfId="154" priority="51" operator="notEqual">
      <formula>100</formula>
    </cfRule>
  </conditionalFormatting>
  <conditionalFormatting sqref="E149">
    <cfRule type="cellIs" dxfId="153" priority="50" operator="notEqual">
      <formula>100</formula>
    </cfRule>
  </conditionalFormatting>
  <conditionalFormatting sqref="J149">
    <cfRule type="cellIs" dxfId="152" priority="49" operator="notEqual">
      <formula>100</formula>
    </cfRule>
  </conditionalFormatting>
  <conditionalFormatting sqref="R149">
    <cfRule type="cellIs" dxfId="151" priority="48" operator="notEqual">
      <formula>100</formula>
    </cfRule>
  </conditionalFormatting>
  <conditionalFormatting sqref="Y149">
    <cfRule type="cellIs" dxfId="150" priority="47" operator="notEqual">
      <formula>100</formula>
    </cfRule>
  </conditionalFormatting>
  <conditionalFormatting sqref="E150">
    <cfRule type="cellIs" dxfId="149" priority="46" operator="notEqual">
      <formula>100</formula>
    </cfRule>
  </conditionalFormatting>
  <conditionalFormatting sqref="J150">
    <cfRule type="cellIs" dxfId="148" priority="45" operator="notEqual">
      <formula>100</formula>
    </cfRule>
  </conditionalFormatting>
  <conditionalFormatting sqref="R150">
    <cfRule type="cellIs" dxfId="147" priority="44" operator="notEqual">
      <formula>100</formula>
    </cfRule>
  </conditionalFormatting>
  <conditionalFormatting sqref="Y150">
    <cfRule type="cellIs" dxfId="146" priority="43" operator="notEqual">
      <formula>100</formula>
    </cfRule>
  </conditionalFormatting>
  <conditionalFormatting sqref="E152">
    <cfRule type="cellIs" dxfId="145" priority="42" operator="notEqual">
      <formula>100</formula>
    </cfRule>
  </conditionalFormatting>
  <conditionalFormatting sqref="J152">
    <cfRule type="cellIs" dxfId="144" priority="41" operator="notEqual">
      <formula>100</formula>
    </cfRule>
  </conditionalFormatting>
  <conditionalFormatting sqref="R152">
    <cfRule type="cellIs" dxfId="143" priority="40" operator="notEqual">
      <formula>100</formula>
    </cfRule>
  </conditionalFormatting>
  <conditionalFormatting sqref="Y152">
    <cfRule type="cellIs" dxfId="142" priority="39" operator="notEqual">
      <formula>100</formula>
    </cfRule>
  </conditionalFormatting>
  <conditionalFormatting sqref="E155">
    <cfRule type="cellIs" dxfId="141" priority="38" operator="notEqual">
      <formula>100</formula>
    </cfRule>
  </conditionalFormatting>
  <conditionalFormatting sqref="J155">
    <cfRule type="cellIs" dxfId="140" priority="37" operator="notEqual">
      <formula>100</formula>
    </cfRule>
  </conditionalFormatting>
  <conditionalFormatting sqref="R155">
    <cfRule type="cellIs" dxfId="139" priority="36" operator="notEqual">
      <formula>100</formula>
    </cfRule>
  </conditionalFormatting>
  <conditionalFormatting sqref="Y155">
    <cfRule type="cellIs" dxfId="138" priority="35" operator="notEqual">
      <formula>100</formula>
    </cfRule>
  </conditionalFormatting>
  <conditionalFormatting sqref="E158">
    <cfRule type="cellIs" dxfId="137" priority="34" operator="notEqual">
      <formula>100</formula>
    </cfRule>
  </conditionalFormatting>
  <conditionalFormatting sqref="J158">
    <cfRule type="cellIs" dxfId="136" priority="33" operator="notEqual">
      <formula>100</formula>
    </cfRule>
  </conditionalFormatting>
  <conditionalFormatting sqref="R158">
    <cfRule type="cellIs" dxfId="135" priority="32" operator="notEqual">
      <formula>100</formula>
    </cfRule>
  </conditionalFormatting>
  <conditionalFormatting sqref="Y158">
    <cfRule type="cellIs" dxfId="134" priority="31" operator="notEqual">
      <formula>100</formula>
    </cfRule>
  </conditionalFormatting>
  <conditionalFormatting sqref="E159">
    <cfRule type="cellIs" dxfId="133" priority="30" operator="notEqual">
      <formula>100</formula>
    </cfRule>
  </conditionalFormatting>
  <conditionalFormatting sqref="J159">
    <cfRule type="cellIs" dxfId="132" priority="29" operator="notEqual">
      <formula>100</formula>
    </cfRule>
  </conditionalFormatting>
  <conditionalFormatting sqref="R159">
    <cfRule type="cellIs" dxfId="131" priority="28" operator="notEqual">
      <formula>100</formula>
    </cfRule>
  </conditionalFormatting>
  <conditionalFormatting sqref="Y159">
    <cfRule type="cellIs" dxfId="130" priority="27" operator="notEqual">
      <formula>100</formula>
    </cfRule>
  </conditionalFormatting>
  <conditionalFormatting sqref="E161">
    <cfRule type="cellIs" dxfId="129" priority="26" operator="notEqual">
      <formula>100</formula>
    </cfRule>
  </conditionalFormatting>
  <conditionalFormatting sqref="J161">
    <cfRule type="cellIs" dxfId="128" priority="25" operator="notEqual">
      <formula>100</formula>
    </cfRule>
  </conditionalFormatting>
  <conditionalFormatting sqref="R161">
    <cfRule type="cellIs" dxfId="127" priority="24" operator="notEqual">
      <formula>100</formula>
    </cfRule>
  </conditionalFormatting>
  <conditionalFormatting sqref="Y161">
    <cfRule type="cellIs" dxfId="126" priority="23" operator="notEqual">
      <formula>100</formula>
    </cfRule>
  </conditionalFormatting>
  <conditionalFormatting sqref="E162">
    <cfRule type="cellIs" dxfId="125" priority="22" operator="notEqual">
      <formula>100</formula>
    </cfRule>
  </conditionalFormatting>
  <conditionalFormatting sqref="J162">
    <cfRule type="cellIs" dxfId="124" priority="21" operator="notEqual">
      <formula>100</formula>
    </cfRule>
  </conditionalFormatting>
  <conditionalFormatting sqref="R162">
    <cfRule type="cellIs" dxfId="123" priority="20" operator="notEqual">
      <formula>100</formula>
    </cfRule>
  </conditionalFormatting>
  <conditionalFormatting sqref="Y162">
    <cfRule type="cellIs" dxfId="122" priority="19" operator="notEqual">
      <formula>100</formula>
    </cfRule>
  </conditionalFormatting>
  <conditionalFormatting sqref="E164">
    <cfRule type="cellIs" dxfId="121" priority="14" operator="notEqual">
      <formula>100</formula>
    </cfRule>
  </conditionalFormatting>
  <conditionalFormatting sqref="J164">
    <cfRule type="cellIs" dxfId="120" priority="13" operator="notEqual">
      <formula>100</formula>
    </cfRule>
  </conditionalFormatting>
  <conditionalFormatting sqref="R164">
    <cfRule type="cellIs" dxfId="119" priority="12" operator="notEqual">
      <formula>100</formula>
    </cfRule>
  </conditionalFormatting>
  <conditionalFormatting sqref="Y164">
    <cfRule type="cellIs" dxfId="118" priority="11" operator="notEqual">
      <formula>100</formula>
    </cfRule>
  </conditionalFormatting>
  <conditionalFormatting sqref="E163">
    <cfRule type="cellIs" dxfId="117" priority="10" operator="notEqual">
      <formula>100</formula>
    </cfRule>
  </conditionalFormatting>
  <conditionalFormatting sqref="J163">
    <cfRule type="cellIs" dxfId="116" priority="9" operator="notEqual">
      <formula>100</formula>
    </cfRule>
  </conditionalFormatting>
  <conditionalFormatting sqref="R163">
    <cfRule type="cellIs" dxfId="115" priority="8" operator="notEqual">
      <formula>100</formula>
    </cfRule>
  </conditionalFormatting>
  <conditionalFormatting sqref="Y163">
    <cfRule type="cellIs" dxfId="114" priority="7" operator="notEqual">
      <formula>100</formula>
    </cfRule>
  </conditionalFormatting>
  <conditionalFormatting sqref="J191:J192">
    <cfRule type="cellIs" dxfId="113" priority="6" operator="notEqual">
      <formula>100</formula>
    </cfRule>
  </conditionalFormatting>
  <conditionalFormatting sqref="R191:R198">
    <cfRule type="cellIs" dxfId="112" priority="5" operator="notEqual">
      <formula>100</formula>
    </cfRule>
  </conditionalFormatting>
  <conditionalFormatting sqref="Y191">
    <cfRule type="cellIs" dxfId="111" priority="4" operator="notEqual">
      <formula>100</formula>
    </cfRule>
  </conditionalFormatting>
  <conditionalFormatting sqref="Y192:Y198">
    <cfRule type="cellIs" dxfId="110" priority="2" operator="notEqual">
      <formula>100</formula>
    </cfRule>
  </conditionalFormatting>
  <conditionalFormatting sqref="J193:J196">
    <cfRule type="cellIs" dxfId="109" priority="1" operator="notEqual">
      <formula>100</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F5C72-82B3-43E5-996E-632BD1D78938}">
  <sheetPr>
    <tabColor theme="9"/>
  </sheetPr>
  <dimension ref="A1:S184"/>
  <sheetViews>
    <sheetView zoomScale="60" zoomScaleNormal="60" workbookViewId="0">
      <pane ySplit="1" topLeftCell="A105" activePane="bottomLeft" state="frozen"/>
      <selection activeCell="O195" sqref="O195"/>
      <selection pane="bottomLeft" activeCell="N129" sqref="N129"/>
    </sheetView>
  </sheetViews>
  <sheetFormatPr defaultRowHeight="14.25" x14ac:dyDescent="0.45"/>
  <cols>
    <col min="1" max="1" width="26.265625" style="66" bestFit="1" customWidth="1"/>
    <col min="2" max="2" width="24.53125" style="66" customWidth="1"/>
    <col min="3" max="3" width="17.265625" style="66" customWidth="1"/>
    <col min="4" max="4" width="5.46484375" style="66" bestFit="1" customWidth="1"/>
    <col min="5" max="5" width="15.19921875" style="64" customWidth="1"/>
    <col min="6" max="6" width="42" bestFit="1" customWidth="1"/>
    <col min="7" max="7" width="15.19921875" customWidth="1"/>
    <col min="8" max="8" width="15.46484375" bestFit="1" customWidth="1"/>
    <col min="9" max="9" width="15.19921875" customWidth="1"/>
    <col min="10" max="10" width="15.19921875" style="257" customWidth="1"/>
    <col min="11" max="11" width="15.19921875" customWidth="1"/>
    <col min="12" max="12" width="17.46484375" style="195" customWidth="1"/>
    <col min="13" max="13" width="15.19921875" customWidth="1"/>
    <col min="14" max="14" width="18.46484375" style="89" customWidth="1"/>
    <col min="15" max="15" width="19.19921875" customWidth="1"/>
    <col min="16" max="16" width="18.73046875" customWidth="1"/>
    <col min="17" max="17" width="15.19921875" style="6" customWidth="1"/>
    <col min="18" max="19" width="15.19921875" customWidth="1"/>
  </cols>
  <sheetData>
    <row r="1" spans="1:19" s="177" customFormat="1" ht="87.7" customHeight="1" x14ac:dyDescent="0.45">
      <c r="A1" s="299" t="s">
        <v>2776</v>
      </c>
      <c r="B1" s="299" t="s">
        <v>2777</v>
      </c>
      <c r="C1" s="299" t="s">
        <v>1012</v>
      </c>
      <c r="D1" s="299" t="s">
        <v>2778</v>
      </c>
      <c r="E1" s="301" t="s">
        <v>135</v>
      </c>
      <c r="F1" s="302" t="s">
        <v>136</v>
      </c>
      <c r="G1" s="302" t="s">
        <v>137</v>
      </c>
      <c r="H1" s="302" t="s">
        <v>138</v>
      </c>
      <c r="I1" s="302" t="s">
        <v>139</v>
      </c>
      <c r="J1" s="304" t="s">
        <v>140</v>
      </c>
      <c r="K1" s="299" t="s">
        <v>141</v>
      </c>
      <c r="L1" s="308" t="s">
        <v>142</v>
      </c>
      <c r="M1" s="300" t="s">
        <v>144</v>
      </c>
      <c r="N1" s="300" t="s">
        <v>146</v>
      </c>
      <c r="O1" s="299" t="s">
        <v>147</v>
      </c>
      <c r="P1" s="299" t="s">
        <v>148</v>
      </c>
      <c r="Q1" s="313" t="s">
        <v>149</v>
      </c>
      <c r="R1" s="299" t="s">
        <v>150</v>
      </c>
      <c r="S1" s="299" t="s">
        <v>151</v>
      </c>
    </row>
    <row r="2" spans="1:19" x14ac:dyDescent="0.45">
      <c r="A2" t="s">
        <v>2163</v>
      </c>
      <c r="B2" t="s">
        <v>2164</v>
      </c>
      <c r="C2" s="66" t="s">
        <v>153</v>
      </c>
      <c r="D2" s="324">
        <v>1</v>
      </c>
      <c r="E2" s="64" t="s">
        <v>2165</v>
      </c>
      <c r="F2" t="str">
        <f>VLOOKUP(E2,TaskValues_ref!E:F,2,FALSE)</f>
        <v>ANC visits</v>
      </c>
      <c r="G2" t="str">
        <f>VLOOKUP($E2,TaskValues_ref!$E:$Z,3,FALSE)</f>
        <v>Clinical</v>
      </c>
      <c r="H2" t="str">
        <f>VLOOKUP($E2,TaskValues_ref!$E:$Z,4,FALSE)</f>
        <v>Preventive</v>
      </c>
      <c r="I2" t="str">
        <f>VLOOKUP($E2,TaskValues_ref!$E:$Z,5,FALSE)</f>
        <v>Pregnancy</v>
      </c>
      <c r="J2" s="257" t="str">
        <f>VLOOKUP($E2,TaskValues_ref!$E:$Z,6,FALSE)</f>
        <v>births</v>
      </c>
      <c r="K2" t="str">
        <f>VLOOKUP($E2,TaskValues_ref!$E:$Z,10,FALSE)</f>
        <v>Amhara</v>
      </c>
      <c r="L2" s="195">
        <f>IF(VLOOKUP($E2,TaskValues_ref!$E:$Z,11,FALSE)=0,"",VLOOKUP($E2,TaskValues_ref!$E:$Z,11,FALSE))</f>
        <v>1</v>
      </c>
      <c r="M2" t="str">
        <f>IF(VLOOKUP($E2,TaskValues_ref!$E:$Z,13,FALSE)=0,"",VLOOKUP($E2,TaskValues_ref!$E:$Z,13,FALSE))</f>
        <v/>
      </c>
      <c r="N2" s="89">
        <f>IF(VLOOKUP($E2,TaskValues_ref!$E:$Z,15,FALSE)=0,"",VLOOKUP($E2,TaskValues_ref!$E:$Z,15,FALSE))</f>
        <v>1</v>
      </c>
      <c r="O2">
        <f>IF(VLOOKUP($E2,TaskValues_ref!$E:$Z,16,FALSE)=0,"",VLOOKUP($E2,TaskValues_ref!$E:$Z,16,FALSE))</f>
        <v>4</v>
      </c>
      <c r="P2" t="str">
        <f>IF(VLOOKUP($E2,TaskValues_ref!$E:$Z,17,FALSE)=0,"",VLOOKUP($E2,TaskValues_ref!$E:$Z,17,FALSE))</f>
        <v/>
      </c>
      <c r="Q2">
        <f>IF(VLOOKUP($E2,TaskValues_ref!$E:$Z,18,FALSE)=0,"",VLOOKUP($E2,TaskValues_ref!$E:$Z,18,FALSE))</f>
        <v>10</v>
      </c>
      <c r="R2" t="str">
        <f>IF(VLOOKUP($E2,TaskValues_ref!$E:$Z,19,FALSE)=0,"",VLOOKUP($E2,TaskValues_ref!$E:$Z,19,FALSE))</f>
        <v/>
      </c>
      <c r="S2" t="str">
        <f>IF(VLOOKUP($E2,TaskValues_ref!$E:$Z,20,FALSE)=0,"",VLOOKUP($E2,TaskValues_ref!$E:$Z,20,FALSE))</f>
        <v/>
      </c>
    </row>
    <row r="3" spans="1:19" x14ac:dyDescent="0.45">
      <c r="A3" t="s">
        <v>2163</v>
      </c>
      <c r="B3" t="s">
        <v>2164</v>
      </c>
      <c r="C3" s="66" t="s">
        <v>153</v>
      </c>
      <c r="D3" s="324">
        <v>2</v>
      </c>
      <c r="E3" s="64" t="s">
        <v>2198</v>
      </c>
      <c r="F3" t="str">
        <f>VLOOKUP(E3,TaskValues_ref!E:F,2,FALSE)</f>
        <v>ANC rapid testing</v>
      </c>
      <c r="G3" t="str">
        <f>VLOOKUP($E3,TaskValues_ref!$E:$Z,3,FALSE)</f>
        <v>Clinical</v>
      </c>
      <c r="H3" t="str">
        <f>VLOOKUP($E3,TaskValues_ref!$E:$Z,4,FALSE)</f>
        <v>Preventive</v>
      </c>
      <c r="I3" t="str">
        <f>VLOOKUP($E3,TaskValues_ref!$E:$Z,5,FALSE)</f>
        <v>Pregnancy</v>
      </c>
      <c r="J3" s="257" t="str">
        <f>VLOOKUP($E3,TaskValues_ref!$E:$Z,6,FALSE)</f>
        <v>births</v>
      </c>
      <c r="K3" t="str">
        <f>VLOOKUP($E3,TaskValues_ref!$E:$Z,10,FALSE)</f>
        <v>Amhara</v>
      </c>
      <c r="L3" s="195">
        <f>IF(VLOOKUP($E3,TaskValues_ref!$E:$Z,11,FALSE)=0,"",VLOOKUP($E3,TaskValues_ref!$E:$Z,11,FALSE))</f>
        <v>1</v>
      </c>
      <c r="M3" t="str">
        <f>IF(VLOOKUP($E3,TaskValues_ref!$E:$Z,13,FALSE)=0,"",VLOOKUP($E3,TaskValues_ref!$E:$Z,13,FALSE))</f>
        <v/>
      </c>
      <c r="N3" s="89">
        <f>IF(VLOOKUP($E3,TaskValues_ref!$E:$Z,15,FALSE)=0,"",VLOOKUP($E3,TaskValues_ref!$E:$Z,15,FALSE))</f>
        <v>1</v>
      </c>
      <c r="O3">
        <f>IF(VLOOKUP($E3,TaskValues_ref!$E:$Z,16,FALSE)=0,"",VLOOKUP($E3,TaskValues_ref!$E:$Z,16,FALSE))</f>
        <v>1</v>
      </c>
      <c r="P3" t="str">
        <f>IF(VLOOKUP($E3,TaskValues_ref!$E:$Z,17,FALSE)=0,"",VLOOKUP($E3,TaskValues_ref!$E:$Z,17,FALSE))</f>
        <v/>
      </c>
      <c r="Q3">
        <f>IF(VLOOKUP($E3,TaskValues_ref!$E:$Z,18,FALSE)=0,"",VLOOKUP($E3,TaskValues_ref!$E:$Z,18,FALSE))</f>
        <v>15</v>
      </c>
      <c r="R3" t="str">
        <f>IF(VLOOKUP($E3,TaskValues_ref!$E:$Z,19,FALSE)=0,"",VLOOKUP($E3,TaskValues_ref!$E:$Z,19,FALSE))</f>
        <v/>
      </c>
      <c r="S3" t="str">
        <f>IF(VLOOKUP($E3,TaskValues_ref!$E:$Z,20,FALSE)=0,"",VLOOKUP($E3,TaskValues_ref!$E:$Z,20,FALSE))</f>
        <v/>
      </c>
    </row>
    <row r="4" spans="1:19" x14ac:dyDescent="0.45">
      <c r="A4" t="s">
        <v>2163</v>
      </c>
      <c r="B4" t="s">
        <v>2164</v>
      </c>
      <c r="C4" s="66" t="s">
        <v>2185</v>
      </c>
      <c r="D4" s="324">
        <v>7</v>
      </c>
      <c r="E4" s="64" t="s">
        <v>2191</v>
      </c>
      <c r="F4" t="str">
        <f>VLOOKUP(E4,TaskValues_ref!E:F,2,FALSE)</f>
        <v>PNC home visits</v>
      </c>
      <c r="G4" t="str">
        <f>VLOOKUP($E4,TaskValues_ref!$E:$Z,3,FALSE)</f>
        <v>Clinical</v>
      </c>
      <c r="H4" t="str">
        <f>VLOOKUP($E4,TaskValues_ref!$E:$Z,4,FALSE)</f>
        <v>Preventive</v>
      </c>
      <c r="I4" t="str">
        <f>VLOOKUP($E4,TaskValues_ref!$E:$Z,5,FALSE)</f>
        <v>Pregnancy</v>
      </c>
      <c r="J4" s="257" t="str">
        <f>VLOOKUP($E4,TaskValues_ref!$E:$Z,6,FALSE)</f>
        <v>births</v>
      </c>
      <c r="K4" t="str">
        <f>VLOOKUP($E4,TaskValues_ref!$E:$Z,10,FALSE)</f>
        <v>Amhara</v>
      </c>
      <c r="L4" s="195">
        <f>IF(VLOOKUP($E4,TaskValues_ref!$E:$Z,11,FALSE)=0,"",VLOOKUP($E4,TaskValues_ref!$E:$Z,11,FALSE))</f>
        <v>1</v>
      </c>
      <c r="M4" t="str">
        <f>IF(VLOOKUP($E4,TaskValues_ref!$E:$Z,13,FALSE)=0,"",VLOOKUP($E4,TaskValues_ref!$E:$Z,13,FALSE))</f>
        <v/>
      </c>
      <c r="N4" s="89">
        <f>IF(VLOOKUP($E4,TaskValues_ref!$E:$Z,15,FALSE)=0,"",VLOOKUP($E4,TaskValues_ref!$E:$Z,15,FALSE))</f>
        <v>1</v>
      </c>
      <c r="O4">
        <f>IF(VLOOKUP($E4,TaskValues_ref!$E:$Z,16,FALSE)=0,"",VLOOKUP($E4,TaskValues_ref!$E:$Z,16,FALSE))</f>
        <v>2</v>
      </c>
      <c r="P4" t="str">
        <f>IF(VLOOKUP($E4,TaskValues_ref!$E:$Z,17,FALSE)=0,"",VLOOKUP($E4,TaskValues_ref!$E:$Z,17,FALSE))</f>
        <v/>
      </c>
      <c r="Q4">
        <f>IF(VLOOKUP($E4,TaskValues_ref!$E:$Z,18,FALSE)=0,"",VLOOKUP($E4,TaskValues_ref!$E:$Z,18,FALSE))</f>
        <v>60</v>
      </c>
      <c r="R4" t="str">
        <f>IF(VLOOKUP($E4,TaskValues_ref!$E:$Z,19,FALSE)=0,"",VLOOKUP($E4,TaskValues_ref!$E:$Z,19,FALSE))</f>
        <v/>
      </c>
      <c r="S4" t="str">
        <f>IF(VLOOKUP($E4,TaskValues_ref!$E:$Z,20,FALSE)=0,"",VLOOKUP($E4,TaskValues_ref!$E:$Z,20,FALSE))</f>
        <v/>
      </c>
    </row>
    <row r="5" spans="1:19" x14ac:dyDescent="0.45">
      <c r="A5" t="s">
        <v>2163</v>
      </c>
      <c r="B5" t="s">
        <v>2164</v>
      </c>
      <c r="C5" s="66" t="s">
        <v>2185</v>
      </c>
      <c r="D5" s="324">
        <v>9</v>
      </c>
      <c r="E5" s="64" t="s">
        <v>2193</v>
      </c>
      <c r="F5" t="str">
        <f>VLOOKUP(E5,TaskValues_ref!E:F,2,FALSE)</f>
        <v>Mastitis</v>
      </c>
      <c r="G5" t="str">
        <f>VLOOKUP($E5,TaskValues_ref!$E:$Z,3,FALSE)</f>
        <v>Clinical</v>
      </c>
      <c r="H5" t="str">
        <f>VLOOKUP($E5,TaskValues_ref!$E:$Z,4,FALSE)</f>
        <v>Acute</v>
      </c>
      <c r="I5" t="str">
        <f>VLOOKUP($E5,TaskValues_ref!$E:$Z,5,FALSE)</f>
        <v>Pregnancy</v>
      </c>
      <c r="J5" s="257" t="str">
        <f>VLOOKUP($E5,TaskValues_ref!$E:$Z,6,FALSE)</f>
        <v>births</v>
      </c>
      <c r="K5" t="str">
        <f>VLOOKUP($E5,TaskValues_ref!$E:$Z,10,FALSE)</f>
        <v>Amhara</v>
      </c>
      <c r="L5" s="195">
        <f>IF(VLOOKUP($E5,TaskValues_ref!$E:$Z,11,FALSE)=0,"",VLOOKUP($E5,TaskValues_ref!$E:$Z,11,FALSE))</f>
        <v>9.5000000000000001E-2</v>
      </c>
      <c r="M5" t="str">
        <f>IF(VLOOKUP($E5,TaskValues_ref!$E:$Z,13,FALSE)=0,"",VLOOKUP($E5,TaskValues_ref!$E:$Z,13,FALSE))</f>
        <v/>
      </c>
      <c r="N5" s="89">
        <f>IF(VLOOKUP($E5,TaskValues_ref!$E:$Z,15,FALSE)=0,"",VLOOKUP($E5,TaskValues_ref!$E:$Z,15,FALSE))</f>
        <v>1</v>
      </c>
      <c r="O5">
        <f>IF(VLOOKUP($E5,TaskValues_ref!$E:$Z,16,FALSE)=0,"",VLOOKUP($E5,TaskValues_ref!$E:$Z,16,FALSE))</f>
        <v>3</v>
      </c>
      <c r="P5" t="str">
        <f>IF(VLOOKUP($E5,TaskValues_ref!$E:$Z,17,FALSE)=0,"",VLOOKUP($E5,TaskValues_ref!$E:$Z,17,FALSE))</f>
        <v/>
      </c>
      <c r="Q5">
        <f>IF(VLOOKUP($E5,TaskValues_ref!$E:$Z,18,FALSE)=0,"",VLOOKUP($E5,TaskValues_ref!$E:$Z,18,FALSE))</f>
        <v>10</v>
      </c>
      <c r="R5" t="str">
        <f>IF(VLOOKUP($E5,TaskValues_ref!$E:$Z,19,FALSE)=0,"",VLOOKUP($E5,TaskValues_ref!$E:$Z,19,FALSE))</f>
        <v/>
      </c>
      <c r="S5" t="str">
        <f>IF(VLOOKUP($E5,TaskValues_ref!$E:$Z,20,FALSE)=0,"",VLOOKUP($E5,TaskValues_ref!$E:$Z,20,FALSE))</f>
        <v/>
      </c>
    </row>
    <row r="6" spans="1:19" x14ac:dyDescent="0.45">
      <c r="A6" t="s">
        <v>2163</v>
      </c>
      <c r="B6" t="s">
        <v>2164</v>
      </c>
      <c r="C6" s="66" t="s">
        <v>2185</v>
      </c>
      <c r="D6" s="324">
        <v>11</v>
      </c>
      <c r="E6" s="64" t="s">
        <v>2202</v>
      </c>
      <c r="F6" t="str">
        <f>VLOOKUP(E6,TaskValues_ref!E:F,2,FALSE)</f>
        <v>Pre-referral PPH</v>
      </c>
      <c r="G6" t="str">
        <f>VLOOKUP($E6,TaskValues_ref!$E:$Z,3,FALSE)</f>
        <v>Clinical</v>
      </c>
      <c r="H6" t="str">
        <f>VLOOKUP($E6,TaskValues_ref!$E:$Z,4,FALSE)</f>
        <v>Preventive</v>
      </c>
      <c r="I6" t="str">
        <f>VLOOKUP($E6,TaskValues_ref!$E:$Z,5,FALSE)</f>
        <v>Pregnancy</v>
      </c>
      <c r="J6" s="257" t="str">
        <f>VLOOKUP($E6,TaskValues_ref!$E:$Z,6,FALSE)</f>
        <v>births</v>
      </c>
      <c r="K6" t="str">
        <f>VLOOKUP($E6,TaskValues_ref!$E:$Z,10,FALSE)</f>
        <v>Amhara</v>
      </c>
      <c r="L6" s="195">
        <f>IF(VLOOKUP($E6,TaskValues_ref!$E:$Z,11,FALSE)=0,"",VLOOKUP($E6,TaskValues_ref!$E:$Z,11,FALSE))</f>
        <v>0.1066</v>
      </c>
      <c r="M6" t="str">
        <f>IF(VLOOKUP($E6,TaskValues_ref!$E:$Z,13,FALSE)=0,"",VLOOKUP($E6,TaskValues_ref!$E:$Z,13,FALSE))</f>
        <v/>
      </c>
      <c r="N6" s="89">
        <f>IF(VLOOKUP($E6,TaskValues_ref!$E:$Z,15,FALSE)=0,"",VLOOKUP($E6,TaskValues_ref!$E:$Z,15,FALSE))</f>
        <v>1</v>
      </c>
      <c r="O6">
        <f>IF(VLOOKUP($E6,TaskValues_ref!$E:$Z,16,FALSE)=0,"",VLOOKUP($E6,TaskValues_ref!$E:$Z,16,FALSE))</f>
        <v>1</v>
      </c>
      <c r="P6" t="str">
        <f>IF(VLOOKUP($E6,TaskValues_ref!$E:$Z,17,FALSE)=0,"",VLOOKUP($E6,TaskValues_ref!$E:$Z,17,FALSE))</f>
        <v/>
      </c>
      <c r="Q6">
        <f>IF(VLOOKUP($E6,TaskValues_ref!$E:$Z,18,FALSE)=0,"",VLOOKUP($E6,TaskValues_ref!$E:$Z,18,FALSE))</f>
        <v>10</v>
      </c>
      <c r="R6" t="str">
        <f>IF(VLOOKUP($E6,TaskValues_ref!$E:$Z,19,FALSE)=0,"",VLOOKUP($E6,TaskValues_ref!$E:$Z,19,FALSE))</f>
        <v/>
      </c>
      <c r="S6" t="str">
        <f>IF(VLOOKUP($E6,TaskValues_ref!$E:$Z,20,FALSE)=0,"",VLOOKUP($E6,TaskValues_ref!$E:$Z,20,FALSE))</f>
        <v/>
      </c>
    </row>
    <row r="7" spans="1:19" x14ac:dyDescent="0.45">
      <c r="A7" t="s">
        <v>2163</v>
      </c>
      <c r="B7" t="s">
        <v>2164</v>
      </c>
      <c r="C7" s="66" t="s">
        <v>2206</v>
      </c>
      <c r="D7" s="324">
        <v>12</v>
      </c>
      <c r="E7" s="64" t="s">
        <v>2207</v>
      </c>
      <c r="F7" t="str">
        <f>VLOOKUP(E7,TaskValues_ref!E:F,2,FALSE)</f>
        <v>Mortality surveillance</v>
      </c>
      <c r="G7" t="str">
        <f>VLOOKUP($E7,TaskValues_ref!$E:$Z,3,FALSE)</f>
        <v>Non-productive</v>
      </c>
      <c r="H7" t="str">
        <f>VLOOKUP($E7,TaskValues_ref!$E:$Z,4,FALSE)</f>
        <v>Public Health</v>
      </c>
      <c r="I7" t="str">
        <f>VLOOKUP($E7,TaskValues_ref!$E:$Z,5,FALSE)</f>
        <v>-</v>
      </c>
      <c r="J7" s="257" t="str">
        <f>VLOOKUP($E7,TaskValues_ref!$E:$Z,6,FALSE)</f>
        <v>-</v>
      </c>
      <c r="K7" t="str">
        <f>VLOOKUP($E7,TaskValues_ref!$E:$Z,10,FALSE)</f>
        <v>Amhara</v>
      </c>
      <c r="L7" s="195" t="str">
        <f>IF(VLOOKUP($E7,TaskValues_ref!$E:$Z,11,FALSE)=0,"",VLOOKUP($E7,TaskValues_ref!$E:$Z,11,FALSE))</f>
        <v/>
      </c>
      <c r="M7" t="str">
        <f>IF(VLOOKUP($E7,TaskValues_ref!$E:$Z,13,FALSE)=0,"",VLOOKUP($E7,TaskValues_ref!$E:$Z,13,FALSE))</f>
        <v/>
      </c>
      <c r="N7" s="89" t="str">
        <f>IF(VLOOKUP($E7,TaskValues_ref!$E:$Z,15,FALSE)=0,"",VLOOKUP($E7,TaskValues_ref!$E:$Z,15,FALSE))</f>
        <v/>
      </c>
      <c r="O7" t="str">
        <f>IF(VLOOKUP($E7,TaskValues_ref!$E:$Z,16,FALSE)=0,"",VLOOKUP($E7,TaskValues_ref!$E:$Z,16,FALSE))</f>
        <v/>
      </c>
      <c r="P7" t="str">
        <f>IF(VLOOKUP($E7,TaskValues_ref!$E:$Z,17,FALSE)=0,"",VLOOKUP($E7,TaskValues_ref!$E:$Z,17,FALSE))</f>
        <v/>
      </c>
      <c r="Q7" t="str">
        <f>IF(VLOOKUP($E7,TaskValues_ref!$E:$Z,18,FALSE)=0,"",VLOOKUP($E7,TaskValues_ref!$E:$Z,18,FALSE))</f>
        <v/>
      </c>
      <c r="R7" t="str">
        <f>IF(VLOOKUP($E7,TaskValues_ref!$E:$Z,19,FALSE)=0,"",VLOOKUP($E7,TaskValues_ref!$E:$Z,19,FALSE))</f>
        <v/>
      </c>
      <c r="S7" t="str">
        <f>IF(VLOOKUP($E7,TaskValues_ref!$E:$Z,20,FALSE)=0,"",VLOOKUP($E7,TaskValues_ref!$E:$Z,20,FALSE))</f>
        <v/>
      </c>
    </row>
    <row r="8" spans="1:19" x14ac:dyDescent="0.45">
      <c r="A8" t="s">
        <v>2163</v>
      </c>
      <c r="B8" t="s">
        <v>2164</v>
      </c>
      <c r="C8" s="66" t="s">
        <v>2206</v>
      </c>
      <c r="D8" s="324">
        <v>13</v>
      </c>
      <c r="E8" s="64" t="s">
        <v>2768</v>
      </c>
      <c r="F8" t="str">
        <f>VLOOKUP(E8,TaskValues_ref!E:F,2,FALSE)</f>
        <v>ID fistula and prolapse</v>
      </c>
      <c r="G8" t="str">
        <f>VLOOKUP($E8,TaskValues_ref!$E:$Z,3,FALSE)</f>
        <v>Non-clinical</v>
      </c>
      <c r="H8" t="str">
        <f>VLOOKUP($E8,TaskValues_ref!$E:$Z,4,FALSE)</f>
        <v>Public Health</v>
      </c>
      <c r="I8" t="str">
        <f>VLOOKUP($E8,TaskValues_ref!$E:$Z,5,FALSE)</f>
        <v>-</v>
      </c>
      <c r="J8" s="257" t="str">
        <f>VLOOKUP($E8,TaskValues_ref!$E:$Z,6,FALSE)</f>
        <v>births</v>
      </c>
      <c r="K8" t="str">
        <f>VLOOKUP($E8,TaskValues_ref!$E:$Z,10,FALSE)</f>
        <v>Amhara</v>
      </c>
      <c r="L8" s="195" t="str">
        <f>IF(VLOOKUP($E8,TaskValues_ref!$E:$Z,11,FALSE)=0,"",VLOOKUP($E8,TaskValues_ref!$E:$Z,11,FALSE))</f>
        <v/>
      </c>
      <c r="M8" t="str">
        <f>IF(VLOOKUP($E8,TaskValues_ref!$E:$Z,13,FALSE)=0,"",VLOOKUP($E8,TaskValues_ref!$E:$Z,13,FALSE))</f>
        <v/>
      </c>
      <c r="N8" s="89" t="str">
        <f>IF(VLOOKUP($E8,TaskValues_ref!$E:$Z,15,FALSE)=0,"",VLOOKUP($E8,TaskValues_ref!$E:$Z,15,FALSE))</f>
        <v/>
      </c>
      <c r="O8" t="str">
        <f>IF(VLOOKUP($E8,TaskValues_ref!$E:$Z,16,FALSE)=0,"",VLOOKUP($E8,TaskValues_ref!$E:$Z,16,FALSE))</f>
        <v/>
      </c>
      <c r="P8" t="str">
        <f>IF(VLOOKUP($E8,TaskValues_ref!$E:$Z,17,FALSE)=0,"",VLOOKUP($E8,TaskValues_ref!$E:$Z,17,FALSE))</f>
        <v/>
      </c>
      <c r="Q8" t="str">
        <f>IF(VLOOKUP($E8,TaskValues_ref!$E:$Z,18,FALSE)=0,"",VLOOKUP($E8,TaskValues_ref!$E:$Z,18,FALSE))</f>
        <v/>
      </c>
      <c r="R8" t="str">
        <f>IF(VLOOKUP($E8,TaskValues_ref!$E:$Z,19,FALSE)=0,"",VLOOKUP($E8,TaskValues_ref!$E:$Z,19,FALSE))</f>
        <v/>
      </c>
      <c r="S8" t="str">
        <f>IF(VLOOKUP($E8,TaskValues_ref!$E:$Z,20,FALSE)=0,"",VLOOKUP($E8,TaskValues_ref!$E:$Z,20,FALSE))</f>
        <v/>
      </c>
    </row>
    <row r="9" spans="1:19" x14ac:dyDescent="0.45">
      <c r="A9" t="s">
        <v>2163</v>
      </c>
      <c r="B9" t="s">
        <v>2164</v>
      </c>
      <c r="C9" s="66" t="s">
        <v>2206</v>
      </c>
      <c r="D9" s="324">
        <v>14</v>
      </c>
      <c r="E9" s="64" t="s">
        <v>2769</v>
      </c>
      <c r="F9" t="str">
        <f>VLOOKUP(E9,TaskValues_ref!E:F,2,FALSE)</f>
        <v>Promote cervical cancer ID and treat</v>
      </c>
      <c r="G9" t="str">
        <f>VLOOKUP($E9,TaskValues_ref!$E:$Z,3,FALSE)</f>
        <v>Non-clinical</v>
      </c>
      <c r="H9" t="str">
        <f>VLOOKUP($E9,TaskValues_ref!$E:$Z,4,FALSE)</f>
        <v>Preventive</v>
      </c>
      <c r="I9" t="str">
        <f>VLOOKUP($E9,TaskValues_ref!$E:$Z,5,FALSE)</f>
        <v>Sexual health</v>
      </c>
      <c r="J9" s="257" t="str">
        <f>VLOOKUP($E9,TaskValues_ref!$E:$Z,6,FALSE)</f>
        <v>women 15-49</v>
      </c>
      <c r="K9" t="str">
        <f>VLOOKUP($E9,TaskValues_ref!$E:$Z,10,FALSE)</f>
        <v>Amhara</v>
      </c>
      <c r="L9" s="195" t="str">
        <f>IF(VLOOKUP($E9,TaskValues_ref!$E:$Z,11,FALSE)=0,"",VLOOKUP($E9,TaskValues_ref!$E:$Z,11,FALSE))</f>
        <v/>
      </c>
      <c r="M9" t="str">
        <f>IF(VLOOKUP($E9,TaskValues_ref!$E:$Z,13,FALSE)=0,"",VLOOKUP($E9,TaskValues_ref!$E:$Z,13,FALSE))</f>
        <v/>
      </c>
      <c r="N9" s="89" t="str">
        <f>IF(VLOOKUP($E9,TaskValues_ref!$E:$Z,15,FALSE)=0,"",VLOOKUP($E9,TaskValues_ref!$E:$Z,15,FALSE))</f>
        <v/>
      </c>
      <c r="O9" t="str">
        <f>IF(VLOOKUP($E9,TaskValues_ref!$E:$Z,16,FALSE)=0,"",VLOOKUP($E9,TaskValues_ref!$E:$Z,16,FALSE))</f>
        <v/>
      </c>
      <c r="P9" t="str">
        <f>IF(VLOOKUP($E9,TaskValues_ref!$E:$Z,17,FALSE)=0,"",VLOOKUP($E9,TaskValues_ref!$E:$Z,17,FALSE))</f>
        <v/>
      </c>
      <c r="Q9" t="str">
        <f>IF(VLOOKUP($E9,TaskValues_ref!$E:$Z,18,FALSE)=0,"",VLOOKUP($E9,TaskValues_ref!$E:$Z,18,FALSE))</f>
        <v/>
      </c>
      <c r="R9" t="str">
        <f>IF(VLOOKUP($E9,TaskValues_ref!$E:$Z,19,FALSE)=0,"",VLOOKUP($E9,TaskValues_ref!$E:$Z,19,FALSE))</f>
        <v/>
      </c>
      <c r="S9" t="str">
        <f>IF(VLOOKUP($E9,TaskValues_ref!$E:$Z,20,FALSE)=0,"",VLOOKUP($E9,TaskValues_ref!$E:$Z,20,FALSE))</f>
        <v/>
      </c>
    </row>
    <row r="10" spans="1:19" x14ac:dyDescent="0.45">
      <c r="A10" t="s">
        <v>2163</v>
      </c>
      <c r="B10" s="66" t="s">
        <v>2213</v>
      </c>
      <c r="D10" s="324">
        <v>15</v>
      </c>
      <c r="E10" s="64" t="str">
        <f>_xlfn.CONCAT("FH.MN.",D10)</f>
        <v>FH.MN.15</v>
      </c>
      <c r="F10" t="str">
        <f>VLOOKUP(E10,TaskValues_ref!E:F,2,FALSE)</f>
        <v>Newborn care</v>
      </c>
      <c r="G10" t="str">
        <f>VLOOKUP($E10,TaskValues_ref!$E:$Z,3,FALSE)</f>
        <v>Clinical</v>
      </c>
      <c r="H10" t="str">
        <f>VLOOKUP($E10,TaskValues_ref!$E:$Z,4,FALSE)</f>
        <v>Preventive</v>
      </c>
      <c r="I10" t="str">
        <f>VLOOKUP($E10,TaskValues_ref!$E:$Z,5,FALSE)</f>
        <v>Pregnancy</v>
      </c>
      <c r="J10" s="257" t="str">
        <f>VLOOKUP($E10,TaskValues_ref!$E:$Z,6,FALSE)</f>
        <v>births</v>
      </c>
      <c r="K10" t="str">
        <f>VLOOKUP($E10,TaskValues_ref!$E:$Z,10,FALSE)</f>
        <v>Amhara</v>
      </c>
      <c r="L10" s="195">
        <f>IF(VLOOKUP($E10,TaskValues_ref!$E:$Z,11,FALSE)=0,"",VLOOKUP($E10,TaskValues_ref!$E:$Z,11,FALSE))</f>
        <v>1</v>
      </c>
      <c r="M10" t="str">
        <f>IF(VLOOKUP($E10,TaskValues_ref!$E:$Z,13,FALSE)=0,"",VLOOKUP($E10,TaskValues_ref!$E:$Z,13,FALSE))</f>
        <v/>
      </c>
      <c r="N10" s="89">
        <f>IF(VLOOKUP($E10,TaskValues_ref!$E:$Z,15,FALSE)=0,"",VLOOKUP($E10,TaskValues_ref!$E:$Z,15,FALSE))</f>
        <v>1</v>
      </c>
      <c r="O10">
        <f>IF(VLOOKUP($E10,TaskValues_ref!$E:$Z,16,FALSE)=0,"",VLOOKUP($E10,TaskValues_ref!$E:$Z,16,FALSE))</f>
        <v>2</v>
      </c>
      <c r="P10" t="str">
        <f>IF(VLOOKUP($E10,TaskValues_ref!$E:$Z,17,FALSE)=0,"",VLOOKUP($E10,TaskValues_ref!$E:$Z,17,FALSE))</f>
        <v/>
      </c>
      <c r="Q10">
        <f>IF(VLOOKUP($E10,TaskValues_ref!$E:$Z,18,FALSE)=0,"",VLOOKUP($E10,TaskValues_ref!$E:$Z,18,FALSE))</f>
        <v>30</v>
      </c>
      <c r="R10" t="str">
        <f>IF(VLOOKUP($E10,TaskValues_ref!$E:$Z,19,FALSE)=0,"",VLOOKUP($E10,TaskValues_ref!$E:$Z,19,FALSE))</f>
        <v/>
      </c>
      <c r="S10" t="str">
        <f>IF(VLOOKUP($E10,TaskValues_ref!$E:$Z,20,FALSE)=0,"",VLOOKUP($E10,TaskValues_ref!$E:$Z,20,FALSE))</f>
        <v/>
      </c>
    </row>
    <row r="11" spans="1:19" x14ac:dyDescent="0.45">
      <c r="A11" t="s">
        <v>2163</v>
      </c>
      <c r="B11" s="66" t="s">
        <v>2213</v>
      </c>
      <c r="D11" s="324">
        <v>16</v>
      </c>
      <c r="E11" s="64" t="str">
        <f>_xlfn.CONCAT("FH.MN.",D11)</f>
        <v>FH.MN.16</v>
      </c>
      <c r="F11" t="str">
        <f>VLOOKUP(E11,TaskValues_ref!E:F,2,FALSE)</f>
        <v>Chlorhexidine</v>
      </c>
      <c r="G11" t="str">
        <f>VLOOKUP($E11,TaskValues_ref!$E:$Z,3,FALSE)</f>
        <v>Clinical</v>
      </c>
      <c r="H11" t="str">
        <f>VLOOKUP($E11,TaskValues_ref!$E:$Z,4,FALSE)</f>
        <v>Preventive</v>
      </c>
      <c r="I11" t="str">
        <f>VLOOKUP($E11,TaskValues_ref!$E:$Z,5,FALSE)</f>
        <v>Pregnancy</v>
      </c>
      <c r="J11" s="257" t="str">
        <f>VLOOKUP($E11,TaskValues_ref!$E:$Z,6,FALSE)</f>
        <v>births</v>
      </c>
      <c r="K11" t="str">
        <f>VLOOKUP($E11,TaskValues_ref!$E:$Z,10,FALSE)</f>
        <v>Amhara</v>
      </c>
      <c r="L11" s="195">
        <f>IF(VLOOKUP($E11,TaskValues_ref!$E:$Z,11,FALSE)=0,"",VLOOKUP($E11,TaskValues_ref!$E:$Z,11,FALSE))</f>
        <v>1</v>
      </c>
      <c r="M11" t="str">
        <f>IF(VLOOKUP($E11,TaskValues_ref!$E:$Z,13,FALSE)=0,"",VLOOKUP($E11,TaskValues_ref!$E:$Z,13,FALSE))</f>
        <v/>
      </c>
      <c r="N11" s="89">
        <f>IF(VLOOKUP($E11,TaskValues_ref!$E:$Z,15,FALSE)=0,"",VLOOKUP($E11,TaskValues_ref!$E:$Z,15,FALSE))</f>
        <v>1</v>
      </c>
      <c r="O11" t="str">
        <f>IF(VLOOKUP($E11,TaskValues_ref!$E:$Z,16,FALSE)=0,"",VLOOKUP($E11,TaskValues_ref!$E:$Z,16,FALSE))</f>
        <v/>
      </c>
      <c r="P11" t="str">
        <f>IF(VLOOKUP($E11,TaskValues_ref!$E:$Z,17,FALSE)=0,"",VLOOKUP($E11,TaskValues_ref!$E:$Z,17,FALSE))</f>
        <v/>
      </c>
      <c r="Q11" t="str">
        <f>IF(VLOOKUP($E11,TaskValues_ref!$E:$Z,18,FALSE)=0,"",VLOOKUP($E11,TaskValues_ref!$E:$Z,18,FALSE))</f>
        <v/>
      </c>
      <c r="R11" t="str">
        <f>IF(VLOOKUP($E11,TaskValues_ref!$E:$Z,19,FALSE)=0,"",VLOOKUP($E11,TaskValues_ref!$E:$Z,19,FALSE))</f>
        <v/>
      </c>
      <c r="S11" t="str">
        <f>IF(VLOOKUP($E11,TaskValues_ref!$E:$Z,20,FALSE)=0,"",VLOOKUP($E11,TaskValues_ref!$E:$Z,20,FALSE))</f>
        <v/>
      </c>
    </row>
    <row r="12" spans="1:19" x14ac:dyDescent="0.45">
      <c r="A12" t="s">
        <v>2163</v>
      </c>
      <c r="B12" s="66" t="s">
        <v>2213</v>
      </c>
      <c r="D12" s="324">
        <v>17</v>
      </c>
      <c r="E12" s="64" t="str">
        <f>_xlfn.CONCAT("FH.MN.",D12)</f>
        <v>FH.MN.17</v>
      </c>
      <c r="F12" t="str">
        <f>VLOOKUP(E12,TaskValues_ref!E:F,2,FALSE)</f>
        <v>Kangaroo care</v>
      </c>
      <c r="G12" t="str">
        <f>VLOOKUP($E12,TaskValues_ref!$E:$Z,3,FALSE)</f>
        <v>Clinical</v>
      </c>
      <c r="H12" t="str">
        <f>VLOOKUP($E12,TaskValues_ref!$E:$Z,4,FALSE)</f>
        <v>Preventive</v>
      </c>
      <c r="I12" t="str">
        <f>VLOOKUP($E12,TaskValues_ref!$E:$Z,5,FALSE)</f>
        <v>Pregnancy</v>
      </c>
      <c r="J12" s="257" t="str">
        <f>VLOOKUP($E12,TaskValues_ref!$E:$Z,6,FALSE)</f>
        <v>births</v>
      </c>
      <c r="K12" t="str">
        <f>VLOOKUP($E12,TaskValues_ref!$E:$Z,10,FALSE)</f>
        <v>Amhara</v>
      </c>
      <c r="L12" s="195">
        <f>IF(VLOOKUP($E12,TaskValues_ref!$E:$Z,11,FALSE)=0,"",VLOOKUP($E12,TaskValues_ref!$E:$Z,11,FALSE))</f>
        <v>1</v>
      </c>
      <c r="M12" t="str">
        <f>IF(VLOOKUP($E12,TaskValues_ref!$E:$Z,13,FALSE)=0,"",VLOOKUP($E12,TaskValues_ref!$E:$Z,13,FALSE))</f>
        <v/>
      </c>
      <c r="N12" s="89">
        <f>IF(VLOOKUP($E12,TaskValues_ref!$E:$Z,15,FALSE)=0,"",VLOOKUP($E12,TaskValues_ref!$E:$Z,15,FALSE))</f>
        <v>1</v>
      </c>
      <c r="O12" t="str">
        <f>IF(VLOOKUP($E12,TaskValues_ref!$E:$Z,16,FALSE)=0,"",VLOOKUP($E12,TaskValues_ref!$E:$Z,16,FALSE))</f>
        <v/>
      </c>
      <c r="P12" t="str">
        <f>IF(VLOOKUP($E12,TaskValues_ref!$E:$Z,17,FALSE)=0,"",VLOOKUP($E12,TaskValues_ref!$E:$Z,17,FALSE))</f>
        <v/>
      </c>
      <c r="Q12" t="str">
        <f>IF(VLOOKUP($E12,TaskValues_ref!$E:$Z,18,FALSE)=0,"",VLOOKUP($E12,TaskValues_ref!$E:$Z,18,FALSE))</f>
        <v/>
      </c>
      <c r="R12" t="str">
        <f>IF(VLOOKUP($E12,TaskValues_ref!$E:$Z,19,FALSE)=0,"",VLOOKUP($E12,TaskValues_ref!$E:$Z,19,FALSE))</f>
        <v/>
      </c>
      <c r="S12" t="str">
        <f>IF(VLOOKUP($E12,TaskValues_ref!$E:$Z,20,FALSE)=0,"",VLOOKUP($E12,TaskValues_ref!$E:$Z,20,FALSE))</f>
        <v/>
      </c>
    </row>
    <row r="13" spans="1:19" x14ac:dyDescent="0.45">
      <c r="A13" t="s">
        <v>2163</v>
      </c>
      <c r="B13" s="66" t="s">
        <v>2213</v>
      </c>
      <c r="D13" s="324">
        <v>18</v>
      </c>
      <c r="E13" s="64" t="str">
        <f>_xlfn.CONCAT("FH.MN.",D13)</f>
        <v>FH.MN.18</v>
      </c>
      <c r="F13" t="str">
        <f>VLOOKUP(E13,TaskValues_ref!E:F,2,FALSE)</f>
        <v>Refer congenital anomalies</v>
      </c>
      <c r="G13" t="str">
        <f>VLOOKUP($E13,TaskValues_ref!$E:$Z,3,FALSE)</f>
        <v>Clinical</v>
      </c>
      <c r="H13" t="str">
        <f>VLOOKUP($E13,TaskValues_ref!$E:$Z,4,FALSE)</f>
        <v>Chronic</v>
      </c>
      <c r="I13" t="str">
        <f>VLOOKUP($E13,TaskValues_ref!$E:$Z,5,FALSE)</f>
        <v>Sick child</v>
      </c>
      <c r="J13" s="257" t="str">
        <f>VLOOKUP($E13,TaskValues_ref!$E:$Z,6,FALSE)</f>
        <v>births</v>
      </c>
      <c r="K13" t="str">
        <f>VLOOKUP($E13,TaskValues_ref!$E:$Z,10,FALSE)</f>
        <v>Amhara</v>
      </c>
      <c r="L13" s="195">
        <f>IF(VLOOKUP($E13,TaskValues_ref!$E:$Z,11,FALSE)=0,"",VLOOKUP($E13,TaskValues_ref!$E:$Z,11,FALSE))</f>
        <v>1</v>
      </c>
      <c r="M13" t="str">
        <f>IF(VLOOKUP($E13,TaskValues_ref!$E:$Z,13,FALSE)=0,"",VLOOKUP($E13,TaskValues_ref!$E:$Z,13,FALSE))</f>
        <v/>
      </c>
      <c r="N13" s="89">
        <f>IF(VLOOKUP($E13,TaskValues_ref!$E:$Z,15,FALSE)=0,"",VLOOKUP($E13,TaskValues_ref!$E:$Z,15,FALSE))</f>
        <v>1</v>
      </c>
      <c r="O13" t="str">
        <f>IF(VLOOKUP($E13,TaskValues_ref!$E:$Z,16,FALSE)=0,"",VLOOKUP($E13,TaskValues_ref!$E:$Z,16,FALSE))</f>
        <v/>
      </c>
      <c r="P13" t="str">
        <f>IF(VLOOKUP($E13,TaskValues_ref!$E:$Z,17,FALSE)=0,"",VLOOKUP($E13,TaskValues_ref!$E:$Z,17,FALSE))</f>
        <v/>
      </c>
      <c r="Q13" t="str">
        <f>IF(VLOOKUP($E13,TaskValues_ref!$E:$Z,18,FALSE)=0,"",VLOOKUP($E13,TaskValues_ref!$E:$Z,18,FALSE))</f>
        <v/>
      </c>
      <c r="R13" t="str">
        <f>IF(VLOOKUP($E13,TaskValues_ref!$E:$Z,19,FALSE)=0,"",VLOOKUP($E13,TaskValues_ref!$E:$Z,19,FALSE))</f>
        <v/>
      </c>
      <c r="S13" t="str">
        <f>IF(VLOOKUP($E13,TaskValues_ref!$E:$Z,20,FALSE)=0,"",VLOOKUP($E13,TaskValues_ref!$E:$Z,20,FALSE))</f>
        <v/>
      </c>
    </row>
    <row r="14" spans="1:19" x14ac:dyDescent="0.45">
      <c r="A14" t="s">
        <v>2163</v>
      </c>
      <c r="B14" s="66" t="s">
        <v>2213</v>
      </c>
      <c r="D14" s="324">
        <v>19</v>
      </c>
      <c r="E14" s="64" t="s">
        <v>2225</v>
      </c>
      <c r="F14" t="str">
        <f>VLOOKUP(E14,TaskValues_ref!E:F,2,FALSE)</f>
        <v>Pneumonia (ARI)</v>
      </c>
      <c r="G14" t="str">
        <f>VLOOKUP($E14,TaskValues_ref!$E:$Z,3,FALSE)</f>
        <v>Clinical</v>
      </c>
      <c r="H14" t="str">
        <f>VLOOKUP($E14,TaskValues_ref!$E:$Z,4,FALSE)</f>
        <v>Acute</v>
      </c>
      <c r="I14" t="str">
        <f>VLOOKUP($E14,TaskValues_ref!$E:$Z,5,FALSE)</f>
        <v>Sick child</v>
      </c>
      <c r="J14" s="257" t="str">
        <f>VLOOKUP($E14,TaskValues_ref!$E:$Z,6,FALSE)</f>
        <v>1-4</v>
      </c>
      <c r="K14" t="str">
        <f>VLOOKUP($E14,TaskValues_ref!$E:$Z,10,FALSE)</f>
        <v>Amhara</v>
      </c>
      <c r="L14" s="195">
        <f>IF(VLOOKUP($E14,TaskValues_ref!$E:$Z,11,FALSE)=0,"",VLOOKUP($E14,TaskValues_ref!$E:$Z,11,FALSE))</f>
        <v>2</v>
      </c>
      <c r="M14" t="str">
        <f>IF(VLOOKUP($E14,TaskValues_ref!$E:$Z,13,FALSE)=0,"",VLOOKUP($E14,TaskValues_ref!$E:$Z,13,FALSE))</f>
        <v/>
      </c>
      <c r="N14" s="89">
        <f>IF(VLOOKUP($E14,TaskValues_ref!$E:$Z,15,FALSE)=0,"",VLOOKUP($E14,TaskValues_ref!$E:$Z,15,FALSE))</f>
        <v>0.98</v>
      </c>
      <c r="O14">
        <f>IF(VLOOKUP($E14,TaskValues_ref!$E:$Z,16,FALSE)=0,"",VLOOKUP($E14,TaskValues_ref!$E:$Z,16,FALSE))</f>
        <v>1</v>
      </c>
      <c r="P14" t="str">
        <f>IF(VLOOKUP($E14,TaskValues_ref!$E:$Z,17,FALSE)=0,"",VLOOKUP($E14,TaskValues_ref!$E:$Z,17,FALSE))</f>
        <v/>
      </c>
      <c r="Q14">
        <f>IF(VLOOKUP($E14,TaskValues_ref!$E:$Z,18,FALSE)=0,"",VLOOKUP($E14,TaskValues_ref!$E:$Z,18,FALSE))</f>
        <v>5</v>
      </c>
      <c r="R14" t="str">
        <f>IF(VLOOKUP($E14,TaskValues_ref!$E:$Z,19,FALSE)=0,"",VLOOKUP($E14,TaskValues_ref!$E:$Z,19,FALSE))</f>
        <v/>
      </c>
      <c r="S14" t="str">
        <f>IF(VLOOKUP($E14,TaskValues_ref!$E:$Z,20,FALSE)=0,"",VLOOKUP($E14,TaskValues_ref!$E:$Z,20,FALSE))</f>
        <v/>
      </c>
    </row>
    <row r="15" spans="1:19" x14ac:dyDescent="0.45">
      <c r="A15" t="s">
        <v>2163</v>
      </c>
      <c r="B15" s="66" t="s">
        <v>2213</v>
      </c>
      <c r="D15" s="324">
        <v>19</v>
      </c>
      <c r="E15" s="64" t="s">
        <v>2227</v>
      </c>
      <c r="F15" t="str">
        <f>VLOOKUP(E15,TaskValues_ref!E:F,2,FALSE)</f>
        <v>Diarrhea</v>
      </c>
      <c r="G15" t="str">
        <f>VLOOKUP($E15,TaskValues_ref!$E:$Z,3,FALSE)</f>
        <v>Clinical</v>
      </c>
      <c r="H15" t="str">
        <f>VLOOKUP($E15,TaskValues_ref!$E:$Z,4,FALSE)</f>
        <v>Acute</v>
      </c>
      <c r="I15" t="str">
        <f>VLOOKUP($E15,TaskValues_ref!$E:$Z,5,FALSE)</f>
        <v>Sick child</v>
      </c>
      <c r="J15" s="257" t="str">
        <f>VLOOKUP($E15,TaskValues_ref!$E:$Z,6,FALSE)</f>
        <v>1-4</v>
      </c>
      <c r="K15" t="str">
        <f>VLOOKUP($E15,TaskValues_ref!$E:$Z,10,FALSE)</f>
        <v>Amhara</v>
      </c>
      <c r="L15" s="195">
        <f>IF(VLOOKUP($E15,TaskValues_ref!$E:$Z,11,FALSE)=0,"",VLOOKUP($E15,TaskValues_ref!$E:$Z,11,FALSE))</f>
        <v>3</v>
      </c>
      <c r="M15" t="str">
        <f>IF(VLOOKUP($E15,TaskValues_ref!$E:$Z,13,FALSE)=0,"",VLOOKUP($E15,TaskValues_ref!$E:$Z,13,FALSE))</f>
        <v/>
      </c>
      <c r="N15" s="89">
        <f>IF(VLOOKUP($E15,TaskValues_ref!$E:$Z,15,FALSE)=0,"",VLOOKUP($E15,TaskValues_ref!$E:$Z,15,FALSE))</f>
        <v>0.98</v>
      </c>
      <c r="O15">
        <f>IF(VLOOKUP($E15,TaskValues_ref!$E:$Z,16,FALSE)=0,"",VLOOKUP($E15,TaskValues_ref!$E:$Z,16,FALSE))</f>
        <v>1</v>
      </c>
      <c r="P15" t="str">
        <f>IF(VLOOKUP($E15,TaskValues_ref!$E:$Z,17,FALSE)=0,"",VLOOKUP($E15,TaskValues_ref!$E:$Z,17,FALSE))</f>
        <v/>
      </c>
      <c r="Q15">
        <f>IF(VLOOKUP($E15,TaskValues_ref!$E:$Z,18,FALSE)=0,"",VLOOKUP($E15,TaskValues_ref!$E:$Z,18,FALSE))</f>
        <v>5</v>
      </c>
      <c r="R15" t="str">
        <f>IF(VLOOKUP($E15,TaskValues_ref!$E:$Z,19,FALSE)=0,"",VLOOKUP($E15,TaskValues_ref!$E:$Z,19,FALSE))</f>
        <v/>
      </c>
      <c r="S15" t="str">
        <f>IF(VLOOKUP($E15,TaskValues_ref!$E:$Z,20,FALSE)=0,"",VLOOKUP($E15,TaskValues_ref!$E:$Z,20,FALSE))</f>
        <v/>
      </c>
    </row>
    <row r="16" spans="1:19" x14ac:dyDescent="0.45">
      <c r="A16" t="s">
        <v>2163</v>
      </c>
      <c r="B16" s="66" t="s">
        <v>2213</v>
      </c>
      <c r="D16" s="324">
        <v>19</v>
      </c>
      <c r="E16" s="64" t="s">
        <v>2228</v>
      </c>
      <c r="F16" t="str">
        <f>VLOOKUP(E16,TaskValues_ref!E:F,2,FALSE)</f>
        <v>Parasites</v>
      </c>
      <c r="G16" t="str">
        <f>VLOOKUP($E16,TaskValues_ref!$E:$Z,3,FALSE)</f>
        <v>Clinical</v>
      </c>
      <c r="H16" t="str">
        <f>VLOOKUP($E16,TaskValues_ref!$E:$Z,4,FALSE)</f>
        <v>Acute</v>
      </c>
      <c r="I16" t="str">
        <f>VLOOKUP($E16,TaskValues_ref!$E:$Z,5,FALSE)</f>
        <v>Sick child</v>
      </c>
      <c r="J16" s="257" t="str">
        <f>VLOOKUP($E16,TaskValues_ref!$E:$Z,6,FALSE)</f>
        <v>1-4</v>
      </c>
      <c r="K16" t="str">
        <f>VLOOKUP($E16,TaskValues_ref!$E:$Z,10,FALSE)</f>
        <v>Amhara</v>
      </c>
      <c r="L16" s="195">
        <f>IF(VLOOKUP($E16,TaskValues_ref!$E:$Z,11,FALSE)=0,"",VLOOKUP($E16,TaskValues_ref!$E:$Z,11,FALSE))</f>
        <v>0.46090000000000003</v>
      </c>
      <c r="M16" t="str">
        <f>IF(VLOOKUP($E16,TaskValues_ref!$E:$Z,13,FALSE)=0,"",VLOOKUP($E16,TaskValues_ref!$E:$Z,13,FALSE))</f>
        <v/>
      </c>
      <c r="N16" s="89">
        <f>IF(VLOOKUP($E16,TaskValues_ref!$E:$Z,15,FALSE)=0,"",VLOOKUP($E16,TaskValues_ref!$E:$Z,15,FALSE))</f>
        <v>0.98</v>
      </c>
      <c r="O16">
        <f>IF(VLOOKUP($E16,TaskValues_ref!$E:$Z,16,FALSE)=0,"",VLOOKUP($E16,TaskValues_ref!$E:$Z,16,FALSE))</f>
        <v>2</v>
      </c>
      <c r="P16" t="str">
        <f>IF(VLOOKUP($E16,TaskValues_ref!$E:$Z,17,FALSE)=0,"",VLOOKUP($E16,TaskValues_ref!$E:$Z,17,FALSE))</f>
        <v/>
      </c>
      <c r="Q16">
        <f>IF(VLOOKUP($E16,TaskValues_ref!$E:$Z,18,FALSE)=0,"",VLOOKUP($E16,TaskValues_ref!$E:$Z,18,FALSE))</f>
        <v>5</v>
      </c>
      <c r="R16" t="str">
        <f>IF(VLOOKUP($E16,TaskValues_ref!$E:$Z,19,FALSE)=0,"",VLOOKUP($E16,TaskValues_ref!$E:$Z,19,FALSE))</f>
        <v/>
      </c>
      <c r="S16" t="str">
        <f>IF(VLOOKUP($E16,TaskValues_ref!$E:$Z,20,FALSE)=0,"",VLOOKUP($E16,TaskValues_ref!$E:$Z,20,FALSE))</f>
        <v/>
      </c>
    </row>
    <row r="17" spans="1:19" x14ac:dyDescent="0.45">
      <c r="A17" t="s">
        <v>2163</v>
      </c>
      <c r="B17" s="66" t="s">
        <v>2213</v>
      </c>
      <c r="D17" s="324">
        <v>19</v>
      </c>
      <c r="E17" s="64" t="s">
        <v>2829</v>
      </c>
      <c r="F17" t="str">
        <f>VLOOKUP(E17,TaskValues_ref!E:F,2,FALSE)</f>
        <v>Fever, excluding diarrhea and ARI</v>
      </c>
      <c r="G17" t="str">
        <f>VLOOKUP($E17,TaskValues_ref!$E:$Z,3,FALSE)</f>
        <v>Clinical</v>
      </c>
      <c r="H17" t="str">
        <f>VLOOKUP($E17,TaskValues_ref!$E:$Z,4,FALSE)</f>
        <v>Acute</v>
      </c>
      <c r="I17" t="str">
        <f>VLOOKUP($E17,TaskValues_ref!$E:$Z,5,FALSE)</f>
        <v>Sick child</v>
      </c>
      <c r="J17" s="257" t="str">
        <f>VLOOKUP($E17,TaskValues_ref!$E:$Z,6,FALSE)</f>
        <v>1-4</v>
      </c>
      <c r="K17" t="str">
        <f>VLOOKUP($E17,TaskValues_ref!$E:$Z,10,FALSE)</f>
        <v>Amhara</v>
      </c>
      <c r="L17" s="195" t="str">
        <f>IF(VLOOKUP($E17,TaskValues_ref!$E:$Z,11,FALSE)=0,"",VLOOKUP($E17,TaskValues_ref!$E:$Z,11,FALSE))</f>
        <v/>
      </c>
      <c r="M17" t="str">
        <f>IF(VLOOKUP($E17,TaskValues_ref!$E:$Z,13,FALSE)=0,"",VLOOKUP($E17,TaskValues_ref!$E:$Z,13,FALSE))</f>
        <v/>
      </c>
      <c r="N17" s="89">
        <f>IF(VLOOKUP($E17,TaskValues_ref!$E:$Z,15,FALSE)=0,"",VLOOKUP($E17,TaskValues_ref!$E:$Z,15,FALSE))</f>
        <v>0.98</v>
      </c>
      <c r="O17">
        <f>IF(VLOOKUP($E17,TaskValues_ref!$E:$Z,16,FALSE)=0,"",VLOOKUP($E17,TaskValues_ref!$E:$Z,16,FALSE))</f>
        <v>1</v>
      </c>
      <c r="P17" t="str">
        <f>IF(VLOOKUP($E17,TaskValues_ref!$E:$Z,17,FALSE)=0,"",VLOOKUP($E17,TaskValues_ref!$E:$Z,17,FALSE))</f>
        <v/>
      </c>
      <c r="Q17">
        <f>IF(VLOOKUP($E17,TaskValues_ref!$E:$Z,18,FALSE)=0,"",VLOOKUP($E17,TaskValues_ref!$E:$Z,18,FALSE))</f>
        <v>5</v>
      </c>
      <c r="R17" t="str">
        <f>IF(VLOOKUP($E17,TaskValues_ref!$E:$Z,19,FALSE)=0,"",VLOOKUP($E17,TaskValues_ref!$E:$Z,19,FALSE))</f>
        <v/>
      </c>
      <c r="S17" t="str">
        <f>IF(VLOOKUP($E17,TaskValues_ref!$E:$Z,20,FALSE)=0,"",VLOOKUP($E17,TaskValues_ref!$E:$Z,20,FALSE))</f>
        <v/>
      </c>
    </row>
    <row r="18" spans="1:19" x14ac:dyDescent="0.45">
      <c r="A18" t="s">
        <v>2163</v>
      </c>
      <c r="B18" s="66" t="s">
        <v>2213</v>
      </c>
      <c r="D18" s="324">
        <v>21</v>
      </c>
      <c r="E18" s="64" t="s">
        <v>2226</v>
      </c>
      <c r="F18" t="str">
        <f>VLOOKUP(E18,TaskValues_ref!E:F,2,FALSE)</f>
        <v>Well child check &amp; growth monitoring</v>
      </c>
      <c r="G18" t="str">
        <f>VLOOKUP($E18,TaskValues_ref!$E:$Z,3,FALSE)</f>
        <v>Clinical</v>
      </c>
      <c r="H18" t="str">
        <f>VLOOKUP($E18,TaskValues_ref!$E:$Z,4,FALSE)</f>
        <v>Preventive</v>
      </c>
      <c r="I18" t="str">
        <f>VLOOKUP($E18,TaskValues_ref!$E:$Z,5,FALSE)</f>
        <v>Nutrition</v>
      </c>
      <c r="J18" s="257" t="str">
        <f>VLOOKUP($E18,TaskValues_ref!$E:$Z,6,FALSE)</f>
        <v>1-4</v>
      </c>
      <c r="K18" t="str">
        <f>VLOOKUP($E18,TaskValues_ref!$E:$Z,10,FALSE)</f>
        <v>Amhara</v>
      </c>
      <c r="L18" s="195">
        <f>IF(VLOOKUP($E18,TaskValues_ref!$E:$Z,11,FALSE)=0,"",VLOOKUP($E18,TaskValues_ref!$E:$Z,11,FALSE))</f>
        <v>1</v>
      </c>
      <c r="M18" t="str">
        <f>IF(VLOOKUP($E18,TaskValues_ref!$E:$Z,13,FALSE)=0,"",VLOOKUP($E18,TaskValues_ref!$E:$Z,13,FALSE))</f>
        <v/>
      </c>
      <c r="N18" s="89">
        <f>IF(VLOOKUP($E18,TaskValues_ref!$E:$Z,15,FALSE)=0,"",VLOOKUP($E18,TaskValues_ref!$E:$Z,15,FALSE))</f>
        <v>1</v>
      </c>
      <c r="O18">
        <f>IF(VLOOKUP($E18,TaskValues_ref!$E:$Z,16,FALSE)=0,"",VLOOKUP($E18,TaskValues_ref!$E:$Z,16,FALSE))</f>
        <v>3</v>
      </c>
      <c r="P18" t="str">
        <f>IF(VLOOKUP($E18,TaskValues_ref!$E:$Z,17,FALSE)=0,"",VLOOKUP($E18,TaskValues_ref!$E:$Z,17,FALSE))</f>
        <v/>
      </c>
      <c r="Q18">
        <f>IF(VLOOKUP($E18,TaskValues_ref!$E:$Z,18,FALSE)=0,"",VLOOKUP($E18,TaskValues_ref!$E:$Z,18,FALSE))</f>
        <v>5</v>
      </c>
      <c r="R18" t="str">
        <f>IF(VLOOKUP($E18,TaskValues_ref!$E:$Z,19,FALSE)=0,"",VLOOKUP($E18,TaskValues_ref!$E:$Z,19,FALSE))</f>
        <v/>
      </c>
      <c r="S18" t="str">
        <f>IF(VLOOKUP($E18,TaskValues_ref!$E:$Z,20,FALSE)=0,"",VLOOKUP($E18,TaskValues_ref!$E:$Z,20,FALSE))</f>
        <v/>
      </c>
    </row>
    <row r="19" spans="1:19" x14ac:dyDescent="0.45">
      <c r="A19" t="s">
        <v>2163</v>
      </c>
      <c r="B19" s="66" t="s">
        <v>2213</v>
      </c>
      <c r="D19" s="324">
        <v>21</v>
      </c>
      <c r="E19" s="64" t="str">
        <f t="shared" ref="E19:E26" si="0">_xlfn.CONCAT("FH.MN.",D19)</f>
        <v>FH.MN.21</v>
      </c>
      <c r="F19" t="str">
        <f>VLOOKUP(E19,TaskValues_ref!E:F,2,FALSE)</f>
        <v>Treat severe malnutrition</v>
      </c>
      <c r="G19" t="str">
        <f>VLOOKUP($E19,TaskValues_ref!$E:$Z,3,FALSE)</f>
        <v>Clinical</v>
      </c>
      <c r="H19" t="str">
        <f>VLOOKUP($E19,TaskValues_ref!$E:$Z,4,FALSE)</f>
        <v>Acute</v>
      </c>
      <c r="I19" t="str">
        <f>VLOOKUP($E19,TaskValues_ref!$E:$Z,5,FALSE)</f>
        <v>Nutrition</v>
      </c>
      <c r="J19" s="257" t="str">
        <f>VLOOKUP($E19,TaskValues_ref!$E:$Z,6,FALSE)</f>
        <v>1-4</v>
      </c>
      <c r="K19" t="str">
        <f>VLOOKUP($E19,TaskValues_ref!$E:$Z,10,FALSE)</f>
        <v>Amhara</v>
      </c>
      <c r="L19" s="195">
        <f>IF(VLOOKUP($E19,TaskValues_ref!$E:$Z,11,FALSE)=0,"",VLOOKUP($E19,TaskValues_ref!$E:$Z,11,FALSE))</f>
        <v>0.13400000000000001</v>
      </c>
      <c r="M19" t="str">
        <f>IF(VLOOKUP($E19,TaskValues_ref!$E:$Z,13,FALSE)=0,"",VLOOKUP($E19,TaskValues_ref!$E:$Z,13,FALSE))</f>
        <v/>
      </c>
      <c r="N19" s="89">
        <f>IF(VLOOKUP($E19,TaskValues_ref!$E:$Z,15,FALSE)=0,"",VLOOKUP($E19,TaskValues_ref!$E:$Z,15,FALSE))</f>
        <v>0.98</v>
      </c>
      <c r="O19">
        <f>IF(VLOOKUP($E19,TaskValues_ref!$E:$Z,16,FALSE)=0,"",VLOOKUP($E19,TaskValues_ref!$E:$Z,16,FALSE))</f>
        <v>4</v>
      </c>
      <c r="P19" t="str">
        <f>IF(VLOOKUP($E19,TaskValues_ref!$E:$Z,17,FALSE)=0,"",VLOOKUP($E19,TaskValues_ref!$E:$Z,17,FALSE))</f>
        <v/>
      </c>
      <c r="Q19">
        <f>IF(VLOOKUP($E19,TaskValues_ref!$E:$Z,18,FALSE)=0,"",VLOOKUP($E19,TaskValues_ref!$E:$Z,18,FALSE))</f>
        <v>5</v>
      </c>
      <c r="R19" t="str">
        <f>IF(VLOOKUP($E19,TaskValues_ref!$E:$Z,19,FALSE)=0,"",VLOOKUP($E19,TaskValues_ref!$E:$Z,19,FALSE))</f>
        <v/>
      </c>
      <c r="S19" t="str">
        <f>IF(VLOOKUP($E19,TaskValues_ref!$E:$Z,20,FALSE)=0,"",VLOOKUP($E19,TaskValues_ref!$E:$Z,20,FALSE))</f>
        <v/>
      </c>
    </row>
    <row r="20" spans="1:19" x14ac:dyDescent="0.45">
      <c r="A20" t="s">
        <v>2163</v>
      </c>
      <c r="B20" s="66" t="s">
        <v>2213</v>
      </c>
      <c r="D20" s="324">
        <v>22</v>
      </c>
      <c r="E20" s="64" t="str">
        <f t="shared" si="0"/>
        <v>FH.MN.22</v>
      </c>
      <c r="F20" t="str">
        <f>VLOOKUP(E20,TaskValues_ref!E:F,2,FALSE)</f>
        <v>Treat moderate malnutrition</v>
      </c>
      <c r="G20" t="str">
        <f>VLOOKUP($E20,TaskValues_ref!$E:$Z,3,FALSE)</f>
        <v>Clinical</v>
      </c>
      <c r="H20" t="str">
        <f>VLOOKUP($E20,TaskValues_ref!$E:$Z,4,FALSE)</f>
        <v>Acute</v>
      </c>
      <c r="I20" t="str">
        <f>VLOOKUP($E20,TaskValues_ref!$E:$Z,5,FALSE)</f>
        <v>Nutrition</v>
      </c>
      <c r="J20" s="257" t="str">
        <f>VLOOKUP($E20,TaskValues_ref!$E:$Z,6,FALSE)</f>
        <v>1-4</v>
      </c>
      <c r="K20" t="str">
        <f>VLOOKUP($E20,TaskValues_ref!$E:$Z,10,FALSE)</f>
        <v>Amhara</v>
      </c>
      <c r="L20" s="195">
        <f>IF(VLOOKUP($E20,TaskValues_ref!$E:$Z,11,FALSE)=0,"",VLOOKUP($E20,TaskValues_ref!$E:$Z,11,FALSE))</f>
        <v>0.41499999999999998</v>
      </c>
      <c r="M20" t="str">
        <f>IF(VLOOKUP($E20,TaskValues_ref!$E:$Z,13,FALSE)=0,"",VLOOKUP($E20,TaskValues_ref!$E:$Z,13,FALSE))</f>
        <v/>
      </c>
      <c r="N20" s="89">
        <f>IF(VLOOKUP($E20,TaskValues_ref!$E:$Z,15,FALSE)=0,"",VLOOKUP($E20,TaskValues_ref!$E:$Z,15,FALSE))</f>
        <v>0.98</v>
      </c>
      <c r="O20">
        <f>IF(VLOOKUP($E20,TaskValues_ref!$E:$Z,16,FALSE)=0,"",VLOOKUP($E20,TaskValues_ref!$E:$Z,16,FALSE))</f>
        <v>2</v>
      </c>
      <c r="P20" t="str">
        <f>IF(VLOOKUP($E20,TaskValues_ref!$E:$Z,17,FALSE)=0,"",VLOOKUP($E20,TaskValues_ref!$E:$Z,17,FALSE))</f>
        <v/>
      </c>
      <c r="Q20">
        <f>IF(VLOOKUP($E20,TaskValues_ref!$E:$Z,18,FALSE)=0,"",VLOOKUP($E20,TaskValues_ref!$E:$Z,18,FALSE))</f>
        <v>5</v>
      </c>
      <c r="R20" t="str">
        <f>IF(VLOOKUP($E20,TaskValues_ref!$E:$Z,19,FALSE)=0,"",VLOOKUP($E20,TaskValues_ref!$E:$Z,19,FALSE))</f>
        <v/>
      </c>
      <c r="S20" t="str">
        <f>IF(VLOOKUP($E20,TaskValues_ref!$E:$Z,20,FALSE)=0,"",VLOOKUP($E20,TaskValues_ref!$E:$Z,20,FALSE))</f>
        <v/>
      </c>
    </row>
    <row r="21" spans="1:19" x14ac:dyDescent="0.45">
      <c r="A21" t="s">
        <v>2163</v>
      </c>
      <c r="B21" s="66" t="s">
        <v>2213</v>
      </c>
      <c r="D21" s="324">
        <v>23</v>
      </c>
      <c r="E21" s="64" t="str">
        <f t="shared" si="0"/>
        <v>FH.MN.23</v>
      </c>
      <c r="F21" t="str">
        <f>VLOOKUP(E21,TaskValues_ref!E:F,2,FALSE)</f>
        <v>Deworming &amp; VitA</v>
      </c>
      <c r="G21" t="str">
        <f>VLOOKUP($E21,TaskValues_ref!$E:$Z,3,FALSE)</f>
        <v>Clinical</v>
      </c>
      <c r="H21" t="str">
        <f>VLOOKUP($E21,TaskValues_ref!$E:$Z,4,FALSE)</f>
        <v>Preventive</v>
      </c>
      <c r="I21" t="str">
        <f>VLOOKUP($E21,TaskValues_ref!$E:$Z,5,FALSE)</f>
        <v>Nutrition</v>
      </c>
      <c r="J21" s="257" t="str">
        <f>VLOOKUP($E21,TaskValues_ref!$E:$Z,6,FALSE)</f>
        <v>1-4</v>
      </c>
      <c r="K21" t="str">
        <f>VLOOKUP($E21,TaskValues_ref!$E:$Z,10,FALSE)</f>
        <v>Amhara</v>
      </c>
      <c r="L21" s="195">
        <f>IF(VLOOKUP($E21,TaskValues_ref!$E:$Z,11,FALSE)=0,"",VLOOKUP($E21,TaskValues_ref!$E:$Z,11,FALSE))</f>
        <v>1</v>
      </c>
      <c r="M21" t="str">
        <f>IF(VLOOKUP($E21,TaskValues_ref!$E:$Z,13,FALSE)=0,"",VLOOKUP($E21,TaskValues_ref!$E:$Z,13,FALSE))</f>
        <v/>
      </c>
      <c r="N21" s="89">
        <f>IF(VLOOKUP($E21,TaskValues_ref!$E:$Z,15,FALSE)=0,"",VLOOKUP($E21,TaskValues_ref!$E:$Z,15,FALSE))</f>
        <v>1</v>
      </c>
      <c r="O21" t="str">
        <f>IF(VLOOKUP($E21,TaskValues_ref!$E:$Z,16,FALSE)=0,"",VLOOKUP($E21,TaskValues_ref!$E:$Z,16,FALSE))</f>
        <v/>
      </c>
      <c r="P21">
        <f>IF(VLOOKUP($E21,TaskValues_ref!$E:$Z,17,FALSE)=0,"",VLOOKUP($E21,TaskValues_ref!$E:$Z,17,FALSE))</f>
        <v>2</v>
      </c>
      <c r="Q21">
        <f>IF(VLOOKUP($E21,TaskValues_ref!$E:$Z,18,FALSE)=0,"",VLOOKUP($E21,TaskValues_ref!$E:$Z,18,FALSE))</f>
        <v>5</v>
      </c>
      <c r="R21" t="str">
        <f>IF(VLOOKUP($E21,TaskValues_ref!$E:$Z,19,FALSE)=0,"",VLOOKUP($E21,TaskValues_ref!$E:$Z,19,FALSE))</f>
        <v/>
      </c>
      <c r="S21" t="str">
        <f>IF(VLOOKUP($E21,TaskValues_ref!$E:$Z,20,FALSE)=0,"",VLOOKUP($E21,TaskValues_ref!$E:$Z,20,FALSE))</f>
        <v/>
      </c>
    </row>
    <row r="22" spans="1:19" x14ac:dyDescent="0.45">
      <c r="A22" t="s">
        <v>2163</v>
      </c>
      <c r="B22" s="66" t="s">
        <v>2213</v>
      </c>
      <c r="D22" s="324">
        <v>24</v>
      </c>
      <c r="E22" s="64" t="str">
        <f t="shared" si="0"/>
        <v>FH.MN.24</v>
      </c>
      <c r="F22" t="str">
        <f>VLOOKUP(E22,TaskValues_ref!E:F,2,FALSE)</f>
        <v>Paediatric palliative</v>
      </c>
      <c r="G22" t="str">
        <f>VLOOKUP($E22,TaskValues_ref!$E:$Z,3,FALSE)</f>
        <v>Clinical</v>
      </c>
      <c r="H22" t="str">
        <f>VLOOKUP($E22,TaskValues_ref!$E:$Z,4,FALSE)</f>
        <v>Acute</v>
      </c>
      <c r="I22" t="str">
        <f>VLOOKUP($E22,TaskValues_ref!$E:$Z,5,FALSE)</f>
        <v>Sick child</v>
      </c>
      <c r="J22" s="257" t="str">
        <f>VLOOKUP($E22,TaskValues_ref!$E:$Z,6,FALSE)</f>
        <v>1-4</v>
      </c>
      <c r="K22" t="str">
        <f>VLOOKUP($E22,TaskValues_ref!$E:$Z,10,FALSE)</f>
        <v>Amhara</v>
      </c>
      <c r="L22" s="195">
        <f>IF(VLOOKUP($E22,TaskValues_ref!$E:$Z,11,FALSE)=0,"",VLOOKUP($E22,TaskValues_ref!$E:$Z,11,FALSE))</f>
        <v>2.7499999999999998E-3</v>
      </c>
      <c r="M22" t="str">
        <f>IF(VLOOKUP($E22,TaskValues_ref!$E:$Z,13,FALSE)=0,"",VLOOKUP($E22,TaskValues_ref!$E:$Z,13,FALSE))</f>
        <v/>
      </c>
      <c r="N22" s="89">
        <f>IF(VLOOKUP($E22,TaskValues_ref!$E:$Z,15,FALSE)=0,"",VLOOKUP($E22,TaskValues_ref!$E:$Z,15,FALSE))</f>
        <v>0.95480225988700573</v>
      </c>
      <c r="O22">
        <f>IF(VLOOKUP($E22,TaskValues_ref!$E:$Z,16,FALSE)=0,"",VLOOKUP($E22,TaskValues_ref!$E:$Z,16,FALSE))</f>
        <v>1</v>
      </c>
      <c r="P22" t="str">
        <f>IF(VLOOKUP($E22,TaskValues_ref!$E:$Z,17,FALSE)=0,"",VLOOKUP($E22,TaskValues_ref!$E:$Z,17,FALSE))</f>
        <v/>
      </c>
      <c r="Q22">
        <f>IF(VLOOKUP($E22,TaskValues_ref!$E:$Z,18,FALSE)=0,"",VLOOKUP($E22,TaskValues_ref!$E:$Z,18,FALSE))</f>
        <v>15</v>
      </c>
      <c r="R22" t="str">
        <f>IF(VLOOKUP($E22,TaskValues_ref!$E:$Z,19,FALSE)=0,"",VLOOKUP($E22,TaskValues_ref!$E:$Z,19,FALSE))</f>
        <v/>
      </c>
      <c r="S22" t="str">
        <f>IF(VLOOKUP($E22,TaskValues_ref!$E:$Z,20,FALSE)=0,"",VLOOKUP($E22,TaskValues_ref!$E:$Z,20,FALSE))</f>
        <v/>
      </c>
    </row>
    <row r="23" spans="1:19" x14ac:dyDescent="0.45">
      <c r="A23" t="s">
        <v>2163</v>
      </c>
      <c r="B23" s="66" t="s">
        <v>2213</v>
      </c>
      <c r="D23" s="324">
        <v>25</v>
      </c>
      <c r="E23" s="64" t="str">
        <f t="shared" si="0"/>
        <v>FH.MN.25</v>
      </c>
      <c r="F23" t="str">
        <f>VLOOKUP(E23,TaskValues_ref!E:F,2,FALSE)</f>
        <v>Pharyngitis, tonsillitis, sinusitis</v>
      </c>
      <c r="G23" t="str">
        <f>VLOOKUP($E23,TaskValues_ref!$E:$Z,3,FALSE)</f>
        <v>Clinical</v>
      </c>
      <c r="H23" t="str">
        <f>VLOOKUP($E23,TaskValues_ref!$E:$Z,4,FALSE)</f>
        <v>Acute</v>
      </c>
      <c r="I23" t="str">
        <f>VLOOKUP($E23,TaskValues_ref!$E:$Z,5,FALSE)</f>
        <v>Sick child</v>
      </c>
      <c r="J23" s="257" t="str">
        <f>VLOOKUP($E23,TaskValues_ref!$E:$Z,6,FALSE)</f>
        <v>1-4</v>
      </c>
      <c r="K23" t="str">
        <f>VLOOKUP($E23,TaskValues_ref!$E:$Z,10,FALSE)</f>
        <v>Amhara</v>
      </c>
      <c r="L23" s="195" t="str">
        <f>IF(VLOOKUP($E23,TaskValues_ref!$E:$Z,11,FALSE)=0,"",VLOOKUP($E23,TaskValues_ref!$E:$Z,11,FALSE))</f>
        <v/>
      </c>
      <c r="M23" t="str">
        <f>IF(VLOOKUP($E23,TaskValues_ref!$E:$Z,13,FALSE)=0,"",VLOOKUP($E23,TaskValues_ref!$E:$Z,13,FALSE))</f>
        <v/>
      </c>
      <c r="N23" s="89">
        <f>IF(VLOOKUP($E23,TaskValues_ref!$E:$Z,15,FALSE)=0,"",VLOOKUP($E23,TaskValues_ref!$E:$Z,15,FALSE))</f>
        <v>0.98</v>
      </c>
      <c r="O23">
        <f>IF(VLOOKUP($E23,TaskValues_ref!$E:$Z,16,FALSE)=0,"",VLOOKUP($E23,TaskValues_ref!$E:$Z,16,FALSE))</f>
        <v>1</v>
      </c>
      <c r="P23" t="str">
        <f>IF(VLOOKUP($E23,TaskValues_ref!$E:$Z,17,FALSE)=0,"",VLOOKUP($E23,TaskValues_ref!$E:$Z,17,FALSE))</f>
        <v/>
      </c>
      <c r="Q23">
        <f>IF(VLOOKUP($E23,TaskValues_ref!$E:$Z,18,FALSE)=0,"",VLOOKUP($E23,TaskValues_ref!$E:$Z,18,FALSE))</f>
        <v>10</v>
      </c>
      <c r="R23" t="str">
        <f>IF(VLOOKUP($E23,TaskValues_ref!$E:$Z,19,FALSE)=0,"",VLOOKUP($E23,TaskValues_ref!$E:$Z,19,FALSE))</f>
        <v/>
      </c>
      <c r="S23" t="str">
        <f>IF(VLOOKUP($E23,TaskValues_ref!$E:$Z,20,FALSE)=0,"",VLOOKUP($E23,TaskValues_ref!$E:$Z,20,FALSE))</f>
        <v/>
      </c>
    </row>
    <row r="24" spans="1:19" x14ac:dyDescent="0.45">
      <c r="A24" t="s">
        <v>2163</v>
      </c>
      <c r="B24" s="66" t="s">
        <v>2213</v>
      </c>
      <c r="D24" s="324">
        <v>28</v>
      </c>
      <c r="E24" s="64" t="str">
        <f t="shared" si="0"/>
        <v>FH.MN.28</v>
      </c>
      <c r="F24" t="str">
        <f>VLOOKUP(E24,TaskValues_ref!E:F,2,FALSE)</f>
        <v>Scabies</v>
      </c>
      <c r="G24" t="str">
        <f>VLOOKUP($E24,TaskValues_ref!$E:$Z,3,FALSE)</f>
        <v>Clinical</v>
      </c>
      <c r="H24" t="str">
        <f>VLOOKUP($E24,TaskValues_ref!$E:$Z,4,FALSE)</f>
        <v>Acute</v>
      </c>
      <c r="I24" t="str">
        <f>VLOOKUP($E24,TaskValues_ref!$E:$Z,5,FALSE)</f>
        <v>Sick child</v>
      </c>
      <c r="J24" s="257" t="str">
        <f>VLOOKUP($E24,TaskValues_ref!$E:$Z,6,FALSE)</f>
        <v>15 yo</v>
      </c>
      <c r="K24" t="str">
        <f>VLOOKUP($E24,TaskValues_ref!$E:$Z,10,FALSE)</f>
        <v>Amhara</v>
      </c>
      <c r="L24" s="195">
        <f>IF(VLOOKUP($E24,TaskValues_ref!$E:$Z,11,FALSE)=0,"",VLOOKUP($E24,TaskValues_ref!$E:$Z,11,FALSE))</f>
        <v>9.6999999999999989E-2</v>
      </c>
      <c r="M24" t="str">
        <f>IF(VLOOKUP($E24,TaskValues_ref!$E:$Z,13,FALSE)=0,"",VLOOKUP($E24,TaskValues_ref!$E:$Z,13,FALSE))</f>
        <v/>
      </c>
      <c r="N24" s="89">
        <f>IF(VLOOKUP($E24,TaskValues_ref!$E:$Z,15,FALSE)=0,"",VLOOKUP($E24,TaskValues_ref!$E:$Z,15,FALSE))</f>
        <v>0.98</v>
      </c>
      <c r="O24">
        <f>IF(VLOOKUP($E24,TaskValues_ref!$E:$Z,16,FALSE)=0,"",VLOOKUP($E24,TaskValues_ref!$E:$Z,16,FALSE))</f>
        <v>1</v>
      </c>
      <c r="P24" t="str">
        <f>IF(VLOOKUP($E24,TaskValues_ref!$E:$Z,17,FALSE)=0,"",VLOOKUP($E24,TaskValues_ref!$E:$Z,17,FALSE))</f>
        <v/>
      </c>
      <c r="Q24">
        <f>IF(VLOOKUP($E24,TaskValues_ref!$E:$Z,18,FALSE)=0,"",VLOOKUP($E24,TaskValues_ref!$E:$Z,18,FALSE))</f>
        <v>5</v>
      </c>
      <c r="R24" t="str">
        <f>IF(VLOOKUP($E24,TaskValues_ref!$E:$Z,19,FALSE)=0,"",VLOOKUP($E24,TaskValues_ref!$E:$Z,19,FALSE))</f>
        <v/>
      </c>
      <c r="S24" t="str">
        <f>IF(VLOOKUP($E24,TaskValues_ref!$E:$Z,20,FALSE)=0,"",VLOOKUP($E24,TaskValues_ref!$E:$Z,20,FALSE))</f>
        <v/>
      </c>
    </row>
    <row r="25" spans="1:19" x14ac:dyDescent="0.45">
      <c r="A25" t="s">
        <v>2163</v>
      </c>
      <c r="B25" s="66" t="s">
        <v>2213</v>
      </c>
      <c r="D25" s="324">
        <v>29</v>
      </c>
      <c r="E25" s="64" t="str">
        <f t="shared" si="0"/>
        <v>FH.MN.29</v>
      </c>
      <c r="F25" t="str">
        <f>VLOOKUP(E25,TaskValues_ref!E:F,2,FALSE)</f>
        <v>Child abuse</v>
      </c>
      <c r="G25" t="str">
        <f>VLOOKUP($E25,TaskValues_ref!$E:$Z,3,FALSE)</f>
        <v>Non-clinical</v>
      </c>
      <c r="H25" t="str">
        <f>VLOOKUP($E25,TaskValues_ref!$E:$Z,4,FALSE)</f>
        <v>Public Health</v>
      </c>
      <c r="I25" t="str">
        <f>VLOOKUP($E25,TaskValues_ref!$E:$Z,5,FALSE)</f>
        <v>-</v>
      </c>
      <c r="J25" s="257" t="str">
        <f>VLOOKUP($E25,TaskValues_ref!$E:$Z,6,FALSE)</f>
        <v>18 yo adults</v>
      </c>
      <c r="K25" t="str">
        <f>VLOOKUP($E25,TaskValues_ref!$E:$Z,10,FALSE)</f>
        <v>Amhara</v>
      </c>
      <c r="L25" s="195">
        <f>IF(VLOOKUP($E25,TaskValues_ref!$E:$Z,11,FALSE)=0,"",VLOOKUP($E25,TaskValues_ref!$E:$Z,11,FALSE))</f>
        <v>0.1</v>
      </c>
      <c r="M25" t="str">
        <f>IF(VLOOKUP($E25,TaskValues_ref!$E:$Z,13,FALSE)=0,"",VLOOKUP($E25,TaskValues_ref!$E:$Z,13,FALSE))</f>
        <v/>
      </c>
      <c r="N25" s="89">
        <f>IF(VLOOKUP($E25,TaskValues_ref!$E:$Z,15,FALSE)=0,"",VLOOKUP($E25,TaskValues_ref!$E:$Z,15,FALSE))</f>
        <v>1</v>
      </c>
      <c r="O25">
        <f>IF(VLOOKUP($E25,TaskValues_ref!$E:$Z,16,FALSE)=0,"",VLOOKUP($E25,TaskValues_ref!$E:$Z,16,FALSE))</f>
        <v>2</v>
      </c>
      <c r="P25" t="str">
        <f>IF(VLOOKUP($E25,TaskValues_ref!$E:$Z,17,FALSE)=0,"",VLOOKUP($E25,TaskValues_ref!$E:$Z,17,FALSE))</f>
        <v/>
      </c>
      <c r="Q25">
        <f>IF(VLOOKUP($E25,TaskValues_ref!$E:$Z,18,FALSE)=0,"",VLOOKUP($E25,TaskValues_ref!$E:$Z,18,FALSE))</f>
        <v>15</v>
      </c>
      <c r="R25" t="str">
        <f>IF(VLOOKUP($E25,TaskValues_ref!$E:$Z,19,FALSE)=0,"",VLOOKUP($E25,TaskValues_ref!$E:$Z,19,FALSE))</f>
        <v/>
      </c>
      <c r="S25" t="str">
        <f>IF(VLOOKUP($E25,TaskValues_ref!$E:$Z,20,FALSE)=0,"",VLOOKUP($E25,TaskValues_ref!$E:$Z,20,FALSE))</f>
        <v/>
      </c>
    </row>
    <row r="26" spans="1:19" x14ac:dyDescent="0.45">
      <c r="A26" t="s">
        <v>2163</v>
      </c>
      <c r="B26" s="66" t="s">
        <v>2213</v>
      </c>
      <c r="D26" s="324">
        <v>30</v>
      </c>
      <c r="E26" s="64" t="str">
        <f t="shared" si="0"/>
        <v>FH.MN.30</v>
      </c>
      <c r="F26" t="str">
        <f>VLOOKUP(E26,TaskValues_ref!E:F,2,FALSE)</f>
        <v>Social services</v>
      </c>
      <c r="G26" t="str">
        <f>VLOOKUP($E26,TaskValues_ref!$E:$Z,3,FALSE)</f>
        <v>Non-clinical</v>
      </c>
      <c r="H26" t="str">
        <f>VLOOKUP($E26,TaskValues_ref!$E:$Z,4,FALSE)</f>
        <v>Public Health</v>
      </c>
      <c r="I26" t="str">
        <f>VLOOKUP($E26,TaskValues_ref!$E:$Z,5,FALSE)</f>
        <v>-</v>
      </c>
      <c r="J26" s="257" t="str">
        <f>VLOOKUP($E26,TaskValues_ref!$E:$Z,6,FALSE)</f>
        <v>1-18</v>
      </c>
      <c r="K26" t="str">
        <f>VLOOKUP($E26,TaskValues_ref!$E:$Z,10,FALSE)</f>
        <v>Amhara</v>
      </c>
      <c r="L26" s="195" t="str">
        <f>IF(VLOOKUP($E26,TaskValues_ref!$E:$Z,11,FALSE)=0,"",VLOOKUP($E26,TaskValues_ref!$E:$Z,11,FALSE))</f>
        <v/>
      </c>
      <c r="M26" t="str">
        <f>IF(VLOOKUP($E26,TaskValues_ref!$E:$Z,13,FALSE)=0,"",VLOOKUP($E26,TaskValues_ref!$E:$Z,13,FALSE))</f>
        <v/>
      </c>
      <c r="N26" s="89">
        <f>IF(VLOOKUP($E26,TaskValues_ref!$E:$Z,15,FALSE)=0,"",VLOOKUP($E26,TaskValues_ref!$E:$Z,15,FALSE))</f>
        <v>1</v>
      </c>
      <c r="O26">
        <f>IF(VLOOKUP($E26,TaskValues_ref!$E:$Z,16,FALSE)=0,"",VLOOKUP($E26,TaskValues_ref!$E:$Z,16,FALSE))</f>
        <v>2</v>
      </c>
      <c r="P26" t="str">
        <f>IF(VLOOKUP($E26,TaskValues_ref!$E:$Z,17,FALSE)=0,"",VLOOKUP($E26,TaskValues_ref!$E:$Z,17,FALSE))</f>
        <v/>
      </c>
      <c r="Q26">
        <f>IF(VLOOKUP($E26,TaskValues_ref!$E:$Z,18,FALSE)=0,"",VLOOKUP($E26,TaskValues_ref!$E:$Z,18,FALSE))</f>
        <v>15</v>
      </c>
      <c r="R26" t="str">
        <f>IF(VLOOKUP($E26,TaskValues_ref!$E:$Z,19,FALSE)=0,"",VLOOKUP($E26,TaskValues_ref!$E:$Z,19,FALSE))</f>
        <v/>
      </c>
      <c r="S26" t="str">
        <f>IF(VLOOKUP($E26,TaskValues_ref!$E:$Z,20,FALSE)=0,"",VLOOKUP($E26,TaskValues_ref!$E:$Z,20,FALSE))</f>
        <v/>
      </c>
    </row>
    <row r="27" spans="1:19" x14ac:dyDescent="0.45">
      <c r="A27" t="s">
        <v>2163</v>
      </c>
      <c r="B27" s="66" t="s">
        <v>2235</v>
      </c>
      <c r="D27" s="324">
        <v>31</v>
      </c>
      <c r="E27" s="64" t="s">
        <v>2253</v>
      </c>
      <c r="F27" t="str">
        <f>VLOOKUP(E27,TaskValues_ref!E:F,2,FALSE)</f>
        <v>Promotion of immunization</v>
      </c>
      <c r="G27" t="str">
        <f>VLOOKUP($E27,TaskValues_ref!$E:$Z,3,FALSE)</f>
        <v>Non-clinical</v>
      </c>
      <c r="H27" t="str">
        <f>VLOOKUP($E27,TaskValues_ref!$E:$Z,4,FALSE)</f>
        <v>Public Health</v>
      </c>
      <c r="I27" t="str">
        <f>VLOOKUP($E27,TaskValues_ref!$E:$Z,5,FALSE)</f>
        <v>Immunization</v>
      </c>
      <c r="J27" s="257" t="str">
        <f>VLOOKUP($E27,TaskValues_ref!$E:$Z,6,FALSE)</f>
        <v>-</v>
      </c>
      <c r="K27" t="str">
        <f>VLOOKUP($E27,TaskValues_ref!$E:$Z,10,FALSE)</f>
        <v>Amhara</v>
      </c>
      <c r="L27" s="195" t="str">
        <f>IF(VLOOKUP($E27,TaskValues_ref!$E:$Z,11,FALSE)=0,"",VLOOKUP($E27,TaskValues_ref!$E:$Z,11,FALSE))</f>
        <v/>
      </c>
      <c r="M27" t="str">
        <f>IF(VLOOKUP($E27,TaskValues_ref!$E:$Z,13,FALSE)=0,"",VLOOKUP($E27,TaskValues_ref!$E:$Z,13,FALSE))</f>
        <v/>
      </c>
      <c r="N27" s="89" t="str">
        <f>IF(VLOOKUP($E27,TaskValues_ref!$E:$Z,15,FALSE)=0,"",VLOOKUP($E27,TaskValues_ref!$E:$Z,15,FALSE))</f>
        <v/>
      </c>
      <c r="O27" t="str">
        <f>IF(VLOOKUP($E27,TaskValues_ref!$E:$Z,16,FALSE)=0,"",VLOOKUP($E27,TaskValues_ref!$E:$Z,16,FALSE))</f>
        <v/>
      </c>
      <c r="P27" t="str">
        <f>IF(VLOOKUP($E27,TaskValues_ref!$E:$Z,17,FALSE)=0,"",VLOOKUP($E27,TaskValues_ref!$E:$Z,17,FALSE))</f>
        <v/>
      </c>
      <c r="Q27" t="str">
        <f>IF(VLOOKUP($E27,TaskValues_ref!$E:$Z,18,FALSE)=0,"",VLOOKUP($E27,TaskValues_ref!$E:$Z,18,FALSE))</f>
        <v/>
      </c>
      <c r="R27" t="str">
        <f>IF(VLOOKUP($E27,TaskValues_ref!$E:$Z,19,FALSE)=0,"",VLOOKUP($E27,TaskValues_ref!$E:$Z,19,FALSE))</f>
        <v/>
      </c>
      <c r="S27" t="str">
        <f>IF(VLOOKUP($E27,TaskValues_ref!$E:$Z,20,FALSE)=0,"",VLOOKUP($E27,TaskValues_ref!$E:$Z,20,FALSE))</f>
        <v/>
      </c>
    </row>
    <row r="28" spans="1:19" x14ac:dyDescent="0.45">
      <c r="A28" t="s">
        <v>2163</v>
      </c>
      <c r="B28" s="66" t="s">
        <v>2235</v>
      </c>
      <c r="D28" s="324">
        <v>32</v>
      </c>
      <c r="E28" s="64" t="s">
        <v>2259</v>
      </c>
      <c r="F28" t="str">
        <f>VLOOKUP(E28,TaskValues_ref!E:F,2,FALSE)</f>
        <v>RI birth</v>
      </c>
      <c r="G28" t="str">
        <f>VLOOKUP($E28,TaskValues_ref!$E:$Z,3,FALSE)</f>
        <v>Clinical</v>
      </c>
      <c r="H28" t="str">
        <f>VLOOKUP($E28,TaskValues_ref!$E:$Z,4,FALSE)</f>
        <v>Preventive</v>
      </c>
      <c r="I28" t="str">
        <f>VLOOKUP($E28,TaskValues_ref!$E:$Z,5,FALSE)</f>
        <v>Immunization</v>
      </c>
      <c r="J28" s="257" t="str">
        <f>VLOOKUP($E28,TaskValues_ref!$E:$Z,6,FALSE)</f>
        <v>births</v>
      </c>
      <c r="K28" t="str">
        <f>VLOOKUP($E28,TaskValues_ref!$E:$Z,10,FALSE)</f>
        <v>Amhara</v>
      </c>
      <c r="L28" s="195" t="str">
        <f>IF(VLOOKUP($E28,TaskValues_ref!$E:$Z,11,FALSE)=0,"",VLOOKUP($E28,TaskValues_ref!$E:$Z,11,FALSE))</f>
        <v/>
      </c>
      <c r="M28" t="str">
        <f>IF(VLOOKUP($E28,TaskValues_ref!$E:$Z,13,FALSE)=0,"",VLOOKUP($E28,TaskValues_ref!$E:$Z,13,FALSE))</f>
        <v/>
      </c>
      <c r="N28" s="89" t="str">
        <f>IF(VLOOKUP($E28,TaskValues_ref!$E:$Z,15,FALSE)=0,"",VLOOKUP($E28,TaskValues_ref!$E:$Z,15,FALSE))</f>
        <v/>
      </c>
      <c r="O28" t="str">
        <f>IF(VLOOKUP($E28,TaskValues_ref!$E:$Z,16,FALSE)=0,"",VLOOKUP($E28,TaskValues_ref!$E:$Z,16,FALSE))</f>
        <v/>
      </c>
      <c r="P28" t="str">
        <f>IF(VLOOKUP($E28,TaskValues_ref!$E:$Z,17,FALSE)=0,"",VLOOKUP($E28,TaskValues_ref!$E:$Z,17,FALSE))</f>
        <v/>
      </c>
      <c r="Q28" t="str">
        <f>IF(VLOOKUP($E28,TaskValues_ref!$E:$Z,18,FALSE)=0,"",VLOOKUP($E28,TaskValues_ref!$E:$Z,18,FALSE))</f>
        <v/>
      </c>
      <c r="R28" t="str">
        <f>IF(VLOOKUP($E28,TaskValues_ref!$E:$Z,19,FALSE)=0,"",VLOOKUP($E28,TaskValues_ref!$E:$Z,19,FALSE))</f>
        <v/>
      </c>
      <c r="S28" t="str">
        <f>IF(VLOOKUP($E28,TaskValues_ref!$E:$Z,20,FALSE)=0,"",VLOOKUP($E28,TaskValues_ref!$E:$Z,20,FALSE))</f>
        <v/>
      </c>
    </row>
    <row r="29" spans="1:19" x14ac:dyDescent="0.45">
      <c r="A29" t="s">
        <v>2163</v>
      </c>
      <c r="B29" s="66" t="s">
        <v>2235</v>
      </c>
      <c r="D29" s="324">
        <v>32</v>
      </c>
      <c r="E29" s="64" t="s">
        <v>2260</v>
      </c>
      <c r="F29" t="str">
        <f>VLOOKUP(E29,TaskValues_ref!E:F,2,FALSE)</f>
        <v>RI 1st year</v>
      </c>
      <c r="G29" t="str">
        <f>VLOOKUP($E29,TaskValues_ref!$E:$Z,3,FALSE)</f>
        <v>Clinical</v>
      </c>
      <c r="H29" t="str">
        <f>VLOOKUP($E29,TaskValues_ref!$E:$Z,4,FALSE)</f>
        <v>Preventive</v>
      </c>
      <c r="I29" t="str">
        <f>VLOOKUP($E29,TaskValues_ref!$E:$Z,5,FALSE)</f>
        <v>Immunization</v>
      </c>
      <c r="J29" s="257" t="str">
        <f>VLOOKUP($E29,TaskValues_ref!$E:$Z,6,FALSE)</f>
        <v>1 yo</v>
      </c>
      <c r="K29" t="str">
        <f>VLOOKUP($E29,TaskValues_ref!$E:$Z,10,FALSE)</f>
        <v>Amhara</v>
      </c>
      <c r="L29" s="195">
        <f>IF(VLOOKUP($E29,TaskValues_ref!$E:$Z,11,FALSE)=0,"",VLOOKUP($E29,TaskValues_ref!$E:$Z,11,FALSE))</f>
        <v>1</v>
      </c>
      <c r="M29" t="str">
        <f>IF(VLOOKUP($E29,TaskValues_ref!$E:$Z,13,FALSE)=0,"",VLOOKUP($E29,TaskValues_ref!$E:$Z,13,FALSE))</f>
        <v/>
      </c>
      <c r="N29" s="89">
        <f>IF(VLOOKUP($E29,TaskValues_ref!$E:$Z,15,FALSE)=0,"",VLOOKUP($E29,TaskValues_ref!$E:$Z,15,FALSE))</f>
        <v>1</v>
      </c>
      <c r="O29">
        <f>IF(VLOOKUP($E29,TaskValues_ref!$E:$Z,16,FALSE)=0,"",VLOOKUP($E29,TaskValues_ref!$E:$Z,16,FALSE))</f>
        <v>4</v>
      </c>
      <c r="P29" t="str">
        <f>IF(VLOOKUP($E29,TaskValues_ref!$E:$Z,17,FALSE)=0,"",VLOOKUP($E29,TaskValues_ref!$E:$Z,17,FALSE))</f>
        <v/>
      </c>
      <c r="Q29">
        <f>IF(VLOOKUP($E29,TaskValues_ref!$E:$Z,18,FALSE)=0,"",VLOOKUP($E29,TaskValues_ref!$E:$Z,18,FALSE))</f>
        <v>5</v>
      </c>
      <c r="R29" t="str">
        <f>IF(VLOOKUP($E29,TaskValues_ref!$E:$Z,19,FALSE)=0,"",VLOOKUP($E29,TaskValues_ref!$E:$Z,19,FALSE))</f>
        <v/>
      </c>
      <c r="S29" t="str">
        <f>IF(VLOOKUP($E29,TaskValues_ref!$E:$Z,20,FALSE)=0,"",VLOOKUP($E29,TaskValues_ref!$E:$Z,20,FALSE))</f>
        <v/>
      </c>
    </row>
    <row r="30" spans="1:19" x14ac:dyDescent="0.45">
      <c r="A30" t="s">
        <v>2163</v>
      </c>
      <c r="B30" s="66" t="s">
        <v>2235</v>
      </c>
      <c r="D30" s="324">
        <v>32</v>
      </c>
      <c r="E30" s="64" t="s">
        <v>2261</v>
      </c>
      <c r="F30" t="str">
        <f>VLOOKUP(E30,TaskValues_ref!E:F,2,FALSE)</f>
        <v>RI 2nd year</v>
      </c>
      <c r="G30" t="str">
        <f>VLOOKUP($E30,TaskValues_ref!$E:$Z,3,FALSE)</f>
        <v>Clinical</v>
      </c>
      <c r="H30" t="str">
        <f>VLOOKUP($E30,TaskValues_ref!$E:$Z,4,FALSE)</f>
        <v>Preventive</v>
      </c>
      <c r="I30" t="str">
        <f>VLOOKUP($E30,TaskValues_ref!$E:$Z,5,FALSE)</f>
        <v>Immunization</v>
      </c>
      <c r="J30" s="257" t="str">
        <f>VLOOKUP($E30,TaskValues_ref!$E:$Z,6,FALSE)</f>
        <v>2 yo</v>
      </c>
      <c r="K30" t="str">
        <f>VLOOKUP($E30,TaskValues_ref!$E:$Z,10,FALSE)</f>
        <v>Amhara</v>
      </c>
      <c r="L30" s="195">
        <f>IF(VLOOKUP($E30,TaskValues_ref!$E:$Z,11,FALSE)=0,"",VLOOKUP($E30,TaskValues_ref!$E:$Z,11,FALSE))</f>
        <v>1</v>
      </c>
      <c r="M30" t="str">
        <f>IF(VLOOKUP($E30,TaskValues_ref!$E:$Z,13,FALSE)=0,"",VLOOKUP($E30,TaskValues_ref!$E:$Z,13,FALSE))</f>
        <v/>
      </c>
      <c r="N30" s="89">
        <f>IF(VLOOKUP($E30,TaskValues_ref!$E:$Z,15,FALSE)=0,"",VLOOKUP($E30,TaskValues_ref!$E:$Z,15,FALSE))</f>
        <v>1</v>
      </c>
      <c r="O30">
        <f>IF(VLOOKUP($E30,TaskValues_ref!$E:$Z,16,FALSE)=0,"",VLOOKUP($E30,TaskValues_ref!$E:$Z,16,FALSE))</f>
        <v>1</v>
      </c>
      <c r="P30" t="str">
        <f>IF(VLOOKUP($E30,TaskValues_ref!$E:$Z,17,FALSE)=0,"",VLOOKUP($E30,TaskValues_ref!$E:$Z,17,FALSE))</f>
        <v/>
      </c>
      <c r="Q30">
        <f>IF(VLOOKUP($E30,TaskValues_ref!$E:$Z,18,FALSE)=0,"",VLOOKUP($E30,TaskValues_ref!$E:$Z,18,FALSE))</f>
        <v>5</v>
      </c>
      <c r="R30" t="str">
        <f>IF(VLOOKUP($E30,TaskValues_ref!$E:$Z,19,FALSE)=0,"",VLOOKUP($E30,TaskValues_ref!$E:$Z,19,FALSE))</f>
        <v/>
      </c>
      <c r="S30" t="str">
        <f>IF(VLOOKUP($E30,TaskValues_ref!$E:$Z,20,FALSE)=0,"",VLOOKUP($E30,TaskValues_ref!$E:$Z,20,FALSE))</f>
        <v/>
      </c>
    </row>
    <row r="31" spans="1:19" x14ac:dyDescent="0.45">
      <c r="A31" t="s">
        <v>2163</v>
      </c>
      <c r="B31" s="66" t="s">
        <v>2235</v>
      </c>
      <c r="D31" s="324">
        <v>32</v>
      </c>
      <c r="E31" s="64" t="s">
        <v>2262</v>
      </c>
      <c r="F31" t="str">
        <f>VLOOKUP(E31,TaskValues_ref!E:F,2,FALSE)</f>
        <v>RI Td CBA</v>
      </c>
      <c r="G31" t="str">
        <f>VLOOKUP($E31,TaskValues_ref!$E:$Z,3,FALSE)</f>
        <v>Clinical</v>
      </c>
      <c r="H31" t="str">
        <f>VLOOKUP($E31,TaskValues_ref!$E:$Z,4,FALSE)</f>
        <v>Preventive</v>
      </c>
      <c r="I31" t="str">
        <f>VLOOKUP($E31,TaskValues_ref!$E:$Z,5,FALSE)</f>
        <v>Immunization</v>
      </c>
      <c r="J31" s="257" t="str">
        <f>VLOOKUP($E31,TaskValues_ref!$E:$Z,6,FALSE)</f>
        <v>births</v>
      </c>
      <c r="K31" t="str">
        <f>VLOOKUP($E31,TaskValues_ref!$E:$Z,10,FALSE)</f>
        <v>Amhara</v>
      </c>
      <c r="L31" s="195">
        <f>IF(VLOOKUP($E31,TaskValues_ref!$E:$Z,11,FALSE)=0,"",VLOOKUP($E31,TaskValues_ref!$E:$Z,11,FALSE))</f>
        <v>1</v>
      </c>
      <c r="M31" t="str">
        <f>IF(VLOOKUP($E31,TaskValues_ref!$E:$Z,13,FALSE)=0,"",VLOOKUP($E31,TaskValues_ref!$E:$Z,13,FALSE))</f>
        <v/>
      </c>
      <c r="N31" s="89">
        <f>IF(VLOOKUP($E31,TaskValues_ref!$E:$Z,15,FALSE)=0,"",VLOOKUP($E31,TaskValues_ref!$E:$Z,15,FALSE))</f>
        <v>1</v>
      </c>
      <c r="O31">
        <f>IF(VLOOKUP($E31,TaskValues_ref!$E:$Z,16,FALSE)=0,"",VLOOKUP($E31,TaskValues_ref!$E:$Z,16,FALSE))</f>
        <v>2</v>
      </c>
      <c r="P31" t="str">
        <f>IF(VLOOKUP($E31,TaskValues_ref!$E:$Z,17,FALSE)=0,"",VLOOKUP($E31,TaskValues_ref!$E:$Z,17,FALSE))</f>
        <v/>
      </c>
      <c r="Q31" t="str">
        <f>IF(VLOOKUP($E31,TaskValues_ref!$E:$Z,18,FALSE)=0,"",VLOOKUP($E31,TaskValues_ref!$E:$Z,18,FALSE))</f>
        <v/>
      </c>
      <c r="R31" t="str">
        <f>IF(VLOOKUP($E31,TaskValues_ref!$E:$Z,19,FALSE)=0,"",VLOOKUP($E31,TaskValues_ref!$E:$Z,19,FALSE))</f>
        <v/>
      </c>
      <c r="S31" t="str">
        <f>IF(VLOOKUP($E31,TaskValues_ref!$E:$Z,20,FALSE)=0,"",VLOOKUP($E31,TaskValues_ref!$E:$Z,20,FALSE))</f>
        <v/>
      </c>
    </row>
    <row r="32" spans="1:19" x14ac:dyDescent="0.45">
      <c r="A32" t="s">
        <v>2163</v>
      </c>
      <c r="B32" s="66" t="s">
        <v>2235</v>
      </c>
      <c r="D32" s="324">
        <v>33</v>
      </c>
      <c r="E32" s="64" t="s">
        <v>2254</v>
      </c>
      <c r="F32" t="str">
        <f>VLOOKUP(E32,TaskValues_ref!E:F,2,FALSE)</f>
        <v>SIAs</v>
      </c>
      <c r="G32" t="str">
        <f>VLOOKUP($E32,TaskValues_ref!$E:$Z,3,FALSE)</f>
        <v>Clinical</v>
      </c>
      <c r="H32" t="str">
        <f>VLOOKUP($E32,TaskValues_ref!$E:$Z,4,FALSE)</f>
        <v>Preventive</v>
      </c>
      <c r="I32" t="str">
        <f>VLOOKUP($E32,TaskValues_ref!$E:$Z,5,FALSE)</f>
        <v>Immunization</v>
      </c>
      <c r="J32" s="257" t="str">
        <f>VLOOKUP($E32,TaskValues_ref!$E:$Z,6,FALSE)</f>
        <v>1-4</v>
      </c>
      <c r="K32" t="str">
        <f>VLOOKUP($E32,TaskValues_ref!$E:$Z,10,FALSE)</f>
        <v>Amhara</v>
      </c>
      <c r="L32" s="195">
        <f>IF(VLOOKUP($E32,TaskValues_ref!$E:$Z,11,FALSE)=0,"",VLOOKUP($E32,TaskValues_ref!$E:$Z,11,FALSE))</f>
        <v>1</v>
      </c>
      <c r="M32" t="str">
        <f>IF(VLOOKUP($E32,TaskValues_ref!$E:$Z,13,FALSE)=0,"",VLOOKUP($E32,TaskValues_ref!$E:$Z,13,FALSE))</f>
        <v/>
      </c>
      <c r="N32" s="89" t="str">
        <f>IF(VLOOKUP($E32,TaskValues_ref!$E:$Z,15,FALSE)=0,"",VLOOKUP($E32,TaskValues_ref!$E:$Z,15,FALSE))</f>
        <v/>
      </c>
      <c r="O32" t="str">
        <f>IF(VLOOKUP($E32,TaskValues_ref!$E:$Z,16,FALSE)=0,"",VLOOKUP($E32,TaskValues_ref!$E:$Z,16,FALSE))</f>
        <v/>
      </c>
      <c r="P32">
        <f>IF(VLOOKUP($E32,TaskValues_ref!$E:$Z,17,FALSE)=0,"",VLOOKUP($E32,TaskValues_ref!$E:$Z,17,FALSE))</f>
        <v>1</v>
      </c>
      <c r="Q32">
        <f>IF(VLOOKUP($E32,TaskValues_ref!$E:$Z,18,FALSE)=0,"",VLOOKUP($E32,TaskValues_ref!$E:$Z,18,FALSE))</f>
        <v>2</v>
      </c>
      <c r="R32" t="str">
        <f>IF(VLOOKUP($E32,TaskValues_ref!$E:$Z,19,FALSE)=0,"",VLOOKUP($E32,TaskValues_ref!$E:$Z,19,FALSE))</f>
        <v/>
      </c>
      <c r="S32" t="str">
        <f>IF(VLOOKUP($E32,TaskValues_ref!$E:$Z,20,FALSE)=0,"",VLOOKUP($E32,TaskValues_ref!$E:$Z,20,FALSE))</f>
        <v/>
      </c>
    </row>
    <row r="33" spans="1:19" x14ac:dyDescent="0.45">
      <c r="A33" t="s">
        <v>2163</v>
      </c>
      <c r="B33" s="66" t="s">
        <v>2235</v>
      </c>
      <c r="D33" s="324">
        <v>34</v>
      </c>
      <c r="E33" s="64" t="s">
        <v>2255</v>
      </c>
      <c r="F33" t="str">
        <f>VLOOKUP(E33,TaskValues_ref!E:F,2,FALSE)</f>
        <v>RI adverse effects</v>
      </c>
      <c r="G33" t="str">
        <f>VLOOKUP($E33,TaskValues_ref!$E:$Z,3,FALSE)</f>
        <v>Clinical</v>
      </c>
      <c r="H33" t="str">
        <f>VLOOKUP($E33,TaskValues_ref!$E:$Z,4,FALSE)</f>
        <v>Acute</v>
      </c>
      <c r="I33" t="str">
        <f>VLOOKUP($E33,TaskValues_ref!$E:$Z,5,FALSE)</f>
        <v>Immunization</v>
      </c>
      <c r="J33" s="257" t="str">
        <f>VLOOKUP($E33,TaskValues_ref!$E:$Z,6,FALSE)</f>
        <v>-</v>
      </c>
      <c r="K33" t="str">
        <f>VLOOKUP($E33,TaskValues_ref!$E:$Z,10,FALSE)</f>
        <v>Amhara</v>
      </c>
      <c r="L33" s="195">
        <f>IF(VLOOKUP($E33,TaskValues_ref!$E:$Z,11,FALSE)=0,"",VLOOKUP($E33,TaskValues_ref!$E:$Z,11,FALSE))</f>
        <v>1.4999999999999999E-2</v>
      </c>
      <c r="M33" t="str">
        <f>IF(VLOOKUP($E33,TaskValues_ref!$E:$Z,13,FALSE)=0,"",VLOOKUP($E33,TaskValues_ref!$E:$Z,13,FALSE))</f>
        <v/>
      </c>
      <c r="N33" s="89">
        <f>IF(VLOOKUP($E33,TaskValues_ref!$E:$Z,15,FALSE)=0,"",VLOOKUP($E33,TaskValues_ref!$E:$Z,15,FALSE))</f>
        <v>1</v>
      </c>
      <c r="O33">
        <f>IF(VLOOKUP($E33,TaskValues_ref!$E:$Z,16,FALSE)=0,"",VLOOKUP($E33,TaskValues_ref!$E:$Z,16,FALSE))</f>
        <v>1</v>
      </c>
      <c r="P33" t="str">
        <f>IF(VLOOKUP($E33,TaskValues_ref!$E:$Z,17,FALSE)=0,"",VLOOKUP($E33,TaskValues_ref!$E:$Z,17,FALSE))</f>
        <v/>
      </c>
      <c r="Q33">
        <f>IF(VLOOKUP($E33,TaskValues_ref!$E:$Z,18,FALSE)=0,"",VLOOKUP($E33,TaskValues_ref!$E:$Z,18,FALSE))</f>
        <v>5</v>
      </c>
      <c r="R33" t="str">
        <f>IF(VLOOKUP($E33,TaskValues_ref!$E:$Z,19,FALSE)=0,"",VLOOKUP($E33,TaskValues_ref!$E:$Z,19,FALSE))</f>
        <v/>
      </c>
      <c r="S33" t="str">
        <f>IF(VLOOKUP($E33,TaskValues_ref!$E:$Z,20,FALSE)=0,"",VLOOKUP($E33,TaskValues_ref!$E:$Z,20,FALSE))</f>
        <v/>
      </c>
    </row>
    <row r="34" spans="1:19" x14ac:dyDescent="0.45">
      <c r="A34" t="s">
        <v>2163</v>
      </c>
      <c r="B34" s="66" t="s">
        <v>2235</v>
      </c>
      <c r="D34" s="324">
        <v>35</v>
      </c>
      <c r="E34" s="64" t="s">
        <v>2256</v>
      </c>
      <c r="F34" t="str">
        <f>VLOOKUP(E34,TaskValues_ref!E:F,2,FALSE)</f>
        <v>Outbreak detection &amp; response</v>
      </c>
      <c r="G34" t="str">
        <f>VLOOKUP($E34,TaskValues_ref!$E:$Z,3,FALSE)</f>
        <v>Non-clinical</v>
      </c>
      <c r="H34" t="str">
        <f>VLOOKUP($E34,TaskValues_ref!$E:$Z,4,FALSE)</f>
        <v>Public Health</v>
      </c>
      <c r="I34" t="str">
        <f>VLOOKUP($E34,TaskValues_ref!$E:$Z,5,FALSE)</f>
        <v>Immunization</v>
      </c>
      <c r="J34" s="257" t="str">
        <f>VLOOKUP($E34,TaskValues_ref!$E:$Z,6,FALSE)</f>
        <v>-</v>
      </c>
      <c r="K34" t="str">
        <f>VLOOKUP($E34,TaskValues_ref!$E:$Z,10,FALSE)</f>
        <v>Amhara</v>
      </c>
      <c r="L34" s="195" t="str">
        <f>IF(VLOOKUP($E34,TaskValues_ref!$E:$Z,11,FALSE)=0,"",VLOOKUP($E34,TaskValues_ref!$E:$Z,11,FALSE))</f>
        <v/>
      </c>
      <c r="M34" t="str">
        <f>IF(VLOOKUP($E34,TaskValues_ref!$E:$Z,13,FALSE)=0,"",VLOOKUP($E34,TaskValues_ref!$E:$Z,13,FALSE))</f>
        <v/>
      </c>
      <c r="N34" s="89" t="str">
        <f>IF(VLOOKUP($E34,TaskValues_ref!$E:$Z,15,FALSE)=0,"",VLOOKUP($E34,TaskValues_ref!$E:$Z,15,FALSE))</f>
        <v/>
      </c>
      <c r="O34" t="str">
        <f>IF(VLOOKUP($E34,TaskValues_ref!$E:$Z,16,FALSE)=0,"",VLOOKUP($E34,TaskValues_ref!$E:$Z,16,FALSE))</f>
        <v/>
      </c>
      <c r="P34" t="str">
        <f>IF(VLOOKUP($E34,TaskValues_ref!$E:$Z,17,FALSE)=0,"",VLOOKUP($E34,TaskValues_ref!$E:$Z,17,FALSE))</f>
        <v/>
      </c>
      <c r="Q34" t="str">
        <f>IF(VLOOKUP($E34,TaskValues_ref!$E:$Z,18,FALSE)=0,"",VLOOKUP($E34,TaskValues_ref!$E:$Z,18,FALSE))</f>
        <v/>
      </c>
      <c r="R34" t="str">
        <f>IF(VLOOKUP($E34,TaskValues_ref!$E:$Z,19,FALSE)=0,"",VLOOKUP($E34,TaskValues_ref!$E:$Z,19,FALSE))</f>
        <v/>
      </c>
      <c r="S34" t="str">
        <f>IF(VLOOKUP($E34,TaskValues_ref!$E:$Z,20,FALSE)=0,"",VLOOKUP($E34,TaskValues_ref!$E:$Z,20,FALSE))</f>
        <v/>
      </c>
    </row>
    <row r="35" spans="1:19" x14ac:dyDescent="0.45">
      <c r="A35" t="s">
        <v>2163</v>
      </c>
      <c r="B35" s="66" t="s">
        <v>2235</v>
      </c>
      <c r="D35" s="324">
        <v>36</v>
      </c>
      <c r="E35" s="64" t="s">
        <v>2257</v>
      </c>
      <c r="F35" t="str">
        <f>VLOOKUP(E35,TaskValues_ref!E:F,2,FALSE)</f>
        <v>Mobiliation &amp; promotion of EPI</v>
      </c>
      <c r="G35" t="str">
        <f>VLOOKUP($E35,TaskValues_ref!$E:$Z,3,FALSE)</f>
        <v>Non-clinical</v>
      </c>
      <c r="H35" t="str">
        <f>VLOOKUP($E35,TaskValues_ref!$E:$Z,4,FALSE)</f>
        <v>Public Health</v>
      </c>
      <c r="I35" t="str">
        <f>VLOOKUP($E35,TaskValues_ref!$E:$Z,5,FALSE)</f>
        <v>Immunization</v>
      </c>
      <c r="J35" s="257" t="str">
        <f>VLOOKUP($E35,TaskValues_ref!$E:$Z,6,FALSE)</f>
        <v>-</v>
      </c>
      <c r="K35" t="str">
        <f>VLOOKUP($E35,TaskValues_ref!$E:$Z,10,FALSE)</f>
        <v>Amhara</v>
      </c>
      <c r="L35" s="195" t="str">
        <f>IF(VLOOKUP($E35,TaskValues_ref!$E:$Z,11,FALSE)=0,"",VLOOKUP($E35,TaskValues_ref!$E:$Z,11,FALSE))</f>
        <v/>
      </c>
      <c r="M35" t="str">
        <f>IF(VLOOKUP($E35,TaskValues_ref!$E:$Z,13,FALSE)=0,"",VLOOKUP($E35,TaskValues_ref!$E:$Z,13,FALSE))</f>
        <v/>
      </c>
      <c r="N35" s="89" t="str">
        <f>IF(VLOOKUP($E35,TaskValues_ref!$E:$Z,15,FALSE)=0,"",VLOOKUP($E35,TaskValues_ref!$E:$Z,15,FALSE))</f>
        <v/>
      </c>
      <c r="O35" t="str">
        <f>IF(VLOOKUP($E35,TaskValues_ref!$E:$Z,16,FALSE)=0,"",VLOOKUP($E35,TaskValues_ref!$E:$Z,16,FALSE))</f>
        <v/>
      </c>
      <c r="P35" t="str">
        <f>IF(VLOOKUP($E35,TaskValues_ref!$E:$Z,17,FALSE)=0,"",VLOOKUP($E35,TaskValues_ref!$E:$Z,17,FALSE))</f>
        <v/>
      </c>
      <c r="Q35" t="str">
        <f>IF(VLOOKUP($E35,TaskValues_ref!$E:$Z,18,FALSE)=0,"",VLOOKUP($E35,TaskValues_ref!$E:$Z,18,FALSE))</f>
        <v/>
      </c>
      <c r="R35" t="str">
        <f>IF(VLOOKUP($E35,TaskValues_ref!$E:$Z,19,FALSE)=0,"",VLOOKUP($E35,TaskValues_ref!$E:$Z,19,FALSE))</f>
        <v/>
      </c>
      <c r="S35" t="str">
        <f>IF(VLOOKUP($E35,TaskValues_ref!$E:$Z,20,FALSE)=0,"",VLOOKUP($E35,TaskValues_ref!$E:$Z,20,FALSE))</f>
        <v/>
      </c>
    </row>
    <row r="36" spans="1:19" x14ac:dyDescent="0.45">
      <c r="A36" t="s">
        <v>2163</v>
      </c>
      <c r="B36" s="66" t="s">
        <v>2235</v>
      </c>
      <c r="D36" s="324">
        <v>37</v>
      </c>
      <c r="E36" s="64" t="s">
        <v>2258</v>
      </c>
      <c r="F36" t="str">
        <f>VLOOKUP(E36,TaskValues_ref!E:F,2,FALSE)</f>
        <v>VPD surveillance</v>
      </c>
      <c r="G36" t="str">
        <f>VLOOKUP($E36,TaskValues_ref!$E:$Z,3,FALSE)</f>
        <v>Non-productive</v>
      </c>
      <c r="H36" t="str">
        <f>VLOOKUP($E36,TaskValues_ref!$E:$Z,4,FALSE)</f>
        <v>Public Health</v>
      </c>
      <c r="I36" t="str">
        <f>VLOOKUP($E36,TaskValues_ref!$E:$Z,5,FALSE)</f>
        <v>Immunization</v>
      </c>
      <c r="J36" s="257" t="str">
        <f>VLOOKUP($E36,TaskValues_ref!$E:$Z,6,FALSE)</f>
        <v>-</v>
      </c>
      <c r="K36" t="str">
        <f>VLOOKUP($E36,TaskValues_ref!$E:$Z,10,FALSE)</f>
        <v>Amhara</v>
      </c>
      <c r="L36" s="195" t="str">
        <f>IF(VLOOKUP($E36,TaskValues_ref!$E:$Z,11,FALSE)=0,"",VLOOKUP($E36,TaskValues_ref!$E:$Z,11,FALSE))</f>
        <v/>
      </c>
      <c r="M36" t="str">
        <f>IF(VLOOKUP($E36,TaskValues_ref!$E:$Z,13,FALSE)=0,"",VLOOKUP($E36,TaskValues_ref!$E:$Z,13,FALSE))</f>
        <v/>
      </c>
      <c r="N36" s="89" t="str">
        <f>IF(VLOOKUP($E36,TaskValues_ref!$E:$Z,15,FALSE)=0,"",VLOOKUP($E36,TaskValues_ref!$E:$Z,15,FALSE))</f>
        <v/>
      </c>
      <c r="O36" t="str">
        <f>IF(VLOOKUP($E36,TaskValues_ref!$E:$Z,16,FALSE)=0,"",VLOOKUP($E36,TaskValues_ref!$E:$Z,16,FALSE))</f>
        <v/>
      </c>
      <c r="P36" t="str">
        <f>IF(VLOOKUP($E36,TaskValues_ref!$E:$Z,17,FALSE)=0,"",VLOOKUP($E36,TaskValues_ref!$E:$Z,17,FALSE))</f>
        <v/>
      </c>
      <c r="Q36" t="str">
        <f>IF(VLOOKUP($E36,TaskValues_ref!$E:$Z,18,FALSE)=0,"",VLOOKUP($E36,TaskValues_ref!$E:$Z,18,FALSE))</f>
        <v/>
      </c>
      <c r="R36" t="str">
        <f>IF(VLOOKUP($E36,TaskValues_ref!$E:$Z,19,FALSE)=0,"",VLOOKUP($E36,TaskValues_ref!$E:$Z,19,FALSE))</f>
        <v/>
      </c>
      <c r="S36" t="str">
        <f>IF(VLOOKUP($E36,TaskValues_ref!$E:$Z,20,FALSE)=0,"",VLOOKUP($E36,TaskValues_ref!$E:$Z,20,FALSE))</f>
        <v/>
      </c>
    </row>
    <row r="37" spans="1:19" x14ac:dyDescent="0.45">
      <c r="A37" t="s">
        <v>2163</v>
      </c>
      <c r="B37" s="66" t="s">
        <v>2266</v>
      </c>
      <c r="D37" s="324">
        <v>38</v>
      </c>
      <c r="E37" s="64" t="s">
        <v>2293</v>
      </c>
      <c r="F37" t="str">
        <f>VLOOKUP(E37,TaskValues_ref!E:F,2,FALSE)</f>
        <v>FP consult first time</v>
      </c>
      <c r="G37" t="str">
        <f>VLOOKUP($E37,TaskValues_ref!$E:$Z,3,FALSE)</f>
        <v>Clinical</v>
      </c>
      <c r="H37" t="str">
        <f>VLOOKUP($E37,TaskValues_ref!$E:$Z,4,FALSE)</f>
        <v>Preventive</v>
      </c>
      <c r="I37" t="str">
        <f>VLOOKUP($E37,TaskValues_ref!$E:$Z,5,FALSE)</f>
        <v>Family planning</v>
      </c>
      <c r="J37" s="257" t="str">
        <f>VLOOKUP($E37,TaskValues_ref!$E:$Z,6,FALSE)</f>
        <v>18 yo women</v>
      </c>
      <c r="K37" t="str">
        <f>VLOOKUP($E37,TaskValues_ref!$E:$Z,10,FALSE)</f>
        <v>Amhara</v>
      </c>
      <c r="L37" s="195">
        <f>IF(VLOOKUP($E37,TaskValues_ref!$E:$Z,11,FALSE)=0,"",VLOOKUP($E37,TaskValues_ref!$E:$Z,11,FALSE))</f>
        <v>0.45899999999999996</v>
      </c>
      <c r="M37" t="str">
        <f>IF(VLOOKUP($E37,TaskValues_ref!$E:$Z,13,FALSE)=0,"",VLOOKUP($E37,TaskValues_ref!$E:$Z,13,FALSE))</f>
        <v/>
      </c>
      <c r="N37" s="89">
        <f>IF(VLOOKUP($E37,TaskValues_ref!$E:$Z,15,FALSE)=0,"",VLOOKUP($E37,TaskValues_ref!$E:$Z,15,FALSE))</f>
        <v>1</v>
      </c>
      <c r="O37">
        <f>IF(VLOOKUP($E37,TaskValues_ref!$E:$Z,16,FALSE)=0,"",VLOOKUP($E37,TaskValues_ref!$E:$Z,16,FALSE))</f>
        <v>1</v>
      </c>
      <c r="P37" t="str">
        <f>IF(VLOOKUP($E37,TaskValues_ref!$E:$Z,17,FALSE)=0,"",VLOOKUP($E37,TaskValues_ref!$E:$Z,17,FALSE))</f>
        <v/>
      </c>
      <c r="Q37">
        <f>IF(VLOOKUP($E37,TaskValues_ref!$E:$Z,18,FALSE)=0,"",VLOOKUP($E37,TaskValues_ref!$E:$Z,18,FALSE))</f>
        <v>15</v>
      </c>
      <c r="R37" t="str">
        <f>IF(VLOOKUP($E37,TaskValues_ref!$E:$Z,19,FALSE)=0,"",VLOOKUP($E37,TaskValues_ref!$E:$Z,19,FALSE))</f>
        <v/>
      </c>
      <c r="S37" t="str">
        <f>IF(VLOOKUP($E37,TaskValues_ref!$E:$Z,20,FALSE)=0,"",VLOOKUP($E37,TaskValues_ref!$E:$Z,20,FALSE))</f>
        <v/>
      </c>
    </row>
    <row r="38" spans="1:19" x14ac:dyDescent="0.45">
      <c r="A38" t="s">
        <v>2163</v>
      </c>
      <c r="B38" s="66" t="s">
        <v>2266</v>
      </c>
      <c r="D38" s="324">
        <v>38</v>
      </c>
      <c r="E38" s="64" t="s">
        <v>2294</v>
      </c>
      <c r="F38" t="str">
        <f>VLOOKUP(E38,TaskValues_ref!E:F,2,FALSE)</f>
        <v>FP consult postpartum</v>
      </c>
      <c r="G38" t="str">
        <f>VLOOKUP($E38,TaskValues_ref!$E:$Z,3,FALSE)</f>
        <v>Clinical</v>
      </c>
      <c r="H38" t="str">
        <f>VLOOKUP($E38,TaskValues_ref!$E:$Z,4,FALSE)</f>
        <v>Preventive</v>
      </c>
      <c r="I38" t="str">
        <f>VLOOKUP($E38,TaskValues_ref!$E:$Z,5,FALSE)</f>
        <v>Family planning</v>
      </c>
      <c r="J38" s="257" t="str">
        <f>VLOOKUP($E38,TaskValues_ref!$E:$Z,6,FALSE)</f>
        <v>births</v>
      </c>
      <c r="K38" t="str">
        <f>VLOOKUP($E38,TaskValues_ref!$E:$Z,10,FALSE)</f>
        <v>Amhara</v>
      </c>
      <c r="L38" s="195">
        <f>IF(VLOOKUP($E38,TaskValues_ref!$E:$Z,11,FALSE)=0,"",VLOOKUP($E38,TaskValues_ref!$E:$Z,11,FALSE))</f>
        <v>1</v>
      </c>
      <c r="M38" t="str">
        <f>IF(VLOOKUP($E38,TaskValues_ref!$E:$Z,13,FALSE)=0,"",VLOOKUP($E38,TaskValues_ref!$E:$Z,13,FALSE))</f>
        <v/>
      </c>
      <c r="N38" s="89">
        <f>IF(VLOOKUP($E38,TaskValues_ref!$E:$Z,15,FALSE)=0,"",VLOOKUP($E38,TaskValues_ref!$E:$Z,15,FALSE))</f>
        <v>1</v>
      </c>
      <c r="O38">
        <f>IF(VLOOKUP($E38,TaskValues_ref!$E:$Z,16,FALSE)=0,"",VLOOKUP($E38,TaskValues_ref!$E:$Z,16,FALSE))</f>
        <v>1</v>
      </c>
      <c r="P38" t="str">
        <f>IF(VLOOKUP($E38,TaskValues_ref!$E:$Z,17,FALSE)=0,"",VLOOKUP($E38,TaskValues_ref!$E:$Z,17,FALSE))</f>
        <v/>
      </c>
      <c r="Q38">
        <f>IF(VLOOKUP($E38,TaskValues_ref!$E:$Z,18,FALSE)=0,"",VLOOKUP($E38,TaskValues_ref!$E:$Z,18,FALSE))</f>
        <v>15</v>
      </c>
      <c r="R38" t="str">
        <f>IF(VLOOKUP($E38,TaskValues_ref!$E:$Z,19,FALSE)=0,"",VLOOKUP($E38,TaskValues_ref!$E:$Z,19,FALSE))</f>
        <v/>
      </c>
      <c r="S38" t="str">
        <f>IF(VLOOKUP($E38,TaskValues_ref!$E:$Z,20,FALSE)=0,"",VLOOKUP($E38,TaskValues_ref!$E:$Z,20,FALSE))</f>
        <v/>
      </c>
    </row>
    <row r="39" spans="1:19" x14ac:dyDescent="0.45">
      <c r="A39" t="s">
        <v>2163</v>
      </c>
      <c r="B39" s="66" t="s">
        <v>2266</v>
      </c>
      <c r="D39" s="324">
        <v>38</v>
      </c>
      <c r="E39" s="64" t="s">
        <v>2295</v>
      </c>
      <c r="F39" t="str">
        <f>VLOOKUP(E39,TaskValues_ref!E:F,2,FALSE)</f>
        <v>FP consult switch</v>
      </c>
      <c r="G39" t="str">
        <f>VLOOKUP($E39,TaskValues_ref!$E:$Z,3,FALSE)</f>
        <v>Clinical</v>
      </c>
      <c r="H39" t="str">
        <f>VLOOKUP($E39,TaskValues_ref!$E:$Z,4,FALSE)</f>
        <v>Preventive</v>
      </c>
      <c r="I39" t="str">
        <f>VLOOKUP($E39,TaskValues_ref!$E:$Z,5,FALSE)</f>
        <v>Family planning</v>
      </c>
      <c r="J39" s="257" t="str">
        <f>VLOOKUP($E39,TaskValues_ref!$E:$Z,6,FALSE)</f>
        <v>women 15-49</v>
      </c>
      <c r="K39" t="str">
        <f>VLOOKUP($E39,TaskValues_ref!$E:$Z,10,FALSE)</f>
        <v>Amhara</v>
      </c>
      <c r="L39" s="195">
        <f>IF(VLOOKUP($E39,TaskValues_ref!$E:$Z,11,FALSE)=0,"",VLOOKUP($E39,TaskValues_ref!$E:$Z,11,FALSE))</f>
        <v>2.1103103857566762E-2</v>
      </c>
      <c r="M39" t="str">
        <f>IF(VLOOKUP($E39,TaskValues_ref!$E:$Z,13,FALSE)=0,"",VLOOKUP($E39,TaskValues_ref!$E:$Z,13,FALSE))</f>
        <v/>
      </c>
      <c r="N39" s="89">
        <f>IF(VLOOKUP($E39,TaskValues_ref!$E:$Z,15,FALSE)=0,"",VLOOKUP($E39,TaskValues_ref!$E:$Z,15,FALSE))</f>
        <v>1</v>
      </c>
      <c r="O39">
        <f>IF(VLOOKUP($E39,TaskValues_ref!$E:$Z,16,FALSE)=0,"",VLOOKUP($E39,TaskValues_ref!$E:$Z,16,FALSE))</f>
        <v>1</v>
      </c>
      <c r="P39" t="str">
        <f>IF(VLOOKUP($E39,TaskValues_ref!$E:$Z,17,FALSE)=0,"",VLOOKUP($E39,TaskValues_ref!$E:$Z,17,FALSE))</f>
        <v/>
      </c>
      <c r="Q39">
        <f>IF(VLOOKUP($E39,TaskValues_ref!$E:$Z,18,FALSE)=0,"",VLOOKUP($E39,TaskValues_ref!$E:$Z,18,FALSE))</f>
        <v>15</v>
      </c>
      <c r="R39" t="str">
        <f>IF(VLOOKUP($E39,TaskValues_ref!$E:$Z,19,FALSE)=0,"",VLOOKUP($E39,TaskValues_ref!$E:$Z,19,FALSE))</f>
        <v/>
      </c>
      <c r="S39" t="str">
        <f>IF(VLOOKUP($E39,TaskValues_ref!$E:$Z,20,FALSE)=0,"",VLOOKUP($E39,TaskValues_ref!$E:$Z,20,FALSE))</f>
        <v/>
      </c>
    </row>
    <row r="40" spans="1:19" x14ac:dyDescent="0.45">
      <c r="A40" t="s">
        <v>2163</v>
      </c>
      <c r="B40" s="66" t="s">
        <v>2266</v>
      </c>
      <c r="D40" s="324">
        <v>39</v>
      </c>
      <c r="E40" s="64" t="str">
        <f t="shared" ref="E40:E61" si="1">_xlfn.CONCAT("FH.FP.",D40)</f>
        <v>FH.FP.39</v>
      </c>
      <c r="F40" t="str">
        <f>VLOOKUP(E40,TaskValues_ref!E:F,2,FALSE)</f>
        <v>Provision of contraceptives</v>
      </c>
      <c r="G40" t="str">
        <f>VLOOKUP($E40,TaskValues_ref!$E:$Z,3,FALSE)</f>
        <v>Clinical</v>
      </c>
      <c r="H40" t="str">
        <f>VLOOKUP($E40,TaskValues_ref!$E:$Z,4,FALSE)</f>
        <v>Preventive</v>
      </c>
      <c r="I40" t="str">
        <f>VLOOKUP($E40,TaskValues_ref!$E:$Z,5,FALSE)</f>
        <v>Family planning</v>
      </c>
      <c r="J40" s="257" t="str">
        <f>VLOOKUP($E40,TaskValues_ref!$E:$Z,6,FALSE)</f>
        <v>women 15-49</v>
      </c>
      <c r="K40" t="str">
        <f>VLOOKUP($E40,TaskValues_ref!$E:$Z,10,FALSE)</f>
        <v>Amhara</v>
      </c>
      <c r="L40" s="195">
        <f>IF(VLOOKUP($E40,TaskValues_ref!$E:$Z,11,FALSE)=0,"",VLOOKUP($E40,TaskValues_ref!$E:$Z,11,FALSE))</f>
        <v>0.30100593471810083</v>
      </c>
      <c r="M40" t="str">
        <f>IF(VLOOKUP($E40,TaskValues_ref!$E:$Z,13,FALSE)=0,"",VLOOKUP($E40,TaskValues_ref!$E:$Z,13,FALSE))</f>
        <v/>
      </c>
      <c r="N40" s="89">
        <f>IF(VLOOKUP($E40,TaskValues_ref!$E:$Z,15,FALSE)=0,"",VLOOKUP($E40,TaskValues_ref!$E:$Z,15,FALSE))</f>
        <v>1</v>
      </c>
      <c r="O40" t="str">
        <f>IF(VLOOKUP($E40,TaskValues_ref!$E:$Z,16,FALSE)=0,"",VLOOKUP($E40,TaskValues_ref!$E:$Z,16,FALSE))</f>
        <v/>
      </c>
      <c r="P40">
        <f>IF(VLOOKUP($E40,TaskValues_ref!$E:$Z,17,FALSE)=0,"",VLOOKUP($E40,TaskValues_ref!$E:$Z,17,FALSE))</f>
        <v>4</v>
      </c>
      <c r="Q40">
        <f>IF(VLOOKUP($E40,TaskValues_ref!$E:$Z,18,FALSE)=0,"",VLOOKUP($E40,TaskValues_ref!$E:$Z,18,FALSE))</f>
        <v>5</v>
      </c>
      <c r="R40" t="str">
        <f>IF(VLOOKUP($E40,TaskValues_ref!$E:$Z,19,FALSE)=0,"",VLOOKUP($E40,TaskValues_ref!$E:$Z,19,FALSE))</f>
        <v/>
      </c>
      <c r="S40" t="str">
        <f>IF(VLOOKUP($E40,TaskValues_ref!$E:$Z,20,FALSE)=0,"",VLOOKUP($E40,TaskValues_ref!$E:$Z,20,FALSE))</f>
        <v/>
      </c>
    </row>
    <row r="41" spans="1:19" x14ac:dyDescent="0.45">
      <c r="A41" t="s">
        <v>2163</v>
      </c>
      <c r="B41" s="66" t="s">
        <v>2266</v>
      </c>
      <c r="D41" s="324">
        <v>40</v>
      </c>
      <c r="E41" s="64" t="str">
        <f t="shared" si="1"/>
        <v>FH.FP.40</v>
      </c>
      <c r="F41" t="str">
        <f>VLOOKUP(E41,TaskValues_ref!E:F,2,FALSE)</f>
        <v>Provision of implants and IUCD</v>
      </c>
      <c r="G41" t="str">
        <f>VLOOKUP($E41,TaskValues_ref!$E:$Z,3,FALSE)</f>
        <v>Clinical</v>
      </c>
      <c r="H41" t="str">
        <f>VLOOKUP($E41,TaskValues_ref!$E:$Z,4,FALSE)</f>
        <v>Preventive</v>
      </c>
      <c r="I41" t="str">
        <f>VLOOKUP($E41,TaskValues_ref!$E:$Z,5,FALSE)</f>
        <v>Family planning</v>
      </c>
      <c r="J41" s="257" t="str">
        <f>VLOOKUP($E41,TaskValues_ref!$E:$Z,6,FALSE)</f>
        <v>women 15-49</v>
      </c>
      <c r="K41" t="str">
        <f>VLOOKUP($E41,TaskValues_ref!$E:$Z,10,FALSE)</f>
        <v>Amhara</v>
      </c>
      <c r="L41" s="195">
        <f>IF(VLOOKUP($E41,TaskValues_ref!$E:$Z,11,FALSE)=0,"",VLOOKUP($E41,TaskValues_ref!$E:$Z,11,FALSE))</f>
        <v>0.15254599406528185</v>
      </c>
      <c r="M41">
        <f>IF(VLOOKUP($E41,TaskValues_ref!$E:$Z,13,FALSE)=0,"",VLOOKUP($E41,TaskValues_ref!$E:$Z,13,FALSE))</f>
        <v>0.25</v>
      </c>
      <c r="N41" s="89">
        <f>IF(VLOOKUP($E41,TaskValues_ref!$E:$Z,15,FALSE)=0,"",VLOOKUP($E41,TaskValues_ref!$E:$Z,15,FALSE))</f>
        <v>1</v>
      </c>
      <c r="O41">
        <f>IF(VLOOKUP($E41,TaskValues_ref!$E:$Z,16,FALSE)=0,"",VLOOKUP($E41,TaskValues_ref!$E:$Z,16,FALSE))</f>
        <v>1</v>
      </c>
      <c r="P41" t="str">
        <f>IF(VLOOKUP($E41,TaskValues_ref!$E:$Z,17,FALSE)=0,"",VLOOKUP($E41,TaskValues_ref!$E:$Z,17,FALSE))</f>
        <v/>
      </c>
      <c r="Q41">
        <f>IF(VLOOKUP($E41,TaskValues_ref!$E:$Z,18,FALSE)=0,"",VLOOKUP($E41,TaskValues_ref!$E:$Z,18,FALSE))</f>
        <v>20</v>
      </c>
      <c r="R41" t="str">
        <f>IF(VLOOKUP($E41,TaskValues_ref!$E:$Z,19,FALSE)=0,"",VLOOKUP($E41,TaskValues_ref!$E:$Z,19,FALSE))</f>
        <v/>
      </c>
      <c r="S41" t="str">
        <f>IF(VLOOKUP($E41,TaskValues_ref!$E:$Z,20,FALSE)=0,"",VLOOKUP($E41,TaskValues_ref!$E:$Z,20,FALSE))</f>
        <v/>
      </c>
    </row>
    <row r="42" spans="1:19" x14ac:dyDescent="0.45">
      <c r="A42" t="s">
        <v>2163</v>
      </c>
      <c r="B42" s="66" t="s">
        <v>2266</v>
      </c>
      <c r="D42" s="324">
        <v>42</v>
      </c>
      <c r="E42" s="64" t="str">
        <f t="shared" si="1"/>
        <v>FH.FP.42</v>
      </c>
      <c r="F42" t="str">
        <f>VLOOKUP(E42,TaskValues_ref!E:F,2,FALSE)</f>
        <v>Psycho-social counseling</v>
      </c>
      <c r="G42" t="str">
        <f>VLOOKUP($E42,TaskValues_ref!$E:$Z,3,FALSE)</f>
        <v>Clinical</v>
      </c>
      <c r="H42" t="str">
        <f>VLOOKUP($E42,TaskValues_ref!$E:$Z,4,FALSE)</f>
        <v>Preventive</v>
      </c>
      <c r="I42" t="str">
        <f>VLOOKUP($E42,TaskValues_ref!$E:$Z,5,FALSE)</f>
        <v>Family planning</v>
      </c>
      <c r="J42" s="257" t="str">
        <f>VLOOKUP($E42,TaskValues_ref!$E:$Z,6,FALSE)</f>
        <v>women 15-49</v>
      </c>
      <c r="K42" t="str">
        <f>VLOOKUP($E42,TaskValues_ref!$E:$Z,10,FALSE)</f>
        <v>Amhara</v>
      </c>
      <c r="L42" s="195" t="str">
        <f>IF(VLOOKUP($E42,TaskValues_ref!$E:$Z,11,FALSE)=0,"",VLOOKUP($E42,TaskValues_ref!$E:$Z,11,FALSE))</f>
        <v/>
      </c>
      <c r="M42" t="str">
        <f>IF(VLOOKUP($E42,TaskValues_ref!$E:$Z,13,FALSE)=0,"",VLOOKUP($E42,TaskValues_ref!$E:$Z,13,FALSE))</f>
        <v/>
      </c>
      <c r="N42" s="89">
        <f>IF(VLOOKUP($E42,TaskValues_ref!$E:$Z,15,FALSE)=0,"",VLOOKUP($E42,TaskValues_ref!$E:$Z,15,FALSE))</f>
        <v>1</v>
      </c>
      <c r="O42">
        <f>IF(VLOOKUP($E42,TaskValues_ref!$E:$Z,16,FALSE)=0,"",VLOOKUP($E42,TaskValues_ref!$E:$Z,16,FALSE))</f>
        <v>1</v>
      </c>
      <c r="P42" t="str">
        <f>IF(VLOOKUP($E42,TaskValues_ref!$E:$Z,17,FALSE)=0,"",VLOOKUP($E42,TaskValues_ref!$E:$Z,17,FALSE))</f>
        <v/>
      </c>
      <c r="Q42">
        <f>IF(VLOOKUP($E42,TaskValues_ref!$E:$Z,18,FALSE)=0,"",VLOOKUP($E42,TaskValues_ref!$E:$Z,18,FALSE))</f>
        <v>15</v>
      </c>
      <c r="R42" t="str">
        <f>IF(VLOOKUP($E42,TaskValues_ref!$E:$Z,19,FALSE)=0,"",VLOOKUP($E42,TaskValues_ref!$E:$Z,19,FALSE))</f>
        <v/>
      </c>
      <c r="S42" t="str">
        <f>IF(VLOOKUP($E42,TaskValues_ref!$E:$Z,20,FALSE)=0,"",VLOOKUP($E42,TaskValues_ref!$E:$Z,20,FALSE))</f>
        <v/>
      </c>
    </row>
    <row r="43" spans="1:19" x14ac:dyDescent="0.45">
      <c r="A43" t="s">
        <v>2163</v>
      </c>
      <c r="B43" s="66" t="s">
        <v>2266</v>
      </c>
      <c r="D43" s="324">
        <v>44</v>
      </c>
      <c r="E43" s="64" t="str">
        <f t="shared" si="1"/>
        <v>FH.FP.44</v>
      </c>
      <c r="F43" t="str">
        <f>VLOOKUP(E43,TaskValues_ref!E:F,2,FALSE)</f>
        <v>Post-abortion follow-up</v>
      </c>
      <c r="G43" t="str">
        <f>VLOOKUP($E43,TaskValues_ref!$E:$Z,3,FALSE)</f>
        <v>Clinical</v>
      </c>
      <c r="H43" t="str">
        <f>VLOOKUP($E43,TaskValues_ref!$E:$Z,4,FALSE)</f>
        <v>Acute</v>
      </c>
      <c r="I43" t="str">
        <f>VLOOKUP($E43,TaskValues_ref!$E:$Z,5,FALSE)</f>
        <v>Family planning</v>
      </c>
      <c r="J43" s="257" t="str">
        <f>VLOOKUP($E43,TaskValues_ref!$E:$Z,6,FALSE)</f>
        <v>births</v>
      </c>
      <c r="K43" t="str">
        <f>VLOOKUP($E43,TaskValues_ref!$E:$Z,10,FALSE)</f>
        <v>Amhara</v>
      </c>
      <c r="L43" s="195">
        <f>IF(VLOOKUP($E43,TaskValues_ref!$E:$Z,11,FALSE)=0,"",VLOOKUP($E43,TaskValues_ref!$E:$Z,11,FALSE))</f>
        <v>0.16649999999999998</v>
      </c>
      <c r="M43" t="str">
        <f>IF(VLOOKUP($E43,TaskValues_ref!$E:$Z,13,FALSE)=0,"",VLOOKUP($E43,TaskValues_ref!$E:$Z,13,FALSE))</f>
        <v/>
      </c>
      <c r="N43" s="89">
        <f>IF(VLOOKUP($E43,TaskValues_ref!$E:$Z,15,FALSE)=0,"",VLOOKUP($E43,TaskValues_ref!$E:$Z,15,FALSE))</f>
        <v>1</v>
      </c>
      <c r="O43">
        <f>IF(VLOOKUP($E43,TaskValues_ref!$E:$Z,16,FALSE)=0,"",VLOOKUP($E43,TaskValues_ref!$E:$Z,16,FALSE))</f>
        <v>1</v>
      </c>
      <c r="P43" t="str">
        <f>IF(VLOOKUP($E43,TaskValues_ref!$E:$Z,17,FALSE)=0,"",VLOOKUP($E43,TaskValues_ref!$E:$Z,17,FALSE))</f>
        <v/>
      </c>
      <c r="Q43">
        <f>IF(VLOOKUP($E43,TaskValues_ref!$E:$Z,18,FALSE)=0,"",VLOOKUP($E43,TaskValues_ref!$E:$Z,18,FALSE))</f>
        <v>10</v>
      </c>
      <c r="R43" t="str">
        <f>IF(VLOOKUP($E43,TaskValues_ref!$E:$Z,19,FALSE)=0,"",VLOOKUP($E43,TaskValues_ref!$E:$Z,19,FALSE))</f>
        <v/>
      </c>
      <c r="S43" t="str">
        <f>IF(VLOOKUP($E43,TaskValues_ref!$E:$Z,20,FALSE)=0,"",VLOOKUP($E43,TaskValues_ref!$E:$Z,20,FALSE))</f>
        <v/>
      </c>
    </row>
    <row r="44" spans="1:19" x14ac:dyDescent="0.45">
      <c r="A44" t="s">
        <v>2163</v>
      </c>
      <c r="B44" s="66" t="s">
        <v>2266</v>
      </c>
      <c r="D44" s="324">
        <v>45</v>
      </c>
      <c r="E44" s="64" t="str">
        <f t="shared" si="1"/>
        <v>FH.FP.45</v>
      </c>
      <c r="F44" t="str">
        <f>VLOOKUP(E44,TaskValues_ref!E:F,2,FALSE)</f>
        <v>Education on menstration</v>
      </c>
      <c r="G44" t="str">
        <f>VLOOKUP($E44,TaskValues_ref!$E:$Z,3,FALSE)</f>
        <v>Non-clinical</v>
      </c>
      <c r="H44" t="str">
        <f>VLOOKUP($E44,TaskValues_ref!$E:$Z,4,FALSE)</f>
        <v>Public Health</v>
      </c>
      <c r="I44" t="str">
        <f>VLOOKUP($E44,TaskValues_ref!$E:$Z,5,FALSE)</f>
        <v>Sexual health</v>
      </c>
      <c r="J44" s="257" t="str">
        <f>VLOOKUP($E44,TaskValues_ref!$E:$Z,6,FALSE)</f>
        <v>18 yo women</v>
      </c>
      <c r="K44" t="str">
        <f>VLOOKUP($E44,TaskValues_ref!$E:$Z,10,FALSE)</f>
        <v>Amhara</v>
      </c>
      <c r="L44" s="195">
        <f>IF(VLOOKUP($E44,TaskValues_ref!$E:$Z,11,FALSE)=0,"",VLOOKUP($E44,TaskValues_ref!$E:$Z,11,FALSE))</f>
        <v>1</v>
      </c>
      <c r="M44" t="str">
        <f>IF(VLOOKUP($E44,TaskValues_ref!$E:$Z,13,FALSE)=0,"",VLOOKUP($E44,TaskValues_ref!$E:$Z,13,FALSE))</f>
        <v/>
      </c>
      <c r="N44" s="89">
        <f>IF(VLOOKUP($E44,TaskValues_ref!$E:$Z,15,FALSE)=0,"",VLOOKUP($E44,TaskValues_ref!$E:$Z,15,FALSE))</f>
        <v>1</v>
      </c>
      <c r="O44" t="str">
        <f>IF(VLOOKUP($E44,TaskValues_ref!$E:$Z,16,FALSE)=0,"",VLOOKUP($E44,TaskValues_ref!$E:$Z,16,FALSE))</f>
        <v/>
      </c>
      <c r="P44" t="str">
        <f>IF(VLOOKUP($E44,TaskValues_ref!$E:$Z,17,FALSE)=0,"",VLOOKUP($E44,TaskValues_ref!$E:$Z,17,FALSE))</f>
        <v/>
      </c>
      <c r="Q44" t="str">
        <f>IF(VLOOKUP($E44,TaskValues_ref!$E:$Z,18,FALSE)=0,"",VLOOKUP($E44,TaskValues_ref!$E:$Z,18,FALSE))</f>
        <v/>
      </c>
      <c r="R44" t="str">
        <f>IF(VLOOKUP($E44,TaskValues_ref!$E:$Z,19,FALSE)=0,"",VLOOKUP($E44,TaskValues_ref!$E:$Z,19,FALSE))</f>
        <v/>
      </c>
      <c r="S44" t="str">
        <f>IF(VLOOKUP($E44,TaskValues_ref!$E:$Z,20,FALSE)=0,"",VLOOKUP($E44,TaskValues_ref!$E:$Z,20,FALSE))</f>
        <v/>
      </c>
    </row>
    <row r="45" spans="1:19" x14ac:dyDescent="0.45">
      <c r="A45" t="s">
        <v>2163</v>
      </c>
      <c r="B45" s="66" t="s">
        <v>2266</v>
      </c>
      <c r="D45" s="324">
        <v>46</v>
      </c>
      <c r="E45" s="64" t="str">
        <f t="shared" si="1"/>
        <v>FH.FP.46</v>
      </c>
      <c r="F45" t="str">
        <f>VLOOKUP(E45,TaskValues_ref!E:F,2,FALSE)</f>
        <v>Treatment of menstrual problems</v>
      </c>
      <c r="G45" t="str">
        <f>VLOOKUP($E45,TaskValues_ref!$E:$Z,3,FALSE)</f>
        <v>Clinical</v>
      </c>
      <c r="H45" t="str">
        <f>VLOOKUP($E45,TaskValues_ref!$E:$Z,4,FALSE)</f>
        <v>Acute</v>
      </c>
      <c r="I45" t="str">
        <f>VLOOKUP($E45,TaskValues_ref!$E:$Z,5,FALSE)</f>
        <v>Sexual health</v>
      </c>
      <c r="J45" s="257" t="str">
        <f>VLOOKUP($E45,TaskValues_ref!$E:$Z,6,FALSE)</f>
        <v>women 15-49</v>
      </c>
      <c r="K45" t="str">
        <f>VLOOKUP($E45,TaskValues_ref!$E:$Z,10,FALSE)</f>
        <v>Amhara</v>
      </c>
      <c r="L45" s="195">
        <f>IF(VLOOKUP($E45,TaskValues_ref!$E:$Z,11,FALSE)=0,"",VLOOKUP($E45,TaskValues_ref!$E:$Z,11,FALSE))</f>
        <v>0.14000000000000001</v>
      </c>
      <c r="M45" t="str">
        <f>IF(VLOOKUP($E45,TaskValues_ref!$E:$Z,13,FALSE)=0,"",VLOOKUP($E45,TaskValues_ref!$E:$Z,13,FALSE))</f>
        <v/>
      </c>
      <c r="N45" s="89">
        <f>IF(VLOOKUP($E45,TaskValues_ref!$E:$Z,15,FALSE)=0,"",VLOOKUP($E45,TaskValues_ref!$E:$Z,15,FALSE))</f>
        <v>1</v>
      </c>
      <c r="O45">
        <f>IF(VLOOKUP($E45,TaskValues_ref!$E:$Z,16,FALSE)=0,"",VLOOKUP($E45,TaskValues_ref!$E:$Z,16,FALSE))</f>
        <v>1</v>
      </c>
      <c r="P45">
        <f>IF(VLOOKUP($E45,TaskValues_ref!$E:$Z,17,FALSE)=0,"",VLOOKUP($E45,TaskValues_ref!$E:$Z,17,FALSE))</f>
        <v>0.2</v>
      </c>
      <c r="Q45">
        <f>IF(VLOOKUP($E45,TaskValues_ref!$E:$Z,18,FALSE)=0,"",VLOOKUP($E45,TaskValues_ref!$E:$Z,18,FALSE))</f>
        <v>10</v>
      </c>
      <c r="R45" t="str">
        <f>IF(VLOOKUP($E45,TaskValues_ref!$E:$Z,19,FALSE)=0,"",VLOOKUP($E45,TaskValues_ref!$E:$Z,19,FALSE))</f>
        <v/>
      </c>
      <c r="S45" t="str">
        <f>IF(VLOOKUP($E45,TaskValues_ref!$E:$Z,20,FALSE)=0,"",VLOOKUP($E45,TaskValues_ref!$E:$Z,20,FALSE))</f>
        <v/>
      </c>
    </row>
    <row r="46" spans="1:19" x14ac:dyDescent="0.45">
      <c r="A46" t="s">
        <v>2163</v>
      </c>
      <c r="B46" s="66" t="s">
        <v>2266</v>
      </c>
      <c r="D46" s="324">
        <v>47</v>
      </c>
      <c r="E46" s="64" t="str">
        <f t="shared" si="1"/>
        <v>FH.FP.47</v>
      </c>
      <c r="F46" t="str">
        <f>VLOOKUP(E46,TaskValues_ref!E:F,2,FALSE)</f>
        <v>Promote self-breast exam</v>
      </c>
      <c r="G46" t="str">
        <f>VLOOKUP($E46,TaskValues_ref!$E:$Z,3,FALSE)</f>
        <v>Non-clinical</v>
      </c>
      <c r="H46" t="str">
        <f>VLOOKUP($E46,TaskValues_ref!$E:$Z,4,FALSE)</f>
        <v>Preventive</v>
      </c>
      <c r="I46" t="str">
        <f>VLOOKUP($E46,TaskValues_ref!$E:$Z,5,FALSE)</f>
        <v>Sexual health</v>
      </c>
      <c r="J46" s="257" t="str">
        <f>VLOOKUP($E46,TaskValues_ref!$E:$Z,6,FALSE)</f>
        <v>18 yo women</v>
      </c>
      <c r="K46" t="str">
        <f>VLOOKUP($E46,TaskValues_ref!$E:$Z,10,FALSE)</f>
        <v>Amhara</v>
      </c>
      <c r="L46" s="195">
        <f>IF(VLOOKUP($E46,TaskValues_ref!$E:$Z,11,FALSE)=0,"",VLOOKUP($E46,TaskValues_ref!$E:$Z,11,FALSE))</f>
        <v>1</v>
      </c>
      <c r="M46" t="str">
        <f>IF(VLOOKUP($E46,TaskValues_ref!$E:$Z,13,FALSE)=0,"",VLOOKUP($E46,TaskValues_ref!$E:$Z,13,FALSE))</f>
        <v/>
      </c>
      <c r="N46" s="89">
        <f>IF(VLOOKUP($E46,TaskValues_ref!$E:$Z,15,FALSE)=0,"",VLOOKUP($E46,TaskValues_ref!$E:$Z,15,FALSE))</f>
        <v>1</v>
      </c>
      <c r="O46" t="str">
        <f>IF(VLOOKUP($E46,TaskValues_ref!$E:$Z,16,FALSE)=0,"",VLOOKUP($E46,TaskValues_ref!$E:$Z,16,FALSE))</f>
        <v/>
      </c>
      <c r="P46" t="str">
        <f>IF(VLOOKUP($E46,TaskValues_ref!$E:$Z,17,FALSE)=0,"",VLOOKUP($E46,TaskValues_ref!$E:$Z,17,FALSE))</f>
        <v/>
      </c>
      <c r="Q46" t="str">
        <f>IF(VLOOKUP($E46,TaskValues_ref!$E:$Z,18,FALSE)=0,"",VLOOKUP($E46,TaskValues_ref!$E:$Z,18,FALSE))</f>
        <v/>
      </c>
      <c r="R46" t="str">
        <f>IF(VLOOKUP($E46,TaskValues_ref!$E:$Z,19,FALSE)=0,"",VLOOKUP($E46,TaskValues_ref!$E:$Z,19,FALSE))</f>
        <v/>
      </c>
      <c r="S46" t="str">
        <f>IF(VLOOKUP($E46,TaskValues_ref!$E:$Z,20,FALSE)=0,"",VLOOKUP($E46,TaskValues_ref!$E:$Z,20,FALSE))</f>
        <v/>
      </c>
    </row>
    <row r="47" spans="1:19" x14ac:dyDescent="0.45">
      <c r="A47" t="s">
        <v>2163</v>
      </c>
      <c r="B47" s="66" t="s">
        <v>2266</v>
      </c>
      <c r="D47" s="324">
        <v>48</v>
      </c>
      <c r="E47" s="64" t="str">
        <f t="shared" si="1"/>
        <v>FH.FP.48</v>
      </c>
      <c r="F47" t="str">
        <f>VLOOKUP(E47,TaskValues_ref!E:F,2,FALSE)</f>
        <v>HPV vacination</v>
      </c>
      <c r="G47" t="str">
        <f>VLOOKUP($E47,TaskValues_ref!$E:$Z,3,FALSE)</f>
        <v>Clinical</v>
      </c>
      <c r="H47" t="str">
        <f>VLOOKUP($E47,TaskValues_ref!$E:$Z,4,FALSE)</f>
        <v>Preventive</v>
      </c>
      <c r="I47" t="str">
        <f>VLOOKUP($E47,TaskValues_ref!$E:$Z,5,FALSE)</f>
        <v>Immunization</v>
      </c>
      <c r="J47" s="257" t="str">
        <f>VLOOKUP($E47,TaskValues_ref!$E:$Z,6,FALSE)</f>
        <v>15 yo girls</v>
      </c>
      <c r="K47" t="str">
        <f>VLOOKUP($E47,TaskValues_ref!$E:$Z,10,FALSE)</f>
        <v>Amhara</v>
      </c>
      <c r="L47" s="195">
        <f>IF(VLOOKUP($E47,TaskValues_ref!$E:$Z,11,FALSE)=0,"",VLOOKUP($E47,TaskValues_ref!$E:$Z,11,FALSE))</f>
        <v>1</v>
      </c>
      <c r="M47" t="str">
        <f>IF(VLOOKUP($E47,TaskValues_ref!$E:$Z,13,FALSE)=0,"",VLOOKUP($E47,TaskValues_ref!$E:$Z,13,FALSE))</f>
        <v/>
      </c>
      <c r="N47" s="89">
        <f>IF(VLOOKUP($E47,TaskValues_ref!$E:$Z,15,FALSE)=0,"",VLOOKUP($E47,TaskValues_ref!$E:$Z,15,FALSE))</f>
        <v>1</v>
      </c>
      <c r="O47">
        <f>IF(VLOOKUP($E47,TaskValues_ref!$E:$Z,16,FALSE)=0,"",VLOOKUP($E47,TaskValues_ref!$E:$Z,16,FALSE))</f>
        <v>2</v>
      </c>
      <c r="P47" t="str">
        <f>IF(VLOOKUP($E47,TaskValues_ref!$E:$Z,17,FALSE)=0,"",VLOOKUP($E47,TaskValues_ref!$E:$Z,17,FALSE))</f>
        <v/>
      </c>
      <c r="Q47" t="str">
        <f>IF(VLOOKUP($E47,TaskValues_ref!$E:$Z,18,FALSE)=0,"",VLOOKUP($E47,TaskValues_ref!$E:$Z,18,FALSE))</f>
        <v/>
      </c>
      <c r="R47" t="str">
        <f>IF(VLOOKUP($E47,TaskValues_ref!$E:$Z,19,FALSE)=0,"",VLOOKUP($E47,TaskValues_ref!$E:$Z,19,FALSE))</f>
        <v/>
      </c>
      <c r="S47" t="str">
        <f>IF(VLOOKUP($E47,TaskValues_ref!$E:$Z,20,FALSE)=0,"",VLOOKUP($E47,TaskValues_ref!$E:$Z,20,FALSE))</f>
        <v/>
      </c>
    </row>
    <row r="48" spans="1:19" x14ac:dyDescent="0.45">
      <c r="A48" t="s">
        <v>2163</v>
      </c>
      <c r="B48" s="66" t="s">
        <v>2266</v>
      </c>
      <c r="D48" s="324">
        <v>49</v>
      </c>
      <c r="E48" s="64" t="str">
        <f t="shared" si="1"/>
        <v>FH.FP.49</v>
      </c>
      <c r="F48" t="str">
        <f>VLOOKUP(E48,TaskValues_ref!E:F,2,FALSE)</f>
        <v>Education on health &amp; wellbeing</v>
      </c>
      <c r="G48" t="str">
        <f>VLOOKUP($E48,TaskValues_ref!$E:$Z,3,FALSE)</f>
        <v>Non-clinical</v>
      </c>
      <c r="H48" t="str">
        <f>VLOOKUP($E48,TaskValues_ref!$E:$Z,4,FALSE)</f>
        <v>Public Health</v>
      </c>
      <c r="I48" t="str">
        <f>VLOOKUP($E48,TaskValues_ref!$E:$Z,5,FALSE)</f>
        <v>Sexual health</v>
      </c>
      <c r="J48" s="257" t="str">
        <f>VLOOKUP($E48,TaskValues_ref!$E:$Z,6,FALSE)</f>
        <v>women 15-49</v>
      </c>
      <c r="K48" t="str">
        <f>VLOOKUP($E48,TaskValues_ref!$E:$Z,10,FALSE)</f>
        <v>Amhara</v>
      </c>
      <c r="L48" s="195" t="str">
        <f>IF(VLOOKUP($E48,TaskValues_ref!$E:$Z,11,FALSE)=0,"",VLOOKUP($E48,TaskValues_ref!$E:$Z,11,FALSE))</f>
        <v/>
      </c>
      <c r="M48" t="str">
        <f>IF(VLOOKUP($E48,TaskValues_ref!$E:$Z,13,FALSE)=0,"",VLOOKUP($E48,TaskValues_ref!$E:$Z,13,FALSE))</f>
        <v/>
      </c>
      <c r="N48" s="89" t="str">
        <f>IF(VLOOKUP($E48,TaskValues_ref!$E:$Z,15,FALSE)=0,"",VLOOKUP($E48,TaskValues_ref!$E:$Z,15,FALSE))</f>
        <v/>
      </c>
      <c r="O48" t="str">
        <f>IF(VLOOKUP($E48,TaskValues_ref!$E:$Z,16,FALSE)=0,"",VLOOKUP($E48,TaskValues_ref!$E:$Z,16,FALSE))</f>
        <v/>
      </c>
      <c r="P48" t="str">
        <f>IF(VLOOKUP($E48,TaskValues_ref!$E:$Z,17,FALSE)=0,"",VLOOKUP($E48,TaskValues_ref!$E:$Z,17,FALSE))</f>
        <v/>
      </c>
      <c r="Q48" t="str">
        <f>IF(VLOOKUP($E48,TaskValues_ref!$E:$Z,18,FALSE)=0,"",VLOOKUP($E48,TaskValues_ref!$E:$Z,18,FALSE))</f>
        <v/>
      </c>
      <c r="R48" t="str">
        <f>IF(VLOOKUP($E48,TaskValues_ref!$E:$Z,19,FALSE)=0,"",VLOOKUP($E48,TaskValues_ref!$E:$Z,19,FALSE))</f>
        <v/>
      </c>
      <c r="S48" t="str">
        <f>IF(VLOOKUP($E48,TaskValues_ref!$E:$Z,20,FALSE)=0,"",VLOOKUP($E48,TaskValues_ref!$E:$Z,20,FALSE))</f>
        <v/>
      </c>
    </row>
    <row r="49" spans="1:19" x14ac:dyDescent="0.45">
      <c r="A49" t="s">
        <v>2163</v>
      </c>
      <c r="B49" s="66" t="s">
        <v>2266</v>
      </c>
      <c r="D49" s="324">
        <v>50</v>
      </c>
      <c r="E49" s="64" t="str">
        <f t="shared" si="1"/>
        <v>FH.FP.50</v>
      </c>
      <c r="F49" t="str">
        <f>VLOOKUP(E49,TaskValues_ref!E:F,2,FALSE)</f>
        <v>Adolescent SRH</v>
      </c>
      <c r="G49" t="str">
        <f>VLOOKUP($E49,TaskValues_ref!$E:$Z,3,FALSE)</f>
        <v>Clinical</v>
      </c>
      <c r="H49" t="str">
        <f>VLOOKUP($E49,TaskValues_ref!$E:$Z,4,FALSE)</f>
        <v>Preventive</v>
      </c>
      <c r="I49" t="str">
        <f>VLOOKUP($E49,TaskValues_ref!$E:$Z,5,FALSE)</f>
        <v>Family planning</v>
      </c>
      <c r="J49" s="257" t="str">
        <f>VLOOKUP($E49,TaskValues_ref!$E:$Z,6,FALSE)</f>
        <v>15 yo girls</v>
      </c>
      <c r="K49" t="str">
        <f>VLOOKUP($E49,TaskValues_ref!$E:$Z,10,FALSE)</f>
        <v>Amhara</v>
      </c>
      <c r="L49" s="195" t="str">
        <f>IF(VLOOKUP($E49,TaskValues_ref!$E:$Z,11,FALSE)=0,"",VLOOKUP($E49,TaskValues_ref!$E:$Z,11,FALSE))</f>
        <v/>
      </c>
      <c r="M49" t="str">
        <f>IF(VLOOKUP($E49,TaskValues_ref!$E:$Z,13,FALSE)=0,"",VLOOKUP($E49,TaskValues_ref!$E:$Z,13,FALSE))</f>
        <v/>
      </c>
      <c r="N49" s="89" t="str">
        <f>IF(VLOOKUP($E49,TaskValues_ref!$E:$Z,15,FALSE)=0,"",VLOOKUP($E49,TaskValues_ref!$E:$Z,15,FALSE))</f>
        <v/>
      </c>
      <c r="O49" t="str">
        <f>IF(VLOOKUP($E49,TaskValues_ref!$E:$Z,16,FALSE)=0,"",VLOOKUP($E49,TaskValues_ref!$E:$Z,16,FALSE))</f>
        <v/>
      </c>
      <c r="P49" t="str">
        <f>IF(VLOOKUP($E49,TaskValues_ref!$E:$Z,17,FALSE)=0,"",VLOOKUP($E49,TaskValues_ref!$E:$Z,17,FALSE))</f>
        <v/>
      </c>
      <c r="Q49" t="str">
        <f>IF(VLOOKUP($E49,TaskValues_ref!$E:$Z,18,FALSE)=0,"",VLOOKUP($E49,TaskValues_ref!$E:$Z,18,FALSE))</f>
        <v/>
      </c>
      <c r="R49" t="str">
        <f>IF(VLOOKUP($E49,TaskValues_ref!$E:$Z,19,FALSE)=0,"",VLOOKUP($E49,TaskValues_ref!$E:$Z,19,FALSE))</f>
        <v/>
      </c>
      <c r="S49" t="str">
        <f>IF(VLOOKUP($E49,TaskValues_ref!$E:$Z,20,FALSE)=0,"",VLOOKUP($E49,TaskValues_ref!$E:$Z,20,FALSE))</f>
        <v/>
      </c>
    </row>
    <row r="50" spans="1:19" x14ac:dyDescent="0.45">
      <c r="A50" t="s">
        <v>2163</v>
      </c>
      <c r="B50" s="66" t="s">
        <v>2266</v>
      </c>
      <c r="D50" s="324">
        <v>51</v>
      </c>
      <c r="E50" s="64" t="str">
        <f t="shared" si="1"/>
        <v>FH.FP.51</v>
      </c>
      <c r="F50" t="str">
        <f>VLOOKUP(E50,TaskValues_ref!E:F,2,FALSE)</f>
        <v>Provision of adolescent-friendly contraceptives</v>
      </c>
      <c r="G50" t="str">
        <f>VLOOKUP($E50,TaskValues_ref!$E:$Z,3,FALSE)</f>
        <v>Clinical</v>
      </c>
      <c r="H50" t="str">
        <f>VLOOKUP($E50,TaskValues_ref!$E:$Z,4,FALSE)</f>
        <v>Preventive</v>
      </c>
      <c r="I50" t="str">
        <f>VLOOKUP($E50,TaskValues_ref!$E:$Z,5,FALSE)</f>
        <v>Family planning</v>
      </c>
      <c r="J50" s="257" t="str">
        <f>VLOOKUP($E50,TaskValues_ref!$E:$Z,6,FALSE)</f>
        <v>15 yo girls</v>
      </c>
      <c r="K50" t="str">
        <f>VLOOKUP($E50,TaskValues_ref!$E:$Z,10,FALSE)</f>
        <v>Amhara</v>
      </c>
      <c r="L50" s="195" t="str">
        <f>IF(VLOOKUP($E50,TaskValues_ref!$E:$Z,11,FALSE)=0,"",VLOOKUP($E50,TaskValues_ref!$E:$Z,11,FALSE))</f>
        <v/>
      </c>
      <c r="M50" t="str">
        <f>IF(VLOOKUP($E50,TaskValues_ref!$E:$Z,13,FALSE)=0,"",VLOOKUP($E50,TaskValues_ref!$E:$Z,13,FALSE))</f>
        <v/>
      </c>
      <c r="N50" s="89" t="str">
        <f>IF(VLOOKUP($E50,TaskValues_ref!$E:$Z,15,FALSE)=0,"",VLOOKUP($E50,TaskValues_ref!$E:$Z,15,FALSE))</f>
        <v/>
      </c>
      <c r="O50" t="str">
        <f>IF(VLOOKUP($E50,TaskValues_ref!$E:$Z,16,FALSE)=0,"",VLOOKUP($E50,TaskValues_ref!$E:$Z,16,FALSE))</f>
        <v/>
      </c>
      <c r="P50" t="str">
        <f>IF(VLOOKUP($E50,TaskValues_ref!$E:$Z,17,FALSE)=0,"",VLOOKUP($E50,TaskValues_ref!$E:$Z,17,FALSE))</f>
        <v/>
      </c>
      <c r="Q50" t="str">
        <f>IF(VLOOKUP($E50,TaskValues_ref!$E:$Z,18,FALSE)=0,"",VLOOKUP($E50,TaskValues_ref!$E:$Z,18,FALSE))</f>
        <v/>
      </c>
      <c r="R50" t="str">
        <f>IF(VLOOKUP($E50,TaskValues_ref!$E:$Z,19,FALSE)=0,"",VLOOKUP($E50,TaskValues_ref!$E:$Z,19,FALSE))</f>
        <v/>
      </c>
      <c r="S50" t="str">
        <f>IF(VLOOKUP($E50,TaskValues_ref!$E:$Z,20,FALSE)=0,"",VLOOKUP($E50,TaskValues_ref!$E:$Z,20,FALSE))</f>
        <v/>
      </c>
    </row>
    <row r="51" spans="1:19" x14ac:dyDescent="0.45">
      <c r="A51" t="s">
        <v>2163</v>
      </c>
      <c r="B51" s="66" t="s">
        <v>2266</v>
      </c>
      <c r="D51" s="324">
        <v>52</v>
      </c>
      <c r="E51" s="64" t="str">
        <f t="shared" si="1"/>
        <v>FH.FP.52</v>
      </c>
      <c r="F51" t="str">
        <f>VLOOKUP(E51,TaskValues_ref!E:F,2,FALSE)</f>
        <v>Education about GBV</v>
      </c>
      <c r="G51" t="str">
        <f>VLOOKUP($E51,TaskValues_ref!$E:$Z,3,FALSE)</f>
        <v>Non-clinical</v>
      </c>
      <c r="H51" t="str">
        <f>VLOOKUP($E51,TaskValues_ref!$E:$Z,4,FALSE)</f>
        <v>Public Health</v>
      </c>
      <c r="I51" t="str">
        <f>VLOOKUP($E51,TaskValues_ref!$E:$Z,5,FALSE)</f>
        <v>Sexual health</v>
      </c>
      <c r="J51" s="257" t="str">
        <f>VLOOKUP($E51,TaskValues_ref!$E:$Z,6,FALSE)</f>
        <v>-</v>
      </c>
      <c r="K51" t="str">
        <f>VLOOKUP($E51,TaskValues_ref!$E:$Z,10,FALSE)</f>
        <v>Amhara</v>
      </c>
      <c r="L51" s="195" t="str">
        <f>IF(VLOOKUP($E51,TaskValues_ref!$E:$Z,11,FALSE)=0,"",VLOOKUP($E51,TaskValues_ref!$E:$Z,11,FALSE))</f>
        <v/>
      </c>
      <c r="M51" t="str">
        <f>IF(VLOOKUP($E51,TaskValues_ref!$E:$Z,13,FALSE)=0,"",VLOOKUP($E51,TaskValues_ref!$E:$Z,13,FALSE))</f>
        <v/>
      </c>
      <c r="N51" s="89" t="str">
        <f>IF(VLOOKUP($E51,TaskValues_ref!$E:$Z,15,FALSE)=0,"",VLOOKUP($E51,TaskValues_ref!$E:$Z,15,FALSE))</f>
        <v/>
      </c>
      <c r="O51" t="str">
        <f>IF(VLOOKUP($E51,TaskValues_ref!$E:$Z,16,FALSE)=0,"",VLOOKUP($E51,TaskValues_ref!$E:$Z,16,FALSE))</f>
        <v/>
      </c>
      <c r="P51" t="str">
        <f>IF(VLOOKUP($E51,TaskValues_ref!$E:$Z,17,FALSE)=0,"",VLOOKUP($E51,TaskValues_ref!$E:$Z,17,FALSE))</f>
        <v/>
      </c>
      <c r="Q51" t="str">
        <f>IF(VLOOKUP($E51,TaskValues_ref!$E:$Z,18,FALSE)=0,"",VLOOKUP($E51,TaskValues_ref!$E:$Z,18,FALSE))</f>
        <v/>
      </c>
      <c r="R51" t="str">
        <f>IF(VLOOKUP($E51,TaskValues_ref!$E:$Z,19,FALSE)=0,"",VLOOKUP($E51,TaskValues_ref!$E:$Z,19,FALSE))</f>
        <v/>
      </c>
      <c r="S51" t="str">
        <f>IF(VLOOKUP($E51,TaskValues_ref!$E:$Z,20,FALSE)=0,"",VLOOKUP($E51,TaskValues_ref!$E:$Z,20,FALSE))</f>
        <v/>
      </c>
    </row>
    <row r="52" spans="1:19" x14ac:dyDescent="0.45">
      <c r="A52" t="s">
        <v>2163</v>
      </c>
      <c r="B52" s="66" t="s">
        <v>2266</v>
      </c>
      <c r="D52" s="324">
        <v>53</v>
      </c>
      <c r="E52" s="64" t="str">
        <f t="shared" si="1"/>
        <v>FH.FP.53</v>
      </c>
      <c r="F52" t="str">
        <f>VLOOKUP(E52,TaskValues_ref!E:F,2,FALSE)</f>
        <v>Community dialogue about GBV</v>
      </c>
      <c r="G52" t="str">
        <f>VLOOKUP($E52,TaskValues_ref!$E:$Z,3,FALSE)</f>
        <v>Non-clinical</v>
      </c>
      <c r="H52" t="str">
        <f>VLOOKUP($E52,TaskValues_ref!$E:$Z,4,FALSE)</f>
        <v>Public Health</v>
      </c>
      <c r="I52" t="str">
        <f>VLOOKUP($E52,TaskValues_ref!$E:$Z,5,FALSE)</f>
        <v>Sexual health</v>
      </c>
      <c r="J52" s="257" t="str">
        <f>VLOOKUP($E52,TaskValues_ref!$E:$Z,6,FALSE)</f>
        <v>-</v>
      </c>
      <c r="K52" t="str">
        <f>VLOOKUP($E52,TaskValues_ref!$E:$Z,10,FALSE)</f>
        <v>Amhara</v>
      </c>
      <c r="L52" s="195" t="str">
        <f>IF(VLOOKUP($E52,TaskValues_ref!$E:$Z,11,FALSE)=0,"",VLOOKUP($E52,TaskValues_ref!$E:$Z,11,FALSE))</f>
        <v/>
      </c>
      <c r="M52" t="str">
        <f>IF(VLOOKUP($E52,TaskValues_ref!$E:$Z,13,FALSE)=0,"",VLOOKUP($E52,TaskValues_ref!$E:$Z,13,FALSE))</f>
        <v/>
      </c>
      <c r="N52" s="89" t="str">
        <f>IF(VLOOKUP($E52,TaskValues_ref!$E:$Z,15,FALSE)=0,"",VLOOKUP($E52,TaskValues_ref!$E:$Z,15,FALSE))</f>
        <v/>
      </c>
      <c r="O52" t="str">
        <f>IF(VLOOKUP($E52,TaskValues_ref!$E:$Z,16,FALSE)=0,"",VLOOKUP($E52,TaskValues_ref!$E:$Z,16,FALSE))</f>
        <v/>
      </c>
      <c r="P52" t="str">
        <f>IF(VLOOKUP($E52,TaskValues_ref!$E:$Z,17,FALSE)=0,"",VLOOKUP($E52,TaskValues_ref!$E:$Z,17,FALSE))</f>
        <v/>
      </c>
      <c r="Q52" t="str">
        <f>IF(VLOOKUP($E52,TaskValues_ref!$E:$Z,18,FALSE)=0,"",VLOOKUP($E52,TaskValues_ref!$E:$Z,18,FALSE))</f>
        <v/>
      </c>
      <c r="R52" t="str">
        <f>IF(VLOOKUP($E52,TaskValues_ref!$E:$Z,19,FALSE)=0,"",VLOOKUP($E52,TaskValues_ref!$E:$Z,19,FALSE))</f>
        <v/>
      </c>
      <c r="S52" t="str">
        <f>IF(VLOOKUP($E52,TaskValues_ref!$E:$Z,20,FALSE)=0,"",VLOOKUP($E52,TaskValues_ref!$E:$Z,20,FALSE))</f>
        <v/>
      </c>
    </row>
    <row r="53" spans="1:19" x14ac:dyDescent="0.45">
      <c r="A53" t="s">
        <v>2163</v>
      </c>
      <c r="B53" s="66" t="s">
        <v>2266</v>
      </c>
      <c r="D53" s="324">
        <v>54</v>
      </c>
      <c r="E53" s="64" t="str">
        <f t="shared" si="1"/>
        <v>FH.FP.54</v>
      </c>
      <c r="F53" t="str">
        <f>VLOOKUP(E53,TaskValues_ref!E:F,2,FALSE)</f>
        <v>Pregnancy test for GBV</v>
      </c>
      <c r="G53" t="str">
        <f>VLOOKUP($E53,TaskValues_ref!$E:$Z,3,FALSE)</f>
        <v>Clinical</v>
      </c>
      <c r="H53" t="str">
        <f>VLOOKUP($E53,TaskValues_ref!$E:$Z,4,FALSE)</f>
        <v>Acute</v>
      </c>
      <c r="I53" t="str">
        <f>VLOOKUP($E53,TaskValues_ref!$E:$Z,5,FALSE)</f>
        <v>Sexual health</v>
      </c>
      <c r="J53" s="257" t="str">
        <f>VLOOKUP($E53,TaskValues_ref!$E:$Z,6,FALSE)</f>
        <v>women 15-49</v>
      </c>
      <c r="K53" t="str">
        <f>VLOOKUP($E53,TaskValues_ref!$E:$Z,10,FALSE)</f>
        <v>Amhara</v>
      </c>
      <c r="L53" s="195">
        <f>IF(VLOOKUP($E53,TaskValues_ref!$E:$Z,11,FALSE)=0,"",VLOOKUP($E53,TaskValues_ref!$E:$Z,11,FALSE))</f>
        <v>6.9000000000000006E-2</v>
      </c>
      <c r="M53" t="str">
        <f>IF(VLOOKUP($E53,TaskValues_ref!$E:$Z,13,FALSE)=0,"",VLOOKUP($E53,TaskValues_ref!$E:$Z,13,FALSE))</f>
        <v/>
      </c>
      <c r="N53" s="89">
        <f>IF(VLOOKUP($E53,TaskValues_ref!$E:$Z,15,FALSE)=0,"",VLOOKUP($E53,TaskValues_ref!$E:$Z,15,FALSE))</f>
        <v>0.98</v>
      </c>
      <c r="O53">
        <f>IF(VLOOKUP($E53,TaskValues_ref!$E:$Z,16,FALSE)=0,"",VLOOKUP($E53,TaskValues_ref!$E:$Z,16,FALSE))</f>
        <v>1</v>
      </c>
      <c r="P53" t="str">
        <f>IF(VLOOKUP($E53,TaskValues_ref!$E:$Z,17,FALSE)=0,"",VLOOKUP($E53,TaskValues_ref!$E:$Z,17,FALSE))</f>
        <v/>
      </c>
      <c r="Q53">
        <f>IF(VLOOKUP($E53,TaskValues_ref!$E:$Z,18,FALSE)=0,"",VLOOKUP($E53,TaskValues_ref!$E:$Z,18,FALSE))</f>
        <v>5</v>
      </c>
      <c r="R53" t="str">
        <f>IF(VLOOKUP($E53,TaskValues_ref!$E:$Z,19,FALSE)=0,"",VLOOKUP($E53,TaskValues_ref!$E:$Z,19,FALSE))</f>
        <v/>
      </c>
      <c r="S53" t="str">
        <f>IF(VLOOKUP($E53,TaskValues_ref!$E:$Z,20,FALSE)=0,"",VLOOKUP($E53,TaskValues_ref!$E:$Z,20,FALSE))</f>
        <v/>
      </c>
    </row>
    <row r="54" spans="1:19" x14ac:dyDescent="0.45">
      <c r="A54" t="s">
        <v>2163</v>
      </c>
      <c r="B54" s="66" t="s">
        <v>2266</v>
      </c>
      <c r="D54" s="324">
        <v>55</v>
      </c>
      <c r="E54" s="64" t="str">
        <f t="shared" si="1"/>
        <v>FH.FP.55</v>
      </c>
      <c r="F54" t="str">
        <f>VLOOKUP(E54,TaskValues_ref!E:F,2,FALSE)</f>
        <v>HIV test for GBV</v>
      </c>
      <c r="G54" t="str">
        <f>VLOOKUP($E54,TaskValues_ref!$E:$Z,3,FALSE)</f>
        <v>Clinical</v>
      </c>
      <c r="H54" t="str">
        <f>VLOOKUP($E54,TaskValues_ref!$E:$Z,4,FALSE)</f>
        <v>Acute</v>
      </c>
      <c r="I54" t="str">
        <f>VLOOKUP($E54,TaskValues_ref!$E:$Z,5,FALSE)</f>
        <v>Sexual health</v>
      </c>
      <c r="J54" s="257" t="str">
        <f>VLOOKUP($E54,TaskValues_ref!$E:$Z,6,FALSE)</f>
        <v>women 15-49</v>
      </c>
      <c r="K54" t="str">
        <f>VLOOKUP($E54,TaskValues_ref!$E:$Z,10,FALSE)</f>
        <v>Amhara</v>
      </c>
      <c r="L54" s="195">
        <f>IF(VLOOKUP($E54,TaskValues_ref!$E:$Z,11,FALSE)=0,"",VLOOKUP($E54,TaskValues_ref!$E:$Z,11,FALSE))</f>
        <v>6.9000000000000006E-2</v>
      </c>
      <c r="M54" t="str">
        <f>IF(VLOOKUP($E54,TaskValues_ref!$E:$Z,13,FALSE)=0,"",VLOOKUP($E54,TaskValues_ref!$E:$Z,13,FALSE))</f>
        <v/>
      </c>
      <c r="N54" s="89">
        <f>IF(VLOOKUP($E54,TaskValues_ref!$E:$Z,15,FALSE)=0,"",VLOOKUP($E54,TaskValues_ref!$E:$Z,15,FALSE))</f>
        <v>0.98</v>
      </c>
      <c r="O54">
        <f>IF(VLOOKUP($E54,TaskValues_ref!$E:$Z,16,FALSE)=0,"",VLOOKUP($E54,TaskValues_ref!$E:$Z,16,FALSE))</f>
        <v>3</v>
      </c>
      <c r="P54" t="str">
        <f>IF(VLOOKUP($E54,TaskValues_ref!$E:$Z,17,FALSE)=0,"",VLOOKUP($E54,TaskValues_ref!$E:$Z,17,FALSE))</f>
        <v/>
      </c>
      <c r="Q54">
        <f>IF(VLOOKUP($E54,TaskValues_ref!$E:$Z,18,FALSE)=0,"",VLOOKUP($E54,TaskValues_ref!$E:$Z,18,FALSE))</f>
        <v>5</v>
      </c>
      <c r="R54" t="str">
        <f>IF(VLOOKUP($E54,TaskValues_ref!$E:$Z,19,FALSE)=0,"",VLOOKUP($E54,TaskValues_ref!$E:$Z,19,FALSE))</f>
        <v/>
      </c>
      <c r="S54" t="str">
        <f>IF(VLOOKUP($E54,TaskValues_ref!$E:$Z,20,FALSE)=0,"",VLOOKUP($E54,TaskValues_ref!$E:$Z,20,FALSE))</f>
        <v/>
      </c>
    </row>
    <row r="55" spans="1:19" x14ac:dyDescent="0.45">
      <c r="A55" t="s">
        <v>2163</v>
      </c>
      <c r="B55" s="66" t="s">
        <v>2266</v>
      </c>
      <c r="D55" s="324">
        <v>56</v>
      </c>
      <c r="E55" s="64" t="str">
        <f t="shared" si="1"/>
        <v>FH.FP.56</v>
      </c>
      <c r="F55" t="str">
        <f>VLOOKUP(E55,TaskValues_ref!E:F,2,FALSE)</f>
        <v>Emergency GBV response</v>
      </c>
      <c r="G55" t="str">
        <f>VLOOKUP($E55,TaskValues_ref!$E:$Z,3,FALSE)</f>
        <v>Clinical</v>
      </c>
      <c r="H55" t="str">
        <f>VLOOKUP($E55,TaskValues_ref!$E:$Z,4,FALSE)</f>
        <v>Acute</v>
      </c>
      <c r="I55" t="str">
        <f>VLOOKUP($E55,TaskValues_ref!$E:$Z,5,FALSE)</f>
        <v>Sexual health</v>
      </c>
      <c r="J55" s="257" t="str">
        <f>VLOOKUP($E55,TaskValues_ref!$E:$Z,6,FALSE)</f>
        <v>women 15-49</v>
      </c>
      <c r="K55" t="str">
        <f>VLOOKUP($E55,TaskValues_ref!$E:$Z,10,FALSE)</f>
        <v>Amhara</v>
      </c>
      <c r="L55" s="195">
        <f>IF(VLOOKUP($E55,TaskValues_ref!$E:$Z,11,FALSE)=0,"",VLOOKUP($E55,TaskValues_ref!$E:$Z,11,FALSE))</f>
        <v>0.13400000000000001</v>
      </c>
      <c r="M55" t="str">
        <f>IF(VLOOKUP($E55,TaskValues_ref!$E:$Z,13,FALSE)=0,"",VLOOKUP($E55,TaskValues_ref!$E:$Z,13,FALSE))</f>
        <v/>
      </c>
      <c r="N55" s="89">
        <f>IF(VLOOKUP($E55,TaskValues_ref!$E:$Z,15,FALSE)=0,"",VLOOKUP($E55,TaskValues_ref!$E:$Z,15,FALSE))</f>
        <v>0.98</v>
      </c>
      <c r="O55">
        <f>IF(VLOOKUP($E55,TaskValues_ref!$E:$Z,16,FALSE)=0,"",VLOOKUP($E55,TaskValues_ref!$E:$Z,16,FALSE))</f>
        <v>1</v>
      </c>
      <c r="P55" t="str">
        <f>IF(VLOOKUP($E55,TaskValues_ref!$E:$Z,17,FALSE)=0,"",VLOOKUP($E55,TaskValues_ref!$E:$Z,17,FALSE))</f>
        <v/>
      </c>
      <c r="Q55">
        <f>IF(VLOOKUP($E55,TaskValues_ref!$E:$Z,18,FALSE)=0,"",VLOOKUP($E55,TaskValues_ref!$E:$Z,18,FALSE))</f>
        <v>20</v>
      </c>
      <c r="R55" t="str">
        <f>IF(VLOOKUP($E55,TaskValues_ref!$E:$Z,19,FALSE)=0,"",VLOOKUP($E55,TaskValues_ref!$E:$Z,19,FALSE))</f>
        <v/>
      </c>
      <c r="S55" t="str">
        <f>IF(VLOOKUP($E55,TaskValues_ref!$E:$Z,20,FALSE)=0,"",VLOOKUP($E55,TaskValues_ref!$E:$Z,20,FALSE))</f>
        <v/>
      </c>
    </row>
    <row r="56" spans="1:19" x14ac:dyDescent="0.45">
      <c r="A56" t="s">
        <v>2163</v>
      </c>
      <c r="B56" s="66" t="s">
        <v>2266</v>
      </c>
      <c r="D56" s="324">
        <v>57</v>
      </c>
      <c r="E56" s="64" t="str">
        <f t="shared" si="1"/>
        <v>FH.FP.57</v>
      </c>
      <c r="F56" t="str">
        <f>VLOOKUP(E56,TaskValues_ref!E:F,2,FALSE)</f>
        <v>Medical treatment for GBV</v>
      </c>
      <c r="G56" t="str">
        <f>VLOOKUP($E56,TaskValues_ref!$E:$Z,3,FALSE)</f>
        <v>Clinical</v>
      </c>
      <c r="H56" t="str">
        <f>VLOOKUP($E56,TaskValues_ref!$E:$Z,4,FALSE)</f>
        <v>Acute</v>
      </c>
      <c r="I56" t="str">
        <f>VLOOKUP($E56,TaskValues_ref!$E:$Z,5,FALSE)</f>
        <v>Sexual health</v>
      </c>
      <c r="J56" s="257" t="str">
        <f>VLOOKUP($E56,TaskValues_ref!$E:$Z,6,FALSE)</f>
        <v>women 15-49</v>
      </c>
      <c r="K56" t="str">
        <f>VLOOKUP($E56,TaskValues_ref!$E:$Z,10,FALSE)</f>
        <v>Amhara</v>
      </c>
      <c r="L56" s="195">
        <f>IF(VLOOKUP($E56,TaskValues_ref!$E:$Z,11,FALSE)=0,"",VLOOKUP($E56,TaskValues_ref!$E:$Z,11,FALSE))</f>
        <v>0.13400000000000001</v>
      </c>
      <c r="M56" t="str">
        <f>IF(VLOOKUP($E56,TaskValues_ref!$E:$Z,13,FALSE)=0,"",VLOOKUP($E56,TaskValues_ref!$E:$Z,13,FALSE))</f>
        <v/>
      </c>
      <c r="N56" s="89">
        <f>IF(VLOOKUP($E56,TaskValues_ref!$E:$Z,15,FALSE)=0,"",VLOOKUP($E56,TaskValues_ref!$E:$Z,15,FALSE))</f>
        <v>0.98</v>
      </c>
      <c r="O56">
        <f>IF(VLOOKUP($E56,TaskValues_ref!$E:$Z,16,FALSE)=0,"",VLOOKUP($E56,TaskValues_ref!$E:$Z,16,FALSE))</f>
        <v>1</v>
      </c>
      <c r="P56" t="str">
        <f>IF(VLOOKUP($E56,TaskValues_ref!$E:$Z,17,FALSE)=0,"",VLOOKUP($E56,TaskValues_ref!$E:$Z,17,FALSE))</f>
        <v/>
      </c>
      <c r="Q56">
        <f>IF(VLOOKUP($E56,TaskValues_ref!$E:$Z,18,FALSE)=0,"",VLOOKUP($E56,TaskValues_ref!$E:$Z,18,FALSE))</f>
        <v>20</v>
      </c>
      <c r="R56" t="str">
        <f>IF(VLOOKUP($E56,TaskValues_ref!$E:$Z,19,FALSE)=0,"",VLOOKUP($E56,TaskValues_ref!$E:$Z,19,FALSE))</f>
        <v/>
      </c>
      <c r="S56" t="str">
        <f>IF(VLOOKUP($E56,TaskValues_ref!$E:$Z,20,FALSE)=0,"",VLOOKUP($E56,TaskValues_ref!$E:$Z,20,FALSE))</f>
        <v/>
      </c>
    </row>
    <row r="57" spans="1:19" x14ac:dyDescent="0.45">
      <c r="A57" t="s">
        <v>2163</v>
      </c>
      <c r="B57" s="66" t="s">
        <v>2266</v>
      </c>
      <c r="D57" s="324">
        <v>58</v>
      </c>
      <c r="E57" s="64" t="str">
        <f t="shared" si="1"/>
        <v>FH.FP.58</v>
      </c>
      <c r="F57" t="str">
        <f>VLOOKUP(E57,TaskValues_ref!E:F,2,FALSE)</f>
        <v>Psycho-social support for GBV</v>
      </c>
      <c r="G57" t="str">
        <f>VLOOKUP($E57,TaskValues_ref!$E:$Z,3,FALSE)</f>
        <v>Clinical</v>
      </c>
      <c r="H57" t="str">
        <f>VLOOKUP($E57,TaskValues_ref!$E:$Z,4,FALSE)</f>
        <v>Acute</v>
      </c>
      <c r="I57" t="str">
        <f>VLOOKUP($E57,TaskValues_ref!$E:$Z,5,FALSE)</f>
        <v>Sexual health</v>
      </c>
      <c r="J57" s="257" t="str">
        <f>VLOOKUP($E57,TaskValues_ref!$E:$Z,6,FALSE)</f>
        <v>women 15-49</v>
      </c>
      <c r="K57" t="str">
        <f>VLOOKUP($E57,TaskValues_ref!$E:$Z,10,FALSE)</f>
        <v>Amhara</v>
      </c>
      <c r="L57" s="195">
        <f>IF(VLOOKUP($E57,TaskValues_ref!$E:$Z,11,FALSE)=0,"",VLOOKUP($E57,TaskValues_ref!$E:$Z,11,FALSE))</f>
        <v>0.20300000000000001</v>
      </c>
      <c r="M57">
        <f>IF(VLOOKUP($E57,TaskValues_ref!$E:$Z,13,FALSE)=0,"",VLOOKUP($E57,TaskValues_ref!$E:$Z,13,FALSE))</f>
        <v>0.1</v>
      </c>
      <c r="N57" s="89">
        <f>IF(VLOOKUP($E57,TaskValues_ref!$E:$Z,15,FALSE)=0,"",VLOOKUP($E57,TaskValues_ref!$E:$Z,15,FALSE))</f>
        <v>0.98</v>
      </c>
      <c r="O57">
        <f>IF(VLOOKUP($E57,TaskValues_ref!$E:$Z,16,FALSE)=0,"",VLOOKUP($E57,TaskValues_ref!$E:$Z,16,FALSE))</f>
        <v>1</v>
      </c>
      <c r="P57" t="str">
        <f>IF(VLOOKUP($E57,TaskValues_ref!$E:$Z,17,FALSE)=0,"",VLOOKUP($E57,TaskValues_ref!$E:$Z,17,FALSE))</f>
        <v/>
      </c>
      <c r="Q57">
        <f>IF(VLOOKUP($E57,TaskValues_ref!$E:$Z,18,FALSE)=0,"",VLOOKUP($E57,TaskValues_ref!$E:$Z,18,FALSE))</f>
        <v>20</v>
      </c>
      <c r="R57" t="str">
        <f>IF(VLOOKUP($E57,TaskValues_ref!$E:$Z,19,FALSE)=0,"",VLOOKUP($E57,TaskValues_ref!$E:$Z,19,FALSE))</f>
        <v/>
      </c>
      <c r="S57" t="str">
        <f>IF(VLOOKUP($E57,TaskValues_ref!$E:$Z,20,FALSE)=0,"",VLOOKUP($E57,TaskValues_ref!$E:$Z,20,FALSE))</f>
        <v/>
      </c>
    </row>
    <row r="58" spans="1:19" x14ac:dyDescent="0.45">
      <c r="A58" t="s">
        <v>2163</v>
      </c>
      <c r="B58" s="66" t="s">
        <v>2266</v>
      </c>
      <c r="D58" s="324">
        <v>59</v>
      </c>
      <c r="E58" s="64" t="str">
        <f t="shared" si="1"/>
        <v>FH.FP.59</v>
      </c>
      <c r="F58" t="str">
        <f>VLOOKUP(E58,TaskValues_ref!E:F,2,FALSE)</f>
        <v>Adovacy against HTP</v>
      </c>
      <c r="G58" t="str">
        <f>VLOOKUP($E58,TaskValues_ref!$E:$Z,3,FALSE)</f>
        <v>Non-clinical</v>
      </c>
      <c r="H58" t="str">
        <f>VLOOKUP($E58,TaskValues_ref!$E:$Z,4,FALSE)</f>
        <v>Public Health</v>
      </c>
      <c r="I58" t="str">
        <f>VLOOKUP($E58,TaskValues_ref!$E:$Z,5,FALSE)</f>
        <v>Sexual health</v>
      </c>
      <c r="J58" s="257" t="str">
        <f>VLOOKUP($E58,TaskValues_ref!$E:$Z,6,FALSE)</f>
        <v>-</v>
      </c>
      <c r="K58" t="str">
        <f>VLOOKUP($E58,TaskValues_ref!$E:$Z,10,FALSE)</f>
        <v>Amhara</v>
      </c>
      <c r="L58" s="195" t="str">
        <f>IF(VLOOKUP($E58,TaskValues_ref!$E:$Z,11,FALSE)=0,"",VLOOKUP($E58,TaskValues_ref!$E:$Z,11,FALSE))</f>
        <v/>
      </c>
      <c r="M58" t="str">
        <f>IF(VLOOKUP($E58,TaskValues_ref!$E:$Z,13,FALSE)=0,"",VLOOKUP($E58,TaskValues_ref!$E:$Z,13,FALSE))</f>
        <v/>
      </c>
      <c r="N58" s="89" t="str">
        <f>IF(VLOOKUP($E58,TaskValues_ref!$E:$Z,15,FALSE)=0,"",VLOOKUP($E58,TaskValues_ref!$E:$Z,15,FALSE))</f>
        <v/>
      </c>
      <c r="O58" t="str">
        <f>IF(VLOOKUP($E58,TaskValues_ref!$E:$Z,16,FALSE)=0,"",VLOOKUP($E58,TaskValues_ref!$E:$Z,16,FALSE))</f>
        <v/>
      </c>
      <c r="P58" t="str">
        <f>IF(VLOOKUP($E58,TaskValues_ref!$E:$Z,17,FALSE)=0,"",VLOOKUP($E58,TaskValues_ref!$E:$Z,17,FALSE))</f>
        <v/>
      </c>
      <c r="Q58" t="str">
        <f>IF(VLOOKUP($E58,TaskValues_ref!$E:$Z,18,FALSE)=0,"",VLOOKUP($E58,TaskValues_ref!$E:$Z,18,FALSE))</f>
        <v/>
      </c>
      <c r="R58" t="str">
        <f>IF(VLOOKUP($E58,TaskValues_ref!$E:$Z,19,FALSE)=0,"",VLOOKUP($E58,TaskValues_ref!$E:$Z,19,FALSE))</f>
        <v/>
      </c>
      <c r="S58" t="str">
        <f>IF(VLOOKUP($E58,TaskValues_ref!$E:$Z,20,FALSE)=0,"",VLOOKUP($E58,TaskValues_ref!$E:$Z,20,FALSE))</f>
        <v/>
      </c>
    </row>
    <row r="59" spans="1:19" x14ac:dyDescent="0.45">
      <c r="A59" t="s">
        <v>2163</v>
      </c>
      <c r="B59" s="66" t="s">
        <v>2266</v>
      </c>
      <c r="D59" s="324">
        <v>60</v>
      </c>
      <c r="E59" s="64" t="str">
        <f t="shared" si="1"/>
        <v>FH.FP.60</v>
      </c>
      <c r="F59" t="str">
        <f>VLOOKUP(E59,TaskValues_ref!E:F,2,FALSE)</f>
        <v>Prevention of teen pregnancy</v>
      </c>
      <c r="G59" t="str">
        <f>VLOOKUP($E59,TaskValues_ref!$E:$Z,3,FALSE)</f>
        <v>Clinical</v>
      </c>
      <c r="H59" t="str">
        <f>VLOOKUP($E59,TaskValues_ref!$E:$Z,4,FALSE)</f>
        <v>Preventive</v>
      </c>
      <c r="I59" t="str">
        <f>VLOOKUP($E59,TaskValues_ref!$E:$Z,5,FALSE)</f>
        <v>Family planning</v>
      </c>
      <c r="J59" s="257" t="str">
        <f>VLOOKUP($E59,TaskValues_ref!$E:$Z,6,FALSE)</f>
        <v>15 yo girls</v>
      </c>
      <c r="K59" t="str">
        <f>VLOOKUP($E59,TaskValues_ref!$E:$Z,10,FALSE)</f>
        <v>Amhara</v>
      </c>
      <c r="L59" s="195" t="str">
        <f>IF(VLOOKUP($E59,TaskValues_ref!$E:$Z,11,FALSE)=0,"",VLOOKUP($E59,TaskValues_ref!$E:$Z,11,FALSE))</f>
        <v/>
      </c>
      <c r="M59" t="str">
        <f>IF(VLOOKUP($E59,TaskValues_ref!$E:$Z,13,FALSE)=0,"",VLOOKUP($E59,TaskValues_ref!$E:$Z,13,FALSE))</f>
        <v/>
      </c>
      <c r="N59" s="89" t="str">
        <f>IF(VLOOKUP($E59,TaskValues_ref!$E:$Z,15,FALSE)=0,"",VLOOKUP($E59,TaskValues_ref!$E:$Z,15,FALSE))</f>
        <v/>
      </c>
      <c r="O59" t="str">
        <f>IF(VLOOKUP($E59,TaskValues_ref!$E:$Z,16,FALSE)=0,"",VLOOKUP($E59,TaskValues_ref!$E:$Z,16,FALSE))</f>
        <v/>
      </c>
      <c r="P59" t="str">
        <f>IF(VLOOKUP($E59,TaskValues_ref!$E:$Z,17,FALSE)=0,"",VLOOKUP($E59,TaskValues_ref!$E:$Z,17,FALSE))</f>
        <v/>
      </c>
      <c r="Q59" t="str">
        <f>IF(VLOOKUP($E59,TaskValues_ref!$E:$Z,18,FALSE)=0,"",VLOOKUP($E59,TaskValues_ref!$E:$Z,18,FALSE))</f>
        <v/>
      </c>
      <c r="R59" t="str">
        <f>IF(VLOOKUP($E59,TaskValues_ref!$E:$Z,19,FALSE)=0,"",VLOOKUP($E59,TaskValues_ref!$E:$Z,19,FALSE))</f>
        <v/>
      </c>
      <c r="S59" t="str">
        <f>IF(VLOOKUP($E59,TaskValues_ref!$E:$Z,20,FALSE)=0,"",VLOOKUP($E59,TaskValues_ref!$E:$Z,20,FALSE))</f>
        <v/>
      </c>
    </row>
    <row r="60" spans="1:19" x14ac:dyDescent="0.45">
      <c r="A60" t="s">
        <v>2163</v>
      </c>
      <c r="B60" s="66" t="s">
        <v>2266</v>
      </c>
      <c r="D60" s="324">
        <v>61</v>
      </c>
      <c r="E60" s="64" t="str">
        <f t="shared" si="1"/>
        <v>FH.FP.61</v>
      </c>
      <c r="F60" t="str">
        <f>VLOOKUP(E60,TaskValues_ref!E:F,2,FALSE)</f>
        <v>Folic acid</v>
      </c>
      <c r="G60" t="str">
        <f>VLOOKUP($E60,TaskValues_ref!$E:$Z,3,FALSE)</f>
        <v>Clinical</v>
      </c>
      <c r="H60" t="str">
        <f>VLOOKUP($E60,TaskValues_ref!$E:$Z,4,FALSE)</f>
        <v>Preventive</v>
      </c>
      <c r="I60" t="str">
        <f>VLOOKUP($E60,TaskValues_ref!$E:$Z,5,FALSE)</f>
        <v>Family planning</v>
      </c>
      <c r="J60" s="257" t="str">
        <f>VLOOKUP($E60,TaskValues_ref!$E:$Z,6,FALSE)</f>
        <v>births</v>
      </c>
      <c r="K60" t="str">
        <f>VLOOKUP($E60,TaskValues_ref!$E:$Z,10,FALSE)</f>
        <v>Amhara</v>
      </c>
      <c r="L60" s="195">
        <f>IF(VLOOKUP($E60,TaskValues_ref!$E:$Z,11,FALSE)=0,"",VLOOKUP($E60,TaskValues_ref!$E:$Z,11,FALSE))</f>
        <v>1</v>
      </c>
      <c r="M60" t="str">
        <f>IF(VLOOKUP($E60,TaskValues_ref!$E:$Z,13,FALSE)=0,"",VLOOKUP($E60,TaskValues_ref!$E:$Z,13,FALSE))</f>
        <v/>
      </c>
      <c r="N60" s="89">
        <f>IF(VLOOKUP($E60,TaskValues_ref!$E:$Z,15,FALSE)=0,"",VLOOKUP($E60,TaskValues_ref!$E:$Z,15,FALSE))</f>
        <v>1</v>
      </c>
      <c r="O60" t="str">
        <f>IF(VLOOKUP($E60,TaskValues_ref!$E:$Z,16,FALSE)=0,"",VLOOKUP($E60,TaskValues_ref!$E:$Z,16,FALSE))</f>
        <v/>
      </c>
      <c r="P60" t="str">
        <f>IF(VLOOKUP($E60,TaskValues_ref!$E:$Z,17,FALSE)=0,"",VLOOKUP($E60,TaskValues_ref!$E:$Z,17,FALSE))</f>
        <v/>
      </c>
      <c r="Q60" t="str">
        <f>IF(VLOOKUP($E60,TaskValues_ref!$E:$Z,18,FALSE)=0,"",VLOOKUP($E60,TaskValues_ref!$E:$Z,18,FALSE))</f>
        <v/>
      </c>
      <c r="R60" t="str">
        <f>IF(VLOOKUP($E60,TaskValues_ref!$E:$Z,19,FALSE)=0,"",VLOOKUP($E60,TaskValues_ref!$E:$Z,19,FALSE))</f>
        <v/>
      </c>
      <c r="S60" t="str">
        <f>IF(VLOOKUP($E60,TaskValues_ref!$E:$Z,20,FALSE)=0,"",VLOOKUP($E60,TaskValues_ref!$E:$Z,20,FALSE))</f>
        <v/>
      </c>
    </row>
    <row r="61" spans="1:19" x14ac:dyDescent="0.45">
      <c r="A61" t="s">
        <v>2163</v>
      </c>
      <c r="B61" s="66" t="s">
        <v>2266</v>
      </c>
      <c r="D61" s="324">
        <v>62</v>
      </c>
      <c r="E61" s="64" t="str">
        <f t="shared" si="1"/>
        <v>FH.FP.62</v>
      </c>
      <c r="F61" t="str">
        <f>VLOOKUP(E61,TaskValues_ref!E:F,2,FALSE)</f>
        <v>SRH counseling for men</v>
      </c>
      <c r="G61" t="str">
        <f>VLOOKUP($E61,TaskValues_ref!$E:$Z,3,FALSE)</f>
        <v>Clinical</v>
      </c>
      <c r="H61" t="str">
        <f>VLOOKUP($E61,TaskValues_ref!$E:$Z,4,FALSE)</f>
        <v>Acute</v>
      </c>
      <c r="I61" t="str">
        <f>VLOOKUP($E61,TaskValues_ref!$E:$Z,5,FALSE)</f>
        <v>Sexual health</v>
      </c>
      <c r="J61" s="257" t="str">
        <f>VLOOKUP($E61,TaskValues_ref!$E:$Z,6,FALSE)</f>
        <v>men 15-49</v>
      </c>
      <c r="K61" t="str">
        <f>VLOOKUP($E61,TaskValues_ref!$E:$Z,10,FALSE)</f>
        <v>Amhara</v>
      </c>
      <c r="L61" s="195">
        <f>IF(VLOOKUP($E61,TaskValues_ref!$E:$Z,11,FALSE)=0,"",VLOOKUP($E61,TaskValues_ref!$E:$Z,11,FALSE))</f>
        <v>1</v>
      </c>
      <c r="M61" t="str">
        <f>IF(VLOOKUP($E61,TaskValues_ref!$E:$Z,13,FALSE)=0,"",VLOOKUP($E61,TaskValues_ref!$E:$Z,13,FALSE))</f>
        <v/>
      </c>
      <c r="N61" s="89">
        <f>IF(VLOOKUP($E61,TaskValues_ref!$E:$Z,15,FALSE)=0,"",VLOOKUP($E61,TaskValues_ref!$E:$Z,15,FALSE))</f>
        <v>1</v>
      </c>
      <c r="O61" t="str">
        <f>IF(VLOOKUP($E61,TaskValues_ref!$E:$Z,16,FALSE)=0,"",VLOOKUP($E61,TaskValues_ref!$E:$Z,16,FALSE))</f>
        <v/>
      </c>
      <c r="P61">
        <f>IF(VLOOKUP($E61,TaskValues_ref!$E:$Z,17,FALSE)=0,"",VLOOKUP($E61,TaskValues_ref!$E:$Z,17,FALSE))</f>
        <v>0.1</v>
      </c>
      <c r="Q61">
        <f>IF(VLOOKUP($E61,TaskValues_ref!$E:$Z,18,FALSE)=0,"",VLOOKUP($E61,TaskValues_ref!$E:$Z,18,FALSE))</f>
        <v>10</v>
      </c>
      <c r="R61" t="str">
        <f>IF(VLOOKUP($E61,TaskValues_ref!$E:$Z,19,FALSE)=0,"",VLOOKUP($E61,TaskValues_ref!$E:$Z,19,FALSE))</f>
        <v/>
      </c>
      <c r="S61" t="str">
        <f>IF(VLOOKUP($E61,TaskValues_ref!$E:$Z,20,FALSE)=0,"",VLOOKUP($E61,TaskValues_ref!$E:$Z,20,FALSE))</f>
        <v/>
      </c>
    </row>
    <row r="62" spans="1:19" x14ac:dyDescent="0.45">
      <c r="A62" t="s">
        <v>2163</v>
      </c>
      <c r="B62" s="66" t="s">
        <v>70</v>
      </c>
      <c r="D62" s="324">
        <v>64</v>
      </c>
      <c r="E62" s="64" t="str">
        <f>_xlfn.CONCAT("FH.Ntr.",D62)</f>
        <v>FH.Ntr.64</v>
      </c>
      <c r="F62" t="str">
        <f>VLOOKUP(E62,TaskValues_ref!E:F,2,FALSE)</f>
        <v>Promote breast feeding</v>
      </c>
      <c r="G62" t="str">
        <f>VLOOKUP($E62,TaskValues_ref!$E:$Z,3,FALSE)</f>
        <v>Clinical</v>
      </c>
      <c r="H62" t="str">
        <f>VLOOKUP($E62,TaskValues_ref!$E:$Z,4,FALSE)</f>
        <v>Preventive</v>
      </c>
      <c r="I62" t="str">
        <f>VLOOKUP($E62,TaskValues_ref!$E:$Z,5,FALSE)</f>
        <v>Nutrition</v>
      </c>
      <c r="J62" s="257" t="str">
        <f>VLOOKUP($E62,TaskValues_ref!$E:$Z,6,FALSE)</f>
        <v>births</v>
      </c>
      <c r="K62" t="str">
        <f>VLOOKUP($E62,TaskValues_ref!$E:$Z,10,FALSE)</f>
        <v>Amhara</v>
      </c>
      <c r="L62" s="195" t="str">
        <f>IF(VLOOKUP($E62,TaskValues_ref!$E:$Z,11,FALSE)=0,"",VLOOKUP($E62,TaskValues_ref!$E:$Z,11,FALSE))</f>
        <v/>
      </c>
      <c r="M62" t="str">
        <f>IF(VLOOKUP($E62,TaskValues_ref!$E:$Z,13,FALSE)=0,"",VLOOKUP($E62,TaskValues_ref!$E:$Z,13,FALSE))</f>
        <v/>
      </c>
      <c r="N62" s="89" t="str">
        <f>IF(VLOOKUP($E62,TaskValues_ref!$E:$Z,15,FALSE)=0,"",VLOOKUP($E62,TaskValues_ref!$E:$Z,15,FALSE))</f>
        <v/>
      </c>
      <c r="O62" t="str">
        <f>IF(VLOOKUP($E62,TaskValues_ref!$E:$Z,16,FALSE)=0,"",VLOOKUP($E62,TaskValues_ref!$E:$Z,16,FALSE))</f>
        <v/>
      </c>
      <c r="P62" t="str">
        <f>IF(VLOOKUP($E62,TaskValues_ref!$E:$Z,17,FALSE)=0,"",VLOOKUP($E62,TaskValues_ref!$E:$Z,17,FALSE))</f>
        <v/>
      </c>
      <c r="Q62" t="str">
        <f>IF(VLOOKUP($E62,TaskValues_ref!$E:$Z,18,FALSE)=0,"",VLOOKUP($E62,TaskValues_ref!$E:$Z,18,FALSE))</f>
        <v/>
      </c>
      <c r="R62" t="str">
        <f>IF(VLOOKUP($E62,TaskValues_ref!$E:$Z,19,FALSE)=0,"",VLOOKUP($E62,TaskValues_ref!$E:$Z,19,FALSE))</f>
        <v/>
      </c>
      <c r="S62" t="str">
        <f>IF(VLOOKUP($E62,TaskValues_ref!$E:$Z,20,FALSE)=0,"",VLOOKUP($E62,TaskValues_ref!$E:$Z,20,FALSE))</f>
        <v/>
      </c>
    </row>
    <row r="63" spans="1:19" x14ac:dyDescent="0.45">
      <c r="A63" t="s">
        <v>2163</v>
      </c>
      <c r="B63" s="66" t="s">
        <v>70</v>
      </c>
      <c r="D63" s="324">
        <v>65</v>
      </c>
      <c r="E63" s="64" t="str">
        <f>_xlfn.CONCAT("FH.Ntr.",D63)</f>
        <v>FH.Ntr.65</v>
      </c>
      <c r="F63" t="str">
        <f>VLOOKUP(E63,TaskValues_ref!E:F,2,FALSE)</f>
        <v>Nutritional screening during pregnancy</v>
      </c>
      <c r="G63" t="str">
        <f>VLOOKUP($E63,TaskValues_ref!$E:$Z,3,FALSE)</f>
        <v>Clinical</v>
      </c>
      <c r="H63" t="str">
        <f>VLOOKUP($E63,TaskValues_ref!$E:$Z,4,FALSE)</f>
        <v>Preventive</v>
      </c>
      <c r="I63" t="str">
        <f>VLOOKUP($E63,TaskValues_ref!$E:$Z,5,FALSE)</f>
        <v>Nutrition</v>
      </c>
      <c r="J63" s="257" t="str">
        <f>VLOOKUP($E63,TaskValues_ref!$E:$Z,6,FALSE)</f>
        <v>births</v>
      </c>
      <c r="K63" t="str">
        <f>VLOOKUP($E63,TaskValues_ref!$E:$Z,10,FALSE)</f>
        <v>Amhara</v>
      </c>
      <c r="L63" s="195" t="str">
        <f>IF(VLOOKUP($E63,TaskValues_ref!$E:$Z,11,FALSE)=0,"",VLOOKUP($E63,TaskValues_ref!$E:$Z,11,FALSE))</f>
        <v/>
      </c>
      <c r="M63" t="str">
        <f>IF(VLOOKUP($E63,TaskValues_ref!$E:$Z,13,FALSE)=0,"",VLOOKUP($E63,TaskValues_ref!$E:$Z,13,FALSE))</f>
        <v/>
      </c>
      <c r="N63" s="89" t="str">
        <f>IF(VLOOKUP($E63,TaskValues_ref!$E:$Z,15,FALSE)=0,"",VLOOKUP($E63,TaskValues_ref!$E:$Z,15,FALSE))</f>
        <v/>
      </c>
      <c r="O63" t="str">
        <f>IF(VLOOKUP($E63,TaskValues_ref!$E:$Z,16,FALSE)=0,"",VLOOKUP($E63,TaskValues_ref!$E:$Z,16,FALSE))</f>
        <v/>
      </c>
      <c r="P63" t="str">
        <f>IF(VLOOKUP($E63,TaskValues_ref!$E:$Z,17,FALSE)=0,"",VLOOKUP($E63,TaskValues_ref!$E:$Z,17,FALSE))</f>
        <v/>
      </c>
      <c r="Q63" t="str">
        <f>IF(VLOOKUP($E63,TaskValues_ref!$E:$Z,18,FALSE)=0,"",VLOOKUP($E63,TaskValues_ref!$E:$Z,18,FALSE))</f>
        <v/>
      </c>
      <c r="R63" t="str">
        <f>IF(VLOOKUP($E63,TaskValues_ref!$E:$Z,19,FALSE)=0,"",VLOOKUP($E63,TaskValues_ref!$E:$Z,19,FALSE))</f>
        <v/>
      </c>
      <c r="S63" t="str">
        <f>IF(VLOOKUP($E63,TaskValues_ref!$E:$Z,20,FALSE)=0,"",VLOOKUP($E63,TaskValues_ref!$E:$Z,20,FALSE))</f>
        <v/>
      </c>
    </row>
    <row r="64" spans="1:19" x14ac:dyDescent="0.45">
      <c r="A64" t="s">
        <v>2163</v>
      </c>
      <c r="B64" s="66" t="s">
        <v>70</v>
      </c>
      <c r="D64" s="324">
        <v>66</v>
      </c>
      <c r="E64" s="64" t="str">
        <f>_xlfn.CONCAT("FH.Ntr.",D64)</f>
        <v>FH.Ntr.66</v>
      </c>
      <c r="F64" t="str">
        <f>VLOOKUP(E64,TaskValues_ref!E:F,2,FALSE)</f>
        <v>Monthly monitoring</v>
      </c>
      <c r="G64" t="str">
        <f>VLOOKUP($E64,TaskValues_ref!$E:$Z,3,FALSE)</f>
        <v>Clinical</v>
      </c>
      <c r="H64" t="str">
        <f>VLOOKUP($E64,TaskValues_ref!$E:$Z,4,FALSE)</f>
        <v>Preventive</v>
      </c>
      <c r="I64" t="str">
        <f>VLOOKUP($E64,TaskValues_ref!$E:$Z,5,FALSE)</f>
        <v>Nutrition</v>
      </c>
      <c r="J64" s="257" t="str">
        <f>VLOOKUP($E64,TaskValues_ref!$E:$Z,6,FALSE)</f>
        <v>births</v>
      </c>
      <c r="K64" t="str">
        <f>VLOOKUP($E64,TaskValues_ref!$E:$Z,10,FALSE)</f>
        <v>Amhara</v>
      </c>
      <c r="L64" s="195" t="str">
        <f>IF(VLOOKUP($E64,TaskValues_ref!$E:$Z,11,FALSE)=0,"",VLOOKUP($E64,TaskValues_ref!$E:$Z,11,FALSE))</f>
        <v/>
      </c>
      <c r="M64" t="str">
        <f>IF(VLOOKUP($E64,TaskValues_ref!$E:$Z,13,FALSE)=0,"",VLOOKUP($E64,TaskValues_ref!$E:$Z,13,FALSE))</f>
        <v/>
      </c>
      <c r="N64" s="89" t="str">
        <f>IF(VLOOKUP($E64,TaskValues_ref!$E:$Z,15,FALSE)=0,"",VLOOKUP($E64,TaskValues_ref!$E:$Z,15,FALSE))</f>
        <v/>
      </c>
      <c r="O64" t="str">
        <f>IF(VLOOKUP($E64,TaskValues_ref!$E:$Z,16,FALSE)=0,"",VLOOKUP($E64,TaskValues_ref!$E:$Z,16,FALSE))</f>
        <v/>
      </c>
      <c r="P64" t="str">
        <f>IF(VLOOKUP($E64,TaskValues_ref!$E:$Z,17,FALSE)=0,"",VLOOKUP($E64,TaskValues_ref!$E:$Z,17,FALSE))</f>
        <v/>
      </c>
      <c r="Q64" t="str">
        <f>IF(VLOOKUP($E64,TaskValues_ref!$E:$Z,18,FALSE)=0,"",VLOOKUP($E64,TaskValues_ref!$E:$Z,18,FALSE))</f>
        <v/>
      </c>
      <c r="R64" t="str">
        <f>IF(VLOOKUP($E64,TaskValues_ref!$E:$Z,19,FALSE)=0,"",VLOOKUP($E64,TaskValues_ref!$E:$Z,19,FALSE))</f>
        <v/>
      </c>
      <c r="S64" t="str">
        <f>IF(VLOOKUP($E64,TaskValues_ref!$E:$Z,20,FALSE)=0,"",VLOOKUP($E64,TaskValues_ref!$E:$Z,20,FALSE))</f>
        <v/>
      </c>
    </row>
    <row r="65" spans="1:19" x14ac:dyDescent="0.45">
      <c r="A65" t="s">
        <v>2163</v>
      </c>
      <c r="B65" s="66" t="s">
        <v>70</v>
      </c>
      <c r="D65" s="324">
        <v>67</v>
      </c>
      <c r="E65" s="64" t="str">
        <f>_xlfn.CONCAT("FH.Ntr.",D65)</f>
        <v>FH.Ntr.67</v>
      </c>
      <c r="F65" t="str">
        <f>VLOOKUP(E65,TaskValues_ref!E:F,2,FALSE)</f>
        <v>MUAC and oedema screening</v>
      </c>
      <c r="G65" t="str">
        <f>VLOOKUP($E65,TaskValues_ref!$E:$Z,3,FALSE)</f>
        <v>Clinical</v>
      </c>
      <c r="H65" t="str">
        <f>VLOOKUP($E65,TaskValues_ref!$E:$Z,4,FALSE)</f>
        <v>Acute</v>
      </c>
      <c r="I65" t="str">
        <f>VLOOKUP($E65,TaskValues_ref!$E:$Z,5,FALSE)</f>
        <v>Nutrition</v>
      </c>
      <c r="J65" s="257" t="str">
        <f>VLOOKUP($E65,TaskValues_ref!$E:$Z,6,FALSE)</f>
        <v>births</v>
      </c>
      <c r="K65" t="str">
        <f>VLOOKUP($E65,TaskValues_ref!$E:$Z,10,FALSE)</f>
        <v>Amhara</v>
      </c>
      <c r="L65" s="195" t="str">
        <f>IF(VLOOKUP($E65,TaskValues_ref!$E:$Z,11,FALSE)=0,"",VLOOKUP($E65,TaskValues_ref!$E:$Z,11,FALSE))</f>
        <v/>
      </c>
      <c r="M65" t="str">
        <f>IF(VLOOKUP($E65,TaskValues_ref!$E:$Z,13,FALSE)=0,"",VLOOKUP($E65,TaskValues_ref!$E:$Z,13,FALSE))</f>
        <v/>
      </c>
      <c r="N65" s="89" t="str">
        <f>IF(VLOOKUP($E65,TaskValues_ref!$E:$Z,15,FALSE)=0,"",VLOOKUP($E65,TaskValues_ref!$E:$Z,15,FALSE))</f>
        <v/>
      </c>
      <c r="O65" t="str">
        <f>IF(VLOOKUP($E65,TaskValues_ref!$E:$Z,16,FALSE)=0,"",VLOOKUP($E65,TaskValues_ref!$E:$Z,16,FALSE))</f>
        <v/>
      </c>
      <c r="P65" t="str">
        <f>IF(VLOOKUP($E65,TaskValues_ref!$E:$Z,17,FALSE)=0,"",VLOOKUP($E65,TaskValues_ref!$E:$Z,17,FALSE))</f>
        <v/>
      </c>
      <c r="Q65" t="str">
        <f>IF(VLOOKUP($E65,TaskValues_ref!$E:$Z,18,FALSE)=0,"",VLOOKUP($E65,TaskValues_ref!$E:$Z,18,FALSE))</f>
        <v/>
      </c>
      <c r="R65" t="str">
        <f>IF(VLOOKUP($E65,TaskValues_ref!$E:$Z,19,FALSE)=0,"",VLOOKUP($E65,TaskValues_ref!$E:$Z,19,FALSE))</f>
        <v/>
      </c>
      <c r="S65" t="str">
        <f>IF(VLOOKUP($E65,TaskValues_ref!$E:$Z,20,FALSE)=0,"",VLOOKUP($E65,TaskValues_ref!$E:$Z,20,FALSE))</f>
        <v/>
      </c>
    </row>
    <row r="66" spans="1:19" x14ac:dyDescent="0.45">
      <c r="A66" t="s">
        <v>2163</v>
      </c>
      <c r="B66" s="66" t="s">
        <v>70</v>
      </c>
      <c r="D66" s="324">
        <v>68</v>
      </c>
      <c r="E66" s="64" t="str">
        <f>_xlfn.CONCAT("FH.Ntr.",D66)</f>
        <v>FH.Ntr.68</v>
      </c>
      <c r="F66" t="str">
        <f>VLOOKUP(E66,TaskValues_ref!E:F,2,FALSE)</f>
        <v>Treat malnourished mothers</v>
      </c>
      <c r="G66" t="str">
        <f>VLOOKUP($E66,TaskValues_ref!$E:$Z,3,FALSE)</f>
        <v>Clinical</v>
      </c>
      <c r="H66" t="str">
        <f>VLOOKUP($E66,TaskValues_ref!$E:$Z,4,FALSE)</f>
        <v>Acute</v>
      </c>
      <c r="I66" t="str">
        <f>VLOOKUP($E66,TaskValues_ref!$E:$Z,5,FALSE)</f>
        <v>Nutrition</v>
      </c>
      <c r="J66" s="257" t="str">
        <f>VLOOKUP($E66,TaskValues_ref!$E:$Z,6,FALSE)</f>
        <v>births</v>
      </c>
      <c r="K66" t="str">
        <f>VLOOKUP($E66,TaskValues_ref!$E:$Z,10,FALSE)</f>
        <v>Amhara</v>
      </c>
      <c r="L66" s="195">
        <f>IF(VLOOKUP($E66,TaskValues_ref!$E:$Z,11,FALSE)=0,"",VLOOKUP($E66,TaskValues_ref!$E:$Z,11,FALSE))</f>
        <v>0.25900000000000001</v>
      </c>
      <c r="M66" t="str">
        <f>IF(VLOOKUP($E66,TaskValues_ref!$E:$Z,13,FALSE)=0,"",VLOOKUP($E66,TaskValues_ref!$E:$Z,13,FALSE))</f>
        <v/>
      </c>
      <c r="N66" s="89">
        <f>IF(VLOOKUP($E66,TaskValues_ref!$E:$Z,15,FALSE)=0,"",VLOOKUP($E66,TaskValues_ref!$E:$Z,15,FALSE))</f>
        <v>0.98</v>
      </c>
      <c r="O66">
        <f>IF(VLOOKUP($E66,TaskValues_ref!$E:$Z,16,FALSE)=0,"",VLOOKUP($E66,TaskValues_ref!$E:$Z,16,FALSE))</f>
        <v>2</v>
      </c>
      <c r="P66" t="str">
        <f>IF(VLOOKUP($E66,TaskValues_ref!$E:$Z,17,FALSE)=0,"",VLOOKUP($E66,TaskValues_ref!$E:$Z,17,FALSE))</f>
        <v/>
      </c>
      <c r="Q66">
        <f>IF(VLOOKUP($E66,TaskValues_ref!$E:$Z,18,FALSE)=0,"",VLOOKUP($E66,TaskValues_ref!$E:$Z,18,FALSE))</f>
        <v>10</v>
      </c>
      <c r="R66" t="str">
        <f>IF(VLOOKUP($E66,TaskValues_ref!$E:$Z,19,FALSE)=0,"",VLOOKUP($E66,TaskValues_ref!$E:$Z,19,FALSE))</f>
        <v/>
      </c>
      <c r="S66" t="str">
        <f>IF(VLOOKUP($E66,TaskValues_ref!$E:$Z,20,FALSE)=0,"",VLOOKUP($E66,TaskValues_ref!$E:$Z,20,FALSE))</f>
        <v/>
      </c>
    </row>
    <row r="67" spans="1:19" x14ac:dyDescent="0.45">
      <c r="A67" t="s">
        <v>2163</v>
      </c>
      <c r="B67" s="66" t="s">
        <v>70</v>
      </c>
      <c r="E67" s="64" t="s">
        <v>2621</v>
      </c>
      <c r="F67" t="str">
        <f>VLOOKUP(E67,TaskValues_ref!E:F,2,FALSE)</f>
        <v>Anaemia severe U5</v>
      </c>
      <c r="G67" t="str">
        <f>VLOOKUP($E67,TaskValues_ref!$E:$Z,3,FALSE)</f>
        <v>Clinical</v>
      </c>
      <c r="H67" t="str">
        <f>VLOOKUP($E67,TaskValues_ref!$E:$Z,4,FALSE)</f>
        <v>Acute</v>
      </c>
      <c r="I67" t="str">
        <f>VLOOKUP($E67,TaskValues_ref!$E:$Z,5,FALSE)</f>
        <v>Nutrition</v>
      </c>
      <c r="J67" s="257" t="str">
        <f>VLOOKUP($E67,TaskValues_ref!$E:$Z,6,FALSE)</f>
        <v>1-4</v>
      </c>
      <c r="K67" t="str">
        <f>VLOOKUP($E67,TaskValues_ref!$E:$Z,10,FALSE)</f>
        <v>Amhara</v>
      </c>
      <c r="L67" s="195">
        <f>IF(VLOOKUP($E67,TaskValues_ref!$E:$Z,11,FALSE)=0,"",VLOOKUP($E67,TaskValues_ref!$E:$Z,11,FALSE))</f>
        <v>2.3E-2</v>
      </c>
      <c r="M67" t="str">
        <f>IF(VLOOKUP($E67,TaskValues_ref!$E:$Z,13,FALSE)=0,"",VLOOKUP($E67,TaskValues_ref!$E:$Z,13,FALSE))</f>
        <v/>
      </c>
      <c r="N67" s="89">
        <f>IF(VLOOKUP($E67,TaskValues_ref!$E:$Z,15,FALSE)=0,"",VLOOKUP($E67,TaskValues_ref!$E:$Z,15,FALSE))</f>
        <v>0.98</v>
      </c>
      <c r="O67">
        <f>IF(VLOOKUP($E67,TaskValues_ref!$E:$Z,16,FALSE)=0,"",VLOOKUP($E67,TaskValues_ref!$E:$Z,16,FALSE))</f>
        <v>2</v>
      </c>
      <c r="P67" t="str">
        <f>IF(VLOOKUP($E67,TaskValues_ref!$E:$Z,17,FALSE)=0,"",VLOOKUP($E67,TaskValues_ref!$E:$Z,17,FALSE))</f>
        <v/>
      </c>
      <c r="Q67">
        <f>IF(VLOOKUP($E67,TaskValues_ref!$E:$Z,18,FALSE)=0,"",VLOOKUP($E67,TaskValues_ref!$E:$Z,18,FALSE))</f>
        <v>10</v>
      </c>
      <c r="R67" t="str">
        <f>IF(VLOOKUP($E67,TaskValues_ref!$E:$Z,19,FALSE)=0,"",VLOOKUP($E67,TaskValues_ref!$E:$Z,19,FALSE))</f>
        <v/>
      </c>
      <c r="S67" t="str">
        <f>IF(VLOOKUP($E67,TaskValues_ref!$E:$Z,20,FALSE)=0,"",VLOOKUP($E67,TaskValues_ref!$E:$Z,20,FALSE))</f>
        <v/>
      </c>
    </row>
    <row r="68" spans="1:19" x14ac:dyDescent="0.45">
      <c r="A68" t="s">
        <v>2163</v>
      </c>
      <c r="B68" s="66" t="s">
        <v>70</v>
      </c>
      <c r="E68" s="64" t="s">
        <v>2534</v>
      </c>
      <c r="F68" t="str">
        <f>VLOOKUP(E68,TaskValues_ref!E:F,2,FALSE)</f>
        <v>Anaemia severe children</v>
      </c>
      <c r="G68" t="str">
        <f>VLOOKUP($E68,TaskValues_ref!$E:$Z,3,FALSE)</f>
        <v>Clinical</v>
      </c>
      <c r="H68" t="str">
        <f>VLOOKUP($E68,TaskValues_ref!$E:$Z,4,FALSE)</f>
        <v>Acute</v>
      </c>
      <c r="I68" t="str">
        <f>VLOOKUP($E68,TaskValues_ref!$E:$Z,5,FALSE)</f>
        <v>Nutrition</v>
      </c>
      <c r="J68" s="257" t="str">
        <f>VLOOKUP($E68,TaskValues_ref!$E:$Z,6,FALSE)</f>
        <v>5-18</v>
      </c>
      <c r="K68" t="str">
        <f>VLOOKUP($E68,TaskValues_ref!$E:$Z,10,FALSE)</f>
        <v>Amhara</v>
      </c>
      <c r="L68" s="195">
        <f>IF(VLOOKUP($E68,TaskValues_ref!$E:$Z,11,FALSE)=0,"",VLOOKUP($E68,TaskValues_ref!$E:$Z,11,FALSE))</f>
        <v>9.6451612903225795E-3</v>
      </c>
      <c r="M68" t="str">
        <f>IF(VLOOKUP($E68,TaskValues_ref!$E:$Z,13,FALSE)=0,"",VLOOKUP($E68,TaskValues_ref!$E:$Z,13,FALSE))</f>
        <v/>
      </c>
      <c r="N68" s="89">
        <f>IF(VLOOKUP($E68,TaskValues_ref!$E:$Z,15,FALSE)=0,"",VLOOKUP($E68,TaskValues_ref!$E:$Z,15,FALSE))</f>
        <v>0.98</v>
      </c>
      <c r="O68">
        <f>IF(VLOOKUP($E68,TaskValues_ref!$E:$Z,16,FALSE)=0,"",VLOOKUP($E68,TaskValues_ref!$E:$Z,16,FALSE))</f>
        <v>2</v>
      </c>
      <c r="P68" t="str">
        <f>IF(VLOOKUP($E68,TaskValues_ref!$E:$Z,17,FALSE)=0,"",VLOOKUP($E68,TaskValues_ref!$E:$Z,17,FALSE))</f>
        <v/>
      </c>
      <c r="Q68">
        <f>IF(VLOOKUP($E68,TaskValues_ref!$E:$Z,18,FALSE)=0,"",VLOOKUP($E68,TaskValues_ref!$E:$Z,18,FALSE))</f>
        <v>10</v>
      </c>
      <c r="R68" t="str">
        <f>IF(VLOOKUP($E68,TaskValues_ref!$E:$Z,19,FALSE)=0,"",VLOOKUP($E68,TaskValues_ref!$E:$Z,19,FALSE))</f>
        <v/>
      </c>
      <c r="S68" t="str">
        <f>IF(VLOOKUP($E68,TaskValues_ref!$E:$Z,20,FALSE)=0,"",VLOOKUP($E68,TaskValues_ref!$E:$Z,20,FALSE))</f>
        <v/>
      </c>
    </row>
    <row r="69" spans="1:19" x14ac:dyDescent="0.45">
      <c r="A69" t="s">
        <v>2163</v>
      </c>
      <c r="B69" s="66" t="s">
        <v>70</v>
      </c>
      <c r="E69" s="64" t="s">
        <v>2535</v>
      </c>
      <c r="F69" t="str">
        <f>VLOOKUP(E69,TaskValues_ref!E:F,2,FALSE)</f>
        <v>Anaemia severe adults</v>
      </c>
      <c r="G69" t="str">
        <f>VLOOKUP($E69,TaskValues_ref!$E:$Z,3,FALSE)</f>
        <v>Clinical</v>
      </c>
      <c r="H69" t="str">
        <f>VLOOKUP($E69,TaskValues_ref!$E:$Z,4,FALSE)</f>
        <v>Acute</v>
      </c>
      <c r="I69" t="str">
        <f>VLOOKUP($E69,TaskValues_ref!$E:$Z,5,FALSE)</f>
        <v>Nutrition</v>
      </c>
      <c r="J69" s="257" t="str">
        <f>VLOOKUP($E69,TaskValues_ref!$E:$Z,6,FALSE)</f>
        <v>adults 18+</v>
      </c>
      <c r="K69" t="str">
        <f>VLOOKUP($E69,TaskValues_ref!$E:$Z,10,FALSE)</f>
        <v>Amhara</v>
      </c>
      <c r="L69" s="195">
        <f>IF(VLOOKUP($E69,TaskValues_ref!$E:$Z,11,FALSE)=0,"",VLOOKUP($E69,TaskValues_ref!$E:$Z,11,FALSE))</f>
        <v>5.0000000000000001E-3</v>
      </c>
      <c r="M69" t="str">
        <f>IF(VLOOKUP($E69,TaskValues_ref!$E:$Z,13,FALSE)=0,"",VLOOKUP($E69,TaskValues_ref!$E:$Z,13,FALSE))</f>
        <v/>
      </c>
      <c r="N69" s="89">
        <f>IF(VLOOKUP($E69,TaskValues_ref!$E:$Z,15,FALSE)=0,"",VLOOKUP($E69,TaskValues_ref!$E:$Z,15,FALSE))</f>
        <v>0.98</v>
      </c>
      <c r="O69">
        <f>IF(VLOOKUP($E69,TaskValues_ref!$E:$Z,16,FALSE)=0,"",VLOOKUP($E69,TaskValues_ref!$E:$Z,16,FALSE))</f>
        <v>2</v>
      </c>
      <c r="P69" t="str">
        <f>IF(VLOOKUP($E69,TaskValues_ref!$E:$Z,17,FALSE)=0,"",VLOOKUP($E69,TaskValues_ref!$E:$Z,17,FALSE))</f>
        <v/>
      </c>
      <c r="Q69">
        <f>IF(VLOOKUP($E69,TaskValues_ref!$E:$Z,18,FALSE)=0,"",VLOOKUP($E69,TaskValues_ref!$E:$Z,18,FALSE))</f>
        <v>10</v>
      </c>
      <c r="R69" t="str">
        <f>IF(VLOOKUP($E69,TaskValues_ref!$E:$Z,19,FALSE)=0,"",VLOOKUP($E69,TaskValues_ref!$E:$Z,19,FALSE))</f>
        <v/>
      </c>
      <c r="S69" t="str">
        <f>IF(VLOOKUP($E69,TaskValues_ref!$E:$Z,20,FALSE)=0,"",VLOOKUP($E69,TaskValues_ref!$E:$Z,20,FALSE))</f>
        <v/>
      </c>
    </row>
    <row r="70" spans="1:19" x14ac:dyDescent="0.45">
      <c r="A70" t="s">
        <v>2163</v>
      </c>
      <c r="B70" s="66" t="s">
        <v>70</v>
      </c>
      <c r="D70" s="66">
        <v>70</v>
      </c>
      <c r="E70" s="64" t="str">
        <f t="shared" ref="E70:E86" si="2">_xlfn.CONCAT("FH.Ntr.",D70)</f>
        <v>FH.Ntr.70</v>
      </c>
      <c r="F70" t="str">
        <f>VLOOKUP(E70,TaskValues_ref!E:F,2,FALSE)</f>
        <v>Promote nutrition for MNC</v>
      </c>
      <c r="G70" t="str">
        <f>VLOOKUP($E70,TaskValues_ref!$E:$Z,3,FALSE)</f>
        <v>Non-clinical</v>
      </c>
      <c r="H70" t="str">
        <f>VLOOKUP($E70,TaskValues_ref!$E:$Z,4,FALSE)</f>
        <v>Public Health</v>
      </c>
      <c r="I70" t="str">
        <f>VLOOKUP($E70,TaskValues_ref!$E:$Z,5,FALSE)</f>
        <v>Nutrition</v>
      </c>
      <c r="J70" s="257" t="str">
        <f>VLOOKUP($E70,TaskValues_ref!$E:$Z,6,FALSE)</f>
        <v>-</v>
      </c>
      <c r="K70" t="str">
        <f>VLOOKUP($E70,TaskValues_ref!$E:$Z,10,FALSE)</f>
        <v>Amhara</v>
      </c>
      <c r="L70" s="195" t="str">
        <f>IF(VLOOKUP($E70,TaskValues_ref!$E:$Z,11,FALSE)=0,"",VLOOKUP($E70,TaskValues_ref!$E:$Z,11,FALSE))</f>
        <v/>
      </c>
      <c r="M70" t="str">
        <f>IF(VLOOKUP($E70,TaskValues_ref!$E:$Z,13,FALSE)=0,"",VLOOKUP($E70,TaskValues_ref!$E:$Z,13,FALSE))</f>
        <v/>
      </c>
      <c r="N70" s="89" t="str">
        <f>IF(VLOOKUP($E70,TaskValues_ref!$E:$Z,15,FALSE)=0,"",VLOOKUP($E70,TaskValues_ref!$E:$Z,15,FALSE))</f>
        <v/>
      </c>
      <c r="O70" t="str">
        <f>IF(VLOOKUP($E70,TaskValues_ref!$E:$Z,16,FALSE)=0,"",VLOOKUP($E70,TaskValues_ref!$E:$Z,16,FALSE))</f>
        <v/>
      </c>
      <c r="P70" t="str">
        <f>IF(VLOOKUP($E70,TaskValues_ref!$E:$Z,17,FALSE)=0,"",VLOOKUP($E70,TaskValues_ref!$E:$Z,17,FALSE))</f>
        <v/>
      </c>
      <c r="Q70" t="str">
        <f>IF(VLOOKUP($E70,TaskValues_ref!$E:$Z,18,FALSE)=0,"",VLOOKUP($E70,TaskValues_ref!$E:$Z,18,FALSE))</f>
        <v/>
      </c>
      <c r="R70" t="str">
        <f>IF(VLOOKUP($E70,TaskValues_ref!$E:$Z,19,FALSE)=0,"",VLOOKUP($E70,TaskValues_ref!$E:$Z,19,FALSE))</f>
        <v/>
      </c>
      <c r="S70" t="str">
        <f>IF(VLOOKUP($E70,TaskValues_ref!$E:$Z,20,FALSE)=0,"",VLOOKUP($E70,TaskValues_ref!$E:$Z,20,FALSE))</f>
        <v/>
      </c>
    </row>
    <row r="71" spans="1:19" x14ac:dyDescent="0.45">
      <c r="A71" t="s">
        <v>2163</v>
      </c>
      <c r="B71" s="66" t="s">
        <v>70</v>
      </c>
      <c r="D71" s="66">
        <v>71</v>
      </c>
      <c r="E71" s="64" t="str">
        <f t="shared" si="2"/>
        <v>FH.Ntr.71</v>
      </c>
      <c r="F71" t="str">
        <f>VLOOKUP(E71,TaskValues_ref!E:F,2,FALSE)</f>
        <v>Education re nutrition</v>
      </c>
      <c r="G71" t="str">
        <f>VLOOKUP($E71,TaskValues_ref!$E:$Z,3,FALSE)</f>
        <v>Non-clinical</v>
      </c>
      <c r="H71" t="str">
        <f>VLOOKUP($E71,TaskValues_ref!$E:$Z,4,FALSE)</f>
        <v>Public Health</v>
      </c>
      <c r="I71" t="str">
        <f>VLOOKUP($E71,TaskValues_ref!$E:$Z,5,FALSE)</f>
        <v>Nutrition</v>
      </c>
      <c r="J71" s="257" t="str">
        <f>VLOOKUP($E71,TaskValues_ref!$E:$Z,6,FALSE)</f>
        <v>-</v>
      </c>
      <c r="K71" t="str">
        <f>VLOOKUP($E71,TaskValues_ref!$E:$Z,10,FALSE)</f>
        <v>Amhara</v>
      </c>
      <c r="L71" s="195" t="str">
        <f>IF(VLOOKUP($E71,TaskValues_ref!$E:$Z,11,FALSE)=0,"",VLOOKUP($E71,TaskValues_ref!$E:$Z,11,FALSE))</f>
        <v/>
      </c>
      <c r="M71" t="str">
        <f>IF(VLOOKUP($E71,TaskValues_ref!$E:$Z,13,FALSE)=0,"",VLOOKUP($E71,TaskValues_ref!$E:$Z,13,FALSE))</f>
        <v/>
      </c>
      <c r="N71" s="89" t="str">
        <f>IF(VLOOKUP($E71,TaskValues_ref!$E:$Z,15,FALSE)=0,"",VLOOKUP($E71,TaskValues_ref!$E:$Z,15,FALSE))</f>
        <v/>
      </c>
      <c r="O71" t="str">
        <f>IF(VLOOKUP($E71,TaskValues_ref!$E:$Z,16,FALSE)=0,"",VLOOKUP($E71,TaskValues_ref!$E:$Z,16,FALSE))</f>
        <v/>
      </c>
      <c r="P71" t="str">
        <f>IF(VLOOKUP($E71,TaskValues_ref!$E:$Z,17,FALSE)=0,"",VLOOKUP($E71,TaskValues_ref!$E:$Z,17,FALSE))</f>
        <v/>
      </c>
      <c r="Q71" t="str">
        <f>IF(VLOOKUP($E71,TaskValues_ref!$E:$Z,18,FALSE)=0,"",VLOOKUP($E71,TaskValues_ref!$E:$Z,18,FALSE))</f>
        <v/>
      </c>
      <c r="R71" t="str">
        <f>IF(VLOOKUP($E71,TaskValues_ref!$E:$Z,19,FALSE)=0,"",VLOOKUP($E71,TaskValues_ref!$E:$Z,19,FALSE))</f>
        <v/>
      </c>
      <c r="S71" t="str">
        <f>IF(VLOOKUP($E71,TaskValues_ref!$E:$Z,20,FALSE)=0,"",VLOOKUP($E71,TaskValues_ref!$E:$Z,20,FALSE))</f>
        <v/>
      </c>
    </row>
    <row r="72" spans="1:19" x14ac:dyDescent="0.45">
      <c r="A72" t="s">
        <v>2163</v>
      </c>
      <c r="B72" s="66" t="s">
        <v>70</v>
      </c>
      <c r="D72" s="66">
        <v>72</v>
      </c>
      <c r="E72" s="64" t="str">
        <f t="shared" si="2"/>
        <v>FH.Ntr.72</v>
      </c>
      <c r="F72" t="str">
        <f>VLOOKUP(E72,TaskValues_ref!E:F,2,FALSE)</f>
        <v>Calcium supplementation</v>
      </c>
      <c r="G72" t="str">
        <f>VLOOKUP($E72,TaskValues_ref!$E:$Z,3,FALSE)</f>
        <v>Clinical</v>
      </c>
      <c r="H72" t="str">
        <f>VLOOKUP($E72,TaskValues_ref!$E:$Z,4,FALSE)</f>
        <v>Preventive</v>
      </c>
      <c r="I72" t="str">
        <f>VLOOKUP($E72,TaskValues_ref!$E:$Z,5,FALSE)</f>
        <v>Nutrition</v>
      </c>
      <c r="J72" s="257" t="str">
        <f>VLOOKUP($E72,TaskValues_ref!$E:$Z,6,FALSE)</f>
        <v>births</v>
      </c>
      <c r="K72" t="str">
        <f>VLOOKUP($E72,TaskValues_ref!$E:$Z,10,FALSE)</f>
        <v>Amhara</v>
      </c>
      <c r="L72" s="195" t="str">
        <f>IF(VLOOKUP($E72,TaskValues_ref!$E:$Z,11,FALSE)=0,"",VLOOKUP($E72,TaskValues_ref!$E:$Z,11,FALSE))</f>
        <v/>
      </c>
      <c r="M72" t="str">
        <f>IF(VLOOKUP($E72,TaskValues_ref!$E:$Z,13,FALSE)=0,"",VLOOKUP($E72,TaskValues_ref!$E:$Z,13,FALSE))</f>
        <v/>
      </c>
      <c r="N72" s="89" t="str">
        <f>IF(VLOOKUP($E72,TaskValues_ref!$E:$Z,15,FALSE)=0,"",VLOOKUP($E72,TaskValues_ref!$E:$Z,15,FALSE))</f>
        <v/>
      </c>
      <c r="O72" t="str">
        <f>IF(VLOOKUP($E72,TaskValues_ref!$E:$Z,16,FALSE)=0,"",VLOOKUP($E72,TaskValues_ref!$E:$Z,16,FALSE))</f>
        <v/>
      </c>
      <c r="P72" t="str">
        <f>IF(VLOOKUP($E72,TaskValues_ref!$E:$Z,17,FALSE)=0,"",VLOOKUP($E72,TaskValues_ref!$E:$Z,17,FALSE))</f>
        <v/>
      </c>
      <c r="Q72" t="str">
        <f>IF(VLOOKUP($E72,TaskValues_ref!$E:$Z,18,FALSE)=0,"",VLOOKUP($E72,TaskValues_ref!$E:$Z,18,FALSE))</f>
        <v/>
      </c>
      <c r="R72" t="str">
        <f>IF(VLOOKUP($E72,TaskValues_ref!$E:$Z,19,FALSE)=0,"",VLOOKUP($E72,TaskValues_ref!$E:$Z,19,FALSE))</f>
        <v/>
      </c>
      <c r="S72" t="str">
        <f>IF(VLOOKUP($E72,TaskValues_ref!$E:$Z,20,FALSE)=0,"",VLOOKUP($E72,TaskValues_ref!$E:$Z,20,FALSE))</f>
        <v/>
      </c>
    </row>
    <row r="73" spans="1:19" x14ac:dyDescent="0.45">
      <c r="A73" t="s">
        <v>2163</v>
      </c>
      <c r="B73" s="66" t="s">
        <v>70</v>
      </c>
      <c r="D73" s="66">
        <v>73</v>
      </c>
      <c r="E73" s="64" t="str">
        <f t="shared" si="2"/>
        <v>FH.Ntr.73</v>
      </c>
      <c r="F73" t="str">
        <f>VLOOKUP(E73,TaskValues_ref!E:F,2,FALSE)</f>
        <v>Nutrition for HIV+ women</v>
      </c>
      <c r="G73" t="str">
        <f>VLOOKUP($E73,TaskValues_ref!$E:$Z,3,FALSE)</f>
        <v>Clinical</v>
      </c>
      <c r="H73" t="str">
        <f>VLOOKUP($E73,TaskValues_ref!$E:$Z,4,FALSE)</f>
        <v>Preventive</v>
      </c>
      <c r="I73" t="str">
        <f>VLOOKUP($E73,TaskValues_ref!$E:$Z,5,FALSE)</f>
        <v>Nutrition</v>
      </c>
      <c r="J73" s="257" t="str">
        <f>VLOOKUP($E73,TaskValues_ref!$E:$Z,6,FALSE)</f>
        <v>adults 18+</v>
      </c>
      <c r="K73" t="str">
        <f>VLOOKUP($E73,TaskValues_ref!$E:$Z,10,FALSE)</f>
        <v>Amhara</v>
      </c>
      <c r="L73" s="195" t="str">
        <f>IF(VLOOKUP($E73,TaskValues_ref!$E:$Z,11,FALSE)=0,"",VLOOKUP($E73,TaskValues_ref!$E:$Z,11,FALSE))</f>
        <v/>
      </c>
      <c r="M73" t="str">
        <f>IF(VLOOKUP($E73,TaskValues_ref!$E:$Z,13,FALSE)=0,"",VLOOKUP($E73,TaskValues_ref!$E:$Z,13,FALSE))</f>
        <v/>
      </c>
      <c r="N73" s="89" t="str">
        <f>IF(VLOOKUP($E73,TaskValues_ref!$E:$Z,15,FALSE)=0,"",VLOOKUP($E73,TaskValues_ref!$E:$Z,15,FALSE))</f>
        <v/>
      </c>
      <c r="O73" t="str">
        <f>IF(VLOOKUP($E73,TaskValues_ref!$E:$Z,16,FALSE)=0,"",VLOOKUP($E73,TaskValues_ref!$E:$Z,16,FALSE))</f>
        <v/>
      </c>
      <c r="P73" t="str">
        <f>IF(VLOOKUP($E73,TaskValues_ref!$E:$Z,17,FALSE)=0,"",VLOOKUP($E73,TaskValues_ref!$E:$Z,17,FALSE))</f>
        <v/>
      </c>
      <c r="Q73" t="str">
        <f>IF(VLOOKUP($E73,TaskValues_ref!$E:$Z,18,FALSE)=0,"",VLOOKUP($E73,TaskValues_ref!$E:$Z,18,FALSE))</f>
        <v/>
      </c>
      <c r="R73" t="str">
        <f>IF(VLOOKUP($E73,TaskValues_ref!$E:$Z,19,FALSE)=0,"",VLOOKUP($E73,TaskValues_ref!$E:$Z,19,FALSE))</f>
        <v/>
      </c>
      <c r="S73" t="str">
        <f>IF(VLOOKUP($E73,TaskValues_ref!$E:$Z,20,FALSE)=0,"",VLOOKUP($E73,TaskValues_ref!$E:$Z,20,FALSE))</f>
        <v/>
      </c>
    </row>
    <row r="74" spans="1:19" x14ac:dyDescent="0.45">
      <c r="A74" t="s">
        <v>2163</v>
      </c>
      <c r="B74" s="66" t="s">
        <v>70</v>
      </c>
      <c r="D74" s="66">
        <v>74</v>
      </c>
      <c r="E74" s="64" t="str">
        <f t="shared" si="2"/>
        <v>FH.Ntr.74</v>
      </c>
      <c r="F74" t="str">
        <f>VLOOKUP(E74,TaskValues_ref!E:F,2,FALSE)</f>
        <v>Promote iodized salt &amp; fortified food</v>
      </c>
      <c r="G74" t="str">
        <f>VLOOKUP($E74,TaskValues_ref!$E:$Z,3,FALSE)</f>
        <v>Non-clinical</v>
      </c>
      <c r="H74" t="str">
        <f>VLOOKUP($E74,TaskValues_ref!$E:$Z,4,FALSE)</f>
        <v>Public Health</v>
      </c>
      <c r="I74" t="str">
        <f>VLOOKUP($E74,TaskValues_ref!$E:$Z,5,FALSE)</f>
        <v>Nutrition</v>
      </c>
      <c r="J74" s="257" t="str">
        <f>VLOOKUP($E74,TaskValues_ref!$E:$Z,6,FALSE)</f>
        <v>-</v>
      </c>
      <c r="K74" t="str">
        <f>VLOOKUP($E74,TaskValues_ref!$E:$Z,10,FALSE)</f>
        <v>Amhara</v>
      </c>
      <c r="L74" s="195" t="str">
        <f>IF(VLOOKUP($E74,TaskValues_ref!$E:$Z,11,FALSE)=0,"",VLOOKUP($E74,TaskValues_ref!$E:$Z,11,FALSE))</f>
        <v/>
      </c>
      <c r="M74" t="str">
        <f>IF(VLOOKUP($E74,TaskValues_ref!$E:$Z,13,FALSE)=0,"",VLOOKUP($E74,TaskValues_ref!$E:$Z,13,FALSE))</f>
        <v/>
      </c>
      <c r="N74" s="89" t="str">
        <f>IF(VLOOKUP($E74,TaskValues_ref!$E:$Z,15,FALSE)=0,"",VLOOKUP($E74,TaskValues_ref!$E:$Z,15,FALSE))</f>
        <v/>
      </c>
      <c r="O74" t="str">
        <f>IF(VLOOKUP($E74,TaskValues_ref!$E:$Z,16,FALSE)=0,"",VLOOKUP($E74,TaskValues_ref!$E:$Z,16,FALSE))</f>
        <v/>
      </c>
      <c r="P74" t="str">
        <f>IF(VLOOKUP($E74,TaskValues_ref!$E:$Z,17,FALSE)=0,"",VLOOKUP($E74,TaskValues_ref!$E:$Z,17,FALSE))</f>
        <v/>
      </c>
      <c r="Q74" t="str">
        <f>IF(VLOOKUP($E74,TaskValues_ref!$E:$Z,18,FALSE)=0,"",VLOOKUP($E74,TaskValues_ref!$E:$Z,18,FALSE))</f>
        <v/>
      </c>
      <c r="R74" t="str">
        <f>IF(VLOOKUP($E74,TaskValues_ref!$E:$Z,19,FALSE)=0,"",VLOOKUP($E74,TaskValues_ref!$E:$Z,19,FALSE))</f>
        <v/>
      </c>
      <c r="S74" t="str">
        <f>IF(VLOOKUP($E74,TaskValues_ref!$E:$Z,20,FALSE)=0,"",VLOOKUP($E74,TaskValues_ref!$E:$Z,20,FALSE))</f>
        <v/>
      </c>
    </row>
    <row r="75" spans="1:19" x14ac:dyDescent="0.45">
      <c r="A75" t="s">
        <v>2163</v>
      </c>
      <c r="B75" s="66" t="s">
        <v>70</v>
      </c>
      <c r="D75" s="66">
        <v>75</v>
      </c>
      <c r="E75" s="64" t="str">
        <f t="shared" si="2"/>
        <v>FH.Ntr.75</v>
      </c>
      <c r="F75" t="str">
        <f>VLOOKUP(E75,TaskValues_ref!E:F,2,FALSE)</f>
        <v>Nutrition outreach</v>
      </c>
      <c r="G75" t="str">
        <f>VLOOKUP($E75,TaskValues_ref!$E:$Z,3,FALSE)</f>
        <v>Non-clinical</v>
      </c>
      <c r="H75" t="str">
        <f>VLOOKUP($E75,TaskValues_ref!$E:$Z,4,FALSE)</f>
        <v>Public Health</v>
      </c>
      <c r="I75" t="str">
        <f>VLOOKUP($E75,TaskValues_ref!$E:$Z,5,FALSE)</f>
        <v>Nutrition</v>
      </c>
      <c r="J75" s="257" t="str">
        <f>VLOOKUP($E75,TaskValues_ref!$E:$Z,6,FALSE)</f>
        <v>-</v>
      </c>
      <c r="K75" t="str">
        <f>VLOOKUP($E75,TaskValues_ref!$E:$Z,10,FALSE)</f>
        <v>Amhara</v>
      </c>
      <c r="L75" s="195" t="str">
        <f>IF(VLOOKUP($E75,TaskValues_ref!$E:$Z,11,FALSE)=0,"",VLOOKUP($E75,TaskValues_ref!$E:$Z,11,FALSE))</f>
        <v/>
      </c>
      <c r="M75" t="str">
        <f>IF(VLOOKUP($E75,TaskValues_ref!$E:$Z,13,FALSE)=0,"",VLOOKUP($E75,TaskValues_ref!$E:$Z,13,FALSE))</f>
        <v/>
      </c>
      <c r="N75" s="89" t="str">
        <f>IF(VLOOKUP($E75,TaskValues_ref!$E:$Z,15,FALSE)=0,"",VLOOKUP($E75,TaskValues_ref!$E:$Z,15,FALSE))</f>
        <v/>
      </c>
      <c r="O75" t="str">
        <f>IF(VLOOKUP($E75,TaskValues_ref!$E:$Z,16,FALSE)=0,"",VLOOKUP($E75,TaskValues_ref!$E:$Z,16,FALSE))</f>
        <v/>
      </c>
      <c r="P75" t="str">
        <f>IF(VLOOKUP($E75,TaskValues_ref!$E:$Z,17,FALSE)=0,"",VLOOKUP($E75,TaskValues_ref!$E:$Z,17,FALSE))</f>
        <v/>
      </c>
      <c r="Q75" t="str">
        <f>IF(VLOOKUP($E75,TaskValues_ref!$E:$Z,18,FALSE)=0,"",VLOOKUP($E75,TaskValues_ref!$E:$Z,18,FALSE))</f>
        <v/>
      </c>
      <c r="R75" t="str">
        <f>IF(VLOOKUP($E75,TaskValues_ref!$E:$Z,19,FALSE)=0,"",VLOOKUP($E75,TaskValues_ref!$E:$Z,19,FALSE))</f>
        <v/>
      </c>
      <c r="S75" t="str">
        <f>IF(VLOOKUP($E75,TaskValues_ref!$E:$Z,20,FALSE)=0,"",VLOOKUP($E75,TaskValues_ref!$E:$Z,20,FALSE))</f>
        <v/>
      </c>
    </row>
    <row r="76" spans="1:19" x14ac:dyDescent="0.45">
      <c r="A76" t="s">
        <v>2163</v>
      </c>
      <c r="B76" s="66" t="s">
        <v>70</v>
      </c>
      <c r="D76" s="66">
        <v>76</v>
      </c>
      <c r="E76" s="64" t="str">
        <f t="shared" si="2"/>
        <v>FH.Ntr.76</v>
      </c>
      <c r="F76" t="str">
        <f>VLOOKUP(E76,TaskValues_ref!E:F,2,FALSE)</f>
        <v>Promote gender equity &amp; empowerment</v>
      </c>
      <c r="G76" t="str">
        <f>VLOOKUP($E76,TaskValues_ref!$E:$Z,3,FALSE)</f>
        <v>Non-clinical</v>
      </c>
      <c r="H76" t="str">
        <f>VLOOKUP($E76,TaskValues_ref!$E:$Z,4,FALSE)</f>
        <v>Public Health</v>
      </c>
      <c r="I76" t="str">
        <f>VLOOKUP($E76,TaskValues_ref!$E:$Z,5,FALSE)</f>
        <v>Nutrition</v>
      </c>
      <c r="J76" s="257" t="str">
        <f>VLOOKUP($E76,TaskValues_ref!$E:$Z,6,FALSE)</f>
        <v>-</v>
      </c>
      <c r="K76" t="str">
        <f>VLOOKUP($E76,TaskValues_ref!$E:$Z,10,FALSE)</f>
        <v>Amhara</v>
      </c>
      <c r="L76" s="195" t="str">
        <f>IF(VLOOKUP($E76,TaskValues_ref!$E:$Z,11,FALSE)=0,"",VLOOKUP($E76,TaskValues_ref!$E:$Z,11,FALSE))</f>
        <v/>
      </c>
      <c r="M76" t="str">
        <f>IF(VLOOKUP($E76,TaskValues_ref!$E:$Z,13,FALSE)=0,"",VLOOKUP($E76,TaskValues_ref!$E:$Z,13,FALSE))</f>
        <v/>
      </c>
      <c r="N76" s="89" t="str">
        <f>IF(VLOOKUP($E76,TaskValues_ref!$E:$Z,15,FALSE)=0,"",VLOOKUP($E76,TaskValues_ref!$E:$Z,15,FALSE))</f>
        <v/>
      </c>
      <c r="O76" t="str">
        <f>IF(VLOOKUP($E76,TaskValues_ref!$E:$Z,16,FALSE)=0,"",VLOOKUP($E76,TaskValues_ref!$E:$Z,16,FALSE))</f>
        <v/>
      </c>
      <c r="P76" t="str">
        <f>IF(VLOOKUP($E76,TaskValues_ref!$E:$Z,17,FALSE)=0,"",VLOOKUP($E76,TaskValues_ref!$E:$Z,17,FALSE))</f>
        <v/>
      </c>
      <c r="Q76" t="str">
        <f>IF(VLOOKUP($E76,TaskValues_ref!$E:$Z,18,FALSE)=0,"",VLOOKUP($E76,TaskValues_ref!$E:$Z,18,FALSE))</f>
        <v/>
      </c>
      <c r="R76" t="str">
        <f>IF(VLOOKUP($E76,TaskValues_ref!$E:$Z,19,FALSE)=0,"",VLOOKUP($E76,TaskValues_ref!$E:$Z,19,FALSE))</f>
        <v/>
      </c>
      <c r="S76" t="str">
        <f>IF(VLOOKUP($E76,TaskValues_ref!$E:$Z,20,FALSE)=0,"",VLOOKUP($E76,TaskValues_ref!$E:$Z,20,FALSE))</f>
        <v/>
      </c>
    </row>
    <row r="77" spans="1:19" x14ac:dyDescent="0.45">
      <c r="A77" t="s">
        <v>2163</v>
      </c>
      <c r="B77" s="66" t="s">
        <v>70</v>
      </c>
      <c r="D77" s="66">
        <v>77</v>
      </c>
      <c r="E77" s="64" t="str">
        <f t="shared" si="2"/>
        <v>FH.Ntr.77</v>
      </c>
      <c r="F77" t="str">
        <f>VLOOKUP(E77,TaskValues_ref!E:F,2,FALSE)</f>
        <v>Nutritional disaster response</v>
      </c>
      <c r="G77" t="str">
        <f>VLOOKUP($E77,TaskValues_ref!$E:$Z,3,FALSE)</f>
        <v>Clinical</v>
      </c>
      <c r="H77" t="str">
        <f>VLOOKUP($E77,TaskValues_ref!$E:$Z,4,FALSE)</f>
        <v>Public Health</v>
      </c>
      <c r="I77" t="str">
        <f>VLOOKUP($E77,TaskValues_ref!$E:$Z,5,FALSE)</f>
        <v>Nutrition</v>
      </c>
      <c r="J77" s="257" t="str">
        <f>VLOOKUP($E77,TaskValues_ref!$E:$Z,6,FALSE)</f>
        <v>-</v>
      </c>
      <c r="K77" t="str">
        <f>VLOOKUP($E77,TaskValues_ref!$E:$Z,10,FALSE)</f>
        <v>Amhara</v>
      </c>
      <c r="L77" s="195" t="str">
        <f>IF(VLOOKUP($E77,TaskValues_ref!$E:$Z,11,FALSE)=0,"",VLOOKUP($E77,TaskValues_ref!$E:$Z,11,FALSE))</f>
        <v/>
      </c>
      <c r="M77" t="str">
        <f>IF(VLOOKUP($E77,TaskValues_ref!$E:$Z,13,FALSE)=0,"",VLOOKUP($E77,TaskValues_ref!$E:$Z,13,FALSE))</f>
        <v/>
      </c>
      <c r="N77" s="89" t="str">
        <f>IF(VLOOKUP($E77,TaskValues_ref!$E:$Z,15,FALSE)=0,"",VLOOKUP($E77,TaskValues_ref!$E:$Z,15,FALSE))</f>
        <v/>
      </c>
      <c r="O77" t="str">
        <f>IF(VLOOKUP($E77,TaskValues_ref!$E:$Z,16,FALSE)=0,"",VLOOKUP($E77,TaskValues_ref!$E:$Z,16,FALSE))</f>
        <v/>
      </c>
      <c r="P77" t="str">
        <f>IF(VLOOKUP($E77,TaskValues_ref!$E:$Z,17,FALSE)=0,"",VLOOKUP($E77,TaskValues_ref!$E:$Z,17,FALSE))</f>
        <v/>
      </c>
      <c r="Q77" t="str">
        <f>IF(VLOOKUP($E77,TaskValues_ref!$E:$Z,18,FALSE)=0,"",VLOOKUP($E77,TaskValues_ref!$E:$Z,18,FALSE))</f>
        <v/>
      </c>
      <c r="R77" t="str">
        <f>IF(VLOOKUP($E77,TaskValues_ref!$E:$Z,19,FALSE)=0,"",VLOOKUP($E77,TaskValues_ref!$E:$Z,19,FALSE))</f>
        <v/>
      </c>
      <c r="S77" t="str">
        <f>IF(VLOOKUP($E77,TaskValues_ref!$E:$Z,20,FALSE)=0,"",VLOOKUP($E77,TaskValues_ref!$E:$Z,20,FALSE))</f>
        <v/>
      </c>
    </row>
    <row r="78" spans="1:19" x14ac:dyDescent="0.45">
      <c r="A78" t="s">
        <v>2163</v>
      </c>
      <c r="B78" s="66" t="s">
        <v>70</v>
      </c>
      <c r="D78" s="66">
        <v>78</v>
      </c>
      <c r="E78" s="64" t="str">
        <f t="shared" si="2"/>
        <v>FH.Ntr.78</v>
      </c>
      <c r="F78" t="str">
        <f>VLOOKUP(E78,TaskValues_ref!E:F,2,FALSE)</f>
        <v>Multisectoral nutrition intervention</v>
      </c>
      <c r="G78" t="str">
        <f>VLOOKUP($E78,TaskValues_ref!$E:$Z,3,FALSE)</f>
        <v>Non-clinical</v>
      </c>
      <c r="H78" t="str">
        <f>VLOOKUP($E78,TaskValues_ref!$E:$Z,4,FALSE)</f>
        <v>Public Health</v>
      </c>
      <c r="I78" t="str">
        <f>VLOOKUP($E78,TaskValues_ref!$E:$Z,5,FALSE)</f>
        <v>Nutrition</v>
      </c>
      <c r="J78" s="257" t="str">
        <f>VLOOKUP($E78,TaskValues_ref!$E:$Z,6,FALSE)</f>
        <v>-</v>
      </c>
      <c r="K78" t="str">
        <f>VLOOKUP($E78,TaskValues_ref!$E:$Z,10,FALSE)</f>
        <v>Amhara</v>
      </c>
      <c r="L78" s="195" t="str">
        <f>IF(VLOOKUP($E78,TaskValues_ref!$E:$Z,11,FALSE)=0,"",VLOOKUP($E78,TaskValues_ref!$E:$Z,11,FALSE))</f>
        <v/>
      </c>
      <c r="M78" t="str">
        <f>IF(VLOOKUP($E78,TaskValues_ref!$E:$Z,13,FALSE)=0,"",VLOOKUP($E78,TaskValues_ref!$E:$Z,13,FALSE))</f>
        <v/>
      </c>
      <c r="N78" s="89" t="str">
        <f>IF(VLOOKUP($E78,TaskValues_ref!$E:$Z,15,FALSE)=0,"",VLOOKUP($E78,TaskValues_ref!$E:$Z,15,FALSE))</f>
        <v/>
      </c>
      <c r="O78" t="str">
        <f>IF(VLOOKUP($E78,TaskValues_ref!$E:$Z,16,FALSE)=0,"",VLOOKUP($E78,TaskValues_ref!$E:$Z,16,FALSE))</f>
        <v/>
      </c>
      <c r="P78" t="str">
        <f>IF(VLOOKUP($E78,TaskValues_ref!$E:$Z,17,FALSE)=0,"",VLOOKUP($E78,TaskValues_ref!$E:$Z,17,FALSE))</f>
        <v/>
      </c>
      <c r="Q78" t="str">
        <f>IF(VLOOKUP($E78,TaskValues_ref!$E:$Z,18,FALSE)=0,"",VLOOKUP($E78,TaskValues_ref!$E:$Z,18,FALSE))</f>
        <v/>
      </c>
      <c r="R78" t="str">
        <f>IF(VLOOKUP($E78,TaskValues_ref!$E:$Z,19,FALSE)=0,"",VLOOKUP($E78,TaskValues_ref!$E:$Z,19,FALSE))</f>
        <v/>
      </c>
      <c r="S78" t="str">
        <f>IF(VLOOKUP($E78,TaskValues_ref!$E:$Z,20,FALSE)=0,"",VLOOKUP($E78,TaskValues_ref!$E:$Z,20,FALSE))</f>
        <v/>
      </c>
    </row>
    <row r="79" spans="1:19" x14ac:dyDescent="0.45">
      <c r="A79" t="s">
        <v>2163</v>
      </c>
      <c r="B79" s="66" t="s">
        <v>70</v>
      </c>
      <c r="D79" s="66">
        <v>79</v>
      </c>
      <c r="E79" s="64" t="str">
        <f t="shared" si="2"/>
        <v>FH.Ntr.79</v>
      </c>
      <c r="F79" t="str">
        <f>VLOOKUP(E79,TaskValues_ref!E:F,2,FALSE)</f>
        <v>Breast feeding technique</v>
      </c>
      <c r="G79" t="str">
        <f>VLOOKUP($E79,TaskValues_ref!$E:$Z,3,FALSE)</f>
        <v>Clinical</v>
      </c>
      <c r="H79" t="str">
        <f>VLOOKUP($E79,TaskValues_ref!$E:$Z,4,FALSE)</f>
        <v>Preventive</v>
      </c>
      <c r="I79" t="str">
        <f>VLOOKUP($E79,TaskValues_ref!$E:$Z,5,FALSE)</f>
        <v>Nutrition</v>
      </c>
      <c r="J79" s="257" t="str">
        <f>VLOOKUP($E79,TaskValues_ref!$E:$Z,6,FALSE)</f>
        <v>births</v>
      </c>
      <c r="K79" t="str">
        <f>VLOOKUP($E79,TaskValues_ref!$E:$Z,10,FALSE)</f>
        <v>Amhara</v>
      </c>
      <c r="L79" s="195" t="str">
        <f>IF(VLOOKUP($E79,TaskValues_ref!$E:$Z,11,FALSE)=0,"",VLOOKUP($E79,TaskValues_ref!$E:$Z,11,FALSE))</f>
        <v/>
      </c>
      <c r="M79" t="str">
        <f>IF(VLOOKUP($E79,TaskValues_ref!$E:$Z,13,FALSE)=0,"",VLOOKUP($E79,TaskValues_ref!$E:$Z,13,FALSE))</f>
        <v/>
      </c>
      <c r="N79" s="89" t="str">
        <f>IF(VLOOKUP($E79,TaskValues_ref!$E:$Z,15,FALSE)=0,"",VLOOKUP($E79,TaskValues_ref!$E:$Z,15,FALSE))</f>
        <v/>
      </c>
      <c r="O79" t="str">
        <f>IF(VLOOKUP($E79,TaskValues_ref!$E:$Z,16,FALSE)=0,"",VLOOKUP($E79,TaskValues_ref!$E:$Z,16,FALSE))</f>
        <v/>
      </c>
      <c r="P79" t="str">
        <f>IF(VLOOKUP($E79,TaskValues_ref!$E:$Z,17,FALSE)=0,"",VLOOKUP($E79,TaskValues_ref!$E:$Z,17,FALSE))</f>
        <v/>
      </c>
      <c r="Q79" t="str">
        <f>IF(VLOOKUP($E79,TaskValues_ref!$E:$Z,18,FALSE)=0,"",VLOOKUP($E79,TaskValues_ref!$E:$Z,18,FALSE))</f>
        <v/>
      </c>
      <c r="R79" t="str">
        <f>IF(VLOOKUP($E79,TaskValues_ref!$E:$Z,19,FALSE)=0,"",VLOOKUP($E79,TaskValues_ref!$E:$Z,19,FALSE))</f>
        <v/>
      </c>
      <c r="S79" t="str">
        <f>IF(VLOOKUP($E79,TaskValues_ref!$E:$Z,20,FALSE)=0,"",VLOOKUP($E79,TaskValues_ref!$E:$Z,20,FALSE))</f>
        <v/>
      </c>
    </row>
    <row r="80" spans="1:19" x14ac:dyDescent="0.45">
      <c r="A80" t="s">
        <v>2163</v>
      </c>
      <c r="B80" s="66" t="s">
        <v>70</v>
      </c>
      <c r="D80" s="66">
        <v>80</v>
      </c>
      <c r="E80" s="64" t="str">
        <f t="shared" si="2"/>
        <v>FH.Ntr.80</v>
      </c>
      <c r="F80" t="str">
        <f>VLOOKUP(E80,TaskValues_ref!E:F,2,FALSE)</f>
        <v>Acute malnutrition</v>
      </c>
      <c r="G80" t="str">
        <f>VLOOKUP($E80,TaskValues_ref!$E:$Z,3,FALSE)</f>
        <v>Clinical</v>
      </c>
      <c r="H80" t="str">
        <f>VLOOKUP($E80,TaskValues_ref!$E:$Z,4,FALSE)</f>
        <v>Acute</v>
      </c>
      <c r="I80" t="str">
        <f>VLOOKUP($E80,TaskValues_ref!$E:$Z,5,FALSE)</f>
        <v>Nutrition</v>
      </c>
      <c r="J80" s="257" t="str">
        <f>VLOOKUP($E80,TaskValues_ref!$E:$Z,6,FALSE)</f>
        <v>1-4</v>
      </c>
      <c r="K80" t="str">
        <f>VLOOKUP($E80,TaskValues_ref!$E:$Z,10,FALSE)</f>
        <v>Amhara</v>
      </c>
      <c r="L80" s="195" t="str">
        <f>IF(VLOOKUP($E80,TaskValues_ref!$E:$Z,11,FALSE)=0,"",VLOOKUP($E80,TaskValues_ref!$E:$Z,11,FALSE))</f>
        <v/>
      </c>
      <c r="M80" t="str">
        <f>IF(VLOOKUP($E80,TaskValues_ref!$E:$Z,13,FALSE)=0,"",VLOOKUP($E80,TaskValues_ref!$E:$Z,13,FALSE))</f>
        <v/>
      </c>
      <c r="N80" s="89" t="str">
        <f>IF(VLOOKUP($E80,TaskValues_ref!$E:$Z,15,FALSE)=0,"",VLOOKUP($E80,TaskValues_ref!$E:$Z,15,FALSE))</f>
        <v/>
      </c>
      <c r="O80" t="str">
        <f>IF(VLOOKUP($E80,TaskValues_ref!$E:$Z,16,FALSE)=0,"",VLOOKUP($E80,TaskValues_ref!$E:$Z,16,FALSE))</f>
        <v/>
      </c>
      <c r="P80" t="str">
        <f>IF(VLOOKUP($E80,TaskValues_ref!$E:$Z,17,FALSE)=0,"",VLOOKUP($E80,TaskValues_ref!$E:$Z,17,FALSE))</f>
        <v/>
      </c>
      <c r="Q80" t="str">
        <f>IF(VLOOKUP($E80,TaskValues_ref!$E:$Z,18,FALSE)=0,"",VLOOKUP($E80,TaskValues_ref!$E:$Z,18,FALSE))</f>
        <v/>
      </c>
      <c r="R80" t="str">
        <f>IF(VLOOKUP($E80,TaskValues_ref!$E:$Z,19,FALSE)=0,"",VLOOKUP($E80,TaskValues_ref!$E:$Z,19,FALSE))</f>
        <v/>
      </c>
      <c r="S80" t="str">
        <f>IF(VLOOKUP($E80,TaskValues_ref!$E:$Z,20,FALSE)=0,"",VLOOKUP($E80,TaskValues_ref!$E:$Z,20,FALSE))</f>
        <v/>
      </c>
    </row>
    <row r="81" spans="1:19" x14ac:dyDescent="0.45">
      <c r="A81" t="s">
        <v>2163</v>
      </c>
      <c r="B81" s="66" t="s">
        <v>70</v>
      </c>
      <c r="D81" s="66">
        <v>81</v>
      </c>
      <c r="E81" s="64" t="str">
        <f t="shared" si="2"/>
        <v>FH.Ntr.81</v>
      </c>
      <c r="F81" t="str">
        <f>VLOOKUP(E81,TaskValues_ref!E:F,2,FALSE)</f>
        <v>Counsel complementary feeding</v>
      </c>
      <c r="G81" t="str">
        <f>VLOOKUP($E81,TaskValues_ref!$E:$Z,3,FALSE)</f>
        <v>Clinical</v>
      </c>
      <c r="H81" t="str">
        <f>VLOOKUP($E81,TaskValues_ref!$E:$Z,4,FALSE)</f>
        <v>Public Health</v>
      </c>
      <c r="I81" t="str">
        <f>VLOOKUP($E81,TaskValues_ref!$E:$Z,5,FALSE)</f>
        <v>Nutrition</v>
      </c>
      <c r="J81" s="257" t="str">
        <f>VLOOKUP($E81,TaskValues_ref!$E:$Z,6,FALSE)</f>
        <v>births</v>
      </c>
      <c r="K81" t="str">
        <f>VLOOKUP($E81,TaskValues_ref!$E:$Z,10,FALSE)</f>
        <v>Amhara</v>
      </c>
      <c r="L81" s="195" t="str">
        <f>IF(VLOOKUP($E81,TaskValues_ref!$E:$Z,11,FALSE)=0,"",VLOOKUP($E81,TaskValues_ref!$E:$Z,11,FALSE))</f>
        <v/>
      </c>
      <c r="M81" t="str">
        <f>IF(VLOOKUP($E81,TaskValues_ref!$E:$Z,13,FALSE)=0,"",VLOOKUP($E81,TaskValues_ref!$E:$Z,13,FALSE))</f>
        <v/>
      </c>
      <c r="N81" s="89" t="str">
        <f>IF(VLOOKUP($E81,TaskValues_ref!$E:$Z,15,FALSE)=0,"",VLOOKUP($E81,TaskValues_ref!$E:$Z,15,FALSE))</f>
        <v/>
      </c>
      <c r="O81" t="str">
        <f>IF(VLOOKUP($E81,TaskValues_ref!$E:$Z,16,FALSE)=0,"",VLOOKUP($E81,TaskValues_ref!$E:$Z,16,FALSE))</f>
        <v/>
      </c>
      <c r="P81" t="str">
        <f>IF(VLOOKUP($E81,TaskValues_ref!$E:$Z,17,FALSE)=0,"",VLOOKUP($E81,TaskValues_ref!$E:$Z,17,FALSE))</f>
        <v/>
      </c>
      <c r="Q81" t="str">
        <f>IF(VLOOKUP($E81,TaskValues_ref!$E:$Z,18,FALSE)=0,"",VLOOKUP($E81,TaskValues_ref!$E:$Z,18,FALSE))</f>
        <v/>
      </c>
      <c r="R81" t="str">
        <f>IF(VLOOKUP($E81,TaskValues_ref!$E:$Z,19,FALSE)=0,"",VLOOKUP($E81,TaskValues_ref!$E:$Z,19,FALSE))</f>
        <v/>
      </c>
      <c r="S81" t="str">
        <f>IF(VLOOKUP($E81,TaskValues_ref!$E:$Z,20,FALSE)=0,"",VLOOKUP($E81,TaskValues_ref!$E:$Z,20,FALSE))</f>
        <v/>
      </c>
    </row>
    <row r="82" spans="1:19" x14ac:dyDescent="0.45">
      <c r="A82" t="s">
        <v>2163</v>
      </c>
      <c r="B82" s="66" t="s">
        <v>70</v>
      </c>
      <c r="D82" s="66">
        <v>82</v>
      </c>
      <c r="E82" s="64" t="str">
        <f t="shared" si="2"/>
        <v>FH.Ntr.82</v>
      </c>
      <c r="F82" t="str">
        <f>VLOOKUP(E82,TaskValues_ref!E:F,2,FALSE)</f>
        <v>Timely complementary feeding</v>
      </c>
      <c r="G82" t="str">
        <f>VLOOKUP($E82,TaskValues_ref!$E:$Z,3,FALSE)</f>
        <v>Clinical</v>
      </c>
      <c r="H82" t="str">
        <f>VLOOKUP($E82,TaskValues_ref!$E:$Z,4,FALSE)</f>
        <v>Public Health</v>
      </c>
      <c r="I82" t="str">
        <f>VLOOKUP($E82,TaskValues_ref!$E:$Z,5,FALSE)</f>
        <v>Nutrition</v>
      </c>
      <c r="J82" s="257" t="str">
        <f>VLOOKUP($E82,TaskValues_ref!$E:$Z,6,FALSE)</f>
        <v>births</v>
      </c>
      <c r="K82" t="str">
        <f>VLOOKUP($E82,TaskValues_ref!$E:$Z,10,FALSE)</f>
        <v>Amhara</v>
      </c>
      <c r="L82" s="195" t="str">
        <f>IF(VLOOKUP($E82,TaskValues_ref!$E:$Z,11,FALSE)=0,"",VLOOKUP($E82,TaskValues_ref!$E:$Z,11,FALSE))</f>
        <v/>
      </c>
      <c r="M82" t="str">
        <f>IF(VLOOKUP($E82,TaskValues_ref!$E:$Z,13,FALSE)=0,"",VLOOKUP($E82,TaskValues_ref!$E:$Z,13,FALSE))</f>
        <v/>
      </c>
      <c r="N82" s="89" t="str">
        <f>IF(VLOOKUP($E82,TaskValues_ref!$E:$Z,15,FALSE)=0,"",VLOOKUP($E82,TaskValues_ref!$E:$Z,15,FALSE))</f>
        <v/>
      </c>
      <c r="O82" t="str">
        <f>IF(VLOOKUP($E82,TaskValues_ref!$E:$Z,16,FALSE)=0,"",VLOOKUP($E82,TaskValues_ref!$E:$Z,16,FALSE))</f>
        <v/>
      </c>
      <c r="P82" t="str">
        <f>IF(VLOOKUP($E82,TaskValues_ref!$E:$Z,17,FALSE)=0,"",VLOOKUP($E82,TaskValues_ref!$E:$Z,17,FALSE))</f>
        <v/>
      </c>
      <c r="Q82" t="str">
        <f>IF(VLOOKUP($E82,TaskValues_ref!$E:$Z,18,FALSE)=0,"",VLOOKUP($E82,TaskValues_ref!$E:$Z,18,FALSE))</f>
        <v/>
      </c>
      <c r="R82" t="str">
        <f>IF(VLOOKUP($E82,TaskValues_ref!$E:$Z,19,FALSE)=0,"",VLOOKUP($E82,TaskValues_ref!$E:$Z,19,FALSE))</f>
        <v/>
      </c>
      <c r="S82" t="str">
        <f>IF(VLOOKUP($E82,TaskValues_ref!$E:$Z,20,FALSE)=0,"",VLOOKUP($E82,TaskValues_ref!$E:$Z,20,FALSE))</f>
        <v/>
      </c>
    </row>
    <row r="83" spans="1:19" x14ac:dyDescent="0.45">
      <c r="A83" t="s">
        <v>2163</v>
      </c>
      <c r="B83" s="66" t="s">
        <v>70</v>
      </c>
      <c r="D83" s="66">
        <v>83</v>
      </c>
      <c r="E83" s="64" t="str">
        <f t="shared" si="2"/>
        <v>FH.Ntr.83</v>
      </c>
      <c r="F83" t="str">
        <f>VLOOKUP(E83,TaskValues_ref!E:F,2,FALSE)</f>
        <v>Promote BF until 24 months</v>
      </c>
      <c r="G83" t="str">
        <f>VLOOKUP($E83,TaskValues_ref!$E:$Z,3,FALSE)</f>
        <v>Clinical</v>
      </c>
      <c r="H83" t="str">
        <f>VLOOKUP($E83,TaskValues_ref!$E:$Z,4,FALSE)</f>
        <v>Public Health</v>
      </c>
      <c r="I83" t="str">
        <f>VLOOKUP($E83,TaskValues_ref!$E:$Z,5,FALSE)</f>
        <v>Nutrition</v>
      </c>
      <c r="J83" s="257" t="str">
        <f>VLOOKUP($E83,TaskValues_ref!$E:$Z,6,FALSE)</f>
        <v>births</v>
      </c>
      <c r="K83" t="str">
        <f>VLOOKUP($E83,TaskValues_ref!$E:$Z,10,FALSE)</f>
        <v>Amhara</v>
      </c>
      <c r="L83" s="195" t="str">
        <f>IF(VLOOKUP($E83,TaskValues_ref!$E:$Z,11,FALSE)=0,"",VLOOKUP($E83,TaskValues_ref!$E:$Z,11,FALSE))</f>
        <v/>
      </c>
      <c r="M83" t="str">
        <f>IF(VLOOKUP($E83,TaskValues_ref!$E:$Z,13,FALSE)=0,"",VLOOKUP($E83,TaskValues_ref!$E:$Z,13,FALSE))</f>
        <v/>
      </c>
      <c r="N83" s="89" t="str">
        <f>IF(VLOOKUP($E83,TaskValues_ref!$E:$Z,15,FALSE)=0,"",VLOOKUP($E83,TaskValues_ref!$E:$Z,15,FALSE))</f>
        <v/>
      </c>
      <c r="O83" t="str">
        <f>IF(VLOOKUP($E83,TaskValues_ref!$E:$Z,16,FALSE)=0,"",VLOOKUP($E83,TaskValues_ref!$E:$Z,16,FALSE))</f>
        <v/>
      </c>
      <c r="P83" t="str">
        <f>IF(VLOOKUP($E83,TaskValues_ref!$E:$Z,17,FALSE)=0,"",VLOOKUP($E83,TaskValues_ref!$E:$Z,17,FALSE))</f>
        <v/>
      </c>
      <c r="Q83" t="str">
        <f>IF(VLOOKUP($E83,TaskValues_ref!$E:$Z,18,FALSE)=0,"",VLOOKUP($E83,TaskValues_ref!$E:$Z,18,FALSE))</f>
        <v/>
      </c>
      <c r="R83" t="str">
        <f>IF(VLOOKUP($E83,TaskValues_ref!$E:$Z,19,FALSE)=0,"",VLOOKUP($E83,TaskValues_ref!$E:$Z,19,FALSE))</f>
        <v/>
      </c>
      <c r="S83" t="str">
        <f>IF(VLOOKUP($E83,TaskValues_ref!$E:$Z,20,FALSE)=0,"",VLOOKUP($E83,TaskValues_ref!$E:$Z,20,FALSE))</f>
        <v/>
      </c>
    </row>
    <row r="84" spans="1:19" x14ac:dyDescent="0.45">
      <c r="A84" t="s">
        <v>2163</v>
      </c>
      <c r="B84" s="66" t="s">
        <v>70</v>
      </c>
      <c r="D84" s="66">
        <v>84</v>
      </c>
      <c r="E84" s="64" t="str">
        <f t="shared" si="2"/>
        <v>FH.Ntr.84</v>
      </c>
      <c r="F84" t="str">
        <f>VLOOKUP(E84,TaskValues_ref!E:F,2,FALSE)</f>
        <v>Promote BF during child illness</v>
      </c>
      <c r="G84" t="str">
        <f>VLOOKUP($E84,TaskValues_ref!$E:$Z,3,FALSE)</f>
        <v>Clinical</v>
      </c>
      <c r="H84" t="str">
        <f>VLOOKUP($E84,TaskValues_ref!$E:$Z,4,FALSE)</f>
        <v>Public Health</v>
      </c>
      <c r="I84" t="str">
        <f>VLOOKUP($E84,TaskValues_ref!$E:$Z,5,FALSE)</f>
        <v>Nutrition</v>
      </c>
      <c r="J84" s="257" t="str">
        <f>VLOOKUP($E84,TaskValues_ref!$E:$Z,6,FALSE)</f>
        <v>births</v>
      </c>
      <c r="K84" t="str">
        <f>VLOOKUP($E84,TaskValues_ref!$E:$Z,10,FALSE)</f>
        <v>Amhara</v>
      </c>
      <c r="L84" s="195" t="str">
        <f>IF(VLOOKUP($E84,TaskValues_ref!$E:$Z,11,FALSE)=0,"",VLOOKUP($E84,TaskValues_ref!$E:$Z,11,FALSE))</f>
        <v/>
      </c>
      <c r="M84" t="str">
        <f>IF(VLOOKUP($E84,TaskValues_ref!$E:$Z,13,FALSE)=0,"",VLOOKUP($E84,TaskValues_ref!$E:$Z,13,FALSE))</f>
        <v/>
      </c>
      <c r="N84" s="89" t="str">
        <f>IF(VLOOKUP($E84,TaskValues_ref!$E:$Z,15,FALSE)=0,"",VLOOKUP($E84,TaskValues_ref!$E:$Z,15,FALSE))</f>
        <v/>
      </c>
      <c r="O84" t="str">
        <f>IF(VLOOKUP($E84,TaskValues_ref!$E:$Z,16,FALSE)=0,"",VLOOKUP($E84,TaskValues_ref!$E:$Z,16,FALSE))</f>
        <v/>
      </c>
      <c r="P84" t="str">
        <f>IF(VLOOKUP($E84,TaskValues_ref!$E:$Z,17,FALSE)=0,"",VLOOKUP($E84,TaskValues_ref!$E:$Z,17,FALSE))</f>
        <v/>
      </c>
      <c r="Q84" t="str">
        <f>IF(VLOOKUP($E84,TaskValues_ref!$E:$Z,18,FALSE)=0,"",VLOOKUP($E84,TaskValues_ref!$E:$Z,18,FALSE))</f>
        <v/>
      </c>
      <c r="R84" t="str">
        <f>IF(VLOOKUP($E84,TaskValues_ref!$E:$Z,19,FALSE)=0,"",VLOOKUP($E84,TaskValues_ref!$E:$Z,19,FALSE))</f>
        <v/>
      </c>
      <c r="S84" t="str">
        <f>IF(VLOOKUP($E84,TaskValues_ref!$E:$Z,20,FALSE)=0,"",VLOOKUP($E84,TaskValues_ref!$E:$Z,20,FALSE))</f>
        <v/>
      </c>
    </row>
    <row r="85" spans="1:19" x14ac:dyDescent="0.45">
      <c r="A85" t="s">
        <v>2163</v>
      </c>
      <c r="B85" s="66" t="s">
        <v>70</v>
      </c>
      <c r="D85" s="66">
        <v>85</v>
      </c>
      <c r="E85" s="64" t="str">
        <f t="shared" si="2"/>
        <v>FH.Ntr.85</v>
      </c>
      <c r="F85" t="str">
        <f>VLOOKUP(E85,TaskValues_ref!E:F,2,FALSE)</f>
        <v>Educate on complementary foods</v>
      </c>
      <c r="G85" t="str">
        <f>VLOOKUP($E85,TaskValues_ref!$E:$Z,3,FALSE)</f>
        <v>Non-clinical</v>
      </c>
      <c r="H85" t="str">
        <f>VLOOKUP($E85,TaskValues_ref!$E:$Z,4,FALSE)</f>
        <v>Public Health</v>
      </c>
      <c r="I85" t="str">
        <f>VLOOKUP($E85,TaskValues_ref!$E:$Z,5,FALSE)</f>
        <v>Nutrition</v>
      </c>
      <c r="J85" s="257" t="str">
        <f>VLOOKUP($E85,TaskValues_ref!$E:$Z,6,FALSE)</f>
        <v>-</v>
      </c>
      <c r="K85" t="str">
        <f>VLOOKUP($E85,TaskValues_ref!$E:$Z,10,FALSE)</f>
        <v>Amhara</v>
      </c>
      <c r="L85" s="195" t="str">
        <f>IF(VLOOKUP($E85,TaskValues_ref!$E:$Z,11,FALSE)=0,"",VLOOKUP($E85,TaskValues_ref!$E:$Z,11,FALSE))</f>
        <v/>
      </c>
      <c r="M85" t="str">
        <f>IF(VLOOKUP($E85,TaskValues_ref!$E:$Z,13,FALSE)=0,"",VLOOKUP($E85,TaskValues_ref!$E:$Z,13,FALSE))</f>
        <v/>
      </c>
      <c r="N85" s="89" t="str">
        <f>IF(VLOOKUP($E85,TaskValues_ref!$E:$Z,15,FALSE)=0,"",VLOOKUP($E85,TaskValues_ref!$E:$Z,15,FALSE))</f>
        <v/>
      </c>
      <c r="O85" t="str">
        <f>IF(VLOOKUP($E85,TaskValues_ref!$E:$Z,16,FALSE)=0,"",VLOOKUP($E85,TaskValues_ref!$E:$Z,16,FALSE))</f>
        <v/>
      </c>
      <c r="P85" t="str">
        <f>IF(VLOOKUP($E85,TaskValues_ref!$E:$Z,17,FALSE)=0,"",VLOOKUP($E85,TaskValues_ref!$E:$Z,17,FALSE))</f>
        <v/>
      </c>
      <c r="Q85" t="str">
        <f>IF(VLOOKUP($E85,TaskValues_ref!$E:$Z,18,FALSE)=0,"",VLOOKUP($E85,TaskValues_ref!$E:$Z,18,FALSE))</f>
        <v/>
      </c>
      <c r="R85" t="str">
        <f>IF(VLOOKUP($E85,TaskValues_ref!$E:$Z,19,FALSE)=0,"",VLOOKUP($E85,TaskValues_ref!$E:$Z,19,FALSE))</f>
        <v/>
      </c>
      <c r="S85" t="str">
        <f>IF(VLOOKUP($E85,TaskValues_ref!$E:$Z,20,FALSE)=0,"",VLOOKUP($E85,TaskValues_ref!$E:$Z,20,FALSE))</f>
        <v/>
      </c>
    </row>
    <row r="86" spans="1:19" x14ac:dyDescent="0.45">
      <c r="A86" t="s">
        <v>2163</v>
      </c>
      <c r="B86" s="66" t="s">
        <v>70</v>
      </c>
      <c r="D86" s="66">
        <v>86</v>
      </c>
      <c r="E86" s="64" t="str">
        <f t="shared" si="2"/>
        <v>FH.Ntr.86</v>
      </c>
      <c r="F86" t="str">
        <f>VLOOKUP(E86,TaskValues_ref!E:F,2,FALSE)</f>
        <v>Nutrition education for children</v>
      </c>
      <c r="G86" t="str">
        <f>VLOOKUP($E86,TaskValues_ref!$E:$Z,3,FALSE)</f>
        <v>Non-clinical</v>
      </c>
      <c r="H86" t="str">
        <f>VLOOKUP($E86,TaskValues_ref!$E:$Z,4,FALSE)</f>
        <v>Public Health</v>
      </c>
      <c r="I86" t="str">
        <f>VLOOKUP($E86,TaskValues_ref!$E:$Z,5,FALSE)</f>
        <v>Nutrition</v>
      </c>
      <c r="J86" s="257" t="str">
        <f>VLOOKUP($E86,TaskValues_ref!$E:$Z,6,FALSE)</f>
        <v>-</v>
      </c>
      <c r="K86" t="str">
        <f>VLOOKUP($E86,TaskValues_ref!$E:$Z,10,FALSE)</f>
        <v>Amhara</v>
      </c>
      <c r="L86" s="195" t="str">
        <f>IF(VLOOKUP($E86,TaskValues_ref!$E:$Z,11,FALSE)=0,"",VLOOKUP($E86,TaskValues_ref!$E:$Z,11,FALSE))</f>
        <v/>
      </c>
      <c r="M86" t="str">
        <f>IF(VLOOKUP($E86,TaskValues_ref!$E:$Z,13,FALSE)=0,"",VLOOKUP($E86,TaskValues_ref!$E:$Z,13,FALSE))</f>
        <v/>
      </c>
      <c r="N86" s="89" t="str">
        <f>IF(VLOOKUP($E86,TaskValues_ref!$E:$Z,15,FALSE)=0,"",VLOOKUP($E86,TaskValues_ref!$E:$Z,15,FALSE))</f>
        <v/>
      </c>
      <c r="O86" t="str">
        <f>IF(VLOOKUP($E86,TaskValues_ref!$E:$Z,16,FALSE)=0,"",VLOOKUP($E86,TaskValues_ref!$E:$Z,16,FALSE))</f>
        <v/>
      </c>
      <c r="P86" t="str">
        <f>IF(VLOOKUP($E86,TaskValues_ref!$E:$Z,17,FALSE)=0,"",VLOOKUP($E86,TaskValues_ref!$E:$Z,17,FALSE))</f>
        <v/>
      </c>
      <c r="Q86" t="str">
        <f>IF(VLOOKUP($E86,TaskValues_ref!$E:$Z,18,FALSE)=0,"",VLOOKUP($E86,TaskValues_ref!$E:$Z,18,FALSE))</f>
        <v/>
      </c>
      <c r="R86" t="str">
        <f>IF(VLOOKUP($E86,TaskValues_ref!$E:$Z,19,FALSE)=0,"",VLOOKUP($E86,TaskValues_ref!$E:$Z,19,FALSE))</f>
        <v/>
      </c>
      <c r="S86" t="str">
        <f>IF(VLOOKUP($E86,TaskValues_ref!$E:$Z,20,FALSE)=0,"",VLOOKUP($E86,TaskValues_ref!$E:$Z,20,FALSE))</f>
        <v/>
      </c>
    </row>
    <row r="87" spans="1:19" x14ac:dyDescent="0.45">
      <c r="A87" s="66" t="s">
        <v>2337</v>
      </c>
      <c r="B87" s="66" t="s">
        <v>2335</v>
      </c>
      <c r="C87" s="66" t="s">
        <v>2336</v>
      </c>
      <c r="D87" s="66">
        <v>94</v>
      </c>
      <c r="E87" s="64" t="str">
        <f t="shared" ref="E87:E92" si="3">_xlfn.CONCAT("DPC.STI.",D87)</f>
        <v>DPC.STI.94</v>
      </c>
      <c r="F87" t="str">
        <f>VLOOKUP(E87,TaskValues_ref!E:F,2,FALSE)</f>
        <v>STI prevention for sex workers</v>
      </c>
      <c r="G87" t="str">
        <f>VLOOKUP($E87,TaskValues_ref!$E:$Z,3,FALSE)</f>
        <v>Clinical</v>
      </c>
      <c r="H87" t="str">
        <f>VLOOKUP($E87,TaskValues_ref!$E:$Z,4,FALSE)</f>
        <v>Public Health</v>
      </c>
      <c r="I87" t="str">
        <f>VLOOKUP($E87,TaskValues_ref!$E:$Z,5,FALSE)</f>
        <v>Sexual health</v>
      </c>
      <c r="J87" s="257" t="str">
        <f>VLOOKUP($E87,TaskValues_ref!$E:$Z,6,FALSE)</f>
        <v>adults 18+</v>
      </c>
      <c r="K87" t="str">
        <f>VLOOKUP($E87,TaskValues_ref!$E:$Z,10,FALSE)</f>
        <v>Amhara</v>
      </c>
      <c r="L87" s="195" t="str">
        <f>IF(VLOOKUP($E87,TaskValues_ref!$E:$Z,11,FALSE)=0,"",VLOOKUP($E87,TaskValues_ref!$E:$Z,11,FALSE))</f>
        <v/>
      </c>
      <c r="M87" t="str">
        <f>IF(VLOOKUP($E87,TaskValues_ref!$E:$Z,13,FALSE)=0,"",VLOOKUP($E87,TaskValues_ref!$E:$Z,13,FALSE))</f>
        <v/>
      </c>
      <c r="N87" s="89">
        <f>IF(VLOOKUP($E87,TaskValues_ref!$E:$Z,15,FALSE)=0,"",VLOOKUP($E87,TaskValues_ref!$E:$Z,15,FALSE))</f>
        <v>1</v>
      </c>
      <c r="O87" t="str">
        <f>IF(VLOOKUP($E87,TaskValues_ref!$E:$Z,16,FALSE)=0,"",VLOOKUP($E87,TaskValues_ref!$E:$Z,16,FALSE))</f>
        <v/>
      </c>
      <c r="P87">
        <f>IF(VLOOKUP($E87,TaskValues_ref!$E:$Z,17,FALSE)=0,"",VLOOKUP($E87,TaskValues_ref!$E:$Z,17,FALSE))</f>
        <v>1</v>
      </c>
      <c r="Q87">
        <f>IF(VLOOKUP($E87,TaskValues_ref!$E:$Z,18,FALSE)=0,"",VLOOKUP($E87,TaskValues_ref!$E:$Z,18,FALSE))</f>
        <v>10</v>
      </c>
      <c r="R87" t="str">
        <f>IF(VLOOKUP($E87,TaskValues_ref!$E:$Z,19,FALSE)=0,"",VLOOKUP($E87,TaskValues_ref!$E:$Z,19,FALSE))</f>
        <v/>
      </c>
      <c r="S87" t="str">
        <f>IF(VLOOKUP($E87,TaskValues_ref!$E:$Z,20,FALSE)=0,"",VLOOKUP($E87,TaskValues_ref!$E:$Z,20,FALSE))</f>
        <v/>
      </c>
    </row>
    <row r="88" spans="1:19" x14ac:dyDescent="0.45">
      <c r="A88" s="66" t="s">
        <v>2337</v>
      </c>
      <c r="B88" s="66" t="s">
        <v>2335</v>
      </c>
      <c r="C88" s="66" t="s">
        <v>2336</v>
      </c>
      <c r="D88" s="66">
        <v>95</v>
      </c>
      <c r="E88" s="64" t="str">
        <f t="shared" si="3"/>
        <v>DPC.STI.95</v>
      </c>
      <c r="F88" t="str">
        <f>VLOOKUP(E88,TaskValues_ref!E:F,2,FALSE)</f>
        <v>Risk reduction</v>
      </c>
      <c r="G88" t="str">
        <f>VLOOKUP($E88,TaskValues_ref!$E:$Z,3,FALSE)</f>
        <v>Clinical</v>
      </c>
      <c r="H88" t="str">
        <f>VLOOKUP($E88,TaskValues_ref!$E:$Z,4,FALSE)</f>
        <v>Public Health</v>
      </c>
      <c r="I88" t="str">
        <f>VLOOKUP($E88,TaskValues_ref!$E:$Z,5,FALSE)</f>
        <v>Sexual health</v>
      </c>
      <c r="J88" s="257" t="str">
        <f>VLOOKUP($E88,TaskValues_ref!$E:$Z,6,FALSE)</f>
        <v>adults 18+</v>
      </c>
      <c r="K88" t="str">
        <f>VLOOKUP($E88,TaskValues_ref!$E:$Z,10,FALSE)</f>
        <v>Amhara</v>
      </c>
      <c r="L88" s="195">
        <f>IF(VLOOKUP($E88,TaskValues_ref!$E:$Z,11,FALSE)=0,"",VLOOKUP($E88,TaskValues_ref!$E:$Z,11,FALSE))</f>
        <v>2.0927000000000001E-4</v>
      </c>
      <c r="M88" t="str">
        <f>IF(VLOOKUP($E88,TaskValues_ref!$E:$Z,13,FALSE)=0,"",VLOOKUP($E88,TaskValues_ref!$E:$Z,13,FALSE))</f>
        <v/>
      </c>
      <c r="N88" s="89">
        <f>IF(VLOOKUP($E88,TaskValues_ref!$E:$Z,15,FALSE)=0,"",VLOOKUP($E88,TaskValues_ref!$E:$Z,15,FALSE))</f>
        <v>0.90986310592664843</v>
      </c>
      <c r="O88" t="str">
        <f>IF(VLOOKUP($E88,TaskValues_ref!$E:$Z,16,FALSE)=0,"",VLOOKUP($E88,TaskValues_ref!$E:$Z,16,FALSE))</f>
        <v/>
      </c>
      <c r="P88">
        <f>IF(VLOOKUP($E88,TaskValues_ref!$E:$Z,17,FALSE)=0,"",VLOOKUP($E88,TaskValues_ref!$E:$Z,17,FALSE))</f>
        <v>1</v>
      </c>
      <c r="Q88">
        <f>IF(VLOOKUP($E88,TaskValues_ref!$E:$Z,18,FALSE)=0,"",VLOOKUP($E88,TaskValues_ref!$E:$Z,18,FALSE))</f>
        <v>5</v>
      </c>
      <c r="R88" t="str">
        <f>IF(VLOOKUP($E88,TaskValues_ref!$E:$Z,19,FALSE)=0,"",VLOOKUP($E88,TaskValues_ref!$E:$Z,19,FALSE))</f>
        <v/>
      </c>
      <c r="S88" t="str">
        <f>IF(VLOOKUP($E88,TaskValues_ref!$E:$Z,20,FALSE)=0,"",VLOOKUP($E88,TaskValues_ref!$E:$Z,20,FALSE))</f>
        <v/>
      </c>
    </row>
    <row r="89" spans="1:19" x14ac:dyDescent="0.45">
      <c r="A89" s="66" t="s">
        <v>2337</v>
      </c>
      <c r="B89" s="66" t="s">
        <v>2335</v>
      </c>
      <c r="C89" s="66" t="s">
        <v>2336</v>
      </c>
      <c r="D89" s="66">
        <v>96</v>
      </c>
      <c r="E89" s="64" t="str">
        <f t="shared" si="3"/>
        <v>DPC.STI.96</v>
      </c>
      <c r="F89" t="str">
        <f>VLOOKUP(E89,TaskValues_ref!E:F,2,FALSE)</f>
        <v>HIV self-testing</v>
      </c>
      <c r="G89" t="str">
        <f>VLOOKUP($E89,TaskValues_ref!$E:$Z,3,FALSE)</f>
        <v>Clinical</v>
      </c>
      <c r="H89" t="str">
        <f>VLOOKUP($E89,TaskValues_ref!$E:$Z,4,FALSE)</f>
        <v>Acute</v>
      </c>
      <c r="I89" t="str">
        <f>VLOOKUP($E89,TaskValues_ref!$E:$Z,5,FALSE)</f>
        <v>HIV</v>
      </c>
      <c r="J89" s="257" t="str">
        <f>VLOOKUP($E89,TaskValues_ref!$E:$Z,6,FALSE)</f>
        <v>adults 18+</v>
      </c>
      <c r="K89" t="str">
        <f>VLOOKUP($E89,TaskValues_ref!$E:$Z,10,FALSE)</f>
        <v>Amhara</v>
      </c>
      <c r="L89" s="195">
        <f>IF(VLOOKUP($E89,TaskValues_ref!$E:$Z,11,FALSE)=0,"",VLOOKUP($E89,TaskValues_ref!$E:$Z,11,FALSE))</f>
        <v>2.0927000000000001E-4</v>
      </c>
      <c r="M89">
        <f>IF(VLOOKUP($E89,TaskValues_ref!$E:$Z,13,FALSE)=0,"",VLOOKUP($E89,TaskValues_ref!$E:$Z,13,FALSE))</f>
        <v>4</v>
      </c>
      <c r="N89" s="89">
        <f>IF(VLOOKUP($E89,TaskValues_ref!$E:$Z,15,FALSE)=0,"",VLOOKUP($E89,TaskValues_ref!$E:$Z,15,FALSE))</f>
        <v>0.90986310592664843</v>
      </c>
      <c r="O89">
        <f>IF(VLOOKUP($E89,TaskValues_ref!$E:$Z,16,FALSE)=0,"",VLOOKUP($E89,TaskValues_ref!$E:$Z,16,FALSE))</f>
        <v>1</v>
      </c>
      <c r="P89" t="str">
        <f>IF(VLOOKUP($E89,TaskValues_ref!$E:$Z,17,FALSE)=0,"",VLOOKUP($E89,TaskValues_ref!$E:$Z,17,FALSE))</f>
        <v/>
      </c>
      <c r="Q89">
        <f>IF(VLOOKUP($E89,TaskValues_ref!$E:$Z,18,FALSE)=0,"",VLOOKUP($E89,TaskValues_ref!$E:$Z,18,FALSE))</f>
        <v>5</v>
      </c>
      <c r="R89" t="str">
        <f>IF(VLOOKUP($E89,TaskValues_ref!$E:$Z,19,FALSE)=0,"",VLOOKUP($E89,TaskValues_ref!$E:$Z,19,FALSE))</f>
        <v/>
      </c>
      <c r="S89" t="str">
        <f>IF(VLOOKUP($E89,TaskValues_ref!$E:$Z,20,FALSE)=0,"",VLOOKUP($E89,TaskValues_ref!$E:$Z,20,FALSE))</f>
        <v/>
      </c>
    </row>
    <row r="90" spans="1:19" x14ac:dyDescent="0.45">
      <c r="A90" s="66" t="s">
        <v>2337</v>
      </c>
      <c r="B90" s="66" t="s">
        <v>2335</v>
      </c>
      <c r="C90" s="66" t="s">
        <v>2336</v>
      </c>
      <c r="D90" s="66">
        <v>97</v>
      </c>
      <c r="E90" s="64" t="str">
        <f t="shared" si="3"/>
        <v>DPC.STI.97</v>
      </c>
      <c r="F90" t="str">
        <f>VLOOKUP(E90,TaskValues_ref!E:F,2,FALSE)</f>
        <v>HIV voluntary counseling &amp; testing</v>
      </c>
      <c r="G90" t="str">
        <f>VLOOKUP($E90,TaskValues_ref!$E:$Z,3,FALSE)</f>
        <v>Clinical</v>
      </c>
      <c r="H90" t="str">
        <f>VLOOKUP($E90,TaskValues_ref!$E:$Z,4,FALSE)</f>
        <v>Acute</v>
      </c>
      <c r="I90" t="str">
        <f>VLOOKUP($E90,TaskValues_ref!$E:$Z,5,FALSE)</f>
        <v>HIV</v>
      </c>
      <c r="J90" s="257" t="str">
        <f>VLOOKUP($E90,TaskValues_ref!$E:$Z,6,FALSE)</f>
        <v>adults 18+</v>
      </c>
      <c r="K90" t="str">
        <f>VLOOKUP($E90,TaskValues_ref!$E:$Z,10,FALSE)</f>
        <v>Amhara</v>
      </c>
      <c r="L90" s="195" t="str">
        <f>IF(VLOOKUP($E90,TaskValues_ref!$E:$Z,11,FALSE)=0,"",VLOOKUP($E90,TaskValues_ref!$E:$Z,11,FALSE))</f>
        <v/>
      </c>
      <c r="M90" t="str">
        <f>IF(VLOOKUP($E90,TaskValues_ref!$E:$Z,13,FALSE)=0,"",VLOOKUP($E90,TaskValues_ref!$E:$Z,13,FALSE))</f>
        <v/>
      </c>
      <c r="N90" s="89">
        <f>IF(VLOOKUP($E90,TaskValues_ref!$E:$Z,15,FALSE)=0,"",VLOOKUP($E90,TaskValues_ref!$E:$Z,15,FALSE))</f>
        <v>0.90986310592664843</v>
      </c>
      <c r="O90">
        <f>IF(VLOOKUP($E90,TaskValues_ref!$E:$Z,16,FALSE)=0,"",VLOOKUP($E90,TaskValues_ref!$E:$Z,16,FALSE))</f>
        <v>1</v>
      </c>
      <c r="P90" t="str">
        <f>IF(VLOOKUP($E90,TaskValues_ref!$E:$Z,17,FALSE)=0,"",VLOOKUP($E90,TaskValues_ref!$E:$Z,17,FALSE))</f>
        <v/>
      </c>
      <c r="Q90">
        <f>IF(VLOOKUP($E90,TaskValues_ref!$E:$Z,18,FALSE)=0,"",VLOOKUP($E90,TaskValues_ref!$E:$Z,18,FALSE))</f>
        <v>5</v>
      </c>
      <c r="R90" t="str">
        <f>IF(VLOOKUP($E90,TaskValues_ref!$E:$Z,19,FALSE)=0,"",VLOOKUP($E90,TaskValues_ref!$E:$Z,19,FALSE))</f>
        <v/>
      </c>
      <c r="S90" t="str">
        <f>IF(VLOOKUP($E90,TaskValues_ref!$E:$Z,20,FALSE)=0,"",VLOOKUP($E90,TaskValues_ref!$E:$Z,20,FALSE))</f>
        <v/>
      </c>
    </row>
    <row r="91" spans="1:19" x14ac:dyDescent="0.45">
      <c r="A91" s="66" t="s">
        <v>2337</v>
      </c>
      <c r="B91" s="66" t="s">
        <v>2335</v>
      </c>
      <c r="C91" s="66" t="s">
        <v>2336</v>
      </c>
      <c r="D91" s="66">
        <v>98</v>
      </c>
      <c r="E91" s="64" t="str">
        <f t="shared" si="3"/>
        <v>DPC.STI.98</v>
      </c>
      <c r="F91" t="str">
        <f>VLOOKUP(E91,TaskValues_ref!E:F,2,FALSE)</f>
        <v>HIV provider-initiated counseling &amp; testing</v>
      </c>
      <c r="G91" t="str">
        <f>VLOOKUP($E91,TaskValues_ref!$E:$Z,3,FALSE)</f>
        <v>Clinical</v>
      </c>
      <c r="H91" t="str">
        <f>VLOOKUP($E91,TaskValues_ref!$E:$Z,4,FALSE)</f>
        <v>Acute</v>
      </c>
      <c r="I91" t="str">
        <f>VLOOKUP($E91,TaskValues_ref!$E:$Z,5,FALSE)</f>
        <v>HIV</v>
      </c>
      <c r="J91" s="257" t="str">
        <f>VLOOKUP($E91,TaskValues_ref!$E:$Z,6,FALSE)</f>
        <v>adults 18+</v>
      </c>
      <c r="K91" t="str">
        <f>VLOOKUP($E91,TaskValues_ref!$E:$Z,10,FALSE)</f>
        <v>Amhara</v>
      </c>
      <c r="L91" s="195" t="str">
        <f>IF(VLOOKUP($E91,TaskValues_ref!$E:$Z,11,FALSE)=0,"",VLOOKUP($E91,TaskValues_ref!$E:$Z,11,FALSE))</f>
        <v/>
      </c>
      <c r="M91" t="str">
        <f>IF(VLOOKUP($E91,TaskValues_ref!$E:$Z,13,FALSE)=0,"",VLOOKUP($E91,TaskValues_ref!$E:$Z,13,FALSE))</f>
        <v/>
      </c>
      <c r="N91" s="89">
        <f>IF(VLOOKUP($E91,TaskValues_ref!$E:$Z,15,FALSE)=0,"",VLOOKUP($E91,TaskValues_ref!$E:$Z,15,FALSE))</f>
        <v>0.90986310592664843</v>
      </c>
      <c r="O91">
        <f>IF(VLOOKUP($E91,TaskValues_ref!$E:$Z,16,FALSE)=0,"",VLOOKUP($E91,TaskValues_ref!$E:$Z,16,FALSE))</f>
        <v>1</v>
      </c>
      <c r="P91" t="str">
        <f>IF(VLOOKUP($E91,TaskValues_ref!$E:$Z,17,FALSE)=0,"",VLOOKUP($E91,TaskValues_ref!$E:$Z,17,FALSE))</f>
        <v/>
      </c>
      <c r="Q91">
        <f>IF(VLOOKUP($E91,TaskValues_ref!$E:$Z,18,FALSE)=0,"",VLOOKUP($E91,TaskValues_ref!$E:$Z,18,FALSE))</f>
        <v>5</v>
      </c>
      <c r="R91" t="str">
        <f>IF(VLOOKUP($E91,TaskValues_ref!$E:$Z,19,FALSE)=0,"",VLOOKUP($E91,TaskValues_ref!$E:$Z,19,FALSE))</f>
        <v/>
      </c>
      <c r="S91" t="str">
        <f>IF(VLOOKUP($E91,TaskValues_ref!$E:$Z,20,FALSE)=0,"",VLOOKUP($E91,TaskValues_ref!$E:$Z,20,FALSE))</f>
        <v/>
      </c>
    </row>
    <row r="92" spans="1:19" x14ac:dyDescent="0.45">
      <c r="A92" s="66" t="s">
        <v>2337</v>
      </c>
      <c r="B92" s="66" t="s">
        <v>2335</v>
      </c>
      <c r="C92" s="66" t="s">
        <v>2336</v>
      </c>
      <c r="D92" s="66">
        <v>99</v>
      </c>
      <c r="E92" s="64" t="str">
        <f t="shared" si="3"/>
        <v>DPC.STI.99</v>
      </c>
      <c r="F92" t="str">
        <f>VLOOKUP(E92,TaskValues_ref!E:F,2,FALSE)</f>
        <v>HIV linkages</v>
      </c>
      <c r="G92" t="str">
        <f>VLOOKUP($E92,TaskValues_ref!$E:$Z,3,FALSE)</f>
        <v>Clinical</v>
      </c>
      <c r="H92" t="str">
        <f>VLOOKUP($E92,TaskValues_ref!$E:$Z,4,FALSE)</f>
        <v>Acute</v>
      </c>
      <c r="I92" t="str">
        <f>VLOOKUP($E92,TaskValues_ref!$E:$Z,5,FALSE)</f>
        <v>HIV</v>
      </c>
      <c r="J92" s="257" t="str">
        <f>VLOOKUP($E92,TaskValues_ref!$E:$Z,6,FALSE)</f>
        <v>adults 18+</v>
      </c>
      <c r="K92" t="str">
        <f>VLOOKUP($E92,TaskValues_ref!$E:$Z,10,FALSE)</f>
        <v>Amhara</v>
      </c>
      <c r="L92" s="195">
        <f>IF(VLOOKUP($E92,TaskValues_ref!$E:$Z,11,FALSE)=0,"",VLOOKUP($E92,TaskValues_ref!$E:$Z,11,FALSE))</f>
        <v>2.0927000000000001E-4</v>
      </c>
      <c r="M92" t="str">
        <f>IF(VLOOKUP($E92,TaskValues_ref!$E:$Z,13,FALSE)=0,"",VLOOKUP($E92,TaskValues_ref!$E:$Z,13,FALSE))</f>
        <v/>
      </c>
      <c r="N92" s="89">
        <f>IF(VLOOKUP($E92,TaskValues_ref!$E:$Z,15,FALSE)=0,"",VLOOKUP($E92,TaskValues_ref!$E:$Z,15,FALSE))</f>
        <v>0.90986310592664843</v>
      </c>
      <c r="O92">
        <f>IF(VLOOKUP($E92,TaskValues_ref!$E:$Z,16,FALSE)=0,"",VLOOKUP($E92,TaskValues_ref!$E:$Z,16,FALSE))</f>
        <v>1</v>
      </c>
      <c r="P92" t="str">
        <f>IF(VLOOKUP($E92,TaskValues_ref!$E:$Z,17,FALSE)=0,"",VLOOKUP($E92,TaskValues_ref!$E:$Z,17,FALSE))</f>
        <v/>
      </c>
      <c r="Q92">
        <f>IF(VLOOKUP($E92,TaskValues_ref!$E:$Z,18,FALSE)=0,"",VLOOKUP($E92,TaskValues_ref!$E:$Z,18,FALSE))</f>
        <v>15</v>
      </c>
      <c r="R92" t="str">
        <f>IF(VLOOKUP($E92,TaskValues_ref!$E:$Z,19,FALSE)=0,"",VLOOKUP($E92,TaskValues_ref!$E:$Z,19,FALSE))</f>
        <v/>
      </c>
      <c r="S92" t="str">
        <f>IF(VLOOKUP($E92,TaskValues_ref!$E:$Z,20,FALSE)=0,"",VLOOKUP($E92,TaskValues_ref!$E:$Z,20,FALSE))</f>
        <v/>
      </c>
    </row>
    <row r="93" spans="1:19" x14ac:dyDescent="0.45">
      <c r="A93" s="66" t="s">
        <v>2337</v>
      </c>
      <c r="B93" s="66" t="s">
        <v>2335</v>
      </c>
      <c r="C93" s="66" t="s">
        <v>69</v>
      </c>
      <c r="D93" s="66">
        <v>102</v>
      </c>
      <c r="E93" s="64" t="str">
        <f>_xlfn.CONCAT("DPC.Mlr.",D93)</f>
        <v>DPC.Mlr.102</v>
      </c>
      <c r="F93" t="str">
        <f>VLOOKUP(E93,TaskValues_ref!E:F,2,FALSE)</f>
        <v>Vector control</v>
      </c>
      <c r="G93" t="str">
        <f>VLOOKUP($E93,TaskValues_ref!$E:$Z,3,FALSE)</f>
        <v>Non-clinical</v>
      </c>
      <c r="H93" t="str">
        <f>VLOOKUP($E93,TaskValues_ref!$E:$Z,4,FALSE)</f>
        <v>Public Health</v>
      </c>
      <c r="I93" t="str">
        <f>VLOOKUP($E93,TaskValues_ref!$E:$Z,5,FALSE)</f>
        <v>Malaria</v>
      </c>
      <c r="J93" s="257" t="str">
        <f>VLOOKUP($E93,TaskValues_ref!$E:$Z,6,FALSE)</f>
        <v>all</v>
      </c>
      <c r="K93" t="str">
        <f>VLOOKUP($E93,TaskValues_ref!$E:$Z,10,FALSE)</f>
        <v>Amhara</v>
      </c>
      <c r="L93" s="195">
        <f>IF(VLOOKUP($E93,TaskValues_ref!$E:$Z,11,FALSE)=0,"",VLOOKUP($E93,TaskValues_ref!$E:$Z,11,FALSE))</f>
        <v>0.25</v>
      </c>
      <c r="M93" t="str">
        <f>IF(VLOOKUP($E93,TaskValues_ref!$E:$Z,13,FALSE)=0,"",VLOOKUP($E93,TaskValues_ref!$E:$Z,13,FALSE))</f>
        <v/>
      </c>
      <c r="N93" s="89" t="str">
        <f>IF(VLOOKUP($E93,TaskValues_ref!$E:$Z,15,FALSE)=0,"",VLOOKUP($E93,TaskValues_ref!$E:$Z,15,FALSE))</f>
        <v/>
      </c>
      <c r="O93" t="str">
        <f>IF(VLOOKUP($E93,TaskValues_ref!$E:$Z,16,FALSE)=0,"",VLOOKUP($E93,TaskValues_ref!$E:$Z,16,FALSE))</f>
        <v/>
      </c>
      <c r="P93">
        <f>IF(VLOOKUP($E93,TaskValues_ref!$E:$Z,17,FALSE)=0,"",VLOOKUP($E93,TaskValues_ref!$E:$Z,17,FALSE))</f>
        <v>1</v>
      </c>
      <c r="Q93">
        <f>IF(VLOOKUP($E93,TaskValues_ref!$E:$Z,18,FALSE)=0,"",VLOOKUP($E93,TaskValues_ref!$E:$Z,18,FALSE))</f>
        <v>5</v>
      </c>
      <c r="R93" t="str">
        <f>IF(VLOOKUP($E93,TaskValues_ref!$E:$Z,19,FALSE)=0,"",VLOOKUP($E93,TaskValues_ref!$E:$Z,19,FALSE))</f>
        <v/>
      </c>
      <c r="S93" t="str">
        <f>IF(VLOOKUP($E93,TaskValues_ref!$E:$Z,20,FALSE)=0,"",VLOOKUP($E93,TaskValues_ref!$E:$Z,20,FALSE))</f>
        <v/>
      </c>
    </row>
    <row r="94" spans="1:19" x14ac:dyDescent="0.45">
      <c r="A94" s="66" t="s">
        <v>2337</v>
      </c>
      <c r="B94" s="66" t="s">
        <v>2335</v>
      </c>
      <c r="C94" s="66" t="s">
        <v>69</v>
      </c>
      <c r="D94" s="66">
        <v>103</v>
      </c>
      <c r="E94" s="64" t="s">
        <v>2354</v>
      </c>
      <c r="F94" t="str">
        <f>VLOOKUP(E94,TaskValues_ref!E:F,2,FALSE)</f>
        <v>Uncomplicated malaria in adults</v>
      </c>
      <c r="G94" t="str">
        <f>VLOOKUP($E94,TaskValues_ref!$E:$Z,3,FALSE)</f>
        <v>Clinical</v>
      </c>
      <c r="H94" t="str">
        <f>VLOOKUP($E94,TaskValues_ref!$E:$Z,4,FALSE)</f>
        <v>Acute</v>
      </c>
      <c r="I94" t="str">
        <f>VLOOKUP($E94,TaskValues_ref!$E:$Z,5,FALSE)</f>
        <v>Malaria</v>
      </c>
      <c r="J94" s="257" t="str">
        <f>VLOOKUP($E94,TaskValues_ref!$E:$Z,6,FALSE)</f>
        <v>adults 18+</v>
      </c>
      <c r="K94" t="str">
        <f>VLOOKUP($E94,TaskValues_ref!$E:$Z,10,FALSE)</f>
        <v>Amhara</v>
      </c>
      <c r="L94" s="195">
        <f>IF(VLOOKUP($E94,TaskValues_ref!$E:$Z,11,FALSE)=0,"",VLOOKUP($E94,TaskValues_ref!$E:$Z,11,FALSE))</f>
        <v>1.1622799726572285E-2</v>
      </c>
      <c r="M94" t="str">
        <f>IF(VLOOKUP($E94,TaskValues_ref!$E:$Z,13,FALSE)=0,"",VLOOKUP($E94,TaskValues_ref!$E:$Z,13,FALSE))</f>
        <v/>
      </c>
      <c r="N94" s="89">
        <f>IF(VLOOKUP($E94,TaskValues_ref!$E:$Z,15,FALSE)=0,"",VLOOKUP($E94,TaskValues_ref!$E:$Z,15,FALSE))</f>
        <v>0.87556301899925537</v>
      </c>
      <c r="O94">
        <f>IF(VLOOKUP($E94,TaskValues_ref!$E:$Z,16,FALSE)=0,"",VLOOKUP($E94,TaskValues_ref!$E:$Z,16,FALSE))</f>
        <v>1</v>
      </c>
      <c r="P94" t="str">
        <f>IF(VLOOKUP($E94,TaskValues_ref!$E:$Z,17,FALSE)=0,"",VLOOKUP($E94,TaskValues_ref!$E:$Z,17,FALSE))</f>
        <v/>
      </c>
      <c r="Q94">
        <f>IF(VLOOKUP($E94,TaskValues_ref!$E:$Z,18,FALSE)=0,"",VLOOKUP($E94,TaskValues_ref!$E:$Z,18,FALSE))</f>
        <v>10</v>
      </c>
      <c r="R94" t="str">
        <f>IF(VLOOKUP($E94,TaskValues_ref!$E:$Z,19,FALSE)=0,"",VLOOKUP($E94,TaskValues_ref!$E:$Z,19,FALSE))</f>
        <v/>
      </c>
      <c r="S94" t="str">
        <f>IF(VLOOKUP($E94,TaskValues_ref!$E:$Z,20,FALSE)=0,"",VLOOKUP($E94,TaskValues_ref!$E:$Z,20,FALSE))</f>
        <v/>
      </c>
    </row>
    <row r="95" spans="1:19" x14ac:dyDescent="0.45">
      <c r="A95" s="66" t="s">
        <v>2337</v>
      </c>
      <c r="B95" s="66" t="s">
        <v>2335</v>
      </c>
      <c r="C95" s="66" t="s">
        <v>69</v>
      </c>
      <c r="D95" s="66">
        <v>103</v>
      </c>
      <c r="E95" s="64" t="s">
        <v>2355</v>
      </c>
      <c r="F95" t="str">
        <f>VLOOKUP(E95,TaskValues_ref!E:F,2,FALSE)</f>
        <v>Uncomplicated malaria in children</v>
      </c>
      <c r="G95" t="str">
        <f>VLOOKUP($E95,TaskValues_ref!$E:$Z,3,FALSE)</f>
        <v>Clinical</v>
      </c>
      <c r="H95" t="str">
        <f>VLOOKUP($E95,TaskValues_ref!$E:$Z,4,FALSE)</f>
        <v>Acute</v>
      </c>
      <c r="I95" t="str">
        <f>VLOOKUP($E95,TaskValues_ref!$E:$Z,5,FALSE)</f>
        <v>Malaria</v>
      </c>
      <c r="J95" s="257" t="str">
        <f>VLOOKUP($E95,TaskValues_ref!$E:$Z,6,FALSE)</f>
        <v>1-18</v>
      </c>
      <c r="K95" t="str">
        <f>VLOOKUP($E95,TaskValues_ref!$E:$Z,10,FALSE)</f>
        <v>Amhara</v>
      </c>
      <c r="L95" s="195">
        <f>IF(VLOOKUP($E95,TaskValues_ref!$E:$Z,11,FALSE)=0,"",VLOOKUP($E95,TaskValues_ref!$E:$Z,11,FALSE))</f>
        <v>1.1622799726572285E-2</v>
      </c>
      <c r="M95" t="str">
        <f>IF(VLOOKUP($E95,TaskValues_ref!$E:$Z,13,FALSE)=0,"",VLOOKUP($E95,TaskValues_ref!$E:$Z,13,FALSE))</f>
        <v/>
      </c>
      <c r="N95" s="89">
        <f>IF(VLOOKUP($E95,TaskValues_ref!$E:$Z,15,FALSE)=0,"",VLOOKUP($E95,TaskValues_ref!$E:$Z,15,FALSE))</f>
        <v>0.87556301899925537</v>
      </c>
      <c r="O95">
        <f>IF(VLOOKUP($E95,TaskValues_ref!$E:$Z,16,FALSE)=0,"",VLOOKUP($E95,TaskValues_ref!$E:$Z,16,FALSE))</f>
        <v>1</v>
      </c>
      <c r="P95" t="str">
        <f>IF(VLOOKUP($E95,TaskValues_ref!$E:$Z,17,FALSE)=0,"",VLOOKUP($E95,TaskValues_ref!$E:$Z,17,FALSE))</f>
        <v/>
      </c>
      <c r="Q95">
        <f>IF(VLOOKUP($E95,TaskValues_ref!$E:$Z,18,FALSE)=0,"",VLOOKUP($E95,TaskValues_ref!$E:$Z,18,FALSE))</f>
        <v>10</v>
      </c>
      <c r="R95" t="str">
        <f>IF(VLOOKUP($E95,TaskValues_ref!$E:$Z,19,FALSE)=0,"",VLOOKUP($E95,TaskValues_ref!$E:$Z,19,FALSE))</f>
        <v/>
      </c>
      <c r="S95" t="str">
        <f>IF(VLOOKUP($E95,TaskValues_ref!$E:$Z,20,FALSE)=0,"",VLOOKUP($E95,TaskValues_ref!$E:$Z,20,FALSE))</f>
        <v/>
      </c>
    </row>
    <row r="96" spans="1:19" x14ac:dyDescent="0.45">
      <c r="A96" s="66" t="s">
        <v>2337</v>
      </c>
      <c r="B96" s="66" t="s">
        <v>2335</v>
      </c>
      <c r="C96" s="66" t="s">
        <v>69</v>
      </c>
      <c r="D96" s="66">
        <v>103</v>
      </c>
      <c r="E96" s="64" t="s">
        <v>2358</v>
      </c>
      <c r="F96" t="str">
        <f>VLOOKUP(E96,TaskValues_ref!E:F,2,FALSE)</f>
        <v>Testing non-malaria cases</v>
      </c>
      <c r="G96" t="str">
        <f>VLOOKUP($E96,TaskValues_ref!$E:$Z,3,FALSE)</f>
        <v>Clinical</v>
      </c>
      <c r="H96" t="str">
        <f>VLOOKUP($E96,TaskValues_ref!$E:$Z,4,FALSE)</f>
        <v>Public Health</v>
      </c>
      <c r="I96" t="str">
        <f>VLOOKUP($E96,TaskValues_ref!$E:$Z,5,FALSE)</f>
        <v>Malaria</v>
      </c>
      <c r="J96" s="257" t="str">
        <f>VLOOKUP($E96,TaskValues_ref!$E:$Z,6,FALSE)</f>
        <v>all</v>
      </c>
      <c r="K96" t="str">
        <f>VLOOKUP($E96,TaskValues_ref!$E:$Z,10,FALSE)</f>
        <v>Amhara</v>
      </c>
      <c r="L96" s="195">
        <f>IF(VLOOKUP($E96,TaskValues_ref!$E:$Z,11,FALSE)=0,"",VLOOKUP($E96,TaskValues_ref!$E:$Z,11,FALSE))</f>
        <v>1.2914221918413649E-2</v>
      </c>
      <c r="M96">
        <f>IF(VLOOKUP($E96,TaskValues_ref!$E:$Z,13,FALSE)=0,"",VLOOKUP($E96,TaskValues_ref!$E:$Z,13,FALSE))</f>
        <v>4</v>
      </c>
      <c r="N96" s="89">
        <f>IF(VLOOKUP($E96,TaskValues_ref!$E:$Z,15,FALSE)=0,"",VLOOKUP($E96,TaskValues_ref!$E:$Z,15,FALSE))</f>
        <v>1</v>
      </c>
      <c r="O96">
        <f>IF(VLOOKUP($E96,TaskValues_ref!$E:$Z,16,FALSE)=0,"",VLOOKUP($E96,TaskValues_ref!$E:$Z,16,FALSE))</f>
        <v>1</v>
      </c>
      <c r="P96" t="str">
        <f>IF(VLOOKUP($E96,TaskValues_ref!$E:$Z,17,FALSE)=0,"",VLOOKUP($E96,TaskValues_ref!$E:$Z,17,FALSE))</f>
        <v/>
      </c>
      <c r="Q96">
        <f>IF(VLOOKUP($E96,TaskValues_ref!$E:$Z,18,FALSE)=0,"",VLOOKUP($E96,TaskValues_ref!$E:$Z,18,FALSE))</f>
        <v>5</v>
      </c>
      <c r="R96" t="str">
        <f>IF(VLOOKUP($E96,TaskValues_ref!$E:$Z,19,FALSE)=0,"",VLOOKUP($E96,TaskValues_ref!$E:$Z,19,FALSE))</f>
        <v/>
      </c>
      <c r="S96" t="str">
        <f>IF(VLOOKUP($E96,TaskValues_ref!$E:$Z,20,FALSE)=0,"",VLOOKUP($E96,TaskValues_ref!$E:$Z,20,FALSE))</f>
        <v/>
      </c>
    </row>
    <row r="97" spans="1:19" x14ac:dyDescent="0.45">
      <c r="A97" s="66" t="s">
        <v>2337</v>
      </c>
      <c r="B97" s="66" t="s">
        <v>2335</v>
      </c>
      <c r="C97" s="66" t="s">
        <v>69</v>
      </c>
      <c r="D97" s="66">
        <v>104</v>
      </c>
      <c r="E97" s="64" t="s">
        <v>2356</v>
      </c>
      <c r="F97" t="str">
        <f>VLOOKUP(E97,TaskValues_ref!E:F,2,FALSE)</f>
        <v>Severe malaria in adults</v>
      </c>
      <c r="G97" t="str">
        <f>VLOOKUP($E97,TaskValues_ref!$E:$Z,3,FALSE)</f>
        <v>Clinical</v>
      </c>
      <c r="H97" t="str">
        <f>VLOOKUP($E97,TaskValues_ref!$E:$Z,4,FALSE)</f>
        <v>Acute</v>
      </c>
      <c r="I97" t="str">
        <f>VLOOKUP($E97,TaskValues_ref!$E:$Z,5,FALSE)</f>
        <v>Malaria</v>
      </c>
      <c r="J97" s="257" t="str">
        <f>VLOOKUP($E97,TaskValues_ref!$E:$Z,6,FALSE)</f>
        <v>adults 18+</v>
      </c>
      <c r="K97" t="str">
        <f>VLOOKUP($E97,TaskValues_ref!$E:$Z,10,FALSE)</f>
        <v>Amhara</v>
      </c>
      <c r="L97" s="195">
        <f>IF(VLOOKUP($E97,TaskValues_ref!$E:$Z,11,FALSE)=0,"",VLOOKUP($E97,TaskValues_ref!$E:$Z,11,FALSE))</f>
        <v>1.291422191841365E-3</v>
      </c>
      <c r="M97" t="str">
        <f>IF(VLOOKUP($E97,TaskValues_ref!$E:$Z,13,FALSE)=0,"",VLOOKUP($E97,TaskValues_ref!$E:$Z,13,FALSE))</f>
        <v/>
      </c>
      <c r="N97" s="89">
        <f>IF(VLOOKUP($E97,TaskValues_ref!$E:$Z,15,FALSE)=0,"",VLOOKUP($E97,TaskValues_ref!$E:$Z,15,FALSE))</f>
        <v>0.87556301899925537</v>
      </c>
      <c r="O97">
        <f>IF(VLOOKUP($E97,TaskValues_ref!$E:$Z,16,FALSE)=0,"",VLOOKUP($E97,TaskValues_ref!$E:$Z,16,FALSE))</f>
        <v>1</v>
      </c>
      <c r="P97" t="str">
        <f>IF(VLOOKUP($E97,TaskValues_ref!$E:$Z,17,FALSE)=0,"",VLOOKUP($E97,TaskValues_ref!$E:$Z,17,FALSE))</f>
        <v/>
      </c>
      <c r="Q97">
        <f>IF(VLOOKUP($E97,TaskValues_ref!$E:$Z,18,FALSE)=0,"",VLOOKUP($E97,TaskValues_ref!$E:$Z,18,FALSE))</f>
        <v>15</v>
      </c>
      <c r="R97" t="str">
        <f>IF(VLOOKUP($E97,TaskValues_ref!$E:$Z,19,FALSE)=0,"",VLOOKUP($E97,TaskValues_ref!$E:$Z,19,FALSE))</f>
        <v/>
      </c>
      <c r="S97" t="str">
        <f>IF(VLOOKUP($E97,TaskValues_ref!$E:$Z,20,FALSE)=0,"",VLOOKUP($E97,TaskValues_ref!$E:$Z,20,FALSE))</f>
        <v/>
      </c>
    </row>
    <row r="98" spans="1:19" x14ac:dyDescent="0.45">
      <c r="A98" s="66" t="s">
        <v>2337</v>
      </c>
      <c r="B98" s="66" t="s">
        <v>2335</v>
      </c>
      <c r="C98" s="66" t="s">
        <v>69</v>
      </c>
      <c r="D98" s="66">
        <v>104</v>
      </c>
      <c r="E98" s="64" t="s">
        <v>2357</v>
      </c>
      <c r="F98" t="str">
        <f>VLOOKUP(E98,TaskValues_ref!E:F,2,FALSE)</f>
        <v>Severe malaria in children</v>
      </c>
      <c r="G98" t="str">
        <f>VLOOKUP($E98,TaskValues_ref!$E:$Z,3,FALSE)</f>
        <v>Clinical</v>
      </c>
      <c r="H98" t="str">
        <f>VLOOKUP($E98,TaskValues_ref!$E:$Z,4,FALSE)</f>
        <v>Acute</v>
      </c>
      <c r="I98" t="str">
        <f>VLOOKUP($E98,TaskValues_ref!$E:$Z,5,FALSE)</f>
        <v>Malaria</v>
      </c>
      <c r="J98" s="257" t="str">
        <f>VLOOKUP($E98,TaskValues_ref!$E:$Z,6,FALSE)</f>
        <v>1-18</v>
      </c>
      <c r="K98" t="str">
        <f>VLOOKUP($E98,TaskValues_ref!$E:$Z,10,FALSE)</f>
        <v>Amhara</v>
      </c>
      <c r="L98" s="195">
        <f>IF(VLOOKUP($E98,TaskValues_ref!$E:$Z,11,FALSE)=0,"",VLOOKUP($E98,TaskValues_ref!$E:$Z,11,FALSE))</f>
        <v>1.291422191841365E-3</v>
      </c>
      <c r="M98" t="str">
        <f>IF(VLOOKUP($E98,TaskValues_ref!$E:$Z,13,FALSE)=0,"",VLOOKUP($E98,TaskValues_ref!$E:$Z,13,FALSE))</f>
        <v/>
      </c>
      <c r="N98" s="89">
        <f>IF(VLOOKUP($E98,TaskValues_ref!$E:$Z,15,FALSE)=0,"",VLOOKUP($E98,TaskValues_ref!$E:$Z,15,FALSE))</f>
        <v>0.87556301899925537</v>
      </c>
      <c r="O98">
        <f>IF(VLOOKUP($E98,TaskValues_ref!$E:$Z,16,FALSE)=0,"",VLOOKUP($E98,TaskValues_ref!$E:$Z,16,FALSE))</f>
        <v>1</v>
      </c>
      <c r="P98" t="str">
        <f>IF(VLOOKUP($E98,TaskValues_ref!$E:$Z,17,FALSE)=0,"",VLOOKUP($E98,TaskValues_ref!$E:$Z,17,FALSE))</f>
        <v/>
      </c>
      <c r="Q98">
        <f>IF(VLOOKUP($E98,TaskValues_ref!$E:$Z,18,FALSE)=0,"",VLOOKUP($E98,TaskValues_ref!$E:$Z,18,FALSE))</f>
        <v>15</v>
      </c>
      <c r="R98" t="str">
        <f>IF(VLOOKUP($E98,TaskValues_ref!$E:$Z,19,FALSE)=0,"",VLOOKUP($E98,TaskValues_ref!$E:$Z,19,FALSE))</f>
        <v/>
      </c>
      <c r="S98" t="str">
        <f>IF(VLOOKUP($E98,TaskValues_ref!$E:$Z,20,FALSE)=0,"",VLOOKUP($E98,TaskValues_ref!$E:$Z,20,FALSE))</f>
        <v/>
      </c>
    </row>
    <row r="99" spans="1:19" x14ac:dyDescent="0.45">
      <c r="A99" s="66" t="s">
        <v>2337</v>
      </c>
      <c r="B99" s="66" t="s">
        <v>2335</v>
      </c>
      <c r="C99" s="66" t="s">
        <v>69</v>
      </c>
      <c r="D99" s="66">
        <v>105</v>
      </c>
      <c r="E99" s="64" t="str">
        <f>_xlfn.CONCAT("DPC.Mlr.",D99)</f>
        <v>DPC.Mlr.105</v>
      </c>
      <c r="F99" t="str">
        <f>VLOOKUP(E99,TaskValues_ref!E:F,2,FALSE)</f>
        <v>Malaria surveillance</v>
      </c>
      <c r="G99" t="str">
        <f>VLOOKUP($E99,TaskValues_ref!$E:$Z,3,FALSE)</f>
        <v>Non-productive</v>
      </c>
      <c r="H99" t="str">
        <f>VLOOKUP($E99,TaskValues_ref!$E:$Z,4,FALSE)</f>
        <v>Public Health</v>
      </c>
      <c r="I99" t="str">
        <f>VLOOKUP($E99,TaskValues_ref!$E:$Z,5,FALSE)</f>
        <v>Malaria</v>
      </c>
      <c r="J99" s="257" t="str">
        <f>VLOOKUP($E99,TaskValues_ref!$E:$Z,6,FALSE)</f>
        <v>-</v>
      </c>
      <c r="K99" t="str">
        <f>VLOOKUP($E99,TaskValues_ref!$E:$Z,10,FALSE)</f>
        <v>Amhara</v>
      </c>
      <c r="L99" s="195" t="str">
        <f>IF(VLOOKUP($E99,TaskValues_ref!$E:$Z,11,FALSE)=0,"",VLOOKUP($E99,TaskValues_ref!$E:$Z,11,FALSE))</f>
        <v/>
      </c>
      <c r="M99" t="str">
        <f>IF(VLOOKUP($E99,TaskValues_ref!$E:$Z,13,FALSE)=0,"",VLOOKUP($E99,TaskValues_ref!$E:$Z,13,FALSE))</f>
        <v/>
      </c>
      <c r="N99" s="89" t="str">
        <f>IF(VLOOKUP($E99,TaskValues_ref!$E:$Z,15,FALSE)=0,"",VLOOKUP($E99,TaskValues_ref!$E:$Z,15,FALSE))</f>
        <v/>
      </c>
      <c r="O99" t="str">
        <f>IF(VLOOKUP($E99,TaskValues_ref!$E:$Z,16,FALSE)=0,"",VLOOKUP($E99,TaskValues_ref!$E:$Z,16,FALSE))</f>
        <v/>
      </c>
      <c r="P99" t="str">
        <f>IF(VLOOKUP($E99,TaskValues_ref!$E:$Z,17,FALSE)=0,"",VLOOKUP($E99,TaskValues_ref!$E:$Z,17,FALSE))</f>
        <v/>
      </c>
      <c r="Q99" t="str">
        <f>IF(VLOOKUP($E99,TaskValues_ref!$E:$Z,18,FALSE)=0,"",VLOOKUP($E99,TaskValues_ref!$E:$Z,18,FALSE))</f>
        <v/>
      </c>
      <c r="R99" t="str">
        <f>IF(VLOOKUP($E99,TaskValues_ref!$E:$Z,19,FALSE)=0,"",VLOOKUP($E99,TaskValues_ref!$E:$Z,19,FALSE))</f>
        <v/>
      </c>
      <c r="S99" t="str">
        <f>IF(VLOOKUP($E99,TaskValues_ref!$E:$Z,20,FALSE)=0,"",VLOOKUP($E99,TaskValues_ref!$E:$Z,20,FALSE))</f>
        <v/>
      </c>
    </row>
    <row r="100" spans="1:19" x14ac:dyDescent="0.45">
      <c r="A100" s="66" t="s">
        <v>2337</v>
      </c>
      <c r="B100" s="66" t="s">
        <v>2335</v>
      </c>
      <c r="C100" s="66" t="s">
        <v>69</v>
      </c>
      <c r="D100" s="66">
        <v>106</v>
      </c>
      <c r="E100" s="64" t="str">
        <f>_xlfn.CONCAT("DPC.Mlr.",D100)</f>
        <v>DPC.Mlr.106</v>
      </c>
      <c r="F100" t="str">
        <f>VLOOKUP(E100,TaskValues_ref!E:F,2,FALSE)</f>
        <v>Risk reduction</v>
      </c>
      <c r="G100" t="str">
        <f>VLOOKUP($E100,TaskValues_ref!$E:$Z,3,FALSE)</f>
        <v>Non-clinical</v>
      </c>
      <c r="H100" t="str">
        <f>VLOOKUP($E100,TaskValues_ref!$E:$Z,4,FALSE)</f>
        <v>Public Health</v>
      </c>
      <c r="I100" t="str">
        <f>VLOOKUP($E100,TaskValues_ref!$E:$Z,5,FALSE)</f>
        <v>Malaria</v>
      </c>
      <c r="J100" s="257" t="str">
        <f>VLOOKUP($E100,TaskValues_ref!$E:$Z,6,FALSE)</f>
        <v>-</v>
      </c>
      <c r="K100" t="str">
        <f>VLOOKUP($E100,TaskValues_ref!$E:$Z,10,FALSE)</f>
        <v>Amhara</v>
      </c>
      <c r="L100" s="195" t="str">
        <f>IF(VLOOKUP($E100,TaskValues_ref!$E:$Z,11,FALSE)=0,"",VLOOKUP($E100,TaskValues_ref!$E:$Z,11,FALSE))</f>
        <v/>
      </c>
      <c r="M100" t="str">
        <f>IF(VLOOKUP($E100,TaskValues_ref!$E:$Z,13,FALSE)=0,"",VLOOKUP($E100,TaskValues_ref!$E:$Z,13,FALSE))</f>
        <v/>
      </c>
      <c r="N100" s="89" t="str">
        <f>IF(VLOOKUP($E100,TaskValues_ref!$E:$Z,15,FALSE)=0,"",VLOOKUP($E100,TaskValues_ref!$E:$Z,15,FALSE))</f>
        <v/>
      </c>
      <c r="O100" t="str">
        <f>IF(VLOOKUP($E100,TaskValues_ref!$E:$Z,16,FALSE)=0,"",VLOOKUP($E100,TaskValues_ref!$E:$Z,16,FALSE))</f>
        <v/>
      </c>
      <c r="P100" t="str">
        <f>IF(VLOOKUP($E100,TaskValues_ref!$E:$Z,17,FALSE)=0,"",VLOOKUP($E100,TaskValues_ref!$E:$Z,17,FALSE))</f>
        <v/>
      </c>
      <c r="Q100" t="str">
        <f>IF(VLOOKUP($E100,TaskValues_ref!$E:$Z,18,FALSE)=0,"",VLOOKUP($E100,TaskValues_ref!$E:$Z,18,FALSE))</f>
        <v/>
      </c>
      <c r="R100" t="str">
        <f>IF(VLOOKUP($E100,TaskValues_ref!$E:$Z,19,FALSE)=0,"",VLOOKUP($E100,TaskValues_ref!$E:$Z,19,FALSE))</f>
        <v/>
      </c>
      <c r="S100" t="str">
        <f>IF(VLOOKUP($E100,TaskValues_ref!$E:$Z,20,FALSE)=0,"",VLOOKUP($E100,TaskValues_ref!$E:$Z,20,FALSE))</f>
        <v/>
      </c>
    </row>
    <row r="101" spans="1:19" x14ac:dyDescent="0.45">
      <c r="A101" s="66" t="s">
        <v>2337</v>
      </c>
      <c r="B101" s="66" t="s">
        <v>2335</v>
      </c>
      <c r="C101" s="66" t="s">
        <v>69</v>
      </c>
      <c r="D101" s="66">
        <v>107</v>
      </c>
      <c r="E101" s="64" t="str">
        <f>_xlfn.CONCAT("DPC.Mlr.",D101)</f>
        <v>DPC.Mlr.107</v>
      </c>
      <c r="F101" t="str">
        <f>VLOOKUP(E101,TaskValues_ref!E:F,2,FALSE)</f>
        <v>Outbreak detection &amp; response</v>
      </c>
      <c r="G101" t="str">
        <f>VLOOKUP($E101,TaskValues_ref!$E:$Z,3,FALSE)</f>
        <v>Non-clinical</v>
      </c>
      <c r="H101" t="str">
        <f>VLOOKUP($E101,TaskValues_ref!$E:$Z,4,FALSE)</f>
        <v>Public Health</v>
      </c>
      <c r="I101" t="str">
        <f>VLOOKUP($E101,TaskValues_ref!$E:$Z,5,FALSE)</f>
        <v>Malaria</v>
      </c>
      <c r="J101" s="257" t="str">
        <f>VLOOKUP($E101,TaskValues_ref!$E:$Z,6,FALSE)</f>
        <v>-</v>
      </c>
      <c r="K101" t="str">
        <f>VLOOKUP($E101,TaskValues_ref!$E:$Z,10,FALSE)</f>
        <v>Amhara</v>
      </c>
      <c r="L101" s="195" t="str">
        <f>IF(VLOOKUP($E101,TaskValues_ref!$E:$Z,11,FALSE)=0,"",VLOOKUP($E101,TaskValues_ref!$E:$Z,11,FALSE))</f>
        <v/>
      </c>
      <c r="M101" t="str">
        <f>IF(VLOOKUP($E101,TaskValues_ref!$E:$Z,13,FALSE)=0,"",VLOOKUP($E101,TaskValues_ref!$E:$Z,13,FALSE))</f>
        <v/>
      </c>
      <c r="N101" s="89" t="str">
        <f>IF(VLOOKUP($E101,TaskValues_ref!$E:$Z,15,FALSE)=0,"",VLOOKUP($E101,TaskValues_ref!$E:$Z,15,FALSE))</f>
        <v/>
      </c>
      <c r="O101" t="str">
        <f>IF(VLOOKUP($E101,TaskValues_ref!$E:$Z,16,FALSE)=0,"",VLOOKUP($E101,TaskValues_ref!$E:$Z,16,FALSE))</f>
        <v/>
      </c>
      <c r="P101" t="str">
        <f>IF(VLOOKUP($E101,TaskValues_ref!$E:$Z,17,FALSE)=0,"",VLOOKUP($E101,TaskValues_ref!$E:$Z,17,FALSE))</f>
        <v/>
      </c>
      <c r="Q101" t="str">
        <f>IF(VLOOKUP($E101,TaskValues_ref!$E:$Z,18,FALSE)=0,"",VLOOKUP($E101,TaskValues_ref!$E:$Z,18,FALSE))</f>
        <v/>
      </c>
      <c r="R101" t="str">
        <f>IF(VLOOKUP($E101,TaskValues_ref!$E:$Z,19,FALSE)=0,"",VLOOKUP($E101,TaskValues_ref!$E:$Z,19,FALSE))</f>
        <v/>
      </c>
      <c r="S101" t="str">
        <f>IF(VLOOKUP($E101,TaskValues_ref!$E:$Z,20,FALSE)=0,"",VLOOKUP($E101,TaskValues_ref!$E:$Z,20,FALSE))</f>
        <v/>
      </c>
    </row>
    <row r="102" spans="1:19" x14ac:dyDescent="0.45">
      <c r="A102" s="66" t="s">
        <v>2337</v>
      </c>
      <c r="B102" s="66" t="s">
        <v>2335</v>
      </c>
      <c r="C102" s="66" t="s">
        <v>2367</v>
      </c>
      <c r="D102" s="66">
        <v>108</v>
      </c>
      <c r="E102" s="64" t="s">
        <v>2373</v>
      </c>
      <c r="F102" t="str">
        <f>VLOOKUP(E102,TaskValues_ref!E:F,2,FALSE)</f>
        <v>Testing</v>
      </c>
      <c r="G102" t="str">
        <f>VLOOKUP($E102,TaskValues_ref!$E:$Z,3,FALSE)</f>
        <v>Clinical</v>
      </c>
      <c r="H102" t="str">
        <f>VLOOKUP($E102,TaskValues_ref!$E:$Z,4,FALSE)</f>
        <v>Acute</v>
      </c>
      <c r="I102" t="str">
        <f>VLOOKUP($E102,TaskValues_ref!$E:$Z,5,FALSE)</f>
        <v>Tuberculosis</v>
      </c>
      <c r="J102" s="257" t="str">
        <f>VLOOKUP($E102,TaskValues_ref!$E:$Z,6,FALSE)</f>
        <v>adults 18+</v>
      </c>
      <c r="K102" t="str">
        <f>VLOOKUP($E102,TaskValues_ref!$E:$Z,10,FALSE)</f>
        <v>Amhara</v>
      </c>
      <c r="L102" s="195">
        <f>IF(VLOOKUP($E102,TaskValues_ref!$E:$Z,11,FALSE)=0,"",VLOOKUP($E102,TaskValues_ref!$E:$Z,11,FALSE))</f>
        <v>1.083E-3</v>
      </c>
      <c r="M102">
        <f>IF(VLOOKUP($E102,TaskValues_ref!$E:$Z,13,FALSE)=0,"",VLOOKUP($E102,TaskValues_ref!$E:$Z,13,FALSE))</f>
        <v>8.3333333333333339</v>
      </c>
      <c r="N102" s="89">
        <f>IF(VLOOKUP($E102,TaskValues_ref!$E:$Z,15,FALSE)=0,"",VLOOKUP($E102,TaskValues_ref!$E:$Z,15,FALSE))</f>
        <v>0.92465934537590888</v>
      </c>
      <c r="O102">
        <f>IF(VLOOKUP($E102,TaskValues_ref!$E:$Z,16,FALSE)=0,"",VLOOKUP($E102,TaskValues_ref!$E:$Z,16,FALSE))</f>
        <v>1</v>
      </c>
      <c r="P102" t="str">
        <f>IF(VLOOKUP($E102,TaskValues_ref!$E:$Z,17,FALSE)=0,"",VLOOKUP($E102,TaskValues_ref!$E:$Z,17,FALSE))</f>
        <v/>
      </c>
      <c r="Q102">
        <f>IF(VLOOKUP($E102,TaskValues_ref!$E:$Z,18,FALSE)=0,"",VLOOKUP($E102,TaskValues_ref!$E:$Z,18,FALSE))</f>
        <v>10</v>
      </c>
      <c r="R102" t="str">
        <f>IF(VLOOKUP($E102,TaskValues_ref!$E:$Z,19,FALSE)=0,"",VLOOKUP($E102,TaskValues_ref!$E:$Z,19,FALSE))</f>
        <v/>
      </c>
      <c r="S102" t="str">
        <f>IF(VLOOKUP($E102,TaskValues_ref!$E:$Z,20,FALSE)=0,"",VLOOKUP($E102,TaskValues_ref!$E:$Z,20,FALSE))</f>
        <v/>
      </c>
    </row>
    <row r="103" spans="1:19" x14ac:dyDescent="0.45">
      <c r="A103" s="66" t="s">
        <v>2337</v>
      </c>
      <c r="B103" s="66" t="s">
        <v>2335</v>
      </c>
      <c r="C103" s="66" t="s">
        <v>2367</v>
      </c>
      <c r="D103" s="66">
        <v>108</v>
      </c>
      <c r="E103" s="64" t="s">
        <v>2374</v>
      </c>
      <c r="F103" t="str">
        <f>VLOOKUP(E103,TaskValues_ref!E:F,2,FALSE)</f>
        <v>Follow-up and linkage for positives</v>
      </c>
      <c r="G103" t="str">
        <f>VLOOKUP($E103,TaskValues_ref!$E:$Z,3,FALSE)</f>
        <v>Clinical</v>
      </c>
      <c r="H103" t="str">
        <f>VLOOKUP($E103,TaskValues_ref!$E:$Z,4,FALSE)</f>
        <v>Acute</v>
      </c>
      <c r="I103" t="str">
        <f>VLOOKUP($E103,TaskValues_ref!$E:$Z,5,FALSE)</f>
        <v>Tuberculosis</v>
      </c>
      <c r="J103" s="257" t="str">
        <f>VLOOKUP($E103,TaskValues_ref!$E:$Z,6,FALSE)</f>
        <v>adults 18+</v>
      </c>
      <c r="K103" t="str">
        <f>VLOOKUP($E103,TaskValues_ref!$E:$Z,10,FALSE)</f>
        <v>Amhara</v>
      </c>
      <c r="L103" s="195">
        <f>IF(VLOOKUP($E103,TaskValues_ref!$E:$Z,11,FALSE)=0,"",VLOOKUP($E103,TaskValues_ref!$E:$Z,11,FALSE))</f>
        <v>1.083E-3</v>
      </c>
      <c r="M103" t="str">
        <f>IF(VLOOKUP($E103,TaskValues_ref!$E:$Z,13,FALSE)=0,"",VLOOKUP($E103,TaskValues_ref!$E:$Z,13,FALSE))</f>
        <v/>
      </c>
      <c r="N103" s="89">
        <f>IF(VLOOKUP($E103,TaskValues_ref!$E:$Z,15,FALSE)=0,"",VLOOKUP($E103,TaskValues_ref!$E:$Z,15,FALSE))</f>
        <v>0.92465934537590888</v>
      </c>
      <c r="O103">
        <f>IF(VLOOKUP($E103,TaskValues_ref!$E:$Z,16,FALSE)=0,"",VLOOKUP($E103,TaskValues_ref!$E:$Z,16,FALSE))</f>
        <v>1</v>
      </c>
      <c r="P103" t="str">
        <f>IF(VLOOKUP($E103,TaskValues_ref!$E:$Z,17,FALSE)=0,"",VLOOKUP($E103,TaskValues_ref!$E:$Z,17,FALSE))</f>
        <v/>
      </c>
      <c r="Q103">
        <f>IF(VLOOKUP($E103,TaskValues_ref!$E:$Z,18,FALSE)=0,"",VLOOKUP($E103,TaskValues_ref!$E:$Z,18,FALSE))</f>
        <v>10</v>
      </c>
      <c r="R103" t="str">
        <f>IF(VLOOKUP($E103,TaskValues_ref!$E:$Z,19,FALSE)=0,"",VLOOKUP($E103,TaskValues_ref!$E:$Z,19,FALSE))</f>
        <v/>
      </c>
      <c r="S103" t="str">
        <f>IF(VLOOKUP($E103,TaskValues_ref!$E:$Z,20,FALSE)=0,"",VLOOKUP($E103,TaskValues_ref!$E:$Z,20,FALSE))</f>
        <v/>
      </c>
    </row>
    <row r="104" spans="1:19" x14ac:dyDescent="0.45">
      <c r="A104" s="66" t="s">
        <v>2337</v>
      </c>
      <c r="B104" s="66" t="s">
        <v>2335</v>
      </c>
      <c r="C104" s="66" t="s">
        <v>2367</v>
      </c>
      <c r="D104" s="66">
        <v>109</v>
      </c>
      <c r="E104" s="64" t="str">
        <f>_xlfn.CONCAT("DPC.TB.",D104)</f>
        <v>DPC.TB.109</v>
      </c>
      <c r="F104" t="str">
        <f>VLOOKUP(E104,TaskValues_ref!E:F,2,FALSE)</f>
        <v>Treatment (DOT)</v>
      </c>
      <c r="G104" t="str">
        <f>VLOOKUP($E104,TaskValues_ref!$E:$Z,3,FALSE)</f>
        <v>Clinical</v>
      </c>
      <c r="H104" t="str">
        <f>VLOOKUP($E104,TaskValues_ref!$E:$Z,4,FALSE)</f>
        <v>Acute</v>
      </c>
      <c r="I104" t="str">
        <f>VLOOKUP($E104,TaskValues_ref!$E:$Z,5,FALSE)</f>
        <v>Tuberculosis</v>
      </c>
      <c r="J104" s="257" t="str">
        <f>VLOOKUP($E104,TaskValues_ref!$E:$Z,6,FALSE)</f>
        <v>adults 18+</v>
      </c>
      <c r="K104" t="str">
        <f>VLOOKUP($E104,TaskValues_ref!$E:$Z,10,FALSE)</f>
        <v>Amhara</v>
      </c>
      <c r="L104" s="195">
        <f>IF(VLOOKUP($E104,TaskValues_ref!$E:$Z,11,FALSE)=0,"",VLOOKUP($E104,TaskValues_ref!$E:$Z,11,FALSE))</f>
        <v>1.083E-3</v>
      </c>
      <c r="M104" t="str">
        <f>IF(VLOOKUP($E104,TaskValues_ref!$E:$Z,13,FALSE)=0,"",VLOOKUP($E104,TaskValues_ref!$E:$Z,13,FALSE))</f>
        <v/>
      </c>
      <c r="N104" s="89">
        <f>IF(VLOOKUP($E104,TaskValues_ref!$E:$Z,15,FALSE)=0,"",VLOOKUP($E104,TaskValues_ref!$E:$Z,15,FALSE))</f>
        <v>0.92465934537590888</v>
      </c>
      <c r="O104">
        <f>IF(VLOOKUP($E104,TaskValues_ref!$E:$Z,16,FALSE)=0,"",VLOOKUP($E104,TaskValues_ref!$E:$Z,16,FALSE))</f>
        <v>84</v>
      </c>
      <c r="P104" t="str">
        <f>IF(VLOOKUP($E104,TaskValues_ref!$E:$Z,17,FALSE)=0,"",VLOOKUP($E104,TaskValues_ref!$E:$Z,17,FALSE))</f>
        <v/>
      </c>
      <c r="Q104">
        <f>IF(VLOOKUP($E104,TaskValues_ref!$E:$Z,18,FALSE)=0,"",VLOOKUP($E104,TaskValues_ref!$E:$Z,18,FALSE))</f>
        <v>5</v>
      </c>
      <c r="R104" t="str">
        <f>IF(VLOOKUP($E104,TaskValues_ref!$E:$Z,19,FALSE)=0,"",VLOOKUP($E104,TaskValues_ref!$E:$Z,19,FALSE))</f>
        <v/>
      </c>
      <c r="S104" t="str">
        <f>IF(VLOOKUP($E104,TaskValues_ref!$E:$Z,20,FALSE)=0,"",VLOOKUP($E104,TaskValues_ref!$E:$Z,20,FALSE))</f>
        <v/>
      </c>
    </row>
    <row r="105" spans="1:19" x14ac:dyDescent="0.45">
      <c r="A105" s="66" t="s">
        <v>2337</v>
      </c>
      <c r="B105" s="66" t="s">
        <v>2335</v>
      </c>
      <c r="C105" s="66" t="s">
        <v>2367</v>
      </c>
      <c r="D105" s="66">
        <v>110</v>
      </c>
      <c r="E105" s="64" t="str">
        <f>_xlfn.CONCAT("DPC.TB.",D105)</f>
        <v>DPC.TB.110</v>
      </c>
      <c r="F105" t="str">
        <f>VLOOKUP(E105,TaskValues_ref!E:F,2,FALSE)</f>
        <v>HIV prevention for TB patients</v>
      </c>
      <c r="G105" t="str">
        <f>VLOOKUP($E105,TaskValues_ref!$E:$Z,3,FALSE)</f>
        <v>Non-clinical</v>
      </c>
      <c r="H105" t="str">
        <f>VLOOKUP($E105,TaskValues_ref!$E:$Z,4,FALSE)</f>
        <v>Public Health</v>
      </c>
      <c r="I105" t="str">
        <f>VLOOKUP($E105,TaskValues_ref!$E:$Z,5,FALSE)</f>
        <v>Tuberculosis</v>
      </c>
      <c r="J105" s="257" t="str">
        <f>VLOOKUP($E105,TaskValues_ref!$E:$Z,6,FALSE)</f>
        <v>-</v>
      </c>
      <c r="K105" t="str">
        <f>VLOOKUP($E105,TaskValues_ref!$E:$Z,10,FALSE)</f>
        <v>Amhara</v>
      </c>
      <c r="L105" s="195" t="str">
        <f>IF(VLOOKUP($E105,TaskValues_ref!$E:$Z,11,FALSE)=0,"",VLOOKUP($E105,TaskValues_ref!$E:$Z,11,FALSE))</f>
        <v/>
      </c>
      <c r="M105" t="str">
        <f>IF(VLOOKUP($E105,TaskValues_ref!$E:$Z,13,FALSE)=0,"",VLOOKUP($E105,TaskValues_ref!$E:$Z,13,FALSE))</f>
        <v/>
      </c>
      <c r="N105" s="89" t="str">
        <f>IF(VLOOKUP($E105,TaskValues_ref!$E:$Z,15,FALSE)=0,"",VLOOKUP($E105,TaskValues_ref!$E:$Z,15,FALSE))</f>
        <v/>
      </c>
      <c r="O105" t="str">
        <f>IF(VLOOKUP($E105,TaskValues_ref!$E:$Z,16,FALSE)=0,"",VLOOKUP($E105,TaskValues_ref!$E:$Z,16,FALSE))</f>
        <v/>
      </c>
      <c r="P105" t="str">
        <f>IF(VLOOKUP($E105,TaskValues_ref!$E:$Z,17,FALSE)=0,"",VLOOKUP($E105,TaskValues_ref!$E:$Z,17,FALSE))</f>
        <v/>
      </c>
      <c r="Q105" t="str">
        <f>IF(VLOOKUP($E105,TaskValues_ref!$E:$Z,18,FALSE)=0,"",VLOOKUP($E105,TaskValues_ref!$E:$Z,18,FALSE))</f>
        <v/>
      </c>
      <c r="R105" t="str">
        <f>IF(VLOOKUP($E105,TaskValues_ref!$E:$Z,19,FALSE)=0,"",VLOOKUP($E105,TaskValues_ref!$E:$Z,19,FALSE))</f>
        <v/>
      </c>
      <c r="S105" t="str">
        <f>IF(VLOOKUP($E105,TaskValues_ref!$E:$Z,20,FALSE)=0,"",VLOOKUP($E105,TaskValues_ref!$E:$Z,20,FALSE))</f>
        <v/>
      </c>
    </row>
    <row r="106" spans="1:19" x14ac:dyDescent="0.45">
      <c r="A106" s="66" t="s">
        <v>2337</v>
      </c>
      <c r="B106" s="66" t="s">
        <v>2378</v>
      </c>
      <c r="C106" s="66" t="s">
        <v>2379</v>
      </c>
      <c r="D106" s="66">
        <v>112</v>
      </c>
      <c r="E106" s="64" t="s">
        <v>2383</v>
      </c>
      <c r="F106" t="str">
        <f>VLOOKUP(E106,TaskValues_ref!E:F,2,FALSE)</f>
        <v>Promote protection from tobacco smoke</v>
      </c>
      <c r="G106" t="str">
        <f>VLOOKUP($E106,TaskValues_ref!$E:$Z,3,FALSE)</f>
        <v>Non-clinical</v>
      </c>
      <c r="H106" t="str">
        <f>VLOOKUP($E106,TaskValues_ref!$E:$Z,4,FALSE)</f>
        <v>Public Health</v>
      </c>
      <c r="I106" t="str">
        <f>VLOOKUP($E106,TaskValues_ref!$E:$Z,5,FALSE)</f>
        <v>-</v>
      </c>
      <c r="J106" s="257" t="str">
        <f>VLOOKUP($E106,TaskValues_ref!$E:$Z,6,FALSE)</f>
        <v>-</v>
      </c>
      <c r="K106" t="str">
        <f>VLOOKUP($E106,TaskValues_ref!$E:$Z,10,FALSE)</f>
        <v>Amhara</v>
      </c>
      <c r="L106" s="195" t="str">
        <f>IF(VLOOKUP($E106,TaskValues_ref!$E:$Z,11,FALSE)=0,"",VLOOKUP($E106,TaskValues_ref!$E:$Z,11,FALSE))</f>
        <v/>
      </c>
      <c r="M106" t="str">
        <f>IF(VLOOKUP($E106,TaskValues_ref!$E:$Z,13,FALSE)=0,"",VLOOKUP($E106,TaskValues_ref!$E:$Z,13,FALSE))</f>
        <v/>
      </c>
      <c r="N106" s="89" t="str">
        <f>IF(VLOOKUP($E106,TaskValues_ref!$E:$Z,15,FALSE)=0,"",VLOOKUP($E106,TaskValues_ref!$E:$Z,15,FALSE))</f>
        <v/>
      </c>
      <c r="O106" t="str">
        <f>IF(VLOOKUP($E106,TaskValues_ref!$E:$Z,16,FALSE)=0,"",VLOOKUP($E106,TaskValues_ref!$E:$Z,16,FALSE))</f>
        <v/>
      </c>
      <c r="P106" t="str">
        <f>IF(VLOOKUP($E106,TaskValues_ref!$E:$Z,17,FALSE)=0,"",VLOOKUP($E106,TaskValues_ref!$E:$Z,17,FALSE))</f>
        <v/>
      </c>
      <c r="Q106" t="str">
        <f>IF(VLOOKUP($E106,TaskValues_ref!$E:$Z,18,FALSE)=0,"",VLOOKUP($E106,TaskValues_ref!$E:$Z,18,FALSE))</f>
        <v/>
      </c>
      <c r="R106" t="str">
        <f>IF(VLOOKUP($E106,TaskValues_ref!$E:$Z,19,FALSE)=0,"",VLOOKUP($E106,TaskValues_ref!$E:$Z,19,FALSE))</f>
        <v/>
      </c>
      <c r="S106" t="str">
        <f>IF(VLOOKUP($E106,TaskValues_ref!$E:$Z,20,FALSE)=0,"",VLOOKUP($E106,TaskValues_ref!$E:$Z,20,FALSE))</f>
        <v/>
      </c>
    </row>
    <row r="107" spans="1:19" x14ac:dyDescent="0.45">
      <c r="A107" s="66" t="s">
        <v>2337</v>
      </c>
      <c r="B107" s="66" t="s">
        <v>2378</v>
      </c>
      <c r="C107" s="66" t="s">
        <v>2379</v>
      </c>
      <c r="D107" s="66">
        <v>113</v>
      </c>
      <c r="E107" s="64" t="s">
        <v>2384</v>
      </c>
      <c r="F107" t="str">
        <f>VLOOKUP(E107,TaskValues_ref!E:F,2,FALSE)</f>
        <v>Campaigns re: alcohol use</v>
      </c>
      <c r="G107" t="str">
        <f>VLOOKUP($E107,TaskValues_ref!$E:$Z,3,FALSE)</f>
        <v>Non-clinical</v>
      </c>
      <c r="H107" t="str">
        <f>VLOOKUP($E107,TaskValues_ref!$E:$Z,4,FALSE)</f>
        <v>Public Health</v>
      </c>
      <c r="I107" t="str">
        <f>VLOOKUP($E107,TaskValues_ref!$E:$Z,5,FALSE)</f>
        <v>-</v>
      </c>
      <c r="J107" s="257" t="str">
        <f>VLOOKUP($E107,TaskValues_ref!$E:$Z,6,FALSE)</f>
        <v>-</v>
      </c>
      <c r="K107" t="str">
        <f>VLOOKUP($E107,TaskValues_ref!$E:$Z,10,FALSE)</f>
        <v>Amhara</v>
      </c>
      <c r="L107" s="195" t="str">
        <f>IF(VLOOKUP($E107,TaskValues_ref!$E:$Z,11,FALSE)=0,"",VLOOKUP($E107,TaskValues_ref!$E:$Z,11,FALSE))</f>
        <v/>
      </c>
      <c r="M107" t="str">
        <f>IF(VLOOKUP($E107,TaskValues_ref!$E:$Z,13,FALSE)=0,"",VLOOKUP($E107,TaskValues_ref!$E:$Z,13,FALSE))</f>
        <v/>
      </c>
      <c r="N107" s="89" t="str">
        <f>IF(VLOOKUP($E107,TaskValues_ref!$E:$Z,15,FALSE)=0,"",VLOOKUP($E107,TaskValues_ref!$E:$Z,15,FALSE))</f>
        <v/>
      </c>
      <c r="O107" t="str">
        <f>IF(VLOOKUP($E107,TaskValues_ref!$E:$Z,16,FALSE)=0,"",VLOOKUP($E107,TaskValues_ref!$E:$Z,16,FALSE))</f>
        <v/>
      </c>
      <c r="P107" t="str">
        <f>IF(VLOOKUP($E107,TaskValues_ref!$E:$Z,17,FALSE)=0,"",VLOOKUP($E107,TaskValues_ref!$E:$Z,17,FALSE))</f>
        <v/>
      </c>
      <c r="Q107" t="str">
        <f>IF(VLOOKUP($E107,TaskValues_ref!$E:$Z,18,FALSE)=0,"",VLOOKUP($E107,TaskValues_ref!$E:$Z,18,FALSE))</f>
        <v/>
      </c>
      <c r="R107" t="str">
        <f>IF(VLOOKUP($E107,TaskValues_ref!$E:$Z,19,FALSE)=0,"",VLOOKUP($E107,TaskValues_ref!$E:$Z,19,FALSE))</f>
        <v/>
      </c>
      <c r="S107" t="str">
        <f>IF(VLOOKUP($E107,TaskValues_ref!$E:$Z,20,FALSE)=0,"",VLOOKUP($E107,TaskValues_ref!$E:$Z,20,FALSE))</f>
        <v/>
      </c>
    </row>
    <row r="108" spans="1:19" x14ac:dyDescent="0.45">
      <c r="A108" s="66" t="s">
        <v>2337</v>
      </c>
      <c r="B108" s="66" t="s">
        <v>2378</v>
      </c>
      <c r="C108" s="66" t="s">
        <v>2379</v>
      </c>
      <c r="D108" s="66">
        <v>114</v>
      </c>
      <c r="E108" s="64" t="s">
        <v>2385</v>
      </c>
      <c r="F108" t="str">
        <f>VLOOKUP(E108,TaskValues_ref!E:F,2,FALSE)</f>
        <v>Community-level physical activity</v>
      </c>
      <c r="G108" t="str">
        <f>VLOOKUP($E108,TaskValues_ref!$E:$Z,3,FALSE)</f>
        <v>Non-clinical</v>
      </c>
      <c r="H108" t="str">
        <f>VLOOKUP($E108,TaskValues_ref!$E:$Z,4,FALSE)</f>
        <v>Public Health</v>
      </c>
      <c r="I108" t="str">
        <f>VLOOKUP($E108,TaskValues_ref!$E:$Z,5,FALSE)</f>
        <v>-</v>
      </c>
      <c r="J108" s="257" t="str">
        <f>VLOOKUP($E108,TaskValues_ref!$E:$Z,6,FALSE)</f>
        <v>-</v>
      </c>
      <c r="K108" t="str">
        <f>VLOOKUP($E108,TaskValues_ref!$E:$Z,10,FALSE)</f>
        <v>Amhara</v>
      </c>
      <c r="L108" s="195" t="str">
        <f>IF(VLOOKUP($E108,TaskValues_ref!$E:$Z,11,FALSE)=0,"",VLOOKUP($E108,TaskValues_ref!$E:$Z,11,FALSE))</f>
        <v/>
      </c>
      <c r="M108" t="str">
        <f>IF(VLOOKUP($E108,TaskValues_ref!$E:$Z,13,FALSE)=0,"",VLOOKUP($E108,TaskValues_ref!$E:$Z,13,FALSE))</f>
        <v/>
      </c>
      <c r="N108" s="89" t="str">
        <f>IF(VLOOKUP($E108,TaskValues_ref!$E:$Z,15,FALSE)=0,"",VLOOKUP($E108,TaskValues_ref!$E:$Z,15,FALSE))</f>
        <v/>
      </c>
      <c r="O108" t="str">
        <f>IF(VLOOKUP($E108,TaskValues_ref!$E:$Z,16,FALSE)=0,"",VLOOKUP($E108,TaskValues_ref!$E:$Z,16,FALSE))</f>
        <v/>
      </c>
      <c r="P108" t="str">
        <f>IF(VLOOKUP($E108,TaskValues_ref!$E:$Z,17,FALSE)=0,"",VLOOKUP($E108,TaskValues_ref!$E:$Z,17,FALSE))</f>
        <v/>
      </c>
      <c r="Q108" t="str">
        <f>IF(VLOOKUP($E108,TaskValues_ref!$E:$Z,18,FALSE)=0,"",VLOOKUP($E108,TaskValues_ref!$E:$Z,18,FALSE))</f>
        <v/>
      </c>
      <c r="R108" t="str">
        <f>IF(VLOOKUP($E108,TaskValues_ref!$E:$Z,19,FALSE)=0,"",VLOOKUP($E108,TaskValues_ref!$E:$Z,19,FALSE))</f>
        <v/>
      </c>
      <c r="S108" t="str">
        <f>IF(VLOOKUP($E108,TaskValues_ref!$E:$Z,20,FALSE)=0,"",VLOOKUP($E108,TaskValues_ref!$E:$Z,20,FALSE))</f>
        <v/>
      </c>
    </row>
    <row r="109" spans="1:19" x14ac:dyDescent="0.45">
      <c r="A109" s="66" t="s">
        <v>2337</v>
      </c>
      <c r="B109" s="66" t="s">
        <v>2378</v>
      </c>
      <c r="C109" s="66" t="s">
        <v>2386</v>
      </c>
      <c r="D109" s="66">
        <v>115</v>
      </c>
      <c r="E109" s="64" t="str">
        <f>_xlfn.CONCAT("DPC.Cncr.",D109)</f>
        <v>DPC.Cncr.115</v>
      </c>
      <c r="F109" t="str">
        <f>VLOOKUP(E109,TaskValues_ref!E:F,2,FALSE)</f>
        <v>Awareness on risk factors</v>
      </c>
      <c r="G109" t="str">
        <f>VLOOKUP($E109,TaskValues_ref!$E:$Z,3,FALSE)</f>
        <v>Non-clinical</v>
      </c>
      <c r="H109" t="str">
        <f>VLOOKUP($E109,TaskValues_ref!$E:$Z,4,FALSE)</f>
        <v>Public Health</v>
      </c>
      <c r="I109" t="str">
        <f>VLOOKUP($E109,TaskValues_ref!$E:$Z,5,FALSE)</f>
        <v>-</v>
      </c>
      <c r="J109" s="257" t="str">
        <f>VLOOKUP($E109,TaskValues_ref!$E:$Z,6,FALSE)</f>
        <v>-</v>
      </c>
      <c r="K109" t="str">
        <f>VLOOKUP($E109,TaskValues_ref!$E:$Z,10,FALSE)</f>
        <v>Amhara</v>
      </c>
      <c r="L109" s="195" t="str">
        <f>IF(VLOOKUP($E109,TaskValues_ref!$E:$Z,11,FALSE)=0,"",VLOOKUP($E109,TaskValues_ref!$E:$Z,11,FALSE))</f>
        <v/>
      </c>
      <c r="M109" t="str">
        <f>IF(VLOOKUP($E109,TaskValues_ref!$E:$Z,13,FALSE)=0,"",VLOOKUP($E109,TaskValues_ref!$E:$Z,13,FALSE))</f>
        <v/>
      </c>
      <c r="N109" s="89" t="str">
        <f>IF(VLOOKUP($E109,TaskValues_ref!$E:$Z,15,FALSE)=0,"",VLOOKUP($E109,TaskValues_ref!$E:$Z,15,FALSE))</f>
        <v/>
      </c>
      <c r="O109" t="str">
        <f>IF(VLOOKUP($E109,TaskValues_ref!$E:$Z,16,FALSE)=0,"",VLOOKUP($E109,TaskValues_ref!$E:$Z,16,FALSE))</f>
        <v/>
      </c>
      <c r="P109" t="str">
        <f>IF(VLOOKUP($E109,TaskValues_ref!$E:$Z,17,FALSE)=0,"",VLOOKUP($E109,TaskValues_ref!$E:$Z,17,FALSE))</f>
        <v/>
      </c>
      <c r="Q109" t="str">
        <f>IF(VLOOKUP($E109,TaskValues_ref!$E:$Z,18,FALSE)=0,"",VLOOKUP($E109,TaskValues_ref!$E:$Z,18,FALSE))</f>
        <v/>
      </c>
      <c r="R109" t="str">
        <f>IF(VLOOKUP($E109,TaskValues_ref!$E:$Z,19,FALSE)=0,"",VLOOKUP($E109,TaskValues_ref!$E:$Z,19,FALSE))</f>
        <v/>
      </c>
      <c r="S109" t="str">
        <f>IF(VLOOKUP($E109,TaskValues_ref!$E:$Z,20,FALSE)=0,"",VLOOKUP($E109,TaskValues_ref!$E:$Z,20,FALSE))</f>
        <v/>
      </c>
    </row>
    <row r="110" spans="1:19" x14ac:dyDescent="0.45">
      <c r="A110" s="66" t="s">
        <v>2337</v>
      </c>
      <c r="B110" s="66" t="s">
        <v>2378</v>
      </c>
      <c r="C110" s="66" t="s">
        <v>2386</v>
      </c>
      <c r="D110" s="66">
        <v>117</v>
      </c>
      <c r="E110" s="64" t="str">
        <f>_xlfn.CONCAT("DPC.Cncr.",D110)</f>
        <v>DPC.Cncr.117</v>
      </c>
      <c r="F110" t="str">
        <f>VLOOKUP(E110,TaskValues_ref!E:F,2,FALSE)</f>
        <v>Breast cancer education</v>
      </c>
      <c r="G110" t="str">
        <f>VLOOKUP($E110,TaskValues_ref!$E:$Z,3,FALSE)</f>
        <v>Clinical</v>
      </c>
      <c r="H110" t="str">
        <f>VLOOKUP($E110,TaskValues_ref!$E:$Z,4,FALSE)</f>
        <v>Public Health</v>
      </c>
      <c r="I110" t="str">
        <f>VLOOKUP($E110,TaskValues_ref!$E:$Z,5,FALSE)</f>
        <v>-</v>
      </c>
      <c r="J110" s="257" t="str">
        <f>VLOOKUP($E110,TaskValues_ref!$E:$Z,6,FALSE)</f>
        <v>-</v>
      </c>
      <c r="K110" t="str">
        <f>VLOOKUP($E110,TaskValues_ref!$E:$Z,10,FALSE)</f>
        <v>Amhara</v>
      </c>
      <c r="L110" s="195" t="str">
        <f>IF(VLOOKUP($E110,TaskValues_ref!$E:$Z,11,FALSE)=0,"",VLOOKUP($E110,TaskValues_ref!$E:$Z,11,FALSE))</f>
        <v/>
      </c>
      <c r="M110" t="str">
        <f>IF(VLOOKUP($E110,TaskValues_ref!$E:$Z,13,FALSE)=0,"",VLOOKUP($E110,TaskValues_ref!$E:$Z,13,FALSE))</f>
        <v/>
      </c>
      <c r="N110" s="89" t="str">
        <f>IF(VLOOKUP($E110,TaskValues_ref!$E:$Z,15,FALSE)=0,"",VLOOKUP($E110,TaskValues_ref!$E:$Z,15,FALSE))</f>
        <v/>
      </c>
      <c r="O110" t="str">
        <f>IF(VLOOKUP($E110,TaskValues_ref!$E:$Z,16,FALSE)=0,"",VLOOKUP($E110,TaskValues_ref!$E:$Z,16,FALSE))</f>
        <v/>
      </c>
      <c r="P110" t="str">
        <f>IF(VLOOKUP($E110,TaskValues_ref!$E:$Z,17,FALSE)=0,"",VLOOKUP($E110,TaskValues_ref!$E:$Z,17,FALSE))</f>
        <v/>
      </c>
      <c r="Q110" t="str">
        <f>IF(VLOOKUP($E110,TaskValues_ref!$E:$Z,18,FALSE)=0,"",VLOOKUP($E110,TaskValues_ref!$E:$Z,18,FALSE))</f>
        <v/>
      </c>
      <c r="R110" t="str">
        <f>IF(VLOOKUP($E110,TaskValues_ref!$E:$Z,19,FALSE)=0,"",VLOOKUP($E110,TaskValues_ref!$E:$Z,19,FALSE))</f>
        <v/>
      </c>
      <c r="S110" t="str">
        <f>IF(VLOOKUP($E110,TaskValues_ref!$E:$Z,20,FALSE)=0,"",VLOOKUP($E110,TaskValues_ref!$E:$Z,20,FALSE))</f>
        <v/>
      </c>
    </row>
    <row r="111" spans="1:19" x14ac:dyDescent="0.45">
      <c r="A111" s="66" t="s">
        <v>2337</v>
      </c>
      <c r="B111" s="66" t="s">
        <v>2378</v>
      </c>
      <c r="C111" s="66" t="s">
        <v>2386</v>
      </c>
      <c r="D111" s="66">
        <v>118</v>
      </c>
      <c r="E111" s="64" t="str">
        <f>_xlfn.CONCAT("DPC.Cncr.",D111)</f>
        <v>DPC.Cncr.118</v>
      </c>
      <c r="F111" t="str">
        <f>VLOOKUP(E111,TaskValues_ref!E:F,2,FALSE)</f>
        <v>Clinical breast exams</v>
      </c>
      <c r="G111" t="str">
        <f>VLOOKUP($E111,TaskValues_ref!$E:$Z,3,FALSE)</f>
        <v>Clinical</v>
      </c>
      <c r="H111" t="str">
        <f>VLOOKUP($E111,TaskValues_ref!$E:$Z,4,FALSE)</f>
        <v>Preventive</v>
      </c>
      <c r="I111" t="str">
        <f>VLOOKUP($E111,TaskValues_ref!$E:$Z,5,FALSE)</f>
        <v>NCDs</v>
      </c>
      <c r="J111" s="257" t="str">
        <f>VLOOKUP($E111,TaskValues_ref!$E:$Z,6,FALSE)</f>
        <v>women 15-49</v>
      </c>
      <c r="K111" t="str">
        <f>VLOOKUP($E111,TaskValues_ref!$E:$Z,10,FALSE)</f>
        <v>Amhara</v>
      </c>
      <c r="L111" s="195">
        <f>IF(VLOOKUP($E111,TaskValues_ref!$E:$Z,11,FALSE)=0,"",VLOOKUP($E111,TaskValues_ref!$E:$Z,11,FALSE))</f>
        <v>1</v>
      </c>
      <c r="M111">
        <f>IF(VLOOKUP($E111,TaskValues_ref!$E:$Z,13,FALSE)=0,"",VLOOKUP($E111,TaskValues_ref!$E:$Z,13,FALSE))</f>
        <v>0.5</v>
      </c>
      <c r="N111" s="89">
        <f>IF(VLOOKUP($E111,TaskValues_ref!$E:$Z,15,FALSE)=0,"",VLOOKUP($E111,TaskValues_ref!$E:$Z,15,FALSE))</f>
        <v>1</v>
      </c>
      <c r="O111" t="str">
        <f>IF(VLOOKUP($E111,TaskValues_ref!$E:$Z,16,FALSE)=0,"",VLOOKUP($E111,TaskValues_ref!$E:$Z,16,FALSE))</f>
        <v/>
      </c>
      <c r="P111">
        <f>IF(VLOOKUP($E111,TaskValues_ref!$E:$Z,17,FALSE)=0,"",VLOOKUP($E111,TaskValues_ref!$E:$Z,17,FALSE))</f>
        <v>1</v>
      </c>
      <c r="Q111">
        <f>IF(VLOOKUP($E111,TaskValues_ref!$E:$Z,18,FALSE)=0,"",VLOOKUP($E111,TaskValues_ref!$E:$Z,18,FALSE))</f>
        <v>5</v>
      </c>
      <c r="R111" t="str">
        <f>IF(VLOOKUP($E111,TaskValues_ref!$E:$Z,19,FALSE)=0,"",VLOOKUP($E111,TaskValues_ref!$E:$Z,19,FALSE))</f>
        <v/>
      </c>
      <c r="S111" t="str">
        <f>IF(VLOOKUP($E111,TaskValues_ref!$E:$Z,20,FALSE)=0,"",VLOOKUP($E111,TaskValues_ref!$E:$Z,20,FALSE))</f>
        <v/>
      </c>
    </row>
    <row r="112" spans="1:19" x14ac:dyDescent="0.45">
      <c r="A112" s="66" t="s">
        <v>2337</v>
      </c>
      <c r="B112" s="66" t="s">
        <v>2378</v>
      </c>
      <c r="C112" s="66" t="s">
        <v>2386</v>
      </c>
      <c r="D112" s="66">
        <v>119</v>
      </c>
      <c r="E112" s="64" t="s">
        <v>3368</v>
      </c>
      <c r="F112" t="str">
        <f>VLOOKUP(E112,TaskValues_ref!E:F,2,FALSE)</f>
        <v>Palliative care for cancer, men 20-29</v>
      </c>
      <c r="G112" t="str">
        <f>VLOOKUP($E112,TaskValues_ref!$E:$Z,3,FALSE)</f>
        <v>Clinical</v>
      </c>
      <c r="H112" t="str">
        <f>VLOOKUP($E112,TaskValues_ref!$E:$Z,4,FALSE)</f>
        <v>Acute</v>
      </c>
      <c r="I112" t="str">
        <f>VLOOKUP($E112,TaskValues_ref!$E:$Z,5,FALSE)</f>
        <v>NCDs</v>
      </c>
      <c r="J112" s="257" t="str">
        <f>VLOOKUP($E112,TaskValues_ref!$E:$Z,6,FALSE)</f>
        <v>men 20-29</v>
      </c>
      <c r="K112" t="str">
        <f>VLOOKUP($E112,TaskValues_ref!$E:$Z,10,FALSE)</f>
        <v>Amhara</v>
      </c>
      <c r="L112" s="195">
        <f>IF(VLOOKUP($E112,TaskValues_ref!$E:$Z,11,FALSE)=0,"",VLOOKUP($E112,TaskValues_ref!$E:$Z,11,FALSE))</f>
        <v>1.0900000000000001E-4</v>
      </c>
      <c r="M112">
        <f>IF(VLOOKUP($E112,TaskValues_ref!$E:$Z,13,FALSE)=0,"",VLOOKUP($E112,TaskValues_ref!$E:$Z,13,FALSE))</f>
        <v>0.5</v>
      </c>
      <c r="N112" s="89">
        <f>IF(VLOOKUP($E112,TaskValues_ref!$E:$Z,15,FALSE)=0,"",VLOOKUP($E112,TaskValues_ref!$E:$Z,15,FALSE))</f>
        <v>1</v>
      </c>
      <c r="O112">
        <f>IF(VLOOKUP($E112,TaskValues_ref!$E:$Z,16,FALSE)=0,"",VLOOKUP($E112,TaskValues_ref!$E:$Z,16,FALSE))</f>
        <v>12</v>
      </c>
      <c r="P112" t="str">
        <f>IF(VLOOKUP($E112,TaskValues_ref!$E:$Z,17,FALSE)=0,"",VLOOKUP($E112,TaskValues_ref!$E:$Z,17,FALSE))</f>
        <v/>
      </c>
      <c r="Q112">
        <f>IF(VLOOKUP($E112,TaskValues_ref!$E:$Z,18,FALSE)=0,"",VLOOKUP($E112,TaskValues_ref!$E:$Z,18,FALSE))</f>
        <v>15</v>
      </c>
      <c r="R112" t="str">
        <f>IF(VLOOKUP($E112,TaskValues_ref!$E:$Z,19,FALSE)=0,"",VLOOKUP($E112,TaskValues_ref!$E:$Z,19,FALSE))</f>
        <v/>
      </c>
      <c r="S112" t="str">
        <f>IF(VLOOKUP($E112,TaskValues_ref!$E:$Z,20,FALSE)=0,"",VLOOKUP($E112,TaskValues_ref!$E:$Z,20,FALSE))</f>
        <v/>
      </c>
    </row>
    <row r="113" spans="1:19" x14ac:dyDescent="0.45">
      <c r="A113" s="66" t="s">
        <v>2337</v>
      </c>
      <c r="B113" s="66" t="s">
        <v>2378</v>
      </c>
      <c r="C113" s="66" t="s">
        <v>2386</v>
      </c>
      <c r="D113" s="66">
        <v>119</v>
      </c>
      <c r="E113" s="64" t="s">
        <v>3369</v>
      </c>
      <c r="F113" t="str">
        <f>VLOOKUP(E113,TaskValues_ref!E:F,2,FALSE)</f>
        <v>Palliative care for cancer, men 30-39</v>
      </c>
      <c r="G113" t="str">
        <f>VLOOKUP($E113,TaskValues_ref!$E:$Z,3,FALSE)</f>
        <v>Clinical</v>
      </c>
      <c r="H113" t="str">
        <f>VLOOKUP($E113,TaskValues_ref!$E:$Z,4,FALSE)</f>
        <v>Acute</v>
      </c>
      <c r="I113" t="str">
        <f>VLOOKUP($E113,TaskValues_ref!$E:$Z,5,FALSE)</f>
        <v>NCDs</v>
      </c>
      <c r="J113" s="257" t="str">
        <f>VLOOKUP($E113,TaskValues_ref!$E:$Z,6,FALSE)</f>
        <v>men 30-39</v>
      </c>
      <c r="K113" t="str">
        <f>VLOOKUP($E113,TaskValues_ref!$E:$Z,10,FALSE)</f>
        <v>Amhara</v>
      </c>
      <c r="L113" s="195">
        <f>IF(VLOOKUP($E113,TaskValues_ref!$E:$Z,11,FALSE)=0,"",VLOOKUP($E113,TaskValues_ref!$E:$Z,11,FALSE))</f>
        <v>1.8100000000000001E-4</v>
      </c>
      <c r="M113">
        <f>IF(VLOOKUP($E113,TaskValues_ref!$E:$Z,13,FALSE)=0,"",VLOOKUP($E113,TaskValues_ref!$E:$Z,13,FALSE))</f>
        <v>0.5</v>
      </c>
      <c r="N113" s="89">
        <f>IF(VLOOKUP($E113,TaskValues_ref!$E:$Z,15,FALSE)=0,"",VLOOKUP($E113,TaskValues_ref!$E:$Z,15,FALSE))</f>
        <v>1</v>
      </c>
      <c r="O113">
        <f>IF(VLOOKUP($E113,TaskValues_ref!$E:$Z,16,FALSE)=0,"",VLOOKUP($E113,TaskValues_ref!$E:$Z,16,FALSE))</f>
        <v>12</v>
      </c>
      <c r="P113" t="str">
        <f>IF(VLOOKUP($E113,TaskValues_ref!$E:$Z,17,FALSE)=0,"",VLOOKUP($E113,TaskValues_ref!$E:$Z,17,FALSE))</f>
        <v/>
      </c>
      <c r="Q113">
        <f>IF(VLOOKUP($E113,TaskValues_ref!$E:$Z,18,FALSE)=0,"",VLOOKUP($E113,TaskValues_ref!$E:$Z,18,FALSE))</f>
        <v>15</v>
      </c>
      <c r="R113" t="str">
        <f>IF(VLOOKUP($E113,TaskValues_ref!$E:$Z,19,FALSE)=0,"",VLOOKUP($E113,TaskValues_ref!$E:$Z,19,FALSE))</f>
        <v/>
      </c>
      <c r="S113" t="str">
        <f>IF(VLOOKUP($E113,TaskValues_ref!$E:$Z,20,FALSE)=0,"",VLOOKUP($E113,TaskValues_ref!$E:$Z,20,FALSE))</f>
        <v/>
      </c>
    </row>
    <row r="114" spans="1:19" x14ac:dyDescent="0.45">
      <c r="A114" s="66" t="s">
        <v>2337</v>
      </c>
      <c r="B114" s="66" t="s">
        <v>2378</v>
      </c>
      <c r="C114" s="66" t="s">
        <v>2386</v>
      </c>
      <c r="D114" s="66">
        <v>119</v>
      </c>
      <c r="E114" s="64" t="s">
        <v>3370</v>
      </c>
      <c r="F114" t="str">
        <f>VLOOKUP(E114,TaskValues_ref!E:F,2,FALSE)</f>
        <v>Palliative care for cancer, men 40-49</v>
      </c>
      <c r="G114" t="str">
        <f>VLOOKUP($E114,TaskValues_ref!$E:$Z,3,FALSE)</f>
        <v>Clinical</v>
      </c>
      <c r="H114" t="str">
        <f>VLOOKUP($E114,TaskValues_ref!$E:$Z,4,FALSE)</f>
        <v>Acute</v>
      </c>
      <c r="I114" t="str">
        <f>VLOOKUP($E114,TaskValues_ref!$E:$Z,5,FALSE)</f>
        <v>NCDs</v>
      </c>
      <c r="J114" s="257" t="str">
        <f>VLOOKUP($E114,TaskValues_ref!$E:$Z,6,FALSE)</f>
        <v>men 40-49</v>
      </c>
      <c r="K114" t="str">
        <f>VLOOKUP($E114,TaskValues_ref!$E:$Z,10,FALSE)</f>
        <v>Amhara</v>
      </c>
      <c r="L114" s="195">
        <f>IF(VLOOKUP($E114,TaskValues_ref!$E:$Z,11,FALSE)=0,"",VLOOKUP($E114,TaskValues_ref!$E:$Z,11,FALSE))</f>
        <v>4.2700000000000002E-4</v>
      </c>
      <c r="M114">
        <f>IF(VLOOKUP($E114,TaskValues_ref!$E:$Z,13,FALSE)=0,"",VLOOKUP($E114,TaskValues_ref!$E:$Z,13,FALSE))</f>
        <v>0.5</v>
      </c>
      <c r="N114" s="89">
        <f>IF(VLOOKUP($E114,TaskValues_ref!$E:$Z,15,FALSE)=0,"",VLOOKUP($E114,TaskValues_ref!$E:$Z,15,FALSE))</f>
        <v>1</v>
      </c>
      <c r="O114">
        <f>IF(VLOOKUP($E114,TaskValues_ref!$E:$Z,16,FALSE)=0,"",VLOOKUP($E114,TaskValues_ref!$E:$Z,16,FALSE))</f>
        <v>12</v>
      </c>
      <c r="P114" t="str">
        <f>IF(VLOOKUP($E114,TaskValues_ref!$E:$Z,17,FALSE)=0,"",VLOOKUP($E114,TaskValues_ref!$E:$Z,17,FALSE))</f>
        <v/>
      </c>
      <c r="Q114">
        <f>IF(VLOOKUP($E114,TaskValues_ref!$E:$Z,18,FALSE)=0,"",VLOOKUP($E114,TaskValues_ref!$E:$Z,18,FALSE))</f>
        <v>15</v>
      </c>
      <c r="R114" t="str">
        <f>IF(VLOOKUP($E114,TaskValues_ref!$E:$Z,19,FALSE)=0,"",VLOOKUP($E114,TaskValues_ref!$E:$Z,19,FALSE))</f>
        <v/>
      </c>
      <c r="S114" t="str">
        <f>IF(VLOOKUP($E114,TaskValues_ref!$E:$Z,20,FALSE)=0,"",VLOOKUP($E114,TaskValues_ref!$E:$Z,20,FALSE))</f>
        <v/>
      </c>
    </row>
    <row r="115" spans="1:19" x14ac:dyDescent="0.45">
      <c r="A115" s="66" t="s">
        <v>2337</v>
      </c>
      <c r="B115" s="66" t="s">
        <v>2378</v>
      </c>
      <c r="C115" s="66" t="s">
        <v>2386</v>
      </c>
      <c r="D115" s="66">
        <v>119</v>
      </c>
      <c r="E115" s="64" t="s">
        <v>3371</v>
      </c>
      <c r="F115" t="str">
        <f>VLOOKUP(E115,TaskValues_ref!E:F,2,FALSE)</f>
        <v>Palliative care for cancer, men 50-59</v>
      </c>
      <c r="G115" t="str">
        <f>VLOOKUP($E115,TaskValues_ref!$E:$Z,3,FALSE)</f>
        <v>Clinical</v>
      </c>
      <c r="H115" t="str">
        <f>VLOOKUP($E115,TaskValues_ref!$E:$Z,4,FALSE)</f>
        <v>Acute</v>
      </c>
      <c r="I115" t="str">
        <f>VLOOKUP($E115,TaskValues_ref!$E:$Z,5,FALSE)</f>
        <v>NCDs</v>
      </c>
      <c r="J115" s="257" t="str">
        <f>VLOOKUP($E115,TaskValues_ref!$E:$Z,6,FALSE)</f>
        <v>men 50-59</v>
      </c>
      <c r="K115" t="str">
        <f>VLOOKUP($E115,TaskValues_ref!$E:$Z,10,FALSE)</f>
        <v>Amhara</v>
      </c>
      <c r="L115" s="195">
        <f>IF(VLOOKUP($E115,TaskValues_ref!$E:$Z,11,FALSE)=0,"",VLOOKUP($E115,TaskValues_ref!$E:$Z,11,FALSE))</f>
        <v>1.1199999999999999E-3</v>
      </c>
      <c r="M115">
        <f>IF(VLOOKUP($E115,TaskValues_ref!$E:$Z,13,FALSE)=0,"",VLOOKUP($E115,TaskValues_ref!$E:$Z,13,FALSE))</f>
        <v>0.5</v>
      </c>
      <c r="N115" s="89">
        <f>IF(VLOOKUP($E115,TaskValues_ref!$E:$Z,15,FALSE)=0,"",VLOOKUP($E115,TaskValues_ref!$E:$Z,15,FALSE))</f>
        <v>1</v>
      </c>
      <c r="O115">
        <f>IF(VLOOKUP($E115,TaskValues_ref!$E:$Z,16,FALSE)=0,"",VLOOKUP($E115,TaskValues_ref!$E:$Z,16,FALSE))</f>
        <v>12</v>
      </c>
      <c r="P115" t="str">
        <f>IF(VLOOKUP($E115,TaskValues_ref!$E:$Z,17,FALSE)=0,"",VLOOKUP($E115,TaskValues_ref!$E:$Z,17,FALSE))</f>
        <v/>
      </c>
      <c r="Q115">
        <f>IF(VLOOKUP($E115,TaskValues_ref!$E:$Z,18,FALSE)=0,"",VLOOKUP($E115,TaskValues_ref!$E:$Z,18,FALSE))</f>
        <v>15</v>
      </c>
      <c r="R115" t="str">
        <f>IF(VLOOKUP($E115,TaskValues_ref!$E:$Z,19,FALSE)=0,"",VLOOKUP($E115,TaskValues_ref!$E:$Z,19,FALSE))</f>
        <v/>
      </c>
      <c r="S115" t="str">
        <f>IF(VLOOKUP($E115,TaskValues_ref!$E:$Z,20,FALSE)=0,"",VLOOKUP($E115,TaskValues_ref!$E:$Z,20,FALSE))</f>
        <v/>
      </c>
    </row>
    <row r="116" spans="1:19" x14ac:dyDescent="0.45">
      <c r="A116" s="66" t="s">
        <v>2337</v>
      </c>
      <c r="B116" s="66" t="s">
        <v>2378</v>
      </c>
      <c r="C116" s="66" t="s">
        <v>2386</v>
      </c>
      <c r="D116" s="66">
        <v>119</v>
      </c>
      <c r="E116" s="64" t="s">
        <v>3372</v>
      </c>
      <c r="F116" t="str">
        <f>VLOOKUP(E116,TaskValues_ref!E:F,2,FALSE)</f>
        <v>Palliative care for cancer, men 60-69</v>
      </c>
      <c r="G116" t="str">
        <f>VLOOKUP($E116,TaskValues_ref!$E:$Z,3,FALSE)</f>
        <v>Clinical</v>
      </c>
      <c r="H116" t="str">
        <f>VLOOKUP($E116,TaskValues_ref!$E:$Z,4,FALSE)</f>
        <v>Acute</v>
      </c>
      <c r="I116" t="str">
        <f>VLOOKUP($E116,TaskValues_ref!$E:$Z,5,FALSE)</f>
        <v>NCDs</v>
      </c>
      <c r="J116" s="257" t="str">
        <f>VLOOKUP($E116,TaskValues_ref!$E:$Z,6,FALSE)</f>
        <v>men 60-69</v>
      </c>
      <c r="K116" t="str">
        <f>VLOOKUP($E116,TaskValues_ref!$E:$Z,10,FALSE)</f>
        <v>Amhara</v>
      </c>
      <c r="L116" s="195">
        <f>IF(VLOOKUP($E116,TaskValues_ref!$E:$Z,11,FALSE)=0,"",VLOOKUP($E116,TaskValues_ref!$E:$Z,11,FALSE))</f>
        <v>2.47E-3</v>
      </c>
      <c r="M116">
        <f>IF(VLOOKUP($E116,TaskValues_ref!$E:$Z,13,FALSE)=0,"",VLOOKUP($E116,TaskValues_ref!$E:$Z,13,FALSE))</f>
        <v>0.5</v>
      </c>
      <c r="N116" s="89">
        <f>IF(VLOOKUP($E116,TaskValues_ref!$E:$Z,15,FALSE)=0,"",VLOOKUP($E116,TaskValues_ref!$E:$Z,15,FALSE))</f>
        <v>1</v>
      </c>
      <c r="O116">
        <f>IF(VLOOKUP($E116,TaskValues_ref!$E:$Z,16,FALSE)=0,"",VLOOKUP($E116,TaskValues_ref!$E:$Z,16,FALSE))</f>
        <v>12</v>
      </c>
      <c r="P116" t="str">
        <f>IF(VLOOKUP($E116,TaskValues_ref!$E:$Z,17,FALSE)=0,"",VLOOKUP($E116,TaskValues_ref!$E:$Z,17,FALSE))</f>
        <v/>
      </c>
      <c r="Q116">
        <f>IF(VLOOKUP($E116,TaskValues_ref!$E:$Z,18,FALSE)=0,"",VLOOKUP($E116,TaskValues_ref!$E:$Z,18,FALSE))</f>
        <v>15</v>
      </c>
      <c r="R116" t="str">
        <f>IF(VLOOKUP($E116,TaskValues_ref!$E:$Z,19,FALSE)=0,"",VLOOKUP($E116,TaskValues_ref!$E:$Z,19,FALSE))</f>
        <v/>
      </c>
      <c r="S116" t="str">
        <f>IF(VLOOKUP($E116,TaskValues_ref!$E:$Z,20,FALSE)=0,"",VLOOKUP($E116,TaskValues_ref!$E:$Z,20,FALSE))</f>
        <v/>
      </c>
    </row>
    <row r="117" spans="1:19" x14ac:dyDescent="0.45">
      <c r="A117" s="66" t="s">
        <v>2337</v>
      </c>
      <c r="B117" s="66" t="s">
        <v>2378</v>
      </c>
      <c r="C117" s="66" t="s">
        <v>2386</v>
      </c>
      <c r="D117" s="66">
        <v>119</v>
      </c>
      <c r="E117" s="64" t="s">
        <v>3373</v>
      </c>
      <c r="F117" t="str">
        <f>VLOOKUP(E117,TaskValues_ref!E:F,2,FALSE)</f>
        <v>Palliative care for cancer, women 20-29</v>
      </c>
      <c r="G117" t="str">
        <f>VLOOKUP($E117,TaskValues_ref!$E:$Z,3,FALSE)</f>
        <v>Clinical</v>
      </c>
      <c r="H117" t="str">
        <f>VLOOKUP($E117,TaskValues_ref!$E:$Z,4,FALSE)</f>
        <v>Acute</v>
      </c>
      <c r="I117" t="str">
        <f>VLOOKUP($E117,TaskValues_ref!$E:$Z,5,FALSE)</f>
        <v>NCDs</v>
      </c>
      <c r="J117" s="257" t="str">
        <f>VLOOKUP($E117,TaskValues_ref!$E:$Z,6,FALSE)</f>
        <v>women 20-29</v>
      </c>
      <c r="K117" t="str">
        <f>VLOOKUP($E117,TaskValues_ref!$E:$Z,10,FALSE)</f>
        <v>Amhara</v>
      </c>
      <c r="L117" s="195">
        <f>IF(VLOOKUP($E117,TaskValues_ref!$E:$Z,11,FALSE)=0,"",VLOOKUP($E117,TaskValues_ref!$E:$Z,11,FALSE))</f>
        <v>1.7000000000000001E-4</v>
      </c>
      <c r="M117">
        <f>IF(VLOOKUP($E117,TaskValues_ref!$E:$Z,13,FALSE)=0,"",VLOOKUP($E117,TaskValues_ref!$E:$Z,13,FALSE))</f>
        <v>0.5</v>
      </c>
      <c r="N117" s="89">
        <f>IF(VLOOKUP($E117,TaskValues_ref!$E:$Z,15,FALSE)=0,"",VLOOKUP($E117,TaskValues_ref!$E:$Z,15,FALSE))</f>
        <v>1</v>
      </c>
      <c r="O117">
        <f>IF(VLOOKUP($E117,TaskValues_ref!$E:$Z,16,FALSE)=0,"",VLOOKUP($E117,TaskValues_ref!$E:$Z,16,FALSE))</f>
        <v>12</v>
      </c>
      <c r="P117" t="str">
        <f>IF(VLOOKUP($E117,TaskValues_ref!$E:$Z,17,FALSE)=0,"",VLOOKUP($E117,TaskValues_ref!$E:$Z,17,FALSE))</f>
        <v/>
      </c>
      <c r="Q117">
        <f>IF(VLOOKUP($E117,TaskValues_ref!$E:$Z,18,FALSE)=0,"",VLOOKUP($E117,TaskValues_ref!$E:$Z,18,FALSE))</f>
        <v>15</v>
      </c>
      <c r="R117" t="str">
        <f>IF(VLOOKUP($E117,TaskValues_ref!$E:$Z,19,FALSE)=0,"",VLOOKUP($E117,TaskValues_ref!$E:$Z,19,FALSE))</f>
        <v/>
      </c>
      <c r="S117" t="str">
        <f>IF(VLOOKUP($E117,TaskValues_ref!$E:$Z,20,FALSE)=0,"",VLOOKUP($E117,TaskValues_ref!$E:$Z,20,FALSE))</f>
        <v/>
      </c>
    </row>
    <row r="118" spans="1:19" x14ac:dyDescent="0.45">
      <c r="A118" s="66" t="s">
        <v>2337</v>
      </c>
      <c r="B118" s="66" t="s">
        <v>2378</v>
      </c>
      <c r="C118" s="66" t="s">
        <v>2386</v>
      </c>
      <c r="D118" s="66">
        <v>119</v>
      </c>
      <c r="E118" s="64" t="s">
        <v>3374</v>
      </c>
      <c r="F118" t="str">
        <f>VLOOKUP(E118,TaskValues_ref!E:F,2,FALSE)</f>
        <v>Palliative care for cancer, women 30-39</v>
      </c>
      <c r="G118" t="str">
        <f>VLOOKUP($E118,TaskValues_ref!$E:$Z,3,FALSE)</f>
        <v>Clinical</v>
      </c>
      <c r="H118" t="str">
        <f>VLOOKUP($E118,TaskValues_ref!$E:$Z,4,FALSE)</f>
        <v>Acute</v>
      </c>
      <c r="I118" t="str">
        <f>VLOOKUP($E118,TaskValues_ref!$E:$Z,5,FALSE)</f>
        <v>NCDs</v>
      </c>
      <c r="J118" s="257" t="str">
        <f>VLOOKUP($E118,TaskValues_ref!$E:$Z,6,FALSE)</f>
        <v>women 30-39</v>
      </c>
      <c r="K118" t="str">
        <f>VLOOKUP($E118,TaskValues_ref!$E:$Z,10,FALSE)</f>
        <v>Amhara</v>
      </c>
      <c r="L118" s="195">
        <f>IF(VLOOKUP($E118,TaskValues_ref!$E:$Z,11,FALSE)=0,"",VLOOKUP($E118,TaskValues_ref!$E:$Z,11,FALSE))</f>
        <v>5.0600000000000005E-4</v>
      </c>
      <c r="M118">
        <f>IF(VLOOKUP($E118,TaskValues_ref!$E:$Z,13,FALSE)=0,"",VLOOKUP($E118,TaskValues_ref!$E:$Z,13,FALSE))</f>
        <v>0.5</v>
      </c>
      <c r="N118" s="89">
        <f>IF(VLOOKUP($E118,TaskValues_ref!$E:$Z,15,FALSE)=0,"",VLOOKUP($E118,TaskValues_ref!$E:$Z,15,FALSE))</f>
        <v>1</v>
      </c>
      <c r="O118">
        <f>IF(VLOOKUP($E118,TaskValues_ref!$E:$Z,16,FALSE)=0,"",VLOOKUP($E118,TaskValues_ref!$E:$Z,16,FALSE))</f>
        <v>12</v>
      </c>
      <c r="P118" t="str">
        <f>IF(VLOOKUP($E118,TaskValues_ref!$E:$Z,17,FALSE)=0,"",VLOOKUP($E118,TaskValues_ref!$E:$Z,17,FALSE))</f>
        <v/>
      </c>
      <c r="Q118">
        <f>IF(VLOOKUP($E118,TaskValues_ref!$E:$Z,18,FALSE)=0,"",VLOOKUP($E118,TaskValues_ref!$E:$Z,18,FALSE))</f>
        <v>15</v>
      </c>
      <c r="R118" t="str">
        <f>IF(VLOOKUP($E118,TaskValues_ref!$E:$Z,19,FALSE)=0,"",VLOOKUP($E118,TaskValues_ref!$E:$Z,19,FALSE))</f>
        <v/>
      </c>
      <c r="S118" t="str">
        <f>IF(VLOOKUP($E118,TaskValues_ref!$E:$Z,20,FALSE)=0,"",VLOOKUP($E118,TaskValues_ref!$E:$Z,20,FALSE))</f>
        <v/>
      </c>
    </row>
    <row r="119" spans="1:19" x14ac:dyDescent="0.45">
      <c r="A119" s="66" t="s">
        <v>2337</v>
      </c>
      <c r="B119" s="66" t="s">
        <v>2378</v>
      </c>
      <c r="C119" s="66" t="s">
        <v>2386</v>
      </c>
      <c r="D119" s="66">
        <v>119</v>
      </c>
      <c r="E119" s="64" t="s">
        <v>3375</v>
      </c>
      <c r="F119" t="str">
        <f>VLOOKUP(E119,TaskValues_ref!E:F,2,FALSE)</f>
        <v>Palliative care for cancer, women 40-49</v>
      </c>
      <c r="G119" t="str">
        <f>VLOOKUP($E119,TaskValues_ref!$E:$Z,3,FALSE)</f>
        <v>Clinical</v>
      </c>
      <c r="H119" t="str">
        <f>VLOOKUP($E119,TaskValues_ref!$E:$Z,4,FALSE)</f>
        <v>Acute</v>
      </c>
      <c r="I119" t="str">
        <f>VLOOKUP($E119,TaskValues_ref!$E:$Z,5,FALSE)</f>
        <v>NCDs</v>
      </c>
      <c r="J119" s="257" t="str">
        <f>VLOOKUP($E119,TaskValues_ref!$E:$Z,6,FALSE)</f>
        <v>women 40-49</v>
      </c>
      <c r="K119" t="str">
        <f>VLOOKUP($E119,TaskValues_ref!$E:$Z,10,FALSE)</f>
        <v>Amhara</v>
      </c>
      <c r="L119" s="195">
        <f>IF(VLOOKUP($E119,TaskValues_ref!$E:$Z,11,FALSE)=0,"",VLOOKUP($E119,TaskValues_ref!$E:$Z,11,FALSE))</f>
        <v>1.286E-3</v>
      </c>
      <c r="M119">
        <f>IF(VLOOKUP($E119,TaskValues_ref!$E:$Z,13,FALSE)=0,"",VLOOKUP($E119,TaskValues_ref!$E:$Z,13,FALSE))</f>
        <v>0.5</v>
      </c>
      <c r="N119" s="89">
        <f>IF(VLOOKUP($E119,TaskValues_ref!$E:$Z,15,FALSE)=0,"",VLOOKUP($E119,TaskValues_ref!$E:$Z,15,FALSE))</f>
        <v>1</v>
      </c>
      <c r="O119">
        <f>IF(VLOOKUP($E119,TaskValues_ref!$E:$Z,16,FALSE)=0,"",VLOOKUP($E119,TaskValues_ref!$E:$Z,16,FALSE))</f>
        <v>12</v>
      </c>
      <c r="P119" t="str">
        <f>IF(VLOOKUP($E119,TaskValues_ref!$E:$Z,17,FALSE)=0,"",VLOOKUP($E119,TaskValues_ref!$E:$Z,17,FALSE))</f>
        <v/>
      </c>
      <c r="Q119">
        <f>IF(VLOOKUP($E119,TaskValues_ref!$E:$Z,18,FALSE)=0,"",VLOOKUP($E119,TaskValues_ref!$E:$Z,18,FALSE))</f>
        <v>15</v>
      </c>
      <c r="R119" t="str">
        <f>IF(VLOOKUP($E119,TaskValues_ref!$E:$Z,19,FALSE)=0,"",VLOOKUP($E119,TaskValues_ref!$E:$Z,19,FALSE))</f>
        <v/>
      </c>
      <c r="S119" t="str">
        <f>IF(VLOOKUP($E119,TaskValues_ref!$E:$Z,20,FALSE)=0,"",VLOOKUP($E119,TaskValues_ref!$E:$Z,20,FALSE))</f>
        <v/>
      </c>
    </row>
    <row r="120" spans="1:19" x14ac:dyDescent="0.45">
      <c r="A120" s="66" t="s">
        <v>2337</v>
      </c>
      <c r="B120" s="66" t="s">
        <v>2378</v>
      </c>
      <c r="C120" s="66" t="s">
        <v>2386</v>
      </c>
      <c r="D120" s="66">
        <v>119</v>
      </c>
      <c r="E120" s="64" t="s">
        <v>3384</v>
      </c>
      <c r="F120" t="str">
        <f>VLOOKUP(E120,TaskValues_ref!E:F,2,FALSE)</f>
        <v>Palliative care for cancer, women 50-59</v>
      </c>
      <c r="G120" t="str">
        <f>VLOOKUP($E120,TaskValues_ref!$E:$Z,3,FALSE)</f>
        <v>Clinical</v>
      </c>
      <c r="H120" t="str">
        <f>VLOOKUP($E120,TaskValues_ref!$E:$Z,4,FALSE)</f>
        <v>Acute</v>
      </c>
      <c r="I120" t="str">
        <f>VLOOKUP($E120,TaskValues_ref!$E:$Z,5,FALSE)</f>
        <v>NCDs</v>
      </c>
      <c r="J120" s="257" t="str">
        <f>VLOOKUP($E120,TaskValues_ref!$E:$Z,6,FALSE)</f>
        <v>women 50-59</v>
      </c>
      <c r="K120" t="str">
        <f>VLOOKUP($E120,TaskValues_ref!$E:$Z,10,FALSE)</f>
        <v>Amhara</v>
      </c>
      <c r="L120" s="195">
        <f>IF(VLOOKUP($E120,TaskValues_ref!$E:$Z,11,FALSE)=0,"",VLOOKUP($E120,TaskValues_ref!$E:$Z,11,FALSE))</f>
        <v>2.5500000000000002E-3</v>
      </c>
      <c r="M120">
        <f>IF(VLOOKUP($E120,TaskValues_ref!$E:$Z,13,FALSE)=0,"",VLOOKUP($E120,TaskValues_ref!$E:$Z,13,FALSE))</f>
        <v>0.5</v>
      </c>
      <c r="N120" s="89">
        <f>IF(VLOOKUP($E120,TaskValues_ref!$E:$Z,15,FALSE)=0,"",VLOOKUP($E120,TaskValues_ref!$E:$Z,15,FALSE))</f>
        <v>1</v>
      </c>
      <c r="O120">
        <f>IF(VLOOKUP($E120,TaskValues_ref!$E:$Z,16,FALSE)=0,"",VLOOKUP($E120,TaskValues_ref!$E:$Z,16,FALSE))</f>
        <v>12</v>
      </c>
      <c r="P120" t="str">
        <f>IF(VLOOKUP($E120,TaskValues_ref!$E:$Z,17,FALSE)=0,"",VLOOKUP($E120,TaskValues_ref!$E:$Z,17,FALSE))</f>
        <v/>
      </c>
      <c r="Q120">
        <f>IF(VLOOKUP($E120,TaskValues_ref!$E:$Z,18,FALSE)=0,"",VLOOKUP($E120,TaskValues_ref!$E:$Z,18,FALSE))</f>
        <v>15</v>
      </c>
      <c r="R120" t="str">
        <f>IF(VLOOKUP($E120,TaskValues_ref!$E:$Z,19,FALSE)=0,"",VLOOKUP($E120,TaskValues_ref!$E:$Z,19,FALSE))</f>
        <v/>
      </c>
      <c r="S120" t="str">
        <f>IF(VLOOKUP($E120,TaskValues_ref!$E:$Z,20,FALSE)=0,"",VLOOKUP($E120,TaskValues_ref!$E:$Z,20,FALSE))</f>
        <v/>
      </c>
    </row>
    <row r="121" spans="1:19" x14ac:dyDescent="0.45">
      <c r="A121" s="66" t="s">
        <v>2337</v>
      </c>
      <c r="B121" s="66" t="s">
        <v>2378</v>
      </c>
      <c r="C121" s="66" t="s">
        <v>2386</v>
      </c>
      <c r="D121" s="66">
        <v>119</v>
      </c>
      <c r="E121" s="64" t="s">
        <v>3385</v>
      </c>
      <c r="F121" t="str">
        <f>VLOOKUP(E121,TaskValues_ref!E:F,2,FALSE)</f>
        <v>Palliative care for cancer, women 60-69</v>
      </c>
      <c r="G121" t="str">
        <f>VLOOKUP($E121,TaskValues_ref!$E:$Z,3,FALSE)</f>
        <v>Clinical</v>
      </c>
      <c r="H121" t="str">
        <f>VLOOKUP($E121,TaskValues_ref!$E:$Z,4,FALSE)</f>
        <v>Acute</v>
      </c>
      <c r="I121" t="str">
        <f>VLOOKUP($E121,TaskValues_ref!$E:$Z,5,FALSE)</f>
        <v>NCDs</v>
      </c>
      <c r="J121" s="257" t="str">
        <f>VLOOKUP($E121,TaskValues_ref!$E:$Z,6,FALSE)</f>
        <v>women 60-69</v>
      </c>
      <c r="K121" t="str">
        <f>VLOOKUP($E121,TaskValues_ref!$E:$Z,10,FALSE)</f>
        <v>Amhara</v>
      </c>
      <c r="L121" s="195">
        <f>IF(VLOOKUP($E121,TaskValues_ref!$E:$Z,11,FALSE)=0,"",VLOOKUP($E121,TaskValues_ref!$E:$Z,11,FALSE))</f>
        <v>3.5810000000000004E-3</v>
      </c>
      <c r="M121">
        <f>IF(VLOOKUP($E121,TaskValues_ref!$E:$Z,13,FALSE)=0,"",VLOOKUP($E121,TaskValues_ref!$E:$Z,13,FALSE))</f>
        <v>0.5</v>
      </c>
      <c r="N121" s="89">
        <f>IF(VLOOKUP($E121,TaskValues_ref!$E:$Z,15,FALSE)=0,"",VLOOKUP($E121,TaskValues_ref!$E:$Z,15,FALSE))</f>
        <v>1</v>
      </c>
      <c r="O121">
        <f>IF(VLOOKUP($E121,TaskValues_ref!$E:$Z,16,FALSE)=0,"",VLOOKUP($E121,TaskValues_ref!$E:$Z,16,FALSE))</f>
        <v>12</v>
      </c>
      <c r="P121" t="str">
        <f>IF(VLOOKUP($E121,TaskValues_ref!$E:$Z,17,FALSE)=0,"",VLOOKUP($E121,TaskValues_ref!$E:$Z,17,FALSE))</f>
        <v/>
      </c>
      <c r="Q121">
        <f>IF(VLOOKUP($E121,TaskValues_ref!$E:$Z,18,FALSE)=0,"",VLOOKUP($E121,TaskValues_ref!$E:$Z,18,FALSE))</f>
        <v>15</v>
      </c>
      <c r="R121" t="str">
        <f>IF(VLOOKUP($E121,TaskValues_ref!$E:$Z,19,FALSE)=0,"",VLOOKUP($E121,TaskValues_ref!$E:$Z,19,FALSE))</f>
        <v/>
      </c>
      <c r="S121" t="str">
        <f>IF(VLOOKUP($E121,TaskValues_ref!$E:$Z,20,FALSE)=0,"",VLOOKUP($E121,TaskValues_ref!$E:$Z,20,FALSE))</f>
        <v/>
      </c>
    </row>
    <row r="122" spans="1:19" x14ac:dyDescent="0.45">
      <c r="A122" s="66" t="s">
        <v>2337</v>
      </c>
      <c r="B122" s="66" t="s">
        <v>2378</v>
      </c>
      <c r="C122" s="66" t="s">
        <v>2386</v>
      </c>
      <c r="D122" s="66">
        <v>119</v>
      </c>
      <c r="E122" s="64" t="s">
        <v>3386</v>
      </c>
      <c r="F122" t="str">
        <f>VLOOKUP(E122,TaskValues_ref!E:F,2,FALSE)</f>
        <v>Palliative care for cancer, men &amp; women 70+</v>
      </c>
      <c r="G122" t="str">
        <f>VLOOKUP($E122,TaskValues_ref!$E:$Z,3,FALSE)</f>
        <v>Clinical</v>
      </c>
      <c r="H122" t="str">
        <f>VLOOKUP($E122,TaskValues_ref!$E:$Z,4,FALSE)</f>
        <v>Acute</v>
      </c>
      <c r="I122" t="str">
        <f>VLOOKUP($E122,TaskValues_ref!$E:$Z,5,FALSE)</f>
        <v>NCDs</v>
      </c>
      <c r="J122" s="257" t="str">
        <f>VLOOKUP($E122,TaskValues_ref!$E:$Z,6,FALSE)</f>
        <v>adults 70+</v>
      </c>
      <c r="K122" t="str">
        <f>VLOOKUP($E122,TaskValues_ref!$E:$Z,10,FALSE)</f>
        <v>Amhara</v>
      </c>
      <c r="L122" s="195">
        <f>IF(VLOOKUP($E122,TaskValues_ref!$E:$Z,11,FALSE)=0,"",VLOOKUP($E122,TaskValues_ref!$E:$Z,11,FALSE))</f>
        <v>4.3550000000000004E-3</v>
      </c>
      <c r="M122">
        <f>IF(VLOOKUP($E122,TaskValues_ref!$E:$Z,13,FALSE)=0,"",VLOOKUP($E122,TaskValues_ref!$E:$Z,13,FALSE))</f>
        <v>0.5</v>
      </c>
      <c r="N122" s="89">
        <f>IF(VLOOKUP($E122,TaskValues_ref!$E:$Z,15,FALSE)=0,"",VLOOKUP($E122,TaskValues_ref!$E:$Z,15,FALSE))</f>
        <v>1</v>
      </c>
      <c r="O122">
        <f>IF(VLOOKUP($E122,TaskValues_ref!$E:$Z,16,FALSE)=0,"",VLOOKUP($E122,TaskValues_ref!$E:$Z,16,FALSE))</f>
        <v>12</v>
      </c>
      <c r="P122" t="str">
        <f>IF(VLOOKUP($E122,TaskValues_ref!$E:$Z,17,FALSE)=0,"",VLOOKUP($E122,TaskValues_ref!$E:$Z,17,FALSE))</f>
        <v/>
      </c>
      <c r="Q122">
        <f>IF(VLOOKUP($E122,TaskValues_ref!$E:$Z,18,FALSE)=0,"",VLOOKUP($E122,TaskValues_ref!$E:$Z,18,FALSE))</f>
        <v>15</v>
      </c>
      <c r="R122" t="str">
        <f>IF(VLOOKUP($E122,TaskValues_ref!$E:$Z,19,FALSE)=0,"",VLOOKUP($E122,TaskValues_ref!$E:$Z,19,FALSE))</f>
        <v/>
      </c>
      <c r="S122" t="str">
        <f>IF(VLOOKUP($E122,TaskValues_ref!$E:$Z,20,FALSE)=0,"",VLOOKUP($E122,TaskValues_ref!$E:$Z,20,FALSE))</f>
        <v/>
      </c>
    </row>
    <row r="123" spans="1:19" x14ac:dyDescent="0.45">
      <c r="A123" s="66" t="s">
        <v>2337</v>
      </c>
      <c r="B123" s="66" t="s">
        <v>2378</v>
      </c>
      <c r="C123" s="66" t="s">
        <v>2393</v>
      </c>
      <c r="D123" s="66">
        <v>120</v>
      </c>
      <c r="E123" s="64" t="str">
        <f>_xlfn.CONCAT("DPC.Hyp.",D123)</f>
        <v>DPC.Hyp.120</v>
      </c>
      <c r="F123" t="str">
        <f>VLOOKUP(E123,TaskValues_ref!E:F,2,FALSE)</f>
        <v>Lifestyle counseling</v>
      </c>
      <c r="G123" t="str">
        <f>VLOOKUP($E123,TaskValues_ref!$E:$Z,3,FALSE)</f>
        <v>Clinical</v>
      </c>
      <c r="H123" t="str">
        <f>VLOOKUP($E123,TaskValues_ref!$E:$Z,4,FALSE)</f>
        <v>Preventive</v>
      </c>
      <c r="I123" t="str">
        <f>VLOOKUP($E123,TaskValues_ref!$E:$Z,5,FALSE)</f>
        <v>NCDs</v>
      </c>
      <c r="J123" s="257" t="str">
        <f>VLOOKUP($E123,TaskValues_ref!$E:$Z,6,FALSE)</f>
        <v>-</v>
      </c>
      <c r="K123" t="str">
        <f>VLOOKUP($E123,TaskValues_ref!$E:$Z,10,FALSE)</f>
        <v>Amhara</v>
      </c>
      <c r="L123" s="195" t="str">
        <f>IF(VLOOKUP($E123,TaskValues_ref!$E:$Z,11,FALSE)=0,"",VLOOKUP($E123,TaskValues_ref!$E:$Z,11,FALSE))</f>
        <v/>
      </c>
      <c r="M123" t="str">
        <f>IF(VLOOKUP($E123,TaskValues_ref!$E:$Z,13,FALSE)=0,"",VLOOKUP($E123,TaskValues_ref!$E:$Z,13,FALSE))</f>
        <v/>
      </c>
      <c r="N123" s="89" t="str">
        <f>IF(VLOOKUP($E123,TaskValues_ref!$E:$Z,15,FALSE)=0,"",VLOOKUP($E123,TaskValues_ref!$E:$Z,15,FALSE))</f>
        <v/>
      </c>
      <c r="O123" t="str">
        <f>IF(VLOOKUP($E123,TaskValues_ref!$E:$Z,16,FALSE)=0,"",VLOOKUP($E123,TaskValues_ref!$E:$Z,16,FALSE))</f>
        <v/>
      </c>
      <c r="P123" t="str">
        <f>IF(VLOOKUP($E123,TaskValues_ref!$E:$Z,17,FALSE)=0,"",VLOOKUP($E123,TaskValues_ref!$E:$Z,17,FALSE))</f>
        <v/>
      </c>
      <c r="Q123" t="str">
        <f>IF(VLOOKUP($E123,TaskValues_ref!$E:$Z,18,FALSE)=0,"",VLOOKUP($E123,TaskValues_ref!$E:$Z,18,FALSE))</f>
        <v/>
      </c>
      <c r="R123" t="str">
        <f>IF(VLOOKUP($E123,TaskValues_ref!$E:$Z,19,FALSE)=0,"",VLOOKUP($E123,TaskValues_ref!$E:$Z,19,FALSE))</f>
        <v/>
      </c>
      <c r="S123" t="str">
        <f>IF(VLOOKUP($E123,TaskValues_ref!$E:$Z,20,FALSE)=0,"",VLOOKUP($E123,TaskValues_ref!$E:$Z,20,FALSE))</f>
        <v/>
      </c>
    </row>
    <row r="124" spans="1:19" x14ac:dyDescent="0.45">
      <c r="A124" s="66" t="s">
        <v>2337</v>
      </c>
      <c r="B124" s="66" t="s">
        <v>2378</v>
      </c>
      <c r="C124" s="66" t="s">
        <v>2393</v>
      </c>
      <c r="D124" s="66">
        <v>121</v>
      </c>
      <c r="E124" s="64" t="str">
        <f>_xlfn.CONCAT("DPC.Hyp.",D124)</f>
        <v>DPC.Hyp.121</v>
      </c>
      <c r="F124" t="str">
        <f>VLOOKUP(E124,TaskValues_ref!E:F,2,FALSE)</f>
        <v>Hypertension screening</v>
      </c>
      <c r="G124" t="str">
        <f>VLOOKUP($E124,TaskValues_ref!$E:$Z,3,FALSE)</f>
        <v>Clinical</v>
      </c>
      <c r="H124" t="str">
        <f>VLOOKUP($E124,TaskValues_ref!$E:$Z,4,FALSE)</f>
        <v>Preventive</v>
      </c>
      <c r="I124" t="str">
        <f>VLOOKUP($E124,TaskValues_ref!$E:$Z,5,FALSE)</f>
        <v>NCDs</v>
      </c>
      <c r="J124" s="257" t="str">
        <f>VLOOKUP($E124,TaskValues_ref!$E:$Z,6,FALSE)</f>
        <v>adults 18+</v>
      </c>
      <c r="K124" t="str">
        <f>VLOOKUP($E124,TaskValues_ref!$E:$Z,10,FALSE)</f>
        <v>Amhara</v>
      </c>
      <c r="L124" s="195">
        <f>IF(VLOOKUP($E124,TaskValues_ref!$E:$Z,11,FALSE)=0,"",VLOOKUP($E124,TaskValues_ref!$E:$Z,11,FALSE))</f>
        <v>1</v>
      </c>
      <c r="M124">
        <f>IF(VLOOKUP($E124,TaskValues_ref!$E:$Z,13,FALSE)=0,"",VLOOKUP($E124,TaskValues_ref!$E:$Z,13,FALSE))</f>
        <v>0.2</v>
      </c>
      <c r="N124" s="89">
        <f>IF(VLOOKUP($E124,TaskValues_ref!$E:$Z,15,FALSE)=0,"",VLOOKUP($E124,TaskValues_ref!$E:$Z,15,FALSE))</f>
        <v>1</v>
      </c>
      <c r="O124">
        <f>IF(VLOOKUP($E124,TaskValues_ref!$E:$Z,16,FALSE)=0,"",VLOOKUP($E124,TaskValues_ref!$E:$Z,16,FALSE))</f>
        <v>1</v>
      </c>
      <c r="P124" t="str">
        <f>IF(VLOOKUP($E124,TaskValues_ref!$E:$Z,17,FALSE)=0,"",VLOOKUP($E124,TaskValues_ref!$E:$Z,17,FALSE))</f>
        <v/>
      </c>
      <c r="Q124">
        <f>IF(VLOOKUP($E124,TaskValues_ref!$E:$Z,18,FALSE)=0,"",VLOOKUP($E124,TaskValues_ref!$E:$Z,18,FALSE))</f>
        <v>15</v>
      </c>
      <c r="R124" t="str">
        <f>IF(VLOOKUP($E124,TaskValues_ref!$E:$Z,19,FALSE)=0,"",VLOOKUP($E124,TaskValues_ref!$E:$Z,19,FALSE))</f>
        <v/>
      </c>
      <c r="S124" t="str">
        <f>IF(VLOOKUP($E124,TaskValues_ref!$E:$Z,20,FALSE)=0,"",VLOOKUP($E124,TaskValues_ref!$E:$Z,20,FALSE))</f>
        <v/>
      </c>
    </row>
    <row r="125" spans="1:19" x14ac:dyDescent="0.45">
      <c r="A125" s="66" t="s">
        <v>2337</v>
      </c>
      <c r="B125" s="66" t="s">
        <v>2378</v>
      </c>
      <c r="C125" s="66" t="s">
        <v>2393</v>
      </c>
      <c r="D125" s="66">
        <v>122</v>
      </c>
      <c r="E125" s="64" t="str">
        <f>_xlfn.CONCAT("DPC.Hyp.",D125)</f>
        <v>DPC.Hyp.122</v>
      </c>
      <c r="F125" t="str">
        <f>VLOOKUP(E125,TaskValues_ref!E:F,2,FALSE)</f>
        <v>Hypertension routine care</v>
      </c>
      <c r="G125" t="str">
        <f>VLOOKUP($E125,TaskValues_ref!$E:$Z,3,FALSE)</f>
        <v>Clinical</v>
      </c>
      <c r="H125" t="str">
        <f>VLOOKUP($E125,TaskValues_ref!$E:$Z,4,FALSE)</f>
        <v>Acute</v>
      </c>
      <c r="I125" t="str">
        <f>VLOOKUP($E125,TaskValues_ref!$E:$Z,5,FALSE)</f>
        <v>NCDs</v>
      </c>
      <c r="J125" s="257" t="str">
        <f>VLOOKUP($E125,TaskValues_ref!$E:$Z,6,FALSE)</f>
        <v>adults 18+</v>
      </c>
      <c r="K125" t="str">
        <f>VLOOKUP($E125,TaskValues_ref!$E:$Z,10,FALSE)</f>
        <v>Amhara</v>
      </c>
      <c r="L125" s="195">
        <f>IF(VLOOKUP($E125,TaskValues_ref!$E:$Z,11,FALSE)=0,"",VLOOKUP($E125,TaskValues_ref!$E:$Z,11,FALSE))</f>
        <v>0.22270000000000001</v>
      </c>
      <c r="M125" t="str">
        <f>IF(VLOOKUP($E125,TaskValues_ref!$E:$Z,13,FALSE)=0,"",VLOOKUP($E125,TaskValues_ref!$E:$Z,13,FALSE))</f>
        <v/>
      </c>
      <c r="N125" s="89">
        <f>IF(VLOOKUP($E125,TaskValues_ref!$E:$Z,15,FALSE)=0,"",VLOOKUP($E125,TaskValues_ref!$E:$Z,15,FALSE))</f>
        <v>1.02</v>
      </c>
      <c r="O125" t="str">
        <f>IF(VLOOKUP($E125,TaskValues_ref!$E:$Z,16,FALSE)=0,"",VLOOKUP($E125,TaskValues_ref!$E:$Z,16,FALSE))</f>
        <v/>
      </c>
      <c r="P125">
        <f>IF(VLOOKUP($E125,TaskValues_ref!$E:$Z,17,FALSE)=0,"",VLOOKUP($E125,TaskValues_ref!$E:$Z,17,FALSE))</f>
        <v>1</v>
      </c>
      <c r="Q125">
        <f>IF(VLOOKUP($E125,TaskValues_ref!$E:$Z,18,FALSE)=0,"",VLOOKUP($E125,TaskValues_ref!$E:$Z,18,FALSE))</f>
        <v>5</v>
      </c>
      <c r="R125" t="str">
        <f>IF(VLOOKUP($E125,TaskValues_ref!$E:$Z,19,FALSE)=0,"",VLOOKUP($E125,TaskValues_ref!$E:$Z,19,FALSE))</f>
        <v/>
      </c>
      <c r="S125" t="str">
        <f>IF(VLOOKUP($E125,TaskValues_ref!$E:$Z,20,FALSE)=0,"",VLOOKUP($E125,TaskValues_ref!$E:$Z,20,FALSE))</f>
        <v/>
      </c>
    </row>
    <row r="126" spans="1:19" x14ac:dyDescent="0.45">
      <c r="A126" s="66" t="s">
        <v>2337</v>
      </c>
      <c r="B126" s="66" t="s">
        <v>2378</v>
      </c>
      <c r="C126" s="66" t="s">
        <v>519</v>
      </c>
      <c r="D126" s="66">
        <v>123</v>
      </c>
      <c r="E126" s="64" t="str">
        <f>_xlfn.CONCAT("DPC.Dbt.",D126)</f>
        <v>DPC.Dbt.123</v>
      </c>
      <c r="F126" t="str">
        <f>VLOOKUP(E126,TaskValues_ref!E:F,2,FALSE)</f>
        <v>Lifestyle counseling</v>
      </c>
      <c r="G126" t="str">
        <f>VLOOKUP($E126,TaskValues_ref!$E:$Z,3,FALSE)</f>
        <v>Clinical</v>
      </c>
      <c r="H126" t="str">
        <f>VLOOKUP($E126,TaskValues_ref!$E:$Z,4,FALSE)</f>
        <v>Preventive</v>
      </c>
      <c r="I126" t="str">
        <f>VLOOKUP($E126,TaskValues_ref!$E:$Z,5,FALSE)</f>
        <v>NCDs</v>
      </c>
      <c r="J126" s="257" t="str">
        <f>VLOOKUP($E126,TaskValues_ref!$E:$Z,6,FALSE)</f>
        <v>-</v>
      </c>
      <c r="K126" t="str">
        <f>VLOOKUP($E126,TaskValues_ref!$E:$Z,10,FALSE)</f>
        <v>Amhara</v>
      </c>
      <c r="L126" s="195" t="str">
        <f>IF(VLOOKUP($E126,TaskValues_ref!$E:$Z,11,FALSE)=0,"",VLOOKUP($E126,TaskValues_ref!$E:$Z,11,FALSE))</f>
        <v/>
      </c>
      <c r="M126" t="str">
        <f>IF(VLOOKUP($E126,TaskValues_ref!$E:$Z,13,FALSE)=0,"",VLOOKUP($E126,TaskValues_ref!$E:$Z,13,FALSE))</f>
        <v/>
      </c>
      <c r="N126" s="89" t="str">
        <f>IF(VLOOKUP($E126,TaskValues_ref!$E:$Z,15,FALSE)=0,"",VLOOKUP($E126,TaskValues_ref!$E:$Z,15,FALSE))</f>
        <v/>
      </c>
      <c r="O126" t="str">
        <f>IF(VLOOKUP($E126,TaskValues_ref!$E:$Z,16,FALSE)=0,"",VLOOKUP($E126,TaskValues_ref!$E:$Z,16,FALSE))</f>
        <v/>
      </c>
      <c r="P126" t="str">
        <f>IF(VLOOKUP($E126,TaskValues_ref!$E:$Z,17,FALSE)=0,"",VLOOKUP($E126,TaskValues_ref!$E:$Z,17,FALSE))</f>
        <v/>
      </c>
      <c r="Q126" t="str">
        <f>IF(VLOOKUP($E126,TaskValues_ref!$E:$Z,18,FALSE)=0,"",VLOOKUP($E126,TaskValues_ref!$E:$Z,18,FALSE))</f>
        <v/>
      </c>
      <c r="R126" t="str">
        <f>IF(VLOOKUP($E126,TaskValues_ref!$E:$Z,19,FALSE)=0,"",VLOOKUP($E126,TaskValues_ref!$E:$Z,19,FALSE))</f>
        <v/>
      </c>
      <c r="S126" t="str">
        <f>IF(VLOOKUP($E126,TaskValues_ref!$E:$Z,20,FALSE)=0,"",VLOOKUP($E126,TaskValues_ref!$E:$Z,20,FALSE))</f>
        <v/>
      </c>
    </row>
    <row r="127" spans="1:19" x14ac:dyDescent="0.45">
      <c r="A127" s="66" t="s">
        <v>2337</v>
      </c>
      <c r="B127" s="66" t="s">
        <v>2378</v>
      </c>
      <c r="C127" s="66" t="s">
        <v>519</v>
      </c>
      <c r="D127" s="66">
        <v>124</v>
      </c>
      <c r="E127" s="64" t="str">
        <f>_xlfn.CONCAT("DPC.Dbt.",D127)</f>
        <v>DPC.Dbt.124</v>
      </c>
      <c r="F127" t="str">
        <f>VLOOKUP(E127,TaskValues_ref!E:F,2,FALSE)</f>
        <v>Screening for type 2 diabetes</v>
      </c>
      <c r="G127" t="str">
        <f>VLOOKUP($E127,TaskValues_ref!$E:$Z,3,FALSE)</f>
        <v>Clinical</v>
      </c>
      <c r="H127" t="str">
        <f>VLOOKUP($E127,TaskValues_ref!$E:$Z,4,FALSE)</f>
        <v>Preventive</v>
      </c>
      <c r="I127" t="str">
        <f>VLOOKUP($E127,TaskValues_ref!$E:$Z,5,FALSE)</f>
        <v>NCDs</v>
      </c>
      <c r="J127" s="257" t="str">
        <f>VLOOKUP($E127,TaskValues_ref!$E:$Z,6,FALSE)</f>
        <v>adults 35+</v>
      </c>
      <c r="K127" t="str">
        <f>VLOOKUP($E127,TaskValues_ref!$E:$Z,10,FALSE)</f>
        <v>Amhara</v>
      </c>
      <c r="L127" s="195">
        <f>IF(VLOOKUP($E127,TaskValues_ref!$E:$Z,11,FALSE)=0,"",VLOOKUP($E127,TaskValues_ref!$E:$Z,11,FALSE))</f>
        <v>1</v>
      </c>
      <c r="M127">
        <f>IF(VLOOKUP($E127,TaskValues_ref!$E:$Z,13,FALSE)=0,"",VLOOKUP($E127,TaskValues_ref!$E:$Z,13,FALSE))</f>
        <v>0.2</v>
      </c>
      <c r="N127" s="89">
        <f>IF(VLOOKUP($E127,TaskValues_ref!$E:$Z,15,FALSE)=0,"",VLOOKUP($E127,TaskValues_ref!$E:$Z,15,FALSE))</f>
        <v>1</v>
      </c>
      <c r="O127">
        <f>IF(VLOOKUP($E127,TaskValues_ref!$E:$Z,16,FALSE)=0,"",VLOOKUP($E127,TaskValues_ref!$E:$Z,16,FALSE))</f>
        <v>1</v>
      </c>
      <c r="P127" t="str">
        <f>IF(VLOOKUP($E127,TaskValues_ref!$E:$Z,17,FALSE)=0,"",VLOOKUP($E127,TaskValues_ref!$E:$Z,17,FALSE))</f>
        <v/>
      </c>
      <c r="Q127">
        <f>IF(VLOOKUP($E127,TaskValues_ref!$E:$Z,18,FALSE)=0,"",VLOOKUP($E127,TaskValues_ref!$E:$Z,18,FALSE))</f>
        <v>15</v>
      </c>
      <c r="R127" t="str">
        <f>IF(VLOOKUP($E127,TaskValues_ref!$E:$Z,19,FALSE)=0,"",VLOOKUP($E127,TaskValues_ref!$E:$Z,19,FALSE))</f>
        <v/>
      </c>
      <c r="S127" t="str">
        <f>IF(VLOOKUP($E127,TaskValues_ref!$E:$Z,20,FALSE)=0,"",VLOOKUP($E127,TaskValues_ref!$E:$Z,20,FALSE))</f>
        <v/>
      </c>
    </row>
    <row r="128" spans="1:19" x14ac:dyDescent="0.45">
      <c r="A128" s="66" t="s">
        <v>2337</v>
      </c>
      <c r="B128" s="66" t="s">
        <v>2378</v>
      </c>
      <c r="C128" s="66" t="s">
        <v>519</v>
      </c>
      <c r="D128" s="66">
        <v>125</v>
      </c>
      <c r="E128" s="64" t="s">
        <v>3390</v>
      </c>
      <c r="F128" t="str">
        <f>VLOOKUP(E128,TaskValues_ref!E:F,2,FALSE)</f>
        <v>Diabetes routine care, ages 15-24</v>
      </c>
      <c r="G128" t="str">
        <f>VLOOKUP($E128,TaskValues_ref!$E:$Z,3,FALSE)</f>
        <v>Clinical</v>
      </c>
      <c r="H128" t="str">
        <f>VLOOKUP($E128,TaskValues_ref!$E:$Z,4,FALSE)</f>
        <v>Acute</v>
      </c>
      <c r="I128" t="str">
        <f>VLOOKUP($E128,TaskValues_ref!$E:$Z,5,FALSE)</f>
        <v>NCDs</v>
      </c>
      <c r="J128" s="257" t="str">
        <f>VLOOKUP($E128,TaskValues_ref!$E:$Z,6,FALSE)</f>
        <v>adults 15-24</v>
      </c>
      <c r="K128" t="str">
        <f>VLOOKUP($E128,TaskValues_ref!$E:$Z,10,FALSE)</f>
        <v>Amhara</v>
      </c>
      <c r="L128" s="195">
        <f>IF(VLOOKUP($E128,TaskValues_ref!$E:$Z,11,FALSE)=0,"",VLOOKUP($E128,TaskValues_ref!$E:$Z,11,FALSE))</f>
        <v>2.6000000000000002E-2</v>
      </c>
      <c r="M128" t="str">
        <f>IF(VLOOKUP($E128,TaskValues_ref!$E:$Z,13,FALSE)=0,"",VLOOKUP($E128,TaskValues_ref!$E:$Z,13,FALSE))</f>
        <v/>
      </c>
      <c r="N128" s="89">
        <f>IF(VLOOKUP($E128,TaskValues_ref!$E:$Z,15,FALSE)=0,"",VLOOKUP($E128,TaskValues_ref!$E:$Z,15,FALSE))</f>
        <v>1</v>
      </c>
      <c r="O128" t="str">
        <f>IF(VLOOKUP($E128,TaskValues_ref!$E:$Z,16,FALSE)=0,"",VLOOKUP($E128,TaskValues_ref!$E:$Z,16,FALSE))</f>
        <v/>
      </c>
      <c r="P128">
        <f>IF(VLOOKUP($E128,TaskValues_ref!$E:$Z,17,FALSE)=0,"",VLOOKUP($E128,TaskValues_ref!$E:$Z,17,FALSE))</f>
        <v>1</v>
      </c>
      <c r="Q128">
        <f>IF(VLOOKUP($E128,TaskValues_ref!$E:$Z,18,FALSE)=0,"",VLOOKUP($E128,TaskValues_ref!$E:$Z,18,FALSE))</f>
        <v>5</v>
      </c>
      <c r="R128" t="str">
        <f>IF(VLOOKUP($E128,TaskValues_ref!$E:$Z,19,FALSE)=0,"",VLOOKUP($E128,TaskValues_ref!$E:$Z,19,FALSE))</f>
        <v/>
      </c>
      <c r="S128" t="str">
        <f>IF(VLOOKUP($E128,TaskValues_ref!$E:$Z,20,FALSE)=0,"",VLOOKUP($E128,TaskValues_ref!$E:$Z,20,FALSE))</f>
        <v/>
      </c>
    </row>
    <row r="129" spans="1:19" x14ac:dyDescent="0.45">
      <c r="A129" s="66" t="s">
        <v>2337</v>
      </c>
      <c r="B129" s="66" t="s">
        <v>2378</v>
      </c>
      <c r="C129" s="66" t="s">
        <v>519</v>
      </c>
      <c r="D129" s="66">
        <v>125</v>
      </c>
      <c r="E129" s="64" t="s">
        <v>3391</v>
      </c>
      <c r="F129" t="str">
        <f>VLOOKUP(E129,TaskValues_ref!E:F,2,FALSE)</f>
        <v>Diabetes routine care, ages 25-34</v>
      </c>
      <c r="G129" t="str">
        <f>VLOOKUP($E129,TaskValues_ref!$E:$Z,3,FALSE)</f>
        <v>Clinical</v>
      </c>
      <c r="H129" t="str">
        <f>VLOOKUP($E129,TaskValues_ref!$E:$Z,4,FALSE)</f>
        <v>Acute</v>
      </c>
      <c r="I129" t="str">
        <f>VLOOKUP($E129,TaskValues_ref!$E:$Z,5,FALSE)</f>
        <v>NCDs</v>
      </c>
      <c r="J129" s="257" t="str">
        <f>VLOOKUP($E129,TaskValues_ref!$E:$Z,6,FALSE)</f>
        <v>adults 25-34</v>
      </c>
      <c r="K129" t="str">
        <f>VLOOKUP($E129,TaskValues_ref!$E:$Z,10,FALSE)</f>
        <v>Amhara</v>
      </c>
      <c r="L129" s="195">
        <f>IF(VLOOKUP($E129,TaskValues_ref!$E:$Z,11,FALSE)=0,"",VLOOKUP($E129,TaskValues_ref!$E:$Z,11,FALSE))</f>
        <v>2.6000000000000002E-2</v>
      </c>
      <c r="M129" t="str">
        <f>IF(VLOOKUP($E129,TaskValues_ref!$E:$Z,13,FALSE)=0,"",VLOOKUP($E129,TaskValues_ref!$E:$Z,13,FALSE))</f>
        <v/>
      </c>
      <c r="N129" s="89">
        <f>IF(VLOOKUP($E129,TaskValues_ref!$E:$Z,15,FALSE)=0,"",VLOOKUP($E129,TaskValues_ref!$E:$Z,15,FALSE))</f>
        <v>1</v>
      </c>
      <c r="O129" t="str">
        <f>IF(VLOOKUP($E129,TaskValues_ref!$E:$Z,16,FALSE)=0,"",VLOOKUP($E129,TaskValues_ref!$E:$Z,16,FALSE))</f>
        <v/>
      </c>
      <c r="P129">
        <f>IF(VLOOKUP($E129,TaskValues_ref!$E:$Z,17,FALSE)=0,"",VLOOKUP($E129,TaskValues_ref!$E:$Z,17,FALSE))</f>
        <v>1</v>
      </c>
      <c r="Q129">
        <f>IF(VLOOKUP($E129,TaskValues_ref!$E:$Z,18,FALSE)=0,"",VLOOKUP($E129,TaskValues_ref!$E:$Z,18,FALSE))</f>
        <v>5</v>
      </c>
      <c r="R129" t="str">
        <f>IF(VLOOKUP($E129,TaskValues_ref!$E:$Z,19,FALSE)=0,"",VLOOKUP($E129,TaskValues_ref!$E:$Z,19,FALSE))</f>
        <v/>
      </c>
      <c r="S129" t="str">
        <f>IF(VLOOKUP($E129,TaskValues_ref!$E:$Z,20,FALSE)=0,"",VLOOKUP($E129,TaskValues_ref!$E:$Z,20,FALSE))</f>
        <v/>
      </c>
    </row>
    <row r="130" spans="1:19" x14ac:dyDescent="0.45">
      <c r="A130" s="66" t="s">
        <v>2337</v>
      </c>
      <c r="B130" s="66" t="s">
        <v>2378</v>
      </c>
      <c r="C130" s="66" t="s">
        <v>519</v>
      </c>
      <c r="D130" s="66">
        <v>125</v>
      </c>
      <c r="E130" s="64" t="s">
        <v>3392</v>
      </c>
      <c r="F130" t="str">
        <f>VLOOKUP(E130,TaskValues_ref!E:F,2,FALSE)</f>
        <v>Diabetes routine care, ages 35-44</v>
      </c>
      <c r="G130" t="str">
        <f>VLOOKUP($E130,TaskValues_ref!$E:$Z,3,FALSE)</f>
        <v>Clinical</v>
      </c>
      <c r="H130" t="str">
        <f>VLOOKUP($E130,TaskValues_ref!$E:$Z,4,FALSE)</f>
        <v>Acute</v>
      </c>
      <c r="I130" t="str">
        <f>VLOOKUP($E130,TaskValues_ref!$E:$Z,5,FALSE)</f>
        <v>NCDs</v>
      </c>
      <c r="J130" s="257" t="str">
        <f>VLOOKUP($E130,TaskValues_ref!$E:$Z,6,FALSE)</f>
        <v>adults 35-44</v>
      </c>
      <c r="K130" t="str">
        <f>VLOOKUP($E130,TaskValues_ref!$E:$Z,10,FALSE)</f>
        <v>Amhara</v>
      </c>
      <c r="L130" s="195">
        <f>IF(VLOOKUP($E130,TaskValues_ref!$E:$Z,11,FALSE)=0,"",VLOOKUP($E130,TaskValues_ref!$E:$Z,11,FALSE))</f>
        <v>3.9E-2</v>
      </c>
      <c r="M130" t="str">
        <f>IF(VLOOKUP($E130,TaskValues_ref!$E:$Z,13,FALSE)=0,"",VLOOKUP($E130,TaskValues_ref!$E:$Z,13,FALSE))</f>
        <v/>
      </c>
      <c r="N130" s="89">
        <f>IF(VLOOKUP($E130,TaskValues_ref!$E:$Z,15,FALSE)=0,"",VLOOKUP($E130,TaskValues_ref!$E:$Z,15,FALSE))</f>
        <v>1</v>
      </c>
      <c r="O130" t="str">
        <f>IF(VLOOKUP($E130,TaskValues_ref!$E:$Z,16,FALSE)=0,"",VLOOKUP($E130,TaskValues_ref!$E:$Z,16,FALSE))</f>
        <v/>
      </c>
      <c r="P130">
        <f>IF(VLOOKUP($E130,TaskValues_ref!$E:$Z,17,FALSE)=0,"",VLOOKUP($E130,TaskValues_ref!$E:$Z,17,FALSE))</f>
        <v>1</v>
      </c>
      <c r="Q130">
        <f>IF(VLOOKUP($E130,TaskValues_ref!$E:$Z,18,FALSE)=0,"",VLOOKUP($E130,TaskValues_ref!$E:$Z,18,FALSE))</f>
        <v>5</v>
      </c>
      <c r="R130" t="str">
        <f>IF(VLOOKUP($E130,TaskValues_ref!$E:$Z,19,FALSE)=0,"",VLOOKUP($E130,TaskValues_ref!$E:$Z,19,FALSE))</f>
        <v/>
      </c>
      <c r="S130" t="str">
        <f>IF(VLOOKUP($E130,TaskValues_ref!$E:$Z,20,FALSE)=0,"",VLOOKUP($E130,TaskValues_ref!$E:$Z,20,FALSE))</f>
        <v/>
      </c>
    </row>
    <row r="131" spans="1:19" x14ac:dyDescent="0.45">
      <c r="A131" s="66" t="s">
        <v>2337</v>
      </c>
      <c r="B131" s="66" t="s">
        <v>2378</v>
      </c>
      <c r="C131" s="66" t="s">
        <v>519</v>
      </c>
      <c r="D131" s="66">
        <v>125</v>
      </c>
      <c r="E131" s="64" t="s">
        <v>3393</v>
      </c>
      <c r="F131" t="str">
        <f>VLOOKUP(E131,TaskValues_ref!E:F,2,FALSE)</f>
        <v>Diabetes routine care, ages 45-54</v>
      </c>
      <c r="G131" t="str">
        <f>VLOOKUP($E131,TaskValues_ref!$E:$Z,3,FALSE)</f>
        <v>Clinical</v>
      </c>
      <c r="H131" t="str">
        <f>VLOOKUP($E131,TaskValues_ref!$E:$Z,4,FALSE)</f>
        <v>Acute</v>
      </c>
      <c r="I131" t="str">
        <f>VLOOKUP($E131,TaskValues_ref!$E:$Z,5,FALSE)</f>
        <v>NCDs</v>
      </c>
      <c r="J131" s="257" t="str">
        <f>VLOOKUP($E131,TaskValues_ref!$E:$Z,6,FALSE)</f>
        <v>adults 45-54</v>
      </c>
      <c r="K131" t="str">
        <f>VLOOKUP($E131,TaskValues_ref!$E:$Z,10,FALSE)</f>
        <v>Amhara</v>
      </c>
      <c r="L131" s="195">
        <f>IF(VLOOKUP($E131,TaskValues_ref!$E:$Z,11,FALSE)=0,"",VLOOKUP($E131,TaskValues_ref!$E:$Z,11,FALSE))</f>
        <v>4.2999999999999997E-2</v>
      </c>
      <c r="M131" t="str">
        <f>IF(VLOOKUP($E131,TaskValues_ref!$E:$Z,13,FALSE)=0,"",VLOOKUP($E131,TaskValues_ref!$E:$Z,13,FALSE))</f>
        <v/>
      </c>
      <c r="N131" s="89">
        <f>IF(VLOOKUP($E131,TaskValues_ref!$E:$Z,15,FALSE)=0,"",VLOOKUP($E131,TaskValues_ref!$E:$Z,15,FALSE))</f>
        <v>1</v>
      </c>
      <c r="O131" t="str">
        <f>IF(VLOOKUP($E131,TaskValues_ref!$E:$Z,16,FALSE)=0,"",VLOOKUP($E131,TaskValues_ref!$E:$Z,16,FALSE))</f>
        <v/>
      </c>
      <c r="P131">
        <f>IF(VLOOKUP($E131,TaskValues_ref!$E:$Z,17,FALSE)=0,"",VLOOKUP($E131,TaskValues_ref!$E:$Z,17,FALSE))</f>
        <v>1</v>
      </c>
      <c r="Q131">
        <f>IF(VLOOKUP($E131,TaskValues_ref!$E:$Z,18,FALSE)=0,"",VLOOKUP($E131,TaskValues_ref!$E:$Z,18,FALSE))</f>
        <v>5</v>
      </c>
      <c r="R131" t="str">
        <f>IF(VLOOKUP($E131,TaskValues_ref!$E:$Z,19,FALSE)=0,"",VLOOKUP($E131,TaskValues_ref!$E:$Z,19,FALSE))</f>
        <v/>
      </c>
      <c r="S131" t="str">
        <f>IF(VLOOKUP($E131,TaskValues_ref!$E:$Z,20,FALSE)=0,"",VLOOKUP($E131,TaskValues_ref!$E:$Z,20,FALSE))</f>
        <v/>
      </c>
    </row>
    <row r="132" spans="1:19" x14ac:dyDescent="0.45">
      <c r="A132" s="66" t="s">
        <v>2337</v>
      </c>
      <c r="B132" s="66" t="s">
        <v>2378</v>
      </c>
      <c r="C132" s="66" t="s">
        <v>519</v>
      </c>
      <c r="D132" s="66">
        <v>125</v>
      </c>
      <c r="E132" s="64" t="s">
        <v>3394</v>
      </c>
      <c r="F132" t="str">
        <f>VLOOKUP(E132,TaskValues_ref!E:F,2,FALSE)</f>
        <v>Diabetes routine care, ages 55-64</v>
      </c>
      <c r="G132" t="str">
        <f>VLOOKUP($E132,TaskValues_ref!$E:$Z,3,FALSE)</f>
        <v>Clinical</v>
      </c>
      <c r="H132" t="str">
        <f>VLOOKUP($E132,TaskValues_ref!$E:$Z,4,FALSE)</f>
        <v>Acute</v>
      </c>
      <c r="I132" t="str">
        <f>VLOOKUP($E132,TaskValues_ref!$E:$Z,5,FALSE)</f>
        <v>NCDs</v>
      </c>
      <c r="J132" s="257" t="str">
        <f>VLOOKUP($E132,TaskValues_ref!$E:$Z,6,FALSE)</f>
        <v>adults 55-64</v>
      </c>
      <c r="K132" t="str">
        <f>VLOOKUP($E132,TaskValues_ref!$E:$Z,10,FALSE)</f>
        <v>Amhara</v>
      </c>
      <c r="L132" s="195">
        <f>IF(VLOOKUP($E132,TaskValues_ref!$E:$Z,11,FALSE)=0,"",VLOOKUP($E132,TaskValues_ref!$E:$Z,11,FALSE))</f>
        <v>4.9000000000000002E-2</v>
      </c>
      <c r="M132" t="str">
        <f>IF(VLOOKUP($E132,TaskValues_ref!$E:$Z,13,FALSE)=0,"",VLOOKUP($E132,TaskValues_ref!$E:$Z,13,FALSE))</f>
        <v/>
      </c>
      <c r="N132" s="89">
        <f>IF(VLOOKUP($E132,TaskValues_ref!$E:$Z,15,FALSE)=0,"",VLOOKUP($E132,TaskValues_ref!$E:$Z,15,FALSE))</f>
        <v>1</v>
      </c>
      <c r="O132" t="str">
        <f>IF(VLOOKUP($E132,TaskValues_ref!$E:$Z,16,FALSE)=0,"",VLOOKUP($E132,TaskValues_ref!$E:$Z,16,FALSE))</f>
        <v/>
      </c>
      <c r="P132">
        <f>IF(VLOOKUP($E132,TaskValues_ref!$E:$Z,17,FALSE)=0,"",VLOOKUP($E132,TaskValues_ref!$E:$Z,17,FALSE))</f>
        <v>1</v>
      </c>
      <c r="Q132">
        <f>IF(VLOOKUP($E132,TaskValues_ref!$E:$Z,18,FALSE)=0,"",VLOOKUP($E132,TaskValues_ref!$E:$Z,18,FALSE))</f>
        <v>5</v>
      </c>
      <c r="R132" t="str">
        <f>IF(VLOOKUP($E132,TaskValues_ref!$E:$Z,19,FALSE)=0,"",VLOOKUP($E132,TaskValues_ref!$E:$Z,19,FALSE))</f>
        <v/>
      </c>
      <c r="S132" t="str">
        <f>IF(VLOOKUP($E132,TaskValues_ref!$E:$Z,20,FALSE)=0,"",VLOOKUP($E132,TaskValues_ref!$E:$Z,20,FALSE))</f>
        <v/>
      </c>
    </row>
    <row r="133" spans="1:19" x14ac:dyDescent="0.45">
      <c r="A133" s="66" t="s">
        <v>2337</v>
      </c>
      <c r="B133" s="66" t="s">
        <v>2378</v>
      </c>
      <c r="C133" s="66" t="s">
        <v>519</v>
      </c>
      <c r="D133" s="66">
        <v>125</v>
      </c>
      <c r="E133" s="64" t="s">
        <v>3461</v>
      </c>
      <c r="F133" t="str">
        <f>VLOOKUP(E133,TaskValues_ref!E:F,2,FALSE)</f>
        <v>Diabetes routine care, ages 65+</v>
      </c>
      <c r="G133" t="str">
        <f>VLOOKUP($E133,TaskValues_ref!$E:$Z,3,FALSE)</f>
        <v>Clinical</v>
      </c>
      <c r="H133" t="str">
        <f>VLOOKUP($E133,TaskValues_ref!$E:$Z,4,FALSE)</f>
        <v>Acute</v>
      </c>
      <c r="I133" t="str">
        <f>VLOOKUP($E133,TaskValues_ref!$E:$Z,5,FALSE)</f>
        <v>NCDs</v>
      </c>
      <c r="J133" s="257" t="str">
        <f>VLOOKUP($E133,TaskValues_ref!$E:$Z,6,FALSE)</f>
        <v>adults 65+</v>
      </c>
      <c r="K133" t="str">
        <f>VLOOKUP($E133,TaskValues_ref!$E:$Z,10,FALSE)</f>
        <v>Amhara</v>
      </c>
      <c r="L133" s="195">
        <f>IF(VLOOKUP($E133,TaskValues_ref!$E:$Z,11,FALSE)=0,"",VLOOKUP($E133,TaskValues_ref!$E:$Z,11,FALSE))</f>
        <v>4.5999999999999999E-2</v>
      </c>
      <c r="M133" t="str">
        <f>IF(VLOOKUP($E133,TaskValues_ref!$E:$Z,13,FALSE)=0,"",VLOOKUP($E133,TaskValues_ref!$E:$Z,13,FALSE))</f>
        <v/>
      </c>
      <c r="N133" s="89">
        <f>IF(VLOOKUP($E133,TaskValues_ref!$E:$Z,15,FALSE)=0,"",VLOOKUP($E133,TaskValues_ref!$E:$Z,15,FALSE))</f>
        <v>1</v>
      </c>
      <c r="O133" t="str">
        <f>IF(VLOOKUP($E133,TaskValues_ref!$E:$Z,16,FALSE)=0,"",VLOOKUP($E133,TaskValues_ref!$E:$Z,16,FALSE))</f>
        <v/>
      </c>
      <c r="P133">
        <f>IF(VLOOKUP($E133,TaskValues_ref!$E:$Z,17,FALSE)=0,"",VLOOKUP($E133,TaskValues_ref!$E:$Z,17,FALSE))</f>
        <v>1</v>
      </c>
      <c r="Q133">
        <f>IF(VLOOKUP($E133,TaskValues_ref!$E:$Z,18,FALSE)=0,"",VLOOKUP($E133,TaskValues_ref!$E:$Z,18,FALSE))</f>
        <v>5</v>
      </c>
      <c r="R133" t="str">
        <f>IF(VLOOKUP($E133,TaskValues_ref!$E:$Z,19,FALSE)=0,"",VLOOKUP($E133,TaskValues_ref!$E:$Z,19,FALSE))</f>
        <v/>
      </c>
      <c r="S133" t="str">
        <f>IF(VLOOKUP($E133,TaskValues_ref!$E:$Z,20,FALSE)=0,"",VLOOKUP($E133,TaskValues_ref!$E:$Z,20,FALSE))</f>
        <v/>
      </c>
    </row>
    <row r="134" spans="1:19" x14ac:dyDescent="0.45">
      <c r="A134" s="66" t="s">
        <v>2337</v>
      </c>
      <c r="B134" s="66" t="s">
        <v>2378</v>
      </c>
      <c r="C134" s="66" t="s">
        <v>2394</v>
      </c>
      <c r="D134" s="66">
        <v>126</v>
      </c>
      <c r="E134" s="64" t="str">
        <f>_xlfn.CONCAT("DPC.Asth.",D134)</f>
        <v>DPC.Asth.126</v>
      </c>
      <c r="F134" t="str">
        <f>VLOOKUP(E134,TaskValues_ref!E:F,2,FALSE)</f>
        <v>Smoking cessation</v>
      </c>
      <c r="G134" t="str">
        <f>VLOOKUP($E134,TaskValues_ref!$E:$Z,3,FALSE)</f>
        <v>Clinical</v>
      </c>
      <c r="H134" t="str">
        <f>VLOOKUP($E134,TaskValues_ref!$E:$Z,4,FALSE)</f>
        <v>Preventive</v>
      </c>
      <c r="I134" t="str">
        <f>VLOOKUP($E134,TaskValues_ref!$E:$Z,5,FALSE)</f>
        <v>NCDs</v>
      </c>
      <c r="J134" s="257" t="str">
        <f>VLOOKUP($E134,TaskValues_ref!$E:$Z,6,FALSE)</f>
        <v>men 18+</v>
      </c>
      <c r="K134" t="str">
        <f>VLOOKUP($E134,TaskValues_ref!$E:$Z,10,FALSE)</f>
        <v>Amhara</v>
      </c>
      <c r="L134" s="195">
        <f>IF(VLOOKUP($E134,TaskValues_ref!$E:$Z,11,FALSE)=0,"",VLOOKUP($E134,TaskValues_ref!$E:$Z,11,FALSE))</f>
        <v>6.9999999999999993E-3</v>
      </c>
      <c r="M134">
        <f>IF(VLOOKUP($E134,TaskValues_ref!$E:$Z,13,FALSE)=0,"",VLOOKUP($E134,TaskValues_ref!$E:$Z,13,FALSE))</f>
        <v>0.1</v>
      </c>
      <c r="N134" s="89">
        <f>IF(VLOOKUP($E134,TaskValues_ref!$E:$Z,15,FALSE)=0,"",VLOOKUP($E134,TaskValues_ref!$E:$Z,15,FALSE))</f>
        <v>1</v>
      </c>
      <c r="O134">
        <f>IF(VLOOKUP($E134,TaskValues_ref!$E:$Z,16,FALSE)=0,"",VLOOKUP($E134,TaskValues_ref!$E:$Z,16,FALSE))</f>
        <v>2</v>
      </c>
      <c r="P134" t="str">
        <f>IF(VLOOKUP($E134,TaskValues_ref!$E:$Z,17,FALSE)=0,"",VLOOKUP($E134,TaskValues_ref!$E:$Z,17,FALSE))</f>
        <v/>
      </c>
      <c r="Q134">
        <f>IF(VLOOKUP($E134,TaskValues_ref!$E:$Z,18,FALSE)=0,"",VLOOKUP($E134,TaskValues_ref!$E:$Z,18,FALSE))</f>
        <v>10</v>
      </c>
      <c r="R134" t="str">
        <f>IF(VLOOKUP($E134,TaskValues_ref!$E:$Z,19,FALSE)=0,"",VLOOKUP($E134,TaskValues_ref!$E:$Z,19,FALSE))</f>
        <v/>
      </c>
      <c r="S134" t="str">
        <f>IF(VLOOKUP($E134,TaskValues_ref!$E:$Z,20,FALSE)=0,"",VLOOKUP($E134,TaskValues_ref!$E:$Z,20,FALSE))</f>
        <v/>
      </c>
    </row>
    <row r="135" spans="1:19" x14ac:dyDescent="0.45">
      <c r="A135" s="66" t="s">
        <v>2337</v>
      </c>
      <c r="B135" s="66" t="s">
        <v>2378</v>
      </c>
      <c r="C135" s="66" t="s">
        <v>2394</v>
      </c>
      <c r="D135" s="66">
        <v>127</v>
      </c>
      <c r="E135" s="64" t="str">
        <f>_xlfn.CONCAT("DPC.Asth.",D135)</f>
        <v>DPC.Asth.127</v>
      </c>
      <c r="F135" t="str">
        <f>VLOOKUP(E135,TaskValues_ref!E:F,2,FALSE)</f>
        <v>Prevention of risk factors</v>
      </c>
      <c r="G135" t="str">
        <f>VLOOKUP($E135,TaskValues_ref!$E:$Z,3,FALSE)</f>
        <v>Clinical</v>
      </c>
      <c r="H135" t="str">
        <f>VLOOKUP($E135,TaskValues_ref!$E:$Z,4,FALSE)</f>
        <v>Preventive</v>
      </c>
      <c r="I135" t="str">
        <f>VLOOKUP($E135,TaskValues_ref!$E:$Z,5,FALSE)</f>
        <v>NCDs</v>
      </c>
      <c r="J135" s="257" t="str">
        <f>VLOOKUP($E135,TaskValues_ref!$E:$Z,6,FALSE)</f>
        <v>adults 18+</v>
      </c>
      <c r="K135" t="str">
        <f>VLOOKUP($E135,TaskValues_ref!$E:$Z,10,FALSE)</f>
        <v>Amhara</v>
      </c>
      <c r="L135" s="195" t="str">
        <f>IF(VLOOKUP($E135,TaskValues_ref!$E:$Z,11,FALSE)=0,"",VLOOKUP($E135,TaskValues_ref!$E:$Z,11,FALSE))</f>
        <v/>
      </c>
      <c r="M135" t="str">
        <f>IF(VLOOKUP($E135,TaskValues_ref!$E:$Z,13,FALSE)=0,"",VLOOKUP($E135,TaskValues_ref!$E:$Z,13,FALSE))</f>
        <v/>
      </c>
      <c r="N135" s="89" t="str">
        <f>IF(VLOOKUP($E135,TaskValues_ref!$E:$Z,15,FALSE)=0,"",VLOOKUP($E135,TaskValues_ref!$E:$Z,15,FALSE))</f>
        <v/>
      </c>
      <c r="O135" t="str">
        <f>IF(VLOOKUP($E135,TaskValues_ref!$E:$Z,16,FALSE)=0,"",VLOOKUP($E135,TaskValues_ref!$E:$Z,16,FALSE))</f>
        <v/>
      </c>
      <c r="P135" t="str">
        <f>IF(VLOOKUP($E135,TaskValues_ref!$E:$Z,17,FALSE)=0,"",VLOOKUP($E135,TaskValues_ref!$E:$Z,17,FALSE))</f>
        <v/>
      </c>
      <c r="Q135" t="str">
        <f>IF(VLOOKUP($E135,TaskValues_ref!$E:$Z,18,FALSE)=0,"",VLOOKUP($E135,TaskValues_ref!$E:$Z,18,FALSE))</f>
        <v/>
      </c>
      <c r="R135" t="str">
        <f>IF(VLOOKUP($E135,TaskValues_ref!$E:$Z,19,FALSE)=0,"",VLOOKUP($E135,TaskValues_ref!$E:$Z,19,FALSE))</f>
        <v/>
      </c>
      <c r="S135" t="str">
        <f>IF(VLOOKUP($E135,TaskValues_ref!$E:$Z,20,FALSE)=0,"",VLOOKUP($E135,TaskValues_ref!$E:$Z,20,FALSE))</f>
        <v/>
      </c>
    </row>
    <row r="136" spans="1:19" x14ac:dyDescent="0.45">
      <c r="A136" s="66" t="s">
        <v>2337</v>
      </c>
      <c r="B136" s="66" t="s">
        <v>2378</v>
      </c>
      <c r="C136" s="66" t="s">
        <v>232</v>
      </c>
      <c r="D136" s="66">
        <v>130</v>
      </c>
      <c r="E136" s="64" t="s">
        <v>2442</v>
      </c>
      <c r="F136" t="str">
        <f>VLOOKUP(E136,TaskValues_ref!E:F,2,FALSE)</f>
        <v>Generate community awareness</v>
      </c>
      <c r="G136" t="str">
        <f>VLOOKUP($E136,TaskValues_ref!$E:$Z,3,FALSE)</f>
        <v>Non-clinical</v>
      </c>
      <c r="H136" t="str">
        <f>VLOOKUP($E136,TaskValues_ref!$E:$Z,4,FALSE)</f>
        <v>Public health</v>
      </c>
      <c r="I136" t="str">
        <f>VLOOKUP($E136,TaskValues_ref!$E:$Z,5,FALSE)</f>
        <v>Mental health</v>
      </c>
      <c r="J136" s="257" t="str">
        <f>VLOOKUP($E136,TaskValues_ref!$E:$Z,6,FALSE)</f>
        <v>-</v>
      </c>
      <c r="K136" t="str">
        <f>VLOOKUP($E136,TaskValues_ref!$E:$Z,10,FALSE)</f>
        <v>Amhara</v>
      </c>
      <c r="L136" s="195" t="str">
        <f>IF(VLOOKUP($E136,TaskValues_ref!$E:$Z,11,FALSE)=0,"",VLOOKUP($E136,TaskValues_ref!$E:$Z,11,FALSE))</f>
        <v/>
      </c>
      <c r="M136" t="str">
        <f>IF(VLOOKUP($E136,TaskValues_ref!$E:$Z,13,FALSE)=0,"",VLOOKUP($E136,TaskValues_ref!$E:$Z,13,FALSE))</f>
        <v/>
      </c>
      <c r="N136" s="89" t="str">
        <f>IF(VLOOKUP($E136,TaskValues_ref!$E:$Z,15,FALSE)=0,"",VLOOKUP($E136,TaskValues_ref!$E:$Z,15,FALSE))</f>
        <v/>
      </c>
      <c r="O136" t="str">
        <f>IF(VLOOKUP($E136,TaskValues_ref!$E:$Z,16,FALSE)=0,"",VLOOKUP($E136,TaskValues_ref!$E:$Z,16,FALSE))</f>
        <v/>
      </c>
      <c r="P136" t="str">
        <f>IF(VLOOKUP($E136,TaskValues_ref!$E:$Z,17,FALSE)=0,"",VLOOKUP($E136,TaskValues_ref!$E:$Z,17,FALSE))</f>
        <v/>
      </c>
      <c r="Q136" t="str">
        <f>IF(VLOOKUP($E136,TaskValues_ref!$E:$Z,18,FALSE)=0,"",VLOOKUP($E136,TaskValues_ref!$E:$Z,18,FALSE))</f>
        <v/>
      </c>
      <c r="R136" t="str">
        <f>IF(VLOOKUP($E136,TaskValues_ref!$E:$Z,19,FALSE)=0,"",VLOOKUP($E136,TaskValues_ref!$E:$Z,19,FALSE))</f>
        <v/>
      </c>
      <c r="S136" t="str">
        <f>IF(VLOOKUP($E136,TaskValues_ref!$E:$Z,20,FALSE)=0,"",VLOOKUP($E136,TaskValues_ref!$E:$Z,20,FALSE))</f>
        <v/>
      </c>
    </row>
    <row r="137" spans="1:19" x14ac:dyDescent="0.45">
      <c r="A137" s="66" t="s">
        <v>2337</v>
      </c>
      <c r="B137" s="66" t="s">
        <v>2378</v>
      </c>
      <c r="C137" s="66" t="s">
        <v>232</v>
      </c>
      <c r="D137" s="66">
        <v>130</v>
      </c>
      <c r="E137" s="64" t="s">
        <v>2443</v>
      </c>
      <c r="F137" t="str">
        <f>VLOOKUP(E137,TaskValues_ref!E:F,2,FALSE)</f>
        <v>Identify &amp; link to care</v>
      </c>
      <c r="G137" t="str">
        <f>VLOOKUP($E137,TaskValues_ref!$E:$Z,3,FALSE)</f>
        <v>Clinical</v>
      </c>
      <c r="H137" t="str">
        <f>VLOOKUP($E137,TaskValues_ref!$E:$Z,4,FALSE)</f>
        <v>Acute</v>
      </c>
      <c r="I137" t="str">
        <f>VLOOKUP($E137,TaskValues_ref!$E:$Z,5,FALSE)</f>
        <v>Mental health</v>
      </c>
      <c r="J137" s="257" t="str">
        <f>VLOOKUP($E137,TaskValues_ref!$E:$Z,6,FALSE)</f>
        <v>30 yo adults</v>
      </c>
      <c r="K137" t="str">
        <f>VLOOKUP($E137,TaskValues_ref!$E:$Z,10,FALSE)</f>
        <v>Amhara</v>
      </c>
      <c r="L137" s="195">
        <f>IF(VLOOKUP($E137,TaskValues_ref!$E:$Z,11,FALSE)=0,"",VLOOKUP($E137,TaskValues_ref!$E:$Z,11,FALSE))</f>
        <v>0.21579999999999999</v>
      </c>
      <c r="M137" t="str">
        <f>IF(VLOOKUP($E137,TaskValues_ref!$E:$Z,13,FALSE)=0,"",VLOOKUP($E137,TaskValues_ref!$E:$Z,13,FALSE))</f>
        <v/>
      </c>
      <c r="N137" s="89">
        <f>IF(VLOOKUP($E137,TaskValues_ref!$E:$Z,15,FALSE)=0,"",VLOOKUP($E137,TaskValues_ref!$E:$Z,15,FALSE))</f>
        <v>1</v>
      </c>
      <c r="O137">
        <f>IF(VLOOKUP($E137,TaskValues_ref!$E:$Z,16,FALSE)=0,"",VLOOKUP($E137,TaskValues_ref!$E:$Z,16,FALSE))</f>
        <v>1</v>
      </c>
      <c r="P137" t="str">
        <f>IF(VLOOKUP($E137,TaskValues_ref!$E:$Z,17,FALSE)=0,"",VLOOKUP($E137,TaskValues_ref!$E:$Z,17,FALSE))</f>
        <v/>
      </c>
      <c r="Q137">
        <f>IF(VLOOKUP($E137,TaskValues_ref!$E:$Z,18,FALSE)=0,"",VLOOKUP($E137,TaskValues_ref!$E:$Z,18,FALSE))</f>
        <v>15</v>
      </c>
      <c r="R137" t="str">
        <f>IF(VLOOKUP($E137,TaskValues_ref!$E:$Z,19,FALSE)=0,"",VLOOKUP($E137,TaskValues_ref!$E:$Z,19,FALSE))</f>
        <v/>
      </c>
      <c r="S137" t="str">
        <f>IF(VLOOKUP($E137,TaskValues_ref!$E:$Z,20,FALSE)=0,"",VLOOKUP($E137,TaskValues_ref!$E:$Z,20,FALSE))</f>
        <v/>
      </c>
    </row>
    <row r="138" spans="1:19" x14ac:dyDescent="0.45">
      <c r="A138" s="66" t="s">
        <v>2337</v>
      </c>
      <c r="B138" s="66" t="s">
        <v>2378</v>
      </c>
      <c r="C138" s="66" t="s">
        <v>232</v>
      </c>
      <c r="D138" s="66">
        <v>131</v>
      </c>
      <c r="E138" s="64" t="str">
        <f>_xlfn.CONCAT("DPC.MH.",D138)</f>
        <v>DPC.MH.131</v>
      </c>
      <c r="F138" t="str">
        <f>VLOOKUP(E138,TaskValues_ref!E:F,2,FALSE)</f>
        <v>Workplace stress reduction</v>
      </c>
      <c r="G138" t="str">
        <f>VLOOKUP($E138,TaskValues_ref!$E:$Z,3,FALSE)</f>
        <v>Non-clinical</v>
      </c>
      <c r="H138" t="str">
        <f>VLOOKUP($E138,TaskValues_ref!$E:$Z,4,FALSE)</f>
        <v>Public health</v>
      </c>
      <c r="I138" t="str">
        <f>VLOOKUP($E138,TaskValues_ref!$E:$Z,5,FALSE)</f>
        <v>Mental health</v>
      </c>
      <c r="J138" s="257" t="str">
        <f>VLOOKUP($E138,TaskValues_ref!$E:$Z,6,FALSE)</f>
        <v>-</v>
      </c>
      <c r="K138" t="str">
        <f>VLOOKUP($E138,TaskValues_ref!$E:$Z,10,FALSE)</f>
        <v>Amhara</v>
      </c>
      <c r="L138" s="195" t="str">
        <f>IF(VLOOKUP($E138,TaskValues_ref!$E:$Z,11,FALSE)=0,"",VLOOKUP($E138,TaskValues_ref!$E:$Z,11,FALSE))</f>
        <v/>
      </c>
      <c r="M138" t="str">
        <f>IF(VLOOKUP($E138,TaskValues_ref!$E:$Z,13,FALSE)=0,"",VLOOKUP($E138,TaskValues_ref!$E:$Z,13,FALSE))</f>
        <v/>
      </c>
      <c r="N138" s="89" t="str">
        <f>IF(VLOOKUP($E138,TaskValues_ref!$E:$Z,15,FALSE)=0,"",VLOOKUP($E138,TaskValues_ref!$E:$Z,15,FALSE))</f>
        <v/>
      </c>
      <c r="O138" t="str">
        <f>IF(VLOOKUP($E138,TaskValues_ref!$E:$Z,16,FALSE)=0,"",VLOOKUP($E138,TaskValues_ref!$E:$Z,16,FALSE))</f>
        <v/>
      </c>
      <c r="P138" t="str">
        <f>IF(VLOOKUP($E138,TaskValues_ref!$E:$Z,17,FALSE)=0,"",VLOOKUP($E138,TaskValues_ref!$E:$Z,17,FALSE))</f>
        <v/>
      </c>
      <c r="Q138" t="str">
        <f>IF(VLOOKUP($E138,TaskValues_ref!$E:$Z,18,FALSE)=0,"",VLOOKUP($E138,TaskValues_ref!$E:$Z,18,FALSE))</f>
        <v/>
      </c>
      <c r="R138" t="str">
        <f>IF(VLOOKUP($E138,TaskValues_ref!$E:$Z,19,FALSE)=0,"",VLOOKUP($E138,TaskValues_ref!$E:$Z,19,FALSE))</f>
        <v/>
      </c>
      <c r="S138" t="str">
        <f>IF(VLOOKUP($E138,TaskValues_ref!$E:$Z,20,FALSE)=0,"",VLOOKUP($E138,TaskValues_ref!$E:$Z,20,FALSE))</f>
        <v/>
      </c>
    </row>
    <row r="139" spans="1:19" x14ac:dyDescent="0.45">
      <c r="A139" s="66" t="s">
        <v>2337</v>
      </c>
      <c r="B139" s="66" t="s">
        <v>2378</v>
      </c>
      <c r="C139" s="66" t="s">
        <v>232</v>
      </c>
      <c r="D139" s="66">
        <v>132</v>
      </c>
      <c r="E139" s="64" t="str">
        <f>_xlfn.CONCAT("DPC.MH.",D139)</f>
        <v>DPC.MH.132</v>
      </c>
      <c r="F139" t="str">
        <f>VLOOKUP(E139,TaskValues_ref!E:F,2,FALSE)</f>
        <v>School-based mental health programs</v>
      </c>
      <c r="G139" t="str">
        <f>VLOOKUP($E139,TaskValues_ref!$E:$Z,3,FALSE)</f>
        <v>Non-clinical</v>
      </c>
      <c r="H139" t="str">
        <f>VLOOKUP($E139,TaskValues_ref!$E:$Z,4,FALSE)</f>
        <v>Public health</v>
      </c>
      <c r="I139" t="str">
        <f>VLOOKUP($E139,TaskValues_ref!$E:$Z,5,FALSE)</f>
        <v>Mental health</v>
      </c>
      <c r="J139" s="257" t="str">
        <f>VLOOKUP($E139,TaskValues_ref!$E:$Z,6,FALSE)</f>
        <v>-</v>
      </c>
      <c r="K139" t="str">
        <f>VLOOKUP($E139,TaskValues_ref!$E:$Z,10,FALSE)</f>
        <v>Amhara</v>
      </c>
      <c r="L139" s="195" t="str">
        <f>IF(VLOOKUP($E139,TaskValues_ref!$E:$Z,11,FALSE)=0,"",VLOOKUP($E139,TaskValues_ref!$E:$Z,11,FALSE))</f>
        <v/>
      </c>
      <c r="M139" t="str">
        <f>IF(VLOOKUP($E139,TaskValues_ref!$E:$Z,13,FALSE)=0,"",VLOOKUP($E139,TaskValues_ref!$E:$Z,13,FALSE))</f>
        <v/>
      </c>
      <c r="N139" s="89" t="str">
        <f>IF(VLOOKUP($E139,TaskValues_ref!$E:$Z,15,FALSE)=0,"",VLOOKUP($E139,TaskValues_ref!$E:$Z,15,FALSE))</f>
        <v/>
      </c>
      <c r="O139" t="str">
        <f>IF(VLOOKUP($E139,TaskValues_ref!$E:$Z,16,FALSE)=0,"",VLOOKUP($E139,TaskValues_ref!$E:$Z,16,FALSE))</f>
        <v/>
      </c>
      <c r="P139" t="str">
        <f>IF(VLOOKUP($E139,TaskValues_ref!$E:$Z,17,FALSE)=0,"",VLOOKUP($E139,TaskValues_ref!$E:$Z,17,FALSE))</f>
        <v/>
      </c>
      <c r="Q139" t="str">
        <f>IF(VLOOKUP($E139,TaskValues_ref!$E:$Z,18,FALSE)=0,"",VLOOKUP($E139,TaskValues_ref!$E:$Z,18,FALSE))</f>
        <v/>
      </c>
      <c r="R139" t="str">
        <f>IF(VLOOKUP($E139,TaskValues_ref!$E:$Z,19,FALSE)=0,"",VLOOKUP($E139,TaskValues_ref!$E:$Z,19,FALSE))</f>
        <v/>
      </c>
      <c r="S139" t="str">
        <f>IF(VLOOKUP($E139,TaskValues_ref!$E:$Z,20,FALSE)=0,"",VLOOKUP($E139,TaskValues_ref!$E:$Z,20,FALSE))</f>
        <v/>
      </c>
    </row>
    <row r="140" spans="1:19" x14ac:dyDescent="0.45">
      <c r="A140" s="66" t="s">
        <v>2337</v>
      </c>
      <c r="B140" s="66" t="s">
        <v>2378</v>
      </c>
      <c r="C140" s="66" t="s">
        <v>232</v>
      </c>
      <c r="D140" s="66">
        <v>133</v>
      </c>
      <c r="E140" s="64" t="str">
        <f>_xlfn.CONCAT("DPC.MH.",D140)</f>
        <v>DPC.MH.133</v>
      </c>
      <c r="F140" t="str">
        <f>VLOOKUP(E140,TaskValues_ref!E:F,2,FALSE)</f>
        <v>Identify &amp; assess drug use</v>
      </c>
      <c r="G140" t="str">
        <f>VLOOKUP($E140,TaskValues_ref!$E:$Z,3,FALSE)</f>
        <v>Clinical</v>
      </c>
      <c r="H140" t="str">
        <f>VLOOKUP($E140,TaskValues_ref!$E:$Z,4,FALSE)</f>
        <v>Acute</v>
      </c>
      <c r="I140" t="str">
        <f>VLOOKUP($E140,TaskValues_ref!$E:$Z,5,FALSE)</f>
        <v>Mental health</v>
      </c>
      <c r="J140" s="257" t="str">
        <f>VLOOKUP($E140,TaskValues_ref!$E:$Z,6,FALSE)</f>
        <v>30 yo adults</v>
      </c>
      <c r="K140" t="str">
        <f>VLOOKUP($E140,TaskValues_ref!$E:$Z,10,FALSE)</f>
        <v>Amhara</v>
      </c>
      <c r="L140" s="195" t="str">
        <f>IF(VLOOKUP($E140,TaskValues_ref!$E:$Z,11,FALSE)=0,"",VLOOKUP($E140,TaskValues_ref!$E:$Z,11,FALSE))</f>
        <v/>
      </c>
      <c r="M140" t="str">
        <f>IF(VLOOKUP($E140,TaskValues_ref!$E:$Z,13,FALSE)=0,"",VLOOKUP($E140,TaskValues_ref!$E:$Z,13,FALSE))</f>
        <v/>
      </c>
      <c r="N140" s="89">
        <f>IF(VLOOKUP($E140,TaskValues_ref!$E:$Z,15,FALSE)=0,"",VLOOKUP($E140,TaskValues_ref!$E:$Z,15,FALSE))</f>
        <v>1</v>
      </c>
      <c r="O140">
        <f>IF(VLOOKUP($E140,TaskValues_ref!$E:$Z,16,FALSE)=0,"",VLOOKUP($E140,TaskValues_ref!$E:$Z,16,FALSE))</f>
        <v>1</v>
      </c>
      <c r="P140" t="str">
        <f>IF(VLOOKUP($E140,TaskValues_ref!$E:$Z,17,FALSE)=0,"",VLOOKUP($E140,TaskValues_ref!$E:$Z,17,FALSE))</f>
        <v/>
      </c>
      <c r="Q140">
        <f>IF(VLOOKUP($E140,TaskValues_ref!$E:$Z,18,FALSE)=0,"",VLOOKUP($E140,TaskValues_ref!$E:$Z,18,FALSE))</f>
        <v>15</v>
      </c>
      <c r="R140" t="str">
        <f>IF(VLOOKUP($E140,TaskValues_ref!$E:$Z,19,FALSE)=0,"",VLOOKUP($E140,TaskValues_ref!$E:$Z,19,FALSE))</f>
        <v/>
      </c>
      <c r="S140" t="str">
        <f>IF(VLOOKUP($E140,TaskValues_ref!$E:$Z,20,FALSE)=0,"",VLOOKUP($E140,TaskValues_ref!$E:$Z,20,FALSE))</f>
        <v/>
      </c>
    </row>
    <row r="141" spans="1:19" x14ac:dyDescent="0.45">
      <c r="A141" s="66" t="s">
        <v>2337</v>
      </c>
      <c r="B141" s="66" t="s">
        <v>2378</v>
      </c>
      <c r="C141" s="66" t="s">
        <v>232</v>
      </c>
      <c r="D141" s="66">
        <v>134</v>
      </c>
      <c r="E141" s="64" t="str">
        <f>_xlfn.CONCAT("DPC.MH.",D141)</f>
        <v>DPC.MH.134</v>
      </c>
      <c r="F141" t="str">
        <f>VLOOKUP(E141,TaskValues_ref!E:F,2,FALSE)</f>
        <v>Safer storage of pesticides</v>
      </c>
      <c r="G141" t="str">
        <f>VLOOKUP($E141,TaskValues_ref!$E:$Z,3,FALSE)</f>
        <v>Non-clinical</v>
      </c>
      <c r="H141" t="str">
        <f>VLOOKUP($E141,TaskValues_ref!$E:$Z,4,FALSE)</f>
        <v>Public health</v>
      </c>
      <c r="I141" t="str">
        <f>VLOOKUP($E141,TaskValues_ref!$E:$Z,5,FALSE)</f>
        <v>Mental health</v>
      </c>
      <c r="J141" s="257" t="str">
        <f>VLOOKUP($E141,TaskValues_ref!$E:$Z,6,FALSE)</f>
        <v>-</v>
      </c>
      <c r="K141" t="str">
        <f>VLOOKUP($E141,TaskValues_ref!$E:$Z,10,FALSE)</f>
        <v>Amhara</v>
      </c>
      <c r="L141" s="195" t="str">
        <f>IF(VLOOKUP($E141,TaskValues_ref!$E:$Z,11,FALSE)=0,"",VLOOKUP($E141,TaskValues_ref!$E:$Z,11,FALSE))</f>
        <v/>
      </c>
      <c r="M141" t="str">
        <f>IF(VLOOKUP($E141,TaskValues_ref!$E:$Z,13,FALSE)=0,"",VLOOKUP($E141,TaskValues_ref!$E:$Z,13,FALSE))</f>
        <v/>
      </c>
      <c r="N141" s="89" t="str">
        <f>IF(VLOOKUP($E141,TaskValues_ref!$E:$Z,15,FALSE)=0,"",VLOOKUP($E141,TaskValues_ref!$E:$Z,15,FALSE))</f>
        <v/>
      </c>
      <c r="O141" t="str">
        <f>IF(VLOOKUP($E141,TaskValues_ref!$E:$Z,16,FALSE)=0,"",VLOOKUP($E141,TaskValues_ref!$E:$Z,16,FALSE))</f>
        <v/>
      </c>
      <c r="P141" t="str">
        <f>IF(VLOOKUP($E141,TaskValues_ref!$E:$Z,17,FALSE)=0,"",VLOOKUP($E141,TaskValues_ref!$E:$Z,17,FALSE))</f>
        <v/>
      </c>
      <c r="Q141" t="str">
        <f>IF(VLOOKUP($E141,TaskValues_ref!$E:$Z,18,FALSE)=0,"",VLOOKUP($E141,TaskValues_ref!$E:$Z,18,FALSE))</f>
        <v/>
      </c>
      <c r="R141" t="str">
        <f>IF(VLOOKUP($E141,TaskValues_ref!$E:$Z,19,FALSE)=0,"",VLOOKUP($E141,TaskValues_ref!$E:$Z,19,FALSE))</f>
        <v/>
      </c>
      <c r="S141" t="str">
        <f>IF(VLOOKUP($E141,TaskValues_ref!$E:$Z,20,FALSE)=0,"",VLOOKUP($E141,TaskValues_ref!$E:$Z,20,FALSE))</f>
        <v/>
      </c>
    </row>
    <row r="142" spans="1:19" x14ac:dyDescent="0.45">
      <c r="A142" s="66" t="s">
        <v>2337</v>
      </c>
      <c r="B142" s="66" t="s">
        <v>2378</v>
      </c>
      <c r="C142" s="66" t="s">
        <v>232</v>
      </c>
      <c r="D142" s="66">
        <v>135</v>
      </c>
      <c r="E142" s="64" t="str">
        <f>_xlfn.CONCAT("DPC.MH.",D142)</f>
        <v>DPC.MH.135</v>
      </c>
      <c r="F142" t="str">
        <f>VLOOKUP(E142,TaskValues_ref!E:F,2,FALSE)</f>
        <v>Emergency poisoning response</v>
      </c>
      <c r="G142" t="str">
        <f>VLOOKUP($E142,TaskValues_ref!$E:$Z,3,FALSE)</f>
        <v>Clinical</v>
      </c>
      <c r="H142" t="str">
        <f>VLOOKUP($E142,TaskValues_ref!$E:$Z,4,FALSE)</f>
        <v>Acute</v>
      </c>
      <c r="I142" t="str">
        <f>VLOOKUP($E142,TaskValues_ref!$E:$Z,5,FALSE)</f>
        <v>Mental health</v>
      </c>
      <c r="J142" s="257" t="str">
        <f>VLOOKUP($E142,TaskValues_ref!$E:$Z,6,FALSE)</f>
        <v>adults 18+</v>
      </c>
      <c r="K142" t="str">
        <f>VLOOKUP($E142,TaskValues_ref!$E:$Z,10,FALSE)</f>
        <v>Amhara</v>
      </c>
      <c r="L142" s="195" t="str">
        <f>IF(VLOOKUP($E142,TaskValues_ref!$E:$Z,11,FALSE)=0,"",VLOOKUP($E142,TaskValues_ref!$E:$Z,11,FALSE))</f>
        <v/>
      </c>
      <c r="M142" t="str">
        <f>IF(VLOOKUP($E142,TaskValues_ref!$E:$Z,13,FALSE)=0,"",VLOOKUP($E142,TaskValues_ref!$E:$Z,13,FALSE))</f>
        <v/>
      </c>
      <c r="N142" s="89">
        <f>IF(VLOOKUP($E142,TaskValues_ref!$E:$Z,15,FALSE)=0,"",VLOOKUP($E142,TaskValues_ref!$E:$Z,15,FALSE))</f>
        <v>1</v>
      </c>
      <c r="O142">
        <f>IF(VLOOKUP($E142,TaskValues_ref!$E:$Z,16,FALSE)=0,"",VLOOKUP($E142,TaskValues_ref!$E:$Z,16,FALSE))</f>
        <v>1</v>
      </c>
      <c r="P142" t="str">
        <f>IF(VLOOKUP($E142,TaskValues_ref!$E:$Z,17,FALSE)=0,"",VLOOKUP($E142,TaskValues_ref!$E:$Z,17,FALSE))</f>
        <v/>
      </c>
      <c r="Q142">
        <f>IF(VLOOKUP($E142,TaskValues_ref!$E:$Z,18,FALSE)=0,"",VLOOKUP($E142,TaskValues_ref!$E:$Z,18,FALSE))</f>
        <v>15</v>
      </c>
      <c r="R142" t="str">
        <f>IF(VLOOKUP($E142,TaskValues_ref!$E:$Z,19,FALSE)=0,"",VLOOKUP($E142,TaskValues_ref!$E:$Z,19,FALSE))</f>
        <v/>
      </c>
      <c r="S142" t="str">
        <f>IF(VLOOKUP($E142,TaskValues_ref!$E:$Z,20,FALSE)=0,"",VLOOKUP($E142,TaskValues_ref!$E:$Z,20,FALSE))</f>
        <v/>
      </c>
    </row>
    <row r="143" spans="1:19" x14ac:dyDescent="0.45">
      <c r="A143" s="66" t="s">
        <v>2337</v>
      </c>
      <c r="B143" s="66" t="s">
        <v>2378</v>
      </c>
      <c r="C143" s="66" t="s">
        <v>2395</v>
      </c>
      <c r="D143" s="66">
        <v>136</v>
      </c>
      <c r="E143" s="64" t="str">
        <f>_xlfn.CONCAT("DPC.Oph.",D143)</f>
        <v>DPC.Oph.136</v>
      </c>
      <c r="F143" t="str">
        <f>VLOOKUP(E143,TaskValues_ref!E:F,2,FALSE)</f>
        <v>Awareness &amp; screening for cataracts</v>
      </c>
      <c r="G143" t="str">
        <f>VLOOKUP($E143,TaskValues_ref!$E:$Z,3,FALSE)</f>
        <v>Clinical</v>
      </c>
      <c r="H143" t="str">
        <f>VLOOKUP($E143,TaskValues_ref!$E:$Z,4,FALSE)</f>
        <v>Preventive</v>
      </c>
      <c r="I143" t="str">
        <f>VLOOKUP($E143,TaskValues_ref!$E:$Z,5,FALSE)</f>
        <v>NCDs</v>
      </c>
      <c r="J143" s="257" t="str">
        <f>VLOOKUP($E143,TaskValues_ref!$E:$Z,6,FALSE)</f>
        <v>adults 18+</v>
      </c>
      <c r="K143" t="str">
        <f>VLOOKUP($E143,TaskValues_ref!$E:$Z,10,FALSE)</f>
        <v>Amhara</v>
      </c>
      <c r="L143" s="195">
        <f>IF(VLOOKUP($E143,TaskValues_ref!$E:$Z,11,FALSE)=0,"",VLOOKUP($E143,TaskValues_ref!$E:$Z,11,FALSE))</f>
        <v>4.8212E-4</v>
      </c>
      <c r="M143" t="str">
        <f>IF(VLOOKUP($E143,TaskValues_ref!$E:$Z,13,FALSE)=0,"",VLOOKUP($E143,TaskValues_ref!$E:$Z,13,FALSE))</f>
        <v/>
      </c>
      <c r="N143" s="89">
        <f>IF(VLOOKUP($E143,TaskValues_ref!$E:$Z,15,FALSE)=0,"",VLOOKUP($E143,TaskValues_ref!$E:$Z,15,FALSE))</f>
        <v>1.0311999999999999</v>
      </c>
      <c r="O143">
        <f>IF(VLOOKUP($E143,TaskValues_ref!$E:$Z,16,FALSE)=0,"",VLOOKUP($E143,TaskValues_ref!$E:$Z,16,FALSE))</f>
        <v>1</v>
      </c>
      <c r="P143" t="str">
        <f>IF(VLOOKUP($E143,TaskValues_ref!$E:$Z,17,FALSE)=0,"",VLOOKUP($E143,TaskValues_ref!$E:$Z,17,FALSE))</f>
        <v/>
      </c>
      <c r="Q143">
        <f>IF(VLOOKUP($E143,TaskValues_ref!$E:$Z,18,FALSE)=0,"",VLOOKUP($E143,TaskValues_ref!$E:$Z,18,FALSE))</f>
        <v>10</v>
      </c>
      <c r="R143" t="str">
        <f>IF(VLOOKUP($E143,TaskValues_ref!$E:$Z,19,FALSE)=0,"",VLOOKUP($E143,TaskValues_ref!$E:$Z,19,FALSE))</f>
        <v/>
      </c>
      <c r="S143" t="str">
        <f>IF(VLOOKUP($E143,TaskValues_ref!$E:$Z,20,FALSE)=0,"",VLOOKUP($E143,TaskValues_ref!$E:$Z,20,FALSE))</f>
        <v/>
      </c>
    </row>
    <row r="144" spans="1:19" x14ac:dyDescent="0.45">
      <c r="A144" s="66" t="s">
        <v>2337</v>
      </c>
      <c r="B144" s="66" t="s">
        <v>2378</v>
      </c>
      <c r="C144" s="66" t="s">
        <v>2395</v>
      </c>
      <c r="D144" s="66">
        <v>137</v>
      </c>
      <c r="E144" s="64" t="str">
        <f>_xlfn.CONCAT("DPC.Oph.",D144)</f>
        <v>DPC.Oph.137</v>
      </c>
      <c r="F144" t="str">
        <f>VLOOKUP(E144,TaskValues_ref!E:F,2,FALSE)</f>
        <v>Awareness of eye glasses</v>
      </c>
      <c r="G144" t="str">
        <f>VLOOKUP($E144,TaskValues_ref!$E:$Z,3,FALSE)</f>
        <v>Clinical</v>
      </c>
      <c r="H144" t="str">
        <f>VLOOKUP($E144,TaskValues_ref!$E:$Z,4,FALSE)</f>
        <v>Public health</v>
      </c>
      <c r="I144" t="str">
        <f>VLOOKUP($E144,TaskValues_ref!$E:$Z,5,FALSE)</f>
        <v>NCDs</v>
      </c>
      <c r="J144" s="257" t="str">
        <f>VLOOKUP($E144,TaskValues_ref!$E:$Z,6,FALSE)</f>
        <v>-</v>
      </c>
      <c r="K144" t="str">
        <f>VLOOKUP($E144,TaskValues_ref!$E:$Z,10,FALSE)</f>
        <v>Amhara</v>
      </c>
      <c r="L144" s="195" t="str">
        <f>IF(VLOOKUP($E144,TaskValues_ref!$E:$Z,11,FALSE)=0,"",VLOOKUP($E144,TaskValues_ref!$E:$Z,11,FALSE))</f>
        <v/>
      </c>
      <c r="M144" t="str">
        <f>IF(VLOOKUP($E144,TaskValues_ref!$E:$Z,13,FALSE)=0,"",VLOOKUP($E144,TaskValues_ref!$E:$Z,13,FALSE))</f>
        <v/>
      </c>
      <c r="N144" s="89" t="str">
        <f>IF(VLOOKUP($E144,TaskValues_ref!$E:$Z,15,FALSE)=0,"",VLOOKUP($E144,TaskValues_ref!$E:$Z,15,FALSE))</f>
        <v/>
      </c>
      <c r="O144" t="str">
        <f>IF(VLOOKUP($E144,TaskValues_ref!$E:$Z,16,FALSE)=0,"",VLOOKUP($E144,TaskValues_ref!$E:$Z,16,FALSE))</f>
        <v/>
      </c>
      <c r="P144" t="str">
        <f>IF(VLOOKUP($E144,TaskValues_ref!$E:$Z,17,FALSE)=0,"",VLOOKUP($E144,TaskValues_ref!$E:$Z,17,FALSE))</f>
        <v/>
      </c>
      <c r="Q144" t="str">
        <f>IF(VLOOKUP($E144,TaskValues_ref!$E:$Z,18,FALSE)=0,"",VLOOKUP($E144,TaskValues_ref!$E:$Z,18,FALSE))</f>
        <v/>
      </c>
      <c r="R144" t="str">
        <f>IF(VLOOKUP($E144,TaskValues_ref!$E:$Z,19,FALSE)=0,"",VLOOKUP($E144,TaskValues_ref!$E:$Z,19,FALSE))</f>
        <v/>
      </c>
      <c r="S144" t="str">
        <f>IF(VLOOKUP($E144,TaskValues_ref!$E:$Z,20,FALSE)=0,"",VLOOKUP($E144,TaskValues_ref!$E:$Z,20,FALSE))</f>
        <v/>
      </c>
    </row>
    <row r="145" spans="1:19" x14ac:dyDescent="0.45">
      <c r="A145" s="66" t="s">
        <v>2337</v>
      </c>
      <c r="B145" s="66" t="s">
        <v>2378</v>
      </c>
      <c r="C145" s="66" t="s">
        <v>2395</v>
      </c>
      <c r="D145" s="66">
        <v>138</v>
      </c>
      <c r="E145" s="64" t="str">
        <f>_xlfn.CONCAT("DPC.Oph.",D145)</f>
        <v>DPC.Oph.138</v>
      </c>
      <c r="F145" t="str">
        <f>VLOOKUP(E145,TaskValues_ref!E:F,2,FALSE)</f>
        <v>School screenings for vision impairment</v>
      </c>
      <c r="G145" t="str">
        <f>VLOOKUP($E145,TaskValues_ref!$E:$Z,3,FALSE)</f>
        <v>Clinical</v>
      </c>
      <c r="H145" t="str">
        <f>VLOOKUP($E145,TaskValues_ref!$E:$Z,4,FALSE)</f>
        <v>Preventive</v>
      </c>
      <c r="I145" t="str">
        <f>VLOOKUP($E145,TaskValues_ref!$E:$Z,5,FALSE)</f>
        <v>NCDs</v>
      </c>
      <c r="J145" s="257" t="str">
        <f>VLOOKUP($E145,TaskValues_ref!$E:$Z,6,FALSE)</f>
        <v>15 yo</v>
      </c>
      <c r="K145" t="str">
        <f>VLOOKUP($E145,TaskValues_ref!$E:$Z,10,FALSE)</f>
        <v>Amhara</v>
      </c>
      <c r="L145" s="195" t="str">
        <f>IF(VLOOKUP($E145,TaskValues_ref!$E:$Z,11,FALSE)=0,"",VLOOKUP($E145,TaskValues_ref!$E:$Z,11,FALSE))</f>
        <v/>
      </c>
      <c r="M145" t="str">
        <f>IF(VLOOKUP($E145,TaskValues_ref!$E:$Z,13,FALSE)=0,"",VLOOKUP($E145,TaskValues_ref!$E:$Z,13,FALSE))</f>
        <v/>
      </c>
      <c r="N145" s="89" t="str">
        <f>IF(VLOOKUP($E145,TaskValues_ref!$E:$Z,15,FALSE)=0,"",VLOOKUP($E145,TaskValues_ref!$E:$Z,15,FALSE))</f>
        <v/>
      </c>
      <c r="O145" t="str">
        <f>IF(VLOOKUP($E145,TaskValues_ref!$E:$Z,16,FALSE)=0,"",VLOOKUP($E145,TaskValues_ref!$E:$Z,16,FALSE))</f>
        <v/>
      </c>
      <c r="P145" t="str">
        <f>IF(VLOOKUP($E145,TaskValues_ref!$E:$Z,17,FALSE)=0,"",VLOOKUP($E145,TaskValues_ref!$E:$Z,17,FALSE))</f>
        <v/>
      </c>
      <c r="Q145" t="str">
        <f>IF(VLOOKUP($E145,TaskValues_ref!$E:$Z,18,FALSE)=0,"",VLOOKUP($E145,TaskValues_ref!$E:$Z,18,FALSE))</f>
        <v/>
      </c>
      <c r="R145" t="str">
        <f>IF(VLOOKUP($E145,TaskValues_ref!$E:$Z,19,FALSE)=0,"",VLOOKUP($E145,TaskValues_ref!$E:$Z,19,FALSE))</f>
        <v/>
      </c>
      <c r="S145" t="str">
        <f>IF(VLOOKUP($E145,TaskValues_ref!$E:$Z,20,FALSE)=0,"",VLOOKUP($E145,TaskValues_ref!$E:$Z,20,FALSE))</f>
        <v/>
      </c>
    </row>
    <row r="146" spans="1:19" x14ac:dyDescent="0.45">
      <c r="A146" s="66" t="s">
        <v>2337</v>
      </c>
      <c r="B146" s="66" t="s">
        <v>2378</v>
      </c>
      <c r="C146" s="66" t="s">
        <v>2395</v>
      </c>
      <c r="D146" s="66">
        <v>139</v>
      </c>
      <c r="E146" s="64" t="str">
        <f>_xlfn.CONCAT("DPC.Oph.",D146)</f>
        <v>DPC.Oph.139</v>
      </c>
      <c r="F146" t="str">
        <f>VLOOKUP(E146,TaskValues_ref!E:F,2,FALSE)</f>
        <v>Opportunistic screenings for vision impairment</v>
      </c>
      <c r="G146" t="str">
        <f>VLOOKUP($E146,TaskValues_ref!$E:$Z,3,FALSE)</f>
        <v>Clinical</v>
      </c>
      <c r="H146" t="str">
        <f>VLOOKUP($E146,TaskValues_ref!$E:$Z,4,FALSE)</f>
        <v>Preventive</v>
      </c>
      <c r="I146" t="str">
        <f>VLOOKUP($E146,TaskValues_ref!$E:$Z,5,FALSE)</f>
        <v>NCDs</v>
      </c>
      <c r="J146" s="257" t="str">
        <f>VLOOKUP($E146,TaskValues_ref!$E:$Z,6,FALSE)</f>
        <v>adults 18+</v>
      </c>
      <c r="K146" t="str">
        <f>VLOOKUP($E146,TaskValues_ref!$E:$Z,10,FALSE)</f>
        <v>Amhara</v>
      </c>
      <c r="L146" s="195">
        <f>IF(VLOOKUP($E146,TaskValues_ref!$E:$Z,11,FALSE)=0,"",VLOOKUP($E146,TaskValues_ref!$E:$Z,11,FALSE))</f>
        <v>0.2</v>
      </c>
      <c r="M146" t="str">
        <f>IF(VLOOKUP($E146,TaskValues_ref!$E:$Z,13,FALSE)=0,"",VLOOKUP($E146,TaskValues_ref!$E:$Z,13,FALSE))</f>
        <v/>
      </c>
      <c r="N146" s="89">
        <f>IF(VLOOKUP($E146,TaskValues_ref!$E:$Z,15,FALSE)=0,"",VLOOKUP($E146,TaskValues_ref!$E:$Z,15,FALSE))</f>
        <v>1</v>
      </c>
      <c r="O146">
        <f>IF(VLOOKUP($E146,TaskValues_ref!$E:$Z,16,FALSE)=0,"",VLOOKUP($E146,TaskValues_ref!$E:$Z,16,FALSE))</f>
        <v>1</v>
      </c>
      <c r="P146" t="str">
        <f>IF(VLOOKUP($E146,TaskValues_ref!$E:$Z,17,FALSE)=0,"",VLOOKUP($E146,TaskValues_ref!$E:$Z,17,FALSE))</f>
        <v/>
      </c>
      <c r="Q146">
        <f>IF(VLOOKUP($E146,TaskValues_ref!$E:$Z,18,FALSE)=0,"",VLOOKUP($E146,TaskValues_ref!$E:$Z,18,FALSE))</f>
        <v>15</v>
      </c>
      <c r="R146" t="str">
        <f>IF(VLOOKUP($E146,TaskValues_ref!$E:$Z,19,FALSE)=0,"",VLOOKUP($E146,TaskValues_ref!$E:$Z,19,FALSE))</f>
        <v/>
      </c>
      <c r="S146" t="str">
        <f>IF(VLOOKUP($E146,TaskValues_ref!$E:$Z,20,FALSE)=0,"",VLOOKUP($E146,TaskValues_ref!$E:$Z,20,FALSE))</f>
        <v/>
      </c>
    </row>
    <row r="147" spans="1:19" x14ac:dyDescent="0.45">
      <c r="A147" s="66" t="s">
        <v>2337</v>
      </c>
      <c r="B147" s="66" t="s">
        <v>2378</v>
      </c>
      <c r="C147" s="66" t="s">
        <v>2395</v>
      </c>
      <c r="D147" s="66">
        <v>140</v>
      </c>
      <c r="E147" s="64" t="str">
        <f>_xlfn.CONCAT("DPC.Oph.",D147)</f>
        <v>DPC.Oph.140</v>
      </c>
      <c r="F147" t="str">
        <f>VLOOKUP(E147,TaskValues_ref!E:F,2,FALSE)</f>
        <v>Awareness &amp; screening for glaucoma</v>
      </c>
      <c r="G147" t="str">
        <f>VLOOKUP($E147,TaskValues_ref!$E:$Z,3,FALSE)</f>
        <v>Clinical</v>
      </c>
      <c r="H147" t="str">
        <f>VLOOKUP($E147,TaskValues_ref!$E:$Z,4,FALSE)</f>
        <v>Preventive</v>
      </c>
      <c r="I147" t="str">
        <f>VLOOKUP($E147,TaskValues_ref!$E:$Z,5,FALSE)</f>
        <v>NCDs</v>
      </c>
      <c r="J147" s="257" t="str">
        <f>VLOOKUP($E147,TaskValues_ref!$E:$Z,6,FALSE)</f>
        <v>50 yo adults</v>
      </c>
      <c r="K147" t="str">
        <f>VLOOKUP($E147,TaskValues_ref!$E:$Z,10,FALSE)</f>
        <v>Amhara</v>
      </c>
      <c r="L147" s="195" t="str">
        <f>IF(VLOOKUP($E147,TaskValues_ref!$E:$Z,11,FALSE)=0,"",VLOOKUP($E147,TaskValues_ref!$E:$Z,11,FALSE))</f>
        <v/>
      </c>
      <c r="M147" t="str">
        <f>IF(VLOOKUP($E147,TaskValues_ref!$E:$Z,13,FALSE)=0,"",VLOOKUP($E147,TaskValues_ref!$E:$Z,13,FALSE))</f>
        <v/>
      </c>
      <c r="N147" s="89">
        <f>IF(VLOOKUP($E147,TaskValues_ref!$E:$Z,15,FALSE)=0,"",VLOOKUP($E147,TaskValues_ref!$E:$Z,15,FALSE))</f>
        <v>1</v>
      </c>
      <c r="O147">
        <f>IF(VLOOKUP($E147,TaskValues_ref!$E:$Z,16,FALSE)=0,"",VLOOKUP($E147,TaskValues_ref!$E:$Z,16,FALSE))</f>
        <v>1</v>
      </c>
      <c r="P147" t="str">
        <f>IF(VLOOKUP($E147,TaskValues_ref!$E:$Z,17,FALSE)=0,"",VLOOKUP($E147,TaskValues_ref!$E:$Z,17,FALSE))</f>
        <v/>
      </c>
      <c r="Q147">
        <f>IF(VLOOKUP($E147,TaskValues_ref!$E:$Z,18,FALSE)=0,"",VLOOKUP($E147,TaskValues_ref!$E:$Z,18,FALSE))</f>
        <v>15</v>
      </c>
      <c r="R147" t="str">
        <f>IF(VLOOKUP($E147,TaskValues_ref!$E:$Z,19,FALSE)=0,"",VLOOKUP($E147,TaskValues_ref!$E:$Z,19,FALSE))</f>
        <v/>
      </c>
      <c r="S147" t="str">
        <f>IF(VLOOKUP($E147,TaskValues_ref!$E:$Z,20,FALSE)=0,"",VLOOKUP($E147,TaskValues_ref!$E:$Z,20,FALSE))</f>
        <v/>
      </c>
    </row>
    <row r="148" spans="1:19" x14ac:dyDescent="0.45">
      <c r="A148" s="66" t="s">
        <v>2337</v>
      </c>
      <c r="B148" s="66" t="s">
        <v>2378</v>
      </c>
      <c r="C148" s="66" t="s">
        <v>2396</v>
      </c>
      <c r="E148" s="64" t="s">
        <v>2592</v>
      </c>
      <c r="F148" t="str">
        <f>VLOOKUP(E148,TaskValues_ref!E:F,2,FALSE)</f>
        <v>Basic first aid</v>
      </c>
      <c r="G148" t="str">
        <f>VLOOKUP($E148,TaskValues_ref!$E:$Z,3,FALSE)</f>
        <v>Clinical</v>
      </c>
      <c r="H148" t="str">
        <f>VLOOKUP($E148,TaskValues_ref!$E:$Z,4,FALSE)</f>
        <v>Acute</v>
      </c>
      <c r="I148" t="str">
        <f>VLOOKUP($E148,TaskValues_ref!$E:$Z,5,FALSE)</f>
        <v>First aid</v>
      </c>
      <c r="J148" s="257" t="str">
        <f>VLOOKUP($E148,TaskValues_ref!$E:$Z,6,FALSE)</f>
        <v>all</v>
      </c>
      <c r="K148" t="str">
        <f>VLOOKUP($E148,TaskValues_ref!$E:$Z,10,FALSE)</f>
        <v>Amhara</v>
      </c>
      <c r="L148" s="195">
        <f>IF(VLOOKUP($E148,TaskValues_ref!$E:$Z,11,FALSE)=0,"",VLOOKUP($E148,TaskValues_ref!$E:$Z,11,FALSE))</f>
        <v>2.595121951219513E-3</v>
      </c>
      <c r="M148">
        <f>IF(VLOOKUP($E148,TaskValues_ref!$E:$Z,13,FALSE)=0,"",VLOOKUP($E148,TaskValues_ref!$E:$Z,13,FALSE))</f>
        <v>0.25</v>
      </c>
      <c r="N148" s="89">
        <f>IF(VLOOKUP($E148,TaskValues_ref!$E:$Z,15,FALSE)=0,"",VLOOKUP($E148,TaskValues_ref!$E:$Z,15,FALSE))</f>
        <v>1</v>
      </c>
      <c r="O148">
        <f>IF(VLOOKUP($E148,TaskValues_ref!$E:$Z,16,FALSE)=0,"",VLOOKUP($E148,TaskValues_ref!$E:$Z,16,FALSE))</f>
        <v>1</v>
      </c>
      <c r="P148" t="str">
        <f>IF(VLOOKUP($E148,TaskValues_ref!$E:$Z,17,FALSE)=0,"",VLOOKUP($E148,TaskValues_ref!$E:$Z,17,FALSE))</f>
        <v/>
      </c>
      <c r="Q148">
        <f>IF(VLOOKUP($E148,TaskValues_ref!$E:$Z,18,FALSE)=0,"",VLOOKUP($E148,TaskValues_ref!$E:$Z,18,FALSE))</f>
        <v>7</v>
      </c>
      <c r="R148" t="str">
        <f>IF(VLOOKUP($E148,TaskValues_ref!$E:$Z,19,FALSE)=0,"",VLOOKUP($E148,TaskValues_ref!$E:$Z,19,FALSE))</f>
        <v/>
      </c>
      <c r="S148" t="str">
        <f>IF(VLOOKUP($E148,TaskValues_ref!$E:$Z,20,FALSE)=0,"",VLOOKUP($E148,TaskValues_ref!$E:$Z,20,FALSE))</f>
        <v/>
      </c>
    </row>
    <row r="149" spans="1:19" x14ac:dyDescent="0.45">
      <c r="A149" s="66" t="s">
        <v>2337</v>
      </c>
      <c r="B149" s="66" t="s">
        <v>528</v>
      </c>
      <c r="D149" s="66">
        <v>156</v>
      </c>
      <c r="E149" s="64" t="s">
        <v>2451</v>
      </c>
      <c r="F149" t="str">
        <f>VLOOKUP(E149,TaskValues_ref!E:F,2,FALSE)</f>
        <v>Surveillance for NTDs</v>
      </c>
      <c r="G149" t="str">
        <f>VLOOKUP($E149,TaskValues_ref!$E:$Z,3,FALSE)</f>
        <v>Non-productive</v>
      </c>
      <c r="H149" t="str">
        <f>VLOOKUP($E149,TaskValues_ref!$E:$Z,4,FALSE)</f>
        <v>Public Health</v>
      </c>
      <c r="I149" t="str">
        <f>VLOOKUP($E149,TaskValues_ref!$E:$Z,5,FALSE)</f>
        <v>-</v>
      </c>
      <c r="J149" s="257" t="str">
        <f>VLOOKUP($E149,TaskValues_ref!$E:$Z,6,FALSE)</f>
        <v>-</v>
      </c>
      <c r="K149" t="str">
        <f>VLOOKUP($E149,TaskValues_ref!$E:$Z,10,FALSE)</f>
        <v>Amhara</v>
      </c>
      <c r="L149" s="195" t="str">
        <f>IF(VLOOKUP($E149,TaskValues_ref!$E:$Z,11,FALSE)=0,"",VLOOKUP($E149,TaskValues_ref!$E:$Z,11,FALSE))</f>
        <v/>
      </c>
      <c r="M149" t="str">
        <f>IF(VLOOKUP($E149,TaskValues_ref!$E:$Z,13,FALSE)=0,"",VLOOKUP($E149,TaskValues_ref!$E:$Z,13,FALSE))</f>
        <v/>
      </c>
      <c r="N149" s="89" t="str">
        <f>IF(VLOOKUP($E149,TaskValues_ref!$E:$Z,15,FALSE)=0,"",VLOOKUP($E149,TaskValues_ref!$E:$Z,15,FALSE))</f>
        <v/>
      </c>
      <c r="O149" t="str">
        <f>IF(VLOOKUP($E149,TaskValues_ref!$E:$Z,16,FALSE)=0,"",VLOOKUP($E149,TaskValues_ref!$E:$Z,16,FALSE))</f>
        <v/>
      </c>
      <c r="P149" t="str">
        <f>IF(VLOOKUP($E149,TaskValues_ref!$E:$Z,17,FALSE)=0,"",VLOOKUP($E149,TaskValues_ref!$E:$Z,17,FALSE))</f>
        <v/>
      </c>
      <c r="Q149" t="str">
        <f>IF(VLOOKUP($E149,TaskValues_ref!$E:$Z,18,FALSE)=0,"",VLOOKUP($E149,TaskValues_ref!$E:$Z,18,FALSE))</f>
        <v/>
      </c>
      <c r="R149" t="str">
        <f>IF(VLOOKUP($E149,TaskValues_ref!$E:$Z,19,FALSE)=0,"",VLOOKUP($E149,TaskValues_ref!$E:$Z,19,FALSE))</f>
        <v/>
      </c>
      <c r="S149" t="str">
        <f>IF(VLOOKUP($E149,TaskValues_ref!$E:$Z,20,FALSE)=0,"",VLOOKUP($E149,TaskValues_ref!$E:$Z,20,FALSE))</f>
        <v/>
      </c>
    </row>
    <row r="150" spans="1:19" x14ac:dyDescent="0.45">
      <c r="A150" s="66" t="s">
        <v>2337</v>
      </c>
      <c r="B150" s="66" t="s">
        <v>528</v>
      </c>
      <c r="C150" s="66" t="s">
        <v>2453</v>
      </c>
      <c r="D150" s="66">
        <f t="shared" ref="D150:D168" si="4">D149+1</f>
        <v>157</v>
      </c>
      <c r="E150" s="64" t="str">
        <f t="shared" ref="E150:E168" si="5">_xlfn.CONCAT("DPC.NTD.",D150)</f>
        <v>DPC.NTD.157</v>
      </c>
      <c r="F150" t="str">
        <f>VLOOKUP(E150,TaskValues_ref!E:F,2,FALSE)</f>
        <v>LF screening &amp; referral</v>
      </c>
      <c r="G150" t="str">
        <f>VLOOKUP($E150,TaskValues_ref!$E:$Z,3,FALSE)</f>
        <v>Clinical</v>
      </c>
      <c r="H150" t="str">
        <f>VLOOKUP($E150,TaskValues_ref!$E:$Z,4,FALSE)</f>
        <v>Acute</v>
      </c>
      <c r="I150" t="str">
        <f>VLOOKUP($E150,TaskValues_ref!$E:$Z,5,FALSE)</f>
        <v>NTDs</v>
      </c>
      <c r="J150" s="257" t="str">
        <f>VLOOKUP($E150,TaskValues_ref!$E:$Z,6,FALSE)</f>
        <v>adults 18+</v>
      </c>
      <c r="K150" t="str">
        <f>VLOOKUP($E150,TaskValues_ref!$E:$Z,10,FALSE)</f>
        <v>Amhara</v>
      </c>
      <c r="L150" s="195">
        <f>IF(VLOOKUP($E150,TaskValues_ref!$E:$Z,11,FALSE)=0,"",VLOOKUP($E150,TaskValues_ref!$E:$Z,11,FALSE))</f>
        <v>5.2961877439969256E-3</v>
      </c>
      <c r="M150" t="str">
        <f>IF(VLOOKUP($E150,TaskValues_ref!$E:$Z,13,FALSE)=0,"",VLOOKUP($E150,TaskValues_ref!$E:$Z,13,FALSE))</f>
        <v/>
      </c>
      <c r="N150" s="89">
        <f>IF(VLOOKUP($E150,TaskValues_ref!$E:$Z,15,FALSE)=0,"",VLOOKUP($E150,TaskValues_ref!$E:$Z,15,FALSE))</f>
        <v>0.98</v>
      </c>
      <c r="O150">
        <f>IF(VLOOKUP($E150,TaskValues_ref!$E:$Z,16,FALSE)=0,"",VLOOKUP($E150,TaskValues_ref!$E:$Z,16,FALSE))</f>
        <v>1</v>
      </c>
      <c r="P150" t="str">
        <f>IF(VLOOKUP($E150,TaskValues_ref!$E:$Z,17,FALSE)=0,"",VLOOKUP($E150,TaskValues_ref!$E:$Z,17,FALSE))</f>
        <v/>
      </c>
      <c r="Q150">
        <f>IF(VLOOKUP($E150,TaskValues_ref!$E:$Z,18,FALSE)=0,"",VLOOKUP($E150,TaskValues_ref!$E:$Z,18,FALSE))</f>
        <v>5</v>
      </c>
      <c r="R150" t="str">
        <f>IF(VLOOKUP($E150,TaskValues_ref!$E:$Z,19,FALSE)=0,"",VLOOKUP($E150,TaskValues_ref!$E:$Z,19,FALSE))</f>
        <v/>
      </c>
      <c r="S150" t="str">
        <f>IF(VLOOKUP($E150,TaskValues_ref!$E:$Z,20,FALSE)=0,"",VLOOKUP($E150,TaskValues_ref!$E:$Z,20,FALSE))</f>
        <v/>
      </c>
    </row>
    <row r="151" spans="1:19" x14ac:dyDescent="0.45">
      <c r="A151" s="66" t="s">
        <v>2337</v>
      </c>
      <c r="B151" s="66" t="s">
        <v>528</v>
      </c>
      <c r="C151" s="66" t="s">
        <v>2453</v>
      </c>
      <c r="D151" s="66">
        <f t="shared" si="4"/>
        <v>158</v>
      </c>
      <c r="E151" s="64" t="str">
        <f t="shared" si="5"/>
        <v>DPC.NTD.158</v>
      </c>
      <c r="F151" t="str">
        <f>VLOOKUP(E151,TaskValues_ref!E:F,2,FALSE)</f>
        <v>LF MDA</v>
      </c>
      <c r="G151" t="str">
        <f>VLOOKUP($E151,TaskValues_ref!$E:$Z,3,FALSE)</f>
        <v>Clinical</v>
      </c>
      <c r="H151" t="str">
        <f>VLOOKUP($E151,TaskValues_ref!$E:$Z,4,FALSE)</f>
        <v>Public Health</v>
      </c>
      <c r="I151" t="str">
        <f>VLOOKUP($E151,TaskValues_ref!$E:$Z,5,FALSE)</f>
        <v>NTDs</v>
      </c>
      <c r="J151" s="257" t="str">
        <f>VLOOKUP($E151,TaskValues_ref!$E:$Z,6,FALSE)</f>
        <v>-</v>
      </c>
      <c r="K151" t="str">
        <f>VLOOKUP($E151,TaskValues_ref!$E:$Z,10,FALSE)</f>
        <v>Amhara</v>
      </c>
      <c r="L151" s="195" t="str">
        <f>IF(VLOOKUP($E151,TaskValues_ref!$E:$Z,11,FALSE)=0,"",VLOOKUP($E151,TaskValues_ref!$E:$Z,11,FALSE))</f>
        <v/>
      </c>
      <c r="M151" t="str">
        <f>IF(VLOOKUP($E151,TaskValues_ref!$E:$Z,13,FALSE)=0,"",VLOOKUP($E151,TaskValues_ref!$E:$Z,13,FALSE))</f>
        <v/>
      </c>
      <c r="N151" s="89" t="str">
        <f>IF(VLOOKUP($E151,TaskValues_ref!$E:$Z,15,FALSE)=0,"",VLOOKUP($E151,TaskValues_ref!$E:$Z,15,FALSE))</f>
        <v/>
      </c>
      <c r="O151" t="str">
        <f>IF(VLOOKUP($E151,TaskValues_ref!$E:$Z,16,FALSE)=0,"",VLOOKUP($E151,TaskValues_ref!$E:$Z,16,FALSE))</f>
        <v/>
      </c>
      <c r="P151" t="str">
        <f>IF(VLOOKUP($E151,TaskValues_ref!$E:$Z,17,FALSE)=0,"",VLOOKUP($E151,TaskValues_ref!$E:$Z,17,FALSE))</f>
        <v/>
      </c>
      <c r="Q151" t="str">
        <f>IF(VLOOKUP($E151,TaskValues_ref!$E:$Z,18,FALSE)=0,"",VLOOKUP($E151,TaskValues_ref!$E:$Z,18,FALSE))</f>
        <v/>
      </c>
      <c r="R151" t="str">
        <f>IF(VLOOKUP($E151,TaskValues_ref!$E:$Z,19,FALSE)=0,"",VLOOKUP($E151,TaskValues_ref!$E:$Z,19,FALSE))</f>
        <v/>
      </c>
      <c r="S151" t="str">
        <f>IF(VLOOKUP($E151,TaskValues_ref!$E:$Z,20,FALSE)=0,"",VLOOKUP($E151,TaskValues_ref!$E:$Z,20,FALSE))</f>
        <v/>
      </c>
    </row>
    <row r="152" spans="1:19" x14ac:dyDescent="0.45">
      <c r="A152" s="66" t="s">
        <v>2337</v>
      </c>
      <c r="B152" s="66" t="s">
        <v>528</v>
      </c>
      <c r="C152" s="66" t="s">
        <v>2453</v>
      </c>
      <c r="D152" s="66">
        <f t="shared" si="4"/>
        <v>159</v>
      </c>
      <c r="E152" s="64" t="str">
        <f t="shared" si="5"/>
        <v>DPC.NTD.159</v>
      </c>
      <c r="F152" t="str">
        <f>VLOOKUP(E152,TaskValues_ref!E:F,2,FALSE)</f>
        <v>LLINs and IRS</v>
      </c>
      <c r="G152" t="str">
        <f>VLOOKUP($E152,TaskValues_ref!$E:$Z,3,FALSE)</f>
        <v>Non-clinical</v>
      </c>
      <c r="H152" t="str">
        <f>VLOOKUP($E152,TaskValues_ref!$E:$Z,4,FALSE)</f>
        <v>Public Health</v>
      </c>
      <c r="I152" t="str">
        <f>VLOOKUP($E152,TaskValues_ref!$E:$Z,5,FALSE)</f>
        <v>NTDs</v>
      </c>
      <c r="J152" s="257" t="str">
        <f>VLOOKUP($E152,TaskValues_ref!$E:$Z,6,FALSE)</f>
        <v>all</v>
      </c>
      <c r="K152" t="str">
        <f>VLOOKUP($E152,TaskValues_ref!$E:$Z,10,FALSE)</f>
        <v>Amhara</v>
      </c>
      <c r="L152" s="195">
        <f>IF(VLOOKUP($E152,TaskValues_ref!$E:$Z,11,FALSE)=0,"",VLOOKUP($E152,TaskValues_ref!$E:$Z,11,FALSE))</f>
        <v>0.25</v>
      </c>
      <c r="M152" t="str">
        <f>IF(VLOOKUP($E152,TaskValues_ref!$E:$Z,13,FALSE)=0,"",VLOOKUP($E152,TaskValues_ref!$E:$Z,13,FALSE))</f>
        <v/>
      </c>
      <c r="N152" s="89" t="str">
        <f>IF(VLOOKUP($E152,TaskValues_ref!$E:$Z,15,FALSE)=0,"",VLOOKUP($E152,TaskValues_ref!$E:$Z,15,FALSE))</f>
        <v/>
      </c>
      <c r="O152" t="str">
        <f>IF(VLOOKUP($E152,TaskValues_ref!$E:$Z,16,FALSE)=0,"",VLOOKUP($E152,TaskValues_ref!$E:$Z,16,FALSE))</f>
        <v/>
      </c>
      <c r="P152">
        <f>IF(VLOOKUP($E152,TaskValues_ref!$E:$Z,17,FALSE)=0,"",VLOOKUP($E152,TaskValues_ref!$E:$Z,17,FALSE))</f>
        <v>1</v>
      </c>
      <c r="Q152">
        <f>IF(VLOOKUP($E152,TaskValues_ref!$E:$Z,18,FALSE)=0,"",VLOOKUP($E152,TaskValues_ref!$E:$Z,18,FALSE))</f>
        <v>5</v>
      </c>
      <c r="R152" t="str">
        <f>IF(VLOOKUP($E152,TaskValues_ref!$E:$Z,19,FALSE)=0,"",VLOOKUP($E152,TaskValues_ref!$E:$Z,19,FALSE))</f>
        <v/>
      </c>
      <c r="S152" t="str">
        <f>IF(VLOOKUP($E152,TaskValues_ref!$E:$Z,20,FALSE)=0,"",VLOOKUP($E152,TaskValues_ref!$E:$Z,20,FALSE))</f>
        <v/>
      </c>
    </row>
    <row r="153" spans="1:19" x14ac:dyDescent="0.45">
      <c r="A153" s="66" t="s">
        <v>2337</v>
      </c>
      <c r="B153" s="66" t="s">
        <v>528</v>
      </c>
      <c r="C153" s="66" t="s">
        <v>406</v>
      </c>
      <c r="D153" s="66">
        <f t="shared" si="4"/>
        <v>160</v>
      </c>
      <c r="E153" s="64" t="str">
        <f t="shared" si="5"/>
        <v>DPC.NTD.160</v>
      </c>
      <c r="F153" t="str">
        <f>VLOOKUP(E153,TaskValues_ref!E:F,2,FALSE)</f>
        <v>LF behavior change</v>
      </c>
      <c r="G153" t="str">
        <f>VLOOKUP($E153,TaskValues_ref!$E:$Z,3,FALSE)</f>
        <v>Non-clinical</v>
      </c>
      <c r="H153" t="str">
        <f>VLOOKUP($E153,TaskValues_ref!$E:$Z,4,FALSE)</f>
        <v>Public Health</v>
      </c>
      <c r="I153" t="str">
        <f>VLOOKUP($E153,TaskValues_ref!$E:$Z,5,FALSE)</f>
        <v>NTDs</v>
      </c>
      <c r="J153" s="257" t="str">
        <f>VLOOKUP($E153,TaskValues_ref!$E:$Z,6,FALSE)</f>
        <v>-</v>
      </c>
      <c r="K153" t="str">
        <f>VLOOKUP($E153,TaskValues_ref!$E:$Z,10,FALSE)</f>
        <v>Amhara</v>
      </c>
      <c r="L153" s="195" t="str">
        <f>IF(VLOOKUP($E153,TaskValues_ref!$E:$Z,11,FALSE)=0,"",VLOOKUP($E153,TaskValues_ref!$E:$Z,11,FALSE))</f>
        <v/>
      </c>
      <c r="M153" t="str">
        <f>IF(VLOOKUP($E153,TaskValues_ref!$E:$Z,13,FALSE)=0,"",VLOOKUP($E153,TaskValues_ref!$E:$Z,13,FALSE))</f>
        <v/>
      </c>
      <c r="N153" s="89" t="str">
        <f>IF(VLOOKUP($E153,TaskValues_ref!$E:$Z,15,FALSE)=0,"",VLOOKUP($E153,TaskValues_ref!$E:$Z,15,FALSE))</f>
        <v/>
      </c>
      <c r="O153" t="str">
        <f>IF(VLOOKUP($E153,TaskValues_ref!$E:$Z,16,FALSE)=0,"",VLOOKUP($E153,TaskValues_ref!$E:$Z,16,FALSE))</f>
        <v/>
      </c>
      <c r="P153" t="str">
        <f>IF(VLOOKUP($E153,TaskValues_ref!$E:$Z,17,FALSE)=0,"",VLOOKUP($E153,TaskValues_ref!$E:$Z,17,FALSE))</f>
        <v/>
      </c>
      <c r="Q153" t="str">
        <f>IF(VLOOKUP($E153,TaskValues_ref!$E:$Z,18,FALSE)=0,"",VLOOKUP($E153,TaskValues_ref!$E:$Z,18,FALSE))</f>
        <v/>
      </c>
      <c r="R153" t="str">
        <f>IF(VLOOKUP($E153,TaskValues_ref!$E:$Z,19,FALSE)=0,"",VLOOKUP($E153,TaskValues_ref!$E:$Z,19,FALSE))</f>
        <v/>
      </c>
      <c r="S153" t="str">
        <f>IF(VLOOKUP($E153,TaskValues_ref!$E:$Z,20,FALSE)=0,"",VLOOKUP($E153,TaskValues_ref!$E:$Z,20,FALSE))</f>
        <v/>
      </c>
    </row>
    <row r="154" spans="1:19" x14ac:dyDescent="0.45">
      <c r="A154" s="66" t="s">
        <v>2337</v>
      </c>
      <c r="B154" s="66" t="s">
        <v>528</v>
      </c>
      <c r="C154" s="66" t="s">
        <v>410</v>
      </c>
      <c r="D154" s="66">
        <f t="shared" si="4"/>
        <v>161</v>
      </c>
      <c r="E154" s="64" t="str">
        <f t="shared" si="5"/>
        <v>DPC.NTD.161</v>
      </c>
      <c r="F154" t="str">
        <f>VLOOKUP(E154,TaskValues_ref!E:F,2,FALSE)</f>
        <v>Oncho MDA</v>
      </c>
      <c r="G154" t="str">
        <f>VLOOKUP($E154,TaskValues_ref!$E:$Z,3,FALSE)</f>
        <v>Clinical</v>
      </c>
      <c r="H154" t="str">
        <f>VLOOKUP($E154,TaskValues_ref!$E:$Z,4,FALSE)</f>
        <v>Public Health</v>
      </c>
      <c r="I154" t="str">
        <f>VLOOKUP($E154,TaskValues_ref!$E:$Z,5,FALSE)</f>
        <v>NTDs</v>
      </c>
      <c r="J154" s="257" t="str">
        <f>VLOOKUP($E154,TaskValues_ref!$E:$Z,6,FALSE)</f>
        <v>-</v>
      </c>
      <c r="K154" t="str">
        <f>VLOOKUP($E154,TaskValues_ref!$E:$Z,10,FALSE)</f>
        <v>Amhara</v>
      </c>
      <c r="L154" s="195" t="str">
        <f>IF(VLOOKUP($E154,TaskValues_ref!$E:$Z,11,FALSE)=0,"",VLOOKUP($E154,TaskValues_ref!$E:$Z,11,FALSE))</f>
        <v/>
      </c>
      <c r="M154" t="str">
        <f>IF(VLOOKUP($E154,TaskValues_ref!$E:$Z,13,FALSE)=0,"",VLOOKUP($E154,TaskValues_ref!$E:$Z,13,FALSE))</f>
        <v/>
      </c>
      <c r="N154" s="89" t="str">
        <f>IF(VLOOKUP($E154,TaskValues_ref!$E:$Z,15,FALSE)=0,"",VLOOKUP($E154,TaskValues_ref!$E:$Z,15,FALSE))</f>
        <v/>
      </c>
      <c r="O154" t="str">
        <f>IF(VLOOKUP($E154,TaskValues_ref!$E:$Z,16,FALSE)=0,"",VLOOKUP($E154,TaskValues_ref!$E:$Z,16,FALSE))</f>
        <v/>
      </c>
      <c r="P154" t="str">
        <f>IF(VLOOKUP($E154,TaskValues_ref!$E:$Z,17,FALSE)=0,"",VLOOKUP($E154,TaskValues_ref!$E:$Z,17,FALSE))</f>
        <v/>
      </c>
      <c r="Q154" t="str">
        <f>IF(VLOOKUP($E154,TaskValues_ref!$E:$Z,18,FALSE)=0,"",VLOOKUP($E154,TaskValues_ref!$E:$Z,18,FALSE))</f>
        <v/>
      </c>
      <c r="R154" t="str">
        <f>IF(VLOOKUP($E154,TaskValues_ref!$E:$Z,19,FALSE)=0,"",VLOOKUP($E154,TaskValues_ref!$E:$Z,19,FALSE))</f>
        <v/>
      </c>
      <c r="S154" t="str">
        <f>IF(VLOOKUP($E154,TaskValues_ref!$E:$Z,20,FALSE)=0,"",VLOOKUP($E154,TaskValues_ref!$E:$Z,20,FALSE))</f>
        <v/>
      </c>
    </row>
    <row r="155" spans="1:19" x14ac:dyDescent="0.45">
      <c r="A155" s="66" t="s">
        <v>2337</v>
      </c>
      <c r="B155" s="66" t="s">
        <v>528</v>
      </c>
      <c r="C155" s="66" t="s">
        <v>410</v>
      </c>
      <c r="D155" s="66">
        <f t="shared" si="4"/>
        <v>162</v>
      </c>
      <c r="E155" s="64" t="str">
        <f t="shared" si="5"/>
        <v>DPC.NTD.162</v>
      </c>
      <c r="F155" t="str">
        <f>VLOOKUP(E155,TaskValues_ref!E:F,2,FALSE)</f>
        <v>Oncho behavior change</v>
      </c>
      <c r="G155" t="str">
        <f>VLOOKUP($E155,TaskValues_ref!$E:$Z,3,FALSE)</f>
        <v>Non-clinical</v>
      </c>
      <c r="H155" t="str">
        <f>VLOOKUP($E155,TaskValues_ref!$E:$Z,4,FALSE)</f>
        <v>Public Health</v>
      </c>
      <c r="I155" t="str">
        <f>VLOOKUP($E155,TaskValues_ref!$E:$Z,5,FALSE)</f>
        <v>NTDs</v>
      </c>
      <c r="J155" s="257" t="str">
        <f>VLOOKUP($E155,TaskValues_ref!$E:$Z,6,FALSE)</f>
        <v>-</v>
      </c>
      <c r="K155" t="str">
        <f>VLOOKUP($E155,TaskValues_ref!$E:$Z,10,FALSE)</f>
        <v>Amhara</v>
      </c>
      <c r="L155" s="195" t="str">
        <f>IF(VLOOKUP($E155,TaskValues_ref!$E:$Z,11,FALSE)=0,"",VLOOKUP($E155,TaskValues_ref!$E:$Z,11,FALSE))</f>
        <v/>
      </c>
      <c r="M155" t="str">
        <f>IF(VLOOKUP($E155,TaskValues_ref!$E:$Z,13,FALSE)=0,"",VLOOKUP($E155,TaskValues_ref!$E:$Z,13,FALSE))</f>
        <v/>
      </c>
      <c r="N155" s="89" t="str">
        <f>IF(VLOOKUP($E155,TaskValues_ref!$E:$Z,15,FALSE)=0,"",VLOOKUP($E155,TaskValues_ref!$E:$Z,15,FALSE))</f>
        <v/>
      </c>
      <c r="O155" t="str">
        <f>IF(VLOOKUP($E155,TaskValues_ref!$E:$Z,16,FALSE)=0,"",VLOOKUP($E155,TaskValues_ref!$E:$Z,16,FALSE))</f>
        <v/>
      </c>
      <c r="P155" t="str">
        <f>IF(VLOOKUP($E155,TaskValues_ref!$E:$Z,17,FALSE)=0,"",VLOOKUP($E155,TaskValues_ref!$E:$Z,17,FALSE))</f>
        <v/>
      </c>
      <c r="Q155" t="str">
        <f>IF(VLOOKUP($E155,TaskValues_ref!$E:$Z,18,FALSE)=0,"",VLOOKUP($E155,TaskValues_ref!$E:$Z,18,FALSE))</f>
        <v/>
      </c>
      <c r="R155" t="str">
        <f>IF(VLOOKUP($E155,TaskValues_ref!$E:$Z,19,FALSE)=0,"",VLOOKUP($E155,TaskValues_ref!$E:$Z,19,FALSE))</f>
        <v/>
      </c>
      <c r="S155" t="str">
        <f>IF(VLOOKUP($E155,TaskValues_ref!$E:$Z,20,FALSE)=0,"",VLOOKUP($E155,TaskValues_ref!$E:$Z,20,FALSE))</f>
        <v/>
      </c>
    </row>
    <row r="156" spans="1:19" x14ac:dyDescent="0.45">
      <c r="A156" s="66" t="s">
        <v>2337</v>
      </c>
      <c r="B156" s="66" t="s">
        <v>528</v>
      </c>
      <c r="C156" s="66" t="s">
        <v>410</v>
      </c>
      <c r="D156" s="66">
        <f t="shared" si="4"/>
        <v>163</v>
      </c>
      <c r="E156" s="64" t="str">
        <f t="shared" si="5"/>
        <v>DPC.NTD.163</v>
      </c>
      <c r="F156" t="str">
        <f>VLOOKUP(E156,TaskValues_ref!E:F,2,FALSE)</f>
        <v>Trachoma behavior change</v>
      </c>
      <c r="G156" t="str">
        <f>VLOOKUP($E156,TaskValues_ref!$E:$Z,3,FALSE)</f>
        <v>Non-clinical</v>
      </c>
      <c r="H156" t="str">
        <f>VLOOKUP($E156,TaskValues_ref!$E:$Z,4,FALSE)</f>
        <v>Public Health</v>
      </c>
      <c r="I156" t="str">
        <f>VLOOKUP($E156,TaskValues_ref!$E:$Z,5,FALSE)</f>
        <v>NTDs</v>
      </c>
      <c r="J156" s="257" t="str">
        <f>VLOOKUP($E156,TaskValues_ref!$E:$Z,6,FALSE)</f>
        <v>-</v>
      </c>
      <c r="K156" t="str">
        <f>VLOOKUP($E156,TaskValues_ref!$E:$Z,10,FALSE)</f>
        <v>Amhara</v>
      </c>
      <c r="L156" s="195" t="str">
        <f>IF(VLOOKUP($E156,TaskValues_ref!$E:$Z,11,FALSE)=0,"",VLOOKUP($E156,TaskValues_ref!$E:$Z,11,FALSE))</f>
        <v/>
      </c>
      <c r="M156" t="str">
        <f>IF(VLOOKUP($E156,TaskValues_ref!$E:$Z,13,FALSE)=0,"",VLOOKUP($E156,TaskValues_ref!$E:$Z,13,FALSE))</f>
        <v/>
      </c>
      <c r="N156" s="89" t="str">
        <f>IF(VLOOKUP($E156,TaskValues_ref!$E:$Z,15,FALSE)=0,"",VLOOKUP($E156,TaskValues_ref!$E:$Z,15,FALSE))</f>
        <v/>
      </c>
      <c r="O156" t="str">
        <f>IF(VLOOKUP($E156,TaskValues_ref!$E:$Z,16,FALSE)=0,"",VLOOKUP($E156,TaskValues_ref!$E:$Z,16,FALSE))</f>
        <v/>
      </c>
      <c r="P156" t="str">
        <f>IF(VLOOKUP($E156,TaskValues_ref!$E:$Z,17,FALSE)=0,"",VLOOKUP($E156,TaskValues_ref!$E:$Z,17,FALSE))</f>
        <v/>
      </c>
      <c r="Q156" t="str">
        <f>IF(VLOOKUP($E156,TaskValues_ref!$E:$Z,18,FALSE)=0,"",VLOOKUP($E156,TaskValues_ref!$E:$Z,18,FALSE))</f>
        <v/>
      </c>
      <c r="R156" t="str">
        <f>IF(VLOOKUP($E156,TaskValues_ref!$E:$Z,19,FALSE)=0,"",VLOOKUP($E156,TaskValues_ref!$E:$Z,19,FALSE))</f>
        <v/>
      </c>
      <c r="S156" t="str">
        <f>IF(VLOOKUP($E156,TaskValues_ref!$E:$Z,20,FALSE)=0,"",VLOOKUP($E156,TaskValues_ref!$E:$Z,20,FALSE))</f>
        <v/>
      </c>
    </row>
    <row r="157" spans="1:19" x14ac:dyDescent="0.45">
      <c r="A157" s="66" t="s">
        <v>2337</v>
      </c>
      <c r="B157" s="66" t="s">
        <v>528</v>
      </c>
      <c r="C157" s="66" t="s">
        <v>410</v>
      </c>
      <c r="D157" s="66">
        <f t="shared" si="4"/>
        <v>164</v>
      </c>
      <c r="E157" s="64" t="str">
        <f t="shared" si="5"/>
        <v>DPC.NTD.164</v>
      </c>
      <c r="F157" t="str">
        <f>VLOOKUP(E157,TaskValues_ref!E:F,2,FALSE)</f>
        <v>Promote water and sanitation</v>
      </c>
      <c r="G157" t="str">
        <f>VLOOKUP($E157,TaskValues_ref!$E:$Z,3,FALSE)</f>
        <v>Non-clinical</v>
      </c>
      <c r="H157" t="str">
        <f>VLOOKUP($E157,TaskValues_ref!$E:$Z,4,FALSE)</f>
        <v>Public Health</v>
      </c>
      <c r="I157" t="str">
        <f>VLOOKUP($E157,TaskValues_ref!$E:$Z,5,FALSE)</f>
        <v>NTDs</v>
      </c>
      <c r="J157" s="257" t="str">
        <f>VLOOKUP($E157,TaskValues_ref!$E:$Z,6,FALSE)</f>
        <v>-</v>
      </c>
      <c r="K157" t="str">
        <f>VLOOKUP($E157,TaskValues_ref!$E:$Z,10,FALSE)</f>
        <v>Amhara</v>
      </c>
      <c r="L157" s="195" t="str">
        <f>IF(VLOOKUP($E157,TaskValues_ref!$E:$Z,11,FALSE)=0,"",VLOOKUP($E157,TaskValues_ref!$E:$Z,11,FALSE))</f>
        <v/>
      </c>
      <c r="M157" t="str">
        <f>IF(VLOOKUP($E157,TaskValues_ref!$E:$Z,13,FALSE)=0,"",VLOOKUP($E157,TaskValues_ref!$E:$Z,13,FALSE))</f>
        <v/>
      </c>
      <c r="N157" s="89" t="str">
        <f>IF(VLOOKUP($E157,TaskValues_ref!$E:$Z,15,FALSE)=0,"",VLOOKUP($E157,TaskValues_ref!$E:$Z,15,FALSE))</f>
        <v/>
      </c>
      <c r="O157" t="str">
        <f>IF(VLOOKUP($E157,TaskValues_ref!$E:$Z,16,FALSE)=0,"",VLOOKUP($E157,TaskValues_ref!$E:$Z,16,FALSE))</f>
        <v/>
      </c>
      <c r="P157" t="str">
        <f>IF(VLOOKUP($E157,TaskValues_ref!$E:$Z,17,FALSE)=0,"",VLOOKUP($E157,TaskValues_ref!$E:$Z,17,FALSE))</f>
        <v/>
      </c>
      <c r="Q157" t="str">
        <f>IF(VLOOKUP($E157,TaskValues_ref!$E:$Z,18,FALSE)=0,"",VLOOKUP($E157,TaskValues_ref!$E:$Z,18,FALSE))</f>
        <v/>
      </c>
      <c r="R157" t="str">
        <f>IF(VLOOKUP($E157,TaskValues_ref!$E:$Z,19,FALSE)=0,"",VLOOKUP($E157,TaskValues_ref!$E:$Z,19,FALSE))</f>
        <v/>
      </c>
      <c r="S157" t="str">
        <f>IF(VLOOKUP($E157,TaskValues_ref!$E:$Z,20,FALSE)=0,"",VLOOKUP($E157,TaskValues_ref!$E:$Z,20,FALSE))</f>
        <v/>
      </c>
    </row>
    <row r="158" spans="1:19" x14ac:dyDescent="0.45">
      <c r="A158" s="66" t="s">
        <v>2337</v>
      </c>
      <c r="B158" s="66" t="s">
        <v>528</v>
      </c>
      <c r="C158" s="66" t="s">
        <v>2454</v>
      </c>
      <c r="D158" s="66">
        <f t="shared" si="4"/>
        <v>165</v>
      </c>
      <c r="E158" s="64" t="str">
        <f t="shared" si="5"/>
        <v>DPC.NTD.165</v>
      </c>
      <c r="F158" t="str">
        <f>VLOOKUP(E158,TaskValues_ref!E:F,2,FALSE)</f>
        <v>Dx &amp; treat trachoma</v>
      </c>
      <c r="G158" t="str">
        <f>VLOOKUP($E158,TaskValues_ref!$E:$Z,3,FALSE)</f>
        <v>Clinical</v>
      </c>
      <c r="H158" t="str">
        <f>VLOOKUP($E158,TaskValues_ref!$E:$Z,4,FALSE)</f>
        <v>Acute</v>
      </c>
      <c r="I158" t="str">
        <f>VLOOKUP($E158,TaskValues_ref!$E:$Z,5,FALSE)</f>
        <v>NTDs</v>
      </c>
      <c r="J158" s="257" t="str">
        <f>VLOOKUP($E158,TaskValues_ref!$E:$Z,6,FALSE)</f>
        <v>children 0-9</v>
      </c>
      <c r="K158" t="str">
        <f>VLOOKUP($E158,TaskValues_ref!$E:$Z,10,FALSE)</f>
        <v>Amhara</v>
      </c>
      <c r="L158" s="195">
        <f>IF(VLOOKUP($E158,TaskValues_ref!$E:$Z,11,FALSE)=0,"",VLOOKUP($E158,TaskValues_ref!$E:$Z,11,FALSE))</f>
        <v>1.0375000000000001E-2</v>
      </c>
      <c r="M158" t="str">
        <f>IF(VLOOKUP($E158,TaskValues_ref!$E:$Z,13,FALSE)=0,"",VLOOKUP($E158,TaskValues_ref!$E:$Z,13,FALSE))</f>
        <v/>
      </c>
      <c r="N158" s="89">
        <f>IF(VLOOKUP($E158,TaskValues_ref!$E:$Z,15,FALSE)=0,"",VLOOKUP($E158,TaskValues_ref!$E:$Z,15,FALSE))</f>
        <v>0.98</v>
      </c>
      <c r="O158">
        <f>IF(VLOOKUP($E158,TaskValues_ref!$E:$Z,16,FALSE)=0,"",VLOOKUP($E158,TaskValues_ref!$E:$Z,16,FALSE))</f>
        <v>1</v>
      </c>
      <c r="P158" t="str">
        <f>IF(VLOOKUP($E158,TaskValues_ref!$E:$Z,17,FALSE)=0,"",VLOOKUP($E158,TaskValues_ref!$E:$Z,17,FALSE))</f>
        <v/>
      </c>
      <c r="Q158">
        <f>IF(VLOOKUP($E158,TaskValues_ref!$E:$Z,18,FALSE)=0,"",VLOOKUP($E158,TaskValues_ref!$E:$Z,18,FALSE))</f>
        <v>5</v>
      </c>
      <c r="R158" t="str">
        <f>IF(VLOOKUP($E158,TaskValues_ref!$E:$Z,19,FALSE)=0,"",VLOOKUP($E158,TaskValues_ref!$E:$Z,19,FALSE))</f>
        <v/>
      </c>
      <c r="S158" t="str">
        <f>IF(VLOOKUP($E158,TaskValues_ref!$E:$Z,20,FALSE)=0,"",VLOOKUP($E158,TaskValues_ref!$E:$Z,20,FALSE))</f>
        <v/>
      </c>
    </row>
    <row r="159" spans="1:19" x14ac:dyDescent="0.45">
      <c r="A159" s="66" t="s">
        <v>2337</v>
      </c>
      <c r="B159" s="66" t="s">
        <v>528</v>
      </c>
      <c r="C159" s="66" t="s">
        <v>2454</v>
      </c>
      <c r="D159" s="66">
        <f t="shared" si="4"/>
        <v>166</v>
      </c>
      <c r="E159" s="64" t="str">
        <f t="shared" si="5"/>
        <v>DPC.NTD.166</v>
      </c>
      <c r="F159" t="str">
        <f>VLOOKUP(E159,TaskValues_ref!E:F,2,FALSE)</f>
        <v>Trochomatous trichiasis surgery</v>
      </c>
      <c r="G159" t="str">
        <f>VLOOKUP($E159,TaskValues_ref!$E:$Z,3,FALSE)</f>
        <v>Clinical</v>
      </c>
      <c r="H159" t="str">
        <f>VLOOKUP($E159,TaskValues_ref!$E:$Z,4,FALSE)</f>
        <v>Acute</v>
      </c>
      <c r="I159" t="str">
        <f>VLOOKUP($E159,TaskValues_ref!$E:$Z,5,FALSE)</f>
        <v>NTDs</v>
      </c>
      <c r="J159" s="257" t="str">
        <f>VLOOKUP($E159,TaskValues_ref!$E:$Z,6,FALSE)</f>
        <v>adults 18+</v>
      </c>
      <c r="K159" t="str">
        <f>VLOOKUP($E159,TaskValues_ref!$E:$Z,10,FALSE)</f>
        <v>Amhara</v>
      </c>
      <c r="L159" s="195" t="str">
        <f>IF(VLOOKUP($E159,TaskValues_ref!$E:$Z,11,FALSE)=0,"",VLOOKUP($E159,TaskValues_ref!$E:$Z,11,FALSE))</f>
        <v/>
      </c>
      <c r="M159" t="str">
        <f>IF(VLOOKUP($E159,TaskValues_ref!$E:$Z,13,FALSE)=0,"",VLOOKUP($E159,TaskValues_ref!$E:$Z,13,FALSE))</f>
        <v/>
      </c>
      <c r="N159" s="89">
        <f>IF(VLOOKUP($E159,TaskValues_ref!$E:$Z,15,FALSE)=0,"",VLOOKUP($E159,TaskValues_ref!$E:$Z,15,FALSE))</f>
        <v>0.98</v>
      </c>
      <c r="O159">
        <f>IF(VLOOKUP($E159,TaskValues_ref!$E:$Z,16,FALSE)=0,"",VLOOKUP($E159,TaskValues_ref!$E:$Z,16,FALSE))</f>
        <v>1</v>
      </c>
      <c r="P159" t="str">
        <f>IF(VLOOKUP($E159,TaskValues_ref!$E:$Z,17,FALSE)=0,"",VLOOKUP($E159,TaskValues_ref!$E:$Z,17,FALSE))</f>
        <v/>
      </c>
      <c r="Q159">
        <f>IF(VLOOKUP($E159,TaskValues_ref!$E:$Z,18,FALSE)=0,"",VLOOKUP($E159,TaskValues_ref!$E:$Z,18,FALSE))</f>
        <v>30</v>
      </c>
      <c r="R159" t="str">
        <f>IF(VLOOKUP($E159,TaskValues_ref!$E:$Z,19,FALSE)=0,"",VLOOKUP($E159,TaskValues_ref!$E:$Z,19,FALSE))</f>
        <v/>
      </c>
      <c r="S159" t="str">
        <f>IF(VLOOKUP($E159,TaskValues_ref!$E:$Z,20,FALSE)=0,"",VLOOKUP($E159,TaskValues_ref!$E:$Z,20,FALSE))</f>
        <v/>
      </c>
    </row>
    <row r="160" spans="1:19" x14ac:dyDescent="0.45">
      <c r="A160" s="66" t="s">
        <v>2337</v>
      </c>
      <c r="B160" s="66" t="s">
        <v>528</v>
      </c>
      <c r="C160" s="66" t="s">
        <v>2455</v>
      </c>
      <c r="D160" s="66">
        <f t="shared" si="4"/>
        <v>167</v>
      </c>
      <c r="E160" s="64" t="str">
        <f t="shared" si="5"/>
        <v>DPC.NTD.167</v>
      </c>
      <c r="F160" t="str">
        <f>VLOOKUP(E160,TaskValues_ref!E:F,2,FALSE)</f>
        <v>Trachoma MDA</v>
      </c>
      <c r="G160" t="str">
        <f>VLOOKUP($E160,TaskValues_ref!$E:$Z,3,FALSE)</f>
        <v>Non-clinical</v>
      </c>
      <c r="H160" t="str">
        <f>VLOOKUP($E160,TaskValues_ref!$E:$Z,4,FALSE)</f>
        <v>Public Health</v>
      </c>
      <c r="I160" t="str">
        <f>VLOOKUP($E160,TaskValues_ref!$E:$Z,5,FALSE)</f>
        <v>NTDs</v>
      </c>
      <c r="J160" s="257" t="str">
        <f>VLOOKUP($E160,TaskValues_ref!$E:$Z,6,FALSE)</f>
        <v>-</v>
      </c>
      <c r="K160" t="str">
        <f>VLOOKUP($E160,TaskValues_ref!$E:$Z,10,FALSE)</f>
        <v>Amhara</v>
      </c>
      <c r="L160" s="195" t="str">
        <f>IF(VLOOKUP($E160,TaskValues_ref!$E:$Z,11,FALSE)=0,"",VLOOKUP($E160,TaskValues_ref!$E:$Z,11,FALSE))</f>
        <v/>
      </c>
      <c r="M160" t="str">
        <f>IF(VLOOKUP($E160,TaskValues_ref!$E:$Z,13,FALSE)=0,"",VLOOKUP($E160,TaskValues_ref!$E:$Z,13,FALSE))</f>
        <v/>
      </c>
      <c r="N160" s="89" t="str">
        <f>IF(VLOOKUP($E160,TaskValues_ref!$E:$Z,15,FALSE)=0,"",VLOOKUP($E160,TaskValues_ref!$E:$Z,15,FALSE))</f>
        <v/>
      </c>
      <c r="O160" t="str">
        <f>IF(VLOOKUP($E160,TaskValues_ref!$E:$Z,16,FALSE)=0,"",VLOOKUP($E160,TaskValues_ref!$E:$Z,16,FALSE))</f>
        <v/>
      </c>
      <c r="P160" t="str">
        <f>IF(VLOOKUP($E160,TaskValues_ref!$E:$Z,17,FALSE)=0,"",VLOOKUP($E160,TaskValues_ref!$E:$Z,17,FALSE))</f>
        <v/>
      </c>
      <c r="Q160" t="str">
        <f>IF(VLOOKUP($E160,TaskValues_ref!$E:$Z,18,FALSE)=0,"",VLOOKUP($E160,TaskValues_ref!$E:$Z,18,FALSE))</f>
        <v/>
      </c>
      <c r="R160" t="str">
        <f>IF(VLOOKUP($E160,TaskValues_ref!$E:$Z,19,FALSE)=0,"",VLOOKUP($E160,TaskValues_ref!$E:$Z,19,FALSE))</f>
        <v/>
      </c>
      <c r="S160" t="str">
        <f>IF(VLOOKUP($E160,TaskValues_ref!$E:$Z,20,FALSE)=0,"",VLOOKUP($E160,TaskValues_ref!$E:$Z,20,FALSE))</f>
        <v/>
      </c>
    </row>
    <row r="161" spans="1:19" x14ac:dyDescent="0.45">
      <c r="A161" s="66" t="s">
        <v>2337</v>
      </c>
      <c r="B161" s="66" t="s">
        <v>528</v>
      </c>
      <c r="C161" s="66" t="s">
        <v>2455</v>
      </c>
      <c r="D161" s="66">
        <f t="shared" si="4"/>
        <v>168</v>
      </c>
      <c r="E161" s="64" t="str">
        <f t="shared" si="5"/>
        <v>DPC.NTD.168</v>
      </c>
      <c r="F161" t="str">
        <f>VLOOKUP(E161,TaskValues_ref!E:F,2,FALSE)</f>
        <v>Promote face washing</v>
      </c>
      <c r="G161" t="str">
        <f>VLOOKUP($E161,TaskValues_ref!$E:$Z,3,FALSE)</f>
        <v>Non-clinical</v>
      </c>
      <c r="H161" t="str">
        <f>VLOOKUP($E161,TaskValues_ref!$E:$Z,4,FALSE)</f>
        <v>Public Health</v>
      </c>
      <c r="I161" t="str">
        <f>VLOOKUP($E161,TaskValues_ref!$E:$Z,5,FALSE)</f>
        <v>NTDs</v>
      </c>
      <c r="J161" s="257" t="str">
        <f>VLOOKUP($E161,TaskValues_ref!$E:$Z,6,FALSE)</f>
        <v>-</v>
      </c>
      <c r="K161" t="str">
        <f>VLOOKUP($E161,TaskValues_ref!$E:$Z,10,FALSE)</f>
        <v>Amhara</v>
      </c>
      <c r="L161" s="195" t="str">
        <f>IF(VLOOKUP($E161,TaskValues_ref!$E:$Z,11,FALSE)=0,"",VLOOKUP($E161,TaskValues_ref!$E:$Z,11,FALSE))</f>
        <v/>
      </c>
      <c r="M161" t="str">
        <f>IF(VLOOKUP($E161,TaskValues_ref!$E:$Z,13,FALSE)=0,"",VLOOKUP($E161,TaskValues_ref!$E:$Z,13,FALSE))</f>
        <v/>
      </c>
      <c r="N161" s="89" t="str">
        <f>IF(VLOOKUP($E161,TaskValues_ref!$E:$Z,15,FALSE)=0,"",VLOOKUP($E161,TaskValues_ref!$E:$Z,15,FALSE))</f>
        <v/>
      </c>
      <c r="O161" t="str">
        <f>IF(VLOOKUP($E161,TaskValues_ref!$E:$Z,16,FALSE)=0,"",VLOOKUP($E161,TaskValues_ref!$E:$Z,16,FALSE))</f>
        <v/>
      </c>
      <c r="P161" t="str">
        <f>IF(VLOOKUP($E161,TaskValues_ref!$E:$Z,17,FALSE)=0,"",VLOOKUP($E161,TaskValues_ref!$E:$Z,17,FALSE))</f>
        <v/>
      </c>
      <c r="Q161" t="str">
        <f>IF(VLOOKUP($E161,TaskValues_ref!$E:$Z,18,FALSE)=0,"",VLOOKUP($E161,TaskValues_ref!$E:$Z,18,FALSE))</f>
        <v/>
      </c>
      <c r="R161" t="str">
        <f>IF(VLOOKUP($E161,TaskValues_ref!$E:$Z,19,FALSE)=0,"",VLOOKUP($E161,TaskValues_ref!$E:$Z,19,FALSE))</f>
        <v/>
      </c>
      <c r="S161" t="str">
        <f>IF(VLOOKUP($E161,TaskValues_ref!$E:$Z,20,FALSE)=0,"",VLOOKUP($E161,TaskValues_ref!$E:$Z,20,FALSE))</f>
        <v/>
      </c>
    </row>
    <row r="162" spans="1:19" x14ac:dyDescent="0.45">
      <c r="A162" s="66" t="s">
        <v>2337</v>
      </c>
      <c r="B162" s="66" t="s">
        <v>528</v>
      </c>
      <c r="C162" s="66" t="s">
        <v>2237</v>
      </c>
      <c r="D162" s="66">
        <f t="shared" si="4"/>
        <v>169</v>
      </c>
      <c r="E162" s="64" t="str">
        <f t="shared" si="5"/>
        <v>DPC.NTD.169</v>
      </c>
      <c r="F162" t="str">
        <f>VLOOKUP(E162,TaskValues_ref!E:F,2,FALSE)</f>
        <v>Schisto behavior change</v>
      </c>
      <c r="G162" t="str">
        <f>VLOOKUP($E162,TaskValues_ref!$E:$Z,3,FALSE)</f>
        <v>Non-clinical</v>
      </c>
      <c r="H162" t="str">
        <f>VLOOKUP($E162,TaskValues_ref!$E:$Z,4,FALSE)</f>
        <v>Public Health</v>
      </c>
      <c r="I162" t="str">
        <f>VLOOKUP($E162,TaskValues_ref!$E:$Z,5,FALSE)</f>
        <v>NTDs</v>
      </c>
      <c r="J162" s="257" t="str">
        <f>VLOOKUP($E162,TaskValues_ref!$E:$Z,6,FALSE)</f>
        <v>-</v>
      </c>
      <c r="K162" t="str">
        <f>VLOOKUP($E162,TaskValues_ref!$E:$Z,10,FALSE)</f>
        <v>Amhara</v>
      </c>
      <c r="L162" s="195" t="str">
        <f>IF(VLOOKUP($E162,TaskValues_ref!$E:$Z,11,FALSE)=0,"",VLOOKUP($E162,TaskValues_ref!$E:$Z,11,FALSE))</f>
        <v/>
      </c>
      <c r="M162" t="str">
        <f>IF(VLOOKUP($E162,TaskValues_ref!$E:$Z,13,FALSE)=0,"",VLOOKUP($E162,TaskValues_ref!$E:$Z,13,FALSE))</f>
        <v/>
      </c>
      <c r="N162" s="89" t="str">
        <f>IF(VLOOKUP($E162,TaskValues_ref!$E:$Z,15,FALSE)=0,"",VLOOKUP($E162,TaskValues_ref!$E:$Z,15,FALSE))</f>
        <v/>
      </c>
      <c r="O162" t="str">
        <f>IF(VLOOKUP($E162,TaskValues_ref!$E:$Z,16,FALSE)=0,"",VLOOKUP($E162,TaskValues_ref!$E:$Z,16,FALSE))</f>
        <v/>
      </c>
      <c r="P162" t="str">
        <f>IF(VLOOKUP($E162,TaskValues_ref!$E:$Z,17,FALSE)=0,"",VLOOKUP($E162,TaskValues_ref!$E:$Z,17,FALSE))</f>
        <v/>
      </c>
      <c r="Q162" t="str">
        <f>IF(VLOOKUP($E162,TaskValues_ref!$E:$Z,18,FALSE)=0,"",VLOOKUP($E162,TaskValues_ref!$E:$Z,18,FALSE))</f>
        <v/>
      </c>
      <c r="R162" t="str">
        <f>IF(VLOOKUP($E162,TaskValues_ref!$E:$Z,19,FALSE)=0,"",VLOOKUP($E162,TaskValues_ref!$E:$Z,19,FALSE))</f>
        <v/>
      </c>
      <c r="S162" t="str">
        <f>IF(VLOOKUP($E162,TaskValues_ref!$E:$Z,20,FALSE)=0,"",VLOOKUP($E162,TaskValues_ref!$E:$Z,20,FALSE))</f>
        <v/>
      </c>
    </row>
    <row r="163" spans="1:19" x14ac:dyDescent="0.45">
      <c r="A163" s="66" t="s">
        <v>2337</v>
      </c>
      <c r="B163" s="66" t="s">
        <v>528</v>
      </c>
      <c r="C163" s="66" t="s">
        <v>2237</v>
      </c>
      <c r="D163" s="66">
        <f t="shared" si="4"/>
        <v>170</v>
      </c>
      <c r="E163" s="64" t="str">
        <f t="shared" si="5"/>
        <v>DPC.NTD.170</v>
      </c>
      <c r="F163" t="str">
        <f>VLOOKUP(E163,TaskValues_ref!E:F,2,FALSE)</f>
        <v>Snail control</v>
      </c>
      <c r="G163" t="str">
        <f>VLOOKUP($E163,TaskValues_ref!$E:$Z,3,FALSE)</f>
        <v>Non-clinical</v>
      </c>
      <c r="H163" t="str">
        <f>VLOOKUP($E163,TaskValues_ref!$E:$Z,4,FALSE)</f>
        <v>Public Health</v>
      </c>
      <c r="I163" t="str">
        <f>VLOOKUP($E163,TaskValues_ref!$E:$Z,5,FALSE)</f>
        <v>NTDs</v>
      </c>
      <c r="J163" s="257" t="str">
        <f>VLOOKUP($E163,TaskValues_ref!$E:$Z,6,FALSE)</f>
        <v>-</v>
      </c>
      <c r="K163" t="str">
        <f>VLOOKUP($E163,TaskValues_ref!$E:$Z,10,FALSE)</f>
        <v>Amhara</v>
      </c>
      <c r="L163" s="195" t="str">
        <f>IF(VLOOKUP($E163,TaskValues_ref!$E:$Z,11,FALSE)=0,"",VLOOKUP($E163,TaskValues_ref!$E:$Z,11,FALSE))</f>
        <v/>
      </c>
      <c r="M163" t="str">
        <f>IF(VLOOKUP($E163,TaskValues_ref!$E:$Z,13,FALSE)=0,"",VLOOKUP($E163,TaskValues_ref!$E:$Z,13,FALSE))</f>
        <v/>
      </c>
      <c r="N163" s="89" t="str">
        <f>IF(VLOOKUP($E163,TaskValues_ref!$E:$Z,15,FALSE)=0,"",VLOOKUP($E163,TaskValues_ref!$E:$Z,15,FALSE))</f>
        <v/>
      </c>
      <c r="O163" t="str">
        <f>IF(VLOOKUP($E163,TaskValues_ref!$E:$Z,16,FALSE)=0,"",VLOOKUP($E163,TaskValues_ref!$E:$Z,16,FALSE))</f>
        <v/>
      </c>
      <c r="P163" t="str">
        <f>IF(VLOOKUP($E163,TaskValues_ref!$E:$Z,17,FALSE)=0,"",VLOOKUP($E163,TaskValues_ref!$E:$Z,17,FALSE))</f>
        <v/>
      </c>
      <c r="Q163" t="str">
        <f>IF(VLOOKUP($E163,TaskValues_ref!$E:$Z,18,FALSE)=0,"",VLOOKUP($E163,TaskValues_ref!$E:$Z,18,FALSE))</f>
        <v/>
      </c>
      <c r="R163" t="str">
        <f>IF(VLOOKUP($E163,TaskValues_ref!$E:$Z,19,FALSE)=0,"",VLOOKUP($E163,TaskValues_ref!$E:$Z,19,FALSE))</f>
        <v/>
      </c>
      <c r="S163" t="str">
        <f>IF(VLOOKUP($E163,TaskValues_ref!$E:$Z,20,FALSE)=0,"",VLOOKUP($E163,TaskValues_ref!$E:$Z,20,FALSE))</f>
        <v/>
      </c>
    </row>
    <row r="164" spans="1:19" x14ac:dyDescent="0.45">
      <c r="A164" s="66" t="s">
        <v>2337</v>
      </c>
      <c r="B164" s="66" t="s">
        <v>528</v>
      </c>
      <c r="C164" s="66" t="s">
        <v>2456</v>
      </c>
      <c r="D164" s="66">
        <f t="shared" si="4"/>
        <v>171</v>
      </c>
      <c r="E164" s="64" t="str">
        <f t="shared" si="5"/>
        <v>DPC.NTD.171</v>
      </c>
      <c r="F164" t="str">
        <f>VLOOKUP(E164,TaskValues_ref!E:F,2,FALSE)</f>
        <v>Schisto MDA</v>
      </c>
      <c r="G164" t="str">
        <f>VLOOKUP($E164,TaskValues_ref!$E:$Z,3,FALSE)</f>
        <v>Non-clinical</v>
      </c>
      <c r="H164" t="str">
        <f>VLOOKUP($E164,TaskValues_ref!$E:$Z,4,FALSE)</f>
        <v>Public Health</v>
      </c>
      <c r="I164" t="str">
        <f>VLOOKUP($E164,TaskValues_ref!$E:$Z,5,FALSE)</f>
        <v>NTDs</v>
      </c>
      <c r="J164" s="257" t="str">
        <f>VLOOKUP($E164,TaskValues_ref!$E:$Z,6,FALSE)</f>
        <v>all</v>
      </c>
      <c r="K164" t="str">
        <f>VLOOKUP($E164,TaskValues_ref!$E:$Z,10,FALSE)</f>
        <v>Amhara</v>
      </c>
      <c r="L164" s="195">
        <f>IF(VLOOKUP($E164,TaskValues_ref!$E:$Z,11,FALSE)=0,"",VLOOKUP($E164,TaskValues_ref!$E:$Z,11,FALSE))</f>
        <v>0.25</v>
      </c>
      <c r="M164" t="str">
        <f>IF(VLOOKUP($E164,TaskValues_ref!$E:$Z,13,FALSE)=0,"",VLOOKUP($E164,TaskValues_ref!$E:$Z,13,FALSE))</f>
        <v/>
      </c>
      <c r="N164" s="89" t="str">
        <f>IF(VLOOKUP($E164,TaskValues_ref!$E:$Z,15,FALSE)=0,"",VLOOKUP($E164,TaskValues_ref!$E:$Z,15,FALSE))</f>
        <v/>
      </c>
      <c r="O164" t="str">
        <f>IF(VLOOKUP($E164,TaskValues_ref!$E:$Z,16,FALSE)=0,"",VLOOKUP($E164,TaskValues_ref!$E:$Z,16,FALSE))</f>
        <v/>
      </c>
      <c r="P164">
        <f>IF(VLOOKUP($E164,TaskValues_ref!$E:$Z,17,FALSE)=0,"",VLOOKUP($E164,TaskValues_ref!$E:$Z,17,FALSE))</f>
        <v>1</v>
      </c>
      <c r="Q164">
        <f>IF(VLOOKUP($E164,TaskValues_ref!$E:$Z,18,FALSE)=0,"",VLOOKUP($E164,TaskValues_ref!$E:$Z,18,FALSE))</f>
        <v>5</v>
      </c>
      <c r="R164" t="str">
        <f>IF(VLOOKUP($E164,TaskValues_ref!$E:$Z,19,FALSE)=0,"",VLOOKUP($E164,TaskValues_ref!$E:$Z,19,FALSE))</f>
        <v/>
      </c>
      <c r="S164" t="str">
        <f>IF(VLOOKUP($E164,TaskValues_ref!$E:$Z,20,FALSE)=0,"",VLOOKUP($E164,TaskValues_ref!$E:$Z,20,FALSE))</f>
        <v/>
      </c>
    </row>
    <row r="165" spans="1:19" x14ac:dyDescent="0.45">
      <c r="A165" s="66" t="s">
        <v>2337</v>
      </c>
      <c r="B165" s="66" t="s">
        <v>528</v>
      </c>
      <c r="C165" s="66" t="s">
        <v>2456</v>
      </c>
      <c r="D165" s="66">
        <f t="shared" si="4"/>
        <v>172</v>
      </c>
      <c r="E165" s="64" t="str">
        <f t="shared" si="5"/>
        <v>DPC.NTD.172</v>
      </c>
      <c r="F165" t="str">
        <f>VLOOKUP(E165,TaskValues_ref!E:F,2,FALSE)</f>
        <v>STH behavior change</v>
      </c>
      <c r="G165" t="str">
        <f>VLOOKUP($E165,TaskValues_ref!$E:$Z,3,FALSE)</f>
        <v>Non-clinical</v>
      </c>
      <c r="H165" t="str">
        <f>VLOOKUP($E165,TaskValues_ref!$E:$Z,4,FALSE)</f>
        <v>Public Health</v>
      </c>
      <c r="I165" t="str">
        <f>VLOOKUP($E165,TaskValues_ref!$E:$Z,5,FALSE)</f>
        <v>NTDs</v>
      </c>
      <c r="J165" s="257" t="str">
        <f>VLOOKUP($E165,TaskValues_ref!$E:$Z,6,FALSE)</f>
        <v>-</v>
      </c>
      <c r="K165" t="str">
        <f>VLOOKUP($E165,TaskValues_ref!$E:$Z,10,FALSE)</f>
        <v>Amhara</v>
      </c>
      <c r="L165" s="195" t="str">
        <f>IF(VLOOKUP($E165,TaskValues_ref!$E:$Z,11,FALSE)=0,"",VLOOKUP($E165,TaskValues_ref!$E:$Z,11,FALSE))</f>
        <v/>
      </c>
      <c r="M165" t="str">
        <f>IF(VLOOKUP($E165,TaskValues_ref!$E:$Z,13,FALSE)=0,"",VLOOKUP($E165,TaskValues_ref!$E:$Z,13,FALSE))</f>
        <v/>
      </c>
      <c r="N165" s="89" t="str">
        <f>IF(VLOOKUP($E165,TaskValues_ref!$E:$Z,15,FALSE)=0,"",VLOOKUP($E165,TaskValues_ref!$E:$Z,15,FALSE))</f>
        <v/>
      </c>
      <c r="O165" t="str">
        <f>IF(VLOOKUP($E165,TaskValues_ref!$E:$Z,16,FALSE)=0,"",VLOOKUP($E165,TaskValues_ref!$E:$Z,16,FALSE))</f>
        <v/>
      </c>
      <c r="P165" t="str">
        <f>IF(VLOOKUP($E165,TaskValues_ref!$E:$Z,17,FALSE)=0,"",VLOOKUP($E165,TaskValues_ref!$E:$Z,17,FALSE))</f>
        <v/>
      </c>
      <c r="Q165" t="str">
        <f>IF(VLOOKUP($E165,TaskValues_ref!$E:$Z,18,FALSE)=0,"",VLOOKUP($E165,TaskValues_ref!$E:$Z,18,FALSE))</f>
        <v/>
      </c>
      <c r="R165" t="str">
        <f>IF(VLOOKUP($E165,TaskValues_ref!$E:$Z,19,FALSE)=0,"",VLOOKUP($E165,TaskValues_ref!$E:$Z,19,FALSE))</f>
        <v/>
      </c>
      <c r="S165" t="str">
        <f>IF(VLOOKUP($E165,TaskValues_ref!$E:$Z,20,FALSE)=0,"",VLOOKUP($E165,TaskValues_ref!$E:$Z,20,FALSE))</f>
        <v/>
      </c>
    </row>
    <row r="166" spans="1:19" x14ac:dyDescent="0.45">
      <c r="A166" s="66" t="s">
        <v>2337</v>
      </c>
      <c r="B166" s="66" t="s">
        <v>528</v>
      </c>
      <c r="C166" s="66" t="s">
        <v>2456</v>
      </c>
      <c r="D166" s="66">
        <f t="shared" si="4"/>
        <v>173</v>
      </c>
      <c r="E166" s="64" t="str">
        <f t="shared" si="5"/>
        <v>DPC.NTD.173</v>
      </c>
      <c r="F166" t="str">
        <f>VLOOKUP(E166,TaskValues_ref!E:F,2,FALSE)</f>
        <v>STH MDA</v>
      </c>
      <c r="G166" t="str">
        <f>VLOOKUP($E166,TaskValues_ref!$E:$Z,3,FALSE)</f>
        <v>Non-clinical</v>
      </c>
      <c r="H166" t="str">
        <f>VLOOKUP($E166,TaskValues_ref!$E:$Z,4,FALSE)</f>
        <v>Public Health</v>
      </c>
      <c r="I166" t="str">
        <f>VLOOKUP($E166,TaskValues_ref!$E:$Z,5,FALSE)</f>
        <v>NTDs</v>
      </c>
      <c r="J166" s="257" t="str">
        <f>VLOOKUP($E166,TaskValues_ref!$E:$Z,6,FALSE)</f>
        <v>1-18</v>
      </c>
      <c r="K166" t="str">
        <f>VLOOKUP($E166,TaskValues_ref!$E:$Z,10,FALSE)</f>
        <v>Amhara</v>
      </c>
      <c r="L166" s="195" t="str">
        <f>IF(VLOOKUP($E166,TaskValues_ref!$E:$Z,11,FALSE)=0,"",VLOOKUP($E166,TaskValues_ref!$E:$Z,11,FALSE))</f>
        <v/>
      </c>
      <c r="M166" t="str">
        <f>IF(VLOOKUP($E166,TaskValues_ref!$E:$Z,13,FALSE)=0,"",VLOOKUP($E166,TaskValues_ref!$E:$Z,13,FALSE))</f>
        <v/>
      </c>
      <c r="N166" s="89" t="str">
        <f>IF(VLOOKUP($E166,TaskValues_ref!$E:$Z,15,FALSE)=0,"",VLOOKUP($E166,TaskValues_ref!$E:$Z,15,FALSE))</f>
        <v/>
      </c>
      <c r="O166" t="str">
        <f>IF(VLOOKUP($E166,TaskValues_ref!$E:$Z,16,FALSE)=0,"",VLOOKUP($E166,TaskValues_ref!$E:$Z,16,FALSE))</f>
        <v/>
      </c>
      <c r="P166" t="str">
        <f>IF(VLOOKUP($E166,TaskValues_ref!$E:$Z,17,FALSE)=0,"",VLOOKUP($E166,TaskValues_ref!$E:$Z,17,FALSE))</f>
        <v/>
      </c>
      <c r="Q166" t="str">
        <f>IF(VLOOKUP($E166,TaskValues_ref!$E:$Z,18,FALSE)=0,"",VLOOKUP($E166,TaskValues_ref!$E:$Z,18,FALSE))</f>
        <v/>
      </c>
      <c r="R166" t="str">
        <f>IF(VLOOKUP($E166,TaskValues_ref!$E:$Z,19,FALSE)=0,"",VLOOKUP($E166,TaskValues_ref!$E:$Z,19,FALSE))</f>
        <v/>
      </c>
      <c r="S166" t="str">
        <f>IF(VLOOKUP($E166,TaskValues_ref!$E:$Z,20,FALSE)=0,"",VLOOKUP($E166,TaskValues_ref!$E:$Z,20,FALSE))</f>
        <v/>
      </c>
    </row>
    <row r="167" spans="1:19" x14ac:dyDescent="0.45">
      <c r="A167" s="66" t="s">
        <v>2337</v>
      </c>
      <c r="B167" s="66" t="s">
        <v>528</v>
      </c>
      <c r="C167" s="66" t="s">
        <v>2482</v>
      </c>
      <c r="D167" s="66">
        <f t="shared" si="4"/>
        <v>174</v>
      </c>
      <c r="E167" s="64" t="str">
        <f t="shared" si="5"/>
        <v>DPC.NTD.174</v>
      </c>
      <c r="F167" t="str">
        <f>VLOOKUP(E167,TaskValues_ref!E:F,2,FALSE)</f>
        <v>STH dx &amp; treat in pregnancy</v>
      </c>
      <c r="G167" t="str">
        <f>VLOOKUP($E167,TaskValues_ref!$E:$Z,3,FALSE)</f>
        <v>Clinical</v>
      </c>
      <c r="H167" t="str">
        <f>VLOOKUP($E167,TaskValues_ref!$E:$Z,4,FALSE)</f>
        <v>Acute</v>
      </c>
      <c r="I167" t="str">
        <f>VLOOKUP($E167,TaskValues_ref!$E:$Z,5,FALSE)</f>
        <v>NTDs</v>
      </c>
      <c r="J167" s="257" t="str">
        <f>VLOOKUP($E167,TaskValues_ref!$E:$Z,6,FALSE)</f>
        <v>women 15-49</v>
      </c>
      <c r="K167" t="str">
        <f>VLOOKUP($E167,TaskValues_ref!$E:$Z,10,FALSE)</f>
        <v>Amhara</v>
      </c>
      <c r="L167" s="195">
        <f>IF(VLOOKUP($E167,TaskValues_ref!$E:$Z,11,FALSE)=0,"",VLOOKUP($E167,TaskValues_ref!$E:$Z,11,FALSE))</f>
        <v>0.33399999999999996</v>
      </c>
      <c r="M167" t="str">
        <f>IF(VLOOKUP($E167,TaskValues_ref!$E:$Z,13,FALSE)=0,"",VLOOKUP($E167,TaskValues_ref!$E:$Z,13,FALSE))</f>
        <v/>
      </c>
      <c r="N167" s="89">
        <f>IF(VLOOKUP($E167,TaskValues_ref!$E:$Z,15,FALSE)=0,"",VLOOKUP($E167,TaskValues_ref!$E:$Z,15,FALSE))</f>
        <v>0.98</v>
      </c>
      <c r="O167">
        <f>IF(VLOOKUP($E167,TaskValues_ref!$E:$Z,16,FALSE)=0,"",VLOOKUP($E167,TaskValues_ref!$E:$Z,16,FALSE))</f>
        <v>1</v>
      </c>
      <c r="P167" t="str">
        <f>IF(VLOOKUP($E167,TaskValues_ref!$E:$Z,17,FALSE)=0,"",VLOOKUP($E167,TaskValues_ref!$E:$Z,17,FALSE))</f>
        <v/>
      </c>
      <c r="Q167">
        <f>IF(VLOOKUP($E167,TaskValues_ref!$E:$Z,18,FALSE)=0,"",VLOOKUP($E167,TaskValues_ref!$E:$Z,18,FALSE))</f>
        <v>5</v>
      </c>
      <c r="R167" t="str">
        <f>IF(VLOOKUP($E167,TaskValues_ref!$E:$Z,19,FALSE)=0,"",VLOOKUP($E167,TaskValues_ref!$E:$Z,19,FALSE))</f>
        <v/>
      </c>
      <c r="S167" t="str">
        <f>IF(VLOOKUP($E167,TaskValues_ref!$E:$Z,20,FALSE)=0,"",VLOOKUP($E167,TaskValues_ref!$E:$Z,20,FALSE))</f>
        <v/>
      </c>
    </row>
    <row r="168" spans="1:19" x14ac:dyDescent="0.45">
      <c r="A168" s="66" t="s">
        <v>2337</v>
      </c>
      <c r="B168" s="66" t="s">
        <v>528</v>
      </c>
      <c r="C168" s="66" t="s">
        <v>2482</v>
      </c>
      <c r="D168" s="66">
        <f t="shared" si="4"/>
        <v>175</v>
      </c>
      <c r="E168" s="64" t="str">
        <f t="shared" si="5"/>
        <v>DPC.NTD.175</v>
      </c>
      <c r="F168" t="str">
        <f>VLOOKUP(E168,TaskValues_ref!E:F,2,FALSE)</f>
        <v>Scabies behavior change</v>
      </c>
      <c r="G168" t="str">
        <f>VLOOKUP($E168,TaskValues_ref!$E:$Z,3,FALSE)</f>
        <v>Non-clinical</v>
      </c>
      <c r="H168" t="str">
        <f>VLOOKUP($E168,TaskValues_ref!$E:$Z,4,FALSE)</f>
        <v>Public Health</v>
      </c>
      <c r="I168" t="str">
        <f>VLOOKUP($E168,TaskValues_ref!$E:$Z,5,FALSE)</f>
        <v>NTDs</v>
      </c>
      <c r="J168" s="257" t="str">
        <f>VLOOKUP($E168,TaskValues_ref!$E:$Z,6,FALSE)</f>
        <v>-</v>
      </c>
      <c r="K168" t="str">
        <f>VLOOKUP($E168,TaskValues_ref!$E:$Z,10,FALSE)</f>
        <v>Amhara</v>
      </c>
      <c r="L168" s="195" t="str">
        <f>IF(VLOOKUP($E168,TaskValues_ref!$E:$Z,11,FALSE)=0,"",VLOOKUP($E168,TaskValues_ref!$E:$Z,11,FALSE))</f>
        <v/>
      </c>
      <c r="M168" t="str">
        <f>IF(VLOOKUP($E168,TaskValues_ref!$E:$Z,13,FALSE)=0,"",VLOOKUP($E168,TaskValues_ref!$E:$Z,13,FALSE))</f>
        <v/>
      </c>
      <c r="N168" s="89" t="str">
        <f>IF(VLOOKUP($E168,TaskValues_ref!$E:$Z,15,FALSE)=0,"",VLOOKUP($E168,TaskValues_ref!$E:$Z,15,FALSE))</f>
        <v/>
      </c>
      <c r="O168" t="str">
        <f>IF(VLOOKUP($E168,TaskValues_ref!$E:$Z,16,FALSE)=0,"",VLOOKUP($E168,TaskValues_ref!$E:$Z,16,FALSE))</f>
        <v/>
      </c>
      <c r="P168" t="str">
        <f>IF(VLOOKUP($E168,TaskValues_ref!$E:$Z,17,FALSE)=0,"",VLOOKUP($E168,TaskValues_ref!$E:$Z,17,FALSE))</f>
        <v/>
      </c>
      <c r="Q168" t="str">
        <f>IF(VLOOKUP($E168,TaskValues_ref!$E:$Z,18,FALSE)=0,"",VLOOKUP($E168,TaskValues_ref!$E:$Z,18,FALSE))</f>
        <v/>
      </c>
      <c r="R168" t="str">
        <f>IF(VLOOKUP($E168,TaskValues_ref!$E:$Z,19,FALSE)=0,"",VLOOKUP($E168,TaskValues_ref!$E:$Z,19,FALSE))</f>
        <v/>
      </c>
      <c r="S168" t="str">
        <f>IF(VLOOKUP($E168,TaskValues_ref!$E:$Z,20,FALSE)=0,"",VLOOKUP($E168,TaskValues_ref!$E:$Z,20,FALSE))</f>
        <v/>
      </c>
    </row>
    <row r="169" spans="1:19" x14ac:dyDescent="0.45">
      <c r="A169" s="66" t="s">
        <v>2484</v>
      </c>
      <c r="D169" s="66" t="s">
        <v>2486</v>
      </c>
      <c r="E169" s="64" t="s">
        <v>2625</v>
      </c>
      <c r="F169" t="str">
        <f>VLOOKUP(E169,TaskValues_ref!E:F,2,FALSE)</f>
        <v>Model household program</v>
      </c>
      <c r="G169" t="str">
        <f>VLOOKUP($E169,TaskValues_ref!$E:$Z,3,FALSE)</f>
        <v>Non-clinical</v>
      </c>
      <c r="H169" t="str">
        <f>VLOOKUP($E169,TaskValues_ref!$E:$Z,4,FALSE)</f>
        <v>-</v>
      </c>
      <c r="I169" t="str">
        <f>VLOOKUP($E169,TaskValues_ref!$E:$Z,5,FALSE)</f>
        <v>-</v>
      </c>
      <c r="J169" s="257" t="str">
        <f>VLOOKUP($E169,TaskValues_ref!$E:$Z,6,FALSE)</f>
        <v>all</v>
      </c>
      <c r="K169" t="str">
        <f>VLOOKUP($E169,TaskValues_ref!$E:$Z,10,FALSE)</f>
        <v>Amhara</v>
      </c>
      <c r="L169" s="195" t="str">
        <f>IF(VLOOKUP($E169,TaskValues_ref!$E:$Z,11,FALSE)=0,"",VLOOKUP($E169,TaskValues_ref!$E:$Z,11,FALSE))</f>
        <v/>
      </c>
      <c r="M169" t="str">
        <f>IF(VLOOKUP($E169,TaskValues_ref!$E:$Z,13,FALSE)=0,"",VLOOKUP($E169,TaskValues_ref!$E:$Z,13,FALSE))</f>
        <v/>
      </c>
      <c r="N169" s="89" t="str">
        <f>IF(VLOOKUP($E169,TaskValues_ref!$E:$Z,15,FALSE)=0,"",VLOOKUP($E169,TaskValues_ref!$E:$Z,15,FALSE))</f>
        <v/>
      </c>
      <c r="O169" t="str">
        <f>IF(VLOOKUP($E169,TaskValues_ref!$E:$Z,16,FALSE)=0,"",VLOOKUP($E169,TaskValues_ref!$E:$Z,16,FALSE))</f>
        <v/>
      </c>
      <c r="P169" t="str">
        <f>IF(VLOOKUP($E169,TaskValues_ref!$E:$Z,17,FALSE)=0,"",VLOOKUP($E169,TaskValues_ref!$E:$Z,17,FALSE))</f>
        <v/>
      </c>
      <c r="Q169" t="str">
        <f>IF(VLOOKUP($E169,TaskValues_ref!$E:$Z,18,FALSE)=0,"",VLOOKUP($E169,TaskValues_ref!$E:$Z,18,FALSE))</f>
        <v/>
      </c>
      <c r="R169">
        <f>IF(VLOOKUP($E169,TaskValues_ref!$E:$Z,19,FALSE)=0,"",VLOOKUP($E169,TaskValues_ref!$E:$Z,19,FALSE))</f>
        <v>15</v>
      </c>
      <c r="S169" t="str">
        <f>IF(VLOOKUP($E169,TaskValues_ref!$E:$Z,20,FALSE)=0,"",VLOOKUP($E169,TaskValues_ref!$E:$Z,20,FALSE))</f>
        <v/>
      </c>
    </row>
    <row r="170" spans="1:19" x14ac:dyDescent="0.45">
      <c r="A170" s="66" t="s">
        <v>2487</v>
      </c>
      <c r="D170" s="66" t="s">
        <v>2488</v>
      </c>
      <c r="E170" s="64" t="s">
        <v>2626</v>
      </c>
      <c r="F170" t="str">
        <f>VLOOKUP(E170,TaskValues_ref!E:F,2,FALSE)</f>
        <v>Model household program</v>
      </c>
      <c r="G170" t="str">
        <f>VLOOKUP($E170,TaskValues_ref!$E:$Z,3,FALSE)</f>
        <v>Non-clinical</v>
      </c>
      <c r="H170" t="str">
        <f>VLOOKUP($E170,TaskValues_ref!$E:$Z,4,FALSE)</f>
        <v>-</v>
      </c>
      <c r="I170" t="str">
        <f>VLOOKUP($E170,TaskValues_ref!$E:$Z,5,FALSE)</f>
        <v>-</v>
      </c>
      <c r="J170" s="257" t="str">
        <f>VLOOKUP($E170,TaskValues_ref!$E:$Z,6,FALSE)</f>
        <v>all</v>
      </c>
      <c r="K170" t="str">
        <f>VLOOKUP($E170,TaskValues_ref!$E:$Z,10,FALSE)</f>
        <v>Amhara</v>
      </c>
      <c r="L170" s="195" t="str">
        <f>IF(VLOOKUP($E170,TaskValues_ref!$E:$Z,11,FALSE)=0,"",VLOOKUP($E170,TaskValues_ref!$E:$Z,11,FALSE))</f>
        <v/>
      </c>
      <c r="M170" t="str">
        <f>IF(VLOOKUP($E170,TaskValues_ref!$E:$Z,13,FALSE)=0,"",VLOOKUP($E170,TaskValues_ref!$E:$Z,13,FALSE))</f>
        <v/>
      </c>
      <c r="N170" s="89" t="str">
        <f>IF(VLOOKUP($E170,TaskValues_ref!$E:$Z,15,FALSE)=0,"",VLOOKUP($E170,TaskValues_ref!$E:$Z,15,FALSE))</f>
        <v/>
      </c>
      <c r="O170" t="str">
        <f>IF(VLOOKUP($E170,TaskValues_ref!$E:$Z,16,FALSE)=0,"",VLOOKUP($E170,TaskValues_ref!$E:$Z,16,FALSE))</f>
        <v/>
      </c>
      <c r="P170" t="str">
        <f>IF(VLOOKUP($E170,TaskValues_ref!$E:$Z,17,FALSE)=0,"",VLOOKUP($E170,TaskValues_ref!$E:$Z,17,FALSE))</f>
        <v/>
      </c>
      <c r="Q170" t="str">
        <f>IF(VLOOKUP($E170,TaskValues_ref!$E:$Z,18,FALSE)=0,"",VLOOKUP($E170,TaskValues_ref!$E:$Z,18,FALSE))</f>
        <v/>
      </c>
      <c r="R170">
        <f>IF(VLOOKUP($E170,TaskValues_ref!$E:$Z,19,FALSE)=0,"",VLOOKUP($E170,TaskValues_ref!$E:$Z,19,FALSE))</f>
        <v>15</v>
      </c>
      <c r="S170" t="str">
        <f>IF(VLOOKUP($E170,TaskValues_ref!$E:$Z,20,FALSE)=0,"",VLOOKUP($E170,TaskValues_ref!$E:$Z,20,FALSE))</f>
        <v/>
      </c>
    </row>
    <row r="171" spans="1:19" x14ac:dyDescent="0.45">
      <c r="A171"/>
      <c r="E171" s="64" t="s">
        <v>1952</v>
      </c>
      <c r="F171" t="str">
        <f>VLOOKUP(E171,TaskValues_ref!E:F,2,FALSE)</f>
        <v>Record keeping</v>
      </c>
      <c r="G171" t="str">
        <f>VLOOKUP($E171,TaskValues_ref!$E:$Z,3,FALSE)</f>
        <v>Non-productive</v>
      </c>
      <c r="H171" t="str">
        <f>VLOOKUP($E171,TaskValues_ref!$E:$Z,4,FALSE)</f>
        <v>-</v>
      </c>
      <c r="I171" t="str">
        <f>VLOOKUP($E171,TaskValues_ref!$E:$Z,5,FALSE)</f>
        <v>-</v>
      </c>
      <c r="J171" s="257" t="str">
        <f>VLOOKUP($E171,TaskValues_ref!$E:$Z,6,FALSE)</f>
        <v>all</v>
      </c>
      <c r="K171" t="str">
        <f>VLOOKUP($E171,TaskValues_ref!$E:$Z,10,FALSE)</f>
        <v>Amhara</v>
      </c>
      <c r="L171" s="195">
        <f>IF(VLOOKUP($E171,TaskValues_ref!$E:$Z,11,FALSE)=0,"",VLOOKUP($E171,TaskValues_ref!$E:$Z,11,FALSE))</f>
        <v>1</v>
      </c>
      <c r="M171" t="str">
        <f>IF(VLOOKUP($E171,TaskValues_ref!$E:$Z,13,FALSE)=0,"",VLOOKUP($E171,TaskValues_ref!$E:$Z,13,FALSE))</f>
        <v/>
      </c>
      <c r="N171" s="89">
        <f>IF(VLOOKUP($E171,TaskValues_ref!$E:$Z,15,FALSE)=0,"",VLOOKUP($E171,TaskValues_ref!$E:$Z,15,FALSE))</f>
        <v>1</v>
      </c>
      <c r="O171">
        <f>IF(VLOOKUP($E171,TaskValues_ref!$E:$Z,16,FALSE)=0,"",VLOOKUP($E171,TaskValues_ref!$E:$Z,16,FALSE))</f>
        <v>1</v>
      </c>
      <c r="P171" t="str">
        <f>IF(VLOOKUP($E171,TaskValues_ref!$E:$Z,17,FALSE)=0,"",VLOOKUP($E171,TaskValues_ref!$E:$Z,17,FALSE))</f>
        <v/>
      </c>
      <c r="Q171">
        <f>IF(VLOOKUP($E171,TaskValues_ref!$E:$Z,18,FALSE)=0,"",VLOOKUP($E171,TaskValues_ref!$E:$Z,18,FALSE))</f>
        <v>4.5844447190612616</v>
      </c>
      <c r="R171" t="str">
        <f>IF(VLOOKUP($E171,TaskValues_ref!$E:$Z,19,FALSE)=0,"",VLOOKUP($E171,TaskValues_ref!$E:$Z,19,FALSE))</f>
        <v/>
      </c>
      <c r="S171" t="str">
        <f>IF(VLOOKUP($E171,TaskValues_ref!$E:$Z,20,FALSE)=0,"",VLOOKUP($E171,TaskValues_ref!$E:$Z,20,FALSE))</f>
        <v/>
      </c>
    </row>
    <row r="172" spans="1:19" s="127" customFormat="1" x14ac:dyDescent="0.45">
      <c r="A172" s="337"/>
      <c r="B172" s="337"/>
      <c r="C172" s="337"/>
      <c r="D172" s="337"/>
      <c r="E172" s="337" t="s">
        <v>2770</v>
      </c>
      <c r="F172" s="127" t="str">
        <f>VLOOKUP(E172,TaskValues_ref!E:F,2,FALSE)</f>
        <v>Test additional</v>
      </c>
      <c r="J172" s="338"/>
      <c r="K172" s="127" t="str">
        <f>VLOOKUP($E172,TaskValues_ref!$E:$Z,10,FALSE)</f>
        <v>Amhara</v>
      </c>
      <c r="L172" s="309"/>
      <c r="N172" s="339"/>
      <c r="Q172" s="253"/>
      <c r="S172" s="127">
        <v>1E-3</v>
      </c>
    </row>
    <row r="173" spans="1:19" s="127" customFormat="1" x14ac:dyDescent="0.45">
      <c r="A173" s="337"/>
      <c r="B173" s="337"/>
      <c r="C173" s="337"/>
      <c r="D173" s="337"/>
      <c r="E173" s="127" t="s">
        <v>2179</v>
      </c>
      <c r="F173" s="127" t="str">
        <f>VLOOKUP(E173,TaskValues_ref!E:F,2,FALSE)</f>
        <v>Normal labor management</v>
      </c>
      <c r="G173" s="127" t="s">
        <v>154</v>
      </c>
      <c r="H173" s="127" t="s">
        <v>155</v>
      </c>
      <c r="I173" s="127" t="s">
        <v>65</v>
      </c>
      <c r="J173" s="338" t="s">
        <v>156</v>
      </c>
      <c r="K173" s="127" t="str">
        <f>VLOOKUP($E173,TaskValues_ref!$E:$Z,10,FALSE)</f>
        <v>Amhara</v>
      </c>
      <c r="L173" s="309">
        <v>1</v>
      </c>
      <c r="N173" s="339">
        <v>1</v>
      </c>
      <c r="O173" s="127">
        <v>1</v>
      </c>
      <c r="Q173" s="340">
        <v>0</v>
      </c>
    </row>
    <row r="174" spans="1:19" s="127" customFormat="1" x14ac:dyDescent="0.45">
      <c r="A174" s="337"/>
      <c r="B174" s="337"/>
      <c r="C174" s="337"/>
      <c r="D174" s="337"/>
      <c r="E174" s="127" t="s">
        <v>2181</v>
      </c>
      <c r="F174" s="127" t="str">
        <f>VLOOKUP(E174,TaskValues_ref!E:F,2,FALSE)</f>
        <v>Emergency OB</v>
      </c>
      <c r="G174" s="127" t="s">
        <v>154</v>
      </c>
      <c r="H174" s="127" t="s">
        <v>155</v>
      </c>
      <c r="I174" s="127" t="s">
        <v>65</v>
      </c>
      <c r="J174" s="338" t="s">
        <v>156</v>
      </c>
      <c r="K174" s="127" t="str">
        <f>VLOOKUP($E174,TaskValues_ref!$E:$Z,10,FALSE)</f>
        <v>Amhara</v>
      </c>
      <c r="L174" s="309">
        <v>1</v>
      </c>
      <c r="N174" s="339">
        <v>1</v>
      </c>
      <c r="O174" s="127">
        <v>1</v>
      </c>
      <c r="Q174" s="340">
        <v>0</v>
      </c>
    </row>
    <row r="175" spans="1:19" s="127" customFormat="1" x14ac:dyDescent="0.45">
      <c r="A175" s="337"/>
      <c r="B175" s="337"/>
      <c r="C175" s="337"/>
      <c r="D175" s="337"/>
      <c r="E175" s="127" t="s">
        <v>2180</v>
      </c>
      <c r="F175" s="127" t="str">
        <f>VLOOKUP(E175,TaskValues_ref!E:F,2,FALSE)</f>
        <v>Active management 3rd stage</v>
      </c>
      <c r="G175" s="127" t="s">
        <v>154</v>
      </c>
      <c r="H175" s="127" t="s">
        <v>155</v>
      </c>
      <c r="I175" s="127" t="s">
        <v>65</v>
      </c>
      <c r="J175" s="338" t="s">
        <v>156</v>
      </c>
      <c r="K175" s="127" t="str">
        <f>VLOOKUP($E175,TaskValues_ref!$E:$Z,10,FALSE)</f>
        <v>Amhara</v>
      </c>
      <c r="L175" s="309">
        <v>1</v>
      </c>
      <c r="N175" s="339">
        <v>1</v>
      </c>
      <c r="O175" s="127">
        <v>1</v>
      </c>
      <c r="Q175" s="340">
        <v>0</v>
      </c>
    </row>
    <row r="176" spans="1:19" s="127" customFormat="1" x14ac:dyDescent="0.45">
      <c r="A176" s="337"/>
      <c r="B176" s="337"/>
      <c r="C176" s="337"/>
      <c r="D176" s="337"/>
      <c r="E176" s="127" t="s">
        <v>2192</v>
      </c>
      <c r="F176" s="127" t="str">
        <f>VLOOKUP(E176,TaskValues_ref!E:F,2,FALSE)</f>
        <v>Maternal sepsis</v>
      </c>
      <c r="G176" s="127" t="s">
        <v>154</v>
      </c>
      <c r="H176" s="127" t="s">
        <v>155</v>
      </c>
      <c r="I176" s="127" t="s">
        <v>65</v>
      </c>
      <c r="J176" s="338" t="s">
        <v>156</v>
      </c>
      <c r="K176" s="127" t="str">
        <f>VLOOKUP($E176,TaskValues_ref!$E:$Z,10,FALSE)</f>
        <v>Amhara</v>
      </c>
      <c r="L176" s="309">
        <v>1</v>
      </c>
      <c r="N176" s="339">
        <v>1</v>
      </c>
      <c r="O176" s="127">
        <v>1</v>
      </c>
      <c r="Q176" s="340">
        <v>0</v>
      </c>
    </row>
    <row r="177" spans="5:19" x14ac:dyDescent="0.45">
      <c r="E177" s="64" t="s">
        <v>2793</v>
      </c>
      <c r="F177" t="str">
        <f>VLOOKUP(E177,TaskValues_ref!E:F,2,FALSE)</f>
        <v>Travel HEH</v>
      </c>
      <c r="G177" t="str">
        <f>VLOOKUP($E177,TaskValues_ref!$E:$Z,3,FALSE)</f>
        <v>Non-productive</v>
      </c>
      <c r="H177" t="str">
        <f>VLOOKUP($E177,TaskValues_ref!$E:$Z,4,FALSE)</f>
        <v>-</v>
      </c>
      <c r="I177" t="str">
        <f>VLOOKUP($E177,TaskValues_ref!$E:$Z,5,FALSE)</f>
        <v>-</v>
      </c>
      <c r="J177" s="257" t="str">
        <f>VLOOKUP($E177,TaskValues_ref!$E:$Z,6,FALSE)</f>
        <v>all</v>
      </c>
      <c r="K177" t="str">
        <f>VLOOKUP($E177,TaskValues_ref!$E:$Z,10,FALSE)</f>
        <v>Amhara</v>
      </c>
      <c r="L177" s="195">
        <f>IF(VLOOKUP($E177,TaskValues_ref!$E:$Z,11,FALSE)=0,"",VLOOKUP($E177,TaskValues_ref!$E:$Z,11,FALSE))</f>
        <v>0.5</v>
      </c>
      <c r="M177" t="str">
        <f>IF(VLOOKUP($E177,TaskValues_ref!$E:$Z,13,FALSE)=0,"",VLOOKUP($E177,TaskValues_ref!$E:$Z,13,FALSE))</f>
        <v/>
      </c>
      <c r="N177" s="89">
        <f>IF(VLOOKUP($E177,TaskValues_ref!$E:$Z,15,FALSE)=0,"",VLOOKUP($E177,TaskValues_ref!$E:$Z,15,FALSE))</f>
        <v>0.98</v>
      </c>
      <c r="O177">
        <f>IF(VLOOKUP($E177,TaskValues_ref!$E:$Z,16,FALSE)=0,"",VLOOKUP($E177,TaskValues_ref!$E:$Z,16,FALSE))</f>
        <v>1</v>
      </c>
      <c r="P177" t="str">
        <f>IF(VLOOKUP($E177,TaskValues_ref!$E:$Z,17,FALSE)=0,"",VLOOKUP($E177,TaskValues_ref!$E:$Z,17,FALSE))</f>
        <v/>
      </c>
      <c r="Q177">
        <f>IF(VLOOKUP($E177,TaskValues_ref!$E:$Z,18,FALSE)=0,"",VLOOKUP($E177,TaskValues_ref!$E:$Z,18,FALSE))</f>
        <v>5.3832494807158753</v>
      </c>
      <c r="R177" t="str">
        <f>IF(VLOOKUP($E177,TaskValues_ref!$E:$Z,19,FALSE)=0,"",VLOOKUP($E177,TaskValues_ref!$E:$Z,19,FALSE))</f>
        <v/>
      </c>
      <c r="S177" t="str">
        <f>IF(VLOOKUP($E177,TaskValues_ref!$E:$Z,20,FALSE)=0,"",VLOOKUP($E177,TaskValues_ref!$E:$Z,20,FALSE))</f>
        <v/>
      </c>
    </row>
    <row r="178" spans="5:19" x14ac:dyDescent="0.45">
      <c r="E178" s="64" t="s">
        <v>2794</v>
      </c>
      <c r="F178" t="str">
        <f>VLOOKUP(E178,TaskValues_ref!E:F,2,FALSE)</f>
        <v>Travel HEP</v>
      </c>
      <c r="G178" t="str">
        <f>VLOOKUP($E178,TaskValues_ref!$E:$Z,3,FALSE)</f>
        <v>Non-productive</v>
      </c>
      <c r="H178" t="str">
        <f>VLOOKUP($E178,TaskValues_ref!$E:$Z,4,FALSE)</f>
        <v>-</v>
      </c>
      <c r="I178" t="str">
        <f>VLOOKUP($E178,TaskValues_ref!$E:$Z,5,FALSE)</f>
        <v>-</v>
      </c>
      <c r="J178" s="257" t="str">
        <f>VLOOKUP($E178,TaskValues_ref!$E:$Z,6,FALSE)</f>
        <v>all</v>
      </c>
      <c r="K178" t="str">
        <f>VLOOKUP($E178,TaskValues_ref!$E:$Z,10,FALSE)</f>
        <v>Amhara</v>
      </c>
      <c r="L178" s="195">
        <f>IF(VLOOKUP($E178,TaskValues_ref!$E:$Z,11,FALSE)=0,"",VLOOKUP($E178,TaskValues_ref!$E:$Z,11,FALSE))</f>
        <v>0.5</v>
      </c>
      <c r="M178" t="str">
        <f>IF(VLOOKUP($E178,TaskValues_ref!$E:$Z,13,FALSE)=0,"",VLOOKUP($E178,TaskValues_ref!$E:$Z,13,FALSE))</f>
        <v/>
      </c>
      <c r="N178" s="89">
        <f>IF(VLOOKUP($E178,TaskValues_ref!$E:$Z,15,FALSE)=0,"",VLOOKUP($E178,TaskValues_ref!$E:$Z,15,FALSE))</f>
        <v>0.98</v>
      </c>
      <c r="O178">
        <f>IF(VLOOKUP($E178,TaskValues_ref!$E:$Z,16,FALSE)=0,"",VLOOKUP($E178,TaskValues_ref!$E:$Z,16,FALSE))</f>
        <v>1</v>
      </c>
      <c r="P178" t="str">
        <f>IF(VLOOKUP($E178,TaskValues_ref!$E:$Z,17,FALSE)=0,"",VLOOKUP($E178,TaskValues_ref!$E:$Z,17,FALSE))</f>
        <v/>
      </c>
      <c r="Q178">
        <f>IF(VLOOKUP($E178,TaskValues_ref!$E:$Z,18,FALSE)=0,"",VLOOKUP($E178,TaskValues_ref!$E:$Z,18,FALSE))</f>
        <v>5.3832494807158753</v>
      </c>
      <c r="R178" t="str">
        <f>IF(VLOOKUP($E178,TaskValues_ref!$E:$Z,19,FALSE)=0,"",VLOOKUP($E178,TaskValues_ref!$E:$Z,19,FALSE))</f>
        <v/>
      </c>
      <c r="S178" t="str">
        <f>IF(VLOOKUP($E178,TaskValues_ref!$E:$Z,20,FALSE)=0,"",VLOOKUP($E178,TaskValues_ref!$E:$Z,20,FALSE))</f>
        <v/>
      </c>
    </row>
    <row r="179" spans="5:19" x14ac:dyDescent="0.45">
      <c r="E179" s="64" t="s">
        <v>2811</v>
      </c>
      <c r="F179" t="s">
        <v>2817</v>
      </c>
      <c r="G179" t="str">
        <f>VLOOKUP($E179,TaskValues_ref!$E:$Z,3,FALSE)</f>
        <v>Non-productive</v>
      </c>
      <c r="H179" t="str">
        <f>VLOOKUP($E179,TaskValues_ref!$E:$Z,4,FALSE)</f>
        <v>-</v>
      </c>
      <c r="I179" t="str">
        <f>VLOOKUP($E179,TaskValues_ref!$E:$Z,5,FALSE)</f>
        <v>-</v>
      </c>
      <c r="J179" s="257" t="str">
        <f>VLOOKUP($E179,TaskValues_ref!$E:$Z,6,FALSE)</f>
        <v>-</v>
      </c>
      <c r="K179" t="str">
        <f>VLOOKUP($E179,TaskValues_ref!$E:$Z,10,FALSE)</f>
        <v>Amhara</v>
      </c>
      <c r="L179" s="195" t="str">
        <f>IF(VLOOKUP($E179,TaskValues_ref!$E:$Z,11,FALSE)=0,"",VLOOKUP($E179,TaskValues_ref!$E:$Z,11,FALSE))</f>
        <v/>
      </c>
      <c r="M179" t="str">
        <f>IF(VLOOKUP($E179,TaskValues_ref!$E:$Z,13,FALSE)=0,"",VLOOKUP($E179,TaskValues_ref!$E:$Z,13,FALSE))</f>
        <v/>
      </c>
      <c r="N179" s="89" t="str">
        <f>IF(VLOOKUP($E179,TaskValues_ref!$E:$Z,15,FALSE)=0,"",VLOOKUP($E179,TaskValues_ref!$E:$Z,15,FALSE))</f>
        <v/>
      </c>
      <c r="O179" t="str">
        <f>IF(VLOOKUP($E179,TaskValues_ref!$E:$Z,16,FALSE)=0,"",VLOOKUP($E179,TaskValues_ref!$E:$Z,16,FALSE))</f>
        <v/>
      </c>
      <c r="P179" t="str">
        <f>IF(VLOOKUP($E179,TaskValues_ref!$E:$Z,17,FALSE)=0,"",VLOOKUP($E179,TaskValues_ref!$E:$Z,17,FALSE))</f>
        <v/>
      </c>
      <c r="Q179" t="str">
        <f>IF(VLOOKUP($E179,TaskValues_ref!$E:$Z,18,FALSE)=0,"",VLOOKUP($E179,TaskValues_ref!$E:$Z,18,FALSE))</f>
        <v/>
      </c>
      <c r="R179">
        <f>IF(VLOOKUP($E179,TaskValues_ref!$E:$Z,19,FALSE)=0,"",VLOOKUP($E179,TaskValues_ref!$E:$Z,19,FALSE))</f>
        <v>4.5120000000000005</v>
      </c>
      <c r="S179" t="str">
        <f>IF(VLOOKUP($E179,TaskValues_ref!$E:$Z,20,FALSE)=0,"",VLOOKUP($E179,TaskValues_ref!$E:$Z,20,FALSE))</f>
        <v/>
      </c>
    </row>
    <row r="180" spans="5:19" x14ac:dyDescent="0.45">
      <c r="E180" s="64" t="s">
        <v>2812</v>
      </c>
      <c r="F180" t="s">
        <v>2818</v>
      </c>
      <c r="G180" t="str">
        <f>VLOOKUP($E180,TaskValues_ref!$E:$Z,3,FALSE)</f>
        <v>Non-productive</v>
      </c>
      <c r="H180" t="str">
        <f>VLOOKUP($E180,TaskValues_ref!$E:$Z,4,FALSE)</f>
        <v>-</v>
      </c>
      <c r="I180" t="str">
        <f>VLOOKUP($E180,TaskValues_ref!$E:$Z,5,FALSE)</f>
        <v>-</v>
      </c>
      <c r="J180" s="257" t="str">
        <f>VLOOKUP($E180,TaskValues_ref!$E:$Z,6,FALSE)</f>
        <v>-</v>
      </c>
      <c r="K180" t="str">
        <f>VLOOKUP($E180,TaskValues_ref!$E:$Z,10,FALSE)</f>
        <v>Amhara</v>
      </c>
      <c r="L180" s="195" t="str">
        <f>IF(VLOOKUP($E180,TaskValues_ref!$E:$Z,11,FALSE)=0,"",VLOOKUP($E180,TaskValues_ref!$E:$Z,11,FALSE))</f>
        <v/>
      </c>
      <c r="M180" t="str">
        <f>IF(VLOOKUP($E180,TaskValues_ref!$E:$Z,13,FALSE)=0,"",VLOOKUP($E180,TaskValues_ref!$E:$Z,13,FALSE))</f>
        <v/>
      </c>
      <c r="N180" s="89" t="str">
        <f>IF(VLOOKUP($E180,TaskValues_ref!$E:$Z,15,FALSE)=0,"",VLOOKUP($E180,TaskValues_ref!$E:$Z,15,FALSE))</f>
        <v/>
      </c>
      <c r="O180" t="str">
        <f>IF(VLOOKUP($E180,TaskValues_ref!$E:$Z,16,FALSE)=0,"",VLOOKUP($E180,TaskValues_ref!$E:$Z,16,FALSE))</f>
        <v/>
      </c>
      <c r="P180" t="str">
        <f>IF(VLOOKUP($E180,TaskValues_ref!$E:$Z,17,FALSE)=0,"",VLOOKUP($E180,TaskValues_ref!$E:$Z,17,FALSE))</f>
        <v/>
      </c>
      <c r="Q180" t="str">
        <f>IF(VLOOKUP($E180,TaskValues_ref!$E:$Z,18,FALSE)=0,"",VLOOKUP($E180,TaskValues_ref!$E:$Z,18,FALSE))</f>
        <v/>
      </c>
      <c r="R180">
        <f>IF(VLOOKUP($E180,TaskValues_ref!$E:$Z,19,FALSE)=0,"",VLOOKUP($E180,TaskValues_ref!$E:$Z,19,FALSE))</f>
        <v>4.5120000000000005</v>
      </c>
      <c r="S180" t="str">
        <f>IF(VLOOKUP($E180,TaskValues_ref!$E:$Z,20,FALSE)=0,"",VLOOKUP($E180,TaskValues_ref!$E:$Z,20,FALSE))</f>
        <v/>
      </c>
    </row>
    <row r="181" spans="5:19" x14ac:dyDescent="0.45">
      <c r="E181" s="64" t="s">
        <v>2813</v>
      </c>
      <c r="F181" t="s">
        <v>2819</v>
      </c>
      <c r="G181" t="str">
        <f>VLOOKUP($E181,TaskValues_ref!$E:$Z,3,FALSE)</f>
        <v>Non-productive</v>
      </c>
      <c r="H181" t="str">
        <f>VLOOKUP($E181,TaskValues_ref!$E:$Z,4,FALSE)</f>
        <v>-</v>
      </c>
      <c r="I181" t="str">
        <f>VLOOKUP($E181,TaskValues_ref!$E:$Z,5,FALSE)</f>
        <v>-</v>
      </c>
      <c r="J181" s="257" t="str">
        <f>VLOOKUP($E181,TaskValues_ref!$E:$Z,6,FALSE)</f>
        <v>-</v>
      </c>
      <c r="K181" t="str">
        <f>VLOOKUP($E181,TaskValues_ref!$E:$Z,10,FALSE)</f>
        <v>Amhara</v>
      </c>
      <c r="L181" s="195" t="str">
        <f>IF(VLOOKUP($E181,TaskValues_ref!$E:$Z,11,FALSE)=0,"",VLOOKUP($E181,TaskValues_ref!$E:$Z,11,FALSE))</f>
        <v/>
      </c>
      <c r="M181" t="str">
        <f>IF(VLOOKUP($E181,TaskValues_ref!$E:$Z,13,FALSE)=0,"",VLOOKUP($E181,TaskValues_ref!$E:$Z,13,FALSE))</f>
        <v/>
      </c>
      <c r="N181" s="89" t="str">
        <f>IF(VLOOKUP($E181,TaskValues_ref!$E:$Z,15,FALSE)=0,"",VLOOKUP($E181,TaskValues_ref!$E:$Z,15,FALSE))</f>
        <v/>
      </c>
      <c r="O181" t="str">
        <f>IF(VLOOKUP($E181,TaskValues_ref!$E:$Z,16,FALSE)=0,"",VLOOKUP($E181,TaskValues_ref!$E:$Z,16,FALSE))</f>
        <v/>
      </c>
      <c r="P181" t="str">
        <f>IF(VLOOKUP($E181,TaskValues_ref!$E:$Z,17,FALSE)=0,"",VLOOKUP($E181,TaskValues_ref!$E:$Z,17,FALSE))</f>
        <v/>
      </c>
      <c r="Q181" t="str">
        <f>IF(VLOOKUP($E181,TaskValues_ref!$E:$Z,18,FALSE)=0,"",VLOOKUP($E181,TaskValues_ref!$E:$Z,18,FALSE))</f>
        <v/>
      </c>
      <c r="R181">
        <f>IF(VLOOKUP($E181,TaskValues_ref!$E:$Z,19,FALSE)=0,"",VLOOKUP($E181,TaskValues_ref!$E:$Z,19,FALSE))</f>
        <v>4.5120000000000005</v>
      </c>
      <c r="S181" t="str">
        <f>IF(VLOOKUP($E181,TaskValues_ref!$E:$Z,20,FALSE)=0,"",VLOOKUP($E181,TaskValues_ref!$E:$Z,20,FALSE))</f>
        <v/>
      </c>
    </row>
    <row r="182" spans="5:19" x14ac:dyDescent="0.45">
      <c r="E182" s="64" t="s">
        <v>2814</v>
      </c>
      <c r="F182" t="s">
        <v>2820</v>
      </c>
      <c r="G182" t="str">
        <f>VLOOKUP($E182,TaskValues_ref!$E:$Z,3,FALSE)</f>
        <v>Non-productive</v>
      </c>
      <c r="H182" t="str">
        <f>VLOOKUP($E182,TaskValues_ref!$E:$Z,4,FALSE)</f>
        <v>-</v>
      </c>
      <c r="I182" t="str">
        <f>VLOOKUP($E182,TaskValues_ref!$E:$Z,5,FALSE)</f>
        <v>-</v>
      </c>
      <c r="J182" s="257" t="str">
        <f>VLOOKUP($E182,TaskValues_ref!$E:$Z,6,FALSE)</f>
        <v>-</v>
      </c>
      <c r="K182" t="str">
        <f>VLOOKUP($E182,TaskValues_ref!$E:$Z,10,FALSE)</f>
        <v>Amhara</v>
      </c>
      <c r="L182" s="195" t="str">
        <f>IF(VLOOKUP($E182,TaskValues_ref!$E:$Z,11,FALSE)=0,"",VLOOKUP($E182,TaskValues_ref!$E:$Z,11,FALSE))</f>
        <v/>
      </c>
      <c r="M182" t="str">
        <f>IF(VLOOKUP($E182,TaskValues_ref!$E:$Z,13,FALSE)=0,"",VLOOKUP($E182,TaskValues_ref!$E:$Z,13,FALSE))</f>
        <v/>
      </c>
      <c r="N182" s="89" t="str">
        <f>IF(VLOOKUP($E182,TaskValues_ref!$E:$Z,15,FALSE)=0,"",VLOOKUP($E182,TaskValues_ref!$E:$Z,15,FALSE))</f>
        <v/>
      </c>
      <c r="O182" t="str">
        <f>IF(VLOOKUP($E182,TaskValues_ref!$E:$Z,16,FALSE)=0,"",VLOOKUP($E182,TaskValues_ref!$E:$Z,16,FALSE))</f>
        <v/>
      </c>
      <c r="P182" t="str">
        <f>IF(VLOOKUP($E182,TaskValues_ref!$E:$Z,17,FALSE)=0,"",VLOOKUP($E182,TaskValues_ref!$E:$Z,17,FALSE))</f>
        <v/>
      </c>
      <c r="Q182" t="str">
        <f>IF(VLOOKUP($E182,TaskValues_ref!$E:$Z,18,FALSE)=0,"",VLOOKUP($E182,TaskValues_ref!$E:$Z,18,FALSE))</f>
        <v/>
      </c>
      <c r="R182">
        <f>IF(VLOOKUP($E182,TaskValues_ref!$E:$Z,19,FALSE)=0,"",VLOOKUP($E182,TaskValues_ref!$E:$Z,19,FALSE))</f>
        <v>4.5120000000000005</v>
      </c>
      <c r="S182" t="str">
        <f>IF(VLOOKUP($E182,TaskValues_ref!$E:$Z,20,FALSE)=0,"",VLOOKUP($E182,TaskValues_ref!$E:$Z,20,FALSE))</f>
        <v/>
      </c>
    </row>
    <row r="183" spans="5:19" x14ac:dyDescent="0.45">
      <c r="E183" s="64" t="s">
        <v>2815</v>
      </c>
      <c r="F183" t="s">
        <v>2821</v>
      </c>
      <c r="G183" t="str">
        <f>VLOOKUP($E183,TaskValues_ref!$E:$Z,3,FALSE)</f>
        <v>Non-productive</v>
      </c>
      <c r="H183" t="str">
        <f>VLOOKUP($E183,TaskValues_ref!$E:$Z,4,FALSE)</f>
        <v>-</v>
      </c>
      <c r="I183" t="str">
        <f>VLOOKUP($E183,TaskValues_ref!$E:$Z,5,FALSE)</f>
        <v>-</v>
      </c>
      <c r="J183" s="257" t="str">
        <f>VLOOKUP($E183,TaskValues_ref!$E:$Z,6,FALSE)</f>
        <v>-</v>
      </c>
      <c r="K183" t="str">
        <f>VLOOKUP($E183,TaskValues_ref!$E:$Z,10,FALSE)</f>
        <v>Amhara</v>
      </c>
      <c r="L183" s="195" t="str">
        <f>IF(VLOOKUP($E183,TaskValues_ref!$E:$Z,11,FALSE)=0,"",VLOOKUP($E183,TaskValues_ref!$E:$Z,11,FALSE))</f>
        <v/>
      </c>
      <c r="M183" t="str">
        <f>IF(VLOOKUP($E183,TaskValues_ref!$E:$Z,13,FALSE)=0,"",VLOOKUP($E183,TaskValues_ref!$E:$Z,13,FALSE))</f>
        <v/>
      </c>
      <c r="N183" s="89" t="str">
        <f>IF(VLOOKUP($E183,TaskValues_ref!$E:$Z,15,FALSE)=0,"",VLOOKUP($E183,TaskValues_ref!$E:$Z,15,FALSE))</f>
        <v/>
      </c>
      <c r="O183" t="str">
        <f>IF(VLOOKUP($E183,TaskValues_ref!$E:$Z,16,FALSE)=0,"",VLOOKUP($E183,TaskValues_ref!$E:$Z,16,FALSE))</f>
        <v/>
      </c>
      <c r="P183" t="str">
        <f>IF(VLOOKUP($E183,TaskValues_ref!$E:$Z,17,FALSE)=0,"",VLOOKUP($E183,TaskValues_ref!$E:$Z,17,FALSE))</f>
        <v/>
      </c>
      <c r="Q183" t="str">
        <f>IF(VLOOKUP($E183,TaskValues_ref!$E:$Z,18,FALSE)=0,"",VLOOKUP($E183,TaskValues_ref!$E:$Z,18,FALSE))</f>
        <v/>
      </c>
      <c r="R183">
        <f>IF(VLOOKUP($E183,TaskValues_ref!$E:$Z,19,FALSE)=0,"",VLOOKUP($E183,TaskValues_ref!$E:$Z,19,FALSE))</f>
        <v>4.5120000000000005</v>
      </c>
      <c r="S183" t="str">
        <f>IF(VLOOKUP($E183,TaskValues_ref!$E:$Z,20,FALSE)=0,"",VLOOKUP($E183,TaskValues_ref!$E:$Z,20,FALSE))</f>
        <v/>
      </c>
    </row>
    <row r="184" spans="5:19" x14ac:dyDescent="0.45">
      <c r="E184" s="64" t="s">
        <v>2816</v>
      </c>
      <c r="F184" t="s">
        <v>2822</v>
      </c>
      <c r="G184" t="str">
        <f>VLOOKUP($E184,TaskValues_ref!$E:$Z,3,FALSE)</f>
        <v>Non-productive</v>
      </c>
      <c r="H184" t="str">
        <f>VLOOKUP($E184,TaskValues_ref!$E:$Z,4,FALSE)</f>
        <v>-</v>
      </c>
      <c r="I184" t="str">
        <f>VLOOKUP($E184,TaskValues_ref!$E:$Z,5,FALSE)</f>
        <v>-</v>
      </c>
      <c r="J184" s="257" t="str">
        <f>VLOOKUP($E184,TaskValues_ref!$E:$Z,6,FALSE)</f>
        <v>-</v>
      </c>
      <c r="K184" t="str">
        <f>VLOOKUP($E184,TaskValues_ref!$E:$Z,10,FALSE)</f>
        <v>Amhara</v>
      </c>
      <c r="L184" s="195" t="str">
        <f>IF(VLOOKUP($E184,TaskValues_ref!$E:$Z,11,FALSE)=0,"",VLOOKUP($E184,TaskValues_ref!$E:$Z,11,FALSE))</f>
        <v/>
      </c>
      <c r="M184" t="str">
        <f>IF(VLOOKUP($E184,TaskValues_ref!$E:$Z,13,FALSE)=0,"",VLOOKUP($E184,TaskValues_ref!$E:$Z,13,FALSE))</f>
        <v/>
      </c>
      <c r="N184" s="89" t="str">
        <f>IF(VLOOKUP($E184,TaskValues_ref!$E:$Z,15,FALSE)=0,"",VLOOKUP($E184,TaskValues_ref!$E:$Z,15,FALSE))</f>
        <v/>
      </c>
      <c r="O184" t="str">
        <f>IF(VLOOKUP($E184,TaskValues_ref!$E:$Z,16,FALSE)=0,"",VLOOKUP($E184,TaskValues_ref!$E:$Z,16,FALSE))</f>
        <v/>
      </c>
      <c r="P184" t="str">
        <f>IF(VLOOKUP($E184,TaskValues_ref!$E:$Z,17,FALSE)=0,"",VLOOKUP($E184,TaskValues_ref!$E:$Z,17,FALSE))</f>
        <v/>
      </c>
      <c r="Q184" t="str">
        <f>IF(VLOOKUP($E184,TaskValues_ref!$E:$Z,18,FALSE)=0,"",VLOOKUP($E184,TaskValues_ref!$E:$Z,18,FALSE))</f>
        <v/>
      </c>
      <c r="R184">
        <f>IF(VLOOKUP($E184,TaskValues_ref!$E:$Z,19,FALSE)=0,"",VLOOKUP($E184,TaskValues_ref!$E:$Z,19,FALSE))</f>
        <v>4.5120000000000005</v>
      </c>
      <c r="S184" t="str">
        <f>IF(VLOOKUP($E184,TaskValues_ref!$E:$Z,20,FALSE)=0,"",VLOOKUP($E184,TaskValues_ref!$E:$Z,20,FALSE))</f>
        <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1E6032AB-D91B-4380-8AAF-091B71BF2838}">
          <x14:formula1>
            <xm:f>Lookup!$D$2:$D$15</xm:f>
          </x14:formula1>
          <xm:sqref>I172:I176 I185:I500</xm:sqref>
        </x14:dataValidation>
        <x14:dataValidation type="list" allowBlank="1" showInputMessage="1" showErrorMessage="1" xr:uid="{2DE55DD6-00CB-4F77-BE15-ADA13DE0C2EF}">
          <x14:formula1>
            <xm:f>Lookup!$B$2:$B$9</xm:f>
          </x14:formula1>
          <xm:sqref>H172:H176 H185:H401</xm:sqref>
        </x14:dataValidation>
        <x14:dataValidation type="list" allowBlank="1" showInputMessage="1" showErrorMessage="1" xr:uid="{32A18B71-6E51-49D8-BEF1-5EC6D298D0A5}">
          <x14:formula1>
            <xm:f>Lookup!$F$2:$F$45</xm:f>
          </x14:formula1>
          <xm:sqref>J2:J1048576</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F81EC-120B-4AC6-BE1B-07666847D0AD}">
  <sheetPr>
    <tabColor theme="9"/>
  </sheetPr>
  <dimension ref="A1:AA33"/>
  <sheetViews>
    <sheetView topLeftCell="E1" workbookViewId="0">
      <selection activeCell="O34" sqref="O34"/>
    </sheetView>
  </sheetViews>
  <sheetFormatPr defaultRowHeight="14.25" x14ac:dyDescent="0.45"/>
  <cols>
    <col min="1" max="1" width="25.46484375" bestFit="1" customWidth="1"/>
    <col min="2" max="2" width="31.19921875" bestFit="1" customWidth="1"/>
    <col min="3" max="3" width="14.265625" bestFit="1" customWidth="1"/>
    <col min="4" max="4" width="3.796875" bestFit="1" customWidth="1"/>
    <col min="5" max="5" width="13.265625" bestFit="1" customWidth="1"/>
    <col min="6" max="6" width="22.796875" bestFit="1" customWidth="1"/>
    <col min="7" max="7" width="12.19921875" bestFit="1" customWidth="1"/>
    <col min="8" max="8" width="9.46484375" bestFit="1" customWidth="1"/>
    <col min="9" max="9" width="12.46484375" bestFit="1" customWidth="1"/>
    <col min="10" max="10" width="12.19921875" bestFit="1" customWidth="1"/>
    <col min="11" max="11" width="13.796875" hidden="1" customWidth="1"/>
    <col min="12" max="12" width="5" hidden="1" customWidth="1"/>
    <col min="13" max="13" width="7.265625" hidden="1" customWidth="1"/>
    <col min="14" max="14" width="9.796875" hidden="1" customWidth="1"/>
    <col min="15" max="15" width="15.796875" bestFit="1" customWidth="1"/>
    <col min="16" max="16" width="27.796875" bestFit="1" customWidth="1"/>
    <col min="17" max="17" width="12.53125" bestFit="1" customWidth="1"/>
    <col min="18" max="18" width="38.46484375" bestFit="1" customWidth="1"/>
    <col min="19" max="19" width="15.46484375" bestFit="1" customWidth="1"/>
    <col min="20" max="20" width="18.46484375" bestFit="1" customWidth="1"/>
    <col min="21" max="21" width="18.19921875" bestFit="1" customWidth="1"/>
    <col min="22" max="22" width="14.19921875" bestFit="1" customWidth="1"/>
    <col min="23" max="23" width="13.46484375" bestFit="1" customWidth="1"/>
    <col min="24" max="24" width="7.53125" bestFit="1" customWidth="1"/>
    <col min="25" max="25" width="5.46484375" bestFit="1" customWidth="1"/>
    <col min="26" max="26" width="31.796875" bestFit="1" customWidth="1"/>
    <col min="27" max="27" width="9.73046875" bestFit="1" customWidth="1"/>
  </cols>
  <sheetData>
    <row r="1" spans="1:27" x14ac:dyDescent="0.45">
      <c r="A1" t="s">
        <v>2166</v>
      </c>
      <c r="E1" t="s">
        <v>135</v>
      </c>
      <c r="F1" t="s">
        <v>136</v>
      </c>
      <c r="G1" t="s">
        <v>137</v>
      </c>
      <c r="H1" t="s">
        <v>138</v>
      </c>
      <c r="I1" t="s">
        <v>139</v>
      </c>
      <c r="J1" t="s">
        <v>140</v>
      </c>
      <c r="K1" t="s">
        <v>2170</v>
      </c>
      <c r="L1" t="s">
        <v>2171</v>
      </c>
      <c r="M1" t="s">
        <v>2172</v>
      </c>
      <c r="N1" t="s">
        <v>141</v>
      </c>
      <c r="O1" t="s">
        <v>142</v>
      </c>
      <c r="P1" t="s">
        <v>143</v>
      </c>
      <c r="Q1" t="s">
        <v>144</v>
      </c>
      <c r="R1" t="s">
        <v>145</v>
      </c>
      <c r="S1" t="s">
        <v>146</v>
      </c>
      <c r="T1" t="s">
        <v>147</v>
      </c>
      <c r="U1" t="s">
        <v>148</v>
      </c>
      <c r="V1" t="s">
        <v>149</v>
      </c>
      <c r="W1" t="s">
        <v>150</v>
      </c>
      <c r="X1" t="s">
        <v>151</v>
      </c>
      <c r="Y1" t="s">
        <v>2200</v>
      </c>
      <c r="Z1" t="s">
        <v>2183</v>
      </c>
      <c r="AA1" t="s">
        <v>2833</v>
      </c>
    </row>
    <row r="2" spans="1:27" x14ac:dyDescent="0.45">
      <c r="A2" t="s">
        <v>2337</v>
      </c>
      <c r="B2" t="s">
        <v>2378</v>
      </c>
      <c r="C2" t="s">
        <v>2386</v>
      </c>
      <c r="D2">
        <v>119</v>
      </c>
      <c r="F2" t="s">
        <v>2390</v>
      </c>
      <c r="G2" t="s">
        <v>154</v>
      </c>
      <c r="H2" t="s">
        <v>2789</v>
      </c>
      <c r="I2" t="s">
        <v>220</v>
      </c>
      <c r="K2" t="s">
        <v>975</v>
      </c>
      <c r="L2" t="s">
        <v>975</v>
      </c>
      <c r="M2" t="s">
        <v>975</v>
      </c>
      <c r="N2" t="s">
        <v>2886</v>
      </c>
      <c r="P2" t="s">
        <v>2195</v>
      </c>
      <c r="Q2">
        <v>0.5</v>
      </c>
      <c r="R2" t="s">
        <v>2555</v>
      </c>
      <c r="S2">
        <v>1.01</v>
      </c>
      <c r="T2">
        <v>12</v>
      </c>
      <c r="V2">
        <v>15</v>
      </c>
      <c r="Y2" t="s">
        <v>975</v>
      </c>
      <c r="Z2" t="s">
        <v>2392</v>
      </c>
      <c r="AA2" t="s">
        <v>3147</v>
      </c>
    </row>
    <row r="3" spans="1:27" x14ac:dyDescent="0.45">
      <c r="E3" t="s">
        <v>3368</v>
      </c>
      <c r="J3" t="s">
        <v>3376</v>
      </c>
    </row>
    <row r="4" spans="1:27" x14ac:dyDescent="0.45">
      <c r="E4" t="s">
        <v>3369</v>
      </c>
      <c r="J4" t="s">
        <v>3377</v>
      </c>
    </row>
    <row r="5" spans="1:27" x14ac:dyDescent="0.45">
      <c r="E5" t="s">
        <v>3370</v>
      </c>
      <c r="J5" t="s">
        <v>3378</v>
      </c>
    </row>
    <row r="6" spans="1:27" x14ac:dyDescent="0.45">
      <c r="E6" t="s">
        <v>3371</v>
      </c>
      <c r="J6" t="s">
        <v>3379</v>
      </c>
    </row>
    <row r="7" spans="1:27" x14ac:dyDescent="0.45">
      <c r="E7" t="s">
        <v>3372</v>
      </c>
      <c r="J7" t="s">
        <v>3380</v>
      </c>
    </row>
    <row r="8" spans="1:27" x14ac:dyDescent="0.45">
      <c r="E8" t="s">
        <v>3373</v>
      </c>
      <c r="J8" t="s">
        <v>3381</v>
      </c>
    </row>
    <row r="9" spans="1:27" x14ac:dyDescent="0.45">
      <c r="E9" t="s">
        <v>3374</v>
      </c>
      <c r="J9" t="s">
        <v>3382</v>
      </c>
    </row>
    <row r="10" spans="1:27" x14ac:dyDescent="0.45">
      <c r="E10" t="s">
        <v>3375</v>
      </c>
      <c r="J10" t="s">
        <v>3383</v>
      </c>
    </row>
    <row r="11" spans="1:27" x14ac:dyDescent="0.45">
      <c r="E11" t="s">
        <v>3384</v>
      </c>
      <c r="J11" t="s">
        <v>3387</v>
      </c>
    </row>
    <row r="12" spans="1:27" x14ac:dyDescent="0.45">
      <c r="E12" t="s">
        <v>3385</v>
      </c>
      <c r="J12" t="s">
        <v>3388</v>
      </c>
    </row>
    <row r="13" spans="1:27" x14ac:dyDescent="0.45">
      <c r="E13" t="s">
        <v>3386</v>
      </c>
      <c r="J13" t="s">
        <v>3389</v>
      </c>
    </row>
    <row r="14" spans="1:27" x14ac:dyDescent="0.45">
      <c r="A14" t="s">
        <v>2337</v>
      </c>
      <c r="B14" t="s">
        <v>2378</v>
      </c>
      <c r="C14" t="s">
        <v>2393</v>
      </c>
      <c r="D14">
        <v>122</v>
      </c>
      <c r="E14" t="s">
        <v>2710</v>
      </c>
      <c r="F14" t="s">
        <v>2399</v>
      </c>
      <c r="G14" t="s">
        <v>154</v>
      </c>
      <c r="H14" t="s">
        <v>2789</v>
      </c>
      <c r="I14" t="s">
        <v>220</v>
      </c>
      <c r="K14" t="s">
        <v>975</v>
      </c>
      <c r="L14" t="s">
        <v>975</v>
      </c>
      <c r="M14" t="s">
        <v>194</v>
      </c>
      <c r="N14" t="s">
        <v>2886</v>
      </c>
      <c r="O14">
        <v>0.24429999999999999</v>
      </c>
      <c r="P14" t="s">
        <v>1863</v>
      </c>
      <c r="S14">
        <v>1.02</v>
      </c>
      <c r="U14">
        <v>1</v>
      </c>
      <c r="V14">
        <v>5</v>
      </c>
      <c r="Y14" t="s">
        <v>975</v>
      </c>
      <c r="AA14" t="s">
        <v>3098</v>
      </c>
    </row>
    <row r="15" spans="1:27" x14ac:dyDescent="0.45">
      <c r="E15" t="s">
        <v>3401</v>
      </c>
      <c r="J15" t="s">
        <v>3406</v>
      </c>
      <c r="O15" s="68">
        <v>9.0999999999999998E-2</v>
      </c>
    </row>
    <row r="16" spans="1:27" x14ac:dyDescent="0.45">
      <c r="E16" t="s">
        <v>3402</v>
      </c>
      <c r="J16" t="s">
        <v>3407</v>
      </c>
      <c r="O16" s="54">
        <v>0.15</v>
      </c>
    </row>
    <row r="17" spans="1:27" x14ac:dyDescent="0.45">
      <c r="E17" t="s">
        <v>3403</v>
      </c>
      <c r="J17" t="s">
        <v>3396</v>
      </c>
      <c r="O17" s="68">
        <v>0.192</v>
      </c>
    </row>
    <row r="18" spans="1:27" x14ac:dyDescent="0.45">
      <c r="E18" t="s">
        <v>3404</v>
      </c>
      <c r="J18" t="s">
        <v>3397</v>
      </c>
      <c r="O18" s="68">
        <v>0.222</v>
      </c>
    </row>
    <row r="19" spans="1:27" x14ac:dyDescent="0.45">
      <c r="E19" t="s">
        <v>3405</v>
      </c>
      <c r="J19" t="s">
        <v>3398</v>
      </c>
      <c r="O19" s="68">
        <v>0.33600000000000002</v>
      </c>
    </row>
    <row r="20" spans="1:27" x14ac:dyDescent="0.45">
      <c r="E20" t="s">
        <v>3400</v>
      </c>
      <c r="J20" t="s">
        <v>3399</v>
      </c>
      <c r="O20" s="68">
        <v>0.36899999999999999</v>
      </c>
    </row>
    <row r="21" spans="1:27" x14ac:dyDescent="0.45">
      <c r="A21" t="s">
        <v>2337</v>
      </c>
      <c r="B21" t="s">
        <v>2378</v>
      </c>
      <c r="C21" t="s">
        <v>519</v>
      </c>
      <c r="D21">
        <v>125</v>
      </c>
      <c r="F21" t="s">
        <v>2401</v>
      </c>
      <c r="G21" t="s">
        <v>154</v>
      </c>
      <c r="H21" t="s">
        <v>2789</v>
      </c>
      <c r="I21" t="s">
        <v>220</v>
      </c>
      <c r="K21" t="s">
        <v>975</v>
      </c>
      <c r="L21" t="s">
        <v>975</v>
      </c>
      <c r="M21" t="s">
        <v>194</v>
      </c>
      <c r="N21" t="s">
        <v>2886</v>
      </c>
      <c r="P21" t="s">
        <v>1863</v>
      </c>
      <c r="S21">
        <v>1.02</v>
      </c>
      <c r="U21">
        <v>1</v>
      </c>
      <c r="V21">
        <v>5</v>
      </c>
      <c r="Y21" t="s">
        <v>975</v>
      </c>
      <c r="AA21" t="s">
        <v>3112</v>
      </c>
    </row>
    <row r="22" spans="1:27" x14ac:dyDescent="0.45">
      <c r="E22" t="s">
        <v>3390</v>
      </c>
      <c r="J22" t="s">
        <v>3395</v>
      </c>
      <c r="O22" s="68">
        <v>2.5999999999999999E-2</v>
      </c>
    </row>
    <row r="23" spans="1:27" x14ac:dyDescent="0.45">
      <c r="E23" t="s">
        <v>3391</v>
      </c>
      <c r="J23" t="s">
        <v>3396</v>
      </c>
      <c r="O23" s="68">
        <v>3.9E-2</v>
      </c>
    </row>
    <row r="24" spans="1:27" x14ac:dyDescent="0.45">
      <c r="E24" t="s">
        <v>3392</v>
      </c>
      <c r="J24" t="s">
        <v>3397</v>
      </c>
      <c r="O24" s="68">
        <v>4.2999999999999997E-2</v>
      </c>
    </row>
    <row r="25" spans="1:27" x14ac:dyDescent="0.45">
      <c r="E25" t="s">
        <v>3393</v>
      </c>
      <c r="J25" t="s">
        <v>3398</v>
      </c>
      <c r="O25" s="68">
        <v>4.9000000000000002E-2</v>
      </c>
    </row>
    <row r="26" spans="1:27" x14ac:dyDescent="0.45">
      <c r="E26" t="s">
        <v>3394</v>
      </c>
      <c r="J26" t="s">
        <v>3399</v>
      </c>
      <c r="O26" s="68">
        <v>4.5999999999999999E-2</v>
      </c>
    </row>
    <row r="27" spans="1:27" x14ac:dyDescent="0.45">
      <c r="A27" t="s">
        <v>2337</v>
      </c>
      <c r="B27" t="s">
        <v>2378</v>
      </c>
      <c r="C27" t="s">
        <v>232</v>
      </c>
      <c r="D27">
        <v>130</v>
      </c>
      <c r="F27" t="s">
        <v>2445</v>
      </c>
      <c r="G27" t="s">
        <v>154</v>
      </c>
      <c r="H27" t="s">
        <v>2789</v>
      </c>
      <c r="I27" t="s">
        <v>232</v>
      </c>
      <c r="K27" t="s">
        <v>975</v>
      </c>
      <c r="L27" t="s">
        <v>975</v>
      </c>
      <c r="M27" t="s">
        <v>975</v>
      </c>
      <c r="N27" t="s">
        <v>2886</v>
      </c>
      <c r="P27" t="s">
        <v>2431</v>
      </c>
      <c r="S27">
        <v>1</v>
      </c>
      <c r="T27">
        <v>1</v>
      </c>
      <c r="V27">
        <v>15</v>
      </c>
      <c r="AA27" t="s">
        <v>3160</v>
      </c>
    </row>
    <row r="28" spans="1:27" x14ac:dyDescent="0.45">
      <c r="E28" t="s">
        <v>2443</v>
      </c>
      <c r="J28" t="s">
        <v>3408</v>
      </c>
      <c r="O28" s="68">
        <v>5.5E-2</v>
      </c>
    </row>
    <row r="29" spans="1:27" x14ac:dyDescent="0.45">
      <c r="E29" t="s">
        <v>3412</v>
      </c>
      <c r="J29" t="s">
        <v>3409</v>
      </c>
      <c r="O29" s="68">
        <v>8.7999999999999995E-2</v>
      </c>
    </row>
    <row r="30" spans="1:27" x14ac:dyDescent="0.45">
      <c r="E30" t="s">
        <v>3413</v>
      </c>
      <c r="J30" t="s">
        <v>3397</v>
      </c>
      <c r="O30" s="68">
        <v>0.112</v>
      </c>
    </row>
    <row r="31" spans="1:27" x14ac:dyDescent="0.45">
      <c r="E31" t="s">
        <v>3414</v>
      </c>
      <c r="J31" t="s">
        <v>3398</v>
      </c>
      <c r="O31" s="68">
        <v>0.156</v>
      </c>
    </row>
    <row r="32" spans="1:27" x14ac:dyDescent="0.45">
      <c r="E32" t="s">
        <v>3415</v>
      </c>
      <c r="J32" t="s">
        <v>3410</v>
      </c>
      <c r="O32" s="68">
        <v>0.20300000000000001</v>
      </c>
    </row>
    <row r="33" spans="5:15" x14ac:dyDescent="0.45">
      <c r="E33" t="s">
        <v>3416</v>
      </c>
      <c r="J33" t="s">
        <v>3411</v>
      </c>
      <c r="O33" s="54">
        <v>0.25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8AA52-6DEE-4E81-A4A9-A1C10650BF20}">
  <sheetPr>
    <tabColor theme="9"/>
  </sheetPr>
  <dimension ref="A1:T178"/>
  <sheetViews>
    <sheetView zoomScale="70" zoomScaleNormal="70" workbookViewId="0">
      <pane ySplit="1" topLeftCell="A2" activePane="bottomLeft" state="frozen"/>
      <selection activeCell="B15" sqref="B15"/>
      <selection pane="bottomLeft" activeCell="Q130" sqref="Q130"/>
    </sheetView>
  </sheetViews>
  <sheetFormatPr defaultRowHeight="14.25" x14ac:dyDescent="0.45"/>
  <cols>
    <col min="1" max="1" width="15.19921875" customWidth="1"/>
    <col min="2" max="2" width="42" bestFit="1" customWidth="1"/>
    <col min="3" max="3" width="3.796875" style="64" customWidth="1"/>
    <col min="4" max="4" width="3.796875" customWidth="1"/>
    <col min="5" max="5" width="3.796875" style="257" customWidth="1"/>
    <col min="6" max="8" width="3.796875" customWidth="1"/>
    <col min="9" max="9" width="3.796875" style="257" customWidth="1"/>
    <col min="10" max="14" width="3.796875" customWidth="1"/>
    <col min="15" max="15" width="3.796875" style="257" customWidth="1"/>
    <col min="16" max="19" width="3.796875" customWidth="1"/>
    <col min="20" max="20" width="3.796875" style="257" customWidth="1"/>
  </cols>
  <sheetData>
    <row r="1" spans="1:20" s="177" customFormat="1" ht="87.7" customHeight="1" x14ac:dyDescent="0.45">
      <c r="A1" s="302" t="s">
        <v>135</v>
      </c>
      <c r="B1" s="302" t="s">
        <v>136</v>
      </c>
      <c r="C1" s="329" t="s">
        <v>2627</v>
      </c>
      <c r="D1" s="330" t="s">
        <v>2629</v>
      </c>
      <c r="E1" s="331" t="s">
        <v>2628</v>
      </c>
      <c r="F1" s="330" t="s">
        <v>2751</v>
      </c>
      <c r="G1" s="330" t="s">
        <v>2753</v>
      </c>
      <c r="H1" s="330" t="s">
        <v>2754</v>
      </c>
      <c r="I1" s="331" t="s">
        <v>2755</v>
      </c>
      <c r="J1" s="330" t="s">
        <v>2757</v>
      </c>
      <c r="K1" s="330" t="s">
        <v>2752</v>
      </c>
      <c r="L1" s="330" t="s">
        <v>2758</v>
      </c>
      <c r="M1" s="330" t="s">
        <v>2759</v>
      </c>
      <c r="N1" s="330" t="s">
        <v>2760</v>
      </c>
      <c r="O1" s="331" t="s">
        <v>2761</v>
      </c>
      <c r="P1" s="330" t="s">
        <v>2763</v>
      </c>
      <c r="Q1" s="330" t="s">
        <v>2764</v>
      </c>
      <c r="R1" s="330" t="s">
        <v>2765</v>
      </c>
      <c r="S1" s="330" t="s">
        <v>2766</v>
      </c>
      <c r="T1" s="331" t="s">
        <v>2767</v>
      </c>
    </row>
    <row r="2" spans="1:20" x14ac:dyDescent="0.45">
      <c r="A2" t="s">
        <v>2165</v>
      </c>
      <c r="B2" t="str">
        <f>VLOOKUP(A2,TaskValues_ref!E:F,2,FALSE)</f>
        <v>ANC visits</v>
      </c>
      <c r="C2" s="64">
        <v>100</v>
      </c>
      <c r="E2" s="257">
        <f t="shared" ref="E2:E15" si="0">SUM(C2:D2)</f>
        <v>100</v>
      </c>
      <c r="F2">
        <v>100</v>
      </c>
      <c r="I2" s="257">
        <f t="shared" ref="I2:I13" si="1">SUM(F2:H2)</f>
        <v>100</v>
      </c>
      <c r="J2">
        <v>50</v>
      </c>
      <c r="K2">
        <v>50</v>
      </c>
      <c r="M2">
        <f>SUMIFS(Cadres_Comprehensive!P:P,Cadres_Comprehensive!A:A,Cadres_Basic!A2)</f>
        <v>0</v>
      </c>
      <c r="O2" s="257">
        <f t="shared" ref="O2:O13" si="2">SUM(J2:N2)</f>
        <v>100</v>
      </c>
      <c r="P2">
        <v>100</v>
      </c>
      <c r="R2">
        <f>M2</f>
        <v>0</v>
      </c>
      <c r="T2" s="257">
        <f t="shared" ref="T2:T35" si="3">SUM(P2:S2)</f>
        <v>100</v>
      </c>
    </row>
    <row r="3" spans="1:20" x14ac:dyDescent="0.45">
      <c r="A3" t="s">
        <v>2198</v>
      </c>
      <c r="B3" t="str">
        <f>VLOOKUP(A3,TaskValues_ref!E:F,2,FALSE)</f>
        <v>ANC rapid testing</v>
      </c>
      <c r="C3" s="64">
        <v>100</v>
      </c>
      <c r="E3" s="257">
        <f t="shared" ref="E3:E4" si="4">SUM(C3:D3)</f>
        <v>100</v>
      </c>
      <c r="F3">
        <v>100</v>
      </c>
      <c r="I3" s="257">
        <f t="shared" ref="I3:I4" si="5">SUM(F3:H3)</f>
        <v>100</v>
      </c>
      <c r="J3">
        <v>50</v>
      </c>
      <c r="K3">
        <v>50</v>
      </c>
      <c r="M3">
        <f>SUMIFS(Cadres_Comprehensive!P:P,Cadres_Comprehensive!A:A,Cadres_Basic!A3)</f>
        <v>0</v>
      </c>
      <c r="O3" s="257">
        <f t="shared" ref="O3:O4" si="6">SUM(J3:N3)</f>
        <v>100</v>
      </c>
      <c r="P3">
        <v>100</v>
      </c>
      <c r="R3">
        <f>M3</f>
        <v>0</v>
      </c>
      <c r="T3" s="257">
        <f t="shared" ref="T3:T4" si="7">SUM(P3:S3)</f>
        <v>100</v>
      </c>
    </row>
    <row r="4" spans="1:20" x14ac:dyDescent="0.45">
      <c r="A4" t="s">
        <v>2191</v>
      </c>
      <c r="B4" t="str">
        <f>VLOOKUP(A4,TaskValues_ref!E:F,2,FALSE)</f>
        <v>PNC home visits</v>
      </c>
      <c r="C4" s="64">
        <v>100</v>
      </c>
      <c r="E4" s="257">
        <f t="shared" si="4"/>
        <v>100</v>
      </c>
      <c r="F4">
        <v>100</v>
      </c>
      <c r="I4" s="257">
        <f t="shared" si="5"/>
        <v>100</v>
      </c>
      <c r="J4">
        <v>50</v>
      </c>
      <c r="K4">
        <v>50</v>
      </c>
      <c r="M4">
        <f>SUMIFS(Cadres_Comprehensive!P:P,Cadres_Comprehensive!A:A,Cadres_Basic!A4)</f>
        <v>0</v>
      </c>
      <c r="O4" s="257">
        <f t="shared" si="6"/>
        <v>100</v>
      </c>
      <c r="P4">
        <v>100</v>
      </c>
      <c r="R4">
        <f>M4</f>
        <v>0</v>
      </c>
      <c r="T4" s="257">
        <f t="shared" si="7"/>
        <v>100</v>
      </c>
    </row>
    <row r="5" spans="1:20" x14ac:dyDescent="0.45">
      <c r="A5" t="s">
        <v>2193</v>
      </c>
      <c r="B5" t="str">
        <f>VLOOKUP(A5,TaskValues_ref!E:F,2,FALSE)</f>
        <v>Mastitis</v>
      </c>
      <c r="C5" s="64">
        <v>100</v>
      </c>
      <c r="E5" s="257">
        <f t="shared" si="0"/>
        <v>100</v>
      </c>
      <c r="G5">
        <v>100</v>
      </c>
      <c r="I5" s="257">
        <f t="shared" si="1"/>
        <v>100</v>
      </c>
      <c r="L5">
        <v>100</v>
      </c>
      <c r="M5">
        <f>SUMIFS(Cadres_Comprehensive!P:P,Cadres_Comprehensive!A:A,Cadres_Basic!A5)</f>
        <v>0</v>
      </c>
      <c r="O5" s="257">
        <f t="shared" si="2"/>
        <v>100</v>
      </c>
      <c r="Q5">
        <v>100</v>
      </c>
      <c r="R5">
        <f t="shared" ref="R5:R42" si="8">M5</f>
        <v>0</v>
      </c>
      <c r="T5" s="257">
        <f t="shared" si="3"/>
        <v>100</v>
      </c>
    </row>
    <row r="6" spans="1:20" x14ac:dyDescent="0.45">
      <c r="A6" t="s">
        <v>2202</v>
      </c>
      <c r="B6" t="str">
        <f>VLOOKUP(A6,TaskValues_ref!E:F,2,FALSE)</f>
        <v>Pre-referral PPH</v>
      </c>
      <c r="C6" s="64">
        <v>100</v>
      </c>
      <c r="E6" s="257">
        <f t="shared" si="0"/>
        <v>100</v>
      </c>
      <c r="G6">
        <v>100</v>
      </c>
      <c r="I6" s="257">
        <f t="shared" ref="I6" si="9">SUM(F6:H6)</f>
        <v>100</v>
      </c>
      <c r="L6">
        <v>100</v>
      </c>
      <c r="M6">
        <f>SUMIFS(Cadres_Comprehensive!P:P,Cadres_Comprehensive!A:A,Cadres_Basic!A6)</f>
        <v>0</v>
      </c>
      <c r="O6" s="257">
        <f t="shared" ref="O6" si="10">SUM(J6:N6)</f>
        <v>100</v>
      </c>
      <c r="Q6">
        <v>100</v>
      </c>
      <c r="R6">
        <f t="shared" ref="R6" si="11">M6</f>
        <v>0</v>
      </c>
      <c r="T6" s="257">
        <f t="shared" ref="T6" si="12">SUM(P6:S6)</f>
        <v>100</v>
      </c>
    </row>
    <row r="7" spans="1:20" x14ac:dyDescent="0.45">
      <c r="A7" t="s">
        <v>2207</v>
      </c>
      <c r="B7" t="str">
        <f>VLOOKUP(A7,TaskValues_ref!E:F,2,FALSE)</f>
        <v>Mortality surveillance</v>
      </c>
      <c r="C7" s="64">
        <v>100</v>
      </c>
      <c r="E7" s="257">
        <f t="shared" si="0"/>
        <v>100</v>
      </c>
      <c r="F7">
        <v>100</v>
      </c>
      <c r="I7" s="257">
        <f t="shared" si="1"/>
        <v>100</v>
      </c>
      <c r="J7">
        <v>50</v>
      </c>
      <c r="K7">
        <v>50</v>
      </c>
      <c r="M7">
        <f>SUMIFS(Cadres_Comprehensive!P:P,Cadres_Comprehensive!A:A,Cadres_Basic!A7)</f>
        <v>0</v>
      </c>
      <c r="O7" s="257">
        <f t="shared" si="2"/>
        <v>100</v>
      </c>
      <c r="P7">
        <v>100</v>
      </c>
      <c r="R7">
        <f t="shared" si="8"/>
        <v>0</v>
      </c>
      <c r="T7" s="257">
        <f t="shared" si="3"/>
        <v>100</v>
      </c>
    </row>
    <row r="8" spans="1:20" x14ac:dyDescent="0.45">
      <c r="A8" t="s">
        <v>2768</v>
      </c>
      <c r="B8" t="str">
        <f>VLOOKUP(A8,TaskValues_ref!E:F,2,FALSE)</f>
        <v>ID fistula and prolapse</v>
      </c>
      <c r="C8" s="64">
        <v>100</v>
      </c>
      <c r="E8" s="257">
        <f t="shared" si="0"/>
        <v>100</v>
      </c>
      <c r="G8">
        <v>100</v>
      </c>
      <c r="I8" s="257">
        <f t="shared" si="1"/>
        <v>100</v>
      </c>
      <c r="L8">
        <v>100</v>
      </c>
      <c r="M8">
        <f>SUMIFS(Cadres_Comprehensive!P:P,Cadres_Comprehensive!A:A,Cadres_Basic!A8)</f>
        <v>0</v>
      </c>
      <c r="O8" s="257">
        <f t="shared" si="2"/>
        <v>100</v>
      </c>
      <c r="Q8">
        <v>100</v>
      </c>
      <c r="R8">
        <f t="shared" si="8"/>
        <v>0</v>
      </c>
      <c r="T8" s="257">
        <f t="shared" si="3"/>
        <v>100</v>
      </c>
    </row>
    <row r="9" spans="1:20" x14ac:dyDescent="0.45">
      <c r="A9" t="s">
        <v>2769</v>
      </c>
      <c r="B9" t="str">
        <f>VLOOKUP(A9,TaskValues_ref!E:F,2,FALSE)</f>
        <v>Promote cervical cancer ID and treat</v>
      </c>
      <c r="C9" s="64">
        <v>100</v>
      </c>
      <c r="E9" s="257">
        <f t="shared" si="0"/>
        <v>100</v>
      </c>
      <c r="G9">
        <v>100</v>
      </c>
      <c r="I9" s="257">
        <f t="shared" si="1"/>
        <v>100</v>
      </c>
      <c r="L9">
        <v>100</v>
      </c>
      <c r="M9">
        <f>SUMIFS(Cadres_Comprehensive!P:P,Cadres_Comprehensive!A:A,Cadres_Basic!A9)</f>
        <v>0</v>
      </c>
      <c r="O9" s="257">
        <f t="shared" si="2"/>
        <v>100</v>
      </c>
      <c r="Q9">
        <v>100</v>
      </c>
      <c r="R9">
        <f t="shared" si="8"/>
        <v>0</v>
      </c>
      <c r="T9" s="257">
        <f t="shared" si="3"/>
        <v>100</v>
      </c>
    </row>
    <row r="10" spans="1:20" x14ac:dyDescent="0.45">
      <c r="A10" t="s">
        <v>2630</v>
      </c>
      <c r="B10" t="str">
        <f>VLOOKUP(A10,TaskValues_ref!E:F,2,FALSE)</f>
        <v>Newborn care</v>
      </c>
      <c r="C10" s="64">
        <v>100</v>
      </c>
      <c r="E10" s="257">
        <f t="shared" si="0"/>
        <v>100</v>
      </c>
      <c r="F10">
        <v>100</v>
      </c>
      <c r="I10" s="257">
        <f t="shared" si="1"/>
        <v>100</v>
      </c>
      <c r="J10">
        <v>50</v>
      </c>
      <c r="K10">
        <v>50</v>
      </c>
      <c r="M10">
        <f>SUMIFS(Cadres_Comprehensive!P:P,Cadres_Comprehensive!A:A,Cadres_Basic!A10)</f>
        <v>0</v>
      </c>
      <c r="O10" s="257">
        <f t="shared" si="2"/>
        <v>100</v>
      </c>
      <c r="P10">
        <v>100</v>
      </c>
      <c r="R10">
        <f t="shared" si="8"/>
        <v>0</v>
      </c>
      <c r="T10" s="257">
        <f t="shared" si="3"/>
        <v>100</v>
      </c>
    </row>
    <row r="11" spans="1:20" x14ac:dyDescent="0.45">
      <c r="A11" t="s">
        <v>2631</v>
      </c>
      <c r="B11" t="str">
        <f>VLOOKUP(A11,TaskValues_ref!E:F,2,FALSE)</f>
        <v>Chlorhexidine</v>
      </c>
      <c r="C11" s="64">
        <v>100</v>
      </c>
      <c r="E11" s="257">
        <f t="shared" si="0"/>
        <v>100</v>
      </c>
      <c r="F11">
        <v>100</v>
      </c>
      <c r="I11" s="257">
        <f t="shared" si="1"/>
        <v>100</v>
      </c>
      <c r="J11">
        <v>50</v>
      </c>
      <c r="K11">
        <v>50</v>
      </c>
      <c r="M11">
        <f>SUMIFS(Cadres_Comprehensive!P:P,Cadres_Comprehensive!A:A,Cadres_Basic!A11)</f>
        <v>0</v>
      </c>
      <c r="O11" s="257">
        <f t="shared" si="2"/>
        <v>100</v>
      </c>
      <c r="P11">
        <v>100</v>
      </c>
      <c r="R11">
        <f t="shared" si="8"/>
        <v>0</v>
      </c>
      <c r="T11" s="257">
        <f t="shared" si="3"/>
        <v>100</v>
      </c>
    </row>
    <row r="12" spans="1:20" x14ac:dyDescent="0.45">
      <c r="A12" t="s">
        <v>2632</v>
      </c>
      <c r="B12" t="str">
        <f>VLOOKUP(A12,TaskValues_ref!E:F,2,FALSE)</f>
        <v>Kangaroo care</v>
      </c>
      <c r="C12" s="64">
        <v>100</v>
      </c>
      <c r="E12" s="257">
        <f t="shared" si="0"/>
        <v>100</v>
      </c>
      <c r="F12">
        <v>100</v>
      </c>
      <c r="I12" s="257">
        <f t="shared" si="1"/>
        <v>100</v>
      </c>
      <c r="J12">
        <v>50</v>
      </c>
      <c r="K12">
        <v>50</v>
      </c>
      <c r="M12">
        <f>SUMIFS(Cadres_Comprehensive!P:P,Cadres_Comprehensive!A:A,Cadres_Basic!A12)</f>
        <v>0</v>
      </c>
      <c r="O12" s="257">
        <f t="shared" si="2"/>
        <v>100</v>
      </c>
      <c r="P12">
        <v>100</v>
      </c>
      <c r="R12">
        <f t="shared" si="8"/>
        <v>0</v>
      </c>
      <c r="T12" s="257">
        <f t="shared" si="3"/>
        <v>100</v>
      </c>
    </row>
    <row r="13" spans="1:20" x14ac:dyDescent="0.45">
      <c r="A13" t="s">
        <v>2633</v>
      </c>
      <c r="B13" t="str">
        <f>VLOOKUP(A13,TaskValues_ref!E:F,2,FALSE)</f>
        <v>Refer congenital anomalies</v>
      </c>
      <c r="C13" s="64">
        <v>100</v>
      </c>
      <c r="E13" s="257">
        <f t="shared" si="0"/>
        <v>100</v>
      </c>
      <c r="F13">
        <v>100</v>
      </c>
      <c r="I13" s="257">
        <f t="shared" si="1"/>
        <v>100</v>
      </c>
      <c r="J13">
        <v>50</v>
      </c>
      <c r="K13">
        <v>50</v>
      </c>
      <c r="M13">
        <f>SUMIFS(Cadres_Comprehensive!P:P,Cadres_Comprehensive!A:A,Cadres_Basic!A13)</f>
        <v>0</v>
      </c>
      <c r="O13" s="257">
        <f t="shared" si="2"/>
        <v>100</v>
      </c>
      <c r="P13">
        <v>100</v>
      </c>
      <c r="R13">
        <f t="shared" si="8"/>
        <v>0</v>
      </c>
      <c r="T13" s="257">
        <f t="shared" si="3"/>
        <v>100</v>
      </c>
    </row>
    <row r="14" spans="1:20" x14ac:dyDescent="0.45">
      <c r="A14" t="s">
        <v>2225</v>
      </c>
      <c r="B14" t="str">
        <f>VLOOKUP(A14,TaskValues_ref!E:F,2,FALSE)</f>
        <v>Pneumonia (ARI)</v>
      </c>
      <c r="C14" s="64">
        <v>100</v>
      </c>
      <c r="E14" s="257">
        <f t="shared" si="0"/>
        <v>100</v>
      </c>
      <c r="G14">
        <v>100</v>
      </c>
      <c r="I14" s="257">
        <f t="shared" ref="I14:I16" si="13">SUM(F14:H14)</f>
        <v>100</v>
      </c>
      <c r="L14">
        <v>100</v>
      </c>
      <c r="M14">
        <f>SUMIFS(Cadres_Comprehensive!P:P,Cadres_Comprehensive!A:A,Cadres_Basic!A14)</f>
        <v>0</v>
      </c>
      <c r="O14" s="257">
        <f t="shared" ref="O14:O16" si="14">SUM(J14:N14)</f>
        <v>100</v>
      </c>
      <c r="Q14">
        <v>100</v>
      </c>
      <c r="R14">
        <f t="shared" ref="R14:R16" si="15">M14</f>
        <v>0</v>
      </c>
      <c r="T14" s="257">
        <f t="shared" ref="T14:T16" si="16">SUM(P14:S14)</f>
        <v>100</v>
      </c>
    </row>
    <row r="15" spans="1:20" x14ac:dyDescent="0.45">
      <c r="A15" t="s">
        <v>2227</v>
      </c>
      <c r="B15" t="str">
        <f>VLOOKUP(A15,TaskValues_ref!E:F,2,FALSE)</f>
        <v>Diarrhea</v>
      </c>
      <c r="C15" s="64">
        <v>100</v>
      </c>
      <c r="E15" s="257">
        <f t="shared" si="0"/>
        <v>100</v>
      </c>
      <c r="G15">
        <v>100</v>
      </c>
      <c r="I15" s="257">
        <f t="shared" si="13"/>
        <v>100</v>
      </c>
      <c r="L15">
        <v>100</v>
      </c>
      <c r="M15">
        <f>SUMIFS(Cadres_Comprehensive!P:P,Cadres_Comprehensive!A:A,Cadres_Basic!A15)</f>
        <v>0</v>
      </c>
      <c r="O15" s="257">
        <f t="shared" si="14"/>
        <v>100</v>
      </c>
      <c r="Q15">
        <v>100</v>
      </c>
      <c r="R15">
        <f t="shared" si="15"/>
        <v>0</v>
      </c>
      <c r="T15" s="257">
        <f t="shared" si="16"/>
        <v>100</v>
      </c>
    </row>
    <row r="16" spans="1:20" x14ac:dyDescent="0.45">
      <c r="A16" t="s">
        <v>2228</v>
      </c>
      <c r="B16" t="str">
        <f>VLOOKUP(A16,TaskValues_ref!E:F,2,FALSE)</f>
        <v>Parasites</v>
      </c>
      <c r="C16" s="64">
        <v>100</v>
      </c>
      <c r="E16" s="257">
        <f t="shared" ref="E16:E32" si="17">SUM(C16:D16)</f>
        <v>100</v>
      </c>
      <c r="G16">
        <v>100</v>
      </c>
      <c r="I16" s="257">
        <f t="shared" si="13"/>
        <v>100</v>
      </c>
      <c r="L16">
        <v>100</v>
      </c>
      <c r="M16">
        <f>SUMIFS(Cadres_Comprehensive!P:P,Cadres_Comprehensive!A:A,Cadres_Basic!A16)</f>
        <v>0</v>
      </c>
      <c r="O16" s="257">
        <f t="shared" si="14"/>
        <v>100</v>
      </c>
      <c r="Q16">
        <v>100</v>
      </c>
      <c r="R16">
        <f t="shared" si="15"/>
        <v>0</v>
      </c>
      <c r="T16" s="257">
        <f t="shared" si="16"/>
        <v>100</v>
      </c>
    </row>
    <row r="17" spans="1:20" x14ac:dyDescent="0.45">
      <c r="A17" t="s">
        <v>2226</v>
      </c>
      <c r="B17" t="str">
        <f>VLOOKUP(A17,TaskValues_ref!E:F,2,FALSE)</f>
        <v>Well child check &amp; growth monitoring</v>
      </c>
      <c r="C17" s="64">
        <v>100</v>
      </c>
      <c r="E17" s="257">
        <f t="shared" si="17"/>
        <v>100</v>
      </c>
      <c r="F17">
        <v>100</v>
      </c>
      <c r="I17" s="257">
        <f t="shared" ref="I17:I32" si="18">SUM(F17:H17)</f>
        <v>100</v>
      </c>
      <c r="J17">
        <v>50</v>
      </c>
      <c r="K17">
        <v>50</v>
      </c>
      <c r="M17">
        <f>SUMIFS(Cadres_Comprehensive!P:P,Cadres_Comprehensive!A:A,Cadres_Basic!A17)</f>
        <v>0</v>
      </c>
      <c r="O17" s="257">
        <f t="shared" ref="O17:O32" si="19">SUM(J17:N17)</f>
        <v>100</v>
      </c>
      <c r="P17">
        <v>100</v>
      </c>
      <c r="R17">
        <f>M17</f>
        <v>0</v>
      </c>
      <c r="T17" s="257">
        <f t="shared" ref="T17" si="20">SUM(P17:S17)</f>
        <v>100</v>
      </c>
    </row>
    <row r="18" spans="1:20" x14ac:dyDescent="0.45">
      <c r="A18" t="s">
        <v>2635</v>
      </c>
      <c r="B18" t="str">
        <f>VLOOKUP(A18,TaskValues_ref!E:F,2,FALSE)</f>
        <v>Treat severe malnutrition</v>
      </c>
      <c r="C18" s="64">
        <v>100</v>
      </c>
      <c r="E18" s="257">
        <f t="shared" si="17"/>
        <v>100</v>
      </c>
      <c r="G18">
        <v>100</v>
      </c>
      <c r="I18" s="257">
        <f t="shared" si="18"/>
        <v>100</v>
      </c>
      <c r="L18">
        <v>100</v>
      </c>
      <c r="M18">
        <f>SUMIFS(Cadres_Comprehensive!P:P,Cadres_Comprehensive!A:A,Cadres_Basic!A18)</f>
        <v>0</v>
      </c>
      <c r="O18" s="257">
        <f t="shared" si="19"/>
        <v>100</v>
      </c>
      <c r="Q18">
        <v>100</v>
      </c>
      <c r="R18">
        <f t="shared" ref="R18:R19" si="21">M18</f>
        <v>0</v>
      </c>
      <c r="T18" s="257">
        <f t="shared" ref="T18:T19" si="22">SUM(P18:S18)</f>
        <v>100</v>
      </c>
    </row>
    <row r="19" spans="1:20" x14ac:dyDescent="0.45">
      <c r="A19" t="s">
        <v>2636</v>
      </c>
      <c r="B19" t="str">
        <f>VLOOKUP(A19,TaskValues_ref!E:F,2,FALSE)</f>
        <v>Treat moderate malnutrition</v>
      </c>
      <c r="C19" s="64">
        <v>100</v>
      </c>
      <c r="E19" s="257">
        <f t="shared" si="17"/>
        <v>100</v>
      </c>
      <c r="G19">
        <v>100</v>
      </c>
      <c r="I19" s="257">
        <f t="shared" si="18"/>
        <v>100</v>
      </c>
      <c r="L19">
        <v>100</v>
      </c>
      <c r="M19">
        <f>SUMIFS(Cadres_Comprehensive!P:P,Cadres_Comprehensive!A:A,Cadres_Basic!A19)</f>
        <v>0</v>
      </c>
      <c r="O19" s="257">
        <f t="shared" si="19"/>
        <v>100</v>
      </c>
      <c r="Q19">
        <v>100</v>
      </c>
      <c r="R19">
        <f t="shared" si="21"/>
        <v>0</v>
      </c>
      <c r="T19" s="257">
        <f t="shared" si="22"/>
        <v>100</v>
      </c>
    </row>
    <row r="20" spans="1:20" x14ac:dyDescent="0.45">
      <c r="A20" t="s">
        <v>2637</v>
      </c>
      <c r="B20" t="str">
        <f>VLOOKUP(A20,TaskValues_ref!E:F,2,FALSE)</f>
        <v>Deworming &amp; VitA</v>
      </c>
      <c r="C20" s="64">
        <v>100</v>
      </c>
      <c r="E20" s="257">
        <f t="shared" si="17"/>
        <v>100</v>
      </c>
      <c r="F20">
        <v>100</v>
      </c>
      <c r="I20" s="257">
        <f t="shared" si="18"/>
        <v>100</v>
      </c>
      <c r="J20">
        <v>50</v>
      </c>
      <c r="K20">
        <v>50</v>
      </c>
      <c r="M20">
        <f>SUMIFS(Cadres_Comprehensive!P:P,Cadres_Comprehensive!A:A,Cadres_Basic!A20)</f>
        <v>0</v>
      </c>
      <c r="O20" s="257">
        <f t="shared" si="19"/>
        <v>100</v>
      </c>
      <c r="P20">
        <v>100</v>
      </c>
      <c r="R20">
        <f>M20</f>
        <v>0</v>
      </c>
      <c r="T20" s="257">
        <f t="shared" ref="T20" si="23">SUM(P20:S20)</f>
        <v>100</v>
      </c>
    </row>
    <row r="21" spans="1:20" x14ac:dyDescent="0.45">
      <c r="A21" t="s">
        <v>2638</v>
      </c>
      <c r="B21" t="str">
        <f>VLOOKUP(A21,TaskValues_ref!E:F,2,FALSE)</f>
        <v>Paediatric palliative</v>
      </c>
      <c r="C21" s="64">
        <v>100</v>
      </c>
      <c r="E21" s="257">
        <f t="shared" si="17"/>
        <v>100</v>
      </c>
      <c r="G21">
        <v>100</v>
      </c>
      <c r="I21" s="257">
        <f t="shared" si="18"/>
        <v>100</v>
      </c>
      <c r="L21">
        <v>100</v>
      </c>
      <c r="M21">
        <f>SUMIFS(Cadres_Comprehensive!P:P,Cadres_Comprehensive!A:A,Cadres_Basic!A21)</f>
        <v>0</v>
      </c>
      <c r="O21" s="257">
        <f t="shared" si="19"/>
        <v>100</v>
      </c>
      <c r="Q21">
        <v>100</v>
      </c>
      <c r="R21">
        <f t="shared" si="8"/>
        <v>0</v>
      </c>
      <c r="T21" s="257">
        <f t="shared" si="3"/>
        <v>100</v>
      </c>
    </row>
    <row r="22" spans="1:20" x14ac:dyDescent="0.45">
      <c r="A22" t="s">
        <v>2639</v>
      </c>
      <c r="B22" t="str">
        <f>VLOOKUP(A22,TaskValues_ref!E:F,2,FALSE)</f>
        <v>Pharyngitis, tonsillitis, sinusitis</v>
      </c>
      <c r="C22" s="64">
        <v>100</v>
      </c>
      <c r="E22" s="257">
        <f t="shared" si="17"/>
        <v>100</v>
      </c>
      <c r="G22">
        <v>100</v>
      </c>
      <c r="I22" s="257">
        <f t="shared" si="18"/>
        <v>100</v>
      </c>
      <c r="L22">
        <v>100</v>
      </c>
      <c r="M22">
        <f>SUMIFS(Cadres_Comprehensive!P:P,Cadres_Comprehensive!A:A,Cadres_Basic!A22)</f>
        <v>0</v>
      </c>
      <c r="O22" s="257">
        <f t="shared" si="19"/>
        <v>100</v>
      </c>
      <c r="Q22">
        <v>100</v>
      </c>
      <c r="R22">
        <f t="shared" ref="R22" si="24">M22</f>
        <v>0</v>
      </c>
      <c r="T22" s="257">
        <f t="shared" ref="T22" si="25">SUM(P22:S22)</f>
        <v>100</v>
      </c>
    </row>
    <row r="23" spans="1:20" x14ac:dyDescent="0.45">
      <c r="A23" t="s">
        <v>2640</v>
      </c>
      <c r="B23" t="str">
        <f>VLOOKUP(A23,TaskValues_ref!E:F,2,FALSE)</f>
        <v>Scabies</v>
      </c>
      <c r="C23" s="64">
        <v>100</v>
      </c>
      <c r="E23" s="257">
        <f t="shared" si="17"/>
        <v>100</v>
      </c>
      <c r="F23">
        <v>100</v>
      </c>
      <c r="I23" s="257">
        <f t="shared" si="18"/>
        <v>100</v>
      </c>
      <c r="J23">
        <v>50</v>
      </c>
      <c r="K23">
        <v>50</v>
      </c>
      <c r="M23">
        <f>SUMIFS(Cadres_Comprehensive!P:P,Cadres_Comprehensive!A:A,Cadres_Basic!A23)</f>
        <v>0</v>
      </c>
      <c r="O23" s="257">
        <f t="shared" si="19"/>
        <v>100</v>
      </c>
      <c r="P23">
        <v>100</v>
      </c>
      <c r="R23">
        <f>M23</f>
        <v>0</v>
      </c>
      <c r="T23" s="257">
        <f t="shared" ref="T23:T32" si="26">SUM(P23:S23)</f>
        <v>100</v>
      </c>
    </row>
    <row r="24" spans="1:20" x14ac:dyDescent="0.45">
      <c r="A24" t="s">
        <v>2641</v>
      </c>
      <c r="B24" t="str">
        <f>VLOOKUP(A24,TaskValues_ref!E:F,2,FALSE)</f>
        <v>Child abuse</v>
      </c>
      <c r="C24" s="64">
        <v>100</v>
      </c>
      <c r="E24" s="257">
        <f t="shared" si="17"/>
        <v>100</v>
      </c>
      <c r="G24">
        <v>100</v>
      </c>
      <c r="I24" s="257">
        <f t="shared" si="18"/>
        <v>100</v>
      </c>
      <c r="L24">
        <v>100</v>
      </c>
      <c r="M24">
        <f>SUMIFS(Cadres_Comprehensive!P:P,Cadres_Comprehensive!A:A,Cadres_Basic!A24)</f>
        <v>0</v>
      </c>
      <c r="O24" s="257">
        <f t="shared" si="19"/>
        <v>100</v>
      </c>
      <c r="Q24">
        <v>100</v>
      </c>
      <c r="R24">
        <f t="shared" ref="R24:R25" si="27">M24</f>
        <v>0</v>
      </c>
      <c r="T24" s="257">
        <f t="shared" ref="T24:T25" si="28">SUM(P24:S24)</f>
        <v>100</v>
      </c>
    </row>
    <row r="25" spans="1:20" x14ac:dyDescent="0.45">
      <c r="A25" t="s">
        <v>2642</v>
      </c>
      <c r="B25" t="str">
        <f>VLOOKUP(A25,TaskValues_ref!E:F,2,FALSE)</f>
        <v>Social services</v>
      </c>
      <c r="C25" s="64">
        <v>100</v>
      </c>
      <c r="E25" s="257">
        <f t="shared" si="17"/>
        <v>100</v>
      </c>
      <c r="G25">
        <v>100</v>
      </c>
      <c r="I25" s="257">
        <f t="shared" si="18"/>
        <v>100</v>
      </c>
      <c r="L25">
        <v>100</v>
      </c>
      <c r="M25">
        <f>SUMIFS(Cadres_Comprehensive!P:P,Cadres_Comprehensive!A:A,Cadres_Basic!A25)</f>
        <v>0</v>
      </c>
      <c r="O25" s="257">
        <f t="shared" si="19"/>
        <v>100</v>
      </c>
      <c r="Q25">
        <v>100</v>
      </c>
      <c r="R25">
        <f t="shared" si="27"/>
        <v>0</v>
      </c>
      <c r="T25" s="257">
        <f t="shared" si="28"/>
        <v>100</v>
      </c>
    </row>
    <row r="26" spans="1:20" x14ac:dyDescent="0.45">
      <c r="A26" t="s">
        <v>2253</v>
      </c>
      <c r="B26" t="str">
        <f>VLOOKUP(A26,TaskValues_ref!E:F,2,FALSE)</f>
        <v>Promotion of immunization</v>
      </c>
      <c r="C26" s="64">
        <v>100</v>
      </c>
      <c r="E26" s="257">
        <f t="shared" si="17"/>
        <v>100</v>
      </c>
      <c r="F26">
        <v>100</v>
      </c>
      <c r="I26" s="257">
        <f t="shared" si="18"/>
        <v>100</v>
      </c>
      <c r="J26">
        <v>50</v>
      </c>
      <c r="K26">
        <v>50</v>
      </c>
      <c r="M26">
        <f>SUMIFS(Cadres_Comprehensive!P:P,Cadres_Comprehensive!A:A,Cadres_Basic!A26)</f>
        <v>0</v>
      </c>
      <c r="O26" s="257">
        <f t="shared" si="19"/>
        <v>100</v>
      </c>
      <c r="P26">
        <v>100</v>
      </c>
      <c r="R26">
        <f>M26</f>
        <v>0</v>
      </c>
      <c r="T26" s="257">
        <f t="shared" si="26"/>
        <v>100</v>
      </c>
    </row>
    <row r="27" spans="1:20" x14ac:dyDescent="0.45">
      <c r="A27" t="s">
        <v>2259</v>
      </c>
      <c r="B27" t="str">
        <f>VLOOKUP(A27,TaskValues_ref!E:F,2,FALSE)</f>
        <v>RI birth</v>
      </c>
      <c r="C27" s="64">
        <v>100</v>
      </c>
      <c r="E27" s="257">
        <f t="shared" si="17"/>
        <v>100</v>
      </c>
      <c r="F27">
        <v>100</v>
      </c>
      <c r="I27" s="257">
        <f t="shared" si="18"/>
        <v>100</v>
      </c>
      <c r="J27">
        <v>50</v>
      </c>
      <c r="K27">
        <v>50</v>
      </c>
      <c r="M27">
        <f>SUMIFS(Cadres_Comprehensive!P:P,Cadres_Comprehensive!A:A,Cadres_Basic!A27)</f>
        <v>0</v>
      </c>
      <c r="O27" s="257">
        <f t="shared" si="19"/>
        <v>100</v>
      </c>
      <c r="P27">
        <v>100</v>
      </c>
      <c r="R27">
        <f t="shared" ref="R27:R31" si="29">M27</f>
        <v>0</v>
      </c>
      <c r="T27" s="257">
        <f t="shared" si="26"/>
        <v>100</v>
      </c>
    </row>
    <row r="28" spans="1:20" x14ac:dyDescent="0.45">
      <c r="A28" t="s">
        <v>2260</v>
      </c>
      <c r="B28" t="str">
        <f>VLOOKUP(A28,TaskValues_ref!E:F,2,FALSE)</f>
        <v>RI 1st year</v>
      </c>
      <c r="C28" s="64">
        <v>100</v>
      </c>
      <c r="E28" s="257">
        <f t="shared" si="17"/>
        <v>100</v>
      </c>
      <c r="F28">
        <v>100</v>
      </c>
      <c r="I28" s="257">
        <f t="shared" si="18"/>
        <v>100</v>
      </c>
      <c r="J28">
        <v>50</v>
      </c>
      <c r="K28">
        <v>50</v>
      </c>
      <c r="M28">
        <f>SUMIFS(Cadres_Comprehensive!P:P,Cadres_Comprehensive!A:A,Cadres_Basic!A28)</f>
        <v>0</v>
      </c>
      <c r="O28" s="257">
        <f t="shared" si="19"/>
        <v>100</v>
      </c>
      <c r="P28">
        <v>100</v>
      </c>
      <c r="R28">
        <f t="shared" si="29"/>
        <v>0</v>
      </c>
      <c r="T28" s="257">
        <f t="shared" si="26"/>
        <v>100</v>
      </c>
    </row>
    <row r="29" spans="1:20" x14ac:dyDescent="0.45">
      <c r="A29" t="s">
        <v>2261</v>
      </c>
      <c r="B29" t="str">
        <f>VLOOKUP(A29,TaskValues_ref!E:F,2,FALSE)</f>
        <v>RI 2nd year</v>
      </c>
      <c r="C29" s="64">
        <v>100</v>
      </c>
      <c r="E29" s="257">
        <f t="shared" si="17"/>
        <v>100</v>
      </c>
      <c r="F29">
        <v>100</v>
      </c>
      <c r="I29" s="257">
        <f t="shared" si="18"/>
        <v>100</v>
      </c>
      <c r="J29">
        <v>50</v>
      </c>
      <c r="K29">
        <v>50</v>
      </c>
      <c r="M29">
        <f>SUMIFS(Cadres_Comprehensive!P:P,Cadres_Comprehensive!A:A,Cadres_Basic!A29)</f>
        <v>0</v>
      </c>
      <c r="O29" s="257">
        <f t="shared" si="19"/>
        <v>100</v>
      </c>
      <c r="P29">
        <v>100</v>
      </c>
      <c r="R29">
        <f t="shared" si="29"/>
        <v>0</v>
      </c>
      <c r="T29" s="257">
        <f t="shared" si="26"/>
        <v>100</v>
      </c>
    </row>
    <row r="30" spans="1:20" x14ac:dyDescent="0.45">
      <c r="A30" t="s">
        <v>2262</v>
      </c>
      <c r="B30" t="str">
        <f>VLOOKUP(A30,TaskValues_ref!E:F,2,FALSE)</f>
        <v>RI Td CBA</v>
      </c>
      <c r="C30" s="64">
        <v>100</v>
      </c>
      <c r="E30" s="257">
        <f t="shared" si="17"/>
        <v>100</v>
      </c>
      <c r="F30">
        <v>100</v>
      </c>
      <c r="I30" s="257">
        <f t="shared" si="18"/>
        <v>100</v>
      </c>
      <c r="J30">
        <v>50</v>
      </c>
      <c r="K30">
        <v>50</v>
      </c>
      <c r="M30">
        <f>SUMIFS(Cadres_Comprehensive!P:P,Cadres_Comprehensive!A:A,Cadres_Basic!A30)</f>
        <v>0</v>
      </c>
      <c r="O30" s="257">
        <f t="shared" si="19"/>
        <v>100</v>
      </c>
      <c r="P30">
        <v>100</v>
      </c>
      <c r="R30">
        <f t="shared" si="29"/>
        <v>0</v>
      </c>
      <c r="T30" s="257">
        <f t="shared" si="26"/>
        <v>100</v>
      </c>
    </row>
    <row r="31" spans="1:20" x14ac:dyDescent="0.45">
      <c r="A31" t="s">
        <v>2254</v>
      </c>
      <c r="B31" t="str">
        <f>VLOOKUP(A31,TaskValues_ref!E:F,2,FALSE)</f>
        <v>SIAs</v>
      </c>
      <c r="C31" s="64">
        <v>100</v>
      </c>
      <c r="E31" s="257">
        <f t="shared" si="17"/>
        <v>100</v>
      </c>
      <c r="F31">
        <v>100</v>
      </c>
      <c r="I31" s="257">
        <f t="shared" si="18"/>
        <v>100</v>
      </c>
      <c r="J31">
        <v>50</v>
      </c>
      <c r="K31">
        <v>50</v>
      </c>
      <c r="M31">
        <f>SUMIFS(Cadres_Comprehensive!P:P,Cadres_Comprehensive!A:A,Cadres_Basic!A31)</f>
        <v>0</v>
      </c>
      <c r="O31" s="257">
        <f t="shared" si="19"/>
        <v>100</v>
      </c>
      <c r="P31">
        <v>100</v>
      </c>
      <c r="R31">
        <f t="shared" si="29"/>
        <v>0</v>
      </c>
      <c r="T31" s="257">
        <f t="shared" si="26"/>
        <v>100</v>
      </c>
    </row>
    <row r="32" spans="1:20" x14ac:dyDescent="0.45">
      <c r="A32" t="s">
        <v>2255</v>
      </c>
      <c r="B32" t="str">
        <f>VLOOKUP(A32,TaskValues_ref!E:F,2,FALSE)</f>
        <v>RI adverse effects</v>
      </c>
      <c r="C32" s="64">
        <v>100</v>
      </c>
      <c r="E32" s="257">
        <f t="shared" si="17"/>
        <v>100</v>
      </c>
      <c r="F32">
        <v>100</v>
      </c>
      <c r="I32" s="257">
        <f t="shared" si="18"/>
        <v>100</v>
      </c>
      <c r="J32">
        <v>50</v>
      </c>
      <c r="K32">
        <v>50</v>
      </c>
      <c r="M32">
        <f>SUMIFS(Cadres_Comprehensive!P:P,Cadres_Comprehensive!A:A,Cadres_Basic!A32)</f>
        <v>0</v>
      </c>
      <c r="O32" s="257">
        <f t="shared" si="19"/>
        <v>100</v>
      </c>
      <c r="P32">
        <v>100</v>
      </c>
      <c r="R32">
        <f>M32</f>
        <v>0</v>
      </c>
      <c r="T32" s="257">
        <f t="shared" si="26"/>
        <v>100</v>
      </c>
    </row>
    <row r="33" spans="1:20" x14ac:dyDescent="0.45">
      <c r="A33" t="s">
        <v>2256</v>
      </c>
      <c r="B33" t="str">
        <f>VLOOKUP(A33,TaskValues_ref!E:F,2,FALSE)</f>
        <v>Outbreak detection &amp; response</v>
      </c>
      <c r="C33" s="64">
        <v>100</v>
      </c>
      <c r="E33" s="257">
        <f t="shared" ref="E33" si="30">SUM(C33:D33)</f>
        <v>100</v>
      </c>
      <c r="F33">
        <v>100</v>
      </c>
      <c r="I33" s="257">
        <f t="shared" ref="I33" si="31">SUM(F33:H33)</f>
        <v>100</v>
      </c>
      <c r="J33">
        <v>50</v>
      </c>
      <c r="K33">
        <v>50</v>
      </c>
      <c r="M33">
        <f>SUMIFS(Cadres_Comprehensive!P:P,Cadres_Comprehensive!A:A,Cadres_Basic!A33)</f>
        <v>0</v>
      </c>
      <c r="O33" s="257">
        <f t="shared" ref="O33" si="32">SUM(J33:N33)</f>
        <v>100</v>
      </c>
      <c r="P33">
        <v>100</v>
      </c>
      <c r="R33">
        <f>M33</f>
        <v>0</v>
      </c>
      <c r="T33" s="257">
        <f t="shared" ref="T33" si="33">SUM(P33:S33)</f>
        <v>100</v>
      </c>
    </row>
    <row r="34" spans="1:20" x14ac:dyDescent="0.45">
      <c r="A34" t="s">
        <v>2257</v>
      </c>
      <c r="B34" t="str">
        <f>VLOOKUP(A34,TaskValues_ref!E:F,2,FALSE)</f>
        <v>Mobiliation &amp; promotion of EPI</v>
      </c>
      <c r="C34" s="64">
        <v>100</v>
      </c>
      <c r="E34" s="257">
        <f t="shared" ref="E34:E54" si="34">SUM(C34:D34)</f>
        <v>100</v>
      </c>
      <c r="F34">
        <v>100</v>
      </c>
      <c r="I34" s="257">
        <f t="shared" ref="I34:I51" si="35">SUM(F34:H34)</f>
        <v>100</v>
      </c>
      <c r="J34">
        <v>50</v>
      </c>
      <c r="K34">
        <v>50</v>
      </c>
      <c r="M34">
        <f>SUMIFS(Cadres_Comprehensive!P:P,Cadres_Comprehensive!A:A,Cadres_Basic!A34)</f>
        <v>0</v>
      </c>
      <c r="O34" s="257">
        <f t="shared" ref="O34:O51" si="36">SUM(J34:N34)</f>
        <v>100</v>
      </c>
      <c r="P34">
        <v>100</v>
      </c>
      <c r="R34">
        <f>M34</f>
        <v>0</v>
      </c>
      <c r="T34" s="257">
        <f t="shared" si="3"/>
        <v>100</v>
      </c>
    </row>
    <row r="35" spans="1:20" x14ac:dyDescent="0.45">
      <c r="A35" t="s">
        <v>2258</v>
      </c>
      <c r="B35" t="str">
        <f>VLOOKUP(A35,TaskValues_ref!E:F,2,FALSE)</f>
        <v>VPD surveillance</v>
      </c>
      <c r="C35" s="64">
        <v>100</v>
      </c>
      <c r="E35" s="257">
        <f t="shared" si="34"/>
        <v>100</v>
      </c>
      <c r="F35">
        <v>100</v>
      </c>
      <c r="I35" s="257">
        <f t="shared" si="35"/>
        <v>100</v>
      </c>
      <c r="J35">
        <v>50</v>
      </c>
      <c r="K35">
        <v>50</v>
      </c>
      <c r="M35">
        <f>SUMIFS(Cadres_Comprehensive!P:P,Cadres_Comprehensive!A:A,Cadres_Basic!A35)</f>
        <v>0</v>
      </c>
      <c r="O35" s="257">
        <f t="shared" si="36"/>
        <v>100</v>
      </c>
      <c r="P35">
        <v>100</v>
      </c>
      <c r="R35">
        <f>M35</f>
        <v>0</v>
      </c>
      <c r="T35" s="257">
        <f t="shared" si="3"/>
        <v>100</v>
      </c>
    </row>
    <row r="36" spans="1:20" x14ac:dyDescent="0.45">
      <c r="A36" t="s">
        <v>2293</v>
      </c>
      <c r="B36" t="str">
        <f>VLOOKUP(A36,TaskValues_ref!E:F,2,FALSE)</f>
        <v>FP consult first time</v>
      </c>
      <c r="C36" s="64">
        <v>100</v>
      </c>
      <c r="E36" s="257">
        <f t="shared" si="34"/>
        <v>100</v>
      </c>
      <c r="F36">
        <v>50</v>
      </c>
      <c r="G36">
        <v>50</v>
      </c>
      <c r="I36" s="257">
        <f t="shared" si="35"/>
        <v>100</v>
      </c>
      <c r="K36">
        <v>50</v>
      </c>
      <c r="L36">
        <v>50</v>
      </c>
      <c r="M36">
        <f>SUMIFS(Cadres_Comprehensive!P:P,Cadres_Comprehensive!A:A,Cadres_Basic!A36)</f>
        <v>0</v>
      </c>
      <c r="O36" s="257">
        <f t="shared" si="36"/>
        <v>100</v>
      </c>
      <c r="P36">
        <v>50</v>
      </c>
      <c r="Q36">
        <v>50</v>
      </c>
      <c r="R36">
        <f t="shared" si="8"/>
        <v>0</v>
      </c>
      <c r="T36" s="257">
        <f t="shared" ref="T36:T42" si="37">SUM(P36:S36)</f>
        <v>100</v>
      </c>
    </row>
    <row r="37" spans="1:20" x14ac:dyDescent="0.45">
      <c r="A37" t="s">
        <v>2294</v>
      </c>
      <c r="B37" t="str">
        <f>VLOOKUP(A37,TaskValues_ref!E:F,2,FALSE)</f>
        <v>FP consult postpartum</v>
      </c>
      <c r="C37" s="64">
        <v>100</v>
      </c>
      <c r="E37" s="257">
        <f t="shared" si="34"/>
        <v>100</v>
      </c>
      <c r="F37">
        <v>50</v>
      </c>
      <c r="G37">
        <v>50</v>
      </c>
      <c r="I37" s="257">
        <f t="shared" si="35"/>
        <v>100</v>
      </c>
      <c r="K37">
        <v>50</v>
      </c>
      <c r="L37">
        <v>50</v>
      </c>
      <c r="M37">
        <f>SUMIFS(Cadres_Comprehensive!P:P,Cadres_Comprehensive!A:A,Cadres_Basic!A37)</f>
        <v>0</v>
      </c>
      <c r="O37" s="257">
        <f t="shared" si="36"/>
        <v>100</v>
      </c>
      <c r="P37">
        <v>50</v>
      </c>
      <c r="Q37">
        <v>50</v>
      </c>
      <c r="R37">
        <f t="shared" si="8"/>
        <v>0</v>
      </c>
      <c r="T37" s="257">
        <f t="shared" si="37"/>
        <v>100</v>
      </c>
    </row>
    <row r="38" spans="1:20" x14ac:dyDescent="0.45">
      <c r="A38" t="s">
        <v>2295</v>
      </c>
      <c r="B38" t="str">
        <f>VLOOKUP(A38,TaskValues_ref!E:F,2,FALSE)</f>
        <v>FP consult switch</v>
      </c>
      <c r="C38" s="64">
        <v>100</v>
      </c>
      <c r="E38" s="257">
        <f t="shared" si="34"/>
        <v>100</v>
      </c>
      <c r="F38">
        <v>50</v>
      </c>
      <c r="G38">
        <v>50</v>
      </c>
      <c r="I38" s="257">
        <f t="shared" si="35"/>
        <v>100</v>
      </c>
      <c r="K38">
        <v>50</v>
      </c>
      <c r="L38">
        <v>50</v>
      </c>
      <c r="M38">
        <f>SUMIFS(Cadres_Comprehensive!P:P,Cadres_Comprehensive!A:A,Cadres_Basic!A38)</f>
        <v>0</v>
      </c>
      <c r="O38" s="257">
        <f t="shared" si="36"/>
        <v>100</v>
      </c>
      <c r="P38">
        <v>50</v>
      </c>
      <c r="Q38">
        <v>50</v>
      </c>
      <c r="R38">
        <f t="shared" si="8"/>
        <v>0</v>
      </c>
      <c r="T38" s="257">
        <f t="shared" si="37"/>
        <v>100</v>
      </c>
    </row>
    <row r="39" spans="1:20" x14ac:dyDescent="0.45">
      <c r="A39" t="s">
        <v>2643</v>
      </c>
      <c r="B39" t="str">
        <f>VLOOKUP(A39,TaskValues_ref!E:F,2,FALSE)</f>
        <v>Provision of contraceptives</v>
      </c>
      <c r="C39" s="64">
        <v>100</v>
      </c>
      <c r="E39" s="257">
        <f t="shared" si="34"/>
        <v>100</v>
      </c>
      <c r="F39">
        <v>50</v>
      </c>
      <c r="G39">
        <v>50</v>
      </c>
      <c r="I39" s="257">
        <f t="shared" si="35"/>
        <v>100</v>
      </c>
      <c r="K39">
        <v>50</v>
      </c>
      <c r="L39">
        <v>50</v>
      </c>
      <c r="M39">
        <f>SUMIFS(Cadres_Comprehensive!P:P,Cadres_Comprehensive!A:A,Cadres_Basic!A39)</f>
        <v>0</v>
      </c>
      <c r="O39" s="257">
        <f t="shared" si="36"/>
        <v>100</v>
      </c>
      <c r="P39">
        <v>50</v>
      </c>
      <c r="Q39">
        <v>50</v>
      </c>
      <c r="R39">
        <f t="shared" si="8"/>
        <v>0</v>
      </c>
      <c r="T39" s="257">
        <f t="shared" si="37"/>
        <v>100</v>
      </c>
    </row>
    <row r="40" spans="1:20" x14ac:dyDescent="0.45">
      <c r="A40" t="s">
        <v>2644</v>
      </c>
      <c r="B40" t="str">
        <f>VLOOKUP(A40,TaskValues_ref!E:F,2,FALSE)</f>
        <v>Provision of implants and IUCD</v>
      </c>
      <c r="C40" s="64">
        <v>100</v>
      </c>
      <c r="E40" s="257">
        <f t="shared" si="34"/>
        <v>100</v>
      </c>
      <c r="F40" s="64"/>
      <c r="G40">
        <v>100</v>
      </c>
      <c r="I40" s="257">
        <f t="shared" si="35"/>
        <v>100</v>
      </c>
      <c r="L40">
        <v>100</v>
      </c>
      <c r="M40">
        <f>SUMIFS(Cadres_Comprehensive!P:P,Cadres_Comprehensive!A:A,Cadres_Basic!A40)</f>
        <v>0</v>
      </c>
      <c r="O40" s="257">
        <f t="shared" si="36"/>
        <v>100</v>
      </c>
      <c r="Q40">
        <v>100</v>
      </c>
      <c r="R40">
        <f t="shared" si="8"/>
        <v>0</v>
      </c>
      <c r="T40" s="257">
        <f t="shared" si="37"/>
        <v>100</v>
      </c>
    </row>
    <row r="41" spans="1:20" x14ac:dyDescent="0.45">
      <c r="A41" t="s">
        <v>2646</v>
      </c>
      <c r="B41" t="str">
        <f>VLOOKUP(A41,TaskValues_ref!E:F,2,FALSE)</f>
        <v>Psycho-social counseling</v>
      </c>
      <c r="C41" s="64">
        <v>100</v>
      </c>
      <c r="E41" s="257">
        <f t="shared" si="34"/>
        <v>100</v>
      </c>
      <c r="G41">
        <v>100</v>
      </c>
      <c r="I41" s="257">
        <f t="shared" si="35"/>
        <v>100</v>
      </c>
      <c r="L41">
        <v>100</v>
      </c>
      <c r="M41">
        <f>SUMIFS(Cadres_Comprehensive!P:P,Cadres_Comprehensive!A:A,Cadres_Basic!A41)</f>
        <v>0</v>
      </c>
      <c r="O41" s="257">
        <f t="shared" si="36"/>
        <v>100</v>
      </c>
      <c r="Q41">
        <v>100</v>
      </c>
      <c r="R41">
        <f t="shared" ref="R41" si="38">M41</f>
        <v>0</v>
      </c>
      <c r="T41" s="257">
        <f t="shared" ref="T41" si="39">SUM(P41:S41)</f>
        <v>100</v>
      </c>
    </row>
    <row r="42" spans="1:20" x14ac:dyDescent="0.45">
      <c r="A42" t="s">
        <v>2648</v>
      </c>
      <c r="B42" t="str">
        <f>VLOOKUP(A42,TaskValues_ref!E:F,2,FALSE)</f>
        <v>Post-abortion follow-up</v>
      </c>
      <c r="C42" s="64">
        <v>100</v>
      </c>
      <c r="E42" s="257">
        <f t="shared" si="34"/>
        <v>100</v>
      </c>
      <c r="G42">
        <v>100</v>
      </c>
      <c r="I42" s="257">
        <f t="shared" si="35"/>
        <v>100</v>
      </c>
      <c r="L42">
        <v>100</v>
      </c>
      <c r="M42">
        <f>SUMIFS(Cadres_Comprehensive!P:P,Cadres_Comprehensive!A:A,Cadres_Basic!A42)</f>
        <v>0</v>
      </c>
      <c r="O42" s="257">
        <f t="shared" si="36"/>
        <v>100</v>
      </c>
      <c r="Q42">
        <v>100</v>
      </c>
      <c r="R42">
        <f t="shared" si="8"/>
        <v>0</v>
      </c>
      <c r="T42" s="257">
        <f t="shared" si="37"/>
        <v>100</v>
      </c>
    </row>
    <row r="43" spans="1:20" x14ac:dyDescent="0.45">
      <c r="A43" t="s">
        <v>2649</v>
      </c>
      <c r="B43" t="str">
        <f>VLOOKUP(A43,TaskValues_ref!E:F,2,FALSE)</f>
        <v>Education on menstration</v>
      </c>
      <c r="C43" s="64">
        <v>100</v>
      </c>
      <c r="E43" s="257">
        <f t="shared" si="34"/>
        <v>100</v>
      </c>
      <c r="F43">
        <v>100</v>
      </c>
      <c r="I43" s="257">
        <f t="shared" si="35"/>
        <v>100</v>
      </c>
      <c r="J43">
        <v>50</v>
      </c>
      <c r="K43">
        <v>50</v>
      </c>
      <c r="M43">
        <f>SUMIFS(Cadres_Comprehensive!P:P,Cadres_Comprehensive!A:A,Cadres_Basic!A43)</f>
        <v>0</v>
      </c>
      <c r="O43" s="257">
        <f t="shared" si="36"/>
        <v>100</v>
      </c>
      <c r="P43">
        <v>100</v>
      </c>
      <c r="R43">
        <f>M43</f>
        <v>0</v>
      </c>
      <c r="T43" s="257">
        <f t="shared" ref="T43" si="40">SUM(P43:S43)</f>
        <v>100</v>
      </c>
    </row>
    <row r="44" spans="1:20" x14ac:dyDescent="0.45">
      <c r="A44" t="s">
        <v>2650</v>
      </c>
      <c r="B44" t="str">
        <f>VLOOKUP(A44,TaskValues_ref!E:F,2,FALSE)</f>
        <v>Treatment of menstrual problems</v>
      </c>
      <c r="C44" s="64">
        <v>100</v>
      </c>
      <c r="E44" s="257">
        <f t="shared" si="34"/>
        <v>100</v>
      </c>
      <c r="G44">
        <v>100</v>
      </c>
      <c r="I44" s="257">
        <f t="shared" ref="I44" si="41">SUM(F44:H44)</f>
        <v>100</v>
      </c>
      <c r="L44">
        <v>100</v>
      </c>
      <c r="M44">
        <f>SUMIFS(Cadres_Comprehensive!P:P,Cadres_Comprehensive!A:A,Cadres_Basic!A44)</f>
        <v>0</v>
      </c>
      <c r="O44" s="257">
        <f t="shared" ref="O44" si="42">SUM(J44:N44)</f>
        <v>100</v>
      </c>
      <c r="Q44">
        <v>100</v>
      </c>
      <c r="R44">
        <f t="shared" ref="R44" si="43">M44</f>
        <v>0</v>
      </c>
      <c r="T44" s="257">
        <f t="shared" ref="T44" si="44">SUM(P44:S44)</f>
        <v>100</v>
      </c>
    </row>
    <row r="45" spans="1:20" x14ac:dyDescent="0.45">
      <c r="A45" t="s">
        <v>2651</v>
      </c>
      <c r="B45" t="str">
        <f>VLOOKUP(A45,TaskValues_ref!E:F,2,FALSE)</f>
        <v>Promote self-breast exam</v>
      </c>
      <c r="C45" s="64">
        <v>100</v>
      </c>
      <c r="E45" s="257">
        <f t="shared" si="34"/>
        <v>100</v>
      </c>
      <c r="F45">
        <v>100</v>
      </c>
      <c r="I45" s="257">
        <f t="shared" si="35"/>
        <v>100</v>
      </c>
      <c r="J45">
        <v>50</v>
      </c>
      <c r="K45">
        <v>50</v>
      </c>
      <c r="M45">
        <f>SUMIFS(Cadres_Comprehensive!P:P,Cadres_Comprehensive!A:A,Cadres_Basic!A45)</f>
        <v>0</v>
      </c>
      <c r="O45" s="257">
        <f t="shared" si="36"/>
        <v>100</v>
      </c>
      <c r="P45">
        <v>100</v>
      </c>
      <c r="R45">
        <f>M45</f>
        <v>0</v>
      </c>
      <c r="T45" s="257">
        <f t="shared" ref="T45:T47" si="45">SUM(P45:S45)</f>
        <v>100</v>
      </c>
    </row>
    <row r="46" spans="1:20" x14ac:dyDescent="0.45">
      <c r="A46" t="s">
        <v>2652</v>
      </c>
      <c r="B46" t="str">
        <f>VLOOKUP(A46,TaskValues_ref!E:F,2,FALSE)</f>
        <v>HPV vacination</v>
      </c>
      <c r="C46" s="64">
        <v>100</v>
      </c>
      <c r="E46" s="257">
        <f t="shared" si="34"/>
        <v>100</v>
      </c>
      <c r="F46">
        <v>100</v>
      </c>
      <c r="I46" s="257">
        <f t="shared" si="35"/>
        <v>100</v>
      </c>
      <c r="J46">
        <v>50</v>
      </c>
      <c r="K46">
        <v>50</v>
      </c>
      <c r="M46">
        <f>SUMIFS(Cadres_Comprehensive!P:P,Cadres_Comprehensive!A:A,Cadres_Basic!A46)</f>
        <v>0</v>
      </c>
      <c r="O46" s="257">
        <f t="shared" si="36"/>
        <v>100</v>
      </c>
      <c r="P46">
        <v>100</v>
      </c>
      <c r="R46">
        <f>M46</f>
        <v>0</v>
      </c>
      <c r="T46" s="257">
        <f t="shared" si="45"/>
        <v>100</v>
      </c>
    </row>
    <row r="47" spans="1:20" x14ac:dyDescent="0.45">
      <c r="A47" t="s">
        <v>2653</v>
      </c>
      <c r="B47" t="str">
        <f>VLOOKUP(A47,TaskValues_ref!E:F,2,FALSE)</f>
        <v>Education on health &amp; wellbeing</v>
      </c>
      <c r="C47" s="64">
        <v>100</v>
      </c>
      <c r="E47" s="257">
        <f t="shared" si="34"/>
        <v>100</v>
      </c>
      <c r="F47">
        <v>100</v>
      </c>
      <c r="I47" s="257">
        <f t="shared" si="35"/>
        <v>100</v>
      </c>
      <c r="J47">
        <v>50</v>
      </c>
      <c r="K47">
        <v>50</v>
      </c>
      <c r="M47">
        <f>SUMIFS(Cadres_Comprehensive!P:P,Cadres_Comprehensive!A:A,Cadres_Basic!A47)</f>
        <v>0</v>
      </c>
      <c r="O47" s="257">
        <f t="shared" si="36"/>
        <v>100</v>
      </c>
      <c r="P47">
        <v>100</v>
      </c>
      <c r="R47">
        <f>M47</f>
        <v>0</v>
      </c>
      <c r="T47" s="257">
        <f t="shared" si="45"/>
        <v>100</v>
      </c>
    </row>
    <row r="48" spans="1:20" x14ac:dyDescent="0.45">
      <c r="A48" t="s">
        <v>2654</v>
      </c>
      <c r="B48" t="str">
        <f>VLOOKUP(A48,TaskValues_ref!E:F,2,FALSE)</f>
        <v>Adolescent SRH</v>
      </c>
      <c r="C48" s="64">
        <v>100</v>
      </c>
      <c r="E48" s="257">
        <f t="shared" si="34"/>
        <v>100</v>
      </c>
      <c r="G48">
        <v>100</v>
      </c>
      <c r="I48" s="257">
        <f t="shared" ref="I48:I49" si="46">SUM(F48:H48)</f>
        <v>100</v>
      </c>
      <c r="L48">
        <v>100</v>
      </c>
      <c r="M48">
        <f>SUMIFS(Cadres_Comprehensive!P:P,Cadres_Comprehensive!A:A,Cadres_Basic!A48)</f>
        <v>0</v>
      </c>
      <c r="O48" s="257">
        <f t="shared" ref="O48:O49" si="47">SUM(J48:N48)</f>
        <v>100</v>
      </c>
      <c r="Q48">
        <v>100</v>
      </c>
      <c r="R48">
        <f t="shared" ref="R48:R49" si="48">M48</f>
        <v>0</v>
      </c>
      <c r="T48" s="257">
        <f t="shared" ref="T48:T49" si="49">SUM(P48:S48)</f>
        <v>100</v>
      </c>
    </row>
    <row r="49" spans="1:20" x14ac:dyDescent="0.45">
      <c r="A49" t="s">
        <v>2655</v>
      </c>
      <c r="B49" t="str">
        <f>VLOOKUP(A49,TaskValues_ref!E:F,2,FALSE)</f>
        <v>Provision of adolescent-friendly contraceptives</v>
      </c>
      <c r="C49" s="64">
        <v>100</v>
      </c>
      <c r="E49" s="257">
        <f t="shared" si="34"/>
        <v>100</v>
      </c>
      <c r="G49">
        <v>100</v>
      </c>
      <c r="I49" s="257">
        <f t="shared" si="46"/>
        <v>100</v>
      </c>
      <c r="L49">
        <v>100</v>
      </c>
      <c r="M49">
        <f>SUMIFS(Cadres_Comprehensive!P:P,Cadres_Comprehensive!A:A,Cadres_Basic!A49)</f>
        <v>0</v>
      </c>
      <c r="O49" s="257">
        <f t="shared" si="47"/>
        <v>100</v>
      </c>
      <c r="Q49">
        <v>100</v>
      </c>
      <c r="R49">
        <f t="shared" si="48"/>
        <v>0</v>
      </c>
      <c r="T49" s="257">
        <f t="shared" si="49"/>
        <v>100</v>
      </c>
    </row>
    <row r="50" spans="1:20" x14ac:dyDescent="0.45">
      <c r="A50" t="s">
        <v>2656</v>
      </c>
      <c r="B50" t="str">
        <f>VLOOKUP(A50,TaskValues_ref!E:F,2,FALSE)</f>
        <v>Education about GBV</v>
      </c>
      <c r="C50" s="64">
        <v>100</v>
      </c>
      <c r="E50" s="257">
        <f t="shared" si="34"/>
        <v>100</v>
      </c>
      <c r="F50">
        <v>100</v>
      </c>
      <c r="I50" s="257">
        <f t="shared" si="35"/>
        <v>100</v>
      </c>
      <c r="J50">
        <v>50</v>
      </c>
      <c r="K50">
        <v>50</v>
      </c>
      <c r="M50">
        <f>SUMIFS(Cadres_Comprehensive!P:P,Cadres_Comprehensive!A:A,Cadres_Basic!A50)</f>
        <v>0</v>
      </c>
      <c r="O50" s="257">
        <f t="shared" si="36"/>
        <v>100</v>
      </c>
      <c r="P50">
        <v>100</v>
      </c>
      <c r="R50">
        <f>M50</f>
        <v>0</v>
      </c>
      <c r="T50" s="257">
        <f t="shared" ref="T50:T51" si="50">SUM(P50:S50)</f>
        <v>100</v>
      </c>
    </row>
    <row r="51" spans="1:20" x14ac:dyDescent="0.45">
      <c r="A51" t="s">
        <v>2657</v>
      </c>
      <c r="B51" t="str">
        <f>VLOOKUP(A51,TaskValues_ref!E:F,2,FALSE)</f>
        <v>Community dialogue about GBV</v>
      </c>
      <c r="C51" s="64">
        <v>100</v>
      </c>
      <c r="E51" s="257">
        <f t="shared" si="34"/>
        <v>100</v>
      </c>
      <c r="F51">
        <v>100</v>
      </c>
      <c r="I51" s="257">
        <f t="shared" si="35"/>
        <v>100</v>
      </c>
      <c r="J51">
        <v>50</v>
      </c>
      <c r="K51">
        <v>50</v>
      </c>
      <c r="M51">
        <f>SUMIFS(Cadres_Comprehensive!P:P,Cadres_Comprehensive!A:A,Cadres_Basic!A51)</f>
        <v>0</v>
      </c>
      <c r="O51" s="257">
        <f t="shared" si="36"/>
        <v>100</v>
      </c>
      <c r="P51">
        <v>100</v>
      </c>
      <c r="R51">
        <f>M51</f>
        <v>0</v>
      </c>
      <c r="T51" s="257">
        <f t="shared" si="50"/>
        <v>100</v>
      </c>
    </row>
    <row r="52" spans="1:20" x14ac:dyDescent="0.45">
      <c r="A52" t="s">
        <v>2658</v>
      </c>
      <c r="B52" t="str">
        <f>VLOOKUP(A52,TaskValues_ref!E:F,2,FALSE)</f>
        <v>Pregnancy test for GBV</v>
      </c>
      <c r="C52" s="64">
        <v>100</v>
      </c>
      <c r="E52" s="257">
        <f t="shared" si="34"/>
        <v>100</v>
      </c>
      <c r="G52">
        <v>100</v>
      </c>
      <c r="I52" s="257">
        <f t="shared" ref="I52:I56" si="51">SUM(F52:H52)</f>
        <v>100</v>
      </c>
      <c r="L52">
        <v>100</v>
      </c>
      <c r="M52">
        <f>SUMIFS(Cadres_Comprehensive!P:P,Cadres_Comprehensive!A:A,Cadres_Basic!A52)</f>
        <v>0</v>
      </c>
      <c r="O52" s="257">
        <f t="shared" ref="O52:O56" si="52">SUM(J52:N52)</f>
        <v>100</v>
      </c>
      <c r="Q52">
        <v>100</v>
      </c>
      <c r="R52">
        <f t="shared" ref="R52:R56" si="53">M52</f>
        <v>0</v>
      </c>
      <c r="T52" s="257">
        <f t="shared" ref="T52:T56" si="54">SUM(P52:S52)</f>
        <v>100</v>
      </c>
    </row>
    <row r="53" spans="1:20" x14ac:dyDescent="0.45">
      <c r="A53" t="s">
        <v>2659</v>
      </c>
      <c r="B53" t="str">
        <f>VLOOKUP(A53,TaskValues_ref!E:F,2,FALSE)</f>
        <v>HIV test for GBV</v>
      </c>
      <c r="C53" s="64">
        <v>100</v>
      </c>
      <c r="E53" s="257">
        <f t="shared" si="34"/>
        <v>100</v>
      </c>
      <c r="G53">
        <v>100</v>
      </c>
      <c r="I53" s="257">
        <f t="shared" si="51"/>
        <v>100</v>
      </c>
      <c r="L53">
        <v>100</v>
      </c>
      <c r="M53">
        <f>SUMIFS(Cadres_Comprehensive!P:P,Cadres_Comprehensive!A:A,Cadres_Basic!A53)</f>
        <v>0</v>
      </c>
      <c r="O53" s="257">
        <f t="shared" si="52"/>
        <v>100</v>
      </c>
      <c r="Q53">
        <v>100</v>
      </c>
      <c r="R53">
        <f t="shared" si="53"/>
        <v>0</v>
      </c>
      <c r="T53" s="257">
        <f t="shared" si="54"/>
        <v>100</v>
      </c>
    </row>
    <row r="54" spans="1:20" x14ac:dyDescent="0.45">
      <c r="A54" t="s">
        <v>2660</v>
      </c>
      <c r="B54" t="str">
        <f>VLOOKUP(A54,TaskValues_ref!E:F,2,FALSE)</f>
        <v>Emergency GBV response</v>
      </c>
      <c r="C54" s="64">
        <v>100</v>
      </c>
      <c r="E54" s="257">
        <f t="shared" si="34"/>
        <v>100</v>
      </c>
      <c r="G54">
        <v>100</v>
      </c>
      <c r="I54" s="257">
        <f t="shared" si="51"/>
        <v>100</v>
      </c>
      <c r="L54">
        <v>100</v>
      </c>
      <c r="M54">
        <f>SUMIFS(Cadres_Comprehensive!P:P,Cadres_Comprehensive!A:A,Cadres_Basic!A54)</f>
        <v>0</v>
      </c>
      <c r="O54" s="257">
        <f t="shared" si="52"/>
        <v>100</v>
      </c>
      <c r="Q54">
        <v>100</v>
      </c>
      <c r="R54">
        <f t="shared" si="53"/>
        <v>0</v>
      </c>
      <c r="T54" s="257">
        <f t="shared" si="54"/>
        <v>100</v>
      </c>
    </row>
    <row r="55" spans="1:20" x14ac:dyDescent="0.45">
      <c r="A55" t="s">
        <v>2661</v>
      </c>
      <c r="B55" t="str">
        <f>VLOOKUP(A55,TaskValues_ref!E:F,2,FALSE)</f>
        <v>Medical treatment for GBV</v>
      </c>
      <c r="C55" s="64">
        <v>100</v>
      </c>
      <c r="E55" s="257">
        <f t="shared" ref="E55:E87" si="55">SUM(C55:D55)</f>
        <v>100</v>
      </c>
      <c r="G55">
        <v>100</v>
      </c>
      <c r="I55" s="257">
        <f t="shared" si="51"/>
        <v>100</v>
      </c>
      <c r="L55">
        <v>100</v>
      </c>
      <c r="M55">
        <f>SUMIFS(Cadres_Comprehensive!P:P,Cadres_Comprehensive!A:A,Cadres_Basic!A55)</f>
        <v>0</v>
      </c>
      <c r="O55" s="257">
        <f t="shared" si="52"/>
        <v>100</v>
      </c>
      <c r="Q55">
        <v>100</v>
      </c>
      <c r="R55">
        <f t="shared" si="53"/>
        <v>0</v>
      </c>
      <c r="T55" s="257">
        <f t="shared" si="54"/>
        <v>100</v>
      </c>
    </row>
    <row r="56" spans="1:20" x14ac:dyDescent="0.45">
      <c r="A56" t="s">
        <v>2662</v>
      </c>
      <c r="B56" t="str">
        <f>VLOOKUP(A56,TaskValues_ref!E:F,2,FALSE)</f>
        <v>Psycho-social support for GBV</v>
      </c>
      <c r="C56" s="64">
        <v>100</v>
      </c>
      <c r="E56" s="257">
        <f t="shared" si="55"/>
        <v>100</v>
      </c>
      <c r="G56">
        <v>100</v>
      </c>
      <c r="I56" s="257">
        <f t="shared" si="51"/>
        <v>100</v>
      </c>
      <c r="L56">
        <v>100</v>
      </c>
      <c r="M56">
        <f>SUMIFS(Cadres_Comprehensive!P:P,Cadres_Comprehensive!A:A,Cadres_Basic!A56)</f>
        <v>0</v>
      </c>
      <c r="O56" s="257">
        <f t="shared" si="52"/>
        <v>100</v>
      </c>
      <c r="Q56">
        <v>100</v>
      </c>
      <c r="R56">
        <f t="shared" si="53"/>
        <v>0</v>
      </c>
      <c r="T56" s="257">
        <f t="shared" si="54"/>
        <v>100</v>
      </c>
    </row>
    <row r="57" spans="1:20" x14ac:dyDescent="0.45">
      <c r="A57" t="s">
        <v>2663</v>
      </c>
      <c r="B57" t="str">
        <f>VLOOKUP(A57,TaskValues_ref!E:F,2,FALSE)</f>
        <v>Adovacy against HTP</v>
      </c>
      <c r="C57" s="64">
        <v>100</v>
      </c>
      <c r="E57" s="257">
        <f t="shared" si="55"/>
        <v>100</v>
      </c>
      <c r="F57">
        <v>100</v>
      </c>
      <c r="I57" s="257">
        <f t="shared" ref="I57:I87" si="56">SUM(F57:H57)</f>
        <v>100</v>
      </c>
      <c r="J57">
        <v>50</v>
      </c>
      <c r="K57">
        <v>50</v>
      </c>
      <c r="M57">
        <f>SUMIFS(Cadres_Comprehensive!P:P,Cadres_Comprehensive!A:A,Cadres_Basic!A57)</f>
        <v>0</v>
      </c>
      <c r="O57" s="257">
        <f t="shared" ref="O57:O87" si="57">SUM(J57:N57)</f>
        <v>100</v>
      </c>
      <c r="P57">
        <v>100</v>
      </c>
      <c r="R57">
        <f>M57</f>
        <v>0</v>
      </c>
      <c r="T57" s="257">
        <f t="shared" ref="T57:T58" si="58">SUM(P57:S57)</f>
        <v>100</v>
      </c>
    </row>
    <row r="58" spans="1:20" x14ac:dyDescent="0.45">
      <c r="A58" t="s">
        <v>2664</v>
      </c>
      <c r="B58" t="str">
        <f>VLOOKUP(A58,TaskValues_ref!E:F,2,FALSE)</f>
        <v>Prevention of teen pregnancy</v>
      </c>
      <c r="C58" s="64">
        <v>100</v>
      </c>
      <c r="E58" s="257">
        <f t="shared" si="55"/>
        <v>100</v>
      </c>
      <c r="F58">
        <v>100</v>
      </c>
      <c r="I58" s="257">
        <f t="shared" si="56"/>
        <v>100</v>
      </c>
      <c r="J58">
        <v>50</v>
      </c>
      <c r="K58">
        <v>50</v>
      </c>
      <c r="M58">
        <f>SUMIFS(Cadres_Comprehensive!P:P,Cadres_Comprehensive!A:A,Cadres_Basic!A58)</f>
        <v>0</v>
      </c>
      <c r="O58" s="257">
        <f t="shared" si="57"/>
        <v>100</v>
      </c>
      <c r="P58">
        <v>100</v>
      </c>
      <c r="R58">
        <f>M58</f>
        <v>0</v>
      </c>
      <c r="T58" s="257">
        <f t="shared" si="58"/>
        <v>100</v>
      </c>
    </row>
    <row r="59" spans="1:20" x14ac:dyDescent="0.45">
      <c r="A59" t="s">
        <v>2665</v>
      </c>
      <c r="B59" t="str">
        <f>VLOOKUP(A59,TaskValues_ref!E:F,2,FALSE)</f>
        <v>Folic acid</v>
      </c>
      <c r="C59" s="64">
        <v>100</v>
      </c>
      <c r="E59" s="257">
        <f t="shared" si="55"/>
        <v>100</v>
      </c>
      <c r="G59">
        <v>100</v>
      </c>
      <c r="I59" s="257">
        <f t="shared" si="56"/>
        <v>100</v>
      </c>
      <c r="L59">
        <v>100</v>
      </c>
      <c r="M59">
        <f>SUMIFS(Cadres_Comprehensive!P:P,Cadres_Comprehensive!A:A,Cadres_Basic!A59)</f>
        <v>0</v>
      </c>
      <c r="O59" s="257">
        <f t="shared" si="57"/>
        <v>100</v>
      </c>
      <c r="Q59">
        <v>100</v>
      </c>
      <c r="R59">
        <f t="shared" ref="R59" si="59">M59</f>
        <v>0</v>
      </c>
      <c r="T59" s="257">
        <f t="shared" ref="T59" si="60">SUM(P59:S59)</f>
        <v>100</v>
      </c>
    </row>
    <row r="60" spans="1:20" x14ac:dyDescent="0.45">
      <c r="A60" t="s">
        <v>2666</v>
      </c>
      <c r="B60" t="str">
        <f>VLOOKUP(A60,TaskValues_ref!E:F,2,FALSE)</f>
        <v>SRH counseling for men</v>
      </c>
      <c r="C60" s="64">
        <v>100</v>
      </c>
      <c r="E60" s="257">
        <f t="shared" si="55"/>
        <v>100</v>
      </c>
      <c r="G60">
        <v>100</v>
      </c>
      <c r="I60" s="257">
        <f t="shared" si="56"/>
        <v>100</v>
      </c>
      <c r="L60">
        <v>100</v>
      </c>
      <c r="M60">
        <f>SUMIFS(Cadres_Comprehensive!P:P,Cadres_Comprehensive!A:A,Cadres_Basic!A60)</f>
        <v>0</v>
      </c>
      <c r="O60" s="257">
        <f t="shared" si="57"/>
        <v>100</v>
      </c>
      <c r="Q60">
        <v>100</v>
      </c>
      <c r="R60">
        <f t="shared" ref="R60" si="61">M60</f>
        <v>0</v>
      </c>
      <c r="T60" s="257">
        <f t="shared" ref="T60" si="62">SUM(P60:S60)</f>
        <v>100</v>
      </c>
    </row>
    <row r="61" spans="1:20" x14ac:dyDescent="0.45">
      <c r="A61" t="s">
        <v>2667</v>
      </c>
      <c r="B61" t="str">
        <f>VLOOKUP(A61,TaskValues_ref!E:F,2,FALSE)</f>
        <v>Promote breast feeding</v>
      </c>
      <c r="C61" s="64">
        <v>100</v>
      </c>
      <c r="E61" s="257">
        <f t="shared" si="55"/>
        <v>100</v>
      </c>
      <c r="F61">
        <v>100</v>
      </c>
      <c r="I61" s="257">
        <f t="shared" si="56"/>
        <v>100</v>
      </c>
      <c r="J61">
        <v>50</v>
      </c>
      <c r="K61">
        <v>50</v>
      </c>
      <c r="M61">
        <f>SUMIFS(Cadres_Comprehensive!P:P,Cadres_Comprehensive!A:A,Cadres_Basic!A61)</f>
        <v>0</v>
      </c>
      <c r="O61" s="257">
        <f t="shared" si="57"/>
        <v>100</v>
      </c>
      <c r="P61">
        <v>100</v>
      </c>
      <c r="R61">
        <f>M61</f>
        <v>0</v>
      </c>
      <c r="T61" s="257">
        <f t="shared" ref="T61:T64" si="63">SUM(P61:S61)</f>
        <v>100</v>
      </c>
    </row>
    <row r="62" spans="1:20" x14ac:dyDescent="0.45">
      <c r="A62" t="s">
        <v>2668</v>
      </c>
      <c r="B62" t="str">
        <f>VLOOKUP(A62,TaskValues_ref!E:F,2,FALSE)</f>
        <v>Nutritional screening during pregnancy</v>
      </c>
      <c r="C62" s="64">
        <v>100</v>
      </c>
      <c r="E62" s="257">
        <f t="shared" si="55"/>
        <v>100</v>
      </c>
      <c r="F62">
        <v>100</v>
      </c>
      <c r="I62" s="257">
        <f t="shared" si="56"/>
        <v>100</v>
      </c>
      <c r="J62">
        <v>50</v>
      </c>
      <c r="K62">
        <v>50</v>
      </c>
      <c r="M62">
        <f>SUMIFS(Cadres_Comprehensive!P:P,Cadres_Comprehensive!A:A,Cadres_Basic!A62)</f>
        <v>0</v>
      </c>
      <c r="O62" s="257">
        <f t="shared" si="57"/>
        <v>100</v>
      </c>
      <c r="P62">
        <v>100</v>
      </c>
      <c r="R62">
        <f>M62</f>
        <v>0</v>
      </c>
      <c r="T62" s="257">
        <f t="shared" si="63"/>
        <v>100</v>
      </c>
    </row>
    <row r="63" spans="1:20" x14ac:dyDescent="0.45">
      <c r="A63" t="s">
        <v>2669</v>
      </c>
      <c r="B63" t="str">
        <f>VLOOKUP(A63,TaskValues_ref!E:F,2,FALSE)</f>
        <v>Monthly monitoring</v>
      </c>
      <c r="C63" s="64">
        <v>100</v>
      </c>
      <c r="E63" s="257">
        <f t="shared" si="55"/>
        <v>100</v>
      </c>
      <c r="F63">
        <v>100</v>
      </c>
      <c r="I63" s="257">
        <f t="shared" si="56"/>
        <v>100</v>
      </c>
      <c r="J63">
        <v>50</v>
      </c>
      <c r="K63">
        <v>50</v>
      </c>
      <c r="M63">
        <f>SUMIFS(Cadres_Comprehensive!P:P,Cadres_Comprehensive!A:A,Cadres_Basic!A63)</f>
        <v>0</v>
      </c>
      <c r="O63" s="257">
        <f t="shared" si="57"/>
        <v>100</v>
      </c>
      <c r="P63">
        <v>100</v>
      </c>
      <c r="R63">
        <f>M63</f>
        <v>0</v>
      </c>
      <c r="T63" s="257">
        <f t="shared" si="63"/>
        <v>100</v>
      </c>
    </row>
    <row r="64" spans="1:20" x14ac:dyDescent="0.45">
      <c r="A64" t="s">
        <v>2670</v>
      </c>
      <c r="B64" t="str">
        <f>VLOOKUP(A64,TaskValues_ref!E:F,2,FALSE)</f>
        <v>MUAC and oedema screening</v>
      </c>
      <c r="C64" s="64">
        <v>100</v>
      </c>
      <c r="E64" s="257">
        <f t="shared" si="55"/>
        <v>100</v>
      </c>
      <c r="F64">
        <v>100</v>
      </c>
      <c r="I64" s="257">
        <f t="shared" si="56"/>
        <v>100</v>
      </c>
      <c r="J64">
        <v>50</v>
      </c>
      <c r="K64">
        <v>50</v>
      </c>
      <c r="M64">
        <f>SUMIFS(Cadres_Comprehensive!P:P,Cadres_Comprehensive!A:A,Cadres_Basic!A64)</f>
        <v>0</v>
      </c>
      <c r="O64" s="257">
        <f t="shared" si="57"/>
        <v>100</v>
      </c>
      <c r="P64">
        <v>100</v>
      </c>
      <c r="R64">
        <f>M64</f>
        <v>0</v>
      </c>
      <c r="T64" s="257">
        <f t="shared" si="63"/>
        <v>100</v>
      </c>
    </row>
    <row r="65" spans="1:20" x14ac:dyDescent="0.45">
      <c r="A65" t="s">
        <v>2671</v>
      </c>
      <c r="B65" t="str">
        <f>VLOOKUP(A65,TaskValues_ref!E:F,2,FALSE)</f>
        <v>Treat malnourished mothers</v>
      </c>
      <c r="C65" s="64">
        <v>100</v>
      </c>
      <c r="E65" s="257">
        <f t="shared" si="55"/>
        <v>100</v>
      </c>
      <c r="G65">
        <v>100</v>
      </c>
      <c r="I65" s="257">
        <f t="shared" si="56"/>
        <v>100</v>
      </c>
      <c r="L65">
        <v>100</v>
      </c>
      <c r="M65">
        <f>SUMIFS(Cadres_Comprehensive!P:P,Cadres_Comprehensive!A:A,Cadres_Basic!A65)</f>
        <v>0</v>
      </c>
      <c r="O65" s="257">
        <f t="shared" si="57"/>
        <v>100</v>
      </c>
      <c r="Q65">
        <v>100</v>
      </c>
      <c r="R65">
        <f t="shared" ref="R65:R68" si="64">M65</f>
        <v>0</v>
      </c>
      <c r="T65" s="257">
        <f t="shared" ref="T65:T68" si="65">SUM(P65:S65)</f>
        <v>100</v>
      </c>
    </row>
    <row r="66" spans="1:20" x14ac:dyDescent="0.45">
      <c r="A66" t="s">
        <v>2621</v>
      </c>
      <c r="B66" t="str">
        <f>VLOOKUP(A66,TaskValues_ref!E:F,2,FALSE)</f>
        <v>Anaemia severe U5</v>
      </c>
      <c r="C66" s="64">
        <v>100</v>
      </c>
      <c r="E66" s="257">
        <f t="shared" si="55"/>
        <v>100</v>
      </c>
      <c r="G66">
        <v>100</v>
      </c>
      <c r="I66" s="257">
        <f t="shared" si="56"/>
        <v>100</v>
      </c>
      <c r="L66">
        <v>100</v>
      </c>
      <c r="M66">
        <f>SUMIFS(Cadres_Comprehensive!P:P,Cadres_Comprehensive!A:A,Cadres_Basic!A66)</f>
        <v>0</v>
      </c>
      <c r="O66" s="257">
        <f t="shared" si="57"/>
        <v>100</v>
      </c>
      <c r="Q66">
        <v>100</v>
      </c>
      <c r="R66">
        <f t="shared" si="64"/>
        <v>0</v>
      </c>
      <c r="T66" s="257">
        <f t="shared" si="65"/>
        <v>100</v>
      </c>
    </row>
    <row r="67" spans="1:20" x14ac:dyDescent="0.45">
      <c r="A67" t="s">
        <v>2534</v>
      </c>
      <c r="B67" t="str">
        <f>VLOOKUP(A67,TaskValues_ref!E:F,2,FALSE)</f>
        <v>Anaemia severe children</v>
      </c>
      <c r="C67" s="64">
        <v>100</v>
      </c>
      <c r="E67" s="257">
        <f t="shared" si="55"/>
        <v>100</v>
      </c>
      <c r="G67">
        <v>100</v>
      </c>
      <c r="I67" s="257">
        <f t="shared" si="56"/>
        <v>100</v>
      </c>
      <c r="L67">
        <v>100</v>
      </c>
      <c r="M67">
        <f>SUMIFS(Cadres_Comprehensive!P:P,Cadres_Comprehensive!A:A,Cadres_Basic!A67)</f>
        <v>0</v>
      </c>
      <c r="O67" s="257">
        <f t="shared" si="57"/>
        <v>100</v>
      </c>
      <c r="Q67">
        <v>100</v>
      </c>
      <c r="R67">
        <f t="shared" si="64"/>
        <v>0</v>
      </c>
      <c r="T67" s="257">
        <f t="shared" si="65"/>
        <v>100</v>
      </c>
    </row>
    <row r="68" spans="1:20" x14ac:dyDescent="0.45">
      <c r="A68" t="s">
        <v>2535</v>
      </c>
      <c r="B68" t="str">
        <f>VLOOKUP(A68,TaskValues_ref!E:F,2,FALSE)</f>
        <v>Anaemia severe adults</v>
      </c>
      <c r="C68" s="64">
        <v>100</v>
      </c>
      <c r="E68" s="257">
        <f t="shared" si="55"/>
        <v>100</v>
      </c>
      <c r="G68">
        <v>100</v>
      </c>
      <c r="I68" s="257">
        <f t="shared" si="56"/>
        <v>100</v>
      </c>
      <c r="L68">
        <v>100</v>
      </c>
      <c r="M68">
        <f>SUMIFS(Cadres_Comprehensive!P:P,Cadres_Comprehensive!A:A,Cadres_Basic!A68)</f>
        <v>0</v>
      </c>
      <c r="O68" s="257">
        <f t="shared" si="57"/>
        <v>100</v>
      </c>
      <c r="Q68">
        <v>100</v>
      </c>
      <c r="R68">
        <f t="shared" si="64"/>
        <v>0</v>
      </c>
      <c r="T68" s="257">
        <f t="shared" si="65"/>
        <v>100</v>
      </c>
    </row>
    <row r="69" spans="1:20" x14ac:dyDescent="0.45">
      <c r="A69" t="s">
        <v>2672</v>
      </c>
      <c r="B69" t="str">
        <f>VLOOKUP(A69,TaskValues_ref!E:F,2,FALSE)</f>
        <v>Promote nutrition for MNC</v>
      </c>
      <c r="C69" s="64">
        <v>100</v>
      </c>
      <c r="E69" s="257">
        <f t="shared" si="55"/>
        <v>100</v>
      </c>
      <c r="F69">
        <v>100</v>
      </c>
      <c r="I69" s="257">
        <f t="shared" si="56"/>
        <v>100</v>
      </c>
      <c r="J69">
        <v>50</v>
      </c>
      <c r="K69">
        <v>50</v>
      </c>
      <c r="M69">
        <f>SUMIFS(Cadres_Comprehensive!P:P,Cadres_Comprehensive!A:A,Cadres_Basic!A69)</f>
        <v>0</v>
      </c>
      <c r="O69" s="257">
        <f t="shared" si="57"/>
        <v>100</v>
      </c>
      <c r="P69">
        <v>100</v>
      </c>
      <c r="R69">
        <f>M69</f>
        <v>0</v>
      </c>
      <c r="T69" s="257">
        <f t="shared" ref="T69:T71" si="66">SUM(P69:S69)</f>
        <v>100</v>
      </c>
    </row>
    <row r="70" spans="1:20" x14ac:dyDescent="0.45">
      <c r="A70" t="s">
        <v>2673</v>
      </c>
      <c r="B70" t="str">
        <f>VLOOKUP(A70,TaskValues_ref!E:F,2,FALSE)</f>
        <v>Education re nutrition</v>
      </c>
      <c r="C70" s="64">
        <v>100</v>
      </c>
      <c r="E70" s="257">
        <f t="shared" si="55"/>
        <v>100</v>
      </c>
      <c r="F70">
        <v>100</v>
      </c>
      <c r="I70" s="257">
        <f t="shared" si="56"/>
        <v>100</v>
      </c>
      <c r="J70">
        <v>50</v>
      </c>
      <c r="K70">
        <v>50</v>
      </c>
      <c r="M70">
        <f>SUMIFS(Cadres_Comprehensive!P:P,Cadres_Comprehensive!A:A,Cadres_Basic!A70)</f>
        <v>0</v>
      </c>
      <c r="O70" s="257">
        <f t="shared" si="57"/>
        <v>100</v>
      </c>
      <c r="P70">
        <v>100</v>
      </c>
      <c r="R70">
        <f>M70</f>
        <v>0</v>
      </c>
      <c r="T70" s="257">
        <f t="shared" si="66"/>
        <v>100</v>
      </c>
    </row>
    <row r="71" spans="1:20" x14ac:dyDescent="0.45">
      <c r="A71" t="s">
        <v>2674</v>
      </c>
      <c r="B71" t="str">
        <f>VLOOKUP(A71,TaskValues_ref!E:F,2,FALSE)</f>
        <v>Calcium supplementation</v>
      </c>
      <c r="C71" s="64">
        <v>100</v>
      </c>
      <c r="E71" s="257">
        <f t="shared" si="55"/>
        <v>100</v>
      </c>
      <c r="F71">
        <v>100</v>
      </c>
      <c r="I71" s="257">
        <f t="shared" si="56"/>
        <v>100</v>
      </c>
      <c r="J71">
        <v>50</v>
      </c>
      <c r="K71">
        <v>50</v>
      </c>
      <c r="M71">
        <f>SUMIFS(Cadres_Comprehensive!P:P,Cadres_Comprehensive!A:A,Cadres_Basic!A71)</f>
        <v>0</v>
      </c>
      <c r="O71" s="257">
        <f t="shared" si="57"/>
        <v>100</v>
      </c>
      <c r="P71">
        <v>100</v>
      </c>
      <c r="R71">
        <f>M71</f>
        <v>0</v>
      </c>
      <c r="T71" s="257">
        <f t="shared" si="66"/>
        <v>100</v>
      </c>
    </row>
    <row r="72" spans="1:20" x14ac:dyDescent="0.45">
      <c r="A72" t="s">
        <v>2675</v>
      </c>
      <c r="B72" t="str">
        <f>VLOOKUP(A72,TaskValues_ref!E:F,2,FALSE)</f>
        <v>Nutrition for HIV+ women</v>
      </c>
      <c r="C72" s="64">
        <v>100</v>
      </c>
      <c r="E72" s="257">
        <f t="shared" si="55"/>
        <v>100</v>
      </c>
      <c r="F72">
        <v>100</v>
      </c>
      <c r="I72" s="257">
        <f t="shared" si="56"/>
        <v>100</v>
      </c>
      <c r="J72">
        <v>50</v>
      </c>
      <c r="K72">
        <v>50</v>
      </c>
      <c r="M72">
        <f>SUMIFS(Cadres_Comprehensive!P:P,Cadres_Comprehensive!A:A,Cadres_Basic!A72)</f>
        <v>0</v>
      </c>
      <c r="O72" s="257">
        <f t="shared" si="57"/>
        <v>100</v>
      </c>
      <c r="P72">
        <v>100</v>
      </c>
      <c r="R72">
        <f t="shared" ref="R72:R143" si="67">M72</f>
        <v>0</v>
      </c>
      <c r="T72" s="257">
        <f t="shared" ref="T72:T92" si="68">SUM(P72:S72)</f>
        <v>100</v>
      </c>
    </row>
    <row r="73" spans="1:20" x14ac:dyDescent="0.45">
      <c r="A73" t="s">
        <v>2676</v>
      </c>
      <c r="B73" t="str">
        <f>VLOOKUP(A73,TaskValues_ref!E:F,2,FALSE)</f>
        <v>Promote iodized salt &amp; fortified food</v>
      </c>
      <c r="C73" s="64">
        <v>100</v>
      </c>
      <c r="E73" s="257">
        <f t="shared" si="55"/>
        <v>100</v>
      </c>
      <c r="F73">
        <v>100</v>
      </c>
      <c r="I73" s="257">
        <f t="shared" si="56"/>
        <v>100</v>
      </c>
      <c r="J73">
        <v>50</v>
      </c>
      <c r="K73">
        <v>50</v>
      </c>
      <c r="M73">
        <f>SUMIFS(Cadres_Comprehensive!P:P,Cadres_Comprehensive!A:A,Cadres_Basic!A73)</f>
        <v>0</v>
      </c>
      <c r="O73" s="257">
        <f t="shared" si="57"/>
        <v>100</v>
      </c>
      <c r="P73">
        <v>100</v>
      </c>
      <c r="R73">
        <f>M73</f>
        <v>0</v>
      </c>
      <c r="T73" s="257">
        <f t="shared" ref="T73:T75" si="69">SUM(P73:S73)</f>
        <v>100</v>
      </c>
    </row>
    <row r="74" spans="1:20" x14ac:dyDescent="0.45">
      <c r="A74" t="s">
        <v>2677</v>
      </c>
      <c r="B74" t="str">
        <f>VLOOKUP(A74,TaskValues_ref!E:F,2,FALSE)</f>
        <v>Nutrition outreach</v>
      </c>
      <c r="C74" s="64">
        <v>100</v>
      </c>
      <c r="E74" s="257">
        <f t="shared" si="55"/>
        <v>100</v>
      </c>
      <c r="F74">
        <v>100</v>
      </c>
      <c r="I74" s="257">
        <f t="shared" si="56"/>
        <v>100</v>
      </c>
      <c r="J74">
        <v>50</v>
      </c>
      <c r="K74">
        <v>50</v>
      </c>
      <c r="M74">
        <f>SUMIFS(Cadres_Comprehensive!P:P,Cadres_Comprehensive!A:A,Cadres_Basic!A74)</f>
        <v>0</v>
      </c>
      <c r="O74" s="257">
        <f t="shared" si="57"/>
        <v>100</v>
      </c>
      <c r="P74">
        <v>100</v>
      </c>
      <c r="R74">
        <f>M74</f>
        <v>0</v>
      </c>
      <c r="T74" s="257">
        <f t="shared" si="69"/>
        <v>100</v>
      </c>
    </row>
    <row r="75" spans="1:20" x14ac:dyDescent="0.45">
      <c r="A75" t="s">
        <v>2678</v>
      </c>
      <c r="B75" t="str">
        <f>VLOOKUP(A75,TaskValues_ref!E:F,2,FALSE)</f>
        <v>Promote gender equity &amp; empowerment</v>
      </c>
      <c r="C75" s="64">
        <v>100</v>
      </c>
      <c r="E75" s="257">
        <f t="shared" si="55"/>
        <v>100</v>
      </c>
      <c r="F75">
        <v>100</v>
      </c>
      <c r="I75" s="257">
        <f t="shared" si="56"/>
        <v>100</v>
      </c>
      <c r="J75">
        <v>50</v>
      </c>
      <c r="K75">
        <v>50</v>
      </c>
      <c r="M75">
        <f>SUMIFS(Cadres_Comprehensive!P:P,Cadres_Comprehensive!A:A,Cadres_Basic!A75)</f>
        <v>0</v>
      </c>
      <c r="O75" s="257">
        <f t="shared" si="57"/>
        <v>100</v>
      </c>
      <c r="P75">
        <v>100</v>
      </c>
      <c r="R75">
        <f>M75</f>
        <v>0</v>
      </c>
      <c r="T75" s="257">
        <f t="shared" si="69"/>
        <v>100</v>
      </c>
    </row>
    <row r="76" spans="1:20" x14ac:dyDescent="0.45">
      <c r="A76" t="s">
        <v>2679</v>
      </c>
      <c r="B76" t="str">
        <f>VLOOKUP(A76,TaskValues_ref!E:F,2,FALSE)</f>
        <v>Nutritional disaster response</v>
      </c>
      <c r="C76" s="64">
        <v>100</v>
      </c>
      <c r="E76" s="257">
        <f t="shared" si="55"/>
        <v>100</v>
      </c>
      <c r="G76">
        <v>100</v>
      </c>
      <c r="I76" s="257">
        <f t="shared" si="56"/>
        <v>100</v>
      </c>
      <c r="L76">
        <v>100</v>
      </c>
      <c r="M76">
        <f>SUMIFS(Cadres_Comprehensive!P:P,Cadres_Comprehensive!A:A,Cadres_Basic!A76)</f>
        <v>0</v>
      </c>
      <c r="O76" s="257">
        <f t="shared" si="57"/>
        <v>100</v>
      </c>
      <c r="Q76">
        <v>100</v>
      </c>
      <c r="R76">
        <f t="shared" ref="R76" si="70">M76</f>
        <v>0</v>
      </c>
      <c r="T76" s="257">
        <f t="shared" ref="T76" si="71">SUM(P76:S76)</f>
        <v>100</v>
      </c>
    </row>
    <row r="77" spans="1:20" x14ac:dyDescent="0.45">
      <c r="A77" t="s">
        <v>2680</v>
      </c>
      <c r="B77" t="str">
        <f>VLOOKUP(A77,TaskValues_ref!E:F,2,FALSE)</f>
        <v>Multisectoral nutrition intervention</v>
      </c>
      <c r="C77" s="64">
        <v>100</v>
      </c>
      <c r="E77" s="257">
        <f t="shared" si="55"/>
        <v>100</v>
      </c>
      <c r="F77">
        <v>100</v>
      </c>
      <c r="I77" s="257">
        <f t="shared" si="56"/>
        <v>100</v>
      </c>
      <c r="J77">
        <v>50</v>
      </c>
      <c r="K77">
        <v>50</v>
      </c>
      <c r="M77">
        <f>SUMIFS(Cadres_Comprehensive!P:P,Cadres_Comprehensive!A:A,Cadres_Basic!A77)</f>
        <v>0</v>
      </c>
      <c r="O77" s="257">
        <f t="shared" si="57"/>
        <v>100</v>
      </c>
      <c r="P77">
        <v>100</v>
      </c>
      <c r="R77">
        <f t="shared" si="67"/>
        <v>0</v>
      </c>
      <c r="T77" s="257">
        <f t="shared" si="68"/>
        <v>100</v>
      </c>
    </row>
    <row r="78" spans="1:20" x14ac:dyDescent="0.45">
      <c r="A78" t="s">
        <v>2681</v>
      </c>
      <c r="B78" t="str">
        <f>VLOOKUP(A78,TaskValues_ref!E:F,2,FALSE)</f>
        <v>Breast feeding technique</v>
      </c>
      <c r="C78" s="64">
        <v>100</v>
      </c>
      <c r="E78" s="257">
        <f t="shared" si="55"/>
        <v>100</v>
      </c>
      <c r="F78">
        <v>100</v>
      </c>
      <c r="I78" s="257">
        <f t="shared" si="56"/>
        <v>100</v>
      </c>
      <c r="J78">
        <v>50</v>
      </c>
      <c r="K78">
        <v>50</v>
      </c>
      <c r="M78">
        <f>SUMIFS(Cadres_Comprehensive!P:P,Cadres_Comprehensive!A:A,Cadres_Basic!A78)</f>
        <v>0</v>
      </c>
      <c r="O78" s="257">
        <f t="shared" si="57"/>
        <v>100</v>
      </c>
      <c r="P78">
        <v>100</v>
      </c>
      <c r="R78">
        <f>M78</f>
        <v>0</v>
      </c>
      <c r="T78" s="257">
        <f t="shared" ref="T78" si="72">SUM(P78:S78)</f>
        <v>100</v>
      </c>
    </row>
    <row r="79" spans="1:20" x14ac:dyDescent="0.45">
      <c r="A79" t="s">
        <v>2682</v>
      </c>
      <c r="B79" t="str">
        <f>VLOOKUP(A79,TaskValues_ref!E:F,2,FALSE)</f>
        <v>Acute malnutrition</v>
      </c>
      <c r="C79" s="64">
        <v>100</v>
      </c>
      <c r="E79" s="257">
        <f t="shared" si="55"/>
        <v>100</v>
      </c>
      <c r="G79">
        <v>100</v>
      </c>
      <c r="I79" s="257">
        <f t="shared" si="56"/>
        <v>100</v>
      </c>
      <c r="L79">
        <v>100</v>
      </c>
      <c r="M79">
        <f>SUMIFS(Cadres_Comprehensive!P:P,Cadres_Comprehensive!A:A,Cadres_Basic!A79)</f>
        <v>0</v>
      </c>
      <c r="O79" s="257">
        <f t="shared" si="57"/>
        <v>100</v>
      </c>
      <c r="Q79">
        <v>100</v>
      </c>
      <c r="R79">
        <f t="shared" si="67"/>
        <v>0</v>
      </c>
      <c r="T79" s="257">
        <f t="shared" si="68"/>
        <v>100</v>
      </c>
    </row>
    <row r="80" spans="1:20" x14ac:dyDescent="0.45">
      <c r="A80" t="s">
        <v>2683</v>
      </c>
      <c r="B80" t="str">
        <f>VLOOKUP(A80,TaskValues_ref!E:F,2,FALSE)</f>
        <v>Counsel complementary feeding</v>
      </c>
      <c r="C80" s="64">
        <v>100</v>
      </c>
      <c r="E80" s="257">
        <f t="shared" si="55"/>
        <v>100</v>
      </c>
      <c r="F80">
        <v>100</v>
      </c>
      <c r="I80" s="257">
        <f t="shared" si="56"/>
        <v>100</v>
      </c>
      <c r="J80">
        <v>50</v>
      </c>
      <c r="K80">
        <v>50</v>
      </c>
      <c r="M80">
        <f>SUMIFS(Cadres_Comprehensive!P:P,Cadres_Comprehensive!A:A,Cadres_Basic!A80)</f>
        <v>0</v>
      </c>
      <c r="O80" s="257">
        <f t="shared" si="57"/>
        <v>100</v>
      </c>
      <c r="P80">
        <v>100</v>
      </c>
      <c r="R80">
        <f t="shared" ref="R80:R89" si="73">M80</f>
        <v>0</v>
      </c>
      <c r="T80" s="257">
        <f t="shared" ref="T80:T87" si="74">SUM(P80:S80)</f>
        <v>100</v>
      </c>
    </row>
    <row r="81" spans="1:20" x14ac:dyDescent="0.45">
      <c r="A81" t="s">
        <v>2684</v>
      </c>
      <c r="B81" t="str">
        <f>VLOOKUP(A81,TaskValues_ref!E:F,2,FALSE)</f>
        <v>Timely complementary feeding</v>
      </c>
      <c r="C81" s="64">
        <v>100</v>
      </c>
      <c r="E81" s="257">
        <f t="shared" si="55"/>
        <v>100</v>
      </c>
      <c r="F81">
        <v>100</v>
      </c>
      <c r="I81" s="257">
        <f t="shared" si="56"/>
        <v>100</v>
      </c>
      <c r="J81">
        <v>50</v>
      </c>
      <c r="K81">
        <v>50</v>
      </c>
      <c r="M81">
        <f>SUMIFS(Cadres_Comprehensive!P:P,Cadres_Comprehensive!A:A,Cadres_Basic!A81)</f>
        <v>0</v>
      </c>
      <c r="O81" s="257">
        <f t="shared" si="57"/>
        <v>100</v>
      </c>
      <c r="P81">
        <v>100</v>
      </c>
      <c r="R81">
        <f t="shared" si="73"/>
        <v>0</v>
      </c>
      <c r="T81" s="257">
        <f t="shared" si="74"/>
        <v>100</v>
      </c>
    </row>
    <row r="82" spans="1:20" x14ac:dyDescent="0.45">
      <c r="A82" t="s">
        <v>2685</v>
      </c>
      <c r="B82" t="str">
        <f>VLOOKUP(A82,TaskValues_ref!E:F,2,FALSE)</f>
        <v>Promote BF until 24 months</v>
      </c>
      <c r="C82" s="64">
        <v>100</v>
      </c>
      <c r="E82" s="257">
        <f t="shared" si="55"/>
        <v>100</v>
      </c>
      <c r="F82">
        <v>100</v>
      </c>
      <c r="I82" s="257">
        <f t="shared" si="56"/>
        <v>100</v>
      </c>
      <c r="J82">
        <v>50</v>
      </c>
      <c r="K82">
        <v>50</v>
      </c>
      <c r="M82">
        <f>SUMIFS(Cadres_Comprehensive!P:P,Cadres_Comprehensive!A:A,Cadres_Basic!A82)</f>
        <v>0</v>
      </c>
      <c r="O82" s="257">
        <f t="shared" si="57"/>
        <v>100</v>
      </c>
      <c r="P82">
        <v>100</v>
      </c>
      <c r="R82">
        <f t="shared" si="73"/>
        <v>0</v>
      </c>
      <c r="T82" s="257">
        <f t="shared" si="74"/>
        <v>100</v>
      </c>
    </row>
    <row r="83" spans="1:20" x14ac:dyDescent="0.45">
      <c r="A83" t="s">
        <v>2686</v>
      </c>
      <c r="B83" t="str">
        <f>VLOOKUP(A83,TaskValues_ref!E:F,2,FALSE)</f>
        <v>Promote BF during child illness</v>
      </c>
      <c r="C83" s="64">
        <v>100</v>
      </c>
      <c r="E83" s="257">
        <f t="shared" si="55"/>
        <v>100</v>
      </c>
      <c r="F83">
        <v>100</v>
      </c>
      <c r="I83" s="257">
        <f t="shared" si="56"/>
        <v>100</v>
      </c>
      <c r="J83">
        <v>50</v>
      </c>
      <c r="K83">
        <v>50</v>
      </c>
      <c r="M83">
        <f>SUMIFS(Cadres_Comprehensive!P:P,Cadres_Comprehensive!A:A,Cadres_Basic!A83)</f>
        <v>0</v>
      </c>
      <c r="O83" s="257">
        <f t="shared" si="57"/>
        <v>100</v>
      </c>
      <c r="P83">
        <v>100</v>
      </c>
      <c r="R83">
        <f t="shared" si="73"/>
        <v>0</v>
      </c>
      <c r="T83" s="257">
        <f t="shared" si="74"/>
        <v>100</v>
      </c>
    </row>
    <row r="84" spans="1:20" x14ac:dyDescent="0.45">
      <c r="A84" t="s">
        <v>2687</v>
      </c>
      <c r="B84" t="str">
        <f>VLOOKUP(A84,TaskValues_ref!E:F,2,FALSE)</f>
        <v>Educate on complementary foods</v>
      </c>
      <c r="C84" s="64">
        <v>100</v>
      </c>
      <c r="E84" s="257">
        <f t="shared" si="55"/>
        <v>100</v>
      </c>
      <c r="F84">
        <v>100</v>
      </c>
      <c r="I84" s="257">
        <f t="shared" si="56"/>
        <v>100</v>
      </c>
      <c r="J84">
        <v>50</v>
      </c>
      <c r="K84">
        <v>50</v>
      </c>
      <c r="M84">
        <f>SUMIFS(Cadres_Comprehensive!P:P,Cadres_Comprehensive!A:A,Cadres_Basic!A84)</f>
        <v>0</v>
      </c>
      <c r="O84" s="257">
        <f t="shared" si="57"/>
        <v>100</v>
      </c>
      <c r="P84">
        <v>100</v>
      </c>
      <c r="R84">
        <f t="shared" si="73"/>
        <v>0</v>
      </c>
      <c r="T84" s="257">
        <f t="shared" si="74"/>
        <v>100</v>
      </c>
    </row>
    <row r="85" spans="1:20" x14ac:dyDescent="0.45">
      <c r="A85" t="s">
        <v>2688</v>
      </c>
      <c r="B85" t="str">
        <f>VLOOKUP(A85,TaskValues_ref!E:F,2,FALSE)</f>
        <v>Nutrition education for children</v>
      </c>
      <c r="C85" s="64">
        <v>100</v>
      </c>
      <c r="E85" s="257">
        <f t="shared" si="55"/>
        <v>100</v>
      </c>
      <c r="F85">
        <v>100</v>
      </c>
      <c r="I85" s="257">
        <f t="shared" si="56"/>
        <v>100</v>
      </c>
      <c r="J85">
        <v>50</v>
      </c>
      <c r="K85">
        <v>50</v>
      </c>
      <c r="M85">
        <f>SUMIFS(Cadres_Comprehensive!P:P,Cadres_Comprehensive!A:A,Cadres_Basic!A85)</f>
        <v>0</v>
      </c>
      <c r="O85" s="257">
        <f t="shared" si="57"/>
        <v>100</v>
      </c>
      <c r="P85">
        <v>100</v>
      </c>
      <c r="R85">
        <f t="shared" si="73"/>
        <v>0</v>
      </c>
      <c r="T85" s="257">
        <f t="shared" si="74"/>
        <v>100</v>
      </c>
    </row>
    <row r="86" spans="1:20" x14ac:dyDescent="0.45">
      <c r="A86" t="s">
        <v>2689</v>
      </c>
      <c r="B86" t="str">
        <f>VLOOKUP(A86,TaskValues_ref!E:F,2,FALSE)</f>
        <v>STI prevention for sex workers</v>
      </c>
      <c r="C86" s="64">
        <v>100</v>
      </c>
      <c r="E86" s="257">
        <f t="shared" si="55"/>
        <v>100</v>
      </c>
      <c r="F86">
        <v>100</v>
      </c>
      <c r="I86" s="257">
        <f t="shared" si="56"/>
        <v>100</v>
      </c>
      <c r="J86">
        <v>50</v>
      </c>
      <c r="K86">
        <v>50</v>
      </c>
      <c r="M86">
        <f>SUMIFS(Cadres_Comprehensive!P:P,Cadres_Comprehensive!A:A,Cadres_Basic!A86)</f>
        <v>0</v>
      </c>
      <c r="O86" s="257">
        <f t="shared" si="57"/>
        <v>100</v>
      </c>
      <c r="P86">
        <v>100</v>
      </c>
      <c r="R86">
        <f t="shared" si="73"/>
        <v>0</v>
      </c>
      <c r="T86" s="257">
        <f t="shared" si="74"/>
        <v>100</v>
      </c>
    </row>
    <row r="87" spans="1:20" x14ac:dyDescent="0.45">
      <c r="A87" t="s">
        <v>2690</v>
      </c>
      <c r="B87" t="str">
        <f>VLOOKUP(A87,TaskValues_ref!E:F,2,FALSE)</f>
        <v>Risk reduction</v>
      </c>
      <c r="C87" s="64">
        <v>100</v>
      </c>
      <c r="E87" s="257">
        <f t="shared" si="55"/>
        <v>100</v>
      </c>
      <c r="F87">
        <v>100</v>
      </c>
      <c r="I87" s="257">
        <f t="shared" si="56"/>
        <v>100</v>
      </c>
      <c r="J87">
        <v>50</v>
      </c>
      <c r="K87">
        <v>50</v>
      </c>
      <c r="M87">
        <f>SUMIFS(Cadres_Comprehensive!P:P,Cadres_Comprehensive!A:A,Cadres_Basic!A87)</f>
        <v>0</v>
      </c>
      <c r="O87" s="257">
        <f t="shared" si="57"/>
        <v>100</v>
      </c>
      <c r="P87">
        <v>100</v>
      </c>
      <c r="R87">
        <f t="shared" si="73"/>
        <v>0</v>
      </c>
      <c r="T87" s="257">
        <f t="shared" si="74"/>
        <v>100</v>
      </c>
    </row>
    <row r="88" spans="1:20" x14ac:dyDescent="0.45">
      <c r="A88" t="s">
        <v>2691</v>
      </c>
      <c r="B88" t="str">
        <f>VLOOKUP(A88,TaskValues_ref!E:F,2,FALSE)</f>
        <v>HIV self-testing</v>
      </c>
      <c r="C88" s="64">
        <v>100</v>
      </c>
      <c r="E88" s="257">
        <f t="shared" ref="E88:E132" si="75">SUM(C88:D88)</f>
        <v>100</v>
      </c>
      <c r="F88">
        <v>100</v>
      </c>
      <c r="I88" s="257">
        <f t="shared" ref="I88:I89" si="76">SUM(F88:H88)</f>
        <v>100</v>
      </c>
      <c r="J88">
        <v>50</v>
      </c>
      <c r="K88">
        <v>50</v>
      </c>
      <c r="M88">
        <f>SUMIFS(Cadres_Comprehensive!P:P,Cadres_Comprehensive!A:A,Cadres_Basic!A88)</f>
        <v>0</v>
      </c>
      <c r="O88" s="257">
        <f t="shared" ref="O88:O89" si="77">SUM(J88:N88)</f>
        <v>100</v>
      </c>
      <c r="P88">
        <v>100</v>
      </c>
      <c r="R88">
        <f t="shared" si="73"/>
        <v>0</v>
      </c>
      <c r="T88" s="257">
        <f t="shared" ref="T88:T89" si="78">SUM(P88:S88)</f>
        <v>100</v>
      </c>
    </row>
    <row r="89" spans="1:20" x14ac:dyDescent="0.45">
      <c r="A89" t="s">
        <v>2692</v>
      </c>
      <c r="B89" t="str">
        <f>VLOOKUP(A89,TaskValues_ref!E:F,2,FALSE)</f>
        <v>HIV voluntary counseling &amp; testing</v>
      </c>
      <c r="C89" s="64">
        <v>100</v>
      </c>
      <c r="E89" s="257">
        <f t="shared" si="75"/>
        <v>100</v>
      </c>
      <c r="F89">
        <v>100</v>
      </c>
      <c r="I89" s="257">
        <f t="shared" si="76"/>
        <v>100</v>
      </c>
      <c r="J89">
        <v>50</v>
      </c>
      <c r="K89">
        <v>50</v>
      </c>
      <c r="M89">
        <f>SUMIFS(Cadres_Comprehensive!P:P,Cadres_Comprehensive!A:A,Cadres_Basic!A89)</f>
        <v>0</v>
      </c>
      <c r="O89" s="257">
        <f t="shared" si="77"/>
        <v>100</v>
      </c>
      <c r="P89">
        <v>100</v>
      </c>
      <c r="R89">
        <f t="shared" si="73"/>
        <v>0</v>
      </c>
      <c r="T89" s="257">
        <f t="shared" si="78"/>
        <v>100</v>
      </c>
    </row>
    <row r="90" spans="1:20" x14ac:dyDescent="0.45">
      <c r="A90" t="s">
        <v>2693</v>
      </c>
      <c r="B90" t="str">
        <f>VLOOKUP(A90,TaskValues_ref!E:F,2,FALSE)</f>
        <v>HIV provider-initiated counseling &amp; testing</v>
      </c>
      <c r="C90" s="64">
        <v>100</v>
      </c>
      <c r="E90" s="257">
        <f t="shared" si="75"/>
        <v>100</v>
      </c>
      <c r="G90">
        <v>100</v>
      </c>
      <c r="I90" s="257">
        <f t="shared" ref="I90:I104" si="79">SUM(F90:H90)</f>
        <v>100</v>
      </c>
      <c r="L90">
        <v>100</v>
      </c>
      <c r="M90">
        <f>SUMIFS(Cadres_Comprehensive!P:P,Cadres_Comprehensive!A:A,Cadres_Basic!A90)</f>
        <v>0</v>
      </c>
      <c r="O90" s="257">
        <f t="shared" ref="O90:O104" si="80">SUM(J90:N90)</f>
        <v>100</v>
      </c>
      <c r="Q90">
        <v>100</v>
      </c>
      <c r="R90">
        <f t="shared" si="67"/>
        <v>0</v>
      </c>
      <c r="T90" s="257">
        <f t="shared" si="68"/>
        <v>100</v>
      </c>
    </row>
    <row r="91" spans="1:20" x14ac:dyDescent="0.45">
      <c r="A91" t="s">
        <v>2694</v>
      </c>
      <c r="B91" t="str">
        <f>VLOOKUP(A91,TaskValues_ref!E:F,2,FALSE)</f>
        <v>HIV linkages</v>
      </c>
      <c r="C91" s="64">
        <v>100</v>
      </c>
      <c r="E91" s="257">
        <f t="shared" si="75"/>
        <v>100</v>
      </c>
      <c r="G91">
        <v>100</v>
      </c>
      <c r="I91" s="257">
        <f t="shared" ref="I91" si="81">SUM(F91:H91)</f>
        <v>100</v>
      </c>
      <c r="L91">
        <v>100</v>
      </c>
      <c r="M91">
        <f>SUMIFS(Cadres_Comprehensive!P:P,Cadres_Comprehensive!A:A,Cadres_Basic!A91)</f>
        <v>0</v>
      </c>
      <c r="O91" s="257">
        <f t="shared" si="80"/>
        <v>100</v>
      </c>
      <c r="Q91">
        <v>100</v>
      </c>
      <c r="R91">
        <f t="shared" si="67"/>
        <v>0</v>
      </c>
      <c r="T91" s="257">
        <f t="shared" ref="T91" si="82">SUM(P91:S91)</f>
        <v>100</v>
      </c>
    </row>
    <row r="92" spans="1:20" x14ac:dyDescent="0.45">
      <c r="A92" t="s">
        <v>2697</v>
      </c>
      <c r="B92" t="str">
        <f>VLOOKUP(A92,TaskValues_ref!E:F,2,FALSE)</f>
        <v>Vector control</v>
      </c>
      <c r="C92" s="64">
        <v>100</v>
      </c>
      <c r="E92" s="257">
        <f t="shared" si="75"/>
        <v>100</v>
      </c>
      <c r="F92">
        <v>100</v>
      </c>
      <c r="I92" s="257">
        <f t="shared" si="79"/>
        <v>100</v>
      </c>
      <c r="M92">
        <f>SUMIFS(Cadres_Comprehensive!P:P,Cadres_Comprehensive!A:A,Cadres_Basic!A92)</f>
        <v>100</v>
      </c>
      <c r="O92" s="257">
        <f t="shared" si="80"/>
        <v>100</v>
      </c>
      <c r="R92">
        <f t="shared" si="67"/>
        <v>100</v>
      </c>
      <c r="T92" s="257">
        <f t="shared" si="68"/>
        <v>100</v>
      </c>
    </row>
    <row r="93" spans="1:20" x14ac:dyDescent="0.45">
      <c r="A93" t="s">
        <v>2354</v>
      </c>
      <c r="B93" t="str">
        <f>VLOOKUP(A93,TaskValues_ref!E:F,2,FALSE)</f>
        <v>Uncomplicated malaria in adults</v>
      </c>
      <c r="C93" s="64">
        <v>100</v>
      </c>
      <c r="E93" s="257">
        <f t="shared" si="75"/>
        <v>100</v>
      </c>
      <c r="F93">
        <v>100</v>
      </c>
      <c r="I93" s="257">
        <f t="shared" si="79"/>
        <v>100</v>
      </c>
      <c r="J93">
        <v>50</v>
      </c>
      <c r="K93">
        <v>50</v>
      </c>
      <c r="M93">
        <f>SUMIFS(Cadres_Comprehensive!P:P,Cadres_Comprehensive!A:A,Cadres_Basic!A93)</f>
        <v>0</v>
      </c>
      <c r="O93" s="257">
        <f t="shared" si="80"/>
        <v>100</v>
      </c>
      <c r="P93">
        <v>100</v>
      </c>
      <c r="R93">
        <f>M93</f>
        <v>0</v>
      </c>
      <c r="T93" s="257">
        <f t="shared" ref="T93:T95" si="83">SUM(P93:S93)</f>
        <v>100</v>
      </c>
    </row>
    <row r="94" spans="1:20" x14ac:dyDescent="0.45">
      <c r="A94" t="s">
        <v>2355</v>
      </c>
      <c r="B94" t="str">
        <f>VLOOKUP(A94,TaskValues_ref!E:F,2,FALSE)</f>
        <v>Uncomplicated malaria in children</v>
      </c>
      <c r="C94" s="64">
        <v>100</v>
      </c>
      <c r="E94" s="257">
        <f t="shared" si="75"/>
        <v>100</v>
      </c>
      <c r="F94">
        <v>100</v>
      </c>
      <c r="I94" s="257">
        <f t="shared" si="79"/>
        <v>100</v>
      </c>
      <c r="J94">
        <v>50</v>
      </c>
      <c r="K94">
        <v>50</v>
      </c>
      <c r="M94">
        <f>SUMIFS(Cadres_Comprehensive!P:P,Cadres_Comprehensive!A:A,Cadres_Basic!A94)</f>
        <v>0</v>
      </c>
      <c r="O94" s="257">
        <f t="shared" si="80"/>
        <v>100</v>
      </c>
      <c r="P94">
        <v>100</v>
      </c>
      <c r="R94">
        <f>M94</f>
        <v>0</v>
      </c>
      <c r="T94" s="257">
        <f t="shared" si="83"/>
        <v>100</v>
      </c>
    </row>
    <row r="95" spans="1:20" x14ac:dyDescent="0.45">
      <c r="A95" t="s">
        <v>2358</v>
      </c>
      <c r="B95" t="str">
        <f>VLOOKUP(A95,TaskValues_ref!E:F,2,FALSE)</f>
        <v>Testing non-malaria cases</v>
      </c>
      <c r="C95" s="64">
        <v>100</v>
      </c>
      <c r="E95" s="257">
        <f t="shared" si="75"/>
        <v>100</v>
      </c>
      <c r="F95">
        <v>100</v>
      </c>
      <c r="I95" s="257">
        <f t="shared" si="79"/>
        <v>100</v>
      </c>
      <c r="J95">
        <v>50</v>
      </c>
      <c r="K95">
        <v>50</v>
      </c>
      <c r="M95">
        <f>SUMIFS(Cadres_Comprehensive!P:P,Cadres_Comprehensive!A:A,Cadres_Basic!A95)</f>
        <v>0</v>
      </c>
      <c r="O95" s="257">
        <f t="shared" si="80"/>
        <v>100</v>
      </c>
      <c r="P95">
        <v>100</v>
      </c>
      <c r="R95">
        <f>M95</f>
        <v>0</v>
      </c>
      <c r="T95" s="257">
        <f t="shared" si="83"/>
        <v>100</v>
      </c>
    </row>
    <row r="96" spans="1:20" x14ac:dyDescent="0.45">
      <c r="A96" t="s">
        <v>2356</v>
      </c>
      <c r="B96" t="str">
        <f>VLOOKUP(A96,TaskValues_ref!E:F,2,FALSE)</f>
        <v>Severe malaria in adults</v>
      </c>
      <c r="C96" s="64">
        <v>100</v>
      </c>
      <c r="E96" s="257">
        <f t="shared" si="75"/>
        <v>100</v>
      </c>
      <c r="G96">
        <v>100</v>
      </c>
      <c r="I96" s="257">
        <f t="shared" ref="I96:I97" si="84">SUM(F96:H96)</f>
        <v>100</v>
      </c>
      <c r="L96">
        <v>100</v>
      </c>
      <c r="M96">
        <f>SUMIFS(Cadres_Comprehensive!P:P,Cadres_Comprehensive!A:A,Cadres_Basic!A96)</f>
        <v>0</v>
      </c>
      <c r="O96" s="257">
        <f t="shared" ref="O96:O97" si="85">SUM(J96:N96)</f>
        <v>100</v>
      </c>
      <c r="Q96">
        <v>100</v>
      </c>
      <c r="R96">
        <f t="shared" ref="R96:R97" si="86">M96</f>
        <v>0</v>
      </c>
      <c r="T96" s="257">
        <f t="shared" ref="T96:T97" si="87">SUM(P96:S96)</f>
        <v>100</v>
      </c>
    </row>
    <row r="97" spans="1:20" x14ac:dyDescent="0.45">
      <c r="A97" t="s">
        <v>2357</v>
      </c>
      <c r="B97" t="str">
        <f>VLOOKUP(A97,TaskValues_ref!E:F,2,FALSE)</f>
        <v>Severe malaria in children</v>
      </c>
      <c r="C97" s="64">
        <v>100</v>
      </c>
      <c r="E97" s="257">
        <f t="shared" si="75"/>
        <v>100</v>
      </c>
      <c r="G97">
        <v>100</v>
      </c>
      <c r="I97" s="257">
        <f t="shared" si="84"/>
        <v>100</v>
      </c>
      <c r="L97">
        <v>100</v>
      </c>
      <c r="M97">
        <f>SUMIFS(Cadres_Comprehensive!P:P,Cadres_Comprehensive!A:A,Cadres_Basic!A97)</f>
        <v>0</v>
      </c>
      <c r="O97" s="257">
        <f t="shared" si="85"/>
        <v>100</v>
      </c>
      <c r="Q97">
        <v>100</v>
      </c>
      <c r="R97">
        <f t="shared" si="86"/>
        <v>0</v>
      </c>
      <c r="T97" s="257">
        <f t="shared" si="87"/>
        <v>100</v>
      </c>
    </row>
    <row r="98" spans="1:20" x14ac:dyDescent="0.45">
      <c r="A98" t="s">
        <v>2698</v>
      </c>
      <c r="B98" t="str">
        <f>VLOOKUP(A98,TaskValues_ref!E:F,2,FALSE)</f>
        <v>Malaria surveillance</v>
      </c>
      <c r="C98" s="64">
        <v>100</v>
      </c>
      <c r="E98" s="257">
        <f t="shared" si="75"/>
        <v>100</v>
      </c>
      <c r="F98">
        <v>100</v>
      </c>
      <c r="I98" s="257">
        <f t="shared" si="79"/>
        <v>100</v>
      </c>
      <c r="J98">
        <v>50</v>
      </c>
      <c r="K98">
        <v>50</v>
      </c>
      <c r="M98">
        <f>SUMIFS(Cadres_Comprehensive!P:P,Cadres_Comprehensive!A:A,Cadres_Basic!A98)</f>
        <v>0</v>
      </c>
      <c r="O98" s="257">
        <f t="shared" si="80"/>
        <v>100</v>
      </c>
      <c r="P98">
        <v>100</v>
      </c>
      <c r="R98">
        <f>M98</f>
        <v>0</v>
      </c>
      <c r="T98" s="257">
        <f t="shared" ref="T98" si="88">SUM(P98:S98)</f>
        <v>100</v>
      </c>
    </row>
    <row r="99" spans="1:20" x14ac:dyDescent="0.45">
      <c r="A99" t="s">
        <v>2699</v>
      </c>
      <c r="B99" t="str">
        <f>VLOOKUP(A99,TaskValues_ref!E:F,2,FALSE)</f>
        <v>Risk reduction</v>
      </c>
      <c r="C99" s="64">
        <v>100</v>
      </c>
      <c r="E99" s="257">
        <f t="shared" si="75"/>
        <v>100</v>
      </c>
      <c r="F99">
        <v>100</v>
      </c>
      <c r="I99" s="257">
        <f t="shared" si="79"/>
        <v>100</v>
      </c>
      <c r="M99">
        <f>SUMIFS(Cadres_Comprehensive!P:P,Cadres_Comprehensive!A:A,Cadres_Basic!A99)</f>
        <v>100</v>
      </c>
      <c r="O99" s="257">
        <f t="shared" si="80"/>
        <v>100</v>
      </c>
      <c r="R99">
        <f t="shared" si="67"/>
        <v>100</v>
      </c>
      <c r="T99" s="257">
        <f t="shared" ref="T99:T143" si="89">SUM(P99:S99)</f>
        <v>100</v>
      </c>
    </row>
    <row r="100" spans="1:20" x14ac:dyDescent="0.45">
      <c r="A100" t="s">
        <v>2700</v>
      </c>
      <c r="B100" t="str">
        <f>VLOOKUP(A100,TaskValues_ref!E:F,2,FALSE)</f>
        <v>Outbreak detection &amp; response</v>
      </c>
      <c r="C100" s="64">
        <v>100</v>
      </c>
      <c r="E100" s="257">
        <f t="shared" si="75"/>
        <v>100</v>
      </c>
      <c r="F100">
        <v>100</v>
      </c>
      <c r="I100" s="257">
        <f t="shared" si="79"/>
        <v>100</v>
      </c>
      <c r="M100">
        <f>SUMIFS(Cadres_Comprehensive!P:P,Cadres_Comprehensive!A:A,Cadres_Basic!A100)</f>
        <v>100</v>
      </c>
      <c r="O100" s="257">
        <f t="shared" si="80"/>
        <v>100</v>
      </c>
      <c r="R100">
        <f t="shared" si="67"/>
        <v>100</v>
      </c>
      <c r="T100" s="257">
        <f t="shared" si="89"/>
        <v>100</v>
      </c>
    </row>
    <row r="101" spans="1:20" x14ac:dyDescent="0.45">
      <c r="A101" t="s">
        <v>2373</v>
      </c>
      <c r="B101" t="str">
        <f>VLOOKUP(A101,TaskValues_ref!E:F,2,FALSE)</f>
        <v>Testing</v>
      </c>
      <c r="C101" s="64">
        <v>100</v>
      </c>
      <c r="E101" s="257">
        <f t="shared" si="75"/>
        <v>100</v>
      </c>
      <c r="G101">
        <v>100</v>
      </c>
      <c r="I101" s="257">
        <f t="shared" si="79"/>
        <v>100</v>
      </c>
      <c r="L101">
        <v>100</v>
      </c>
      <c r="M101">
        <f>SUMIFS(Cadres_Comprehensive!P:P,Cadres_Comprehensive!A:A,Cadres_Basic!A101)</f>
        <v>0</v>
      </c>
      <c r="O101" s="257">
        <f t="shared" si="80"/>
        <v>100</v>
      </c>
      <c r="Q101">
        <v>100</v>
      </c>
      <c r="R101">
        <f t="shared" si="67"/>
        <v>0</v>
      </c>
      <c r="T101" s="257">
        <f t="shared" si="89"/>
        <v>100</v>
      </c>
    </row>
    <row r="102" spans="1:20" x14ac:dyDescent="0.45">
      <c r="A102" t="s">
        <v>2374</v>
      </c>
      <c r="B102" t="str">
        <f>VLOOKUP(A102,TaskValues_ref!E:F,2,FALSE)</f>
        <v>Follow-up and linkage for positives</v>
      </c>
      <c r="C102" s="64">
        <v>100</v>
      </c>
      <c r="E102" s="257">
        <f t="shared" si="75"/>
        <v>100</v>
      </c>
      <c r="G102">
        <v>100</v>
      </c>
      <c r="I102" s="257">
        <f t="shared" si="79"/>
        <v>100</v>
      </c>
      <c r="L102">
        <v>100</v>
      </c>
      <c r="M102">
        <f>SUMIFS(Cadres_Comprehensive!P:P,Cadres_Comprehensive!A:A,Cadres_Basic!A102)</f>
        <v>0</v>
      </c>
      <c r="O102" s="257">
        <f t="shared" si="80"/>
        <v>100</v>
      </c>
      <c r="Q102">
        <v>100</v>
      </c>
      <c r="R102">
        <f t="shared" si="67"/>
        <v>0</v>
      </c>
      <c r="T102" s="257">
        <f t="shared" si="89"/>
        <v>100</v>
      </c>
    </row>
    <row r="103" spans="1:20" x14ac:dyDescent="0.45">
      <c r="A103" t="s">
        <v>2701</v>
      </c>
      <c r="B103" t="str">
        <f>VLOOKUP(A103,TaskValues_ref!E:F,2,FALSE)</f>
        <v>Treatment (DOT)</v>
      </c>
      <c r="C103" s="64">
        <v>100</v>
      </c>
      <c r="E103" s="257">
        <f t="shared" ref="E103" si="90">SUM(C103:D103)</f>
        <v>100</v>
      </c>
      <c r="F103">
        <v>100</v>
      </c>
      <c r="I103" s="257">
        <f t="shared" ref="I103" si="91">SUM(F103:H103)</f>
        <v>100</v>
      </c>
      <c r="J103">
        <v>50</v>
      </c>
      <c r="K103">
        <v>50</v>
      </c>
      <c r="M103">
        <f>SUMIFS(Cadres_Comprehensive!P:P,Cadres_Comprehensive!A:A,Cadres_Basic!A103)</f>
        <v>0</v>
      </c>
      <c r="O103" s="257">
        <f t="shared" ref="O103" si="92">SUM(J103:N103)</f>
        <v>100</v>
      </c>
      <c r="P103">
        <v>100</v>
      </c>
      <c r="R103">
        <f>M103</f>
        <v>0</v>
      </c>
      <c r="T103" s="257">
        <f t="shared" ref="T103" si="93">SUM(P103:S103)</f>
        <v>100</v>
      </c>
    </row>
    <row r="104" spans="1:20" x14ac:dyDescent="0.45">
      <c r="A104" t="s">
        <v>2702</v>
      </c>
      <c r="B104" t="str">
        <f>VLOOKUP(A104,TaskValues_ref!E:F,2,FALSE)</f>
        <v>HIV prevention for TB patients</v>
      </c>
      <c r="C104" s="64">
        <v>100</v>
      </c>
      <c r="E104" s="257">
        <f t="shared" si="75"/>
        <v>100</v>
      </c>
      <c r="G104">
        <v>100</v>
      </c>
      <c r="I104" s="257">
        <f t="shared" si="79"/>
        <v>100</v>
      </c>
      <c r="L104">
        <v>100</v>
      </c>
      <c r="M104">
        <f>SUMIFS(Cadres_Comprehensive!P:P,Cadres_Comprehensive!A:A,Cadres_Basic!A104)</f>
        <v>0</v>
      </c>
      <c r="O104" s="257">
        <f t="shared" si="80"/>
        <v>100</v>
      </c>
      <c r="Q104">
        <v>100</v>
      </c>
      <c r="R104">
        <f t="shared" si="67"/>
        <v>0</v>
      </c>
      <c r="T104" s="257">
        <f t="shared" si="89"/>
        <v>100</v>
      </c>
    </row>
    <row r="105" spans="1:20" x14ac:dyDescent="0.45">
      <c r="A105" t="s">
        <v>2383</v>
      </c>
      <c r="B105" t="str">
        <f>VLOOKUP(A105,TaskValues_ref!E:F,2,FALSE)</f>
        <v>Promote protection from tobacco smoke</v>
      </c>
      <c r="C105" s="64">
        <v>100</v>
      </c>
      <c r="E105" s="257">
        <f t="shared" ref="E105:E109" si="94">SUM(C105:D105)</f>
        <v>100</v>
      </c>
      <c r="F105">
        <v>100</v>
      </c>
      <c r="I105" s="257">
        <f t="shared" ref="I105:I132" si="95">SUM(F105:H105)</f>
        <v>100</v>
      </c>
      <c r="J105">
        <v>50</v>
      </c>
      <c r="K105">
        <v>50</v>
      </c>
      <c r="M105">
        <f>SUMIFS(Cadres_Comprehensive!P:P,Cadres_Comprehensive!A:A,Cadres_Basic!A105)</f>
        <v>0</v>
      </c>
      <c r="O105" s="257">
        <f t="shared" ref="O105:O132" si="96">SUM(J105:N105)</f>
        <v>100</v>
      </c>
      <c r="P105">
        <v>100</v>
      </c>
      <c r="R105">
        <f>M105</f>
        <v>0</v>
      </c>
      <c r="T105" s="257">
        <f t="shared" ref="T105:T109" si="97">SUM(P105:S105)</f>
        <v>100</v>
      </c>
    </row>
    <row r="106" spans="1:20" x14ac:dyDescent="0.45">
      <c r="A106" t="s">
        <v>2384</v>
      </c>
      <c r="B106" t="str">
        <f>VLOOKUP(A106,TaskValues_ref!E:F,2,FALSE)</f>
        <v>Campaigns re: alcohol use</v>
      </c>
      <c r="C106" s="64">
        <v>100</v>
      </c>
      <c r="E106" s="257">
        <f t="shared" si="94"/>
        <v>100</v>
      </c>
      <c r="F106">
        <v>100</v>
      </c>
      <c r="I106" s="257">
        <f t="shared" si="95"/>
        <v>100</v>
      </c>
      <c r="J106">
        <v>50</v>
      </c>
      <c r="K106">
        <v>50</v>
      </c>
      <c r="M106">
        <f>SUMIFS(Cadres_Comprehensive!P:P,Cadres_Comprehensive!A:A,Cadres_Basic!A106)</f>
        <v>0</v>
      </c>
      <c r="O106" s="257">
        <f t="shared" si="96"/>
        <v>100</v>
      </c>
      <c r="P106">
        <v>100</v>
      </c>
      <c r="R106">
        <f>M106</f>
        <v>0</v>
      </c>
      <c r="T106" s="257">
        <f t="shared" si="97"/>
        <v>100</v>
      </c>
    </row>
    <row r="107" spans="1:20" x14ac:dyDescent="0.45">
      <c r="A107" t="s">
        <v>2385</v>
      </c>
      <c r="B107" t="str">
        <f>VLOOKUP(A107,TaskValues_ref!E:F,2,FALSE)</f>
        <v>Community-level physical activity</v>
      </c>
      <c r="C107" s="64">
        <v>100</v>
      </c>
      <c r="E107" s="257">
        <f t="shared" si="94"/>
        <v>100</v>
      </c>
      <c r="F107">
        <v>100</v>
      </c>
      <c r="I107" s="257">
        <f t="shared" si="95"/>
        <v>100</v>
      </c>
      <c r="J107">
        <v>50</v>
      </c>
      <c r="K107">
        <v>50</v>
      </c>
      <c r="M107">
        <f>SUMIFS(Cadres_Comprehensive!P:P,Cadres_Comprehensive!A:A,Cadres_Basic!A107)</f>
        <v>0</v>
      </c>
      <c r="O107" s="257">
        <f t="shared" si="96"/>
        <v>100</v>
      </c>
      <c r="P107">
        <v>100</v>
      </c>
      <c r="R107">
        <f>M107</f>
        <v>0</v>
      </c>
      <c r="T107" s="257">
        <f t="shared" si="97"/>
        <v>100</v>
      </c>
    </row>
    <row r="108" spans="1:20" x14ac:dyDescent="0.45">
      <c r="A108" t="s">
        <v>2703</v>
      </c>
      <c r="B108" t="str">
        <f>VLOOKUP(A108,TaskValues_ref!E:F,2,FALSE)</f>
        <v>Awareness on risk factors</v>
      </c>
      <c r="C108" s="64">
        <v>100</v>
      </c>
      <c r="E108" s="257">
        <f t="shared" si="94"/>
        <v>100</v>
      </c>
      <c r="F108">
        <v>100</v>
      </c>
      <c r="I108" s="257">
        <f t="shared" si="95"/>
        <v>100</v>
      </c>
      <c r="J108">
        <v>50</v>
      </c>
      <c r="K108">
        <v>50</v>
      </c>
      <c r="M108">
        <f>SUMIFS(Cadres_Comprehensive!P:P,Cadres_Comprehensive!A:A,Cadres_Basic!A108)</f>
        <v>0</v>
      </c>
      <c r="O108" s="257">
        <f t="shared" si="96"/>
        <v>100</v>
      </c>
      <c r="P108">
        <v>100</v>
      </c>
      <c r="R108">
        <f>M108</f>
        <v>0</v>
      </c>
      <c r="T108" s="257">
        <f t="shared" si="97"/>
        <v>100</v>
      </c>
    </row>
    <row r="109" spans="1:20" x14ac:dyDescent="0.45">
      <c r="A109" t="s">
        <v>2705</v>
      </c>
      <c r="B109" t="str">
        <f>VLOOKUP(A109,TaskValues_ref!E:F,2,FALSE)</f>
        <v>Breast cancer education</v>
      </c>
      <c r="C109" s="64">
        <v>100</v>
      </c>
      <c r="E109" s="257">
        <f t="shared" si="94"/>
        <v>100</v>
      </c>
      <c r="F109">
        <v>100</v>
      </c>
      <c r="I109" s="257">
        <f t="shared" si="95"/>
        <v>100</v>
      </c>
      <c r="J109">
        <v>50</v>
      </c>
      <c r="K109">
        <v>50</v>
      </c>
      <c r="M109">
        <f>SUMIFS(Cadres_Comprehensive!P:P,Cadres_Comprehensive!A:A,Cadres_Basic!A109)</f>
        <v>0</v>
      </c>
      <c r="O109" s="257">
        <f t="shared" si="96"/>
        <v>100</v>
      </c>
      <c r="P109">
        <v>100</v>
      </c>
      <c r="R109">
        <f>M109</f>
        <v>0</v>
      </c>
      <c r="T109" s="257">
        <f t="shared" si="97"/>
        <v>100</v>
      </c>
    </row>
    <row r="110" spans="1:20" x14ac:dyDescent="0.45">
      <c r="A110" t="s">
        <v>2706</v>
      </c>
      <c r="B110" t="str">
        <f>VLOOKUP(A110,TaskValues_ref!E:F,2,FALSE)</f>
        <v>Clinical breast exams</v>
      </c>
      <c r="C110" s="64">
        <v>100</v>
      </c>
      <c r="E110" s="257">
        <f t="shared" si="75"/>
        <v>100</v>
      </c>
      <c r="G110">
        <v>100</v>
      </c>
      <c r="I110" s="257">
        <f t="shared" si="95"/>
        <v>100</v>
      </c>
      <c r="L110">
        <v>100</v>
      </c>
      <c r="M110">
        <f>SUMIFS(Cadres_Comprehensive!P:P,Cadres_Comprehensive!A:A,Cadres_Basic!A110)</f>
        <v>0</v>
      </c>
      <c r="O110" s="257">
        <f t="shared" si="96"/>
        <v>100</v>
      </c>
      <c r="Q110">
        <v>100</v>
      </c>
      <c r="R110">
        <f t="shared" ref="R110:R132" si="98">M110</f>
        <v>0</v>
      </c>
      <c r="T110" s="257">
        <f t="shared" ref="T110:T132" si="99">SUM(P110:S110)</f>
        <v>100</v>
      </c>
    </row>
    <row r="111" spans="1:20" x14ac:dyDescent="0.45">
      <c r="A111" t="s">
        <v>3368</v>
      </c>
      <c r="B111" t="str">
        <f>VLOOKUP(A111,TaskValues_ref!E:F,2,FALSE)</f>
        <v>Palliative care for cancer, men 20-29</v>
      </c>
      <c r="C111" s="64">
        <v>100</v>
      </c>
      <c r="E111" s="257">
        <f t="shared" si="75"/>
        <v>100</v>
      </c>
      <c r="G111">
        <v>100</v>
      </c>
      <c r="I111" s="257">
        <f t="shared" si="95"/>
        <v>100</v>
      </c>
      <c r="L111">
        <v>100</v>
      </c>
      <c r="M111">
        <f>SUMIFS(Cadres_Comprehensive!P:P,Cadres_Comprehensive!A:A,Cadres_Basic!A111)</f>
        <v>0</v>
      </c>
      <c r="O111" s="257">
        <f t="shared" si="96"/>
        <v>100</v>
      </c>
      <c r="Q111">
        <v>100</v>
      </c>
      <c r="R111">
        <f t="shared" si="98"/>
        <v>0</v>
      </c>
      <c r="T111" s="257">
        <f t="shared" si="99"/>
        <v>100</v>
      </c>
    </row>
    <row r="112" spans="1:20" x14ac:dyDescent="0.45">
      <c r="A112" t="s">
        <v>3369</v>
      </c>
      <c r="B112" t="str">
        <f>VLOOKUP(A112,TaskValues_ref!E:F,2,FALSE)</f>
        <v>Palliative care for cancer, men 30-39</v>
      </c>
      <c r="C112" s="64">
        <v>100</v>
      </c>
      <c r="E112" s="257">
        <f t="shared" si="75"/>
        <v>100</v>
      </c>
      <c r="G112">
        <v>100</v>
      </c>
      <c r="I112" s="257">
        <f t="shared" si="95"/>
        <v>100</v>
      </c>
      <c r="L112">
        <v>100</v>
      </c>
      <c r="M112">
        <f>SUMIFS(Cadres_Comprehensive!P:P,Cadres_Comprehensive!A:A,Cadres_Basic!A112)</f>
        <v>0</v>
      </c>
      <c r="O112" s="257">
        <f t="shared" si="96"/>
        <v>100</v>
      </c>
      <c r="Q112">
        <v>100</v>
      </c>
      <c r="R112">
        <f t="shared" si="98"/>
        <v>0</v>
      </c>
      <c r="T112" s="257">
        <f t="shared" si="99"/>
        <v>100</v>
      </c>
    </row>
    <row r="113" spans="1:20" x14ac:dyDescent="0.45">
      <c r="A113" t="s">
        <v>3370</v>
      </c>
      <c r="B113" t="str">
        <f>VLOOKUP(A113,TaskValues_ref!E:F,2,FALSE)</f>
        <v>Palliative care for cancer, men 40-49</v>
      </c>
      <c r="C113" s="64">
        <v>100</v>
      </c>
      <c r="E113" s="257">
        <f t="shared" si="75"/>
        <v>100</v>
      </c>
      <c r="G113">
        <v>100</v>
      </c>
      <c r="I113" s="257">
        <f t="shared" si="95"/>
        <v>100</v>
      </c>
      <c r="L113">
        <v>100</v>
      </c>
      <c r="M113">
        <f>SUMIFS(Cadres_Comprehensive!P:P,Cadres_Comprehensive!A:A,Cadres_Basic!A113)</f>
        <v>0</v>
      </c>
      <c r="O113" s="257">
        <f t="shared" si="96"/>
        <v>100</v>
      </c>
      <c r="Q113">
        <v>100</v>
      </c>
      <c r="R113">
        <f t="shared" si="98"/>
        <v>0</v>
      </c>
      <c r="T113" s="257">
        <f t="shared" si="99"/>
        <v>100</v>
      </c>
    </row>
    <row r="114" spans="1:20" x14ac:dyDescent="0.45">
      <c r="A114" t="s">
        <v>3371</v>
      </c>
      <c r="B114" t="str">
        <f>VLOOKUP(A114,TaskValues_ref!E:F,2,FALSE)</f>
        <v>Palliative care for cancer, men 50-59</v>
      </c>
      <c r="C114" s="64">
        <v>100</v>
      </c>
      <c r="E114" s="257">
        <f t="shared" si="75"/>
        <v>100</v>
      </c>
      <c r="G114">
        <v>100</v>
      </c>
      <c r="I114" s="257">
        <f t="shared" si="95"/>
        <v>100</v>
      </c>
      <c r="L114">
        <v>100</v>
      </c>
      <c r="M114">
        <f>SUMIFS(Cadres_Comprehensive!P:P,Cadres_Comprehensive!A:A,Cadres_Basic!A114)</f>
        <v>0</v>
      </c>
      <c r="O114" s="257">
        <f t="shared" si="96"/>
        <v>100</v>
      </c>
      <c r="Q114">
        <v>100</v>
      </c>
      <c r="R114">
        <f t="shared" si="98"/>
        <v>0</v>
      </c>
      <c r="T114" s="257">
        <f t="shared" si="99"/>
        <v>100</v>
      </c>
    </row>
    <row r="115" spans="1:20" x14ac:dyDescent="0.45">
      <c r="A115" t="s">
        <v>3372</v>
      </c>
      <c r="B115" t="str">
        <f>VLOOKUP(A115,TaskValues_ref!E:F,2,FALSE)</f>
        <v>Palliative care for cancer, men 60-69</v>
      </c>
      <c r="C115" s="64">
        <v>100</v>
      </c>
      <c r="E115" s="257">
        <f t="shared" si="75"/>
        <v>100</v>
      </c>
      <c r="G115">
        <v>100</v>
      </c>
      <c r="I115" s="257">
        <f t="shared" si="95"/>
        <v>100</v>
      </c>
      <c r="L115">
        <v>100</v>
      </c>
      <c r="M115">
        <f>SUMIFS(Cadres_Comprehensive!P:P,Cadres_Comprehensive!A:A,Cadres_Basic!A115)</f>
        <v>0</v>
      </c>
      <c r="O115" s="257">
        <f t="shared" si="96"/>
        <v>100</v>
      </c>
      <c r="Q115">
        <v>100</v>
      </c>
      <c r="R115">
        <f t="shared" si="98"/>
        <v>0</v>
      </c>
      <c r="T115" s="257">
        <f t="shared" si="99"/>
        <v>100</v>
      </c>
    </row>
    <row r="116" spans="1:20" x14ac:dyDescent="0.45">
      <c r="A116" t="s">
        <v>3373</v>
      </c>
      <c r="B116" t="str">
        <f>VLOOKUP(A116,TaskValues_ref!E:F,2,FALSE)</f>
        <v>Palliative care for cancer, women 20-29</v>
      </c>
      <c r="C116" s="64">
        <v>100</v>
      </c>
      <c r="E116" s="257">
        <f t="shared" si="75"/>
        <v>100</v>
      </c>
      <c r="G116">
        <v>100</v>
      </c>
      <c r="I116" s="257">
        <f t="shared" si="95"/>
        <v>100</v>
      </c>
      <c r="L116">
        <v>100</v>
      </c>
      <c r="M116">
        <f>SUMIFS(Cadres_Comprehensive!P:P,Cadres_Comprehensive!A:A,Cadres_Basic!A116)</f>
        <v>0</v>
      </c>
      <c r="O116" s="257">
        <f t="shared" si="96"/>
        <v>100</v>
      </c>
      <c r="Q116">
        <v>100</v>
      </c>
      <c r="R116">
        <f t="shared" si="98"/>
        <v>0</v>
      </c>
      <c r="T116" s="257">
        <f t="shared" si="99"/>
        <v>100</v>
      </c>
    </row>
    <row r="117" spans="1:20" x14ac:dyDescent="0.45">
      <c r="A117" t="s">
        <v>3374</v>
      </c>
      <c r="B117" t="str">
        <f>VLOOKUP(A117,TaskValues_ref!E:F,2,FALSE)</f>
        <v>Palliative care for cancer, women 30-39</v>
      </c>
      <c r="C117" s="64">
        <v>100</v>
      </c>
      <c r="E117" s="257">
        <f t="shared" si="75"/>
        <v>100</v>
      </c>
      <c r="G117">
        <v>100</v>
      </c>
      <c r="I117" s="257">
        <f t="shared" si="95"/>
        <v>100</v>
      </c>
      <c r="L117">
        <v>100</v>
      </c>
      <c r="M117">
        <f>SUMIFS(Cadres_Comprehensive!P:P,Cadres_Comprehensive!A:A,Cadres_Basic!A117)</f>
        <v>0</v>
      </c>
      <c r="O117" s="257">
        <f t="shared" si="96"/>
        <v>100</v>
      </c>
      <c r="Q117">
        <v>100</v>
      </c>
      <c r="R117">
        <f t="shared" si="98"/>
        <v>0</v>
      </c>
      <c r="T117" s="257">
        <f t="shared" si="99"/>
        <v>100</v>
      </c>
    </row>
    <row r="118" spans="1:20" x14ac:dyDescent="0.45">
      <c r="A118" t="s">
        <v>3375</v>
      </c>
      <c r="B118" t="str">
        <f>VLOOKUP(A118,TaskValues_ref!E:F,2,FALSE)</f>
        <v>Palliative care for cancer, women 40-49</v>
      </c>
      <c r="C118" s="64">
        <v>100</v>
      </c>
      <c r="E118" s="257">
        <f t="shared" si="75"/>
        <v>100</v>
      </c>
      <c r="G118">
        <v>100</v>
      </c>
      <c r="I118" s="257">
        <f t="shared" si="95"/>
        <v>100</v>
      </c>
      <c r="L118">
        <v>100</v>
      </c>
      <c r="M118">
        <f>SUMIFS(Cadres_Comprehensive!P:P,Cadres_Comprehensive!A:A,Cadres_Basic!A118)</f>
        <v>0</v>
      </c>
      <c r="O118" s="257">
        <f t="shared" si="96"/>
        <v>100</v>
      </c>
      <c r="Q118">
        <v>100</v>
      </c>
      <c r="R118">
        <f t="shared" si="98"/>
        <v>0</v>
      </c>
      <c r="T118" s="257">
        <f t="shared" si="99"/>
        <v>100</v>
      </c>
    </row>
    <row r="119" spans="1:20" x14ac:dyDescent="0.45">
      <c r="A119" t="s">
        <v>3384</v>
      </c>
      <c r="B119" t="str">
        <f>VLOOKUP(A119,TaskValues_ref!E:F,2,FALSE)</f>
        <v>Palliative care for cancer, women 50-59</v>
      </c>
      <c r="C119" s="64">
        <v>100</v>
      </c>
      <c r="E119" s="257">
        <f t="shared" si="75"/>
        <v>100</v>
      </c>
      <c r="G119">
        <v>100</v>
      </c>
      <c r="I119" s="257">
        <f t="shared" si="95"/>
        <v>100</v>
      </c>
      <c r="L119">
        <v>100</v>
      </c>
      <c r="M119">
        <f>SUMIFS(Cadres_Comprehensive!P:P,Cadres_Comprehensive!A:A,Cadres_Basic!A119)</f>
        <v>0</v>
      </c>
      <c r="O119" s="257">
        <f t="shared" si="96"/>
        <v>100</v>
      </c>
      <c r="Q119">
        <v>100</v>
      </c>
      <c r="R119">
        <f t="shared" si="98"/>
        <v>0</v>
      </c>
      <c r="T119" s="257">
        <f t="shared" si="99"/>
        <v>100</v>
      </c>
    </row>
    <row r="120" spans="1:20" x14ac:dyDescent="0.45">
      <c r="A120" t="s">
        <v>3385</v>
      </c>
      <c r="B120" t="str">
        <f>VLOOKUP(A120,TaskValues_ref!E:F,2,FALSE)</f>
        <v>Palliative care for cancer, women 60-69</v>
      </c>
      <c r="C120" s="64">
        <v>100</v>
      </c>
      <c r="E120" s="257">
        <f t="shared" si="75"/>
        <v>100</v>
      </c>
      <c r="G120">
        <v>100</v>
      </c>
      <c r="I120" s="257">
        <f t="shared" si="95"/>
        <v>100</v>
      </c>
      <c r="L120">
        <v>100</v>
      </c>
      <c r="M120">
        <f>SUMIFS(Cadres_Comprehensive!P:P,Cadres_Comprehensive!A:A,Cadres_Basic!A120)</f>
        <v>0</v>
      </c>
      <c r="O120" s="257">
        <f t="shared" si="96"/>
        <v>100</v>
      </c>
      <c r="Q120">
        <v>100</v>
      </c>
      <c r="R120">
        <f t="shared" si="98"/>
        <v>0</v>
      </c>
      <c r="T120" s="257">
        <f t="shared" si="99"/>
        <v>100</v>
      </c>
    </row>
    <row r="121" spans="1:20" x14ac:dyDescent="0.45">
      <c r="A121" t="s">
        <v>3386</v>
      </c>
      <c r="B121" t="str">
        <f>VLOOKUP(A121,TaskValues_ref!E:F,2,FALSE)</f>
        <v>Palliative care for cancer, men &amp; women 70+</v>
      </c>
      <c r="C121" s="64">
        <v>100</v>
      </c>
      <c r="E121" s="257">
        <f t="shared" si="75"/>
        <v>100</v>
      </c>
      <c r="G121">
        <v>100</v>
      </c>
      <c r="I121" s="257">
        <f t="shared" si="95"/>
        <v>100</v>
      </c>
      <c r="L121">
        <v>100</v>
      </c>
      <c r="M121">
        <f>SUMIFS(Cadres_Comprehensive!P:P,Cadres_Comprehensive!A:A,Cadres_Basic!A121)</f>
        <v>0</v>
      </c>
      <c r="O121" s="257">
        <f t="shared" si="96"/>
        <v>100</v>
      </c>
      <c r="Q121">
        <v>100</v>
      </c>
      <c r="R121">
        <f t="shared" si="98"/>
        <v>0</v>
      </c>
      <c r="T121" s="257">
        <f t="shared" si="99"/>
        <v>100</v>
      </c>
    </row>
    <row r="122" spans="1:20" x14ac:dyDescent="0.45">
      <c r="A122" t="s">
        <v>2708</v>
      </c>
      <c r="B122" t="str">
        <f>VLOOKUP(A122,TaskValues_ref!E:F,2,FALSE)</f>
        <v>Lifestyle counseling</v>
      </c>
      <c r="C122" s="64">
        <v>100</v>
      </c>
      <c r="E122" s="257">
        <f t="shared" si="75"/>
        <v>100</v>
      </c>
      <c r="G122">
        <v>100</v>
      </c>
      <c r="I122" s="257">
        <f t="shared" si="95"/>
        <v>100</v>
      </c>
      <c r="L122">
        <v>100</v>
      </c>
      <c r="M122">
        <f>SUMIFS(Cadres_Comprehensive!P:P,Cadres_Comprehensive!A:A,Cadres_Basic!A122)</f>
        <v>0</v>
      </c>
      <c r="O122" s="257">
        <f t="shared" si="96"/>
        <v>100</v>
      </c>
      <c r="Q122">
        <v>100</v>
      </c>
      <c r="R122">
        <f t="shared" si="98"/>
        <v>0</v>
      </c>
      <c r="T122" s="257">
        <f t="shared" si="99"/>
        <v>100</v>
      </c>
    </row>
    <row r="123" spans="1:20" x14ac:dyDescent="0.45">
      <c r="A123" t="s">
        <v>2709</v>
      </c>
      <c r="B123" t="str">
        <f>VLOOKUP(A123,TaskValues_ref!E:F,2,FALSE)</f>
        <v>Hypertension screening</v>
      </c>
      <c r="C123" s="64">
        <v>100</v>
      </c>
      <c r="E123" s="257">
        <f t="shared" si="75"/>
        <v>100</v>
      </c>
      <c r="G123">
        <v>100</v>
      </c>
      <c r="I123" s="257">
        <f t="shared" si="95"/>
        <v>100</v>
      </c>
      <c r="L123">
        <v>100</v>
      </c>
      <c r="M123">
        <f>SUMIFS(Cadres_Comprehensive!P:P,Cadres_Comprehensive!A:A,Cadres_Basic!A123)</f>
        <v>0</v>
      </c>
      <c r="O123" s="257">
        <f t="shared" si="96"/>
        <v>100</v>
      </c>
      <c r="Q123">
        <v>100</v>
      </c>
      <c r="R123">
        <f t="shared" si="98"/>
        <v>0</v>
      </c>
      <c r="T123" s="257">
        <f t="shared" si="99"/>
        <v>100</v>
      </c>
    </row>
    <row r="124" spans="1:20" x14ac:dyDescent="0.45">
      <c r="A124" t="s">
        <v>2710</v>
      </c>
      <c r="B124" t="str">
        <f>VLOOKUP(A124,TaskValues_ref!E:F,2,FALSE)</f>
        <v>Hypertension routine care</v>
      </c>
      <c r="C124" s="64">
        <v>100</v>
      </c>
      <c r="E124" s="257">
        <f t="shared" si="75"/>
        <v>100</v>
      </c>
      <c r="G124">
        <v>100</v>
      </c>
      <c r="I124" s="257">
        <f t="shared" si="95"/>
        <v>100</v>
      </c>
      <c r="L124">
        <v>100</v>
      </c>
      <c r="M124">
        <f>SUMIFS(Cadres_Comprehensive!P:P,Cadres_Comprehensive!A:A,Cadres_Basic!A124)</f>
        <v>0</v>
      </c>
      <c r="O124" s="257">
        <f t="shared" si="96"/>
        <v>100</v>
      </c>
      <c r="Q124">
        <v>100</v>
      </c>
      <c r="R124">
        <f t="shared" si="98"/>
        <v>0</v>
      </c>
      <c r="T124" s="257">
        <f t="shared" si="99"/>
        <v>100</v>
      </c>
    </row>
    <row r="125" spans="1:20" x14ac:dyDescent="0.45">
      <c r="A125" t="s">
        <v>2711</v>
      </c>
      <c r="B125" t="str">
        <f>VLOOKUP(A125,TaskValues_ref!E:F,2,FALSE)</f>
        <v>Lifestyle counseling</v>
      </c>
      <c r="C125" s="64">
        <v>100</v>
      </c>
      <c r="E125" s="257">
        <f t="shared" si="75"/>
        <v>100</v>
      </c>
      <c r="G125">
        <v>100</v>
      </c>
      <c r="I125" s="257">
        <f t="shared" si="95"/>
        <v>100</v>
      </c>
      <c r="L125">
        <v>100</v>
      </c>
      <c r="M125">
        <f>SUMIFS(Cadres_Comprehensive!P:P,Cadres_Comprehensive!A:A,Cadres_Basic!A125)</f>
        <v>0</v>
      </c>
      <c r="O125" s="257">
        <f t="shared" si="96"/>
        <v>100</v>
      </c>
      <c r="Q125">
        <v>100</v>
      </c>
      <c r="R125">
        <f t="shared" si="98"/>
        <v>0</v>
      </c>
      <c r="T125" s="257">
        <f t="shared" si="99"/>
        <v>100</v>
      </c>
    </row>
    <row r="126" spans="1:20" x14ac:dyDescent="0.45">
      <c r="A126" t="s">
        <v>2712</v>
      </c>
      <c r="B126" t="str">
        <f>VLOOKUP(A126,TaskValues_ref!E:F,2,FALSE)</f>
        <v>Screening for type 2 diabetes</v>
      </c>
      <c r="C126" s="64">
        <v>100</v>
      </c>
      <c r="E126" s="257">
        <f t="shared" si="75"/>
        <v>100</v>
      </c>
      <c r="G126">
        <v>100</v>
      </c>
      <c r="I126" s="257">
        <f t="shared" si="95"/>
        <v>100</v>
      </c>
      <c r="L126">
        <v>100</v>
      </c>
      <c r="M126">
        <f>SUMIFS(Cadres_Comprehensive!P:P,Cadres_Comprehensive!A:A,Cadres_Basic!A126)</f>
        <v>0</v>
      </c>
      <c r="O126" s="257">
        <f t="shared" si="96"/>
        <v>100</v>
      </c>
      <c r="Q126">
        <v>100</v>
      </c>
      <c r="R126">
        <f t="shared" si="98"/>
        <v>0</v>
      </c>
      <c r="T126" s="257">
        <f t="shared" si="99"/>
        <v>100</v>
      </c>
    </row>
    <row r="127" spans="1:20" x14ac:dyDescent="0.45">
      <c r="A127" t="s">
        <v>3390</v>
      </c>
      <c r="B127" t="str">
        <f>VLOOKUP(A127,TaskValues_ref!E:F,2,FALSE)</f>
        <v>Diabetes routine care, ages 15-24</v>
      </c>
      <c r="C127" s="64">
        <v>100</v>
      </c>
      <c r="E127" s="257">
        <f t="shared" si="75"/>
        <v>100</v>
      </c>
      <c r="G127">
        <v>100</v>
      </c>
      <c r="I127" s="257">
        <f t="shared" si="95"/>
        <v>100</v>
      </c>
      <c r="L127">
        <v>100</v>
      </c>
      <c r="M127">
        <f>SUMIFS(Cadres_Comprehensive!P:P,Cadres_Comprehensive!A:A,Cadres_Basic!A127)</f>
        <v>0</v>
      </c>
      <c r="O127" s="257">
        <f t="shared" si="96"/>
        <v>100</v>
      </c>
      <c r="Q127">
        <v>100</v>
      </c>
      <c r="R127">
        <f t="shared" si="98"/>
        <v>0</v>
      </c>
      <c r="T127" s="257">
        <f t="shared" si="99"/>
        <v>100</v>
      </c>
    </row>
    <row r="128" spans="1:20" x14ac:dyDescent="0.45">
      <c r="A128" t="s">
        <v>3391</v>
      </c>
      <c r="B128" t="str">
        <f>VLOOKUP(A128,TaskValues_ref!E:F,2,FALSE)</f>
        <v>Diabetes routine care, ages 25-34</v>
      </c>
      <c r="C128" s="64">
        <v>100</v>
      </c>
      <c r="E128" s="257">
        <f t="shared" si="75"/>
        <v>100</v>
      </c>
      <c r="G128">
        <v>100</v>
      </c>
      <c r="I128" s="257">
        <f t="shared" si="95"/>
        <v>100</v>
      </c>
      <c r="L128">
        <v>100</v>
      </c>
      <c r="M128">
        <f>SUMIFS(Cadres_Comprehensive!P:P,Cadres_Comprehensive!A:A,Cadres_Basic!A128)</f>
        <v>0</v>
      </c>
      <c r="O128" s="257">
        <f t="shared" si="96"/>
        <v>100</v>
      </c>
      <c r="Q128">
        <v>100</v>
      </c>
      <c r="R128">
        <f t="shared" si="98"/>
        <v>0</v>
      </c>
      <c r="T128" s="257">
        <f t="shared" si="99"/>
        <v>100</v>
      </c>
    </row>
    <row r="129" spans="1:20" x14ac:dyDescent="0.45">
      <c r="A129" t="s">
        <v>3392</v>
      </c>
      <c r="B129" t="str">
        <f>VLOOKUP(A129,TaskValues_ref!E:F,2,FALSE)</f>
        <v>Diabetes routine care, ages 35-44</v>
      </c>
      <c r="C129" s="64">
        <v>100</v>
      </c>
      <c r="E129" s="257">
        <f t="shared" si="75"/>
        <v>100</v>
      </c>
      <c r="G129">
        <v>100</v>
      </c>
      <c r="I129" s="257">
        <f t="shared" si="95"/>
        <v>100</v>
      </c>
      <c r="L129">
        <v>100</v>
      </c>
      <c r="M129">
        <f>SUMIFS(Cadres_Comprehensive!P:P,Cadres_Comprehensive!A:A,Cadres_Basic!A129)</f>
        <v>0</v>
      </c>
      <c r="O129" s="257">
        <f t="shared" si="96"/>
        <v>100</v>
      </c>
      <c r="Q129">
        <v>100</v>
      </c>
      <c r="R129">
        <f t="shared" si="98"/>
        <v>0</v>
      </c>
      <c r="T129" s="257">
        <f t="shared" si="99"/>
        <v>100</v>
      </c>
    </row>
    <row r="130" spans="1:20" x14ac:dyDescent="0.45">
      <c r="A130" t="s">
        <v>3393</v>
      </c>
      <c r="B130" t="str">
        <f>VLOOKUP(A130,TaskValues_ref!E:F,2,FALSE)</f>
        <v>Diabetes routine care, ages 45-54</v>
      </c>
      <c r="C130" s="64">
        <v>100</v>
      </c>
      <c r="E130" s="257">
        <f t="shared" si="75"/>
        <v>100</v>
      </c>
      <c r="G130">
        <v>100</v>
      </c>
      <c r="I130" s="257">
        <f t="shared" si="95"/>
        <v>100</v>
      </c>
      <c r="L130">
        <v>100</v>
      </c>
      <c r="M130">
        <f>SUMIFS(Cadres_Comprehensive!P:P,Cadres_Comprehensive!A:A,Cadres_Basic!A130)</f>
        <v>0</v>
      </c>
      <c r="O130" s="257">
        <f t="shared" si="96"/>
        <v>100</v>
      </c>
      <c r="Q130">
        <v>100</v>
      </c>
      <c r="R130">
        <f t="shared" si="98"/>
        <v>0</v>
      </c>
      <c r="T130" s="257">
        <f t="shared" si="99"/>
        <v>100</v>
      </c>
    </row>
    <row r="131" spans="1:20" x14ac:dyDescent="0.45">
      <c r="A131" t="s">
        <v>3394</v>
      </c>
      <c r="B131" t="str">
        <f>VLOOKUP(A131,TaskValues_ref!E:F,2,FALSE)</f>
        <v>Diabetes routine care, ages 55-64</v>
      </c>
      <c r="C131" s="64">
        <v>100</v>
      </c>
      <c r="E131" s="257">
        <f t="shared" si="75"/>
        <v>100</v>
      </c>
      <c r="G131">
        <v>100</v>
      </c>
      <c r="I131" s="257">
        <f t="shared" si="95"/>
        <v>100</v>
      </c>
      <c r="L131">
        <v>100</v>
      </c>
      <c r="M131">
        <f>SUMIFS(Cadres_Comprehensive!P:P,Cadres_Comprehensive!A:A,Cadres_Basic!A131)</f>
        <v>0</v>
      </c>
      <c r="O131" s="257">
        <f t="shared" si="96"/>
        <v>100</v>
      </c>
      <c r="Q131">
        <v>100</v>
      </c>
      <c r="R131">
        <f t="shared" si="98"/>
        <v>0</v>
      </c>
      <c r="T131" s="257">
        <f t="shared" si="99"/>
        <v>100</v>
      </c>
    </row>
    <row r="132" spans="1:20" x14ac:dyDescent="0.45">
      <c r="A132" t="s">
        <v>3461</v>
      </c>
      <c r="B132" t="str">
        <f>VLOOKUP(A132,TaskValues_ref!E:F,2,FALSE)</f>
        <v>Diabetes routine care, ages 65+</v>
      </c>
      <c r="C132" s="64">
        <v>100</v>
      </c>
      <c r="E132" s="257">
        <f t="shared" si="75"/>
        <v>100</v>
      </c>
      <c r="G132">
        <v>100</v>
      </c>
      <c r="I132" s="257">
        <f t="shared" si="95"/>
        <v>100</v>
      </c>
      <c r="L132">
        <v>100</v>
      </c>
      <c r="M132">
        <f>SUMIFS(Cadres_Comprehensive!P:P,Cadres_Comprehensive!A:A,Cadres_Basic!A132)</f>
        <v>0</v>
      </c>
      <c r="O132" s="257">
        <f t="shared" si="96"/>
        <v>100</v>
      </c>
      <c r="Q132">
        <v>100</v>
      </c>
      <c r="R132">
        <f t="shared" si="98"/>
        <v>0</v>
      </c>
      <c r="T132" s="257">
        <f t="shared" si="99"/>
        <v>100</v>
      </c>
    </row>
    <row r="133" spans="1:20" x14ac:dyDescent="0.45">
      <c r="A133" t="s">
        <v>2714</v>
      </c>
      <c r="B133" t="str">
        <f>VLOOKUP(A133,TaskValues_ref!E:F,2,FALSE)</f>
        <v>Smoking cessation</v>
      </c>
      <c r="C133" s="64">
        <v>100</v>
      </c>
      <c r="E133" s="257">
        <f t="shared" ref="E133:E138" si="100">SUM(C133:D133)</f>
        <v>100</v>
      </c>
      <c r="F133">
        <v>100</v>
      </c>
      <c r="I133" s="257">
        <f t="shared" ref="I133:I138" si="101">SUM(F133:H133)</f>
        <v>100</v>
      </c>
      <c r="J133">
        <v>50</v>
      </c>
      <c r="K133">
        <v>50</v>
      </c>
      <c r="M133">
        <f>SUMIFS(Cadres_Comprehensive!P:P,Cadres_Comprehensive!A:A,Cadres_Basic!A133)</f>
        <v>0</v>
      </c>
      <c r="O133" s="257">
        <f t="shared" ref="O133:O138" si="102">SUM(J133:N133)</f>
        <v>100</v>
      </c>
      <c r="P133">
        <v>100</v>
      </c>
      <c r="R133">
        <f t="shared" ref="R133:R138" si="103">M133</f>
        <v>0</v>
      </c>
      <c r="T133" s="257">
        <f t="shared" ref="T133:T138" si="104">SUM(P133:S133)</f>
        <v>100</v>
      </c>
    </row>
    <row r="134" spans="1:20" x14ac:dyDescent="0.45">
      <c r="A134" t="s">
        <v>2715</v>
      </c>
      <c r="B134" t="str">
        <f>VLOOKUP(A134,TaskValues_ref!E:F,2,FALSE)</f>
        <v>Prevention of risk factors</v>
      </c>
      <c r="C134" s="64">
        <v>100</v>
      </c>
      <c r="E134" s="257">
        <f t="shared" si="100"/>
        <v>100</v>
      </c>
      <c r="F134">
        <v>100</v>
      </c>
      <c r="I134" s="257">
        <f t="shared" si="101"/>
        <v>100</v>
      </c>
      <c r="J134">
        <v>50</v>
      </c>
      <c r="K134">
        <v>50</v>
      </c>
      <c r="M134">
        <f>SUMIFS(Cadres_Comprehensive!P:P,Cadres_Comprehensive!A:A,Cadres_Basic!A134)</f>
        <v>0</v>
      </c>
      <c r="O134" s="257">
        <f t="shared" si="102"/>
        <v>100</v>
      </c>
      <c r="P134">
        <v>100</v>
      </c>
      <c r="R134">
        <f t="shared" si="103"/>
        <v>0</v>
      </c>
      <c r="T134" s="257">
        <f t="shared" si="104"/>
        <v>100</v>
      </c>
    </row>
    <row r="135" spans="1:20" x14ac:dyDescent="0.45">
      <c r="A135" t="s">
        <v>2442</v>
      </c>
      <c r="B135" t="str">
        <f>VLOOKUP(A135,TaskValues_ref!E:F,2,FALSE)</f>
        <v>Generate community awareness</v>
      </c>
      <c r="C135" s="64">
        <v>100</v>
      </c>
      <c r="E135" s="257">
        <f t="shared" si="100"/>
        <v>100</v>
      </c>
      <c r="F135">
        <v>100</v>
      </c>
      <c r="I135" s="257">
        <f t="shared" si="101"/>
        <v>100</v>
      </c>
      <c r="J135">
        <v>50</v>
      </c>
      <c r="K135">
        <v>50</v>
      </c>
      <c r="M135">
        <f>SUMIFS(Cadres_Comprehensive!P:P,Cadres_Comprehensive!A:A,Cadres_Basic!A135)</f>
        <v>0</v>
      </c>
      <c r="O135" s="257">
        <f t="shared" si="102"/>
        <v>100</v>
      </c>
      <c r="P135">
        <v>100</v>
      </c>
      <c r="R135">
        <f t="shared" si="103"/>
        <v>0</v>
      </c>
      <c r="T135" s="257">
        <f t="shared" si="104"/>
        <v>100</v>
      </c>
    </row>
    <row r="136" spans="1:20" x14ac:dyDescent="0.45">
      <c r="A136" t="s">
        <v>2443</v>
      </c>
      <c r="B136" t="str">
        <f>VLOOKUP(A136,TaskValues_ref!E:F,2,FALSE)</f>
        <v>Identify &amp; link to care</v>
      </c>
      <c r="C136" s="64">
        <v>100</v>
      </c>
      <c r="E136" s="257">
        <f t="shared" si="100"/>
        <v>100</v>
      </c>
      <c r="F136">
        <v>100</v>
      </c>
      <c r="I136" s="257">
        <f t="shared" si="101"/>
        <v>100</v>
      </c>
      <c r="J136">
        <v>50</v>
      </c>
      <c r="K136">
        <v>50</v>
      </c>
      <c r="M136">
        <f>SUMIFS(Cadres_Comprehensive!P:P,Cadres_Comprehensive!A:A,Cadres_Basic!A136)</f>
        <v>0</v>
      </c>
      <c r="O136" s="257">
        <f t="shared" si="102"/>
        <v>100</v>
      </c>
      <c r="P136">
        <v>100</v>
      </c>
      <c r="R136">
        <f t="shared" si="103"/>
        <v>0</v>
      </c>
      <c r="T136" s="257">
        <f t="shared" si="104"/>
        <v>100</v>
      </c>
    </row>
    <row r="137" spans="1:20" x14ac:dyDescent="0.45">
      <c r="A137" t="s">
        <v>2718</v>
      </c>
      <c r="B137" t="str">
        <f>VLOOKUP(A137,TaskValues_ref!E:F,2,FALSE)</f>
        <v>Workplace stress reduction</v>
      </c>
      <c r="C137" s="64">
        <v>100</v>
      </c>
      <c r="E137" s="257">
        <f t="shared" si="100"/>
        <v>100</v>
      </c>
      <c r="F137">
        <v>100</v>
      </c>
      <c r="I137" s="257">
        <f t="shared" si="101"/>
        <v>100</v>
      </c>
      <c r="J137">
        <v>50</v>
      </c>
      <c r="K137">
        <v>50</v>
      </c>
      <c r="M137">
        <f>SUMIFS(Cadres_Comprehensive!P:P,Cadres_Comprehensive!A:A,Cadres_Basic!A137)</f>
        <v>0</v>
      </c>
      <c r="O137" s="257">
        <f t="shared" si="102"/>
        <v>100</v>
      </c>
      <c r="P137">
        <v>100</v>
      </c>
      <c r="R137">
        <f t="shared" si="103"/>
        <v>0</v>
      </c>
      <c r="T137" s="257">
        <f t="shared" si="104"/>
        <v>100</v>
      </c>
    </row>
    <row r="138" spans="1:20" x14ac:dyDescent="0.45">
      <c r="A138" t="s">
        <v>2719</v>
      </c>
      <c r="B138" t="str">
        <f>VLOOKUP(A138,TaskValues_ref!E:F,2,FALSE)</f>
        <v>School-based mental health programs</v>
      </c>
      <c r="C138" s="64">
        <v>100</v>
      </c>
      <c r="E138" s="257">
        <f t="shared" si="100"/>
        <v>100</v>
      </c>
      <c r="F138">
        <v>100</v>
      </c>
      <c r="I138" s="257">
        <f t="shared" si="101"/>
        <v>100</v>
      </c>
      <c r="J138">
        <v>50</v>
      </c>
      <c r="K138">
        <v>50</v>
      </c>
      <c r="M138">
        <f>SUMIFS(Cadres_Comprehensive!P:P,Cadres_Comprehensive!A:A,Cadres_Basic!A138)</f>
        <v>0</v>
      </c>
      <c r="O138" s="257">
        <f t="shared" si="102"/>
        <v>100</v>
      </c>
      <c r="P138">
        <v>100</v>
      </c>
      <c r="R138">
        <f t="shared" si="103"/>
        <v>0</v>
      </c>
      <c r="T138" s="257">
        <f t="shared" si="104"/>
        <v>100</v>
      </c>
    </row>
    <row r="139" spans="1:20" x14ac:dyDescent="0.45">
      <c r="A139" t="s">
        <v>2720</v>
      </c>
      <c r="B139" t="str">
        <f>VLOOKUP(A139,TaskValues_ref!E:F,2,FALSE)</f>
        <v>Identify &amp; assess drug use</v>
      </c>
      <c r="C139" s="64">
        <v>100</v>
      </c>
      <c r="E139" s="257">
        <f t="shared" ref="E139:E166" si="105">SUM(C139:D139)</f>
        <v>100</v>
      </c>
      <c r="F139">
        <v>50</v>
      </c>
      <c r="G139">
        <v>50</v>
      </c>
      <c r="I139" s="257">
        <f t="shared" ref="I139:I166" si="106">SUM(F139:H139)</f>
        <v>100</v>
      </c>
      <c r="J139">
        <v>25</v>
      </c>
      <c r="K139">
        <v>25</v>
      </c>
      <c r="L139">
        <v>50</v>
      </c>
      <c r="M139">
        <f>SUMIFS(Cadres_Comprehensive!P:P,Cadres_Comprehensive!A:A,Cadres_Basic!A139)</f>
        <v>0</v>
      </c>
      <c r="O139" s="257">
        <f t="shared" ref="O139:O166" si="107">SUM(J139:N139)</f>
        <v>100</v>
      </c>
      <c r="P139">
        <v>50</v>
      </c>
      <c r="Q139">
        <v>50</v>
      </c>
      <c r="R139">
        <f t="shared" si="67"/>
        <v>0</v>
      </c>
      <c r="T139" s="257">
        <f t="shared" si="89"/>
        <v>100</v>
      </c>
    </row>
    <row r="140" spans="1:20" x14ac:dyDescent="0.45">
      <c r="A140" t="s">
        <v>2721</v>
      </c>
      <c r="B140" t="str">
        <f>VLOOKUP(A140,TaskValues_ref!E:F,2,FALSE)</f>
        <v>Safer storage of pesticides</v>
      </c>
      <c r="C140" s="64">
        <v>100</v>
      </c>
      <c r="E140" s="257">
        <f t="shared" si="105"/>
        <v>100</v>
      </c>
      <c r="F140">
        <v>100</v>
      </c>
      <c r="I140" s="257">
        <f t="shared" si="106"/>
        <v>100</v>
      </c>
      <c r="M140">
        <f>SUMIFS(Cadres_Comprehensive!P:P,Cadres_Comprehensive!A:A,Cadres_Basic!A140)</f>
        <v>100</v>
      </c>
      <c r="O140" s="257">
        <f t="shared" si="107"/>
        <v>100</v>
      </c>
      <c r="R140">
        <f t="shared" si="67"/>
        <v>100</v>
      </c>
      <c r="T140" s="257">
        <f t="shared" si="89"/>
        <v>100</v>
      </c>
    </row>
    <row r="141" spans="1:20" x14ac:dyDescent="0.45">
      <c r="A141" t="s">
        <v>2722</v>
      </c>
      <c r="B141" t="str">
        <f>VLOOKUP(A141,TaskValues_ref!E:F,2,FALSE)</f>
        <v>Emergency poisoning response</v>
      </c>
      <c r="C141" s="64">
        <v>100</v>
      </c>
      <c r="E141" s="257">
        <f t="shared" si="105"/>
        <v>100</v>
      </c>
      <c r="F141">
        <v>50</v>
      </c>
      <c r="G141">
        <v>50</v>
      </c>
      <c r="I141" s="257">
        <f t="shared" ref="I141" si="108">SUM(F141:H141)</f>
        <v>100</v>
      </c>
      <c r="M141">
        <f>SUMIFS(Cadres_Comprehensive!P:P,Cadres_Comprehensive!A:A,Cadres_Basic!A141)</f>
        <v>100</v>
      </c>
      <c r="O141" s="257">
        <f t="shared" ref="O141" si="109">SUM(J141:N141)</f>
        <v>100</v>
      </c>
      <c r="R141">
        <f t="shared" ref="R141" si="110">M141</f>
        <v>100</v>
      </c>
      <c r="T141" s="257">
        <f t="shared" ref="T141" si="111">SUM(P141:S141)</f>
        <v>100</v>
      </c>
    </row>
    <row r="142" spans="1:20" x14ac:dyDescent="0.45">
      <c r="A142" t="s">
        <v>2723</v>
      </c>
      <c r="B142" t="str">
        <f>VLOOKUP(A142,TaskValues_ref!E:F,2,FALSE)</f>
        <v>Awareness &amp; screening for cataracts</v>
      </c>
      <c r="C142" s="64">
        <v>100</v>
      </c>
      <c r="E142" s="257">
        <f t="shared" si="105"/>
        <v>100</v>
      </c>
      <c r="F142">
        <v>50</v>
      </c>
      <c r="G142">
        <v>50</v>
      </c>
      <c r="I142" s="257">
        <f t="shared" ref="I142" si="112">SUM(F142:H142)</f>
        <v>100</v>
      </c>
      <c r="J142">
        <v>25</v>
      </c>
      <c r="K142">
        <v>25</v>
      </c>
      <c r="L142">
        <v>50</v>
      </c>
      <c r="M142">
        <f>SUMIFS(Cadres_Comprehensive!P:P,Cadres_Comprehensive!A:A,Cadres_Basic!A142)</f>
        <v>0</v>
      </c>
      <c r="O142" s="257">
        <f t="shared" ref="O142" si="113">SUM(J142:N142)</f>
        <v>100</v>
      </c>
      <c r="P142">
        <v>50</v>
      </c>
      <c r="Q142">
        <v>50</v>
      </c>
      <c r="R142">
        <f t="shared" ref="R142" si="114">M142</f>
        <v>0</v>
      </c>
      <c r="T142" s="257">
        <f t="shared" ref="T142" si="115">SUM(P142:S142)</f>
        <v>100</v>
      </c>
    </row>
    <row r="143" spans="1:20" x14ac:dyDescent="0.45">
      <c r="A143" t="s">
        <v>2724</v>
      </c>
      <c r="B143" t="str">
        <f>VLOOKUP(A143,TaskValues_ref!E:F,2,FALSE)</f>
        <v>Awareness of eye glasses</v>
      </c>
      <c r="C143" s="64">
        <v>100</v>
      </c>
      <c r="E143" s="257">
        <f t="shared" si="105"/>
        <v>100</v>
      </c>
      <c r="F143">
        <v>100</v>
      </c>
      <c r="I143" s="257">
        <f t="shared" si="106"/>
        <v>100</v>
      </c>
      <c r="J143">
        <v>50</v>
      </c>
      <c r="K143">
        <v>50</v>
      </c>
      <c r="M143">
        <f>SUMIFS(Cadres_Comprehensive!P:P,Cadres_Comprehensive!A:A,Cadres_Basic!A143)</f>
        <v>0</v>
      </c>
      <c r="O143" s="257">
        <f t="shared" si="107"/>
        <v>100</v>
      </c>
      <c r="P143">
        <v>100</v>
      </c>
      <c r="R143">
        <f t="shared" si="67"/>
        <v>0</v>
      </c>
      <c r="T143" s="257">
        <f t="shared" si="89"/>
        <v>100</v>
      </c>
    </row>
    <row r="144" spans="1:20" x14ac:dyDescent="0.45">
      <c r="A144" t="s">
        <v>2725</v>
      </c>
      <c r="B144" t="str">
        <f>VLOOKUP(A144,TaskValues_ref!E:F,2,FALSE)</f>
        <v>School screenings for vision impairment</v>
      </c>
      <c r="C144" s="64">
        <v>100</v>
      </c>
      <c r="E144" s="257">
        <f t="shared" si="105"/>
        <v>100</v>
      </c>
      <c r="F144">
        <v>100</v>
      </c>
      <c r="I144" s="257">
        <f t="shared" si="106"/>
        <v>100</v>
      </c>
      <c r="J144">
        <v>50</v>
      </c>
      <c r="K144">
        <v>50</v>
      </c>
      <c r="M144">
        <f>SUMIFS(Cadres_Comprehensive!P:P,Cadres_Comprehensive!A:A,Cadres_Basic!A144)</f>
        <v>0</v>
      </c>
      <c r="O144" s="257">
        <f t="shared" si="107"/>
        <v>100</v>
      </c>
      <c r="P144">
        <v>100</v>
      </c>
      <c r="R144">
        <f>M144</f>
        <v>0</v>
      </c>
      <c r="T144" s="257">
        <f t="shared" ref="T144" si="116">SUM(P144:S144)</f>
        <v>100</v>
      </c>
    </row>
    <row r="145" spans="1:20" x14ac:dyDescent="0.45">
      <c r="A145" t="s">
        <v>2726</v>
      </c>
      <c r="B145" t="str">
        <f>VLOOKUP(A145,TaskValues_ref!E:F,2,FALSE)</f>
        <v>Opportunistic screenings for vision impairment</v>
      </c>
      <c r="C145" s="64">
        <v>100</v>
      </c>
      <c r="E145" s="257">
        <f t="shared" si="105"/>
        <v>100</v>
      </c>
      <c r="G145">
        <v>100</v>
      </c>
      <c r="I145" s="257">
        <f t="shared" si="106"/>
        <v>100</v>
      </c>
      <c r="J145">
        <v>50</v>
      </c>
      <c r="K145">
        <v>50</v>
      </c>
      <c r="M145">
        <f>SUMIFS(Cadres_Comprehensive!P:P,Cadres_Comprehensive!A:A,Cadres_Basic!A145)</f>
        <v>0</v>
      </c>
      <c r="O145" s="257">
        <f t="shared" si="107"/>
        <v>100</v>
      </c>
      <c r="P145">
        <v>100</v>
      </c>
      <c r="R145">
        <f t="shared" ref="R145:R169" si="117">M145</f>
        <v>0</v>
      </c>
      <c r="T145" s="257">
        <f t="shared" ref="T145:T170" si="118">SUM(P145:S145)</f>
        <v>100</v>
      </c>
    </row>
    <row r="146" spans="1:20" x14ac:dyDescent="0.45">
      <c r="A146" t="s">
        <v>2727</v>
      </c>
      <c r="B146" t="str">
        <f>VLOOKUP(A146,TaskValues_ref!E:F,2,FALSE)</f>
        <v>Awareness &amp; screening for glaucoma</v>
      </c>
      <c r="C146" s="64">
        <v>100</v>
      </c>
      <c r="E146" s="257">
        <f t="shared" si="105"/>
        <v>100</v>
      </c>
      <c r="F146">
        <v>25</v>
      </c>
      <c r="G146">
        <v>75</v>
      </c>
      <c r="I146" s="257">
        <f t="shared" si="106"/>
        <v>100</v>
      </c>
      <c r="J146">
        <v>25</v>
      </c>
      <c r="K146">
        <v>25</v>
      </c>
      <c r="L146">
        <v>50</v>
      </c>
      <c r="M146">
        <f>SUMIFS(Cadres_Comprehensive!P:P,Cadres_Comprehensive!A:A,Cadres_Basic!A146)</f>
        <v>0</v>
      </c>
      <c r="O146" s="257">
        <f t="shared" ref="O146:O147" si="119">SUM(J146:N146)</f>
        <v>100</v>
      </c>
      <c r="P146">
        <v>50</v>
      </c>
      <c r="Q146">
        <v>50</v>
      </c>
      <c r="R146">
        <f t="shared" ref="R146:R147" si="120">M146</f>
        <v>0</v>
      </c>
      <c r="T146" s="257">
        <f t="shared" ref="T146:T147" si="121">SUM(P146:S146)</f>
        <v>100</v>
      </c>
    </row>
    <row r="147" spans="1:20" x14ac:dyDescent="0.45">
      <c r="A147" t="s">
        <v>2592</v>
      </c>
      <c r="B147" t="str">
        <f>VLOOKUP(A147,TaskValues_ref!E:F,2,FALSE)</f>
        <v>Basic first aid</v>
      </c>
      <c r="C147" s="64">
        <v>100</v>
      </c>
      <c r="E147" s="257">
        <f t="shared" si="105"/>
        <v>100</v>
      </c>
      <c r="F147">
        <v>25</v>
      </c>
      <c r="G147">
        <v>75</v>
      </c>
      <c r="I147" s="257">
        <f t="shared" si="106"/>
        <v>100</v>
      </c>
      <c r="J147">
        <v>25</v>
      </c>
      <c r="K147">
        <v>25</v>
      </c>
      <c r="L147">
        <v>50</v>
      </c>
      <c r="M147">
        <f>SUMIFS(Cadres_Comprehensive!P:P,Cadres_Comprehensive!A:A,Cadres_Basic!A147)</f>
        <v>0</v>
      </c>
      <c r="O147" s="257">
        <f t="shared" si="119"/>
        <v>100</v>
      </c>
      <c r="P147">
        <v>50</v>
      </c>
      <c r="Q147">
        <v>50</v>
      </c>
      <c r="R147">
        <f t="shared" si="120"/>
        <v>0</v>
      </c>
      <c r="T147" s="257">
        <f t="shared" si="121"/>
        <v>100</v>
      </c>
    </row>
    <row r="148" spans="1:20" x14ac:dyDescent="0.45">
      <c r="A148" t="s">
        <v>2451</v>
      </c>
      <c r="B148" t="str">
        <f>VLOOKUP(A148,TaskValues_ref!E:F,2,FALSE)</f>
        <v>Surveillance for NTDs</v>
      </c>
      <c r="C148" s="64">
        <v>100</v>
      </c>
      <c r="E148" s="257">
        <f t="shared" si="105"/>
        <v>100</v>
      </c>
      <c r="F148">
        <v>100</v>
      </c>
      <c r="I148" s="257">
        <f t="shared" si="106"/>
        <v>100</v>
      </c>
      <c r="M148">
        <f>SUMIFS(Cadres_Comprehensive!P:P,Cadres_Comprehensive!A:A,Cadres_Basic!A148)</f>
        <v>100</v>
      </c>
      <c r="O148" s="257">
        <f t="shared" si="107"/>
        <v>100</v>
      </c>
      <c r="R148">
        <f t="shared" si="117"/>
        <v>100</v>
      </c>
      <c r="T148" s="257">
        <f t="shared" si="118"/>
        <v>100</v>
      </c>
    </row>
    <row r="149" spans="1:20" x14ac:dyDescent="0.45">
      <c r="A149" t="s">
        <v>2730</v>
      </c>
      <c r="B149" t="str">
        <f>VLOOKUP(A149,TaskValues_ref!E:F,2,FALSE)</f>
        <v>LF screening &amp; referral</v>
      </c>
      <c r="C149" s="64">
        <v>100</v>
      </c>
      <c r="E149" s="257">
        <f t="shared" si="105"/>
        <v>100</v>
      </c>
      <c r="F149">
        <v>100</v>
      </c>
      <c r="I149" s="257">
        <f t="shared" si="106"/>
        <v>100</v>
      </c>
      <c r="J149">
        <v>50</v>
      </c>
      <c r="K149">
        <v>50</v>
      </c>
      <c r="M149">
        <f>SUMIFS(Cadres_Comprehensive!P:P,Cadres_Comprehensive!A:A,Cadres_Basic!A149)</f>
        <v>0</v>
      </c>
      <c r="O149" s="257">
        <f t="shared" si="107"/>
        <v>100</v>
      </c>
      <c r="P149">
        <v>100</v>
      </c>
      <c r="R149">
        <f>M149</f>
        <v>0</v>
      </c>
      <c r="T149" s="257">
        <f t="shared" ref="T149" si="122">SUM(P149:S149)</f>
        <v>100</v>
      </c>
    </row>
    <row r="150" spans="1:20" x14ac:dyDescent="0.45">
      <c r="A150" t="s">
        <v>2731</v>
      </c>
      <c r="B150" t="str">
        <f>VLOOKUP(A150,TaskValues_ref!E:F,2,FALSE)</f>
        <v>LF MDA</v>
      </c>
      <c r="C150" s="64">
        <v>100</v>
      </c>
      <c r="E150" s="257">
        <f t="shared" si="105"/>
        <v>100</v>
      </c>
      <c r="F150">
        <v>100</v>
      </c>
      <c r="I150" s="257">
        <f t="shared" si="106"/>
        <v>100</v>
      </c>
      <c r="M150">
        <f>SUMIFS(Cadres_Comprehensive!P:P,Cadres_Comprehensive!A:A,Cadres_Basic!A150)</f>
        <v>100</v>
      </c>
      <c r="O150" s="257">
        <f t="shared" si="107"/>
        <v>100</v>
      </c>
      <c r="R150">
        <f t="shared" si="117"/>
        <v>100</v>
      </c>
      <c r="T150" s="257">
        <f t="shared" si="118"/>
        <v>100</v>
      </c>
    </row>
    <row r="151" spans="1:20" x14ac:dyDescent="0.45">
      <c r="A151" t="s">
        <v>2732</v>
      </c>
      <c r="B151" t="str">
        <f>VLOOKUP(A151,TaskValues_ref!E:F,2,FALSE)</f>
        <v>LLINs and IRS</v>
      </c>
      <c r="C151" s="64">
        <v>100</v>
      </c>
      <c r="E151" s="257">
        <f t="shared" si="105"/>
        <v>100</v>
      </c>
      <c r="F151">
        <v>100</v>
      </c>
      <c r="I151" s="257">
        <f t="shared" si="106"/>
        <v>100</v>
      </c>
      <c r="M151">
        <f>SUMIFS(Cadres_Comprehensive!P:P,Cadres_Comprehensive!A:A,Cadres_Basic!A151)</f>
        <v>100</v>
      </c>
      <c r="O151" s="257">
        <f t="shared" si="107"/>
        <v>100</v>
      </c>
      <c r="R151">
        <f t="shared" si="117"/>
        <v>100</v>
      </c>
      <c r="T151" s="257">
        <f t="shared" si="118"/>
        <v>100</v>
      </c>
    </row>
    <row r="152" spans="1:20" x14ac:dyDescent="0.45">
      <c r="A152" t="s">
        <v>2733</v>
      </c>
      <c r="B152" t="str">
        <f>VLOOKUP(A152,TaskValues_ref!E:F,2,FALSE)</f>
        <v>LF behavior change</v>
      </c>
      <c r="C152" s="64">
        <v>100</v>
      </c>
      <c r="E152" s="257">
        <f t="shared" si="105"/>
        <v>100</v>
      </c>
      <c r="F152">
        <v>100</v>
      </c>
      <c r="I152" s="257">
        <f t="shared" si="106"/>
        <v>100</v>
      </c>
      <c r="M152">
        <v>100</v>
      </c>
      <c r="O152" s="257">
        <f t="shared" si="107"/>
        <v>100</v>
      </c>
      <c r="R152">
        <v>100</v>
      </c>
      <c r="T152" s="257">
        <f t="shared" si="118"/>
        <v>100</v>
      </c>
    </row>
    <row r="153" spans="1:20" x14ac:dyDescent="0.45">
      <c r="A153" t="s">
        <v>2734</v>
      </c>
      <c r="B153" t="str">
        <f>VLOOKUP(A153,TaskValues_ref!E:F,2,FALSE)</f>
        <v>Oncho MDA</v>
      </c>
      <c r="C153" s="64">
        <v>100</v>
      </c>
      <c r="E153" s="257">
        <f t="shared" si="105"/>
        <v>100</v>
      </c>
      <c r="F153">
        <v>100</v>
      </c>
      <c r="I153" s="257">
        <f t="shared" si="106"/>
        <v>100</v>
      </c>
      <c r="M153">
        <f>SUMIFS(Cadres_Comprehensive!P:P,Cadres_Comprehensive!A:A,Cadres_Basic!A153)</f>
        <v>100</v>
      </c>
      <c r="O153" s="257">
        <f t="shared" si="107"/>
        <v>100</v>
      </c>
      <c r="R153">
        <f t="shared" si="117"/>
        <v>100</v>
      </c>
      <c r="T153" s="257">
        <f t="shared" si="118"/>
        <v>100</v>
      </c>
    </row>
    <row r="154" spans="1:20" x14ac:dyDescent="0.45">
      <c r="A154" t="s">
        <v>2735</v>
      </c>
      <c r="B154" t="str">
        <f>VLOOKUP(A154,TaskValues_ref!E:F,2,FALSE)</f>
        <v>Oncho behavior change</v>
      </c>
      <c r="C154" s="64">
        <v>100</v>
      </c>
      <c r="E154" s="257">
        <f t="shared" si="105"/>
        <v>100</v>
      </c>
      <c r="F154">
        <v>100</v>
      </c>
      <c r="I154" s="257">
        <f t="shared" si="106"/>
        <v>100</v>
      </c>
      <c r="M154">
        <v>100</v>
      </c>
      <c r="O154" s="257">
        <f t="shared" si="107"/>
        <v>100</v>
      </c>
      <c r="R154">
        <f t="shared" si="117"/>
        <v>100</v>
      </c>
      <c r="T154" s="257">
        <f t="shared" si="118"/>
        <v>100</v>
      </c>
    </row>
    <row r="155" spans="1:20" x14ac:dyDescent="0.45">
      <c r="A155" t="s">
        <v>2736</v>
      </c>
      <c r="B155" t="str">
        <f>VLOOKUP(A155,TaskValues_ref!E:F,2,FALSE)</f>
        <v>Trachoma behavior change</v>
      </c>
      <c r="C155" s="64">
        <v>100</v>
      </c>
      <c r="E155" s="257">
        <f t="shared" si="105"/>
        <v>100</v>
      </c>
      <c r="F155">
        <v>100</v>
      </c>
      <c r="I155" s="257">
        <f t="shared" si="106"/>
        <v>100</v>
      </c>
      <c r="M155">
        <v>100</v>
      </c>
      <c r="O155" s="257">
        <f t="shared" si="107"/>
        <v>100</v>
      </c>
      <c r="R155">
        <f t="shared" si="117"/>
        <v>100</v>
      </c>
      <c r="T155" s="257">
        <f t="shared" si="118"/>
        <v>100</v>
      </c>
    </row>
    <row r="156" spans="1:20" x14ac:dyDescent="0.45">
      <c r="A156" t="s">
        <v>2737</v>
      </c>
      <c r="B156" t="str">
        <f>VLOOKUP(A156,TaskValues_ref!E:F,2,FALSE)</f>
        <v>Promote water and sanitation</v>
      </c>
      <c r="C156" s="64">
        <v>100</v>
      </c>
      <c r="E156" s="257">
        <f t="shared" si="105"/>
        <v>100</v>
      </c>
      <c r="F156">
        <v>100</v>
      </c>
      <c r="I156" s="257">
        <f t="shared" si="106"/>
        <v>100</v>
      </c>
      <c r="M156">
        <v>100</v>
      </c>
      <c r="O156" s="257">
        <f t="shared" si="107"/>
        <v>100</v>
      </c>
      <c r="R156">
        <f t="shared" si="117"/>
        <v>100</v>
      </c>
      <c r="T156" s="257">
        <f t="shared" si="118"/>
        <v>100</v>
      </c>
    </row>
    <row r="157" spans="1:20" x14ac:dyDescent="0.45">
      <c r="A157" t="s">
        <v>2738</v>
      </c>
      <c r="B157" t="str">
        <f>VLOOKUP(A157,TaskValues_ref!E:F,2,FALSE)</f>
        <v>Dx &amp; treat trachoma</v>
      </c>
      <c r="C157" s="64">
        <v>100</v>
      </c>
      <c r="E157" s="257">
        <f t="shared" si="105"/>
        <v>100</v>
      </c>
      <c r="F157">
        <v>100</v>
      </c>
      <c r="I157" s="257">
        <f t="shared" si="106"/>
        <v>100</v>
      </c>
      <c r="J157">
        <v>50</v>
      </c>
      <c r="K157">
        <v>50</v>
      </c>
      <c r="M157">
        <f>SUMIFS(Cadres_Comprehensive!P:P,Cadres_Comprehensive!A:A,Cadres_Basic!A157)</f>
        <v>0</v>
      </c>
      <c r="O157" s="257">
        <f t="shared" si="107"/>
        <v>100</v>
      </c>
      <c r="P157">
        <v>100</v>
      </c>
      <c r="R157">
        <f>M157</f>
        <v>0</v>
      </c>
      <c r="T157" s="257">
        <f t="shared" ref="T157" si="123">SUM(P157:S157)</f>
        <v>100</v>
      </c>
    </row>
    <row r="158" spans="1:20" x14ac:dyDescent="0.45">
      <c r="A158" t="s">
        <v>2739</v>
      </c>
      <c r="B158" t="str">
        <f>VLOOKUP(A158,TaskValues_ref!E:F,2,FALSE)</f>
        <v>Trochomatous trichiasis surgery</v>
      </c>
      <c r="C158" s="64">
        <v>100</v>
      </c>
      <c r="E158" s="257">
        <f t="shared" si="105"/>
        <v>100</v>
      </c>
      <c r="G158">
        <v>100</v>
      </c>
      <c r="I158" s="257">
        <f t="shared" si="106"/>
        <v>100</v>
      </c>
      <c r="L158">
        <v>100</v>
      </c>
      <c r="M158">
        <f>SUMIFS(Cadres_Comprehensive!P:P,Cadres_Comprehensive!A:A,Cadres_Basic!A158)</f>
        <v>0</v>
      </c>
      <c r="O158" s="257">
        <f t="shared" si="107"/>
        <v>100</v>
      </c>
      <c r="Q158">
        <v>100</v>
      </c>
      <c r="R158">
        <f t="shared" si="117"/>
        <v>0</v>
      </c>
      <c r="T158" s="257">
        <f t="shared" si="118"/>
        <v>100</v>
      </c>
    </row>
    <row r="159" spans="1:20" x14ac:dyDescent="0.45">
      <c r="A159" t="s">
        <v>2740</v>
      </c>
      <c r="B159" t="str">
        <f>VLOOKUP(A159,TaskValues_ref!E:F,2,FALSE)</f>
        <v>Trachoma MDA</v>
      </c>
      <c r="C159" s="64">
        <v>100</v>
      </c>
      <c r="E159" s="257">
        <f t="shared" si="105"/>
        <v>100</v>
      </c>
      <c r="F159">
        <v>100</v>
      </c>
      <c r="I159" s="257">
        <f t="shared" si="106"/>
        <v>100</v>
      </c>
      <c r="M159">
        <f>SUMIFS(Cadres_Comprehensive!P:P,Cadres_Comprehensive!A:A,Cadres_Basic!A159)</f>
        <v>100</v>
      </c>
      <c r="O159" s="257">
        <f t="shared" si="107"/>
        <v>100</v>
      </c>
      <c r="R159">
        <f t="shared" si="117"/>
        <v>100</v>
      </c>
      <c r="T159" s="257">
        <f t="shared" si="118"/>
        <v>100</v>
      </c>
    </row>
    <row r="160" spans="1:20" x14ac:dyDescent="0.45">
      <c r="A160" t="s">
        <v>2741</v>
      </c>
      <c r="B160" t="str">
        <f>VLOOKUP(A160,TaskValues_ref!E:F,2,FALSE)</f>
        <v>Promote face washing</v>
      </c>
      <c r="C160" s="64">
        <v>100</v>
      </c>
      <c r="E160" s="257">
        <f t="shared" si="105"/>
        <v>100</v>
      </c>
      <c r="F160">
        <v>100</v>
      </c>
      <c r="I160" s="257">
        <f t="shared" si="106"/>
        <v>100</v>
      </c>
      <c r="M160">
        <v>100</v>
      </c>
      <c r="O160" s="257">
        <f t="shared" si="107"/>
        <v>100</v>
      </c>
      <c r="R160">
        <f t="shared" si="117"/>
        <v>100</v>
      </c>
      <c r="T160" s="257">
        <f t="shared" si="118"/>
        <v>100</v>
      </c>
    </row>
    <row r="161" spans="1:20" x14ac:dyDescent="0.45">
      <c r="A161" t="s">
        <v>2742</v>
      </c>
      <c r="B161" t="str">
        <f>VLOOKUP(A161,TaskValues_ref!E:F,2,FALSE)</f>
        <v>Schisto behavior change</v>
      </c>
      <c r="C161" s="64">
        <v>100</v>
      </c>
      <c r="E161" s="257">
        <f t="shared" si="105"/>
        <v>100</v>
      </c>
      <c r="F161">
        <v>100</v>
      </c>
      <c r="I161" s="257">
        <f t="shared" si="106"/>
        <v>100</v>
      </c>
      <c r="M161">
        <v>100</v>
      </c>
      <c r="O161" s="257">
        <f t="shared" si="107"/>
        <v>100</v>
      </c>
      <c r="R161">
        <f t="shared" si="117"/>
        <v>100</v>
      </c>
      <c r="T161" s="257">
        <f t="shared" si="118"/>
        <v>100</v>
      </c>
    </row>
    <row r="162" spans="1:20" x14ac:dyDescent="0.45">
      <c r="A162" t="s">
        <v>2743</v>
      </c>
      <c r="B162" t="str">
        <f>VLOOKUP(A162,TaskValues_ref!E:F,2,FALSE)</f>
        <v>Snail control</v>
      </c>
      <c r="C162" s="64">
        <v>100</v>
      </c>
      <c r="E162" s="257">
        <f t="shared" si="105"/>
        <v>100</v>
      </c>
      <c r="F162">
        <v>100</v>
      </c>
      <c r="I162" s="257">
        <f t="shared" si="106"/>
        <v>100</v>
      </c>
      <c r="M162">
        <f>SUMIFS(Cadres_Comprehensive!P:P,Cadres_Comprehensive!A:A,Cadres_Basic!A162)</f>
        <v>100</v>
      </c>
      <c r="O162" s="257">
        <f t="shared" si="107"/>
        <v>100</v>
      </c>
      <c r="R162">
        <f t="shared" si="117"/>
        <v>100</v>
      </c>
      <c r="T162" s="257">
        <f t="shared" si="118"/>
        <v>100</v>
      </c>
    </row>
    <row r="163" spans="1:20" x14ac:dyDescent="0.45">
      <c r="A163" t="s">
        <v>2744</v>
      </c>
      <c r="B163" t="str">
        <f>VLOOKUP(A163,TaskValues_ref!E:F,2,FALSE)</f>
        <v>Schisto MDA</v>
      </c>
      <c r="C163" s="64">
        <v>100</v>
      </c>
      <c r="E163" s="257">
        <f t="shared" si="105"/>
        <v>100</v>
      </c>
      <c r="F163">
        <v>100</v>
      </c>
      <c r="I163" s="257">
        <f t="shared" si="106"/>
        <v>100</v>
      </c>
      <c r="M163">
        <f>SUMIFS(Cadres_Comprehensive!P:P,Cadres_Comprehensive!A:A,Cadres_Basic!A163)</f>
        <v>100</v>
      </c>
      <c r="O163" s="257">
        <f t="shared" si="107"/>
        <v>100</v>
      </c>
      <c r="R163">
        <f t="shared" si="117"/>
        <v>100</v>
      </c>
      <c r="T163" s="257">
        <f t="shared" si="118"/>
        <v>100</v>
      </c>
    </row>
    <row r="164" spans="1:20" x14ac:dyDescent="0.45">
      <c r="A164" t="s">
        <v>2745</v>
      </c>
      <c r="B164" t="str">
        <f>VLOOKUP(A164,TaskValues_ref!E:F,2,FALSE)</f>
        <v>STH behavior change</v>
      </c>
      <c r="C164" s="64">
        <v>100</v>
      </c>
      <c r="E164" s="257">
        <f t="shared" si="105"/>
        <v>100</v>
      </c>
      <c r="F164">
        <v>100</v>
      </c>
      <c r="I164" s="257">
        <f t="shared" si="106"/>
        <v>100</v>
      </c>
      <c r="M164">
        <v>100</v>
      </c>
      <c r="O164" s="257">
        <f t="shared" si="107"/>
        <v>100</v>
      </c>
      <c r="R164">
        <f t="shared" si="117"/>
        <v>100</v>
      </c>
      <c r="T164" s="257">
        <f t="shared" si="118"/>
        <v>100</v>
      </c>
    </row>
    <row r="165" spans="1:20" x14ac:dyDescent="0.45">
      <c r="A165" t="s">
        <v>2746</v>
      </c>
      <c r="B165" t="str">
        <f>VLOOKUP(A165,TaskValues_ref!E:F,2,FALSE)</f>
        <v>STH MDA</v>
      </c>
      <c r="C165" s="64">
        <v>100</v>
      </c>
      <c r="E165" s="257">
        <f t="shared" si="105"/>
        <v>100</v>
      </c>
      <c r="F165">
        <v>100</v>
      </c>
      <c r="I165" s="257">
        <f t="shared" si="106"/>
        <v>100</v>
      </c>
      <c r="M165">
        <f>SUMIFS(Cadres_Comprehensive!P:P,Cadres_Comprehensive!A:A,Cadres_Basic!A165)</f>
        <v>100</v>
      </c>
      <c r="O165" s="257">
        <f t="shared" si="107"/>
        <v>100</v>
      </c>
      <c r="R165">
        <f t="shared" si="117"/>
        <v>100</v>
      </c>
      <c r="T165" s="257">
        <f t="shared" si="118"/>
        <v>100</v>
      </c>
    </row>
    <row r="166" spans="1:20" x14ac:dyDescent="0.45">
      <c r="A166" t="s">
        <v>2747</v>
      </c>
      <c r="B166" t="str">
        <f>VLOOKUP(A166,TaskValues_ref!E:F,2,FALSE)</f>
        <v>STH dx &amp; treat in pregnancy</v>
      </c>
      <c r="C166" s="64">
        <v>100</v>
      </c>
      <c r="E166" s="257">
        <f t="shared" si="105"/>
        <v>100</v>
      </c>
      <c r="F166">
        <v>100</v>
      </c>
      <c r="I166" s="257">
        <f t="shared" si="106"/>
        <v>100</v>
      </c>
      <c r="J166">
        <v>50</v>
      </c>
      <c r="K166">
        <v>50</v>
      </c>
      <c r="M166">
        <f>SUMIFS(Cadres_Comprehensive!P:P,Cadres_Comprehensive!A:A,Cadres_Basic!A166)</f>
        <v>0</v>
      </c>
      <c r="O166" s="257">
        <f t="shared" si="107"/>
        <v>100</v>
      </c>
      <c r="P166">
        <v>100</v>
      </c>
      <c r="R166">
        <f>M166</f>
        <v>0</v>
      </c>
      <c r="T166" s="257">
        <f t="shared" ref="T166" si="124">SUM(P166:S166)</f>
        <v>100</v>
      </c>
    </row>
    <row r="167" spans="1:20" x14ac:dyDescent="0.45">
      <c r="A167" t="s">
        <v>2748</v>
      </c>
      <c r="B167" t="str">
        <f>VLOOKUP(A167,TaskValues_ref!E:F,2,FALSE)</f>
        <v>Scabies behavior change</v>
      </c>
      <c r="C167" s="64">
        <v>100</v>
      </c>
      <c r="E167" s="257">
        <f t="shared" ref="E167:E170" si="125">SUM(C167:D167)</f>
        <v>100</v>
      </c>
      <c r="F167">
        <v>100</v>
      </c>
      <c r="I167" s="257">
        <f t="shared" ref="I167:I170" si="126">SUM(F167:H167)</f>
        <v>100</v>
      </c>
      <c r="M167">
        <v>100</v>
      </c>
      <c r="O167" s="257">
        <f t="shared" ref="O167:O170" si="127">SUM(J167:N167)</f>
        <v>100</v>
      </c>
      <c r="R167">
        <f t="shared" si="117"/>
        <v>100</v>
      </c>
      <c r="T167" s="257">
        <f t="shared" si="118"/>
        <v>100</v>
      </c>
    </row>
    <row r="168" spans="1:20" x14ac:dyDescent="0.45">
      <c r="A168" t="s">
        <v>2625</v>
      </c>
      <c r="B168" t="str">
        <f>VLOOKUP(A168,TaskValues_ref!E:F,2,FALSE)</f>
        <v>Model household program</v>
      </c>
      <c r="C168" s="64">
        <v>100</v>
      </c>
      <c r="E168" s="257">
        <f t="shared" si="125"/>
        <v>100</v>
      </c>
      <c r="F168">
        <v>100</v>
      </c>
      <c r="I168" s="257">
        <f t="shared" si="126"/>
        <v>100</v>
      </c>
      <c r="M168">
        <f>SUMIFS(Cadres_Comprehensive!P:P,Cadres_Comprehensive!A:A,Cadres_Basic!A168)</f>
        <v>100</v>
      </c>
      <c r="O168" s="257">
        <f t="shared" si="127"/>
        <v>100</v>
      </c>
      <c r="R168">
        <f t="shared" si="117"/>
        <v>100</v>
      </c>
      <c r="T168" s="257">
        <f t="shared" si="118"/>
        <v>100</v>
      </c>
    </row>
    <row r="169" spans="1:20" x14ac:dyDescent="0.45">
      <c r="A169" t="s">
        <v>2626</v>
      </c>
      <c r="B169" t="str">
        <f>VLOOKUP(A169,TaskValues_ref!E:F,2,FALSE)</f>
        <v>Model household program</v>
      </c>
      <c r="C169" s="64">
        <v>100</v>
      </c>
      <c r="E169" s="257">
        <f t="shared" si="125"/>
        <v>100</v>
      </c>
      <c r="F169">
        <v>100</v>
      </c>
      <c r="I169" s="257">
        <f t="shared" si="126"/>
        <v>100</v>
      </c>
      <c r="J169">
        <v>50</v>
      </c>
      <c r="K169">
        <v>50</v>
      </c>
      <c r="M169">
        <f>SUMIFS(Cadres_Comprehensive!P:P,Cadres_Comprehensive!A:A,Cadres_Basic!A169)</f>
        <v>0</v>
      </c>
      <c r="O169" s="257">
        <f t="shared" si="127"/>
        <v>100</v>
      </c>
      <c r="P169">
        <v>100</v>
      </c>
      <c r="R169">
        <f t="shared" si="117"/>
        <v>0</v>
      </c>
      <c r="T169" s="257">
        <f t="shared" si="118"/>
        <v>100</v>
      </c>
    </row>
    <row r="170" spans="1:20" x14ac:dyDescent="0.45">
      <c r="A170" t="s">
        <v>1952</v>
      </c>
      <c r="B170" t="str">
        <f>VLOOKUP(A170,TaskValues_ref!E:F,2,FALSE)</f>
        <v>Record keeping</v>
      </c>
      <c r="C170" s="64">
        <v>100</v>
      </c>
      <c r="E170" s="257">
        <f t="shared" si="125"/>
        <v>100</v>
      </c>
      <c r="F170">
        <f>2/3*100</f>
        <v>66.666666666666657</v>
      </c>
      <c r="G170">
        <f>1/3*100</f>
        <v>33.333333333333329</v>
      </c>
      <c r="I170" s="257">
        <f t="shared" si="126"/>
        <v>99.999999999999986</v>
      </c>
      <c r="J170">
        <v>25</v>
      </c>
      <c r="K170">
        <v>25</v>
      </c>
      <c r="L170">
        <v>25</v>
      </c>
      <c r="M170">
        <v>25</v>
      </c>
      <c r="O170" s="257">
        <f t="shared" si="127"/>
        <v>100</v>
      </c>
      <c r="P170">
        <v>50</v>
      </c>
      <c r="Q170">
        <v>25</v>
      </c>
      <c r="R170">
        <v>25</v>
      </c>
      <c r="T170" s="257">
        <f t="shared" si="118"/>
        <v>100</v>
      </c>
    </row>
    <row r="171" spans="1:20" x14ac:dyDescent="0.45">
      <c r="A171" t="s">
        <v>2793</v>
      </c>
      <c r="B171" t="s">
        <v>2795</v>
      </c>
      <c r="C171" s="64">
        <v>100</v>
      </c>
      <c r="E171" s="257">
        <f t="shared" ref="E171:E174" si="128">SUM(C171:D171)</f>
        <v>100</v>
      </c>
      <c r="F171">
        <v>100</v>
      </c>
      <c r="I171" s="257">
        <f t="shared" ref="I171:I175" si="129">SUM(F171:H171)</f>
        <v>100</v>
      </c>
      <c r="M171">
        <f>SUMIFS(Cadres_Comprehensive!P:P,Cadres_Comprehensive!A:A,Cadres_Basic!A171)</f>
        <v>100</v>
      </c>
      <c r="O171" s="257">
        <f t="shared" ref="O171:O176" si="130">SUM(J171:N171)</f>
        <v>100</v>
      </c>
      <c r="R171">
        <f t="shared" ref="R171" si="131">M171</f>
        <v>100</v>
      </c>
      <c r="T171" s="257">
        <f t="shared" ref="T171:T176" si="132">SUM(P171:S171)</f>
        <v>100</v>
      </c>
    </row>
    <row r="172" spans="1:20" x14ac:dyDescent="0.45">
      <c r="A172" t="s">
        <v>2794</v>
      </c>
      <c r="B172" t="s">
        <v>2796</v>
      </c>
      <c r="C172" s="64">
        <v>100</v>
      </c>
      <c r="E172" s="257">
        <f t="shared" si="128"/>
        <v>100</v>
      </c>
      <c r="F172">
        <v>100</v>
      </c>
      <c r="I172" s="257">
        <f t="shared" si="129"/>
        <v>100</v>
      </c>
      <c r="J172">
        <v>50</v>
      </c>
      <c r="K172">
        <v>50</v>
      </c>
      <c r="M172">
        <f>SUMIFS(Cadres_Comprehensive!P:P,Cadres_Comprehensive!A:A,Cadres_Basic!A172)</f>
        <v>0</v>
      </c>
      <c r="O172" s="257">
        <f t="shared" si="130"/>
        <v>100</v>
      </c>
      <c r="P172">
        <v>100</v>
      </c>
      <c r="T172" s="257">
        <f t="shared" si="132"/>
        <v>100</v>
      </c>
    </row>
    <row r="173" spans="1:20" x14ac:dyDescent="0.45">
      <c r="A173" s="64" t="s">
        <v>2811</v>
      </c>
      <c r="B173" t="s">
        <v>2817</v>
      </c>
      <c r="C173" s="64">
        <v>100</v>
      </c>
      <c r="E173" s="257">
        <f t="shared" si="128"/>
        <v>100</v>
      </c>
      <c r="F173">
        <v>100</v>
      </c>
      <c r="I173" s="257">
        <f t="shared" si="129"/>
        <v>100</v>
      </c>
      <c r="J173">
        <v>100</v>
      </c>
      <c r="O173" s="257">
        <f t="shared" si="130"/>
        <v>100</v>
      </c>
      <c r="P173">
        <v>100</v>
      </c>
      <c r="T173" s="257">
        <f t="shared" si="132"/>
        <v>100</v>
      </c>
    </row>
    <row r="174" spans="1:20" x14ac:dyDescent="0.45">
      <c r="A174" s="64" t="s">
        <v>2812</v>
      </c>
      <c r="B174" t="s">
        <v>2818</v>
      </c>
      <c r="C174" s="64">
        <v>100</v>
      </c>
      <c r="E174" s="257">
        <f t="shared" si="128"/>
        <v>100</v>
      </c>
      <c r="F174">
        <v>100</v>
      </c>
      <c r="I174" s="257">
        <f t="shared" si="129"/>
        <v>100</v>
      </c>
      <c r="K174">
        <v>100</v>
      </c>
      <c r="O174" s="257">
        <f t="shared" si="130"/>
        <v>100</v>
      </c>
      <c r="P174">
        <v>100</v>
      </c>
      <c r="T174" s="257">
        <f t="shared" si="132"/>
        <v>100</v>
      </c>
    </row>
    <row r="175" spans="1:20" x14ac:dyDescent="0.45">
      <c r="A175" s="64" t="s">
        <v>2813</v>
      </c>
      <c r="B175" t="s">
        <v>2819</v>
      </c>
      <c r="G175">
        <v>100</v>
      </c>
      <c r="I175" s="257">
        <f t="shared" si="129"/>
        <v>100</v>
      </c>
      <c r="L175">
        <v>100</v>
      </c>
      <c r="O175" s="257">
        <f t="shared" si="130"/>
        <v>100</v>
      </c>
      <c r="Q175">
        <v>100</v>
      </c>
      <c r="T175" s="257">
        <f t="shared" si="132"/>
        <v>100</v>
      </c>
    </row>
    <row r="176" spans="1:20" x14ac:dyDescent="0.45">
      <c r="A176" s="64" t="s">
        <v>2814</v>
      </c>
      <c r="B176" t="s">
        <v>2820</v>
      </c>
      <c r="M176">
        <v>100</v>
      </c>
      <c r="O176" s="257">
        <f t="shared" si="130"/>
        <v>100</v>
      </c>
      <c r="R176">
        <v>100</v>
      </c>
      <c r="T176" s="257">
        <f t="shared" si="132"/>
        <v>100</v>
      </c>
    </row>
    <row r="177" spans="1:20" s="127" customFormat="1" x14ac:dyDescent="0.45">
      <c r="A177" s="127" t="s">
        <v>2815</v>
      </c>
      <c r="B177" s="127" t="s">
        <v>2821</v>
      </c>
      <c r="C177" s="342"/>
      <c r="E177" s="338"/>
      <c r="I177" s="338"/>
      <c r="O177" s="338"/>
      <c r="T177" s="338"/>
    </row>
    <row r="178" spans="1:20" s="127" customFormat="1" x14ac:dyDescent="0.45">
      <c r="A178" s="127" t="s">
        <v>2816</v>
      </c>
      <c r="B178" s="127" t="s">
        <v>2822</v>
      </c>
      <c r="C178" s="342"/>
      <c r="E178" s="338"/>
      <c r="I178" s="338"/>
      <c r="O178" s="338"/>
      <c r="T178" s="338"/>
    </row>
  </sheetData>
  <conditionalFormatting sqref="T2 E2 I2 O2 O5 I5 E5:E16 T5 E18:E19 O21 I21 E21:E22 T21 T42 E42 I42 O42 E44 E48:E49 E52:E56 E59:E60 E65:E68 T72 E72 I72 O72 O77 I77 E76:E77 T77 T79 E79 I79 O79 O90 I90 E88:E92 T90 E96:E97 O99:O102 I99:I102 E99:E102 T99:T102 T104 E104 I104 O104 T139:T140 E139:E143 I139:I140 O139:O140 O145 I145:I148 E145:E148 T145 T150:T156 E150:E156 I150:I156 O150:O156 O158:O165 I158:I165 E158:E165 T158:T165 O143 I143 T143 T148 O148 T92 I92 O92 T7:T13 I7:I13 O7:O13 T167:T170 E167:E170 I167:I170 O167:O170 O36:O40 I36:I40 E36:E40 T36:T40 E110:E132">
    <cfRule type="cellIs" dxfId="108" priority="111" operator="notEqual">
      <formula>100</formula>
    </cfRule>
  </conditionalFormatting>
  <conditionalFormatting sqref="T3 E3 I3 O3">
    <cfRule type="cellIs" dxfId="107" priority="107" operator="notEqual">
      <formula>100</formula>
    </cfRule>
  </conditionalFormatting>
  <conditionalFormatting sqref="T4 E4 I4 O4">
    <cfRule type="cellIs" dxfId="106" priority="106" operator="notEqual">
      <formula>100</formula>
    </cfRule>
  </conditionalFormatting>
  <conditionalFormatting sqref="T17 E17 I17 O17">
    <cfRule type="cellIs" dxfId="105" priority="105" operator="notEqual">
      <formula>100</formula>
    </cfRule>
  </conditionalFormatting>
  <conditionalFormatting sqref="T20 E20 I20 O20">
    <cfRule type="cellIs" dxfId="104" priority="104" operator="notEqual">
      <formula>100</formula>
    </cfRule>
  </conditionalFormatting>
  <conditionalFormatting sqref="T23 E23 I23 O23">
    <cfRule type="cellIs" dxfId="103" priority="103" operator="notEqual">
      <formula>100</formula>
    </cfRule>
  </conditionalFormatting>
  <conditionalFormatting sqref="E24">
    <cfRule type="cellIs" dxfId="102" priority="102" operator="notEqual">
      <formula>100</formula>
    </cfRule>
  </conditionalFormatting>
  <conditionalFormatting sqref="E25">
    <cfRule type="cellIs" dxfId="101" priority="101" operator="notEqual">
      <formula>100</formula>
    </cfRule>
  </conditionalFormatting>
  <conditionalFormatting sqref="T26 E26 I26 O26">
    <cfRule type="cellIs" dxfId="100" priority="100" operator="notEqual">
      <formula>100</formula>
    </cfRule>
  </conditionalFormatting>
  <conditionalFormatting sqref="T27:T31 E27:E31 I27:I31 O27:O31">
    <cfRule type="cellIs" dxfId="99" priority="99" operator="notEqual">
      <formula>100</formula>
    </cfRule>
  </conditionalFormatting>
  <conditionalFormatting sqref="T32 E32 I32 O32">
    <cfRule type="cellIs" dxfId="98" priority="98" operator="notEqual">
      <formula>100</formula>
    </cfRule>
  </conditionalFormatting>
  <conditionalFormatting sqref="T34 E34 I34 O34">
    <cfRule type="cellIs" dxfId="97" priority="97" operator="notEqual">
      <formula>100</formula>
    </cfRule>
  </conditionalFormatting>
  <conditionalFormatting sqref="T33 E33 I33 O33">
    <cfRule type="cellIs" dxfId="96" priority="96" operator="notEqual">
      <formula>100</formula>
    </cfRule>
  </conditionalFormatting>
  <conditionalFormatting sqref="T35 E35 I35 O35">
    <cfRule type="cellIs" dxfId="95" priority="95" operator="notEqual">
      <formula>100</formula>
    </cfRule>
  </conditionalFormatting>
  <conditionalFormatting sqref="E41">
    <cfRule type="cellIs" dxfId="94" priority="94" operator="notEqual">
      <formula>100</formula>
    </cfRule>
  </conditionalFormatting>
  <conditionalFormatting sqref="T43 E43 I43 O43">
    <cfRule type="cellIs" dxfId="93" priority="93" operator="notEqual">
      <formula>100</formula>
    </cfRule>
  </conditionalFormatting>
  <conditionalFormatting sqref="T45 E45 I45 O45">
    <cfRule type="cellIs" dxfId="92" priority="92" operator="notEqual">
      <formula>100</formula>
    </cfRule>
  </conditionalFormatting>
  <conditionalFormatting sqref="T46 E46 I46 O46">
    <cfRule type="cellIs" dxfId="91" priority="91" operator="notEqual">
      <formula>100</formula>
    </cfRule>
  </conditionalFormatting>
  <conditionalFormatting sqref="T47 E47 I47 O47">
    <cfRule type="cellIs" dxfId="90" priority="90" operator="notEqual">
      <formula>100</formula>
    </cfRule>
  </conditionalFormatting>
  <conditionalFormatting sqref="T50 E50 I50 O50">
    <cfRule type="cellIs" dxfId="89" priority="89" operator="notEqual">
      <formula>100</formula>
    </cfRule>
  </conditionalFormatting>
  <conditionalFormatting sqref="T51 E51 I51 O51">
    <cfRule type="cellIs" dxfId="88" priority="88" operator="notEqual">
      <formula>100</formula>
    </cfRule>
  </conditionalFormatting>
  <conditionalFormatting sqref="T57 E57 I57 O57">
    <cfRule type="cellIs" dxfId="87" priority="87" operator="notEqual">
      <formula>100</formula>
    </cfRule>
  </conditionalFormatting>
  <conditionalFormatting sqref="T58 E58 I58 O58">
    <cfRule type="cellIs" dxfId="86" priority="86" operator="notEqual">
      <formula>100</formula>
    </cfRule>
  </conditionalFormatting>
  <conditionalFormatting sqref="T61 E61 I61 O61">
    <cfRule type="cellIs" dxfId="85" priority="85" operator="notEqual">
      <formula>100</formula>
    </cfRule>
  </conditionalFormatting>
  <conditionalFormatting sqref="T62 E62 I62 O62">
    <cfRule type="cellIs" dxfId="84" priority="84" operator="notEqual">
      <formula>100</formula>
    </cfRule>
  </conditionalFormatting>
  <conditionalFormatting sqref="T63 E63 I63 O63">
    <cfRule type="cellIs" dxfId="83" priority="83" operator="notEqual">
      <formula>100</formula>
    </cfRule>
  </conditionalFormatting>
  <conditionalFormatting sqref="T64 E64 I64 O64">
    <cfRule type="cellIs" dxfId="82" priority="82" operator="notEqual">
      <formula>100</formula>
    </cfRule>
  </conditionalFormatting>
  <conditionalFormatting sqref="T69 E69 I69 O69">
    <cfRule type="cellIs" dxfId="81" priority="81" operator="notEqual">
      <formula>100</formula>
    </cfRule>
  </conditionalFormatting>
  <conditionalFormatting sqref="T70 E70 I70 O70">
    <cfRule type="cellIs" dxfId="80" priority="80" operator="notEqual">
      <formula>100</formula>
    </cfRule>
  </conditionalFormatting>
  <conditionalFormatting sqref="T71 E71 I71 O71">
    <cfRule type="cellIs" dxfId="79" priority="79" operator="notEqual">
      <formula>100</formula>
    </cfRule>
  </conditionalFormatting>
  <conditionalFormatting sqref="T73 E73 I73 O73">
    <cfRule type="cellIs" dxfId="78" priority="78" operator="notEqual">
      <formula>100</formula>
    </cfRule>
  </conditionalFormatting>
  <conditionalFormatting sqref="T74 E74 I74 O74">
    <cfRule type="cellIs" dxfId="77" priority="77" operator="notEqual">
      <formula>100</formula>
    </cfRule>
  </conditionalFormatting>
  <conditionalFormatting sqref="T75 E75 I75 O75">
    <cfRule type="cellIs" dxfId="76" priority="76" operator="notEqual">
      <formula>100</formula>
    </cfRule>
  </conditionalFormatting>
  <conditionalFormatting sqref="T78 E78 I78 O78">
    <cfRule type="cellIs" dxfId="75" priority="75" operator="notEqual">
      <formula>100</formula>
    </cfRule>
  </conditionalFormatting>
  <conditionalFormatting sqref="T80 E80 I80 O80">
    <cfRule type="cellIs" dxfId="74" priority="74" operator="notEqual">
      <formula>100</formula>
    </cfRule>
  </conditionalFormatting>
  <conditionalFormatting sqref="T81 E81 I81 O81">
    <cfRule type="cellIs" dxfId="73" priority="73" operator="notEqual">
      <formula>100</formula>
    </cfRule>
  </conditionalFormatting>
  <conditionalFormatting sqref="T82 E82 I82 O82">
    <cfRule type="cellIs" dxfId="72" priority="72" operator="notEqual">
      <formula>100</formula>
    </cfRule>
  </conditionalFormatting>
  <conditionalFormatting sqref="T83 E83 I83 O83">
    <cfRule type="cellIs" dxfId="71" priority="71" operator="notEqual">
      <formula>100</formula>
    </cfRule>
  </conditionalFormatting>
  <conditionalFormatting sqref="T84 E84 I84 O84">
    <cfRule type="cellIs" dxfId="70" priority="70" operator="notEqual">
      <formula>100</formula>
    </cfRule>
  </conditionalFormatting>
  <conditionalFormatting sqref="T85 E85 I85 O85">
    <cfRule type="cellIs" dxfId="69" priority="69" operator="notEqual">
      <formula>100</formula>
    </cfRule>
  </conditionalFormatting>
  <conditionalFormatting sqref="T86 E86 I86 O86">
    <cfRule type="cellIs" dxfId="68" priority="68" operator="notEqual">
      <formula>100</formula>
    </cfRule>
  </conditionalFormatting>
  <conditionalFormatting sqref="T87 E87 I87 O87">
    <cfRule type="cellIs" dxfId="67" priority="67" operator="notEqual">
      <formula>100</formula>
    </cfRule>
  </conditionalFormatting>
  <conditionalFormatting sqref="T93 E93 I93 O93">
    <cfRule type="cellIs" dxfId="66" priority="66" operator="notEqual">
      <formula>100</formula>
    </cfRule>
  </conditionalFormatting>
  <conditionalFormatting sqref="T94 E94 I94 O94">
    <cfRule type="cellIs" dxfId="65" priority="65" operator="notEqual">
      <formula>100</formula>
    </cfRule>
  </conditionalFormatting>
  <conditionalFormatting sqref="T95 E95 I95 O95">
    <cfRule type="cellIs" dxfId="64" priority="64" operator="notEqual">
      <formula>100</formula>
    </cfRule>
  </conditionalFormatting>
  <conditionalFormatting sqref="T98 E98 I98 O98">
    <cfRule type="cellIs" dxfId="63" priority="63" operator="notEqual">
      <formula>100</formula>
    </cfRule>
  </conditionalFormatting>
  <conditionalFormatting sqref="T103 E103 I103 O103">
    <cfRule type="cellIs" dxfId="62" priority="62" operator="notEqual">
      <formula>100</formula>
    </cfRule>
  </conditionalFormatting>
  <conditionalFormatting sqref="T105 E105 I105 O105">
    <cfRule type="cellIs" dxfId="61" priority="61" operator="notEqual">
      <formula>100</formula>
    </cfRule>
  </conditionalFormatting>
  <conditionalFormatting sqref="T106 E106 I106 O106">
    <cfRule type="cellIs" dxfId="60" priority="60" operator="notEqual">
      <formula>100</formula>
    </cfRule>
  </conditionalFormatting>
  <conditionalFormatting sqref="T107 E107 I107 O107">
    <cfRule type="cellIs" dxfId="59" priority="59" operator="notEqual">
      <formula>100</formula>
    </cfRule>
  </conditionalFormatting>
  <conditionalFormatting sqref="T108 E108 I108 O108">
    <cfRule type="cellIs" dxfId="58" priority="58" operator="notEqual">
      <formula>100</formula>
    </cfRule>
  </conditionalFormatting>
  <conditionalFormatting sqref="T109 E109 I109 O109">
    <cfRule type="cellIs" dxfId="57" priority="57" operator="notEqual">
      <formula>100</formula>
    </cfRule>
  </conditionalFormatting>
  <conditionalFormatting sqref="T133 E133 I133 O133">
    <cfRule type="cellIs" dxfId="56" priority="56" operator="notEqual">
      <formula>100</formula>
    </cfRule>
  </conditionalFormatting>
  <conditionalFormatting sqref="T134 E134 I134 O134">
    <cfRule type="cellIs" dxfId="55" priority="55" operator="notEqual">
      <formula>100</formula>
    </cfRule>
  </conditionalFormatting>
  <conditionalFormatting sqref="T135 E135 I135 O135">
    <cfRule type="cellIs" dxfId="54" priority="54" operator="notEqual">
      <formula>100</formula>
    </cfRule>
  </conditionalFormatting>
  <conditionalFormatting sqref="T136 E136 I136 O136">
    <cfRule type="cellIs" dxfId="53" priority="53" operator="notEqual">
      <formula>100</formula>
    </cfRule>
  </conditionalFormatting>
  <conditionalFormatting sqref="T137 E137 I137 O137">
    <cfRule type="cellIs" dxfId="52" priority="52" operator="notEqual">
      <formula>100</formula>
    </cfRule>
  </conditionalFormatting>
  <conditionalFormatting sqref="T138 E138 I138 O138">
    <cfRule type="cellIs" dxfId="51" priority="51" operator="notEqual">
      <formula>100</formula>
    </cfRule>
  </conditionalFormatting>
  <conditionalFormatting sqref="T144 E144 I144 O144">
    <cfRule type="cellIs" dxfId="50" priority="50" operator="notEqual">
      <formula>100</formula>
    </cfRule>
  </conditionalFormatting>
  <conditionalFormatting sqref="T149 E149 I149 O149">
    <cfRule type="cellIs" dxfId="49" priority="49" operator="notEqual">
      <formula>100</formula>
    </cfRule>
  </conditionalFormatting>
  <conditionalFormatting sqref="T157 E157 I157 O157">
    <cfRule type="cellIs" dxfId="48" priority="48" operator="notEqual">
      <formula>100</formula>
    </cfRule>
  </conditionalFormatting>
  <conditionalFormatting sqref="T166 E166 I166 O166">
    <cfRule type="cellIs" dxfId="47" priority="47" operator="notEqual">
      <formula>100</formula>
    </cfRule>
  </conditionalFormatting>
  <conditionalFormatting sqref="T142 I142 O142">
    <cfRule type="cellIs" dxfId="46" priority="45" operator="notEqual">
      <formula>100</formula>
    </cfRule>
  </conditionalFormatting>
  <conditionalFormatting sqref="T141 I141 O141">
    <cfRule type="cellIs" dxfId="45" priority="44" operator="notEqual">
      <formula>100</formula>
    </cfRule>
  </conditionalFormatting>
  <conditionalFormatting sqref="O146 T146">
    <cfRule type="cellIs" dxfId="44" priority="43" operator="notEqual">
      <formula>100</formula>
    </cfRule>
  </conditionalFormatting>
  <conditionalFormatting sqref="O147 T147">
    <cfRule type="cellIs" dxfId="43" priority="42" operator="notEqual">
      <formula>100</formula>
    </cfRule>
  </conditionalFormatting>
  <conditionalFormatting sqref="T44 I44 O44">
    <cfRule type="cellIs" dxfId="42" priority="41" operator="notEqual">
      <formula>100</formula>
    </cfRule>
  </conditionalFormatting>
  <conditionalFormatting sqref="T48 I48 O48">
    <cfRule type="cellIs" dxfId="41" priority="40" operator="notEqual">
      <formula>100</formula>
    </cfRule>
  </conditionalFormatting>
  <conditionalFormatting sqref="T49 I49 O49">
    <cfRule type="cellIs" dxfId="40" priority="39" operator="notEqual">
      <formula>100</formula>
    </cfRule>
  </conditionalFormatting>
  <conditionalFormatting sqref="T52 I52 O52">
    <cfRule type="cellIs" dxfId="39" priority="38" operator="notEqual">
      <formula>100</formula>
    </cfRule>
  </conditionalFormatting>
  <conditionalFormatting sqref="T53 I53 O53">
    <cfRule type="cellIs" dxfId="38" priority="37" operator="notEqual">
      <formula>100</formula>
    </cfRule>
  </conditionalFormatting>
  <conditionalFormatting sqref="T54 I54 O54">
    <cfRule type="cellIs" dxfId="37" priority="36" operator="notEqual">
      <formula>100</formula>
    </cfRule>
  </conditionalFormatting>
  <conditionalFormatting sqref="T55 I55 O55">
    <cfRule type="cellIs" dxfId="36" priority="35" operator="notEqual">
      <formula>100</formula>
    </cfRule>
  </conditionalFormatting>
  <conditionalFormatting sqref="T56 I56 O56">
    <cfRule type="cellIs" dxfId="35" priority="34" operator="notEqual">
      <formula>100</formula>
    </cfRule>
  </conditionalFormatting>
  <conditionalFormatting sqref="T60 I60 O60">
    <cfRule type="cellIs" dxfId="34" priority="33" operator="notEqual">
      <formula>100</formula>
    </cfRule>
  </conditionalFormatting>
  <conditionalFormatting sqref="T65 I65 O65">
    <cfRule type="cellIs" dxfId="33" priority="32" operator="notEqual">
      <formula>100</formula>
    </cfRule>
  </conditionalFormatting>
  <conditionalFormatting sqref="T66 I66 O66">
    <cfRule type="cellIs" dxfId="32" priority="31" operator="notEqual">
      <formula>100</formula>
    </cfRule>
  </conditionalFormatting>
  <conditionalFormatting sqref="T67 I67 O67">
    <cfRule type="cellIs" dxfId="31" priority="30" operator="notEqual">
      <formula>100</formula>
    </cfRule>
  </conditionalFormatting>
  <conditionalFormatting sqref="T68 I68 O68">
    <cfRule type="cellIs" dxfId="30" priority="29" operator="notEqual">
      <formula>100</formula>
    </cfRule>
  </conditionalFormatting>
  <conditionalFormatting sqref="T59 I59 O59">
    <cfRule type="cellIs" dxfId="29" priority="28" operator="notEqual">
      <formula>100</formula>
    </cfRule>
  </conditionalFormatting>
  <conditionalFormatting sqref="T76 I76 O76">
    <cfRule type="cellIs" dxfId="28" priority="27" operator="notEqual">
      <formula>100</formula>
    </cfRule>
  </conditionalFormatting>
  <conditionalFormatting sqref="T88 I88 O88">
    <cfRule type="cellIs" dxfId="27" priority="26" operator="notEqual">
      <formula>100</formula>
    </cfRule>
  </conditionalFormatting>
  <conditionalFormatting sqref="T89 I89 O89">
    <cfRule type="cellIs" dxfId="26" priority="25" operator="notEqual">
      <formula>100</formula>
    </cfRule>
  </conditionalFormatting>
  <conditionalFormatting sqref="O96 I96 T96">
    <cfRule type="cellIs" dxfId="25" priority="23" operator="notEqual">
      <formula>100</formula>
    </cfRule>
  </conditionalFormatting>
  <conditionalFormatting sqref="O97 I97 T97">
    <cfRule type="cellIs" dxfId="24" priority="22" operator="notEqual">
      <formula>100</formula>
    </cfRule>
  </conditionalFormatting>
  <conditionalFormatting sqref="T110 I110 O110">
    <cfRule type="cellIs" dxfId="23" priority="21" operator="notEqual">
      <formula>100</formula>
    </cfRule>
  </conditionalFormatting>
  <conditionalFormatting sqref="I111:I121 O111:O121 T111:T121">
    <cfRule type="cellIs" dxfId="22" priority="20" operator="notEqual">
      <formula>100</formula>
    </cfRule>
  </conditionalFormatting>
  <conditionalFormatting sqref="T122 I122 O122">
    <cfRule type="cellIs" dxfId="21" priority="19" operator="notEqual">
      <formula>100</formula>
    </cfRule>
  </conditionalFormatting>
  <conditionalFormatting sqref="T123 I123 O123">
    <cfRule type="cellIs" dxfId="20" priority="18" operator="notEqual">
      <formula>100</formula>
    </cfRule>
  </conditionalFormatting>
  <conditionalFormatting sqref="T124 I124 O124">
    <cfRule type="cellIs" dxfId="19" priority="17" operator="notEqual">
      <formula>100</formula>
    </cfRule>
  </conditionalFormatting>
  <conditionalFormatting sqref="T125 I125 O125">
    <cfRule type="cellIs" dxfId="18" priority="16" operator="notEqual">
      <formula>100</formula>
    </cfRule>
  </conditionalFormatting>
  <conditionalFormatting sqref="T126 I126 O126">
    <cfRule type="cellIs" dxfId="17" priority="15" operator="notEqual">
      <formula>100</formula>
    </cfRule>
  </conditionalFormatting>
  <conditionalFormatting sqref="I127:I132 O127:O132 T127:T132">
    <cfRule type="cellIs" dxfId="16" priority="14" operator="notEqual">
      <formula>100</formula>
    </cfRule>
  </conditionalFormatting>
  <conditionalFormatting sqref="O6 I6 T6">
    <cfRule type="cellIs" dxfId="15" priority="13" operator="notEqual">
      <formula>100</formula>
    </cfRule>
  </conditionalFormatting>
  <conditionalFormatting sqref="O14 I14 T14">
    <cfRule type="cellIs" dxfId="14" priority="12" operator="notEqual">
      <formula>100</formula>
    </cfRule>
  </conditionalFormatting>
  <conditionalFormatting sqref="O15 I15 T15">
    <cfRule type="cellIs" dxfId="13" priority="11" operator="notEqual">
      <formula>100</formula>
    </cfRule>
  </conditionalFormatting>
  <conditionalFormatting sqref="O16 I16 T16">
    <cfRule type="cellIs" dxfId="12" priority="10" operator="notEqual">
      <formula>100</formula>
    </cfRule>
  </conditionalFormatting>
  <conditionalFormatting sqref="O18 I18 T18">
    <cfRule type="cellIs" dxfId="11" priority="9" operator="notEqual">
      <formula>100</formula>
    </cfRule>
  </conditionalFormatting>
  <conditionalFormatting sqref="O19 I19 T19">
    <cfRule type="cellIs" dxfId="10" priority="8" operator="notEqual">
      <formula>100</formula>
    </cfRule>
  </conditionalFormatting>
  <conditionalFormatting sqref="O22 I22 T22">
    <cfRule type="cellIs" dxfId="9" priority="7" operator="notEqual">
      <formula>100</formula>
    </cfRule>
  </conditionalFormatting>
  <conditionalFormatting sqref="O24 I24 T24">
    <cfRule type="cellIs" dxfId="8" priority="6" operator="notEqual">
      <formula>100</formula>
    </cfRule>
  </conditionalFormatting>
  <conditionalFormatting sqref="O25 I25 T25">
    <cfRule type="cellIs" dxfId="7" priority="5" operator="notEqual">
      <formula>100</formula>
    </cfRule>
  </conditionalFormatting>
  <conditionalFormatting sqref="O41 I41 T41">
    <cfRule type="cellIs" dxfId="6" priority="4" operator="notEqual">
      <formula>100</formula>
    </cfRule>
  </conditionalFormatting>
  <conditionalFormatting sqref="O91 I91 T91">
    <cfRule type="cellIs" dxfId="5" priority="3" operator="notEqual">
      <formula>100</formula>
    </cfRule>
  </conditionalFormatting>
  <conditionalFormatting sqref="T171 E171 I171 O171">
    <cfRule type="cellIs" dxfId="4" priority="2" operator="notEqual">
      <formula>100</formula>
    </cfRule>
  </conditionalFormatting>
  <conditionalFormatting sqref="E172:E178 I172:I178 O172:O178 T172:T178">
    <cfRule type="cellIs" dxfId="3" priority="1" operator="notEqual">
      <formula>100</formula>
    </cfRule>
  </conditionalFormatting>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D6E33-24B9-46AB-8C0C-B9AE70A8D6D8}">
  <sheetPr>
    <tabColor theme="9"/>
  </sheetPr>
  <dimension ref="A1:O139"/>
  <sheetViews>
    <sheetView zoomScale="80" zoomScaleNormal="80" workbookViewId="0">
      <pane ySplit="1" topLeftCell="A2" activePane="bottomLeft" state="frozen"/>
      <selection pane="bottomLeft" activeCell="A30" sqref="A30:XFD30"/>
    </sheetView>
  </sheetViews>
  <sheetFormatPr defaultRowHeight="14.25" x14ac:dyDescent="0.45"/>
  <cols>
    <col min="1" max="1" width="16" bestFit="1" customWidth="1"/>
    <col min="2" max="2" width="42" bestFit="1" customWidth="1"/>
    <col min="3" max="3" width="3.796875" style="64" customWidth="1"/>
    <col min="4" max="4" width="3.796875" customWidth="1"/>
    <col min="5" max="5" width="3.796875" style="257" customWidth="1"/>
    <col min="6" max="7" width="3.796875" customWidth="1"/>
    <col min="8" max="8" width="3.796875" style="257" customWidth="1"/>
    <col min="9" max="11" width="3.796875" customWidth="1"/>
    <col min="12" max="12" width="3.796875" style="257" customWidth="1"/>
    <col min="13" max="14" width="3.796875" customWidth="1"/>
    <col min="15" max="15" width="3.796875" style="257" customWidth="1"/>
  </cols>
  <sheetData>
    <row r="1" spans="1:15" ht="79.150000000000006" x14ac:dyDescent="0.45">
      <c r="A1" s="301" t="s">
        <v>135</v>
      </c>
      <c r="B1" s="302" t="s">
        <v>136</v>
      </c>
      <c r="C1" s="329" t="s">
        <v>2627</v>
      </c>
      <c r="D1" s="330" t="s">
        <v>2629</v>
      </c>
      <c r="E1" s="331" t="s">
        <v>2628</v>
      </c>
      <c r="F1" s="330" t="s">
        <v>2751</v>
      </c>
      <c r="G1" s="330" t="s">
        <v>2754</v>
      </c>
      <c r="H1" s="331" t="s">
        <v>2755</v>
      </c>
      <c r="I1" s="330" t="s">
        <v>2757</v>
      </c>
      <c r="J1" s="330" t="s">
        <v>2752</v>
      </c>
      <c r="K1" s="330" t="s">
        <v>2760</v>
      </c>
      <c r="L1" s="331" t="s">
        <v>2761</v>
      </c>
      <c r="M1" s="330" t="s">
        <v>2763</v>
      </c>
      <c r="N1" s="330" t="s">
        <v>2766</v>
      </c>
      <c r="O1" s="331" t="s">
        <v>2767</v>
      </c>
    </row>
    <row r="2" spans="1:15" x14ac:dyDescent="0.45">
      <c r="A2" s="64" t="s">
        <v>2165</v>
      </c>
      <c r="B2" t="str">
        <f>VLOOKUP(A2,TV_Merged!E:F,2,FALSE)</f>
        <v>ANC visits</v>
      </c>
      <c r="C2">
        <v>100</v>
      </c>
      <c r="E2" s="257">
        <f t="shared" ref="E2:E19" si="0">SUM(C2:C2)</f>
        <v>100</v>
      </c>
      <c r="F2">
        <v>100</v>
      </c>
      <c r="H2" s="257">
        <f t="shared" ref="H2:H19" si="1">SUM(F2:F2)</f>
        <v>100</v>
      </c>
      <c r="I2">
        <v>50</v>
      </c>
      <c r="J2">
        <v>50</v>
      </c>
      <c r="L2" s="257">
        <f t="shared" ref="L2:L32" si="2">SUM(I2:K2)</f>
        <v>100</v>
      </c>
      <c r="M2">
        <v>100</v>
      </c>
      <c r="O2" s="257">
        <f t="shared" ref="O2:O32" si="3">SUM(M2:N2)</f>
        <v>100</v>
      </c>
    </row>
    <row r="3" spans="1:15" x14ac:dyDescent="0.45">
      <c r="A3" s="64" t="s">
        <v>2191</v>
      </c>
      <c r="B3" t="str">
        <f>VLOOKUP(A3,TV_Merged!E:F,2,FALSE)</f>
        <v>PNC home visits</v>
      </c>
      <c r="C3">
        <v>100</v>
      </c>
      <c r="E3" s="257">
        <f t="shared" si="0"/>
        <v>100</v>
      </c>
      <c r="F3">
        <v>100</v>
      </c>
      <c r="H3" s="257">
        <f t="shared" si="1"/>
        <v>100</v>
      </c>
      <c r="I3">
        <v>50</v>
      </c>
      <c r="J3">
        <v>50</v>
      </c>
      <c r="L3" s="257">
        <f t="shared" si="2"/>
        <v>100</v>
      </c>
      <c r="M3">
        <v>100</v>
      </c>
      <c r="O3" s="257">
        <f t="shared" si="3"/>
        <v>100</v>
      </c>
    </row>
    <row r="4" spans="1:15" x14ac:dyDescent="0.45">
      <c r="A4" s="64" t="s">
        <v>2207</v>
      </c>
      <c r="B4" t="str">
        <f>VLOOKUP(A4,TV_Merged!E:F,2,FALSE)</f>
        <v>Mortality surveillance</v>
      </c>
      <c r="C4">
        <v>100</v>
      </c>
      <c r="E4" s="257">
        <f t="shared" si="0"/>
        <v>100</v>
      </c>
      <c r="F4">
        <v>100</v>
      </c>
      <c r="H4" s="257">
        <f t="shared" si="1"/>
        <v>100</v>
      </c>
      <c r="I4">
        <v>50</v>
      </c>
      <c r="J4">
        <v>50</v>
      </c>
      <c r="L4" s="257">
        <f t="shared" si="2"/>
        <v>100</v>
      </c>
      <c r="M4">
        <v>100</v>
      </c>
      <c r="O4" s="257">
        <f t="shared" si="3"/>
        <v>100</v>
      </c>
    </row>
    <row r="5" spans="1:15" x14ac:dyDescent="0.45">
      <c r="A5" s="64" t="s">
        <v>2768</v>
      </c>
      <c r="B5" t="str">
        <f>VLOOKUP(A5,TV_Merged!E:F,2,FALSE)</f>
        <v>ID fistula and prolapse</v>
      </c>
      <c r="C5">
        <v>100</v>
      </c>
      <c r="E5" s="257">
        <f t="shared" si="0"/>
        <v>100</v>
      </c>
      <c r="F5">
        <v>100</v>
      </c>
      <c r="H5" s="257">
        <f t="shared" si="1"/>
        <v>100</v>
      </c>
      <c r="I5">
        <v>50</v>
      </c>
      <c r="J5">
        <v>50</v>
      </c>
      <c r="L5" s="257">
        <f t="shared" si="2"/>
        <v>100</v>
      </c>
      <c r="M5">
        <v>100</v>
      </c>
      <c r="O5" s="257">
        <f t="shared" si="3"/>
        <v>100</v>
      </c>
    </row>
    <row r="6" spans="1:15" x14ac:dyDescent="0.45">
      <c r="A6" s="64" t="s">
        <v>2769</v>
      </c>
      <c r="B6" t="str">
        <f>VLOOKUP(A6,TV_Merged!E:F,2,FALSE)</f>
        <v>Promote cervical cancer ID and treat</v>
      </c>
      <c r="C6">
        <v>100</v>
      </c>
      <c r="E6" s="257">
        <f t="shared" si="0"/>
        <v>100</v>
      </c>
      <c r="F6">
        <v>100</v>
      </c>
      <c r="H6" s="257">
        <f t="shared" si="1"/>
        <v>100</v>
      </c>
      <c r="I6">
        <v>50</v>
      </c>
      <c r="J6">
        <v>50</v>
      </c>
      <c r="L6" s="257">
        <f t="shared" si="2"/>
        <v>100</v>
      </c>
      <c r="M6">
        <v>100</v>
      </c>
      <c r="O6" s="257">
        <f t="shared" si="3"/>
        <v>100</v>
      </c>
    </row>
    <row r="7" spans="1:15" x14ac:dyDescent="0.45">
      <c r="A7" s="64" t="s">
        <v>2630</v>
      </c>
      <c r="B7" t="str">
        <f>VLOOKUP(A7,TV_Merged!E:F,2,FALSE)</f>
        <v>Newborn care</v>
      </c>
      <c r="C7">
        <v>100</v>
      </c>
      <c r="E7" s="257">
        <f t="shared" si="0"/>
        <v>100</v>
      </c>
      <c r="F7">
        <v>100</v>
      </c>
      <c r="H7" s="257">
        <f t="shared" si="1"/>
        <v>100</v>
      </c>
      <c r="I7">
        <v>50</v>
      </c>
      <c r="J7">
        <v>50</v>
      </c>
      <c r="L7" s="257">
        <f t="shared" si="2"/>
        <v>100</v>
      </c>
      <c r="M7">
        <v>100</v>
      </c>
      <c r="O7" s="257">
        <f t="shared" si="3"/>
        <v>100</v>
      </c>
    </row>
    <row r="8" spans="1:15" x14ac:dyDescent="0.45">
      <c r="A8" s="64" t="s">
        <v>2632</v>
      </c>
      <c r="B8" t="str">
        <f>VLOOKUP(A8,TV_Merged!E:F,2,FALSE)</f>
        <v>Kangaroo care</v>
      </c>
      <c r="C8">
        <v>100</v>
      </c>
      <c r="E8" s="257">
        <f t="shared" si="0"/>
        <v>100</v>
      </c>
      <c r="F8">
        <v>100</v>
      </c>
      <c r="H8" s="257">
        <f t="shared" si="1"/>
        <v>100</v>
      </c>
      <c r="I8">
        <v>50</v>
      </c>
      <c r="J8">
        <v>50</v>
      </c>
      <c r="L8" s="257">
        <f t="shared" si="2"/>
        <v>100</v>
      </c>
      <c r="M8">
        <v>100</v>
      </c>
      <c r="O8" s="257">
        <f t="shared" si="3"/>
        <v>100</v>
      </c>
    </row>
    <row r="9" spans="1:15" x14ac:dyDescent="0.45">
      <c r="A9" s="64" t="s">
        <v>2633</v>
      </c>
      <c r="B9" t="str">
        <f>VLOOKUP(A9,TV_Merged!E:F,2,FALSE)</f>
        <v>Refer congenital anomalies</v>
      </c>
      <c r="C9">
        <v>100</v>
      </c>
      <c r="E9" s="257">
        <f t="shared" si="0"/>
        <v>100</v>
      </c>
      <c r="F9">
        <v>100</v>
      </c>
      <c r="H9" s="257">
        <f t="shared" si="1"/>
        <v>100</v>
      </c>
      <c r="I9">
        <v>50</v>
      </c>
      <c r="J9">
        <v>50</v>
      </c>
      <c r="L9" s="257">
        <f t="shared" si="2"/>
        <v>100</v>
      </c>
      <c r="M9">
        <v>100</v>
      </c>
      <c r="O9" s="257">
        <f t="shared" si="3"/>
        <v>100</v>
      </c>
    </row>
    <row r="10" spans="1:15" x14ac:dyDescent="0.45">
      <c r="A10" s="64" t="s">
        <v>2225</v>
      </c>
      <c r="B10" t="str">
        <f>VLOOKUP(A10,TV_Merged!E:F,2,FALSE)</f>
        <v>Pneumonia (ARI)</v>
      </c>
      <c r="C10">
        <v>100</v>
      </c>
      <c r="E10" s="257">
        <f t="shared" si="0"/>
        <v>100</v>
      </c>
      <c r="F10">
        <v>100</v>
      </c>
      <c r="H10" s="257">
        <f t="shared" si="1"/>
        <v>100</v>
      </c>
      <c r="I10">
        <v>50</v>
      </c>
      <c r="J10">
        <v>50</v>
      </c>
      <c r="L10" s="257">
        <f t="shared" si="2"/>
        <v>100</v>
      </c>
      <c r="M10">
        <v>100</v>
      </c>
      <c r="O10" s="257">
        <f t="shared" si="3"/>
        <v>100</v>
      </c>
    </row>
    <row r="11" spans="1:15" x14ac:dyDescent="0.45">
      <c r="A11" s="64" t="s">
        <v>2227</v>
      </c>
      <c r="B11" t="str">
        <f>VLOOKUP(A11,TV_Merged!E:F,2,FALSE)</f>
        <v>Diarrhea</v>
      </c>
      <c r="C11">
        <v>100</v>
      </c>
      <c r="E11" s="257">
        <f t="shared" si="0"/>
        <v>100</v>
      </c>
      <c r="F11">
        <v>100</v>
      </c>
      <c r="H11" s="257">
        <f t="shared" si="1"/>
        <v>100</v>
      </c>
      <c r="I11">
        <v>50</v>
      </c>
      <c r="J11">
        <v>50</v>
      </c>
      <c r="L11" s="257">
        <f t="shared" si="2"/>
        <v>100</v>
      </c>
      <c r="M11">
        <v>100</v>
      </c>
      <c r="O11" s="257">
        <f t="shared" si="3"/>
        <v>100</v>
      </c>
    </row>
    <row r="12" spans="1:15" x14ac:dyDescent="0.45">
      <c r="A12" s="64" t="s">
        <v>2228</v>
      </c>
      <c r="B12" t="str">
        <f>VLOOKUP(A12,TV_Merged!E:F,2,FALSE)</f>
        <v>Parasites</v>
      </c>
      <c r="C12">
        <v>100</v>
      </c>
      <c r="E12" s="257">
        <f t="shared" si="0"/>
        <v>100</v>
      </c>
      <c r="F12">
        <v>100</v>
      </c>
      <c r="H12" s="257">
        <f t="shared" si="1"/>
        <v>100</v>
      </c>
      <c r="I12">
        <v>50</v>
      </c>
      <c r="J12">
        <v>50</v>
      </c>
      <c r="L12" s="257">
        <f t="shared" si="2"/>
        <v>100</v>
      </c>
      <c r="M12">
        <v>100</v>
      </c>
      <c r="O12" s="257">
        <f t="shared" si="3"/>
        <v>100</v>
      </c>
    </row>
    <row r="13" spans="1:15" x14ac:dyDescent="0.45">
      <c r="A13" s="64" t="s">
        <v>2637</v>
      </c>
      <c r="B13" t="str">
        <f>VLOOKUP(A13,TV_Merged!E:F,2,FALSE)</f>
        <v>Deworming &amp; VitA</v>
      </c>
      <c r="C13">
        <v>100</v>
      </c>
      <c r="E13" s="257">
        <f t="shared" si="0"/>
        <v>100</v>
      </c>
      <c r="F13">
        <v>100</v>
      </c>
      <c r="H13" s="257">
        <f t="shared" si="1"/>
        <v>100</v>
      </c>
      <c r="I13">
        <v>50</v>
      </c>
      <c r="J13">
        <v>50</v>
      </c>
      <c r="L13" s="257">
        <f t="shared" si="2"/>
        <v>100</v>
      </c>
      <c r="M13">
        <v>100</v>
      </c>
      <c r="O13" s="257">
        <f t="shared" si="3"/>
        <v>100</v>
      </c>
    </row>
    <row r="14" spans="1:15" x14ac:dyDescent="0.45">
      <c r="A14" s="64" t="s">
        <v>2638</v>
      </c>
      <c r="B14" t="str">
        <f>VLOOKUP(A14,TV_Merged!E:F,2,FALSE)</f>
        <v>Paediatric palliative</v>
      </c>
      <c r="C14">
        <v>100</v>
      </c>
      <c r="E14" s="257">
        <f t="shared" si="0"/>
        <v>100</v>
      </c>
      <c r="F14">
        <v>100</v>
      </c>
      <c r="H14" s="257">
        <f t="shared" si="1"/>
        <v>100</v>
      </c>
      <c r="I14">
        <v>50</v>
      </c>
      <c r="J14">
        <v>50</v>
      </c>
      <c r="L14" s="257">
        <f t="shared" si="2"/>
        <v>100</v>
      </c>
      <c r="M14">
        <v>100</v>
      </c>
      <c r="O14" s="257">
        <f t="shared" si="3"/>
        <v>100</v>
      </c>
    </row>
    <row r="15" spans="1:15" x14ac:dyDescent="0.45">
      <c r="A15" s="64" t="s">
        <v>2641</v>
      </c>
      <c r="B15" t="str">
        <f>VLOOKUP(A15,TV_Merged!E:F,2,FALSE)</f>
        <v>Child abuse</v>
      </c>
      <c r="C15">
        <v>100</v>
      </c>
      <c r="E15" s="257">
        <f t="shared" si="0"/>
        <v>100</v>
      </c>
      <c r="F15">
        <v>100</v>
      </c>
      <c r="H15" s="257">
        <f t="shared" si="1"/>
        <v>100</v>
      </c>
      <c r="I15">
        <v>50</v>
      </c>
      <c r="J15">
        <v>50</v>
      </c>
      <c r="L15" s="257">
        <f t="shared" si="2"/>
        <v>100</v>
      </c>
      <c r="M15">
        <v>100</v>
      </c>
      <c r="O15" s="257">
        <f t="shared" si="3"/>
        <v>100</v>
      </c>
    </row>
    <row r="16" spans="1:15" x14ac:dyDescent="0.45">
      <c r="A16" s="64" t="s">
        <v>2642</v>
      </c>
      <c r="B16" t="str">
        <f>VLOOKUP(A16,TV_Merged!E:F,2,FALSE)</f>
        <v>Social services</v>
      </c>
      <c r="C16">
        <v>100</v>
      </c>
      <c r="E16" s="257">
        <f t="shared" si="0"/>
        <v>100</v>
      </c>
      <c r="F16">
        <v>100</v>
      </c>
      <c r="H16" s="257">
        <f t="shared" si="1"/>
        <v>100</v>
      </c>
      <c r="I16">
        <v>50</v>
      </c>
      <c r="J16">
        <v>50</v>
      </c>
      <c r="L16" s="257">
        <f t="shared" si="2"/>
        <v>100</v>
      </c>
      <c r="M16">
        <v>100</v>
      </c>
      <c r="O16" s="257">
        <f t="shared" si="3"/>
        <v>100</v>
      </c>
    </row>
    <row r="17" spans="1:15" x14ac:dyDescent="0.45">
      <c r="A17" s="64" t="s">
        <v>2253</v>
      </c>
      <c r="B17" t="str">
        <f>VLOOKUP(A17,TV_Merged!E:F,2,FALSE)</f>
        <v>Promotion of immunization</v>
      </c>
      <c r="C17">
        <v>100</v>
      </c>
      <c r="E17" s="257">
        <f t="shared" si="0"/>
        <v>100</v>
      </c>
      <c r="F17">
        <v>100</v>
      </c>
      <c r="H17" s="257">
        <f t="shared" si="1"/>
        <v>100</v>
      </c>
      <c r="I17">
        <v>50</v>
      </c>
      <c r="J17">
        <v>50</v>
      </c>
      <c r="L17" s="257">
        <f t="shared" si="2"/>
        <v>100</v>
      </c>
      <c r="M17">
        <v>100</v>
      </c>
      <c r="O17" s="257">
        <f t="shared" si="3"/>
        <v>100</v>
      </c>
    </row>
    <row r="18" spans="1:15" x14ac:dyDescent="0.45">
      <c r="A18" s="64" t="s">
        <v>2259</v>
      </c>
      <c r="B18" t="str">
        <f>VLOOKUP(A18,TV_Merged!E:F,2,FALSE)</f>
        <v>RI birth</v>
      </c>
      <c r="C18">
        <v>100</v>
      </c>
      <c r="E18" s="257">
        <f t="shared" si="0"/>
        <v>100</v>
      </c>
      <c r="F18">
        <v>100</v>
      </c>
      <c r="H18" s="257">
        <f t="shared" si="1"/>
        <v>100</v>
      </c>
      <c r="I18">
        <v>50</v>
      </c>
      <c r="J18">
        <v>50</v>
      </c>
      <c r="L18" s="257">
        <f t="shared" si="2"/>
        <v>100</v>
      </c>
      <c r="M18">
        <v>100</v>
      </c>
      <c r="O18" s="257">
        <f t="shared" si="3"/>
        <v>100</v>
      </c>
    </row>
    <row r="19" spans="1:15" x14ac:dyDescent="0.45">
      <c r="A19" s="64" t="s">
        <v>2260</v>
      </c>
      <c r="B19" t="str">
        <f>VLOOKUP(A19,TV_Merged!E:F,2,FALSE)</f>
        <v>RI 1st year</v>
      </c>
      <c r="C19">
        <v>100</v>
      </c>
      <c r="E19" s="257">
        <f t="shared" si="0"/>
        <v>100</v>
      </c>
      <c r="F19">
        <v>100</v>
      </c>
      <c r="H19" s="257">
        <f t="shared" si="1"/>
        <v>100</v>
      </c>
      <c r="I19">
        <v>50</v>
      </c>
      <c r="J19">
        <v>50</v>
      </c>
      <c r="L19" s="257">
        <f t="shared" si="2"/>
        <v>100</v>
      </c>
      <c r="M19">
        <v>100</v>
      </c>
      <c r="O19" s="257">
        <f t="shared" si="3"/>
        <v>100</v>
      </c>
    </row>
    <row r="20" spans="1:15" x14ac:dyDescent="0.45">
      <c r="A20" s="64" t="s">
        <v>2261</v>
      </c>
      <c r="B20" t="str">
        <f>VLOOKUP(A20,TV_Merged!E:F,2,FALSE)</f>
        <v>RI 2nd year</v>
      </c>
      <c r="C20">
        <v>100</v>
      </c>
      <c r="E20" s="257">
        <f t="shared" ref="E20:E88" si="4">SUM(C20:D20)</f>
        <v>100</v>
      </c>
      <c r="F20">
        <v>100</v>
      </c>
      <c r="H20" s="257">
        <f t="shared" ref="H20:H32" si="5">SUM(F20:G20)</f>
        <v>100</v>
      </c>
      <c r="I20">
        <v>50</v>
      </c>
      <c r="J20">
        <v>50</v>
      </c>
      <c r="L20" s="257">
        <f t="shared" si="2"/>
        <v>100</v>
      </c>
      <c r="M20">
        <v>100</v>
      </c>
      <c r="O20" s="257">
        <f t="shared" si="3"/>
        <v>100</v>
      </c>
    </row>
    <row r="21" spans="1:15" x14ac:dyDescent="0.45">
      <c r="A21" s="64" t="s">
        <v>2262</v>
      </c>
      <c r="B21" t="str">
        <f>VLOOKUP(A21,TV_Merged!E:F,2,FALSE)</f>
        <v>RI Td CBA</v>
      </c>
      <c r="C21">
        <v>100</v>
      </c>
      <c r="E21" s="257">
        <f t="shared" si="4"/>
        <v>100</v>
      </c>
      <c r="F21">
        <v>100</v>
      </c>
      <c r="H21" s="257">
        <f t="shared" si="5"/>
        <v>100</v>
      </c>
      <c r="I21">
        <v>50</v>
      </c>
      <c r="J21">
        <v>50</v>
      </c>
      <c r="L21" s="257">
        <f t="shared" si="2"/>
        <v>100</v>
      </c>
      <c r="M21">
        <v>100</v>
      </c>
      <c r="O21" s="257">
        <f t="shared" si="3"/>
        <v>100</v>
      </c>
    </row>
    <row r="22" spans="1:15" x14ac:dyDescent="0.45">
      <c r="A22" s="64" t="s">
        <v>2254</v>
      </c>
      <c r="B22" t="str">
        <f>VLOOKUP(A22,TV_Merged!E:F,2,FALSE)</f>
        <v>SIAs</v>
      </c>
      <c r="C22">
        <v>100</v>
      </c>
      <c r="E22" s="257">
        <f t="shared" si="4"/>
        <v>100</v>
      </c>
      <c r="F22">
        <v>100</v>
      </c>
      <c r="H22" s="257">
        <f t="shared" si="5"/>
        <v>100</v>
      </c>
      <c r="I22">
        <v>50</v>
      </c>
      <c r="J22">
        <v>50</v>
      </c>
      <c r="L22" s="257">
        <f t="shared" si="2"/>
        <v>100</v>
      </c>
      <c r="M22">
        <v>100</v>
      </c>
      <c r="O22" s="257">
        <f t="shared" si="3"/>
        <v>100</v>
      </c>
    </row>
    <row r="23" spans="1:15" x14ac:dyDescent="0.45">
      <c r="A23" s="64" t="s">
        <v>2255</v>
      </c>
      <c r="B23" t="str">
        <f>VLOOKUP(A23,TV_Merged!E:F,2,FALSE)</f>
        <v>RI adverse effects</v>
      </c>
      <c r="C23">
        <v>100</v>
      </c>
      <c r="E23" s="257">
        <f t="shared" si="4"/>
        <v>100</v>
      </c>
      <c r="F23">
        <v>100</v>
      </c>
      <c r="H23" s="257">
        <f t="shared" si="5"/>
        <v>100</v>
      </c>
      <c r="I23">
        <v>50</v>
      </c>
      <c r="J23">
        <v>50</v>
      </c>
      <c r="L23" s="257">
        <f t="shared" si="2"/>
        <v>100</v>
      </c>
      <c r="M23">
        <v>100</v>
      </c>
      <c r="O23" s="257">
        <f t="shared" si="3"/>
        <v>100</v>
      </c>
    </row>
    <row r="24" spans="1:15" x14ac:dyDescent="0.45">
      <c r="A24" s="64" t="s">
        <v>2256</v>
      </c>
      <c r="B24" t="str">
        <f>VLOOKUP(A24,TV_Merged!E:F,2,FALSE)</f>
        <v>Outbreak detection &amp; response</v>
      </c>
      <c r="C24">
        <v>100</v>
      </c>
      <c r="E24" s="257">
        <f t="shared" si="4"/>
        <v>100</v>
      </c>
      <c r="F24">
        <v>100</v>
      </c>
      <c r="H24" s="257">
        <f t="shared" si="5"/>
        <v>100</v>
      </c>
      <c r="I24">
        <v>50</v>
      </c>
      <c r="J24">
        <v>50</v>
      </c>
      <c r="L24" s="257">
        <f t="shared" si="2"/>
        <v>100</v>
      </c>
      <c r="M24">
        <v>100</v>
      </c>
      <c r="O24" s="257">
        <f t="shared" si="3"/>
        <v>100</v>
      </c>
    </row>
    <row r="25" spans="1:15" x14ac:dyDescent="0.45">
      <c r="A25" s="64" t="s">
        <v>2257</v>
      </c>
      <c r="B25" t="str">
        <f>VLOOKUP(A25,TV_Merged!E:F,2,FALSE)</f>
        <v>Mobiliation &amp; promotion of EPI</v>
      </c>
      <c r="C25">
        <v>100</v>
      </c>
      <c r="E25" s="257">
        <f t="shared" si="4"/>
        <v>100</v>
      </c>
      <c r="F25">
        <v>100</v>
      </c>
      <c r="H25" s="257">
        <f t="shared" si="5"/>
        <v>100</v>
      </c>
      <c r="I25">
        <v>50</v>
      </c>
      <c r="J25">
        <v>50</v>
      </c>
      <c r="L25" s="257">
        <f t="shared" si="2"/>
        <v>100</v>
      </c>
      <c r="M25">
        <v>100</v>
      </c>
      <c r="O25" s="257">
        <f t="shared" si="3"/>
        <v>100</v>
      </c>
    </row>
    <row r="26" spans="1:15" x14ac:dyDescent="0.45">
      <c r="A26" s="64" t="s">
        <v>2258</v>
      </c>
      <c r="B26" t="str">
        <f>VLOOKUP(A26,TV_Merged!E:F,2,FALSE)</f>
        <v>VPD surveillance</v>
      </c>
      <c r="C26">
        <v>100</v>
      </c>
      <c r="E26" s="257">
        <f t="shared" si="4"/>
        <v>100</v>
      </c>
      <c r="F26">
        <v>100</v>
      </c>
      <c r="H26" s="257">
        <f t="shared" si="5"/>
        <v>100</v>
      </c>
      <c r="I26">
        <v>50</v>
      </c>
      <c r="J26">
        <v>50</v>
      </c>
      <c r="L26" s="257">
        <f t="shared" si="2"/>
        <v>100</v>
      </c>
      <c r="M26">
        <v>100</v>
      </c>
      <c r="O26" s="257">
        <f t="shared" si="3"/>
        <v>100</v>
      </c>
    </row>
    <row r="27" spans="1:15" x14ac:dyDescent="0.45">
      <c r="A27" s="64" t="s">
        <v>2293</v>
      </c>
      <c r="B27" t="str">
        <f>VLOOKUP(A27,TV_Merged!E:F,2,FALSE)</f>
        <v>FP consult first time</v>
      </c>
      <c r="C27">
        <v>100</v>
      </c>
      <c r="E27" s="257">
        <f t="shared" si="4"/>
        <v>100</v>
      </c>
      <c r="F27">
        <v>100</v>
      </c>
      <c r="H27" s="257">
        <f t="shared" si="5"/>
        <v>100</v>
      </c>
      <c r="I27">
        <v>50</v>
      </c>
      <c r="J27">
        <v>50</v>
      </c>
      <c r="L27" s="257">
        <f t="shared" si="2"/>
        <v>100</v>
      </c>
      <c r="M27">
        <v>100</v>
      </c>
      <c r="O27" s="257">
        <f t="shared" si="3"/>
        <v>100</v>
      </c>
    </row>
    <row r="28" spans="1:15" x14ac:dyDescent="0.45">
      <c r="A28" s="64" t="s">
        <v>2294</v>
      </c>
      <c r="B28" t="str">
        <f>VLOOKUP(A28,TV_Merged!E:F,2,FALSE)</f>
        <v>FP consult postpartum</v>
      </c>
      <c r="C28">
        <v>100</v>
      </c>
      <c r="E28" s="257">
        <f t="shared" si="4"/>
        <v>100</v>
      </c>
      <c r="F28">
        <v>100</v>
      </c>
      <c r="H28" s="257">
        <f t="shared" si="5"/>
        <v>100</v>
      </c>
      <c r="I28">
        <v>50</v>
      </c>
      <c r="J28">
        <v>50</v>
      </c>
      <c r="L28" s="257">
        <f t="shared" si="2"/>
        <v>100</v>
      </c>
      <c r="M28">
        <v>100</v>
      </c>
      <c r="O28" s="257">
        <f t="shared" si="3"/>
        <v>100</v>
      </c>
    </row>
    <row r="29" spans="1:15" x14ac:dyDescent="0.45">
      <c r="A29" s="64" t="s">
        <v>2295</v>
      </c>
      <c r="B29" t="str">
        <f>VLOOKUP(A29,TV_Merged!E:F,2,FALSE)</f>
        <v>FP consult switch</v>
      </c>
      <c r="C29">
        <v>100</v>
      </c>
      <c r="E29" s="257">
        <f t="shared" si="4"/>
        <v>100</v>
      </c>
      <c r="F29">
        <v>100</v>
      </c>
      <c r="H29" s="257">
        <f t="shared" si="5"/>
        <v>100</v>
      </c>
      <c r="I29">
        <v>50</v>
      </c>
      <c r="J29">
        <v>50</v>
      </c>
      <c r="L29" s="257">
        <f t="shared" si="2"/>
        <v>100</v>
      </c>
      <c r="M29">
        <v>100</v>
      </c>
      <c r="O29" s="257">
        <f t="shared" si="3"/>
        <v>100</v>
      </c>
    </row>
    <row r="30" spans="1:15" x14ac:dyDescent="0.45">
      <c r="A30" s="64" t="s">
        <v>2643</v>
      </c>
      <c r="B30" t="str">
        <f>VLOOKUP(A30,TV_Merged!E:F,2,FALSE)</f>
        <v>Provision of contraceptives</v>
      </c>
      <c r="C30">
        <v>100</v>
      </c>
      <c r="E30" s="257">
        <f t="shared" si="4"/>
        <v>100</v>
      </c>
      <c r="F30">
        <v>100</v>
      </c>
      <c r="H30" s="257">
        <f t="shared" si="5"/>
        <v>100</v>
      </c>
      <c r="I30">
        <v>50</v>
      </c>
      <c r="J30">
        <v>50</v>
      </c>
      <c r="L30" s="257">
        <f t="shared" si="2"/>
        <v>100</v>
      </c>
      <c r="M30">
        <v>100</v>
      </c>
      <c r="O30" s="257">
        <f t="shared" si="3"/>
        <v>100</v>
      </c>
    </row>
    <row r="31" spans="1:15" x14ac:dyDescent="0.45">
      <c r="A31" s="64" t="s">
        <v>2646</v>
      </c>
      <c r="B31" t="str">
        <f>VLOOKUP(A31,TV_Merged!E:F,2,FALSE)</f>
        <v>Psycho-social counseling</v>
      </c>
      <c r="C31">
        <v>100</v>
      </c>
      <c r="E31" s="257">
        <f t="shared" si="4"/>
        <v>100</v>
      </c>
      <c r="F31">
        <v>100</v>
      </c>
      <c r="H31" s="257">
        <f t="shared" si="5"/>
        <v>100</v>
      </c>
      <c r="I31">
        <v>50</v>
      </c>
      <c r="J31">
        <v>50</v>
      </c>
      <c r="L31" s="257">
        <f t="shared" si="2"/>
        <v>100</v>
      </c>
      <c r="M31">
        <v>100</v>
      </c>
      <c r="O31" s="257">
        <f t="shared" si="3"/>
        <v>100</v>
      </c>
    </row>
    <row r="32" spans="1:15" x14ac:dyDescent="0.45">
      <c r="A32" s="64" t="s">
        <v>2648</v>
      </c>
      <c r="B32" t="str">
        <f>VLOOKUP(A32,TV_Merged!E:F,2,FALSE)</f>
        <v>Post-abortion follow-up</v>
      </c>
      <c r="C32">
        <v>100</v>
      </c>
      <c r="E32" s="257">
        <f t="shared" si="4"/>
        <v>100</v>
      </c>
      <c r="F32">
        <v>100</v>
      </c>
      <c r="H32" s="257">
        <f t="shared" si="5"/>
        <v>100</v>
      </c>
      <c r="I32">
        <v>50</v>
      </c>
      <c r="J32">
        <v>50</v>
      </c>
      <c r="L32" s="257">
        <f t="shared" si="2"/>
        <v>100</v>
      </c>
      <c r="M32">
        <v>100</v>
      </c>
      <c r="O32" s="257">
        <f t="shared" si="3"/>
        <v>100</v>
      </c>
    </row>
    <row r="33" spans="1:15" x14ac:dyDescent="0.45">
      <c r="A33" s="64" t="s">
        <v>2649</v>
      </c>
      <c r="B33" t="str">
        <f>VLOOKUP(A33,TV_Merged!E:F,2,FALSE)</f>
        <v>Education on menstration</v>
      </c>
      <c r="C33">
        <v>100</v>
      </c>
      <c r="E33" s="257">
        <f t="shared" si="4"/>
        <v>100</v>
      </c>
      <c r="F33">
        <v>100</v>
      </c>
      <c r="H33" s="257">
        <f t="shared" ref="H33:H64" si="6">SUM(F33:G33)</f>
        <v>100</v>
      </c>
      <c r="I33">
        <v>50</v>
      </c>
      <c r="J33">
        <v>50</v>
      </c>
      <c r="L33" s="257">
        <f t="shared" ref="L33:L64" si="7">SUM(I33:K33)</f>
        <v>100</v>
      </c>
      <c r="M33">
        <v>100</v>
      </c>
      <c r="O33" s="257">
        <f t="shared" ref="O33:O64" si="8">SUM(M33:N33)</f>
        <v>100</v>
      </c>
    </row>
    <row r="34" spans="1:15" x14ac:dyDescent="0.45">
      <c r="A34" s="64" t="s">
        <v>2651</v>
      </c>
      <c r="B34" t="str">
        <f>VLOOKUP(A34,TV_Merged!E:F,2,FALSE)</f>
        <v>Promote self-breast exam</v>
      </c>
      <c r="C34">
        <v>100</v>
      </c>
      <c r="E34" s="257">
        <f t="shared" si="4"/>
        <v>100</v>
      </c>
      <c r="F34">
        <v>100</v>
      </c>
      <c r="H34" s="257">
        <f t="shared" si="6"/>
        <v>100</v>
      </c>
      <c r="I34">
        <v>50</v>
      </c>
      <c r="J34">
        <v>50</v>
      </c>
      <c r="L34" s="257">
        <f t="shared" si="7"/>
        <v>100</v>
      </c>
      <c r="M34">
        <v>100</v>
      </c>
      <c r="O34" s="257">
        <f t="shared" si="8"/>
        <v>100</v>
      </c>
    </row>
    <row r="35" spans="1:15" x14ac:dyDescent="0.45">
      <c r="A35" s="64" t="s">
        <v>2652</v>
      </c>
      <c r="B35" t="str">
        <f>VLOOKUP(A35,TV_Merged!E:F,2,FALSE)</f>
        <v>HPV vacination</v>
      </c>
      <c r="C35">
        <v>100</v>
      </c>
      <c r="E35" s="257">
        <f t="shared" si="4"/>
        <v>100</v>
      </c>
      <c r="F35">
        <v>100</v>
      </c>
      <c r="H35" s="257">
        <f t="shared" si="6"/>
        <v>100</v>
      </c>
      <c r="I35">
        <v>50</v>
      </c>
      <c r="J35">
        <v>50</v>
      </c>
      <c r="L35" s="257">
        <f t="shared" si="7"/>
        <v>100</v>
      </c>
      <c r="M35">
        <v>100</v>
      </c>
      <c r="O35" s="257">
        <f t="shared" si="8"/>
        <v>100</v>
      </c>
    </row>
    <row r="36" spans="1:15" x14ac:dyDescent="0.45">
      <c r="A36" s="64" t="s">
        <v>2653</v>
      </c>
      <c r="B36" t="str">
        <f>VLOOKUP(A36,TV_Merged!E:F,2,FALSE)</f>
        <v>Education on health &amp; wellbeing</v>
      </c>
      <c r="C36">
        <v>100</v>
      </c>
      <c r="E36" s="257">
        <f t="shared" si="4"/>
        <v>100</v>
      </c>
      <c r="F36">
        <v>100</v>
      </c>
      <c r="H36" s="257">
        <f t="shared" si="6"/>
        <v>100</v>
      </c>
      <c r="I36">
        <v>50</v>
      </c>
      <c r="J36">
        <v>50</v>
      </c>
      <c r="L36" s="257">
        <f t="shared" si="7"/>
        <v>100</v>
      </c>
      <c r="M36">
        <v>100</v>
      </c>
      <c r="O36" s="257">
        <f t="shared" si="8"/>
        <v>100</v>
      </c>
    </row>
    <row r="37" spans="1:15" x14ac:dyDescent="0.45">
      <c r="A37" s="64" t="s">
        <v>2654</v>
      </c>
      <c r="B37" t="str">
        <f>VLOOKUP(A37,TV_Merged!E:F,2,FALSE)</f>
        <v>Adolescent SRH</v>
      </c>
      <c r="C37">
        <v>100</v>
      </c>
      <c r="E37" s="257">
        <f t="shared" si="4"/>
        <v>100</v>
      </c>
      <c r="F37">
        <v>100</v>
      </c>
      <c r="H37" s="257">
        <f t="shared" si="6"/>
        <v>100</v>
      </c>
      <c r="I37">
        <v>50</v>
      </c>
      <c r="J37">
        <v>50</v>
      </c>
      <c r="L37" s="257">
        <f t="shared" si="7"/>
        <v>100</v>
      </c>
      <c r="M37">
        <v>100</v>
      </c>
      <c r="O37" s="257">
        <f t="shared" si="8"/>
        <v>100</v>
      </c>
    </row>
    <row r="38" spans="1:15" x14ac:dyDescent="0.45">
      <c r="A38" s="64" t="s">
        <v>2655</v>
      </c>
      <c r="B38" t="str">
        <f>VLOOKUP(A38,TV_Merged!E:F,2,FALSE)</f>
        <v>Provision of adolescent-friendly contraceptives</v>
      </c>
      <c r="C38">
        <v>100</v>
      </c>
      <c r="E38" s="257">
        <f t="shared" si="4"/>
        <v>100</v>
      </c>
      <c r="F38">
        <v>100</v>
      </c>
      <c r="H38" s="257">
        <f t="shared" si="6"/>
        <v>100</v>
      </c>
      <c r="I38">
        <v>50</v>
      </c>
      <c r="J38">
        <v>50</v>
      </c>
      <c r="L38" s="257">
        <f t="shared" si="7"/>
        <v>100</v>
      </c>
      <c r="M38">
        <v>100</v>
      </c>
      <c r="O38" s="257">
        <f t="shared" si="8"/>
        <v>100</v>
      </c>
    </row>
    <row r="39" spans="1:15" x14ac:dyDescent="0.45">
      <c r="A39" s="64" t="s">
        <v>2656</v>
      </c>
      <c r="B39" t="str">
        <f>VLOOKUP(A39,TV_Merged!E:F,2,FALSE)</f>
        <v>Education about GBV</v>
      </c>
      <c r="C39">
        <v>100</v>
      </c>
      <c r="E39" s="257">
        <f t="shared" si="4"/>
        <v>100</v>
      </c>
      <c r="F39">
        <v>100</v>
      </c>
      <c r="H39" s="257">
        <f t="shared" si="6"/>
        <v>100</v>
      </c>
      <c r="I39">
        <v>50</v>
      </c>
      <c r="J39">
        <v>50</v>
      </c>
      <c r="L39" s="257">
        <f t="shared" si="7"/>
        <v>100</v>
      </c>
      <c r="M39">
        <v>100</v>
      </c>
      <c r="O39" s="257">
        <f t="shared" si="8"/>
        <v>100</v>
      </c>
    </row>
    <row r="40" spans="1:15" x14ac:dyDescent="0.45">
      <c r="A40" s="64" t="s">
        <v>2657</v>
      </c>
      <c r="B40" t="str">
        <f>VLOOKUP(A40,TV_Merged!E:F,2,FALSE)</f>
        <v>Community dialogue about GBV</v>
      </c>
      <c r="C40">
        <v>100</v>
      </c>
      <c r="E40" s="257">
        <f t="shared" si="4"/>
        <v>100</v>
      </c>
      <c r="F40">
        <v>100</v>
      </c>
      <c r="H40" s="257">
        <f t="shared" si="6"/>
        <v>100</v>
      </c>
      <c r="I40">
        <v>50</v>
      </c>
      <c r="J40">
        <v>50</v>
      </c>
      <c r="L40" s="257">
        <f t="shared" si="7"/>
        <v>100</v>
      </c>
      <c r="M40">
        <v>100</v>
      </c>
      <c r="O40" s="257">
        <f t="shared" si="8"/>
        <v>100</v>
      </c>
    </row>
    <row r="41" spans="1:15" x14ac:dyDescent="0.45">
      <c r="A41" s="64" t="s">
        <v>2662</v>
      </c>
      <c r="B41" t="str">
        <f>VLOOKUP(A41,TV_Merged!E:F,2,FALSE)</f>
        <v>Psycho-social support for GBV</v>
      </c>
      <c r="C41">
        <v>100</v>
      </c>
      <c r="E41" s="257">
        <f t="shared" si="4"/>
        <v>100</v>
      </c>
      <c r="F41">
        <v>100</v>
      </c>
      <c r="H41" s="257">
        <f t="shared" si="6"/>
        <v>100</v>
      </c>
      <c r="I41">
        <v>50</v>
      </c>
      <c r="J41">
        <v>50</v>
      </c>
      <c r="L41" s="257">
        <f t="shared" si="7"/>
        <v>100</v>
      </c>
      <c r="M41">
        <v>100</v>
      </c>
      <c r="O41" s="257">
        <f t="shared" si="8"/>
        <v>100</v>
      </c>
    </row>
    <row r="42" spans="1:15" x14ac:dyDescent="0.45">
      <c r="A42" s="64" t="s">
        <v>2663</v>
      </c>
      <c r="B42" t="str">
        <f>VLOOKUP(A42,TV_Merged!E:F,2,FALSE)</f>
        <v>Adovacy against HTP</v>
      </c>
      <c r="C42">
        <v>100</v>
      </c>
      <c r="E42" s="257">
        <f t="shared" si="4"/>
        <v>100</v>
      </c>
      <c r="F42">
        <v>100</v>
      </c>
      <c r="H42" s="257">
        <f t="shared" si="6"/>
        <v>100</v>
      </c>
      <c r="I42">
        <v>50</v>
      </c>
      <c r="J42">
        <v>50</v>
      </c>
      <c r="L42" s="257">
        <f t="shared" si="7"/>
        <v>100</v>
      </c>
      <c r="M42">
        <v>100</v>
      </c>
      <c r="O42" s="257">
        <f t="shared" si="8"/>
        <v>100</v>
      </c>
    </row>
    <row r="43" spans="1:15" x14ac:dyDescent="0.45">
      <c r="A43" s="64" t="s">
        <v>2666</v>
      </c>
      <c r="B43" t="str">
        <f>VLOOKUP(A43,TV_Merged!E:F,2,FALSE)</f>
        <v>SRH counseling for men</v>
      </c>
      <c r="C43">
        <v>100</v>
      </c>
      <c r="E43" s="257">
        <f t="shared" si="4"/>
        <v>100</v>
      </c>
      <c r="F43">
        <v>100</v>
      </c>
      <c r="H43" s="257">
        <f t="shared" si="6"/>
        <v>100</v>
      </c>
      <c r="I43">
        <v>50</v>
      </c>
      <c r="J43">
        <v>50</v>
      </c>
      <c r="L43" s="257">
        <f t="shared" si="7"/>
        <v>100</v>
      </c>
      <c r="M43">
        <v>100</v>
      </c>
      <c r="O43" s="257">
        <f t="shared" si="8"/>
        <v>100</v>
      </c>
    </row>
    <row r="44" spans="1:15" x14ac:dyDescent="0.45">
      <c r="A44" s="64" t="s">
        <v>2667</v>
      </c>
      <c r="B44" t="str">
        <f>VLOOKUP(A44,TV_Merged!E:F,2,FALSE)</f>
        <v>Promote breast feeding</v>
      </c>
      <c r="C44">
        <v>100</v>
      </c>
      <c r="E44" s="257">
        <f t="shared" si="4"/>
        <v>100</v>
      </c>
      <c r="F44">
        <v>100</v>
      </c>
      <c r="H44" s="257">
        <f t="shared" si="6"/>
        <v>100</v>
      </c>
      <c r="I44">
        <v>50</v>
      </c>
      <c r="J44">
        <v>50</v>
      </c>
      <c r="L44" s="257">
        <f t="shared" si="7"/>
        <v>100</v>
      </c>
      <c r="M44">
        <v>100</v>
      </c>
      <c r="O44" s="257">
        <f t="shared" si="8"/>
        <v>100</v>
      </c>
    </row>
    <row r="45" spans="1:15" x14ac:dyDescent="0.45">
      <c r="A45" s="64" t="s">
        <v>2668</v>
      </c>
      <c r="B45" t="str">
        <f>VLOOKUP(A45,TV_Merged!E:F,2,FALSE)</f>
        <v>Nutritional screening during pregnancy</v>
      </c>
      <c r="C45">
        <v>100</v>
      </c>
      <c r="E45" s="257">
        <f t="shared" si="4"/>
        <v>100</v>
      </c>
      <c r="F45">
        <v>100</v>
      </c>
      <c r="H45" s="257">
        <f t="shared" si="6"/>
        <v>100</v>
      </c>
      <c r="I45">
        <v>50</v>
      </c>
      <c r="J45">
        <v>50</v>
      </c>
      <c r="L45" s="257">
        <f t="shared" si="7"/>
        <v>100</v>
      </c>
      <c r="M45">
        <v>100</v>
      </c>
      <c r="O45" s="257">
        <f t="shared" si="8"/>
        <v>100</v>
      </c>
    </row>
    <row r="46" spans="1:15" x14ac:dyDescent="0.45">
      <c r="A46" s="64" t="s">
        <v>2669</v>
      </c>
      <c r="B46" t="str">
        <f>VLOOKUP(A46,TV_Merged!E:F,2,FALSE)</f>
        <v>Monthly monitoring</v>
      </c>
      <c r="C46">
        <v>100</v>
      </c>
      <c r="E46" s="257">
        <f t="shared" si="4"/>
        <v>100</v>
      </c>
      <c r="F46">
        <v>100</v>
      </c>
      <c r="H46" s="257">
        <f t="shared" si="6"/>
        <v>100</v>
      </c>
      <c r="I46">
        <v>50</v>
      </c>
      <c r="J46">
        <v>50</v>
      </c>
      <c r="L46" s="257">
        <f t="shared" si="7"/>
        <v>100</v>
      </c>
      <c r="M46">
        <v>100</v>
      </c>
      <c r="O46" s="257">
        <f t="shared" si="8"/>
        <v>100</v>
      </c>
    </row>
    <row r="47" spans="1:15" x14ac:dyDescent="0.45">
      <c r="A47" s="64" t="s">
        <v>2670</v>
      </c>
      <c r="B47" t="str">
        <f>VLOOKUP(A47,TV_Merged!E:F,2,FALSE)</f>
        <v>MUAC and oedema screening</v>
      </c>
      <c r="C47">
        <v>100</v>
      </c>
      <c r="E47" s="257">
        <f t="shared" si="4"/>
        <v>100</v>
      </c>
      <c r="F47">
        <v>100</v>
      </c>
      <c r="H47" s="257">
        <f t="shared" si="6"/>
        <v>100</v>
      </c>
      <c r="I47">
        <v>50</v>
      </c>
      <c r="J47">
        <v>50</v>
      </c>
      <c r="L47" s="257">
        <f t="shared" si="7"/>
        <v>100</v>
      </c>
      <c r="M47">
        <v>100</v>
      </c>
      <c r="O47" s="257">
        <f t="shared" si="8"/>
        <v>100</v>
      </c>
    </row>
    <row r="48" spans="1:15" x14ac:dyDescent="0.45">
      <c r="A48" s="64" t="s">
        <v>2672</v>
      </c>
      <c r="B48" t="str">
        <f>VLOOKUP(A48,TV_Merged!E:F,2,FALSE)</f>
        <v>Promote nutrition for MNC</v>
      </c>
      <c r="C48">
        <v>100</v>
      </c>
      <c r="E48" s="257">
        <f t="shared" si="4"/>
        <v>100</v>
      </c>
      <c r="F48">
        <v>100</v>
      </c>
      <c r="H48" s="257">
        <f t="shared" si="6"/>
        <v>100</v>
      </c>
      <c r="I48">
        <v>50</v>
      </c>
      <c r="J48">
        <v>50</v>
      </c>
      <c r="L48" s="257">
        <f t="shared" si="7"/>
        <v>100</v>
      </c>
      <c r="M48">
        <v>100</v>
      </c>
      <c r="O48" s="257">
        <f t="shared" si="8"/>
        <v>100</v>
      </c>
    </row>
    <row r="49" spans="1:15" x14ac:dyDescent="0.45">
      <c r="A49" s="64" t="s">
        <v>2673</v>
      </c>
      <c r="B49" t="str">
        <f>VLOOKUP(A49,TV_Merged!E:F,2,FALSE)</f>
        <v>Education re nutrition</v>
      </c>
      <c r="C49">
        <v>100</v>
      </c>
      <c r="E49" s="257">
        <f t="shared" si="4"/>
        <v>100</v>
      </c>
      <c r="F49">
        <v>100</v>
      </c>
      <c r="H49" s="257">
        <f t="shared" si="6"/>
        <v>100</v>
      </c>
      <c r="I49">
        <v>50</v>
      </c>
      <c r="J49">
        <v>50</v>
      </c>
      <c r="L49" s="257">
        <f t="shared" si="7"/>
        <v>100</v>
      </c>
      <c r="M49">
        <v>100</v>
      </c>
      <c r="O49" s="257">
        <f t="shared" si="8"/>
        <v>100</v>
      </c>
    </row>
    <row r="50" spans="1:15" x14ac:dyDescent="0.45">
      <c r="A50" s="64" t="s">
        <v>2676</v>
      </c>
      <c r="B50" t="str">
        <f>VLOOKUP(A50,TV_Merged!E:F,2,FALSE)</f>
        <v>Promote iodized salt &amp; fortified food</v>
      </c>
      <c r="C50">
        <v>100</v>
      </c>
      <c r="E50" s="257">
        <f t="shared" si="4"/>
        <v>100</v>
      </c>
      <c r="F50">
        <v>100</v>
      </c>
      <c r="H50" s="257">
        <f t="shared" si="6"/>
        <v>100</v>
      </c>
      <c r="I50">
        <v>50</v>
      </c>
      <c r="J50">
        <v>50</v>
      </c>
      <c r="L50" s="257">
        <f t="shared" si="7"/>
        <v>100</v>
      </c>
      <c r="M50">
        <v>100</v>
      </c>
      <c r="O50" s="257">
        <f t="shared" si="8"/>
        <v>100</v>
      </c>
    </row>
    <row r="51" spans="1:15" x14ac:dyDescent="0.45">
      <c r="A51" s="64" t="s">
        <v>2677</v>
      </c>
      <c r="B51" t="str">
        <f>VLOOKUP(A51,TV_Merged!E:F,2,FALSE)</f>
        <v>Nutrition outreach</v>
      </c>
      <c r="C51">
        <v>100</v>
      </c>
      <c r="E51" s="257">
        <f t="shared" si="4"/>
        <v>100</v>
      </c>
      <c r="F51">
        <v>100</v>
      </c>
      <c r="H51" s="257">
        <f t="shared" si="6"/>
        <v>100</v>
      </c>
      <c r="I51">
        <v>50</v>
      </c>
      <c r="J51">
        <v>50</v>
      </c>
      <c r="L51" s="257">
        <f t="shared" si="7"/>
        <v>100</v>
      </c>
      <c r="M51">
        <v>100</v>
      </c>
      <c r="O51" s="257">
        <f t="shared" si="8"/>
        <v>100</v>
      </c>
    </row>
    <row r="52" spans="1:15" x14ac:dyDescent="0.45">
      <c r="A52" s="64" t="s">
        <v>2678</v>
      </c>
      <c r="B52" t="str">
        <f>VLOOKUP(A52,TV_Merged!E:F,2,FALSE)</f>
        <v>Promote gender equity &amp; empowerment</v>
      </c>
      <c r="C52">
        <v>100</v>
      </c>
      <c r="E52" s="257">
        <f t="shared" si="4"/>
        <v>100</v>
      </c>
      <c r="F52">
        <v>100</v>
      </c>
      <c r="H52" s="257">
        <f t="shared" si="6"/>
        <v>100</v>
      </c>
      <c r="I52">
        <v>50</v>
      </c>
      <c r="J52">
        <v>50</v>
      </c>
      <c r="L52" s="257">
        <f t="shared" si="7"/>
        <v>100</v>
      </c>
      <c r="M52">
        <v>100</v>
      </c>
      <c r="O52" s="257">
        <f t="shared" si="8"/>
        <v>100</v>
      </c>
    </row>
    <row r="53" spans="1:15" x14ac:dyDescent="0.45">
      <c r="A53" s="64" t="s">
        <v>2679</v>
      </c>
      <c r="B53" t="str">
        <f>VLOOKUP(A53,TV_Merged!E:F,2,FALSE)</f>
        <v>Nutritional disaster response</v>
      </c>
      <c r="C53">
        <v>100</v>
      </c>
      <c r="E53" s="257">
        <f t="shared" si="4"/>
        <v>100</v>
      </c>
      <c r="F53">
        <v>100</v>
      </c>
      <c r="H53" s="257">
        <f t="shared" si="6"/>
        <v>100</v>
      </c>
      <c r="I53">
        <v>50</v>
      </c>
      <c r="J53">
        <v>50</v>
      </c>
      <c r="L53" s="257">
        <f t="shared" si="7"/>
        <v>100</v>
      </c>
      <c r="M53">
        <v>100</v>
      </c>
      <c r="O53" s="257">
        <f t="shared" si="8"/>
        <v>100</v>
      </c>
    </row>
    <row r="54" spans="1:15" x14ac:dyDescent="0.45">
      <c r="A54" s="64" t="s">
        <v>2680</v>
      </c>
      <c r="B54" t="str">
        <f>VLOOKUP(A54,TV_Merged!E:F,2,FALSE)</f>
        <v>Multisectoral nutrition intervention</v>
      </c>
      <c r="C54">
        <v>100</v>
      </c>
      <c r="E54" s="257">
        <f t="shared" si="4"/>
        <v>100</v>
      </c>
      <c r="F54">
        <v>100</v>
      </c>
      <c r="H54" s="257">
        <f t="shared" si="6"/>
        <v>100</v>
      </c>
      <c r="I54">
        <v>50</v>
      </c>
      <c r="J54">
        <v>50</v>
      </c>
      <c r="L54" s="257">
        <f t="shared" si="7"/>
        <v>100</v>
      </c>
      <c r="M54">
        <v>100</v>
      </c>
      <c r="O54" s="257">
        <f t="shared" si="8"/>
        <v>100</v>
      </c>
    </row>
    <row r="55" spans="1:15" x14ac:dyDescent="0.45">
      <c r="A55" s="64" t="s">
        <v>2681</v>
      </c>
      <c r="B55" t="str">
        <f>VLOOKUP(A55,TV_Merged!E:F,2,FALSE)</f>
        <v>Breast feeding technique</v>
      </c>
      <c r="C55">
        <v>100</v>
      </c>
      <c r="E55" s="257">
        <f t="shared" si="4"/>
        <v>100</v>
      </c>
      <c r="F55">
        <v>100</v>
      </c>
      <c r="H55" s="257">
        <f t="shared" si="6"/>
        <v>100</v>
      </c>
      <c r="I55">
        <v>50</v>
      </c>
      <c r="J55">
        <v>50</v>
      </c>
      <c r="L55" s="257">
        <f t="shared" si="7"/>
        <v>100</v>
      </c>
      <c r="M55">
        <v>100</v>
      </c>
      <c r="O55" s="257">
        <f t="shared" si="8"/>
        <v>100</v>
      </c>
    </row>
    <row r="56" spans="1:15" x14ac:dyDescent="0.45">
      <c r="A56" s="64" t="s">
        <v>2682</v>
      </c>
      <c r="B56" t="str">
        <f>VLOOKUP(A56,TV_Merged!E:F,2,FALSE)</f>
        <v>Acute malnutrition</v>
      </c>
      <c r="C56">
        <v>100</v>
      </c>
      <c r="E56" s="257">
        <f t="shared" si="4"/>
        <v>100</v>
      </c>
      <c r="F56">
        <v>100</v>
      </c>
      <c r="H56" s="257">
        <f t="shared" si="6"/>
        <v>100</v>
      </c>
      <c r="I56">
        <v>50</v>
      </c>
      <c r="J56">
        <v>50</v>
      </c>
      <c r="L56" s="257">
        <f t="shared" si="7"/>
        <v>100</v>
      </c>
      <c r="M56">
        <v>100</v>
      </c>
      <c r="O56" s="257">
        <f t="shared" si="8"/>
        <v>100</v>
      </c>
    </row>
    <row r="57" spans="1:15" x14ac:dyDescent="0.45">
      <c r="A57" s="64" t="s">
        <v>2683</v>
      </c>
      <c r="B57" t="str">
        <f>VLOOKUP(A57,TV_Merged!E:F,2,FALSE)</f>
        <v>Counsel complementary feeding</v>
      </c>
      <c r="C57">
        <v>100</v>
      </c>
      <c r="E57" s="257">
        <f t="shared" si="4"/>
        <v>100</v>
      </c>
      <c r="F57">
        <v>100</v>
      </c>
      <c r="H57" s="257">
        <f t="shared" si="6"/>
        <v>100</v>
      </c>
      <c r="I57">
        <v>50</v>
      </c>
      <c r="J57">
        <v>50</v>
      </c>
      <c r="L57" s="257">
        <f t="shared" si="7"/>
        <v>100</v>
      </c>
      <c r="M57">
        <v>100</v>
      </c>
      <c r="O57" s="257">
        <f t="shared" si="8"/>
        <v>100</v>
      </c>
    </row>
    <row r="58" spans="1:15" x14ac:dyDescent="0.45">
      <c r="A58" s="64" t="s">
        <v>2684</v>
      </c>
      <c r="B58" t="str">
        <f>VLOOKUP(A58,TV_Merged!E:F,2,FALSE)</f>
        <v>Timely complementary feeding</v>
      </c>
      <c r="C58">
        <v>100</v>
      </c>
      <c r="E58" s="257">
        <f t="shared" si="4"/>
        <v>100</v>
      </c>
      <c r="F58">
        <v>100</v>
      </c>
      <c r="H58" s="257">
        <f t="shared" si="6"/>
        <v>100</v>
      </c>
      <c r="I58">
        <v>50</v>
      </c>
      <c r="J58">
        <v>50</v>
      </c>
      <c r="L58" s="257">
        <f t="shared" si="7"/>
        <v>100</v>
      </c>
      <c r="M58">
        <v>100</v>
      </c>
      <c r="O58" s="257">
        <f t="shared" si="8"/>
        <v>100</v>
      </c>
    </row>
    <row r="59" spans="1:15" x14ac:dyDescent="0.45">
      <c r="A59" s="64" t="s">
        <v>2685</v>
      </c>
      <c r="B59" t="str">
        <f>VLOOKUP(A59,TV_Merged!E:F,2,FALSE)</f>
        <v>Promote BF until 24 months</v>
      </c>
      <c r="C59">
        <v>100</v>
      </c>
      <c r="E59" s="257">
        <f t="shared" si="4"/>
        <v>100</v>
      </c>
      <c r="F59">
        <v>100</v>
      </c>
      <c r="H59" s="257">
        <f t="shared" si="6"/>
        <v>100</v>
      </c>
      <c r="I59">
        <v>50</v>
      </c>
      <c r="J59">
        <v>50</v>
      </c>
      <c r="L59" s="257">
        <f t="shared" si="7"/>
        <v>100</v>
      </c>
      <c r="M59">
        <v>100</v>
      </c>
      <c r="O59" s="257">
        <f t="shared" si="8"/>
        <v>100</v>
      </c>
    </row>
    <row r="60" spans="1:15" x14ac:dyDescent="0.45">
      <c r="A60" s="64" t="s">
        <v>2686</v>
      </c>
      <c r="B60" t="str">
        <f>VLOOKUP(A60,TV_Merged!E:F,2,FALSE)</f>
        <v>Promote BF during child illness</v>
      </c>
      <c r="C60">
        <v>100</v>
      </c>
      <c r="E60" s="257">
        <f t="shared" si="4"/>
        <v>100</v>
      </c>
      <c r="F60">
        <v>100</v>
      </c>
      <c r="H60" s="257">
        <f t="shared" si="6"/>
        <v>100</v>
      </c>
      <c r="I60">
        <v>50</v>
      </c>
      <c r="J60">
        <v>50</v>
      </c>
      <c r="L60" s="257">
        <f t="shared" si="7"/>
        <v>100</v>
      </c>
      <c r="M60">
        <v>100</v>
      </c>
      <c r="O60" s="257">
        <f t="shared" si="8"/>
        <v>100</v>
      </c>
    </row>
    <row r="61" spans="1:15" x14ac:dyDescent="0.45">
      <c r="A61" s="64" t="s">
        <v>2687</v>
      </c>
      <c r="B61" t="str">
        <f>VLOOKUP(A61,TV_Merged!E:F,2,FALSE)</f>
        <v>Educate on complementary foods</v>
      </c>
      <c r="C61">
        <v>100</v>
      </c>
      <c r="E61" s="257">
        <f t="shared" si="4"/>
        <v>100</v>
      </c>
      <c r="F61">
        <v>100</v>
      </c>
      <c r="H61" s="257">
        <f t="shared" si="6"/>
        <v>100</v>
      </c>
      <c r="I61">
        <v>50</v>
      </c>
      <c r="J61">
        <v>50</v>
      </c>
      <c r="L61" s="257">
        <f t="shared" si="7"/>
        <v>100</v>
      </c>
      <c r="M61">
        <v>100</v>
      </c>
      <c r="O61" s="257">
        <f t="shared" si="8"/>
        <v>100</v>
      </c>
    </row>
    <row r="62" spans="1:15" x14ac:dyDescent="0.45">
      <c r="A62" s="64" t="s">
        <v>2688</v>
      </c>
      <c r="B62" t="str">
        <f>VLOOKUP(A62,TV_Merged!E:F,2,FALSE)</f>
        <v>Nutrition education for children</v>
      </c>
      <c r="C62">
        <v>100</v>
      </c>
      <c r="E62" s="257">
        <f t="shared" si="4"/>
        <v>100</v>
      </c>
      <c r="F62">
        <v>100</v>
      </c>
      <c r="H62" s="257">
        <f t="shared" si="6"/>
        <v>100</v>
      </c>
      <c r="I62">
        <v>50</v>
      </c>
      <c r="J62">
        <v>50</v>
      </c>
      <c r="L62" s="257">
        <f t="shared" si="7"/>
        <v>100</v>
      </c>
      <c r="M62">
        <v>100</v>
      </c>
      <c r="O62" s="257">
        <f t="shared" si="8"/>
        <v>100</v>
      </c>
    </row>
    <row r="63" spans="1:15" x14ac:dyDescent="0.45">
      <c r="A63" s="64" t="s">
        <v>2690</v>
      </c>
      <c r="B63" t="str">
        <f>VLOOKUP(A63,TV_Merged!E:F,2,FALSE)</f>
        <v>Risk reduction</v>
      </c>
      <c r="C63">
        <v>100</v>
      </c>
      <c r="E63" s="257">
        <f t="shared" si="4"/>
        <v>100</v>
      </c>
      <c r="F63">
        <v>100</v>
      </c>
      <c r="H63" s="257">
        <f t="shared" si="6"/>
        <v>100</v>
      </c>
      <c r="I63">
        <v>50</v>
      </c>
      <c r="J63">
        <v>50</v>
      </c>
      <c r="L63" s="257">
        <f t="shared" si="7"/>
        <v>100</v>
      </c>
      <c r="M63">
        <v>100</v>
      </c>
      <c r="O63" s="257">
        <f t="shared" si="8"/>
        <v>100</v>
      </c>
    </row>
    <row r="64" spans="1:15" x14ac:dyDescent="0.45">
      <c r="A64" s="64" t="s">
        <v>2694</v>
      </c>
      <c r="B64" t="str">
        <f>VLOOKUP(A64,TV_Merged!E:F,2,FALSE)</f>
        <v>HIV linkages</v>
      </c>
      <c r="C64">
        <v>100</v>
      </c>
      <c r="E64" s="257">
        <f t="shared" si="4"/>
        <v>100</v>
      </c>
      <c r="F64">
        <v>100</v>
      </c>
      <c r="H64" s="257">
        <f t="shared" si="6"/>
        <v>100</v>
      </c>
      <c r="I64">
        <v>50</v>
      </c>
      <c r="J64">
        <v>50</v>
      </c>
      <c r="L64" s="257">
        <f t="shared" si="7"/>
        <v>100</v>
      </c>
      <c r="M64">
        <v>100</v>
      </c>
      <c r="O64" s="257">
        <f t="shared" si="8"/>
        <v>100</v>
      </c>
    </row>
    <row r="65" spans="1:15" x14ac:dyDescent="0.45">
      <c r="A65" s="64" t="s">
        <v>2697</v>
      </c>
      <c r="B65" t="str">
        <f>VLOOKUP(A65,TV_Merged!E:F,2,FALSE)</f>
        <v>Vector control</v>
      </c>
      <c r="C65">
        <v>100</v>
      </c>
      <c r="E65" s="257">
        <f t="shared" si="4"/>
        <v>100</v>
      </c>
      <c r="F65">
        <v>100</v>
      </c>
      <c r="H65" s="257">
        <f t="shared" ref="H65:H106" si="9">SUM(F65:G65)</f>
        <v>100</v>
      </c>
      <c r="I65">
        <v>50</v>
      </c>
      <c r="J65">
        <v>50</v>
      </c>
      <c r="L65" s="257">
        <f t="shared" ref="L65:L106" si="10">SUM(I65:K65)</f>
        <v>100</v>
      </c>
      <c r="M65">
        <v>100</v>
      </c>
      <c r="O65" s="257">
        <f t="shared" ref="O65:O106" si="11">SUM(M65:N65)</f>
        <v>100</v>
      </c>
    </row>
    <row r="66" spans="1:15" x14ac:dyDescent="0.45">
      <c r="A66" s="64" t="s">
        <v>2698</v>
      </c>
      <c r="B66" t="str">
        <f>VLOOKUP(A66,TV_Merged!E:F,2,FALSE)</f>
        <v>Malaria surveillance</v>
      </c>
      <c r="C66">
        <v>100</v>
      </c>
      <c r="E66" s="257">
        <f t="shared" si="4"/>
        <v>100</v>
      </c>
      <c r="F66">
        <v>100</v>
      </c>
      <c r="H66" s="257">
        <f t="shared" si="9"/>
        <v>100</v>
      </c>
      <c r="I66">
        <v>50</v>
      </c>
      <c r="J66">
        <v>50</v>
      </c>
      <c r="L66" s="257">
        <f t="shared" si="10"/>
        <v>100</v>
      </c>
      <c r="M66">
        <v>100</v>
      </c>
      <c r="O66" s="257">
        <f t="shared" si="11"/>
        <v>100</v>
      </c>
    </row>
    <row r="67" spans="1:15" x14ac:dyDescent="0.45">
      <c r="A67" s="64" t="s">
        <v>2699</v>
      </c>
      <c r="B67" t="str">
        <f>VLOOKUP(A67,TV_Merged!E:F,2,FALSE)</f>
        <v>Risk reduction</v>
      </c>
      <c r="C67">
        <v>100</v>
      </c>
      <c r="E67" s="257">
        <f t="shared" si="4"/>
        <v>100</v>
      </c>
      <c r="F67">
        <v>100</v>
      </c>
      <c r="H67" s="257">
        <f t="shared" si="9"/>
        <v>100</v>
      </c>
      <c r="I67">
        <v>50</v>
      </c>
      <c r="J67">
        <v>50</v>
      </c>
      <c r="L67" s="257">
        <f t="shared" si="10"/>
        <v>100</v>
      </c>
      <c r="M67">
        <v>100</v>
      </c>
      <c r="O67" s="257">
        <f t="shared" si="11"/>
        <v>100</v>
      </c>
    </row>
    <row r="68" spans="1:15" x14ac:dyDescent="0.45">
      <c r="A68" s="64" t="s">
        <v>2700</v>
      </c>
      <c r="B68" t="str">
        <f>VLOOKUP(A68,TV_Merged!E:F,2,FALSE)</f>
        <v>Outbreak detection &amp; response</v>
      </c>
      <c r="C68">
        <v>100</v>
      </c>
      <c r="E68" s="257">
        <f t="shared" si="4"/>
        <v>100</v>
      </c>
      <c r="F68">
        <v>100</v>
      </c>
      <c r="H68" s="257">
        <f t="shared" si="9"/>
        <v>100</v>
      </c>
      <c r="I68">
        <v>50</v>
      </c>
      <c r="J68">
        <v>50</v>
      </c>
      <c r="L68" s="257">
        <f t="shared" si="10"/>
        <v>100</v>
      </c>
      <c r="M68">
        <v>100</v>
      </c>
      <c r="O68" s="257">
        <f t="shared" si="11"/>
        <v>100</v>
      </c>
    </row>
    <row r="69" spans="1:15" x14ac:dyDescent="0.45">
      <c r="A69" s="64" t="s">
        <v>2373</v>
      </c>
      <c r="B69" t="str">
        <f>VLOOKUP(A69,TV_Merged!E:F,2,FALSE)</f>
        <v>Testing</v>
      </c>
      <c r="C69">
        <v>100</v>
      </c>
      <c r="E69" s="257">
        <f t="shared" si="4"/>
        <v>100</v>
      </c>
      <c r="F69">
        <v>100</v>
      </c>
      <c r="H69" s="257">
        <f t="shared" si="9"/>
        <v>100</v>
      </c>
      <c r="I69">
        <v>50</v>
      </c>
      <c r="J69">
        <v>50</v>
      </c>
      <c r="L69" s="257">
        <f t="shared" si="10"/>
        <v>100</v>
      </c>
      <c r="M69">
        <v>100</v>
      </c>
      <c r="O69" s="257">
        <f t="shared" si="11"/>
        <v>100</v>
      </c>
    </row>
    <row r="70" spans="1:15" x14ac:dyDescent="0.45">
      <c r="A70" s="64" t="s">
        <v>2374</v>
      </c>
      <c r="B70" t="str">
        <f>VLOOKUP(A70,TV_Merged!E:F,2,FALSE)</f>
        <v>Follow-up and linkage for positives</v>
      </c>
      <c r="C70">
        <v>100</v>
      </c>
      <c r="E70" s="257">
        <f t="shared" si="4"/>
        <v>100</v>
      </c>
      <c r="F70">
        <v>100</v>
      </c>
      <c r="H70" s="257">
        <f t="shared" si="9"/>
        <v>100</v>
      </c>
      <c r="I70">
        <v>50</v>
      </c>
      <c r="J70">
        <v>50</v>
      </c>
      <c r="L70" s="257">
        <f t="shared" si="10"/>
        <v>100</v>
      </c>
      <c r="M70">
        <v>100</v>
      </c>
      <c r="O70" s="257">
        <f t="shared" si="11"/>
        <v>100</v>
      </c>
    </row>
    <row r="71" spans="1:15" x14ac:dyDescent="0.45">
      <c r="A71" s="64" t="s">
        <v>2702</v>
      </c>
      <c r="B71" t="str">
        <f>VLOOKUP(A71,TV_Merged!E:F,2,FALSE)</f>
        <v>HIV prevention for TB patients</v>
      </c>
      <c r="C71">
        <v>100</v>
      </c>
      <c r="E71" s="257">
        <f t="shared" si="4"/>
        <v>100</v>
      </c>
      <c r="F71">
        <v>100</v>
      </c>
      <c r="H71" s="257">
        <f t="shared" si="9"/>
        <v>100</v>
      </c>
      <c r="I71">
        <v>50</v>
      </c>
      <c r="J71">
        <v>50</v>
      </c>
      <c r="L71" s="257">
        <f t="shared" si="10"/>
        <v>100</v>
      </c>
      <c r="M71">
        <v>100</v>
      </c>
      <c r="O71" s="257">
        <f t="shared" si="11"/>
        <v>100</v>
      </c>
    </row>
    <row r="72" spans="1:15" x14ac:dyDescent="0.45">
      <c r="A72" s="64" t="s">
        <v>2383</v>
      </c>
      <c r="B72" t="str">
        <f>VLOOKUP(A72,TV_Merged!E:F,2,FALSE)</f>
        <v>Promote protection from tobacco smoke</v>
      </c>
      <c r="C72">
        <v>100</v>
      </c>
      <c r="E72" s="257">
        <f t="shared" si="4"/>
        <v>100</v>
      </c>
      <c r="F72">
        <v>100</v>
      </c>
      <c r="H72" s="257">
        <f t="shared" si="9"/>
        <v>100</v>
      </c>
      <c r="I72">
        <v>50</v>
      </c>
      <c r="J72">
        <v>50</v>
      </c>
      <c r="L72" s="257">
        <f t="shared" si="10"/>
        <v>100</v>
      </c>
      <c r="M72">
        <v>100</v>
      </c>
      <c r="O72" s="257">
        <f t="shared" si="11"/>
        <v>100</v>
      </c>
    </row>
    <row r="73" spans="1:15" x14ac:dyDescent="0.45">
      <c r="A73" s="64" t="s">
        <v>2384</v>
      </c>
      <c r="B73" t="str">
        <f>VLOOKUP(A73,TV_Merged!E:F,2,FALSE)</f>
        <v>Campaigns re: alcohol use</v>
      </c>
      <c r="C73">
        <v>100</v>
      </c>
      <c r="E73" s="257">
        <f t="shared" si="4"/>
        <v>100</v>
      </c>
      <c r="F73">
        <v>100</v>
      </c>
      <c r="H73" s="257">
        <f t="shared" si="9"/>
        <v>100</v>
      </c>
      <c r="I73">
        <v>50</v>
      </c>
      <c r="J73">
        <v>50</v>
      </c>
      <c r="L73" s="257">
        <f t="shared" si="10"/>
        <v>100</v>
      </c>
      <c r="M73">
        <v>100</v>
      </c>
      <c r="O73" s="257">
        <f t="shared" si="11"/>
        <v>100</v>
      </c>
    </row>
    <row r="74" spans="1:15" x14ac:dyDescent="0.45">
      <c r="A74" s="64" t="s">
        <v>2385</v>
      </c>
      <c r="B74" t="str">
        <f>VLOOKUP(A74,TV_Merged!E:F,2,FALSE)</f>
        <v>Community-level physical activity</v>
      </c>
      <c r="C74">
        <v>100</v>
      </c>
      <c r="E74" s="257">
        <f t="shared" si="4"/>
        <v>100</v>
      </c>
      <c r="F74">
        <v>100</v>
      </c>
      <c r="H74" s="257">
        <f t="shared" si="9"/>
        <v>100</v>
      </c>
      <c r="I74">
        <v>50</v>
      </c>
      <c r="J74">
        <v>50</v>
      </c>
      <c r="L74" s="257">
        <f t="shared" si="10"/>
        <v>100</v>
      </c>
      <c r="M74">
        <v>100</v>
      </c>
      <c r="O74" s="257">
        <f t="shared" si="11"/>
        <v>100</v>
      </c>
    </row>
    <row r="75" spans="1:15" x14ac:dyDescent="0.45">
      <c r="A75" s="64" t="s">
        <v>2703</v>
      </c>
      <c r="B75" t="str">
        <f>VLOOKUP(A75,TV_Merged!E:F,2,FALSE)</f>
        <v>Awareness on risk factors</v>
      </c>
      <c r="C75">
        <v>100</v>
      </c>
      <c r="E75" s="257">
        <f t="shared" si="4"/>
        <v>100</v>
      </c>
      <c r="F75">
        <v>100</v>
      </c>
      <c r="H75" s="257">
        <f t="shared" si="9"/>
        <v>100</v>
      </c>
      <c r="I75">
        <v>50</v>
      </c>
      <c r="J75">
        <v>50</v>
      </c>
      <c r="L75" s="257">
        <f t="shared" si="10"/>
        <v>100</v>
      </c>
      <c r="M75">
        <v>100</v>
      </c>
      <c r="O75" s="257">
        <f t="shared" si="11"/>
        <v>100</v>
      </c>
    </row>
    <row r="76" spans="1:15" x14ac:dyDescent="0.45">
      <c r="A76" s="64" t="s">
        <v>2705</v>
      </c>
      <c r="B76" t="str">
        <f>VLOOKUP(A76,TV_Merged!E:F,2,FALSE)</f>
        <v>Breast cancer education</v>
      </c>
      <c r="C76">
        <v>100</v>
      </c>
      <c r="E76" s="257">
        <f t="shared" si="4"/>
        <v>100</v>
      </c>
      <c r="F76">
        <v>100</v>
      </c>
      <c r="H76" s="257">
        <f t="shared" si="9"/>
        <v>100</v>
      </c>
      <c r="I76">
        <v>50</v>
      </c>
      <c r="J76">
        <v>50</v>
      </c>
      <c r="L76" s="257">
        <f t="shared" si="10"/>
        <v>100</v>
      </c>
      <c r="M76">
        <v>100</v>
      </c>
      <c r="O76" s="257">
        <f t="shared" si="11"/>
        <v>100</v>
      </c>
    </row>
    <row r="77" spans="1:15" x14ac:dyDescent="0.45">
      <c r="A77" s="64" t="s">
        <v>3368</v>
      </c>
      <c r="B77" t="str">
        <f>VLOOKUP(A77,TV_Merged!E:F,2,FALSE)</f>
        <v>Palliative care for cancer, men 20-29</v>
      </c>
      <c r="C77">
        <v>100</v>
      </c>
      <c r="E77" s="257">
        <f t="shared" si="4"/>
        <v>100</v>
      </c>
      <c r="F77">
        <v>100</v>
      </c>
      <c r="H77" s="257">
        <f t="shared" si="9"/>
        <v>100</v>
      </c>
      <c r="I77">
        <v>50</v>
      </c>
      <c r="J77">
        <v>50</v>
      </c>
      <c r="L77" s="257">
        <f t="shared" si="10"/>
        <v>100</v>
      </c>
      <c r="M77">
        <v>100</v>
      </c>
      <c r="O77" s="257">
        <f t="shared" si="11"/>
        <v>100</v>
      </c>
    </row>
    <row r="78" spans="1:15" x14ac:dyDescent="0.45">
      <c r="A78" s="64" t="s">
        <v>3369</v>
      </c>
      <c r="B78" t="str">
        <f>VLOOKUP(A78,TV_Merged!E:F,2,FALSE)</f>
        <v>Palliative care for cancer, men 30-39</v>
      </c>
      <c r="C78">
        <v>100</v>
      </c>
      <c r="E78" s="257">
        <f t="shared" si="4"/>
        <v>100</v>
      </c>
      <c r="F78">
        <v>100</v>
      </c>
      <c r="H78" s="257">
        <f t="shared" si="9"/>
        <v>100</v>
      </c>
      <c r="I78">
        <v>50</v>
      </c>
      <c r="J78">
        <v>50</v>
      </c>
      <c r="L78" s="257">
        <f t="shared" si="10"/>
        <v>100</v>
      </c>
      <c r="M78">
        <v>100</v>
      </c>
      <c r="O78" s="257">
        <f t="shared" si="11"/>
        <v>100</v>
      </c>
    </row>
    <row r="79" spans="1:15" x14ac:dyDescent="0.45">
      <c r="A79" s="64" t="s">
        <v>3370</v>
      </c>
      <c r="B79" t="str">
        <f>VLOOKUP(A79,TV_Merged!E:F,2,FALSE)</f>
        <v>Palliative care for cancer, men 40-49</v>
      </c>
      <c r="C79">
        <v>100</v>
      </c>
      <c r="E79" s="257">
        <f t="shared" si="4"/>
        <v>100</v>
      </c>
      <c r="F79">
        <v>100</v>
      </c>
      <c r="H79" s="257">
        <f t="shared" si="9"/>
        <v>100</v>
      </c>
      <c r="I79">
        <v>50</v>
      </c>
      <c r="J79">
        <v>50</v>
      </c>
      <c r="L79" s="257">
        <f t="shared" si="10"/>
        <v>100</v>
      </c>
      <c r="M79">
        <v>100</v>
      </c>
      <c r="O79" s="257">
        <f t="shared" si="11"/>
        <v>100</v>
      </c>
    </row>
    <row r="80" spans="1:15" x14ac:dyDescent="0.45">
      <c r="A80" s="64" t="s">
        <v>3371</v>
      </c>
      <c r="B80" t="str">
        <f>VLOOKUP(A80,TV_Merged!E:F,2,FALSE)</f>
        <v>Palliative care for cancer, men 50-59</v>
      </c>
      <c r="C80">
        <v>100</v>
      </c>
      <c r="E80" s="257">
        <f t="shared" si="4"/>
        <v>100</v>
      </c>
      <c r="F80">
        <v>100</v>
      </c>
      <c r="H80" s="257">
        <f t="shared" si="9"/>
        <v>100</v>
      </c>
      <c r="I80">
        <v>50</v>
      </c>
      <c r="J80">
        <v>50</v>
      </c>
      <c r="L80" s="257">
        <f t="shared" si="10"/>
        <v>100</v>
      </c>
      <c r="M80">
        <v>100</v>
      </c>
      <c r="O80" s="257">
        <f t="shared" si="11"/>
        <v>100</v>
      </c>
    </row>
    <row r="81" spans="1:15" x14ac:dyDescent="0.45">
      <c r="A81" s="64" t="s">
        <v>3372</v>
      </c>
      <c r="B81" t="str">
        <f>VLOOKUP(A81,TV_Merged!E:F,2,FALSE)</f>
        <v>Palliative care for cancer, men 60-69</v>
      </c>
      <c r="C81">
        <v>100</v>
      </c>
      <c r="E81" s="257">
        <f t="shared" si="4"/>
        <v>100</v>
      </c>
      <c r="F81">
        <v>100</v>
      </c>
      <c r="H81" s="257">
        <f t="shared" si="9"/>
        <v>100</v>
      </c>
      <c r="I81">
        <v>50</v>
      </c>
      <c r="J81">
        <v>50</v>
      </c>
      <c r="L81" s="257">
        <f t="shared" si="10"/>
        <v>100</v>
      </c>
      <c r="M81">
        <v>100</v>
      </c>
      <c r="O81" s="257">
        <f t="shared" si="11"/>
        <v>100</v>
      </c>
    </row>
    <row r="82" spans="1:15" x14ac:dyDescent="0.45">
      <c r="A82" s="64" t="s">
        <v>3373</v>
      </c>
      <c r="B82" t="str">
        <f>VLOOKUP(A82,TV_Merged!E:F,2,FALSE)</f>
        <v>Palliative care for cancer, women 20-29</v>
      </c>
      <c r="C82">
        <v>100</v>
      </c>
      <c r="E82" s="257">
        <f t="shared" si="4"/>
        <v>100</v>
      </c>
      <c r="F82">
        <v>100</v>
      </c>
      <c r="H82" s="257">
        <f t="shared" si="9"/>
        <v>100</v>
      </c>
      <c r="I82">
        <v>50</v>
      </c>
      <c r="J82">
        <v>50</v>
      </c>
      <c r="L82" s="257">
        <f t="shared" si="10"/>
        <v>100</v>
      </c>
      <c r="M82">
        <v>100</v>
      </c>
      <c r="O82" s="257">
        <f t="shared" si="11"/>
        <v>100</v>
      </c>
    </row>
    <row r="83" spans="1:15" x14ac:dyDescent="0.45">
      <c r="A83" s="64" t="s">
        <v>3374</v>
      </c>
      <c r="B83" t="str">
        <f>VLOOKUP(A83,TV_Merged!E:F,2,FALSE)</f>
        <v>Palliative care for cancer, women 30-39</v>
      </c>
      <c r="C83">
        <v>100</v>
      </c>
      <c r="E83" s="257">
        <f t="shared" si="4"/>
        <v>100</v>
      </c>
      <c r="F83">
        <v>100</v>
      </c>
      <c r="H83" s="257">
        <f t="shared" si="9"/>
        <v>100</v>
      </c>
      <c r="I83">
        <v>50</v>
      </c>
      <c r="J83">
        <v>50</v>
      </c>
      <c r="L83" s="257">
        <f t="shared" si="10"/>
        <v>100</v>
      </c>
      <c r="M83">
        <v>100</v>
      </c>
      <c r="O83" s="257">
        <f t="shared" si="11"/>
        <v>100</v>
      </c>
    </row>
    <row r="84" spans="1:15" x14ac:dyDescent="0.45">
      <c r="A84" s="64" t="s">
        <v>3375</v>
      </c>
      <c r="B84" t="str">
        <f>VLOOKUP(A84,TV_Merged!E:F,2,FALSE)</f>
        <v>Palliative care for cancer, women 40-49</v>
      </c>
      <c r="C84">
        <v>100</v>
      </c>
      <c r="E84" s="257">
        <f t="shared" si="4"/>
        <v>100</v>
      </c>
      <c r="F84">
        <v>100</v>
      </c>
      <c r="H84" s="257">
        <f t="shared" si="9"/>
        <v>100</v>
      </c>
      <c r="I84">
        <v>50</v>
      </c>
      <c r="J84">
        <v>50</v>
      </c>
      <c r="L84" s="257">
        <f t="shared" si="10"/>
        <v>100</v>
      </c>
      <c r="M84">
        <v>100</v>
      </c>
      <c r="O84" s="257">
        <f t="shared" si="11"/>
        <v>100</v>
      </c>
    </row>
    <row r="85" spans="1:15" x14ac:dyDescent="0.45">
      <c r="A85" s="64" t="s">
        <v>3384</v>
      </c>
      <c r="B85" t="str">
        <f>VLOOKUP(A85,TV_Merged!E:F,2,FALSE)</f>
        <v>Palliative care for cancer, women 50-59</v>
      </c>
      <c r="C85">
        <v>100</v>
      </c>
      <c r="E85" s="257">
        <f t="shared" si="4"/>
        <v>100</v>
      </c>
      <c r="F85">
        <v>100</v>
      </c>
      <c r="H85" s="257">
        <f t="shared" si="9"/>
        <v>100</v>
      </c>
      <c r="I85">
        <v>50</v>
      </c>
      <c r="J85">
        <v>50</v>
      </c>
      <c r="L85" s="257">
        <f t="shared" si="10"/>
        <v>100</v>
      </c>
      <c r="M85">
        <v>100</v>
      </c>
      <c r="O85" s="257">
        <f t="shared" si="11"/>
        <v>100</v>
      </c>
    </row>
    <row r="86" spans="1:15" x14ac:dyDescent="0.45">
      <c r="A86" s="64" t="s">
        <v>3385</v>
      </c>
      <c r="B86" t="str">
        <f>VLOOKUP(A86,TV_Merged!E:F,2,FALSE)</f>
        <v>Palliative care for cancer, women 60-69</v>
      </c>
      <c r="C86">
        <v>100</v>
      </c>
      <c r="E86" s="257">
        <f t="shared" si="4"/>
        <v>100</v>
      </c>
      <c r="F86">
        <v>100</v>
      </c>
      <c r="H86" s="257">
        <f t="shared" si="9"/>
        <v>100</v>
      </c>
      <c r="I86">
        <v>50</v>
      </c>
      <c r="J86">
        <v>50</v>
      </c>
      <c r="L86" s="257">
        <f t="shared" si="10"/>
        <v>100</v>
      </c>
      <c r="M86">
        <v>100</v>
      </c>
      <c r="O86" s="257">
        <f t="shared" si="11"/>
        <v>100</v>
      </c>
    </row>
    <row r="87" spans="1:15" x14ac:dyDescent="0.45">
      <c r="A87" s="64" t="s">
        <v>3386</v>
      </c>
      <c r="B87" t="str">
        <f>VLOOKUP(A87,TV_Merged!E:F,2,FALSE)</f>
        <v>Palliative care for cancer, men &amp; women 70+</v>
      </c>
      <c r="C87">
        <v>100</v>
      </c>
      <c r="E87" s="257">
        <f t="shared" si="4"/>
        <v>100</v>
      </c>
      <c r="F87">
        <v>100</v>
      </c>
      <c r="H87" s="257">
        <f t="shared" si="9"/>
        <v>100</v>
      </c>
      <c r="I87">
        <v>50</v>
      </c>
      <c r="J87">
        <v>50</v>
      </c>
      <c r="L87" s="257">
        <f t="shared" si="10"/>
        <v>100</v>
      </c>
      <c r="M87">
        <v>100</v>
      </c>
      <c r="O87" s="257">
        <f t="shared" si="11"/>
        <v>100</v>
      </c>
    </row>
    <row r="88" spans="1:15" x14ac:dyDescent="0.45">
      <c r="A88" s="64" t="s">
        <v>2708</v>
      </c>
      <c r="B88" t="str">
        <f>VLOOKUP(A88,TV_Merged!E:F,2,FALSE)</f>
        <v>Lifestyle counseling</v>
      </c>
      <c r="C88">
        <v>100</v>
      </c>
      <c r="E88" s="257">
        <f t="shared" si="4"/>
        <v>100</v>
      </c>
      <c r="F88">
        <v>100</v>
      </c>
      <c r="H88" s="257">
        <f t="shared" si="9"/>
        <v>100</v>
      </c>
      <c r="I88">
        <v>50</v>
      </c>
      <c r="J88">
        <v>50</v>
      </c>
      <c r="L88" s="257">
        <f t="shared" si="10"/>
        <v>100</v>
      </c>
      <c r="M88">
        <v>100</v>
      </c>
      <c r="O88" s="257">
        <f t="shared" si="11"/>
        <v>100</v>
      </c>
    </row>
    <row r="89" spans="1:15" x14ac:dyDescent="0.45">
      <c r="A89" s="64" t="s">
        <v>2711</v>
      </c>
      <c r="B89" t="str">
        <f>VLOOKUP(A89,TV_Merged!E:F,2,FALSE)</f>
        <v>Lifestyle counseling</v>
      </c>
      <c r="C89">
        <v>100</v>
      </c>
      <c r="E89" s="257">
        <f t="shared" ref="E89:E116" si="12">SUM(C89:D89)</f>
        <v>100</v>
      </c>
      <c r="F89">
        <v>100</v>
      </c>
      <c r="H89" s="257">
        <f t="shared" si="9"/>
        <v>100</v>
      </c>
      <c r="I89">
        <v>50</v>
      </c>
      <c r="J89">
        <v>50</v>
      </c>
      <c r="L89" s="257">
        <f t="shared" si="10"/>
        <v>100</v>
      </c>
      <c r="M89">
        <v>100</v>
      </c>
      <c r="O89" s="257">
        <f t="shared" si="11"/>
        <v>100</v>
      </c>
    </row>
    <row r="90" spans="1:15" x14ac:dyDescent="0.45">
      <c r="A90" s="64" t="s">
        <v>2714</v>
      </c>
      <c r="B90" t="str">
        <f>VLOOKUP(A90,TV_Merged!E:F,2,FALSE)</f>
        <v>Smoking cessation</v>
      </c>
      <c r="C90">
        <v>100</v>
      </c>
      <c r="E90" s="257">
        <f t="shared" si="12"/>
        <v>100</v>
      </c>
      <c r="F90">
        <v>100</v>
      </c>
      <c r="H90" s="257">
        <f t="shared" si="9"/>
        <v>100</v>
      </c>
      <c r="I90">
        <v>50</v>
      </c>
      <c r="J90">
        <v>50</v>
      </c>
      <c r="L90" s="257">
        <f t="shared" si="10"/>
        <v>100</v>
      </c>
      <c r="M90">
        <v>100</v>
      </c>
      <c r="O90" s="257">
        <f t="shared" si="11"/>
        <v>100</v>
      </c>
    </row>
    <row r="91" spans="1:15" x14ac:dyDescent="0.45">
      <c r="A91" s="64" t="s">
        <v>2715</v>
      </c>
      <c r="B91" t="str">
        <f>VLOOKUP(A91,TV_Merged!E:F,2,FALSE)</f>
        <v>Prevention of risk factors</v>
      </c>
      <c r="C91">
        <v>100</v>
      </c>
      <c r="E91" s="257">
        <f t="shared" si="12"/>
        <v>100</v>
      </c>
      <c r="F91">
        <v>100</v>
      </c>
      <c r="H91" s="257">
        <f t="shared" si="9"/>
        <v>100</v>
      </c>
      <c r="I91">
        <v>50</v>
      </c>
      <c r="J91">
        <v>50</v>
      </c>
      <c r="L91" s="257">
        <f t="shared" si="10"/>
        <v>100</v>
      </c>
      <c r="M91">
        <v>100</v>
      </c>
      <c r="O91" s="257">
        <f t="shared" si="11"/>
        <v>100</v>
      </c>
    </row>
    <row r="92" spans="1:15" x14ac:dyDescent="0.45">
      <c r="A92" s="64" t="s">
        <v>2442</v>
      </c>
      <c r="B92" t="str">
        <f>VLOOKUP(A92,TV_Merged!E:F,2,FALSE)</f>
        <v>Generate community awareness</v>
      </c>
      <c r="C92">
        <v>100</v>
      </c>
      <c r="E92" s="257">
        <f t="shared" si="12"/>
        <v>100</v>
      </c>
      <c r="F92">
        <v>100</v>
      </c>
      <c r="H92" s="257">
        <f t="shared" si="9"/>
        <v>100</v>
      </c>
      <c r="I92">
        <v>50</v>
      </c>
      <c r="J92">
        <v>50</v>
      </c>
      <c r="L92" s="257">
        <f t="shared" si="10"/>
        <v>100</v>
      </c>
      <c r="M92">
        <v>100</v>
      </c>
      <c r="O92" s="257">
        <f t="shared" si="11"/>
        <v>100</v>
      </c>
    </row>
    <row r="93" spans="1:15" x14ac:dyDescent="0.45">
      <c r="A93" s="64" t="s">
        <v>2443</v>
      </c>
      <c r="B93" t="str">
        <f>VLOOKUP(A93,TV_Merged!E:F,2,FALSE)</f>
        <v>Identify &amp; link to care</v>
      </c>
      <c r="C93">
        <v>100</v>
      </c>
      <c r="E93" s="257">
        <f t="shared" si="12"/>
        <v>100</v>
      </c>
      <c r="F93">
        <v>100</v>
      </c>
      <c r="H93" s="257">
        <f t="shared" si="9"/>
        <v>100</v>
      </c>
      <c r="I93">
        <v>50</v>
      </c>
      <c r="J93">
        <v>50</v>
      </c>
      <c r="L93" s="257">
        <f t="shared" si="10"/>
        <v>100</v>
      </c>
      <c r="M93">
        <v>100</v>
      </c>
      <c r="O93" s="257">
        <f t="shared" si="11"/>
        <v>100</v>
      </c>
    </row>
    <row r="94" spans="1:15" x14ac:dyDescent="0.45">
      <c r="A94" s="64" t="s">
        <v>2718</v>
      </c>
      <c r="B94" t="str">
        <f>VLOOKUP(A94,TV_Merged!E:F,2,FALSE)</f>
        <v>Workplace stress reduction</v>
      </c>
      <c r="C94">
        <v>100</v>
      </c>
      <c r="E94" s="257">
        <f t="shared" si="12"/>
        <v>100</v>
      </c>
      <c r="F94">
        <v>100</v>
      </c>
      <c r="H94" s="257">
        <f t="shared" si="9"/>
        <v>100</v>
      </c>
      <c r="I94">
        <v>50</v>
      </c>
      <c r="J94">
        <v>50</v>
      </c>
      <c r="L94" s="257">
        <f t="shared" si="10"/>
        <v>100</v>
      </c>
      <c r="M94">
        <v>100</v>
      </c>
      <c r="O94" s="257">
        <f t="shared" si="11"/>
        <v>100</v>
      </c>
    </row>
    <row r="95" spans="1:15" x14ac:dyDescent="0.45">
      <c r="A95" s="64" t="s">
        <v>2719</v>
      </c>
      <c r="B95" t="str">
        <f>VLOOKUP(A95,TV_Merged!E:F,2,FALSE)</f>
        <v>School-based mental health programs</v>
      </c>
      <c r="C95">
        <v>100</v>
      </c>
      <c r="E95" s="257">
        <f t="shared" si="12"/>
        <v>100</v>
      </c>
      <c r="F95">
        <v>100</v>
      </c>
      <c r="H95" s="257">
        <f t="shared" si="9"/>
        <v>100</v>
      </c>
      <c r="I95">
        <v>50</v>
      </c>
      <c r="J95">
        <v>50</v>
      </c>
      <c r="L95" s="257">
        <f t="shared" si="10"/>
        <v>100</v>
      </c>
      <c r="M95">
        <v>100</v>
      </c>
      <c r="O95" s="257">
        <f t="shared" si="11"/>
        <v>100</v>
      </c>
    </row>
    <row r="96" spans="1:15" x14ac:dyDescent="0.45">
      <c r="A96" s="64" t="s">
        <v>2720</v>
      </c>
      <c r="B96" t="str">
        <f>VLOOKUP(A96,TV_Merged!E:F,2,FALSE)</f>
        <v>Identify &amp; assess drug use</v>
      </c>
      <c r="C96">
        <v>100</v>
      </c>
      <c r="E96" s="257">
        <f t="shared" si="12"/>
        <v>100</v>
      </c>
      <c r="F96">
        <v>100</v>
      </c>
      <c r="H96" s="257">
        <f t="shared" si="9"/>
        <v>100</v>
      </c>
      <c r="I96">
        <v>50</v>
      </c>
      <c r="J96">
        <v>50</v>
      </c>
      <c r="L96" s="257">
        <f t="shared" si="10"/>
        <v>100</v>
      </c>
      <c r="M96">
        <v>100</v>
      </c>
      <c r="O96" s="257">
        <f t="shared" si="11"/>
        <v>100</v>
      </c>
    </row>
    <row r="97" spans="1:15" x14ac:dyDescent="0.45">
      <c r="A97" s="64" t="s">
        <v>2721</v>
      </c>
      <c r="B97" t="str">
        <f>VLOOKUP(A97,TV_Merged!E:F,2,FALSE)</f>
        <v>Safer storage of pesticides</v>
      </c>
      <c r="C97">
        <v>100</v>
      </c>
      <c r="E97" s="257">
        <f t="shared" si="12"/>
        <v>100</v>
      </c>
      <c r="F97">
        <v>100</v>
      </c>
      <c r="H97" s="257">
        <f t="shared" si="9"/>
        <v>100</v>
      </c>
      <c r="I97">
        <v>50</v>
      </c>
      <c r="J97">
        <v>50</v>
      </c>
      <c r="L97" s="257">
        <f t="shared" si="10"/>
        <v>100</v>
      </c>
      <c r="M97">
        <v>100</v>
      </c>
      <c r="O97" s="257">
        <f t="shared" si="11"/>
        <v>100</v>
      </c>
    </row>
    <row r="98" spans="1:15" x14ac:dyDescent="0.45">
      <c r="A98" s="64" t="s">
        <v>2722</v>
      </c>
      <c r="B98" t="str">
        <f>VLOOKUP(A98,TV_Merged!E:F,2,FALSE)</f>
        <v>Emergency poisoning response</v>
      </c>
      <c r="C98">
        <v>100</v>
      </c>
      <c r="E98" s="257">
        <f t="shared" si="12"/>
        <v>100</v>
      </c>
      <c r="F98">
        <v>100</v>
      </c>
      <c r="H98" s="257">
        <f t="shared" si="9"/>
        <v>100</v>
      </c>
      <c r="I98">
        <v>50</v>
      </c>
      <c r="J98">
        <v>50</v>
      </c>
      <c r="L98" s="257">
        <f t="shared" si="10"/>
        <v>100</v>
      </c>
      <c r="M98">
        <v>100</v>
      </c>
      <c r="O98" s="257">
        <f t="shared" si="11"/>
        <v>100</v>
      </c>
    </row>
    <row r="99" spans="1:15" x14ac:dyDescent="0.45">
      <c r="A99" s="64" t="s">
        <v>2723</v>
      </c>
      <c r="B99" t="str">
        <f>VLOOKUP(A99,TV_Merged!E:F,2,FALSE)</f>
        <v>Awareness &amp; screening for cataracts</v>
      </c>
      <c r="C99">
        <v>100</v>
      </c>
      <c r="E99" s="257">
        <f t="shared" si="12"/>
        <v>100</v>
      </c>
      <c r="F99">
        <v>100</v>
      </c>
      <c r="H99" s="257">
        <f t="shared" si="9"/>
        <v>100</v>
      </c>
      <c r="I99">
        <v>50</v>
      </c>
      <c r="J99">
        <v>50</v>
      </c>
      <c r="L99" s="257">
        <f t="shared" si="10"/>
        <v>100</v>
      </c>
      <c r="M99">
        <v>100</v>
      </c>
      <c r="O99" s="257">
        <f t="shared" si="11"/>
        <v>100</v>
      </c>
    </row>
    <row r="100" spans="1:15" x14ac:dyDescent="0.45">
      <c r="A100" s="64" t="s">
        <v>2724</v>
      </c>
      <c r="B100" t="str">
        <f>VLOOKUP(A100,TV_Merged!E:F,2,FALSE)</f>
        <v>Awareness of eye glasses</v>
      </c>
      <c r="C100">
        <v>100</v>
      </c>
      <c r="E100" s="257">
        <f t="shared" si="12"/>
        <v>100</v>
      </c>
      <c r="F100">
        <v>100</v>
      </c>
      <c r="H100" s="257">
        <f t="shared" si="9"/>
        <v>100</v>
      </c>
      <c r="I100">
        <v>50</v>
      </c>
      <c r="J100">
        <v>50</v>
      </c>
      <c r="L100" s="257">
        <f t="shared" si="10"/>
        <v>100</v>
      </c>
      <c r="M100">
        <v>100</v>
      </c>
      <c r="O100" s="257">
        <f t="shared" si="11"/>
        <v>100</v>
      </c>
    </row>
    <row r="101" spans="1:15" x14ac:dyDescent="0.45">
      <c r="A101" s="64" t="s">
        <v>2727</v>
      </c>
      <c r="B101" t="str">
        <f>VLOOKUP(A101,TV_Merged!E:F,2,FALSE)</f>
        <v>Awareness &amp; screening for glaucoma</v>
      </c>
      <c r="C101">
        <v>100</v>
      </c>
      <c r="E101" s="257">
        <f t="shared" si="12"/>
        <v>100</v>
      </c>
      <c r="F101">
        <v>100</v>
      </c>
      <c r="H101" s="257">
        <f t="shared" si="9"/>
        <v>100</v>
      </c>
      <c r="I101">
        <v>50</v>
      </c>
      <c r="J101">
        <v>50</v>
      </c>
      <c r="L101" s="257">
        <f t="shared" si="10"/>
        <v>100</v>
      </c>
      <c r="M101">
        <v>100</v>
      </c>
      <c r="O101" s="257">
        <f t="shared" si="11"/>
        <v>100</v>
      </c>
    </row>
    <row r="102" spans="1:15" x14ac:dyDescent="0.45">
      <c r="A102" s="64" t="s">
        <v>2451</v>
      </c>
      <c r="B102" t="str">
        <f>VLOOKUP(A102,TV_Merged!E:F,2,FALSE)</f>
        <v>Surveillance for NTDs</v>
      </c>
      <c r="C102">
        <v>100</v>
      </c>
      <c r="E102" s="257">
        <f t="shared" si="12"/>
        <v>100</v>
      </c>
      <c r="F102">
        <v>100</v>
      </c>
      <c r="H102" s="257">
        <f t="shared" si="9"/>
        <v>100</v>
      </c>
      <c r="I102">
        <v>50</v>
      </c>
      <c r="J102">
        <v>50</v>
      </c>
      <c r="L102" s="257">
        <f t="shared" si="10"/>
        <v>100</v>
      </c>
      <c r="M102">
        <v>100</v>
      </c>
      <c r="O102" s="257">
        <f t="shared" si="11"/>
        <v>100</v>
      </c>
    </row>
    <row r="103" spans="1:15" x14ac:dyDescent="0.45">
      <c r="A103" s="64" t="s">
        <v>2730</v>
      </c>
      <c r="B103" t="str">
        <f>VLOOKUP(A103,TV_Merged!E:F,2,FALSE)</f>
        <v>LF screening &amp; referral</v>
      </c>
      <c r="C103">
        <v>100</v>
      </c>
      <c r="E103" s="257">
        <f t="shared" si="12"/>
        <v>100</v>
      </c>
      <c r="F103">
        <v>100</v>
      </c>
      <c r="H103" s="257">
        <f t="shared" si="9"/>
        <v>100</v>
      </c>
      <c r="I103">
        <v>50</v>
      </c>
      <c r="J103">
        <v>50</v>
      </c>
      <c r="L103" s="257">
        <f t="shared" si="10"/>
        <v>100</v>
      </c>
      <c r="M103">
        <v>100</v>
      </c>
      <c r="O103" s="257">
        <f t="shared" si="11"/>
        <v>100</v>
      </c>
    </row>
    <row r="104" spans="1:15" x14ac:dyDescent="0.45">
      <c r="A104" s="64" t="s">
        <v>2732</v>
      </c>
      <c r="B104" t="str">
        <f>VLOOKUP(A104,TV_Merged!E:F,2,FALSE)</f>
        <v>LLINs and IRS</v>
      </c>
      <c r="C104">
        <v>100</v>
      </c>
      <c r="E104" s="257">
        <f t="shared" si="12"/>
        <v>100</v>
      </c>
      <c r="F104">
        <v>100</v>
      </c>
      <c r="H104" s="257">
        <f t="shared" si="9"/>
        <v>100</v>
      </c>
      <c r="I104">
        <v>50</v>
      </c>
      <c r="J104">
        <v>50</v>
      </c>
      <c r="L104" s="257">
        <f t="shared" si="10"/>
        <v>100</v>
      </c>
      <c r="M104">
        <v>100</v>
      </c>
      <c r="O104" s="257">
        <f t="shared" si="11"/>
        <v>100</v>
      </c>
    </row>
    <row r="105" spans="1:15" x14ac:dyDescent="0.45">
      <c r="A105" s="64" t="s">
        <v>2733</v>
      </c>
      <c r="B105" t="str">
        <f>VLOOKUP(A105,TV_Merged!E:F,2,FALSE)</f>
        <v>LF behavior change</v>
      </c>
      <c r="C105">
        <v>100</v>
      </c>
      <c r="E105" s="257">
        <f t="shared" si="12"/>
        <v>100</v>
      </c>
      <c r="F105">
        <v>100</v>
      </c>
      <c r="H105" s="257">
        <f t="shared" si="9"/>
        <v>100</v>
      </c>
      <c r="I105">
        <v>50</v>
      </c>
      <c r="J105">
        <v>50</v>
      </c>
      <c r="L105" s="257">
        <f t="shared" si="10"/>
        <v>100</v>
      </c>
      <c r="M105">
        <v>100</v>
      </c>
      <c r="O105" s="257">
        <f t="shared" si="11"/>
        <v>100</v>
      </c>
    </row>
    <row r="106" spans="1:15" x14ac:dyDescent="0.45">
      <c r="A106" s="64" t="s">
        <v>2735</v>
      </c>
      <c r="B106" t="str">
        <f>VLOOKUP(A106,TV_Merged!E:F,2,FALSE)</f>
        <v>Oncho behavior change</v>
      </c>
      <c r="C106">
        <v>100</v>
      </c>
      <c r="E106" s="257">
        <f t="shared" si="12"/>
        <v>100</v>
      </c>
      <c r="F106">
        <v>100</v>
      </c>
      <c r="H106" s="257">
        <f t="shared" si="9"/>
        <v>100</v>
      </c>
      <c r="I106">
        <v>50</v>
      </c>
      <c r="J106">
        <v>50</v>
      </c>
      <c r="L106" s="257">
        <f t="shared" si="10"/>
        <v>100</v>
      </c>
      <c r="M106">
        <v>100</v>
      </c>
      <c r="O106" s="257">
        <f t="shared" si="11"/>
        <v>100</v>
      </c>
    </row>
    <row r="107" spans="1:15" x14ac:dyDescent="0.45">
      <c r="A107" s="64" t="s">
        <v>2736</v>
      </c>
      <c r="B107" t="str">
        <f>VLOOKUP(A107,TV_Merged!E:F,2,FALSE)</f>
        <v>Trachoma behavior change</v>
      </c>
      <c r="C107">
        <v>100</v>
      </c>
      <c r="E107" s="257">
        <f t="shared" si="12"/>
        <v>100</v>
      </c>
      <c r="F107">
        <v>100</v>
      </c>
      <c r="H107" s="257">
        <f t="shared" ref="H107:H116" si="13">SUM(F107:G107)</f>
        <v>100</v>
      </c>
      <c r="I107">
        <v>50</v>
      </c>
      <c r="J107">
        <v>50</v>
      </c>
      <c r="L107" s="257">
        <f t="shared" ref="L107:L116" si="14">SUM(I107:K107)</f>
        <v>100</v>
      </c>
      <c r="M107">
        <v>100</v>
      </c>
      <c r="O107" s="257">
        <f t="shared" ref="O107:O116" si="15">SUM(M107:N107)</f>
        <v>100</v>
      </c>
    </row>
    <row r="108" spans="1:15" x14ac:dyDescent="0.45">
      <c r="A108" s="64" t="s">
        <v>2737</v>
      </c>
      <c r="B108" t="str">
        <f>VLOOKUP(A108,TV_Merged!E:F,2,FALSE)</f>
        <v>Promote water and sanitation</v>
      </c>
      <c r="C108">
        <v>100</v>
      </c>
      <c r="E108" s="257">
        <f t="shared" si="12"/>
        <v>100</v>
      </c>
      <c r="F108">
        <v>100</v>
      </c>
      <c r="H108" s="257">
        <f t="shared" si="13"/>
        <v>100</v>
      </c>
      <c r="I108">
        <v>50</v>
      </c>
      <c r="J108">
        <v>50</v>
      </c>
      <c r="L108" s="257">
        <f t="shared" si="14"/>
        <v>100</v>
      </c>
      <c r="M108">
        <v>100</v>
      </c>
      <c r="O108" s="257">
        <f t="shared" si="15"/>
        <v>100</v>
      </c>
    </row>
    <row r="109" spans="1:15" x14ac:dyDescent="0.45">
      <c r="A109" s="64" t="s">
        <v>2741</v>
      </c>
      <c r="B109" t="str">
        <f>VLOOKUP(A109,TV_Merged!E:F,2,FALSE)</f>
        <v>Promote face washing</v>
      </c>
      <c r="C109">
        <v>100</v>
      </c>
      <c r="E109" s="257">
        <f t="shared" si="12"/>
        <v>100</v>
      </c>
      <c r="F109">
        <v>100</v>
      </c>
      <c r="H109" s="257">
        <f t="shared" si="13"/>
        <v>100</v>
      </c>
      <c r="I109">
        <v>50</v>
      </c>
      <c r="J109">
        <v>50</v>
      </c>
      <c r="L109" s="257">
        <f t="shared" si="14"/>
        <v>100</v>
      </c>
      <c r="M109">
        <v>100</v>
      </c>
      <c r="O109" s="257">
        <f t="shared" si="15"/>
        <v>100</v>
      </c>
    </row>
    <row r="110" spans="1:15" x14ac:dyDescent="0.45">
      <c r="A110" s="64" t="s">
        <v>2742</v>
      </c>
      <c r="B110" t="str">
        <f>VLOOKUP(A110,TV_Merged!E:F,2,FALSE)</f>
        <v>Schisto behavior change</v>
      </c>
      <c r="C110">
        <v>100</v>
      </c>
      <c r="E110" s="257">
        <f t="shared" si="12"/>
        <v>100</v>
      </c>
      <c r="F110">
        <v>100</v>
      </c>
      <c r="H110" s="257">
        <f t="shared" si="13"/>
        <v>100</v>
      </c>
      <c r="I110">
        <v>50</v>
      </c>
      <c r="J110">
        <v>50</v>
      </c>
      <c r="L110" s="257">
        <f t="shared" si="14"/>
        <v>100</v>
      </c>
      <c r="M110">
        <v>100</v>
      </c>
      <c r="O110" s="257">
        <f t="shared" si="15"/>
        <v>100</v>
      </c>
    </row>
    <row r="111" spans="1:15" x14ac:dyDescent="0.45">
      <c r="A111" s="64" t="s">
        <v>2744</v>
      </c>
      <c r="B111" t="str">
        <f>VLOOKUP(A111,TV_Merged!E:F,2,FALSE)</f>
        <v>Schisto MDA</v>
      </c>
      <c r="C111">
        <v>100</v>
      </c>
      <c r="E111" s="257">
        <f t="shared" si="12"/>
        <v>100</v>
      </c>
      <c r="F111">
        <v>100</v>
      </c>
      <c r="H111" s="257">
        <f t="shared" si="13"/>
        <v>100</v>
      </c>
      <c r="I111">
        <v>50</v>
      </c>
      <c r="J111">
        <v>50</v>
      </c>
      <c r="L111" s="257">
        <f t="shared" si="14"/>
        <v>100</v>
      </c>
      <c r="M111">
        <v>100</v>
      </c>
      <c r="O111" s="257">
        <f t="shared" si="15"/>
        <v>100</v>
      </c>
    </row>
    <row r="112" spans="1:15" x14ac:dyDescent="0.45">
      <c r="A112" s="64" t="s">
        <v>2745</v>
      </c>
      <c r="B112" t="str">
        <f>VLOOKUP(A112,TV_Merged!E:F,2,FALSE)</f>
        <v>STH behavior change</v>
      </c>
      <c r="C112">
        <v>100</v>
      </c>
      <c r="E112" s="257">
        <f t="shared" si="12"/>
        <v>100</v>
      </c>
      <c r="F112">
        <v>100</v>
      </c>
      <c r="H112" s="257">
        <f t="shared" si="13"/>
        <v>100</v>
      </c>
      <c r="I112">
        <v>50</v>
      </c>
      <c r="J112">
        <v>50</v>
      </c>
      <c r="L112" s="257">
        <f t="shared" si="14"/>
        <v>100</v>
      </c>
      <c r="M112">
        <v>100</v>
      </c>
      <c r="O112" s="257">
        <f t="shared" si="15"/>
        <v>100</v>
      </c>
    </row>
    <row r="113" spans="1:15" x14ac:dyDescent="0.45">
      <c r="A113" s="64" t="s">
        <v>2748</v>
      </c>
      <c r="B113" t="str">
        <f>VLOOKUP(A113,TV_Merged!E:F,2,FALSE)</f>
        <v>Scabies behavior change</v>
      </c>
      <c r="C113">
        <v>100</v>
      </c>
      <c r="E113" s="257">
        <f t="shared" si="12"/>
        <v>100</v>
      </c>
      <c r="F113">
        <v>100</v>
      </c>
      <c r="H113" s="257">
        <f t="shared" si="13"/>
        <v>100</v>
      </c>
      <c r="I113">
        <v>50</v>
      </c>
      <c r="J113">
        <v>50</v>
      </c>
      <c r="L113" s="257">
        <f t="shared" si="14"/>
        <v>100</v>
      </c>
      <c r="M113">
        <v>100</v>
      </c>
      <c r="O113" s="257">
        <f t="shared" si="15"/>
        <v>100</v>
      </c>
    </row>
    <row r="114" spans="1:15" x14ac:dyDescent="0.45">
      <c r="A114" s="64" t="s">
        <v>2625</v>
      </c>
      <c r="B114" t="str">
        <f>VLOOKUP(A114,TV_Merged!E:F,2,FALSE)</f>
        <v>Model household program</v>
      </c>
      <c r="C114">
        <v>100</v>
      </c>
      <c r="E114" s="257">
        <f t="shared" si="12"/>
        <v>100</v>
      </c>
      <c r="F114">
        <v>100</v>
      </c>
      <c r="H114" s="257">
        <f t="shared" si="13"/>
        <v>100</v>
      </c>
      <c r="I114">
        <v>50</v>
      </c>
      <c r="J114">
        <v>50</v>
      </c>
      <c r="L114" s="257">
        <f t="shared" si="14"/>
        <v>100</v>
      </c>
      <c r="M114">
        <v>100</v>
      </c>
      <c r="O114" s="257">
        <f t="shared" si="15"/>
        <v>100</v>
      </c>
    </row>
    <row r="115" spans="1:15" x14ac:dyDescent="0.45">
      <c r="A115" s="64" t="s">
        <v>2626</v>
      </c>
      <c r="B115" t="str">
        <f>VLOOKUP(A115,TV_Merged!E:F,2,FALSE)</f>
        <v>Model household program</v>
      </c>
      <c r="C115">
        <v>100</v>
      </c>
      <c r="E115" s="257">
        <f t="shared" si="12"/>
        <v>100</v>
      </c>
      <c r="F115">
        <v>100</v>
      </c>
      <c r="H115" s="257">
        <f t="shared" si="13"/>
        <v>100</v>
      </c>
      <c r="I115">
        <v>50</v>
      </c>
      <c r="J115">
        <v>50</v>
      </c>
      <c r="L115" s="257">
        <f t="shared" si="14"/>
        <v>100</v>
      </c>
      <c r="M115">
        <v>100</v>
      </c>
      <c r="O115" s="257">
        <f t="shared" si="15"/>
        <v>100</v>
      </c>
    </row>
    <row r="116" spans="1:15" x14ac:dyDescent="0.45">
      <c r="A116" s="64" t="s">
        <v>1952</v>
      </c>
      <c r="B116" t="str">
        <f>VLOOKUP(A116,TV_Merged!E:F,2,FALSE)</f>
        <v>Record keeping</v>
      </c>
      <c r="C116">
        <v>100</v>
      </c>
      <c r="E116" s="257">
        <f t="shared" si="12"/>
        <v>100</v>
      </c>
      <c r="F116">
        <v>100</v>
      </c>
      <c r="H116" s="257">
        <f t="shared" si="13"/>
        <v>100</v>
      </c>
      <c r="I116">
        <v>50</v>
      </c>
      <c r="J116">
        <v>50</v>
      </c>
      <c r="L116" s="257">
        <f t="shared" si="14"/>
        <v>100</v>
      </c>
      <c r="M116">
        <v>100</v>
      </c>
      <c r="O116" s="257">
        <f t="shared" si="15"/>
        <v>100</v>
      </c>
    </row>
    <row r="117" spans="1:15" s="127" customFormat="1" x14ac:dyDescent="0.45">
      <c r="A117" s="337" t="s">
        <v>2770</v>
      </c>
      <c r="B117" s="127" t="str">
        <f>VLOOKUP(A117,TV_Merged!E:F,2,FALSE)</f>
        <v>Test additional</v>
      </c>
      <c r="E117" s="338"/>
      <c r="H117" s="338"/>
      <c r="L117" s="338"/>
      <c r="O117" s="338"/>
    </row>
    <row r="118" spans="1:15" s="127" customFormat="1" x14ac:dyDescent="0.45">
      <c r="A118" s="127" t="s">
        <v>2179</v>
      </c>
      <c r="B118" s="127" t="str">
        <f>VLOOKUP(A118,TV_Merged!E:F,2,FALSE)</f>
        <v>Normal labor management</v>
      </c>
      <c r="E118" s="338"/>
      <c r="H118" s="338"/>
      <c r="L118" s="338"/>
      <c r="O118" s="338"/>
    </row>
    <row r="119" spans="1:15" s="127" customFormat="1" x14ac:dyDescent="0.45">
      <c r="A119" s="127" t="s">
        <v>2181</v>
      </c>
      <c r="B119" s="127" t="str">
        <f>VLOOKUP(A119,TV_Merged!E:F,2,FALSE)</f>
        <v>Emergency OB</v>
      </c>
      <c r="E119" s="338"/>
      <c r="H119" s="338"/>
      <c r="L119" s="338"/>
      <c r="O119" s="338"/>
    </row>
    <row r="120" spans="1:15" s="127" customFormat="1" x14ac:dyDescent="0.45">
      <c r="A120" s="127" t="s">
        <v>2180</v>
      </c>
      <c r="B120" s="127" t="str">
        <f>VLOOKUP(A120,TV_Merged!E:F,2,FALSE)</f>
        <v>Active management 3rd stage</v>
      </c>
      <c r="E120" s="338"/>
      <c r="H120" s="338"/>
      <c r="L120" s="338"/>
      <c r="O120" s="338"/>
    </row>
    <row r="121" spans="1:15" s="127" customFormat="1" x14ac:dyDescent="0.45">
      <c r="A121" s="127" t="s">
        <v>2192</v>
      </c>
      <c r="B121" s="127" t="str">
        <f>VLOOKUP(A121,TV_Merged!E:F,2,FALSE)</f>
        <v>Maternal sepsis</v>
      </c>
      <c r="E121" s="338"/>
      <c r="H121" s="338"/>
      <c r="L121" s="338"/>
      <c r="O121" s="338"/>
    </row>
    <row r="122" spans="1:15" s="127" customFormat="1" x14ac:dyDescent="0.45">
      <c r="A122" s="342" t="s">
        <v>2198</v>
      </c>
      <c r="B122" s="127" t="str">
        <f>VLOOKUP(A122,TV_Merged!E:F,2,FALSE)</f>
        <v>ANC rapid testing</v>
      </c>
      <c r="E122" s="338"/>
      <c r="H122" s="338"/>
      <c r="L122" s="338"/>
      <c r="O122" s="338"/>
    </row>
    <row r="123" spans="1:15" s="127" customFormat="1" x14ac:dyDescent="0.45">
      <c r="A123" s="342" t="s">
        <v>2671</v>
      </c>
      <c r="B123" s="127" t="str">
        <f>VLOOKUP(A123,TV_Merged!E:F,2,FALSE)</f>
        <v>Treat malnourished mothers</v>
      </c>
      <c r="E123" s="338"/>
      <c r="H123" s="338"/>
      <c r="L123" s="338"/>
      <c r="O123" s="338"/>
    </row>
    <row r="124" spans="1:15" s="127" customFormat="1" x14ac:dyDescent="0.45">
      <c r="A124" s="342" t="s">
        <v>2226</v>
      </c>
      <c r="B124" s="127" t="str">
        <f>VLOOKUP(A124,TV_Merged!E:F,2,FALSE)</f>
        <v>Well child check &amp; growth monitoring</v>
      </c>
      <c r="E124" s="338"/>
      <c r="H124" s="338"/>
      <c r="L124" s="338"/>
      <c r="O124" s="338"/>
    </row>
    <row r="125" spans="1:15" s="127" customFormat="1" x14ac:dyDescent="0.45">
      <c r="A125" s="342" t="s">
        <v>2635</v>
      </c>
      <c r="B125" s="127" t="str">
        <f>VLOOKUP(A125,TV_Merged!E:F,2,FALSE)</f>
        <v>Treat severe malnutrition</v>
      </c>
      <c r="E125" s="338"/>
      <c r="H125" s="338"/>
      <c r="L125" s="338"/>
      <c r="O125" s="338"/>
    </row>
    <row r="126" spans="1:15" s="127" customFormat="1" x14ac:dyDescent="0.45">
      <c r="A126" s="342" t="s">
        <v>2636</v>
      </c>
      <c r="B126" s="127" t="str">
        <f>VLOOKUP(A126,TV_Merged!E:F,2,FALSE)</f>
        <v>Treat moderate malnutrition</v>
      </c>
      <c r="E126" s="338"/>
      <c r="H126" s="338"/>
      <c r="L126" s="338"/>
      <c r="O126" s="338"/>
    </row>
    <row r="127" spans="1:15" s="127" customFormat="1" x14ac:dyDescent="0.45">
      <c r="A127" s="342" t="s">
        <v>2354</v>
      </c>
      <c r="B127" s="127" t="str">
        <f>VLOOKUP(A127,TV_Merged!E:F,2,FALSE)</f>
        <v>Uncomplicated malaria in adults</v>
      </c>
      <c r="E127" s="338"/>
      <c r="H127" s="338"/>
      <c r="L127" s="338"/>
      <c r="O127" s="338"/>
    </row>
    <row r="128" spans="1:15" s="127" customFormat="1" x14ac:dyDescent="0.45">
      <c r="A128" s="342" t="s">
        <v>2355</v>
      </c>
      <c r="B128" s="127" t="str">
        <f>VLOOKUP(A128,TV_Merged!E:F,2,FALSE)</f>
        <v>Uncomplicated malaria in children</v>
      </c>
      <c r="E128" s="338"/>
      <c r="H128" s="338"/>
      <c r="L128" s="338"/>
      <c r="O128" s="338"/>
    </row>
    <row r="129" spans="1:15" s="127" customFormat="1" x14ac:dyDescent="0.45">
      <c r="A129" s="342" t="s">
        <v>2358</v>
      </c>
      <c r="B129" s="127" t="str">
        <f>VLOOKUP(A129,TV_Merged!E:F,2,FALSE)</f>
        <v>Testing non-malaria cases</v>
      </c>
      <c r="E129" s="338"/>
      <c r="H129" s="338"/>
      <c r="L129" s="338"/>
      <c r="O129" s="338"/>
    </row>
    <row r="130" spans="1:15" s="127" customFormat="1" x14ac:dyDescent="0.45">
      <c r="A130" s="342" t="s">
        <v>2356</v>
      </c>
      <c r="B130" s="127" t="str">
        <f>VLOOKUP(A130,TV_Merged!E:F,2,FALSE)</f>
        <v>Severe malaria in adults</v>
      </c>
      <c r="E130" s="338"/>
      <c r="H130" s="338"/>
      <c r="L130" s="338"/>
      <c r="O130" s="338"/>
    </row>
    <row r="131" spans="1:15" s="127" customFormat="1" x14ac:dyDescent="0.45">
      <c r="A131" s="342" t="s">
        <v>2357</v>
      </c>
      <c r="B131" s="127" t="str">
        <f>VLOOKUP(A131,TV_Merged!E:F,2,FALSE)</f>
        <v>Severe malaria in children</v>
      </c>
      <c r="E131" s="338"/>
      <c r="H131" s="338"/>
      <c r="L131" s="338"/>
      <c r="O131" s="338"/>
    </row>
    <row r="132" spans="1:15" x14ac:dyDescent="0.45">
      <c r="A132" t="s">
        <v>2793</v>
      </c>
      <c r="B132" t="s">
        <v>2795</v>
      </c>
      <c r="C132">
        <v>100</v>
      </c>
      <c r="E132" s="257">
        <f t="shared" ref="E132:E135" si="16">SUM(C132:D132)</f>
        <v>100</v>
      </c>
      <c r="F132">
        <v>100</v>
      </c>
      <c r="H132" s="257">
        <f t="shared" ref="H132:H135" si="17">SUM(F132:G132)</f>
        <v>100</v>
      </c>
      <c r="I132">
        <v>50</v>
      </c>
      <c r="J132">
        <v>50</v>
      </c>
      <c r="L132" s="257">
        <f t="shared" ref="L132:L135" si="18">SUM(I132:K132)</f>
        <v>100</v>
      </c>
      <c r="M132">
        <v>100</v>
      </c>
      <c r="O132" s="257">
        <f t="shared" ref="O132:O135" si="19">SUM(M132:N132)</f>
        <v>100</v>
      </c>
    </row>
    <row r="133" spans="1:15" x14ac:dyDescent="0.45">
      <c r="A133" t="s">
        <v>2794</v>
      </c>
      <c r="B133" t="s">
        <v>2796</v>
      </c>
      <c r="C133">
        <v>100</v>
      </c>
      <c r="E133" s="257">
        <f t="shared" si="16"/>
        <v>100</v>
      </c>
      <c r="F133">
        <v>100</v>
      </c>
      <c r="H133" s="257">
        <f t="shared" si="17"/>
        <v>100</v>
      </c>
      <c r="I133">
        <v>50</v>
      </c>
      <c r="J133">
        <v>50</v>
      </c>
      <c r="L133" s="257">
        <f t="shared" si="18"/>
        <v>100</v>
      </c>
      <c r="M133">
        <v>100</v>
      </c>
      <c r="O133" s="257">
        <f t="shared" si="19"/>
        <v>100</v>
      </c>
    </row>
    <row r="134" spans="1:15" x14ac:dyDescent="0.45">
      <c r="A134" s="64" t="s">
        <v>2811</v>
      </c>
      <c r="B134" t="s">
        <v>2817</v>
      </c>
      <c r="C134" s="64">
        <v>100</v>
      </c>
      <c r="E134" s="257">
        <f t="shared" si="16"/>
        <v>100</v>
      </c>
      <c r="F134">
        <v>100</v>
      </c>
      <c r="H134" s="257">
        <f t="shared" si="17"/>
        <v>100</v>
      </c>
      <c r="I134">
        <v>100</v>
      </c>
      <c r="L134" s="257">
        <f t="shared" si="18"/>
        <v>100</v>
      </c>
      <c r="M134">
        <v>100</v>
      </c>
      <c r="O134" s="257">
        <f t="shared" si="19"/>
        <v>100</v>
      </c>
    </row>
    <row r="135" spans="1:15" x14ac:dyDescent="0.45">
      <c r="A135" s="64" t="s">
        <v>2812</v>
      </c>
      <c r="B135" t="s">
        <v>2818</v>
      </c>
      <c r="C135" s="64">
        <v>100</v>
      </c>
      <c r="E135" s="257">
        <f t="shared" si="16"/>
        <v>100</v>
      </c>
      <c r="F135">
        <v>100</v>
      </c>
      <c r="H135" s="257">
        <f t="shared" si="17"/>
        <v>100</v>
      </c>
      <c r="J135">
        <v>100</v>
      </c>
      <c r="L135" s="257">
        <f t="shared" si="18"/>
        <v>100</v>
      </c>
      <c r="M135">
        <v>100</v>
      </c>
      <c r="O135" s="257">
        <f t="shared" si="19"/>
        <v>100</v>
      </c>
    </row>
    <row r="136" spans="1:15" s="127" customFormat="1" x14ac:dyDescent="0.45">
      <c r="A136" s="342" t="s">
        <v>2813</v>
      </c>
      <c r="B136" s="127" t="s">
        <v>2819</v>
      </c>
      <c r="C136" s="342"/>
      <c r="E136" s="338"/>
      <c r="H136" s="338"/>
      <c r="L136" s="338"/>
      <c r="O136" s="338"/>
    </row>
    <row r="137" spans="1:15" s="127" customFormat="1" x14ac:dyDescent="0.45">
      <c r="A137" s="342" t="s">
        <v>2814</v>
      </c>
      <c r="B137" s="127" t="s">
        <v>2820</v>
      </c>
      <c r="C137" s="342"/>
      <c r="E137" s="338"/>
      <c r="H137" s="338"/>
      <c r="L137" s="338"/>
      <c r="O137" s="338"/>
    </row>
    <row r="138" spans="1:15" s="127" customFormat="1" x14ac:dyDescent="0.45">
      <c r="A138" s="127" t="s">
        <v>2815</v>
      </c>
      <c r="B138" s="127" t="s">
        <v>2821</v>
      </c>
      <c r="C138" s="342"/>
      <c r="E138" s="338"/>
      <c r="H138" s="338"/>
      <c r="L138" s="338"/>
      <c r="O138" s="338"/>
    </row>
    <row r="139" spans="1:15" s="127" customFormat="1" x14ac:dyDescent="0.45">
      <c r="A139" s="127" t="s">
        <v>2816</v>
      </c>
      <c r="B139" s="127" t="s">
        <v>2822</v>
      </c>
      <c r="C139" s="342"/>
      <c r="E139" s="338"/>
      <c r="H139" s="338"/>
      <c r="L139" s="338"/>
      <c r="O139" s="338"/>
    </row>
  </sheetData>
  <conditionalFormatting sqref="E2:E131 H2:H131 L2:L131 O2:O131">
    <cfRule type="cellIs" dxfId="2" priority="3" operator="notEqual">
      <formula>100</formula>
    </cfRule>
  </conditionalFormatting>
  <conditionalFormatting sqref="O132 E132 H132 L132">
    <cfRule type="cellIs" dxfId="1" priority="2" operator="notEqual">
      <formula>100</formula>
    </cfRule>
  </conditionalFormatting>
  <conditionalFormatting sqref="E133:E135 H133:H135 L133:L135 O133:O135">
    <cfRule type="cellIs" dxfId="0" priority="1" operator="notEqual">
      <formula>100</formula>
    </cfRule>
  </conditionalFormatting>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903E5-0524-4BC4-A6B8-229E0E283A5C}">
  <dimension ref="B1:E24"/>
  <sheetViews>
    <sheetView workbookViewId="0">
      <selection activeCell="K22" sqref="K22"/>
    </sheetView>
  </sheetViews>
  <sheetFormatPr defaultRowHeight="14.25" x14ac:dyDescent="0.45"/>
  <cols>
    <col min="2" max="2" width="30.796875" bestFit="1" customWidth="1"/>
  </cols>
  <sheetData>
    <row r="1" spans="2:5" ht="14.65" thickBot="1" x14ac:dyDescent="0.5"/>
    <row r="2" spans="2:5" ht="14.65" thickBot="1" x14ac:dyDescent="0.5">
      <c r="B2" t="s">
        <v>2159</v>
      </c>
      <c r="C2" s="111">
        <v>2025</v>
      </c>
      <c r="D2" s="112">
        <v>2030</v>
      </c>
      <c r="E2" s="113">
        <v>2035</v>
      </c>
    </row>
    <row r="3" spans="2:5" x14ac:dyDescent="0.45">
      <c r="B3" s="92" t="s">
        <v>2153</v>
      </c>
      <c r="C3" s="92">
        <v>1</v>
      </c>
      <c r="D3" s="97">
        <v>1</v>
      </c>
      <c r="E3" s="256">
        <v>1</v>
      </c>
    </row>
    <row r="4" spans="2:5" x14ac:dyDescent="0.45">
      <c r="B4" s="64" t="s">
        <v>2154</v>
      </c>
      <c r="C4" s="64">
        <v>1</v>
      </c>
      <c r="D4">
        <v>1</v>
      </c>
      <c r="E4" s="257">
        <v>1</v>
      </c>
    </row>
    <row r="5" spans="2:5" x14ac:dyDescent="0.45">
      <c r="B5" s="297" t="s">
        <v>2155</v>
      </c>
      <c r="C5" s="297">
        <v>2</v>
      </c>
      <c r="D5" s="180">
        <v>1</v>
      </c>
      <c r="E5" s="298"/>
    </row>
    <row r="6" spans="2:5" x14ac:dyDescent="0.45">
      <c r="B6" s="297" t="s">
        <v>2156</v>
      </c>
      <c r="C6" s="297"/>
      <c r="D6" s="180">
        <v>1</v>
      </c>
      <c r="E6" s="298">
        <v>2</v>
      </c>
    </row>
    <row r="7" spans="2:5" x14ac:dyDescent="0.45">
      <c r="B7" s="64" t="s">
        <v>2157</v>
      </c>
      <c r="C7" s="64"/>
      <c r="D7">
        <v>1</v>
      </c>
      <c r="E7" s="257">
        <v>1</v>
      </c>
    </row>
    <row r="8" spans="2:5" ht="14.65" thickBot="1" x14ac:dyDescent="0.5">
      <c r="B8" s="93" t="s">
        <v>2158</v>
      </c>
      <c r="C8" s="93"/>
      <c r="D8" s="95">
        <v>1</v>
      </c>
      <c r="E8" s="96">
        <v>1</v>
      </c>
    </row>
    <row r="9" spans="2:5" ht="14.65" thickBot="1" x14ac:dyDescent="0.5"/>
    <row r="10" spans="2:5" ht="14.65" thickBot="1" x14ac:dyDescent="0.5">
      <c r="B10" t="s">
        <v>2160</v>
      </c>
      <c r="C10" s="111">
        <v>2025</v>
      </c>
      <c r="D10" s="112">
        <v>2030</v>
      </c>
      <c r="E10" s="113">
        <v>2035</v>
      </c>
    </row>
    <row r="11" spans="2:5" x14ac:dyDescent="0.45">
      <c r="B11" s="92" t="s">
        <v>2153</v>
      </c>
      <c r="C11" s="92"/>
      <c r="D11" s="97"/>
      <c r="E11" s="256"/>
    </row>
    <row r="12" spans="2:5" x14ac:dyDescent="0.45">
      <c r="B12" s="64" t="s">
        <v>2154</v>
      </c>
      <c r="C12" s="64"/>
      <c r="E12" s="257"/>
    </row>
    <row r="13" spans="2:5" x14ac:dyDescent="0.45">
      <c r="B13" s="297" t="s">
        <v>2155</v>
      </c>
      <c r="C13" s="297">
        <v>2</v>
      </c>
      <c r="D13" s="180">
        <v>1</v>
      </c>
      <c r="E13" s="298"/>
    </row>
    <row r="14" spans="2:5" x14ac:dyDescent="0.45">
      <c r="B14" s="297" t="s">
        <v>2156</v>
      </c>
      <c r="C14" s="297"/>
      <c r="D14" s="180">
        <v>1</v>
      </c>
      <c r="E14" s="298">
        <v>2</v>
      </c>
    </row>
    <row r="15" spans="2:5" x14ac:dyDescent="0.45">
      <c r="B15" s="64" t="s">
        <v>2161</v>
      </c>
      <c r="C15" s="64">
        <v>1</v>
      </c>
      <c r="D15">
        <v>1</v>
      </c>
      <c r="E15" s="257">
        <v>1</v>
      </c>
    </row>
    <row r="16" spans="2:5" ht="14.65" thickBot="1" x14ac:dyDescent="0.5">
      <c r="B16" s="93" t="s">
        <v>2158</v>
      </c>
      <c r="C16" s="93"/>
      <c r="D16" s="95">
        <v>1</v>
      </c>
      <c r="E16" s="96">
        <v>1</v>
      </c>
    </row>
    <row r="17" spans="2:5" ht="14.65" thickBot="1" x14ac:dyDescent="0.5"/>
    <row r="18" spans="2:5" ht="14.65" thickBot="1" x14ac:dyDescent="0.5">
      <c r="B18" t="s">
        <v>2162</v>
      </c>
      <c r="C18" s="111">
        <v>2025</v>
      </c>
      <c r="D18" s="112">
        <v>2030</v>
      </c>
      <c r="E18" s="113">
        <v>2035</v>
      </c>
    </row>
    <row r="19" spans="2:5" x14ac:dyDescent="0.45">
      <c r="B19" s="92" t="s">
        <v>2153</v>
      </c>
      <c r="C19" s="92"/>
      <c r="D19" s="97"/>
      <c r="E19" s="256"/>
    </row>
    <row r="20" spans="2:5" x14ac:dyDescent="0.45">
      <c r="B20" s="64" t="s">
        <v>2154</v>
      </c>
      <c r="C20" s="64"/>
      <c r="E20" s="257"/>
    </row>
    <row r="21" spans="2:5" x14ac:dyDescent="0.45">
      <c r="B21" s="297" t="s">
        <v>2155</v>
      </c>
      <c r="C21" s="297">
        <v>2</v>
      </c>
      <c r="D21" s="180">
        <v>1</v>
      </c>
      <c r="E21" s="298"/>
    </row>
    <row r="22" spans="2:5" x14ac:dyDescent="0.45">
      <c r="B22" s="297" t="s">
        <v>2156</v>
      </c>
      <c r="C22" s="297"/>
      <c r="D22" s="180">
        <v>1</v>
      </c>
      <c r="E22" s="298">
        <v>2</v>
      </c>
    </row>
    <row r="23" spans="2:5" x14ac:dyDescent="0.45">
      <c r="B23" s="64" t="s">
        <v>2157</v>
      </c>
      <c r="C23" s="64"/>
      <c r="E23" s="257"/>
    </row>
    <row r="24" spans="2:5" ht="14.65" thickBot="1" x14ac:dyDescent="0.5">
      <c r="B24" s="93" t="s">
        <v>2158</v>
      </c>
      <c r="C24" s="93"/>
      <c r="D24" s="95"/>
      <c r="E24" s="96"/>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61342-08CE-4064-AA82-0EE7223BAA53}">
  <sheetPr>
    <tabColor theme="2"/>
  </sheetPr>
  <dimension ref="A1:L185"/>
  <sheetViews>
    <sheetView workbookViewId="0">
      <selection activeCell="D1" sqref="D1:E1048576"/>
    </sheetView>
  </sheetViews>
  <sheetFormatPr defaultRowHeight="14.25" x14ac:dyDescent="0.45"/>
  <cols>
    <col min="1" max="1" width="30.19921875" bestFit="1" customWidth="1"/>
    <col min="2" max="2" width="20.796875" bestFit="1" customWidth="1"/>
    <col min="3" max="3" width="9.19921875" bestFit="1" customWidth="1"/>
    <col min="4" max="4" width="11.19921875" bestFit="1" customWidth="1"/>
    <col min="5" max="5" width="18.796875" bestFit="1" customWidth="1"/>
    <col min="6" max="6" width="4.19921875" bestFit="1" customWidth="1"/>
    <col min="7" max="7" width="9.73046875" bestFit="1" customWidth="1"/>
    <col min="8" max="8" width="8.73046875" bestFit="1" customWidth="1"/>
    <col min="9" max="9" width="13.265625" bestFit="1" customWidth="1"/>
    <col min="10" max="10" width="10.73046875" bestFit="1" customWidth="1"/>
    <col min="11" max="12" width="12" bestFit="1" customWidth="1"/>
  </cols>
  <sheetData>
    <row r="1" spans="1:12" x14ac:dyDescent="0.45">
      <c r="A1" s="355" t="s">
        <v>101</v>
      </c>
      <c r="B1" s="355" t="s">
        <v>3219</v>
      </c>
      <c r="C1" s="355" t="s">
        <v>1012</v>
      </c>
      <c r="D1" s="355" t="s">
        <v>2843</v>
      </c>
      <c r="E1" s="355" t="s">
        <v>2844</v>
      </c>
      <c r="F1" s="355" t="s">
        <v>3220</v>
      </c>
      <c r="G1" s="355" t="s">
        <v>3232</v>
      </c>
      <c r="H1" s="355" t="s">
        <v>3233</v>
      </c>
      <c r="I1" s="355" t="s">
        <v>2834</v>
      </c>
      <c r="J1" s="355" t="s">
        <v>2833</v>
      </c>
      <c r="K1" s="355" t="s">
        <v>3234</v>
      </c>
      <c r="L1" s="355" t="s">
        <v>3235</v>
      </c>
    </row>
    <row r="2" spans="1:12" x14ac:dyDescent="0.45">
      <c r="A2" t="s">
        <v>3221</v>
      </c>
      <c r="B2" s="355"/>
      <c r="C2" t="s">
        <v>3222</v>
      </c>
      <c r="D2" t="s">
        <v>2849</v>
      </c>
      <c r="E2" t="s">
        <v>594</v>
      </c>
      <c r="F2" t="s">
        <v>576</v>
      </c>
      <c r="G2" s="355"/>
      <c r="H2" s="355"/>
      <c r="I2" t="str">
        <f>_xlfn.CONCAT(J2,D2)</f>
        <v>BR0000ET</v>
      </c>
      <c r="J2" t="s">
        <v>3236</v>
      </c>
      <c r="K2">
        <v>0</v>
      </c>
      <c r="L2">
        <v>1</v>
      </c>
    </row>
    <row r="3" spans="1:12" x14ac:dyDescent="0.45">
      <c r="A3" t="s">
        <v>3223</v>
      </c>
      <c r="B3" s="355"/>
      <c r="C3" t="s">
        <v>3222</v>
      </c>
      <c r="D3" t="s">
        <v>2849</v>
      </c>
      <c r="E3" t="s">
        <v>594</v>
      </c>
      <c r="F3" t="s">
        <v>577</v>
      </c>
      <c r="G3" s="355"/>
      <c r="H3">
        <v>14</v>
      </c>
      <c r="I3" t="str">
        <f t="shared" ref="I3:I66" si="0">_xlfn.CONCAT(J3,D3)</f>
        <v>BR0014ET</v>
      </c>
      <c r="J3" t="s">
        <v>3237</v>
      </c>
      <c r="K3">
        <v>0</v>
      </c>
      <c r="L3">
        <v>1</v>
      </c>
    </row>
    <row r="4" spans="1:12" x14ac:dyDescent="0.45">
      <c r="A4" t="s">
        <v>1779</v>
      </c>
      <c r="B4" t="s">
        <v>3224</v>
      </c>
      <c r="C4" t="s">
        <v>3222</v>
      </c>
      <c r="D4" t="s">
        <v>2849</v>
      </c>
      <c r="E4" t="s">
        <v>594</v>
      </c>
      <c r="F4" t="s">
        <v>577</v>
      </c>
      <c r="G4">
        <v>15</v>
      </c>
      <c r="H4">
        <v>19</v>
      </c>
      <c r="I4" t="str">
        <f t="shared" si="0"/>
        <v>BR1519ET</v>
      </c>
      <c r="J4" t="s">
        <v>3238</v>
      </c>
      <c r="K4" s="363">
        <f>RegionalData!O3</f>
        <v>7.1999999999999995E-2</v>
      </c>
      <c r="L4" s="363">
        <f>RegionalData!Q3</f>
        <v>0.98846927759109204</v>
      </c>
    </row>
    <row r="5" spans="1:12" x14ac:dyDescent="0.45">
      <c r="A5" t="s">
        <v>1777</v>
      </c>
      <c r="B5" t="s">
        <v>3225</v>
      </c>
      <c r="C5" t="s">
        <v>3222</v>
      </c>
      <c r="D5" t="s">
        <v>2849</v>
      </c>
      <c r="E5" t="s">
        <v>594</v>
      </c>
      <c r="F5" t="s">
        <v>577</v>
      </c>
      <c r="G5">
        <v>20</v>
      </c>
      <c r="H5">
        <v>24</v>
      </c>
      <c r="I5" t="str">
        <f t="shared" si="0"/>
        <v>BR2024ET</v>
      </c>
      <c r="J5" t="s">
        <v>3239</v>
      </c>
      <c r="K5" s="363">
        <f>RegionalData!O5</f>
        <v>0.19500000000000001</v>
      </c>
      <c r="L5" s="363">
        <f>RegionalData!Q5</f>
        <v>0.99316389691241536</v>
      </c>
    </row>
    <row r="6" spans="1:12" x14ac:dyDescent="0.45">
      <c r="A6" t="s">
        <v>1775</v>
      </c>
      <c r="B6" t="s">
        <v>3226</v>
      </c>
      <c r="C6" t="s">
        <v>3222</v>
      </c>
      <c r="D6" t="s">
        <v>2849</v>
      </c>
      <c r="E6" t="s">
        <v>594</v>
      </c>
      <c r="F6" t="s">
        <v>577</v>
      </c>
      <c r="G6">
        <v>25</v>
      </c>
      <c r="H6">
        <v>29</v>
      </c>
      <c r="I6" t="str">
        <f t="shared" si="0"/>
        <v>BR2529ET</v>
      </c>
      <c r="J6" t="s">
        <v>3240</v>
      </c>
      <c r="K6" s="363">
        <f>RegionalData!O7</f>
        <v>0.20200000000000001</v>
      </c>
      <c r="L6" s="363">
        <f>RegionalData!Q7</f>
        <v>0.98022410443373342</v>
      </c>
    </row>
    <row r="7" spans="1:12" x14ac:dyDescent="0.45">
      <c r="A7" t="s">
        <v>1773</v>
      </c>
      <c r="B7" t="s">
        <v>3227</v>
      </c>
      <c r="C7" t="s">
        <v>3222</v>
      </c>
      <c r="D7" t="s">
        <v>2849</v>
      </c>
      <c r="E7" t="s">
        <v>594</v>
      </c>
      <c r="F7" t="s">
        <v>577</v>
      </c>
      <c r="G7">
        <v>30</v>
      </c>
      <c r="H7">
        <v>34</v>
      </c>
      <c r="I7" t="str">
        <f t="shared" si="0"/>
        <v>BR3034ET</v>
      </c>
      <c r="J7" t="s">
        <v>3241</v>
      </c>
      <c r="K7" s="363">
        <f>RegionalData!O9</f>
        <v>0.16200000000000001</v>
      </c>
      <c r="L7" s="363">
        <f>RegionalData!Q9</f>
        <v>0.97771923789514636</v>
      </c>
    </row>
    <row r="8" spans="1:12" x14ac:dyDescent="0.45">
      <c r="A8" t="s">
        <v>1771</v>
      </c>
      <c r="B8" t="s">
        <v>3228</v>
      </c>
      <c r="C8" t="s">
        <v>3222</v>
      </c>
      <c r="D8" t="s">
        <v>2849</v>
      </c>
      <c r="E8" t="s">
        <v>594</v>
      </c>
      <c r="F8" t="s">
        <v>577</v>
      </c>
      <c r="G8">
        <v>35</v>
      </c>
      <c r="H8">
        <v>39</v>
      </c>
      <c r="I8" t="str">
        <f t="shared" si="0"/>
        <v>BR3539ET</v>
      </c>
      <c r="J8" t="s">
        <v>3242</v>
      </c>
      <c r="K8" s="363">
        <f>RegionalData!O11</f>
        <v>0.11899999999999999</v>
      </c>
      <c r="L8" s="363">
        <f>RegionalData!Q11</f>
        <v>0.97393215219000295</v>
      </c>
    </row>
    <row r="9" spans="1:12" x14ac:dyDescent="0.45">
      <c r="A9" t="s">
        <v>1769</v>
      </c>
      <c r="B9" t="s">
        <v>3229</v>
      </c>
      <c r="C9" t="s">
        <v>3222</v>
      </c>
      <c r="D9" t="s">
        <v>2849</v>
      </c>
      <c r="E9" t="s">
        <v>594</v>
      </c>
      <c r="F9" t="s">
        <v>577</v>
      </c>
      <c r="G9">
        <v>40</v>
      </c>
      <c r="H9">
        <v>44</v>
      </c>
      <c r="I9" t="str">
        <f t="shared" si="0"/>
        <v>BR4044ET</v>
      </c>
      <c r="J9" t="s">
        <v>3243</v>
      </c>
      <c r="K9" s="363">
        <f>RegionalData!O13</f>
        <v>4.9000000000000002E-2</v>
      </c>
      <c r="L9" s="363">
        <f>RegionalData!Q13</f>
        <v>0.95811661983967134</v>
      </c>
    </row>
    <row r="10" spans="1:12" x14ac:dyDescent="0.45">
      <c r="A10" t="s">
        <v>1767</v>
      </c>
      <c r="B10" t="s">
        <v>3230</v>
      </c>
      <c r="C10" t="s">
        <v>3222</v>
      </c>
      <c r="D10" t="s">
        <v>2849</v>
      </c>
      <c r="E10" t="s">
        <v>594</v>
      </c>
      <c r="F10" t="s">
        <v>577</v>
      </c>
      <c r="G10">
        <v>45</v>
      </c>
      <c r="H10">
        <v>49</v>
      </c>
      <c r="I10" t="str">
        <f t="shared" si="0"/>
        <v>BR4549ET</v>
      </c>
      <c r="J10" t="s">
        <v>3244</v>
      </c>
      <c r="K10" s="363">
        <f>RegionalData!O15</f>
        <v>1.4E-2</v>
      </c>
      <c r="L10" s="363">
        <f>RegionalData!Q15</f>
        <v>0.91700404320467122</v>
      </c>
    </row>
    <row r="11" spans="1:12" x14ac:dyDescent="0.45">
      <c r="A11" t="s">
        <v>3231</v>
      </c>
      <c r="B11" s="355"/>
      <c r="C11" t="s">
        <v>3222</v>
      </c>
      <c r="D11" t="s">
        <v>2849</v>
      </c>
      <c r="E11" t="s">
        <v>594</v>
      </c>
      <c r="F11" t="s">
        <v>577</v>
      </c>
      <c r="G11">
        <v>50</v>
      </c>
      <c r="I11" t="str">
        <f t="shared" si="0"/>
        <v>BR5000ET</v>
      </c>
      <c r="J11" t="s">
        <v>3245</v>
      </c>
      <c r="K11" s="124">
        <v>0</v>
      </c>
      <c r="L11" s="124">
        <v>1</v>
      </c>
    </row>
    <row r="12" spans="1:12" x14ac:dyDescent="0.45">
      <c r="A12" t="s">
        <v>3221</v>
      </c>
      <c r="B12" s="355"/>
      <c r="C12" t="s">
        <v>3222</v>
      </c>
      <c r="D12" t="s">
        <v>2868</v>
      </c>
      <c r="E12" t="s">
        <v>806</v>
      </c>
      <c r="F12" t="s">
        <v>576</v>
      </c>
      <c r="G12" s="355"/>
      <c r="H12" s="355"/>
      <c r="I12" t="str">
        <f t="shared" si="0"/>
        <v>BR0000ET01</v>
      </c>
      <c r="J12" t="s">
        <v>3236</v>
      </c>
      <c r="K12">
        <v>0</v>
      </c>
      <c r="L12">
        <v>1</v>
      </c>
    </row>
    <row r="13" spans="1:12" x14ac:dyDescent="0.45">
      <c r="A13" t="s">
        <v>3223</v>
      </c>
      <c r="B13" s="355"/>
      <c r="C13" t="s">
        <v>3222</v>
      </c>
      <c r="D13" t="s">
        <v>2868</v>
      </c>
      <c r="E13" t="s">
        <v>806</v>
      </c>
      <c r="F13" t="s">
        <v>577</v>
      </c>
      <c r="G13" s="355"/>
      <c r="H13">
        <v>14</v>
      </c>
      <c r="I13" t="str">
        <f t="shared" si="0"/>
        <v>BR0014ET01</v>
      </c>
      <c r="J13" t="s">
        <v>3237</v>
      </c>
      <c r="K13">
        <v>0</v>
      </c>
      <c r="L13">
        <v>1</v>
      </c>
    </row>
    <row r="14" spans="1:12" x14ac:dyDescent="0.45">
      <c r="A14" t="s">
        <v>1779</v>
      </c>
      <c r="B14" t="s">
        <v>3224</v>
      </c>
      <c r="C14" t="s">
        <v>3222</v>
      </c>
      <c r="D14" t="s">
        <v>2868</v>
      </c>
      <c r="E14" t="s">
        <v>806</v>
      </c>
      <c r="F14" t="s">
        <v>577</v>
      </c>
      <c r="G14">
        <v>15</v>
      </c>
      <c r="H14">
        <v>19</v>
      </c>
      <c r="I14" t="str">
        <f t="shared" si="0"/>
        <v>BR1519ET01</v>
      </c>
      <c r="J14" t="s">
        <v>3238</v>
      </c>
      <c r="K14" s="363">
        <f>RegionalData!O45</f>
        <v>7.0999999999999994E-2</v>
      </c>
      <c r="L14" s="363">
        <f>RegionalData!Q45</f>
        <v>0.98519238249426366</v>
      </c>
    </row>
    <row r="15" spans="1:12" x14ac:dyDescent="0.45">
      <c r="A15" t="s">
        <v>1777</v>
      </c>
      <c r="B15" t="s">
        <v>3225</v>
      </c>
      <c r="C15" t="s">
        <v>3222</v>
      </c>
      <c r="D15" t="s">
        <v>2868</v>
      </c>
      <c r="E15" t="s">
        <v>806</v>
      </c>
      <c r="F15" t="s">
        <v>577</v>
      </c>
      <c r="G15">
        <v>20</v>
      </c>
      <c r="H15">
        <v>24</v>
      </c>
      <c r="I15" t="str">
        <f t="shared" si="0"/>
        <v>BR2024ET01</v>
      </c>
      <c r="J15" t="s">
        <v>3239</v>
      </c>
      <c r="K15" s="363">
        <f>RegionalData!O47</f>
        <v>0.16600000000000001</v>
      </c>
      <c r="L15" s="363">
        <f>RegionalData!Q47</f>
        <v>0.99557149880084939</v>
      </c>
    </row>
    <row r="16" spans="1:12" x14ac:dyDescent="0.45">
      <c r="A16" t="s">
        <v>1775</v>
      </c>
      <c r="B16" t="s">
        <v>3226</v>
      </c>
      <c r="C16" t="s">
        <v>3222</v>
      </c>
      <c r="D16" t="s">
        <v>2868</v>
      </c>
      <c r="E16" t="s">
        <v>806</v>
      </c>
      <c r="F16" t="s">
        <v>577</v>
      </c>
      <c r="G16">
        <v>25</v>
      </c>
      <c r="H16">
        <v>29</v>
      </c>
      <c r="I16" t="str">
        <f t="shared" si="0"/>
        <v>BR2529ET01</v>
      </c>
      <c r="J16" t="s">
        <v>3240</v>
      </c>
      <c r="K16" s="363">
        <f>RegionalData!O49</f>
        <v>0.16800000000000001</v>
      </c>
      <c r="L16" s="363">
        <f>RegionalData!Q49</f>
        <v>0.96097516195175681</v>
      </c>
    </row>
    <row r="17" spans="1:12" x14ac:dyDescent="0.45">
      <c r="A17" t="s">
        <v>1773</v>
      </c>
      <c r="B17" t="s">
        <v>3227</v>
      </c>
      <c r="C17" t="s">
        <v>3222</v>
      </c>
      <c r="D17" t="s">
        <v>2868</v>
      </c>
      <c r="E17" t="s">
        <v>806</v>
      </c>
      <c r="F17" t="s">
        <v>577</v>
      </c>
      <c r="G17">
        <v>30</v>
      </c>
      <c r="H17">
        <v>34</v>
      </c>
      <c r="I17" t="str">
        <f t="shared" si="0"/>
        <v>BR3034ET01</v>
      </c>
      <c r="J17" t="s">
        <v>3241</v>
      </c>
      <c r="K17" s="363">
        <f>RegionalData!O51</f>
        <v>0.184</v>
      </c>
      <c r="L17" s="363">
        <f>RegionalData!Q51</f>
        <v>0.97462752637206918</v>
      </c>
    </row>
    <row r="18" spans="1:12" x14ac:dyDescent="0.45">
      <c r="A18" t="s">
        <v>1771</v>
      </c>
      <c r="B18" t="s">
        <v>3228</v>
      </c>
      <c r="C18" t="s">
        <v>3222</v>
      </c>
      <c r="D18" t="s">
        <v>2868</v>
      </c>
      <c r="E18" t="s">
        <v>806</v>
      </c>
      <c r="F18" t="s">
        <v>577</v>
      </c>
      <c r="G18">
        <v>35</v>
      </c>
      <c r="H18">
        <v>39</v>
      </c>
      <c r="I18" t="str">
        <f t="shared" si="0"/>
        <v>BR3539ET01</v>
      </c>
      <c r="J18" t="s">
        <v>3242</v>
      </c>
      <c r="K18" s="363">
        <f>RegionalData!O53</f>
        <v>0.128</v>
      </c>
      <c r="L18" s="363">
        <f>RegionalData!Q53</f>
        <v>0.97794587092241492</v>
      </c>
    </row>
    <row r="19" spans="1:12" x14ac:dyDescent="0.45">
      <c r="A19" t="s">
        <v>1769</v>
      </c>
      <c r="B19" t="s">
        <v>3229</v>
      </c>
      <c r="C19" t="s">
        <v>3222</v>
      </c>
      <c r="D19" t="s">
        <v>2868</v>
      </c>
      <c r="E19" t="s">
        <v>806</v>
      </c>
      <c r="F19" t="s">
        <v>577</v>
      </c>
      <c r="G19">
        <v>40</v>
      </c>
      <c r="H19">
        <v>44</v>
      </c>
      <c r="I19" t="str">
        <f t="shared" si="0"/>
        <v>BR4044ET01</v>
      </c>
      <c r="J19" t="s">
        <v>3243</v>
      </c>
      <c r="K19" s="363">
        <f>RegionalData!O55</f>
        <v>7.0000000000000007E-2</v>
      </c>
      <c r="L19" s="363">
        <f>RegionalData!Q55</f>
        <v>1.0628052671339567</v>
      </c>
    </row>
    <row r="20" spans="1:12" x14ac:dyDescent="0.45">
      <c r="A20" t="s">
        <v>1767</v>
      </c>
      <c r="B20" t="s">
        <v>3230</v>
      </c>
      <c r="C20" t="s">
        <v>3222</v>
      </c>
      <c r="D20" t="s">
        <v>2868</v>
      </c>
      <c r="E20" t="s">
        <v>806</v>
      </c>
      <c r="F20" t="s">
        <v>577</v>
      </c>
      <c r="G20">
        <v>45</v>
      </c>
      <c r="H20">
        <v>49</v>
      </c>
      <c r="I20" t="str">
        <f t="shared" si="0"/>
        <v>BR4549ET01</v>
      </c>
      <c r="J20" t="s">
        <v>3244</v>
      </c>
      <c r="K20" s="363">
        <f>RegionalData!O57</f>
        <v>4.0000000000000001E-3</v>
      </c>
      <c r="L20" s="363">
        <f>RegionalData!Q57</f>
        <v>0.87055056329612412</v>
      </c>
    </row>
    <row r="21" spans="1:12" x14ac:dyDescent="0.45">
      <c r="A21" t="s">
        <v>3231</v>
      </c>
      <c r="C21" t="s">
        <v>3222</v>
      </c>
      <c r="D21" t="s">
        <v>2868</v>
      </c>
      <c r="E21" t="s">
        <v>806</v>
      </c>
      <c r="F21" t="s">
        <v>577</v>
      </c>
      <c r="G21">
        <v>50</v>
      </c>
      <c r="I21" t="str">
        <f t="shared" si="0"/>
        <v>BR5000ET01</v>
      </c>
      <c r="J21" t="s">
        <v>3245</v>
      </c>
      <c r="K21" s="124">
        <v>0</v>
      </c>
      <c r="L21" s="124">
        <v>1</v>
      </c>
    </row>
    <row r="22" spans="1:12" x14ac:dyDescent="0.45">
      <c r="A22" t="s">
        <v>3221</v>
      </c>
      <c r="C22" t="s">
        <v>3222</v>
      </c>
      <c r="D22" t="s">
        <v>2869</v>
      </c>
      <c r="E22" t="s">
        <v>2870</v>
      </c>
      <c r="F22" t="s">
        <v>576</v>
      </c>
      <c r="I22" t="str">
        <f t="shared" si="0"/>
        <v>BR0000ET02</v>
      </c>
      <c r="J22" t="s">
        <v>3236</v>
      </c>
      <c r="K22">
        <v>0</v>
      </c>
      <c r="L22">
        <v>1</v>
      </c>
    </row>
    <row r="23" spans="1:12" x14ac:dyDescent="0.45">
      <c r="A23" t="s">
        <v>3223</v>
      </c>
      <c r="C23" t="s">
        <v>3222</v>
      </c>
      <c r="D23" t="s">
        <v>2869</v>
      </c>
      <c r="E23" t="s">
        <v>2870</v>
      </c>
      <c r="F23" t="s">
        <v>577</v>
      </c>
      <c r="H23">
        <v>14</v>
      </c>
      <c r="I23" t="str">
        <f t="shared" si="0"/>
        <v>BR0014ET02</v>
      </c>
      <c r="J23" t="s">
        <v>3237</v>
      </c>
      <c r="K23">
        <v>0</v>
      </c>
      <c r="L23">
        <v>1</v>
      </c>
    </row>
    <row r="24" spans="1:12" x14ac:dyDescent="0.45">
      <c r="A24" t="s">
        <v>1779</v>
      </c>
      <c r="B24" t="s">
        <v>3224</v>
      </c>
      <c r="C24" t="s">
        <v>3222</v>
      </c>
      <c r="D24" t="s">
        <v>2869</v>
      </c>
      <c r="E24" t="s">
        <v>2870</v>
      </c>
      <c r="F24" t="s">
        <v>577</v>
      </c>
      <c r="G24">
        <v>15</v>
      </c>
      <c r="H24">
        <v>19</v>
      </c>
      <c r="I24" t="str">
        <f t="shared" si="0"/>
        <v>BR1519ET02</v>
      </c>
      <c r="J24" t="s">
        <v>3238</v>
      </c>
      <c r="K24" s="363">
        <f>RegionalData!O59</f>
        <v>0.20399999999999999</v>
      </c>
      <c r="L24" s="363">
        <f>RegionalData!Q59</f>
        <v>1.0840037852319913</v>
      </c>
    </row>
    <row r="25" spans="1:12" x14ac:dyDescent="0.45">
      <c r="A25" t="s">
        <v>1777</v>
      </c>
      <c r="B25" t="s">
        <v>3225</v>
      </c>
      <c r="C25" t="s">
        <v>3222</v>
      </c>
      <c r="D25" t="s">
        <v>2869</v>
      </c>
      <c r="E25" t="s">
        <v>2870</v>
      </c>
      <c r="F25" t="s">
        <v>577</v>
      </c>
      <c r="G25">
        <v>20</v>
      </c>
      <c r="H25">
        <v>24</v>
      </c>
      <c r="I25" t="str">
        <f t="shared" si="0"/>
        <v>BR2024ET02</v>
      </c>
      <c r="J25" t="s">
        <v>3239</v>
      </c>
      <c r="K25" s="363">
        <f>RegionalData!O61</f>
        <v>0.29899999999999999</v>
      </c>
      <c r="L25" s="363">
        <f>RegionalData!Q61</f>
        <v>1.0289322483563228</v>
      </c>
    </row>
    <row r="26" spans="1:12" x14ac:dyDescent="0.45">
      <c r="A26" t="s">
        <v>1775</v>
      </c>
      <c r="B26" t="s">
        <v>3226</v>
      </c>
      <c r="C26" t="s">
        <v>3222</v>
      </c>
      <c r="D26" t="s">
        <v>2869</v>
      </c>
      <c r="E26" t="s">
        <v>2870</v>
      </c>
      <c r="F26" t="s">
        <v>577</v>
      </c>
      <c r="G26">
        <v>25</v>
      </c>
      <c r="H26">
        <v>29</v>
      </c>
      <c r="I26" t="str">
        <f t="shared" si="0"/>
        <v>BR2529ET02</v>
      </c>
      <c r="J26" t="s">
        <v>3240</v>
      </c>
      <c r="K26" s="363">
        <f>RegionalData!O63</f>
        <v>0.27800000000000002</v>
      </c>
      <c r="L26" s="363">
        <f>RegionalData!Q63</f>
        <v>1.0180133403632152</v>
      </c>
    </row>
    <row r="27" spans="1:12" x14ac:dyDescent="0.45">
      <c r="A27" t="s">
        <v>1773</v>
      </c>
      <c r="B27" t="s">
        <v>3227</v>
      </c>
      <c r="C27" t="s">
        <v>3222</v>
      </c>
      <c r="D27" t="s">
        <v>2869</v>
      </c>
      <c r="E27" t="s">
        <v>2870</v>
      </c>
      <c r="F27" t="s">
        <v>577</v>
      </c>
      <c r="G27">
        <v>30</v>
      </c>
      <c r="H27">
        <v>34</v>
      </c>
      <c r="I27" t="str">
        <f t="shared" si="0"/>
        <v>BR3034ET02</v>
      </c>
      <c r="J27" t="s">
        <v>3241</v>
      </c>
      <c r="K27" s="363">
        <f>RegionalData!O65</f>
        <v>0.14899999999999999</v>
      </c>
      <c r="L27" s="363">
        <f>RegionalData!Q65</f>
        <v>0.97530255076662631</v>
      </c>
    </row>
    <row r="28" spans="1:12" x14ac:dyDescent="0.45">
      <c r="A28" t="s">
        <v>1771</v>
      </c>
      <c r="B28" t="s">
        <v>3228</v>
      </c>
      <c r="C28" t="s">
        <v>3222</v>
      </c>
      <c r="D28" t="s">
        <v>2869</v>
      </c>
      <c r="E28" t="s">
        <v>2870</v>
      </c>
      <c r="F28" t="s">
        <v>577</v>
      </c>
      <c r="G28">
        <v>35</v>
      </c>
      <c r="H28">
        <v>39</v>
      </c>
      <c r="I28" t="str">
        <f t="shared" si="0"/>
        <v>BR3539ET02</v>
      </c>
      <c r="J28" t="s">
        <v>3242</v>
      </c>
      <c r="K28" s="363">
        <f>RegionalData!O67</f>
        <v>0.112</v>
      </c>
      <c r="L28" s="363">
        <f>RegionalData!Q67</f>
        <v>0.96907399911139525</v>
      </c>
    </row>
    <row r="29" spans="1:12" x14ac:dyDescent="0.45">
      <c r="A29" t="s">
        <v>1769</v>
      </c>
      <c r="B29" t="s">
        <v>3229</v>
      </c>
      <c r="C29" t="s">
        <v>3222</v>
      </c>
      <c r="D29" t="s">
        <v>2869</v>
      </c>
      <c r="E29" t="s">
        <v>2870</v>
      </c>
      <c r="F29" t="s">
        <v>577</v>
      </c>
      <c r="G29">
        <v>40</v>
      </c>
      <c r="H29">
        <v>44</v>
      </c>
      <c r="I29" t="str">
        <f t="shared" si="0"/>
        <v>BR4044ET02</v>
      </c>
      <c r="J29" t="s">
        <v>3243</v>
      </c>
      <c r="K29" s="363">
        <f>RegionalData!O69</f>
        <v>8.2000000000000003E-2</v>
      </c>
      <c r="L29" s="363">
        <f>RegionalData!Q69</f>
        <v>1.1325887283887568</v>
      </c>
    </row>
    <row r="30" spans="1:12" x14ac:dyDescent="0.45">
      <c r="A30" t="s">
        <v>1767</v>
      </c>
      <c r="B30" t="s">
        <v>3230</v>
      </c>
      <c r="C30" t="s">
        <v>3222</v>
      </c>
      <c r="D30" t="s">
        <v>2869</v>
      </c>
      <c r="E30" t="s">
        <v>2870</v>
      </c>
      <c r="F30" t="s">
        <v>577</v>
      </c>
      <c r="G30">
        <v>45</v>
      </c>
      <c r="H30">
        <v>49</v>
      </c>
      <c r="I30" t="str">
        <f t="shared" si="0"/>
        <v>BR4549ET02</v>
      </c>
      <c r="J30" t="s">
        <v>3244</v>
      </c>
      <c r="K30" s="363">
        <f>RegionalData!O71</f>
        <v>0.02</v>
      </c>
      <c r="L30" s="363">
        <f>RegionalData!Q71</f>
        <v>1.0905077326652577</v>
      </c>
    </row>
    <row r="31" spans="1:12" x14ac:dyDescent="0.45">
      <c r="A31" t="s">
        <v>3231</v>
      </c>
      <c r="C31" t="s">
        <v>3222</v>
      </c>
      <c r="D31" t="s">
        <v>2869</v>
      </c>
      <c r="E31" t="s">
        <v>2870</v>
      </c>
      <c r="F31" t="s">
        <v>577</v>
      </c>
      <c r="G31">
        <v>50</v>
      </c>
      <c r="I31" t="str">
        <f t="shared" si="0"/>
        <v>BR5000ET02</v>
      </c>
      <c r="J31" t="s">
        <v>3245</v>
      </c>
      <c r="K31" s="124">
        <v>0</v>
      </c>
      <c r="L31" s="124">
        <v>1</v>
      </c>
    </row>
    <row r="32" spans="1:12" x14ac:dyDescent="0.45">
      <c r="A32" t="s">
        <v>3221</v>
      </c>
      <c r="C32" t="s">
        <v>3222</v>
      </c>
      <c r="D32" t="s">
        <v>2871</v>
      </c>
      <c r="E32" t="s">
        <v>805</v>
      </c>
      <c r="F32" t="s">
        <v>576</v>
      </c>
      <c r="I32" t="str">
        <f t="shared" si="0"/>
        <v>BR0000ET03</v>
      </c>
      <c r="J32" t="s">
        <v>3236</v>
      </c>
      <c r="K32">
        <v>0</v>
      </c>
      <c r="L32">
        <v>1</v>
      </c>
    </row>
    <row r="33" spans="1:12" x14ac:dyDescent="0.45">
      <c r="A33" t="s">
        <v>3223</v>
      </c>
      <c r="C33" t="s">
        <v>3222</v>
      </c>
      <c r="D33" t="s">
        <v>2871</v>
      </c>
      <c r="E33" t="s">
        <v>805</v>
      </c>
      <c r="F33" t="s">
        <v>577</v>
      </c>
      <c r="H33">
        <v>14</v>
      </c>
      <c r="I33" t="str">
        <f t="shared" si="0"/>
        <v>BR0014ET03</v>
      </c>
      <c r="J33" t="s">
        <v>3237</v>
      </c>
      <c r="K33">
        <v>0</v>
      </c>
      <c r="L33">
        <v>1</v>
      </c>
    </row>
    <row r="34" spans="1:12" x14ac:dyDescent="0.45">
      <c r="A34" t="s">
        <v>1779</v>
      </c>
      <c r="B34" t="s">
        <v>3224</v>
      </c>
      <c r="C34" t="s">
        <v>3222</v>
      </c>
      <c r="D34" t="s">
        <v>2871</v>
      </c>
      <c r="E34" t="s">
        <v>805</v>
      </c>
      <c r="F34" t="s">
        <v>577</v>
      </c>
      <c r="G34">
        <v>15</v>
      </c>
      <c r="H34">
        <v>19</v>
      </c>
      <c r="I34" t="str">
        <f t="shared" si="0"/>
        <v>BR1519ET03</v>
      </c>
      <c r="J34" t="s">
        <v>3238</v>
      </c>
      <c r="K34" s="363">
        <f>RegionalData!O73</f>
        <v>4.2000000000000003E-2</v>
      </c>
      <c r="L34" s="363">
        <f>RegionalData!Q73</f>
        <v>0.95442088007831283</v>
      </c>
    </row>
    <row r="35" spans="1:12" x14ac:dyDescent="0.45">
      <c r="A35" t="s">
        <v>1777</v>
      </c>
      <c r="B35" t="s">
        <v>3225</v>
      </c>
      <c r="C35" t="s">
        <v>3222</v>
      </c>
      <c r="D35" t="s">
        <v>2871</v>
      </c>
      <c r="E35" t="s">
        <v>805</v>
      </c>
      <c r="F35" t="s">
        <v>577</v>
      </c>
      <c r="G35">
        <v>20</v>
      </c>
      <c r="H35">
        <v>24</v>
      </c>
      <c r="I35" t="str">
        <f t="shared" si="0"/>
        <v>BR2024ET03</v>
      </c>
      <c r="J35" t="s">
        <v>3239</v>
      </c>
      <c r="K35" s="363">
        <f>RegionalData!O75</f>
        <v>0.157</v>
      </c>
      <c r="L35" s="363">
        <f>RegionalData!Q75</f>
        <v>0.96779569432634627</v>
      </c>
    </row>
    <row r="36" spans="1:12" x14ac:dyDescent="0.45">
      <c r="A36" t="s">
        <v>1775</v>
      </c>
      <c r="B36" t="s">
        <v>3226</v>
      </c>
      <c r="C36" t="s">
        <v>3222</v>
      </c>
      <c r="D36" t="s">
        <v>2871</v>
      </c>
      <c r="E36" t="s">
        <v>805</v>
      </c>
      <c r="F36" t="s">
        <v>577</v>
      </c>
      <c r="G36">
        <v>25</v>
      </c>
      <c r="H36">
        <v>29</v>
      </c>
      <c r="I36" t="str">
        <f t="shared" si="0"/>
        <v>BR2529ET03</v>
      </c>
      <c r="J36" t="s">
        <v>3240</v>
      </c>
      <c r="K36" s="363">
        <f>RegionalData!O77</f>
        <v>0.19500000000000001</v>
      </c>
      <c r="L36" s="363">
        <f>RegionalData!Q77</f>
        <v>1.0059240890265411</v>
      </c>
    </row>
    <row r="37" spans="1:12" x14ac:dyDescent="0.45">
      <c r="A37" t="s">
        <v>1773</v>
      </c>
      <c r="B37" t="s">
        <v>3227</v>
      </c>
      <c r="C37" t="s">
        <v>3222</v>
      </c>
      <c r="D37" t="s">
        <v>2871</v>
      </c>
      <c r="E37" t="s">
        <v>805</v>
      </c>
      <c r="F37" t="s">
        <v>577</v>
      </c>
      <c r="G37">
        <v>30</v>
      </c>
      <c r="H37">
        <v>34</v>
      </c>
      <c r="I37" t="str">
        <f t="shared" si="0"/>
        <v>BR3034ET03</v>
      </c>
      <c r="J37" t="s">
        <v>3241</v>
      </c>
      <c r="K37" s="363">
        <f>RegionalData!O79</f>
        <v>0.14399999999999999</v>
      </c>
      <c r="L37" s="363">
        <f>RegionalData!Q79</f>
        <v>0.99164270513184261</v>
      </c>
    </row>
    <row r="38" spans="1:12" x14ac:dyDescent="0.45">
      <c r="A38" t="s">
        <v>1771</v>
      </c>
      <c r="B38" t="s">
        <v>3228</v>
      </c>
      <c r="C38" t="s">
        <v>3222</v>
      </c>
      <c r="D38" t="s">
        <v>2871</v>
      </c>
      <c r="E38" t="s">
        <v>805</v>
      </c>
      <c r="F38" t="s">
        <v>577</v>
      </c>
      <c r="G38">
        <v>35</v>
      </c>
      <c r="H38">
        <v>39</v>
      </c>
      <c r="I38" t="str">
        <f t="shared" si="0"/>
        <v>BR3539ET03</v>
      </c>
      <c r="J38" t="s">
        <v>3242</v>
      </c>
      <c r="K38" s="363">
        <f>RegionalData!O81</f>
        <v>0.11799999999999999</v>
      </c>
      <c r="L38" s="363">
        <f>RegionalData!Q81</f>
        <v>0.98151101994666412</v>
      </c>
    </row>
    <row r="39" spans="1:12" x14ac:dyDescent="0.45">
      <c r="A39" t="s">
        <v>1769</v>
      </c>
      <c r="B39" t="s">
        <v>3229</v>
      </c>
      <c r="C39" t="s">
        <v>3222</v>
      </c>
      <c r="D39" t="s">
        <v>2871</v>
      </c>
      <c r="E39" t="s">
        <v>805</v>
      </c>
      <c r="F39" t="s">
        <v>577</v>
      </c>
      <c r="G39">
        <v>40</v>
      </c>
      <c r="H39">
        <v>44</v>
      </c>
      <c r="I39" t="str">
        <f t="shared" si="0"/>
        <v>BR4044ET03</v>
      </c>
      <c r="J39" t="s">
        <v>3243</v>
      </c>
      <c r="K39" s="363">
        <f>RegionalData!O83</f>
        <v>4.5999999999999999E-2</v>
      </c>
      <c r="L39" s="363">
        <f>RegionalData!Q83</f>
        <v>0.95231607419425801</v>
      </c>
    </row>
    <row r="40" spans="1:12" x14ac:dyDescent="0.45">
      <c r="A40" t="s">
        <v>1767</v>
      </c>
      <c r="B40" t="s">
        <v>3230</v>
      </c>
      <c r="C40" t="s">
        <v>3222</v>
      </c>
      <c r="D40" t="s">
        <v>2871</v>
      </c>
      <c r="E40" t="s">
        <v>805</v>
      </c>
      <c r="F40" t="s">
        <v>577</v>
      </c>
      <c r="G40">
        <v>45</v>
      </c>
      <c r="H40">
        <v>49</v>
      </c>
      <c r="I40" t="str">
        <f t="shared" si="0"/>
        <v>BR4549ET03</v>
      </c>
      <c r="J40" t="s">
        <v>3244</v>
      </c>
      <c r="K40" s="363">
        <f>RegionalData!O85</f>
        <v>2.7E-2</v>
      </c>
      <c r="L40" s="363">
        <f>RegionalData!Q85</f>
        <v>1.0618587587949346</v>
      </c>
    </row>
    <row r="41" spans="1:12" x14ac:dyDescent="0.45">
      <c r="A41" t="s">
        <v>3231</v>
      </c>
      <c r="C41" t="s">
        <v>3222</v>
      </c>
      <c r="D41" t="s">
        <v>2871</v>
      </c>
      <c r="E41" t="s">
        <v>805</v>
      </c>
      <c r="F41" t="s">
        <v>577</v>
      </c>
      <c r="G41">
        <v>50</v>
      </c>
      <c r="I41" t="str">
        <f t="shared" si="0"/>
        <v>BR5000ET03</v>
      </c>
      <c r="J41" t="s">
        <v>3245</v>
      </c>
      <c r="K41" s="124">
        <v>0</v>
      </c>
      <c r="L41" s="124">
        <v>1</v>
      </c>
    </row>
    <row r="42" spans="1:12" x14ac:dyDescent="0.45">
      <c r="A42" t="s">
        <v>3221</v>
      </c>
      <c r="C42" t="s">
        <v>3222</v>
      </c>
      <c r="D42" t="s">
        <v>2872</v>
      </c>
      <c r="E42" t="s">
        <v>809</v>
      </c>
      <c r="F42" t="s">
        <v>576</v>
      </c>
      <c r="I42" t="str">
        <f t="shared" si="0"/>
        <v>BR0000ET04</v>
      </c>
      <c r="J42" t="s">
        <v>3236</v>
      </c>
      <c r="K42">
        <v>0</v>
      </c>
      <c r="L42">
        <v>1</v>
      </c>
    </row>
    <row r="43" spans="1:12" x14ac:dyDescent="0.45">
      <c r="A43" t="s">
        <v>3223</v>
      </c>
      <c r="C43" t="s">
        <v>3222</v>
      </c>
      <c r="D43" t="s">
        <v>2872</v>
      </c>
      <c r="E43" t="s">
        <v>809</v>
      </c>
      <c r="F43" t="s">
        <v>577</v>
      </c>
      <c r="H43">
        <v>14</v>
      </c>
      <c r="I43" t="str">
        <f t="shared" si="0"/>
        <v>BR0014ET04</v>
      </c>
      <c r="J43" t="s">
        <v>3237</v>
      </c>
      <c r="K43">
        <v>0</v>
      </c>
      <c r="L43">
        <v>1</v>
      </c>
    </row>
    <row r="44" spans="1:12" x14ac:dyDescent="0.45">
      <c r="A44" t="s">
        <v>1779</v>
      </c>
      <c r="B44" t="s">
        <v>3224</v>
      </c>
      <c r="C44" t="s">
        <v>3222</v>
      </c>
      <c r="D44" t="s">
        <v>2872</v>
      </c>
      <c r="E44" t="s">
        <v>809</v>
      </c>
      <c r="F44" t="s">
        <v>577</v>
      </c>
      <c r="G44">
        <v>15</v>
      </c>
      <c r="H44">
        <v>19</v>
      </c>
      <c r="I44" t="str">
        <f t="shared" si="0"/>
        <v>BR1519ET04</v>
      </c>
      <c r="J44" t="s">
        <v>3238</v>
      </c>
      <c r="K44" s="363">
        <f>RegionalData!O87</f>
        <v>8.8999999999999996E-2</v>
      </c>
      <c r="L44" s="363">
        <f>RegionalData!Q87</f>
        <v>0.97723897298610929</v>
      </c>
    </row>
    <row r="45" spans="1:12" x14ac:dyDescent="0.45">
      <c r="A45" t="s">
        <v>1777</v>
      </c>
      <c r="B45" t="s">
        <v>3225</v>
      </c>
      <c r="C45" t="s">
        <v>3222</v>
      </c>
      <c r="D45" t="s">
        <v>2872</v>
      </c>
      <c r="E45" t="s">
        <v>809</v>
      </c>
      <c r="F45" t="s">
        <v>577</v>
      </c>
      <c r="G45">
        <v>20</v>
      </c>
      <c r="H45">
        <v>24</v>
      </c>
      <c r="I45" t="str">
        <f t="shared" si="0"/>
        <v>BR2024ET04</v>
      </c>
      <c r="J45" t="s">
        <v>3239</v>
      </c>
      <c r="K45" s="363">
        <f>RegionalData!O89</f>
        <v>0.23499999999999999</v>
      </c>
      <c r="L45" s="363">
        <f>RegionalData!Q89</f>
        <v>0.99685353311678415</v>
      </c>
    </row>
    <row r="46" spans="1:12" x14ac:dyDescent="0.45">
      <c r="A46" t="s">
        <v>1775</v>
      </c>
      <c r="B46" t="s">
        <v>3226</v>
      </c>
      <c r="C46" t="s">
        <v>3222</v>
      </c>
      <c r="D46" t="s">
        <v>2872</v>
      </c>
      <c r="E46" t="s">
        <v>809</v>
      </c>
      <c r="F46" t="s">
        <v>577</v>
      </c>
      <c r="G46">
        <v>25</v>
      </c>
      <c r="H46">
        <v>29</v>
      </c>
      <c r="I46" t="str">
        <f t="shared" si="0"/>
        <v>BR2529ET04</v>
      </c>
      <c r="J46" t="s">
        <v>3240</v>
      </c>
      <c r="K46" s="363">
        <f>RegionalData!O91</f>
        <v>0.20499999999999999</v>
      </c>
      <c r="L46" s="363">
        <f>RegionalData!Q91</f>
        <v>0.95923160261985096</v>
      </c>
    </row>
    <row r="47" spans="1:12" x14ac:dyDescent="0.45">
      <c r="A47" t="s">
        <v>1773</v>
      </c>
      <c r="B47" t="s">
        <v>3227</v>
      </c>
      <c r="C47" t="s">
        <v>3222</v>
      </c>
      <c r="D47" t="s">
        <v>2872</v>
      </c>
      <c r="E47" t="s">
        <v>809</v>
      </c>
      <c r="F47" t="s">
        <v>577</v>
      </c>
      <c r="G47">
        <v>30</v>
      </c>
      <c r="H47">
        <v>34</v>
      </c>
      <c r="I47" t="str">
        <f t="shared" si="0"/>
        <v>BR3034ET04</v>
      </c>
      <c r="J47" t="s">
        <v>3241</v>
      </c>
      <c r="K47" s="363">
        <f>RegionalData!O93</f>
        <v>0.16300000000000001</v>
      </c>
      <c r="L47" s="363">
        <f>RegionalData!Q93</f>
        <v>0.96266330219938556</v>
      </c>
    </row>
    <row r="48" spans="1:12" x14ac:dyDescent="0.45">
      <c r="A48" t="s">
        <v>1771</v>
      </c>
      <c r="B48" t="s">
        <v>3228</v>
      </c>
      <c r="C48" t="s">
        <v>3222</v>
      </c>
      <c r="D48" t="s">
        <v>2872</v>
      </c>
      <c r="E48" t="s">
        <v>809</v>
      </c>
      <c r="F48" t="s">
        <v>577</v>
      </c>
      <c r="G48">
        <v>35</v>
      </c>
      <c r="H48">
        <v>39</v>
      </c>
      <c r="I48" t="str">
        <f t="shared" si="0"/>
        <v>BR3539ET04</v>
      </c>
      <c r="J48" t="s">
        <v>3242</v>
      </c>
      <c r="K48" s="363">
        <f>RegionalData!O95</f>
        <v>0.113</v>
      </c>
      <c r="L48" s="363">
        <f>RegionalData!Q95</f>
        <v>0.95745816617065971</v>
      </c>
    </row>
    <row r="49" spans="1:12" x14ac:dyDescent="0.45">
      <c r="A49" t="s">
        <v>1769</v>
      </c>
      <c r="B49" t="s">
        <v>3229</v>
      </c>
      <c r="C49" t="s">
        <v>3222</v>
      </c>
      <c r="D49" t="s">
        <v>2872</v>
      </c>
      <c r="E49" t="s">
        <v>809</v>
      </c>
      <c r="F49" t="s">
        <v>577</v>
      </c>
      <c r="G49">
        <v>40</v>
      </c>
      <c r="H49">
        <v>44</v>
      </c>
      <c r="I49" t="str">
        <f t="shared" si="0"/>
        <v>BR4044ET04</v>
      </c>
      <c r="J49" t="s">
        <v>3243</v>
      </c>
      <c r="K49" s="363">
        <f>RegionalData!O97</f>
        <v>5.3999999999999999E-2</v>
      </c>
      <c r="L49" s="363">
        <f>RegionalData!Q97</f>
        <v>0.95976865458264549</v>
      </c>
    </row>
    <row r="50" spans="1:12" x14ac:dyDescent="0.45">
      <c r="A50" t="s">
        <v>1767</v>
      </c>
      <c r="B50" t="s">
        <v>3230</v>
      </c>
      <c r="C50" t="s">
        <v>3222</v>
      </c>
      <c r="D50" t="s">
        <v>2872</v>
      </c>
      <c r="E50" t="s">
        <v>809</v>
      </c>
      <c r="F50" t="s">
        <v>577</v>
      </c>
      <c r="G50">
        <v>45</v>
      </c>
      <c r="H50">
        <v>49</v>
      </c>
      <c r="I50" t="str">
        <f t="shared" si="0"/>
        <v>BR4549ET04</v>
      </c>
      <c r="J50" t="s">
        <v>3244</v>
      </c>
      <c r="K50" s="363">
        <f>RegionalData!O99</f>
        <v>2.5000000000000001E-2</v>
      </c>
      <c r="L50" s="363">
        <f>RegionalData!Q99</f>
        <v>0.92458673196759678</v>
      </c>
    </row>
    <row r="51" spans="1:12" x14ac:dyDescent="0.45">
      <c r="A51" t="s">
        <v>3231</v>
      </c>
      <c r="C51" t="s">
        <v>3222</v>
      </c>
      <c r="D51" t="s">
        <v>2872</v>
      </c>
      <c r="E51" t="s">
        <v>809</v>
      </c>
      <c r="F51" t="s">
        <v>577</v>
      </c>
      <c r="G51">
        <v>50</v>
      </c>
      <c r="I51" t="str">
        <f t="shared" si="0"/>
        <v>BR5000ET04</v>
      </c>
      <c r="J51" t="s">
        <v>3245</v>
      </c>
      <c r="K51" s="124">
        <v>0</v>
      </c>
      <c r="L51" s="124">
        <v>1</v>
      </c>
    </row>
    <row r="52" spans="1:12" x14ac:dyDescent="0.45">
      <c r="A52" t="s">
        <v>3221</v>
      </c>
      <c r="C52" t="s">
        <v>3222</v>
      </c>
      <c r="D52" t="s">
        <v>2873</v>
      </c>
      <c r="E52" t="s">
        <v>2874</v>
      </c>
      <c r="F52" t="s">
        <v>576</v>
      </c>
      <c r="I52" t="str">
        <f t="shared" si="0"/>
        <v>BR0000ET05</v>
      </c>
      <c r="J52" t="s">
        <v>3236</v>
      </c>
      <c r="K52">
        <v>0</v>
      </c>
      <c r="L52">
        <v>1</v>
      </c>
    </row>
    <row r="53" spans="1:12" x14ac:dyDescent="0.45">
      <c r="A53" t="s">
        <v>3223</v>
      </c>
      <c r="C53" t="s">
        <v>3222</v>
      </c>
      <c r="D53" t="s">
        <v>2873</v>
      </c>
      <c r="E53" t="s">
        <v>2874</v>
      </c>
      <c r="F53" t="s">
        <v>577</v>
      </c>
      <c r="H53">
        <v>14</v>
      </c>
      <c r="I53" t="str">
        <f t="shared" si="0"/>
        <v>BR0014ET05</v>
      </c>
      <c r="J53" t="s">
        <v>3237</v>
      </c>
      <c r="K53">
        <v>0</v>
      </c>
      <c r="L53">
        <v>1</v>
      </c>
    </row>
    <row r="54" spans="1:12" x14ac:dyDescent="0.45">
      <c r="A54" t="s">
        <v>1779</v>
      </c>
      <c r="B54" t="s">
        <v>3224</v>
      </c>
      <c r="C54" t="s">
        <v>3222</v>
      </c>
      <c r="D54" t="s">
        <v>2873</v>
      </c>
      <c r="E54" t="s">
        <v>2874</v>
      </c>
      <c r="F54" t="s">
        <v>577</v>
      </c>
      <c r="G54">
        <v>15</v>
      </c>
      <c r="H54">
        <v>19</v>
      </c>
      <c r="I54" t="str">
        <f t="shared" si="0"/>
        <v>BR1519ET05</v>
      </c>
      <c r="J54" t="s">
        <v>3238</v>
      </c>
      <c r="K54" s="363">
        <f>RegionalData!O101</f>
        <v>9.5000000000000001E-2</v>
      </c>
      <c r="L54" s="363">
        <f>RegionalData!Q101</f>
        <v>0.97429891282911052</v>
      </c>
    </row>
    <row r="55" spans="1:12" x14ac:dyDescent="0.45">
      <c r="A55" t="s">
        <v>1777</v>
      </c>
      <c r="B55" t="s">
        <v>3225</v>
      </c>
      <c r="C55" t="s">
        <v>3222</v>
      </c>
      <c r="D55" t="s">
        <v>2873</v>
      </c>
      <c r="E55" t="s">
        <v>2874</v>
      </c>
      <c r="F55" t="s">
        <v>577</v>
      </c>
      <c r="G55">
        <v>20</v>
      </c>
      <c r="H55">
        <v>24</v>
      </c>
      <c r="I55" t="str">
        <f t="shared" si="0"/>
        <v>BR2024ET05</v>
      </c>
      <c r="J55" t="s">
        <v>3239</v>
      </c>
      <c r="K55" s="363">
        <f>RegionalData!O103</f>
        <v>0.26400000000000001</v>
      </c>
      <c r="L55" s="363">
        <f>RegionalData!Q103</f>
        <v>0.98373852368882952</v>
      </c>
    </row>
    <row r="56" spans="1:12" x14ac:dyDescent="0.45">
      <c r="A56" t="s">
        <v>1775</v>
      </c>
      <c r="B56" t="s">
        <v>3226</v>
      </c>
      <c r="C56" t="s">
        <v>3222</v>
      </c>
      <c r="D56" t="s">
        <v>2873</v>
      </c>
      <c r="E56" t="s">
        <v>2874</v>
      </c>
      <c r="F56" t="s">
        <v>577</v>
      </c>
      <c r="G56">
        <v>25</v>
      </c>
      <c r="H56">
        <v>29</v>
      </c>
      <c r="I56" t="str">
        <f t="shared" si="0"/>
        <v>BR2529ET05</v>
      </c>
      <c r="J56" t="s">
        <v>3240</v>
      </c>
      <c r="K56" s="363">
        <f>RegionalData!O105</f>
        <v>0.27400000000000002</v>
      </c>
      <c r="L56" s="363">
        <f>RegionalData!Q105</f>
        <v>0.98078784072945902</v>
      </c>
    </row>
    <row r="57" spans="1:12" x14ac:dyDescent="0.45">
      <c r="A57" t="s">
        <v>1773</v>
      </c>
      <c r="B57" t="s">
        <v>3227</v>
      </c>
      <c r="C57" t="s">
        <v>3222</v>
      </c>
      <c r="D57" t="s">
        <v>2873</v>
      </c>
      <c r="E57" t="s">
        <v>2874</v>
      </c>
      <c r="F57" t="s">
        <v>577</v>
      </c>
      <c r="G57">
        <v>30</v>
      </c>
      <c r="H57">
        <v>34</v>
      </c>
      <c r="I57" t="str">
        <f t="shared" si="0"/>
        <v>BR3034ET05</v>
      </c>
      <c r="J57" t="s">
        <v>3241</v>
      </c>
      <c r="K57" s="363">
        <f>RegionalData!O107</f>
        <v>0.24299999999999999</v>
      </c>
      <c r="L57" s="363">
        <f>RegionalData!Q107</f>
        <v>0.97319510609944904</v>
      </c>
    </row>
    <row r="58" spans="1:12" x14ac:dyDescent="0.45">
      <c r="A58" t="s">
        <v>1771</v>
      </c>
      <c r="B58" t="s">
        <v>3228</v>
      </c>
      <c r="C58" t="s">
        <v>3222</v>
      </c>
      <c r="D58" t="s">
        <v>2873</v>
      </c>
      <c r="E58" t="s">
        <v>2874</v>
      </c>
      <c r="F58" t="s">
        <v>577</v>
      </c>
      <c r="G58">
        <v>35</v>
      </c>
      <c r="H58">
        <v>39</v>
      </c>
      <c r="I58" t="str">
        <f t="shared" si="0"/>
        <v>BR3539ET05</v>
      </c>
      <c r="J58" t="s">
        <v>3242</v>
      </c>
      <c r="K58" s="363">
        <f>RegionalData!O109</f>
        <v>0.19400000000000001</v>
      </c>
      <c r="L58" s="363">
        <f>RegionalData!Q109</f>
        <v>1.0012961877055229</v>
      </c>
    </row>
    <row r="59" spans="1:12" x14ac:dyDescent="0.45">
      <c r="A59" t="s">
        <v>1769</v>
      </c>
      <c r="B59" t="s">
        <v>3229</v>
      </c>
      <c r="C59" t="s">
        <v>3222</v>
      </c>
      <c r="D59" t="s">
        <v>2873</v>
      </c>
      <c r="E59" t="s">
        <v>2874</v>
      </c>
      <c r="F59" t="s">
        <v>577</v>
      </c>
      <c r="G59">
        <v>40</v>
      </c>
      <c r="H59">
        <v>44</v>
      </c>
      <c r="I59" t="str">
        <f t="shared" si="0"/>
        <v>BR4044ET05</v>
      </c>
      <c r="J59" t="s">
        <v>3243</v>
      </c>
      <c r="K59" s="363">
        <f>RegionalData!O111</f>
        <v>8.5000000000000006E-2</v>
      </c>
      <c r="L59" s="363">
        <f>RegionalData!Q111</f>
        <v>0.8974561003782201</v>
      </c>
    </row>
    <row r="60" spans="1:12" x14ac:dyDescent="0.45">
      <c r="A60" t="s">
        <v>1767</v>
      </c>
      <c r="B60" t="s">
        <v>3230</v>
      </c>
      <c r="C60" t="s">
        <v>3222</v>
      </c>
      <c r="D60" t="s">
        <v>2873</v>
      </c>
      <c r="E60" t="s">
        <v>2874</v>
      </c>
      <c r="F60" t="s">
        <v>577</v>
      </c>
      <c r="G60">
        <v>45</v>
      </c>
      <c r="H60">
        <v>49</v>
      </c>
      <c r="I60" t="str">
        <f t="shared" si="0"/>
        <v>BR4549ET05</v>
      </c>
      <c r="J60" t="s">
        <v>3244</v>
      </c>
      <c r="K60" s="363">
        <f>RegionalData!O113</f>
        <v>0</v>
      </c>
      <c r="L60" s="363">
        <f>RegionalData!Q113</f>
        <v>1</v>
      </c>
    </row>
    <row r="61" spans="1:12" x14ac:dyDescent="0.45">
      <c r="A61" t="s">
        <v>3231</v>
      </c>
      <c r="C61" t="s">
        <v>3222</v>
      </c>
      <c r="D61" t="s">
        <v>2873</v>
      </c>
      <c r="E61" t="s">
        <v>2874</v>
      </c>
      <c r="F61" t="s">
        <v>577</v>
      </c>
      <c r="G61">
        <v>50</v>
      </c>
      <c r="I61" t="str">
        <f t="shared" si="0"/>
        <v>BR5000ET05</v>
      </c>
      <c r="J61" t="s">
        <v>3245</v>
      </c>
      <c r="K61" s="124">
        <v>0</v>
      </c>
      <c r="L61" s="124">
        <v>1</v>
      </c>
    </row>
    <row r="62" spans="1:12" x14ac:dyDescent="0.45">
      <c r="A62" t="s">
        <v>3221</v>
      </c>
      <c r="C62" t="s">
        <v>3222</v>
      </c>
      <c r="D62" t="s">
        <v>2876</v>
      </c>
      <c r="E62" t="s">
        <v>2877</v>
      </c>
      <c r="F62" t="s">
        <v>576</v>
      </c>
      <c r="I62" t="str">
        <f t="shared" si="0"/>
        <v>BR0000ET06</v>
      </c>
      <c r="J62" t="s">
        <v>3236</v>
      </c>
      <c r="K62">
        <v>0</v>
      </c>
      <c r="L62">
        <v>1</v>
      </c>
    </row>
    <row r="63" spans="1:12" x14ac:dyDescent="0.45">
      <c r="A63" t="s">
        <v>3223</v>
      </c>
      <c r="C63" t="s">
        <v>3222</v>
      </c>
      <c r="D63" t="s">
        <v>2876</v>
      </c>
      <c r="E63" t="s">
        <v>2877</v>
      </c>
      <c r="F63" t="s">
        <v>577</v>
      </c>
      <c r="H63">
        <v>14</v>
      </c>
      <c r="I63" t="str">
        <f t="shared" si="0"/>
        <v>BR0014ET06</v>
      </c>
      <c r="J63" t="s">
        <v>3237</v>
      </c>
      <c r="K63">
        <v>0</v>
      </c>
      <c r="L63">
        <v>1</v>
      </c>
    </row>
    <row r="64" spans="1:12" x14ac:dyDescent="0.45">
      <c r="A64" t="s">
        <v>1779</v>
      </c>
      <c r="B64" t="s">
        <v>3224</v>
      </c>
      <c r="C64" t="s">
        <v>3222</v>
      </c>
      <c r="D64" t="s">
        <v>2876</v>
      </c>
      <c r="E64" t="s">
        <v>2877</v>
      </c>
      <c r="F64" t="s">
        <v>577</v>
      </c>
      <c r="G64">
        <v>15</v>
      </c>
      <c r="H64">
        <v>19</v>
      </c>
      <c r="I64" t="str">
        <f t="shared" si="0"/>
        <v>BR1519ET06</v>
      </c>
      <c r="J64" t="s">
        <v>3238</v>
      </c>
      <c r="K64" s="363">
        <f>RegionalData!O114</f>
        <v>7.2999999999999995E-2</v>
      </c>
      <c r="L64" s="363">
        <f>RegionalData!Q114</f>
        <v>0.92100707936104054</v>
      </c>
    </row>
    <row r="65" spans="1:12" x14ac:dyDescent="0.45">
      <c r="A65" t="s">
        <v>1777</v>
      </c>
      <c r="B65" t="s">
        <v>3225</v>
      </c>
      <c r="C65" t="s">
        <v>3222</v>
      </c>
      <c r="D65" t="s">
        <v>2876</v>
      </c>
      <c r="E65" t="s">
        <v>2877</v>
      </c>
      <c r="F65" t="s">
        <v>577</v>
      </c>
      <c r="G65">
        <v>20</v>
      </c>
      <c r="H65">
        <v>24</v>
      </c>
      <c r="I65" t="str">
        <f t="shared" si="0"/>
        <v>BR2024ET06</v>
      </c>
      <c r="J65" t="s">
        <v>3239</v>
      </c>
      <c r="K65" s="363">
        <f>RegionalData!O116</f>
        <v>0.248</v>
      </c>
      <c r="L65" s="363">
        <f>RegionalData!Q116</f>
        <v>1.0122403503324773</v>
      </c>
    </row>
    <row r="66" spans="1:12" x14ac:dyDescent="0.45">
      <c r="A66" t="s">
        <v>1775</v>
      </c>
      <c r="B66" t="s">
        <v>3226</v>
      </c>
      <c r="C66" t="s">
        <v>3222</v>
      </c>
      <c r="D66" t="s">
        <v>2876</v>
      </c>
      <c r="E66" t="s">
        <v>2877</v>
      </c>
      <c r="F66" t="s">
        <v>577</v>
      </c>
      <c r="G66">
        <v>25</v>
      </c>
      <c r="H66">
        <v>29</v>
      </c>
      <c r="I66" t="str">
        <f t="shared" si="0"/>
        <v>BR2529ET06</v>
      </c>
      <c r="J66" t="s">
        <v>3240</v>
      </c>
      <c r="K66" s="363">
        <f>RegionalData!O118</f>
        <v>0.214</v>
      </c>
      <c r="L66" s="363">
        <f>RegionalData!Q118</f>
        <v>0.99102758280210379</v>
      </c>
    </row>
    <row r="67" spans="1:12" x14ac:dyDescent="0.45">
      <c r="A67" t="s">
        <v>1773</v>
      </c>
      <c r="B67" t="s">
        <v>3227</v>
      </c>
      <c r="C67" t="s">
        <v>3222</v>
      </c>
      <c r="D67" t="s">
        <v>2876</v>
      </c>
      <c r="E67" t="s">
        <v>2877</v>
      </c>
      <c r="F67" t="s">
        <v>577</v>
      </c>
      <c r="G67">
        <v>30</v>
      </c>
      <c r="H67">
        <v>34</v>
      </c>
      <c r="I67" t="str">
        <f t="shared" ref="I67:I130" si="1">_xlfn.CONCAT(J67,D67)</f>
        <v>BR3034ET06</v>
      </c>
      <c r="J67" t="s">
        <v>3241</v>
      </c>
      <c r="K67" s="363">
        <f>RegionalData!O120</f>
        <v>0.16900000000000001</v>
      </c>
      <c r="L67" s="363">
        <f>RegionalData!Q120</f>
        <v>0.96812252252223585</v>
      </c>
    </row>
    <row r="68" spans="1:12" x14ac:dyDescent="0.45">
      <c r="A68" t="s">
        <v>1771</v>
      </c>
      <c r="B68" t="s">
        <v>3228</v>
      </c>
      <c r="C68" t="s">
        <v>3222</v>
      </c>
      <c r="D68" t="s">
        <v>2876</v>
      </c>
      <c r="E68" t="s">
        <v>2877</v>
      </c>
      <c r="F68" t="s">
        <v>577</v>
      </c>
      <c r="G68">
        <v>35</v>
      </c>
      <c r="H68">
        <v>39</v>
      </c>
      <c r="I68" t="str">
        <f t="shared" si="1"/>
        <v>BR3539ET06</v>
      </c>
      <c r="J68" t="s">
        <v>3242</v>
      </c>
      <c r="K68" s="363">
        <f>RegionalData!O122</f>
        <v>0.127</v>
      </c>
      <c r="L68" s="363">
        <f>RegionalData!Q122</f>
        <v>0.99902008324967195</v>
      </c>
    </row>
    <row r="69" spans="1:12" x14ac:dyDescent="0.45">
      <c r="A69" t="s">
        <v>1769</v>
      </c>
      <c r="B69" t="s">
        <v>3229</v>
      </c>
      <c r="C69" t="s">
        <v>3222</v>
      </c>
      <c r="D69" t="s">
        <v>2876</v>
      </c>
      <c r="E69" t="s">
        <v>2877</v>
      </c>
      <c r="F69" t="s">
        <v>577</v>
      </c>
      <c r="G69">
        <v>40</v>
      </c>
      <c r="H69">
        <v>44</v>
      </c>
      <c r="I69" t="str">
        <f t="shared" si="1"/>
        <v>BR4044ET06</v>
      </c>
      <c r="J69" t="s">
        <v>3243</v>
      </c>
      <c r="K69" s="363">
        <f>RegionalData!O124</f>
        <v>6.6000000000000003E-2</v>
      </c>
      <c r="L69" s="363">
        <f>RegionalData!Q124</f>
        <v>0.98747846761616642</v>
      </c>
    </row>
    <row r="70" spans="1:12" x14ac:dyDescent="0.45">
      <c r="A70" t="s">
        <v>1767</v>
      </c>
      <c r="B70" t="s">
        <v>3230</v>
      </c>
      <c r="C70" t="s">
        <v>3222</v>
      </c>
      <c r="D70" t="s">
        <v>2876</v>
      </c>
      <c r="E70" t="s">
        <v>2877</v>
      </c>
      <c r="F70" t="s">
        <v>577</v>
      </c>
      <c r="G70">
        <v>45</v>
      </c>
      <c r="H70">
        <v>49</v>
      </c>
      <c r="I70" t="str">
        <f t="shared" si="1"/>
        <v>BR4549ET06</v>
      </c>
      <c r="J70" t="s">
        <v>3244</v>
      </c>
      <c r="K70" s="363">
        <f>RegionalData!O126</f>
        <v>2.1999999999999999E-2</v>
      </c>
      <c r="L70" s="363">
        <f>RegionalData!Q126</f>
        <v>1</v>
      </c>
    </row>
    <row r="71" spans="1:12" x14ac:dyDescent="0.45">
      <c r="A71" t="s">
        <v>3231</v>
      </c>
      <c r="C71" t="s">
        <v>3222</v>
      </c>
      <c r="D71" t="s">
        <v>2876</v>
      </c>
      <c r="E71" t="s">
        <v>2877</v>
      </c>
      <c r="F71" t="s">
        <v>577</v>
      </c>
      <c r="G71">
        <v>50</v>
      </c>
      <c r="I71" t="str">
        <f t="shared" si="1"/>
        <v>BR5000ET06</v>
      </c>
      <c r="J71" t="s">
        <v>3245</v>
      </c>
      <c r="K71" s="124">
        <v>0</v>
      </c>
      <c r="L71" s="124">
        <v>1</v>
      </c>
    </row>
    <row r="72" spans="1:12" x14ac:dyDescent="0.45">
      <c r="A72" t="s">
        <v>3221</v>
      </c>
      <c r="C72" t="s">
        <v>3222</v>
      </c>
      <c r="D72" t="s">
        <v>2878</v>
      </c>
      <c r="E72" t="s">
        <v>2879</v>
      </c>
      <c r="F72" t="s">
        <v>576</v>
      </c>
      <c r="I72" t="str">
        <f t="shared" si="1"/>
        <v>BR0000ET07</v>
      </c>
      <c r="J72" t="s">
        <v>3236</v>
      </c>
      <c r="K72">
        <v>0</v>
      </c>
      <c r="L72">
        <v>1</v>
      </c>
    </row>
    <row r="73" spans="1:12" x14ac:dyDescent="0.45">
      <c r="A73" t="s">
        <v>3223</v>
      </c>
      <c r="C73" t="s">
        <v>3222</v>
      </c>
      <c r="D73" t="s">
        <v>2878</v>
      </c>
      <c r="E73" t="s">
        <v>2879</v>
      </c>
      <c r="F73" t="s">
        <v>577</v>
      </c>
      <c r="H73">
        <v>14</v>
      </c>
      <c r="I73" t="str">
        <f t="shared" si="1"/>
        <v>BR0014ET07</v>
      </c>
      <c r="J73" t="s">
        <v>3237</v>
      </c>
      <c r="K73">
        <v>0</v>
      </c>
      <c r="L73">
        <v>1</v>
      </c>
    </row>
    <row r="74" spans="1:12" x14ac:dyDescent="0.45">
      <c r="A74" t="s">
        <v>1779</v>
      </c>
      <c r="B74" t="s">
        <v>3224</v>
      </c>
      <c r="C74" t="s">
        <v>3222</v>
      </c>
      <c r="D74" t="s">
        <v>2878</v>
      </c>
      <c r="E74" t="s">
        <v>2879</v>
      </c>
      <c r="F74" t="s">
        <v>577</v>
      </c>
      <c r="G74">
        <v>15</v>
      </c>
      <c r="H74">
        <v>19</v>
      </c>
      <c r="I74" t="str">
        <f t="shared" si="1"/>
        <v>BR1519ET07</v>
      </c>
      <c r="J74" t="s">
        <v>3238</v>
      </c>
      <c r="K74" s="363">
        <f>RegionalData!O127</f>
        <v>7.2999999999999995E-2</v>
      </c>
      <c r="L74" s="363">
        <f>RegionalData!Q127</f>
        <v>1.0146147881626517</v>
      </c>
    </row>
    <row r="75" spans="1:12" x14ac:dyDescent="0.45">
      <c r="A75" t="s">
        <v>1777</v>
      </c>
      <c r="B75" t="s">
        <v>3225</v>
      </c>
      <c r="C75" t="s">
        <v>3222</v>
      </c>
      <c r="D75" t="s">
        <v>2878</v>
      </c>
      <c r="E75" t="s">
        <v>2879</v>
      </c>
      <c r="F75" t="s">
        <v>577</v>
      </c>
      <c r="G75">
        <v>20</v>
      </c>
      <c r="H75">
        <v>24</v>
      </c>
      <c r="I75" t="str">
        <f t="shared" si="1"/>
        <v>BR2024ET07</v>
      </c>
      <c r="J75" t="s">
        <v>3239</v>
      </c>
      <c r="K75" s="363">
        <f>RegionalData!O129</f>
        <v>0.18099999999999999</v>
      </c>
      <c r="L75" s="363">
        <f>RegionalData!Q129</f>
        <v>1.0020913689895239</v>
      </c>
    </row>
    <row r="76" spans="1:12" x14ac:dyDescent="0.45">
      <c r="A76" t="s">
        <v>1775</v>
      </c>
      <c r="B76" t="s">
        <v>3226</v>
      </c>
      <c r="C76" t="s">
        <v>3222</v>
      </c>
      <c r="D76" t="s">
        <v>2878</v>
      </c>
      <c r="E76" t="s">
        <v>2879</v>
      </c>
      <c r="F76" t="s">
        <v>577</v>
      </c>
      <c r="G76">
        <v>25</v>
      </c>
      <c r="H76">
        <v>29</v>
      </c>
      <c r="I76" t="str">
        <f t="shared" si="1"/>
        <v>BR2529ET07</v>
      </c>
      <c r="J76" t="s">
        <v>3240</v>
      </c>
      <c r="K76" s="363">
        <f>RegionalData!O131</f>
        <v>0.214</v>
      </c>
      <c r="L76" s="363">
        <f>RegionalData!Q131</f>
        <v>0.98124352348206356</v>
      </c>
    </row>
    <row r="77" spans="1:12" x14ac:dyDescent="0.45">
      <c r="A77" t="s">
        <v>1773</v>
      </c>
      <c r="B77" t="s">
        <v>3227</v>
      </c>
      <c r="C77" t="s">
        <v>3222</v>
      </c>
      <c r="D77" t="s">
        <v>2878</v>
      </c>
      <c r="E77" t="s">
        <v>2879</v>
      </c>
      <c r="F77" t="s">
        <v>577</v>
      </c>
      <c r="G77">
        <v>30</v>
      </c>
      <c r="H77">
        <v>34</v>
      </c>
      <c r="I77" t="str">
        <f t="shared" si="1"/>
        <v>BR3034ET07</v>
      </c>
      <c r="J77" t="s">
        <v>3241</v>
      </c>
      <c r="K77" s="363">
        <f>RegionalData!O133</f>
        <v>0.161</v>
      </c>
      <c r="L77" s="363">
        <f>RegionalData!Q133</f>
        <v>0.96733259669911176</v>
      </c>
    </row>
    <row r="78" spans="1:12" x14ac:dyDescent="0.45">
      <c r="A78" t="s">
        <v>1771</v>
      </c>
      <c r="B78" t="s">
        <v>3228</v>
      </c>
      <c r="C78" t="s">
        <v>3222</v>
      </c>
      <c r="D78" t="s">
        <v>2878</v>
      </c>
      <c r="E78" t="s">
        <v>2879</v>
      </c>
      <c r="F78" t="s">
        <v>577</v>
      </c>
      <c r="G78">
        <v>35</v>
      </c>
      <c r="H78">
        <v>39</v>
      </c>
      <c r="I78" t="str">
        <f t="shared" si="1"/>
        <v>BR3539ET07</v>
      </c>
      <c r="J78" t="s">
        <v>3242</v>
      </c>
      <c r="K78" s="363">
        <f>RegionalData!O135</f>
        <v>0.13</v>
      </c>
      <c r="L78" s="363">
        <f>RegionalData!Q135</f>
        <v>0.97437901304265118</v>
      </c>
    </row>
    <row r="79" spans="1:12" x14ac:dyDescent="0.45">
      <c r="A79" t="s">
        <v>1769</v>
      </c>
      <c r="B79" t="s">
        <v>3229</v>
      </c>
      <c r="C79" t="s">
        <v>3222</v>
      </c>
      <c r="D79" t="s">
        <v>2878</v>
      </c>
      <c r="E79" t="s">
        <v>2879</v>
      </c>
      <c r="F79" t="s">
        <v>577</v>
      </c>
      <c r="G79">
        <v>40</v>
      </c>
      <c r="H79">
        <v>44</v>
      </c>
      <c r="I79" t="str">
        <f t="shared" si="1"/>
        <v>BR4044ET07</v>
      </c>
      <c r="J79" t="s">
        <v>3243</v>
      </c>
      <c r="K79" s="363">
        <f>RegionalData!O137</f>
        <v>3.7999999999999999E-2</v>
      </c>
      <c r="L79" s="363">
        <f>RegionalData!Q137</f>
        <v>0.91852354154919258</v>
      </c>
    </row>
    <row r="80" spans="1:12" x14ac:dyDescent="0.45">
      <c r="A80" t="s">
        <v>1767</v>
      </c>
      <c r="B80" t="s">
        <v>3230</v>
      </c>
      <c r="C80" t="s">
        <v>3222</v>
      </c>
      <c r="D80" t="s">
        <v>2878</v>
      </c>
      <c r="E80" t="s">
        <v>2879</v>
      </c>
      <c r="F80" t="s">
        <v>577</v>
      </c>
      <c r="G80">
        <v>45</v>
      </c>
      <c r="H80">
        <v>49</v>
      </c>
      <c r="I80" t="str">
        <f t="shared" si="1"/>
        <v>BR4549ET07</v>
      </c>
      <c r="J80" t="s">
        <v>3244</v>
      </c>
      <c r="K80" s="363">
        <f>RegionalData!O139</f>
        <v>2.7E-2</v>
      </c>
      <c r="L80" s="363">
        <f>RegionalData!Q139</f>
        <v>0.92909437646256021</v>
      </c>
    </row>
    <row r="81" spans="1:12" x14ac:dyDescent="0.45">
      <c r="A81" t="s">
        <v>3231</v>
      </c>
      <c r="C81" t="s">
        <v>3222</v>
      </c>
      <c r="D81" t="s">
        <v>2878</v>
      </c>
      <c r="E81" t="s">
        <v>2879</v>
      </c>
      <c r="F81" t="s">
        <v>577</v>
      </c>
      <c r="G81">
        <v>50</v>
      </c>
      <c r="I81" t="str">
        <f t="shared" si="1"/>
        <v>BR5000ET07</v>
      </c>
      <c r="J81" t="s">
        <v>3245</v>
      </c>
      <c r="K81" s="124">
        <v>0</v>
      </c>
      <c r="L81" s="124">
        <v>1</v>
      </c>
    </row>
    <row r="82" spans="1:12" x14ac:dyDescent="0.45">
      <c r="A82" t="s">
        <v>3221</v>
      </c>
      <c r="C82" t="s">
        <v>3222</v>
      </c>
      <c r="D82" t="s">
        <v>2880</v>
      </c>
      <c r="E82" t="s">
        <v>2881</v>
      </c>
      <c r="F82" t="s">
        <v>576</v>
      </c>
      <c r="I82" t="str">
        <f t="shared" si="1"/>
        <v>BR0000ET12</v>
      </c>
      <c r="J82" t="s">
        <v>3236</v>
      </c>
      <c r="K82">
        <v>0</v>
      </c>
      <c r="L82">
        <v>1</v>
      </c>
    </row>
    <row r="83" spans="1:12" x14ac:dyDescent="0.45">
      <c r="A83" t="s">
        <v>3223</v>
      </c>
      <c r="C83" t="s">
        <v>3222</v>
      </c>
      <c r="D83" t="s">
        <v>2880</v>
      </c>
      <c r="E83" t="s">
        <v>2881</v>
      </c>
      <c r="F83" t="s">
        <v>577</v>
      </c>
      <c r="H83">
        <v>14</v>
      </c>
      <c r="I83" t="str">
        <f t="shared" si="1"/>
        <v>BR0014ET12</v>
      </c>
      <c r="J83" t="s">
        <v>3237</v>
      </c>
      <c r="K83">
        <v>0</v>
      </c>
      <c r="L83">
        <v>1</v>
      </c>
    </row>
    <row r="84" spans="1:12" x14ac:dyDescent="0.45">
      <c r="A84" t="s">
        <v>1779</v>
      </c>
      <c r="B84" t="s">
        <v>3224</v>
      </c>
      <c r="C84" t="s">
        <v>3222</v>
      </c>
      <c r="D84" t="s">
        <v>2880</v>
      </c>
      <c r="E84" t="s">
        <v>2881</v>
      </c>
      <c r="F84" t="s">
        <v>577</v>
      </c>
      <c r="G84">
        <v>15</v>
      </c>
      <c r="H84">
        <v>19</v>
      </c>
      <c r="I84" t="str">
        <f t="shared" si="1"/>
        <v>BR1519ET12</v>
      </c>
      <c r="J84" t="s">
        <v>3238</v>
      </c>
      <c r="K84" s="363">
        <f>RegionalData!O141</f>
        <v>0.124</v>
      </c>
      <c r="L84" s="363">
        <f>RegionalData!Q141</f>
        <v>1.0613689296226481</v>
      </c>
    </row>
    <row r="85" spans="1:12" x14ac:dyDescent="0.45">
      <c r="A85" t="s">
        <v>1777</v>
      </c>
      <c r="B85" t="s">
        <v>3225</v>
      </c>
      <c r="C85" t="s">
        <v>3222</v>
      </c>
      <c r="D85" t="s">
        <v>2880</v>
      </c>
      <c r="E85" t="s">
        <v>2881</v>
      </c>
      <c r="F85" t="s">
        <v>577</v>
      </c>
      <c r="G85">
        <v>20</v>
      </c>
      <c r="H85">
        <v>24</v>
      </c>
      <c r="I85" t="str">
        <f t="shared" si="1"/>
        <v>BR2024ET12</v>
      </c>
      <c r="J85" t="s">
        <v>3239</v>
      </c>
      <c r="K85" s="363">
        <f>RegionalData!O143</f>
        <v>0.161</v>
      </c>
      <c r="L85" s="363">
        <f>RegionalData!Q143</f>
        <v>1.0185360018582728</v>
      </c>
    </row>
    <row r="86" spans="1:12" x14ac:dyDescent="0.45">
      <c r="A86" t="s">
        <v>1775</v>
      </c>
      <c r="B86" t="s">
        <v>3226</v>
      </c>
      <c r="C86" t="s">
        <v>3222</v>
      </c>
      <c r="D86" t="s">
        <v>2880</v>
      </c>
      <c r="E86" t="s">
        <v>2881</v>
      </c>
      <c r="F86" t="s">
        <v>577</v>
      </c>
      <c r="G86">
        <v>25</v>
      </c>
      <c r="H86">
        <v>29</v>
      </c>
      <c r="I86" t="str">
        <f t="shared" si="1"/>
        <v>BR2529ET12</v>
      </c>
      <c r="J86" t="s">
        <v>3240</v>
      </c>
      <c r="K86" s="363">
        <f>RegionalData!O145</f>
        <v>0.17499999999999999</v>
      </c>
      <c r="L86" s="363">
        <f>RegionalData!Q145</f>
        <v>0.99858053855846252</v>
      </c>
    </row>
    <row r="87" spans="1:12" x14ac:dyDescent="0.45">
      <c r="A87" t="s">
        <v>1773</v>
      </c>
      <c r="B87" t="s">
        <v>3227</v>
      </c>
      <c r="C87" t="s">
        <v>3222</v>
      </c>
      <c r="D87" t="s">
        <v>2880</v>
      </c>
      <c r="E87" t="s">
        <v>2881</v>
      </c>
      <c r="F87" t="s">
        <v>577</v>
      </c>
      <c r="G87">
        <v>30</v>
      </c>
      <c r="H87">
        <v>34</v>
      </c>
      <c r="I87" t="str">
        <f t="shared" si="1"/>
        <v>BR3034ET12</v>
      </c>
      <c r="J87" t="s">
        <v>3241</v>
      </c>
      <c r="K87" s="363">
        <f>RegionalData!O147</f>
        <v>0.13500000000000001</v>
      </c>
      <c r="L87" s="363">
        <f>RegionalData!Q147</f>
        <v>0.9752281484642602</v>
      </c>
    </row>
    <row r="88" spans="1:12" x14ac:dyDescent="0.45">
      <c r="A88" t="s">
        <v>1771</v>
      </c>
      <c r="B88" t="s">
        <v>3228</v>
      </c>
      <c r="C88" t="s">
        <v>3222</v>
      </c>
      <c r="D88" t="s">
        <v>2880</v>
      </c>
      <c r="E88" t="s">
        <v>2881</v>
      </c>
      <c r="F88" t="s">
        <v>577</v>
      </c>
      <c r="G88">
        <v>35</v>
      </c>
      <c r="H88">
        <v>39</v>
      </c>
      <c r="I88" t="str">
        <f t="shared" si="1"/>
        <v>BR3539ET12</v>
      </c>
      <c r="J88" t="s">
        <v>3242</v>
      </c>
      <c r="K88" s="363">
        <f>RegionalData!O149</f>
        <v>6.4000000000000001E-2</v>
      </c>
      <c r="L88" s="363">
        <f>RegionalData!Q149</f>
        <v>0.90360200360984488</v>
      </c>
    </row>
    <row r="89" spans="1:12" x14ac:dyDescent="0.45">
      <c r="A89" t="s">
        <v>1769</v>
      </c>
      <c r="B89" t="s">
        <v>3229</v>
      </c>
      <c r="C89" t="s">
        <v>3222</v>
      </c>
      <c r="D89" t="s">
        <v>2880</v>
      </c>
      <c r="E89" t="s">
        <v>2881</v>
      </c>
      <c r="F89" t="s">
        <v>577</v>
      </c>
      <c r="G89">
        <v>40</v>
      </c>
      <c r="H89">
        <v>44</v>
      </c>
      <c r="I89" t="str">
        <f t="shared" si="1"/>
        <v>BR4044ET12</v>
      </c>
      <c r="J89" t="s">
        <v>3243</v>
      </c>
      <c r="K89" s="363">
        <f>RegionalData!O151</f>
        <v>1.2999999999999999E-2</v>
      </c>
      <c r="L89" s="363">
        <f>RegionalData!Q151</f>
        <v>0.77667102633024399</v>
      </c>
    </row>
    <row r="90" spans="1:12" x14ac:dyDescent="0.45">
      <c r="A90" t="s">
        <v>1767</v>
      </c>
      <c r="B90" t="s">
        <v>3230</v>
      </c>
      <c r="C90" t="s">
        <v>3222</v>
      </c>
      <c r="D90" t="s">
        <v>2880</v>
      </c>
      <c r="E90" t="s">
        <v>2881</v>
      </c>
      <c r="F90" t="s">
        <v>577</v>
      </c>
      <c r="G90">
        <v>45</v>
      </c>
      <c r="H90">
        <v>49</v>
      </c>
      <c r="I90" t="str">
        <f t="shared" si="1"/>
        <v>BR4549ET12</v>
      </c>
      <c r="J90" t="s">
        <v>3244</v>
      </c>
      <c r="K90" s="363">
        <f>RegionalData!O153</f>
        <v>4.2000000000000003E-2</v>
      </c>
      <c r="L90" s="363">
        <f>RegionalData!Q153</f>
        <v>1</v>
      </c>
    </row>
    <row r="91" spans="1:12" x14ac:dyDescent="0.45">
      <c r="A91" t="s">
        <v>3231</v>
      </c>
      <c r="C91" t="s">
        <v>3222</v>
      </c>
      <c r="D91" t="s">
        <v>2880</v>
      </c>
      <c r="E91" t="s">
        <v>2881</v>
      </c>
      <c r="F91" t="s">
        <v>577</v>
      </c>
      <c r="G91">
        <v>50</v>
      </c>
      <c r="I91" t="str">
        <f t="shared" si="1"/>
        <v>BR5000ET12</v>
      </c>
      <c r="J91" t="s">
        <v>3245</v>
      </c>
      <c r="K91" s="124">
        <v>0</v>
      </c>
      <c r="L91" s="124">
        <v>1</v>
      </c>
    </row>
    <row r="92" spans="1:12" x14ac:dyDescent="0.45">
      <c r="A92" t="s">
        <v>3221</v>
      </c>
      <c r="C92" t="s">
        <v>3222</v>
      </c>
      <c r="D92" t="s">
        <v>2882</v>
      </c>
      <c r="E92" t="s">
        <v>2883</v>
      </c>
      <c r="F92" t="s">
        <v>576</v>
      </c>
      <c r="I92" t="str">
        <f t="shared" si="1"/>
        <v>BR0000ET13</v>
      </c>
      <c r="J92" t="s">
        <v>3236</v>
      </c>
      <c r="K92">
        <v>0</v>
      </c>
      <c r="L92">
        <v>1</v>
      </c>
    </row>
    <row r="93" spans="1:12" x14ac:dyDescent="0.45">
      <c r="A93" t="s">
        <v>3223</v>
      </c>
      <c r="C93" t="s">
        <v>3222</v>
      </c>
      <c r="D93" t="s">
        <v>2882</v>
      </c>
      <c r="E93" t="s">
        <v>2883</v>
      </c>
      <c r="F93" t="s">
        <v>577</v>
      </c>
      <c r="H93">
        <v>14</v>
      </c>
      <c r="I93" t="str">
        <f t="shared" si="1"/>
        <v>BR0014ET13</v>
      </c>
      <c r="J93" t="s">
        <v>3237</v>
      </c>
      <c r="K93">
        <v>0</v>
      </c>
      <c r="L93">
        <v>1</v>
      </c>
    </row>
    <row r="94" spans="1:12" x14ac:dyDescent="0.45">
      <c r="A94" t="s">
        <v>1779</v>
      </c>
      <c r="B94" t="s">
        <v>3224</v>
      </c>
      <c r="C94" t="s">
        <v>3222</v>
      </c>
      <c r="D94" t="s">
        <v>2882</v>
      </c>
      <c r="E94" t="s">
        <v>2883</v>
      </c>
      <c r="F94" t="s">
        <v>577</v>
      </c>
      <c r="G94">
        <v>15</v>
      </c>
      <c r="H94">
        <v>19</v>
      </c>
      <c r="I94" t="str">
        <f t="shared" si="1"/>
        <v>BR1519ET13</v>
      </c>
      <c r="J94" t="s">
        <v>3238</v>
      </c>
      <c r="K94" s="363">
        <f>RegionalData!O154</f>
        <v>7.8E-2</v>
      </c>
      <c r="L94" s="363">
        <f>RegionalData!Q154</f>
        <v>0.95578359599616292</v>
      </c>
    </row>
    <row r="95" spans="1:12" x14ac:dyDescent="0.45">
      <c r="A95" t="s">
        <v>1777</v>
      </c>
      <c r="B95" t="s">
        <v>3225</v>
      </c>
      <c r="C95" t="s">
        <v>3222</v>
      </c>
      <c r="D95" t="s">
        <v>2882</v>
      </c>
      <c r="E95" t="s">
        <v>2883</v>
      </c>
      <c r="F95" t="s">
        <v>577</v>
      </c>
      <c r="G95">
        <v>20</v>
      </c>
      <c r="H95">
        <v>24</v>
      </c>
      <c r="I95" t="str">
        <f t="shared" si="1"/>
        <v>BR2024ET13</v>
      </c>
      <c r="J95" t="s">
        <v>3239</v>
      </c>
      <c r="K95" s="363">
        <f>RegionalData!O156</f>
        <v>0.16400000000000001</v>
      </c>
      <c r="L95" s="363">
        <f>RegionalData!Q156</f>
        <v>0.99406418087663018</v>
      </c>
    </row>
    <row r="96" spans="1:12" x14ac:dyDescent="0.45">
      <c r="A96" t="s">
        <v>1775</v>
      </c>
      <c r="B96" t="s">
        <v>3226</v>
      </c>
      <c r="C96" t="s">
        <v>3222</v>
      </c>
      <c r="D96" t="s">
        <v>2882</v>
      </c>
      <c r="E96" t="s">
        <v>2883</v>
      </c>
      <c r="F96" t="s">
        <v>577</v>
      </c>
      <c r="G96">
        <v>25</v>
      </c>
      <c r="H96">
        <v>29</v>
      </c>
      <c r="I96" t="str">
        <f t="shared" si="1"/>
        <v>BR2529ET13</v>
      </c>
      <c r="J96" t="s">
        <v>3240</v>
      </c>
      <c r="K96" s="363">
        <f>RegionalData!O158</f>
        <v>0.20799999999999999</v>
      </c>
      <c r="L96" s="363">
        <f>RegionalData!Q158</f>
        <v>1.0068149104070221</v>
      </c>
    </row>
    <row r="97" spans="1:12" x14ac:dyDescent="0.45">
      <c r="A97" t="s">
        <v>1773</v>
      </c>
      <c r="B97" t="s">
        <v>3227</v>
      </c>
      <c r="C97" t="s">
        <v>3222</v>
      </c>
      <c r="D97" t="s">
        <v>2882</v>
      </c>
      <c r="E97" t="s">
        <v>2883</v>
      </c>
      <c r="F97" t="s">
        <v>577</v>
      </c>
      <c r="G97">
        <v>30</v>
      </c>
      <c r="H97">
        <v>34</v>
      </c>
      <c r="I97" t="str">
        <f t="shared" si="1"/>
        <v>BR3034ET13</v>
      </c>
      <c r="J97" t="s">
        <v>3241</v>
      </c>
      <c r="K97" s="363">
        <f>RegionalData!O160</f>
        <v>0.16400000000000001</v>
      </c>
      <c r="L97" s="363">
        <f>RegionalData!Q160</f>
        <v>1.007895232440303</v>
      </c>
    </row>
    <row r="98" spans="1:12" x14ac:dyDescent="0.45">
      <c r="A98" t="s">
        <v>1771</v>
      </c>
      <c r="B98" t="s">
        <v>3228</v>
      </c>
      <c r="C98" t="s">
        <v>3222</v>
      </c>
      <c r="D98" t="s">
        <v>2882</v>
      </c>
      <c r="E98" t="s">
        <v>2883</v>
      </c>
      <c r="F98" t="s">
        <v>577</v>
      </c>
      <c r="G98">
        <v>35</v>
      </c>
      <c r="H98">
        <v>39</v>
      </c>
      <c r="I98" t="str">
        <f t="shared" si="1"/>
        <v>BR3539ET13</v>
      </c>
      <c r="J98" t="s">
        <v>3242</v>
      </c>
      <c r="K98" s="363">
        <f>RegionalData!O162</f>
        <v>7.1999999999999995E-2</v>
      </c>
      <c r="L98" s="363">
        <f>RegionalData!Q162</f>
        <v>1.001749809379741</v>
      </c>
    </row>
    <row r="99" spans="1:12" x14ac:dyDescent="0.45">
      <c r="A99" t="s">
        <v>1769</v>
      </c>
      <c r="B99" t="s">
        <v>3229</v>
      </c>
      <c r="C99" t="s">
        <v>3222</v>
      </c>
      <c r="D99" t="s">
        <v>2882</v>
      </c>
      <c r="E99" t="s">
        <v>2883</v>
      </c>
      <c r="F99" t="s">
        <v>577</v>
      </c>
      <c r="G99">
        <v>40</v>
      </c>
      <c r="H99">
        <v>44</v>
      </c>
      <c r="I99" t="str">
        <f t="shared" si="1"/>
        <v>BR4044ET13</v>
      </c>
      <c r="J99" t="s">
        <v>3243</v>
      </c>
      <c r="K99" s="363">
        <f>RegionalData!O164</f>
        <v>4.1000000000000002E-2</v>
      </c>
      <c r="L99" s="363">
        <f>RegionalData!Q164</f>
        <v>0.93622837654917168</v>
      </c>
    </row>
    <row r="100" spans="1:12" x14ac:dyDescent="0.45">
      <c r="A100" t="s">
        <v>1767</v>
      </c>
      <c r="B100" t="s">
        <v>3230</v>
      </c>
      <c r="C100" t="s">
        <v>3222</v>
      </c>
      <c r="D100" t="s">
        <v>2882</v>
      </c>
      <c r="E100" t="s">
        <v>2883</v>
      </c>
      <c r="F100" t="s">
        <v>577</v>
      </c>
      <c r="G100">
        <v>45</v>
      </c>
      <c r="H100">
        <v>49</v>
      </c>
      <c r="I100" t="str">
        <f t="shared" si="1"/>
        <v>BR4549ET13</v>
      </c>
      <c r="J100" t="s">
        <v>3244</v>
      </c>
      <c r="K100" s="363">
        <f>RegionalData!O166</f>
        <v>1.4E-2</v>
      </c>
      <c r="L100" s="363">
        <f>RegionalData!Q166</f>
        <v>1</v>
      </c>
    </row>
    <row r="101" spans="1:12" x14ac:dyDescent="0.45">
      <c r="A101" t="s">
        <v>3231</v>
      </c>
      <c r="C101" t="s">
        <v>3222</v>
      </c>
      <c r="D101" t="s">
        <v>2882</v>
      </c>
      <c r="E101" t="s">
        <v>2883</v>
      </c>
      <c r="F101" t="s">
        <v>577</v>
      </c>
      <c r="G101">
        <v>50</v>
      </c>
      <c r="I101" t="str">
        <f t="shared" si="1"/>
        <v>BR5000ET13</v>
      </c>
      <c r="J101" t="s">
        <v>3245</v>
      </c>
      <c r="K101" s="124">
        <v>0</v>
      </c>
      <c r="L101" s="124">
        <v>1</v>
      </c>
    </row>
    <row r="102" spans="1:12" x14ac:dyDescent="0.45">
      <c r="A102" t="s">
        <v>3221</v>
      </c>
      <c r="C102" t="s">
        <v>3222</v>
      </c>
      <c r="D102" t="s">
        <v>2884</v>
      </c>
      <c r="E102" t="s">
        <v>814</v>
      </c>
      <c r="F102" t="s">
        <v>576</v>
      </c>
      <c r="I102" t="str">
        <f t="shared" si="1"/>
        <v>BR0000ET14</v>
      </c>
      <c r="J102" t="s">
        <v>3236</v>
      </c>
      <c r="K102">
        <v>0</v>
      </c>
      <c r="L102">
        <v>1</v>
      </c>
    </row>
    <row r="103" spans="1:12" x14ac:dyDescent="0.45">
      <c r="A103" t="s">
        <v>3223</v>
      </c>
      <c r="C103" t="s">
        <v>3222</v>
      </c>
      <c r="D103" t="s">
        <v>2884</v>
      </c>
      <c r="E103" t="s">
        <v>814</v>
      </c>
      <c r="F103" t="s">
        <v>577</v>
      </c>
      <c r="H103">
        <v>14</v>
      </c>
      <c r="I103" t="str">
        <f t="shared" si="1"/>
        <v>BR0014ET14</v>
      </c>
      <c r="J103" t="s">
        <v>3237</v>
      </c>
      <c r="K103">
        <v>0</v>
      </c>
      <c r="L103">
        <v>1</v>
      </c>
    </row>
    <row r="104" spans="1:12" x14ac:dyDescent="0.45">
      <c r="A104" t="s">
        <v>1779</v>
      </c>
      <c r="B104" t="s">
        <v>3224</v>
      </c>
      <c r="C104" t="s">
        <v>3222</v>
      </c>
      <c r="D104" t="s">
        <v>2884</v>
      </c>
      <c r="E104" t="s">
        <v>814</v>
      </c>
      <c r="F104" t="s">
        <v>577</v>
      </c>
      <c r="G104">
        <v>15</v>
      </c>
      <c r="H104">
        <v>19</v>
      </c>
      <c r="I104" t="str">
        <f t="shared" si="1"/>
        <v>BR1519ET14</v>
      </c>
      <c r="J104" t="s">
        <v>3238</v>
      </c>
      <c r="K104" s="363">
        <f>RegionalData!O167</f>
        <v>1.4E-2</v>
      </c>
      <c r="L104" s="363">
        <f>RegionalData!Q167</f>
        <v>0.99141297201830614</v>
      </c>
    </row>
    <row r="105" spans="1:12" x14ac:dyDescent="0.45">
      <c r="A105" t="s">
        <v>1777</v>
      </c>
      <c r="B105" t="s">
        <v>3225</v>
      </c>
      <c r="C105" t="s">
        <v>3222</v>
      </c>
      <c r="D105" t="s">
        <v>2884</v>
      </c>
      <c r="E105" t="s">
        <v>814</v>
      </c>
      <c r="F105" t="s">
        <v>577</v>
      </c>
      <c r="G105">
        <v>20</v>
      </c>
      <c r="H105">
        <v>24</v>
      </c>
      <c r="I105" t="str">
        <f t="shared" si="1"/>
        <v>BR2024ET14</v>
      </c>
      <c r="J105" t="s">
        <v>3239</v>
      </c>
      <c r="K105" s="363">
        <f>RegionalData!O169</f>
        <v>0.1</v>
      </c>
      <c r="L105" s="363">
        <f>RegionalData!Q169</f>
        <v>1.0161075211279298</v>
      </c>
    </row>
    <row r="106" spans="1:12" x14ac:dyDescent="0.45">
      <c r="A106" t="s">
        <v>1775</v>
      </c>
      <c r="B106" t="s">
        <v>3226</v>
      </c>
      <c r="C106" t="s">
        <v>3222</v>
      </c>
      <c r="D106" t="s">
        <v>2884</v>
      </c>
      <c r="E106" t="s">
        <v>814</v>
      </c>
      <c r="F106" t="s">
        <v>577</v>
      </c>
      <c r="G106">
        <v>25</v>
      </c>
      <c r="H106">
        <v>29</v>
      </c>
      <c r="I106" t="str">
        <f t="shared" si="1"/>
        <v>BR2529ET14</v>
      </c>
      <c r="J106" t="s">
        <v>3240</v>
      </c>
      <c r="K106" s="363">
        <f>RegionalData!O171</f>
        <v>0.129</v>
      </c>
      <c r="L106" s="363">
        <f>RegionalData!Q171</f>
        <v>1.0431583419164847</v>
      </c>
    </row>
    <row r="107" spans="1:12" x14ac:dyDescent="0.45">
      <c r="A107" t="s">
        <v>1773</v>
      </c>
      <c r="B107" t="s">
        <v>3227</v>
      </c>
      <c r="C107" t="s">
        <v>3222</v>
      </c>
      <c r="D107" t="s">
        <v>2884</v>
      </c>
      <c r="E107" t="s">
        <v>814</v>
      </c>
      <c r="F107" t="s">
        <v>577</v>
      </c>
      <c r="G107">
        <v>30</v>
      </c>
      <c r="H107">
        <v>34</v>
      </c>
      <c r="I107" t="str">
        <f t="shared" si="1"/>
        <v>BR3034ET14</v>
      </c>
      <c r="J107" t="s">
        <v>3241</v>
      </c>
      <c r="K107" s="363">
        <f>RegionalData!O173</f>
        <v>0.113</v>
      </c>
      <c r="L107" s="363">
        <f>RegionalData!Q173</f>
        <v>1.0655435176512793</v>
      </c>
    </row>
    <row r="108" spans="1:12" x14ac:dyDescent="0.45">
      <c r="A108" t="s">
        <v>1771</v>
      </c>
      <c r="B108" t="s">
        <v>3228</v>
      </c>
      <c r="C108" t="s">
        <v>3222</v>
      </c>
      <c r="D108" t="s">
        <v>2884</v>
      </c>
      <c r="E108" t="s">
        <v>814</v>
      </c>
      <c r="F108" t="s">
        <v>577</v>
      </c>
      <c r="G108">
        <v>35</v>
      </c>
      <c r="H108">
        <v>39</v>
      </c>
      <c r="I108" t="str">
        <f t="shared" si="1"/>
        <v>BR3539ET14</v>
      </c>
      <c r="J108" t="s">
        <v>3242</v>
      </c>
      <c r="K108" s="363">
        <f>RegionalData!O175</f>
        <v>7.5999999999999998E-2</v>
      </c>
      <c r="L108" s="363">
        <f>RegionalData!Q175</f>
        <v>1.1057751717923328</v>
      </c>
    </row>
    <row r="109" spans="1:12" x14ac:dyDescent="0.45">
      <c r="A109" t="s">
        <v>1769</v>
      </c>
      <c r="B109" t="s">
        <v>3229</v>
      </c>
      <c r="C109" t="s">
        <v>3222</v>
      </c>
      <c r="D109" t="s">
        <v>2884</v>
      </c>
      <c r="E109" t="s">
        <v>814</v>
      </c>
      <c r="F109" t="s">
        <v>577</v>
      </c>
      <c r="G109">
        <v>40</v>
      </c>
      <c r="H109">
        <v>44</v>
      </c>
      <c r="I109" t="str">
        <f t="shared" si="1"/>
        <v>BR4044ET14</v>
      </c>
      <c r="J109" t="s">
        <v>3243</v>
      </c>
      <c r="K109" s="363">
        <f>RegionalData!O177</f>
        <v>1.2999999999999999E-2</v>
      </c>
      <c r="L109" s="363">
        <f>RegionalData!Q177</f>
        <v>1.2658337541579836</v>
      </c>
    </row>
    <row r="110" spans="1:12" x14ac:dyDescent="0.45">
      <c r="A110" t="s">
        <v>1767</v>
      </c>
      <c r="B110" t="s">
        <v>3230</v>
      </c>
      <c r="C110" t="s">
        <v>3222</v>
      </c>
      <c r="D110" t="s">
        <v>2884</v>
      </c>
      <c r="E110" t="s">
        <v>814</v>
      </c>
      <c r="F110" t="s">
        <v>577</v>
      </c>
      <c r="G110">
        <v>45</v>
      </c>
      <c r="H110">
        <v>49</v>
      </c>
      <c r="I110" t="str">
        <f t="shared" si="1"/>
        <v>BR4549ET14</v>
      </c>
      <c r="J110" t="s">
        <v>3244</v>
      </c>
      <c r="K110" s="363">
        <f>RegionalData!O179</f>
        <v>0</v>
      </c>
      <c r="L110" s="363">
        <f>RegionalData!Q179</f>
        <v>1</v>
      </c>
    </row>
    <row r="111" spans="1:12" x14ac:dyDescent="0.45">
      <c r="A111" t="s">
        <v>3231</v>
      </c>
      <c r="C111" t="s">
        <v>3222</v>
      </c>
      <c r="D111" t="s">
        <v>2884</v>
      </c>
      <c r="E111" t="s">
        <v>814</v>
      </c>
      <c r="F111" t="s">
        <v>577</v>
      </c>
      <c r="G111">
        <v>50</v>
      </c>
      <c r="I111" t="str">
        <f t="shared" si="1"/>
        <v>BR5000ET14</v>
      </c>
      <c r="J111" t="s">
        <v>3245</v>
      </c>
      <c r="K111" s="124">
        <v>0</v>
      </c>
      <c r="L111" s="124">
        <v>1</v>
      </c>
    </row>
    <row r="112" spans="1:12" x14ac:dyDescent="0.45">
      <c r="A112" t="s">
        <v>3221</v>
      </c>
      <c r="C112" t="s">
        <v>3222</v>
      </c>
      <c r="D112" t="s">
        <v>2885</v>
      </c>
      <c r="E112" t="s">
        <v>2886</v>
      </c>
      <c r="F112" t="s">
        <v>576</v>
      </c>
      <c r="I112" t="str">
        <f t="shared" si="1"/>
        <v>BR0000ET15</v>
      </c>
      <c r="J112" t="s">
        <v>3236</v>
      </c>
      <c r="K112">
        <v>0</v>
      </c>
      <c r="L112">
        <v>1</v>
      </c>
    </row>
    <row r="113" spans="1:12" x14ac:dyDescent="0.45">
      <c r="A113" t="s">
        <v>3223</v>
      </c>
      <c r="C113" t="s">
        <v>3222</v>
      </c>
      <c r="D113" t="s">
        <v>2885</v>
      </c>
      <c r="E113" t="s">
        <v>2886</v>
      </c>
      <c r="F113" t="s">
        <v>577</v>
      </c>
      <c r="H113">
        <v>14</v>
      </c>
      <c r="I113" t="str">
        <f t="shared" si="1"/>
        <v>BR0014ET15</v>
      </c>
      <c r="J113" t="s">
        <v>3237</v>
      </c>
      <c r="K113">
        <v>0</v>
      </c>
      <c r="L113">
        <v>1</v>
      </c>
    </row>
    <row r="114" spans="1:12" x14ac:dyDescent="0.45">
      <c r="A114" t="s">
        <v>1779</v>
      </c>
      <c r="B114" t="s">
        <v>3224</v>
      </c>
      <c r="C114" t="s">
        <v>3222</v>
      </c>
      <c r="D114" t="s">
        <v>2885</v>
      </c>
      <c r="E114" t="s">
        <v>2886</v>
      </c>
      <c r="F114" t="s">
        <v>577</v>
      </c>
      <c r="G114">
        <v>15</v>
      </c>
      <c r="H114">
        <v>19</v>
      </c>
      <c r="I114" t="str">
        <f t="shared" si="1"/>
        <v>BR1519ET15</v>
      </c>
      <c r="J114" t="s">
        <v>3238</v>
      </c>
      <c r="K114" s="363">
        <f>RegionalData!O181</f>
        <v>6.9000000000000006E-2</v>
      </c>
      <c r="L114" s="363">
        <f>RegionalData!Q181</f>
        <v>1.0385080428502595</v>
      </c>
    </row>
    <row r="115" spans="1:12" x14ac:dyDescent="0.45">
      <c r="A115" t="s">
        <v>1777</v>
      </c>
      <c r="B115" t="s">
        <v>3225</v>
      </c>
      <c r="C115" t="s">
        <v>3222</v>
      </c>
      <c r="D115" t="s">
        <v>2885</v>
      </c>
      <c r="E115" t="s">
        <v>2886</v>
      </c>
      <c r="F115" t="s">
        <v>577</v>
      </c>
      <c r="G115">
        <v>20</v>
      </c>
      <c r="H115">
        <v>24</v>
      </c>
      <c r="I115" t="str">
        <f t="shared" si="1"/>
        <v>BR2024ET15</v>
      </c>
      <c r="J115" t="s">
        <v>3239</v>
      </c>
      <c r="K115" s="363">
        <f>RegionalData!O183</f>
        <v>0.14199999999999999</v>
      </c>
      <c r="L115" s="363">
        <f>RegionalData!Q183</f>
        <v>0.98141016077034371</v>
      </c>
    </row>
    <row r="116" spans="1:12" x14ac:dyDescent="0.45">
      <c r="A116" t="s">
        <v>1775</v>
      </c>
      <c r="B116" t="s">
        <v>3226</v>
      </c>
      <c r="C116" t="s">
        <v>3222</v>
      </c>
      <c r="D116" t="s">
        <v>2885</v>
      </c>
      <c r="E116" t="s">
        <v>2886</v>
      </c>
      <c r="F116" t="s">
        <v>577</v>
      </c>
      <c r="G116">
        <v>25</v>
      </c>
      <c r="H116">
        <v>29</v>
      </c>
      <c r="I116" t="str">
        <f t="shared" si="1"/>
        <v>BR2529ET15</v>
      </c>
      <c r="J116" t="s">
        <v>3240</v>
      </c>
      <c r="K116" s="363">
        <f>RegionalData!O185</f>
        <v>0.17</v>
      </c>
      <c r="L116" s="363">
        <f>RegionalData!Q185</f>
        <v>1.0083968366764735</v>
      </c>
    </row>
    <row r="117" spans="1:12" x14ac:dyDescent="0.45">
      <c r="A117" t="s">
        <v>1773</v>
      </c>
      <c r="B117" t="s">
        <v>3227</v>
      </c>
      <c r="C117" t="s">
        <v>3222</v>
      </c>
      <c r="D117" t="s">
        <v>2885</v>
      </c>
      <c r="E117" t="s">
        <v>2886</v>
      </c>
      <c r="F117" t="s">
        <v>577</v>
      </c>
      <c r="G117">
        <v>30</v>
      </c>
      <c r="H117">
        <v>34</v>
      </c>
      <c r="I117" t="str">
        <f t="shared" si="1"/>
        <v>BR3034ET15</v>
      </c>
      <c r="J117" t="s">
        <v>3241</v>
      </c>
      <c r="K117" s="363">
        <f>RegionalData!O187</f>
        <v>0.151</v>
      </c>
      <c r="L117" s="363">
        <f>RegionalData!Q187</f>
        <v>0.97626053215902431</v>
      </c>
    </row>
    <row r="118" spans="1:12" x14ac:dyDescent="0.45">
      <c r="A118" t="s">
        <v>1771</v>
      </c>
      <c r="B118" t="s">
        <v>3228</v>
      </c>
      <c r="C118" t="s">
        <v>3222</v>
      </c>
      <c r="D118" t="s">
        <v>2885</v>
      </c>
      <c r="E118" t="s">
        <v>2886</v>
      </c>
      <c r="F118" t="s">
        <v>577</v>
      </c>
      <c r="G118">
        <v>35</v>
      </c>
      <c r="H118">
        <v>39</v>
      </c>
      <c r="I118" t="str">
        <f t="shared" si="1"/>
        <v>BR3539ET15</v>
      </c>
      <c r="J118" t="s">
        <v>3242</v>
      </c>
      <c r="K118" s="363">
        <f>RegionalData!O189</f>
        <v>6.4000000000000001E-2</v>
      </c>
      <c r="L118" s="363">
        <f>RegionalData!Q189</f>
        <v>0.94456603500022185</v>
      </c>
    </row>
    <row r="119" spans="1:12" x14ac:dyDescent="0.45">
      <c r="A119" t="s">
        <v>1769</v>
      </c>
      <c r="B119" t="s">
        <v>3229</v>
      </c>
      <c r="C119" t="s">
        <v>3222</v>
      </c>
      <c r="D119" t="s">
        <v>2885</v>
      </c>
      <c r="E119" t="s">
        <v>2886</v>
      </c>
      <c r="F119" t="s">
        <v>577</v>
      </c>
      <c r="G119">
        <v>40</v>
      </c>
      <c r="H119">
        <v>44</v>
      </c>
      <c r="I119" t="str">
        <f t="shared" si="1"/>
        <v>BR4044ET15</v>
      </c>
      <c r="J119" t="s">
        <v>3243</v>
      </c>
      <c r="K119" s="363">
        <f>RegionalData!O191</f>
        <v>2.3E-2</v>
      </c>
      <c r="L119" s="363">
        <f>RegionalData!Q191</f>
        <v>1.0847216884718311</v>
      </c>
    </row>
    <row r="120" spans="1:12" x14ac:dyDescent="0.45">
      <c r="A120" t="s">
        <v>1767</v>
      </c>
      <c r="B120" t="s">
        <v>3230</v>
      </c>
      <c r="C120" t="s">
        <v>3222</v>
      </c>
      <c r="D120" t="s">
        <v>2885</v>
      </c>
      <c r="E120" t="s">
        <v>2886</v>
      </c>
      <c r="F120" t="s">
        <v>577</v>
      </c>
      <c r="G120">
        <v>45</v>
      </c>
      <c r="H120">
        <v>49</v>
      </c>
      <c r="I120" t="str">
        <f t="shared" si="1"/>
        <v>BR4549ET15</v>
      </c>
      <c r="J120" t="s">
        <v>3244</v>
      </c>
      <c r="K120" s="363">
        <f>RegionalData!O193</f>
        <v>0</v>
      </c>
      <c r="L120" s="363">
        <f>RegionalData!Q193</f>
        <v>1</v>
      </c>
    </row>
    <row r="121" spans="1:12" x14ac:dyDescent="0.45">
      <c r="A121" t="s">
        <v>3231</v>
      </c>
      <c r="C121" t="s">
        <v>3222</v>
      </c>
      <c r="D121" t="s">
        <v>2885</v>
      </c>
      <c r="E121" t="s">
        <v>2886</v>
      </c>
      <c r="F121" t="s">
        <v>577</v>
      </c>
      <c r="G121">
        <v>50</v>
      </c>
      <c r="I121" t="str">
        <f t="shared" si="1"/>
        <v>BR5000ET15</v>
      </c>
      <c r="J121" t="s">
        <v>3245</v>
      </c>
      <c r="K121" s="124">
        <v>0</v>
      </c>
      <c r="L121" s="124">
        <v>1</v>
      </c>
    </row>
    <row r="122" spans="1:12" x14ac:dyDescent="0.45">
      <c r="A122" t="s">
        <v>3264</v>
      </c>
      <c r="B122" t="s">
        <v>3276</v>
      </c>
      <c r="C122" t="s">
        <v>686</v>
      </c>
      <c r="D122" t="s">
        <v>2849</v>
      </c>
      <c r="E122" t="s">
        <v>594</v>
      </c>
      <c r="F122" t="s">
        <v>577</v>
      </c>
      <c r="H122">
        <v>0</v>
      </c>
      <c r="I122" t="str">
        <f t="shared" si="1"/>
        <v>DR0000FET</v>
      </c>
      <c r="J122" t="s">
        <v>3297</v>
      </c>
      <c r="K122" s="381">
        <f>('mort infant'!BL77+'mort infant'!BB286)/1000</f>
        <v>4.4870649522800003E-2</v>
      </c>
      <c r="L122" s="363">
        <f>'mort infant'!BM272</f>
        <v>0.96306068601583117</v>
      </c>
    </row>
    <row r="123" spans="1:12" x14ac:dyDescent="0.45">
      <c r="A123" t="s">
        <v>3265</v>
      </c>
      <c r="B123" t="s">
        <v>3277</v>
      </c>
      <c r="C123" t="s">
        <v>686</v>
      </c>
      <c r="D123" t="s">
        <v>2849</v>
      </c>
      <c r="E123" t="s">
        <v>594</v>
      </c>
      <c r="F123" t="s">
        <v>577</v>
      </c>
      <c r="G123">
        <v>1</v>
      </c>
      <c r="H123">
        <v>4</v>
      </c>
      <c r="I123" t="str">
        <f t="shared" si="1"/>
        <v>DR0104FET</v>
      </c>
      <c r="J123" t="s">
        <v>3246</v>
      </c>
      <c r="K123" s="381">
        <f>(('mort 1-5'!BL77-'mort infant'!BL77)/4)/1000</f>
        <v>3.5500000000000006E-3</v>
      </c>
      <c r="L123" s="363">
        <f>'mort 1-5'!BM272</f>
        <v>0.95480225988700573</v>
      </c>
    </row>
    <row r="124" spans="1:12" x14ac:dyDescent="0.45">
      <c r="A124" t="s">
        <v>3266</v>
      </c>
      <c r="B124" t="s">
        <v>3278</v>
      </c>
      <c r="C124" t="s">
        <v>686</v>
      </c>
      <c r="D124" t="s">
        <v>2849</v>
      </c>
      <c r="E124" t="s">
        <v>594</v>
      </c>
      <c r="F124" t="s">
        <v>577</v>
      </c>
      <c r="G124">
        <v>5</v>
      </c>
      <c r="H124">
        <v>9</v>
      </c>
      <c r="I124" t="str">
        <f t="shared" si="1"/>
        <v>DR0509FET</v>
      </c>
      <c r="J124" t="s">
        <v>3247</v>
      </c>
      <c r="K124" s="381">
        <f>('mort 5-9'!BL77/5)/1000</f>
        <v>1.1800000000000001E-3</v>
      </c>
      <c r="L124" s="363">
        <f>'mort 5-9'!BM272</f>
        <v>0.95161290322580649</v>
      </c>
    </row>
    <row r="125" spans="1:12" x14ac:dyDescent="0.45">
      <c r="A125" t="s">
        <v>3267</v>
      </c>
      <c r="B125" t="s">
        <v>3279</v>
      </c>
      <c r="C125" t="s">
        <v>686</v>
      </c>
      <c r="D125" t="s">
        <v>2849</v>
      </c>
      <c r="E125" t="s">
        <v>594</v>
      </c>
      <c r="F125" t="s">
        <v>577</v>
      </c>
      <c r="G125">
        <v>10</v>
      </c>
      <c r="H125">
        <v>14</v>
      </c>
      <c r="I125" t="str">
        <f t="shared" si="1"/>
        <v>DR1014FET</v>
      </c>
      <c r="J125" t="s">
        <v>3248</v>
      </c>
      <c r="K125" s="381">
        <f>('mort 10-14'!BL77/5)/1000</f>
        <v>9.5999999999999992E-4</v>
      </c>
      <c r="L125" s="363">
        <f>'mort 10-14'!BM272</f>
        <v>0.96150047483380818</v>
      </c>
    </row>
    <row r="126" spans="1:12" x14ac:dyDescent="0.45">
      <c r="A126" t="s">
        <v>3268</v>
      </c>
      <c r="B126" t="s">
        <v>3280</v>
      </c>
      <c r="C126" t="s">
        <v>686</v>
      </c>
      <c r="D126" t="s">
        <v>2849</v>
      </c>
      <c r="E126" t="s">
        <v>594</v>
      </c>
      <c r="F126" t="s">
        <v>577</v>
      </c>
      <c r="G126">
        <v>15</v>
      </c>
      <c r="H126">
        <v>19</v>
      </c>
      <c r="I126" t="str">
        <f t="shared" si="1"/>
        <v>DR1519FET</v>
      </c>
      <c r="J126" t="s">
        <v>3249</v>
      </c>
      <c r="K126" s="381">
        <f>('mort 15-19'!BL77/5)/1000</f>
        <v>1.6000000000000001E-3</v>
      </c>
      <c r="L126" s="363">
        <f>'mort 15-19'!BM272</f>
        <v>0.96508794519599173</v>
      </c>
    </row>
    <row r="127" spans="1:12" x14ac:dyDescent="0.45">
      <c r="A127" t="s">
        <v>3269</v>
      </c>
      <c r="B127" t="s">
        <v>3281</v>
      </c>
      <c r="C127" t="s">
        <v>686</v>
      </c>
      <c r="D127" t="s">
        <v>2849</v>
      </c>
      <c r="E127" t="s">
        <v>594</v>
      </c>
      <c r="F127" t="s">
        <v>577</v>
      </c>
      <c r="G127">
        <v>20</v>
      </c>
      <c r="H127">
        <v>34</v>
      </c>
      <c r="I127" t="str">
        <f t="shared" si="1"/>
        <v>DR2034FET</v>
      </c>
      <c r="J127" t="s">
        <v>3250</v>
      </c>
      <c r="K127" s="381">
        <f>('mort 20-24'!BL77/5)/1000</f>
        <v>1.72E-3</v>
      </c>
      <c r="L127" s="363">
        <f>'mort 20-24'!BM272</f>
        <v>0.9885057471264368</v>
      </c>
    </row>
    <row r="128" spans="1:12" x14ac:dyDescent="0.45">
      <c r="A128" t="s">
        <v>2092</v>
      </c>
      <c r="B128" t="s">
        <v>3282</v>
      </c>
      <c r="C128" t="s">
        <v>686</v>
      </c>
      <c r="D128" t="s">
        <v>2849</v>
      </c>
      <c r="E128" t="s">
        <v>594</v>
      </c>
      <c r="F128" t="s">
        <v>577</v>
      </c>
      <c r="G128">
        <v>35</v>
      </c>
      <c r="H128">
        <v>49</v>
      </c>
      <c r="I128" t="str">
        <f t="shared" si="1"/>
        <v>DR3549FET</v>
      </c>
      <c r="J128" t="s">
        <v>3251</v>
      </c>
      <c r="K128" s="381">
        <f>('Age band mort calcs'!B15)/1000</f>
        <v>4.5419040325072818E-3</v>
      </c>
      <c r="L128" s="363">
        <f>'mort adult f'!BM272</f>
        <v>0.98007627674588871</v>
      </c>
    </row>
    <row r="129" spans="1:12" x14ac:dyDescent="0.45">
      <c r="A129" t="s">
        <v>2104</v>
      </c>
      <c r="B129" t="s">
        <v>3283</v>
      </c>
      <c r="C129" t="s">
        <v>686</v>
      </c>
      <c r="D129" t="s">
        <v>2849</v>
      </c>
      <c r="E129" t="s">
        <v>594</v>
      </c>
      <c r="F129" t="s">
        <v>577</v>
      </c>
      <c r="G129">
        <v>50</v>
      </c>
      <c r="H129">
        <v>59</v>
      </c>
      <c r="I129" t="str">
        <f t="shared" si="1"/>
        <v>DR5059FET</v>
      </c>
      <c r="J129" t="s">
        <v>3252</v>
      </c>
      <c r="K129" s="381">
        <f>('Age band mort calcs'!B16)/1000</f>
        <v>7.7212368552623794E-3</v>
      </c>
      <c r="L129" s="363">
        <f>L128</f>
        <v>0.98007627674588871</v>
      </c>
    </row>
    <row r="130" spans="1:12" x14ac:dyDescent="0.45">
      <c r="A130" t="s">
        <v>2088</v>
      </c>
      <c r="B130" t="s">
        <v>3284</v>
      </c>
      <c r="C130" t="s">
        <v>686</v>
      </c>
      <c r="D130" t="s">
        <v>2849</v>
      </c>
      <c r="E130" t="s">
        <v>594</v>
      </c>
      <c r="F130" t="s">
        <v>577</v>
      </c>
      <c r="G130">
        <v>60</v>
      </c>
      <c r="H130">
        <v>74</v>
      </c>
      <c r="I130" t="str">
        <f t="shared" si="1"/>
        <v>DR6074FET</v>
      </c>
      <c r="J130" t="s">
        <v>3253</v>
      </c>
      <c r="K130" s="381">
        <f>('Age band mort calcs'!B17)/1000</f>
        <v>2.1619463194734661E-2</v>
      </c>
      <c r="L130" s="363">
        <f>L128</f>
        <v>0.98007627674588871</v>
      </c>
    </row>
    <row r="131" spans="1:12" x14ac:dyDescent="0.45">
      <c r="A131" t="s">
        <v>2089</v>
      </c>
      <c r="B131" t="s">
        <v>3285</v>
      </c>
      <c r="C131" t="s">
        <v>686</v>
      </c>
      <c r="D131" t="s">
        <v>2849</v>
      </c>
      <c r="E131" t="s">
        <v>594</v>
      </c>
      <c r="F131" t="s">
        <v>577</v>
      </c>
      <c r="G131">
        <v>75</v>
      </c>
      <c r="I131" t="str">
        <f t="shared" ref="I131:I185" si="2">_xlfn.CONCAT(J131,D131)</f>
        <v>DR7500FET</v>
      </c>
      <c r="J131" t="s">
        <v>3254</v>
      </c>
      <c r="K131" s="381">
        <f>('Age band mort calcs'!B18)/1000</f>
        <v>8.4933605407886179E-2</v>
      </c>
      <c r="L131" s="363">
        <f>L128</f>
        <v>0.98007627674588871</v>
      </c>
    </row>
    <row r="132" spans="1:12" x14ac:dyDescent="0.45">
      <c r="A132" t="s">
        <v>3270</v>
      </c>
      <c r="B132" t="s">
        <v>3286</v>
      </c>
      <c r="C132" t="s">
        <v>686</v>
      </c>
      <c r="D132" t="s">
        <v>2849</v>
      </c>
      <c r="E132" t="s">
        <v>594</v>
      </c>
      <c r="F132" t="s">
        <v>576</v>
      </c>
      <c r="H132">
        <v>0</v>
      </c>
      <c r="I132" t="str">
        <f t="shared" si="2"/>
        <v>DR0000MET</v>
      </c>
      <c r="J132" t="s">
        <v>3296</v>
      </c>
      <c r="K132" s="381">
        <f t="shared" ref="K132:L137" si="3">K122</f>
        <v>4.4870649522800003E-2</v>
      </c>
      <c r="L132" s="363">
        <f t="shared" si="3"/>
        <v>0.96306068601583117</v>
      </c>
    </row>
    <row r="133" spans="1:12" x14ac:dyDescent="0.45">
      <c r="A133" t="s">
        <v>3271</v>
      </c>
      <c r="B133" t="s">
        <v>3287</v>
      </c>
      <c r="C133" t="s">
        <v>686</v>
      </c>
      <c r="D133" t="s">
        <v>2849</v>
      </c>
      <c r="E133" t="s">
        <v>594</v>
      </c>
      <c r="F133" t="s">
        <v>576</v>
      </c>
      <c r="G133">
        <v>1</v>
      </c>
      <c r="H133">
        <v>4</v>
      </c>
      <c r="I133" t="str">
        <f t="shared" si="2"/>
        <v>DR0104MET</v>
      </c>
      <c r="J133" t="s">
        <v>3255</v>
      </c>
      <c r="K133" s="381">
        <f t="shared" si="3"/>
        <v>3.5500000000000006E-3</v>
      </c>
      <c r="L133" s="363">
        <f t="shared" si="3"/>
        <v>0.95480225988700573</v>
      </c>
    </row>
    <row r="134" spans="1:12" x14ac:dyDescent="0.45">
      <c r="A134" t="s">
        <v>3272</v>
      </c>
      <c r="B134" t="s">
        <v>3288</v>
      </c>
      <c r="C134" t="s">
        <v>686</v>
      </c>
      <c r="D134" t="s">
        <v>2849</v>
      </c>
      <c r="E134" t="s">
        <v>594</v>
      </c>
      <c r="F134" t="s">
        <v>576</v>
      </c>
      <c r="G134">
        <v>5</v>
      </c>
      <c r="H134">
        <v>9</v>
      </c>
      <c r="I134" t="str">
        <f t="shared" si="2"/>
        <v>DR0509MET</v>
      </c>
      <c r="J134" t="s">
        <v>3256</v>
      </c>
      <c r="K134" s="381">
        <f t="shared" si="3"/>
        <v>1.1800000000000001E-3</v>
      </c>
      <c r="L134" s="363">
        <f t="shared" si="3"/>
        <v>0.95161290322580649</v>
      </c>
    </row>
    <row r="135" spans="1:12" x14ac:dyDescent="0.45">
      <c r="A135" t="s">
        <v>3273</v>
      </c>
      <c r="B135" t="s">
        <v>3289</v>
      </c>
      <c r="C135" t="s">
        <v>686</v>
      </c>
      <c r="D135" t="s">
        <v>2849</v>
      </c>
      <c r="E135" t="s">
        <v>594</v>
      </c>
      <c r="F135" t="s">
        <v>576</v>
      </c>
      <c r="G135">
        <v>10</v>
      </c>
      <c r="H135">
        <v>14</v>
      </c>
      <c r="I135" t="str">
        <f t="shared" si="2"/>
        <v>DR1014MET</v>
      </c>
      <c r="J135" t="s">
        <v>3257</v>
      </c>
      <c r="K135" s="381">
        <f t="shared" si="3"/>
        <v>9.5999999999999992E-4</v>
      </c>
      <c r="L135" s="363">
        <f t="shared" si="3"/>
        <v>0.96150047483380818</v>
      </c>
    </row>
    <row r="136" spans="1:12" x14ac:dyDescent="0.45">
      <c r="A136" t="s">
        <v>3274</v>
      </c>
      <c r="B136" t="s">
        <v>3290</v>
      </c>
      <c r="C136" t="s">
        <v>686</v>
      </c>
      <c r="D136" t="s">
        <v>2849</v>
      </c>
      <c r="E136" t="s">
        <v>594</v>
      </c>
      <c r="F136" t="s">
        <v>576</v>
      </c>
      <c r="G136">
        <v>15</v>
      </c>
      <c r="H136">
        <v>19</v>
      </c>
      <c r="I136" t="str">
        <f t="shared" si="2"/>
        <v>DR1519MET</v>
      </c>
      <c r="J136" t="s">
        <v>3258</v>
      </c>
      <c r="K136" s="381">
        <f t="shared" si="3"/>
        <v>1.6000000000000001E-3</v>
      </c>
      <c r="L136" s="363">
        <f t="shared" si="3"/>
        <v>0.96508794519599173</v>
      </c>
    </row>
    <row r="137" spans="1:12" x14ac:dyDescent="0.45">
      <c r="A137" t="s">
        <v>3275</v>
      </c>
      <c r="B137" t="s">
        <v>3291</v>
      </c>
      <c r="C137" t="s">
        <v>686</v>
      </c>
      <c r="D137" t="s">
        <v>2849</v>
      </c>
      <c r="E137" t="s">
        <v>594</v>
      </c>
      <c r="F137" t="s">
        <v>576</v>
      </c>
      <c r="G137">
        <v>20</v>
      </c>
      <c r="H137">
        <v>34</v>
      </c>
      <c r="I137" t="str">
        <f t="shared" si="2"/>
        <v>DR2034MET</v>
      </c>
      <c r="J137" t="s">
        <v>3259</v>
      </c>
      <c r="K137" s="381">
        <f t="shared" si="3"/>
        <v>1.72E-3</v>
      </c>
      <c r="L137" s="363">
        <f t="shared" si="3"/>
        <v>0.9885057471264368</v>
      </c>
    </row>
    <row r="138" spans="1:12" x14ac:dyDescent="0.45">
      <c r="A138" t="s">
        <v>2110</v>
      </c>
      <c r="B138" t="s">
        <v>3292</v>
      </c>
      <c r="C138" t="s">
        <v>686</v>
      </c>
      <c r="D138" t="s">
        <v>2849</v>
      </c>
      <c r="E138" t="s">
        <v>594</v>
      </c>
      <c r="F138" t="s">
        <v>576</v>
      </c>
      <c r="G138">
        <v>35</v>
      </c>
      <c r="H138">
        <v>49</v>
      </c>
      <c r="I138" t="str">
        <f t="shared" si="2"/>
        <v>DR3549MET</v>
      </c>
      <c r="J138" t="s">
        <v>3260</v>
      </c>
      <c r="K138" s="381">
        <f>('Age band mort calcs'!B21)/1000</f>
        <v>6.1430507038265705E-3</v>
      </c>
      <c r="L138" s="363">
        <f>'mort adult m'!BM272</f>
        <v>0.98481071022469158</v>
      </c>
    </row>
    <row r="139" spans="1:12" x14ac:dyDescent="0.45">
      <c r="A139" t="s">
        <v>2111</v>
      </c>
      <c r="B139" t="s">
        <v>3293</v>
      </c>
      <c r="C139" t="s">
        <v>686</v>
      </c>
      <c r="D139" t="s">
        <v>2849</v>
      </c>
      <c r="E139" t="s">
        <v>594</v>
      </c>
      <c r="F139" t="s">
        <v>576</v>
      </c>
      <c r="G139">
        <v>50</v>
      </c>
      <c r="H139">
        <v>59</v>
      </c>
      <c r="I139" t="str">
        <f t="shared" si="2"/>
        <v>DR5059MET</v>
      </c>
      <c r="J139" t="s">
        <v>3261</v>
      </c>
      <c r="K139" s="381">
        <f>('Age band mort calcs'!B22)/1000</f>
        <v>1.1671796337270484E-2</v>
      </c>
      <c r="L139" s="363">
        <f>L138</f>
        <v>0.98481071022469158</v>
      </c>
    </row>
    <row r="140" spans="1:12" x14ac:dyDescent="0.45">
      <c r="A140" t="s">
        <v>2086</v>
      </c>
      <c r="B140" t="s">
        <v>3294</v>
      </c>
      <c r="C140" t="s">
        <v>686</v>
      </c>
      <c r="D140" t="s">
        <v>2849</v>
      </c>
      <c r="E140" t="s">
        <v>594</v>
      </c>
      <c r="F140" t="s">
        <v>576</v>
      </c>
      <c r="G140">
        <v>60</v>
      </c>
      <c r="H140">
        <v>74</v>
      </c>
      <c r="I140" t="str">
        <f t="shared" si="2"/>
        <v>DR6074MET</v>
      </c>
      <c r="J140" t="s">
        <v>3262</v>
      </c>
      <c r="K140" s="381">
        <f>('Age band mort calcs'!B23)/1000</f>
        <v>3.0346670476903259E-2</v>
      </c>
      <c r="L140" s="363">
        <f>L138</f>
        <v>0.98481071022469158</v>
      </c>
    </row>
    <row r="141" spans="1:12" x14ac:dyDescent="0.45">
      <c r="A141" t="s">
        <v>2087</v>
      </c>
      <c r="B141" t="s">
        <v>3295</v>
      </c>
      <c r="C141" t="s">
        <v>686</v>
      </c>
      <c r="D141" t="s">
        <v>2849</v>
      </c>
      <c r="E141" t="s">
        <v>594</v>
      </c>
      <c r="F141" t="s">
        <v>576</v>
      </c>
      <c r="G141">
        <v>75</v>
      </c>
      <c r="I141" t="str">
        <f t="shared" si="2"/>
        <v>DR7500MET</v>
      </c>
      <c r="J141" t="s">
        <v>3263</v>
      </c>
      <c r="K141" s="381">
        <f>('Age band mort calcs'!B24)/1000</f>
        <v>0.1015446281342532</v>
      </c>
      <c r="L141" s="363">
        <f>L138</f>
        <v>0.98481071022469158</v>
      </c>
    </row>
    <row r="142" spans="1:12" x14ac:dyDescent="0.45">
      <c r="A142" t="s">
        <v>3264</v>
      </c>
      <c r="B142" t="s">
        <v>3276</v>
      </c>
      <c r="C142" t="s">
        <v>686</v>
      </c>
      <c r="D142" t="s">
        <v>2868</v>
      </c>
      <c r="E142" t="s">
        <v>806</v>
      </c>
      <c r="F142" t="s">
        <v>577</v>
      </c>
      <c r="H142">
        <v>0</v>
      </c>
      <c r="I142" t="str">
        <f t="shared" si="2"/>
        <v>DR0000FET01</v>
      </c>
      <c r="J142" t="s">
        <v>3297</v>
      </c>
      <c r="K142" s="381">
        <f>RegionalData!O326+'mort infant'!$BB$286/1000</f>
        <v>4.6370649522799998E-2</v>
      </c>
      <c r="L142" s="363">
        <f>RegionalData!Q326</f>
        <v>0.95963271910581871</v>
      </c>
    </row>
    <row r="143" spans="1:12" x14ac:dyDescent="0.45">
      <c r="A143" t="s">
        <v>3264</v>
      </c>
      <c r="B143" t="s">
        <v>3276</v>
      </c>
      <c r="C143" t="s">
        <v>686</v>
      </c>
      <c r="D143" t="s">
        <v>2869</v>
      </c>
      <c r="E143" t="s">
        <v>2870</v>
      </c>
      <c r="F143" t="s">
        <v>577</v>
      </c>
      <c r="H143">
        <v>0</v>
      </c>
      <c r="I143" t="str">
        <f t="shared" si="2"/>
        <v>DR0000FET02</v>
      </c>
      <c r="J143" t="s">
        <v>3297</v>
      </c>
      <c r="K143" s="381">
        <f>RegionalData!O328+'mort infant'!$BB$286/1000</f>
        <v>5.4370649522799998E-2</v>
      </c>
      <c r="L143" s="363">
        <f>RegionalData!Q328</f>
        <v>0.95956021308144634</v>
      </c>
    </row>
    <row r="144" spans="1:12" x14ac:dyDescent="0.45">
      <c r="A144" t="s">
        <v>3264</v>
      </c>
      <c r="B144" t="s">
        <v>3276</v>
      </c>
      <c r="C144" t="s">
        <v>686</v>
      </c>
      <c r="D144" t="s">
        <v>2871</v>
      </c>
      <c r="E144" t="s">
        <v>805</v>
      </c>
      <c r="F144" t="s">
        <v>577</v>
      </c>
      <c r="H144">
        <v>0</v>
      </c>
      <c r="I144" t="str">
        <f t="shared" ref="I144:I164" si="4">_xlfn.CONCAT(J144,D144)</f>
        <v>DR0000FET03</v>
      </c>
      <c r="J144" t="s">
        <v>3297</v>
      </c>
      <c r="K144" s="381">
        <f>RegionalData!O330+'mort infant'!$BB$286/1000</f>
        <v>6.6370649522800002E-2</v>
      </c>
      <c r="L144" s="363">
        <f>RegionalData!Q330</f>
        <v>0.95305448683546046</v>
      </c>
    </row>
    <row r="145" spans="1:12" x14ac:dyDescent="0.45">
      <c r="A145" t="s">
        <v>3264</v>
      </c>
      <c r="B145" t="s">
        <v>3276</v>
      </c>
      <c r="C145" t="s">
        <v>686</v>
      </c>
      <c r="D145" t="s">
        <v>2872</v>
      </c>
      <c r="E145" t="s">
        <v>809</v>
      </c>
      <c r="F145" t="s">
        <v>577</v>
      </c>
      <c r="H145">
        <v>0</v>
      </c>
      <c r="I145" t="str">
        <f t="shared" si="4"/>
        <v>DR0000FET04</v>
      </c>
      <c r="J145" t="s">
        <v>3297</v>
      </c>
      <c r="K145" s="381">
        <f>RegionalData!O332+'mort infant'!$BB$286/1000</f>
        <v>7.0370649522800005E-2</v>
      </c>
      <c r="L145" s="363">
        <f>RegionalData!Q332</f>
        <v>0.97979135601203193</v>
      </c>
    </row>
    <row r="146" spans="1:12" x14ac:dyDescent="0.45">
      <c r="A146" t="s">
        <v>3264</v>
      </c>
      <c r="B146" t="s">
        <v>3276</v>
      </c>
      <c r="C146" t="s">
        <v>686</v>
      </c>
      <c r="D146" t="s">
        <v>2873</v>
      </c>
      <c r="E146" t="s">
        <v>2874</v>
      </c>
      <c r="F146" t="s">
        <v>577</v>
      </c>
      <c r="H146">
        <v>0</v>
      </c>
      <c r="I146" t="str">
        <f t="shared" si="4"/>
        <v>DR0000FET05</v>
      </c>
      <c r="J146" t="s">
        <v>3297</v>
      </c>
      <c r="K146" s="381">
        <f>RegionalData!O334+'mort infant'!$BB$286/1000</f>
        <v>7.9370649522799985E-2</v>
      </c>
      <c r="L146" s="363">
        <f>RegionalData!Q334</f>
        <v>1.0195171021041152</v>
      </c>
    </row>
    <row r="147" spans="1:12" x14ac:dyDescent="0.45">
      <c r="A147" t="s">
        <v>3264</v>
      </c>
      <c r="B147" t="s">
        <v>3276</v>
      </c>
      <c r="C147" t="s">
        <v>686</v>
      </c>
      <c r="D147" t="s">
        <v>2876</v>
      </c>
      <c r="E147" t="s">
        <v>2877</v>
      </c>
      <c r="F147" t="s">
        <v>577</v>
      </c>
      <c r="H147">
        <v>0</v>
      </c>
      <c r="I147" t="str">
        <f t="shared" si="4"/>
        <v>DR0000FET06</v>
      </c>
      <c r="J147" t="s">
        <v>3297</v>
      </c>
      <c r="K147" s="381">
        <f>RegionalData!O336+'mort infant'!$BB$286/1000</f>
        <v>8.2370649522799988E-2</v>
      </c>
      <c r="L147" s="363">
        <f>RegionalData!Q336</f>
        <v>0.99098716801275866</v>
      </c>
    </row>
    <row r="148" spans="1:12" x14ac:dyDescent="0.45">
      <c r="A148" t="s">
        <v>3264</v>
      </c>
      <c r="B148" t="s">
        <v>3276</v>
      </c>
      <c r="C148" t="s">
        <v>686</v>
      </c>
      <c r="D148" t="s">
        <v>2878</v>
      </c>
      <c r="E148" t="s">
        <v>2879</v>
      </c>
      <c r="F148" t="s">
        <v>577</v>
      </c>
      <c r="H148">
        <v>0</v>
      </c>
      <c r="I148" t="str">
        <f t="shared" si="4"/>
        <v>DR0000FET07</v>
      </c>
      <c r="J148" t="s">
        <v>3297</v>
      </c>
      <c r="K148" s="381">
        <f>RegionalData!O338+'mort infant'!$BB$286/1000</f>
        <v>4.5370649522799997E-2</v>
      </c>
      <c r="L148" s="363">
        <f>RegionalData!Q338</f>
        <v>0.91098953947204542</v>
      </c>
    </row>
    <row r="149" spans="1:12" x14ac:dyDescent="0.45">
      <c r="A149" t="s">
        <v>3264</v>
      </c>
      <c r="B149" t="s">
        <v>3276</v>
      </c>
      <c r="C149" t="s">
        <v>686</v>
      </c>
      <c r="D149" t="s">
        <v>2880</v>
      </c>
      <c r="E149" t="s">
        <v>2881</v>
      </c>
      <c r="F149" t="s">
        <v>577</v>
      </c>
      <c r="H149">
        <v>0</v>
      </c>
      <c r="I149" t="str">
        <f t="shared" si="4"/>
        <v>DR0000FET12</v>
      </c>
      <c r="J149" t="s">
        <v>3297</v>
      </c>
      <c r="K149" s="381">
        <f>RegionalData!O340+'mort infant'!$BB$286/1000</f>
        <v>5.8370649522800001E-2</v>
      </c>
      <c r="L149" s="363">
        <f>RegionalData!Q340</f>
        <v>0.96292839277708941</v>
      </c>
    </row>
    <row r="150" spans="1:12" x14ac:dyDescent="0.45">
      <c r="A150" t="s">
        <v>3264</v>
      </c>
      <c r="B150" t="s">
        <v>3276</v>
      </c>
      <c r="C150" t="s">
        <v>686</v>
      </c>
      <c r="D150" t="s">
        <v>2882</v>
      </c>
      <c r="E150" t="s">
        <v>2883</v>
      </c>
      <c r="F150" t="s">
        <v>577</v>
      </c>
      <c r="H150">
        <v>0</v>
      </c>
      <c r="I150" t="str">
        <f t="shared" si="4"/>
        <v>DR0000FET13</v>
      </c>
      <c r="J150" t="s">
        <v>3297</v>
      </c>
      <c r="K150" s="381">
        <f>RegionalData!O342+'mort infant'!$BB$286/1000</f>
        <v>5.73706495228E-2</v>
      </c>
      <c r="L150" s="363">
        <f>RegionalData!Q342</f>
        <v>0.95083919302602238</v>
      </c>
    </row>
    <row r="151" spans="1:12" x14ac:dyDescent="0.45">
      <c r="A151" t="s">
        <v>3264</v>
      </c>
      <c r="B151" t="s">
        <v>3276</v>
      </c>
      <c r="C151" t="s">
        <v>686</v>
      </c>
      <c r="D151" t="s">
        <v>2884</v>
      </c>
      <c r="E151" t="s">
        <v>814</v>
      </c>
      <c r="F151" t="s">
        <v>577</v>
      </c>
      <c r="H151">
        <v>0</v>
      </c>
      <c r="I151" t="str">
        <f t="shared" si="4"/>
        <v>DR0000FET14</v>
      </c>
      <c r="J151" t="s">
        <v>3297</v>
      </c>
      <c r="K151" s="381">
        <f>RegionalData!O344+'mort infant'!$BB$286/1000</f>
        <v>2.93706495228E-2</v>
      </c>
      <c r="L151" s="363">
        <f>RegionalData!Q344</f>
        <v>0.90856029641606983</v>
      </c>
    </row>
    <row r="152" spans="1:12" x14ac:dyDescent="0.45">
      <c r="A152" t="s">
        <v>3264</v>
      </c>
      <c r="B152" t="s">
        <v>3276</v>
      </c>
      <c r="C152" t="s">
        <v>686</v>
      </c>
      <c r="D152" t="s">
        <v>2885</v>
      </c>
      <c r="E152" t="s">
        <v>2886</v>
      </c>
      <c r="F152" t="s">
        <v>577</v>
      </c>
      <c r="H152">
        <v>0</v>
      </c>
      <c r="I152" t="str">
        <f t="shared" si="4"/>
        <v>DR0000FET15</v>
      </c>
      <c r="J152" t="s">
        <v>3297</v>
      </c>
      <c r="K152" s="381">
        <f>RegionalData!O346+'mort infant'!$BB$286/1000</f>
        <v>6.9370649522800004E-2</v>
      </c>
      <c r="L152" s="363">
        <f>RegionalData!Q346</f>
        <v>0.96921102145022375</v>
      </c>
    </row>
    <row r="153" spans="1:12" ht="15.75" customHeight="1" x14ac:dyDescent="0.45">
      <c r="A153" t="s">
        <v>3270</v>
      </c>
      <c r="B153" t="s">
        <v>3286</v>
      </c>
      <c r="C153" t="s">
        <v>686</v>
      </c>
      <c r="D153" t="s">
        <v>2868</v>
      </c>
      <c r="E153" t="s">
        <v>806</v>
      </c>
      <c r="F153" t="s">
        <v>576</v>
      </c>
      <c r="H153">
        <v>0</v>
      </c>
      <c r="I153" t="str">
        <f t="shared" si="4"/>
        <v>DR0000MET01</v>
      </c>
      <c r="J153" t="s">
        <v>3296</v>
      </c>
      <c r="K153" s="381">
        <f>K142</f>
        <v>4.6370649522799998E-2</v>
      </c>
      <c r="L153" s="363">
        <f>L142</f>
        <v>0.95963271910581871</v>
      </c>
    </row>
    <row r="154" spans="1:12" x14ac:dyDescent="0.45">
      <c r="A154" t="s">
        <v>3270</v>
      </c>
      <c r="B154" t="s">
        <v>3286</v>
      </c>
      <c r="C154" t="s">
        <v>686</v>
      </c>
      <c r="D154" t="s">
        <v>2869</v>
      </c>
      <c r="E154" t="s">
        <v>2870</v>
      </c>
      <c r="F154" t="s">
        <v>576</v>
      </c>
      <c r="H154">
        <v>0</v>
      </c>
      <c r="I154" t="str">
        <f t="shared" si="4"/>
        <v>DR0000MET02</v>
      </c>
      <c r="J154" t="s">
        <v>3296</v>
      </c>
      <c r="K154" s="381">
        <f t="shared" ref="K154:L163" si="5">K143</f>
        <v>5.4370649522799998E-2</v>
      </c>
      <c r="L154" s="363">
        <f t="shared" si="5"/>
        <v>0.95956021308144634</v>
      </c>
    </row>
    <row r="155" spans="1:12" x14ac:dyDescent="0.45">
      <c r="A155" t="s">
        <v>3270</v>
      </c>
      <c r="B155" t="s">
        <v>3286</v>
      </c>
      <c r="C155" t="s">
        <v>686</v>
      </c>
      <c r="D155" t="s">
        <v>2871</v>
      </c>
      <c r="E155" t="s">
        <v>805</v>
      </c>
      <c r="F155" t="s">
        <v>576</v>
      </c>
      <c r="H155">
        <v>0</v>
      </c>
      <c r="I155" t="str">
        <f t="shared" si="4"/>
        <v>DR0000MET03</v>
      </c>
      <c r="J155" t="s">
        <v>3296</v>
      </c>
      <c r="K155" s="381">
        <f t="shared" si="5"/>
        <v>6.6370649522800002E-2</v>
      </c>
      <c r="L155" s="363">
        <f t="shared" si="5"/>
        <v>0.95305448683546046</v>
      </c>
    </row>
    <row r="156" spans="1:12" x14ac:dyDescent="0.45">
      <c r="A156" t="s">
        <v>3270</v>
      </c>
      <c r="B156" t="s">
        <v>3286</v>
      </c>
      <c r="C156" t="s">
        <v>686</v>
      </c>
      <c r="D156" t="s">
        <v>2872</v>
      </c>
      <c r="E156" t="s">
        <v>809</v>
      </c>
      <c r="F156" t="s">
        <v>576</v>
      </c>
      <c r="H156">
        <v>0</v>
      </c>
      <c r="I156" t="str">
        <f t="shared" si="4"/>
        <v>DR0000MET04</v>
      </c>
      <c r="J156" t="s">
        <v>3296</v>
      </c>
      <c r="K156" s="381">
        <f t="shared" si="5"/>
        <v>7.0370649522800005E-2</v>
      </c>
      <c r="L156" s="363">
        <f t="shared" si="5"/>
        <v>0.97979135601203193</v>
      </c>
    </row>
    <row r="157" spans="1:12" x14ac:dyDescent="0.45">
      <c r="A157" t="s">
        <v>3270</v>
      </c>
      <c r="B157" t="s">
        <v>3286</v>
      </c>
      <c r="C157" t="s">
        <v>686</v>
      </c>
      <c r="D157" t="s">
        <v>2873</v>
      </c>
      <c r="E157" t="s">
        <v>2874</v>
      </c>
      <c r="F157" t="s">
        <v>576</v>
      </c>
      <c r="H157">
        <v>0</v>
      </c>
      <c r="I157" t="str">
        <f t="shared" si="4"/>
        <v>DR0000MET05</v>
      </c>
      <c r="J157" t="s">
        <v>3296</v>
      </c>
      <c r="K157" s="381">
        <f t="shared" si="5"/>
        <v>7.9370649522799985E-2</v>
      </c>
      <c r="L157" s="363">
        <f t="shared" si="5"/>
        <v>1.0195171021041152</v>
      </c>
    </row>
    <row r="158" spans="1:12" x14ac:dyDescent="0.45">
      <c r="A158" t="s">
        <v>3270</v>
      </c>
      <c r="B158" t="s">
        <v>3286</v>
      </c>
      <c r="C158" t="s">
        <v>686</v>
      </c>
      <c r="D158" t="s">
        <v>2876</v>
      </c>
      <c r="E158" t="s">
        <v>2877</v>
      </c>
      <c r="F158" t="s">
        <v>576</v>
      </c>
      <c r="H158">
        <v>0</v>
      </c>
      <c r="I158" t="str">
        <f t="shared" si="4"/>
        <v>DR0000MET06</v>
      </c>
      <c r="J158" t="s">
        <v>3296</v>
      </c>
      <c r="K158" s="381">
        <f t="shared" si="5"/>
        <v>8.2370649522799988E-2</v>
      </c>
      <c r="L158" s="363">
        <f t="shared" si="5"/>
        <v>0.99098716801275866</v>
      </c>
    </row>
    <row r="159" spans="1:12" x14ac:dyDescent="0.45">
      <c r="A159" t="s">
        <v>3270</v>
      </c>
      <c r="B159" t="s">
        <v>3286</v>
      </c>
      <c r="C159" t="s">
        <v>686</v>
      </c>
      <c r="D159" t="s">
        <v>2878</v>
      </c>
      <c r="E159" t="s">
        <v>2879</v>
      </c>
      <c r="F159" t="s">
        <v>576</v>
      </c>
      <c r="H159">
        <v>0</v>
      </c>
      <c r="I159" t="str">
        <f t="shared" si="4"/>
        <v>DR0000MET07</v>
      </c>
      <c r="J159" t="s">
        <v>3296</v>
      </c>
      <c r="K159" s="381">
        <f t="shared" si="5"/>
        <v>4.5370649522799997E-2</v>
      </c>
      <c r="L159" s="363">
        <f t="shared" si="5"/>
        <v>0.91098953947204542</v>
      </c>
    </row>
    <row r="160" spans="1:12" x14ac:dyDescent="0.45">
      <c r="A160" t="s">
        <v>3270</v>
      </c>
      <c r="B160" t="s">
        <v>3286</v>
      </c>
      <c r="C160" t="s">
        <v>686</v>
      </c>
      <c r="D160" t="s">
        <v>2880</v>
      </c>
      <c r="E160" t="s">
        <v>2881</v>
      </c>
      <c r="F160" t="s">
        <v>576</v>
      </c>
      <c r="H160">
        <v>0</v>
      </c>
      <c r="I160" t="str">
        <f t="shared" si="4"/>
        <v>DR0000MET12</v>
      </c>
      <c r="J160" t="s">
        <v>3296</v>
      </c>
      <c r="K160" s="381">
        <f t="shared" si="5"/>
        <v>5.8370649522800001E-2</v>
      </c>
      <c r="L160" s="363">
        <f t="shared" si="5"/>
        <v>0.96292839277708941</v>
      </c>
    </row>
    <row r="161" spans="1:12" x14ac:dyDescent="0.45">
      <c r="A161" t="s">
        <v>3270</v>
      </c>
      <c r="B161" t="s">
        <v>3286</v>
      </c>
      <c r="C161" t="s">
        <v>686</v>
      </c>
      <c r="D161" t="s">
        <v>2882</v>
      </c>
      <c r="E161" t="s">
        <v>2883</v>
      </c>
      <c r="F161" t="s">
        <v>576</v>
      </c>
      <c r="H161">
        <v>0</v>
      </c>
      <c r="I161" t="str">
        <f t="shared" si="4"/>
        <v>DR0000MET13</v>
      </c>
      <c r="J161" t="s">
        <v>3296</v>
      </c>
      <c r="K161" s="381">
        <f t="shared" si="5"/>
        <v>5.73706495228E-2</v>
      </c>
      <c r="L161" s="363">
        <f t="shared" si="5"/>
        <v>0.95083919302602238</v>
      </c>
    </row>
    <row r="162" spans="1:12" x14ac:dyDescent="0.45">
      <c r="A162" t="s">
        <v>3270</v>
      </c>
      <c r="B162" t="s">
        <v>3286</v>
      </c>
      <c r="C162" t="s">
        <v>686</v>
      </c>
      <c r="D162" t="s">
        <v>2884</v>
      </c>
      <c r="E162" t="s">
        <v>814</v>
      </c>
      <c r="F162" t="s">
        <v>576</v>
      </c>
      <c r="H162">
        <v>0</v>
      </c>
      <c r="I162" t="str">
        <f t="shared" si="4"/>
        <v>DR0000MET14</v>
      </c>
      <c r="J162" t="s">
        <v>3296</v>
      </c>
      <c r="K162" s="381">
        <f t="shared" si="5"/>
        <v>2.93706495228E-2</v>
      </c>
      <c r="L162" s="363">
        <f t="shared" si="5"/>
        <v>0.90856029641606983</v>
      </c>
    </row>
    <row r="163" spans="1:12" x14ac:dyDescent="0.45">
      <c r="A163" t="s">
        <v>3270</v>
      </c>
      <c r="B163" t="s">
        <v>3286</v>
      </c>
      <c r="C163" t="s">
        <v>686</v>
      </c>
      <c r="D163" t="s">
        <v>2885</v>
      </c>
      <c r="E163" t="s">
        <v>2886</v>
      </c>
      <c r="F163" t="s">
        <v>576</v>
      </c>
      <c r="H163">
        <v>0</v>
      </c>
      <c r="I163" t="str">
        <f t="shared" si="4"/>
        <v>DR0000MET15</v>
      </c>
      <c r="J163" t="s">
        <v>3296</v>
      </c>
      <c r="K163" s="381">
        <f t="shared" si="5"/>
        <v>6.9370649522800004E-2</v>
      </c>
      <c r="L163" s="363">
        <f t="shared" si="5"/>
        <v>0.96921102145022375</v>
      </c>
    </row>
    <row r="164" spans="1:12" x14ac:dyDescent="0.45">
      <c r="A164" t="s">
        <v>3265</v>
      </c>
      <c r="B164" t="s">
        <v>3277</v>
      </c>
      <c r="C164" t="s">
        <v>686</v>
      </c>
      <c r="D164" t="s">
        <v>2868</v>
      </c>
      <c r="E164" t="s">
        <v>806</v>
      </c>
      <c r="F164" t="s">
        <v>577</v>
      </c>
      <c r="G164">
        <v>1</v>
      </c>
      <c r="H164">
        <v>4</v>
      </c>
      <c r="I164" t="str">
        <f t="shared" si="4"/>
        <v>DR0104FET01</v>
      </c>
      <c r="J164" t="s">
        <v>3246</v>
      </c>
      <c r="K164" s="381">
        <f>RegionalData!O354</f>
        <v>1.5E-3</v>
      </c>
      <c r="L164" s="363">
        <f>RegionalData!Q354</f>
        <v>0.8453818642610138</v>
      </c>
    </row>
    <row r="165" spans="1:12" x14ac:dyDescent="0.45">
      <c r="A165" t="s">
        <v>3265</v>
      </c>
      <c r="B165" t="s">
        <v>3277</v>
      </c>
      <c r="C165" t="s">
        <v>686</v>
      </c>
      <c r="D165" t="s">
        <v>2869</v>
      </c>
      <c r="E165" t="s">
        <v>2870</v>
      </c>
      <c r="F165" t="s">
        <v>577</v>
      </c>
      <c r="G165">
        <v>1</v>
      </c>
      <c r="H165">
        <v>4</v>
      </c>
      <c r="I165" t="str">
        <f t="shared" si="2"/>
        <v>DR0104FET02</v>
      </c>
      <c r="J165" t="s">
        <v>3246</v>
      </c>
      <c r="K165">
        <f>RegionalData!O356</f>
        <v>3.2499999999999999E-3</v>
      </c>
      <c r="L165" s="363">
        <f>RegionalData!Q356</f>
        <v>0.89043035817931426</v>
      </c>
    </row>
    <row r="166" spans="1:12" x14ac:dyDescent="0.45">
      <c r="A166" t="s">
        <v>3265</v>
      </c>
      <c r="B166" t="s">
        <v>3277</v>
      </c>
      <c r="C166" t="s">
        <v>686</v>
      </c>
      <c r="D166" t="s">
        <v>2871</v>
      </c>
      <c r="E166" t="s">
        <v>805</v>
      </c>
      <c r="F166" t="s">
        <v>577</v>
      </c>
      <c r="G166">
        <v>1</v>
      </c>
      <c r="H166">
        <v>4</v>
      </c>
      <c r="I166" t="str">
        <f t="shared" si="2"/>
        <v>DR0104FET03</v>
      </c>
      <c r="J166" t="s">
        <v>3246</v>
      </c>
      <c r="K166">
        <f>RegionalData!O358</f>
        <v>2.7499999999999998E-3</v>
      </c>
      <c r="L166" s="363">
        <f>RegionalData!Q358</f>
        <v>0.83345027598619226</v>
      </c>
    </row>
    <row r="167" spans="1:12" x14ac:dyDescent="0.45">
      <c r="A167" t="s">
        <v>3265</v>
      </c>
      <c r="B167" t="s">
        <v>3277</v>
      </c>
      <c r="C167" t="s">
        <v>686</v>
      </c>
      <c r="D167" t="s">
        <v>2872</v>
      </c>
      <c r="E167" t="s">
        <v>809</v>
      </c>
      <c r="F167" t="s">
        <v>577</v>
      </c>
      <c r="G167">
        <v>1</v>
      </c>
      <c r="H167">
        <v>4</v>
      </c>
      <c r="I167" t="str">
        <f t="shared" si="2"/>
        <v>DR0104FET04</v>
      </c>
      <c r="J167" t="s">
        <v>3246</v>
      </c>
      <c r="K167">
        <f>RegionalData!O360</f>
        <v>2.7499999999999998E-3</v>
      </c>
      <c r="L167" s="363">
        <f>RegionalData!Q360</f>
        <v>0.81932127060064586</v>
      </c>
    </row>
    <row r="168" spans="1:12" x14ac:dyDescent="0.45">
      <c r="A168" t="s">
        <v>3265</v>
      </c>
      <c r="B168" t="s">
        <v>3277</v>
      </c>
      <c r="C168" t="s">
        <v>686</v>
      </c>
      <c r="D168" t="s">
        <v>2873</v>
      </c>
      <c r="E168" t="s">
        <v>2874</v>
      </c>
      <c r="F168" t="s">
        <v>577</v>
      </c>
      <c r="G168">
        <v>1</v>
      </c>
      <c r="H168">
        <v>4</v>
      </c>
      <c r="I168" t="str">
        <f t="shared" si="2"/>
        <v>DR0104FET05</v>
      </c>
      <c r="J168" t="s">
        <v>3246</v>
      </c>
      <c r="K168" s="381">
        <f>RegionalData!O362</f>
        <v>8.0000000000000002E-3</v>
      </c>
      <c r="L168" s="363">
        <f>RegionalData!Q362</f>
        <v>0.98596895543240215</v>
      </c>
    </row>
    <row r="169" spans="1:12" x14ac:dyDescent="0.45">
      <c r="A169" t="s">
        <v>3265</v>
      </c>
      <c r="B169" t="s">
        <v>3277</v>
      </c>
      <c r="C169" t="s">
        <v>686</v>
      </c>
      <c r="D169" t="s">
        <v>2876</v>
      </c>
      <c r="E169" t="s">
        <v>2877</v>
      </c>
      <c r="F169" t="s">
        <v>577</v>
      </c>
      <c r="G169">
        <v>1</v>
      </c>
      <c r="H169">
        <v>4</v>
      </c>
      <c r="I169" t="str">
        <f t="shared" si="2"/>
        <v>DR0104FET06</v>
      </c>
      <c r="J169" t="s">
        <v>3246</v>
      </c>
      <c r="K169" s="381">
        <f>RegionalData!O364</f>
        <v>4.2500000000000003E-3</v>
      </c>
      <c r="L169" s="363">
        <f>RegionalData!Q364</f>
        <v>0.8952703665829439</v>
      </c>
    </row>
    <row r="170" spans="1:12" x14ac:dyDescent="0.45">
      <c r="A170" t="s">
        <v>3265</v>
      </c>
      <c r="B170" t="s">
        <v>3277</v>
      </c>
      <c r="C170" t="s">
        <v>686</v>
      </c>
      <c r="D170" t="s">
        <v>2878</v>
      </c>
      <c r="E170" t="s">
        <v>2879</v>
      </c>
      <c r="F170" t="s">
        <v>577</v>
      </c>
      <c r="G170">
        <v>1</v>
      </c>
      <c r="H170">
        <v>4</v>
      </c>
      <c r="I170" t="str">
        <f t="shared" si="2"/>
        <v>DR0104FET07</v>
      </c>
      <c r="J170" t="s">
        <v>3246</v>
      </c>
      <c r="K170" s="381">
        <f>RegionalData!O366</f>
        <v>5.0000000000000001E-3</v>
      </c>
      <c r="L170" s="363">
        <f>RegionalData!Q366</f>
        <v>0.92831776672255584</v>
      </c>
    </row>
    <row r="171" spans="1:12" x14ac:dyDescent="0.45">
      <c r="A171" t="s">
        <v>3265</v>
      </c>
      <c r="B171" t="s">
        <v>3277</v>
      </c>
      <c r="C171" t="s">
        <v>686</v>
      </c>
      <c r="D171" t="s">
        <v>2880</v>
      </c>
      <c r="E171" t="s">
        <v>2881</v>
      </c>
      <c r="F171" t="s">
        <v>577</v>
      </c>
      <c r="G171">
        <v>1</v>
      </c>
      <c r="H171">
        <v>4</v>
      </c>
      <c r="I171" t="str">
        <f t="shared" si="2"/>
        <v>DR0104FET12</v>
      </c>
      <c r="J171" t="s">
        <v>3246</v>
      </c>
      <c r="K171" s="381">
        <f>RegionalData!O368</f>
        <v>9.4999999999999998E-3</v>
      </c>
      <c r="L171" s="363">
        <f>RegionalData!Q368</f>
        <v>0.96388823091788634</v>
      </c>
    </row>
    <row r="172" spans="1:12" x14ac:dyDescent="0.45">
      <c r="A172" t="s">
        <v>3265</v>
      </c>
      <c r="B172" t="s">
        <v>3277</v>
      </c>
      <c r="C172" t="s">
        <v>686</v>
      </c>
      <c r="D172" t="s">
        <v>2882</v>
      </c>
      <c r="E172" t="s">
        <v>2883</v>
      </c>
      <c r="F172" t="s">
        <v>577</v>
      </c>
      <c r="G172">
        <v>1</v>
      </c>
      <c r="H172">
        <v>4</v>
      </c>
      <c r="I172" t="str">
        <f t="shared" si="2"/>
        <v>DR0104FET13</v>
      </c>
      <c r="J172" t="s">
        <v>3246</v>
      </c>
      <c r="K172" s="381">
        <f>RegionalData!O370</f>
        <v>4.0000000000000001E-3</v>
      </c>
      <c r="L172" s="363">
        <f>RegionalData!Q370</f>
        <v>0.93664649795093002</v>
      </c>
    </row>
    <row r="173" spans="1:12" x14ac:dyDescent="0.45">
      <c r="A173" t="s">
        <v>3265</v>
      </c>
      <c r="B173" t="s">
        <v>3277</v>
      </c>
      <c r="C173" t="s">
        <v>686</v>
      </c>
      <c r="D173" t="s">
        <v>2884</v>
      </c>
      <c r="E173" t="s">
        <v>814</v>
      </c>
      <c r="F173" t="s">
        <v>577</v>
      </c>
      <c r="G173">
        <v>1</v>
      </c>
      <c r="H173">
        <v>4</v>
      </c>
      <c r="I173" t="str">
        <f t="shared" si="2"/>
        <v>DR0104FET14</v>
      </c>
      <c r="J173" t="s">
        <v>3246</v>
      </c>
      <c r="K173" s="381">
        <f>RegionalData!O372</f>
        <v>1.25E-3</v>
      </c>
      <c r="L173" s="363">
        <f>RegionalData!Q372</f>
        <v>0.87923556325591468</v>
      </c>
    </row>
    <row r="174" spans="1:12" x14ac:dyDescent="0.45">
      <c r="A174" t="s">
        <v>3265</v>
      </c>
      <c r="B174" t="s">
        <v>3277</v>
      </c>
      <c r="C174" t="s">
        <v>686</v>
      </c>
      <c r="D174" t="s">
        <v>2885</v>
      </c>
      <c r="E174" t="s">
        <v>2886</v>
      </c>
      <c r="F174" t="s">
        <v>577</v>
      </c>
      <c r="G174">
        <v>1</v>
      </c>
      <c r="H174">
        <v>4</v>
      </c>
      <c r="I174" t="str">
        <f>_xlfn.CONCAT(J174,D174)</f>
        <v>DR0104FET15</v>
      </c>
      <c r="J174" t="s">
        <v>3246</v>
      </c>
      <c r="K174" s="381">
        <f>RegionalData!O374</f>
        <v>5.0000000000000001E-3</v>
      </c>
      <c r="L174" s="363">
        <f>RegionalData!Q374</f>
        <v>0.89390353509656773</v>
      </c>
    </row>
    <row r="175" spans="1:12" x14ac:dyDescent="0.45">
      <c r="A175" t="s">
        <v>3271</v>
      </c>
      <c r="B175" t="s">
        <v>3287</v>
      </c>
      <c r="C175" t="s">
        <v>686</v>
      </c>
      <c r="D175" t="s">
        <v>2868</v>
      </c>
      <c r="E175" t="s">
        <v>806</v>
      </c>
      <c r="F175" t="s">
        <v>576</v>
      </c>
      <c r="G175">
        <v>1</v>
      </c>
      <c r="H175">
        <v>4</v>
      </c>
      <c r="I175" t="str">
        <f>_xlfn.CONCAT(J175,D175)</f>
        <v>DR0104MET01</v>
      </c>
      <c r="J175" t="s">
        <v>3255</v>
      </c>
      <c r="K175" s="381">
        <f>K164</f>
        <v>1.5E-3</v>
      </c>
      <c r="L175" s="363">
        <f>L164</f>
        <v>0.8453818642610138</v>
      </c>
    </row>
    <row r="176" spans="1:12" x14ac:dyDescent="0.45">
      <c r="A176" t="s">
        <v>3271</v>
      </c>
      <c r="B176" t="s">
        <v>3287</v>
      </c>
      <c r="C176" t="s">
        <v>686</v>
      </c>
      <c r="D176" t="s">
        <v>2869</v>
      </c>
      <c r="E176" t="s">
        <v>2870</v>
      </c>
      <c r="F176" t="s">
        <v>576</v>
      </c>
      <c r="G176">
        <v>1</v>
      </c>
      <c r="H176">
        <v>4</v>
      </c>
      <c r="I176" t="str">
        <f t="shared" si="2"/>
        <v>DR0104MET02</v>
      </c>
      <c r="J176" t="s">
        <v>3255</v>
      </c>
      <c r="K176" s="381">
        <f t="shared" ref="K176:L176" si="6">K165</f>
        <v>3.2499999999999999E-3</v>
      </c>
      <c r="L176" s="363">
        <f t="shared" si="6"/>
        <v>0.89043035817931426</v>
      </c>
    </row>
    <row r="177" spans="1:12" x14ac:dyDescent="0.45">
      <c r="A177" t="s">
        <v>3271</v>
      </c>
      <c r="B177" t="s">
        <v>3287</v>
      </c>
      <c r="C177" t="s">
        <v>686</v>
      </c>
      <c r="D177" t="s">
        <v>2871</v>
      </c>
      <c r="E177" t="s">
        <v>805</v>
      </c>
      <c r="F177" t="s">
        <v>576</v>
      </c>
      <c r="G177">
        <v>1</v>
      </c>
      <c r="H177">
        <v>4</v>
      </c>
      <c r="I177" t="str">
        <f t="shared" si="2"/>
        <v>DR0104MET03</v>
      </c>
      <c r="J177" t="s">
        <v>3255</v>
      </c>
      <c r="K177" s="381">
        <f t="shared" ref="K177:L177" si="7">K166</f>
        <v>2.7499999999999998E-3</v>
      </c>
      <c r="L177" s="363">
        <f t="shared" si="7"/>
        <v>0.83345027598619226</v>
      </c>
    </row>
    <row r="178" spans="1:12" x14ac:dyDescent="0.45">
      <c r="A178" t="s">
        <v>3271</v>
      </c>
      <c r="B178" t="s">
        <v>3287</v>
      </c>
      <c r="C178" t="s">
        <v>686</v>
      </c>
      <c r="D178" t="s">
        <v>2872</v>
      </c>
      <c r="E178" t="s">
        <v>809</v>
      </c>
      <c r="F178" t="s">
        <v>576</v>
      </c>
      <c r="G178">
        <v>1</v>
      </c>
      <c r="H178">
        <v>4</v>
      </c>
      <c r="I178" t="str">
        <f t="shared" si="2"/>
        <v>DR0104MET04</v>
      </c>
      <c r="J178" t="s">
        <v>3255</v>
      </c>
      <c r="K178" s="381">
        <f t="shared" ref="K178:L178" si="8">K167</f>
        <v>2.7499999999999998E-3</v>
      </c>
      <c r="L178" s="363">
        <f t="shared" si="8"/>
        <v>0.81932127060064586</v>
      </c>
    </row>
    <row r="179" spans="1:12" x14ac:dyDescent="0.45">
      <c r="A179" t="s">
        <v>3271</v>
      </c>
      <c r="B179" t="s">
        <v>3287</v>
      </c>
      <c r="C179" t="s">
        <v>686</v>
      </c>
      <c r="D179" t="s">
        <v>2873</v>
      </c>
      <c r="E179" t="s">
        <v>2874</v>
      </c>
      <c r="F179" t="s">
        <v>576</v>
      </c>
      <c r="G179">
        <v>1</v>
      </c>
      <c r="H179">
        <v>4</v>
      </c>
      <c r="I179" t="str">
        <f t="shared" si="2"/>
        <v>DR0104MET05</v>
      </c>
      <c r="J179" t="s">
        <v>3255</v>
      </c>
      <c r="K179" s="381">
        <f t="shared" ref="K179:L179" si="9">K168</f>
        <v>8.0000000000000002E-3</v>
      </c>
      <c r="L179" s="363">
        <f t="shared" si="9"/>
        <v>0.98596895543240215</v>
      </c>
    </row>
    <row r="180" spans="1:12" x14ac:dyDescent="0.45">
      <c r="A180" t="s">
        <v>3271</v>
      </c>
      <c r="B180" t="s">
        <v>3287</v>
      </c>
      <c r="C180" t="s">
        <v>686</v>
      </c>
      <c r="D180" t="s">
        <v>2876</v>
      </c>
      <c r="E180" t="s">
        <v>2877</v>
      </c>
      <c r="F180" t="s">
        <v>576</v>
      </c>
      <c r="G180">
        <v>1</v>
      </c>
      <c r="H180">
        <v>4</v>
      </c>
      <c r="I180" t="str">
        <f t="shared" si="2"/>
        <v>DR0104MET06</v>
      </c>
      <c r="J180" t="s">
        <v>3255</v>
      </c>
      <c r="K180" s="381">
        <f t="shared" ref="K180:L180" si="10">K169</f>
        <v>4.2500000000000003E-3</v>
      </c>
      <c r="L180" s="363">
        <f t="shared" si="10"/>
        <v>0.8952703665829439</v>
      </c>
    </row>
    <row r="181" spans="1:12" x14ac:dyDescent="0.45">
      <c r="A181" t="s">
        <v>3271</v>
      </c>
      <c r="B181" t="s">
        <v>3287</v>
      </c>
      <c r="C181" t="s">
        <v>686</v>
      </c>
      <c r="D181" t="s">
        <v>2878</v>
      </c>
      <c r="E181" t="s">
        <v>2879</v>
      </c>
      <c r="F181" t="s">
        <v>576</v>
      </c>
      <c r="G181">
        <v>1</v>
      </c>
      <c r="H181">
        <v>4</v>
      </c>
      <c r="I181" t="str">
        <f t="shared" si="2"/>
        <v>DR0104MET07</v>
      </c>
      <c r="J181" t="s">
        <v>3255</v>
      </c>
      <c r="K181" s="381">
        <f t="shared" ref="K181:L181" si="11">K170</f>
        <v>5.0000000000000001E-3</v>
      </c>
      <c r="L181" s="363">
        <f t="shared" si="11"/>
        <v>0.92831776672255584</v>
      </c>
    </row>
    <row r="182" spans="1:12" x14ac:dyDescent="0.45">
      <c r="A182" t="s">
        <v>3271</v>
      </c>
      <c r="B182" t="s">
        <v>3287</v>
      </c>
      <c r="C182" t="s">
        <v>686</v>
      </c>
      <c r="D182" t="s">
        <v>2880</v>
      </c>
      <c r="E182" t="s">
        <v>2881</v>
      </c>
      <c r="F182" t="s">
        <v>576</v>
      </c>
      <c r="G182">
        <v>1</v>
      </c>
      <c r="H182">
        <v>4</v>
      </c>
      <c r="I182" t="str">
        <f t="shared" si="2"/>
        <v>DR0104MET12</v>
      </c>
      <c r="J182" t="s">
        <v>3255</v>
      </c>
      <c r="K182" s="381">
        <f t="shared" ref="K182:L182" si="12">K171</f>
        <v>9.4999999999999998E-3</v>
      </c>
      <c r="L182" s="363">
        <f t="shared" si="12"/>
        <v>0.96388823091788634</v>
      </c>
    </row>
    <row r="183" spans="1:12" x14ac:dyDescent="0.45">
      <c r="A183" t="s">
        <v>3271</v>
      </c>
      <c r="B183" t="s">
        <v>3287</v>
      </c>
      <c r="C183" t="s">
        <v>686</v>
      </c>
      <c r="D183" t="s">
        <v>2882</v>
      </c>
      <c r="E183" t="s">
        <v>2883</v>
      </c>
      <c r="F183" t="s">
        <v>576</v>
      </c>
      <c r="G183">
        <v>1</v>
      </c>
      <c r="H183">
        <v>4</v>
      </c>
      <c r="I183" t="str">
        <f t="shared" si="2"/>
        <v>DR0104MET13</v>
      </c>
      <c r="J183" t="s">
        <v>3255</v>
      </c>
      <c r="K183" s="381">
        <f t="shared" ref="K183:L183" si="13">K172</f>
        <v>4.0000000000000001E-3</v>
      </c>
      <c r="L183" s="363">
        <f t="shared" si="13"/>
        <v>0.93664649795093002</v>
      </c>
    </row>
    <row r="184" spans="1:12" x14ac:dyDescent="0.45">
      <c r="A184" t="s">
        <v>3271</v>
      </c>
      <c r="B184" t="s">
        <v>3287</v>
      </c>
      <c r="C184" t="s">
        <v>686</v>
      </c>
      <c r="D184" t="s">
        <v>2884</v>
      </c>
      <c r="E184" t="s">
        <v>814</v>
      </c>
      <c r="F184" t="s">
        <v>576</v>
      </c>
      <c r="G184">
        <v>1</v>
      </c>
      <c r="H184">
        <v>4</v>
      </c>
      <c r="I184" t="str">
        <f t="shared" si="2"/>
        <v>DR0104MET14</v>
      </c>
      <c r="J184" t="s">
        <v>3255</v>
      </c>
      <c r="K184" s="381">
        <f>K173</f>
        <v>1.25E-3</v>
      </c>
      <c r="L184" s="363">
        <f>L173</f>
        <v>0.87923556325591468</v>
      </c>
    </row>
    <row r="185" spans="1:12" x14ac:dyDescent="0.45">
      <c r="A185" t="s">
        <v>3271</v>
      </c>
      <c r="B185" t="s">
        <v>3287</v>
      </c>
      <c r="C185" t="s">
        <v>686</v>
      </c>
      <c r="D185" t="s">
        <v>2885</v>
      </c>
      <c r="E185" t="s">
        <v>2886</v>
      </c>
      <c r="F185" t="s">
        <v>576</v>
      </c>
      <c r="G185">
        <v>1</v>
      </c>
      <c r="H185">
        <v>4</v>
      </c>
      <c r="I185" t="str">
        <f t="shared" si="2"/>
        <v>DR0104MET15</v>
      </c>
      <c r="J185" t="s">
        <v>3255</v>
      </c>
      <c r="K185" s="381">
        <f t="shared" ref="K185:L185" si="14">K174</f>
        <v>5.0000000000000001E-3</v>
      </c>
      <c r="L185" s="363">
        <f t="shared" si="14"/>
        <v>0.89390353509656773</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4D894-D52F-4600-BDE2-626159542B0A}">
  <dimension ref="A1:V963"/>
  <sheetViews>
    <sheetView zoomScale="70" zoomScaleNormal="70" workbookViewId="0">
      <pane xSplit="7" ySplit="1" topLeftCell="H823" activePane="bottomRight" state="frozen"/>
      <selection pane="topRight" activeCell="E1" sqref="E1"/>
      <selection pane="bottomLeft" activeCell="A2" sqref="A2"/>
      <selection pane="bottomRight" activeCell="A834" sqref="A834"/>
    </sheetView>
  </sheetViews>
  <sheetFormatPr defaultColWidth="15.53125" defaultRowHeight="14.25" x14ac:dyDescent="0.45"/>
  <cols>
    <col min="2" max="2" width="9.796875" customWidth="1"/>
    <col min="3" max="3" width="9.53125" bestFit="1" customWidth="1"/>
    <col min="5" max="5" width="42.46484375" customWidth="1"/>
    <col min="7" max="7" width="18.53125" style="362" bestFit="1" customWidth="1"/>
    <col min="8" max="8" width="10.19921875" bestFit="1" customWidth="1"/>
    <col min="9" max="9" width="13.796875" customWidth="1"/>
    <col min="10" max="10" width="15.53125" customWidth="1"/>
    <col min="11" max="11" width="48.73046875" customWidth="1"/>
    <col min="12" max="12" width="27.796875" customWidth="1"/>
    <col min="13" max="13" width="12.796875" customWidth="1"/>
    <col min="14" max="14" width="15.265625" customWidth="1"/>
    <col min="15" max="16" width="15.53125" customWidth="1"/>
    <col min="17" max="17" width="15.53125" style="368" customWidth="1"/>
    <col min="18" max="18" width="17.46484375" customWidth="1"/>
    <col min="19" max="19" width="15.53125" customWidth="1"/>
    <col min="22" max="22" width="18.53125" bestFit="1" customWidth="1"/>
  </cols>
  <sheetData>
    <row r="1" spans="1:22" s="355" customFormat="1" x14ac:dyDescent="0.45">
      <c r="A1" s="354" t="s">
        <v>2832</v>
      </c>
      <c r="B1" s="355" t="s">
        <v>2833</v>
      </c>
      <c r="C1" s="355" t="s">
        <v>2834</v>
      </c>
      <c r="D1" s="356" t="s">
        <v>135</v>
      </c>
      <c r="E1" s="356" t="s">
        <v>136</v>
      </c>
      <c r="F1" s="356" t="s">
        <v>139</v>
      </c>
      <c r="G1" s="357" t="s">
        <v>2835</v>
      </c>
      <c r="H1" s="355" t="s">
        <v>2836</v>
      </c>
      <c r="I1" s="355" t="s">
        <v>1964</v>
      </c>
      <c r="J1" s="355" t="s">
        <v>2837</v>
      </c>
      <c r="K1" s="355" t="s">
        <v>2838</v>
      </c>
      <c r="L1" s="355" t="s">
        <v>2839</v>
      </c>
      <c r="M1" s="355" t="s">
        <v>144</v>
      </c>
      <c r="N1" s="355" t="s">
        <v>145</v>
      </c>
      <c r="O1" s="356" t="s">
        <v>142</v>
      </c>
      <c r="P1" s="356" t="s">
        <v>143</v>
      </c>
      <c r="Q1" s="358" t="s">
        <v>146</v>
      </c>
      <c r="R1" s="355" t="s">
        <v>2840</v>
      </c>
      <c r="S1" s="355" t="s">
        <v>2841</v>
      </c>
      <c r="T1" s="355" t="s">
        <v>2842</v>
      </c>
      <c r="U1" s="355" t="s">
        <v>2843</v>
      </c>
      <c r="V1" s="355" t="s">
        <v>2844</v>
      </c>
    </row>
    <row r="2" spans="1:22" s="359" customFormat="1" x14ac:dyDescent="0.45">
      <c r="A2" s="359" t="s">
        <v>2845</v>
      </c>
      <c r="F2" s="359" t="s">
        <v>2846</v>
      </c>
      <c r="G2" s="360" t="s">
        <v>212</v>
      </c>
      <c r="H2" s="359">
        <v>2017</v>
      </c>
      <c r="I2" s="359">
        <v>79.239999999999995</v>
      </c>
      <c r="K2" s="359" t="s">
        <v>2847</v>
      </c>
      <c r="L2" s="359" t="s">
        <v>2848</v>
      </c>
      <c r="Q2" s="361"/>
      <c r="T2" s="359">
        <v>0</v>
      </c>
      <c r="U2" s="359" t="s">
        <v>2849</v>
      </c>
      <c r="V2" s="359" t="s">
        <v>594</v>
      </c>
    </row>
    <row r="3" spans="1:22" x14ac:dyDescent="0.45">
      <c r="A3" t="s">
        <v>2850</v>
      </c>
      <c r="C3" s="53"/>
      <c r="E3" t="s">
        <v>1779</v>
      </c>
      <c r="G3" s="362" t="s">
        <v>2851</v>
      </c>
      <c r="H3">
        <v>2019</v>
      </c>
      <c r="I3">
        <v>72</v>
      </c>
      <c r="K3" t="s">
        <v>2852</v>
      </c>
      <c r="L3" t="s">
        <v>2853</v>
      </c>
      <c r="O3" s="363">
        <f>IF(I3="","NA",I3/1000)</f>
        <v>7.1999999999999995E-2</v>
      </c>
      <c r="Q3" s="364">
        <f t="shared" ref="Q3:Q43" si="0">IFERROR((I3/I4)^(1/(H3-H4)), "")</f>
        <v>0.98846927759109204</v>
      </c>
      <c r="T3">
        <v>1</v>
      </c>
      <c r="U3" t="s">
        <v>2849</v>
      </c>
      <c r="V3" t="s">
        <v>594</v>
      </c>
    </row>
    <row r="4" spans="1:22" x14ac:dyDescent="0.45">
      <c r="A4" t="s">
        <v>2850</v>
      </c>
      <c r="E4" t="s">
        <v>1779</v>
      </c>
      <c r="G4" s="362" t="s">
        <v>2851</v>
      </c>
      <c r="H4">
        <v>2011</v>
      </c>
      <c r="I4">
        <v>79</v>
      </c>
      <c r="K4" t="s">
        <v>2852</v>
      </c>
      <c r="L4" t="s">
        <v>2853</v>
      </c>
      <c r="O4" s="363">
        <f>IF(I4="","NA",I4/1000)</f>
        <v>7.9000000000000001E-2</v>
      </c>
      <c r="Q4" s="365"/>
      <c r="T4">
        <v>1</v>
      </c>
      <c r="U4" t="s">
        <v>2849</v>
      </c>
      <c r="V4" t="s">
        <v>594</v>
      </c>
    </row>
    <row r="5" spans="1:22" x14ac:dyDescent="0.45">
      <c r="A5" t="s">
        <v>2850</v>
      </c>
      <c r="E5" t="s">
        <v>1777</v>
      </c>
      <c r="G5" s="362" t="s">
        <v>2854</v>
      </c>
      <c r="H5">
        <v>2019</v>
      </c>
      <c r="I5">
        <v>195</v>
      </c>
      <c r="K5" t="s">
        <v>2855</v>
      </c>
      <c r="L5" t="s">
        <v>2853</v>
      </c>
      <c r="O5" s="363">
        <f t="shared" ref="O5:O68" si="1">IF(I5="","NA",I5/1000)</f>
        <v>0.19500000000000001</v>
      </c>
      <c r="Q5" s="364">
        <f t="shared" si="0"/>
        <v>0.99316389691241536</v>
      </c>
      <c r="T5">
        <v>1</v>
      </c>
      <c r="U5" t="s">
        <v>2849</v>
      </c>
      <c r="V5" t="s">
        <v>594</v>
      </c>
    </row>
    <row r="6" spans="1:22" x14ac:dyDescent="0.45">
      <c r="A6" t="s">
        <v>2850</v>
      </c>
      <c r="E6" t="s">
        <v>1777</v>
      </c>
      <c r="G6" s="362" t="s">
        <v>2854</v>
      </c>
      <c r="H6">
        <v>2011</v>
      </c>
      <c r="I6">
        <v>206</v>
      </c>
      <c r="K6" t="s">
        <v>2855</v>
      </c>
      <c r="L6" t="s">
        <v>2853</v>
      </c>
      <c r="O6" s="363">
        <f t="shared" si="1"/>
        <v>0.20599999999999999</v>
      </c>
      <c r="Q6" s="365"/>
      <c r="T6">
        <v>1</v>
      </c>
      <c r="U6" t="s">
        <v>2849</v>
      </c>
      <c r="V6" t="s">
        <v>594</v>
      </c>
    </row>
    <row r="7" spans="1:22" x14ac:dyDescent="0.45">
      <c r="A7" t="s">
        <v>2850</v>
      </c>
      <c r="E7" t="s">
        <v>1775</v>
      </c>
      <c r="G7" s="362" t="s">
        <v>2856</v>
      </c>
      <c r="H7">
        <v>2019</v>
      </c>
      <c r="I7">
        <v>202</v>
      </c>
      <c r="K7" t="s">
        <v>2857</v>
      </c>
      <c r="L7" t="s">
        <v>2853</v>
      </c>
      <c r="O7" s="363">
        <f t="shared" si="1"/>
        <v>0.20200000000000001</v>
      </c>
      <c r="Q7" s="364">
        <f t="shared" si="0"/>
        <v>0.98022410443373342</v>
      </c>
      <c r="T7">
        <v>1</v>
      </c>
      <c r="U7" t="s">
        <v>2849</v>
      </c>
      <c r="V7" t="s">
        <v>594</v>
      </c>
    </row>
    <row r="8" spans="1:22" x14ac:dyDescent="0.45">
      <c r="A8" t="s">
        <v>2850</v>
      </c>
      <c r="E8" t="s">
        <v>1775</v>
      </c>
      <c r="G8" s="362" t="s">
        <v>2856</v>
      </c>
      <c r="H8">
        <v>2011</v>
      </c>
      <c r="I8">
        <v>237</v>
      </c>
      <c r="K8" t="s">
        <v>2857</v>
      </c>
      <c r="L8" t="s">
        <v>2853</v>
      </c>
      <c r="O8" s="363">
        <f t="shared" si="1"/>
        <v>0.23699999999999999</v>
      </c>
      <c r="Q8" s="365"/>
      <c r="T8">
        <v>1</v>
      </c>
      <c r="U8" t="s">
        <v>2849</v>
      </c>
      <c r="V8" t="s">
        <v>594</v>
      </c>
    </row>
    <row r="9" spans="1:22" x14ac:dyDescent="0.45">
      <c r="A9" t="s">
        <v>2850</v>
      </c>
      <c r="E9" t="s">
        <v>1773</v>
      </c>
      <c r="G9" s="362" t="s">
        <v>2858</v>
      </c>
      <c r="H9">
        <v>2019</v>
      </c>
      <c r="I9">
        <v>162</v>
      </c>
      <c r="K9" t="s">
        <v>2859</v>
      </c>
      <c r="L9" t="s">
        <v>2853</v>
      </c>
      <c r="O9" s="363">
        <f t="shared" si="1"/>
        <v>0.16200000000000001</v>
      </c>
      <c r="Q9" s="364">
        <f t="shared" si="0"/>
        <v>0.97771923789514636</v>
      </c>
      <c r="T9">
        <v>1</v>
      </c>
      <c r="U9" t="s">
        <v>2849</v>
      </c>
      <c r="V9" t="s">
        <v>594</v>
      </c>
    </row>
    <row r="10" spans="1:22" x14ac:dyDescent="0.45">
      <c r="A10" t="s">
        <v>2850</v>
      </c>
      <c r="E10" t="s">
        <v>1773</v>
      </c>
      <c r="G10" s="362" t="s">
        <v>2858</v>
      </c>
      <c r="H10">
        <v>2011</v>
      </c>
      <c r="I10">
        <v>194</v>
      </c>
      <c r="K10" t="s">
        <v>2859</v>
      </c>
      <c r="L10" t="s">
        <v>2853</v>
      </c>
      <c r="O10" s="363">
        <f t="shared" si="1"/>
        <v>0.19400000000000001</v>
      </c>
      <c r="Q10" s="365"/>
      <c r="T10">
        <v>1</v>
      </c>
      <c r="U10" t="s">
        <v>2849</v>
      </c>
      <c r="V10" t="s">
        <v>594</v>
      </c>
    </row>
    <row r="11" spans="1:22" x14ac:dyDescent="0.45">
      <c r="A11" t="s">
        <v>2850</v>
      </c>
      <c r="E11" t="s">
        <v>1771</v>
      </c>
      <c r="G11" s="362" t="s">
        <v>2860</v>
      </c>
      <c r="H11">
        <v>2019</v>
      </c>
      <c r="I11">
        <v>119</v>
      </c>
      <c r="K11" t="s">
        <v>2861</v>
      </c>
      <c r="L11" t="s">
        <v>2853</v>
      </c>
      <c r="O11" s="363">
        <f t="shared" si="1"/>
        <v>0.11899999999999999</v>
      </c>
      <c r="Q11" s="364">
        <f t="shared" si="0"/>
        <v>0.97393215219000295</v>
      </c>
      <c r="T11">
        <v>1</v>
      </c>
      <c r="U11" t="s">
        <v>2849</v>
      </c>
      <c r="V11" t="s">
        <v>594</v>
      </c>
    </row>
    <row r="12" spans="1:22" x14ac:dyDescent="0.45">
      <c r="A12" t="s">
        <v>2850</v>
      </c>
      <c r="E12" t="s">
        <v>1771</v>
      </c>
      <c r="G12" s="362" t="s">
        <v>2860</v>
      </c>
      <c r="H12">
        <v>2011</v>
      </c>
      <c r="I12">
        <v>147</v>
      </c>
      <c r="K12" t="s">
        <v>2861</v>
      </c>
      <c r="L12" t="s">
        <v>2853</v>
      </c>
      <c r="O12" s="363">
        <f t="shared" si="1"/>
        <v>0.14699999999999999</v>
      </c>
      <c r="Q12" s="365"/>
      <c r="T12">
        <v>1</v>
      </c>
      <c r="U12" t="s">
        <v>2849</v>
      </c>
      <c r="V12" t="s">
        <v>594</v>
      </c>
    </row>
    <row r="13" spans="1:22" x14ac:dyDescent="0.45">
      <c r="A13" t="s">
        <v>2850</v>
      </c>
      <c r="E13" t="s">
        <v>1769</v>
      </c>
      <c r="G13" s="362" t="s">
        <v>2862</v>
      </c>
      <c r="H13">
        <v>2019</v>
      </c>
      <c r="I13">
        <v>49</v>
      </c>
      <c r="K13" t="s">
        <v>2863</v>
      </c>
      <c r="L13" t="s">
        <v>2853</v>
      </c>
      <c r="O13" s="363">
        <f t="shared" si="1"/>
        <v>4.9000000000000002E-2</v>
      </c>
      <c r="Q13" s="364">
        <f t="shared" si="0"/>
        <v>0.95811661983967134</v>
      </c>
      <c r="T13">
        <v>1</v>
      </c>
      <c r="U13" t="s">
        <v>2849</v>
      </c>
      <c r="V13" t="s">
        <v>594</v>
      </c>
    </row>
    <row r="14" spans="1:22" x14ac:dyDescent="0.45">
      <c r="A14" t="s">
        <v>2850</v>
      </c>
      <c r="E14" t="s">
        <v>1769</v>
      </c>
      <c r="G14" s="362" t="s">
        <v>2862</v>
      </c>
      <c r="H14">
        <v>2011</v>
      </c>
      <c r="I14">
        <v>69</v>
      </c>
      <c r="K14" t="s">
        <v>2863</v>
      </c>
      <c r="L14" t="s">
        <v>2853</v>
      </c>
      <c r="O14" s="363">
        <f t="shared" si="1"/>
        <v>6.9000000000000006E-2</v>
      </c>
      <c r="Q14" s="365"/>
      <c r="T14">
        <v>1</v>
      </c>
      <c r="U14" t="s">
        <v>2849</v>
      </c>
      <c r="V14" t="s">
        <v>594</v>
      </c>
    </row>
    <row r="15" spans="1:22" x14ac:dyDescent="0.45">
      <c r="A15" t="s">
        <v>2850</v>
      </c>
      <c r="E15" t="s">
        <v>1767</v>
      </c>
      <c r="G15" s="362" t="s">
        <v>2864</v>
      </c>
      <c r="H15">
        <v>2019</v>
      </c>
      <c r="I15">
        <v>14</v>
      </c>
      <c r="K15" t="s">
        <v>2865</v>
      </c>
      <c r="L15" t="s">
        <v>2853</v>
      </c>
      <c r="O15" s="363">
        <f t="shared" si="1"/>
        <v>1.4E-2</v>
      </c>
      <c r="Q15" s="364">
        <f t="shared" si="0"/>
        <v>0.91700404320467122</v>
      </c>
      <c r="T15">
        <v>1</v>
      </c>
      <c r="U15" t="s">
        <v>2849</v>
      </c>
      <c r="V15" t="s">
        <v>594</v>
      </c>
    </row>
    <row r="16" spans="1:22" x14ac:dyDescent="0.45">
      <c r="A16" t="s">
        <v>2850</v>
      </c>
      <c r="E16" t="s">
        <v>1767</v>
      </c>
      <c r="G16" s="362" t="s">
        <v>2864</v>
      </c>
      <c r="H16">
        <v>2011</v>
      </c>
      <c r="I16">
        <v>28</v>
      </c>
      <c r="K16" t="s">
        <v>2865</v>
      </c>
      <c r="L16" t="s">
        <v>2853</v>
      </c>
      <c r="O16" s="363">
        <f t="shared" si="1"/>
        <v>2.8000000000000001E-2</v>
      </c>
      <c r="Q16" s="365"/>
      <c r="T16">
        <v>1</v>
      </c>
      <c r="U16" t="s">
        <v>2849</v>
      </c>
      <c r="V16" t="s">
        <v>594</v>
      </c>
    </row>
    <row r="17" spans="1:22" x14ac:dyDescent="0.45">
      <c r="A17" t="s">
        <v>2850</v>
      </c>
      <c r="E17" t="s">
        <v>1779</v>
      </c>
      <c r="G17" s="362" t="s">
        <v>2851</v>
      </c>
      <c r="H17">
        <v>2019</v>
      </c>
      <c r="I17">
        <v>83</v>
      </c>
      <c r="K17" t="s">
        <v>2852</v>
      </c>
      <c r="L17" t="s">
        <v>2853</v>
      </c>
      <c r="O17" s="363">
        <f t="shared" si="1"/>
        <v>8.3000000000000004E-2</v>
      </c>
      <c r="Q17" s="364">
        <f t="shared" si="0"/>
        <v>0.97697794903196278</v>
      </c>
      <c r="T17">
        <v>0.5</v>
      </c>
      <c r="U17" t="s">
        <v>2866</v>
      </c>
      <c r="V17" t="s">
        <v>84</v>
      </c>
    </row>
    <row r="18" spans="1:22" x14ac:dyDescent="0.45">
      <c r="A18" t="s">
        <v>2850</v>
      </c>
      <c r="E18" t="s">
        <v>1779</v>
      </c>
      <c r="G18" s="362" t="s">
        <v>2851</v>
      </c>
      <c r="H18">
        <v>2011</v>
      </c>
      <c r="I18">
        <v>100</v>
      </c>
      <c r="K18" t="s">
        <v>2852</v>
      </c>
      <c r="L18" t="s">
        <v>2853</v>
      </c>
      <c r="O18" s="363">
        <f t="shared" si="1"/>
        <v>0.1</v>
      </c>
      <c r="Q18" s="365"/>
      <c r="T18">
        <v>0.5</v>
      </c>
      <c r="U18" t="s">
        <v>2866</v>
      </c>
      <c r="V18" t="s">
        <v>84</v>
      </c>
    </row>
    <row r="19" spans="1:22" x14ac:dyDescent="0.45">
      <c r="A19" t="s">
        <v>2850</v>
      </c>
      <c r="E19" t="s">
        <v>1777</v>
      </c>
      <c r="G19" s="362" t="s">
        <v>2854</v>
      </c>
      <c r="H19">
        <v>2019</v>
      </c>
      <c r="I19">
        <v>219</v>
      </c>
      <c r="K19" t="s">
        <v>2855</v>
      </c>
      <c r="L19" t="s">
        <v>2853</v>
      </c>
      <c r="O19" s="363">
        <f t="shared" si="1"/>
        <v>0.219</v>
      </c>
      <c r="Q19" s="364">
        <f t="shared" si="0"/>
        <v>0.991224508343727</v>
      </c>
      <c r="T19">
        <v>0.5</v>
      </c>
      <c r="U19" t="s">
        <v>2866</v>
      </c>
      <c r="V19" t="s">
        <v>84</v>
      </c>
    </row>
    <row r="20" spans="1:22" x14ac:dyDescent="0.45">
      <c r="A20" t="s">
        <v>2850</v>
      </c>
      <c r="E20" t="s">
        <v>1777</v>
      </c>
      <c r="G20" s="362" t="s">
        <v>2854</v>
      </c>
      <c r="H20">
        <v>2011</v>
      </c>
      <c r="I20">
        <v>235</v>
      </c>
      <c r="K20" t="s">
        <v>2855</v>
      </c>
      <c r="L20" t="s">
        <v>2853</v>
      </c>
      <c r="O20" s="363">
        <f t="shared" si="1"/>
        <v>0.23499999999999999</v>
      </c>
      <c r="Q20" s="365"/>
      <c r="T20">
        <v>0.5</v>
      </c>
      <c r="U20" t="s">
        <v>2866</v>
      </c>
      <c r="V20" t="s">
        <v>84</v>
      </c>
    </row>
    <row r="21" spans="1:22" x14ac:dyDescent="0.45">
      <c r="A21" t="s">
        <v>2850</v>
      </c>
      <c r="E21" t="s">
        <v>1775</v>
      </c>
      <c r="G21" s="362" t="s">
        <v>2856</v>
      </c>
      <c r="H21">
        <v>2019</v>
      </c>
      <c r="I21">
        <v>225</v>
      </c>
      <c r="K21" t="s">
        <v>2857</v>
      </c>
      <c r="L21" t="s">
        <v>2853</v>
      </c>
      <c r="O21" s="363">
        <f t="shared" si="1"/>
        <v>0.22500000000000001</v>
      </c>
      <c r="Q21" s="364">
        <f t="shared" si="0"/>
        <v>0.98068232092078877</v>
      </c>
      <c r="T21">
        <v>0.5</v>
      </c>
      <c r="U21" t="s">
        <v>2866</v>
      </c>
      <c r="V21" t="s">
        <v>84</v>
      </c>
    </row>
    <row r="22" spans="1:22" x14ac:dyDescent="0.45">
      <c r="A22" t="s">
        <v>2850</v>
      </c>
      <c r="E22" t="s">
        <v>1775</v>
      </c>
      <c r="G22" s="362" t="s">
        <v>2856</v>
      </c>
      <c r="H22">
        <v>2011</v>
      </c>
      <c r="I22">
        <v>263</v>
      </c>
      <c r="K22" t="s">
        <v>2857</v>
      </c>
      <c r="L22" t="s">
        <v>2853</v>
      </c>
      <c r="O22" s="363">
        <f t="shared" si="1"/>
        <v>0.26300000000000001</v>
      </c>
      <c r="Q22" s="365"/>
      <c r="T22">
        <v>0.5</v>
      </c>
      <c r="U22" t="s">
        <v>2866</v>
      </c>
      <c r="V22" t="s">
        <v>84</v>
      </c>
    </row>
    <row r="23" spans="1:22" x14ac:dyDescent="0.45">
      <c r="A23" t="s">
        <v>2850</v>
      </c>
      <c r="E23" t="s">
        <v>1773</v>
      </c>
      <c r="G23" s="362" t="s">
        <v>2858</v>
      </c>
      <c r="H23">
        <v>2019</v>
      </c>
      <c r="I23">
        <v>175</v>
      </c>
      <c r="K23" t="s">
        <v>2859</v>
      </c>
      <c r="L23" t="s">
        <v>2853</v>
      </c>
      <c r="O23" s="363">
        <f t="shared" si="1"/>
        <v>0.17499999999999999</v>
      </c>
      <c r="Q23" s="364">
        <f t="shared" si="0"/>
        <v>0.97124930686865607</v>
      </c>
      <c r="T23">
        <v>0.5</v>
      </c>
      <c r="U23" t="s">
        <v>2866</v>
      </c>
      <c r="V23" t="s">
        <v>84</v>
      </c>
    </row>
    <row r="24" spans="1:22" x14ac:dyDescent="0.45">
      <c r="A24" t="s">
        <v>2850</v>
      </c>
      <c r="E24" t="s">
        <v>1773</v>
      </c>
      <c r="G24" s="362" t="s">
        <v>2858</v>
      </c>
      <c r="H24">
        <v>2011</v>
      </c>
      <c r="I24">
        <v>221</v>
      </c>
      <c r="K24" t="s">
        <v>2859</v>
      </c>
      <c r="L24" t="s">
        <v>2853</v>
      </c>
      <c r="O24" s="363">
        <f t="shared" si="1"/>
        <v>0.221</v>
      </c>
      <c r="Q24" s="365"/>
      <c r="T24">
        <v>0.5</v>
      </c>
      <c r="U24" t="s">
        <v>2866</v>
      </c>
      <c r="V24" t="s">
        <v>84</v>
      </c>
    </row>
    <row r="25" spans="1:22" x14ac:dyDescent="0.45">
      <c r="A25" t="s">
        <v>2850</v>
      </c>
      <c r="E25" t="s">
        <v>1771</v>
      </c>
      <c r="G25" s="362" t="s">
        <v>2860</v>
      </c>
      <c r="H25">
        <v>2019</v>
      </c>
      <c r="I25">
        <v>123</v>
      </c>
      <c r="K25" t="s">
        <v>2861</v>
      </c>
      <c r="L25" t="s">
        <v>2853</v>
      </c>
      <c r="O25" s="363">
        <f t="shared" si="1"/>
        <v>0.123</v>
      </c>
      <c r="Q25" s="364">
        <f t="shared" si="0"/>
        <v>0.96249521705067753</v>
      </c>
      <c r="T25">
        <v>0.5</v>
      </c>
      <c r="U25" t="s">
        <v>2866</v>
      </c>
      <c r="V25" t="s">
        <v>84</v>
      </c>
    </row>
    <row r="26" spans="1:22" x14ac:dyDescent="0.45">
      <c r="A26" t="s">
        <v>2850</v>
      </c>
      <c r="E26" t="s">
        <v>1771</v>
      </c>
      <c r="G26" s="362" t="s">
        <v>2860</v>
      </c>
      <c r="H26">
        <v>2011</v>
      </c>
      <c r="I26">
        <v>167</v>
      </c>
      <c r="K26" t="s">
        <v>2861</v>
      </c>
      <c r="L26" t="s">
        <v>2853</v>
      </c>
      <c r="O26" s="363">
        <f t="shared" si="1"/>
        <v>0.16700000000000001</v>
      </c>
      <c r="Q26" s="365"/>
      <c r="T26">
        <v>0.5</v>
      </c>
      <c r="U26" t="s">
        <v>2866</v>
      </c>
      <c r="V26" t="s">
        <v>84</v>
      </c>
    </row>
    <row r="27" spans="1:22" x14ac:dyDescent="0.45">
      <c r="A27" t="s">
        <v>2850</v>
      </c>
      <c r="E27" t="s">
        <v>1769</v>
      </c>
      <c r="G27" s="362" t="s">
        <v>2862</v>
      </c>
      <c r="H27">
        <v>2019</v>
      </c>
      <c r="I27">
        <v>54</v>
      </c>
      <c r="K27" t="s">
        <v>2863</v>
      </c>
      <c r="L27" t="s">
        <v>2853</v>
      </c>
      <c r="O27" s="363">
        <f t="shared" si="1"/>
        <v>5.3999999999999999E-2</v>
      </c>
      <c r="Q27" s="364">
        <f t="shared" si="0"/>
        <v>0.95507481857202581</v>
      </c>
      <c r="T27">
        <v>0.5</v>
      </c>
      <c r="U27" t="s">
        <v>2866</v>
      </c>
      <c r="V27" t="s">
        <v>84</v>
      </c>
    </row>
    <row r="28" spans="1:22" x14ac:dyDescent="0.45">
      <c r="A28" t="s">
        <v>2850</v>
      </c>
      <c r="E28" t="s">
        <v>1769</v>
      </c>
      <c r="G28" s="362" t="s">
        <v>2862</v>
      </c>
      <c r="H28">
        <v>2011</v>
      </c>
      <c r="I28">
        <v>78</v>
      </c>
      <c r="K28" t="s">
        <v>2863</v>
      </c>
      <c r="L28" t="s">
        <v>2853</v>
      </c>
      <c r="O28" s="363">
        <f t="shared" si="1"/>
        <v>7.8E-2</v>
      </c>
      <c r="Q28" s="365"/>
      <c r="T28">
        <v>0.5</v>
      </c>
      <c r="U28" t="s">
        <v>2866</v>
      </c>
      <c r="V28" t="s">
        <v>84</v>
      </c>
    </row>
    <row r="29" spans="1:22" x14ac:dyDescent="0.45">
      <c r="A29" t="s">
        <v>2850</v>
      </c>
      <c r="E29" t="s">
        <v>1767</v>
      </c>
      <c r="G29" s="362" t="s">
        <v>2864</v>
      </c>
      <c r="H29">
        <v>2019</v>
      </c>
      <c r="I29">
        <v>19</v>
      </c>
      <c r="K29" t="s">
        <v>2865</v>
      </c>
      <c r="L29" t="s">
        <v>2853</v>
      </c>
      <c r="O29" s="363">
        <f t="shared" si="1"/>
        <v>1.9E-2</v>
      </c>
      <c r="Q29" s="364">
        <f t="shared" si="0"/>
        <v>0.94851553964424851</v>
      </c>
      <c r="T29">
        <v>0.5</v>
      </c>
      <c r="U29" t="s">
        <v>2866</v>
      </c>
      <c r="V29" t="s">
        <v>84</v>
      </c>
    </row>
    <row r="30" spans="1:22" x14ac:dyDescent="0.45">
      <c r="A30" t="s">
        <v>2850</v>
      </c>
      <c r="E30" t="s">
        <v>1767</v>
      </c>
      <c r="G30" s="362" t="s">
        <v>2864</v>
      </c>
      <c r="H30">
        <v>2011</v>
      </c>
      <c r="I30">
        <v>29</v>
      </c>
      <c r="K30" t="s">
        <v>2865</v>
      </c>
      <c r="L30" t="s">
        <v>2853</v>
      </c>
      <c r="O30" s="363">
        <f t="shared" si="1"/>
        <v>2.9000000000000001E-2</v>
      </c>
      <c r="Q30" s="365"/>
      <c r="T30">
        <v>0.5</v>
      </c>
      <c r="U30" t="s">
        <v>2866</v>
      </c>
      <c r="V30" t="s">
        <v>84</v>
      </c>
    </row>
    <row r="31" spans="1:22" x14ac:dyDescent="0.45">
      <c r="A31" t="s">
        <v>2850</v>
      </c>
      <c r="E31" t="s">
        <v>1779</v>
      </c>
      <c r="G31" s="362" t="s">
        <v>2851</v>
      </c>
      <c r="H31">
        <v>2019</v>
      </c>
      <c r="I31">
        <v>52</v>
      </c>
      <c r="K31" t="s">
        <v>2852</v>
      </c>
      <c r="L31" t="s">
        <v>2853</v>
      </c>
      <c r="O31" s="363">
        <f t="shared" si="1"/>
        <v>5.1999999999999998E-2</v>
      </c>
      <c r="Q31" s="364">
        <f t="shared" si="0"/>
        <v>1.0853753333984508</v>
      </c>
      <c r="T31">
        <v>0.5</v>
      </c>
      <c r="U31" t="s">
        <v>2867</v>
      </c>
      <c r="V31" t="s">
        <v>336</v>
      </c>
    </row>
    <row r="32" spans="1:22" x14ac:dyDescent="0.45">
      <c r="A32" t="s">
        <v>2850</v>
      </c>
      <c r="E32" t="s">
        <v>1779</v>
      </c>
      <c r="G32" s="362" t="s">
        <v>2851</v>
      </c>
      <c r="H32">
        <v>2011</v>
      </c>
      <c r="I32">
        <v>27</v>
      </c>
      <c r="K32" t="s">
        <v>2852</v>
      </c>
      <c r="L32" t="s">
        <v>2853</v>
      </c>
      <c r="O32" s="363">
        <f t="shared" si="1"/>
        <v>2.7E-2</v>
      </c>
      <c r="Q32" s="365"/>
      <c r="T32">
        <v>0.5</v>
      </c>
      <c r="U32" t="s">
        <v>2867</v>
      </c>
      <c r="V32" t="s">
        <v>336</v>
      </c>
    </row>
    <row r="33" spans="1:22" x14ac:dyDescent="0.45">
      <c r="A33" t="s">
        <v>2850</v>
      </c>
      <c r="E33" t="s">
        <v>1777</v>
      </c>
      <c r="G33" s="362" t="s">
        <v>2854</v>
      </c>
      <c r="H33">
        <v>2019</v>
      </c>
      <c r="I33">
        <v>147</v>
      </c>
      <c r="K33" t="s">
        <v>2855</v>
      </c>
      <c r="L33" t="s">
        <v>2853</v>
      </c>
      <c r="O33" s="363">
        <f t="shared" si="1"/>
        <v>0.14699999999999999</v>
      </c>
      <c r="Q33" s="364">
        <f t="shared" si="0"/>
        <v>1.0214966723375731</v>
      </c>
      <c r="T33">
        <v>0.5</v>
      </c>
      <c r="U33" t="s">
        <v>2867</v>
      </c>
      <c r="V33" t="s">
        <v>336</v>
      </c>
    </row>
    <row r="34" spans="1:22" x14ac:dyDescent="0.45">
      <c r="A34" t="s">
        <v>2850</v>
      </c>
      <c r="E34" t="s">
        <v>1777</v>
      </c>
      <c r="G34" s="362" t="s">
        <v>2854</v>
      </c>
      <c r="H34">
        <v>2011</v>
      </c>
      <c r="I34">
        <v>124</v>
      </c>
      <c r="K34" t="s">
        <v>2855</v>
      </c>
      <c r="L34" t="s">
        <v>2853</v>
      </c>
      <c r="O34" s="363">
        <f t="shared" si="1"/>
        <v>0.124</v>
      </c>
      <c r="Q34" s="365"/>
      <c r="T34">
        <v>0.5</v>
      </c>
      <c r="U34" t="s">
        <v>2867</v>
      </c>
      <c r="V34" t="s">
        <v>336</v>
      </c>
    </row>
    <row r="35" spans="1:22" x14ac:dyDescent="0.45">
      <c r="A35" t="s">
        <v>2850</v>
      </c>
      <c r="E35" t="s">
        <v>1775</v>
      </c>
      <c r="G35" s="362" t="s">
        <v>2856</v>
      </c>
      <c r="H35">
        <v>2019</v>
      </c>
      <c r="I35">
        <v>159</v>
      </c>
      <c r="K35" t="s">
        <v>2857</v>
      </c>
      <c r="L35" t="s">
        <v>2853</v>
      </c>
      <c r="O35" s="363">
        <f t="shared" si="1"/>
        <v>0.159</v>
      </c>
      <c r="Q35" s="364">
        <f t="shared" si="0"/>
        <v>1.0007889572122999</v>
      </c>
      <c r="T35">
        <v>0.5</v>
      </c>
      <c r="U35" t="s">
        <v>2867</v>
      </c>
      <c r="V35" t="s">
        <v>336</v>
      </c>
    </row>
    <row r="36" spans="1:22" x14ac:dyDescent="0.45">
      <c r="A36" t="s">
        <v>2850</v>
      </c>
      <c r="E36" t="s">
        <v>1775</v>
      </c>
      <c r="G36" s="362" t="s">
        <v>2856</v>
      </c>
      <c r="H36">
        <v>2011</v>
      </c>
      <c r="I36">
        <v>158</v>
      </c>
      <c r="K36" t="s">
        <v>2857</v>
      </c>
      <c r="L36" t="s">
        <v>2853</v>
      </c>
      <c r="O36" s="363">
        <f t="shared" si="1"/>
        <v>0.158</v>
      </c>
      <c r="Q36" s="365"/>
      <c r="T36">
        <v>0.5</v>
      </c>
      <c r="U36" t="s">
        <v>2867</v>
      </c>
      <c r="V36" t="s">
        <v>336</v>
      </c>
    </row>
    <row r="37" spans="1:22" x14ac:dyDescent="0.45">
      <c r="A37" t="s">
        <v>2850</v>
      </c>
      <c r="E37" t="s">
        <v>1773</v>
      </c>
      <c r="G37" s="362" t="s">
        <v>2858</v>
      </c>
      <c r="H37">
        <v>2019</v>
      </c>
      <c r="I37">
        <v>128</v>
      </c>
      <c r="K37" t="s">
        <v>2859</v>
      </c>
      <c r="L37" t="s">
        <v>2853</v>
      </c>
      <c r="O37" s="363">
        <f t="shared" si="1"/>
        <v>0.128</v>
      </c>
      <c r="Q37" s="364">
        <f t="shared" si="0"/>
        <v>1.0313385377212458</v>
      </c>
      <c r="T37">
        <v>0.5</v>
      </c>
      <c r="U37" t="s">
        <v>2867</v>
      </c>
      <c r="V37" t="s">
        <v>336</v>
      </c>
    </row>
    <row r="38" spans="1:22" x14ac:dyDescent="0.45">
      <c r="A38" t="s">
        <v>2850</v>
      </c>
      <c r="E38" t="s">
        <v>1773</v>
      </c>
      <c r="G38" s="362" t="s">
        <v>2858</v>
      </c>
      <c r="H38">
        <v>2011</v>
      </c>
      <c r="I38">
        <v>100</v>
      </c>
      <c r="K38" t="s">
        <v>2859</v>
      </c>
      <c r="L38" t="s">
        <v>2853</v>
      </c>
      <c r="O38" s="363">
        <f t="shared" si="1"/>
        <v>0.1</v>
      </c>
      <c r="Q38" s="365"/>
      <c r="T38">
        <v>0.5</v>
      </c>
      <c r="U38" t="s">
        <v>2867</v>
      </c>
      <c r="V38" t="s">
        <v>336</v>
      </c>
    </row>
    <row r="39" spans="1:22" x14ac:dyDescent="0.45">
      <c r="A39" t="s">
        <v>2850</v>
      </c>
      <c r="E39" t="s">
        <v>1771</v>
      </c>
      <c r="G39" s="362" t="s">
        <v>2860</v>
      </c>
      <c r="H39">
        <v>2019</v>
      </c>
      <c r="I39">
        <v>109</v>
      </c>
      <c r="K39" t="s">
        <v>2861</v>
      </c>
      <c r="L39" t="s">
        <v>2853</v>
      </c>
      <c r="O39" s="363">
        <f t="shared" si="1"/>
        <v>0.109</v>
      </c>
      <c r="Q39" s="364">
        <f t="shared" si="0"/>
        <v>1.047841643642063</v>
      </c>
      <c r="T39">
        <v>0.5</v>
      </c>
      <c r="U39" t="s">
        <v>2867</v>
      </c>
      <c r="V39" t="s">
        <v>336</v>
      </c>
    </row>
    <row r="40" spans="1:22" x14ac:dyDescent="0.45">
      <c r="A40" t="s">
        <v>2850</v>
      </c>
      <c r="E40" t="s">
        <v>1771</v>
      </c>
      <c r="G40" s="362" t="s">
        <v>2860</v>
      </c>
      <c r="H40">
        <v>2011</v>
      </c>
      <c r="I40">
        <v>75</v>
      </c>
      <c r="K40" t="s">
        <v>2861</v>
      </c>
      <c r="L40" t="s">
        <v>2853</v>
      </c>
      <c r="O40" s="363">
        <f t="shared" si="1"/>
        <v>7.4999999999999997E-2</v>
      </c>
      <c r="Q40" s="365"/>
      <c r="T40">
        <v>0.5</v>
      </c>
      <c r="U40" t="s">
        <v>2867</v>
      </c>
      <c r="V40" t="s">
        <v>336</v>
      </c>
    </row>
    <row r="41" spans="1:22" x14ac:dyDescent="0.45">
      <c r="A41" t="s">
        <v>2850</v>
      </c>
      <c r="E41" t="s">
        <v>1769</v>
      </c>
      <c r="G41" s="362" t="s">
        <v>2862</v>
      </c>
      <c r="H41">
        <v>2019</v>
      </c>
      <c r="I41">
        <v>37</v>
      </c>
      <c r="K41" t="s">
        <v>2863</v>
      </c>
      <c r="L41" t="s">
        <v>2853</v>
      </c>
      <c r="O41" s="363">
        <f t="shared" si="1"/>
        <v>3.6999999999999998E-2</v>
      </c>
      <c r="Q41" s="364">
        <f t="shared" si="0"/>
        <v>1.0733659239599782</v>
      </c>
      <c r="T41">
        <v>0.5</v>
      </c>
      <c r="U41" t="s">
        <v>2867</v>
      </c>
      <c r="V41" t="s">
        <v>336</v>
      </c>
    </row>
    <row r="42" spans="1:22" x14ac:dyDescent="0.45">
      <c r="A42" t="s">
        <v>2850</v>
      </c>
      <c r="E42" t="s">
        <v>1769</v>
      </c>
      <c r="G42" s="362" t="s">
        <v>2862</v>
      </c>
      <c r="H42">
        <v>2011</v>
      </c>
      <c r="I42">
        <v>21</v>
      </c>
      <c r="K42" t="s">
        <v>2863</v>
      </c>
      <c r="L42" t="s">
        <v>2853</v>
      </c>
      <c r="O42" s="363">
        <f t="shared" si="1"/>
        <v>2.1000000000000001E-2</v>
      </c>
      <c r="Q42" s="365"/>
      <c r="T42">
        <v>0.5</v>
      </c>
      <c r="U42" t="s">
        <v>2867</v>
      </c>
      <c r="V42" t="s">
        <v>336</v>
      </c>
    </row>
    <row r="43" spans="1:22" x14ac:dyDescent="0.45">
      <c r="A43" t="s">
        <v>2850</v>
      </c>
      <c r="E43" t="s">
        <v>1767</v>
      </c>
      <c r="G43" s="362" t="s">
        <v>2864</v>
      </c>
      <c r="H43">
        <v>2019</v>
      </c>
      <c r="I43">
        <v>1</v>
      </c>
      <c r="K43" t="s">
        <v>2865</v>
      </c>
      <c r="L43" t="s">
        <v>2853</v>
      </c>
      <c r="O43" s="363">
        <f t="shared" si="1"/>
        <v>1E-3</v>
      </c>
      <c r="Q43" s="364">
        <f t="shared" si="0"/>
        <v>0.67951205356792799</v>
      </c>
      <c r="T43">
        <v>0.5</v>
      </c>
      <c r="U43" t="s">
        <v>2867</v>
      </c>
      <c r="V43" t="s">
        <v>336</v>
      </c>
    </row>
    <row r="44" spans="1:22" x14ac:dyDescent="0.45">
      <c r="A44" t="s">
        <v>2850</v>
      </c>
      <c r="E44" t="s">
        <v>1767</v>
      </c>
      <c r="G44" s="362" t="s">
        <v>2864</v>
      </c>
      <c r="H44">
        <v>2011</v>
      </c>
      <c r="I44">
        <v>22</v>
      </c>
      <c r="K44" t="s">
        <v>2865</v>
      </c>
      <c r="L44" t="s">
        <v>2853</v>
      </c>
      <c r="O44" s="363">
        <f t="shared" si="1"/>
        <v>2.1999999999999999E-2</v>
      </c>
      <c r="Q44" s="365"/>
      <c r="T44">
        <v>0.5</v>
      </c>
      <c r="U44" t="s">
        <v>2867</v>
      </c>
      <c r="V44" t="s">
        <v>336</v>
      </c>
    </row>
    <row r="45" spans="1:22" x14ac:dyDescent="0.45">
      <c r="A45" t="s">
        <v>2850</v>
      </c>
      <c r="E45" t="s">
        <v>1779</v>
      </c>
      <c r="G45" s="362" t="s">
        <v>2851</v>
      </c>
      <c r="H45">
        <v>2019</v>
      </c>
      <c r="I45">
        <v>71</v>
      </c>
      <c r="K45" t="s">
        <v>2852</v>
      </c>
      <c r="L45" t="s">
        <v>2853</v>
      </c>
      <c r="O45" s="363">
        <f t="shared" si="1"/>
        <v>7.0999999999999994E-2</v>
      </c>
      <c r="Q45" s="364">
        <f>IFERROR((I45/I46)^(1/(H45-H46)), "")</f>
        <v>0.98519238249426366</v>
      </c>
      <c r="T45">
        <v>1</v>
      </c>
      <c r="U45" t="s">
        <v>2868</v>
      </c>
      <c r="V45" t="s">
        <v>806</v>
      </c>
    </row>
    <row r="46" spans="1:22" x14ac:dyDescent="0.45">
      <c r="A46" t="s">
        <v>2850</v>
      </c>
      <c r="E46" t="s">
        <v>1779</v>
      </c>
      <c r="G46" s="362" t="s">
        <v>2851</v>
      </c>
      <c r="H46">
        <v>2011</v>
      </c>
      <c r="I46">
        <v>80</v>
      </c>
      <c r="K46" t="s">
        <v>2852</v>
      </c>
      <c r="L46" t="s">
        <v>2853</v>
      </c>
      <c r="O46" s="363">
        <f t="shared" si="1"/>
        <v>0.08</v>
      </c>
      <c r="Q46" s="364"/>
      <c r="T46">
        <v>1</v>
      </c>
      <c r="U46" t="s">
        <v>2868</v>
      </c>
      <c r="V46" t="s">
        <v>806</v>
      </c>
    </row>
    <row r="47" spans="1:22" x14ac:dyDescent="0.45">
      <c r="A47" t="s">
        <v>2850</v>
      </c>
      <c r="E47" t="s">
        <v>1777</v>
      </c>
      <c r="G47" s="362" t="s">
        <v>2854</v>
      </c>
      <c r="H47">
        <v>2019</v>
      </c>
      <c r="I47">
        <v>166</v>
      </c>
      <c r="K47" t="s">
        <v>2855</v>
      </c>
      <c r="L47" t="s">
        <v>2853</v>
      </c>
      <c r="O47" s="363">
        <f t="shared" si="1"/>
        <v>0.16600000000000001</v>
      </c>
      <c r="Q47" s="364">
        <f>IFERROR((I47/I48)^(1/(H47-H48)), "")</f>
        <v>0.99557149880084939</v>
      </c>
      <c r="R47" s="364"/>
      <c r="T47">
        <v>1</v>
      </c>
      <c r="U47" t="s">
        <v>2868</v>
      </c>
      <c r="V47" t="s">
        <v>806</v>
      </c>
    </row>
    <row r="48" spans="1:22" x14ac:dyDescent="0.45">
      <c r="A48" t="s">
        <v>2850</v>
      </c>
      <c r="E48" t="s">
        <v>1777</v>
      </c>
      <c r="G48" s="362" t="s">
        <v>2854</v>
      </c>
      <c r="H48">
        <v>2011</v>
      </c>
      <c r="I48">
        <v>172</v>
      </c>
      <c r="K48" t="s">
        <v>2855</v>
      </c>
      <c r="L48" t="s">
        <v>2853</v>
      </c>
      <c r="O48" s="363">
        <f t="shared" si="1"/>
        <v>0.17199999999999999</v>
      </c>
      <c r="Q48" s="364"/>
      <c r="T48">
        <v>1</v>
      </c>
      <c r="U48" t="s">
        <v>2868</v>
      </c>
      <c r="V48" t="s">
        <v>806</v>
      </c>
    </row>
    <row r="49" spans="1:22" x14ac:dyDescent="0.45">
      <c r="A49" t="s">
        <v>2850</v>
      </c>
      <c r="E49" t="s">
        <v>1775</v>
      </c>
      <c r="G49" s="362" t="s">
        <v>2856</v>
      </c>
      <c r="H49">
        <v>2019</v>
      </c>
      <c r="I49">
        <v>168</v>
      </c>
      <c r="K49" t="s">
        <v>2857</v>
      </c>
      <c r="L49" t="s">
        <v>2853</v>
      </c>
      <c r="O49" s="363">
        <f t="shared" si="1"/>
        <v>0.16800000000000001</v>
      </c>
      <c r="Q49" s="364">
        <f>IFERROR((I49/I50)^(1/(H49-H50)), "")</f>
        <v>0.96097516195175681</v>
      </c>
      <c r="T49">
        <v>1</v>
      </c>
      <c r="U49" t="s">
        <v>2868</v>
      </c>
      <c r="V49" t="s">
        <v>806</v>
      </c>
    </row>
    <row r="50" spans="1:22" x14ac:dyDescent="0.45">
      <c r="A50" t="s">
        <v>2850</v>
      </c>
      <c r="E50" t="s">
        <v>1775</v>
      </c>
      <c r="G50" s="362" t="s">
        <v>2856</v>
      </c>
      <c r="H50">
        <v>2011</v>
      </c>
      <c r="I50">
        <v>231</v>
      </c>
      <c r="K50" t="s">
        <v>2857</v>
      </c>
      <c r="L50" t="s">
        <v>2853</v>
      </c>
      <c r="O50" s="363">
        <f t="shared" si="1"/>
        <v>0.23100000000000001</v>
      </c>
      <c r="Q50"/>
      <c r="T50">
        <v>1</v>
      </c>
      <c r="U50" t="s">
        <v>2868</v>
      </c>
      <c r="V50" t="s">
        <v>806</v>
      </c>
    </row>
    <row r="51" spans="1:22" x14ac:dyDescent="0.45">
      <c r="A51" t="s">
        <v>2850</v>
      </c>
      <c r="E51" t="s">
        <v>1773</v>
      </c>
      <c r="G51" s="362" t="s">
        <v>2858</v>
      </c>
      <c r="H51">
        <v>2019</v>
      </c>
      <c r="I51">
        <v>184</v>
      </c>
      <c r="K51" t="s">
        <v>2859</v>
      </c>
      <c r="L51" t="s">
        <v>2853</v>
      </c>
      <c r="O51" s="363">
        <f t="shared" si="1"/>
        <v>0.184</v>
      </c>
      <c r="Q51" s="364">
        <f>IFERROR((I51/I52)^(1/(H51-H52)), "")</f>
        <v>0.97462752637206918</v>
      </c>
      <c r="T51">
        <v>1</v>
      </c>
      <c r="U51" t="s">
        <v>2868</v>
      </c>
      <c r="V51" t="s">
        <v>806</v>
      </c>
    </row>
    <row r="52" spans="1:22" x14ac:dyDescent="0.45">
      <c r="A52" t="s">
        <v>2850</v>
      </c>
      <c r="E52" t="s">
        <v>1773</v>
      </c>
      <c r="G52" s="362" t="s">
        <v>2858</v>
      </c>
      <c r="H52">
        <v>2011</v>
      </c>
      <c r="I52">
        <v>226</v>
      </c>
      <c r="K52" t="s">
        <v>2859</v>
      </c>
      <c r="L52" t="s">
        <v>2853</v>
      </c>
      <c r="O52" s="363">
        <f t="shared" si="1"/>
        <v>0.22600000000000001</v>
      </c>
      <c r="Q52"/>
      <c r="T52">
        <v>1</v>
      </c>
      <c r="U52" t="s">
        <v>2868</v>
      </c>
      <c r="V52" t="s">
        <v>806</v>
      </c>
    </row>
    <row r="53" spans="1:22" x14ac:dyDescent="0.45">
      <c r="A53" t="s">
        <v>2850</v>
      </c>
      <c r="E53" t="s">
        <v>1771</v>
      </c>
      <c r="G53" s="362" t="s">
        <v>2860</v>
      </c>
      <c r="H53">
        <v>2019</v>
      </c>
      <c r="I53">
        <v>128</v>
      </c>
      <c r="K53" t="s">
        <v>2861</v>
      </c>
      <c r="L53" t="s">
        <v>2853</v>
      </c>
      <c r="O53" s="363">
        <f t="shared" si="1"/>
        <v>0.128</v>
      </c>
      <c r="Q53" s="364">
        <f>IFERROR((I53/I54)^(1/(H53-H54)), "")</f>
        <v>0.97794587092241492</v>
      </c>
      <c r="T53">
        <v>1</v>
      </c>
      <c r="U53" t="s">
        <v>2868</v>
      </c>
      <c r="V53" t="s">
        <v>806</v>
      </c>
    </row>
    <row r="54" spans="1:22" x14ac:dyDescent="0.45">
      <c r="A54" t="s">
        <v>2850</v>
      </c>
      <c r="E54" t="s">
        <v>1771</v>
      </c>
      <c r="G54" s="362" t="s">
        <v>2860</v>
      </c>
      <c r="H54">
        <v>2011</v>
      </c>
      <c r="I54">
        <v>153</v>
      </c>
      <c r="K54" t="s">
        <v>2861</v>
      </c>
      <c r="L54" t="s">
        <v>2853</v>
      </c>
      <c r="O54" s="363">
        <f t="shared" si="1"/>
        <v>0.153</v>
      </c>
      <c r="Q54" s="364"/>
      <c r="T54">
        <v>1</v>
      </c>
      <c r="U54" t="s">
        <v>2868</v>
      </c>
      <c r="V54" t="s">
        <v>806</v>
      </c>
    </row>
    <row r="55" spans="1:22" x14ac:dyDescent="0.45">
      <c r="A55" t="s">
        <v>2850</v>
      </c>
      <c r="E55" t="s">
        <v>1769</v>
      </c>
      <c r="G55" s="362" t="s">
        <v>2862</v>
      </c>
      <c r="H55">
        <v>2019</v>
      </c>
      <c r="I55">
        <v>70</v>
      </c>
      <c r="K55" t="s">
        <v>2863</v>
      </c>
      <c r="L55" t="s">
        <v>2853</v>
      </c>
      <c r="O55" s="363">
        <f t="shared" si="1"/>
        <v>7.0000000000000007E-2</v>
      </c>
      <c r="Q55" s="364">
        <f>IFERROR((I55/I56)^(1/(H55-H56)), "")</f>
        <v>1.0628052671339567</v>
      </c>
      <c r="T55">
        <v>1</v>
      </c>
      <c r="U55" t="s">
        <v>2868</v>
      </c>
      <c r="V55" t="s">
        <v>806</v>
      </c>
    </row>
    <row r="56" spans="1:22" x14ac:dyDescent="0.45">
      <c r="A56" t="s">
        <v>2850</v>
      </c>
      <c r="E56" t="s">
        <v>1769</v>
      </c>
      <c r="G56" s="362" t="s">
        <v>2862</v>
      </c>
      <c r="H56">
        <v>2011</v>
      </c>
      <c r="I56">
        <v>43</v>
      </c>
      <c r="K56" t="s">
        <v>2863</v>
      </c>
      <c r="L56" t="s">
        <v>2853</v>
      </c>
      <c r="O56" s="363">
        <f t="shared" si="1"/>
        <v>4.2999999999999997E-2</v>
      </c>
      <c r="Q56" s="364"/>
      <c r="T56">
        <v>1</v>
      </c>
      <c r="U56" t="s">
        <v>2868</v>
      </c>
      <c r="V56" t="s">
        <v>806</v>
      </c>
    </row>
    <row r="57" spans="1:22" x14ac:dyDescent="0.45">
      <c r="A57" t="s">
        <v>2850</v>
      </c>
      <c r="E57" t="s">
        <v>1767</v>
      </c>
      <c r="G57" s="362" t="s">
        <v>2864</v>
      </c>
      <c r="H57">
        <v>2016</v>
      </c>
      <c r="I57">
        <v>4</v>
      </c>
      <c r="K57" t="s">
        <v>2865</v>
      </c>
      <c r="L57" t="s">
        <v>2853</v>
      </c>
      <c r="O57" s="363">
        <f t="shared" si="1"/>
        <v>4.0000000000000001E-3</v>
      </c>
      <c r="Q57" s="364">
        <f>IFERROR((I57/I58)^(1/(H57-H58)), "")</f>
        <v>0.87055056329612412</v>
      </c>
      <c r="T57">
        <v>1</v>
      </c>
      <c r="U57" t="s">
        <v>2868</v>
      </c>
      <c r="V57" t="s">
        <v>806</v>
      </c>
    </row>
    <row r="58" spans="1:22" x14ac:dyDescent="0.45">
      <c r="A58" t="s">
        <v>2850</v>
      </c>
      <c r="E58" t="s">
        <v>1767</v>
      </c>
      <c r="G58" s="362" t="s">
        <v>2864</v>
      </c>
      <c r="H58">
        <v>2011</v>
      </c>
      <c r="I58">
        <v>8</v>
      </c>
      <c r="K58" t="s">
        <v>2865</v>
      </c>
      <c r="L58" t="s">
        <v>2853</v>
      </c>
      <c r="O58" s="363">
        <f t="shared" si="1"/>
        <v>8.0000000000000002E-3</v>
      </c>
      <c r="Q58" s="364"/>
      <c r="T58">
        <v>1</v>
      </c>
      <c r="U58" t="s">
        <v>2868</v>
      </c>
      <c r="V58" t="s">
        <v>806</v>
      </c>
    </row>
    <row r="59" spans="1:22" x14ac:dyDescent="0.45">
      <c r="A59" t="s">
        <v>2850</v>
      </c>
      <c r="E59" t="s">
        <v>1779</v>
      </c>
      <c r="G59" s="362" t="s">
        <v>2851</v>
      </c>
      <c r="H59">
        <v>2019</v>
      </c>
      <c r="I59">
        <v>204</v>
      </c>
      <c r="K59" t="s">
        <v>2852</v>
      </c>
      <c r="L59" t="s">
        <v>2853</v>
      </c>
      <c r="O59" s="363">
        <f t="shared" si="1"/>
        <v>0.20399999999999999</v>
      </c>
      <c r="Q59" s="364">
        <f>IFERROR((I59/I60)^(1/(H59-H60)), "")</f>
        <v>1.0840037852319913</v>
      </c>
      <c r="R59" s="364"/>
      <c r="T59">
        <v>1</v>
      </c>
      <c r="U59" t="s">
        <v>2869</v>
      </c>
      <c r="V59" t="s">
        <v>2870</v>
      </c>
    </row>
    <row r="60" spans="1:22" x14ac:dyDescent="0.45">
      <c r="A60" t="s">
        <v>2850</v>
      </c>
      <c r="E60" t="s">
        <v>1779</v>
      </c>
      <c r="G60" s="362" t="s">
        <v>2851</v>
      </c>
      <c r="H60">
        <v>2011</v>
      </c>
      <c r="I60">
        <v>107</v>
      </c>
      <c r="K60" t="s">
        <v>2852</v>
      </c>
      <c r="L60" t="s">
        <v>2853</v>
      </c>
      <c r="O60" s="363">
        <f t="shared" si="1"/>
        <v>0.107</v>
      </c>
      <c r="Q60" s="365"/>
      <c r="T60">
        <v>1</v>
      </c>
      <c r="U60" t="s">
        <v>2869</v>
      </c>
      <c r="V60" t="s">
        <v>2870</v>
      </c>
    </row>
    <row r="61" spans="1:22" x14ac:dyDescent="0.45">
      <c r="A61" t="s">
        <v>2850</v>
      </c>
      <c r="E61" t="s">
        <v>1777</v>
      </c>
      <c r="G61" s="362" t="s">
        <v>2854</v>
      </c>
      <c r="H61">
        <v>2019</v>
      </c>
      <c r="I61">
        <v>299</v>
      </c>
      <c r="K61" t="s">
        <v>2855</v>
      </c>
      <c r="L61" t="s">
        <v>2853</v>
      </c>
      <c r="O61" s="363">
        <f t="shared" si="1"/>
        <v>0.29899999999999999</v>
      </c>
      <c r="Q61" s="364">
        <f>IFERROR((I61/I62)^(1/(H61-H62)), "")</f>
        <v>1.0289322483563228</v>
      </c>
      <c r="R61" s="364"/>
      <c r="T61">
        <v>1</v>
      </c>
      <c r="U61" t="s">
        <v>2869</v>
      </c>
      <c r="V61" t="s">
        <v>2870</v>
      </c>
    </row>
    <row r="62" spans="1:22" x14ac:dyDescent="0.45">
      <c r="A62" t="s">
        <v>2850</v>
      </c>
      <c r="E62" t="s">
        <v>1777</v>
      </c>
      <c r="G62" s="362" t="s">
        <v>2854</v>
      </c>
      <c r="H62">
        <v>2011</v>
      </c>
      <c r="I62">
        <v>238</v>
      </c>
      <c r="K62" t="s">
        <v>2855</v>
      </c>
      <c r="L62" t="s">
        <v>2853</v>
      </c>
      <c r="O62" s="363">
        <f t="shared" si="1"/>
        <v>0.23799999999999999</v>
      </c>
      <c r="Q62" s="365"/>
      <c r="T62">
        <v>1</v>
      </c>
      <c r="U62" t="s">
        <v>2869</v>
      </c>
      <c r="V62" t="s">
        <v>2870</v>
      </c>
    </row>
    <row r="63" spans="1:22" x14ac:dyDescent="0.45">
      <c r="A63" t="s">
        <v>2850</v>
      </c>
      <c r="E63" t="s">
        <v>1775</v>
      </c>
      <c r="G63" s="362" t="s">
        <v>2856</v>
      </c>
      <c r="H63">
        <v>2019</v>
      </c>
      <c r="I63">
        <v>278</v>
      </c>
      <c r="K63" t="s">
        <v>2857</v>
      </c>
      <c r="L63" t="s">
        <v>2853</v>
      </c>
      <c r="O63" s="363">
        <f t="shared" si="1"/>
        <v>0.27800000000000002</v>
      </c>
      <c r="Q63" s="364">
        <f>IFERROR((I63/I64)^(1/(H63-H64)), "")</f>
        <v>1.0180133403632152</v>
      </c>
      <c r="R63" s="364"/>
      <c r="T63">
        <v>1</v>
      </c>
      <c r="U63" t="s">
        <v>2869</v>
      </c>
      <c r="V63" t="s">
        <v>2870</v>
      </c>
    </row>
    <row r="64" spans="1:22" x14ac:dyDescent="0.45">
      <c r="A64" t="s">
        <v>2850</v>
      </c>
      <c r="E64" t="s">
        <v>1775</v>
      </c>
      <c r="G64" s="362" t="s">
        <v>2856</v>
      </c>
      <c r="H64">
        <v>2011</v>
      </c>
      <c r="I64">
        <v>241</v>
      </c>
      <c r="K64" t="s">
        <v>2857</v>
      </c>
      <c r="L64" t="s">
        <v>2853</v>
      </c>
      <c r="O64" s="363">
        <f t="shared" si="1"/>
        <v>0.24099999999999999</v>
      </c>
      <c r="Q64" s="365"/>
      <c r="T64">
        <v>1</v>
      </c>
      <c r="U64" t="s">
        <v>2869</v>
      </c>
      <c r="V64" t="s">
        <v>2870</v>
      </c>
    </row>
    <row r="65" spans="1:22" x14ac:dyDescent="0.45">
      <c r="A65" t="s">
        <v>2850</v>
      </c>
      <c r="E65" t="s">
        <v>1773</v>
      </c>
      <c r="G65" s="362" t="s">
        <v>2858</v>
      </c>
      <c r="H65">
        <v>2019</v>
      </c>
      <c r="I65">
        <v>149</v>
      </c>
      <c r="K65" t="s">
        <v>2859</v>
      </c>
      <c r="L65" t="s">
        <v>2853</v>
      </c>
      <c r="O65" s="363">
        <f t="shared" si="1"/>
        <v>0.14899999999999999</v>
      </c>
      <c r="Q65" s="364">
        <f>IFERROR((I65/I66)^(1/(H65-H66)), "")</f>
        <v>0.97530255076662631</v>
      </c>
      <c r="R65" s="364"/>
      <c r="T65">
        <v>1</v>
      </c>
      <c r="U65" t="s">
        <v>2869</v>
      </c>
      <c r="V65" t="s">
        <v>2870</v>
      </c>
    </row>
    <row r="66" spans="1:22" x14ac:dyDescent="0.45">
      <c r="A66" t="s">
        <v>2850</v>
      </c>
      <c r="E66" t="s">
        <v>1773</v>
      </c>
      <c r="G66" s="362" t="s">
        <v>2858</v>
      </c>
      <c r="H66">
        <v>2011</v>
      </c>
      <c r="I66">
        <v>182</v>
      </c>
      <c r="K66" t="s">
        <v>2859</v>
      </c>
      <c r="L66" t="s">
        <v>2853</v>
      </c>
      <c r="O66" s="363">
        <f t="shared" si="1"/>
        <v>0.182</v>
      </c>
      <c r="Q66" s="365"/>
      <c r="T66">
        <v>1</v>
      </c>
      <c r="U66" t="s">
        <v>2869</v>
      </c>
      <c r="V66" t="s">
        <v>2870</v>
      </c>
    </row>
    <row r="67" spans="1:22" x14ac:dyDescent="0.45">
      <c r="A67" t="s">
        <v>2850</v>
      </c>
      <c r="E67" t="s">
        <v>1771</v>
      </c>
      <c r="G67" s="362" t="s">
        <v>2860</v>
      </c>
      <c r="H67">
        <v>2019</v>
      </c>
      <c r="I67">
        <v>112</v>
      </c>
      <c r="K67" t="s">
        <v>2861</v>
      </c>
      <c r="L67" t="s">
        <v>2853</v>
      </c>
      <c r="O67" s="363">
        <f t="shared" si="1"/>
        <v>0.112</v>
      </c>
      <c r="Q67" s="364">
        <f>IFERROR((I67/I68)^(1/(H67-H68)), "")</f>
        <v>0.96907399911139525</v>
      </c>
      <c r="R67" s="364"/>
      <c r="T67">
        <v>1</v>
      </c>
      <c r="U67" t="s">
        <v>2869</v>
      </c>
      <c r="V67" t="s">
        <v>2870</v>
      </c>
    </row>
    <row r="68" spans="1:22" x14ac:dyDescent="0.45">
      <c r="A68" t="s">
        <v>2850</v>
      </c>
      <c r="E68" t="s">
        <v>1771</v>
      </c>
      <c r="G68" s="362" t="s">
        <v>2860</v>
      </c>
      <c r="H68">
        <v>2011</v>
      </c>
      <c r="I68">
        <v>144</v>
      </c>
      <c r="K68" t="s">
        <v>2861</v>
      </c>
      <c r="L68" t="s">
        <v>2853</v>
      </c>
      <c r="O68" s="363">
        <f t="shared" si="1"/>
        <v>0.14399999999999999</v>
      </c>
      <c r="Q68" s="365"/>
      <c r="T68">
        <v>1</v>
      </c>
      <c r="U68" t="s">
        <v>2869</v>
      </c>
      <c r="V68" t="s">
        <v>2870</v>
      </c>
    </row>
    <row r="69" spans="1:22" x14ac:dyDescent="0.45">
      <c r="A69" t="s">
        <v>2850</v>
      </c>
      <c r="E69" t="s">
        <v>1769</v>
      </c>
      <c r="G69" s="362" t="s">
        <v>2862</v>
      </c>
      <c r="H69">
        <v>2016</v>
      </c>
      <c r="I69">
        <v>82</v>
      </c>
      <c r="K69" t="s">
        <v>2863</v>
      </c>
      <c r="L69" t="s">
        <v>2853</v>
      </c>
      <c r="O69" s="363">
        <f t="shared" ref="O69:O132" si="2">IF(I69="","NA",I69/1000)</f>
        <v>8.2000000000000003E-2</v>
      </c>
      <c r="Q69" s="364">
        <f>IFERROR((I69/I70)^(1/(H69-H70)), "")</f>
        <v>1.1325887283887568</v>
      </c>
      <c r="R69" s="364"/>
      <c r="T69">
        <v>1</v>
      </c>
      <c r="U69" t="s">
        <v>2869</v>
      </c>
      <c r="V69" t="s">
        <v>2870</v>
      </c>
    </row>
    <row r="70" spans="1:22" x14ac:dyDescent="0.45">
      <c r="A70" t="s">
        <v>2850</v>
      </c>
      <c r="E70" t="s">
        <v>1769</v>
      </c>
      <c r="G70" s="362" t="s">
        <v>2862</v>
      </c>
      <c r="H70">
        <v>2011</v>
      </c>
      <c r="I70">
        <v>44</v>
      </c>
      <c r="K70" t="s">
        <v>2863</v>
      </c>
      <c r="L70" t="s">
        <v>2853</v>
      </c>
      <c r="O70" s="363">
        <f t="shared" si="2"/>
        <v>4.3999999999999997E-2</v>
      </c>
      <c r="Q70" s="364"/>
      <c r="T70">
        <v>1</v>
      </c>
      <c r="U70" t="s">
        <v>2869</v>
      </c>
      <c r="V70" t="s">
        <v>2870</v>
      </c>
    </row>
    <row r="71" spans="1:22" x14ac:dyDescent="0.45">
      <c r="A71" t="s">
        <v>2850</v>
      </c>
      <c r="E71" t="s">
        <v>1767</v>
      </c>
      <c r="G71" s="362" t="s">
        <v>2864</v>
      </c>
      <c r="H71">
        <v>2016</v>
      </c>
      <c r="I71">
        <v>20</v>
      </c>
      <c r="K71" t="s">
        <v>2865</v>
      </c>
      <c r="L71" t="s">
        <v>2853</v>
      </c>
      <c r="O71" s="363">
        <f t="shared" si="2"/>
        <v>0.02</v>
      </c>
      <c r="Q71" s="364">
        <f>IFERROR((I71/I72)^(1/(H71-H72)), "")</f>
        <v>1.0905077326652577</v>
      </c>
      <c r="R71" s="364"/>
      <c r="T71">
        <v>1</v>
      </c>
      <c r="U71" t="s">
        <v>2869</v>
      </c>
      <c r="V71" t="s">
        <v>2870</v>
      </c>
    </row>
    <row r="72" spans="1:22" x14ac:dyDescent="0.45">
      <c r="A72" t="s">
        <v>2850</v>
      </c>
      <c r="E72" t="s">
        <v>1767</v>
      </c>
      <c r="G72" s="362" t="s">
        <v>2864</v>
      </c>
      <c r="H72">
        <v>2000</v>
      </c>
      <c r="I72" s="366">
        <v>5</v>
      </c>
      <c r="K72" t="s">
        <v>2865</v>
      </c>
      <c r="L72" t="s">
        <v>2853</v>
      </c>
      <c r="O72" s="363">
        <f t="shared" si="2"/>
        <v>5.0000000000000001E-3</v>
      </c>
      <c r="Q72" s="365"/>
      <c r="T72">
        <v>1</v>
      </c>
      <c r="U72" t="s">
        <v>2869</v>
      </c>
      <c r="V72" t="s">
        <v>2870</v>
      </c>
    </row>
    <row r="73" spans="1:22" x14ac:dyDescent="0.45">
      <c r="A73" t="s">
        <v>2850</v>
      </c>
      <c r="E73" t="s">
        <v>1779</v>
      </c>
      <c r="G73" s="362" t="s">
        <v>2851</v>
      </c>
      <c r="H73">
        <v>2019</v>
      </c>
      <c r="I73" s="366">
        <v>42</v>
      </c>
      <c r="K73" t="s">
        <v>2852</v>
      </c>
      <c r="L73" t="s">
        <v>2853</v>
      </c>
      <c r="O73" s="363">
        <f t="shared" si="2"/>
        <v>4.2000000000000003E-2</v>
      </c>
      <c r="Q73" s="364">
        <f>IFERROR((I73/I74)^(1/(H73-H74)), "")</f>
        <v>0.95442088007831283</v>
      </c>
      <c r="R73" s="364"/>
      <c r="T73">
        <v>1</v>
      </c>
      <c r="U73" t="s">
        <v>2871</v>
      </c>
      <c r="V73" t="s">
        <v>805</v>
      </c>
    </row>
    <row r="74" spans="1:22" x14ac:dyDescent="0.45">
      <c r="A74" t="s">
        <v>2850</v>
      </c>
      <c r="E74" t="s">
        <v>1779</v>
      </c>
      <c r="G74" s="362" t="s">
        <v>2851</v>
      </c>
      <c r="H74">
        <v>2011</v>
      </c>
      <c r="I74" s="366">
        <v>61</v>
      </c>
      <c r="K74" t="s">
        <v>2852</v>
      </c>
      <c r="L74" t="s">
        <v>2853</v>
      </c>
      <c r="O74" s="363">
        <f t="shared" si="2"/>
        <v>6.0999999999999999E-2</v>
      </c>
      <c r="Q74" s="365"/>
      <c r="T74">
        <v>1</v>
      </c>
      <c r="U74" t="s">
        <v>2871</v>
      </c>
      <c r="V74" t="s">
        <v>805</v>
      </c>
    </row>
    <row r="75" spans="1:22" x14ac:dyDescent="0.45">
      <c r="A75" t="s">
        <v>2850</v>
      </c>
      <c r="E75" t="s">
        <v>1777</v>
      </c>
      <c r="G75" s="362" t="s">
        <v>2854</v>
      </c>
      <c r="H75">
        <v>2019</v>
      </c>
      <c r="I75" s="366">
        <v>157</v>
      </c>
      <c r="K75" t="s">
        <v>2855</v>
      </c>
      <c r="L75" t="s">
        <v>2853</v>
      </c>
      <c r="O75" s="363">
        <f t="shared" si="2"/>
        <v>0.157</v>
      </c>
      <c r="Q75" s="364">
        <f>IFERROR((I75/I76)^(1/(H75-H76)), "")</f>
        <v>0.96779569432634627</v>
      </c>
      <c r="R75" s="364"/>
      <c r="T75">
        <v>1</v>
      </c>
      <c r="U75" t="s">
        <v>2871</v>
      </c>
      <c r="V75" t="s">
        <v>805</v>
      </c>
    </row>
    <row r="76" spans="1:22" x14ac:dyDescent="0.45">
      <c r="A76" t="s">
        <v>2850</v>
      </c>
      <c r="E76" t="s">
        <v>1777</v>
      </c>
      <c r="G76" s="362" t="s">
        <v>2854</v>
      </c>
      <c r="H76">
        <v>2011</v>
      </c>
      <c r="I76" s="366">
        <v>204</v>
      </c>
      <c r="K76" t="s">
        <v>2855</v>
      </c>
      <c r="L76" t="s">
        <v>2853</v>
      </c>
      <c r="O76" s="363">
        <f t="shared" si="2"/>
        <v>0.20399999999999999</v>
      </c>
      <c r="Q76" s="365"/>
      <c r="T76">
        <v>1</v>
      </c>
      <c r="U76" t="s">
        <v>2871</v>
      </c>
      <c r="V76" t="s">
        <v>805</v>
      </c>
    </row>
    <row r="77" spans="1:22" x14ac:dyDescent="0.45">
      <c r="A77" t="s">
        <v>2850</v>
      </c>
      <c r="E77" t="s">
        <v>1775</v>
      </c>
      <c r="G77" s="362" t="s">
        <v>2856</v>
      </c>
      <c r="H77">
        <v>2019</v>
      </c>
      <c r="I77" s="366">
        <v>195</v>
      </c>
      <c r="K77" t="s">
        <v>2857</v>
      </c>
      <c r="L77" t="s">
        <v>2853</v>
      </c>
      <c r="O77" s="363">
        <f t="shared" si="2"/>
        <v>0.19500000000000001</v>
      </c>
      <c r="Q77" s="364">
        <f>IFERROR((I77/I78)^(1/(H77-H78)), "")</f>
        <v>1.0059240890265411</v>
      </c>
      <c r="R77" s="364"/>
      <c r="T77">
        <v>1</v>
      </c>
      <c r="U77" t="s">
        <v>2871</v>
      </c>
      <c r="V77" t="s">
        <v>805</v>
      </c>
    </row>
    <row r="78" spans="1:22" x14ac:dyDescent="0.45">
      <c r="A78" t="s">
        <v>2850</v>
      </c>
      <c r="E78" t="s">
        <v>1775</v>
      </c>
      <c r="G78" s="362" t="s">
        <v>2856</v>
      </c>
      <c r="H78">
        <v>2011</v>
      </c>
      <c r="I78" s="366">
        <v>186</v>
      </c>
      <c r="K78" t="s">
        <v>2857</v>
      </c>
      <c r="L78" t="s">
        <v>2853</v>
      </c>
      <c r="O78" s="363">
        <f t="shared" si="2"/>
        <v>0.186</v>
      </c>
      <c r="Q78" s="365"/>
      <c r="T78">
        <v>1</v>
      </c>
      <c r="U78" t="s">
        <v>2871</v>
      </c>
      <c r="V78" t="s">
        <v>805</v>
      </c>
    </row>
    <row r="79" spans="1:22" x14ac:dyDescent="0.45">
      <c r="A79" t="s">
        <v>2850</v>
      </c>
      <c r="E79" t="s">
        <v>1773</v>
      </c>
      <c r="G79" s="362" t="s">
        <v>2858</v>
      </c>
      <c r="H79">
        <v>2019</v>
      </c>
      <c r="I79" s="366">
        <v>144</v>
      </c>
      <c r="K79" t="s">
        <v>2859</v>
      </c>
      <c r="L79" t="s">
        <v>2853</v>
      </c>
      <c r="O79" s="363">
        <f t="shared" si="2"/>
        <v>0.14399999999999999</v>
      </c>
      <c r="Q79" s="364">
        <f>IFERROR((I79/I80)^(1/(H79-H80)), "")</f>
        <v>0.99164270513184261</v>
      </c>
      <c r="R79" s="364"/>
      <c r="T79">
        <v>1</v>
      </c>
      <c r="U79" t="s">
        <v>2871</v>
      </c>
      <c r="V79" t="s">
        <v>805</v>
      </c>
    </row>
    <row r="80" spans="1:22" x14ac:dyDescent="0.45">
      <c r="A80" t="s">
        <v>2850</v>
      </c>
      <c r="E80" t="s">
        <v>1773</v>
      </c>
      <c r="G80" s="362" t="s">
        <v>2858</v>
      </c>
      <c r="H80">
        <v>2011</v>
      </c>
      <c r="I80" s="366">
        <v>154</v>
      </c>
      <c r="K80" t="s">
        <v>2859</v>
      </c>
      <c r="L80" t="s">
        <v>2853</v>
      </c>
      <c r="O80" s="363">
        <f t="shared" si="2"/>
        <v>0.154</v>
      </c>
      <c r="Q80" s="365"/>
      <c r="T80">
        <v>1</v>
      </c>
      <c r="U80" t="s">
        <v>2871</v>
      </c>
      <c r="V80" t="s">
        <v>805</v>
      </c>
    </row>
    <row r="81" spans="1:22" x14ac:dyDescent="0.45">
      <c r="A81" t="s">
        <v>2850</v>
      </c>
      <c r="E81" t="s">
        <v>1771</v>
      </c>
      <c r="G81" s="362" t="s">
        <v>2860</v>
      </c>
      <c r="H81">
        <v>2019</v>
      </c>
      <c r="I81" s="366">
        <v>118</v>
      </c>
      <c r="K81" t="s">
        <v>2861</v>
      </c>
      <c r="L81" t="s">
        <v>2853</v>
      </c>
      <c r="O81" s="363">
        <f t="shared" si="2"/>
        <v>0.11799999999999999</v>
      </c>
      <c r="Q81" s="364">
        <f>IFERROR((I81/I82)^(1/(H81-H82)), "")</f>
        <v>0.98151101994666412</v>
      </c>
      <c r="R81" s="364"/>
      <c r="T81">
        <v>1</v>
      </c>
      <c r="U81" t="s">
        <v>2871</v>
      </c>
      <c r="V81" t="s">
        <v>805</v>
      </c>
    </row>
    <row r="82" spans="1:22" x14ac:dyDescent="0.45">
      <c r="A82" t="s">
        <v>2850</v>
      </c>
      <c r="E82" t="s">
        <v>1771</v>
      </c>
      <c r="G82" s="362" t="s">
        <v>2860</v>
      </c>
      <c r="H82">
        <v>2011</v>
      </c>
      <c r="I82" s="366">
        <v>137</v>
      </c>
      <c r="K82" t="s">
        <v>2861</v>
      </c>
      <c r="L82" t="s">
        <v>2853</v>
      </c>
      <c r="O82" s="363">
        <f t="shared" si="2"/>
        <v>0.13700000000000001</v>
      </c>
      <c r="Q82" s="365"/>
      <c r="T82">
        <v>1</v>
      </c>
      <c r="U82" t="s">
        <v>2871</v>
      </c>
      <c r="V82" t="s">
        <v>805</v>
      </c>
    </row>
    <row r="83" spans="1:22" x14ac:dyDescent="0.45">
      <c r="A83" t="s">
        <v>2850</v>
      </c>
      <c r="E83" t="s">
        <v>1769</v>
      </c>
      <c r="G83" s="362" t="s">
        <v>2862</v>
      </c>
      <c r="H83">
        <v>2019</v>
      </c>
      <c r="I83" s="366">
        <v>46</v>
      </c>
      <c r="K83" t="s">
        <v>2863</v>
      </c>
      <c r="L83" t="s">
        <v>2853</v>
      </c>
      <c r="O83" s="363">
        <f t="shared" si="2"/>
        <v>4.5999999999999999E-2</v>
      </c>
      <c r="Q83" s="364">
        <f>IFERROR((I83/I84)^(1/(H83-H84)), "")</f>
        <v>0.95231607419425801</v>
      </c>
      <c r="R83" s="364"/>
      <c r="T83">
        <v>1</v>
      </c>
      <c r="U83" t="s">
        <v>2871</v>
      </c>
      <c r="V83" t="s">
        <v>805</v>
      </c>
    </row>
    <row r="84" spans="1:22" x14ac:dyDescent="0.45">
      <c r="A84" t="s">
        <v>2850</v>
      </c>
      <c r="E84" t="s">
        <v>1769</v>
      </c>
      <c r="G84" s="362" t="s">
        <v>2862</v>
      </c>
      <c r="H84">
        <v>2011</v>
      </c>
      <c r="I84" s="366">
        <v>68</v>
      </c>
      <c r="K84" t="s">
        <v>2863</v>
      </c>
      <c r="L84" t="s">
        <v>2853</v>
      </c>
      <c r="O84" s="363">
        <f t="shared" si="2"/>
        <v>6.8000000000000005E-2</v>
      </c>
      <c r="Q84" s="364"/>
      <c r="T84">
        <v>1</v>
      </c>
      <c r="U84" t="s">
        <v>2871</v>
      </c>
      <c r="V84" t="s">
        <v>805</v>
      </c>
    </row>
    <row r="85" spans="1:22" x14ac:dyDescent="0.45">
      <c r="A85" t="s">
        <v>2850</v>
      </c>
      <c r="E85" t="s">
        <v>1767</v>
      </c>
      <c r="G85" s="362" t="s">
        <v>2864</v>
      </c>
      <c r="H85">
        <v>2016</v>
      </c>
      <c r="I85" s="366">
        <v>27</v>
      </c>
      <c r="K85" t="s">
        <v>2865</v>
      </c>
      <c r="L85" t="s">
        <v>2853</v>
      </c>
      <c r="O85" s="363">
        <f t="shared" si="2"/>
        <v>2.7E-2</v>
      </c>
      <c r="Q85" s="364">
        <f>IFERROR((I85/I86)^(1/(H85-H86)), "")</f>
        <v>1.0618587587949346</v>
      </c>
      <c r="T85">
        <v>1</v>
      </c>
      <c r="U85" t="s">
        <v>2871</v>
      </c>
      <c r="V85" t="s">
        <v>805</v>
      </c>
    </row>
    <row r="86" spans="1:22" x14ac:dyDescent="0.45">
      <c r="A86" t="s">
        <v>2850</v>
      </c>
      <c r="E86" t="s">
        <v>1767</v>
      </c>
      <c r="G86" s="362" t="s">
        <v>2864</v>
      </c>
      <c r="H86">
        <v>2011</v>
      </c>
      <c r="I86" s="366">
        <v>20</v>
      </c>
      <c r="K86" t="s">
        <v>2865</v>
      </c>
      <c r="L86" t="s">
        <v>2853</v>
      </c>
      <c r="O86" s="363">
        <f t="shared" si="2"/>
        <v>0.02</v>
      </c>
      <c r="Q86" s="365"/>
      <c r="T86">
        <v>1</v>
      </c>
      <c r="U86" t="s">
        <v>2871</v>
      </c>
      <c r="V86" t="s">
        <v>805</v>
      </c>
    </row>
    <row r="87" spans="1:22" x14ac:dyDescent="0.45">
      <c r="A87" t="s">
        <v>2850</v>
      </c>
      <c r="E87" t="s">
        <v>1779</v>
      </c>
      <c r="G87" s="362" t="s">
        <v>2851</v>
      </c>
      <c r="H87">
        <v>2019</v>
      </c>
      <c r="I87" s="366">
        <v>89</v>
      </c>
      <c r="K87" t="s">
        <v>2852</v>
      </c>
      <c r="L87" t="s">
        <v>2853</v>
      </c>
      <c r="O87" s="363">
        <f t="shared" si="2"/>
        <v>8.8999999999999996E-2</v>
      </c>
      <c r="Q87" s="364">
        <f>IFERROR((I87/I88)^(1/(H87-H88)), "")</f>
        <v>0.97723897298610929</v>
      </c>
      <c r="R87" s="364"/>
      <c r="T87">
        <v>1</v>
      </c>
      <c r="U87" t="s">
        <v>2872</v>
      </c>
      <c r="V87" t="s">
        <v>809</v>
      </c>
    </row>
    <row r="88" spans="1:22" x14ac:dyDescent="0.45">
      <c r="A88" t="s">
        <v>2850</v>
      </c>
      <c r="E88" t="s">
        <v>1779</v>
      </c>
      <c r="G88" s="362" t="s">
        <v>2851</v>
      </c>
      <c r="H88">
        <v>2011</v>
      </c>
      <c r="I88" s="366">
        <v>107</v>
      </c>
      <c r="K88" t="s">
        <v>2852</v>
      </c>
      <c r="L88" t="s">
        <v>2853</v>
      </c>
      <c r="O88" s="363">
        <f t="shared" si="2"/>
        <v>0.107</v>
      </c>
      <c r="Q88" s="365"/>
      <c r="T88">
        <v>1</v>
      </c>
      <c r="U88" t="s">
        <v>2872</v>
      </c>
      <c r="V88" t="s">
        <v>809</v>
      </c>
    </row>
    <row r="89" spans="1:22" x14ac:dyDescent="0.45">
      <c r="A89" t="s">
        <v>2850</v>
      </c>
      <c r="E89" t="s">
        <v>1777</v>
      </c>
      <c r="G89" s="362" t="s">
        <v>2854</v>
      </c>
      <c r="H89">
        <v>2019</v>
      </c>
      <c r="I89" s="366">
        <v>235</v>
      </c>
      <c r="K89" t="s">
        <v>2855</v>
      </c>
      <c r="L89" t="s">
        <v>2853</v>
      </c>
      <c r="O89" s="363">
        <f t="shared" si="2"/>
        <v>0.23499999999999999</v>
      </c>
      <c r="Q89" s="364">
        <f>IFERROR((I89/I90)^(1/(H89-H90)), "")</f>
        <v>0.99685353311678415</v>
      </c>
      <c r="R89" s="364"/>
      <c r="T89">
        <v>1</v>
      </c>
      <c r="U89" t="s">
        <v>2872</v>
      </c>
      <c r="V89" t="s">
        <v>809</v>
      </c>
    </row>
    <row r="90" spans="1:22" x14ac:dyDescent="0.45">
      <c r="A90" t="s">
        <v>2850</v>
      </c>
      <c r="E90" t="s">
        <v>1777</v>
      </c>
      <c r="G90" s="362" t="s">
        <v>2854</v>
      </c>
      <c r="H90">
        <v>2011</v>
      </c>
      <c r="I90" s="366">
        <v>241</v>
      </c>
      <c r="K90" t="s">
        <v>2855</v>
      </c>
      <c r="L90" t="s">
        <v>2853</v>
      </c>
      <c r="O90" s="363">
        <f t="shared" si="2"/>
        <v>0.24099999999999999</v>
      </c>
      <c r="Q90" s="365"/>
      <c r="T90">
        <v>1</v>
      </c>
      <c r="U90" t="s">
        <v>2872</v>
      </c>
      <c r="V90" t="s">
        <v>809</v>
      </c>
    </row>
    <row r="91" spans="1:22" x14ac:dyDescent="0.45">
      <c r="A91" t="s">
        <v>2850</v>
      </c>
      <c r="E91" t="s">
        <v>1775</v>
      </c>
      <c r="G91" s="362" t="s">
        <v>2856</v>
      </c>
      <c r="H91">
        <v>2019</v>
      </c>
      <c r="I91" s="366">
        <v>205</v>
      </c>
      <c r="K91" t="s">
        <v>2857</v>
      </c>
      <c r="L91" t="s">
        <v>2853</v>
      </c>
      <c r="O91" s="363">
        <f t="shared" si="2"/>
        <v>0.20499999999999999</v>
      </c>
      <c r="Q91" s="364">
        <f>IFERROR((I91/I92)^(1/(H91-H92)), "")</f>
        <v>0.95923160261985096</v>
      </c>
      <c r="R91" s="364"/>
      <c r="T91">
        <v>1</v>
      </c>
      <c r="U91" t="s">
        <v>2872</v>
      </c>
      <c r="V91" t="s">
        <v>809</v>
      </c>
    </row>
    <row r="92" spans="1:22" x14ac:dyDescent="0.45">
      <c r="A92" t="s">
        <v>2850</v>
      </c>
      <c r="E92" t="s">
        <v>1775</v>
      </c>
      <c r="G92" s="362" t="s">
        <v>2856</v>
      </c>
      <c r="H92">
        <v>2011</v>
      </c>
      <c r="I92" s="366">
        <v>286</v>
      </c>
      <c r="K92" t="s">
        <v>2857</v>
      </c>
      <c r="L92" t="s">
        <v>2853</v>
      </c>
      <c r="O92" s="363">
        <f t="shared" si="2"/>
        <v>0.28599999999999998</v>
      </c>
      <c r="Q92" s="365"/>
      <c r="T92">
        <v>1</v>
      </c>
      <c r="U92" t="s">
        <v>2872</v>
      </c>
      <c r="V92" t="s">
        <v>809</v>
      </c>
    </row>
    <row r="93" spans="1:22" x14ac:dyDescent="0.45">
      <c r="A93" t="s">
        <v>2850</v>
      </c>
      <c r="E93" t="s">
        <v>1773</v>
      </c>
      <c r="G93" s="362" t="s">
        <v>2858</v>
      </c>
      <c r="H93">
        <v>2019</v>
      </c>
      <c r="I93" s="366">
        <v>163</v>
      </c>
      <c r="K93" t="s">
        <v>2859</v>
      </c>
      <c r="L93" t="s">
        <v>2853</v>
      </c>
      <c r="O93" s="363">
        <f t="shared" si="2"/>
        <v>0.16300000000000001</v>
      </c>
      <c r="Q93" s="364">
        <f>IFERROR((I93/I94)^(1/(H93-H94)), "")</f>
        <v>0.96266330219938556</v>
      </c>
      <c r="R93" s="364"/>
      <c r="T93">
        <v>1</v>
      </c>
      <c r="U93" t="s">
        <v>2872</v>
      </c>
      <c r="V93" t="s">
        <v>809</v>
      </c>
    </row>
    <row r="94" spans="1:22" x14ac:dyDescent="0.45">
      <c r="A94" t="s">
        <v>2850</v>
      </c>
      <c r="E94" t="s">
        <v>1773</v>
      </c>
      <c r="G94" s="362" t="s">
        <v>2858</v>
      </c>
      <c r="H94">
        <v>2011</v>
      </c>
      <c r="I94" s="366">
        <v>221</v>
      </c>
      <c r="K94" t="s">
        <v>2859</v>
      </c>
      <c r="L94" t="s">
        <v>2853</v>
      </c>
      <c r="O94" s="363">
        <f t="shared" si="2"/>
        <v>0.221</v>
      </c>
      <c r="Q94" s="365"/>
      <c r="T94">
        <v>1</v>
      </c>
      <c r="U94" t="s">
        <v>2872</v>
      </c>
      <c r="V94" t="s">
        <v>809</v>
      </c>
    </row>
    <row r="95" spans="1:22" x14ac:dyDescent="0.45">
      <c r="A95" t="s">
        <v>2850</v>
      </c>
      <c r="E95" t="s">
        <v>1771</v>
      </c>
      <c r="G95" s="362" t="s">
        <v>2860</v>
      </c>
      <c r="H95">
        <v>2019</v>
      </c>
      <c r="I95" s="366">
        <v>113</v>
      </c>
      <c r="K95" t="s">
        <v>2861</v>
      </c>
      <c r="L95" t="s">
        <v>2853</v>
      </c>
      <c r="O95" s="363">
        <f t="shared" si="2"/>
        <v>0.113</v>
      </c>
      <c r="Q95" s="364">
        <f>IFERROR((I95/I96)^(1/(H95-H96)), "")</f>
        <v>0.95745816617065971</v>
      </c>
      <c r="R95" s="364"/>
      <c r="T95">
        <v>1</v>
      </c>
      <c r="U95" t="s">
        <v>2872</v>
      </c>
      <c r="V95" t="s">
        <v>809</v>
      </c>
    </row>
    <row r="96" spans="1:22" x14ac:dyDescent="0.45">
      <c r="A96" t="s">
        <v>2850</v>
      </c>
      <c r="E96" t="s">
        <v>1771</v>
      </c>
      <c r="G96" s="362" t="s">
        <v>2860</v>
      </c>
      <c r="H96">
        <v>2011</v>
      </c>
      <c r="I96" s="366">
        <v>160</v>
      </c>
      <c r="K96" t="s">
        <v>2861</v>
      </c>
      <c r="L96" t="s">
        <v>2853</v>
      </c>
      <c r="O96" s="363">
        <f t="shared" si="2"/>
        <v>0.16</v>
      </c>
      <c r="Q96" s="365"/>
      <c r="T96">
        <v>1</v>
      </c>
      <c r="U96" t="s">
        <v>2872</v>
      </c>
      <c r="V96" t="s">
        <v>809</v>
      </c>
    </row>
    <row r="97" spans="1:22" x14ac:dyDescent="0.45">
      <c r="A97" t="s">
        <v>2850</v>
      </c>
      <c r="E97" t="s">
        <v>1769</v>
      </c>
      <c r="G97" s="362" t="s">
        <v>2862</v>
      </c>
      <c r="H97">
        <v>2019</v>
      </c>
      <c r="I97" s="366">
        <v>54</v>
      </c>
      <c r="K97" t="s">
        <v>2863</v>
      </c>
      <c r="L97" t="s">
        <v>2853</v>
      </c>
      <c r="O97" s="363">
        <f t="shared" si="2"/>
        <v>5.3999999999999999E-2</v>
      </c>
      <c r="Q97" s="364">
        <f>IFERROR((I97/I98)^(1/(H97-H98)), "")</f>
        <v>0.95976865458264549</v>
      </c>
      <c r="R97" s="364"/>
      <c r="T97">
        <v>1</v>
      </c>
      <c r="U97" t="s">
        <v>2872</v>
      </c>
      <c r="V97" t="s">
        <v>809</v>
      </c>
    </row>
    <row r="98" spans="1:22" x14ac:dyDescent="0.45">
      <c r="A98" t="s">
        <v>2850</v>
      </c>
      <c r="E98" t="s">
        <v>1769</v>
      </c>
      <c r="G98" s="362" t="s">
        <v>2862</v>
      </c>
      <c r="H98">
        <v>2011</v>
      </c>
      <c r="I98" s="366">
        <v>75</v>
      </c>
      <c r="K98" t="s">
        <v>2863</v>
      </c>
      <c r="L98" t="s">
        <v>2853</v>
      </c>
      <c r="O98" s="363">
        <f t="shared" si="2"/>
        <v>7.4999999999999997E-2</v>
      </c>
      <c r="Q98" s="364"/>
      <c r="T98">
        <v>1</v>
      </c>
      <c r="U98" t="s">
        <v>2872</v>
      </c>
      <c r="V98" t="s">
        <v>809</v>
      </c>
    </row>
    <row r="99" spans="1:22" x14ac:dyDescent="0.45">
      <c r="A99" t="s">
        <v>2850</v>
      </c>
      <c r="E99" t="s">
        <v>1767</v>
      </c>
      <c r="G99" s="362" t="s">
        <v>2864</v>
      </c>
      <c r="H99">
        <v>2016</v>
      </c>
      <c r="I99" s="366">
        <v>25</v>
      </c>
      <c r="K99" t="s">
        <v>2865</v>
      </c>
      <c r="L99" t="s">
        <v>2853</v>
      </c>
      <c r="O99" s="363">
        <f t="shared" si="2"/>
        <v>2.5000000000000001E-2</v>
      </c>
      <c r="Q99" s="364">
        <f>IFERROR((I99/I100)^(1/(H99-H100)), "")</f>
        <v>0.92458673196759678</v>
      </c>
      <c r="T99">
        <v>1</v>
      </c>
      <c r="U99" t="s">
        <v>2872</v>
      </c>
      <c r="V99" t="s">
        <v>809</v>
      </c>
    </row>
    <row r="100" spans="1:22" x14ac:dyDescent="0.45">
      <c r="A100" t="s">
        <v>2850</v>
      </c>
      <c r="E100" t="s">
        <v>1767</v>
      </c>
      <c r="G100" s="362" t="s">
        <v>2864</v>
      </c>
      <c r="H100">
        <v>2011</v>
      </c>
      <c r="I100" s="366">
        <v>37</v>
      </c>
      <c r="K100" t="s">
        <v>2865</v>
      </c>
      <c r="L100" t="s">
        <v>2853</v>
      </c>
      <c r="O100" s="363">
        <f t="shared" si="2"/>
        <v>3.6999999999999998E-2</v>
      </c>
      <c r="Q100" s="365"/>
      <c r="T100">
        <v>1</v>
      </c>
      <c r="U100" t="s">
        <v>2872</v>
      </c>
      <c r="V100" t="s">
        <v>809</v>
      </c>
    </row>
    <row r="101" spans="1:22" x14ac:dyDescent="0.45">
      <c r="A101" t="s">
        <v>2850</v>
      </c>
      <c r="E101" t="s">
        <v>1779</v>
      </c>
      <c r="G101" s="362" t="s">
        <v>2851</v>
      </c>
      <c r="H101">
        <v>2019</v>
      </c>
      <c r="I101" s="366">
        <v>95</v>
      </c>
      <c r="K101" t="s">
        <v>2852</v>
      </c>
      <c r="L101" t="s">
        <v>2853</v>
      </c>
      <c r="O101" s="363">
        <f t="shared" si="2"/>
        <v>9.5000000000000001E-2</v>
      </c>
      <c r="Q101" s="364">
        <f>IFERROR((I101/I102)^(1/(H101-H102)), "")</f>
        <v>0.97429891282911052</v>
      </c>
      <c r="R101" s="364"/>
      <c r="T101">
        <v>1</v>
      </c>
      <c r="U101" t="s">
        <v>2873</v>
      </c>
      <c r="V101" t="s">
        <v>2874</v>
      </c>
    </row>
    <row r="102" spans="1:22" x14ac:dyDescent="0.45">
      <c r="A102" t="s">
        <v>2850</v>
      </c>
      <c r="E102" t="s">
        <v>1779</v>
      </c>
      <c r="G102" s="362" t="s">
        <v>2851</v>
      </c>
      <c r="H102">
        <v>2011</v>
      </c>
      <c r="I102" s="366">
        <v>117</v>
      </c>
      <c r="K102" t="s">
        <v>2852</v>
      </c>
      <c r="L102" t="s">
        <v>2853</v>
      </c>
      <c r="O102" s="363">
        <f t="shared" si="2"/>
        <v>0.11700000000000001</v>
      </c>
      <c r="Q102" s="365"/>
      <c r="T102">
        <v>1</v>
      </c>
      <c r="U102" t="s">
        <v>2873</v>
      </c>
      <c r="V102" t="s">
        <v>2874</v>
      </c>
    </row>
    <row r="103" spans="1:22" x14ac:dyDescent="0.45">
      <c r="A103" t="s">
        <v>2850</v>
      </c>
      <c r="E103" t="s">
        <v>1777</v>
      </c>
      <c r="G103" s="362" t="s">
        <v>2854</v>
      </c>
      <c r="H103">
        <v>2019</v>
      </c>
      <c r="I103" s="366">
        <v>264</v>
      </c>
      <c r="K103" t="s">
        <v>2855</v>
      </c>
      <c r="L103" t="s">
        <v>2853</v>
      </c>
      <c r="O103" s="363">
        <f t="shared" si="2"/>
        <v>0.26400000000000001</v>
      </c>
      <c r="Q103" s="364">
        <f>IFERROR((I103/I104)^(1/(H103-H104)), "")</f>
        <v>0.98373852368882952</v>
      </c>
      <c r="R103" s="364"/>
      <c r="T103">
        <v>1</v>
      </c>
      <c r="U103" t="s">
        <v>2873</v>
      </c>
      <c r="V103" t="s">
        <v>2874</v>
      </c>
    </row>
    <row r="104" spans="1:22" x14ac:dyDescent="0.45">
      <c r="A104" t="s">
        <v>2850</v>
      </c>
      <c r="E104" t="s">
        <v>1777</v>
      </c>
      <c r="G104" s="362" t="s">
        <v>2854</v>
      </c>
      <c r="H104">
        <v>2011</v>
      </c>
      <c r="I104" s="366">
        <v>301</v>
      </c>
      <c r="K104" t="s">
        <v>2855</v>
      </c>
      <c r="L104" t="s">
        <v>2853</v>
      </c>
      <c r="O104" s="363">
        <f t="shared" si="2"/>
        <v>0.30099999999999999</v>
      </c>
      <c r="Q104" s="365"/>
      <c r="T104">
        <v>1</v>
      </c>
      <c r="U104" t="s">
        <v>2873</v>
      </c>
      <c r="V104" t="s">
        <v>2874</v>
      </c>
    </row>
    <row r="105" spans="1:22" x14ac:dyDescent="0.45">
      <c r="A105" t="s">
        <v>2850</v>
      </c>
      <c r="E105" t="s">
        <v>1775</v>
      </c>
      <c r="G105" s="362" t="s">
        <v>2856</v>
      </c>
      <c r="H105">
        <v>2019</v>
      </c>
      <c r="I105" s="366">
        <v>274</v>
      </c>
      <c r="K105" t="s">
        <v>2857</v>
      </c>
      <c r="L105" t="s">
        <v>2853</v>
      </c>
      <c r="O105" s="363">
        <f t="shared" si="2"/>
        <v>0.27400000000000002</v>
      </c>
      <c r="Q105" s="364">
        <f>IFERROR((I105/I106)^(1/(H105-H106)), "")</f>
        <v>0.98078784072945902</v>
      </c>
      <c r="R105" s="364"/>
      <c r="T105">
        <v>1</v>
      </c>
      <c r="U105" t="s">
        <v>2873</v>
      </c>
      <c r="V105" t="s">
        <v>2874</v>
      </c>
    </row>
    <row r="106" spans="1:22" x14ac:dyDescent="0.45">
      <c r="A106" t="s">
        <v>2850</v>
      </c>
      <c r="E106" t="s">
        <v>1775</v>
      </c>
      <c r="G106" s="362" t="s">
        <v>2856</v>
      </c>
      <c r="H106">
        <v>2011</v>
      </c>
      <c r="I106" s="366">
        <v>320</v>
      </c>
      <c r="K106" t="s">
        <v>2857</v>
      </c>
      <c r="L106" t="s">
        <v>2853</v>
      </c>
      <c r="O106" s="363">
        <f t="shared" si="2"/>
        <v>0.32</v>
      </c>
      <c r="Q106" s="365"/>
      <c r="T106">
        <v>1</v>
      </c>
      <c r="U106" t="s">
        <v>2873</v>
      </c>
      <c r="V106" t="s">
        <v>2874</v>
      </c>
    </row>
    <row r="107" spans="1:22" x14ac:dyDescent="0.45">
      <c r="A107" t="s">
        <v>2850</v>
      </c>
      <c r="E107" t="s">
        <v>1773</v>
      </c>
      <c r="G107" s="362" t="s">
        <v>2858</v>
      </c>
      <c r="H107">
        <v>2019</v>
      </c>
      <c r="I107" s="366">
        <v>243</v>
      </c>
      <c r="K107" t="s">
        <v>2859</v>
      </c>
      <c r="L107" t="s">
        <v>2853</v>
      </c>
      <c r="O107" s="363">
        <f t="shared" si="2"/>
        <v>0.24299999999999999</v>
      </c>
      <c r="Q107" s="364">
        <f>IFERROR((I107/I108)^(1/(H107-H108)), "")</f>
        <v>0.97319510609944904</v>
      </c>
      <c r="R107" s="364"/>
      <c r="T107">
        <v>1</v>
      </c>
      <c r="U107" t="s">
        <v>2873</v>
      </c>
      <c r="V107" t="s">
        <v>2874</v>
      </c>
    </row>
    <row r="108" spans="1:22" x14ac:dyDescent="0.45">
      <c r="A108" t="s">
        <v>2850</v>
      </c>
      <c r="E108" t="s">
        <v>1773</v>
      </c>
      <c r="G108" s="362" t="s">
        <v>2858</v>
      </c>
      <c r="H108">
        <v>2011</v>
      </c>
      <c r="I108" s="366">
        <v>302</v>
      </c>
      <c r="K108" t="s">
        <v>2859</v>
      </c>
      <c r="L108" t="s">
        <v>2853</v>
      </c>
      <c r="O108" s="363">
        <f t="shared" si="2"/>
        <v>0.30199999999999999</v>
      </c>
      <c r="Q108" s="365"/>
      <c r="T108">
        <v>1</v>
      </c>
      <c r="U108" t="s">
        <v>2873</v>
      </c>
      <c r="V108" t="s">
        <v>2874</v>
      </c>
    </row>
    <row r="109" spans="1:22" x14ac:dyDescent="0.45">
      <c r="A109" t="s">
        <v>2850</v>
      </c>
      <c r="E109" t="s">
        <v>1771</v>
      </c>
      <c r="G109" s="362" t="s">
        <v>2860</v>
      </c>
      <c r="H109">
        <v>2019</v>
      </c>
      <c r="I109" s="366">
        <v>194</v>
      </c>
      <c r="K109" t="s">
        <v>2861</v>
      </c>
      <c r="L109" t="s">
        <v>2853</v>
      </c>
      <c r="O109" s="363">
        <f t="shared" si="2"/>
        <v>0.19400000000000001</v>
      </c>
      <c r="Q109" s="364">
        <f>IFERROR((I109/I110)^(1/(H109-H110)), "")</f>
        <v>1.0012961877055229</v>
      </c>
      <c r="R109" s="364"/>
      <c r="T109">
        <v>1</v>
      </c>
      <c r="U109" t="s">
        <v>2873</v>
      </c>
      <c r="V109" t="s">
        <v>2874</v>
      </c>
    </row>
    <row r="110" spans="1:22" x14ac:dyDescent="0.45">
      <c r="A110" t="s">
        <v>2850</v>
      </c>
      <c r="E110" t="s">
        <v>1771</v>
      </c>
      <c r="G110" s="362" t="s">
        <v>2860</v>
      </c>
      <c r="H110">
        <v>2011</v>
      </c>
      <c r="I110" s="366">
        <v>192</v>
      </c>
      <c r="K110" t="s">
        <v>2861</v>
      </c>
      <c r="L110" t="s">
        <v>2853</v>
      </c>
      <c r="O110" s="363">
        <f t="shared" si="2"/>
        <v>0.192</v>
      </c>
      <c r="Q110" s="365"/>
      <c r="T110">
        <v>1</v>
      </c>
      <c r="U110" t="s">
        <v>2873</v>
      </c>
      <c r="V110" t="s">
        <v>2874</v>
      </c>
    </row>
    <row r="111" spans="1:22" x14ac:dyDescent="0.45">
      <c r="A111" t="s">
        <v>2850</v>
      </c>
      <c r="E111" t="s">
        <v>1769</v>
      </c>
      <c r="G111" s="362" t="s">
        <v>2862</v>
      </c>
      <c r="H111">
        <v>2016</v>
      </c>
      <c r="I111" s="366">
        <v>85</v>
      </c>
      <c r="K111" t="s">
        <v>2863</v>
      </c>
      <c r="L111" t="s">
        <v>2853</v>
      </c>
      <c r="O111" s="363">
        <f t="shared" si="2"/>
        <v>8.5000000000000006E-2</v>
      </c>
      <c r="Q111" s="364">
        <f>IFERROR((I111/I112)^(1/(H111-H112)), "")</f>
        <v>0.8974561003782201</v>
      </c>
      <c r="T111">
        <v>1</v>
      </c>
      <c r="U111" t="s">
        <v>2873</v>
      </c>
      <c r="V111" t="s">
        <v>2874</v>
      </c>
    </row>
    <row r="112" spans="1:22" x14ac:dyDescent="0.45">
      <c r="A112" t="s">
        <v>2850</v>
      </c>
      <c r="E112" t="s">
        <v>1769</v>
      </c>
      <c r="G112" s="362" t="s">
        <v>2862</v>
      </c>
      <c r="H112">
        <v>2011</v>
      </c>
      <c r="I112" s="366">
        <v>146</v>
      </c>
      <c r="K112" t="s">
        <v>2863</v>
      </c>
      <c r="L112" t="s">
        <v>2853</v>
      </c>
      <c r="O112" s="363">
        <f t="shared" si="2"/>
        <v>0.14599999999999999</v>
      </c>
      <c r="Q112" s="365"/>
      <c r="T112">
        <v>1</v>
      </c>
      <c r="U112" t="s">
        <v>2873</v>
      </c>
      <c r="V112" t="s">
        <v>2874</v>
      </c>
    </row>
    <row r="113" spans="1:22" x14ac:dyDescent="0.45">
      <c r="A113" t="s">
        <v>2850</v>
      </c>
      <c r="E113" t="s">
        <v>1767</v>
      </c>
      <c r="G113" s="362" t="s">
        <v>2864</v>
      </c>
      <c r="H113">
        <v>2016</v>
      </c>
      <c r="I113" s="366">
        <v>0</v>
      </c>
      <c r="K113" t="s">
        <v>2875</v>
      </c>
      <c r="L113" t="s">
        <v>2853</v>
      </c>
      <c r="O113" s="363">
        <f t="shared" si="2"/>
        <v>0</v>
      </c>
      <c r="Q113" s="365">
        <v>1</v>
      </c>
      <c r="T113">
        <v>1</v>
      </c>
      <c r="U113" t="s">
        <v>2873</v>
      </c>
      <c r="V113" t="s">
        <v>2874</v>
      </c>
    </row>
    <row r="114" spans="1:22" x14ac:dyDescent="0.45">
      <c r="A114" t="s">
        <v>2850</v>
      </c>
      <c r="E114" t="s">
        <v>1779</v>
      </c>
      <c r="G114" s="362" t="s">
        <v>2851</v>
      </c>
      <c r="H114">
        <v>2019</v>
      </c>
      <c r="I114" s="366">
        <v>73</v>
      </c>
      <c r="K114" t="s">
        <v>2852</v>
      </c>
      <c r="L114" t="s">
        <v>2853</v>
      </c>
      <c r="O114" s="363">
        <f t="shared" si="2"/>
        <v>7.2999999999999995E-2</v>
      </c>
      <c r="Q114" s="364">
        <f>IFERROR((I114/I115)^(1/(H114-H115)), "")</f>
        <v>0.92100707936104054</v>
      </c>
      <c r="R114" s="364"/>
      <c r="T114">
        <v>1</v>
      </c>
      <c r="U114" t="s">
        <v>2876</v>
      </c>
      <c r="V114" t="s">
        <v>2877</v>
      </c>
    </row>
    <row r="115" spans="1:22" x14ac:dyDescent="0.45">
      <c r="A115" t="s">
        <v>2850</v>
      </c>
      <c r="E115" t="s">
        <v>1779</v>
      </c>
      <c r="G115" s="362" t="s">
        <v>2851</v>
      </c>
      <c r="H115">
        <v>2011</v>
      </c>
      <c r="I115" s="366">
        <v>141</v>
      </c>
      <c r="K115" t="s">
        <v>2852</v>
      </c>
      <c r="L115" t="s">
        <v>2853</v>
      </c>
      <c r="O115" s="363">
        <f t="shared" si="2"/>
        <v>0.14099999999999999</v>
      </c>
      <c r="Q115" s="365"/>
      <c r="T115">
        <v>1</v>
      </c>
      <c r="U115" t="s">
        <v>2876</v>
      </c>
      <c r="V115" t="s">
        <v>2877</v>
      </c>
    </row>
    <row r="116" spans="1:22" x14ac:dyDescent="0.45">
      <c r="A116" t="s">
        <v>2850</v>
      </c>
      <c r="E116" t="s">
        <v>1777</v>
      </c>
      <c r="G116" s="362" t="s">
        <v>2854</v>
      </c>
      <c r="H116">
        <v>2019</v>
      </c>
      <c r="I116" s="366">
        <v>248</v>
      </c>
      <c r="K116" t="s">
        <v>2855</v>
      </c>
      <c r="L116" t="s">
        <v>2853</v>
      </c>
      <c r="O116" s="363">
        <f t="shared" si="2"/>
        <v>0.248</v>
      </c>
      <c r="Q116" s="364">
        <f>IFERROR((I116/I117)^(1/(H116-H117)), "")</f>
        <v>1.0122403503324773</v>
      </c>
      <c r="R116" s="364"/>
      <c r="T116">
        <v>1</v>
      </c>
      <c r="U116" t="s">
        <v>2876</v>
      </c>
      <c r="V116" t="s">
        <v>2877</v>
      </c>
    </row>
    <row r="117" spans="1:22" x14ac:dyDescent="0.45">
      <c r="A117" t="s">
        <v>2850</v>
      </c>
      <c r="E117" t="s">
        <v>1777</v>
      </c>
      <c r="G117" s="362" t="s">
        <v>2854</v>
      </c>
      <c r="H117">
        <v>2011</v>
      </c>
      <c r="I117" s="366">
        <v>225</v>
      </c>
      <c r="K117" t="s">
        <v>2855</v>
      </c>
      <c r="L117" t="s">
        <v>2853</v>
      </c>
      <c r="O117" s="363">
        <f t="shared" si="2"/>
        <v>0.22500000000000001</v>
      </c>
      <c r="Q117" s="365"/>
      <c r="T117">
        <v>1</v>
      </c>
      <c r="U117" t="s">
        <v>2876</v>
      </c>
      <c r="V117" t="s">
        <v>2877</v>
      </c>
    </row>
    <row r="118" spans="1:22" x14ac:dyDescent="0.45">
      <c r="A118" t="s">
        <v>2850</v>
      </c>
      <c r="E118" t="s">
        <v>1775</v>
      </c>
      <c r="G118" s="362" t="s">
        <v>2856</v>
      </c>
      <c r="H118">
        <v>2019</v>
      </c>
      <c r="I118" s="366">
        <v>214</v>
      </c>
      <c r="K118" t="s">
        <v>2857</v>
      </c>
      <c r="L118" t="s">
        <v>2853</v>
      </c>
      <c r="O118" s="363">
        <f t="shared" si="2"/>
        <v>0.214</v>
      </c>
      <c r="Q118" s="364">
        <f>IFERROR((I118/I119)^(1/(H118-H119)), "")</f>
        <v>0.99102758280210379</v>
      </c>
      <c r="R118" s="364"/>
      <c r="T118">
        <v>1</v>
      </c>
      <c r="U118" t="s">
        <v>2876</v>
      </c>
      <c r="V118" t="s">
        <v>2877</v>
      </c>
    </row>
    <row r="119" spans="1:22" x14ac:dyDescent="0.45">
      <c r="A119" t="s">
        <v>2850</v>
      </c>
      <c r="E119" t="s">
        <v>1775</v>
      </c>
      <c r="G119" s="362" t="s">
        <v>2856</v>
      </c>
      <c r="H119">
        <v>2011</v>
      </c>
      <c r="I119" s="366">
        <v>230</v>
      </c>
      <c r="K119" t="s">
        <v>2857</v>
      </c>
      <c r="L119" t="s">
        <v>2853</v>
      </c>
      <c r="O119" s="363">
        <f t="shared" si="2"/>
        <v>0.23</v>
      </c>
      <c r="Q119" s="365"/>
      <c r="T119">
        <v>1</v>
      </c>
      <c r="U119" t="s">
        <v>2876</v>
      </c>
      <c r="V119" t="s">
        <v>2877</v>
      </c>
    </row>
    <row r="120" spans="1:22" x14ac:dyDescent="0.45">
      <c r="A120" t="s">
        <v>2850</v>
      </c>
      <c r="E120" t="s">
        <v>1773</v>
      </c>
      <c r="G120" s="362" t="s">
        <v>2858</v>
      </c>
      <c r="H120">
        <v>2019</v>
      </c>
      <c r="I120" s="366">
        <v>169</v>
      </c>
      <c r="K120" t="s">
        <v>2859</v>
      </c>
      <c r="L120" t="s">
        <v>2853</v>
      </c>
      <c r="O120" s="363">
        <f t="shared" si="2"/>
        <v>0.16900000000000001</v>
      </c>
      <c r="Q120" s="364">
        <f>IFERROR((I120/I121)^(1/(H120-H121)), "")</f>
        <v>0.96812252252223585</v>
      </c>
      <c r="R120" s="364"/>
      <c r="T120">
        <v>1</v>
      </c>
      <c r="U120" t="s">
        <v>2876</v>
      </c>
      <c r="V120" t="s">
        <v>2877</v>
      </c>
    </row>
    <row r="121" spans="1:22" x14ac:dyDescent="0.45">
      <c r="A121" t="s">
        <v>2850</v>
      </c>
      <c r="E121" t="s">
        <v>1773</v>
      </c>
      <c r="G121" s="362" t="s">
        <v>2858</v>
      </c>
      <c r="H121">
        <v>2011</v>
      </c>
      <c r="I121" s="366">
        <v>219</v>
      </c>
      <c r="K121" t="s">
        <v>2859</v>
      </c>
      <c r="L121" t="s">
        <v>2853</v>
      </c>
      <c r="O121" s="363">
        <f t="shared" si="2"/>
        <v>0.219</v>
      </c>
      <c r="Q121" s="365"/>
      <c r="T121">
        <v>1</v>
      </c>
      <c r="U121" t="s">
        <v>2876</v>
      </c>
      <c r="V121" t="s">
        <v>2877</v>
      </c>
    </row>
    <row r="122" spans="1:22" x14ac:dyDescent="0.45">
      <c r="A122" t="s">
        <v>2850</v>
      </c>
      <c r="E122" t="s">
        <v>1771</v>
      </c>
      <c r="G122" s="362" t="s">
        <v>2860</v>
      </c>
      <c r="H122">
        <v>2019</v>
      </c>
      <c r="I122" s="366">
        <v>127</v>
      </c>
      <c r="K122" t="s">
        <v>2861</v>
      </c>
      <c r="L122" t="s">
        <v>2853</v>
      </c>
      <c r="O122" s="363">
        <f t="shared" si="2"/>
        <v>0.127</v>
      </c>
      <c r="Q122" s="364">
        <f>IFERROR((I122/I123)^(1/(H122-H123)), "")</f>
        <v>0.99902008324967195</v>
      </c>
      <c r="R122" s="364"/>
      <c r="T122">
        <v>1</v>
      </c>
      <c r="U122" t="s">
        <v>2876</v>
      </c>
      <c r="V122" t="s">
        <v>2877</v>
      </c>
    </row>
    <row r="123" spans="1:22" x14ac:dyDescent="0.45">
      <c r="A123" t="s">
        <v>2850</v>
      </c>
      <c r="E123" t="s">
        <v>1771</v>
      </c>
      <c r="G123" s="362" t="s">
        <v>2860</v>
      </c>
      <c r="H123">
        <v>2011</v>
      </c>
      <c r="I123" s="366">
        <v>128</v>
      </c>
      <c r="K123" t="s">
        <v>2861</v>
      </c>
      <c r="L123" t="s">
        <v>2853</v>
      </c>
      <c r="O123" s="363">
        <f t="shared" si="2"/>
        <v>0.128</v>
      </c>
      <c r="Q123" s="365"/>
      <c r="T123">
        <v>1</v>
      </c>
      <c r="U123" t="s">
        <v>2876</v>
      </c>
      <c r="V123" t="s">
        <v>2877</v>
      </c>
    </row>
    <row r="124" spans="1:22" x14ac:dyDescent="0.45">
      <c r="A124" t="s">
        <v>2850</v>
      </c>
      <c r="E124" t="s">
        <v>1769</v>
      </c>
      <c r="G124" s="362" t="s">
        <v>2862</v>
      </c>
      <c r="H124">
        <v>2019</v>
      </c>
      <c r="I124" s="366">
        <v>66</v>
      </c>
      <c r="K124" t="s">
        <v>2863</v>
      </c>
      <c r="L124" t="s">
        <v>2853</v>
      </c>
      <c r="O124" s="363">
        <f t="shared" si="2"/>
        <v>6.6000000000000003E-2</v>
      </c>
      <c r="Q124" s="364">
        <f>IFERROR((I124/I125)^(1/(H124-H125)), "")</f>
        <v>0.98747846761616642</v>
      </c>
      <c r="R124" s="364"/>
      <c r="T124">
        <v>1</v>
      </c>
      <c r="U124" t="s">
        <v>2876</v>
      </c>
      <c r="V124" t="s">
        <v>2877</v>
      </c>
    </row>
    <row r="125" spans="1:22" x14ac:dyDescent="0.45">
      <c r="A125" t="s">
        <v>2850</v>
      </c>
      <c r="E125" t="s">
        <v>1769</v>
      </c>
      <c r="G125" s="362" t="s">
        <v>2862</v>
      </c>
      <c r="H125">
        <v>2011</v>
      </c>
      <c r="I125" s="366">
        <v>73</v>
      </c>
      <c r="K125" t="s">
        <v>2863</v>
      </c>
      <c r="L125" t="s">
        <v>2853</v>
      </c>
      <c r="O125" s="363">
        <f t="shared" si="2"/>
        <v>7.2999999999999995E-2</v>
      </c>
      <c r="Q125" s="365"/>
      <c r="T125">
        <v>1</v>
      </c>
      <c r="U125" t="s">
        <v>2876</v>
      </c>
      <c r="V125" t="s">
        <v>2877</v>
      </c>
    </row>
    <row r="126" spans="1:22" x14ac:dyDescent="0.45">
      <c r="A126" t="s">
        <v>2850</v>
      </c>
      <c r="E126" t="s">
        <v>1767</v>
      </c>
      <c r="G126" s="362" t="s">
        <v>2864</v>
      </c>
      <c r="H126">
        <v>2011</v>
      </c>
      <c r="I126" s="366">
        <v>22</v>
      </c>
      <c r="K126" t="s">
        <v>2865</v>
      </c>
      <c r="L126" t="s">
        <v>2853</v>
      </c>
      <c r="O126" s="363">
        <f t="shared" si="2"/>
        <v>2.1999999999999999E-2</v>
      </c>
      <c r="Q126" s="364">
        <v>1</v>
      </c>
      <c r="T126">
        <v>1</v>
      </c>
      <c r="U126" t="s">
        <v>2876</v>
      </c>
      <c r="V126" t="s">
        <v>2877</v>
      </c>
    </row>
    <row r="127" spans="1:22" x14ac:dyDescent="0.45">
      <c r="A127" t="s">
        <v>2850</v>
      </c>
      <c r="E127" t="s">
        <v>1779</v>
      </c>
      <c r="G127" s="362" t="s">
        <v>2851</v>
      </c>
      <c r="H127">
        <v>2019</v>
      </c>
      <c r="I127" s="366">
        <v>73</v>
      </c>
      <c r="K127" t="s">
        <v>2852</v>
      </c>
      <c r="L127" t="s">
        <v>2853</v>
      </c>
      <c r="O127" s="363">
        <f t="shared" si="2"/>
        <v>7.2999999999999995E-2</v>
      </c>
      <c r="Q127" s="364">
        <f>IFERROR((I127/I128)^(1/(H127-H128)), "")</f>
        <v>1.0146147881626517</v>
      </c>
      <c r="R127" s="364"/>
      <c r="T127">
        <v>1</v>
      </c>
      <c r="U127" t="s">
        <v>2878</v>
      </c>
      <c r="V127" t="s">
        <v>2879</v>
      </c>
    </row>
    <row r="128" spans="1:22" x14ac:dyDescent="0.45">
      <c r="A128" t="s">
        <v>2850</v>
      </c>
      <c r="E128" t="s">
        <v>1779</v>
      </c>
      <c r="G128" s="362" t="s">
        <v>2851</v>
      </c>
      <c r="H128">
        <v>2011</v>
      </c>
      <c r="I128" s="366">
        <v>65</v>
      </c>
      <c r="K128" t="s">
        <v>2852</v>
      </c>
      <c r="L128" t="s">
        <v>2853</v>
      </c>
      <c r="O128" s="363">
        <f t="shared" si="2"/>
        <v>6.5000000000000002E-2</v>
      </c>
      <c r="Q128" s="365"/>
      <c r="T128">
        <v>1</v>
      </c>
      <c r="U128" t="s">
        <v>2878</v>
      </c>
      <c r="V128" t="s">
        <v>2879</v>
      </c>
    </row>
    <row r="129" spans="1:22" x14ac:dyDescent="0.45">
      <c r="A129" t="s">
        <v>2850</v>
      </c>
      <c r="E129" t="s">
        <v>1777</v>
      </c>
      <c r="G129" s="362" t="s">
        <v>2854</v>
      </c>
      <c r="H129">
        <v>2019</v>
      </c>
      <c r="I129" s="366">
        <v>181</v>
      </c>
      <c r="K129" t="s">
        <v>2855</v>
      </c>
      <c r="L129" t="s">
        <v>2853</v>
      </c>
      <c r="O129" s="363">
        <f t="shared" si="2"/>
        <v>0.18099999999999999</v>
      </c>
      <c r="Q129" s="364">
        <f>IFERROR((I129/I130)^(1/(H129-H130)), "")</f>
        <v>1.0020913689895239</v>
      </c>
      <c r="R129" s="364"/>
      <c r="T129">
        <v>1</v>
      </c>
      <c r="U129" t="s">
        <v>2878</v>
      </c>
      <c r="V129" t="s">
        <v>2879</v>
      </c>
    </row>
    <row r="130" spans="1:22" x14ac:dyDescent="0.45">
      <c r="A130" t="s">
        <v>2850</v>
      </c>
      <c r="E130" t="s">
        <v>1777</v>
      </c>
      <c r="G130" s="362" t="s">
        <v>2854</v>
      </c>
      <c r="H130">
        <v>2011</v>
      </c>
      <c r="I130" s="366">
        <v>178</v>
      </c>
      <c r="K130" t="s">
        <v>2855</v>
      </c>
      <c r="L130" t="s">
        <v>2853</v>
      </c>
      <c r="O130" s="363">
        <f t="shared" si="2"/>
        <v>0.17799999999999999</v>
      </c>
      <c r="Q130" s="365"/>
      <c r="T130">
        <v>1</v>
      </c>
      <c r="U130" t="s">
        <v>2878</v>
      </c>
      <c r="V130" t="s">
        <v>2879</v>
      </c>
    </row>
    <row r="131" spans="1:22" x14ac:dyDescent="0.45">
      <c r="A131" t="s">
        <v>2850</v>
      </c>
      <c r="E131" t="s">
        <v>1775</v>
      </c>
      <c r="G131" s="362" t="s">
        <v>2856</v>
      </c>
      <c r="H131">
        <v>2019</v>
      </c>
      <c r="I131" s="366">
        <v>214</v>
      </c>
      <c r="K131" t="s">
        <v>2857</v>
      </c>
      <c r="L131" t="s">
        <v>2853</v>
      </c>
      <c r="O131" s="363">
        <f t="shared" si="2"/>
        <v>0.214</v>
      </c>
      <c r="Q131" s="364">
        <f>IFERROR((I131/I132)^(1/(H131-H132)), "")</f>
        <v>0.98124352348206356</v>
      </c>
      <c r="R131" s="364"/>
      <c r="T131">
        <v>1</v>
      </c>
      <c r="U131" t="s">
        <v>2878</v>
      </c>
      <c r="V131" t="s">
        <v>2879</v>
      </c>
    </row>
    <row r="132" spans="1:22" x14ac:dyDescent="0.45">
      <c r="A132" t="s">
        <v>2850</v>
      </c>
      <c r="E132" t="s">
        <v>1775</v>
      </c>
      <c r="G132" s="362" t="s">
        <v>2856</v>
      </c>
      <c r="H132">
        <v>2011</v>
      </c>
      <c r="I132" s="366">
        <v>249</v>
      </c>
      <c r="K132" t="s">
        <v>2857</v>
      </c>
      <c r="L132" t="s">
        <v>2853</v>
      </c>
      <c r="O132" s="363">
        <f t="shared" si="2"/>
        <v>0.249</v>
      </c>
      <c r="Q132" s="365"/>
      <c r="T132">
        <v>1</v>
      </c>
      <c r="U132" t="s">
        <v>2878</v>
      </c>
      <c r="V132" t="s">
        <v>2879</v>
      </c>
    </row>
    <row r="133" spans="1:22" x14ac:dyDescent="0.45">
      <c r="A133" t="s">
        <v>2850</v>
      </c>
      <c r="E133" t="s">
        <v>1773</v>
      </c>
      <c r="G133" s="362" t="s">
        <v>2858</v>
      </c>
      <c r="H133">
        <v>2019</v>
      </c>
      <c r="I133" s="366">
        <v>161</v>
      </c>
      <c r="K133" t="s">
        <v>2859</v>
      </c>
      <c r="L133" t="s">
        <v>2853</v>
      </c>
      <c r="O133" s="363">
        <f t="shared" ref="O133:O193" si="3">IF(I133="","NA",I133/1000)</f>
        <v>0.161</v>
      </c>
      <c r="Q133" s="364">
        <f>IFERROR((I133/I134)^(1/(H133-H134)), "")</f>
        <v>0.96733259669911176</v>
      </c>
      <c r="R133" s="364"/>
      <c r="T133">
        <v>1</v>
      </c>
      <c r="U133" t="s">
        <v>2878</v>
      </c>
      <c r="V133" t="s">
        <v>2879</v>
      </c>
    </row>
    <row r="134" spans="1:22" x14ac:dyDescent="0.45">
      <c r="A134" t="s">
        <v>2850</v>
      </c>
      <c r="E134" t="s">
        <v>1773</v>
      </c>
      <c r="G134" s="362" t="s">
        <v>2858</v>
      </c>
      <c r="H134">
        <v>2011</v>
      </c>
      <c r="I134" s="366">
        <v>210</v>
      </c>
      <c r="K134" t="s">
        <v>2859</v>
      </c>
      <c r="L134" t="s">
        <v>2853</v>
      </c>
      <c r="O134" s="363">
        <f t="shared" si="3"/>
        <v>0.21</v>
      </c>
      <c r="Q134" s="365"/>
      <c r="T134">
        <v>1</v>
      </c>
      <c r="U134" t="s">
        <v>2878</v>
      </c>
      <c r="V134" t="s">
        <v>2879</v>
      </c>
    </row>
    <row r="135" spans="1:22" x14ac:dyDescent="0.45">
      <c r="A135" t="s">
        <v>2850</v>
      </c>
      <c r="E135" t="s">
        <v>1771</v>
      </c>
      <c r="G135" s="362" t="s">
        <v>2860</v>
      </c>
      <c r="H135">
        <v>2019</v>
      </c>
      <c r="I135" s="366">
        <v>130</v>
      </c>
      <c r="K135" t="s">
        <v>2861</v>
      </c>
      <c r="L135" t="s">
        <v>2853</v>
      </c>
      <c r="O135" s="363">
        <f t="shared" si="3"/>
        <v>0.13</v>
      </c>
      <c r="Q135" s="364">
        <f>IFERROR((I135/I136)^(1/(H135-H136)), "")</f>
        <v>0.97437901304265118</v>
      </c>
      <c r="R135" s="364"/>
      <c r="T135">
        <v>1</v>
      </c>
      <c r="U135" t="s">
        <v>2878</v>
      </c>
      <c r="V135" t="s">
        <v>2879</v>
      </c>
    </row>
    <row r="136" spans="1:22" x14ac:dyDescent="0.45">
      <c r="A136" t="s">
        <v>2850</v>
      </c>
      <c r="E136" t="s">
        <v>1771</v>
      </c>
      <c r="G136" s="362" t="s">
        <v>2860</v>
      </c>
      <c r="H136">
        <v>2011</v>
      </c>
      <c r="I136" s="366">
        <v>160</v>
      </c>
      <c r="K136" t="s">
        <v>2861</v>
      </c>
      <c r="L136" t="s">
        <v>2853</v>
      </c>
      <c r="O136" s="363">
        <f t="shared" si="3"/>
        <v>0.16</v>
      </c>
      <c r="Q136" s="365"/>
      <c r="T136">
        <v>1</v>
      </c>
      <c r="U136" t="s">
        <v>2878</v>
      </c>
      <c r="V136" t="s">
        <v>2879</v>
      </c>
    </row>
    <row r="137" spans="1:22" x14ac:dyDescent="0.45">
      <c r="A137" t="s">
        <v>2850</v>
      </c>
      <c r="E137" t="s">
        <v>1769</v>
      </c>
      <c r="G137" s="362" t="s">
        <v>2862</v>
      </c>
      <c r="H137">
        <v>2019</v>
      </c>
      <c r="I137" s="366">
        <v>38</v>
      </c>
      <c r="K137" t="s">
        <v>2863</v>
      </c>
      <c r="L137" t="s">
        <v>2853</v>
      </c>
      <c r="O137" s="363">
        <f t="shared" si="3"/>
        <v>3.7999999999999999E-2</v>
      </c>
      <c r="Q137" s="364">
        <f>IFERROR((I137/I138)^(1/(H137-H138)), "")</f>
        <v>0.91852354154919258</v>
      </c>
      <c r="R137" s="364"/>
      <c r="T137">
        <v>1</v>
      </c>
      <c r="U137" t="s">
        <v>2878</v>
      </c>
      <c r="V137" t="s">
        <v>2879</v>
      </c>
    </row>
    <row r="138" spans="1:22" x14ac:dyDescent="0.45">
      <c r="A138" t="s">
        <v>2850</v>
      </c>
      <c r="E138" t="s">
        <v>1769</v>
      </c>
      <c r="G138" s="362" t="s">
        <v>2862</v>
      </c>
      <c r="H138">
        <v>2011</v>
      </c>
      <c r="I138" s="366">
        <v>75</v>
      </c>
      <c r="K138" t="s">
        <v>2863</v>
      </c>
      <c r="L138" t="s">
        <v>2853</v>
      </c>
      <c r="O138" s="363">
        <f t="shared" si="3"/>
        <v>7.4999999999999997E-2</v>
      </c>
      <c r="Q138" s="364"/>
      <c r="T138">
        <v>1</v>
      </c>
      <c r="U138" t="s">
        <v>2878</v>
      </c>
      <c r="V138" t="s">
        <v>2879</v>
      </c>
    </row>
    <row r="139" spans="1:22" x14ac:dyDescent="0.45">
      <c r="A139" t="s">
        <v>2850</v>
      </c>
      <c r="E139" t="s">
        <v>1767</v>
      </c>
      <c r="G139" s="362" t="s">
        <v>2864</v>
      </c>
      <c r="H139">
        <v>2016</v>
      </c>
      <c r="I139" s="366">
        <v>27</v>
      </c>
      <c r="K139" t="s">
        <v>2865</v>
      </c>
      <c r="L139" t="s">
        <v>2853</v>
      </c>
      <c r="O139" s="363">
        <f t="shared" si="3"/>
        <v>2.7E-2</v>
      </c>
      <c r="Q139" s="364">
        <f>IFERROR((I139/I140)^(1/(H139-H140)), "")</f>
        <v>0.92909437646256021</v>
      </c>
      <c r="T139">
        <v>1</v>
      </c>
      <c r="U139" t="s">
        <v>2878</v>
      </c>
      <c r="V139" t="s">
        <v>2879</v>
      </c>
    </row>
    <row r="140" spans="1:22" x14ac:dyDescent="0.45">
      <c r="A140" t="s">
        <v>2850</v>
      </c>
      <c r="E140" t="s">
        <v>1767</v>
      </c>
      <c r="G140" s="362" t="s">
        <v>2864</v>
      </c>
      <c r="H140">
        <v>2011</v>
      </c>
      <c r="I140" s="366">
        <v>39</v>
      </c>
      <c r="K140" t="s">
        <v>2865</v>
      </c>
      <c r="L140" t="s">
        <v>2853</v>
      </c>
      <c r="O140" s="363">
        <f t="shared" si="3"/>
        <v>3.9E-2</v>
      </c>
      <c r="Q140" s="364"/>
      <c r="T140">
        <v>1</v>
      </c>
      <c r="U140" t="s">
        <v>2878</v>
      </c>
      <c r="V140" t="s">
        <v>2879</v>
      </c>
    </row>
    <row r="141" spans="1:22" x14ac:dyDescent="0.45">
      <c r="A141" t="s">
        <v>2850</v>
      </c>
      <c r="E141" t="s">
        <v>1779</v>
      </c>
      <c r="G141" s="362" t="s">
        <v>2851</v>
      </c>
      <c r="H141">
        <v>2019</v>
      </c>
      <c r="I141" s="366">
        <v>124</v>
      </c>
      <c r="K141" t="s">
        <v>2852</v>
      </c>
      <c r="L141" t="s">
        <v>2853</v>
      </c>
      <c r="O141" s="363">
        <f t="shared" si="3"/>
        <v>0.124</v>
      </c>
      <c r="Q141" s="364">
        <f>IFERROR((I141/I142)^(1/(H141-H142)), "")</f>
        <v>1.0613689296226481</v>
      </c>
      <c r="R141" s="364"/>
      <c r="T141">
        <v>1</v>
      </c>
      <c r="U141" t="s">
        <v>2880</v>
      </c>
      <c r="V141" t="s">
        <v>2881</v>
      </c>
    </row>
    <row r="142" spans="1:22" x14ac:dyDescent="0.45">
      <c r="A142" t="s">
        <v>2850</v>
      </c>
      <c r="E142" t="s">
        <v>1779</v>
      </c>
      <c r="G142" s="362" t="s">
        <v>2851</v>
      </c>
      <c r="H142">
        <v>2011</v>
      </c>
      <c r="I142" s="366">
        <v>77</v>
      </c>
      <c r="K142" t="s">
        <v>2852</v>
      </c>
      <c r="L142" t="s">
        <v>2853</v>
      </c>
      <c r="O142" s="363">
        <f t="shared" si="3"/>
        <v>7.6999999999999999E-2</v>
      </c>
      <c r="Q142" s="364"/>
      <c r="T142">
        <v>1</v>
      </c>
      <c r="U142" t="s">
        <v>2880</v>
      </c>
      <c r="V142" t="s">
        <v>2881</v>
      </c>
    </row>
    <row r="143" spans="1:22" x14ac:dyDescent="0.45">
      <c r="A143" t="s">
        <v>2850</v>
      </c>
      <c r="E143" t="s">
        <v>1777</v>
      </c>
      <c r="G143" s="362" t="s">
        <v>2854</v>
      </c>
      <c r="H143">
        <v>2019</v>
      </c>
      <c r="I143" s="366">
        <v>161</v>
      </c>
      <c r="K143" t="s">
        <v>2855</v>
      </c>
      <c r="L143" t="s">
        <v>2853</v>
      </c>
      <c r="O143" s="363">
        <f t="shared" si="3"/>
        <v>0.161</v>
      </c>
      <c r="Q143" s="364">
        <f>IFERROR((I143/I144)^(1/(H143-H144)), "")</f>
        <v>1.0185360018582728</v>
      </c>
      <c r="R143" s="364"/>
      <c r="T143">
        <v>1</v>
      </c>
      <c r="U143" t="s">
        <v>2880</v>
      </c>
      <c r="V143" t="s">
        <v>2881</v>
      </c>
    </row>
    <row r="144" spans="1:22" x14ac:dyDescent="0.45">
      <c r="A144" t="s">
        <v>2850</v>
      </c>
      <c r="E144" t="s">
        <v>1777</v>
      </c>
      <c r="G144" s="362" t="s">
        <v>2854</v>
      </c>
      <c r="H144">
        <v>2011</v>
      </c>
      <c r="I144" s="366">
        <v>139</v>
      </c>
      <c r="K144" t="s">
        <v>2855</v>
      </c>
      <c r="L144" t="s">
        <v>2853</v>
      </c>
      <c r="O144" s="363">
        <f t="shared" si="3"/>
        <v>0.13900000000000001</v>
      </c>
      <c r="Q144" s="364"/>
      <c r="T144">
        <v>1</v>
      </c>
      <c r="U144" t="s">
        <v>2880</v>
      </c>
      <c r="V144" t="s">
        <v>2881</v>
      </c>
    </row>
    <row r="145" spans="1:22" x14ac:dyDescent="0.45">
      <c r="A145" t="s">
        <v>2850</v>
      </c>
      <c r="E145" t="s">
        <v>1775</v>
      </c>
      <c r="G145" s="362" t="s">
        <v>2856</v>
      </c>
      <c r="H145">
        <v>2019</v>
      </c>
      <c r="I145" s="366">
        <v>175</v>
      </c>
      <c r="K145" t="s">
        <v>2857</v>
      </c>
      <c r="L145" t="s">
        <v>2853</v>
      </c>
      <c r="O145" s="363">
        <f t="shared" si="3"/>
        <v>0.17499999999999999</v>
      </c>
      <c r="Q145" s="364">
        <f>IFERROR((I145/I146)^(1/(H145-H146)), "")</f>
        <v>0.99858053855846252</v>
      </c>
      <c r="R145" s="364"/>
      <c r="T145">
        <v>1</v>
      </c>
      <c r="U145" t="s">
        <v>2880</v>
      </c>
      <c r="V145" t="s">
        <v>2881</v>
      </c>
    </row>
    <row r="146" spans="1:22" x14ac:dyDescent="0.45">
      <c r="A146" t="s">
        <v>2850</v>
      </c>
      <c r="E146" t="s">
        <v>1775</v>
      </c>
      <c r="G146" s="362" t="s">
        <v>2856</v>
      </c>
      <c r="H146">
        <v>2011</v>
      </c>
      <c r="I146" s="366">
        <v>177</v>
      </c>
      <c r="K146" t="s">
        <v>2857</v>
      </c>
      <c r="L146" t="s">
        <v>2853</v>
      </c>
      <c r="O146" s="363">
        <f t="shared" si="3"/>
        <v>0.17699999999999999</v>
      </c>
      <c r="Q146" s="364"/>
      <c r="R146" s="364"/>
      <c r="T146">
        <v>1</v>
      </c>
      <c r="U146" t="s">
        <v>2880</v>
      </c>
      <c r="V146" t="s">
        <v>2881</v>
      </c>
    </row>
    <row r="147" spans="1:22" x14ac:dyDescent="0.45">
      <c r="A147" t="s">
        <v>2850</v>
      </c>
      <c r="E147" t="s">
        <v>1773</v>
      </c>
      <c r="G147" s="362" t="s">
        <v>2858</v>
      </c>
      <c r="H147">
        <v>2019</v>
      </c>
      <c r="I147" s="366">
        <v>135</v>
      </c>
      <c r="K147" t="s">
        <v>2859</v>
      </c>
      <c r="L147" t="s">
        <v>2853</v>
      </c>
      <c r="O147" s="363">
        <f t="shared" si="3"/>
        <v>0.13500000000000001</v>
      </c>
      <c r="Q147" s="364">
        <f>IFERROR((I147/I148)^(1/(H147-H148)), "")</f>
        <v>0.9752281484642602</v>
      </c>
      <c r="R147" s="364"/>
      <c r="T147">
        <v>1</v>
      </c>
      <c r="U147" t="s">
        <v>2880</v>
      </c>
      <c r="V147" t="s">
        <v>2881</v>
      </c>
    </row>
    <row r="148" spans="1:22" x14ac:dyDescent="0.45">
      <c r="A148" t="s">
        <v>2850</v>
      </c>
      <c r="E148" t="s">
        <v>1773</v>
      </c>
      <c r="G148" s="362" t="s">
        <v>2858</v>
      </c>
      <c r="H148">
        <v>2011</v>
      </c>
      <c r="I148" s="366">
        <v>165</v>
      </c>
      <c r="K148" t="s">
        <v>2859</v>
      </c>
      <c r="L148" t="s">
        <v>2853</v>
      </c>
      <c r="O148" s="363">
        <f t="shared" si="3"/>
        <v>0.16500000000000001</v>
      </c>
      <c r="Q148" s="364"/>
      <c r="T148">
        <v>1</v>
      </c>
      <c r="U148" t="s">
        <v>2880</v>
      </c>
      <c r="V148" t="s">
        <v>2881</v>
      </c>
    </row>
    <row r="149" spans="1:22" x14ac:dyDescent="0.45">
      <c r="A149" t="s">
        <v>2850</v>
      </c>
      <c r="E149" t="s">
        <v>1771</v>
      </c>
      <c r="G149" s="362" t="s">
        <v>2860</v>
      </c>
      <c r="H149">
        <v>2019</v>
      </c>
      <c r="I149" s="366">
        <v>64</v>
      </c>
      <c r="K149" t="s">
        <v>2861</v>
      </c>
      <c r="L149" t="s">
        <v>2853</v>
      </c>
      <c r="O149" s="363">
        <f t="shared" si="3"/>
        <v>6.4000000000000001E-2</v>
      </c>
      <c r="Q149" s="364">
        <f>IFERROR((I149/I150)^(1/(H149-H150)), "")</f>
        <v>0.90360200360984488</v>
      </c>
      <c r="R149" s="364"/>
      <c r="T149">
        <v>1</v>
      </c>
      <c r="U149" t="s">
        <v>2880</v>
      </c>
      <c r="V149" t="s">
        <v>2881</v>
      </c>
    </row>
    <row r="150" spans="1:22" x14ac:dyDescent="0.45">
      <c r="A150" t="s">
        <v>2850</v>
      </c>
      <c r="E150" t="s">
        <v>1771</v>
      </c>
      <c r="G150" s="362" t="s">
        <v>2860</v>
      </c>
      <c r="H150">
        <v>2011</v>
      </c>
      <c r="I150" s="366">
        <v>144</v>
      </c>
      <c r="K150" t="s">
        <v>2861</v>
      </c>
      <c r="L150" t="s">
        <v>2853</v>
      </c>
      <c r="O150" s="363">
        <f t="shared" si="3"/>
        <v>0.14399999999999999</v>
      </c>
      <c r="Q150" s="364"/>
      <c r="T150">
        <v>1</v>
      </c>
      <c r="U150" t="s">
        <v>2880</v>
      </c>
      <c r="V150" t="s">
        <v>2881</v>
      </c>
    </row>
    <row r="151" spans="1:22" x14ac:dyDescent="0.45">
      <c r="A151" t="s">
        <v>2850</v>
      </c>
      <c r="E151" t="s">
        <v>1769</v>
      </c>
      <c r="G151" s="362" t="s">
        <v>2862</v>
      </c>
      <c r="H151">
        <v>2016</v>
      </c>
      <c r="I151" s="366">
        <v>13</v>
      </c>
      <c r="K151" t="s">
        <v>2863</v>
      </c>
      <c r="L151" t="s">
        <v>2853</v>
      </c>
      <c r="O151" s="363">
        <f t="shared" si="3"/>
        <v>1.2999999999999999E-2</v>
      </c>
      <c r="Q151" s="364">
        <f>IFERROR((I151/I152)^(1/(H151-H152)), "")</f>
        <v>0.77667102633024399</v>
      </c>
      <c r="T151">
        <v>1</v>
      </c>
      <c r="U151" t="s">
        <v>2880</v>
      </c>
      <c r="V151" t="s">
        <v>2881</v>
      </c>
    </row>
    <row r="152" spans="1:22" x14ac:dyDescent="0.45">
      <c r="A152" t="s">
        <v>2850</v>
      </c>
      <c r="E152" t="s">
        <v>1769</v>
      </c>
      <c r="G152" s="362" t="s">
        <v>2862</v>
      </c>
      <c r="H152">
        <v>2011</v>
      </c>
      <c r="I152" s="366">
        <v>46</v>
      </c>
      <c r="K152" t="s">
        <v>2863</v>
      </c>
      <c r="L152" t="s">
        <v>2853</v>
      </c>
      <c r="O152" s="363">
        <f t="shared" si="3"/>
        <v>4.5999999999999999E-2</v>
      </c>
      <c r="Q152" s="364"/>
      <c r="T152">
        <v>1</v>
      </c>
      <c r="U152" t="s">
        <v>2880</v>
      </c>
      <c r="V152" t="s">
        <v>2881</v>
      </c>
    </row>
    <row r="153" spans="1:22" x14ac:dyDescent="0.45">
      <c r="A153" t="s">
        <v>2850</v>
      </c>
      <c r="E153" t="s">
        <v>1767</v>
      </c>
      <c r="G153" s="362" t="s">
        <v>2864</v>
      </c>
      <c r="H153">
        <v>2011</v>
      </c>
      <c r="I153" s="366">
        <v>42</v>
      </c>
      <c r="K153" t="s">
        <v>2865</v>
      </c>
      <c r="L153" t="s">
        <v>2853</v>
      </c>
      <c r="O153" s="363">
        <f t="shared" si="3"/>
        <v>4.2000000000000003E-2</v>
      </c>
      <c r="Q153" s="364">
        <f>1</f>
        <v>1</v>
      </c>
      <c r="T153">
        <v>1</v>
      </c>
      <c r="U153" t="s">
        <v>2880</v>
      </c>
      <c r="V153" t="s">
        <v>2881</v>
      </c>
    </row>
    <row r="154" spans="1:22" x14ac:dyDescent="0.45">
      <c r="A154" t="s">
        <v>2850</v>
      </c>
      <c r="E154" t="s">
        <v>1779</v>
      </c>
      <c r="G154" s="362" t="s">
        <v>2851</v>
      </c>
      <c r="H154">
        <v>2019</v>
      </c>
      <c r="I154" s="366">
        <v>78</v>
      </c>
      <c r="K154" t="s">
        <v>2852</v>
      </c>
      <c r="L154" t="s">
        <v>2853</v>
      </c>
      <c r="O154" s="363">
        <f t="shared" si="3"/>
        <v>7.8E-2</v>
      </c>
      <c r="Q154" s="364">
        <f>IFERROR((I154/I155)^(1/(H154-H155)), "")</f>
        <v>0.95578359599616292</v>
      </c>
      <c r="R154" s="364"/>
      <c r="T154">
        <v>1</v>
      </c>
      <c r="U154" t="s">
        <v>2882</v>
      </c>
      <c r="V154" t="s">
        <v>2883</v>
      </c>
    </row>
    <row r="155" spans="1:22" x14ac:dyDescent="0.45">
      <c r="A155" t="s">
        <v>2850</v>
      </c>
      <c r="E155" t="s">
        <v>1779</v>
      </c>
      <c r="G155" s="362" t="s">
        <v>2851</v>
      </c>
      <c r="H155">
        <v>2011</v>
      </c>
      <c r="I155" s="366">
        <v>112</v>
      </c>
      <c r="K155" t="s">
        <v>2852</v>
      </c>
      <c r="L155" t="s">
        <v>2853</v>
      </c>
      <c r="O155" s="363">
        <f t="shared" si="3"/>
        <v>0.112</v>
      </c>
      <c r="Q155" s="364"/>
      <c r="T155">
        <v>1</v>
      </c>
      <c r="U155" t="s">
        <v>2882</v>
      </c>
      <c r="V155" t="s">
        <v>2883</v>
      </c>
    </row>
    <row r="156" spans="1:22" x14ac:dyDescent="0.45">
      <c r="A156" t="s">
        <v>2850</v>
      </c>
      <c r="E156" t="s">
        <v>1777</v>
      </c>
      <c r="G156" s="362" t="s">
        <v>2854</v>
      </c>
      <c r="H156">
        <v>2019</v>
      </c>
      <c r="I156" s="366">
        <v>164</v>
      </c>
      <c r="K156" t="s">
        <v>2855</v>
      </c>
      <c r="L156" t="s">
        <v>2853</v>
      </c>
      <c r="O156" s="363">
        <f t="shared" si="3"/>
        <v>0.16400000000000001</v>
      </c>
      <c r="Q156" s="364">
        <f>IFERROR((I156/I157)^(1/(H156-H157)), "")</f>
        <v>0.99406418087663018</v>
      </c>
      <c r="R156" s="364"/>
      <c r="T156">
        <v>1</v>
      </c>
      <c r="U156" t="s">
        <v>2882</v>
      </c>
      <c r="V156" t="s">
        <v>2883</v>
      </c>
    </row>
    <row r="157" spans="1:22" x14ac:dyDescent="0.45">
      <c r="A157" t="s">
        <v>2850</v>
      </c>
      <c r="E157" t="s">
        <v>1777</v>
      </c>
      <c r="G157" s="362" t="s">
        <v>2854</v>
      </c>
      <c r="H157">
        <v>2011</v>
      </c>
      <c r="I157" s="366">
        <v>172</v>
      </c>
      <c r="K157" t="s">
        <v>2855</v>
      </c>
      <c r="L157" t="s">
        <v>2853</v>
      </c>
      <c r="O157" s="363">
        <f t="shared" si="3"/>
        <v>0.17199999999999999</v>
      </c>
      <c r="Q157" s="364"/>
      <c r="T157">
        <v>1</v>
      </c>
      <c r="U157" t="s">
        <v>2882</v>
      </c>
      <c r="V157" t="s">
        <v>2883</v>
      </c>
    </row>
    <row r="158" spans="1:22" x14ac:dyDescent="0.45">
      <c r="A158" t="s">
        <v>2850</v>
      </c>
      <c r="E158" t="s">
        <v>1775</v>
      </c>
      <c r="G158" s="362" t="s">
        <v>2856</v>
      </c>
      <c r="H158">
        <v>2019</v>
      </c>
      <c r="I158" s="366">
        <v>208</v>
      </c>
      <c r="K158" t="s">
        <v>2857</v>
      </c>
      <c r="L158" t="s">
        <v>2853</v>
      </c>
      <c r="O158" s="363">
        <f t="shared" si="3"/>
        <v>0.20799999999999999</v>
      </c>
      <c r="Q158" s="364">
        <f>IFERROR((I158/I159)^(1/(H158-H159)), "")</f>
        <v>1.0068149104070221</v>
      </c>
      <c r="R158" s="364"/>
      <c r="T158">
        <v>1</v>
      </c>
      <c r="U158" t="s">
        <v>2882</v>
      </c>
      <c r="V158" t="s">
        <v>2883</v>
      </c>
    </row>
    <row r="159" spans="1:22" x14ac:dyDescent="0.45">
      <c r="A159" t="s">
        <v>2850</v>
      </c>
      <c r="E159" t="s">
        <v>1775</v>
      </c>
      <c r="G159" s="362" t="s">
        <v>2856</v>
      </c>
      <c r="H159">
        <v>2011</v>
      </c>
      <c r="I159" s="366">
        <v>197</v>
      </c>
      <c r="K159" t="s">
        <v>2857</v>
      </c>
      <c r="L159" t="s">
        <v>2853</v>
      </c>
      <c r="O159" s="363">
        <f t="shared" si="3"/>
        <v>0.19700000000000001</v>
      </c>
      <c r="Q159" s="364"/>
      <c r="T159">
        <v>1</v>
      </c>
      <c r="U159" t="s">
        <v>2882</v>
      </c>
      <c r="V159" t="s">
        <v>2883</v>
      </c>
    </row>
    <row r="160" spans="1:22" x14ac:dyDescent="0.45">
      <c r="A160" t="s">
        <v>2850</v>
      </c>
      <c r="E160" t="s">
        <v>1773</v>
      </c>
      <c r="G160" s="362" t="s">
        <v>2858</v>
      </c>
      <c r="H160">
        <v>2019</v>
      </c>
      <c r="I160" s="366">
        <v>164</v>
      </c>
      <c r="K160" t="s">
        <v>2859</v>
      </c>
      <c r="L160" t="s">
        <v>2853</v>
      </c>
      <c r="O160" s="363">
        <f t="shared" si="3"/>
        <v>0.16400000000000001</v>
      </c>
      <c r="Q160" s="364">
        <f>IFERROR((I160/I161)^(1/(H160-H161)), "")</f>
        <v>1.007895232440303</v>
      </c>
      <c r="R160" s="364"/>
      <c r="T160">
        <v>1</v>
      </c>
      <c r="U160" t="s">
        <v>2882</v>
      </c>
      <c r="V160" t="s">
        <v>2883</v>
      </c>
    </row>
    <row r="161" spans="1:22" x14ac:dyDescent="0.45">
      <c r="A161" t="s">
        <v>2850</v>
      </c>
      <c r="E161" t="s">
        <v>1773</v>
      </c>
      <c r="G161" s="362" t="s">
        <v>2858</v>
      </c>
      <c r="H161">
        <v>2011</v>
      </c>
      <c r="I161" s="366">
        <v>154</v>
      </c>
      <c r="K161" t="s">
        <v>2859</v>
      </c>
      <c r="L161" t="s">
        <v>2853</v>
      </c>
      <c r="O161" s="363">
        <f t="shared" si="3"/>
        <v>0.154</v>
      </c>
      <c r="Q161" s="364"/>
      <c r="T161">
        <v>1</v>
      </c>
      <c r="U161" t="s">
        <v>2882</v>
      </c>
      <c r="V161" t="s">
        <v>2883</v>
      </c>
    </row>
    <row r="162" spans="1:22" x14ac:dyDescent="0.45">
      <c r="A162" t="s">
        <v>2850</v>
      </c>
      <c r="E162" t="s">
        <v>1771</v>
      </c>
      <c r="G162" s="362" t="s">
        <v>2860</v>
      </c>
      <c r="H162">
        <v>2019</v>
      </c>
      <c r="I162" s="366">
        <v>72</v>
      </c>
      <c r="K162" t="s">
        <v>2861</v>
      </c>
      <c r="L162" t="s">
        <v>2853</v>
      </c>
      <c r="O162" s="363">
        <f t="shared" si="3"/>
        <v>7.1999999999999995E-2</v>
      </c>
      <c r="Q162" s="364">
        <f>IFERROR((I162/I163)^(1/(H162-H163)), "")</f>
        <v>1.001749809379741</v>
      </c>
      <c r="R162" s="364"/>
      <c r="T162">
        <v>1</v>
      </c>
      <c r="U162" t="s">
        <v>2882</v>
      </c>
      <c r="V162" t="s">
        <v>2883</v>
      </c>
    </row>
    <row r="163" spans="1:22" x14ac:dyDescent="0.45">
      <c r="A163" t="s">
        <v>2850</v>
      </c>
      <c r="E163" t="s">
        <v>1771</v>
      </c>
      <c r="G163" s="362" t="s">
        <v>2860</v>
      </c>
      <c r="H163">
        <v>2011</v>
      </c>
      <c r="I163" s="366">
        <v>71</v>
      </c>
      <c r="K163" t="s">
        <v>2861</v>
      </c>
      <c r="L163" t="s">
        <v>2853</v>
      </c>
      <c r="O163" s="363">
        <f t="shared" si="3"/>
        <v>7.0999999999999994E-2</v>
      </c>
      <c r="Q163" s="364"/>
      <c r="T163">
        <v>1</v>
      </c>
      <c r="U163" t="s">
        <v>2882</v>
      </c>
      <c r="V163" t="s">
        <v>2883</v>
      </c>
    </row>
    <row r="164" spans="1:22" x14ac:dyDescent="0.45">
      <c r="A164" t="s">
        <v>2850</v>
      </c>
      <c r="E164" t="s">
        <v>1769</v>
      </c>
      <c r="G164" s="362" t="s">
        <v>2862</v>
      </c>
      <c r="H164">
        <v>2016</v>
      </c>
      <c r="I164" s="366">
        <v>41</v>
      </c>
      <c r="K164" t="s">
        <v>2863</v>
      </c>
      <c r="L164" t="s">
        <v>2853</v>
      </c>
      <c r="O164" s="363">
        <f t="shared" si="3"/>
        <v>4.1000000000000002E-2</v>
      </c>
      <c r="Q164" s="364">
        <f>IFERROR((I164/I165)^(1/(H164-H165)), "")</f>
        <v>0.93622837654917168</v>
      </c>
      <c r="R164" s="364"/>
      <c r="T164">
        <v>1</v>
      </c>
      <c r="U164" t="s">
        <v>2882</v>
      </c>
      <c r="V164" t="s">
        <v>2883</v>
      </c>
    </row>
    <row r="165" spans="1:22" x14ac:dyDescent="0.45">
      <c r="A165" t="s">
        <v>2850</v>
      </c>
      <c r="E165" t="s">
        <v>1769</v>
      </c>
      <c r="G165" s="362" t="s">
        <v>2862</v>
      </c>
      <c r="H165">
        <v>2011</v>
      </c>
      <c r="I165" s="366">
        <v>57</v>
      </c>
      <c r="K165" t="s">
        <v>2863</v>
      </c>
      <c r="L165" t="s">
        <v>2853</v>
      </c>
      <c r="O165" s="363">
        <f t="shared" si="3"/>
        <v>5.7000000000000002E-2</v>
      </c>
      <c r="Q165" s="364"/>
      <c r="T165">
        <v>1</v>
      </c>
      <c r="U165" t="s">
        <v>2882</v>
      </c>
      <c r="V165" t="s">
        <v>2883</v>
      </c>
    </row>
    <row r="166" spans="1:22" x14ac:dyDescent="0.45">
      <c r="A166" t="s">
        <v>2850</v>
      </c>
      <c r="E166" t="s">
        <v>1767</v>
      </c>
      <c r="G166" s="362" t="s">
        <v>2864</v>
      </c>
      <c r="H166">
        <v>2000</v>
      </c>
      <c r="I166" s="366">
        <v>14</v>
      </c>
      <c r="K166" t="s">
        <v>2865</v>
      </c>
      <c r="L166" t="s">
        <v>2853</v>
      </c>
      <c r="O166" s="363">
        <f t="shared" si="3"/>
        <v>1.4E-2</v>
      </c>
      <c r="Q166" s="364">
        <v>1</v>
      </c>
      <c r="T166">
        <v>1</v>
      </c>
      <c r="U166" t="s">
        <v>2882</v>
      </c>
      <c r="V166" t="s">
        <v>2883</v>
      </c>
    </row>
    <row r="167" spans="1:22" x14ac:dyDescent="0.45">
      <c r="A167" t="s">
        <v>2850</v>
      </c>
      <c r="E167" t="s">
        <v>1779</v>
      </c>
      <c r="G167" s="362" t="s">
        <v>2851</v>
      </c>
      <c r="H167">
        <v>2019</v>
      </c>
      <c r="I167" s="366">
        <v>14</v>
      </c>
      <c r="K167" t="s">
        <v>2852</v>
      </c>
      <c r="L167" t="s">
        <v>2853</v>
      </c>
      <c r="O167" s="363">
        <f t="shared" si="3"/>
        <v>1.4E-2</v>
      </c>
      <c r="Q167" s="364">
        <f>IFERROR((I167/I168)^(1/(H167-H168)), "")</f>
        <v>0.99141297201830614</v>
      </c>
      <c r="R167" s="364"/>
      <c r="T167">
        <v>1</v>
      </c>
      <c r="U167" t="s">
        <v>2884</v>
      </c>
      <c r="V167" t="s">
        <v>814</v>
      </c>
    </row>
    <row r="168" spans="1:22" x14ac:dyDescent="0.45">
      <c r="A168" t="s">
        <v>2850</v>
      </c>
      <c r="E168" t="s">
        <v>1779</v>
      </c>
      <c r="G168" s="362" t="s">
        <v>2851</v>
      </c>
      <c r="H168">
        <v>2011</v>
      </c>
      <c r="I168" s="366">
        <v>15</v>
      </c>
      <c r="K168" t="s">
        <v>2852</v>
      </c>
      <c r="L168" t="s">
        <v>2853</v>
      </c>
      <c r="O168" s="363">
        <f t="shared" si="3"/>
        <v>1.4999999999999999E-2</v>
      </c>
      <c r="Q168" s="364"/>
      <c r="T168">
        <v>1</v>
      </c>
      <c r="U168" t="s">
        <v>2884</v>
      </c>
      <c r="V168" t="s">
        <v>814</v>
      </c>
    </row>
    <row r="169" spans="1:22" x14ac:dyDescent="0.45">
      <c r="A169" t="s">
        <v>2850</v>
      </c>
      <c r="E169" t="s">
        <v>1777</v>
      </c>
      <c r="G169" s="362" t="s">
        <v>2854</v>
      </c>
      <c r="H169">
        <v>2019</v>
      </c>
      <c r="I169" s="366">
        <v>100</v>
      </c>
      <c r="K169" t="s">
        <v>2855</v>
      </c>
      <c r="L169" t="s">
        <v>2853</v>
      </c>
      <c r="O169" s="363">
        <f t="shared" si="3"/>
        <v>0.1</v>
      </c>
      <c r="Q169" s="364">
        <f>IFERROR((I169/I170)^(1/(H169-H170)), "")</f>
        <v>1.0161075211279298</v>
      </c>
      <c r="R169" s="364"/>
      <c r="T169">
        <v>1</v>
      </c>
      <c r="U169" t="s">
        <v>2884</v>
      </c>
      <c r="V169" t="s">
        <v>814</v>
      </c>
    </row>
    <row r="170" spans="1:22" x14ac:dyDescent="0.45">
      <c r="A170" t="s">
        <v>2850</v>
      </c>
      <c r="E170" t="s">
        <v>1777</v>
      </c>
      <c r="G170" s="362" t="s">
        <v>2854</v>
      </c>
      <c r="H170">
        <v>2011</v>
      </c>
      <c r="I170" s="366">
        <v>88</v>
      </c>
      <c r="K170" t="s">
        <v>2855</v>
      </c>
      <c r="L170" t="s">
        <v>2853</v>
      </c>
      <c r="O170" s="363">
        <f t="shared" si="3"/>
        <v>8.7999999999999995E-2</v>
      </c>
      <c r="Q170" s="364"/>
      <c r="T170">
        <v>1</v>
      </c>
      <c r="U170" t="s">
        <v>2884</v>
      </c>
      <c r="V170" t="s">
        <v>814</v>
      </c>
    </row>
    <row r="171" spans="1:22" x14ac:dyDescent="0.45">
      <c r="A171" t="s">
        <v>2850</v>
      </c>
      <c r="E171" t="s">
        <v>1775</v>
      </c>
      <c r="G171" s="362" t="s">
        <v>2856</v>
      </c>
      <c r="H171">
        <v>2019</v>
      </c>
      <c r="I171" s="366">
        <v>129</v>
      </c>
      <c r="K171" t="s">
        <v>2857</v>
      </c>
      <c r="L171" t="s">
        <v>2853</v>
      </c>
      <c r="O171" s="363">
        <f t="shared" si="3"/>
        <v>0.129</v>
      </c>
      <c r="Q171" s="364">
        <f>IFERROR((I171/I172)^(1/(H171-H172)), "")</f>
        <v>1.0431583419164847</v>
      </c>
      <c r="R171" s="364"/>
      <c r="T171">
        <v>1</v>
      </c>
      <c r="U171" t="s">
        <v>2884</v>
      </c>
      <c r="V171" t="s">
        <v>814</v>
      </c>
    </row>
    <row r="172" spans="1:22" x14ac:dyDescent="0.45">
      <c r="A172" t="s">
        <v>2850</v>
      </c>
      <c r="E172" t="s">
        <v>1775</v>
      </c>
      <c r="G172" s="362" t="s">
        <v>2856</v>
      </c>
      <c r="H172">
        <v>2011</v>
      </c>
      <c r="I172" s="366">
        <v>92</v>
      </c>
      <c r="K172" t="s">
        <v>2857</v>
      </c>
      <c r="L172" t="s">
        <v>2853</v>
      </c>
      <c r="O172" s="363">
        <f t="shared" si="3"/>
        <v>9.1999999999999998E-2</v>
      </c>
      <c r="Q172" s="364"/>
      <c r="T172">
        <v>1</v>
      </c>
      <c r="U172" t="s">
        <v>2884</v>
      </c>
      <c r="V172" t="s">
        <v>814</v>
      </c>
    </row>
    <row r="173" spans="1:22" x14ac:dyDescent="0.45">
      <c r="A173" t="s">
        <v>2850</v>
      </c>
      <c r="E173" t="s">
        <v>1773</v>
      </c>
      <c r="G173" s="362" t="s">
        <v>2858</v>
      </c>
      <c r="H173">
        <v>2019</v>
      </c>
      <c r="I173" s="366">
        <v>113</v>
      </c>
      <c r="K173" t="s">
        <v>2859</v>
      </c>
      <c r="L173" t="s">
        <v>2853</v>
      </c>
      <c r="O173" s="363">
        <f t="shared" si="3"/>
        <v>0.113</v>
      </c>
      <c r="Q173" s="364">
        <f>IFERROR((I173/I174)^(1/(H173-H174)), "")</f>
        <v>1.0655435176512793</v>
      </c>
      <c r="R173" s="364"/>
      <c r="T173">
        <v>1</v>
      </c>
      <c r="U173" t="s">
        <v>2884</v>
      </c>
      <c r="V173" t="s">
        <v>814</v>
      </c>
    </row>
    <row r="174" spans="1:22" x14ac:dyDescent="0.45">
      <c r="A174" t="s">
        <v>2850</v>
      </c>
      <c r="E174" t="s">
        <v>1773</v>
      </c>
      <c r="G174" s="362" t="s">
        <v>2858</v>
      </c>
      <c r="H174">
        <v>2011</v>
      </c>
      <c r="I174" s="366">
        <v>68</v>
      </c>
      <c r="K174" t="s">
        <v>2859</v>
      </c>
      <c r="L174" t="s">
        <v>2853</v>
      </c>
      <c r="O174" s="363">
        <f t="shared" si="3"/>
        <v>6.8000000000000005E-2</v>
      </c>
      <c r="Q174" s="364"/>
      <c r="T174">
        <v>1</v>
      </c>
      <c r="U174" t="s">
        <v>2884</v>
      </c>
      <c r="V174" t="s">
        <v>814</v>
      </c>
    </row>
    <row r="175" spans="1:22" x14ac:dyDescent="0.45">
      <c r="A175" t="s">
        <v>2850</v>
      </c>
      <c r="E175" t="s">
        <v>1771</v>
      </c>
      <c r="G175" s="362" t="s">
        <v>2860</v>
      </c>
      <c r="H175">
        <v>2019</v>
      </c>
      <c r="I175" s="366">
        <v>76</v>
      </c>
      <c r="K175" t="s">
        <v>2861</v>
      </c>
      <c r="L175" t="s">
        <v>2853</v>
      </c>
      <c r="O175" s="363">
        <f t="shared" si="3"/>
        <v>7.5999999999999998E-2</v>
      </c>
      <c r="Q175" s="364">
        <f>IFERROR((I175/I176)^(1/(H175-H176)), "")</f>
        <v>1.1057751717923328</v>
      </c>
      <c r="R175" s="364"/>
      <c r="T175">
        <v>1</v>
      </c>
      <c r="U175" t="s">
        <v>2884</v>
      </c>
      <c r="V175" t="s">
        <v>814</v>
      </c>
    </row>
    <row r="176" spans="1:22" x14ac:dyDescent="0.45">
      <c r="A176" t="s">
        <v>2850</v>
      </c>
      <c r="E176" t="s">
        <v>1771</v>
      </c>
      <c r="G176" s="362" t="s">
        <v>2860</v>
      </c>
      <c r="H176">
        <v>2011</v>
      </c>
      <c r="I176" s="366">
        <v>34</v>
      </c>
      <c r="K176" t="s">
        <v>2861</v>
      </c>
      <c r="L176" t="s">
        <v>2853</v>
      </c>
      <c r="O176" s="363">
        <f t="shared" si="3"/>
        <v>3.4000000000000002E-2</v>
      </c>
      <c r="Q176" s="364"/>
      <c r="T176">
        <v>1</v>
      </c>
      <c r="U176" t="s">
        <v>2884</v>
      </c>
      <c r="V176" t="s">
        <v>814</v>
      </c>
    </row>
    <row r="177" spans="1:22" x14ac:dyDescent="0.45">
      <c r="A177" t="s">
        <v>2850</v>
      </c>
      <c r="E177" t="s">
        <v>1769</v>
      </c>
      <c r="G177" s="362" t="s">
        <v>2862</v>
      </c>
      <c r="H177">
        <v>2016</v>
      </c>
      <c r="I177" s="366">
        <v>13</v>
      </c>
      <c r="K177" t="s">
        <v>2863</v>
      </c>
      <c r="L177" t="s">
        <v>2853</v>
      </c>
      <c r="O177" s="363">
        <f t="shared" si="3"/>
        <v>1.2999999999999999E-2</v>
      </c>
      <c r="Q177" s="364">
        <f>IFERROR((I177/I178)^(1/(H177-H178)), "")</f>
        <v>1.2658337541579836</v>
      </c>
      <c r="T177">
        <v>1</v>
      </c>
      <c r="U177" t="s">
        <v>2884</v>
      </c>
      <c r="V177" t="s">
        <v>814</v>
      </c>
    </row>
    <row r="178" spans="1:22" x14ac:dyDescent="0.45">
      <c r="A178" t="s">
        <v>2850</v>
      </c>
      <c r="E178" t="s">
        <v>1769</v>
      </c>
      <c r="G178" s="362" t="s">
        <v>2862</v>
      </c>
      <c r="H178">
        <v>2011</v>
      </c>
      <c r="I178" s="366">
        <v>4</v>
      </c>
      <c r="K178" t="s">
        <v>2863</v>
      </c>
      <c r="L178" t="s">
        <v>2853</v>
      </c>
      <c r="O178" s="363">
        <f t="shared" si="3"/>
        <v>4.0000000000000001E-3</v>
      </c>
      <c r="Q178" s="364"/>
      <c r="T178">
        <v>1</v>
      </c>
      <c r="U178" t="s">
        <v>2884</v>
      </c>
      <c r="V178" t="s">
        <v>814</v>
      </c>
    </row>
    <row r="179" spans="1:22" x14ac:dyDescent="0.45">
      <c r="A179" t="s">
        <v>2850</v>
      </c>
      <c r="E179" t="s">
        <v>1767</v>
      </c>
      <c r="G179" s="362" t="s">
        <v>2864</v>
      </c>
      <c r="H179">
        <v>2016</v>
      </c>
      <c r="I179" s="366">
        <v>0</v>
      </c>
      <c r="K179" t="s">
        <v>2865</v>
      </c>
      <c r="L179" t="s">
        <v>2853</v>
      </c>
      <c r="O179" s="363">
        <f t="shared" si="3"/>
        <v>0</v>
      </c>
      <c r="Q179" s="364">
        <v>1</v>
      </c>
      <c r="T179">
        <v>1</v>
      </c>
      <c r="U179" t="s">
        <v>2884</v>
      </c>
      <c r="V179" t="s">
        <v>814</v>
      </c>
    </row>
    <row r="180" spans="1:22" x14ac:dyDescent="0.45">
      <c r="A180" t="s">
        <v>2850</v>
      </c>
      <c r="E180" t="s">
        <v>1767</v>
      </c>
      <c r="G180" s="362" t="s">
        <v>2864</v>
      </c>
      <c r="H180">
        <v>2011</v>
      </c>
      <c r="I180" s="366">
        <v>0</v>
      </c>
      <c r="K180" t="s">
        <v>2865</v>
      </c>
      <c r="L180" t="s">
        <v>2853</v>
      </c>
      <c r="O180" s="363">
        <f t="shared" si="3"/>
        <v>0</v>
      </c>
      <c r="Q180" s="364"/>
      <c r="T180">
        <v>1</v>
      </c>
      <c r="U180" t="s">
        <v>2884</v>
      </c>
      <c r="V180" t="s">
        <v>814</v>
      </c>
    </row>
    <row r="181" spans="1:22" x14ac:dyDescent="0.45">
      <c r="A181" t="s">
        <v>2850</v>
      </c>
      <c r="E181" t="s">
        <v>1779</v>
      </c>
      <c r="G181" s="362" t="s">
        <v>2851</v>
      </c>
      <c r="H181">
        <v>2019</v>
      </c>
      <c r="I181" s="366">
        <v>69</v>
      </c>
      <c r="K181" t="s">
        <v>2852</v>
      </c>
      <c r="L181" t="s">
        <v>2853</v>
      </c>
      <c r="O181" s="363">
        <f t="shared" si="3"/>
        <v>6.9000000000000006E-2</v>
      </c>
      <c r="Q181" s="364">
        <f>IFERROR((I181/I182)^(1/(H181-H182)), "")</f>
        <v>1.0385080428502595</v>
      </c>
      <c r="R181" s="364"/>
      <c r="T181">
        <v>1</v>
      </c>
      <c r="U181" t="s">
        <v>2885</v>
      </c>
      <c r="V181" t="s">
        <v>2886</v>
      </c>
    </row>
    <row r="182" spans="1:22" x14ac:dyDescent="0.45">
      <c r="A182" t="s">
        <v>2850</v>
      </c>
      <c r="E182" t="s">
        <v>1779</v>
      </c>
      <c r="G182" s="362" t="s">
        <v>2851</v>
      </c>
      <c r="H182">
        <v>2011</v>
      </c>
      <c r="I182" s="366">
        <v>51</v>
      </c>
      <c r="K182" t="s">
        <v>2852</v>
      </c>
      <c r="L182" t="s">
        <v>2853</v>
      </c>
      <c r="O182" s="363">
        <f t="shared" si="3"/>
        <v>5.0999999999999997E-2</v>
      </c>
      <c r="Q182" s="364"/>
      <c r="T182">
        <v>1</v>
      </c>
      <c r="U182" t="s">
        <v>2885</v>
      </c>
      <c r="V182" t="s">
        <v>2886</v>
      </c>
    </row>
    <row r="183" spans="1:22" x14ac:dyDescent="0.45">
      <c r="A183" t="s">
        <v>2850</v>
      </c>
      <c r="E183" t="s">
        <v>1777</v>
      </c>
      <c r="G183" s="362" t="s">
        <v>2854</v>
      </c>
      <c r="H183">
        <v>2019</v>
      </c>
      <c r="I183" s="366">
        <v>142</v>
      </c>
      <c r="K183" t="s">
        <v>2855</v>
      </c>
      <c r="L183" t="s">
        <v>2853</v>
      </c>
      <c r="O183" s="363">
        <f t="shared" si="3"/>
        <v>0.14199999999999999</v>
      </c>
      <c r="Q183" s="364">
        <f>IFERROR((I183/I184)^(1/(H183-H184)), "")</f>
        <v>0.98141016077034371</v>
      </c>
      <c r="R183" s="364"/>
      <c r="T183">
        <v>1</v>
      </c>
      <c r="U183" t="s">
        <v>2885</v>
      </c>
      <c r="V183" t="s">
        <v>2886</v>
      </c>
    </row>
    <row r="184" spans="1:22" x14ac:dyDescent="0.45">
      <c r="A184" t="s">
        <v>2850</v>
      </c>
      <c r="E184" t="s">
        <v>1777</v>
      </c>
      <c r="G184" s="362" t="s">
        <v>2854</v>
      </c>
      <c r="H184">
        <v>2011</v>
      </c>
      <c r="I184" s="366">
        <v>165</v>
      </c>
      <c r="K184" t="s">
        <v>2855</v>
      </c>
      <c r="L184" t="s">
        <v>2853</v>
      </c>
      <c r="O184" s="363">
        <f t="shared" si="3"/>
        <v>0.16500000000000001</v>
      </c>
      <c r="Q184" s="364"/>
      <c r="T184">
        <v>1</v>
      </c>
      <c r="U184" t="s">
        <v>2885</v>
      </c>
      <c r="V184" t="s">
        <v>2886</v>
      </c>
    </row>
    <row r="185" spans="1:22" x14ac:dyDescent="0.45">
      <c r="A185" t="s">
        <v>2850</v>
      </c>
      <c r="E185" t="s">
        <v>1775</v>
      </c>
      <c r="G185" s="362" t="s">
        <v>2856</v>
      </c>
      <c r="H185">
        <v>2019</v>
      </c>
      <c r="I185" s="366">
        <v>170</v>
      </c>
      <c r="K185" t="s">
        <v>2857</v>
      </c>
      <c r="L185" t="s">
        <v>2853</v>
      </c>
      <c r="O185" s="363">
        <f t="shared" si="3"/>
        <v>0.17</v>
      </c>
      <c r="Q185" s="364">
        <f>IFERROR((I185/I186)^(1/(H185-H186)), "")</f>
        <v>1.0083968366764735</v>
      </c>
      <c r="R185" s="364"/>
      <c r="T185">
        <v>1</v>
      </c>
      <c r="U185" t="s">
        <v>2885</v>
      </c>
      <c r="V185" t="s">
        <v>2886</v>
      </c>
    </row>
    <row r="186" spans="1:22" x14ac:dyDescent="0.45">
      <c r="A186" t="s">
        <v>2850</v>
      </c>
      <c r="E186" t="s">
        <v>1775</v>
      </c>
      <c r="G186" s="362" t="s">
        <v>2856</v>
      </c>
      <c r="H186">
        <v>2011</v>
      </c>
      <c r="I186" s="366">
        <v>159</v>
      </c>
      <c r="K186" t="s">
        <v>2857</v>
      </c>
      <c r="L186" t="s">
        <v>2853</v>
      </c>
      <c r="O186" s="363">
        <f t="shared" si="3"/>
        <v>0.159</v>
      </c>
      <c r="Q186" s="364"/>
      <c r="T186">
        <v>1</v>
      </c>
      <c r="U186" t="s">
        <v>2885</v>
      </c>
      <c r="V186" t="s">
        <v>2886</v>
      </c>
    </row>
    <row r="187" spans="1:22" x14ac:dyDescent="0.45">
      <c r="A187" t="s">
        <v>2850</v>
      </c>
      <c r="E187" t="s">
        <v>1773</v>
      </c>
      <c r="G187" s="362" t="s">
        <v>2858</v>
      </c>
      <c r="H187">
        <v>2019</v>
      </c>
      <c r="I187" s="366">
        <v>151</v>
      </c>
      <c r="K187" t="s">
        <v>2859</v>
      </c>
      <c r="L187" t="s">
        <v>2853</v>
      </c>
      <c r="O187" s="363">
        <f t="shared" si="3"/>
        <v>0.151</v>
      </c>
      <c r="Q187" s="364">
        <f>IFERROR((I187/I188)^(1/(H187-H188)), "")</f>
        <v>0.97626053215902431</v>
      </c>
      <c r="R187" s="364"/>
      <c r="T187">
        <v>1</v>
      </c>
      <c r="U187" t="s">
        <v>2885</v>
      </c>
      <c r="V187" t="s">
        <v>2886</v>
      </c>
    </row>
    <row r="188" spans="1:22" x14ac:dyDescent="0.45">
      <c r="A188" t="s">
        <v>2850</v>
      </c>
      <c r="E188" t="s">
        <v>1773</v>
      </c>
      <c r="G188" s="362" t="s">
        <v>2858</v>
      </c>
      <c r="H188">
        <v>2011</v>
      </c>
      <c r="I188" s="366">
        <v>183</v>
      </c>
      <c r="K188" t="s">
        <v>2859</v>
      </c>
      <c r="L188" t="s">
        <v>2853</v>
      </c>
      <c r="O188" s="363">
        <f t="shared" si="3"/>
        <v>0.183</v>
      </c>
      <c r="Q188" s="364"/>
      <c r="T188">
        <v>1</v>
      </c>
      <c r="U188" t="s">
        <v>2885</v>
      </c>
      <c r="V188" t="s">
        <v>2886</v>
      </c>
    </row>
    <row r="189" spans="1:22" x14ac:dyDescent="0.45">
      <c r="A189" t="s">
        <v>2850</v>
      </c>
      <c r="E189" t="s">
        <v>1771</v>
      </c>
      <c r="G189" s="362" t="s">
        <v>2860</v>
      </c>
      <c r="H189">
        <v>2019</v>
      </c>
      <c r="I189" s="366">
        <v>64</v>
      </c>
      <c r="K189" t="s">
        <v>2861</v>
      </c>
      <c r="L189" t="s">
        <v>2853</v>
      </c>
      <c r="O189" s="363">
        <f t="shared" si="3"/>
        <v>6.4000000000000001E-2</v>
      </c>
      <c r="Q189" s="364">
        <f>IFERROR((I189/I190)^(1/(H189-H190)), "")</f>
        <v>0.94456603500022185</v>
      </c>
      <c r="R189" s="364"/>
      <c r="T189">
        <v>1</v>
      </c>
      <c r="U189" t="s">
        <v>2885</v>
      </c>
      <c r="V189" t="s">
        <v>2886</v>
      </c>
    </row>
    <row r="190" spans="1:22" x14ac:dyDescent="0.45">
      <c r="A190" t="s">
        <v>2850</v>
      </c>
      <c r="E190" t="s">
        <v>1771</v>
      </c>
      <c r="G190" s="362" t="s">
        <v>2860</v>
      </c>
      <c r="H190">
        <v>2011</v>
      </c>
      <c r="I190" s="366">
        <v>101</v>
      </c>
      <c r="K190" t="s">
        <v>2861</v>
      </c>
      <c r="L190" t="s">
        <v>2853</v>
      </c>
      <c r="O190" s="363">
        <f t="shared" si="3"/>
        <v>0.10100000000000001</v>
      </c>
      <c r="Q190" s="364"/>
      <c r="T190">
        <v>1</v>
      </c>
      <c r="U190" t="s">
        <v>2885</v>
      </c>
      <c r="V190" t="s">
        <v>2886</v>
      </c>
    </row>
    <row r="191" spans="1:22" x14ac:dyDescent="0.45">
      <c r="A191" t="s">
        <v>2850</v>
      </c>
      <c r="E191" t="s">
        <v>1769</v>
      </c>
      <c r="G191" s="362" t="s">
        <v>2862</v>
      </c>
      <c r="H191">
        <v>2019</v>
      </c>
      <c r="I191" s="366">
        <v>23</v>
      </c>
      <c r="K191" t="s">
        <v>2863</v>
      </c>
      <c r="L191" t="s">
        <v>2853</v>
      </c>
      <c r="O191" s="363">
        <f t="shared" si="3"/>
        <v>2.3E-2</v>
      </c>
      <c r="Q191" s="364">
        <f>IFERROR((I191/I192)^(1/(H191-H192)), "")</f>
        <v>1.0847216884718311</v>
      </c>
      <c r="R191" s="364"/>
      <c r="T191">
        <v>1</v>
      </c>
      <c r="U191" t="s">
        <v>2885</v>
      </c>
      <c r="V191" t="s">
        <v>2886</v>
      </c>
    </row>
    <row r="192" spans="1:22" x14ac:dyDescent="0.45">
      <c r="A192" t="s">
        <v>2850</v>
      </c>
      <c r="E192" t="s">
        <v>1769</v>
      </c>
      <c r="G192" s="362" t="s">
        <v>2862</v>
      </c>
      <c r="H192">
        <v>2011</v>
      </c>
      <c r="I192" s="366">
        <v>12</v>
      </c>
      <c r="K192" t="s">
        <v>2863</v>
      </c>
      <c r="L192" t="s">
        <v>2853</v>
      </c>
      <c r="O192" s="363">
        <f t="shared" si="3"/>
        <v>1.2E-2</v>
      </c>
      <c r="Q192" s="364" t="str">
        <f>IFERROR((I192/#REF!)^(1/(H192-#REF!)), "")</f>
        <v/>
      </c>
      <c r="T192">
        <v>1</v>
      </c>
      <c r="U192" t="s">
        <v>2885</v>
      </c>
      <c r="V192" t="s">
        <v>2886</v>
      </c>
    </row>
    <row r="193" spans="1:22" x14ac:dyDescent="0.45">
      <c r="A193" t="s">
        <v>2850</v>
      </c>
      <c r="E193" t="s">
        <v>1767</v>
      </c>
      <c r="G193" s="362" t="s">
        <v>2864</v>
      </c>
      <c r="H193">
        <v>2016</v>
      </c>
      <c r="I193" s="366">
        <v>0</v>
      </c>
      <c r="K193" t="s">
        <v>2875</v>
      </c>
      <c r="L193" t="s">
        <v>2853</v>
      </c>
      <c r="O193" s="363">
        <f t="shared" si="3"/>
        <v>0</v>
      </c>
      <c r="Q193" s="365">
        <v>1</v>
      </c>
      <c r="T193">
        <v>1</v>
      </c>
      <c r="U193" t="s">
        <v>2885</v>
      </c>
      <c r="V193" t="s">
        <v>2886</v>
      </c>
    </row>
    <row r="194" spans="1:22" x14ac:dyDescent="0.45">
      <c r="A194" t="s">
        <v>2887</v>
      </c>
      <c r="B194" t="s">
        <v>2888</v>
      </c>
      <c r="C194" t="str">
        <f>_xlfn.CONCAT(B194,U194)</f>
        <v>VC1ET</v>
      </c>
      <c r="D194" t="s">
        <v>2181</v>
      </c>
      <c r="E194" t="s">
        <v>2177</v>
      </c>
      <c r="F194" t="s">
        <v>65</v>
      </c>
      <c r="G194" s="362" t="s">
        <v>2889</v>
      </c>
      <c r="H194">
        <v>2015</v>
      </c>
      <c r="I194" s="367">
        <f>68002-2811-1460</f>
        <v>63731</v>
      </c>
      <c r="J194" s="364"/>
      <c r="K194" t="s">
        <v>2890</v>
      </c>
      <c r="L194" t="s">
        <v>2891</v>
      </c>
      <c r="O194" s="363">
        <f>I194/I206</f>
        <v>0.1902111301461854</v>
      </c>
      <c r="T194">
        <v>0</v>
      </c>
      <c r="U194" t="s">
        <v>2849</v>
      </c>
      <c r="V194" t="s">
        <v>594</v>
      </c>
    </row>
    <row r="195" spans="1:22" x14ac:dyDescent="0.45">
      <c r="A195" t="s">
        <v>2887</v>
      </c>
      <c r="B195" t="s">
        <v>2888</v>
      </c>
      <c r="C195" t="str">
        <f t="shared" ref="C195:C205" si="4">_xlfn.CONCAT(B195,U195)</f>
        <v>VC1ET14</v>
      </c>
      <c r="E195" t="s">
        <v>2177</v>
      </c>
      <c r="F195" t="s">
        <v>65</v>
      </c>
      <c r="G195" s="362" t="s">
        <v>2889</v>
      </c>
      <c r="H195">
        <v>2015</v>
      </c>
      <c r="I195" s="367">
        <v>14453</v>
      </c>
      <c r="J195" s="364"/>
      <c r="K195" t="s">
        <v>2890</v>
      </c>
      <c r="L195" t="s">
        <v>2891</v>
      </c>
      <c r="O195" s="363">
        <f t="shared" ref="O195:O204" si="5">I195/I207</f>
        <v>0.30832408908609948</v>
      </c>
      <c r="T195">
        <v>1</v>
      </c>
      <c r="U195" t="s">
        <v>2884</v>
      </c>
      <c r="V195" t="s">
        <v>814</v>
      </c>
    </row>
    <row r="196" spans="1:22" x14ac:dyDescent="0.45">
      <c r="A196" t="s">
        <v>2887</v>
      </c>
      <c r="B196" t="s">
        <v>2888</v>
      </c>
      <c r="C196" t="str">
        <f t="shared" si="4"/>
        <v>VC1ET02</v>
      </c>
      <c r="E196" t="s">
        <v>2177</v>
      </c>
      <c r="F196" t="s">
        <v>65</v>
      </c>
      <c r="G196" s="362" t="s">
        <v>2889</v>
      </c>
      <c r="H196">
        <v>2015</v>
      </c>
      <c r="I196" s="367">
        <v>358</v>
      </c>
      <c r="J196" s="364"/>
      <c r="K196" t="s">
        <v>2890</v>
      </c>
      <c r="L196" t="s">
        <v>2891</v>
      </c>
      <c r="O196" s="363">
        <f t="shared" si="5"/>
        <v>0.21296847114812612</v>
      </c>
      <c r="T196">
        <v>1</v>
      </c>
      <c r="U196" t="s">
        <v>2869</v>
      </c>
      <c r="V196" t="s">
        <v>2870</v>
      </c>
    </row>
    <row r="197" spans="1:22" x14ac:dyDescent="0.45">
      <c r="A197" t="s">
        <v>2887</v>
      </c>
      <c r="B197" t="s">
        <v>2888</v>
      </c>
      <c r="C197" t="str">
        <f t="shared" si="4"/>
        <v>VC1ET03</v>
      </c>
      <c r="E197" t="s">
        <v>2177</v>
      </c>
      <c r="F197" t="s">
        <v>65</v>
      </c>
      <c r="G197" s="362" t="s">
        <v>2889</v>
      </c>
      <c r="H197">
        <v>2015</v>
      </c>
      <c r="I197" s="367">
        <v>11263</v>
      </c>
      <c r="J197" s="364"/>
      <c r="K197" t="s">
        <v>2890</v>
      </c>
      <c r="L197" t="s">
        <v>2891</v>
      </c>
      <c r="O197" s="363">
        <f t="shared" si="5"/>
        <v>0.24284697815821815</v>
      </c>
      <c r="T197">
        <v>1</v>
      </c>
      <c r="U197" t="s">
        <v>2871</v>
      </c>
      <c r="V197" t="s">
        <v>805</v>
      </c>
    </row>
    <row r="198" spans="1:22" x14ac:dyDescent="0.45">
      <c r="A198" t="s">
        <v>2887</v>
      </c>
      <c r="B198" t="s">
        <v>2888</v>
      </c>
      <c r="C198" t="str">
        <f t="shared" si="4"/>
        <v>VC1ET06</v>
      </c>
      <c r="E198" t="s">
        <v>2177</v>
      </c>
      <c r="F198" t="s">
        <v>65</v>
      </c>
      <c r="G198" s="362" t="s">
        <v>2889</v>
      </c>
      <c r="H198">
        <v>2015</v>
      </c>
      <c r="I198" s="367">
        <v>1302</v>
      </c>
      <c r="J198" s="364"/>
      <c r="K198" t="s">
        <v>2890</v>
      </c>
      <c r="L198" t="s">
        <v>2891</v>
      </c>
      <c r="O198" s="363">
        <f t="shared" si="5"/>
        <v>0.39228683338354925</v>
      </c>
      <c r="T198">
        <v>1</v>
      </c>
      <c r="U198" t="s">
        <v>2876</v>
      </c>
      <c r="V198" t="s">
        <v>2877</v>
      </c>
    </row>
    <row r="199" spans="1:22" x14ac:dyDescent="0.45">
      <c r="A199" t="s">
        <v>2887</v>
      </c>
      <c r="B199" t="s">
        <v>2888</v>
      </c>
      <c r="C199" t="str">
        <f t="shared" si="4"/>
        <v>VC1ET15</v>
      </c>
      <c r="E199" t="s">
        <v>2177</v>
      </c>
      <c r="F199" t="s">
        <v>65</v>
      </c>
      <c r="G199" s="362" t="s">
        <v>2889</v>
      </c>
      <c r="H199">
        <v>2015</v>
      </c>
      <c r="I199" s="367">
        <v>1437</v>
      </c>
      <c r="J199" s="364"/>
      <c r="K199" t="s">
        <v>2890</v>
      </c>
      <c r="L199" t="s">
        <v>2891</v>
      </c>
      <c r="O199" s="363">
        <f t="shared" si="5"/>
        <v>0.26094062102778282</v>
      </c>
      <c r="T199">
        <v>1</v>
      </c>
      <c r="U199" t="s">
        <v>2885</v>
      </c>
      <c r="V199" t="s">
        <v>2886</v>
      </c>
    </row>
    <row r="200" spans="1:22" x14ac:dyDescent="0.45">
      <c r="A200" t="s">
        <v>2887</v>
      </c>
      <c r="B200" t="s">
        <v>2888</v>
      </c>
      <c r="C200" t="str">
        <f t="shared" si="4"/>
        <v>VC1ET12</v>
      </c>
      <c r="E200" t="s">
        <v>2177</v>
      </c>
      <c r="F200" t="s">
        <v>65</v>
      </c>
      <c r="G200" s="362" t="s">
        <v>2889</v>
      </c>
      <c r="H200">
        <v>2015</v>
      </c>
      <c r="I200" s="367">
        <v>157</v>
      </c>
      <c r="J200" s="364"/>
      <c r="K200" t="s">
        <v>2890</v>
      </c>
      <c r="L200" t="s">
        <v>2891</v>
      </c>
      <c r="O200" s="363">
        <f t="shared" si="5"/>
        <v>9.080393290919607E-2</v>
      </c>
      <c r="T200">
        <v>1</v>
      </c>
      <c r="U200" t="s">
        <v>2880</v>
      </c>
      <c r="V200" t="s">
        <v>2892</v>
      </c>
    </row>
    <row r="201" spans="1:22" x14ac:dyDescent="0.45">
      <c r="A201" t="s">
        <v>2887</v>
      </c>
      <c r="B201" t="s">
        <v>2888</v>
      </c>
      <c r="C201" t="str">
        <f t="shared" si="4"/>
        <v>VC1ET13</v>
      </c>
      <c r="E201" t="s">
        <v>2177</v>
      </c>
      <c r="F201" t="s">
        <v>65</v>
      </c>
      <c r="G201" s="362" t="s">
        <v>2889</v>
      </c>
      <c r="H201">
        <v>2015</v>
      </c>
      <c r="I201" s="367">
        <v>1384</v>
      </c>
      <c r="J201" s="364"/>
      <c r="K201" t="s">
        <v>2890</v>
      </c>
      <c r="L201" t="s">
        <v>2891</v>
      </c>
      <c r="O201" s="363">
        <f t="shared" si="5"/>
        <v>0.25634376736432674</v>
      </c>
      <c r="T201">
        <v>1</v>
      </c>
      <c r="U201" t="s">
        <v>2882</v>
      </c>
      <c r="V201" t="s">
        <v>2883</v>
      </c>
    </row>
    <row r="202" spans="1:22" x14ac:dyDescent="0.45">
      <c r="A202" t="s">
        <v>2887</v>
      </c>
      <c r="B202" t="s">
        <v>2888</v>
      </c>
      <c r="C202" t="str">
        <f t="shared" si="4"/>
        <v>VC1ET04</v>
      </c>
      <c r="E202" t="s">
        <v>2177</v>
      </c>
      <c r="F202" t="s">
        <v>65</v>
      </c>
      <c r="G202" s="362" t="s">
        <v>2889</v>
      </c>
      <c r="H202">
        <v>2015</v>
      </c>
      <c r="I202" s="367">
        <v>17084</v>
      </c>
      <c r="J202" s="364"/>
      <c r="K202" t="s">
        <v>2890</v>
      </c>
      <c r="L202" t="s">
        <v>2891</v>
      </c>
      <c r="O202" s="363">
        <f t="shared" si="5"/>
        <v>0.17016275224606067</v>
      </c>
      <c r="T202">
        <v>1</v>
      </c>
      <c r="U202" t="s">
        <v>2872</v>
      </c>
      <c r="V202" t="s">
        <v>809</v>
      </c>
    </row>
    <row r="203" spans="1:22" x14ac:dyDescent="0.45">
      <c r="A203" t="s">
        <v>2887</v>
      </c>
      <c r="B203" t="s">
        <v>2888</v>
      </c>
      <c r="C203" t="str">
        <f t="shared" si="4"/>
        <v>VC1ET07</v>
      </c>
      <c r="E203" t="s">
        <v>2177</v>
      </c>
      <c r="F203" t="s">
        <v>65</v>
      </c>
      <c r="G203" s="362" t="s">
        <v>2889</v>
      </c>
      <c r="H203">
        <v>2015</v>
      </c>
      <c r="I203" s="367">
        <v>12942</v>
      </c>
      <c r="J203" s="364"/>
      <c r="K203" t="s">
        <v>2890</v>
      </c>
      <c r="L203" t="s">
        <v>2891</v>
      </c>
      <c r="O203" s="363">
        <f t="shared" si="5"/>
        <v>0.18535174152153988</v>
      </c>
      <c r="T203">
        <v>1</v>
      </c>
      <c r="U203" t="s">
        <v>2878</v>
      </c>
      <c r="V203" t="s">
        <v>2879</v>
      </c>
    </row>
    <row r="204" spans="1:22" x14ac:dyDescent="0.45">
      <c r="A204" t="s">
        <v>2887</v>
      </c>
      <c r="B204" t="s">
        <v>2888</v>
      </c>
      <c r="C204" t="str">
        <f t="shared" si="4"/>
        <v>VC1ET05</v>
      </c>
      <c r="E204" t="s">
        <v>2177</v>
      </c>
      <c r="F204" t="s">
        <v>65</v>
      </c>
      <c r="G204" s="362" t="s">
        <v>2889</v>
      </c>
      <c r="H204">
        <v>2015</v>
      </c>
      <c r="I204" s="367">
        <v>1710</v>
      </c>
      <c r="J204" s="364"/>
      <c r="K204" t="s">
        <v>2890</v>
      </c>
      <c r="L204" t="s">
        <v>2891</v>
      </c>
      <c r="O204" s="363">
        <f t="shared" si="5"/>
        <v>0.20011702750146285</v>
      </c>
      <c r="T204">
        <v>1</v>
      </c>
      <c r="U204" t="s">
        <v>2873</v>
      </c>
      <c r="V204" t="s">
        <v>2874</v>
      </c>
    </row>
    <row r="205" spans="1:22" x14ac:dyDescent="0.45">
      <c r="A205" t="s">
        <v>2887</v>
      </c>
      <c r="B205" t="s">
        <v>2888</v>
      </c>
      <c r="C205" t="str">
        <f t="shared" si="4"/>
        <v>VC1ET01</v>
      </c>
      <c r="E205" t="s">
        <v>2177</v>
      </c>
      <c r="F205" t="s">
        <v>65</v>
      </c>
      <c r="G205" s="362" t="s">
        <v>2889</v>
      </c>
      <c r="H205">
        <v>2015</v>
      </c>
      <c r="I205" s="367">
        <v>5912</v>
      </c>
      <c r="J205" s="364"/>
      <c r="K205" t="s">
        <v>2890</v>
      </c>
      <c r="L205" t="s">
        <v>2891</v>
      </c>
      <c r="O205" s="363">
        <f>I205/I217</f>
        <v>0.13022886974910236</v>
      </c>
      <c r="T205">
        <v>1</v>
      </c>
      <c r="U205" t="s">
        <v>2868</v>
      </c>
      <c r="V205" t="s">
        <v>806</v>
      </c>
    </row>
    <row r="206" spans="1:22" x14ac:dyDescent="0.45">
      <c r="A206" t="s">
        <v>2893</v>
      </c>
      <c r="E206" t="s">
        <v>2889</v>
      </c>
      <c r="F206" t="s">
        <v>65</v>
      </c>
      <c r="G206" s="362" t="s">
        <v>2889</v>
      </c>
      <c r="H206">
        <v>2015</v>
      </c>
      <c r="I206" s="367">
        <v>335054</v>
      </c>
      <c r="J206" s="364"/>
      <c r="K206" t="s">
        <v>2894</v>
      </c>
      <c r="L206" t="s">
        <v>2891</v>
      </c>
      <c r="T206">
        <v>0</v>
      </c>
      <c r="U206" t="s">
        <v>2849</v>
      </c>
      <c r="V206" t="s">
        <v>594</v>
      </c>
    </row>
    <row r="207" spans="1:22" x14ac:dyDescent="0.45">
      <c r="A207" t="s">
        <v>2893</v>
      </c>
      <c r="E207" t="s">
        <v>2889</v>
      </c>
      <c r="F207" t="s">
        <v>65</v>
      </c>
      <c r="G207" s="362" t="s">
        <v>2889</v>
      </c>
      <c r="H207">
        <v>2015</v>
      </c>
      <c r="I207" s="367">
        <v>46876</v>
      </c>
      <c r="J207" s="364"/>
      <c r="K207" t="s">
        <v>2894</v>
      </c>
      <c r="L207" t="s">
        <v>2891</v>
      </c>
      <c r="T207">
        <v>1</v>
      </c>
      <c r="U207" t="s">
        <v>2884</v>
      </c>
      <c r="V207" t="s">
        <v>814</v>
      </c>
    </row>
    <row r="208" spans="1:22" x14ac:dyDescent="0.45">
      <c r="A208" t="s">
        <v>2893</v>
      </c>
      <c r="E208" t="s">
        <v>2889</v>
      </c>
      <c r="F208" t="s">
        <v>65</v>
      </c>
      <c r="G208" s="362" t="s">
        <v>2889</v>
      </c>
      <c r="H208">
        <v>2015</v>
      </c>
      <c r="I208" s="367">
        <v>1681</v>
      </c>
      <c r="J208" s="364"/>
      <c r="K208" t="s">
        <v>2894</v>
      </c>
      <c r="L208" t="s">
        <v>2891</v>
      </c>
      <c r="T208">
        <v>1</v>
      </c>
      <c r="U208" t="s">
        <v>2869</v>
      </c>
      <c r="V208" t="s">
        <v>2870</v>
      </c>
    </row>
    <row r="209" spans="1:22" x14ac:dyDescent="0.45">
      <c r="A209" t="s">
        <v>2893</v>
      </c>
      <c r="E209" t="s">
        <v>2889</v>
      </c>
      <c r="F209" t="s">
        <v>65</v>
      </c>
      <c r="G209" s="362" t="s">
        <v>2889</v>
      </c>
      <c r="H209">
        <v>2015</v>
      </c>
      <c r="I209" s="367">
        <v>46379</v>
      </c>
      <c r="J209" s="364"/>
      <c r="K209" t="s">
        <v>2894</v>
      </c>
      <c r="L209" t="s">
        <v>2891</v>
      </c>
      <c r="T209">
        <v>1</v>
      </c>
      <c r="U209" t="s">
        <v>2871</v>
      </c>
      <c r="V209" t="s">
        <v>805</v>
      </c>
    </row>
    <row r="210" spans="1:22" x14ac:dyDescent="0.45">
      <c r="A210" t="s">
        <v>2893</v>
      </c>
      <c r="E210" t="s">
        <v>2889</v>
      </c>
      <c r="F210" t="s">
        <v>65</v>
      </c>
      <c r="G210" s="362" t="s">
        <v>2889</v>
      </c>
      <c r="H210">
        <v>2015</v>
      </c>
      <c r="I210" s="367">
        <v>3319</v>
      </c>
      <c r="J210" s="364"/>
      <c r="K210" t="s">
        <v>2894</v>
      </c>
      <c r="L210" t="s">
        <v>2891</v>
      </c>
      <c r="T210">
        <v>1</v>
      </c>
      <c r="U210" t="s">
        <v>2876</v>
      </c>
      <c r="V210" t="s">
        <v>2877</v>
      </c>
    </row>
    <row r="211" spans="1:22" x14ac:dyDescent="0.45">
      <c r="A211" t="s">
        <v>2893</v>
      </c>
      <c r="E211" t="s">
        <v>2889</v>
      </c>
      <c r="F211" t="s">
        <v>65</v>
      </c>
      <c r="G211" s="362" t="s">
        <v>2889</v>
      </c>
      <c r="H211">
        <v>2015</v>
      </c>
      <c r="I211" s="367">
        <v>5507</v>
      </c>
      <c r="J211" s="364"/>
      <c r="K211" t="s">
        <v>2894</v>
      </c>
      <c r="L211" t="s">
        <v>2891</v>
      </c>
      <c r="T211">
        <v>1</v>
      </c>
      <c r="U211" t="s">
        <v>2885</v>
      </c>
      <c r="V211" t="s">
        <v>2886</v>
      </c>
    </row>
    <row r="212" spans="1:22" x14ac:dyDescent="0.45">
      <c r="A212" t="s">
        <v>2893</v>
      </c>
      <c r="E212" t="s">
        <v>2889</v>
      </c>
      <c r="F212" t="s">
        <v>65</v>
      </c>
      <c r="G212" s="362" t="s">
        <v>2889</v>
      </c>
      <c r="H212">
        <v>2015</v>
      </c>
      <c r="I212" s="367">
        <v>1729</v>
      </c>
      <c r="J212" s="364"/>
      <c r="K212" t="s">
        <v>2894</v>
      </c>
      <c r="L212" t="s">
        <v>2891</v>
      </c>
      <c r="T212">
        <v>1</v>
      </c>
      <c r="U212" t="s">
        <v>2880</v>
      </c>
      <c r="V212" t="s">
        <v>2892</v>
      </c>
    </row>
    <row r="213" spans="1:22" x14ac:dyDescent="0.45">
      <c r="A213" t="s">
        <v>2893</v>
      </c>
      <c r="E213" t="s">
        <v>2889</v>
      </c>
      <c r="F213" t="s">
        <v>65</v>
      </c>
      <c r="G213" s="362" t="s">
        <v>2889</v>
      </c>
      <c r="H213">
        <v>2015</v>
      </c>
      <c r="I213" s="367">
        <v>5399</v>
      </c>
      <c r="J213" s="364"/>
      <c r="K213" t="s">
        <v>2894</v>
      </c>
      <c r="L213" t="s">
        <v>2891</v>
      </c>
      <c r="T213">
        <v>1</v>
      </c>
      <c r="U213" t="s">
        <v>2882</v>
      </c>
      <c r="V213" t="s">
        <v>2883</v>
      </c>
    </row>
    <row r="214" spans="1:22" x14ac:dyDescent="0.45">
      <c r="A214" t="s">
        <v>2893</v>
      </c>
      <c r="E214" t="s">
        <v>2889</v>
      </c>
      <c r="F214" t="s">
        <v>65</v>
      </c>
      <c r="G214" s="362" t="s">
        <v>2889</v>
      </c>
      <c r="H214">
        <v>2015</v>
      </c>
      <c r="I214" s="367">
        <v>100398</v>
      </c>
      <c r="J214" s="364"/>
      <c r="K214" t="s">
        <v>2894</v>
      </c>
      <c r="L214" t="s">
        <v>2891</v>
      </c>
      <c r="T214">
        <v>1</v>
      </c>
      <c r="U214" t="s">
        <v>2872</v>
      </c>
      <c r="V214" t="s">
        <v>809</v>
      </c>
    </row>
    <row r="215" spans="1:22" x14ac:dyDescent="0.45">
      <c r="A215" t="s">
        <v>2893</v>
      </c>
      <c r="E215" t="s">
        <v>2889</v>
      </c>
      <c r="F215" t="s">
        <v>65</v>
      </c>
      <c r="G215" s="362" t="s">
        <v>2889</v>
      </c>
      <c r="H215">
        <v>2015</v>
      </c>
      <c r="I215" s="367">
        <v>69824</v>
      </c>
      <c r="J215" s="364"/>
      <c r="K215" t="s">
        <v>2894</v>
      </c>
      <c r="L215" t="s">
        <v>2891</v>
      </c>
      <c r="T215">
        <v>1</v>
      </c>
      <c r="U215" t="s">
        <v>2878</v>
      </c>
      <c r="V215" t="s">
        <v>2879</v>
      </c>
    </row>
    <row r="216" spans="1:22" x14ac:dyDescent="0.45">
      <c r="A216" t="s">
        <v>2893</v>
      </c>
      <c r="E216" t="s">
        <v>2889</v>
      </c>
      <c r="F216" t="s">
        <v>65</v>
      </c>
      <c r="G216" s="362" t="s">
        <v>2889</v>
      </c>
      <c r="H216">
        <v>2015</v>
      </c>
      <c r="I216" s="367">
        <v>8545</v>
      </c>
      <c r="J216" s="364"/>
      <c r="K216" t="s">
        <v>2894</v>
      </c>
      <c r="L216" t="s">
        <v>2891</v>
      </c>
      <c r="T216">
        <v>1</v>
      </c>
      <c r="U216" t="s">
        <v>2873</v>
      </c>
      <c r="V216" t="s">
        <v>2874</v>
      </c>
    </row>
    <row r="217" spans="1:22" x14ac:dyDescent="0.45">
      <c r="A217" t="s">
        <v>2893</v>
      </c>
      <c r="E217" t="s">
        <v>2889</v>
      </c>
      <c r="F217" t="s">
        <v>65</v>
      </c>
      <c r="G217" s="362" t="s">
        <v>2889</v>
      </c>
      <c r="H217">
        <v>2015</v>
      </c>
      <c r="I217" s="367">
        <v>45397</v>
      </c>
      <c r="J217" s="364"/>
      <c r="K217" t="s">
        <v>2894</v>
      </c>
      <c r="L217" t="s">
        <v>2891</v>
      </c>
      <c r="T217">
        <v>1</v>
      </c>
      <c r="U217" t="s">
        <v>2868</v>
      </c>
      <c r="V217" t="s">
        <v>806</v>
      </c>
    </row>
    <row r="218" spans="1:22" s="369" customFormat="1" x14ac:dyDescent="0.45">
      <c r="A218" s="369" t="s">
        <v>2895</v>
      </c>
      <c r="E218" s="369" t="s">
        <v>2896</v>
      </c>
      <c r="F218" s="369" t="s">
        <v>65</v>
      </c>
      <c r="G218" s="370" t="s">
        <v>156</v>
      </c>
      <c r="H218" s="369" t="s">
        <v>2897</v>
      </c>
      <c r="I218" s="371">
        <v>12.93</v>
      </c>
      <c r="J218" s="369" t="s">
        <v>2898</v>
      </c>
      <c r="K218" s="369" t="s">
        <v>2899</v>
      </c>
      <c r="L218" s="369" t="s">
        <v>2900</v>
      </c>
      <c r="Q218" s="372"/>
      <c r="T218" s="369">
        <v>0</v>
      </c>
      <c r="U218" s="369" t="s">
        <v>2849</v>
      </c>
      <c r="V218" s="369" t="s">
        <v>594</v>
      </c>
    </row>
    <row r="219" spans="1:22" s="369" customFormat="1" x14ac:dyDescent="0.45">
      <c r="A219" s="369" t="s">
        <v>2895</v>
      </c>
      <c r="E219" s="369" t="s">
        <v>2896</v>
      </c>
      <c r="F219" s="369" t="s">
        <v>65</v>
      </c>
      <c r="G219" s="370" t="s">
        <v>156</v>
      </c>
      <c r="H219" s="369" t="s">
        <v>2901</v>
      </c>
      <c r="I219" s="371">
        <v>15.4</v>
      </c>
      <c r="K219" s="369" t="s">
        <v>2899</v>
      </c>
      <c r="L219" s="369" t="s">
        <v>2900</v>
      </c>
      <c r="Q219" s="372"/>
      <c r="T219" s="369">
        <v>1</v>
      </c>
      <c r="U219" s="369" t="s">
        <v>2872</v>
      </c>
      <c r="V219" s="369" t="s">
        <v>809</v>
      </c>
    </row>
    <row r="220" spans="1:22" s="369" customFormat="1" x14ac:dyDescent="0.45">
      <c r="A220" s="369" t="s">
        <v>2895</v>
      </c>
      <c r="E220" s="369" t="s">
        <v>2896</v>
      </c>
      <c r="F220" s="369" t="s">
        <v>65</v>
      </c>
      <c r="G220" s="370" t="s">
        <v>156</v>
      </c>
      <c r="H220" s="369" t="s">
        <v>2902</v>
      </c>
      <c r="I220" s="371">
        <v>8.15</v>
      </c>
      <c r="K220" s="369" t="s">
        <v>2899</v>
      </c>
      <c r="L220" s="369" t="s">
        <v>2900</v>
      </c>
      <c r="Q220" s="372"/>
      <c r="T220" s="369">
        <v>1</v>
      </c>
      <c r="U220" s="369" t="s">
        <v>2878</v>
      </c>
      <c r="V220" s="369" t="s">
        <v>2879</v>
      </c>
    </row>
    <row r="221" spans="1:22" s="369" customFormat="1" x14ac:dyDescent="0.45">
      <c r="A221" s="369" t="s">
        <v>2895</v>
      </c>
      <c r="E221" s="369" t="s">
        <v>2896</v>
      </c>
      <c r="F221" s="369" t="s">
        <v>65</v>
      </c>
      <c r="G221" s="370" t="s">
        <v>156</v>
      </c>
      <c r="H221" s="369" t="s">
        <v>2903</v>
      </c>
      <c r="I221" s="371">
        <v>14.48</v>
      </c>
      <c r="K221" s="369" t="s">
        <v>2899</v>
      </c>
      <c r="L221" s="369" t="s">
        <v>2900</v>
      </c>
      <c r="Q221" s="372"/>
      <c r="T221" s="369">
        <v>1</v>
      </c>
      <c r="U221" s="369" t="s">
        <v>2868</v>
      </c>
      <c r="V221" s="369" t="s">
        <v>806</v>
      </c>
    </row>
    <row r="222" spans="1:22" s="369" customFormat="1" x14ac:dyDescent="0.45">
      <c r="A222" s="369" t="s">
        <v>2895</v>
      </c>
      <c r="E222" s="369" t="s">
        <v>2896</v>
      </c>
      <c r="F222" s="369" t="s">
        <v>65</v>
      </c>
      <c r="G222" s="370" t="s">
        <v>156</v>
      </c>
      <c r="H222" s="369">
        <v>2016</v>
      </c>
      <c r="I222" s="371">
        <v>10.7</v>
      </c>
      <c r="J222" s="369" t="s">
        <v>2904</v>
      </c>
      <c r="K222" s="369" t="s">
        <v>2899</v>
      </c>
      <c r="L222" s="369" t="s">
        <v>2195</v>
      </c>
      <c r="Q222" s="372"/>
      <c r="T222" s="369">
        <v>1</v>
      </c>
      <c r="U222" s="369" t="s">
        <v>2871</v>
      </c>
      <c r="V222" s="369" t="s">
        <v>805</v>
      </c>
    </row>
    <row r="223" spans="1:22" x14ac:dyDescent="0.45">
      <c r="A223" t="s">
        <v>2905</v>
      </c>
      <c r="B223" t="s">
        <v>2906</v>
      </c>
      <c r="C223" t="str">
        <f t="shared" ref="C223:C238" si="6">_xlfn.CONCAT(B223,U223)</f>
        <v>VC2ET</v>
      </c>
      <c r="D223" t="s">
        <v>2192</v>
      </c>
      <c r="E223" t="s">
        <v>2187</v>
      </c>
      <c r="F223" t="s">
        <v>65</v>
      </c>
      <c r="G223" s="362" t="s">
        <v>156</v>
      </c>
      <c r="H223" t="s">
        <v>2903</v>
      </c>
      <c r="I223" s="364">
        <v>14.81</v>
      </c>
      <c r="J223" s="364" t="s">
        <v>2907</v>
      </c>
      <c r="K223" t="s">
        <v>2908</v>
      </c>
      <c r="L223" t="s">
        <v>2909</v>
      </c>
      <c r="O223" s="363">
        <f>I223/100</f>
        <v>0.14810000000000001</v>
      </c>
      <c r="T223">
        <v>0</v>
      </c>
      <c r="U223" t="s">
        <v>2849</v>
      </c>
      <c r="V223" t="s">
        <v>594</v>
      </c>
    </row>
    <row r="224" spans="1:22" x14ac:dyDescent="0.45">
      <c r="A224" t="s">
        <v>2905</v>
      </c>
      <c r="B224" t="s">
        <v>2906</v>
      </c>
      <c r="C224" t="str">
        <f t="shared" si="6"/>
        <v>VC2ET03</v>
      </c>
      <c r="E224" t="s">
        <v>2187</v>
      </c>
      <c r="F224" t="s">
        <v>65</v>
      </c>
      <c r="G224" s="362" t="s">
        <v>156</v>
      </c>
      <c r="H224" t="s">
        <v>2910</v>
      </c>
      <c r="I224" s="364">
        <v>18.54</v>
      </c>
      <c r="J224" s="364" t="s">
        <v>2911</v>
      </c>
      <c r="K224" t="s">
        <v>2912</v>
      </c>
      <c r="L224" t="s">
        <v>2909</v>
      </c>
      <c r="O224" s="363">
        <f t="shared" ref="O224:O226" si="7">I224/100</f>
        <v>0.18539999999999998</v>
      </c>
      <c r="T224">
        <v>1</v>
      </c>
      <c r="U224" t="s">
        <v>2871</v>
      </c>
      <c r="V224" t="s">
        <v>805</v>
      </c>
    </row>
    <row r="225" spans="1:22" x14ac:dyDescent="0.45">
      <c r="A225" t="s">
        <v>2905</v>
      </c>
      <c r="B225" t="s">
        <v>2906</v>
      </c>
      <c r="C225" t="str">
        <f t="shared" si="6"/>
        <v>VC2ET14</v>
      </c>
      <c r="E225" t="s">
        <v>2187</v>
      </c>
      <c r="F225" t="s">
        <v>65</v>
      </c>
      <c r="G225" s="362" t="s">
        <v>156</v>
      </c>
      <c r="H225">
        <v>2014</v>
      </c>
      <c r="I225" s="364">
        <v>8.3800000000000008</v>
      </c>
      <c r="J225" s="364" t="s">
        <v>2913</v>
      </c>
      <c r="K225" t="s">
        <v>2914</v>
      </c>
      <c r="L225" t="s">
        <v>1863</v>
      </c>
      <c r="O225" s="363">
        <f t="shared" si="7"/>
        <v>8.3800000000000013E-2</v>
      </c>
      <c r="T225">
        <v>1</v>
      </c>
      <c r="U225" t="s">
        <v>2884</v>
      </c>
      <c r="V225" t="s">
        <v>814</v>
      </c>
    </row>
    <row r="226" spans="1:22" x14ac:dyDescent="0.45">
      <c r="A226" t="s">
        <v>2905</v>
      </c>
      <c r="B226" t="s">
        <v>2906</v>
      </c>
      <c r="C226" t="str">
        <f t="shared" si="6"/>
        <v>VC2ET15</v>
      </c>
      <c r="E226" t="s">
        <v>2187</v>
      </c>
      <c r="F226" t="s">
        <v>65</v>
      </c>
      <c r="G226" s="362" t="s">
        <v>156</v>
      </c>
      <c r="H226">
        <v>2019</v>
      </c>
      <c r="I226" s="366">
        <v>12.93</v>
      </c>
      <c r="J226" s="364" t="s">
        <v>2915</v>
      </c>
      <c r="K226" t="s">
        <v>2914</v>
      </c>
      <c r="L226" t="s">
        <v>1863</v>
      </c>
      <c r="O226" s="363">
        <f t="shared" si="7"/>
        <v>0.1293</v>
      </c>
      <c r="Q226" s="365"/>
      <c r="T226">
        <v>1</v>
      </c>
      <c r="U226" t="s">
        <v>2885</v>
      </c>
      <c r="V226" t="s">
        <v>2886</v>
      </c>
    </row>
    <row r="227" spans="1:22" x14ac:dyDescent="0.45">
      <c r="A227" t="s">
        <v>2916</v>
      </c>
      <c r="B227" t="s">
        <v>2917</v>
      </c>
      <c r="C227" t="str">
        <f t="shared" si="6"/>
        <v>VC3ET</v>
      </c>
      <c r="D227" t="s">
        <v>2193</v>
      </c>
      <c r="E227" t="s">
        <v>2188</v>
      </c>
      <c r="F227" t="s">
        <v>65</v>
      </c>
      <c r="G227" s="362" t="s">
        <v>156</v>
      </c>
      <c r="H227" t="s">
        <v>2918</v>
      </c>
      <c r="I227" s="364">
        <v>9.5</v>
      </c>
      <c r="J227" s="364"/>
      <c r="K227" t="s">
        <v>2919</v>
      </c>
      <c r="L227" t="s">
        <v>2195</v>
      </c>
      <c r="O227" s="363">
        <f>I227/100</f>
        <v>9.5000000000000001E-2</v>
      </c>
      <c r="T227">
        <v>0</v>
      </c>
      <c r="U227" t="s">
        <v>2849</v>
      </c>
      <c r="V227" t="s">
        <v>594</v>
      </c>
    </row>
    <row r="228" spans="1:22" x14ac:dyDescent="0.45">
      <c r="A228" t="s">
        <v>2920</v>
      </c>
      <c r="B228" t="s">
        <v>2921</v>
      </c>
      <c r="C228" t="str">
        <f t="shared" si="6"/>
        <v>VC4ET</v>
      </c>
      <c r="D228" t="s">
        <v>2194</v>
      </c>
      <c r="E228" t="s">
        <v>2189</v>
      </c>
      <c r="F228" t="s">
        <v>65</v>
      </c>
      <c r="G228" s="362" t="s">
        <v>156</v>
      </c>
      <c r="H228" t="s">
        <v>2922</v>
      </c>
      <c r="I228" s="364">
        <v>8.24</v>
      </c>
      <c r="J228" s="364" t="s">
        <v>2923</v>
      </c>
      <c r="K228" t="s">
        <v>2914</v>
      </c>
      <c r="L228" t="s">
        <v>2195</v>
      </c>
      <c r="O228" s="363">
        <f>I228/100</f>
        <v>8.2400000000000001E-2</v>
      </c>
      <c r="T228">
        <v>0</v>
      </c>
      <c r="U228" t="s">
        <v>2849</v>
      </c>
      <c r="V228" t="s">
        <v>594</v>
      </c>
    </row>
    <row r="229" spans="1:22" x14ac:dyDescent="0.45">
      <c r="A229" t="s">
        <v>2920</v>
      </c>
      <c r="B229" t="s">
        <v>2921</v>
      </c>
      <c r="C229" t="str">
        <f t="shared" si="6"/>
        <v>VC4ETR</v>
      </c>
      <c r="E229" t="s">
        <v>2189</v>
      </c>
      <c r="F229" t="s">
        <v>65</v>
      </c>
      <c r="G229" s="362" t="s">
        <v>156</v>
      </c>
      <c r="H229" t="s">
        <v>2924</v>
      </c>
      <c r="I229" s="364">
        <v>9.98</v>
      </c>
      <c r="J229" s="364" t="s">
        <v>2925</v>
      </c>
      <c r="K229" t="s">
        <v>2914</v>
      </c>
      <c r="O229" s="363">
        <f t="shared" ref="O229:O237" si="8">I229/100</f>
        <v>9.98E-2</v>
      </c>
      <c r="T229">
        <v>0.5</v>
      </c>
      <c r="U229" t="s">
        <v>2866</v>
      </c>
      <c r="V229" t="s">
        <v>84</v>
      </c>
    </row>
    <row r="230" spans="1:22" x14ac:dyDescent="0.45">
      <c r="A230" t="s">
        <v>2920</v>
      </c>
      <c r="B230" t="s">
        <v>2921</v>
      </c>
      <c r="C230" t="str">
        <f t="shared" si="6"/>
        <v>VC4ETU</v>
      </c>
      <c r="E230" t="s">
        <v>2189</v>
      </c>
      <c r="F230" t="s">
        <v>65</v>
      </c>
      <c r="G230" s="362" t="s">
        <v>156</v>
      </c>
      <c r="H230" t="s">
        <v>2922</v>
      </c>
      <c r="I230" s="364">
        <v>7.78</v>
      </c>
      <c r="J230" s="364" t="s">
        <v>2926</v>
      </c>
      <c r="K230" t="s">
        <v>2914</v>
      </c>
      <c r="O230" s="363">
        <f t="shared" si="8"/>
        <v>7.7800000000000008E-2</v>
      </c>
      <c r="T230">
        <v>0.5</v>
      </c>
      <c r="U230" t="s">
        <v>2867</v>
      </c>
      <c r="V230" t="s">
        <v>336</v>
      </c>
    </row>
    <row r="231" spans="1:22" x14ac:dyDescent="0.45">
      <c r="A231" t="s">
        <v>2920</v>
      </c>
      <c r="B231" t="s">
        <v>2921</v>
      </c>
      <c r="C231" t="str">
        <f t="shared" si="6"/>
        <v>VC4ET03</v>
      </c>
      <c r="E231" t="s">
        <v>2189</v>
      </c>
      <c r="F231" t="s">
        <v>65</v>
      </c>
      <c r="G231" s="362" t="s">
        <v>156</v>
      </c>
      <c r="H231" t="s">
        <v>2922</v>
      </c>
      <c r="I231" s="364">
        <v>10.66</v>
      </c>
      <c r="J231" s="364" t="s">
        <v>2927</v>
      </c>
      <c r="K231" t="s">
        <v>2914</v>
      </c>
      <c r="O231" s="363">
        <f t="shared" si="8"/>
        <v>0.1066</v>
      </c>
      <c r="T231">
        <v>1</v>
      </c>
      <c r="U231" t="s">
        <v>2871</v>
      </c>
      <c r="V231" t="s">
        <v>805</v>
      </c>
    </row>
    <row r="232" spans="1:22" x14ac:dyDescent="0.45">
      <c r="A232" t="s">
        <v>2920</v>
      </c>
      <c r="B232" t="s">
        <v>2921</v>
      </c>
      <c r="C232" t="str">
        <f t="shared" si="6"/>
        <v>VC4ET07</v>
      </c>
      <c r="E232" t="s">
        <v>2189</v>
      </c>
      <c r="F232" t="s">
        <v>65</v>
      </c>
      <c r="G232" s="362" t="s">
        <v>156</v>
      </c>
      <c r="H232" t="s">
        <v>2924</v>
      </c>
      <c r="I232" s="364">
        <v>7.63</v>
      </c>
      <c r="J232" s="364" t="s">
        <v>2928</v>
      </c>
      <c r="K232" t="s">
        <v>2914</v>
      </c>
      <c r="O232" s="363">
        <f t="shared" si="8"/>
        <v>7.6299999999999993E-2</v>
      </c>
      <c r="T232">
        <v>1</v>
      </c>
      <c r="U232" t="s">
        <v>2878</v>
      </c>
      <c r="V232" t="s">
        <v>2879</v>
      </c>
    </row>
    <row r="233" spans="1:22" x14ac:dyDescent="0.45">
      <c r="A233" t="s">
        <v>2920</v>
      </c>
      <c r="B233" t="s">
        <v>2921</v>
      </c>
      <c r="C233" t="str">
        <f t="shared" si="6"/>
        <v>VC4ET04</v>
      </c>
      <c r="E233" t="s">
        <v>2189</v>
      </c>
      <c r="F233" t="s">
        <v>65</v>
      </c>
      <c r="G233" s="362" t="s">
        <v>156</v>
      </c>
      <c r="H233" t="s">
        <v>2929</v>
      </c>
      <c r="I233" s="364">
        <v>7.74</v>
      </c>
      <c r="J233" s="364" t="s">
        <v>2930</v>
      </c>
      <c r="K233" t="s">
        <v>2914</v>
      </c>
      <c r="O233" s="363">
        <f t="shared" si="8"/>
        <v>7.7399999999999997E-2</v>
      </c>
      <c r="T233">
        <v>1</v>
      </c>
      <c r="U233" t="s">
        <v>2872</v>
      </c>
      <c r="V233" t="s">
        <v>809</v>
      </c>
    </row>
    <row r="234" spans="1:22" x14ac:dyDescent="0.45">
      <c r="A234" t="s">
        <v>2920</v>
      </c>
      <c r="B234" t="s">
        <v>2921</v>
      </c>
      <c r="C234" t="str">
        <f t="shared" si="6"/>
        <v>VC4ET14</v>
      </c>
      <c r="E234" t="s">
        <v>2189</v>
      </c>
      <c r="F234" t="s">
        <v>65</v>
      </c>
      <c r="G234" s="362" t="s">
        <v>156</v>
      </c>
      <c r="H234">
        <v>2014</v>
      </c>
      <c r="I234" s="364">
        <v>6.82</v>
      </c>
      <c r="J234" s="364" t="s">
        <v>2931</v>
      </c>
      <c r="K234" t="s">
        <v>2914</v>
      </c>
      <c r="O234" s="363">
        <f t="shared" si="8"/>
        <v>6.8199999999999997E-2</v>
      </c>
      <c r="T234">
        <v>1</v>
      </c>
      <c r="U234" t="s">
        <v>2884</v>
      </c>
      <c r="V234" t="s">
        <v>814</v>
      </c>
    </row>
    <row r="235" spans="1:22" x14ac:dyDescent="0.45">
      <c r="A235" t="s">
        <v>2920</v>
      </c>
      <c r="B235" t="s">
        <v>2921</v>
      </c>
      <c r="C235" t="str">
        <f t="shared" si="6"/>
        <v>VC4ET15</v>
      </c>
      <c r="E235" t="s">
        <v>2189</v>
      </c>
      <c r="F235" t="s">
        <v>65</v>
      </c>
      <c r="G235" s="362" t="s">
        <v>156</v>
      </c>
      <c r="H235">
        <v>2021</v>
      </c>
      <c r="I235" s="364">
        <v>13</v>
      </c>
      <c r="J235" s="364" t="s">
        <v>2932</v>
      </c>
      <c r="K235" t="s">
        <v>2914</v>
      </c>
      <c r="O235" s="363">
        <f t="shared" si="8"/>
        <v>0.13</v>
      </c>
      <c r="T235">
        <v>1</v>
      </c>
      <c r="U235" t="s">
        <v>2885</v>
      </c>
      <c r="V235" t="s">
        <v>2886</v>
      </c>
    </row>
    <row r="236" spans="1:22" x14ac:dyDescent="0.45">
      <c r="A236" t="s">
        <v>2920</v>
      </c>
      <c r="B236" t="s">
        <v>2921</v>
      </c>
      <c r="C236" t="str">
        <f t="shared" si="6"/>
        <v>VC4ET01</v>
      </c>
      <c r="E236" t="s">
        <v>2189</v>
      </c>
      <c r="F236" t="s">
        <v>65</v>
      </c>
      <c r="G236" s="362" t="s">
        <v>156</v>
      </c>
      <c r="H236">
        <v>2020</v>
      </c>
      <c r="I236" s="364">
        <v>3.1</v>
      </c>
      <c r="J236" s="364" t="s">
        <v>2933</v>
      </c>
      <c r="K236" t="s">
        <v>2914</v>
      </c>
      <c r="O236" s="363">
        <f t="shared" si="8"/>
        <v>3.1E-2</v>
      </c>
      <c r="T236">
        <v>1</v>
      </c>
      <c r="U236" t="s">
        <v>2868</v>
      </c>
      <c r="V236" t="s">
        <v>806</v>
      </c>
    </row>
    <row r="237" spans="1:22" x14ac:dyDescent="0.45">
      <c r="A237" t="s">
        <v>2920</v>
      </c>
      <c r="B237" t="s">
        <v>2921</v>
      </c>
      <c r="C237" t="str">
        <f t="shared" si="6"/>
        <v>VC4ET13</v>
      </c>
      <c r="E237" t="s">
        <v>2189</v>
      </c>
      <c r="F237" t="s">
        <v>65</v>
      </c>
      <c r="G237" s="362" t="s">
        <v>156</v>
      </c>
      <c r="H237">
        <v>2021</v>
      </c>
      <c r="I237" s="364">
        <v>12.9</v>
      </c>
      <c r="J237" s="364" t="s">
        <v>2934</v>
      </c>
      <c r="K237" t="s">
        <v>2914</v>
      </c>
      <c r="O237" s="363">
        <f t="shared" si="8"/>
        <v>0.129</v>
      </c>
      <c r="T237">
        <v>1</v>
      </c>
      <c r="U237" t="s">
        <v>2882</v>
      </c>
      <c r="V237" t="s">
        <v>2883</v>
      </c>
    </row>
    <row r="238" spans="1:22" x14ac:dyDescent="0.45">
      <c r="A238" t="s">
        <v>2935</v>
      </c>
      <c r="B238" t="s">
        <v>2936</v>
      </c>
      <c r="C238" t="str">
        <f t="shared" si="6"/>
        <v>VC5ET</v>
      </c>
      <c r="D238" t="s">
        <v>2228</v>
      </c>
      <c r="E238" t="s">
        <v>173</v>
      </c>
      <c r="F238" t="s">
        <v>67</v>
      </c>
      <c r="G238" s="362" t="s">
        <v>2937</v>
      </c>
      <c r="H238" t="s">
        <v>2938</v>
      </c>
      <c r="I238" s="364">
        <v>46.09</v>
      </c>
      <c r="J238" s="364"/>
      <c r="K238" t="s">
        <v>2939</v>
      </c>
      <c r="L238" t="s">
        <v>2909</v>
      </c>
      <c r="O238" s="363">
        <f>I238/100</f>
        <v>0.46090000000000003</v>
      </c>
      <c r="T238">
        <v>0</v>
      </c>
      <c r="U238" t="s">
        <v>2849</v>
      </c>
      <c r="V238" t="s">
        <v>594</v>
      </c>
    </row>
    <row r="239" spans="1:22" x14ac:dyDescent="0.45">
      <c r="A239" t="s">
        <v>2940</v>
      </c>
      <c r="D239" t="s">
        <v>2636</v>
      </c>
      <c r="E239" t="s">
        <v>2219</v>
      </c>
      <c r="F239" t="s">
        <v>70</v>
      </c>
      <c r="G239" s="362" t="s">
        <v>2941</v>
      </c>
      <c r="H239">
        <v>2014</v>
      </c>
      <c r="I239" s="364">
        <v>48.5</v>
      </c>
      <c r="J239" s="364"/>
      <c r="K239" t="s">
        <v>2942</v>
      </c>
      <c r="L239" t="s">
        <v>1863</v>
      </c>
      <c r="T239">
        <v>0</v>
      </c>
      <c r="U239" t="s">
        <v>2849</v>
      </c>
      <c r="V239" t="s">
        <v>594</v>
      </c>
    </row>
    <row r="240" spans="1:22" x14ac:dyDescent="0.45">
      <c r="A240" t="s">
        <v>2943</v>
      </c>
      <c r="E240" t="s">
        <v>2944</v>
      </c>
      <c r="F240" t="s">
        <v>70</v>
      </c>
      <c r="G240" s="362" t="s">
        <v>2941</v>
      </c>
      <c r="H240">
        <v>2016</v>
      </c>
      <c r="I240" s="364">
        <v>46.2</v>
      </c>
      <c r="J240" s="364"/>
      <c r="K240" t="s">
        <v>2942</v>
      </c>
      <c r="L240" t="s">
        <v>1863</v>
      </c>
      <c r="Q240" s="364">
        <f>(I240/I241)^(1/(H240-H241))</f>
        <v>0.98042496169476234</v>
      </c>
      <c r="T240">
        <v>0</v>
      </c>
      <c r="U240" t="s">
        <v>2849</v>
      </c>
      <c r="V240" t="s">
        <v>594</v>
      </c>
    </row>
    <row r="241" spans="1:22" x14ac:dyDescent="0.45">
      <c r="A241" t="s">
        <v>2943</v>
      </c>
      <c r="E241" t="s">
        <v>2944</v>
      </c>
      <c r="F241" t="s">
        <v>70</v>
      </c>
      <c r="G241" s="362" t="s">
        <v>2941</v>
      </c>
      <c r="H241">
        <v>2011</v>
      </c>
      <c r="I241" s="364">
        <v>51</v>
      </c>
      <c r="J241" s="364"/>
      <c r="K241" t="s">
        <v>2942</v>
      </c>
      <c r="L241" t="s">
        <v>1863</v>
      </c>
      <c r="T241">
        <v>0</v>
      </c>
      <c r="U241" t="s">
        <v>2849</v>
      </c>
      <c r="V241" t="s">
        <v>594</v>
      </c>
    </row>
    <row r="242" spans="1:22" x14ac:dyDescent="0.45">
      <c r="A242" t="s">
        <v>2943</v>
      </c>
      <c r="E242" t="s">
        <v>2944</v>
      </c>
      <c r="F242" t="s">
        <v>70</v>
      </c>
      <c r="G242" s="362" t="s">
        <v>2941</v>
      </c>
      <c r="H242">
        <v>2016</v>
      </c>
      <c r="I242" s="364">
        <v>56.4</v>
      </c>
      <c r="J242" s="364"/>
      <c r="K242" t="s">
        <v>2942</v>
      </c>
      <c r="L242" t="s">
        <v>1863</v>
      </c>
      <c r="Q242" s="364">
        <f>(I242/I243)^(1/(H242-H243))</f>
        <v>0.97291514661444567</v>
      </c>
      <c r="T242">
        <v>1</v>
      </c>
      <c r="U242" t="s">
        <v>2869</v>
      </c>
      <c r="V242" t="s">
        <v>2870</v>
      </c>
    </row>
    <row r="243" spans="1:22" x14ac:dyDescent="0.45">
      <c r="A243" t="s">
        <v>2943</v>
      </c>
      <c r="E243" t="s">
        <v>2944</v>
      </c>
      <c r="F243" t="s">
        <v>70</v>
      </c>
      <c r="G243" s="362" t="s">
        <v>2941</v>
      </c>
      <c r="H243">
        <v>2011</v>
      </c>
      <c r="I243" s="364">
        <v>64.7</v>
      </c>
      <c r="J243" s="364"/>
      <c r="K243" t="s">
        <v>2942</v>
      </c>
      <c r="L243" t="s">
        <v>1863</v>
      </c>
      <c r="Q243" s="364"/>
      <c r="T243">
        <v>1</v>
      </c>
      <c r="U243" t="s">
        <v>2869</v>
      </c>
      <c r="V243" t="s">
        <v>2870</v>
      </c>
    </row>
    <row r="244" spans="1:22" x14ac:dyDescent="0.45">
      <c r="A244" t="s">
        <v>2943</v>
      </c>
      <c r="E244" t="s">
        <v>2944</v>
      </c>
      <c r="F244" t="s">
        <v>70</v>
      </c>
      <c r="G244" s="362" t="s">
        <v>2941</v>
      </c>
      <c r="H244">
        <v>2016</v>
      </c>
      <c r="I244" s="364">
        <v>44.2</v>
      </c>
      <c r="J244" s="364"/>
      <c r="K244" t="s">
        <v>2942</v>
      </c>
      <c r="L244" t="s">
        <v>1863</v>
      </c>
      <c r="Q244" s="364">
        <f>(I244/I245)^(1/(H244-H245))</f>
        <v>0.98737078402617451</v>
      </c>
      <c r="T244">
        <v>1</v>
      </c>
      <c r="U244" t="s">
        <v>2873</v>
      </c>
      <c r="V244" t="s">
        <v>2874</v>
      </c>
    </row>
    <row r="245" spans="1:22" x14ac:dyDescent="0.45">
      <c r="A245" t="s">
        <v>2943</v>
      </c>
      <c r="E245" t="s">
        <v>2944</v>
      </c>
      <c r="F245" t="s">
        <v>70</v>
      </c>
      <c r="G245" s="362" t="s">
        <v>2941</v>
      </c>
      <c r="H245">
        <v>2011</v>
      </c>
      <c r="I245" s="364">
        <v>47.1</v>
      </c>
      <c r="J245" s="364"/>
      <c r="K245" t="s">
        <v>2942</v>
      </c>
      <c r="L245" t="s">
        <v>1863</v>
      </c>
      <c r="Q245" s="364"/>
      <c r="T245">
        <v>1</v>
      </c>
      <c r="U245" t="s">
        <v>2873</v>
      </c>
      <c r="V245" t="s">
        <v>2874</v>
      </c>
    </row>
    <row r="246" spans="1:22" x14ac:dyDescent="0.45">
      <c r="A246" t="s">
        <v>2943</v>
      </c>
      <c r="E246" t="s">
        <v>2944</v>
      </c>
      <c r="F246" t="s">
        <v>70</v>
      </c>
      <c r="G246" s="362" t="s">
        <v>2941</v>
      </c>
      <c r="H246">
        <v>2016</v>
      </c>
      <c r="I246" s="364">
        <v>54</v>
      </c>
      <c r="J246" s="364"/>
      <c r="K246" t="s">
        <v>2942</v>
      </c>
      <c r="L246" t="s">
        <v>1863</v>
      </c>
      <c r="Q246" s="364">
        <f>(I246/I247)^(1/(H246-H247))</f>
        <v>0.98411891413352426</v>
      </c>
      <c r="T246">
        <v>1</v>
      </c>
      <c r="U246" t="s">
        <v>2871</v>
      </c>
      <c r="V246" t="s">
        <v>805</v>
      </c>
    </row>
    <row r="247" spans="1:22" x14ac:dyDescent="0.45">
      <c r="A247" t="s">
        <v>2943</v>
      </c>
      <c r="E247" t="s">
        <v>2944</v>
      </c>
      <c r="F247" t="s">
        <v>70</v>
      </c>
      <c r="G247" s="362" t="s">
        <v>2941</v>
      </c>
      <c r="H247">
        <v>2011</v>
      </c>
      <c r="I247" s="364">
        <v>58.5</v>
      </c>
      <c r="J247" s="364"/>
      <c r="K247" t="s">
        <v>2942</v>
      </c>
      <c r="L247" t="s">
        <v>1863</v>
      </c>
      <c r="Q247" s="364"/>
      <c r="T247">
        <v>1</v>
      </c>
      <c r="U247" t="s">
        <v>2871</v>
      </c>
      <c r="V247" t="s">
        <v>805</v>
      </c>
    </row>
    <row r="248" spans="1:22" x14ac:dyDescent="0.45">
      <c r="A248" t="s">
        <v>2943</v>
      </c>
      <c r="E248" t="s">
        <v>2944</v>
      </c>
      <c r="F248" t="s">
        <v>70</v>
      </c>
      <c r="G248" s="362" t="s">
        <v>2941</v>
      </c>
      <c r="H248">
        <v>2016</v>
      </c>
      <c r="I248" s="364">
        <v>48.7</v>
      </c>
      <c r="J248" s="364"/>
      <c r="K248" t="s">
        <v>2942</v>
      </c>
      <c r="L248" t="s">
        <v>1863</v>
      </c>
      <c r="Q248" s="364">
        <f>(I248/I249)^(1/(H248-H249))</f>
        <v>0.96565099768301244</v>
      </c>
      <c r="T248">
        <v>1</v>
      </c>
      <c r="U248" t="s">
        <v>2868</v>
      </c>
      <c r="V248" t="s">
        <v>806</v>
      </c>
    </row>
    <row r="249" spans="1:22" x14ac:dyDescent="0.45">
      <c r="A249" t="s">
        <v>2943</v>
      </c>
      <c r="E249" t="s">
        <v>2944</v>
      </c>
      <c r="F249" t="s">
        <v>70</v>
      </c>
      <c r="G249" s="362" t="s">
        <v>2941</v>
      </c>
      <c r="H249">
        <v>2011</v>
      </c>
      <c r="I249" s="364">
        <v>58</v>
      </c>
      <c r="J249" s="364"/>
      <c r="K249" t="s">
        <v>2942</v>
      </c>
      <c r="L249" t="s">
        <v>1863</v>
      </c>
      <c r="Q249" s="364"/>
      <c r="T249">
        <v>1</v>
      </c>
      <c r="U249" t="s">
        <v>2868</v>
      </c>
      <c r="V249" t="s">
        <v>806</v>
      </c>
    </row>
    <row r="250" spans="1:22" x14ac:dyDescent="0.45">
      <c r="A250" t="s">
        <v>2943</v>
      </c>
      <c r="E250" t="s">
        <v>2944</v>
      </c>
      <c r="F250" t="s">
        <v>70</v>
      </c>
      <c r="G250" s="362" t="s">
        <v>2941</v>
      </c>
      <c r="H250">
        <v>2016</v>
      </c>
      <c r="I250" s="364">
        <v>50.6</v>
      </c>
      <c r="J250" s="364"/>
      <c r="K250" t="s">
        <v>2942</v>
      </c>
      <c r="L250" t="s">
        <v>1863</v>
      </c>
      <c r="Q250" s="364">
        <f>(I250/I251)^(1/(H250-H251))</f>
        <v>0.9792257837553473</v>
      </c>
      <c r="T250">
        <v>1</v>
      </c>
      <c r="U250" t="s">
        <v>2876</v>
      </c>
      <c r="V250" t="s">
        <v>2877</v>
      </c>
    </row>
    <row r="251" spans="1:22" x14ac:dyDescent="0.45">
      <c r="A251" t="s">
        <v>2943</v>
      </c>
      <c r="E251" t="s">
        <v>2944</v>
      </c>
      <c r="F251" t="s">
        <v>70</v>
      </c>
      <c r="G251" s="362" t="s">
        <v>2941</v>
      </c>
      <c r="H251">
        <v>2011</v>
      </c>
      <c r="I251" s="364">
        <v>56.2</v>
      </c>
      <c r="J251" s="364"/>
      <c r="K251" t="s">
        <v>2942</v>
      </c>
      <c r="L251" t="s">
        <v>1863</v>
      </c>
      <c r="Q251" s="364"/>
      <c r="T251">
        <v>1</v>
      </c>
      <c r="U251" t="s">
        <v>2876</v>
      </c>
      <c r="V251" t="s">
        <v>2877</v>
      </c>
    </row>
    <row r="252" spans="1:22" x14ac:dyDescent="0.45">
      <c r="A252" t="s">
        <v>2943</v>
      </c>
      <c r="E252" t="s">
        <v>2944</v>
      </c>
      <c r="F252" t="s">
        <v>70</v>
      </c>
      <c r="G252" s="362" t="s">
        <v>2941</v>
      </c>
      <c r="H252">
        <v>2016</v>
      </c>
      <c r="I252" s="364">
        <v>44.5</v>
      </c>
      <c r="J252" s="364"/>
      <c r="K252" t="s">
        <v>2942</v>
      </c>
      <c r="L252" t="s">
        <v>1863</v>
      </c>
      <c r="Q252" s="364">
        <f>(I252/I253)^(1/(H252-H253))</f>
        <v>0.98212374219614784</v>
      </c>
      <c r="T252">
        <v>1</v>
      </c>
      <c r="U252" t="s">
        <v>2872</v>
      </c>
      <c r="V252" t="s">
        <v>809</v>
      </c>
    </row>
    <row r="253" spans="1:22" x14ac:dyDescent="0.45">
      <c r="A253" t="s">
        <v>2943</v>
      </c>
      <c r="E253" t="s">
        <v>2944</v>
      </c>
      <c r="F253" t="s">
        <v>70</v>
      </c>
      <c r="G253" s="362" t="s">
        <v>2941</v>
      </c>
      <c r="H253">
        <v>2011</v>
      </c>
      <c r="I253" s="364">
        <v>48.7</v>
      </c>
      <c r="J253" s="364"/>
      <c r="K253" t="s">
        <v>2942</v>
      </c>
      <c r="L253" t="s">
        <v>1863</v>
      </c>
      <c r="Q253" s="364"/>
      <c r="T253">
        <v>1</v>
      </c>
      <c r="U253" t="s">
        <v>2872</v>
      </c>
      <c r="V253" t="s">
        <v>809</v>
      </c>
    </row>
    <row r="254" spans="1:22" x14ac:dyDescent="0.45">
      <c r="A254" t="s">
        <v>2943</v>
      </c>
      <c r="E254" t="s">
        <v>2944</v>
      </c>
      <c r="F254" t="s">
        <v>70</v>
      </c>
      <c r="G254" s="362" t="s">
        <v>2941</v>
      </c>
      <c r="H254">
        <v>2016</v>
      </c>
      <c r="I254" s="364">
        <v>42.6</v>
      </c>
      <c r="J254" s="364"/>
      <c r="K254" t="s">
        <v>2942</v>
      </c>
      <c r="L254" t="s">
        <v>1863</v>
      </c>
      <c r="Q254" s="364">
        <f>(I254/I255)^(1/(H254-H255))</f>
        <v>0.97359005175362268</v>
      </c>
      <c r="T254">
        <v>1</v>
      </c>
      <c r="U254" t="s">
        <v>2878</v>
      </c>
      <c r="V254" t="s">
        <v>2879</v>
      </c>
    </row>
    <row r="255" spans="1:22" x14ac:dyDescent="0.45">
      <c r="A255" t="s">
        <v>2943</v>
      </c>
      <c r="E255" t="s">
        <v>2944</v>
      </c>
      <c r="F255" t="s">
        <v>70</v>
      </c>
      <c r="G255" s="362" t="s">
        <v>2941</v>
      </c>
      <c r="H255">
        <v>2011</v>
      </c>
      <c r="I255" s="364">
        <v>48.7</v>
      </c>
      <c r="J255" s="364"/>
      <c r="K255" t="s">
        <v>2942</v>
      </c>
      <c r="L255" t="s">
        <v>1863</v>
      </c>
      <c r="T255">
        <v>1</v>
      </c>
      <c r="U255" t="s">
        <v>2878</v>
      </c>
      <c r="V255" t="s">
        <v>2879</v>
      </c>
    </row>
    <row r="256" spans="1:22" x14ac:dyDescent="0.45">
      <c r="A256" t="s">
        <v>2943</v>
      </c>
      <c r="E256" t="s">
        <v>2944</v>
      </c>
      <c r="F256" t="s">
        <v>70</v>
      </c>
      <c r="G256" s="362" t="s">
        <v>2941</v>
      </c>
      <c r="H256">
        <v>2016</v>
      </c>
      <c r="I256" s="364">
        <v>47.9</v>
      </c>
      <c r="J256" s="364"/>
      <c r="K256" t="s">
        <v>2942</v>
      </c>
      <c r="L256" t="s">
        <v>1863</v>
      </c>
      <c r="Q256" s="364">
        <f>(I256/I257)^(1/(H256-H257))</f>
        <v>1.0185229407265959</v>
      </c>
      <c r="T256">
        <v>1</v>
      </c>
      <c r="U256" t="s">
        <v>2885</v>
      </c>
      <c r="V256" t="s">
        <v>2886</v>
      </c>
    </row>
    <row r="257" spans="1:22" x14ac:dyDescent="0.45">
      <c r="A257" t="s">
        <v>2943</v>
      </c>
      <c r="E257" t="s">
        <v>2944</v>
      </c>
      <c r="F257" t="s">
        <v>70</v>
      </c>
      <c r="G257" s="362" t="s">
        <v>2941</v>
      </c>
      <c r="H257">
        <v>2011</v>
      </c>
      <c r="I257" s="364">
        <v>43.7</v>
      </c>
      <c r="J257" s="364"/>
      <c r="K257" t="s">
        <v>2942</v>
      </c>
      <c r="L257" t="s">
        <v>1863</v>
      </c>
      <c r="T257">
        <v>1</v>
      </c>
      <c r="U257" t="s">
        <v>2885</v>
      </c>
      <c r="V257" t="s">
        <v>2886</v>
      </c>
    </row>
    <row r="258" spans="1:22" x14ac:dyDescent="0.45">
      <c r="A258" t="s">
        <v>2943</v>
      </c>
      <c r="E258" t="s">
        <v>2944</v>
      </c>
      <c r="F258" t="s">
        <v>70</v>
      </c>
      <c r="G258" s="362" t="s">
        <v>2941</v>
      </c>
      <c r="H258">
        <v>2016</v>
      </c>
      <c r="I258" s="364">
        <v>37</v>
      </c>
      <c r="J258" s="364"/>
      <c r="K258" t="s">
        <v>2942</v>
      </c>
      <c r="L258" t="s">
        <v>1863</v>
      </c>
      <c r="Q258" s="364">
        <f>(I258/I259)^(1/(H258-H259))</f>
        <v>0.99311739764002371</v>
      </c>
      <c r="T258">
        <v>1</v>
      </c>
      <c r="U258" t="s">
        <v>2880</v>
      </c>
      <c r="V258" t="s">
        <v>2892</v>
      </c>
    </row>
    <row r="259" spans="1:22" x14ac:dyDescent="0.45">
      <c r="A259" t="s">
        <v>2943</v>
      </c>
      <c r="E259" t="s">
        <v>2944</v>
      </c>
      <c r="F259" t="s">
        <v>70</v>
      </c>
      <c r="G259" s="362" t="s">
        <v>2941</v>
      </c>
      <c r="H259">
        <v>2011</v>
      </c>
      <c r="I259" s="364">
        <v>38.299999999999997</v>
      </c>
      <c r="J259" s="364"/>
      <c r="K259" t="s">
        <v>2942</v>
      </c>
      <c r="L259" t="s">
        <v>1863</v>
      </c>
      <c r="T259">
        <v>1</v>
      </c>
      <c r="U259" t="s">
        <v>2880</v>
      </c>
      <c r="V259" t="s">
        <v>2892</v>
      </c>
    </row>
    <row r="260" spans="1:22" x14ac:dyDescent="0.45">
      <c r="A260" t="s">
        <v>2943</v>
      </c>
      <c r="E260" t="s">
        <v>2944</v>
      </c>
      <c r="F260" t="s">
        <v>70</v>
      </c>
      <c r="G260" s="362" t="s">
        <v>2941</v>
      </c>
      <c r="H260">
        <v>2016</v>
      </c>
      <c r="I260" s="364">
        <v>41</v>
      </c>
      <c r="J260" s="364"/>
      <c r="K260" t="s">
        <v>2942</v>
      </c>
      <c r="L260" t="s">
        <v>1863</v>
      </c>
      <c r="Q260" s="364">
        <f>(I260/I261)^(1/(H260-H261))</f>
        <v>1.0224063978798441</v>
      </c>
      <c r="T260">
        <v>1</v>
      </c>
      <c r="U260" t="s">
        <v>2882</v>
      </c>
      <c r="V260" t="s">
        <v>2883</v>
      </c>
    </row>
    <row r="261" spans="1:22" x14ac:dyDescent="0.45">
      <c r="A261" t="s">
        <v>2943</v>
      </c>
      <c r="E261" t="s">
        <v>2944</v>
      </c>
      <c r="F261" t="s">
        <v>70</v>
      </c>
      <c r="G261" s="362" t="s">
        <v>2941</v>
      </c>
      <c r="H261">
        <v>2011</v>
      </c>
      <c r="I261" s="364">
        <v>36.700000000000003</v>
      </c>
      <c r="J261" s="364"/>
      <c r="K261" t="s">
        <v>2942</v>
      </c>
      <c r="L261" t="s">
        <v>1863</v>
      </c>
      <c r="T261">
        <v>1</v>
      </c>
      <c r="U261" t="s">
        <v>2882</v>
      </c>
      <c r="V261" t="s">
        <v>2883</v>
      </c>
    </row>
    <row r="262" spans="1:22" x14ac:dyDescent="0.45">
      <c r="A262" t="s">
        <v>2943</v>
      </c>
      <c r="E262" t="s">
        <v>2944</v>
      </c>
      <c r="F262" t="s">
        <v>70</v>
      </c>
      <c r="G262" s="362" t="s">
        <v>2941</v>
      </c>
      <c r="H262">
        <v>2016</v>
      </c>
      <c r="I262" s="364">
        <v>17.8</v>
      </c>
      <c r="J262" s="364"/>
      <c r="K262" t="s">
        <v>2942</v>
      </c>
      <c r="L262" t="s">
        <v>1863</v>
      </c>
      <c r="Q262" s="364">
        <f>(I262/I263)^(1/(H262-H263))</f>
        <v>0.94435292812383376</v>
      </c>
      <c r="T262">
        <v>1</v>
      </c>
      <c r="U262" t="s">
        <v>2884</v>
      </c>
      <c r="V262" t="s">
        <v>814</v>
      </c>
    </row>
    <row r="263" spans="1:22" x14ac:dyDescent="0.45">
      <c r="A263" t="s">
        <v>2943</v>
      </c>
      <c r="E263" t="s">
        <v>2944</v>
      </c>
      <c r="F263" t="s">
        <v>70</v>
      </c>
      <c r="G263" s="362" t="s">
        <v>2941</v>
      </c>
      <c r="H263">
        <v>2011</v>
      </c>
      <c r="I263" s="364">
        <v>23.7</v>
      </c>
      <c r="J263" s="364"/>
      <c r="K263" t="s">
        <v>2942</v>
      </c>
      <c r="L263" t="s">
        <v>1863</v>
      </c>
      <c r="T263">
        <v>1</v>
      </c>
      <c r="U263" t="s">
        <v>2884</v>
      </c>
      <c r="V263" t="s">
        <v>814</v>
      </c>
    </row>
    <row r="264" spans="1:22" x14ac:dyDescent="0.45">
      <c r="A264" t="s">
        <v>2850</v>
      </c>
      <c r="B264" t="s">
        <v>2945</v>
      </c>
      <c r="C264" t="str">
        <f t="shared" ref="C264:C318" si="9">_xlfn.CONCAT(B264,U264)</f>
        <v>VC6ET</v>
      </c>
      <c r="D264" t="s">
        <v>2635</v>
      </c>
      <c r="E264" t="s">
        <v>2220</v>
      </c>
      <c r="F264" t="s">
        <v>70</v>
      </c>
      <c r="G264" s="362" t="s">
        <v>2941</v>
      </c>
      <c r="H264">
        <v>2019</v>
      </c>
      <c r="I264" s="364">
        <v>12.4</v>
      </c>
      <c r="J264" s="364"/>
      <c r="K264" t="s">
        <v>2942</v>
      </c>
      <c r="L264" t="s">
        <v>1863</v>
      </c>
      <c r="O264" s="363">
        <f>I264/100</f>
        <v>0.124</v>
      </c>
      <c r="Q264" s="364">
        <f>(I264/I265)^(1/(H264-H265))</f>
        <v>0.93852167730806435</v>
      </c>
      <c r="T264">
        <v>0</v>
      </c>
      <c r="U264" t="s">
        <v>2849</v>
      </c>
      <c r="V264" t="s">
        <v>594</v>
      </c>
    </row>
    <row r="265" spans="1:22" x14ac:dyDescent="0.45">
      <c r="A265" t="s">
        <v>2850</v>
      </c>
      <c r="B265" t="s">
        <v>2945</v>
      </c>
      <c r="D265" t="s">
        <v>2635</v>
      </c>
      <c r="E265" t="s">
        <v>2220</v>
      </c>
      <c r="F265" t="s">
        <v>70</v>
      </c>
      <c r="G265" s="362" t="s">
        <v>2941</v>
      </c>
      <c r="H265">
        <v>2011</v>
      </c>
      <c r="I265" s="364">
        <v>20.6</v>
      </c>
      <c r="J265" s="364"/>
      <c r="K265" t="s">
        <v>2942</v>
      </c>
      <c r="L265" t="s">
        <v>1863</v>
      </c>
      <c r="O265" s="363">
        <f t="shared" ref="O265:O319" si="10">I265/100</f>
        <v>0.20600000000000002</v>
      </c>
      <c r="T265">
        <v>0</v>
      </c>
      <c r="U265" t="s">
        <v>2849</v>
      </c>
      <c r="V265" t="s">
        <v>594</v>
      </c>
    </row>
    <row r="266" spans="1:22" x14ac:dyDescent="0.45">
      <c r="A266" t="s">
        <v>2850</v>
      </c>
      <c r="B266" t="s">
        <v>2945</v>
      </c>
      <c r="C266" t="str">
        <f t="shared" si="9"/>
        <v>VC6ETR</v>
      </c>
      <c r="D266" t="s">
        <v>2635</v>
      </c>
      <c r="E266" t="s">
        <v>2220</v>
      </c>
      <c r="F266" t="s">
        <v>70</v>
      </c>
      <c r="G266" s="362" t="s">
        <v>2941</v>
      </c>
      <c r="H266">
        <v>2019</v>
      </c>
      <c r="I266" s="364">
        <v>14.5</v>
      </c>
      <c r="J266" s="364"/>
      <c r="K266" t="s">
        <v>2942</v>
      </c>
      <c r="L266" t="s">
        <v>1863</v>
      </c>
      <c r="O266" s="363">
        <f t="shared" si="10"/>
        <v>0.14499999999999999</v>
      </c>
      <c r="Q266" s="364">
        <f>(I266/I267)^(1/(H266-H267))</f>
        <v>0.95085333387028237</v>
      </c>
      <c r="T266">
        <v>0.5</v>
      </c>
      <c r="U266" t="s">
        <v>2866</v>
      </c>
      <c r="V266" t="s">
        <v>84</v>
      </c>
    </row>
    <row r="267" spans="1:22" x14ac:dyDescent="0.45">
      <c r="A267" t="s">
        <v>2850</v>
      </c>
      <c r="B267" t="s">
        <v>2945</v>
      </c>
      <c r="D267" t="s">
        <v>2635</v>
      </c>
      <c r="E267" t="s">
        <v>2220</v>
      </c>
      <c r="F267" t="s">
        <v>70</v>
      </c>
      <c r="G267" s="362" t="s">
        <v>2941</v>
      </c>
      <c r="H267">
        <v>2011</v>
      </c>
      <c r="I267" s="364">
        <v>21.7</v>
      </c>
      <c r="J267" s="364"/>
      <c r="K267" t="s">
        <v>2942</v>
      </c>
      <c r="L267" t="s">
        <v>1863</v>
      </c>
      <c r="O267" s="363">
        <f t="shared" si="10"/>
        <v>0.217</v>
      </c>
      <c r="T267">
        <v>0.5</v>
      </c>
      <c r="U267" t="s">
        <v>2866</v>
      </c>
      <c r="V267" t="s">
        <v>84</v>
      </c>
    </row>
    <row r="268" spans="1:22" x14ac:dyDescent="0.45">
      <c r="A268" t="s">
        <v>2850</v>
      </c>
      <c r="B268" t="s">
        <v>2945</v>
      </c>
      <c r="C268" t="str">
        <f t="shared" si="9"/>
        <v>VC6ETU</v>
      </c>
      <c r="D268" t="s">
        <v>2635</v>
      </c>
      <c r="E268" t="s">
        <v>2220</v>
      </c>
      <c r="F268" t="s">
        <v>70</v>
      </c>
      <c r="G268" s="362" t="s">
        <v>2941</v>
      </c>
      <c r="H268">
        <v>2019</v>
      </c>
      <c r="I268" s="364">
        <v>6.3</v>
      </c>
      <c r="J268" s="364"/>
      <c r="K268" t="s">
        <v>2942</v>
      </c>
      <c r="L268" t="s">
        <v>1863</v>
      </c>
      <c r="O268" s="363">
        <f t="shared" si="10"/>
        <v>6.3E-2</v>
      </c>
      <c r="Q268" s="364">
        <f>(I268/I269)^(1/(H268-H269))</f>
        <v>0.91883992572779216</v>
      </c>
      <c r="T268">
        <v>0.5</v>
      </c>
      <c r="U268" t="s">
        <v>2867</v>
      </c>
      <c r="V268" t="s">
        <v>336</v>
      </c>
    </row>
    <row r="269" spans="1:22" x14ac:dyDescent="0.45">
      <c r="A269" t="s">
        <v>2850</v>
      </c>
      <c r="B269" t="s">
        <v>2945</v>
      </c>
      <c r="D269" t="s">
        <v>2635</v>
      </c>
      <c r="E269" t="s">
        <v>2220</v>
      </c>
      <c r="F269" t="s">
        <v>70</v>
      </c>
      <c r="G269" s="362" t="s">
        <v>2941</v>
      </c>
      <c r="H269">
        <v>2011</v>
      </c>
      <c r="I269" s="364">
        <v>12.4</v>
      </c>
      <c r="J269" s="364"/>
      <c r="K269" t="s">
        <v>2942</v>
      </c>
      <c r="L269" t="s">
        <v>1863</v>
      </c>
      <c r="O269" s="363">
        <f t="shared" si="10"/>
        <v>0.124</v>
      </c>
      <c r="T269">
        <v>0.5</v>
      </c>
      <c r="U269" t="s">
        <v>2867</v>
      </c>
      <c r="V269" t="s">
        <v>336</v>
      </c>
    </row>
    <row r="270" spans="1:22" x14ac:dyDescent="0.45">
      <c r="A270" t="s">
        <v>2850</v>
      </c>
      <c r="B270" t="s">
        <v>2945</v>
      </c>
      <c r="C270" t="str">
        <f t="shared" si="9"/>
        <v>VC6ET01</v>
      </c>
      <c r="D270" t="s">
        <v>2635</v>
      </c>
      <c r="E270" t="s">
        <v>2220</v>
      </c>
      <c r="F270" t="s">
        <v>70</v>
      </c>
      <c r="G270" s="362" t="s">
        <v>2941</v>
      </c>
      <c r="H270">
        <v>2019</v>
      </c>
      <c r="I270" s="364">
        <v>15.1</v>
      </c>
      <c r="J270" s="364"/>
      <c r="K270" t="s">
        <v>2942</v>
      </c>
      <c r="L270" t="s">
        <v>1863</v>
      </c>
      <c r="O270" s="363">
        <f t="shared" si="10"/>
        <v>0.151</v>
      </c>
      <c r="Q270" s="364">
        <f>(I270/I271)^(1/(H270-H271))</f>
        <v>0.9518995381809372</v>
      </c>
      <c r="T270">
        <v>1</v>
      </c>
      <c r="U270" t="s">
        <v>2868</v>
      </c>
      <c r="V270" t="s">
        <v>806</v>
      </c>
    </row>
    <row r="271" spans="1:22" x14ac:dyDescent="0.45">
      <c r="A271" t="s">
        <v>2850</v>
      </c>
      <c r="B271" t="s">
        <v>2945</v>
      </c>
      <c r="D271" t="s">
        <v>2635</v>
      </c>
      <c r="E271" t="s">
        <v>2220</v>
      </c>
      <c r="F271" t="s">
        <v>70</v>
      </c>
      <c r="G271" s="362" t="s">
        <v>2941</v>
      </c>
      <c r="H271">
        <v>2011</v>
      </c>
      <c r="I271" s="364">
        <v>22.4</v>
      </c>
      <c r="J271" s="364"/>
      <c r="K271" t="s">
        <v>2942</v>
      </c>
      <c r="L271" t="s">
        <v>1863</v>
      </c>
      <c r="O271" s="363">
        <f t="shared" si="10"/>
        <v>0.22399999999999998</v>
      </c>
      <c r="T271">
        <v>1</v>
      </c>
      <c r="U271" t="s">
        <v>2868</v>
      </c>
      <c r="V271" t="s">
        <v>806</v>
      </c>
    </row>
    <row r="272" spans="1:22" x14ac:dyDescent="0.45">
      <c r="A272" t="s">
        <v>2850</v>
      </c>
      <c r="B272" t="s">
        <v>2945</v>
      </c>
      <c r="C272" t="str">
        <f t="shared" si="9"/>
        <v>VC6ET02</v>
      </c>
      <c r="D272" t="s">
        <v>2635</v>
      </c>
      <c r="E272" t="s">
        <v>2220</v>
      </c>
      <c r="F272" t="s">
        <v>70</v>
      </c>
      <c r="G272" s="362" t="s">
        <v>2941</v>
      </c>
      <c r="H272">
        <v>2019</v>
      </c>
      <c r="I272" s="364">
        <v>20.6</v>
      </c>
      <c r="J272" s="364"/>
      <c r="K272" t="s">
        <v>2942</v>
      </c>
      <c r="L272" t="s">
        <v>1863</v>
      </c>
      <c r="O272" s="363">
        <f t="shared" si="10"/>
        <v>0.20600000000000002</v>
      </c>
      <c r="Q272" s="364">
        <f>(I272/I273)^(1/(H272-H273))</f>
        <v>0.95773813173479627</v>
      </c>
      <c r="T272">
        <v>1</v>
      </c>
      <c r="U272" t="s">
        <v>2869</v>
      </c>
      <c r="V272" t="s">
        <v>2946</v>
      </c>
    </row>
    <row r="273" spans="1:22" x14ac:dyDescent="0.45">
      <c r="A273" t="s">
        <v>2850</v>
      </c>
      <c r="B273" t="s">
        <v>2945</v>
      </c>
      <c r="D273" t="s">
        <v>2635</v>
      </c>
      <c r="E273" t="s">
        <v>2220</v>
      </c>
      <c r="F273" t="s">
        <v>70</v>
      </c>
      <c r="G273" s="362" t="s">
        <v>2941</v>
      </c>
      <c r="H273">
        <v>2011</v>
      </c>
      <c r="I273" s="364">
        <v>29.1</v>
      </c>
      <c r="J273" s="364"/>
      <c r="K273" t="s">
        <v>2942</v>
      </c>
      <c r="L273" t="s">
        <v>1863</v>
      </c>
      <c r="O273" s="363">
        <f t="shared" si="10"/>
        <v>0.29100000000000004</v>
      </c>
      <c r="T273">
        <v>1</v>
      </c>
      <c r="U273" t="s">
        <v>2869</v>
      </c>
      <c r="V273" t="s">
        <v>2946</v>
      </c>
    </row>
    <row r="274" spans="1:22" x14ac:dyDescent="0.45">
      <c r="A274" t="s">
        <v>2850</v>
      </c>
      <c r="B274" t="s">
        <v>2945</v>
      </c>
      <c r="C274" t="str">
        <f t="shared" si="9"/>
        <v>VC6ET03</v>
      </c>
      <c r="D274" t="s">
        <v>2635</v>
      </c>
      <c r="E274" t="s">
        <v>2220</v>
      </c>
      <c r="F274" t="s">
        <v>70</v>
      </c>
      <c r="G274" s="362" t="s">
        <v>2941</v>
      </c>
      <c r="H274">
        <v>2019</v>
      </c>
      <c r="I274" s="364">
        <v>13.4</v>
      </c>
      <c r="J274" s="364"/>
      <c r="K274" t="s">
        <v>2942</v>
      </c>
      <c r="L274" t="s">
        <v>1863</v>
      </c>
      <c r="O274" s="363">
        <f t="shared" si="10"/>
        <v>0.13400000000000001</v>
      </c>
      <c r="Q274" s="364">
        <f>(I274/I275)^(1/(H274-H275))</f>
        <v>0.92877641604518002</v>
      </c>
      <c r="T274">
        <v>1</v>
      </c>
      <c r="U274" t="s">
        <v>2871</v>
      </c>
      <c r="V274" t="s">
        <v>805</v>
      </c>
    </row>
    <row r="275" spans="1:22" x14ac:dyDescent="0.45">
      <c r="A275" t="s">
        <v>2850</v>
      </c>
      <c r="B275" t="s">
        <v>2945</v>
      </c>
      <c r="D275" t="s">
        <v>2635</v>
      </c>
      <c r="E275" t="s">
        <v>2220</v>
      </c>
      <c r="F275" t="s">
        <v>70</v>
      </c>
      <c r="G275" s="362" t="s">
        <v>2941</v>
      </c>
      <c r="H275">
        <v>2011</v>
      </c>
      <c r="I275" s="364">
        <v>24.2</v>
      </c>
      <c r="J275" s="364"/>
      <c r="K275" t="s">
        <v>2942</v>
      </c>
      <c r="L275" t="s">
        <v>1863</v>
      </c>
      <c r="O275" s="363">
        <f t="shared" si="10"/>
        <v>0.24199999999999999</v>
      </c>
      <c r="T275">
        <v>1</v>
      </c>
      <c r="U275" t="s">
        <v>2871</v>
      </c>
      <c r="V275" t="s">
        <v>805</v>
      </c>
    </row>
    <row r="276" spans="1:22" x14ac:dyDescent="0.45">
      <c r="A276" t="s">
        <v>2850</v>
      </c>
      <c r="B276" t="s">
        <v>2945</v>
      </c>
      <c r="C276" t="str">
        <f t="shared" si="9"/>
        <v>VC6ET04</v>
      </c>
      <c r="D276" t="s">
        <v>2635</v>
      </c>
      <c r="E276" t="s">
        <v>2220</v>
      </c>
      <c r="F276" t="s">
        <v>70</v>
      </c>
      <c r="G276" s="362" t="s">
        <v>2941</v>
      </c>
      <c r="H276">
        <v>2019</v>
      </c>
      <c r="I276" s="364">
        <v>11.9</v>
      </c>
      <c r="J276" s="364"/>
      <c r="K276" t="s">
        <v>2942</v>
      </c>
      <c r="L276" t="s">
        <v>1863</v>
      </c>
      <c r="O276" s="363">
        <f t="shared" si="10"/>
        <v>0.11900000000000001</v>
      </c>
      <c r="Q276" s="364">
        <f>(I276/I277)^(1/(H276-H277))</f>
        <v>0.94892862659377142</v>
      </c>
      <c r="T276">
        <v>1</v>
      </c>
      <c r="U276" t="s">
        <v>2872</v>
      </c>
      <c r="V276" t="s">
        <v>809</v>
      </c>
    </row>
    <row r="277" spans="1:22" x14ac:dyDescent="0.45">
      <c r="A277" t="s">
        <v>2850</v>
      </c>
      <c r="B277" t="s">
        <v>2945</v>
      </c>
      <c r="D277" t="s">
        <v>2635</v>
      </c>
      <c r="E277" t="s">
        <v>2220</v>
      </c>
      <c r="F277" t="s">
        <v>70</v>
      </c>
      <c r="G277" s="362" t="s">
        <v>2941</v>
      </c>
      <c r="H277">
        <v>2011</v>
      </c>
      <c r="I277" s="364">
        <v>18.100000000000001</v>
      </c>
      <c r="J277" s="364"/>
      <c r="K277" t="s">
        <v>2942</v>
      </c>
      <c r="L277" t="s">
        <v>1863</v>
      </c>
      <c r="O277" s="363">
        <f t="shared" si="10"/>
        <v>0.18100000000000002</v>
      </c>
      <c r="T277">
        <v>1</v>
      </c>
      <c r="U277" t="s">
        <v>2872</v>
      </c>
      <c r="V277" t="s">
        <v>809</v>
      </c>
    </row>
    <row r="278" spans="1:22" x14ac:dyDescent="0.45">
      <c r="A278" t="s">
        <v>2850</v>
      </c>
      <c r="B278" t="s">
        <v>2945</v>
      </c>
      <c r="C278" t="str">
        <f t="shared" si="9"/>
        <v>VC6ET05</v>
      </c>
      <c r="D278" t="s">
        <v>2635</v>
      </c>
      <c r="E278" t="s">
        <v>2220</v>
      </c>
      <c r="F278" t="s">
        <v>70</v>
      </c>
      <c r="G278" s="362" t="s">
        <v>2941</v>
      </c>
      <c r="H278">
        <v>2019</v>
      </c>
      <c r="I278" s="364">
        <v>11.5</v>
      </c>
      <c r="J278" s="364"/>
      <c r="K278" t="s">
        <v>2942</v>
      </c>
      <c r="L278" t="s">
        <v>1863</v>
      </c>
      <c r="O278" s="363">
        <f t="shared" si="10"/>
        <v>0.115</v>
      </c>
      <c r="Q278" s="364">
        <f>(I278/I279)^(1/(H278-H279))</f>
        <v>0.95881318056486819</v>
      </c>
      <c r="T278">
        <v>1</v>
      </c>
      <c r="U278" t="s">
        <v>2873</v>
      </c>
      <c r="V278" t="s">
        <v>2874</v>
      </c>
    </row>
    <row r="279" spans="1:22" x14ac:dyDescent="0.45">
      <c r="A279" t="s">
        <v>2850</v>
      </c>
      <c r="B279" t="s">
        <v>2945</v>
      </c>
      <c r="D279" t="s">
        <v>2635</v>
      </c>
      <c r="E279" t="s">
        <v>2220</v>
      </c>
      <c r="F279" t="s">
        <v>70</v>
      </c>
      <c r="G279" s="362" t="s">
        <v>2941</v>
      </c>
      <c r="H279">
        <v>2011</v>
      </c>
      <c r="I279" s="364">
        <v>16.100000000000001</v>
      </c>
      <c r="J279" s="364"/>
      <c r="K279" t="s">
        <v>2942</v>
      </c>
      <c r="L279" t="s">
        <v>1863</v>
      </c>
      <c r="O279" s="363">
        <f t="shared" si="10"/>
        <v>0.161</v>
      </c>
      <c r="T279">
        <v>1</v>
      </c>
      <c r="U279" t="s">
        <v>2873</v>
      </c>
      <c r="V279" t="s">
        <v>2874</v>
      </c>
    </row>
    <row r="280" spans="1:22" x14ac:dyDescent="0.45">
      <c r="A280" t="s">
        <v>2850</v>
      </c>
      <c r="B280" t="s">
        <v>2945</v>
      </c>
      <c r="C280" t="str">
        <f t="shared" si="9"/>
        <v>VC6ET06</v>
      </c>
      <c r="D280" t="s">
        <v>2635</v>
      </c>
      <c r="E280" t="s">
        <v>2220</v>
      </c>
      <c r="F280" t="s">
        <v>70</v>
      </c>
      <c r="G280" s="362" t="s">
        <v>2941</v>
      </c>
      <c r="H280">
        <v>2019</v>
      </c>
      <c r="I280" s="364">
        <v>19.2</v>
      </c>
      <c r="J280" s="364"/>
      <c r="K280" t="s">
        <v>2942</v>
      </c>
      <c r="L280" t="s">
        <v>1863</v>
      </c>
      <c r="O280" s="363">
        <f t="shared" si="10"/>
        <v>0.192</v>
      </c>
      <c r="Q280" s="364">
        <f>(I280/I281)^(1/(H280-H281))</f>
        <v>0.9582794679343668</v>
      </c>
      <c r="T280">
        <v>1</v>
      </c>
      <c r="U280" t="s">
        <v>2876</v>
      </c>
      <c r="V280" t="s">
        <v>2877</v>
      </c>
    </row>
    <row r="281" spans="1:22" x14ac:dyDescent="0.45">
      <c r="A281" t="s">
        <v>2850</v>
      </c>
      <c r="B281" t="s">
        <v>2945</v>
      </c>
      <c r="D281" t="s">
        <v>2635</v>
      </c>
      <c r="E281" t="s">
        <v>2220</v>
      </c>
      <c r="F281" t="s">
        <v>70</v>
      </c>
      <c r="G281" s="362" t="s">
        <v>2941</v>
      </c>
      <c r="H281">
        <v>2011</v>
      </c>
      <c r="I281" s="364">
        <v>27</v>
      </c>
      <c r="J281" s="364"/>
      <c r="K281" t="s">
        <v>2942</v>
      </c>
      <c r="L281" t="s">
        <v>1863</v>
      </c>
      <c r="O281" s="363">
        <f t="shared" si="10"/>
        <v>0.27</v>
      </c>
      <c r="T281">
        <v>1</v>
      </c>
      <c r="U281" t="s">
        <v>2876</v>
      </c>
      <c r="V281" t="s">
        <v>2877</v>
      </c>
    </row>
    <row r="282" spans="1:22" x14ac:dyDescent="0.45">
      <c r="A282" t="s">
        <v>2850</v>
      </c>
      <c r="B282" t="s">
        <v>2945</v>
      </c>
      <c r="C282" t="str">
        <f t="shared" si="9"/>
        <v>VC6ET07</v>
      </c>
      <c r="D282" t="s">
        <v>2635</v>
      </c>
      <c r="E282" t="s">
        <v>2220</v>
      </c>
      <c r="F282" t="s">
        <v>70</v>
      </c>
      <c r="G282" s="362" t="s">
        <v>2941</v>
      </c>
      <c r="H282">
        <v>2019</v>
      </c>
      <c r="I282" s="364">
        <v>12.3</v>
      </c>
      <c r="J282" s="364"/>
      <c r="K282" t="s">
        <v>2942</v>
      </c>
      <c r="L282" t="s">
        <v>1863</v>
      </c>
      <c r="O282" s="363">
        <f t="shared" si="10"/>
        <v>0.12300000000000001</v>
      </c>
      <c r="Q282" s="364">
        <f>(I282/I283)^(1/(H282-H283))</f>
        <v>0.92524916884195474</v>
      </c>
      <c r="T282">
        <v>1</v>
      </c>
      <c r="U282" t="s">
        <v>2878</v>
      </c>
      <c r="V282" t="s">
        <v>2879</v>
      </c>
    </row>
    <row r="283" spans="1:22" x14ac:dyDescent="0.45">
      <c r="A283" t="s">
        <v>2850</v>
      </c>
      <c r="B283" t="s">
        <v>2945</v>
      </c>
      <c r="D283" t="s">
        <v>2635</v>
      </c>
      <c r="E283" t="s">
        <v>2220</v>
      </c>
      <c r="F283" t="s">
        <v>70</v>
      </c>
      <c r="G283" s="362" t="s">
        <v>2941</v>
      </c>
      <c r="H283">
        <v>2011</v>
      </c>
      <c r="I283" s="364">
        <v>22.9</v>
      </c>
      <c r="J283" s="364"/>
      <c r="K283" t="s">
        <v>2942</v>
      </c>
      <c r="L283" t="s">
        <v>1863</v>
      </c>
      <c r="O283" s="363">
        <f t="shared" si="10"/>
        <v>0.22899999999999998</v>
      </c>
      <c r="T283">
        <v>1</v>
      </c>
      <c r="U283" t="s">
        <v>2878</v>
      </c>
      <c r="V283" t="s">
        <v>2879</v>
      </c>
    </row>
    <row r="284" spans="1:22" x14ac:dyDescent="0.45">
      <c r="A284" t="s">
        <v>2850</v>
      </c>
      <c r="B284" t="s">
        <v>2945</v>
      </c>
      <c r="C284" t="str">
        <f t="shared" si="9"/>
        <v>VC6ET12</v>
      </c>
      <c r="D284" t="s">
        <v>2635</v>
      </c>
      <c r="E284" t="s">
        <v>2220</v>
      </c>
      <c r="F284" t="s">
        <v>70</v>
      </c>
      <c r="G284" s="362" t="s">
        <v>2941</v>
      </c>
      <c r="H284">
        <v>2019</v>
      </c>
      <c r="I284" s="364">
        <v>4.0999999999999996</v>
      </c>
      <c r="J284" s="364"/>
      <c r="K284" t="s">
        <v>2942</v>
      </c>
      <c r="L284" t="s">
        <v>1863</v>
      </c>
      <c r="O284" s="363">
        <f t="shared" si="10"/>
        <v>4.0999999999999995E-2</v>
      </c>
      <c r="Q284" s="364">
        <f>(I284/I285)^(1/(H284-H285))</f>
        <v>0.88700283902797827</v>
      </c>
      <c r="T284">
        <v>1</v>
      </c>
      <c r="U284" t="s">
        <v>2880</v>
      </c>
      <c r="V284" t="s">
        <v>2881</v>
      </c>
    </row>
    <row r="285" spans="1:22" x14ac:dyDescent="0.45">
      <c r="A285" t="s">
        <v>2850</v>
      </c>
      <c r="B285" t="s">
        <v>2945</v>
      </c>
      <c r="D285" t="s">
        <v>2635</v>
      </c>
      <c r="E285" t="s">
        <v>2220</v>
      </c>
      <c r="F285" t="s">
        <v>70</v>
      </c>
      <c r="G285" s="362" t="s">
        <v>2941</v>
      </c>
      <c r="H285">
        <v>2011</v>
      </c>
      <c r="I285" s="364">
        <v>10.7</v>
      </c>
      <c r="J285" s="364"/>
      <c r="K285" t="s">
        <v>2942</v>
      </c>
      <c r="L285" t="s">
        <v>1863</v>
      </c>
      <c r="O285" s="363">
        <f t="shared" si="10"/>
        <v>0.107</v>
      </c>
      <c r="T285">
        <v>1</v>
      </c>
      <c r="U285" t="s">
        <v>2880</v>
      </c>
      <c r="V285" t="s">
        <v>2881</v>
      </c>
    </row>
    <row r="286" spans="1:22" x14ac:dyDescent="0.45">
      <c r="A286" t="s">
        <v>2850</v>
      </c>
      <c r="B286" t="s">
        <v>2945</v>
      </c>
      <c r="C286" t="str">
        <f t="shared" si="9"/>
        <v>VC6ET13</v>
      </c>
      <c r="D286" t="s">
        <v>2635</v>
      </c>
      <c r="E286" t="s">
        <v>2220</v>
      </c>
      <c r="F286" t="s">
        <v>70</v>
      </c>
      <c r="G286" s="362" t="s">
        <v>2941</v>
      </c>
      <c r="H286">
        <v>2019</v>
      </c>
      <c r="I286" s="364">
        <v>13.8</v>
      </c>
      <c r="J286" s="364"/>
      <c r="K286" t="s">
        <v>2942</v>
      </c>
      <c r="L286" t="s">
        <v>1863</v>
      </c>
      <c r="O286" s="363">
        <f t="shared" si="10"/>
        <v>0.13800000000000001</v>
      </c>
      <c r="Q286" s="364">
        <f>(I286/I287)^(1/(H286-H287))</f>
        <v>1.0114363732397811</v>
      </c>
      <c r="T286">
        <v>1</v>
      </c>
      <c r="U286" t="s">
        <v>2882</v>
      </c>
      <c r="V286" t="s">
        <v>2883</v>
      </c>
    </row>
    <row r="287" spans="1:22" x14ac:dyDescent="0.45">
      <c r="A287" t="s">
        <v>2850</v>
      </c>
      <c r="B287" t="s">
        <v>2945</v>
      </c>
      <c r="D287" t="s">
        <v>2635</v>
      </c>
      <c r="E287" t="s">
        <v>2220</v>
      </c>
      <c r="F287" t="s">
        <v>70</v>
      </c>
      <c r="G287" s="362" t="s">
        <v>2941</v>
      </c>
      <c r="H287">
        <v>2011</v>
      </c>
      <c r="I287" s="364">
        <v>12.6</v>
      </c>
      <c r="J287" s="364"/>
      <c r="K287" t="s">
        <v>2942</v>
      </c>
      <c r="L287" t="s">
        <v>1863</v>
      </c>
      <c r="O287" s="363">
        <f t="shared" si="10"/>
        <v>0.126</v>
      </c>
      <c r="T287">
        <v>1</v>
      </c>
      <c r="U287" t="s">
        <v>2882</v>
      </c>
      <c r="V287" t="s">
        <v>2883</v>
      </c>
    </row>
    <row r="288" spans="1:22" x14ac:dyDescent="0.45">
      <c r="A288" t="s">
        <v>2850</v>
      </c>
      <c r="B288" t="s">
        <v>2945</v>
      </c>
      <c r="C288" t="str">
        <f t="shared" si="9"/>
        <v>VC6ET14</v>
      </c>
      <c r="D288" t="s">
        <v>2635</v>
      </c>
      <c r="E288" t="s">
        <v>2220</v>
      </c>
      <c r="F288" t="s">
        <v>70</v>
      </c>
      <c r="G288" s="362" t="s">
        <v>2941</v>
      </c>
      <c r="H288">
        <v>2019</v>
      </c>
      <c r="I288" s="364">
        <v>4</v>
      </c>
      <c r="J288" s="364"/>
      <c r="K288" t="s">
        <v>2942</v>
      </c>
      <c r="L288" t="s">
        <v>1863</v>
      </c>
      <c r="O288" s="363">
        <f t="shared" si="10"/>
        <v>0.04</v>
      </c>
      <c r="Q288" s="364">
        <f>(I288/I289)^(1/(H288-H289))</f>
        <v>0.95257898767749849</v>
      </c>
      <c r="T288">
        <v>1</v>
      </c>
      <c r="U288" t="s">
        <v>2884</v>
      </c>
      <c r="V288" t="s">
        <v>814</v>
      </c>
    </row>
    <row r="289" spans="1:22" x14ac:dyDescent="0.45">
      <c r="A289" t="s">
        <v>2850</v>
      </c>
      <c r="B289" t="s">
        <v>2945</v>
      </c>
      <c r="D289" t="s">
        <v>2635</v>
      </c>
      <c r="E289" t="s">
        <v>2220</v>
      </c>
      <c r="F289" t="s">
        <v>70</v>
      </c>
      <c r="G289" s="362" t="s">
        <v>2941</v>
      </c>
      <c r="H289">
        <v>2011</v>
      </c>
      <c r="I289" s="364">
        <v>5.9</v>
      </c>
      <c r="J289" s="364"/>
      <c r="K289" t="s">
        <v>2942</v>
      </c>
      <c r="L289" t="s">
        <v>1863</v>
      </c>
      <c r="O289" s="363">
        <f t="shared" si="10"/>
        <v>5.9000000000000004E-2</v>
      </c>
      <c r="T289">
        <v>1</v>
      </c>
      <c r="U289" t="s">
        <v>2884</v>
      </c>
      <c r="V289" t="s">
        <v>814</v>
      </c>
    </row>
    <row r="290" spans="1:22" x14ac:dyDescent="0.45">
      <c r="A290" t="s">
        <v>2850</v>
      </c>
      <c r="B290" t="s">
        <v>2945</v>
      </c>
      <c r="C290" t="str">
        <f t="shared" si="9"/>
        <v>VC6ET15</v>
      </c>
      <c r="D290" t="s">
        <v>2635</v>
      </c>
      <c r="E290" t="s">
        <v>2220</v>
      </c>
      <c r="F290" t="s">
        <v>70</v>
      </c>
      <c r="G290" s="362" t="s">
        <v>2941</v>
      </c>
      <c r="H290">
        <v>2019</v>
      </c>
      <c r="I290" s="364">
        <v>5.4</v>
      </c>
      <c r="J290" s="364"/>
      <c r="K290" t="s">
        <v>2942</v>
      </c>
      <c r="L290" t="s">
        <v>1863</v>
      </c>
      <c r="O290" s="363">
        <f t="shared" si="10"/>
        <v>5.4000000000000006E-2</v>
      </c>
      <c r="Q290" s="364">
        <f>(I290/I291)^(1/(H290-H291))</f>
        <v>0.85850500967114529</v>
      </c>
      <c r="T290">
        <v>1</v>
      </c>
      <c r="U290" t="s">
        <v>2885</v>
      </c>
      <c r="V290" t="s">
        <v>2886</v>
      </c>
    </row>
    <row r="291" spans="1:22" x14ac:dyDescent="0.45">
      <c r="A291" t="s">
        <v>2850</v>
      </c>
      <c r="B291" t="s">
        <v>2945</v>
      </c>
      <c r="D291" t="s">
        <v>2635</v>
      </c>
      <c r="E291" t="s">
        <v>2220</v>
      </c>
      <c r="F291" t="s">
        <v>70</v>
      </c>
      <c r="G291" s="362" t="s">
        <v>2941</v>
      </c>
      <c r="H291">
        <v>2011</v>
      </c>
      <c r="I291" s="364">
        <v>18.3</v>
      </c>
      <c r="J291" s="364"/>
      <c r="K291" t="s">
        <v>2942</v>
      </c>
      <c r="L291" t="s">
        <v>1863</v>
      </c>
      <c r="O291" s="363">
        <f t="shared" si="10"/>
        <v>0.183</v>
      </c>
      <c r="T291">
        <v>1</v>
      </c>
      <c r="U291" t="s">
        <v>2885</v>
      </c>
      <c r="V291" t="s">
        <v>2886</v>
      </c>
    </row>
    <row r="292" spans="1:22" x14ac:dyDescent="0.45">
      <c r="A292" t="s">
        <v>2850</v>
      </c>
      <c r="B292" t="s">
        <v>2947</v>
      </c>
      <c r="C292" t="str">
        <f t="shared" si="9"/>
        <v>VC7ET</v>
      </c>
      <c r="D292" t="s">
        <v>2636</v>
      </c>
      <c r="E292" t="s">
        <v>2219</v>
      </c>
      <c r="F292" t="s">
        <v>70</v>
      </c>
      <c r="G292" s="362" t="s">
        <v>2941</v>
      </c>
      <c r="H292">
        <v>2019</v>
      </c>
      <c r="I292" s="364">
        <v>36.799999999999997</v>
      </c>
      <c r="J292" s="364"/>
      <c r="K292" t="s">
        <v>2942</v>
      </c>
      <c r="L292" t="s">
        <v>1863</v>
      </c>
      <c r="O292" s="363">
        <f t="shared" si="10"/>
        <v>0.36799999999999999</v>
      </c>
      <c r="Q292" s="364">
        <f>(I292/I293)^(1/(H292-H293))</f>
        <v>0.97680552201519544</v>
      </c>
      <c r="T292">
        <v>0</v>
      </c>
      <c r="U292" t="s">
        <v>2849</v>
      </c>
      <c r="V292" t="s">
        <v>594</v>
      </c>
    </row>
    <row r="293" spans="1:22" x14ac:dyDescent="0.45">
      <c r="A293" t="s">
        <v>2850</v>
      </c>
      <c r="B293" t="s">
        <v>2947</v>
      </c>
      <c r="D293" t="s">
        <v>2636</v>
      </c>
      <c r="E293" t="s">
        <v>2219</v>
      </c>
      <c r="F293" t="s">
        <v>70</v>
      </c>
      <c r="G293" s="362" t="s">
        <v>2941</v>
      </c>
      <c r="H293">
        <v>2011</v>
      </c>
      <c r="I293" s="364">
        <v>44.4</v>
      </c>
      <c r="J293" s="364"/>
      <c r="K293" t="s">
        <v>2942</v>
      </c>
      <c r="L293" t="s">
        <v>1863</v>
      </c>
      <c r="O293" s="363">
        <f t="shared" si="10"/>
        <v>0.44400000000000001</v>
      </c>
      <c r="T293">
        <v>0</v>
      </c>
      <c r="U293" t="s">
        <v>2849</v>
      </c>
      <c r="V293" t="s">
        <v>594</v>
      </c>
    </row>
    <row r="294" spans="1:22" x14ac:dyDescent="0.45">
      <c r="A294" t="s">
        <v>2850</v>
      </c>
      <c r="B294" t="s">
        <v>2947</v>
      </c>
      <c r="C294" t="str">
        <f t="shared" si="9"/>
        <v>VC7ETR</v>
      </c>
      <c r="D294" t="s">
        <v>2636</v>
      </c>
      <c r="E294" t="s">
        <v>2219</v>
      </c>
      <c r="F294" t="s">
        <v>70</v>
      </c>
      <c r="G294" s="362" t="s">
        <v>2941</v>
      </c>
      <c r="H294">
        <v>2019</v>
      </c>
      <c r="I294" s="364">
        <v>40.4</v>
      </c>
      <c r="J294" s="364"/>
      <c r="K294" t="s">
        <v>2942</v>
      </c>
      <c r="L294" t="s">
        <v>1863</v>
      </c>
      <c r="O294" s="363">
        <f t="shared" si="10"/>
        <v>0.40399999999999997</v>
      </c>
      <c r="Q294" s="364">
        <f>(I294/I295)^(1/(H294-H295))</f>
        <v>0.98337106128877938</v>
      </c>
      <c r="T294">
        <v>0.5</v>
      </c>
      <c r="U294" t="s">
        <v>2866</v>
      </c>
      <c r="V294" t="s">
        <v>84</v>
      </c>
    </row>
    <row r="295" spans="1:22" x14ac:dyDescent="0.45">
      <c r="A295" t="s">
        <v>2850</v>
      </c>
      <c r="B295" t="s">
        <v>2947</v>
      </c>
      <c r="D295" t="s">
        <v>2636</v>
      </c>
      <c r="E295" t="s">
        <v>2219</v>
      </c>
      <c r="F295" t="s">
        <v>70</v>
      </c>
      <c r="G295" s="362" t="s">
        <v>2941</v>
      </c>
      <c r="H295">
        <v>2011</v>
      </c>
      <c r="I295" s="364">
        <v>46.2</v>
      </c>
      <c r="J295" s="364"/>
      <c r="K295" t="s">
        <v>2942</v>
      </c>
      <c r="L295" t="s">
        <v>1863</v>
      </c>
      <c r="O295" s="363">
        <f t="shared" si="10"/>
        <v>0.46200000000000002</v>
      </c>
      <c r="T295">
        <v>0.5</v>
      </c>
      <c r="U295" t="s">
        <v>2866</v>
      </c>
      <c r="V295" t="s">
        <v>84</v>
      </c>
    </row>
    <row r="296" spans="1:22" x14ac:dyDescent="0.45">
      <c r="A296" t="s">
        <v>2850</v>
      </c>
      <c r="B296" t="s">
        <v>2947</v>
      </c>
      <c r="C296" t="str">
        <f t="shared" si="9"/>
        <v>VC7ETU</v>
      </c>
      <c r="D296" t="s">
        <v>2636</v>
      </c>
      <c r="E296" t="s">
        <v>2219</v>
      </c>
      <c r="F296" t="s">
        <v>70</v>
      </c>
      <c r="G296" s="362" t="s">
        <v>2941</v>
      </c>
      <c r="H296">
        <v>2019</v>
      </c>
      <c r="I296" s="364">
        <v>26.2</v>
      </c>
      <c r="J296" s="364"/>
      <c r="K296" t="s">
        <v>2942</v>
      </c>
      <c r="L296" t="s">
        <v>1863</v>
      </c>
      <c r="O296" s="363">
        <f t="shared" si="10"/>
        <v>0.26200000000000001</v>
      </c>
      <c r="Q296" s="364">
        <f>(I296/I297)^(1/(H296-H297))</f>
        <v>0.97723461569065884</v>
      </c>
      <c r="T296">
        <v>0.5</v>
      </c>
      <c r="U296" t="s">
        <v>2867</v>
      </c>
      <c r="V296" t="s">
        <v>336</v>
      </c>
    </row>
    <row r="297" spans="1:22" x14ac:dyDescent="0.45">
      <c r="A297" t="s">
        <v>2850</v>
      </c>
      <c r="B297" t="s">
        <v>2947</v>
      </c>
      <c r="D297" t="s">
        <v>2636</v>
      </c>
      <c r="E297" t="s">
        <v>2219</v>
      </c>
      <c r="F297" t="s">
        <v>70</v>
      </c>
      <c r="G297" s="362" t="s">
        <v>2941</v>
      </c>
      <c r="H297">
        <v>2011</v>
      </c>
      <c r="I297" s="364">
        <v>31.5</v>
      </c>
      <c r="J297" s="364"/>
      <c r="K297" t="s">
        <v>2942</v>
      </c>
      <c r="L297" t="s">
        <v>1863</v>
      </c>
      <c r="O297" s="363">
        <f t="shared" si="10"/>
        <v>0.315</v>
      </c>
      <c r="T297">
        <v>0.5</v>
      </c>
      <c r="U297" t="s">
        <v>2867</v>
      </c>
      <c r="V297" t="s">
        <v>336</v>
      </c>
    </row>
    <row r="298" spans="1:22" x14ac:dyDescent="0.45">
      <c r="A298" t="s">
        <v>2850</v>
      </c>
      <c r="B298" t="s">
        <v>2947</v>
      </c>
      <c r="C298" t="str">
        <f t="shared" si="9"/>
        <v>VC7ET01</v>
      </c>
      <c r="D298" t="s">
        <v>2636</v>
      </c>
      <c r="E298" t="s">
        <v>2219</v>
      </c>
      <c r="F298" t="s">
        <v>70</v>
      </c>
      <c r="G298" s="362" t="s">
        <v>2941</v>
      </c>
      <c r="H298">
        <v>2019</v>
      </c>
      <c r="I298" s="364">
        <v>48.4</v>
      </c>
      <c r="J298" s="364"/>
      <c r="K298" t="s">
        <v>2942</v>
      </c>
      <c r="L298" t="s">
        <v>1863</v>
      </c>
      <c r="O298" s="363">
        <f t="shared" si="10"/>
        <v>0.48399999999999999</v>
      </c>
      <c r="Q298" s="364">
        <f>(I298/I299)^(1/(H298-H299))</f>
        <v>0.99251088935137288</v>
      </c>
      <c r="T298">
        <v>1</v>
      </c>
      <c r="U298" t="s">
        <v>2868</v>
      </c>
      <c r="V298" t="s">
        <v>806</v>
      </c>
    </row>
    <row r="299" spans="1:22" x14ac:dyDescent="0.45">
      <c r="A299" t="s">
        <v>2850</v>
      </c>
      <c r="B299" t="s">
        <v>2947</v>
      </c>
      <c r="D299" t="s">
        <v>2636</v>
      </c>
      <c r="E299" t="s">
        <v>2219</v>
      </c>
      <c r="F299" t="s">
        <v>70</v>
      </c>
      <c r="G299" s="362" t="s">
        <v>2941</v>
      </c>
      <c r="H299">
        <v>2011</v>
      </c>
      <c r="I299" s="364">
        <v>51.4</v>
      </c>
      <c r="J299" s="364"/>
      <c r="K299" t="s">
        <v>2942</v>
      </c>
      <c r="L299" t="s">
        <v>1863</v>
      </c>
      <c r="O299" s="363">
        <f>I299/100</f>
        <v>0.51400000000000001</v>
      </c>
      <c r="T299">
        <v>1</v>
      </c>
      <c r="U299" t="s">
        <v>2868</v>
      </c>
      <c r="V299" t="s">
        <v>806</v>
      </c>
    </row>
    <row r="300" spans="1:22" x14ac:dyDescent="0.45">
      <c r="A300" t="s">
        <v>2850</v>
      </c>
      <c r="B300" t="s">
        <v>2947</v>
      </c>
      <c r="C300" t="str">
        <f t="shared" si="9"/>
        <v>VC7ET02</v>
      </c>
      <c r="D300" t="s">
        <v>2636</v>
      </c>
      <c r="E300" t="s">
        <v>2219</v>
      </c>
      <c r="F300" t="s">
        <v>70</v>
      </c>
      <c r="G300" s="362" t="s">
        <v>2941</v>
      </c>
      <c r="H300">
        <v>2019</v>
      </c>
      <c r="I300" s="364">
        <v>42.2</v>
      </c>
      <c r="J300" s="364"/>
      <c r="K300" t="s">
        <v>2942</v>
      </c>
      <c r="L300" t="s">
        <v>1863</v>
      </c>
      <c r="O300" s="363">
        <f t="shared" si="10"/>
        <v>0.42200000000000004</v>
      </c>
      <c r="Q300" s="364">
        <f>(I300/I301)^(1/(H300-H301))</f>
        <v>0.97853438650229407</v>
      </c>
      <c r="T300">
        <v>1</v>
      </c>
      <c r="U300" t="s">
        <v>2869</v>
      </c>
      <c r="V300" t="s">
        <v>2946</v>
      </c>
    </row>
    <row r="301" spans="1:22" x14ac:dyDescent="0.45">
      <c r="A301" t="s">
        <v>2850</v>
      </c>
      <c r="B301" t="s">
        <v>2947</v>
      </c>
      <c r="D301" t="s">
        <v>2636</v>
      </c>
      <c r="E301" t="s">
        <v>2219</v>
      </c>
      <c r="F301" t="s">
        <v>70</v>
      </c>
      <c r="G301" s="362" t="s">
        <v>2941</v>
      </c>
      <c r="H301">
        <v>2011</v>
      </c>
      <c r="I301" s="364">
        <v>50.2</v>
      </c>
      <c r="J301" s="364"/>
      <c r="K301" t="s">
        <v>2942</v>
      </c>
      <c r="L301" t="s">
        <v>1863</v>
      </c>
      <c r="O301" s="363">
        <f t="shared" si="10"/>
        <v>0.502</v>
      </c>
      <c r="T301">
        <v>1</v>
      </c>
      <c r="U301" t="s">
        <v>2869</v>
      </c>
      <c r="V301" t="s">
        <v>2946</v>
      </c>
    </row>
    <row r="302" spans="1:22" x14ac:dyDescent="0.45">
      <c r="A302" t="s">
        <v>2850</v>
      </c>
      <c r="B302" t="s">
        <v>2947</v>
      </c>
      <c r="C302" t="str">
        <f t="shared" si="9"/>
        <v>VC7ET03</v>
      </c>
      <c r="D302" t="s">
        <v>2636</v>
      </c>
      <c r="E302" t="s">
        <v>2219</v>
      </c>
      <c r="F302" t="s">
        <v>70</v>
      </c>
      <c r="G302" s="362" t="s">
        <v>2941</v>
      </c>
      <c r="H302">
        <v>2019</v>
      </c>
      <c r="I302" s="364">
        <v>41.5</v>
      </c>
      <c r="J302" s="364"/>
      <c r="K302" t="s">
        <v>2942</v>
      </c>
      <c r="L302" t="s">
        <v>1863</v>
      </c>
      <c r="O302" s="363">
        <f t="shared" si="10"/>
        <v>0.41499999999999998</v>
      </c>
      <c r="Q302" s="364">
        <f>(I302/I303)^(1/(H302-H303))</f>
        <v>0.97219994939960175</v>
      </c>
      <c r="T302">
        <v>1</v>
      </c>
      <c r="U302" t="s">
        <v>2871</v>
      </c>
      <c r="V302" t="s">
        <v>805</v>
      </c>
    </row>
    <row r="303" spans="1:22" x14ac:dyDescent="0.45">
      <c r="A303" t="s">
        <v>2850</v>
      </c>
      <c r="B303" t="s">
        <v>2947</v>
      </c>
      <c r="D303" t="s">
        <v>2636</v>
      </c>
      <c r="E303" t="s">
        <v>2219</v>
      </c>
      <c r="F303" t="s">
        <v>70</v>
      </c>
      <c r="G303" s="362" t="s">
        <v>2941</v>
      </c>
      <c r="H303">
        <v>2011</v>
      </c>
      <c r="I303" s="364">
        <v>52</v>
      </c>
      <c r="J303" s="364"/>
      <c r="K303" t="s">
        <v>2942</v>
      </c>
      <c r="L303" t="s">
        <v>1863</v>
      </c>
      <c r="O303" s="363">
        <f t="shared" si="10"/>
        <v>0.52</v>
      </c>
      <c r="T303">
        <v>1</v>
      </c>
      <c r="U303" t="s">
        <v>2871</v>
      </c>
      <c r="V303" t="s">
        <v>805</v>
      </c>
    </row>
    <row r="304" spans="1:22" x14ac:dyDescent="0.45">
      <c r="A304" t="s">
        <v>2850</v>
      </c>
      <c r="B304" t="s">
        <v>2947</v>
      </c>
      <c r="C304" t="str">
        <f t="shared" si="9"/>
        <v>VC7ET04</v>
      </c>
      <c r="D304" t="s">
        <v>2636</v>
      </c>
      <c r="E304" t="s">
        <v>2219</v>
      </c>
      <c r="F304" t="s">
        <v>70</v>
      </c>
      <c r="G304" s="362" t="s">
        <v>2941</v>
      </c>
      <c r="H304">
        <v>2019</v>
      </c>
      <c r="I304" s="364">
        <v>35.299999999999997</v>
      </c>
      <c r="J304" s="364"/>
      <c r="K304" t="s">
        <v>2942</v>
      </c>
      <c r="L304" t="s">
        <v>1863</v>
      </c>
      <c r="O304" s="363">
        <f t="shared" si="10"/>
        <v>0.35299999999999998</v>
      </c>
      <c r="Q304" s="364">
        <f>(I304/I305)^(1/(H304-H305))</f>
        <v>0.98027244621576748</v>
      </c>
      <c r="T304">
        <v>1</v>
      </c>
      <c r="U304" t="s">
        <v>2872</v>
      </c>
      <c r="V304" t="s">
        <v>809</v>
      </c>
    </row>
    <row r="305" spans="1:22" x14ac:dyDescent="0.45">
      <c r="A305" t="s">
        <v>2850</v>
      </c>
      <c r="B305" t="s">
        <v>2947</v>
      </c>
      <c r="D305" t="s">
        <v>2636</v>
      </c>
      <c r="E305" t="s">
        <v>2219</v>
      </c>
      <c r="F305" t="s">
        <v>70</v>
      </c>
      <c r="G305" s="362" t="s">
        <v>2941</v>
      </c>
      <c r="H305">
        <v>2011</v>
      </c>
      <c r="I305" s="364">
        <v>41.4</v>
      </c>
      <c r="J305" s="364"/>
      <c r="K305" t="s">
        <v>2942</v>
      </c>
      <c r="L305" t="s">
        <v>1863</v>
      </c>
      <c r="O305" s="363">
        <f t="shared" si="10"/>
        <v>0.41399999999999998</v>
      </c>
      <c r="T305">
        <v>1</v>
      </c>
      <c r="U305" t="s">
        <v>2872</v>
      </c>
      <c r="V305" t="s">
        <v>809</v>
      </c>
    </row>
    <row r="306" spans="1:22" x14ac:dyDescent="0.45">
      <c r="A306" t="s">
        <v>2850</v>
      </c>
      <c r="B306" t="s">
        <v>2947</v>
      </c>
      <c r="C306" t="str">
        <f t="shared" si="9"/>
        <v>VC7ET05</v>
      </c>
      <c r="D306" t="s">
        <v>2636</v>
      </c>
      <c r="E306" t="s">
        <v>2219</v>
      </c>
      <c r="F306" t="s">
        <v>70</v>
      </c>
      <c r="G306" s="362" t="s">
        <v>2941</v>
      </c>
      <c r="H306">
        <v>2019</v>
      </c>
      <c r="I306" s="364">
        <v>30.6</v>
      </c>
      <c r="J306" s="364"/>
      <c r="K306" t="s">
        <v>2942</v>
      </c>
      <c r="L306" t="s">
        <v>1863</v>
      </c>
      <c r="O306" s="363">
        <f t="shared" si="10"/>
        <v>0.30599999999999999</v>
      </c>
      <c r="Q306" s="364">
        <f>(I306/I307)^(1/(H306-H307))</f>
        <v>0.99060595824361419</v>
      </c>
      <c r="T306">
        <v>1</v>
      </c>
      <c r="U306" t="s">
        <v>2873</v>
      </c>
      <c r="V306" t="s">
        <v>2874</v>
      </c>
    </row>
    <row r="307" spans="1:22" x14ac:dyDescent="0.45">
      <c r="A307" t="s">
        <v>2850</v>
      </c>
      <c r="B307" t="s">
        <v>2947</v>
      </c>
      <c r="D307" t="s">
        <v>2636</v>
      </c>
      <c r="E307" t="s">
        <v>2219</v>
      </c>
      <c r="F307" t="s">
        <v>70</v>
      </c>
      <c r="G307" s="362" t="s">
        <v>2941</v>
      </c>
      <c r="H307">
        <v>2011</v>
      </c>
      <c r="I307" s="364">
        <v>33</v>
      </c>
      <c r="J307" s="364"/>
      <c r="K307" t="s">
        <v>2942</v>
      </c>
      <c r="L307" t="s">
        <v>1863</v>
      </c>
      <c r="O307" s="363">
        <f t="shared" si="10"/>
        <v>0.33</v>
      </c>
      <c r="T307">
        <v>1</v>
      </c>
      <c r="U307" t="s">
        <v>2873</v>
      </c>
      <c r="V307" t="s">
        <v>2874</v>
      </c>
    </row>
    <row r="308" spans="1:22" x14ac:dyDescent="0.45">
      <c r="A308" t="s">
        <v>2850</v>
      </c>
      <c r="B308" t="s">
        <v>2947</v>
      </c>
      <c r="C308" t="str">
        <f t="shared" si="9"/>
        <v>VC7ET06</v>
      </c>
      <c r="D308" t="s">
        <v>2636</v>
      </c>
      <c r="E308" t="s">
        <v>2219</v>
      </c>
      <c r="F308" t="s">
        <v>70</v>
      </c>
      <c r="G308" s="362" t="s">
        <v>2941</v>
      </c>
      <c r="H308">
        <v>2019</v>
      </c>
      <c r="I308" s="364">
        <v>40.700000000000003</v>
      </c>
      <c r="J308" s="364"/>
      <c r="K308" t="s">
        <v>2942</v>
      </c>
      <c r="L308" t="s">
        <v>1863</v>
      </c>
      <c r="O308" s="363">
        <f t="shared" si="10"/>
        <v>0.40700000000000003</v>
      </c>
      <c r="Q308" s="364">
        <f>(I308/I309)^(1/(H308-H309))</f>
        <v>0.97806961567656314</v>
      </c>
      <c r="T308">
        <v>1</v>
      </c>
      <c r="U308" t="s">
        <v>2876</v>
      </c>
      <c r="V308" t="s">
        <v>2877</v>
      </c>
    </row>
    <row r="309" spans="1:22" x14ac:dyDescent="0.45">
      <c r="A309" t="s">
        <v>2850</v>
      </c>
      <c r="B309" t="s">
        <v>2947</v>
      </c>
      <c r="D309" t="s">
        <v>2636</v>
      </c>
      <c r="E309" t="s">
        <v>2219</v>
      </c>
      <c r="F309" t="s">
        <v>70</v>
      </c>
      <c r="G309" s="362" t="s">
        <v>2941</v>
      </c>
      <c r="H309">
        <v>2011</v>
      </c>
      <c r="I309" s="364">
        <v>48.6</v>
      </c>
      <c r="J309" s="364"/>
      <c r="K309" t="s">
        <v>2942</v>
      </c>
      <c r="L309" t="s">
        <v>1863</v>
      </c>
      <c r="O309" s="363">
        <f t="shared" si="10"/>
        <v>0.48599999999999999</v>
      </c>
      <c r="T309">
        <v>1</v>
      </c>
      <c r="U309" t="s">
        <v>2876</v>
      </c>
      <c r="V309" t="s">
        <v>2877</v>
      </c>
    </row>
    <row r="310" spans="1:22" x14ac:dyDescent="0.45">
      <c r="A310" t="s">
        <v>2850</v>
      </c>
      <c r="B310" t="s">
        <v>2947</v>
      </c>
      <c r="C310" t="str">
        <f t="shared" si="9"/>
        <v>VC7ET07</v>
      </c>
      <c r="D310" t="s">
        <v>2636</v>
      </c>
      <c r="E310" t="s">
        <v>2219</v>
      </c>
      <c r="F310" t="s">
        <v>70</v>
      </c>
      <c r="G310" s="362" t="s">
        <v>2941</v>
      </c>
      <c r="H310">
        <v>2019</v>
      </c>
      <c r="I310" s="364">
        <v>36.4</v>
      </c>
      <c r="J310" s="364"/>
      <c r="K310" t="s">
        <v>2942</v>
      </c>
      <c r="L310" t="s">
        <v>1863</v>
      </c>
      <c r="O310" s="363">
        <f t="shared" si="10"/>
        <v>0.36399999999999999</v>
      </c>
      <c r="Q310" s="364">
        <f>(I310/I311)^(1/(H310-H311))</f>
        <v>0.97629901078819958</v>
      </c>
      <c r="T310">
        <v>1</v>
      </c>
      <c r="U310" t="s">
        <v>2878</v>
      </c>
      <c r="V310" t="s">
        <v>2879</v>
      </c>
    </row>
    <row r="311" spans="1:22" x14ac:dyDescent="0.45">
      <c r="A311" t="s">
        <v>2850</v>
      </c>
      <c r="B311" t="s">
        <v>2947</v>
      </c>
      <c r="D311" t="s">
        <v>2636</v>
      </c>
      <c r="E311" t="s">
        <v>2219</v>
      </c>
      <c r="F311" t="s">
        <v>70</v>
      </c>
      <c r="G311" s="362" t="s">
        <v>2941</v>
      </c>
      <c r="H311">
        <v>2011</v>
      </c>
      <c r="I311" s="364">
        <v>44.1</v>
      </c>
      <c r="J311" s="364"/>
      <c r="K311" t="s">
        <v>2942</v>
      </c>
      <c r="L311" t="s">
        <v>1863</v>
      </c>
      <c r="O311" s="363">
        <f t="shared" si="10"/>
        <v>0.441</v>
      </c>
      <c r="T311">
        <v>1</v>
      </c>
      <c r="U311" t="s">
        <v>2878</v>
      </c>
      <c r="V311" t="s">
        <v>2879</v>
      </c>
    </row>
    <row r="312" spans="1:22" x14ac:dyDescent="0.45">
      <c r="A312" t="s">
        <v>2850</v>
      </c>
      <c r="B312" t="s">
        <v>2947</v>
      </c>
      <c r="C312" t="str">
        <f t="shared" si="9"/>
        <v>VC7ET12</v>
      </c>
      <c r="D312" t="s">
        <v>2636</v>
      </c>
      <c r="E312" t="s">
        <v>2219</v>
      </c>
      <c r="F312" t="s">
        <v>70</v>
      </c>
      <c r="G312" s="362" t="s">
        <v>2941</v>
      </c>
      <c r="H312">
        <v>2019</v>
      </c>
      <c r="I312" s="364">
        <v>17.3</v>
      </c>
      <c r="J312" s="364"/>
      <c r="K312" t="s">
        <v>2942</v>
      </c>
      <c r="L312" t="s">
        <v>1863</v>
      </c>
      <c r="O312" s="363">
        <f t="shared" si="10"/>
        <v>0.17300000000000001</v>
      </c>
      <c r="Q312" s="364">
        <f>(I312/I313)^(1/(H312-H313))</f>
        <v>0.94457279254360449</v>
      </c>
      <c r="T312">
        <v>1</v>
      </c>
      <c r="U312" t="s">
        <v>2880</v>
      </c>
      <c r="V312" t="s">
        <v>2881</v>
      </c>
    </row>
    <row r="313" spans="1:22" x14ac:dyDescent="0.45">
      <c r="A313" t="s">
        <v>2850</v>
      </c>
      <c r="B313" t="s">
        <v>2947</v>
      </c>
      <c r="D313" t="s">
        <v>2636</v>
      </c>
      <c r="E313" t="s">
        <v>2219</v>
      </c>
      <c r="F313" t="s">
        <v>70</v>
      </c>
      <c r="G313" s="362" t="s">
        <v>2941</v>
      </c>
      <c r="H313">
        <v>2011</v>
      </c>
      <c r="I313" s="364">
        <v>27.3</v>
      </c>
      <c r="J313" s="364"/>
      <c r="K313" t="s">
        <v>2942</v>
      </c>
      <c r="L313" t="s">
        <v>1863</v>
      </c>
      <c r="O313" s="363">
        <f t="shared" si="10"/>
        <v>0.27300000000000002</v>
      </c>
      <c r="T313">
        <v>1</v>
      </c>
      <c r="U313" t="s">
        <v>2880</v>
      </c>
      <c r="V313" t="s">
        <v>2881</v>
      </c>
    </row>
    <row r="314" spans="1:22" x14ac:dyDescent="0.45">
      <c r="A314" t="s">
        <v>2850</v>
      </c>
      <c r="B314" t="s">
        <v>2947</v>
      </c>
      <c r="C314" t="str">
        <f t="shared" si="9"/>
        <v>VC7ET13</v>
      </c>
      <c r="D314" t="s">
        <v>2636</v>
      </c>
      <c r="E314" t="s">
        <v>2219</v>
      </c>
      <c r="F314" t="s">
        <v>70</v>
      </c>
      <c r="G314" s="362" t="s">
        <v>2941</v>
      </c>
      <c r="H314">
        <v>2019</v>
      </c>
      <c r="I314" s="364">
        <v>36.4</v>
      </c>
      <c r="J314" s="364"/>
      <c r="K314" t="s">
        <v>2942</v>
      </c>
      <c r="L314" t="s">
        <v>1863</v>
      </c>
      <c r="O314" s="363">
        <f t="shared" si="10"/>
        <v>0.36399999999999999</v>
      </c>
      <c r="Q314" s="364">
        <f>(I314/I315)^(1/(H314-H315))</f>
        <v>1.0253228592645025</v>
      </c>
      <c r="T314">
        <v>1</v>
      </c>
      <c r="U314" t="s">
        <v>2882</v>
      </c>
      <c r="V314" t="s">
        <v>2883</v>
      </c>
    </row>
    <row r="315" spans="1:22" x14ac:dyDescent="0.45">
      <c r="A315" t="s">
        <v>2850</v>
      </c>
      <c r="B315" t="s">
        <v>2947</v>
      </c>
      <c r="D315" t="s">
        <v>2636</v>
      </c>
      <c r="E315" t="s">
        <v>2219</v>
      </c>
      <c r="F315" t="s">
        <v>70</v>
      </c>
      <c r="G315" s="362" t="s">
        <v>2941</v>
      </c>
      <c r="H315">
        <v>2011</v>
      </c>
      <c r="I315" s="364">
        <v>29.8</v>
      </c>
      <c r="J315" s="364"/>
      <c r="K315" t="s">
        <v>2942</v>
      </c>
      <c r="L315" t="s">
        <v>1863</v>
      </c>
      <c r="O315" s="363">
        <f t="shared" si="10"/>
        <v>0.29799999999999999</v>
      </c>
      <c r="T315">
        <v>1</v>
      </c>
      <c r="U315" t="s">
        <v>2882</v>
      </c>
      <c r="V315" t="s">
        <v>2883</v>
      </c>
    </row>
    <row r="316" spans="1:22" x14ac:dyDescent="0.45">
      <c r="A316" t="s">
        <v>2850</v>
      </c>
      <c r="B316" t="s">
        <v>2947</v>
      </c>
      <c r="C316" t="str">
        <f t="shared" si="9"/>
        <v>VC7ET14</v>
      </c>
      <c r="D316" t="s">
        <v>2636</v>
      </c>
      <c r="E316" t="s">
        <v>2219</v>
      </c>
      <c r="F316" t="s">
        <v>70</v>
      </c>
      <c r="G316" s="362" t="s">
        <v>2941</v>
      </c>
      <c r="H316">
        <v>2019</v>
      </c>
      <c r="I316" s="364">
        <v>15</v>
      </c>
      <c r="J316" s="364"/>
      <c r="K316" t="s">
        <v>2942</v>
      </c>
      <c r="L316" t="s">
        <v>1863</v>
      </c>
      <c r="O316" s="363">
        <f t="shared" si="10"/>
        <v>0.15</v>
      </c>
      <c r="Q316" s="364">
        <f>(I316/I317)^(1/(H316-H317))</f>
        <v>0.95325385944295649</v>
      </c>
      <c r="T316">
        <v>1</v>
      </c>
      <c r="U316" t="s">
        <v>2884</v>
      </c>
      <c r="V316" t="s">
        <v>814</v>
      </c>
    </row>
    <row r="317" spans="1:22" x14ac:dyDescent="0.45">
      <c r="A317" t="s">
        <v>2850</v>
      </c>
      <c r="B317" t="s">
        <v>2947</v>
      </c>
      <c r="D317" t="s">
        <v>2636</v>
      </c>
      <c r="E317" t="s">
        <v>2219</v>
      </c>
      <c r="F317" t="s">
        <v>70</v>
      </c>
      <c r="G317" s="362" t="s">
        <v>2941</v>
      </c>
      <c r="H317">
        <v>2011</v>
      </c>
      <c r="I317" s="364">
        <v>22</v>
      </c>
      <c r="J317" s="364"/>
      <c r="K317" t="s">
        <v>2942</v>
      </c>
      <c r="L317" t="s">
        <v>1863</v>
      </c>
      <c r="O317" s="363">
        <f t="shared" si="10"/>
        <v>0.22</v>
      </c>
      <c r="T317">
        <v>1</v>
      </c>
      <c r="U317" t="s">
        <v>2884</v>
      </c>
      <c r="V317" t="s">
        <v>814</v>
      </c>
    </row>
    <row r="318" spans="1:22" x14ac:dyDescent="0.45">
      <c r="A318" t="s">
        <v>2850</v>
      </c>
      <c r="B318" t="s">
        <v>2947</v>
      </c>
      <c r="C318" t="str">
        <f t="shared" si="9"/>
        <v>VC7ET15</v>
      </c>
      <c r="D318" t="s">
        <v>2636</v>
      </c>
      <c r="E318" t="s">
        <v>2219</v>
      </c>
      <c r="F318" t="s">
        <v>70</v>
      </c>
      <c r="G318" s="362" t="s">
        <v>2941</v>
      </c>
      <c r="H318">
        <v>2019</v>
      </c>
      <c r="I318" s="364">
        <v>25.4</v>
      </c>
      <c r="J318" s="364"/>
      <c r="K318" t="s">
        <v>2942</v>
      </c>
      <c r="L318" t="s">
        <v>1863</v>
      </c>
      <c r="O318" s="363">
        <f t="shared" si="10"/>
        <v>0.254</v>
      </c>
      <c r="Q318" s="364">
        <f>(I318/I319)^(1/(H318-H319))</f>
        <v>0.95634785131330102</v>
      </c>
      <c r="T318">
        <v>1</v>
      </c>
      <c r="U318" t="s">
        <v>2885</v>
      </c>
      <c r="V318" t="s">
        <v>2886</v>
      </c>
    </row>
    <row r="319" spans="1:22" x14ac:dyDescent="0.45">
      <c r="A319" t="s">
        <v>2850</v>
      </c>
      <c r="B319" t="s">
        <v>2947</v>
      </c>
      <c r="D319" t="s">
        <v>2636</v>
      </c>
      <c r="E319" t="s">
        <v>2219</v>
      </c>
      <c r="F319" t="s">
        <v>70</v>
      </c>
      <c r="G319" s="362" t="s">
        <v>2941</v>
      </c>
      <c r="H319">
        <v>2011</v>
      </c>
      <c r="I319" s="364">
        <v>36.299999999999997</v>
      </c>
      <c r="J319" s="364"/>
      <c r="K319" t="s">
        <v>2942</v>
      </c>
      <c r="L319" t="s">
        <v>1863</v>
      </c>
      <c r="O319" s="363">
        <f t="shared" si="10"/>
        <v>0.36299999999999999</v>
      </c>
      <c r="T319">
        <v>1</v>
      </c>
      <c r="U319" t="s">
        <v>2885</v>
      </c>
      <c r="V319" t="s">
        <v>2886</v>
      </c>
    </row>
    <row r="320" spans="1:22" x14ac:dyDescent="0.45">
      <c r="A320" t="s">
        <v>2850</v>
      </c>
      <c r="E320" t="s">
        <v>3298</v>
      </c>
      <c r="F320" t="s">
        <v>686</v>
      </c>
      <c r="G320" s="362" t="s">
        <v>156</v>
      </c>
      <c r="H320">
        <v>2019</v>
      </c>
      <c r="I320" s="364">
        <v>54</v>
      </c>
      <c r="J320" s="364" t="s">
        <v>3299</v>
      </c>
      <c r="K320" t="s">
        <v>3300</v>
      </c>
      <c r="O320" s="363">
        <f>I320/1000</f>
        <v>5.3999999999999999E-2</v>
      </c>
      <c r="Q320" s="364">
        <f>(I320/I321)^(1/(H320-H321))</f>
        <v>0.96018439081060414</v>
      </c>
      <c r="T320">
        <v>0</v>
      </c>
      <c r="U320" t="s">
        <v>2849</v>
      </c>
      <c r="V320" t="s">
        <v>594</v>
      </c>
    </row>
    <row r="321" spans="1:22" x14ac:dyDescent="0.45">
      <c r="A321" t="s">
        <v>2850</v>
      </c>
      <c r="E321" t="s">
        <v>3298</v>
      </c>
      <c r="F321" t="s">
        <v>686</v>
      </c>
      <c r="G321" s="362" t="s">
        <v>156</v>
      </c>
      <c r="H321">
        <v>2016</v>
      </c>
      <c r="I321" s="364">
        <v>61</v>
      </c>
      <c r="J321" s="364" t="s">
        <v>3301</v>
      </c>
      <c r="K321" t="s">
        <v>3300</v>
      </c>
      <c r="O321" s="363">
        <f t="shared" ref="O321:O347" si="11">I321/1000</f>
        <v>6.0999999999999999E-2</v>
      </c>
      <c r="T321">
        <v>0</v>
      </c>
      <c r="U321" t="s">
        <v>2849</v>
      </c>
      <c r="V321" t="s">
        <v>594</v>
      </c>
    </row>
    <row r="322" spans="1:22" x14ac:dyDescent="0.45">
      <c r="A322" t="s">
        <v>2850</v>
      </c>
      <c r="E322" t="s">
        <v>3298</v>
      </c>
      <c r="F322" t="s">
        <v>686</v>
      </c>
      <c r="G322" s="362" t="s">
        <v>156</v>
      </c>
      <c r="H322">
        <v>2019</v>
      </c>
      <c r="I322" s="364">
        <v>35</v>
      </c>
      <c r="J322" s="364" t="s">
        <v>3302</v>
      </c>
      <c r="K322" t="s">
        <v>3300</v>
      </c>
      <c r="O322" s="363">
        <f t="shared" si="11"/>
        <v>3.5000000000000003E-2</v>
      </c>
      <c r="Q322" s="364">
        <f>(I322/I323)^(1/(H322-H323))</f>
        <v>0.93681104858747943</v>
      </c>
      <c r="T322">
        <v>0.5</v>
      </c>
      <c r="U322" t="s">
        <v>2867</v>
      </c>
      <c r="V322" t="s">
        <v>336</v>
      </c>
    </row>
    <row r="323" spans="1:22" x14ac:dyDescent="0.45">
      <c r="A323" t="s">
        <v>2850</v>
      </c>
      <c r="E323" t="s">
        <v>3298</v>
      </c>
      <c r="F323" t="s">
        <v>686</v>
      </c>
      <c r="G323" s="362" t="s">
        <v>156</v>
      </c>
      <c r="H323">
        <v>2011</v>
      </c>
      <c r="I323" s="364">
        <v>59</v>
      </c>
      <c r="J323" s="364" t="s">
        <v>3303</v>
      </c>
      <c r="K323" t="s">
        <v>3300</v>
      </c>
      <c r="O323" s="363">
        <f t="shared" si="11"/>
        <v>5.8999999999999997E-2</v>
      </c>
      <c r="T323">
        <v>0.5</v>
      </c>
      <c r="U323" t="s">
        <v>2867</v>
      </c>
      <c r="V323" t="s">
        <v>336</v>
      </c>
    </row>
    <row r="324" spans="1:22" x14ac:dyDescent="0.45">
      <c r="A324" t="s">
        <v>2850</v>
      </c>
      <c r="E324" t="s">
        <v>3298</v>
      </c>
      <c r="F324" t="s">
        <v>686</v>
      </c>
      <c r="G324" s="362" t="s">
        <v>156</v>
      </c>
      <c r="H324">
        <v>2019</v>
      </c>
      <c r="I324" s="364">
        <v>60</v>
      </c>
      <c r="J324" s="364" t="s">
        <v>3304</v>
      </c>
      <c r="K324" t="s">
        <v>3300</v>
      </c>
      <c r="O324" s="363">
        <f t="shared" si="11"/>
        <v>0.06</v>
      </c>
      <c r="Q324" s="364">
        <f>(I324/I325)^(1/(H324-H325))</f>
        <v>0.97088369420930742</v>
      </c>
      <c r="T324">
        <v>0.5</v>
      </c>
      <c r="U324" t="s">
        <v>2866</v>
      </c>
      <c r="V324" t="s">
        <v>84</v>
      </c>
    </row>
    <row r="325" spans="1:22" x14ac:dyDescent="0.45">
      <c r="A325" t="s">
        <v>2850</v>
      </c>
      <c r="E325" t="s">
        <v>3298</v>
      </c>
      <c r="F325" t="s">
        <v>686</v>
      </c>
      <c r="G325" s="362" t="s">
        <v>156</v>
      </c>
      <c r="H325">
        <v>2011</v>
      </c>
      <c r="I325" s="364">
        <v>76</v>
      </c>
      <c r="J325" s="364" t="s">
        <v>3305</v>
      </c>
      <c r="K325" t="s">
        <v>3300</v>
      </c>
      <c r="O325" s="363">
        <f t="shared" si="11"/>
        <v>7.5999999999999998E-2</v>
      </c>
      <c r="T325">
        <v>0.5</v>
      </c>
      <c r="U325" t="s">
        <v>2866</v>
      </c>
      <c r="V325" t="s">
        <v>84</v>
      </c>
    </row>
    <row r="326" spans="1:22" x14ac:dyDescent="0.45">
      <c r="A326" t="s">
        <v>2850</v>
      </c>
      <c r="E326" t="s">
        <v>3298</v>
      </c>
      <c r="F326" t="s">
        <v>686</v>
      </c>
      <c r="G326" s="362" t="s">
        <v>156</v>
      </c>
      <c r="H326">
        <v>2019</v>
      </c>
      <c r="I326" s="364">
        <v>38</v>
      </c>
      <c r="J326" s="364" t="s">
        <v>3306</v>
      </c>
      <c r="K326" t="s">
        <v>3300</v>
      </c>
      <c r="O326" s="363">
        <f t="shared" si="11"/>
        <v>3.7999999999999999E-2</v>
      </c>
      <c r="Q326" s="364">
        <f>(I326/I327)^(1/(H326-H327))</f>
        <v>0.95963271910581871</v>
      </c>
      <c r="T326">
        <v>1</v>
      </c>
      <c r="U326" t="s">
        <v>2868</v>
      </c>
      <c r="V326" t="s">
        <v>806</v>
      </c>
    </row>
    <row r="327" spans="1:22" x14ac:dyDescent="0.45">
      <c r="A327" t="s">
        <v>2850</v>
      </c>
      <c r="E327" t="s">
        <v>3298</v>
      </c>
      <c r="F327" t="s">
        <v>686</v>
      </c>
      <c r="G327" s="362" t="s">
        <v>156</v>
      </c>
      <c r="H327">
        <v>2016</v>
      </c>
      <c r="I327" s="364">
        <v>43</v>
      </c>
      <c r="J327" s="364" t="s">
        <v>3307</v>
      </c>
      <c r="K327" t="s">
        <v>3300</v>
      </c>
      <c r="O327" s="363">
        <f t="shared" si="11"/>
        <v>4.2999999999999997E-2</v>
      </c>
      <c r="T327">
        <v>1</v>
      </c>
      <c r="U327" t="s">
        <v>2868</v>
      </c>
      <c r="V327" t="s">
        <v>806</v>
      </c>
    </row>
    <row r="328" spans="1:22" x14ac:dyDescent="0.45">
      <c r="A328" t="s">
        <v>2850</v>
      </c>
      <c r="E328" t="s">
        <v>3298</v>
      </c>
      <c r="F328" t="s">
        <v>686</v>
      </c>
      <c r="G328" s="362" t="s">
        <v>156</v>
      </c>
      <c r="H328">
        <v>2019</v>
      </c>
      <c r="I328" s="364">
        <v>46</v>
      </c>
      <c r="J328" s="364" t="s">
        <v>3308</v>
      </c>
      <c r="K328" t="s">
        <v>3300</v>
      </c>
      <c r="O328" s="363">
        <f t="shared" si="11"/>
        <v>4.5999999999999999E-2</v>
      </c>
      <c r="Q328" s="364">
        <f>(I328/I329)^(1/(H328-H329))</f>
        <v>0.95956021308144634</v>
      </c>
      <c r="T328">
        <v>1</v>
      </c>
      <c r="U328" t="s">
        <v>2869</v>
      </c>
      <c r="V328" t="s">
        <v>2946</v>
      </c>
    </row>
    <row r="329" spans="1:22" x14ac:dyDescent="0.45">
      <c r="A329" t="s">
        <v>2850</v>
      </c>
      <c r="E329" t="s">
        <v>3298</v>
      </c>
      <c r="F329" t="s">
        <v>686</v>
      </c>
      <c r="G329" s="362" t="s">
        <v>156</v>
      </c>
      <c r="H329">
        <v>2011</v>
      </c>
      <c r="I329" s="364">
        <v>64</v>
      </c>
      <c r="J329" s="364" t="s">
        <v>3309</v>
      </c>
      <c r="K329" t="s">
        <v>3300</v>
      </c>
      <c r="O329" s="363">
        <f t="shared" si="11"/>
        <v>6.4000000000000001E-2</v>
      </c>
      <c r="T329">
        <v>1</v>
      </c>
      <c r="U329" t="s">
        <v>2869</v>
      </c>
      <c r="V329" t="s">
        <v>2946</v>
      </c>
    </row>
    <row r="330" spans="1:22" x14ac:dyDescent="0.45">
      <c r="A330" t="s">
        <v>2850</v>
      </c>
      <c r="E330" t="s">
        <v>3298</v>
      </c>
      <c r="F330" t="s">
        <v>686</v>
      </c>
      <c r="G330" s="362" t="s">
        <v>156</v>
      </c>
      <c r="H330">
        <v>2019</v>
      </c>
      <c r="I330" s="364">
        <v>58</v>
      </c>
      <c r="J330" s="364" t="s">
        <v>3310</v>
      </c>
      <c r="K330" t="s">
        <v>3300</v>
      </c>
      <c r="O330" s="363">
        <f t="shared" si="11"/>
        <v>5.8000000000000003E-2</v>
      </c>
      <c r="Q330" s="364">
        <f>(I330/I331)^(1/(H330-H331))</f>
        <v>0.95305448683546046</v>
      </c>
      <c r="T330">
        <v>1</v>
      </c>
      <c r="U330" t="s">
        <v>2871</v>
      </c>
      <c r="V330" t="s">
        <v>805</v>
      </c>
    </row>
    <row r="331" spans="1:22" x14ac:dyDescent="0.45">
      <c r="A331" t="s">
        <v>2850</v>
      </c>
      <c r="E331" t="s">
        <v>3298</v>
      </c>
      <c r="F331" t="s">
        <v>686</v>
      </c>
      <c r="G331" s="362" t="s">
        <v>156</v>
      </c>
      <c r="H331">
        <v>2016</v>
      </c>
      <c r="I331" s="364">
        <v>67</v>
      </c>
      <c r="J331" s="364" t="s">
        <v>3311</v>
      </c>
      <c r="K331" t="s">
        <v>3300</v>
      </c>
      <c r="O331" s="363">
        <f t="shared" si="11"/>
        <v>6.7000000000000004E-2</v>
      </c>
      <c r="T331">
        <v>1</v>
      </c>
      <c r="U331" t="s">
        <v>2871</v>
      </c>
      <c r="V331" t="s">
        <v>805</v>
      </c>
    </row>
    <row r="332" spans="1:22" x14ac:dyDescent="0.45">
      <c r="A332" t="s">
        <v>2850</v>
      </c>
      <c r="E332" t="s">
        <v>3298</v>
      </c>
      <c r="F332" t="s">
        <v>686</v>
      </c>
      <c r="G332" s="362" t="s">
        <v>156</v>
      </c>
      <c r="H332">
        <v>2019</v>
      </c>
      <c r="I332" s="364">
        <v>62</v>
      </c>
      <c r="J332" s="364" t="s">
        <v>3312</v>
      </c>
      <c r="K332" t="s">
        <v>3300</v>
      </c>
      <c r="O332" s="363">
        <f t="shared" si="11"/>
        <v>6.2E-2</v>
      </c>
      <c r="Q332" s="364">
        <f>(I332/I333)^(1/(H332-H333))</f>
        <v>0.97979135601203193</v>
      </c>
      <c r="T332">
        <v>1</v>
      </c>
      <c r="U332" t="s">
        <v>2872</v>
      </c>
      <c r="V332" t="s">
        <v>809</v>
      </c>
    </row>
    <row r="333" spans="1:22" x14ac:dyDescent="0.45">
      <c r="A333" t="s">
        <v>2850</v>
      </c>
      <c r="E333" t="s">
        <v>3298</v>
      </c>
      <c r="F333" t="s">
        <v>686</v>
      </c>
      <c r="G333" s="362" t="s">
        <v>156</v>
      </c>
      <c r="H333">
        <v>2011</v>
      </c>
      <c r="I333" s="364">
        <v>73</v>
      </c>
      <c r="J333" s="364" t="s">
        <v>3313</v>
      </c>
      <c r="K333" t="s">
        <v>3300</v>
      </c>
      <c r="O333" s="363">
        <f t="shared" si="11"/>
        <v>7.2999999999999995E-2</v>
      </c>
      <c r="T333">
        <v>1</v>
      </c>
      <c r="U333" t="s">
        <v>2872</v>
      </c>
      <c r="V333" t="s">
        <v>809</v>
      </c>
    </row>
    <row r="334" spans="1:22" x14ac:dyDescent="0.45">
      <c r="A334" t="s">
        <v>2850</v>
      </c>
      <c r="E334" t="s">
        <v>3298</v>
      </c>
      <c r="F334" t="s">
        <v>686</v>
      </c>
      <c r="G334" s="362" t="s">
        <v>156</v>
      </c>
      <c r="H334">
        <v>2019</v>
      </c>
      <c r="I334" s="364">
        <v>71</v>
      </c>
      <c r="J334" s="364" t="s">
        <v>3314</v>
      </c>
      <c r="K334" t="s">
        <v>3300</v>
      </c>
      <c r="O334" s="363">
        <f t="shared" si="11"/>
        <v>7.0999999999999994E-2</v>
      </c>
      <c r="Q334" s="364">
        <f>(I334/I335)^(1/(H334-H335))</f>
        <v>1.0195171021041152</v>
      </c>
      <c r="T334">
        <v>1</v>
      </c>
      <c r="U334" t="s">
        <v>2873</v>
      </c>
      <c r="V334" t="s">
        <v>2874</v>
      </c>
    </row>
    <row r="335" spans="1:22" x14ac:dyDescent="0.45">
      <c r="A335" t="s">
        <v>2850</v>
      </c>
      <c r="E335" t="s">
        <v>3298</v>
      </c>
      <c r="F335" t="s">
        <v>686</v>
      </c>
      <c r="G335" s="362" t="s">
        <v>156</v>
      </c>
      <c r="H335">
        <v>2016</v>
      </c>
      <c r="I335" s="364">
        <v>67</v>
      </c>
      <c r="J335" s="364" t="s">
        <v>3315</v>
      </c>
      <c r="K335" t="s">
        <v>3300</v>
      </c>
      <c r="O335" s="363">
        <f t="shared" si="11"/>
        <v>6.7000000000000004E-2</v>
      </c>
      <c r="T335">
        <v>1</v>
      </c>
      <c r="U335" t="s">
        <v>2873</v>
      </c>
      <c r="V335" t="s">
        <v>2874</v>
      </c>
    </row>
    <row r="336" spans="1:22" x14ac:dyDescent="0.45">
      <c r="A336" t="s">
        <v>2850</v>
      </c>
      <c r="E336" t="s">
        <v>3298</v>
      </c>
      <c r="F336" t="s">
        <v>686</v>
      </c>
      <c r="G336" s="362" t="s">
        <v>156</v>
      </c>
      <c r="H336">
        <v>2019</v>
      </c>
      <c r="I336" s="364">
        <v>74</v>
      </c>
      <c r="J336" s="364" t="s">
        <v>3316</v>
      </c>
      <c r="K336" t="s">
        <v>3300</v>
      </c>
      <c r="O336" s="363">
        <f t="shared" si="11"/>
        <v>7.3999999999999996E-2</v>
      </c>
      <c r="Q336" s="364">
        <f>(I336/I337)^(1/(H336-H337))</f>
        <v>0.99098716801275866</v>
      </c>
      <c r="T336">
        <v>1</v>
      </c>
      <c r="U336" t="s">
        <v>2876</v>
      </c>
      <c r="V336" t="s">
        <v>2877</v>
      </c>
    </row>
    <row r="337" spans="1:22" x14ac:dyDescent="0.45">
      <c r="A337" t="s">
        <v>2850</v>
      </c>
      <c r="E337" t="s">
        <v>3298</v>
      </c>
      <c r="F337" t="s">
        <v>686</v>
      </c>
      <c r="G337" s="362" t="s">
        <v>156</v>
      </c>
      <c r="H337">
        <v>2005</v>
      </c>
      <c r="I337" s="364">
        <v>84</v>
      </c>
      <c r="J337" s="364" t="s">
        <v>3317</v>
      </c>
      <c r="K337" t="s">
        <v>3300</v>
      </c>
      <c r="O337" s="363">
        <f t="shared" si="11"/>
        <v>8.4000000000000005E-2</v>
      </c>
      <c r="T337">
        <v>1</v>
      </c>
      <c r="U337" t="s">
        <v>2876</v>
      </c>
      <c r="V337" t="s">
        <v>2877</v>
      </c>
    </row>
    <row r="338" spans="1:22" x14ac:dyDescent="0.45">
      <c r="A338" t="s">
        <v>2850</v>
      </c>
      <c r="E338" t="s">
        <v>3298</v>
      </c>
      <c r="F338" t="s">
        <v>686</v>
      </c>
      <c r="G338" s="362" t="s">
        <v>156</v>
      </c>
      <c r="H338">
        <v>2019</v>
      </c>
      <c r="I338" s="364">
        <v>37</v>
      </c>
      <c r="J338" s="364" t="s">
        <v>3318</v>
      </c>
      <c r="K338" t="s">
        <v>3300</v>
      </c>
      <c r="O338" s="363">
        <f t="shared" si="11"/>
        <v>3.6999999999999998E-2</v>
      </c>
      <c r="Q338" s="364">
        <f>(I338/I339)^(1/(H338-H339))</f>
        <v>0.91098953947204542</v>
      </c>
      <c r="T338">
        <v>1</v>
      </c>
      <c r="U338" t="s">
        <v>2878</v>
      </c>
      <c r="V338" t="s">
        <v>2879</v>
      </c>
    </row>
    <row r="339" spans="1:22" x14ac:dyDescent="0.45">
      <c r="A339" t="s">
        <v>2850</v>
      </c>
      <c r="E339" t="s">
        <v>3298</v>
      </c>
      <c r="F339" t="s">
        <v>686</v>
      </c>
      <c r="G339" s="362" t="s">
        <v>156</v>
      </c>
      <c r="H339">
        <v>2011</v>
      </c>
      <c r="I339" s="364">
        <v>78</v>
      </c>
      <c r="J339" s="364" t="s">
        <v>3319</v>
      </c>
      <c r="K339" t="s">
        <v>3300</v>
      </c>
      <c r="O339" s="363">
        <f t="shared" si="11"/>
        <v>7.8E-2</v>
      </c>
      <c r="T339">
        <v>1</v>
      </c>
      <c r="U339" t="s">
        <v>2878</v>
      </c>
      <c r="V339" t="s">
        <v>2879</v>
      </c>
    </row>
    <row r="340" spans="1:22" x14ac:dyDescent="0.45">
      <c r="A340" t="s">
        <v>2850</v>
      </c>
      <c r="E340" t="s">
        <v>3298</v>
      </c>
      <c r="F340" t="s">
        <v>686</v>
      </c>
      <c r="G340" s="362" t="s">
        <v>156</v>
      </c>
      <c r="H340">
        <v>2019</v>
      </c>
      <c r="I340" s="364">
        <v>50</v>
      </c>
      <c r="J340" s="364" t="s">
        <v>3320</v>
      </c>
      <c r="K340" t="s">
        <v>3300</v>
      </c>
      <c r="O340" s="363">
        <f t="shared" si="11"/>
        <v>0.05</v>
      </c>
      <c r="Q340" s="364">
        <f>(I340/I341)^(1/(H340-H341))</f>
        <v>0.96292839277708941</v>
      </c>
      <c r="T340">
        <v>1</v>
      </c>
      <c r="U340" t="s">
        <v>2880</v>
      </c>
      <c r="V340" t="s">
        <v>2881</v>
      </c>
    </row>
    <row r="341" spans="1:22" x14ac:dyDescent="0.45">
      <c r="A341" t="s">
        <v>2850</v>
      </c>
      <c r="E341" t="s">
        <v>3298</v>
      </c>
      <c r="F341" t="s">
        <v>686</v>
      </c>
      <c r="G341" s="362" t="s">
        <v>156</v>
      </c>
      <c r="H341">
        <v>2016</v>
      </c>
      <c r="I341" s="364">
        <v>56</v>
      </c>
      <c r="J341" s="364" t="s">
        <v>3321</v>
      </c>
      <c r="K341" t="s">
        <v>3300</v>
      </c>
      <c r="O341" s="363">
        <f t="shared" si="11"/>
        <v>5.6000000000000001E-2</v>
      </c>
      <c r="T341">
        <v>1</v>
      </c>
      <c r="U341" t="s">
        <v>2880</v>
      </c>
      <c r="V341" t="s">
        <v>2881</v>
      </c>
    </row>
    <row r="342" spans="1:22" x14ac:dyDescent="0.45">
      <c r="A342" t="s">
        <v>2850</v>
      </c>
      <c r="E342" t="s">
        <v>3298</v>
      </c>
      <c r="F342" t="s">
        <v>686</v>
      </c>
      <c r="G342" s="362" t="s">
        <v>156</v>
      </c>
      <c r="H342">
        <v>2019</v>
      </c>
      <c r="I342" s="364">
        <v>49</v>
      </c>
      <c r="J342" s="364" t="s">
        <v>3322</v>
      </c>
      <c r="K342" t="s">
        <v>3300</v>
      </c>
      <c r="O342" s="363">
        <f t="shared" si="11"/>
        <v>4.9000000000000002E-2</v>
      </c>
      <c r="Q342" s="364">
        <f>(I342/I343)^(1/(H342-H343))</f>
        <v>0.95083919302602238</v>
      </c>
      <c r="T342">
        <v>1</v>
      </c>
      <c r="U342" t="s">
        <v>2882</v>
      </c>
      <c r="V342" t="s">
        <v>2883</v>
      </c>
    </row>
    <row r="343" spans="1:22" x14ac:dyDescent="0.45">
      <c r="A343" t="s">
        <v>2850</v>
      </c>
      <c r="E343" t="s">
        <v>3298</v>
      </c>
      <c r="F343" t="s">
        <v>686</v>
      </c>
      <c r="G343" s="362" t="s">
        <v>156</v>
      </c>
      <c r="H343">
        <v>2016</v>
      </c>
      <c r="I343" s="364">
        <v>57</v>
      </c>
      <c r="J343" s="364" t="s">
        <v>3323</v>
      </c>
      <c r="K343" t="s">
        <v>3300</v>
      </c>
      <c r="O343" s="363">
        <f t="shared" si="11"/>
        <v>5.7000000000000002E-2</v>
      </c>
      <c r="T343">
        <v>1</v>
      </c>
      <c r="U343" t="s">
        <v>2882</v>
      </c>
      <c r="V343" t="s">
        <v>2883</v>
      </c>
    </row>
    <row r="344" spans="1:22" x14ac:dyDescent="0.45">
      <c r="A344" t="s">
        <v>2850</v>
      </c>
      <c r="E344" t="s">
        <v>3298</v>
      </c>
      <c r="F344" t="s">
        <v>686</v>
      </c>
      <c r="G344" s="362" t="s">
        <v>156</v>
      </c>
      <c r="H344">
        <v>2019</v>
      </c>
      <c r="I344" s="364">
        <v>21</v>
      </c>
      <c r="J344" s="364" t="s">
        <v>3324</v>
      </c>
      <c r="K344" t="s">
        <v>3300</v>
      </c>
      <c r="O344" s="363">
        <f t="shared" si="11"/>
        <v>2.1000000000000001E-2</v>
      </c>
      <c r="Q344" s="364">
        <f>(I344/I345)^(1/(H344-H345))</f>
        <v>0.90856029641606983</v>
      </c>
      <c r="T344">
        <v>1</v>
      </c>
      <c r="U344" t="s">
        <v>2884</v>
      </c>
      <c r="V344" t="s">
        <v>814</v>
      </c>
    </row>
    <row r="345" spans="1:22" x14ac:dyDescent="0.45">
      <c r="A345" t="s">
        <v>2850</v>
      </c>
      <c r="E345" t="s">
        <v>3298</v>
      </c>
      <c r="F345" t="s">
        <v>686</v>
      </c>
      <c r="G345" s="362" t="s">
        <v>156</v>
      </c>
      <c r="H345">
        <v>2016</v>
      </c>
      <c r="I345" s="364">
        <v>28</v>
      </c>
      <c r="J345" s="364" t="s">
        <v>3325</v>
      </c>
      <c r="K345" t="s">
        <v>3300</v>
      </c>
      <c r="O345" s="363">
        <f t="shared" si="11"/>
        <v>2.8000000000000001E-2</v>
      </c>
      <c r="T345">
        <v>1</v>
      </c>
      <c r="U345" t="s">
        <v>2884</v>
      </c>
      <c r="V345" t="s">
        <v>814</v>
      </c>
    </row>
    <row r="346" spans="1:22" x14ac:dyDescent="0.45">
      <c r="A346" t="s">
        <v>2850</v>
      </c>
      <c r="E346" t="s">
        <v>3298</v>
      </c>
      <c r="F346" t="s">
        <v>686</v>
      </c>
      <c r="G346" s="362" t="s">
        <v>156</v>
      </c>
      <c r="H346">
        <v>2019</v>
      </c>
      <c r="I346" s="364">
        <v>61</v>
      </c>
      <c r="J346" s="364" t="s">
        <v>3326</v>
      </c>
      <c r="K346" t="s">
        <v>3300</v>
      </c>
      <c r="O346" s="363">
        <f t="shared" si="11"/>
        <v>6.0999999999999999E-2</v>
      </c>
      <c r="Q346" s="364">
        <f>(I346/I347)^(1/(H346-H347))</f>
        <v>0.96921102145022375</v>
      </c>
      <c r="T346">
        <v>1</v>
      </c>
      <c r="U346" t="s">
        <v>2885</v>
      </c>
      <c r="V346" t="s">
        <v>2886</v>
      </c>
    </row>
    <row r="347" spans="1:22" x14ac:dyDescent="0.45">
      <c r="A347" t="s">
        <v>2850</v>
      </c>
      <c r="E347" t="s">
        <v>3298</v>
      </c>
      <c r="F347" t="s">
        <v>686</v>
      </c>
      <c r="G347" s="362" t="s">
        <v>156</v>
      </c>
      <c r="H347">
        <v>2016</v>
      </c>
      <c r="I347" s="364">
        <v>67</v>
      </c>
      <c r="J347" s="364" t="s">
        <v>3327</v>
      </c>
      <c r="K347" t="s">
        <v>3300</v>
      </c>
      <c r="O347" s="363">
        <f t="shared" si="11"/>
        <v>6.7000000000000004E-2</v>
      </c>
      <c r="T347">
        <v>1</v>
      </c>
      <c r="U347" t="s">
        <v>2885</v>
      </c>
      <c r="V347" t="s">
        <v>2886</v>
      </c>
    </row>
    <row r="348" spans="1:22" x14ac:dyDescent="0.45">
      <c r="A348" t="s">
        <v>2850</v>
      </c>
      <c r="B348" t="s">
        <v>2948</v>
      </c>
      <c r="C348" t="str">
        <f t="shared" ref="C348:C374" si="12">_xlfn.CONCAT(B348,U348)</f>
        <v>VC8ET</v>
      </c>
      <c r="D348" t="s">
        <v>2638</v>
      </c>
      <c r="E348" t="s">
        <v>2949</v>
      </c>
      <c r="F348" t="s">
        <v>67</v>
      </c>
      <c r="G348" s="362" t="s">
        <v>2950</v>
      </c>
      <c r="H348">
        <v>2019</v>
      </c>
      <c r="I348" s="364">
        <v>14</v>
      </c>
      <c r="J348" s="364" t="s">
        <v>2951</v>
      </c>
      <c r="K348" t="s">
        <v>2952</v>
      </c>
      <c r="L348" t="s">
        <v>2953</v>
      </c>
      <c r="O348" s="363">
        <f>(I348/4)/1000</f>
        <v>3.5000000000000001E-3</v>
      </c>
      <c r="Q348" s="364">
        <f>(I348/I349)^(1/(H348-H349))</f>
        <v>0.86013862753721815</v>
      </c>
      <c r="T348">
        <v>0</v>
      </c>
      <c r="U348" t="s">
        <v>2849</v>
      </c>
      <c r="V348" t="s">
        <v>594</v>
      </c>
    </row>
    <row r="349" spans="1:22" x14ac:dyDescent="0.45">
      <c r="A349" t="s">
        <v>2850</v>
      </c>
      <c r="E349" t="s">
        <v>2949</v>
      </c>
      <c r="F349" t="s">
        <v>67</v>
      </c>
      <c r="G349" s="362" t="s">
        <v>2950</v>
      </c>
      <c r="H349">
        <v>2016</v>
      </c>
      <c r="I349" s="364">
        <v>22</v>
      </c>
      <c r="J349" s="364" t="s">
        <v>3328</v>
      </c>
      <c r="K349" t="s">
        <v>2952</v>
      </c>
      <c r="O349" s="363">
        <f>(I349/4)/1000</f>
        <v>5.4999999999999997E-3</v>
      </c>
      <c r="T349">
        <v>0</v>
      </c>
      <c r="U349" t="s">
        <v>2849</v>
      </c>
      <c r="V349" t="s">
        <v>594</v>
      </c>
    </row>
    <row r="350" spans="1:22" x14ac:dyDescent="0.45">
      <c r="A350" t="s">
        <v>2850</v>
      </c>
      <c r="B350" t="s">
        <v>2948</v>
      </c>
      <c r="C350" t="str">
        <f t="shared" si="12"/>
        <v>VC8ETU</v>
      </c>
      <c r="E350" t="s">
        <v>2949</v>
      </c>
      <c r="F350" t="s">
        <v>67</v>
      </c>
      <c r="G350" s="362" t="s">
        <v>2950</v>
      </c>
      <c r="H350">
        <v>2019</v>
      </c>
      <c r="I350" s="364">
        <v>13</v>
      </c>
      <c r="J350" s="364" t="s">
        <v>2954</v>
      </c>
      <c r="K350" t="s">
        <v>2952</v>
      </c>
      <c r="L350" t="s">
        <v>2953</v>
      </c>
      <c r="O350" s="363">
        <f t="shared" ref="O350:O375" si="13">(I350/4)/1000</f>
        <v>3.2499999999999999E-3</v>
      </c>
      <c r="Q350" s="364">
        <f>(I350/I351)^(1/(H350-H351))</f>
        <v>0.92151077557388328</v>
      </c>
      <c r="T350">
        <v>0.5</v>
      </c>
      <c r="U350" t="s">
        <v>2867</v>
      </c>
      <c r="V350" t="s">
        <v>336</v>
      </c>
    </row>
    <row r="351" spans="1:22" x14ac:dyDescent="0.45">
      <c r="A351" t="s">
        <v>2850</v>
      </c>
      <c r="E351" t="s">
        <v>2949</v>
      </c>
      <c r="F351" t="s">
        <v>67</v>
      </c>
      <c r="G351" s="362" t="s">
        <v>2950</v>
      </c>
      <c r="H351">
        <v>2011</v>
      </c>
      <c r="I351" s="364">
        <v>25</v>
      </c>
      <c r="J351" s="364" t="s">
        <v>3329</v>
      </c>
      <c r="K351" t="s">
        <v>2952</v>
      </c>
      <c r="O351" s="363">
        <f t="shared" si="13"/>
        <v>6.2500000000000003E-3</v>
      </c>
      <c r="T351">
        <v>0.5</v>
      </c>
      <c r="U351" t="s">
        <v>2867</v>
      </c>
      <c r="V351" t="s">
        <v>336</v>
      </c>
    </row>
    <row r="352" spans="1:22" x14ac:dyDescent="0.45">
      <c r="A352" t="s">
        <v>2850</v>
      </c>
      <c r="B352" t="s">
        <v>2948</v>
      </c>
      <c r="C352" t="str">
        <f t="shared" si="12"/>
        <v>VC8ETR</v>
      </c>
      <c r="E352" t="s">
        <v>2949</v>
      </c>
      <c r="F352" t="s">
        <v>67</v>
      </c>
      <c r="G352" s="362" t="s">
        <v>2950</v>
      </c>
      <c r="H352">
        <v>2019</v>
      </c>
      <c r="I352" s="364">
        <v>15</v>
      </c>
      <c r="J352" s="364" t="s">
        <v>2955</v>
      </c>
      <c r="K352" t="s">
        <v>2952</v>
      </c>
      <c r="L352" t="s">
        <v>2953</v>
      </c>
      <c r="O352" s="363">
        <f t="shared" si="13"/>
        <v>3.7499999999999999E-3</v>
      </c>
      <c r="Q352" s="364">
        <f>(I352/I353)^(1/(H352-H353))</f>
        <v>0.86720373765836023</v>
      </c>
      <c r="T352">
        <v>0.5</v>
      </c>
      <c r="U352" t="s">
        <v>2866</v>
      </c>
      <c r="V352" t="s">
        <v>84</v>
      </c>
    </row>
    <row r="353" spans="1:22" x14ac:dyDescent="0.45">
      <c r="A353" t="s">
        <v>2850</v>
      </c>
      <c r="E353" t="s">
        <v>2949</v>
      </c>
      <c r="F353" t="s">
        <v>67</v>
      </c>
      <c r="G353" s="362" t="s">
        <v>2950</v>
      </c>
      <c r="H353">
        <v>2016</v>
      </c>
      <c r="I353" s="364">
        <v>23</v>
      </c>
      <c r="J353" s="364" t="s">
        <v>3330</v>
      </c>
      <c r="K353" t="s">
        <v>2952</v>
      </c>
      <c r="O353" s="363">
        <f t="shared" si="13"/>
        <v>5.7499999999999999E-3</v>
      </c>
      <c r="T353">
        <v>0.5</v>
      </c>
      <c r="U353" t="s">
        <v>2866</v>
      </c>
      <c r="V353" t="s">
        <v>84</v>
      </c>
    </row>
    <row r="354" spans="1:22" x14ac:dyDescent="0.45">
      <c r="A354" t="s">
        <v>2850</v>
      </c>
      <c r="B354" t="s">
        <v>2948</v>
      </c>
      <c r="C354" t="str">
        <f t="shared" si="12"/>
        <v>VC8ET01</v>
      </c>
      <c r="E354" t="s">
        <v>2949</v>
      </c>
      <c r="F354" t="s">
        <v>67</v>
      </c>
      <c r="G354" s="362" t="s">
        <v>2950</v>
      </c>
      <c r="H354">
        <v>2019</v>
      </c>
      <c r="I354" s="364">
        <v>6</v>
      </c>
      <c r="J354" s="364" t="s">
        <v>2956</v>
      </c>
      <c r="K354" t="s">
        <v>2952</v>
      </c>
      <c r="L354" t="s">
        <v>2953</v>
      </c>
      <c r="O354" s="363">
        <f t="shared" si="13"/>
        <v>1.5E-3</v>
      </c>
      <c r="Q354" s="364">
        <f>(I354/I355)^(1/(H354-H355))</f>
        <v>0.8453818642610138</v>
      </c>
      <c r="T354">
        <v>1</v>
      </c>
      <c r="U354" t="s">
        <v>2868</v>
      </c>
      <c r="V354" t="s">
        <v>806</v>
      </c>
    </row>
    <row r="355" spans="1:22" x14ac:dyDescent="0.45">
      <c r="A355" t="s">
        <v>2850</v>
      </c>
      <c r="E355" t="s">
        <v>2949</v>
      </c>
      <c r="F355" t="s">
        <v>67</v>
      </c>
      <c r="G355" s="362" t="s">
        <v>2950</v>
      </c>
      <c r="H355">
        <v>2011</v>
      </c>
      <c r="I355" s="364">
        <v>23</v>
      </c>
      <c r="J355" s="364" t="s">
        <v>3331</v>
      </c>
      <c r="K355" t="s">
        <v>2952</v>
      </c>
      <c r="O355" s="363">
        <f t="shared" si="13"/>
        <v>5.7499999999999999E-3</v>
      </c>
      <c r="T355">
        <v>1</v>
      </c>
      <c r="U355" t="s">
        <v>2868</v>
      </c>
      <c r="V355" t="s">
        <v>806</v>
      </c>
    </row>
    <row r="356" spans="1:22" x14ac:dyDescent="0.45">
      <c r="A356" t="s">
        <v>2850</v>
      </c>
      <c r="B356" t="s">
        <v>2948</v>
      </c>
      <c r="C356" t="str">
        <f t="shared" si="12"/>
        <v>VC8ET02</v>
      </c>
      <c r="E356" t="s">
        <v>2949</v>
      </c>
      <c r="F356" t="s">
        <v>67</v>
      </c>
      <c r="G356" s="362" t="s">
        <v>2950</v>
      </c>
      <c r="H356">
        <v>2019</v>
      </c>
      <c r="I356" s="364">
        <v>13</v>
      </c>
      <c r="J356" s="364" t="s">
        <v>2957</v>
      </c>
      <c r="K356" t="s">
        <v>2952</v>
      </c>
      <c r="L356" t="s">
        <v>2953</v>
      </c>
      <c r="O356" s="363">
        <f t="shared" si="13"/>
        <v>3.2499999999999999E-3</v>
      </c>
      <c r="Q356" s="364">
        <f>(I356/I357)^(1/(H356-H357))</f>
        <v>0.89043035817931426</v>
      </c>
      <c r="T356">
        <v>1</v>
      </c>
      <c r="U356" t="s">
        <v>2869</v>
      </c>
      <c r="V356" t="s">
        <v>2946</v>
      </c>
    </row>
    <row r="357" spans="1:22" x14ac:dyDescent="0.45">
      <c r="A357" t="s">
        <v>2850</v>
      </c>
      <c r="E357" t="s">
        <v>2949</v>
      </c>
      <c r="F357" t="s">
        <v>67</v>
      </c>
      <c r="G357" s="362" t="s">
        <v>2950</v>
      </c>
      <c r="H357">
        <v>2005</v>
      </c>
      <c r="I357" s="364">
        <v>66</v>
      </c>
      <c r="J357" s="364" t="s">
        <v>3332</v>
      </c>
      <c r="K357" t="s">
        <v>2952</v>
      </c>
      <c r="O357" s="363">
        <f t="shared" si="13"/>
        <v>1.6500000000000001E-2</v>
      </c>
      <c r="T357">
        <v>1</v>
      </c>
      <c r="U357" t="s">
        <v>2869</v>
      </c>
      <c r="V357" t="s">
        <v>2946</v>
      </c>
    </row>
    <row r="358" spans="1:22" x14ac:dyDescent="0.45">
      <c r="A358" t="s">
        <v>2850</v>
      </c>
      <c r="B358" t="s">
        <v>2948</v>
      </c>
      <c r="C358" t="str">
        <f t="shared" si="12"/>
        <v>VC8ET03</v>
      </c>
      <c r="E358" t="s">
        <v>2949</v>
      </c>
      <c r="F358" t="s">
        <v>67</v>
      </c>
      <c r="G358" s="362" t="s">
        <v>2950</v>
      </c>
      <c r="H358">
        <v>2019</v>
      </c>
      <c r="I358" s="364">
        <v>11</v>
      </c>
      <c r="J358" s="364" t="s">
        <v>2958</v>
      </c>
      <c r="K358" t="s">
        <v>2952</v>
      </c>
      <c r="L358" t="s">
        <v>2953</v>
      </c>
      <c r="O358" s="363">
        <f t="shared" si="13"/>
        <v>2.7499999999999998E-3</v>
      </c>
      <c r="Q358" s="364">
        <f>(I358/I359)^(1/(H358-H359))</f>
        <v>0.83345027598619226</v>
      </c>
      <c r="T358">
        <v>1</v>
      </c>
      <c r="U358" t="s">
        <v>2871</v>
      </c>
      <c r="V358" t="s">
        <v>805</v>
      </c>
    </row>
    <row r="359" spans="1:22" x14ac:dyDescent="0.45">
      <c r="A359" t="s">
        <v>2850</v>
      </c>
      <c r="E359" t="s">
        <v>2949</v>
      </c>
      <c r="F359" t="s">
        <v>67</v>
      </c>
      <c r="G359" s="362" t="s">
        <v>2950</v>
      </c>
      <c r="H359">
        <v>2016</v>
      </c>
      <c r="I359" s="364">
        <v>19</v>
      </c>
      <c r="J359" s="364" t="s">
        <v>3333</v>
      </c>
      <c r="K359" t="s">
        <v>2952</v>
      </c>
      <c r="O359" s="363">
        <f t="shared" si="13"/>
        <v>4.7499999999999999E-3</v>
      </c>
      <c r="T359">
        <v>1</v>
      </c>
      <c r="U359" t="s">
        <v>2871</v>
      </c>
      <c r="V359" t="s">
        <v>805</v>
      </c>
    </row>
    <row r="360" spans="1:22" x14ac:dyDescent="0.45">
      <c r="A360" t="s">
        <v>2850</v>
      </c>
      <c r="B360" t="s">
        <v>2948</v>
      </c>
      <c r="C360" t="str">
        <f t="shared" si="12"/>
        <v>VC8ET04</v>
      </c>
      <c r="E360" t="s">
        <v>2949</v>
      </c>
      <c r="F360" t="s">
        <v>67</v>
      </c>
      <c r="G360" s="362" t="s">
        <v>2950</v>
      </c>
      <c r="H360">
        <v>2019</v>
      </c>
      <c r="I360" s="364">
        <v>11</v>
      </c>
      <c r="J360" s="364" t="s">
        <v>2959</v>
      </c>
      <c r="K360" t="s">
        <v>2952</v>
      </c>
      <c r="L360" t="s">
        <v>2953</v>
      </c>
      <c r="O360" s="363">
        <f t="shared" si="13"/>
        <v>2.7499999999999998E-3</v>
      </c>
      <c r="Q360" s="364">
        <f>(I360/I361)^(1/(H360-H361))</f>
        <v>0.81932127060064586</v>
      </c>
      <c r="T360">
        <v>1</v>
      </c>
      <c r="U360" t="s">
        <v>2872</v>
      </c>
      <c r="V360" t="s">
        <v>809</v>
      </c>
    </row>
    <row r="361" spans="1:22" x14ac:dyDescent="0.45">
      <c r="A361" t="s">
        <v>2850</v>
      </c>
      <c r="E361" t="s">
        <v>2949</v>
      </c>
      <c r="F361" t="s">
        <v>67</v>
      </c>
      <c r="G361" s="362" t="s">
        <v>2950</v>
      </c>
      <c r="H361">
        <v>2016</v>
      </c>
      <c r="I361" s="364">
        <v>20</v>
      </c>
      <c r="J361" s="364" t="s">
        <v>3334</v>
      </c>
      <c r="K361" t="s">
        <v>2952</v>
      </c>
      <c r="O361" s="363">
        <f t="shared" si="13"/>
        <v>5.0000000000000001E-3</v>
      </c>
      <c r="T361">
        <v>1</v>
      </c>
      <c r="U361" t="s">
        <v>2872</v>
      </c>
      <c r="V361" t="s">
        <v>809</v>
      </c>
    </row>
    <row r="362" spans="1:22" x14ac:dyDescent="0.45">
      <c r="A362" t="s">
        <v>2850</v>
      </c>
      <c r="B362" t="s">
        <v>2948</v>
      </c>
      <c r="C362" t="str">
        <f t="shared" si="12"/>
        <v>VC8ET05</v>
      </c>
      <c r="E362" t="s">
        <v>2949</v>
      </c>
      <c r="F362" t="s">
        <v>67</v>
      </c>
      <c r="G362" s="362" t="s">
        <v>2950</v>
      </c>
      <c r="H362">
        <v>2019</v>
      </c>
      <c r="I362" s="364">
        <v>32</v>
      </c>
      <c r="J362" s="364" t="s">
        <v>2960</v>
      </c>
      <c r="K362" t="s">
        <v>2952</v>
      </c>
      <c r="L362" t="s">
        <v>2953</v>
      </c>
      <c r="O362" s="363">
        <f t="shared" si="13"/>
        <v>8.0000000000000002E-3</v>
      </c>
      <c r="Q362" s="364">
        <f>(I362/I363)^(1/(H362-H363))</f>
        <v>0.98596895543240215</v>
      </c>
      <c r="T362">
        <v>1</v>
      </c>
      <c r="U362" t="s">
        <v>2873</v>
      </c>
      <c r="V362" t="s">
        <v>2874</v>
      </c>
    </row>
    <row r="363" spans="1:22" x14ac:dyDescent="0.45">
      <c r="A363" t="s">
        <v>2850</v>
      </c>
      <c r="E363" t="s">
        <v>2949</v>
      </c>
      <c r="F363" t="s">
        <v>67</v>
      </c>
      <c r="G363" s="362" t="s">
        <v>2950</v>
      </c>
      <c r="H363">
        <v>2005</v>
      </c>
      <c r="I363" s="364">
        <v>39</v>
      </c>
      <c r="J363" s="364" t="s">
        <v>3335</v>
      </c>
      <c r="K363" t="s">
        <v>2952</v>
      </c>
      <c r="O363" s="363">
        <f t="shared" si="13"/>
        <v>9.75E-3</v>
      </c>
      <c r="T363">
        <v>1</v>
      </c>
      <c r="U363" t="s">
        <v>2873</v>
      </c>
      <c r="V363" t="s">
        <v>2874</v>
      </c>
    </row>
    <row r="364" spans="1:22" x14ac:dyDescent="0.45">
      <c r="A364" t="s">
        <v>2850</v>
      </c>
      <c r="B364" t="s">
        <v>2948</v>
      </c>
      <c r="C364" t="str">
        <f t="shared" si="12"/>
        <v>VC8ET06</v>
      </c>
      <c r="E364" t="s">
        <v>2949</v>
      </c>
      <c r="F364" t="s">
        <v>67</v>
      </c>
      <c r="G364" s="362" t="s">
        <v>2950</v>
      </c>
      <c r="H364">
        <v>2019</v>
      </c>
      <c r="I364" s="364">
        <v>17</v>
      </c>
      <c r="J364" s="364" t="s">
        <v>2961</v>
      </c>
      <c r="K364" t="s">
        <v>2952</v>
      </c>
      <c r="L364" t="s">
        <v>2953</v>
      </c>
      <c r="O364" s="363">
        <f t="shared" si="13"/>
        <v>4.2500000000000003E-3</v>
      </c>
      <c r="Q364" s="364">
        <f>(I364/I365)^(1/(H364-H365))</f>
        <v>0.8952703665829439</v>
      </c>
      <c r="T364">
        <v>1</v>
      </c>
      <c r="U364" t="s">
        <v>2876</v>
      </c>
      <c r="V364" t="s">
        <v>2877</v>
      </c>
    </row>
    <row r="365" spans="1:22" x14ac:dyDescent="0.45">
      <c r="A365" t="s">
        <v>2850</v>
      </c>
      <c r="E365" t="s">
        <v>2949</v>
      </c>
      <c r="F365" t="s">
        <v>67</v>
      </c>
      <c r="G365" s="362" t="s">
        <v>2950</v>
      </c>
      <c r="H365">
        <v>2005</v>
      </c>
      <c r="I365" s="364">
        <v>80</v>
      </c>
      <c r="J365" s="364" t="s">
        <v>3336</v>
      </c>
      <c r="K365" t="s">
        <v>2952</v>
      </c>
      <c r="O365" s="363">
        <f t="shared" si="13"/>
        <v>0.02</v>
      </c>
      <c r="T365">
        <v>1</v>
      </c>
      <c r="U365" t="s">
        <v>2876</v>
      </c>
      <c r="V365" t="s">
        <v>2877</v>
      </c>
    </row>
    <row r="366" spans="1:22" x14ac:dyDescent="0.45">
      <c r="A366" t="s">
        <v>2850</v>
      </c>
      <c r="B366" t="s">
        <v>2948</v>
      </c>
      <c r="C366" t="str">
        <f t="shared" si="12"/>
        <v>VC8ET07</v>
      </c>
      <c r="E366" t="s">
        <v>2949</v>
      </c>
      <c r="F366" t="s">
        <v>67</v>
      </c>
      <c r="G366" s="362" t="s">
        <v>2950</v>
      </c>
      <c r="H366">
        <v>2019</v>
      </c>
      <c r="I366" s="364">
        <v>20</v>
      </c>
      <c r="J366" s="364" t="s">
        <v>2962</v>
      </c>
      <c r="K366" t="s">
        <v>2952</v>
      </c>
      <c r="L366" t="s">
        <v>2953</v>
      </c>
      <c r="O366" s="363">
        <f t="shared" si="13"/>
        <v>5.0000000000000001E-3</v>
      </c>
      <c r="Q366" s="364">
        <f>(I366/I367)^(1/(H366-H367))</f>
        <v>0.92831776672255584</v>
      </c>
      <c r="T366">
        <v>1</v>
      </c>
      <c r="U366" t="s">
        <v>2878</v>
      </c>
      <c r="V366" t="s">
        <v>2879</v>
      </c>
    </row>
    <row r="367" spans="1:22" x14ac:dyDescent="0.45">
      <c r="A367" t="s">
        <v>2850</v>
      </c>
      <c r="E367" t="s">
        <v>2949</v>
      </c>
      <c r="F367" t="s">
        <v>67</v>
      </c>
      <c r="G367" s="362" t="s">
        <v>2950</v>
      </c>
      <c r="H367">
        <v>2016</v>
      </c>
      <c r="I367" s="364">
        <v>25</v>
      </c>
      <c r="J367" s="364" t="s">
        <v>3337</v>
      </c>
      <c r="K367" t="s">
        <v>2952</v>
      </c>
      <c r="O367" s="363">
        <f t="shared" si="13"/>
        <v>6.2500000000000003E-3</v>
      </c>
      <c r="T367">
        <v>1</v>
      </c>
      <c r="U367" t="s">
        <v>2878</v>
      </c>
      <c r="V367" t="s">
        <v>2879</v>
      </c>
    </row>
    <row r="368" spans="1:22" x14ac:dyDescent="0.45">
      <c r="A368" t="s">
        <v>2850</v>
      </c>
      <c r="B368" t="s">
        <v>2948</v>
      </c>
      <c r="C368" t="str">
        <f t="shared" si="12"/>
        <v>VC8ET12</v>
      </c>
      <c r="E368" t="s">
        <v>2949</v>
      </c>
      <c r="F368" t="s">
        <v>67</v>
      </c>
      <c r="G368" s="362" t="s">
        <v>2950</v>
      </c>
      <c r="H368">
        <v>2019</v>
      </c>
      <c r="I368" s="364">
        <v>38</v>
      </c>
      <c r="J368" s="364" t="s">
        <v>2963</v>
      </c>
      <c r="K368" t="s">
        <v>2952</v>
      </c>
      <c r="L368" t="s">
        <v>2953</v>
      </c>
      <c r="O368" s="363">
        <f t="shared" si="13"/>
        <v>9.4999999999999998E-3</v>
      </c>
      <c r="Q368" s="364">
        <f>(I368/I369)^(1/(H368-H369))</f>
        <v>0.96388823091788634</v>
      </c>
      <c r="T368">
        <v>1</v>
      </c>
      <c r="U368" t="s">
        <v>2880</v>
      </c>
      <c r="V368" t="s">
        <v>2881</v>
      </c>
    </row>
    <row r="369" spans="1:22" x14ac:dyDescent="0.45">
      <c r="A369" t="s">
        <v>2850</v>
      </c>
      <c r="E369" t="s">
        <v>2949</v>
      </c>
      <c r="F369" t="s">
        <v>67</v>
      </c>
      <c r="G369" s="362" t="s">
        <v>2950</v>
      </c>
      <c r="H369">
        <v>2011</v>
      </c>
      <c r="I369" s="364">
        <v>51</v>
      </c>
      <c r="J369" s="364" t="s">
        <v>3338</v>
      </c>
      <c r="K369" t="s">
        <v>2952</v>
      </c>
      <c r="O369" s="363">
        <f t="shared" si="13"/>
        <v>1.2749999999999999E-2</v>
      </c>
      <c r="T369">
        <v>1</v>
      </c>
      <c r="U369" t="s">
        <v>2880</v>
      </c>
      <c r="V369" t="s">
        <v>2881</v>
      </c>
    </row>
    <row r="370" spans="1:22" x14ac:dyDescent="0.45">
      <c r="A370" t="s">
        <v>2850</v>
      </c>
      <c r="B370" t="s">
        <v>2948</v>
      </c>
      <c r="C370" t="str">
        <f t="shared" si="12"/>
        <v>VC8ET13</v>
      </c>
      <c r="E370" t="s">
        <v>2949</v>
      </c>
      <c r="F370" t="s">
        <v>67</v>
      </c>
      <c r="G370" s="362" t="s">
        <v>2950</v>
      </c>
      <c r="H370">
        <v>2019</v>
      </c>
      <c r="I370" s="364">
        <v>16</v>
      </c>
      <c r="J370" s="364" t="s">
        <v>2964</v>
      </c>
      <c r="K370" t="s">
        <v>2952</v>
      </c>
      <c r="L370" t="s">
        <v>2953</v>
      </c>
      <c r="O370" s="363">
        <f t="shared" si="13"/>
        <v>4.0000000000000001E-3</v>
      </c>
      <c r="Q370" s="364">
        <f>(I370/I371)^(1/(H370-H371))</f>
        <v>0.93664649795093002</v>
      </c>
      <c r="T370">
        <v>1</v>
      </c>
      <c r="U370" t="s">
        <v>2882</v>
      </c>
      <c r="V370" t="s">
        <v>2883</v>
      </c>
    </row>
    <row r="371" spans="1:22" x14ac:dyDescent="0.45">
      <c r="A371" t="s">
        <v>2850</v>
      </c>
      <c r="E371" t="s">
        <v>2949</v>
      </c>
      <c r="F371" t="s">
        <v>67</v>
      </c>
      <c r="G371" s="362" t="s">
        <v>2950</v>
      </c>
      <c r="H371">
        <v>2005</v>
      </c>
      <c r="I371" s="364">
        <v>40</v>
      </c>
      <c r="J371" s="364" t="s">
        <v>3339</v>
      </c>
      <c r="K371" t="s">
        <v>2952</v>
      </c>
      <c r="O371" s="363">
        <f t="shared" si="13"/>
        <v>0.01</v>
      </c>
      <c r="T371">
        <v>1</v>
      </c>
      <c r="U371" t="s">
        <v>2882</v>
      </c>
      <c r="V371" t="s">
        <v>2883</v>
      </c>
    </row>
    <row r="372" spans="1:22" x14ac:dyDescent="0.45">
      <c r="A372" t="s">
        <v>2850</v>
      </c>
      <c r="B372" t="s">
        <v>2948</v>
      </c>
      <c r="C372" t="str">
        <f t="shared" si="12"/>
        <v>VC8ET14</v>
      </c>
      <c r="E372" t="s">
        <v>2949</v>
      </c>
      <c r="F372" t="s">
        <v>67</v>
      </c>
      <c r="G372" s="362" t="s">
        <v>2950</v>
      </c>
      <c r="H372">
        <v>2019</v>
      </c>
      <c r="I372" s="364">
        <v>5</v>
      </c>
      <c r="J372" s="364" t="s">
        <v>2965</v>
      </c>
      <c r="K372" t="s">
        <v>2952</v>
      </c>
      <c r="L372" t="s">
        <v>2953</v>
      </c>
      <c r="O372" s="363">
        <f t="shared" si="13"/>
        <v>1.25E-3</v>
      </c>
      <c r="Q372" s="364">
        <f>(I372/I373)^(1/(H372-H373))</f>
        <v>0.87923556325591468</v>
      </c>
      <c r="T372">
        <v>1</v>
      </c>
      <c r="U372" t="s">
        <v>2884</v>
      </c>
      <c r="V372" t="s">
        <v>814</v>
      </c>
    </row>
    <row r="373" spans="1:22" x14ac:dyDescent="0.45">
      <c r="A373" t="s">
        <v>2850</v>
      </c>
      <c r="E373" t="s">
        <v>2949</v>
      </c>
      <c r="F373" t="s">
        <v>67</v>
      </c>
      <c r="G373" s="362" t="s">
        <v>2950</v>
      </c>
      <c r="H373">
        <v>2011</v>
      </c>
      <c r="I373" s="364">
        <v>14</v>
      </c>
      <c r="J373" s="364" t="s">
        <v>3340</v>
      </c>
      <c r="K373" t="s">
        <v>2952</v>
      </c>
      <c r="O373" s="363">
        <f t="shared" si="13"/>
        <v>3.5000000000000001E-3</v>
      </c>
      <c r="T373">
        <v>1</v>
      </c>
      <c r="U373" t="s">
        <v>2884</v>
      </c>
      <c r="V373" t="s">
        <v>814</v>
      </c>
    </row>
    <row r="374" spans="1:22" x14ac:dyDescent="0.45">
      <c r="A374" t="s">
        <v>2850</v>
      </c>
      <c r="B374" t="s">
        <v>2948</v>
      </c>
      <c r="C374" t="str">
        <f t="shared" si="12"/>
        <v>VC8ET15</v>
      </c>
      <c r="E374" t="s">
        <v>2949</v>
      </c>
      <c r="F374" t="s">
        <v>67</v>
      </c>
      <c r="G374" s="362" t="s">
        <v>2950</v>
      </c>
      <c r="H374">
        <v>2019</v>
      </c>
      <c r="I374" s="364">
        <v>20</v>
      </c>
      <c r="J374" s="364" t="s">
        <v>2966</v>
      </c>
      <c r="K374" t="s">
        <v>2952</v>
      </c>
      <c r="L374" t="s">
        <v>2953</v>
      </c>
      <c r="O374" s="363">
        <f t="shared" si="13"/>
        <v>5.0000000000000001E-3</v>
      </c>
      <c r="Q374" s="364">
        <f>(I374/I375)^(1/(H374-H375))</f>
        <v>0.89390353509656773</v>
      </c>
      <c r="T374">
        <v>1</v>
      </c>
      <c r="U374" t="s">
        <v>2885</v>
      </c>
      <c r="V374" t="s">
        <v>2886</v>
      </c>
    </row>
    <row r="375" spans="1:22" x14ac:dyDescent="0.45">
      <c r="A375" t="s">
        <v>2850</v>
      </c>
      <c r="E375" t="s">
        <v>2949</v>
      </c>
      <c r="F375" t="s">
        <v>67</v>
      </c>
      <c r="G375" s="362" t="s">
        <v>2950</v>
      </c>
      <c r="H375">
        <v>2016</v>
      </c>
      <c r="I375" s="364">
        <v>28</v>
      </c>
      <c r="J375" s="364" t="s">
        <v>3341</v>
      </c>
      <c r="K375" t="s">
        <v>2952</v>
      </c>
      <c r="O375" s="363">
        <f t="shared" si="13"/>
        <v>7.0000000000000001E-3</v>
      </c>
      <c r="T375">
        <v>1</v>
      </c>
      <c r="U375" t="s">
        <v>2885</v>
      </c>
      <c r="V375" t="s">
        <v>2886</v>
      </c>
    </row>
    <row r="376" spans="1:22" s="369" customFormat="1" x14ac:dyDescent="0.45">
      <c r="A376" s="369" t="s">
        <v>2967</v>
      </c>
      <c r="D376" s="369" t="s">
        <v>2640</v>
      </c>
      <c r="E376" s="369" t="s">
        <v>2237</v>
      </c>
      <c r="F376" s="369" t="s">
        <v>67</v>
      </c>
      <c r="G376" s="370" t="s">
        <v>212</v>
      </c>
      <c r="H376" s="369" t="s">
        <v>2968</v>
      </c>
      <c r="I376" s="379">
        <v>14.5</v>
      </c>
      <c r="J376" s="379"/>
      <c r="K376" s="369" t="s">
        <v>2847</v>
      </c>
      <c r="L376" s="369" t="s">
        <v>2909</v>
      </c>
      <c r="Q376" s="377"/>
      <c r="T376" s="369">
        <v>0</v>
      </c>
      <c r="U376" s="369" t="s">
        <v>2849</v>
      </c>
      <c r="V376" s="369" t="s">
        <v>594</v>
      </c>
    </row>
    <row r="377" spans="1:22" x14ac:dyDescent="0.45">
      <c r="A377" t="s">
        <v>2969</v>
      </c>
      <c r="B377" t="s">
        <v>2970</v>
      </c>
      <c r="C377" t="str">
        <f t="shared" ref="C377:C425" si="14">_xlfn.CONCAT(B377,U377)</f>
        <v>VC9ET</v>
      </c>
      <c r="D377" t="s">
        <v>2971</v>
      </c>
      <c r="E377" t="s">
        <v>2477</v>
      </c>
      <c r="F377" t="s">
        <v>528</v>
      </c>
      <c r="G377" s="362" t="s">
        <v>212</v>
      </c>
      <c r="H377" t="s">
        <v>2968</v>
      </c>
      <c r="I377" s="364">
        <v>3.36</v>
      </c>
      <c r="J377" s="364"/>
      <c r="K377" t="s">
        <v>2847</v>
      </c>
      <c r="L377" t="s">
        <v>2972</v>
      </c>
      <c r="O377" s="368">
        <f>I377/100</f>
        <v>3.3599999999999998E-2</v>
      </c>
      <c r="P377" t="s">
        <v>2195</v>
      </c>
      <c r="Q377" s="373">
        <v>1</v>
      </c>
      <c r="R377" t="s">
        <v>2973</v>
      </c>
      <c r="T377">
        <v>0</v>
      </c>
      <c r="U377" t="s">
        <v>2849</v>
      </c>
      <c r="V377" t="s">
        <v>594</v>
      </c>
    </row>
    <row r="378" spans="1:22" x14ac:dyDescent="0.45">
      <c r="A378" t="s">
        <v>2969</v>
      </c>
      <c r="B378" t="s">
        <v>2970</v>
      </c>
      <c r="C378" t="str">
        <f t="shared" si="14"/>
        <v>VC9ET01</v>
      </c>
      <c r="E378" t="s">
        <v>2477</v>
      </c>
      <c r="F378" t="s">
        <v>528</v>
      </c>
      <c r="G378" s="362" t="s">
        <v>212</v>
      </c>
      <c r="H378">
        <v>2020</v>
      </c>
      <c r="I378">
        <v>3.36</v>
      </c>
      <c r="K378" t="s">
        <v>2847</v>
      </c>
      <c r="L378" t="s">
        <v>2972</v>
      </c>
      <c r="O378" s="368">
        <f>I378/100</f>
        <v>3.3599999999999998E-2</v>
      </c>
      <c r="P378" t="s">
        <v>2195</v>
      </c>
      <c r="Q378" s="373">
        <v>1</v>
      </c>
      <c r="R378" t="s">
        <v>2973</v>
      </c>
      <c r="T378">
        <v>1</v>
      </c>
      <c r="U378" t="s">
        <v>2868</v>
      </c>
      <c r="V378" t="s">
        <v>806</v>
      </c>
    </row>
    <row r="379" spans="1:22" x14ac:dyDescent="0.45">
      <c r="A379" t="s">
        <v>2969</v>
      </c>
      <c r="B379" t="s">
        <v>2970</v>
      </c>
      <c r="C379" t="str">
        <f t="shared" si="14"/>
        <v>VC9ET02</v>
      </c>
      <c r="E379" t="s">
        <v>2477</v>
      </c>
      <c r="F379" t="s">
        <v>528</v>
      </c>
      <c r="G379" s="362" t="s">
        <v>212</v>
      </c>
      <c r="H379">
        <v>2020</v>
      </c>
      <c r="I379">
        <v>0</v>
      </c>
      <c r="K379" t="s">
        <v>2847</v>
      </c>
      <c r="L379" t="s">
        <v>2972</v>
      </c>
      <c r="O379" s="368">
        <f t="shared" ref="O379:O388" si="15">I379/100</f>
        <v>0</v>
      </c>
      <c r="P379" t="s">
        <v>2195</v>
      </c>
      <c r="Q379" s="373">
        <v>1</v>
      </c>
      <c r="R379" t="s">
        <v>2973</v>
      </c>
      <c r="T379">
        <v>1</v>
      </c>
      <c r="U379" t="s">
        <v>2869</v>
      </c>
      <c r="V379" t="s">
        <v>2946</v>
      </c>
    </row>
    <row r="380" spans="1:22" x14ac:dyDescent="0.45">
      <c r="A380" t="s">
        <v>2969</v>
      </c>
      <c r="B380" t="s">
        <v>2970</v>
      </c>
      <c r="C380" t="str">
        <f t="shared" si="14"/>
        <v>VC9ET03</v>
      </c>
      <c r="E380" t="s">
        <v>2477</v>
      </c>
      <c r="F380" t="s">
        <v>528</v>
      </c>
      <c r="G380" s="362" t="s">
        <v>212</v>
      </c>
      <c r="H380">
        <v>2020</v>
      </c>
      <c r="I380">
        <v>9.6999999999999993</v>
      </c>
      <c r="K380" t="s">
        <v>2847</v>
      </c>
      <c r="L380" t="s">
        <v>2195</v>
      </c>
      <c r="O380" s="368">
        <f t="shared" si="15"/>
        <v>9.6999999999999989E-2</v>
      </c>
      <c r="P380" t="s">
        <v>2195</v>
      </c>
      <c r="Q380" s="373">
        <v>1</v>
      </c>
      <c r="R380" t="s">
        <v>2973</v>
      </c>
      <c r="T380">
        <v>1</v>
      </c>
      <c r="U380" t="s">
        <v>2871</v>
      </c>
      <c r="V380" t="s">
        <v>805</v>
      </c>
    </row>
    <row r="381" spans="1:22" x14ac:dyDescent="0.45">
      <c r="A381" t="s">
        <v>2969</v>
      </c>
      <c r="B381" t="s">
        <v>2970</v>
      </c>
      <c r="C381" t="str">
        <f t="shared" si="14"/>
        <v>VC9ET04</v>
      </c>
      <c r="E381" t="s">
        <v>2477</v>
      </c>
      <c r="F381" t="s">
        <v>528</v>
      </c>
      <c r="G381" s="362" t="s">
        <v>212</v>
      </c>
      <c r="H381">
        <v>2020</v>
      </c>
      <c r="I381">
        <v>3.36</v>
      </c>
      <c r="K381" t="s">
        <v>2847</v>
      </c>
      <c r="L381" t="s">
        <v>2972</v>
      </c>
      <c r="O381" s="368">
        <f t="shared" si="15"/>
        <v>3.3599999999999998E-2</v>
      </c>
      <c r="P381" t="s">
        <v>2195</v>
      </c>
      <c r="Q381" s="373">
        <v>1</v>
      </c>
      <c r="R381" t="s">
        <v>2973</v>
      </c>
      <c r="T381">
        <v>1</v>
      </c>
      <c r="U381" t="s">
        <v>2872</v>
      </c>
      <c r="V381" t="s">
        <v>809</v>
      </c>
    </row>
    <row r="382" spans="1:22" x14ac:dyDescent="0.45">
      <c r="A382" t="s">
        <v>2969</v>
      </c>
      <c r="B382" t="s">
        <v>2970</v>
      </c>
      <c r="C382" t="str">
        <f t="shared" si="14"/>
        <v>VC9ET05</v>
      </c>
      <c r="E382" t="s">
        <v>2477</v>
      </c>
      <c r="F382" t="s">
        <v>528</v>
      </c>
      <c r="G382" s="362" t="s">
        <v>212</v>
      </c>
      <c r="H382">
        <v>2020</v>
      </c>
      <c r="I382">
        <v>0</v>
      </c>
      <c r="K382" t="s">
        <v>2847</v>
      </c>
      <c r="L382" t="s">
        <v>2972</v>
      </c>
      <c r="O382" s="368">
        <f t="shared" si="15"/>
        <v>0</v>
      </c>
      <c r="P382" t="s">
        <v>2195</v>
      </c>
      <c r="Q382" s="373">
        <v>1</v>
      </c>
      <c r="R382" t="s">
        <v>2973</v>
      </c>
      <c r="T382">
        <v>1</v>
      </c>
      <c r="U382" t="s">
        <v>2873</v>
      </c>
      <c r="V382" t="s">
        <v>2874</v>
      </c>
    </row>
    <row r="383" spans="1:22" x14ac:dyDescent="0.45">
      <c r="A383" t="s">
        <v>2969</v>
      </c>
      <c r="B383" t="s">
        <v>2970</v>
      </c>
      <c r="C383" t="str">
        <f t="shared" si="14"/>
        <v>VC9ET06</v>
      </c>
      <c r="E383" t="s">
        <v>2477</v>
      </c>
      <c r="F383" t="s">
        <v>528</v>
      </c>
      <c r="G383" s="362" t="s">
        <v>212</v>
      </c>
      <c r="H383">
        <v>2020</v>
      </c>
      <c r="I383">
        <v>0</v>
      </c>
      <c r="K383" t="s">
        <v>2847</v>
      </c>
      <c r="L383" t="s">
        <v>2972</v>
      </c>
      <c r="O383" s="368">
        <f t="shared" si="15"/>
        <v>0</v>
      </c>
      <c r="P383" t="s">
        <v>2195</v>
      </c>
      <c r="Q383" s="373">
        <v>1</v>
      </c>
      <c r="R383" t="s">
        <v>2973</v>
      </c>
      <c r="T383">
        <v>1</v>
      </c>
      <c r="U383" t="s">
        <v>2876</v>
      </c>
      <c r="V383" t="s">
        <v>2877</v>
      </c>
    </row>
    <row r="384" spans="1:22" x14ac:dyDescent="0.45">
      <c r="A384" t="s">
        <v>2969</v>
      </c>
      <c r="B384" t="s">
        <v>2970</v>
      </c>
      <c r="C384" t="str">
        <f t="shared" si="14"/>
        <v>VC9ET07</v>
      </c>
      <c r="E384" t="s">
        <v>2477</v>
      </c>
      <c r="F384" t="s">
        <v>528</v>
      </c>
      <c r="G384" s="362" t="s">
        <v>212</v>
      </c>
      <c r="H384">
        <v>2020</v>
      </c>
      <c r="I384">
        <v>3.36</v>
      </c>
      <c r="K384" t="s">
        <v>2847</v>
      </c>
      <c r="L384" t="s">
        <v>2972</v>
      </c>
      <c r="O384" s="368">
        <f t="shared" si="15"/>
        <v>3.3599999999999998E-2</v>
      </c>
      <c r="P384" t="s">
        <v>2195</v>
      </c>
      <c r="Q384" s="373">
        <v>1</v>
      </c>
      <c r="R384" t="s">
        <v>2973</v>
      </c>
      <c r="T384">
        <v>1</v>
      </c>
      <c r="U384" t="s">
        <v>2878</v>
      </c>
      <c r="V384" t="s">
        <v>2879</v>
      </c>
    </row>
    <row r="385" spans="1:22" x14ac:dyDescent="0.45">
      <c r="A385" t="s">
        <v>2969</v>
      </c>
      <c r="B385" t="s">
        <v>2970</v>
      </c>
      <c r="C385" t="str">
        <f t="shared" si="14"/>
        <v>VC9ET12</v>
      </c>
      <c r="E385" t="s">
        <v>2477</v>
      </c>
      <c r="F385" t="s">
        <v>528</v>
      </c>
      <c r="G385" s="362" t="s">
        <v>212</v>
      </c>
      <c r="H385">
        <v>2020</v>
      </c>
      <c r="I385">
        <v>0</v>
      </c>
      <c r="K385" t="s">
        <v>2847</v>
      </c>
      <c r="L385" t="s">
        <v>2972</v>
      </c>
      <c r="O385" s="368">
        <f t="shared" si="15"/>
        <v>0</v>
      </c>
      <c r="P385" t="s">
        <v>2195</v>
      </c>
      <c r="Q385" s="373">
        <v>1</v>
      </c>
      <c r="R385" t="s">
        <v>2973</v>
      </c>
      <c r="T385">
        <v>1</v>
      </c>
      <c r="U385" t="s">
        <v>2880</v>
      </c>
      <c r="V385" t="s">
        <v>2881</v>
      </c>
    </row>
    <row r="386" spans="1:22" x14ac:dyDescent="0.45">
      <c r="A386" t="s">
        <v>2969</v>
      </c>
      <c r="B386" t="s">
        <v>2970</v>
      </c>
      <c r="C386" t="str">
        <f t="shared" si="14"/>
        <v>VC9ET13</v>
      </c>
      <c r="E386" t="s">
        <v>2477</v>
      </c>
      <c r="F386" t="s">
        <v>528</v>
      </c>
      <c r="G386" s="362" t="s">
        <v>212</v>
      </c>
      <c r="H386">
        <v>2020</v>
      </c>
      <c r="I386">
        <v>0</v>
      </c>
      <c r="K386" t="s">
        <v>2847</v>
      </c>
      <c r="L386" t="s">
        <v>2972</v>
      </c>
      <c r="O386" s="368">
        <f t="shared" si="15"/>
        <v>0</v>
      </c>
      <c r="P386" t="s">
        <v>2195</v>
      </c>
      <c r="Q386" s="373">
        <v>1</v>
      </c>
      <c r="R386" t="s">
        <v>2973</v>
      </c>
      <c r="T386">
        <v>1</v>
      </c>
      <c r="U386" t="s">
        <v>2882</v>
      </c>
      <c r="V386" t="s">
        <v>2883</v>
      </c>
    </row>
    <row r="387" spans="1:22" x14ac:dyDescent="0.45">
      <c r="A387" t="s">
        <v>2969</v>
      </c>
      <c r="B387" t="s">
        <v>2970</v>
      </c>
      <c r="C387" t="str">
        <f t="shared" si="14"/>
        <v>VC9ET14</v>
      </c>
      <c r="E387" t="s">
        <v>2477</v>
      </c>
      <c r="F387" t="s">
        <v>528</v>
      </c>
      <c r="G387" s="362" t="s">
        <v>212</v>
      </c>
      <c r="H387">
        <v>2020</v>
      </c>
      <c r="I387">
        <v>0</v>
      </c>
      <c r="K387" t="s">
        <v>2847</v>
      </c>
      <c r="L387" t="s">
        <v>2972</v>
      </c>
      <c r="O387" s="368">
        <f t="shared" si="15"/>
        <v>0</v>
      </c>
      <c r="P387" t="s">
        <v>2195</v>
      </c>
      <c r="Q387" s="373">
        <v>1</v>
      </c>
      <c r="R387" t="s">
        <v>2973</v>
      </c>
      <c r="T387">
        <v>1</v>
      </c>
      <c r="U387" t="s">
        <v>2884</v>
      </c>
      <c r="V387" t="s">
        <v>814</v>
      </c>
    </row>
    <row r="388" spans="1:22" x14ac:dyDescent="0.45">
      <c r="A388" t="s">
        <v>2969</v>
      </c>
      <c r="B388" t="s">
        <v>2970</v>
      </c>
      <c r="C388" t="str">
        <f t="shared" si="14"/>
        <v>VC9ET15</v>
      </c>
      <c r="E388" t="s">
        <v>2477</v>
      </c>
      <c r="F388" t="s">
        <v>528</v>
      </c>
      <c r="G388" s="362" t="s">
        <v>212</v>
      </c>
      <c r="H388">
        <v>2020</v>
      </c>
      <c r="I388">
        <v>0</v>
      </c>
      <c r="K388" t="s">
        <v>2847</v>
      </c>
      <c r="L388" t="s">
        <v>2972</v>
      </c>
      <c r="O388" s="368">
        <f t="shared" si="15"/>
        <v>0</v>
      </c>
      <c r="P388" t="s">
        <v>2195</v>
      </c>
      <c r="Q388" s="373">
        <v>1</v>
      </c>
      <c r="R388" t="s">
        <v>2973</v>
      </c>
      <c r="T388">
        <v>1</v>
      </c>
      <c r="U388" t="s">
        <v>2885</v>
      </c>
      <c r="V388" t="s">
        <v>2886</v>
      </c>
    </row>
    <row r="389" spans="1:22" x14ac:dyDescent="0.45">
      <c r="A389" t="s">
        <v>2974</v>
      </c>
      <c r="B389" t="s">
        <v>2975</v>
      </c>
      <c r="C389" t="str">
        <f t="shared" si="14"/>
        <v>VC10ET</v>
      </c>
      <c r="D389" t="s">
        <v>2641</v>
      </c>
      <c r="E389" t="s">
        <v>2238</v>
      </c>
      <c r="F389" t="s">
        <v>194</v>
      </c>
      <c r="G389" s="362" t="s">
        <v>2937</v>
      </c>
      <c r="H389">
        <v>2016</v>
      </c>
      <c r="I389" s="374">
        <f>0.25*0.25*1.6</f>
        <v>0.1</v>
      </c>
      <c r="J389" s="374"/>
      <c r="K389" t="s">
        <v>2976</v>
      </c>
      <c r="L389" t="s">
        <v>1863</v>
      </c>
      <c r="O389" s="54">
        <f>I389</f>
        <v>0.1</v>
      </c>
      <c r="T389">
        <v>0</v>
      </c>
      <c r="U389" t="s">
        <v>2849</v>
      </c>
      <c r="V389" t="s">
        <v>594</v>
      </c>
    </row>
    <row r="390" spans="1:22" x14ac:dyDescent="0.45">
      <c r="A390" t="s">
        <v>2977</v>
      </c>
      <c r="B390" t="s">
        <v>2978</v>
      </c>
      <c r="C390" t="str">
        <f t="shared" si="14"/>
        <v>VC11ET</v>
      </c>
      <c r="D390" t="s">
        <v>2255</v>
      </c>
      <c r="E390" t="s">
        <v>2244</v>
      </c>
      <c r="F390" t="s">
        <v>68</v>
      </c>
      <c r="G390" s="362" t="s">
        <v>2937</v>
      </c>
      <c r="H390">
        <v>2020</v>
      </c>
      <c r="I390" s="364">
        <v>1.5</v>
      </c>
      <c r="J390" s="364"/>
      <c r="K390" t="s">
        <v>2979</v>
      </c>
      <c r="L390" t="s">
        <v>2980</v>
      </c>
      <c r="O390" s="368">
        <f>I390/100</f>
        <v>1.4999999999999999E-2</v>
      </c>
      <c r="T390">
        <v>0</v>
      </c>
      <c r="U390" t="s">
        <v>2849</v>
      </c>
      <c r="V390" t="s">
        <v>594</v>
      </c>
    </row>
    <row r="391" spans="1:22" x14ac:dyDescent="0.45">
      <c r="A391" t="s">
        <v>2850</v>
      </c>
      <c r="B391" t="s">
        <v>2981</v>
      </c>
      <c r="C391" t="str">
        <f t="shared" si="14"/>
        <v>VC12ET</v>
      </c>
      <c r="D391" t="s">
        <v>2293</v>
      </c>
      <c r="E391" t="s">
        <v>2982</v>
      </c>
      <c r="F391" t="s">
        <v>66</v>
      </c>
      <c r="G391" s="362" t="s">
        <v>253</v>
      </c>
      <c r="H391">
        <v>2016</v>
      </c>
      <c r="I391" s="364">
        <v>40.5</v>
      </c>
      <c r="J391" s="364"/>
      <c r="K391" t="s">
        <v>2983</v>
      </c>
      <c r="L391" t="s">
        <v>1863</v>
      </c>
      <c r="O391" s="368">
        <f>I391/100</f>
        <v>0.40500000000000003</v>
      </c>
      <c r="Q391" s="364">
        <f>(I391/I392)^(1/(H391-H392))</f>
        <v>1.0193455724899141</v>
      </c>
      <c r="T391">
        <v>0</v>
      </c>
      <c r="U391" t="s">
        <v>2849</v>
      </c>
      <c r="V391" t="s">
        <v>594</v>
      </c>
    </row>
    <row r="392" spans="1:22" x14ac:dyDescent="0.45">
      <c r="A392" t="s">
        <v>2850</v>
      </c>
      <c r="B392" t="s">
        <v>2981</v>
      </c>
      <c r="E392" t="s">
        <v>2982</v>
      </c>
      <c r="F392" t="s">
        <v>66</v>
      </c>
      <c r="G392" s="362" t="s">
        <v>253</v>
      </c>
      <c r="H392">
        <v>2011</v>
      </c>
      <c r="I392" s="364">
        <v>36.799999999999997</v>
      </c>
      <c r="J392" s="364"/>
      <c r="K392" t="s">
        <v>2983</v>
      </c>
      <c r="L392" t="s">
        <v>1863</v>
      </c>
      <c r="O392" s="368">
        <f t="shared" ref="O392:O418" si="16">I392/100</f>
        <v>0.36799999999999999</v>
      </c>
      <c r="T392">
        <v>0</v>
      </c>
      <c r="U392" t="s">
        <v>2849</v>
      </c>
      <c r="V392" t="s">
        <v>594</v>
      </c>
    </row>
    <row r="393" spans="1:22" x14ac:dyDescent="0.45">
      <c r="A393" t="s">
        <v>2850</v>
      </c>
      <c r="B393" t="s">
        <v>2981</v>
      </c>
      <c r="C393" t="str">
        <f t="shared" si="14"/>
        <v>VC12ETR</v>
      </c>
      <c r="E393" t="s">
        <v>2982</v>
      </c>
      <c r="F393" t="s">
        <v>66</v>
      </c>
      <c r="G393" s="362" t="s">
        <v>253</v>
      </c>
      <c r="H393">
        <v>2016</v>
      </c>
      <c r="I393" s="364">
        <v>42.2</v>
      </c>
      <c r="J393" s="364"/>
      <c r="K393" t="s">
        <v>2983</v>
      </c>
      <c r="L393" t="s">
        <v>1863</v>
      </c>
      <c r="O393" s="368">
        <f t="shared" si="16"/>
        <v>0.42200000000000004</v>
      </c>
      <c r="Q393" s="364">
        <f>(I393/I394)^(1/(H393-H394))</f>
        <v>1.0244438739233099</v>
      </c>
      <c r="T393">
        <v>0.5</v>
      </c>
      <c r="U393" t="s">
        <v>2866</v>
      </c>
      <c r="V393" t="s">
        <v>84</v>
      </c>
    </row>
    <row r="394" spans="1:22" x14ac:dyDescent="0.45">
      <c r="A394" t="s">
        <v>2850</v>
      </c>
      <c r="B394" t="s">
        <v>2981</v>
      </c>
      <c r="E394" t="s">
        <v>2982</v>
      </c>
      <c r="F394" t="s">
        <v>66</v>
      </c>
      <c r="G394" s="362" t="s">
        <v>253</v>
      </c>
      <c r="H394">
        <v>2011</v>
      </c>
      <c r="I394" s="364">
        <v>37.4</v>
      </c>
      <c r="J394" s="364"/>
      <c r="K394" t="s">
        <v>2983</v>
      </c>
      <c r="L394" t="s">
        <v>1863</v>
      </c>
      <c r="O394" s="368">
        <f t="shared" si="16"/>
        <v>0.374</v>
      </c>
      <c r="T394">
        <v>0.5</v>
      </c>
      <c r="U394" t="s">
        <v>2866</v>
      </c>
      <c r="V394" t="s">
        <v>84</v>
      </c>
    </row>
    <row r="395" spans="1:22" x14ac:dyDescent="0.45">
      <c r="A395" t="s">
        <v>2850</v>
      </c>
      <c r="B395" t="s">
        <v>2981</v>
      </c>
      <c r="C395" t="str">
        <f t="shared" si="14"/>
        <v>VC12ETU</v>
      </c>
      <c r="E395" t="s">
        <v>2982</v>
      </c>
      <c r="F395" t="s">
        <v>66</v>
      </c>
      <c r="G395" s="362" t="s">
        <v>253</v>
      </c>
      <c r="H395">
        <v>2016</v>
      </c>
      <c r="I395" s="364">
        <v>34.799999999999997</v>
      </c>
      <c r="J395" s="364"/>
      <c r="K395" t="s">
        <v>2983</v>
      </c>
      <c r="L395" t="s">
        <v>1863</v>
      </c>
      <c r="O395" s="368">
        <f t="shared" si="16"/>
        <v>0.34799999999999998</v>
      </c>
      <c r="Q395" s="364">
        <f>(I395/I396)^(1/(H395-H396))</f>
        <v>0.99828472403192414</v>
      </c>
      <c r="T395">
        <v>0.5</v>
      </c>
      <c r="U395" t="s">
        <v>2867</v>
      </c>
      <c r="V395" t="s">
        <v>336</v>
      </c>
    </row>
    <row r="396" spans="1:22" x14ac:dyDescent="0.45">
      <c r="A396" t="s">
        <v>2850</v>
      </c>
      <c r="B396" t="s">
        <v>2981</v>
      </c>
      <c r="E396" t="s">
        <v>2982</v>
      </c>
      <c r="F396" t="s">
        <v>66</v>
      </c>
      <c r="G396" s="362" t="s">
        <v>253</v>
      </c>
      <c r="H396">
        <v>2011</v>
      </c>
      <c r="I396" s="364">
        <v>35.1</v>
      </c>
      <c r="J396" s="364"/>
      <c r="K396" t="s">
        <v>2983</v>
      </c>
      <c r="L396" t="s">
        <v>1863</v>
      </c>
      <c r="O396" s="368">
        <f t="shared" si="16"/>
        <v>0.35100000000000003</v>
      </c>
      <c r="T396">
        <v>0.5</v>
      </c>
      <c r="U396" t="s">
        <v>2867</v>
      </c>
      <c r="V396" t="s">
        <v>336</v>
      </c>
    </row>
    <row r="397" spans="1:22" x14ac:dyDescent="0.45">
      <c r="A397" t="s">
        <v>2850</v>
      </c>
      <c r="B397" t="s">
        <v>2981</v>
      </c>
      <c r="C397" t="str">
        <f t="shared" si="14"/>
        <v>VC12ET01</v>
      </c>
      <c r="E397" t="s">
        <v>2982</v>
      </c>
      <c r="F397" t="s">
        <v>66</v>
      </c>
      <c r="G397" s="362" t="s">
        <v>253</v>
      </c>
      <c r="H397">
        <v>2016</v>
      </c>
      <c r="I397" s="364">
        <v>36.200000000000003</v>
      </c>
      <c r="J397" s="364"/>
      <c r="K397" t="s">
        <v>2983</v>
      </c>
      <c r="L397" t="s">
        <v>1863</v>
      </c>
      <c r="O397" s="368">
        <f t="shared" si="16"/>
        <v>0.36200000000000004</v>
      </c>
      <c r="Q397" s="364">
        <f>(I397/I398)^(1/(H397-H398))</f>
        <v>1.0341830816550965</v>
      </c>
      <c r="T397">
        <v>1</v>
      </c>
      <c r="U397" t="s">
        <v>2868</v>
      </c>
      <c r="V397" t="s">
        <v>806</v>
      </c>
    </row>
    <row r="398" spans="1:22" x14ac:dyDescent="0.45">
      <c r="A398" t="s">
        <v>2850</v>
      </c>
      <c r="B398" t="s">
        <v>2981</v>
      </c>
      <c r="E398" t="s">
        <v>2982</v>
      </c>
      <c r="F398" t="s">
        <v>66</v>
      </c>
      <c r="G398" s="362" t="s">
        <v>253</v>
      </c>
      <c r="H398">
        <v>2011</v>
      </c>
      <c r="I398" s="364">
        <v>30.6</v>
      </c>
      <c r="J398" s="364"/>
      <c r="K398" t="s">
        <v>2983</v>
      </c>
      <c r="L398" t="s">
        <v>1863</v>
      </c>
      <c r="O398" s="368">
        <f t="shared" si="16"/>
        <v>0.30599999999999999</v>
      </c>
      <c r="T398">
        <v>1</v>
      </c>
      <c r="U398" t="s">
        <v>2868</v>
      </c>
      <c r="V398" t="s">
        <v>806</v>
      </c>
    </row>
    <row r="399" spans="1:22" x14ac:dyDescent="0.45">
      <c r="A399" t="s">
        <v>2850</v>
      </c>
      <c r="B399" t="s">
        <v>2981</v>
      </c>
      <c r="C399" t="str">
        <f t="shared" si="14"/>
        <v>VC12ET02</v>
      </c>
      <c r="E399" t="s">
        <v>2982</v>
      </c>
      <c r="F399" t="s">
        <v>66</v>
      </c>
      <c r="G399" s="362" t="s">
        <v>253</v>
      </c>
      <c r="H399">
        <v>2016</v>
      </c>
      <c r="I399" s="364">
        <v>23</v>
      </c>
      <c r="J399" s="364"/>
      <c r="K399" t="s">
        <v>2983</v>
      </c>
      <c r="L399" t="s">
        <v>1863</v>
      </c>
      <c r="O399" s="368">
        <f t="shared" si="16"/>
        <v>0.23</v>
      </c>
      <c r="Q399" s="364">
        <f>(I399/I400)^(1/(H399-H400))</f>
        <v>1.0232807282153804</v>
      </c>
      <c r="T399">
        <v>1</v>
      </c>
      <c r="U399" t="s">
        <v>2869</v>
      </c>
      <c r="V399" t="s">
        <v>2946</v>
      </c>
    </row>
    <row r="400" spans="1:22" x14ac:dyDescent="0.45">
      <c r="A400" t="s">
        <v>2850</v>
      </c>
      <c r="B400" t="s">
        <v>2981</v>
      </c>
      <c r="E400" t="s">
        <v>2982</v>
      </c>
      <c r="F400" t="s">
        <v>66</v>
      </c>
      <c r="G400" s="362" t="s">
        <v>253</v>
      </c>
      <c r="H400">
        <v>2011</v>
      </c>
      <c r="I400" s="364">
        <v>20.5</v>
      </c>
      <c r="J400" s="364"/>
      <c r="K400" t="s">
        <v>2983</v>
      </c>
      <c r="L400" t="s">
        <v>1863</v>
      </c>
      <c r="O400" s="368">
        <f t="shared" si="16"/>
        <v>0.20499999999999999</v>
      </c>
      <c r="T400">
        <v>1</v>
      </c>
      <c r="U400" t="s">
        <v>2869</v>
      </c>
      <c r="V400" t="s">
        <v>2946</v>
      </c>
    </row>
    <row r="401" spans="1:22" x14ac:dyDescent="0.45">
      <c r="A401" t="s">
        <v>2850</v>
      </c>
      <c r="B401" t="s">
        <v>2981</v>
      </c>
      <c r="C401" t="str">
        <f t="shared" si="14"/>
        <v>VC12ET03</v>
      </c>
      <c r="E401" t="s">
        <v>2982</v>
      </c>
      <c r="F401" t="s">
        <v>66</v>
      </c>
      <c r="G401" s="362" t="s">
        <v>253</v>
      </c>
      <c r="H401">
        <v>2016</v>
      </c>
      <c r="I401" s="364">
        <v>45.9</v>
      </c>
      <c r="J401" s="364"/>
      <c r="K401" t="s">
        <v>2983</v>
      </c>
      <c r="L401" t="s">
        <v>1863</v>
      </c>
      <c r="O401" s="368">
        <f t="shared" si="16"/>
        <v>0.45899999999999996</v>
      </c>
      <c r="Q401" s="364">
        <f>(I401/I402)^(1/(H401-H402))</f>
        <v>1.0336478766775552</v>
      </c>
      <c r="T401">
        <v>1</v>
      </c>
      <c r="U401" t="s">
        <v>2871</v>
      </c>
      <c r="V401" t="s">
        <v>805</v>
      </c>
    </row>
    <row r="402" spans="1:22" x14ac:dyDescent="0.45">
      <c r="A402" t="s">
        <v>2850</v>
      </c>
      <c r="B402" t="s">
        <v>2981</v>
      </c>
      <c r="E402" t="s">
        <v>2982</v>
      </c>
      <c r="F402" t="s">
        <v>66</v>
      </c>
      <c r="G402" s="362" t="s">
        <v>253</v>
      </c>
      <c r="H402">
        <v>2011</v>
      </c>
      <c r="I402" s="364">
        <v>38.9</v>
      </c>
      <c r="J402" s="364"/>
      <c r="K402" t="s">
        <v>2983</v>
      </c>
      <c r="L402" t="s">
        <v>1863</v>
      </c>
      <c r="O402" s="368">
        <f t="shared" si="16"/>
        <v>0.38900000000000001</v>
      </c>
      <c r="T402">
        <v>1</v>
      </c>
      <c r="U402" t="s">
        <v>2871</v>
      </c>
      <c r="V402" t="s">
        <v>805</v>
      </c>
    </row>
    <row r="403" spans="1:22" x14ac:dyDescent="0.45">
      <c r="A403" t="s">
        <v>2850</v>
      </c>
      <c r="B403" t="s">
        <v>2981</v>
      </c>
      <c r="C403" t="str">
        <f t="shared" si="14"/>
        <v>VC12ET04</v>
      </c>
      <c r="E403" t="s">
        <v>2982</v>
      </c>
      <c r="F403" t="s">
        <v>66</v>
      </c>
      <c r="G403" s="362" t="s">
        <v>253</v>
      </c>
      <c r="H403">
        <v>2016</v>
      </c>
      <c r="I403" s="364">
        <v>42.4</v>
      </c>
      <c r="J403" s="364"/>
      <c r="K403" t="s">
        <v>2983</v>
      </c>
      <c r="L403" t="s">
        <v>1863</v>
      </c>
      <c r="O403" s="368">
        <f t="shared" si="16"/>
        <v>0.42399999999999999</v>
      </c>
      <c r="Q403" s="364">
        <f>(I403/I404)^(1/(H403-H404))</f>
        <v>1.0137576258089769</v>
      </c>
      <c r="T403">
        <v>1</v>
      </c>
      <c r="U403" t="s">
        <v>2872</v>
      </c>
      <c r="V403" t="s">
        <v>809</v>
      </c>
    </row>
    <row r="404" spans="1:22" x14ac:dyDescent="0.45">
      <c r="A404" t="s">
        <v>2850</v>
      </c>
      <c r="B404" t="s">
        <v>2981</v>
      </c>
      <c r="E404" t="s">
        <v>2982</v>
      </c>
      <c r="F404" t="s">
        <v>66</v>
      </c>
      <c r="G404" s="362" t="s">
        <v>253</v>
      </c>
      <c r="H404">
        <v>2011</v>
      </c>
      <c r="I404" s="364">
        <v>39.6</v>
      </c>
      <c r="J404" s="364"/>
      <c r="K404" t="s">
        <v>2983</v>
      </c>
      <c r="L404" t="s">
        <v>1863</v>
      </c>
      <c r="O404" s="368">
        <f t="shared" si="16"/>
        <v>0.39600000000000002</v>
      </c>
      <c r="T404">
        <v>1</v>
      </c>
      <c r="U404" t="s">
        <v>2872</v>
      </c>
      <c r="V404" t="s">
        <v>809</v>
      </c>
    </row>
    <row r="405" spans="1:22" x14ac:dyDescent="0.45">
      <c r="A405" t="s">
        <v>2850</v>
      </c>
      <c r="B405" t="s">
        <v>2981</v>
      </c>
      <c r="C405" t="str">
        <f t="shared" si="14"/>
        <v>VC12ET05</v>
      </c>
      <c r="E405" t="s">
        <v>2982</v>
      </c>
      <c r="F405" t="s">
        <v>66</v>
      </c>
      <c r="G405" s="362" t="s">
        <v>253</v>
      </c>
      <c r="H405">
        <v>2016</v>
      </c>
      <c r="I405" s="364">
        <v>10</v>
      </c>
      <c r="J405" s="364"/>
      <c r="K405" t="s">
        <v>2983</v>
      </c>
      <c r="L405" t="s">
        <v>1863</v>
      </c>
      <c r="O405" s="368">
        <f t="shared" si="16"/>
        <v>0.1</v>
      </c>
      <c r="Q405" s="364">
        <f>(I405/I406)^(1/(H405-H406))</f>
        <v>0.86292041323901691</v>
      </c>
      <c r="T405">
        <v>1</v>
      </c>
      <c r="U405" t="s">
        <v>2873</v>
      </c>
      <c r="V405" t="s">
        <v>2874</v>
      </c>
    </row>
    <row r="406" spans="1:22" x14ac:dyDescent="0.45">
      <c r="A406" t="s">
        <v>2850</v>
      </c>
      <c r="B406" t="s">
        <v>2981</v>
      </c>
      <c r="E406" t="s">
        <v>2982</v>
      </c>
      <c r="F406" t="s">
        <v>66</v>
      </c>
      <c r="G406" s="362" t="s">
        <v>253</v>
      </c>
      <c r="H406">
        <v>2011</v>
      </c>
      <c r="I406" s="364">
        <v>20.9</v>
      </c>
      <c r="J406" s="364"/>
      <c r="K406" t="s">
        <v>2983</v>
      </c>
      <c r="L406" t="s">
        <v>1863</v>
      </c>
      <c r="O406" s="368">
        <f t="shared" si="16"/>
        <v>0.20899999999999999</v>
      </c>
      <c r="T406">
        <v>1</v>
      </c>
      <c r="U406" t="s">
        <v>2873</v>
      </c>
      <c r="V406" t="s">
        <v>2874</v>
      </c>
    </row>
    <row r="407" spans="1:22" x14ac:dyDescent="0.45">
      <c r="A407" t="s">
        <v>2850</v>
      </c>
      <c r="B407" t="s">
        <v>2981</v>
      </c>
      <c r="C407" t="str">
        <f t="shared" si="14"/>
        <v>VC12ET06</v>
      </c>
      <c r="E407" t="s">
        <v>2982</v>
      </c>
      <c r="F407" t="s">
        <v>66</v>
      </c>
      <c r="G407" s="362" t="s">
        <v>253</v>
      </c>
      <c r="H407">
        <v>2016</v>
      </c>
      <c r="I407" s="364">
        <v>37.5</v>
      </c>
      <c r="J407" s="364"/>
      <c r="K407" t="s">
        <v>2983</v>
      </c>
      <c r="L407" t="s">
        <v>1863</v>
      </c>
      <c r="O407" s="368">
        <f t="shared" si="16"/>
        <v>0.375</v>
      </c>
      <c r="Q407" s="364">
        <f>(I407/I408)^(1/(H407-H408))</f>
        <v>0.99269614024780239</v>
      </c>
      <c r="T407">
        <v>1</v>
      </c>
      <c r="U407" t="s">
        <v>2876</v>
      </c>
      <c r="V407" t="s">
        <v>2877</v>
      </c>
    </row>
    <row r="408" spans="1:22" x14ac:dyDescent="0.45">
      <c r="A408" t="s">
        <v>2850</v>
      </c>
      <c r="B408" t="s">
        <v>2981</v>
      </c>
      <c r="E408" t="s">
        <v>2982</v>
      </c>
      <c r="F408" t="s">
        <v>66</v>
      </c>
      <c r="G408" s="362" t="s">
        <v>253</v>
      </c>
      <c r="H408">
        <v>2011</v>
      </c>
      <c r="I408" s="364">
        <v>38.9</v>
      </c>
      <c r="J408" s="364"/>
      <c r="K408" t="s">
        <v>2983</v>
      </c>
      <c r="L408" t="s">
        <v>1863</v>
      </c>
      <c r="O408" s="368">
        <f t="shared" si="16"/>
        <v>0.38900000000000001</v>
      </c>
      <c r="T408">
        <v>1</v>
      </c>
      <c r="U408" t="s">
        <v>2876</v>
      </c>
      <c r="V408" t="s">
        <v>2877</v>
      </c>
    </row>
    <row r="409" spans="1:22" x14ac:dyDescent="0.45">
      <c r="A409" t="s">
        <v>2850</v>
      </c>
      <c r="B409" t="s">
        <v>2981</v>
      </c>
      <c r="C409" t="str">
        <f t="shared" si="14"/>
        <v>VC12ET07</v>
      </c>
      <c r="E409" t="s">
        <v>2982</v>
      </c>
      <c r="F409" t="s">
        <v>66</v>
      </c>
      <c r="G409" s="362" t="s">
        <v>253</v>
      </c>
      <c r="H409">
        <v>2016</v>
      </c>
      <c r="I409" s="364">
        <v>40.700000000000003</v>
      </c>
      <c r="J409" s="364"/>
      <c r="K409" t="s">
        <v>2983</v>
      </c>
      <c r="L409" t="s">
        <v>1863</v>
      </c>
      <c r="O409" s="368">
        <f t="shared" si="16"/>
        <v>0.40700000000000003</v>
      </c>
      <c r="Q409" s="364">
        <f>(I409/I410)^(1/(H409-H410))</f>
        <v>1.0354131125857018</v>
      </c>
      <c r="T409">
        <v>1</v>
      </c>
      <c r="U409" t="s">
        <v>2878</v>
      </c>
      <c r="V409" t="s">
        <v>2879</v>
      </c>
    </row>
    <row r="410" spans="1:22" x14ac:dyDescent="0.45">
      <c r="A410" t="s">
        <v>2850</v>
      </c>
      <c r="B410" t="s">
        <v>2981</v>
      </c>
      <c r="E410" t="s">
        <v>2982</v>
      </c>
      <c r="F410" t="s">
        <v>66</v>
      </c>
      <c r="G410" s="362" t="s">
        <v>253</v>
      </c>
      <c r="H410">
        <v>2011</v>
      </c>
      <c r="I410" s="364">
        <v>34.200000000000003</v>
      </c>
      <c r="J410" s="364"/>
      <c r="K410" t="s">
        <v>2983</v>
      </c>
      <c r="L410" t="s">
        <v>1863</v>
      </c>
      <c r="O410" s="368">
        <f t="shared" si="16"/>
        <v>0.34200000000000003</v>
      </c>
      <c r="T410">
        <v>1</v>
      </c>
      <c r="U410" t="s">
        <v>2878</v>
      </c>
      <c r="V410" t="s">
        <v>2879</v>
      </c>
    </row>
    <row r="411" spans="1:22" x14ac:dyDescent="0.45">
      <c r="A411" t="s">
        <v>2850</v>
      </c>
      <c r="B411" t="s">
        <v>2981</v>
      </c>
      <c r="C411" t="str">
        <f t="shared" si="14"/>
        <v>VC12ET12</v>
      </c>
      <c r="E411" t="s">
        <v>2982</v>
      </c>
      <c r="F411" t="s">
        <v>66</v>
      </c>
      <c r="G411" s="362" t="s">
        <v>253</v>
      </c>
      <c r="H411">
        <v>2016</v>
      </c>
      <c r="I411" s="364">
        <v>43</v>
      </c>
      <c r="J411" s="364"/>
      <c r="K411" t="s">
        <v>2983</v>
      </c>
      <c r="L411" t="s">
        <v>1863</v>
      </c>
      <c r="O411" s="368">
        <f t="shared" si="16"/>
        <v>0.43</v>
      </c>
      <c r="Q411" s="364">
        <f>(I411/I412)^(1/(H411-H412))</f>
        <v>0.98362671380155908</v>
      </c>
      <c r="T411">
        <v>1</v>
      </c>
      <c r="U411" t="s">
        <v>2880</v>
      </c>
      <c r="V411" t="s">
        <v>2881</v>
      </c>
    </row>
    <row r="412" spans="1:22" x14ac:dyDescent="0.45">
      <c r="A412" t="s">
        <v>2850</v>
      </c>
      <c r="B412" t="s">
        <v>2981</v>
      </c>
      <c r="E412" t="s">
        <v>2982</v>
      </c>
      <c r="F412" t="s">
        <v>66</v>
      </c>
      <c r="G412" s="362" t="s">
        <v>253</v>
      </c>
      <c r="H412">
        <v>2011</v>
      </c>
      <c r="I412" s="364">
        <v>46.7</v>
      </c>
      <c r="J412" s="364"/>
      <c r="K412" t="s">
        <v>2983</v>
      </c>
      <c r="L412" t="s">
        <v>1863</v>
      </c>
      <c r="O412" s="368">
        <f t="shared" si="16"/>
        <v>0.46700000000000003</v>
      </c>
      <c r="T412">
        <v>1</v>
      </c>
      <c r="U412" t="s">
        <v>2880</v>
      </c>
      <c r="V412" t="s">
        <v>2881</v>
      </c>
    </row>
    <row r="413" spans="1:22" x14ac:dyDescent="0.45">
      <c r="A413" t="s">
        <v>2850</v>
      </c>
      <c r="B413" t="s">
        <v>2981</v>
      </c>
      <c r="C413" t="str">
        <f t="shared" si="14"/>
        <v>VC12ET13</v>
      </c>
      <c r="E413" t="s">
        <v>2982</v>
      </c>
      <c r="F413" t="s">
        <v>66</v>
      </c>
      <c r="G413" s="362" t="s">
        <v>253</v>
      </c>
      <c r="H413">
        <v>2016</v>
      </c>
      <c r="I413" s="364">
        <v>34.200000000000003</v>
      </c>
      <c r="J413" s="364"/>
      <c r="K413" t="s">
        <v>2983</v>
      </c>
      <c r="L413" t="s">
        <v>1863</v>
      </c>
      <c r="O413" s="368">
        <f t="shared" si="16"/>
        <v>0.34200000000000003</v>
      </c>
      <c r="Q413" s="364">
        <f>(I413/I414)^(1/(H413-H414))</f>
        <v>0.98438474856294911</v>
      </c>
      <c r="T413">
        <v>1</v>
      </c>
      <c r="U413" t="s">
        <v>2882</v>
      </c>
      <c r="V413" t="s">
        <v>2883</v>
      </c>
    </row>
    <row r="414" spans="1:22" x14ac:dyDescent="0.45">
      <c r="A414" t="s">
        <v>2850</v>
      </c>
      <c r="B414" t="s">
        <v>2981</v>
      </c>
      <c r="E414" t="s">
        <v>2982</v>
      </c>
      <c r="F414" t="s">
        <v>66</v>
      </c>
      <c r="G414" s="362" t="s">
        <v>253</v>
      </c>
      <c r="H414">
        <v>2011</v>
      </c>
      <c r="I414" s="364">
        <v>37</v>
      </c>
      <c r="J414" s="364"/>
      <c r="K414" t="s">
        <v>2983</v>
      </c>
      <c r="L414" t="s">
        <v>1863</v>
      </c>
      <c r="O414" s="368">
        <f t="shared" si="16"/>
        <v>0.37</v>
      </c>
      <c r="T414">
        <v>1</v>
      </c>
      <c r="U414" t="s">
        <v>2882</v>
      </c>
      <c r="V414" t="s">
        <v>2883</v>
      </c>
    </row>
    <row r="415" spans="1:22" x14ac:dyDescent="0.45">
      <c r="A415" t="s">
        <v>2850</v>
      </c>
      <c r="B415" t="s">
        <v>2981</v>
      </c>
      <c r="C415" t="str">
        <f t="shared" si="14"/>
        <v>VC12ET14</v>
      </c>
      <c r="E415" t="s">
        <v>2982</v>
      </c>
      <c r="F415" t="s">
        <v>66</v>
      </c>
      <c r="G415" s="362" t="s">
        <v>253</v>
      </c>
      <c r="H415">
        <v>2016</v>
      </c>
      <c r="I415" s="364">
        <v>30.9</v>
      </c>
      <c r="J415" s="364"/>
      <c r="K415" t="s">
        <v>2983</v>
      </c>
      <c r="L415" t="s">
        <v>1863</v>
      </c>
      <c r="O415" s="368">
        <f t="shared" si="16"/>
        <v>0.309</v>
      </c>
      <c r="Q415" s="364">
        <f>(I415/I416)^(1/(H415-H416))</f>
        <v>0.98934593996316489</v>
      </c>
      <c r="T415">
        <v>1</v>
      </c>
      <c r="U415" t="s">
        <v>2884</v>
      </c>
      <c r="V415" t="s">
        <v>814</v>
      </c>
    </row>
    <row r="416" spans="1:22" x14ac:dyDescent="0.45">
      <c r="A416" t="s">
        <v>2850</v>
      </c>
      <c r="B416" t="s">
        <v>2981</v>
      </c>
      <c r="E416" t="s">
        <v>2982</v>
      </c>
      <c r="F416" t="s">
        <v>66</v>
      </c>
      <c r="G416" s="362" t="s">
        <v>253</v>
      </c>
      <c r="H416">
        <v>2011</v>
      </c>
      <c r="I416" s="364">
        <v>32.6</v>
      </c>
      <c r="J416" s="364"/>
      <c r="K416" t="s">
        <v>2983</v>
      </c>
      <c r="L416" t="s">
        <v>1863</v>
      </c>
      <c r="O416" s="368">
        <f t="shared" si="16"/>
        <v>0.32600000000000001</v>
      </c>
      <c r="T416">
        <v>1</v>
      </c>
      <c r="U416" t="s">
        <v>2884</v>
      </c>
      <c r="V416" t="s">
        <v>814</v>
      </c>
    </row>
    <row r="417" spans="1:22" x14ac:dyDescent="0.45">
      <c r="A417" t="s">
        <v>2850</v>
      </c>
      <c r="B417" t="s">
        <v>2981</v>
      </c>
      <c r="C417" t="str">
        <f t="shared" si="14"/>
        <v>VC12ET15</v>
      </c>
      <c r="E417" t="s">
        <v>2982</v>
      </c>
      <c r="F417" t="s">
        <v>66</v>
      </c>
      <c r="G417" s="362" t="s">
        <v>253</v>
      </c>
      <c r="H417">
        <v>2016</v>
      </c>
      <c r="I417" s="364">
        <v>31.3</v>
      </c>
      <c r="J417" s="364"/>
      <c r="K417" t="s">
        <v>2983</v>
      </c>
      <c r="L417" t="s">
        <v>1863</v>
      </c>
      <c r="O417" s="368">
        <f t="shared" si="16"/>
        <v>0.313</v>
      </c>
      <c r="Q417" s="364">
        <f>(I417/I418)^(1/(H417-H418))</f>
        <v>0.98301012641318919</v>
      </c>
      <c r="T417">
        <v>1</v>
      </c>
      <c r="U417" t="s">
        <v>2885</v>
      </c>
      <c r="V417" t="s">
        <v>2886</v>
      </c>
    </row>
    <row r="418" spans="1:22" x14ac:dyDescent="0.45">
      <c r="A418" t="s">
        <v>2850</v>
      </c>
      <c r="B418" t="s">
        <v>2981</v>
      </c>
      <c r="E418" t="s">
        <v>2982</v>
      </c>
      <c r="F418" t="s">
        <v>66</v>
      </c>
      <c r="G418" s="362" t="s">
        <v>253</v>
      </c>
      <c r="H418">
        <v>2011</v>
      </c>
      <c r="I418" s="364">
        <v>34.1</v>
      </c>
      <c r="J418" s="364"/>
      <c r="K418" t="s">
        <v>2983</v>
      </c>
      <c r="L418" t="s">
        <v>1863</v>
      </c>
      <c r="O418" s="368">
        <f t="shared" si="16"/>
        <v>0.34100000000000003</v>
      </c>
      <c r="Q418" s="373"/>
      <c r="T418">
        <v>1</v>
      </c>
      <c r="U418" t="s">
        <v>2885</v>
      </c>
      <c r="V418" t="s">
        <v>2886</v>
      </c>
    </row>
    <row r="419" spans="1:22" x14ac:dyDescent="0.45">
      <c r="A419" t="s">
        <v>2850</v>
      </c>
      <c r="B419" t="s">
        <v>2984</v>
      </c>
      <c r="C419" t="str">
        <f t="shared" si="14"/>
        <v>VC13ET</v>
      </c>
      <c r="D419" t="s">
        <v>2295</v>
      </c>
      <c r="E419" t="s">
        <v>2292</v>
      </c>
      <c r="F419" t="s">
        <v>66</v>
      </c>
      <c r="G419" s="362" t="s">
        <v>253</v>
      </c>
      <c r="H419">
        <v>2016</v>
      </c>
      <c r="I419" s="364">
        <v>1.9911686746987955</v>
      </c>
      <c r="K419" t="s">
        <v>2985</v>
      </c>
      <c r="O419" s="363">
        <f>I419/100</f>
        <v>1.9911686746987955E-2</v>
      </c>
      <c r="P419" t="s">
        <v>1943</v>
      </c>
      <c r="Q419" s="373">
        <v>1</v>
      </c>
      <c r="T419">
        <v>0</v>
      </c>
      <c r="U419" t="s">
        <v>2849</v>
      </c>
      <c r="V419" t="s">
        <v>594</v>
      </c>
    </row>
    <row r="420" spans="1:22" x14ac:dyDescent="0.45">
      <c r="A420" t="s">
        <v>2850</v>
      </c>
      <c r="B420" t="s">
        <v>2984</v>
      </c>
      <c r="C420" t="str">
        <f t="shared" si="14"/>
        <v>VC13ETU</v>
      </c>
      <c r="E420" t="s">
        <v>2292</v>
      </c>
      <c r="F420" t="s">
        <v>66</v>
      </c>
      <c r="G420" s="362" t="s">
        <v>253</v>
      </c>
      <c r="H420">
        <v>2016</v>
      </c>
      <c r="I420" s="364">
        <v>2.2873323529411764</v>
      </c>
      <c r="K420" t="s">
        <v>2985</v>
      </c>
      <c r="O420" s="363">
        <f t="shared" ref="O420:O432" si="17">I420/100</f>
        <v>2.2873323529411765E-2</v>
      </c>
      <c r="P420" t="s">
        <v>1943</v>
      </c>
      <c r="Q420" s="373">
        <v>1</v>
      </c>
      <c r="T420">
        <v>0.5</v>
      </c>
      <c r="U420" t="s">
        <v>2867</v>
      </c>
      <c r="V420" t="s">
        <v>336</v>
      </c>
    </row>
    <row r="421" spans="1:22" x14ac:dyDescent="0.45">
      <c r="A421" t="s">
        <v>2850</v>
      </c>
      <c r="B421" t="s">
        <v>2984</v>
      </c>
      <c r="C421" t="str">
        <f t="shared" si="14"/>
        <v>VC13ETR</v>
      </c>
      <c r="E421" t="s">
        <v>2292</v>
      </c>
      <c r="F421" t="s">
        <v>66</v>
      </c>
      <c r="G421" s="362" t="s">
        <v>253</v>
      </c>
      <c r="H421">
        <v>2016</v>
      </c>
      <c r="I421" s="364">
        <v>1.8690066115702482</v>
      </c>
      <c r="K421" t="s">
        <v>2985</v>
      </c>
      <c r="O421" s="363">
        <f t="shared" si="17"/>
        <v>1.8690066115702481E-2</v>
      </c>
      <c r="P421" t="s">
        <v>1943</v>
      </c>
      <c r="Q421" s="373">
        <v>1</v>
      </c>
      <c r="T421">
        <v>0.5</v>
      </c>
      <c r="U421" t="s">
        <v>2866</v>
      </c>
      <c r="V421" t="s">
        <v>84</v>
      </c>
    </row>
    <row r="422" spans="1:22" x14ac:dyDescent="0.45">
      <c r="A422" t="s">
        <v>2850</v>
      </c>
      <c r="B422" t="s">
        <v>2984</v>
      </c>
      <c r="C422" t="str">
        <f t="shared" si="14"/>
        <v>VC13ET01</v>
      </c>
      <c r="E422" t="s">
        <v>2292</v>
      </c>
      <c r="F422" t="s">
        <v>66</v>
      </c>
      <c r="G422" s="362" t="s">
        <v>253</v>
      </c>
      <c r="H422">
        <v>2016</v>
      </c>
      <c r="I422" s="364">
        <v>1.9988310204081636</v>
      </c>
      <c r="K422" t="s">
        <v>2985</v>
      </c>
      <c r="O422" s="363">
        <f t="shared" si="17"/>
        <v>1.9988310204081636E-2</v>
      </c>
      <c r="P422" t="s">
        <v>1943</v>
      </c>
      <c r="Q422" s="373">
        <v>1</v>
      </c>
      <c r="T422">
        <v>1</v>
      </c>
      <c r="U422" t="s">
        <v>2868</v>
      </c>
      <c r="V422" t="s">
        <v>806</v>
      </c>
    </row>
    <row r="423" spans="1:22" x14ac:dyDescent="0.45">
      <c r="A423" t="s">
        <v>2850</v>
      </c>
      <c r="B423" t="s">
        <v>2984</v>
      </c>
      <c r="C423" t="str">
        <f t="shared" si="14"/>
        <v>VC13ET02</v>
      </c>
      <c r="E423" t="s">
        <v>2292</v>
      </c>
      <c r="F423" t="s">
        <v>66</v>
      </c>
      <c r="G423" s="362" t="s">
        <v>253</v>
      </c>
      <c r="H423">
        <v>2016</v>
      </c>
      <c r="I423" s="364">
        <v>1.1421800000000002</v>
      </c>
      <c r="K423" t="s">
        <v>2985</v>
      </c>
      <c r="O423" s="363">
        <f t="shared" si="17"/>
        <v>1.1421800000000003E-2</v>
      </c>
      <c r="P423" t="s">
        <v>1943</v>
      </c>
      <c r="Q423" s="373">
        <v>1</v>
      </c>
      <c r="T423">
        <v>1</v>
      </c>
      <c r="U423" t="s">
        <v>2869</v>
      </c>
      <c r="V423" t="s">
        <v>2946</v>
      </c>
    </row>
    <row r="424" spans="1:22" x14ac:dyDescent="0.45">
      <c r="A424" t="s">
        <v>2850</v>
      </c>
      <c r="B424" t="s">
        <v>2984</v>
      </c>
      <c r="C424" t="str">
        <f t="shared" si="14"/>
        <v>VC13ET03</v>
      </c>
      <c r="E424" t="s">
        <v>2292</v>
      </c>
      <c r="F424" t="s">
        <v>66</v>
      </c>
      <c r="G424" s="362" t="s">
        <v>253</v>
      </c>
      <c r="H424">
        <v>2016</v>
      </c>
      <c r="I424" s="364">
        <v>2.1103103857566761</v>
      </c>
      <c r="K424" t="s">
        <v>2985</v>
      </c>
      <c r="O424" s="363">
        <f t="shared" si="17"/>
        <v>2.1103103857566762E-2</v>
      </c>
      <c r="P424" t="s">
        <v>1943</v>
      </c>
      <c r="Q424" s="373">
        <v>1</v>
      </c>
      <c r="T424">
        <v>1</v>
      </c>
      <c r="U424" t="s">
        <v>2871</v>
      </c>
      <c r="V424" t="s">
        <v>805</v>
      </c>
    </row>
    <row r="425" spans="1:22" x14ac:dyDescent="0.45">
      <c r="A425" t="s">
        <v>2850</v>
      </c>
      <c r="B425" t="s">
        <v>2984</v>
      </c>
      <c r="C425" t="str">
        <f t="shared" si="14"/>
        <v>VC13ET04</v>
      </c>
      <c r="E425" t="s">
        <v>2292</v>
      </c>
      <c r="F425" t="s">
        <v>66</v>
      </c>
      <c r="G425" s="362" t="s">
        <v>253</v>
      </c>
      <c r="H425">
        <v>2016</v>
      </c>
      <c r="I425" s="364">
        <v>2.0915980861244021</v>
      </c>
      <c r="K425" t="s">
        <v>2985</v>
      </c>
      <c r="O425" s="363">
        <f t="shared" si="17"/>
        <v>2.0915980861244021E-2</v>
      </c>
      <c r="P425" t="s">
        <v>1943</v>
      </c>
      <c r="Q425" s="373">
        <v>1</v>
      </c>
      <c r="T425">
        <v>1</v>
      </c>
      <c r="U425" t="s">
        <v>2872</v>
      </c>
      <c r="V425" t="s">
        <v>809</v>
      </c>
    </row>
    <row r="426" spans="1:22" x14ac:dyDescent="0.45">
      <c r="A426" t="s">
        <v>2850</v>
      </c>
      <c r="B426" t="s">
        <v>2984</v>
      </c>
      <c r="C426" t="str">
        <f t="shared" ref="C426:C487" si="18">_xlfn.CONCAT(B426,U426)</f>
        <v>VC13ET05</v>
      </c>
      <c r="E426" t="s">
        <v>2292</v>
      </c>
      <c r="F426" t="s">
        <v>66</v>
      </c>
      <c r="G426" s="362" t="s">
        <v>253</v>
      </c>
      <c r="H426">
        <v>2016</v>
      </c>
      <c r="I426" s="364">
        <v>1.06</v>
      </c>
      <c r="K426" t="s">
        <v>2985</v>
      </c>
      <c r="O426" s="363">
        <f t="shared" si="17"/>
        <v>1.06E-2</v>
      </c>
      <c r="P426" t="s">
        <v>1943</v>
      </c>
      <c r="Q426" s="373">
        <v>1</v>
      </c>
      <c r="T426">
        <v>1</v>
      </c>
      <c r="U426" t="s">
        <v>2873</v>
      </c>
      <c r="V426" t="s">
        <v>2874</v>
      </c>
    </row>
    <row r="427" spans="1:22" x14ac:dyDescent="0.45">
      <c r="A427" t="s">
        <v>2850</v>
      </c>
      <c r="B427" t="s">
        <v>2984</v>
      </c>
      <c r="C427" t="str">
        <f t="shared" si="18"/>
        <v>VC13ET06</v>
      </c>
      <c r="E427" t="s">
        <v>2292</v>
      </c>
      <c r="F427" t="s">
        <v>66</v>
      </c>
      <c r="G427" s="362" t="s">
        <v>253</v>
      </c>
      <c r="H427">
        <v>2016</v>
      </c>
      <c r="I427" s="364">
        <v>1.6917808219178085</v>
      </c>
      <c r="K427" t="s">
        <v>2985</v>
      </c>
      <c r="O427" s="363">
        <f t="shared" si="17"/>
        <v>1.6917808219178085E-2</v>
      </c>
      <c r="P427" t="s">
        <v>1943</v>
      </c>
      <c r="Q427" s="373">
        <v>1</v>
      </c>
      <c r="T427">
        <v>1</v>
      </c>
      <c r="U427" t="s">
        <v>2876</v>
      </c>
      <c r="V427" t="s">
        <v>2877</v>
      </c>
    </row>
    <row r="428" spans="1:22" x14ac:dyDescent="0.45">
      <c r="A428" t="s">
        <v>2850</v>
      </c>
      <c r="B428" t="s">
        <v>2984</v>
      </c>
      <c r="C428" t="str">
        <f t="shared" si="18"/>
        <v>VC13ET07</v>
      </c>
      <c r="E428" t="s">
        <v>2292</v>
      </c>
      <c r="F428" t="s">
        <v>66</v>
      </c>
      <c r="G428" s="362" t="s">
        <v>253</v>
      </c>
      <c r="H428">
        <v>2016</v>
      </c>
      <c r="I428" s="364">
        <v>1.8903230188679245</v>
      </c>
      <c r="K428" t="s">
        <v>2985</v>
      </c>
      <c r="O428" s="363">
        <f t="shared" si="17"/>
        <v>1.8903230188679246E-2</v>
      </c>
      <c r="P428" t="s">
        <v>1943</v>
      </c>
      <c r="Q428" s="373">
        <v>1</v>
      </c>
      <c r="T428">
        <v>1</v>
      </c>
      <c r="U428" t="s">
        <v>2878</v>
      </c>
      <c r="V428" t="s">
        <v>2879</v>
      </c>
    </row>
    <row r="429" spans="1:22" x14ac:dyDescent="0.45">
      <c r="A429" t="s">
        <v>2850</v>
      </c>
      <c r="B429" t="s">
        <v>2984</v>
      </c>
      <c r="C429" t="str">
        <f t="shared" si="18"/>
        <v>VC13ET12</v>
      </c>
      <c r="E429" t="s">
        <v>2292</v>
      </c>
      <c r="F429" t="s">
        <v>66</v>
      </c>
      <c r="G429" s="362" t="s">
        <v>253</v>
      </c>
      <c r="H429">
        <v>2016</v>
      </c>
      <c r="I429" s="364">
        <v>2.8431924528301886</v>
      </c>
      <c r="K429" t="s">
        <v>2985</v>
      </c>
      <c r="O429" s="363">
        <f t="shared" si="17"/>
        <v>2.8431924528301886E-2</v>
      </c>
      <c r="P429" t="s">
        <v>1943</v>
      </c>
      <c r="Q429" s="373">
        <v>1</v>
      </c>
      <c r="T429">
        <v>1</v>
      </c>
      <c r="U429" t="s">
        <v>2880</v>
      </c>
      <c r="V429" t="s">
        <v>2881</v>
      </c>
    </row>
    <row r="430" spans="1:22" x14ac:dyDescent="0.45">
      <c r="A430" t="s">
        <v>2850</v>
      </c>
      <c r="B430" t="s">
        <v>2984</v>
      </c>
      <c r="C430" t="str">
        <f t="shared" si="18"/>
        <v>VC13ET13</v>
      </c>
      <c r="E430" t="s">
        <v>2292</v>
      </c>
      <c r="F430" t="s">
        <v>66</v>
      </c>
      <c r="G430" s="362" t="s">
        <v>253</v>
      </c>
      <c r="H430">
        <v>2016</v>
      </c>
      <c r="I430" s="364">
        <v>2.5399880597014923</v>
      </c>
      <c r="K430" t="s">
        <v>2985</v>
      </c>
      <c r="O430" s="363">
        <f t="shared" si="17"/>
        <v>2.5399880597014923E-2</v>
      </c>
      <c r="P430" t="s">
        <v>1943</v>
      </c>
      <c r="Q430" s="373">
        <v>1</v>
      </c>
      <c r="T430">
        <v>1</v>
      </c>
      <c r="U430" t="s">
        <v>2882</v>
      </c>
      <c r="V430" t="s">
        <v>2883</v>
      </c>
    </row>
    <row r="431" spans="1:22" x14ac:dyDescent="0.45">
      <c r="A431" t="s">
        <v>2850</v>
      </c>
      <c r="B431" t="s">
        <v>2984</v>
      </c>
      <c r="C431" t="str">
        <f t="shared" si="18"/>
        <v>VC13ET14</v>
      </c>
      <c r="E431" t="s">
        <v>2292</v>
      </c>
      <c r="F431" t="s">
        <v>66</v>
      </c>
      <c r="G431" s="362" t="s">
        <v>253</v>
      </c>
      <c r="H431">
        <v>2016</v>
      </c>
      <c r="I431" s="364">
        <v>2.115318103448276</v>
      </c>
      <c r="K431" t="s">
        <v>2985</v>
      </c>
      <c r="O431" s="363">
        <f t="shared" si="17"/>
        <v>2.115318103448276E-2</v>
      </c>
      <c r="P431" t="s">
        <v>1943</v>
      </c>
      <c r="Q431" s="373">
        <v>1</v>
      </c>
      <c r="T431">
        <v>1</v>
      </c>
      <c r="U431" t="s">
        <v>2884</v>
      </c>
      <c r="V431" t="s">
        <v>814</v>
      </c>
    </row>
    <row r="432" spans="1:22" x14ac:dyDescent="0.45">
      <c r="A432" t="s">
        <v>2850</v>
      </c>
      <c r="B432" t="s">
        <v>2984</v>
      </c>
      <c r="C432" t="str">
        <f t="shared" si="18"/>
        <v>VC13ET15</v>
      </c>
      <c r="E432" t="s">
        <v>2292</v>
      </c>
      <c r="F432" t="s">
        <v>66</v>
      </c>
      <c r="G432" s="362" t="s">
        <v>253</v>
      </c>
      <c r="H432">
        <v>2016</v>
      </c>
      <c r="I432" s="364">
        <v>1.8543585106382978</v>
      </c>
      <c r="K432" t="s">
        <v>2985</v>
      </c>
      <c r="O432" s="363">
        <f t="shared" si="17"/>
        <v>1.8543585106382977E-2</v>
      </c>
      <c r="P432" t="s">
        <v>1943</v>
      </c>
      <c r="Q432" s="373">
        <v>1</v>
      </c>
      <c r="T432">
        <v>1</v>
      </c>
      <c r="U432" t="s">
        <v>2885</v>
      </c>
      <c r="V432" t="s">
        <v>2886</v>
      </c>
    </row>
    <row r="433" spans="1:22" x14ac:dyDescent="0.45">
      <c r="A433" t="s">
        <v>2850</v>
      </c>
      <c r="B433" t="s">
        <v>2986</v>
      </c>
      <c r="C433" t="str">
        <f t="shared" si="18"/>
        <v>VC14ET</v>
      </c>
      <c r="D433" t="s">
        <v>2643</v>
      </c>
      <c r="E433" t="s">
        <v>2268</v>
      </c>
      <c r="F433" t="s">
        <v>66</v>
      </c>
      <c r="G433" s="362" t="s">
        <v>253</v>
      </c>
      <c r="H433">
        <v>2016</v>
      </c>
      <c r="I433" s="364">
        <v>27.813253012048197</v>
      </c>
      <c r="K433" t="s">
        <v>2983</v>
      </c>
      <c r="O433" s="363">
        <f>I433/100</f>
        <v>0.27813253012048195</v>
      </c>
      <c r="P433" t="s">
        <v>1863</v>
      </c>
      <c r="T433">
        <v>0</v>
      </c>
      <c r="U433" t="s">
        <v>2849</v>
      </c>
      <c r="V433" t="s">
        <v>594</v>
      </c>
    </row>
    <row r="434" spans="1:22" x14ac:dyDescent="0.45">
      <c r="A434" t="s">
        <v>2850</v>
      </c>
      <c r="B434" t="s">
        <v>2986</v>
      </c>
      <c r="C434" t="str">
        <f t="shared" si="18"/>
        <v>VC14ETU</v>
      </c>
      <c r="E434" t="s">
        <v>2268</v>
      </c>
      <c r="F434" t="s">
        <v>66</v>
      </c>
      <c r="G434" s="362" t="s">
        <v>253</v>
      </c>
      <c r="H434">
        <v>2016</v>
      </c>
      <c r="I434" s="364">
        <v>22.517647058823528</v>
      </c>
      <c r="K434" t="s">
        <v>2983</v>
      </c>
      <c r="O434" s="363">
        <f t="shared" ref="O434:O446" si="19">I434/100</f>
        <v>0.22517647058823528</v>
      </c>
      <c r="P434" t="s">
        <v>1863</v>
      </c>
      <c r="T434">
        <v>0.5</v>
      </c>
      <c r="U434" t="s">
        <v>2867</v>
      </c>
      <c r="V434" t="s">
        <v>336</v>
      </c>
    </row>
    <row r="435" spans="1:22" x14ac:dyDescent="0.45">
      <c r="A435" t="s">
        <v>2850</v>
      </c>
      <c r="B435" t="s">
        <v>2986</v>
      </c>
      <c r="C435" t="str">
        <f t="shared" si="18"/>
        <v>VC14ETR</v>
      </c>
      <c r="E435" t="s">
        <v>2268</v>
      </c>
      <c r="F435" t="s">
        <v>66</v>
      </c>
      <c r="G435" s="362" t="s">
        <v>253</v>
      </c>
      <c r="H435">
        <v>2016</v>
      </c>
      <c r="I435" s="364">
        <v>29.644628099173559</v>
      </c>
      <c r="K435" t="s">
        <v>2983</v>
      </c>
      <c r="O435" s="363">
        <f t="shared" si="19"/>
        <v>0.29644628099173559</v>
      </c>
      <c r="P435" t="s">
        <v>1863</v>
      </c>
      <c r="T435">
        <v>0.5</v>
      </c>
      <c r="U435" t="s">
        <v>2866</v>
      </c>
      <c r="V435" t="s">
        <v>84</v>
      </c>
    </row>
    <row r="436" spans="1:22" x14ac:dyDescent="0.45">
      <c r="A436" t="s">
        <v>2850</v>
      </c>
      <c r="B436" t="s">
        <v>2986</v>
      </c>
      <c r="C436" t="str">
        <f t="shared" si="18"/>
        <v>VC14ET01</v>
      </c>
      <c r="E436" t="s">
        <v>2268</v>
      </c>
      <c r="F436" t="s">
        <v>66</v>
      </c>
      <c r="G436" s="362" t="s">
        <v>253</v>
      </c>
      <c r="H436">
        <v>2016</v>
      </c>
      <c r="I436" s="364">
        <v>23.197551020408167</v>
      </c>
      <c r="K436" t="s">
        <v>2983</v>
      </c>
      <c r="O436" s="363">
        <f t="shared" si="19"/>
        <v>0.23197551020408166</v>
      </c>
      <c r="P436" t="s">
        <v>1863</v>
      </c>
      <c r="T436">
        <v>1</v>
      </c>
      <c r="U436" t="s">
        <v>2868</v>
      </c>
      <c r="V436" t="s">
        <v>806</v>
      </c>
    </row>
    <row r="437" spans="1:22" x14ac:dyDescent="0.45">
      <c r="A437" t="s">
        <v>2850</v>
      </c>
      <c r="B437" t="s">
        <v>2986</v>
      </c>
      <c r="C437" t="str">
        <f t="shared" si="18"/>
        <v>VC14ET02</v>
      </c>
      <c r="E437" t="s">
        <v>2268</v>
      </c>
      <c r="F437" t="s">
        <v>66</v>
      </c>
      <c r="G437" s="362" t="s">
        <v>253</v>
      </c>
      <c r="H437">
        <v>2016</v>
      </c>
      <c r="I437" s="364">
        <v>19.090000000000003</v>
      </c>
      <c r="K437" t="s">
        <v>2983</v>
      </c>
      <c r="O437" s="363">
        <f t="shared" si="19"/>
        <v>0.19090000000000004</v>
      </c>
      <c r="P437" t="s">
        <v>1863</v>
      </c>
      <c r="T437">
        <v>1</v>
      </c>
      <c r="U437" t="s">
        <v>2869</v>
      </c>
      <c r="V437" t="s">
        <v>2946</v>
      </c>
    </row>
    <row r="438" spans="1:22" x14ac:dyDescent="0.45">
      <c r="A438" t="s">
        <v>2850</v>
      </c>
      <c r="B438" t="s">
        <v>2986</v>
      </c>
      <c r="C438" t="str">
        <f t="shared" si="18"/>
        <v>VC14ET03</v>
      </c>
      <c r="E438" t="s">
        <v>2268</v>
      </c>
      <c r="F438" t="s">
        <v>66</v>
      </c>
      <c r="G438" s="362" t="s">
        <v>253</v>
      </c>
      <c r="H438">
        <v>2016</v>
      </c>
      <c r="I438" s="364">
        <v>30.100593471810082</v>
      </c>
      <c r="K438" t="s">
        <v>2983</v>
      </c>
      <c r="O438" s="363">
        <f t="shared" si="19"/>
        <v>0.30100593471810083</v>
      </c>
      <c r="P438" t="s">
        <v>1863</v>
      </c>
      <c r="T438">
        <v>1</v>
      </c>
      <c r="U438" t="s">
        <v>2871</v>
      </c>
      <c r="V438" t="s">
        <v>805</v>
      </c>
    </row>
    <row r="439" spans="1:22" x14ac:dyDescent="0.45">
      <c r="A439" t="s">
        <v>2850</v>
      </c>
      <c r="B439" t="s">
        <v>2986</v>
      </c>
      <c r="C439" t="str">
        <f t="shared" si="18"/>
        <v>VC14ET04</v>
      </c>
      <c r="E439" t="s">
        <v>2268</v>
      </c>
      <c r="F439" t="s">
        <v>66</v>
      </c>
      <c r="G439" s="362" t="s">
        <v>253</v>
      </c>
      <c r="H439">
        <v>2016</v>
      </c>
      <c r="I439" s="364">
        <v>31.242105263157896</v>
      </c>
      <c r="K439" t="s">
        <v>2983</v>
      </c>
      <c r="O439" s="363">
        <f t="shared" si="19"/>
        <v>0.31242105263157893</v>
      </c>
      <c r="P439" t="s">
        <v>1863</v>
      </c>
      <c r="T439">
        <v>1</v>
      </c>
      <c r="U439" t="s">
        <v>2872</v>
      </c>
      <c r="V439" t="s">
        <v>809</v>
      </c>
    </row>
    <row r="440" spans="1:22" x14ac:dyDescent="0.45">
      <c r="A440" t="s">
        <v>2850</v>
      </c>
      <c r="B440" t="s">
        <v>2986</v>
      </c>
      <c r="C440" t="str">
        <f t="shared" si="18"/>
        <v>VC14ET05</v>
      </c>
      <c r="E440" t="s">
        <v>2268</v>
      </c>
      <c r="F440" t="s">
        <v>66</v>
      </c>
      <c r="G440" s="362" t="s">
        <v>253</v>
      </c>
      <c r="H440">
        <v>2016</v>
      </c>
      <c r="I440" s="364">
        <v>7</v>
      </c>
      <c r="K440" t="s">
        <v>2983</v>
      </c>
      <c r="O440" s="363">
        <f t="shared" si="19"/>
        <v>7.0000000000000007E-2</v>
      </c>
      <c r="P440" t="s">
        <v>1863</v>
      </c>
      <c r="T440">
        <v>1</v>
      </c>
      <c r="U440" t="s">
        <v>2873</v>
      </c>
      <c r="V440" t="s">
        <v>2874</v>
      </c>
    </row>
    <row r="441" spans="1:22" x14ac:dyDescent="0.45">
      <c r="A441" t="s">
        <v>2850</v>
      </c>
      <c r="B441" t="s">
        <v>2986</v>
      </c>
      <c r="C441" t="str">
        <f t="shared" si="18"/>
        <v>VC14ET06</v>
      </c>
      <c r="E441" t="s">
        <v>2268</v>
      </c>
      <c r="F441" t="s">
        <v>66</v>
      </c>
      <c r="G441" s="362" t="s">
        <v>253</v>
      </c>
      <c r="H441">
        <v>2016</v>
      </c>
      <c r="I441" s="364">
        <v>26.369863013698634</v>
      </c>
      <c r="K441" t="s">
        <v>2983</v>
      </c>
      <c r="O441" s="363">
        <f t="shared" si="19"/>
        <v>0.26369863013698636</v>
      </c>
      <c r="P441" t="s">
        <v>1863</v>
      </c>
      <c r="T441">
        <v>1</v>
      </c>
      <c r="U441" t="s">
        <v>2876</v>
      </c>
      <c r="V441" t="s">
        <v>2877</v>
      </c>
    </row>
    <row r="442" spans="1:22" x14ac:dyDescent="0.45">
      <c r="A442" t="s">
        <v>2850</v>
      </c>
      <c r="B442" t="s">
        <v>2986</v>
      </c>
      <c r="C442" t="str">
        <f t="shared" si="18"/>
        <v>VC14ET07</v>
      </c>
      <c r="E442" t="s">
        <v>2268</v>
      </c>
      <c r="F442" t="s">
        <v>66</v>
      </c>
      <c r="G442" s="362" t="s">
        <v>253</v>
      </c>
      <c r="H442">
        <v>2016</v>
      </c>
      <c r="I442" s="364">
        <v>29.795471698113207</v>
      </c>
      <c r="K442" t="s">
        <v>2983</v>
      </c>
      <c r="O442" s="363">
        <f t="shared" si="19"/>
        <v>0.29795471698113207</v>
      </c>
      <c r="P442" t="s">
        <v>1863</v>
      </c>
      <c r="T442">
        <v>1</v>
      </c>
      <c r="U442" t="s">
        <v>2878</v>
      </c>
      <c r="V442" t="s">
        <v>2879</v>
      </c>
    </row>
    <row r="443" spans="1:22" x14ac:dyDescent="0.45">
      <c r="A443" t="s">
        <v>2850</v>
      </c>
      <c r="B443" t="s">
        <v>2986</v>
      </c>
      <c r="C443" t="str">
        <f t="shared" si="18"/>
        <v>VC14ET12</v>
      </c>
      <c r="E443" t="s">
        <v>2268</v>
      </c>
      <c r="F443" t="s">
        <v>66</v>
      </c>
      <c r="G443" s="362" t="s">
        <v>253</v>
      </c>
      <c r="H443">
        <v>2016</v>
      </c>
      <c r="I443" s="364">
        <v>38.618867924528303</v>
      </c>
      <c r="K443" t="s">
        <v>2983</v>
      </c>
      <c r="O443" s="363">
        <f t="shared" si="19"/>
        <v>0.38618867924528305</v>
      </c>
      <c r="P443" t="s">
        <v>1863</v>
      </c>
      <c r="T443">
        <v>1</v>
      </c>
      <c r="U443" t="s">
        <v>2880</v>
      </c>
      <c r="V443" t="s">
        <v>2881</v>
      </c>
    </row>
    <row r="444" spans="1:22" x14ac:dyDescent="0.45">
      <c r="A444" t="s">
        <v>2850</v>
      </c>
      <c r="B444" t="s">
        <v>2986</v>
      </c>
      <c r="C444" t="str">
        <f t="shared" si="18"/>
        <v>VC14ET13</v>
      </c>
      <c r="E444" t="s">
        <v>2268</v>
      </c>
      <c r="F444" t="s">
        <v>66</v>
      </c>
      <c r="G444" s="362" t="s">
        <v>253</v>
      </c>
      <c r="H444">
        <v>2016</v>
      </c>
      <c r="I444" s="364">
        <v>19.567164179104477</v>
      </c>
      <c r="K444" t="s">
        <v>2983</v>
      </c>
      <c r="O444" s="363">
        <f t="shared" si="19"/>
        <v>0.19567164179104476</v>
      </c>
      <c r="P444" t="s">
        <v>1863</v>
      </c>
      <c r="T444">
        <v>1</v>
      </c>
      <c r="U444" t="s">
        <v>2882</v>
      </c>
      <c r="V444" t="s">
        <v>2883</v>
      </c>
    </row>
    <row r="445" spans="1:22" x14ac:dyDescent="0.45">
      <c r="A445" t="s">
        <v>2850</v>
      </c>
      <c r="B445" t="s">
        <v>2986</v>
      </c>
      <c r="C445" t="str">
        <f t="shared" si="18"/>
        <v>VC14ET14</v>
      </c>
      <c r="E445" t="s">
        <v>2268</v>
      </c>
      <c r="F445" t="s">
        <v>66</v>
      </c>
      <c r="G445" s="362" t="s">
        <v>253</v>
      </c>
      <c r="H445">
        <v>2016</v>
      </c>
      <c r="I445" s="364">
        <v>14.517672413793104</v>
      </c>
      <c r="K445" t="s">
        <v>2983</v>
      </c>
      <c r="O445" s="363">
        <f t="shared" si="19"/>
        <v>0.14517672413793103</v>
      </c>
      <c r="P445" t="s">
        <v>1863</v>
      </c>
      <c r="T445">
        <v>1</v>
      </c>
      <c r="U445" t="s">
        <v>2884</v>
      </c>
      <c r="V445" t="s">
        <v>814</v>
      </c>
    </row>
    <row r="446" spans="1:22" x14ac:dyDescent="0.45">
      <c r="A446" t="s">
        <v>2850</v>
      </c>
      <c r="B446" t="s">
        <v>2986</v>
      </c>
      <c r="C446" t="str">
        <f t="shared" si="18"/>
        <v>VC14ET15</v>
      </c>
      <c r="E446" t="s">
        <v>2268</v>
      </c>
      <c r="F446" t="s">
        <v>66</v>
      </c>
      <c r="G446" s="362" t="s">
        <v>253</v>
      </c>
      <c r="H446">
        <v>2016</v>
      </c>
      <c r="I446" s="364">
        <v>14.484574468085105</v>
      </c>
      <c r="K446" t="s">
        <v>2983</v>
      </c>
      <c r="O446" s="363">
        <f t="shared" si="19"/>
        <v>0.14484574468085104</v>
      </c>
      <c r="P446" t="s">
        <v>1863</v>
      </c>
      <c r="T446">
        <v>1</v>
      </c>
      <c r="U446" t="s">
        <v>2885</v>
      </c>
      <c r="V446" t="s">
        <v>2886</v>
      </c>
    </row>
    <row r="447" spans="1:22" x14ac:dyDescent="0.45">
      <c r="A447" t="s">
        <v>2850</v>
      </c>
      <c r="B447" t="s">
        <v>2987</v>
      </c>
      <c r="C447" t="str">
        <f t="shared" si="18"/>
        <v>VC15ET</v>
      </c>
      <c r="D447" t="s">
        <v>2644</v>
      </c>
      <c r="E447" t="s">
        <v>2289</v>
      </c>
      <c r="F447" t="s">
        <v>66</v>
      </c>
      <c r="G447" s="362" t="s">
        <v>253</v>
      </c>
      <c r="H447">
        <v>2016</v>
      </c>
      <c r="I447" s="364">
        <v>11.548192771084338</v>
      </c>
      <c r="K447" t="s">
        <v>2983</v>
      </c>
      <c r="O447" s="363">
        <f>I447/100</f>
        <v>0.11548192771084338</v>
      </c>
      <c r="P447" t="s">
        <v>1863</v>
      </c>
      <c r="T447">
        <v>0</v>
      </c>
      <c r="U447" t="s">
        <v>2849</v>
      </c>
      <c r="V447" t="s">
        <v>594</v>
      </c>
    </row>
    <row r="448" spans="1:22" x14ac:dyDescent="0.45">
      <c r="A448" t="s">
        <v>2850</v>
      </c>
      <c r="B448" t="s">
        <v>2987</v>
      </c>
      <c r="C448" t="str">
        <f t="shared" si="18"/>
        <v>VC15ETU</v>
      </c>
      <c r="E448" t="s">
        <v>2289</v>
      </c>
      <c r="F448" t="s">
        <v>66</v>
      </c>
      <c r="G448" s="362" t="s">
        <v>253</v>
      </c>
      <c r="H448">
        <v>2016</v>
      </c>
      <c r="I448" s="364">
        <v>11.002941176470589</v>
      </c>
      <c r="K448" t="s">
        <v>2983</v>
      </c>
      <c r="O448" s="363">
        <f t="shared" ref="O448:O460" si="20">I448/100</f>
        <v>0.11002941176470589</v>
      </c>
      <c r="P448" t="s">
        <v>1863</v>
      </c>
      <c r="T448">
        <v>0.5</v>
      </c>
      <c r="U448" t="s">
        <v>2867</v>
      </c>
      <c r="V448" t="s">
        <v>336</v>
      </c>
    </row>
    <row r="449" spans="1:22" x14ac:dyDescent="0.45">
      <c r="A449" t="s">
        <v>2850</v>
      </c>
      <c r="B449" t="s">
        <v>2987</v>
      </c>
      <c r="C449" t="str">
        <f t="shared" si="18"/>
        <v>VC15ETR</v>
      </c>
      <c r="E449" t="s">
        <v>2289</v>
      </c>
      <c r="F449" t="s">
        <v>66</v>
      </c>
      <c r="G449" s="362" t="s">
        <v>253</v>
      </c>
      <c r="H449">
        <v>2016</v>
      </c>
      <c r="I449" s="364">
        <v>11.85785123966942</v>
      </c>
      <c r="K449" t="s">
        <v>2983</v>
      </c>
      <c r="O449" s="363">
        <f t="shared" si="20"/>
        <v>0.1185785123966942</v>
      </c>
      <c r="P449" t="s">
        <v>1863</v>
      </c>
      <c r="T449">
        <v>0.5</v>
      </c>
      <c r="U449" t="s">
        <v>2866</v>
      </c>
      <c r="V449" t="s">
        <v>84</v>
      </c>
    </row>
    <row r="450" spans="1:22" x14ac:dyDescent="0.45">
      <c r="A450" t="s">
        <v>2850</v>
      </c>
      <c r="B450" t="s">
        <v>2987</v>
      </c>
      <c r="C450" t="str">
        <f t="shared" si="18"/>
        <v>VC15ET01</v>
      </c>
      <c r="E450" t="s">
        <v>2289</v>
      </c>
      <c r="F450" t="s">
        <v>66</v>
      </c>
      <c r="G450" s="362" t="s">
        <v>253</v>
      </c>
      <c r="H450">
        <v>2016</v>
      </c>
      <c r="I450" s="364">
        <v>12.263673469387756</v>
      </c>
      <c r="K450" t="s">
        <v>2983</v>
      </c>
      <c r="O450" s="363">
        <f t="shared" si="20"/>
        <v>0.12263673469387756</v>
      </c>
      <c r="P450" t="s">
        <v>1863</v>
      </c>
      <c r="T450">
        <v>1</v>
      </c>
      <c r="U450" t="s">
        <v>2868</v>
      </c>
      <c r="V450" t="s">
        <v>806</v>
      </c>
    </row>
    <row r="451" spans="1:22" x14ac:dyDescent="0.45">
      <c r="A451" t="s">
        <v>2850</v>
      </c>
      <c r="B451" t="s">
        <v>2987</v>
      </c>
      <c r="C451" t="str">
        <f t="shared" si="18"/>
        <v>VC15ET02</v>
      </c>
      <c r="E451" t="s">
        <v>2289</v>
      </c>
      <c r="F451" t="s">
        <v>66</v>
      </c>
      <c r="G451" s="362" t="s">
        <v>253</v>
      </c>
      <c r="H451">
        <v>2016</v>
      </c>
      <c r="I451" s="364">
        <v>2.99</v>
      </c>
      <c r="K451" t="s">
        <v>2983</v>
      </c>
      <c r="O451" s="363">
        <f t="shared" si="20"/>
        <v>2.9900000000000003E-2</v>
      </c>
      <c r="P451" t="s">
        <v>1863</v>
      </c>
      <c r="T451">
        <v>1</v>
      </c>
      <c r="U451" t="s">
        <v>2869</v>
      </c>
      <c r="V451" t="s">
        <v>2946</v>
      </c>
    </row>
    <row r="452" spans="1:22" x14ac:dyDescent="0.45">
      <c r="A452" t="s">
        <v>2850</v>
      </c>
      <c r="B452" t="s">
        <v>2987</v>
      </c>
      <c r="C452" t="str">
        <f t="shared" si="18"/>
        <v>VC15ET03</v>
      </c>
      <c r="E452" t="s">
        <v>2289</v>
      </c>
      <c r="F452" t="s">
        <v>66</v>
      </c>
      <c r="G452" s="362" t="s">
        <v>253</v>
      </c>
      <c r="H452">
        <v>2016</v>
      </c>
      <c r="I452" s="364">
        <v>15.254599406528186</v>
      </c>
      <c r="K452" t="s">
        <v>2983</v>
      </c>
      <c r="O452" s="363">
        <f t="shared" si="20"/>
        <v>0.15254599406528185</v>
      </c>
      <c r="P452" t="s">
        <v>1863</v>
      </c>
      <c r="T452">
        <v>1</v>
      </c>
      <c r="U452" t="s">
        <v>2871</v>
      </c>
      <c r="V452" t="s">
        <v>805</v>
      </c>
    </row>
    <row r="453" spans="1:22" x14ac:dyDescent="0.45">
      <c r="A453" t="s">
        <v>2850</v>
      </c>
      <c r="B453" t="s">
        <v>2987</v>
      </c>
      <c r="C453" t="str">
        <f t="shared" si="18"/>
        <v>VC15ET04</v>
      </c>
      <c r="E453" t="s">
        <v>2289</v>
      </c>
      <c r="F453" t="s">
        <v>66</v>
      </c>
      <c r="G453" s="362" t="s">
        <v>253</v>
      </c>
      <c r="H453">
        <v>2016</v>
      </c>
      <c r="I453" s="364">
        <v>10.346411483253588</v>
      </c>
      <c r="K453" t="s">
        <v>2983</v>
      </c>
      <c r="O453" s="363">
        <f t="shared" si="20"/>
        <v>0.10346411483253588</v>
      </c>
      <c r="P453" t="s">
        <v>1863</v>
      </c>
      <c r="T453">
        <v>1</v>
      </c>
      <c r="U453" t="s">
        <v>2872</v>
      </c>
      <c r="V453" t="s">
        <v>809</v>
      </c>
    </row>
    <row r="454" spans="1:22" x14ac:dyDescent="0.45">
      <c r="A454" t="s">
        <v>2850</v>
      </c>
      <c r="B454" t="s">
        <v>2987</v>
      </c>
      <c r="C454" t="str">
        <f t="shared" si="18"/>
        <v>VC15ET05</v>
      </c>
      <c r="E454" t="s">
        <v>2289</v>
      </c>
      <c r="F454" t="s">
        <v>66</v>
      </c>
      <c r="G454" s="362" t="s">
        <v>253</v>
      </c>
      <c r="H454">
        <v>2016</v>
      </c>
      <c r="I454" s="364">
        <v>2</v>
      </c>
      <c r="K454" t="s">
        <v>2983</v>
      </c>
      <c r="O454" s="363">
        <f t="shared" si="20"/>
        <v>0.02</v>
      </c>
      <c r="P454" t="s">
        <v>1863</v>
      </c>
      <c r="T454">
        <v>1</v>
      </c>
      <c r="U454" t="s">
        <v>2873</v>
      </c>
      <c r="V454" t="s">
        <v>2874</v>
      </c>
    </row>
    <row r="455" spans="1:22" x14ac:dyDescent="0.45">
      <c r="A455" t="s">
        <v>2850</v>
      </c>
      <c r="B455" t="s">
        <v>2987</v>
      </c>
      <c r="C455" t="str">
        <f t="shared" si="18"/>
        <v>VC15ET06</v>
      </c>
      <c r="E455" t="s">
        <v>2289</v>
      </c>
      <c r="F455" t="s">
        <v>66</v>
      </c>
      <c r="G455" s="362" t="s">
        <v>253</v>
      </c>
      <c r="H455">
        <v>2016</v>
      </c>
      <c r="I455" s="364">
        <v>10.616438356164386</v>
      </c>
      <c r="K455" t="s">
        <v>2983</v>
      </c>
      <c r="O455" s="363">
        <f t="shared" si="20"/>
        <v>0.10616438356164386</v>
      </c>
      <c r="P455" t="s">
        <v>1863</v>
      </c>
      <c r="T455">
        <v>1</v>
      </c>
      <c r="U455" t="s">
        <v>2876</v>
      </c>
      <c r="V455" t="s">
        <v>2877</v>
      </c>
    </row>
    <row r="456" spans="1:22" x14ac:dyDescent="0.45">
      <c r="A456" t="s">
        <v>2850</v>
      </c>
      <c r="B456" t="s">
        <v>2987</v>
      </c>
      <c r="C456" t="str">
        <f t="shared" si="18"/>
        <v>VC15ET07</v>
      </c>
      <c r="E456" t="s">
        <v>2289</v>
      </c>
      <c r="F456" t="s">
        <v>66</v>
      </c>
      <c r="G456" s="362" t="s">
        <v>253</v>
      </c>
      <c r="H456">
        <v>2016</v>
      </c>
      <c r="I456" s="364">
        <v>9.6758490566037736</v>
      </c>
      <c r="K456" t="s">
        <v>2983</v>
      </c>
      <c r="O456" s="363">
        <f t="shared" si="20"/>
        <v>9.6758490566037733E-2</v>
      </c>
      <c r="P456" t="s">
        <v>1863</v>
      </c>
      <c r="T456">
        <v>1</v>
      </c>
      <c r="U456" t="s">
        <v>2878</v>
      </c>
      <c r="V456" t="s">
        <v>2879</v>
      </c>
    </row>
    <row r="457" spans="1:22" x14ac:dyDescent="0.45">
      <c r="A457" t="s">
        <v>2850</v>
      </c>
      <c r="B457" t="s">
        <v>2987</v>
      </c>
      <c r="C457" t="str">
        <f t="shared" si="18"/>
        <v>VC15ET12</v>
      </c>
      <c r="E457" t="s">
        <v>2289</v>
      </c>
      <c r="F457" t="s">
        <v>66</v>
      </c>
      <c r="G457" s="362" t="s">
        <v>253</v>
      </c>
      <c r="H457">
        <v>2016</v>
      </c>
      <c r="I457" s="364">
        <v>3.0830188679245283</v>
      </c>
      <c r="K457" t="s">
        <v>2983</v>
      </c>
      <c r="O457" s="363">
        <f t="shared" si="20"/>
        <v>3.0830188679245283E-2</v>
      </c>
      <c r="P457" t="s">
        <v>1863</v>
      </c>
      <c r="T457">
        <v>1</v>
      </c>
      <c r="U457" t="s">
        <v>2880</v>
      </c>
      <c r="V457" t="s">
        <v>2881</v>
      </c>
    </row>
    <row r="458" spans="1:22" x14ac:dyDescent="0.45">
      <c r="A458" t="s">
        <v>2850</v>
      </c>
      <c r="B458" t="s">
        <v>2987</v>
      </c>
      <c r="C458" t="str">
        <f t="shared" si="18"/>
        <v>VC15ET13</v>
      </c>
      <c r="E458" t="s">
        <v>2289</v>
      </c>
      <c r="F458" t="s">
        <v>66</v>
      </c>
      <c r="G458" s="362" t="s">
        <v>253</v>
      </c>
      <c r="H458">
        <v>2016</v>
      </c>
      <c r="I458" s="364">
        <v>12.591044776119404</v>
      </c>
      <c r="K458" t="s">
        <v>2983</v>
      </c>
      <c r="O458" s="363">
        <f t="shared" si="20"/>
        <v>0.12591044776119403</v>
      </c>
      <c r="P458" t="s">
        <v>1863</v>
      </c>
      <c r="T458">
        <v>1</v>
      </c>
      <c r="U458" t="s">
        <v>2882</v>
      </c>
      <c r="V458" t="s">
        <v>2883</v>
      </c>
    </row>
    <row r="459" spans="1:22" x14ac:dyDescent="0.45">
      <c r="A459" t="s">
        <v>2850</v>
      </c>
      <c r="B459" t="s">
        <v>2987</v>
      </c>
      <c r="C459" t="str">
        <f t="shared" si="18"/>
        <v>VC15ET14</v>
      </c>
      <c r="E459" t="s">
        <v>2289</v>
      </c>
      <c r="F459" t="s">
        <v>66</v>
      </c>
      <c r="G459" s="362" t="s">
        <v>253</v>
      </c>
      <c r="H459">
        <v>2016</v>
      </c>
      <c r="I459" s="364">
        <v>13.718534482758621</v>
      </c>
      <c r="K459" t="s">
        <v>2983</v>
      </c>
      <c r="O459" s="363">
        <f t="shared" si="20"/>
        <v>0.13718534482758621</v>
      </c>
      <c r="P459" t="s">
        <v>1863</v>
      </c>
      <c r="T459">
        <v>1</v>
      </c>
      <c r="U459" t="s">
        <v>2884</v>
      </c>
      <c r="V459" t="s">
        <v>814</v>
      </c>
    </row>
    <row r="460" spans="1:22" x14ac:dyDescent="0.45">
      <c r="A460" t="s">
        <v>2850</v>
      </c>
      <c r="B460" t="s">
        <v>2987</v>
      </c>
      <c r="C460" t="str">
        <f t="shared" si="18"/>
        <v>VC15ET15</v>
      </c>
      <c r="E460" t="s">
        <v>2289</v>
      </c>
      <c r="F460" t="s">
        <v>66</v>
      </c>
      <c r="G460" s="362" t="s">
        <v>253</v>
      </c>
      <c r="H460">
        <v>2016</v>
      </c>
      <c r="I460" s="364">
        <v>14.98404255319149</v>
      </c>
      <c r="K460" t="s">
        <v>2983</v>
      </c>
      <c r="O460" s="363">
        <f t="shared" si="20"/>
        <v>0.1498404255319149</v>
      </c>
      <c r="P460" t="s">
        <v>1863</v>
      </c>
      <c r="T460">
        <v>1</v>
      </c>
      <c r="U460" t="s">
        <v>2885</v>
      </c>
      <c r="V460" t="s">
        <v>2886</v>
      </c>
    </row>
    <row r="461" spans="1:22" x14ac:dyDescent="0.45">
      <c r="A461" t="s">
        <v>2988</v>
      </c>
      <c r="B461" t="s">
        <v>2989</v>
      </c>
      <c r="C461" t="str">
        <f t="shared" si="18"/>
        <v>VC16ET</v>
      </c>
      <c r="D461" t="s">
        <v>2647</v>
      </c>
      <c r="E461" t="s">
        <v>2270</v>
      </c>
      <c r="F461" t="s">
        <v>66</v>
      </c>
      <c r="G461" s="362" t="s">
        <v>156</v>
      </c>
      <c r="H461">
        <v>2008</v>
      </c>
      <c r="I461" s="364">
        <v>9.6</v>
      </c>
      <c r="J461" s="364"/>
      <c r="K461" t="s">
        <v>2990</v>
      </c>
      <c r="O461" s="363">
        <f>I461/100</f>
        <v>9.6000000000000002E-2</v>
      </c>
      <c r="P461" t="s">
        <v>2195</v>
      </c>
      <c r="T461">
        <v>0</v>
      </c>
      <c r="U461" t="s">
        <v>2849</v>
      </c>
      <c r="V461" t="s">
        <v>594</v>
      </c>
    </row>
    <row r="462" spans="1:22" x14ac:dyDescent="0.45">
      <c r="A462" t="s">
        <v>2991</v>
      </c>
      <c r="B462" t="s">
        <v>2989</v>
      </c>
      <c r="C462" t="str">
        <f t="shared" si="18"/>
        <v>VC16ET</v>
      </c>
      <c r="E462" t="s">
        <v>2992</v>
      </c>
      <c r="F462" t="s">
        <v>66</v>
      </c>
      <c r="G462" s="362" t="s">
        <v>156</v>
      </c>
      <c r="H462">
        <v>2014</v>
      </c>
      <c r="I462" s="364">
        <v>12.61</v>
      </c>
      <c r="J462" s="364"/>
      <c r="K462" t="s">
        <v>2990</v>
      </c>
      <c r="O462" s="363">
        <f t="shared" ref="O462:O473" si="21">I462/100</f>
        <v>0.12609999999999999</v>
      </c>
      <c r="P462" t="s">
        <v>2195</v>
      </c>
      <c r="T462">
        <v>0</v>
      </c>
      <c r="U462" t="s">
        <v>2849</v>
      </c>
      <c r="V462" t="s">
        <v>594</v>
      </c>
    </row>
    <row r="463" spans="1:22" x14ac:dyDescent="0.45">
      <c r="A463" t="s">
        <v>2991</v>
      </c>
      <c r="B463" t="s">
        <v>2989</v>
      </c>
      <c r="C463" t="str">
        <f t="shared" si="18"/>
        <v>VC16ET01</v>
      </c>
      <c r="E463" t="s">
        <v>2992</v>
      </c>
      <c r="F463" t="s">
        <v>66</v>
      </c>
      <c r="G463" s="362" t="s">
        <v>156</v>
      </c>
      <c r="H463">
        <v>2014</v>
      </c>
      <c r="I463" s="364">
        <v>13.89</v>
      </c>
      <c r="J463" s="364"/>
      <c r="K463" t="s">
        <v>2990</v>
      </c>
      <c r="O463" s="363">
        <f t="shared" si="21"/>
        <v>0.1389</v>
      </c>
      <c r="P463" t="s">
        <v>2195</v>
      </c>
      <c r="T463">
        <v>1</v>
      </c>
      <c r="U463" t="s">
        <v>2868</v>
      </c>
      <c r="V463" t="s">
        <v>806</v>
      </c>
    </row>
    <row r="464" spans="1:22" x14ac:dyDescent="0.45">
      <c r="A464" t="s">
        <v>2991</v>
      </c>
      <c r="B464" t="s">
        <v>2989</v>
      </c>
      <c r="C464" t="str">
        <f t="shared" si="18"/>
        <v>VC16ET02</v>
      </c>
      <c r="E464" t="s">
        <v>2992</v>
      </c>
      <c r="F464" t="s">
        <v>66</v>
      </c>
      <c r="G464" s="362" t="s">
        <v>156</v>
      </c>
      <c r="H464">
        <v>2014</v>
      </c>
      <c r="I464" s="364">
        <v>2.4300000000000002</v>
      </c>
      <c r="J464" s="364"/>
      <c r="K464" t="s">
        <v>2990</v>
      </c>
      <c r="O464" s="363">
        <f t="shared" si="21"/>
        <v>2.4300000000000002E-2</v>
      </c>
      <c r="P464" t="s">
        <v>2195</v>
      </c>
      <c r="T464">
        <v>1</v>
      </c>
      <c r="U464" t="s">
        <v>2869</v>
      </c>
      <c r="V464" t="s">
        <v>2946</v>
      </c>
    </row>
    <row r="465" spans="1:22" x14ac:dyDescent="0.45">
      <c r="A465" t="s">
        <v>2991</v>
      </c>
      <c r="B465" t="s">
        <v>2989</v>
      </c>
      <c r="C465" t="str">
        <f t="shared" si="18"/>
        <v>VC16ET03</v>
      </c>
      <c r="E465" t="s">
        <v>2992</v>
      </c>
      <c r="F465" t="s">
        <v>66</v>
      </c>
      <c r="G465" s="362" t="s">
        <v>156</v>
      </c>
      <c r="H465">
        <v>2014</v>
      </c>
      <c r="I465" s="364">
        <v>16.649999999999999</v>
      </c>
      <c r="J465" s="364"/>
      <c r="K465" t="s">
        <v>2990</v>
      </c>
      <c r="O465" s="363">
        <f t="shared" si="21"/>
        <v>0.16649999999999998</v>
      </c>
      <c r="P465" t="s">
        <v>2195</v>
      </c>
      <c r="T465">
        <v>1</v>
      </c>
      <c r="U465" t="s">
        <v>2871</v>
      </c>
      <c r="V465" t="s">
        <v>805</v>
      </c>
    </row>
    <row r="466" spans="1:22" x14ac:dyDescent="0.45">
      <c r="A466" t="s">
        <v>2991</v>
      </c>
      <c r="B466" t="s">
        <v>2989</v>
      </c>
      <c r="C466" t="str">
        <f t="shared" si="18"/>
        <v>VC16ET04</v>
      </c>
      <c r="E466" t="s">
        <v>2992</v>
      </c>
      <c r="F466" t="s">
        <v>66</v>
      </c>
      <c r="G466" s="362" t="s">
        <v>156</v>
      </c>
      <c r="H466">
        <v>2014</v>
      </c>
      <c r="I466" s="364">
        <v>7.35</v>
      </c>
      <c r="J466" s="364"/>
      <c r="K466" t="s">
        <v>2990</v>
      </c>
      <c r="O466" s="363">
        <f t="shared" si="21"/>
        <v>7.3499999999999996E-2</v>
      </c>
      <c r="P466" t="s">
        <v>2195</v>
      </c>
      <c r="T466">
        <v>1</v>
      </c>
      <c r="U466" t="s">
        <v>2872</v>
      </c>
      <c r="V466" t="s">
        <v>809</v>
      </c>
    </row>
    <row r="467" spans="1:22" x14ac:dyDescent="0.45">
      <c r="A467" t="s">
        <v>2991</v>
      </c>
      <c r="B467" t="s">
        <v>2989</v>
      </c>
      <c r="C467" t="str">
        <f t="shared" si="18"/>
        <v>VC16ET05</v>
      </c>
      <c r="E467" t="s">
        <v>2992</v>
      </c>
      <c r="F467" t="s">
        <v>66</v>
      </c>
      <c r="G467" s="362" t="s">
        <v>156</v>
      </c>
      <c r="H467">
        <v>2014</v>
      </c>
      <c r="I467" s="364">
        <v>2.4300000000000002</v>
      </c>
      <c r="J467" s="364"/>
      <c r="K467" t="s">
        <v>2990</v>
      </c>
      <c r="O467" s="363">
        <f t="shared" si="21"/>
        <v>2.4300000000000002E-2</v>
      </c>
      <c r="P467" t="s">
        <v>2195</v>
      </c>
      <c r="T467">
        <v>1</v>
      </c>
      <c r="U467" t="s">
        <v>2873</v>
      </c>
      <c r="V467" t="s">
        <v>2874</v>
      </c>
    </row>
    <row r="468" spans="1:22" x14ac:dyDescent="0.45">
      <c r="A468" t="s">
        <v>2991</v>
      </c>
      <c r="B468" t="s">
        <v>2989</v>
      </c>
      <c r="C468" t="str">
        <f t="shared" si="18"/>
        <v>VC16ET06</v>
      </c>
      <c r="E468" t="s">
        <v>2992</v>
      </c>
      <c r="F468" t="s">
        <v>66</v>
      </c>
      <c r="G468" s="362" t="s">
        <v>156</v>
      </c>
      <c r="H468">
        <v>2014</v>
      </c>
      <c r="I468" s="364">
        <v>2.4300000000000002</v>
      </c>
      <c r="J468" s="364"/>
      <c r="K468" t="s">
        <v>2990</v>
      </c>
      <c r="O468" s="363">
        <f t="shared" si="21"/>
        <v>2.4300000000000002E-2</v>
      </c>
      <c r="P468" t="s">
        <v>2195</v>
      </c>
      <c r="T468">
        <v>1</v>
      </c>
      <c r="U468" t="s">
        <v>2876</v>
      </c>
      <c r="V468" t="s">
        <v>2877</v>
      </c>
    </row>
    <row r="469" spans="1:22" x14ac:dyDescent="0.45">
      <c r="A469" t="s">
        <v>2991</v>
      </c>
      <c r="B469" t="s">
        <v>2989</v>
      </c>
      <c r="C469" t="str">
        <f t="shared" si="18"/>
        <v>VC16ET07</v>
      </c>
      <c r="E469" t="s">
        <v>2992</v>
      </c>
      <c r="F469" t="s">
        <v>66</v>
      </c>
      <c r="G469" s="362" t="s">
        <v>156</v>
      </c>
      <c r="H469">
        <v>2014</v>
      </c>
      <c r="I469" s="364">
        <v>15.76</v>
      </c>
      <c r="J469" s="364"/>
      <c r="K469" t="s">
        <v>2990</v>
      </c>
      <c r="O469" s="363">
        <f t="shared" si="21"/>
        <v>0.15759999999999999</v>
      </c>
      <c r="P469" t="s">
        <v>2195</v>
      </c>
      <c r="T469">
        <v>1</v>
      </c>
      <c r="U469" t="s">
        <v>2878</v>
      </c>
      <c r="V469" t="s">
        <v>2879</v>
      </c>
    </row>
    <row r="470" spans="1:22" x14ac:dyDescent="0.45">
      <c r="A470" t="s">
        <v>2991</v>
      </c>
      <c r="B470" t="s">
        <v>2989</v>
      </c>
      <c r="C470" t="str">
        <f t="shared" si="18"/>
        <v>VC16ET12</v>
      </c>
      <c r="E470" t="s">
        <v>2992</v>
      </c>
      <c r="F470" t="s">
        <v>66</v>
      </c>
      <c r="G470" s="362" t="s">
        <v>156</v>
      </c>
      <c r="H470">
        <v>2014</v>
      </c>
      <c r="I470" s="364">
        <v>2.4300000000000002</v>
      </c>
      <c r="J470" s="364"/>
      <c r="K470" t="s">
        <v>2990</v>
      </c>
      <c r="O470" s="363">
        <f t="shared" si="21"/>
        <v>2.4300000000000002E-2</v>
      </c>
      <c r="P470" t="s">
        <v>2195</v>
      </c>
      <c r="T470">
        <v>1</v>
      </c>
      <c r="U470" t="s">
        <v>2880</v>
      </c>
      <c r="V470" t="s">
        <v>2881</v>
      </c>
    </row>
    <row r="471" spans="1:22" x14ac:dyDescent="0.45">
      <c r="A471" t="s">
        <v>2991</v>
      </c>
      <c r="B471" t="s">
        <v>2989</v>
      </c>
      <c r="C471" t="str">
        <f t="shared" si="18"/>
        <v>VC16ET13</v>
      </c>
      <c r="E471" t="s">
        <v>2992</v>
      </c>
      <c r="F471" t="s">
        <v>66</v>
      </c>
      <c r="G471" s="362" t="s">
        <v>156</v>
      </c>
      <c r="H471">
        <v>2014</v>
      </c>
      <c r="I471" s="364">
        <v>23.09</v>
      </c>
      <c r="J471" s="364"/>
      <c r="K471" t="s">
        <v>2990</v>
      </c>
      <c r="O471" s="363">
        <f t="shared" si="21"/>
        <v>0.23089999999999999</v>
      </c>
      <c r="P471" t="s">
        <v>2195</v>
      </c>
      <c r="T471">
        <v>1</v>
      </c>
      <c r="U471" t="s">
        <v>2882</v>
      </c>
      <c r="V471" t="s">
        <v>2883</v>
      </c>
    </row>
    <row r="472" spans="1:22" x14ac:dyDescent="0.45">
      <c r="A472" t="s">
        <v>2991</v>
      </c>
      <c r="B472" t="s">
        <v>2989</v>
      </c>
      <c r="C472" t="str">
        <f t="shared" si="18"/>
        <v>VC16ET14</v>
      </c>
      <c r="E472" t="s">
        <v>2992</v>
      </c>
      <c r="F472" t="s">
        <v>66</v>
      </c>
      <c r="G472" s="362" t="s">
        <v>156</v>
      </c>
      <c r="H472">
        <v>2014</v>
      </c>
      <c r="I472" s="364">
        <v>32.380000000000003</v>
      </c>
      <c r="J472" s="364"/>
      <c r="K472" t="s">
        <v>2990</v>
      </c>
      <c r="O472" s="363">
        <f t="shared" si="21"/>
        <v>0.32380000000000003</v>
      </c>
      <c r="P472" t="s">
        <v>2195</v>
      </c>
      <c r="T472">
        <v>1</v>
      </c>
      <c r="U472" t="s">
        <v>2884</v>
      </c>
      <c r="V472" t="s">
        <v>814</v>
      </c>
    </row>
    <row r="473" spans="1:22" x14ac:dyDescent="0.45">
      <c r="A473" t="s">
        <v>2991</v>
      </c>
      <c r="B473" t="s">
        <v>2989</v>
      </c>
      <c r="C473" t="str">
        <f t="shared" si="18"/>
        <v>VC16ET15</v>
      </c>
      <c r="E473" t="s">
        <v>2992</v>
      </c>
      <c r="F473" t="s">
        <v>66</v>
      </c>
      <c r="G473" s="362" t="s">
        <v>156</v>
      </c>
      <c r="H473">
        <v>2014</v>
      </c>
      <c r="I473" s="364">
        <v>23.09</v>
      </c>
      <c r="J473" s="364"/>
      <c r="K473" t="s">
        <v>2990</v>
      </c>
      <c r="O473" s="363">
        <f t="shared" si="21"/>
        <v>0.23089999999999999</v>
      </c>
      <c r="P473" t="s">
        <v>2195</v>
      </c>
      <c r="T473">
        <v>1</v>
      </c>
      <c r="U473" t="s">
        <v>2885</v>
      </c>
      <c r="V473" t="s">
        <v>2886</v>
      </c>
    </row>
    <row r="474" spans="1:22" x14ac:dyDescent="0.45">
      <c r="A474" t="s">
        <v>2993</v>
      </c>
      <c r="B474" t="s">
        <v>2994</v>
      </c>
      <c r="C474" t="str">
        <f t="shared" si="18"/>
        <v>VC17ET</v>
      </c>
      <c r="D474" t="s">
        <v>2650</v>
      </c>
      <c r="E474" t="s">
        <v>2273</v>
      </c>
      <c r="F474" t="s">
        <v>2240</v>
      </c>
      <c r="G474" s="362" t="s">
        <v>253</v>
      </c>
      <c r="H474">
        <v>2016</v>
      </c>
      <c r="I474" s="364">
        <v>14</v>
      </c>
      <c r="J474" s="364"/>
      <c r="K474" t="s">
        <v>2995</v>
      </c>
      <c r="O474" s="363">
        <f>I474/100</f>
        <v>0.14000000000000001</v>
      </c>
      <c r="P474" t="s">
        <v>1863</v>
      </c>
      <c r="T474">
        <v>0</v>
      </c>
      <c r="U474" t="s">
        <v>2849</v>
      </c>
      <c r="V474" t="s">
        <v>594</v>
      </c>
    </row>
    <row r="475" spans="1:22" s="369" customFormat="1" x14ac:dyDescent="0.45">
      <c r="A475" s="369" t="s">
        <v>2996</v>
      </c>
      <c r="D475" s="369" t="s">
        <v>2658</v>
      </c>
      <c r="E475" s="369" t="s">
        <v>2281</v>
      </c>
      <c r="F475" s="369" t="s">
        <v>2240</v>
      </c>
      <c r="G475" s="370"/>
      <c r="I475" s="379">
        <v>13.09</v>
      </c>
      <c r="J475" s="379"/>
      <c r="K475" s="369" t="s">
        <v>2997</v>
      </c>
      <c r="O475" s="380">
        <f>I475/100/(49-15)</f>
        <v>3.8499999999999997E-3</v>
      </c>
      <c r="P475" s="369" t="s">
        <v>2195</v>
      </c>
      <c r="Q475" s="377"/>
      <c r="T475" s="369">
        <v>0</v>
      </c>
      <c r="U475" s="369" t="s">
        <v>2849</v>
      </c>
      <c r="V475" s="369" t="s">
        <v>594</v>
      </c>
    </row>
    <row r="476" spans="1:22" x14ac:dyDescent="0.45">
      <c r="A476" t="s">
        <v>2850</v>
      </c>
      <c r="B476" t="s">
        <v>2998</v>
      </c>
      <c r="C476" t="str">
        <f t="shared" si="18"/>
        <v>VC18ET</v>
      </c>
      <c r="D476" t="s">
        <v>2658</v>
      </c>
      <c r="E476" t="s">
        <v>2999</v>
      </c>
      <c r="F476" t="s">
        <v>2240</v>
      </c>
      <c r="G476" s="362" t="s">
        <v>253</v>
      </c>
      <c r="H476">
        <v>2016</v>
      </c>
      <c r="I476" s="364">
        <v>6.5</v>
      </c>
      <c r="J476" s="364"/>
      <c r="K476" t="s">
        <v>2995</v>
      </c>
      <c r="L476" t="s">
        <v>2195</v>
      </c>
      <c r="O476" s="363">
        <f>I476/100</f>
        <v>6.5000000000000002E-2</v>
      </c>
      <c r="P476" t="s">
        <v>2195</v>
      </c>
      <c r="T476">
        <v>0</v>
      </c>
      <c r="U476" t="s">
        <v>2849</v>
      </c>
      <c r="V476" t="s">
        <v>594</v>
      </c>
    </row>
    <row r="477" spans="1:22" x14ac:dyDescent="0.45">
      <c r="A477" t="s">
        <v>2850</v>
      </c>
      <c r="B477" t="s">
        <v>2998</v>
      </c>
      <c r="C477" t="str">
        <f t="shared" si="18"/>
        <v>VC18ETU</v>
      </c>
      <c r="E477" t="s">
        <v>2999</v>
      </c>
      <c r="F477" t="s">
        <v>2240</v>
      </c>
      <c r="G477" s="362" t="s">
        <v>253</v>
      </c>
      <c r="H477">
        <v>2016</v>
      </c>
      <c r="I477" s="364">
        <v>2</v>
      </c>
      <c r="J477" s="364"/>
      <c r="K477" t="s">
        <v>2995</v>
      </c>
      <c r="L477" t="s">
        <v>2195</v>
      </c>
      <c r="O477" s="363">
        <f t="shared" ref="O477:O503" si="22">I477/100</f>
        <v>0.02</v>
      </c>
      <c r="P477" t="s">
        <v>2195</v>
      </c>
      <c r="T477">
        <v>0.5</v>
      </c>
      <c r="U477" t="s">
        <v>2867</v>
      </c>
      <c r="V477" t="s">
        <v>336</v>
      </c>
    </row>
    <row r="478" spans="1:22" x14ac:dyDescent="0.45">
      <c r="A478" t="s">
        <v>2850</v>
      </c>
      <c r="B478" t="s">
        <v>2998</v>
      </c>
      <c r="C478" t="str">
        <f t="shared" si="18"/>
        <v>VC18ETR</v>
      </c>
      <c r="E478" t="s">
        <v>2999</v>
      </c>
      <c r="F478" t="s">
        <v>2240</v>
      </c>
      <c r="G478" s="362" t="s">
        <v>253</v>
      </c>
      <c r="H478">
        <v>2016</v>
      </c>
      <c r="I478" s="364">
        <v>7.7</v>
      </c>
      <c r="J478" s="364"/>
      <c r="K478" t="s">
        <v>2995</v>
      </c>
      <c r="L478" t="s">
        <v>2195</v>
      </c>
      <c r="O478" s="363">
        <f t="shared" si="22"/>
        <v>7.6999999999999999E-2</v>
      </c>
      <c r="P478" t="s">
        <v>2195</v>
      </c>
      <c r="T478">
        <v>0.5</v>
      </c>
      <c r="U478" t="s">
        <v>2866</v>
      </c>
      <c r="V478" t="s">
        <v>84</v>
      </c>
    </row>
    <row r="479" spans="1:22" x14ac:dyDescent="0.45">
      <c r="A479" t="s">
        <v>2850</v>
      </c>
      <c r="B479" t="s">
        <v>2998</v>
      </c>
      <c r="C479" t="str">
        <f t="shared" si="18"/>
        <v>VC18ET01</v>
      </c>
      <c r="E479" t="s">
        <v>2999</v>
      </c>
      <c r="F479" t="s">
        <v>2240</v>
      </c>
      <c r="G479" s="362" t="s">
        <v>253</v>
      </c>
      <c r="H479">
        <v>2016</v>
      </c>
      <c r="I479" s="364">
        <v>6.2</v>
      </c>
      <c r="J479" s="364"/>
      <c r="K479" t="s">
        <v>2995</v>
      </c>
      <c r="L479" t="s">
        <v>2195</v>
      </c>
      <c r="O479" s="363">
        <f t="shared" si="22"/>
        <v>6.2E-2</v>
      </c>
      <c r="P479" t="s">
        <v>2195</v>
      </c>
      <c r="T479">
        <v>1</v>
      </c>
      <c r="U479" t="s">
        <v>2868</v>
      </c>
      <c r="V479" t="s">
        <v>806</v>
      </c>
    </row>
    <row r="480" spans="1:22" x14ac:dyDescent="0.45">
      <c r="A480" t="s">
        <v>2850</v>
      </c>
      <c r="B480" t="s">
        <v>2998</v>
      </c>
      <c r="C480" t="str">
        <f t="shared" si="18"/>
        <v>VC18ET02</v>
      </c>
      <c r="E480" t="s">
        <v>2999</v>
      </c>
      <c r="F480" t="s">
        <v>2240</v>
      </c>
      <c r="G480" s="362" t="s">
        <v>253</v>
      </c>
      <c r="H480">
        <v>2016</v>
      </c>
      <c r="I480" s="364">
        <v>1.4</v>
      </c>
      <c r="J480" s="364"/>
      <c r="K480" t="s">
        <v>2995</v>
      </c>
      <c r="L480" t="s">
        <v>2195</v>
      </c>
      <c r="O480" s="363">
        <f t="shared" si="22"/>
        <v>1.3999999999999999E-2</v>
      </c>
      <c r="P480" t="s">
        <v>2195</v>
      </c>
      <c r="T480">
        <v>1</v>
      </c>
      <c r="U480" t="s">
        <v>2869</v>
      </c>
      <c r="V480" t="s">
        <v>2946</v>
      </c>
    </row>
    <row r="481" spans="1:22" x14ac:dyDescent="0.45">
      <c r="A481" t="s">
        <v>2850</v>
      </c>
      <c r="B481" t="s">
        <v>2998</v>
      </c>
      <c r="C481" t="str">
        <f t="shared" si="18"/>
        <v>VC18ET03</v>
      </c>
      <c r="E481" t="s">
        <v>2999</v>
      </c>
      <c r="F481" t="s">
        <v>2240</v>
      </c>
      <c r="G481" s="362" t="s">
        <v>253</v>
      </c>
      <c r="H481">
        <v>2016</v>
      </c>
      <c r="I481" s="364">
        <v>6.9</v>
      </c>
      <c r="J481" s="364"/>
      <c r="K481" t="s">
        <v>2995</v>
      </c>
      <c r="L481" t="s">
        <v>2195</v>
      </c>
      <c r="O481" s="363">
        <f t="shared" si="22"/>
        <v>6.9000000000000006E-2</v>
      </c>
      <c r="P481" t="s">
        <v>2195</v>
      </c>
      <c r="T481">
        <v>1</v>
      </c>
      <c r="U481" t="s">
        <v>2871</v>
      </c>
      <c r="V481" t="s">
        <v>805</v>
      </c>
    </row>
    <row r="482" spans="1:22" x14ac:dyDescent="0.45">
      <c r="A482" t="s">
        <v>2850</v>
      </c>
      <c r="B482" t="s">
        <v>2998</v>
      </c>
      <c r="C482" t="str">
        <f t="shared" si="18"/>
        <v>VC18ET04</v>
      </c>
      <c r="E482" t="s">
        <v>2999</v>
      </c>
      <c r="F482" t="s">
        <v>2240</v>
      </c>
      <c r="G482" s="362" t="s">
        <v>253</v>
      </c>
      <c r="H482">
        <v>2016</v>
      </c>
      <c r="I482" s="364">
        <v>9.4</v>
      </c>
      <c r="J482" s="364"/>
      <c r="K482" t="s">
        <v>2995</v>
      </c>
      <c r="L482" t="s">
        <v>2195</v>
      </c>
      <c r="O482" s="363">
        <f t="shared" si="22"/>
        <v>9.4E-2</v>
      </c>
      <c r="P482" t="s">
        <v>2195</v>
      </c>
      <c r="T482">
        <v>1</v>
      </c>
      <c r="U482" t="s">
        <v>2872</v>
      </c>
      <c r="V482" t="s">
        <v>809</v>
      </c>
    </row>
    <row r="483" spans="1:22" x14ac:dyDescent="0.45">
      <c r="A483" t="s">
        <v>2850</v>
      </c>
      <c r="B483" t="s">
        <v>2998</v>
      </c>
      <c r="C483" t="str">
        <f t="shared" si="18"/>
        <v>VC18ET05</v>
      </c>
      <c r="E483" t="s">
        <v>2999</v>
      </c>
      <c r="F483" t="s">
        <v>2240</v>
      </c>
      <c r="G483" s="362" t="s">
        <v>253</v>
      </c>
      <c r="H483">
        <v>2016</v>
      </c>
      <c r="I483" s="364">
        <v>0.3</v>
      </c>
      <c r="J483" s="364"/>
      <c r="K483" t="s">
        <v>2995</v>
      </c>
      <c r="L483" t="s">
        <v>2195</v>
      </c>
      <c r="O483" s="363">
        <f t="shared" si="22"/>
        <v>3.0000000000000001E-3</v>
      </c>
      <c r="P483" t="s">
        <v>2195</v>
      </c>
      <c r="T483">
        <v>1</v>
      </c>
      <c r="U483" t="s">
        <v>2873</v>
      </c>
      <c r="V483" t="s">
        <v>2874</v>
      </c>
    </row>
    <row r="484" spans="1:22" x14ac:dyDescent="0.45">
      <c r="A484" t="s">
        <v>2850</v>
      </c>
      <c r="B484" t="s">
        <v>2998</v>
      </c>
      <c r="C484" t="str">
        <f t="shared" si="18"/>
        <v>VC18ET06</v>
      </c>
      <c r="E484" t="s">
        <v>2999</v>
      </c>
      <c r="F484" t="s">
        <v>2240</v>
      </c>
      <c r="G484" s="362" t="s">
        <v>253</v>
      </c>
      <c r="H484">
        <v>2016</v>
      </c>
      <c r="I484" s="364">
        <v>4.5999999999999996</v>
      </c>
      <c r="J484" s="364"/>
      <c r="K484" t="s">
        <v>2995</v>
      </c>
      <c r="L484" t="s">
        <v>2195</v>
      </c>
      <c r="O484" s="363">
        <f t="shared" si="22"/>
        <v>4.5999999999999999E-2</v>
      </c>
      <c r="P484" t="s">
        <v>2195</v>
      </c>
      <c r="T484">
        <v>1</v>
      </c>
      <c r="U484" t="s">
        <v>2876</v>
      </c>
      <c r="V484" t="s">
        <v>2877</v>
      </c>
    </row>
    <row r="485" spans="1:22" ht="13.05" customHeight="1" x14ac:dyDescent="0.45">
      <c r="A485" t="s">
        <v>2850</v>
      </c>
      <c r="B485" t="s">
        <v>2998</v>
      </c>
      <c r="C485" t="str">
        <f t="shared" si="18"/>
        <v>VC18ET07</v>
      </c>
      <c r="E485" t="s">
        <v>2999</v>
      </c>
      <c r="F485" t="s">
        <v>2240</v>
      </c>
      <c r="G485" s="362" t="s">
        <v>253</v>
      </c>
      <c r="H485">
        <v>2016</v>
      </c>
      <c r="I485" s="364">
        <v>3.7</v>
      </c>
      <c r="J485" s="364"/>
      <c r="K485" t="s">
        <v>2995</v>
      </c>
      <c r="L485" t="s">
        <v>2195</v>
      </c>
      <c r="O485" s="363">
        <f t="shared" si="22"/>
        <v>3.7000000000000005E-2</v>
      </c>
      <c r="P485" t="s">
        <v>2195</v>
      </c>
      <c r="T485">
        <v>1</v>
      </c>
      <c r="U485" t="s">
        <v>2878</v>
      </c>
      <c r="V485" t="s">
        <v>2879</v>
      </c>
    </row>
    <row r="486" spans="1:22" ht="13.05" customHeight="1" x14ac:dyDescent="0.45">
      <c r="A486" t="s">
        <v>2850</v>
      </c>
      <c r="B486" t="s">
        <v>2998</v>
      </c>
      <c r="C486" t="str">
        <f t="shared" si="18"/>
        <v>VC18ET12</v>
      </c>
      <c r="E486" t="s">
        <v>2999</v>
      </c>
      <c r="F486" t="s">
        <v>2240</v>
      </c>
      <c r="G486" s="362" t="s">
        <v>253</v>
      </c>
      <c r="H486">
        <v>2016</v>
      </c>
      <c r="I486" s="364">
        <v>7.3</v>
      </c>
      <c r="J486" s="364"/>
      <c r="K486" t="s">
        <v>2995</v>
      </c>
      <c r="L486" t="s">
        <v>2195</v>
      </c>
      <c r="O486" s="363">
        <f t="shared" si="22"/>
        <v>7.2999999999999995E-2</v>
      </c>
      <c r="P486" t="s">
        <v>2195</v>
      </c>
      <c r="T486">
        <v>1</v>
      </c>
      <c r="U486" t="s">
        <v>2880</v>
      </c>
      <c r="V486" t="s">
        <v>2881</v>
      </c>
    </row>
    <row r="487" spans="1:22" ht="13.05" customHeight="1" x14ac:dyDescent="0.45">
      <c r="A487" t="s">
        <v>2850</v>
      </c>
      <c r="B487" t="s">
        <v>2998</v>
      </c>
      <c r="C487" t="str">
        <f t="shared" si="18"/>
        <v>VC18ET13</v>
      </c>
      <c r="E487" t="s">
        <v>2999</v>
      </c>
      <c r="F487" t="s">
        <v>2240</v>
      </c>
      <c r="G487" s="362" t="s">
        <v>253</v>
      </c>
      <c r="H487">
        <v>2016</v>
      </c>
      <c r="I487" s="364">
        <v>2.6</v>
      </c>
      <c r="J487" s="364"/>
      <c r="K487" t="s">
        <v>2995</v>
      </c>
      <c r="L487" t="s">
        <v>2195</v>
      </c>
      <c r="O487" s="363">
        <f t="shared" si="22"/>
        <v>2.6000000000000002E-2</v>
      </c>
      <c r="P487" t="s">
        <v>2195</v>
      </c>
      <c r="T487">
        <v>1</v>
      </c>
      <c r="U487" t="s">
        <v>2882</v>
      </c>
      <c r="V487" t="s">
        <v>2883</v>
      </c>
    </row>
    <row r="488" spans="1:22" ht="13.05" customHeight="1" x14ac:dyDescent="0.45">
      <c r="A488" t="s">
        <v>2850</v>
      </c>
      <c r="B488" t="s">
        <v>2998</v>
      </c>
      <c r="C488" t="str">
        <f t="shared" ref="C488:C512" si="23">_xlfn.CONCAT(B488,U488)</f>
        <v>VC18ET14</v>
      </c>
      <c r="E488" t="s">
        <v>2999</v>
      </c>
      <c r="F488" t="s">
        <v>2240</v>
      </c>
      <c r="G488" s="362" t="s">
        <v>253</v>
      </c>
      <c r="H488">
        <v>2016</v>
      </c>
      <c r="I488" s="364">
        <v>1.4</v>
      </c>
      <c r="J488" s="364"/>
      <c r="K488" t="s">
        <v>2995</v>
      </c>
      <c r="L488" t="s">
        <v>2195</v>
      </c>
      <c r="O488" s="363">
        <f t="shared" si="22"/>
        <v>1.3999999999999999E-2</v>
      </c>
      <c r="P488" t="s">
        <v>2195</v>
      </c>
      <c r="T488">
        <v>1</v>
      </c>
      <c r="U488" t="s">
        <v>2884</v>
      </c>
      <c r="V488" t="s">
        <v>814</v>
      </c>
    </row>
    <row r="489" spans="1:22" ht="13.05" customHeight="1" x14ac:dyDescent="0.45">
      <c r="A489" t="s">
        <v>2850</v>
      </c>
      <c r="B489" t="s">
        <v>2998</v>
      </c>
      <c r="C489" t="str">
        <f t="shared" si="23"/>
        <v>VC18ET15</v>
      </c>
      <c r="E489" t="s">
        <v>2999</v>
      </c>
      <c r="F489" t="s">
        <v>2240</v>
      </c>
      <c r="G489" s="362" t="s">
        <v>253</v>
      </c>
      <c r="H489">
        <v>2016</v>
      </c>
      <c r="I489" s="364">
        <v>3.5</v>
      </c>
      <c r="J489" s="364"/>
      <c r="K489" t="s">
        <v>2995</v>
      </c>
      <c r="L489" t="s">
        <v>2195</v>
      </c>
      <c r="O489" s="363">
        <f t="shared" si="22"/>
        <v>3.5000000000000003E-2</v>
      </c>
      <c r="P489" t="s">
        <v>2195</v>
      </c>
      <c r="T489">
        <v>1</v>
      </c>
      <c r="U489" t="s">
        <v>2885</v>
      </c>
      <c r="V489" t="s">
        <v>2886</v>
      </c>
    </row>
    <row r="490" spans="1:22" ht="13.05" customHeight="1" x14ac:dyDescent="0.45">
      <c r="A490" t="s">
        <v>2850</v>
      </c>
      <c r="B490" t="s">
        <v>3000</v>
      </c>
      <c r="C490" t="str">
        <f t="shared" si="23"/>
        <v>VC19ET</v>
      </c>
      <c r="D490" t="s">
        <v>2660</v>
      </c>
      <c r="E490" t="s">
        <v>3001</v>
      </c>
      <c r="F490" t="s">
        <v>2240</v>
      </c>
      <c r="G490" s="362" t="s">
        <v>253</v>
      </c>
      <c r="H490">
        <v>2016</v>
      </c>
      <c r="I490" s="364">
        <v>14.8</v>
      </c>
      <c r="J490" s="364"/>
      <c r="K490" t="s">
        <v>2995</v>
      </c>
      <c r="L490" t="s">
        <v>2195</v>
      </c>
      <c r="O490" s="363">
        <f t="shared" si="22"/>
        <v>0.14800000000000002</v>
      </c>
      <c r="P490" t="s">
        <v>2195</v>
      </c>
      <c r="T490">
        <v>0</v>
      </c>
      <c r="U490" t="s">
        <v>2849</v>
      </c>
      <c r="V490" t="s">
        <v>594</v>
      </c>
    </row>
    <row r="491" spans="1:22" ht="13.05" customHeight="1" x14ac:dyDescent="0.45">
      <c r="A491" t="s">
        <v>2850</v>
      </c>
      <c r="B491" t="s">
        <v>3000</v>
      </c>
      <c r="C491" t="str">
        <f t="shared" si="23"/>
        <v>VC19ETU</v>
      </c>
      <c r="E491" t="s">
        <v>3001</v>
      </c>
      <c r="F491" t="s">
        <v>2240</v>
      </c>
      <c r="G491" s="362" t="s">
        <v>253</v>
      </c>
      <c r="H491">
        <v>2016</v>
      </c>
      <c r="I491" s="364">
        <v>10.6</v>
      </c>
      <c r="J491" s="364"/>
      <c r="K491" t="s">
        <v>2995</v>
      </c>
      <c r="L491" t="s">
        <v>2195</v>
      </c>
      <c r="O491" s="363">
        <f t="shared" si="22"/>
        <v>0.106</v>
      </c>
      <c r="P491" t="s">
        <v>2195</v>
      </c>
      <c r="T491">
        <v>0.5</v>
      </c>
      <c r="U491" t="s">
        <v>2867</v>
      </c>
      <c r="V491" t="s">
        <v>336</v>
      </c>
    </row>
    <row r="492" spans="1:22" ht="13.05" customHeight="1" x14ac:dyDescent="0.45">
      <c r="A492" t="s">
        <v>2850</v>
      </c>
      <c r="B492" t="s">
        <v>3000</v>
      </c>
      <c r="C492" t="str">
        <f t="shared" si="23"/>
        <v>VC19ETR</v>
      </c>
      <c r="E492" t="s">
        <v>3001</v>
      </c>
      <c r="F492" t="s">
        <v>2240</v>
      </c>
      <c r="G492" s="362" t="s">
        <v>253</v>
      </c>
      <c r="H492">
        <v>2016</v>
      </c>
      <c r="I492" s="364">
        <v>16</v>
      </c>
      <c r="J492" s="364"/>
      <c r="K492" t="s">
        <v>2995</v>
      </c>
      <c r="L492" t="s">
        <v>2195</v>
      </c>
      <c r="O492" s="363">
        <f t="shared" si="22"/>
        <v>0.16</v>
      </c>
      <c r="P492" t="s">
        <v>2195</v>
      </c>
      <c r="T492">
        <v>0.5</v>
      </c>
      <c r="U492" t="s">
        <v>2866</v>
      </c>
      <c r="V492" t="s">
        <v>84</v>
      </c>
    </row>
    <row r="493" spans="1:22" ht="13.05" customHeight="1" x14ac:dyDescent="0.45">
      <c r="A493" t="s">
        <v>2850</v>
      </c>
      <c r="B493" t="s">
        <v>3000</v>
      </c>
      <c r="C493" t="str">
        <f t="shared" si="23"/>
        <v>VC19ET01</v>
      </c>
      <c r="E493" t="s">
        <v>3001</v>
      </c>
      <c r="F493" t="s">
        <v>2240</v>
      </c>
      <c r="G493" s="362" t="s">
        <v>253</v>
      </c>
      <c r="H493">
        <v>2016</v>
      </c>
      <c r="I493" s="364">
        <v>10.8</v>
      </c>
      <c r="J493" s="364"/>
      <c r="K493" t="s">
        <v>2995</v>
      </c>
      <c r="L493" t="s">
        <v>2195</v>
      </c>
      <c r="O493" s="363">
        <f t="shared" si="22"/>
        <v>0.10800000000000001</v>
      </c>
      <c r="P493" t="s">
        <v>2195</v>
      </c>
      <c r="T493">
        <v>1</v>
      </c>
      <c r="U493" t="s">
        <v>2868</v>
      </c>
      <c r="V493" t="s">
        <v>806</v>
      </c>
    </row>
    <row r="494" spans="1:22" ht="13.05" customHeight="1" x14ac:dyDescent="0.45">
      <c r="A494" t="s">
        <v>2850</v>
      </c>
      <c r="B494" t="s">
        <v>3000</v>
      </c>
      <c r="C494" t="str">
        <f t="shared" si="23"/>
        <v>VC19ET02</v>
      </c>
      <c r="E494" t="s">
        <v>3001</v>
      </c>
      <c r="F494" t="s">
        <v>2240</v>
      </c>
      <c r="G494" s="362" t="s">
        <v>253</v>
      </c>
      <c r="H494">
        <v>2016</v>
      </c>
      <c r="I494" s="364">
        <v>6</v>
      </c>
      <c r="J494" s="364"/>
      <c r="K494" t="s">
        <v>2995</v>
      </c>
      <c r="L494" t="s">
        <v>2195</v>
      </c>
      <c r="O494" s="363">
        <f t="shared" si="22"/>
        <v>0.06</v>
      </c>
      <c r="P494" t="s">
        <v>2195</v>
      </c>
      <c r="T494">
        <v>1</v>
      </c>
      <c r="U494" t="s">
        <v>2869</v>
      </c>
      <c r="V494" t="s">
        <v>2946</v>
      </c>
    </row>
    <row r="495" spans="1:22" ht="13.05" customHeight="1" x14ac:dyDescent="0.45">
      <c r="A495" t="s">
        <v>2850</v>
      </c>
      <c r="B495" t="s">
        <v>3000</v>
      </c>
      <c r="C495" t="str">
        <f t="shared" si="23"/>
        <v>VC19ET03</v>
      </c>
      <c r="E495" t="s">
        <v>3001</v>
      </c>
      <c r="F495" t="s">
        <v>2240</v>
      </c>
      <c r="G495" s="362" t="s">
        <v>253</v>
      </c>
      <c r="H495">
        <v>2016</v>
      </c>
      <c r="I495" s="364">
        <v>13.4</v>
      </c>
      <c r="J495" s="364"/>
      <c r="K495" t="s">
        <v>2995</v>
      </c>
      <c r="L495" t="s">
        <v>2195</v>
      </c>
      <c r="O495" s="363">
        <f t="shared" si="22"/>
        <v>0.13400000000000001</v>
      </c>
      <c r="P495" t="s">
        <v>2195</v>
      </c>
      <c r="T495">
        <v>1</v>
      </c>
      <c r="U495" t="s">
        <v>2871</v>
      </c>
      <c r="V495" t="s">
        <v>805</v>
      </c>
    </row>
    <row r="496" spans="1:22" ht="13.05" customHeight="1" x14ac:dyDescent="0.45">
      <c r="A496" t="s">
        <v>2850</v>
      </c>
      <c r="B496" t="s">
        <v>3000</v>
      </c>
      <c r="C496" t="str">
        <f t="shared" si="23"/>
        <v>VC19ET04</v>
      </c>
      <c r="E496" t="s">
        <v>3001</v>
      </c>
      <c r="F496" t="s">
        <v>2240</v>
      </c>
      <c r="G496" s="362" t="s">
        <v>253</v>
      </c>
      <c r="H496">
        <v>2016</v>
      </c>
      <c r="I496" s="364">
        <v>20.2</v>
      </c>
      <c r="J496" s="364"/>
      <c r="K496" t="s">
        <v>2995</v>
      </c>
      <c r="L496" t="s">
        <v>2195</v>
      </c>
      <c r="O496" s="363">
        <f t="shared" si="22"/>
        <v>0.20199999999999999</v>
      </c>
      <c r="P496" t="s">
        <v>2195</v>
      </c>
      <c r="T496">
        <v>1</v>
      </c>
      <c r="U496" t="s">
        <v>2872</v>
      </c>
      <c r="V496" t="s">
        <v>809</v>
      </c>
    </row>
    <row r="497" spans="1:22" ht="13.05" customHeight="1" x14ac:dyDescent="0.45">
      <c r="A497" t="s">
        <v>2850</v>
      </c>
      <c r="B497" t="s">
        <v>3000</v>
      </c>
      <c r="C497" t="str">
        <f t="shared" si="23"/>
        <v>VC19ET05</v>
      </c>
      <c r="E497" t="s">
        <v>3001</v>
      </c>
      <c r="F497" t="s">
        <v>2240</v>
      </c>
      <c r="G497" s="362" t="s">
        <v>253</v>
      </c>
      <c r="H497">
        <v>2016</v>
      </c>
      <c r="I497" s="364">
        <v>4.5999999999999996</v>
      </c>
      <c r="J497" s="364"/>
      <c r="K497" t="s">
        <v>2995</v>
      </c>
      <c r="L497" t="s">
        <v>2195</v>
      </c>
      <c r="O497" s="363">
        <f t="shared" si="22"/>
        <v>4.5999999999999999E-2</v>
      </c>
      <c r="P497" t="s">
        <v>2195</v>
      </c>
      <c r="T497">
        <v>1</v>
      </c>
      <c r="U497" t="s">
        <v>2873</v>
      </c>
      <c r="V497" t="s">
        <v>2874</v>
      </c>
    </row>
    <row r="498" spans="1:22" ht="13.05" customHeight="1" x14ac:dyDescent="0.45">
      <c r="A498" t="s">
        <v>2850</v>
      </c>
      <c r="B498" t="s">
        <v>3000</v>
      </c>
      <c r="C498" t="str">
        <f t="shared" si="23"/>
        <v>VC19ET06</v>
      </c>
      <c r="E498" t="s">
        <v>3001</v>
      </c>
      <c r="F498" t="s">
        <v>2240</v>
      </c>
      <c r="G498" s="362" t="s">
        <v>253</v>
      </c>
      <c r="H498">
        <v>2016</v>
      </c>
      <c r="I498" s="364">
        <v>12.5</v>
      </c>
      <c r="J498" s="364"/>
      <c r="K498" t="s">
        <v>2995</v>
      </c>
      <c r="L498" t="s">
        <v>2195</v>
      </c>
      <c r="O498" s="363">
        <f t="shared" si="22"/>
        <v>0.125</v>
      </c>
      <c r="P498" t="s">
        <v>2195</v>
      </c>
      <c r="T498">
        <v>1</v>
      </c>
      <c r="U498" t="s">
        <v>2876</v>
      </c>
      <c r="V498" t="s">
        <v>2877</v>
      </c>
    </row>
    <row r="499" spans="1:22" ht="13.05" customHeight="1" x14ac:dyDescent="0.45">
      <c r="A499" t="s">
        <v>2850</v>
      </c>
      <c r="B499" t="s">
        <v>3000</v>
      </c>
      <c r="C499" t="str">
        <f t="shared" si="23"/>
        <v>VC19ET07</v>
      </c>
      <c r="E499" t="s">
        <v>3001</v>
      </c>
      <c r="F499" t="s">
        <v>2240</v>
      </c>
      <c r="G499" s="362" t="s">
        <v>253</v>
      </c>
      <c r="H499">
        <v>2016</v>
      </c>
      <c r="I499" s="364">
        <v>11.4</v>
      </c>
      <c r="J499" s="364"/>
      <c r="K499" t="s">
        <v>2995</v>
      </c>
      <c r="L499" t="s">
        <v>2195</v>
      </c>
      <c r="O499" s="363">
        <f t="shared" si="22"/>
        <v>0.114</v>
      </c>
      <c r="P499" t="s">
        <v>2195</v>
      </c>
      <c r="T499">
        <v>1</v>
      </c>
      <c r="U499" t="s">
        <v>2878</v>
      </c>
      <c r="V499" t="s">
        <v>2879</v>
      </c>
    </row>
    <row r="500" spans="1:22" ht="13.05" customHeight="1" x14ac:dyDescent="0.45">
      <c r="A500" t="s">
        <v>2850</v>
      </c>
      <c r="B500" t="s">
        <v>3000</v>
      </c>
      <c r="C500" t="str">
        <f t="shared" si="23"/>
        <v>VC19ET12</v>
      </c>
      <c r="E500" t="s">
        <v>3001</v>
      </c>
      <c r="F500" t="s">
        <v>2240</v>
      </c>
      <c r="G500" s="362" t="s">
        <v>253</v>
      </c>
      <c r="H500">
        <v>2016</v>
      </c>
      <c r="I500" s="364">
        <v>18.899999999999999</v>
      </c>
      <c r="J500" s="364"/>
      <c r="K500" t="s">
        <v>2995</v>
      </c>
      <c r="L500" t="s">
        <v>2195</v>
      </c>
      <c r="O500" s="363">
        <f t="shared" si="22"/>
        <v>0.18899999999999997</v>
      </c>
      <c r="P500" t="s">
        <v>2195</v>
      </c>
      <c r="T500">
        <v>1</v>
      </c>
      <c r="U500" t="s">
        <v>2880</v>
      </c>
      <c r="V500" t="s">
        <v>2881</v>
      </c>
    </row>
    <row r="501" spans="1:22" ht="13.05" customHeight="1" x14ac:dyDescent="0.45">
      <c r="A501" t="s">
        <v>2850</v>
      </c>
      <c r="B501" t="s">
        <v>3000</v>
      </c>
      <c r="C501" t="str">
        <f t="shared" si="23"/>
        <v>VC19ET13</v>
      </c>
      <c r="E501" t="s">
        <v>3001</v>
      </c>
      <c r="F501" t="s">
        <v>2240</v>
      </c>
      <c r="G501" s="362" t="s">
        <v>253</v>
      </c>
      <c r="H501">
        <v>2016</v>
      </c>
      <c r="I501" s="364">
        <v>19.899999999999999</v>
      </c>
      <c r="J501" s="364"/>
      <c r="K501" t="s">
        <v>2995</v>
      </c>
      <c r="L501" t="s">
        <v>2195</v>
      </c>
      <c r="O501" s="363">
        <f t="shared" si="22"/>
        <v>0.19899999999999998</v>
      </c>
      <c r="P501" t="s">
        <v>2195</v>
      </c>
      <c r="T501">
        <v>1</v>
      </c>
      <c r="U501" t="s">
        <v>2882</v>
      </c>
      <c r="V501" t="s">
        <v>2883</v>
      </c>
    </row>
    <row r="502" spans="1:22" ht="13.05" customHeight="1" x14ac:dyDescent="0.45">
      <c r="A502" t="s">
        <v>2850</v>
      </c>
      <c r="B502" t="s">
        <v>3000</v>
      </c>
      <c r="C502" t="str">
        <f t="shared" si="23"/>
        <v>VC19ET14</v>
      </c>
      <c r="E502" t="s">
        <v>3001</v>
      </c>
      <c r="F502" t="s">
        <v>2240</v>
      </c>
      <c r="G502" s="362" t="s">
        <v>253</v>
      </c>
      <c r="H502">
        <v>2016</v>
      </c>
      <c r="I502" s="364">
        <v>10.199999999999999</v>
      </c>
      <c r="J502" s="364"/>
      <c r="K502" t="s">
        <v>2995</v>
      </c>
      <c r="L502" t="s">
        <v>2195</v>
      </c>
      <c r="O502" s="363">
        <f t="shared" si="22"/>
        <v>0.10199999999999999</v>
      </c>
      <c r="P502" t="s">
        <v>2195</v>
      </c>
      <c r="T502">
        <v>1</v>
      </c>
      <c r="U502" t="s">
        <v>2884</v>
      </c>
      <c r="V502" t="s">
        <v>814</v>
      </c>
    </row>
    <row r="503" spans="1:22" ht="13.05" customHeight="1" x14ac:dyDescent="0.45">
      <c r="A503" t="s">
        <v>2850</v>
      </c>
      <c r="B503" t="s">
        <v>3000</v>
      </c>
      <c r="C503" t="str">
        <f t="shared" si="23"/>
        <v>VC19ET15</v>
      </c>
      <c r="E503" t="s">
        <v>3001</v>
      </c>
      <c r="F503" t="s">
        <v>2240</v>
      </c>
      <c r="G503" s="362" t="s">
        <v>253</v>
      </c>
      <c r="H503">
        <v>2016</v>
      </c>
      <c r="I503" s="364">
        <v>11</v>
      </c>
      <c r="J503" s="364"/>
      <c r="K503" t="s">
        <v>2995</v>
      </c>
      <c r="L503" t="s">
        <v>2195</v>
      </c>
      <c r="O503" s="363">
        <f t="shared" si="22"/>
        <v>0.11</v>
      </c>
      <c r="P503" t="s">
        <v>2195</v>
      </c>
      <c r="T503">
        <v>1</v>
      </c>
      <c r="U503" t="s">
        <v>2885</v>
      </c>
      <c r="V503" t="s">
        <v>2886</v>
      </c>
    </row>
    <row r="504" spans="1:22" s="369" customFormat="1" x14ac:dyDescent="0.45">
      <c r="A504" s="369" t="s">
        <v>2996</v>
      </c>
      <c r="D504" s="369" t="s">
        <v>2662</v>
      </c>
      <c r="E504" s="369" t="s">
        <v>2284</v>
      </c>
      <c r="F504" s="369" t="s">
        <v>2240</v>
      </c>
      <c r="G504" s="370"/>
      <c r="I504" s="379">
        <v>37.020000000000003</v>
      </c>
      <c r="J504" s="379"/>
      <c r="P504" s="369" t="s">
        <v>2909</v>
      </c>
      <c r="Q504" s="377"/>
      <c r="T504" s="369">
        <v>0</v>
      </c>
      <c r="U504" s="369" t="s">
        <v>2849</v>
      </c>
      <c r="V504" s="369" t="s">
        <v>594</v>
      </c>
    </row>
    <row r="505" spans="1:22" x14ac:dyDescent="0.45">
      <c r="A505" t="s">
        <v>3002</v>
      </c>
      <c r="B505" t="s">
        <v>3003</v>
      </c>
      <c r="C505" t="str">
        <f t="shared" si="23"/>
        <v>VC20ET</v>
      </c>
      <c r="D505" t="s">
        <v>2671</v>
      </c>
      <c r="E505" t="s">
        <v>3004</v>
      </c>
      <c r="F505" t="s">
        <v>70</v>
      </c>
      <c r="G505" s="362" t="s">
        <v>156</v>
      </c>
      <c r="H505" t="s">
        <v>3005</v>
      </c>
      <c r="I505" s="364">
        <v>29.07</v>
      </c>
      <c r="J505" s="364"/>
      <c r="K505" t="s">
        <v>2899</v>
      </c>
      <c r="O505" s="363">
        <f>I505/100</f>
        <v>0.29070000000000001</v>
      </c>
      <c r="P505" t="s">
        <v>2909</v>
      </c>
      <c r="T505">
        <v>0</v>
      </c>
      <c r="U505" t="s">
        <v>2849</v>
      </c>
      <c r="V505" t="s">
        <v>594</v>
      </c>
    </row>
    <row r="506" spans="1:22" x14ac:dyDescent="0.45">
      <c r="A506" t="s">
        <v>3002</v>
      </c>
      <c r="B506" t="s">
        <v>3003</v>
      </c>
      <c r="C506" t="str">
        <f t="shared" si="23"/>
        <v>VC20ET04</v>
      </c>
      <c r="E506" t="s">
        <v>3004</v>
      </c>
      <c r="F506" t="s">
        <v>70</v>
      </c>
      <c r="G506" s="362" t="s">
        <v>156</v>
      </c>
      <c r="H506" t="s">
        <v>3005</v>
      </c>
      <c r="I506" s="364">
        <v>30.4</v>
      </c>
      <c r="J506" s="364"/>
      <c r="K506" t="s">
        <v>2899</v>
      </c>
      <c r="O506" s="363">
        <f t="shared" ref="O506:O512" si="24">I506/100</f>
        <v>0.30399999999999999</v>
      </c>
      <c r="P506" t="s">
        <v>2909</v>
      </c>
      <c r="T506">
        <v>1</v>
      </c>
      <c r="U506" t="s">
        <v>2872</v>
      </c>
      <c r="V506" t="s">
        <v>809</v>
      </c>
    </row>
    <row r="507" spans="1:22" x14ac:dyDescent="0.45">
      <c r="A507" t="s">
        <v>3002</v>
      </c>
      <c r="B507" t="s">
        <v>3003</v>
      </c>
      <c r="C507" t="str">
        <f t="shared" si="23"/>
        <v>VC20ET03</v>
      </c>
      <c r="E507" t="s">
        <v>3004</v>
      </c>
      <c r="F507" t="s">
        <v>70</v>
      </c>
      <c r="G507" s="362" t="s">
        <v>156</v>
      </c>
      <c r="H507" t="s">
        <v>3006</v>
      </c>
      <c r="I507" s="364">
        <v>25.9</v>
      </c>
      <c r="J507" s="364"/>
      <c r="K507" t="s">
        <v>2899</v>
      </c>
      <c r="O507" s="363">
        <f t="shared" si="24"/>
        <v>0.25900000000000001</v>
      </c>
      <c r="P507" t="s">
        <v>2909</v>
      </c>
      <c r="T507">
        <v>1</v>
      </c>
      <c r="U507" t="s">
        <v>2871</v>
      </c>
      <c r="V507" t="s">
        <v>805</v>
      </c>
    </row>
    <row r="508" spans="1:22" x14ac:dyDescent="0.45">
      <c r="A508" t="s">
        <v>3002</v>
      </c>
      <c r="B508" t="s">
        <v>3003</v>
      </c>
      <c r="C508" t="str">
        <f t="shared" si="23"/>
        <v>VC20ET07</v>
      </c>
      <c r="E508" t="s">
        <v>3004</v>
      </c>
      <c r="F508" t="s">
        <v>70</v>
      </c>
      <c r="G508" s="362" t="s">
        <v>156</v>
      </c>
      <c r="H508" t="s">
        <v>3005</v>
      </c>
      <c r="I508" s="364">
        <v>33.9</v>
      </c>
      <c r="J508" s="364"/>
      <c r="K508" t="s">
        <v>2899</v>
      </c>
      <c r="O508" s="363">
        <f t="shared" si="24"/>
        <v>0.33899999999999997</v>
      </c>
      <c r="P508" t="s">
        <v>2909</v>
      </c>
      <c r="T508">
        <v>1</v>
      </c>
      <c r="U508" t="s">
        <v>2878</v>
      </c>
      <c r="V508" t="s">
        <v>2879</v>
      </c>
    </row>
    <row r="509" spans="1:22" x14ac:dyDescent="0.45">
      <c r="A509" t="s">
        <v>3002</v>
      </c>
      <c r="B509" t="s">
        <v>3003</v>
      </c>
      <c r="C509" t="str">
        <f t="shared" si="23"/>
        <v>VC20ET01</v>
      </c>
      <c r="E509" t="s">
        <v>3004</v>
      </c>
      <c r="F509" t="s">
        <v>70</v>
      </c>
      <c r="G509" s="362" t="s">
        <v>156</v>
      </c>
      <c r="H509">
        <v>2019</v>
      </c>
      <c r="I509" s="364">
        <v>22.3</v>
      </c>
      <c r="J509" s="364"/>
      <c r="K509" t="s">
        <v>2899</v>
      </c>
      <c r="O509" s="363">
        <f t="shared" si="24"/>
        <v>0.223</v>
      </c>
      <c r="P509" t="s">
        <v>1863</v>
      </c>
      <c r="T509">
        <v>1</v>
      </c>
      <c r="U509" t="s">
        <v>2868</v>
      </c>
      <c r="V509" t="s">
        <v>806</v>
      </c>
    </row>
    <row r="510" spans="1:22" x14ac:dyDescent="0.45">
      <c r="A510" t="s">
        <v>3002</v>
      </c>
      <c r="B510" t="s">
        <v>3003</v>
      </c>
      <c r="C510" t="str">
        <f t="shared" si="23"/>
        <v>VC20ET12</v>
      </c>
      <c r="E510" t="s">
        <v>3004</v>
      </c>
      <c r="F510" t="s">
        <v>70</v>
      </c>
      <c r="G510" s="362" t="s">
        <v>156</v>
      </c>
      <c r="H510">
        <v>2018</v>
      </c>
      <c r="I510" s="364">
        <v>28.6</v>
      </c>
      <c r="J510" s="364"/>
      <c r="K510" t="s">
        <v>2899</v>
      </c>
      <c r="O510" s="363">
        <f t="shared" si="24"/>
        <v>0.28600000000000003</v>
      </c>
      <c r="P510" t="s">
        <v>1863</v>
      </c>
      <c r="T510">
        <v>1</v>
      </c>
      <c r="U510" t="s">
        <v>2880</v>
      </c>
      <c r="V510" t="s">
        <v>2881</v>
      </c>
    </row>
    <row r="511" spans="1:22" x14ac:dyDescent="0.45">
      <c r="A511" t="s">
        <v>3002</v>
      </c>
      <c r="B511" t="s">
        <v>3003</v>
      </c>
      <c r="C511" t="str">
        <f t="shared" si="23"/>
        <v>VC20ET15</v>
      </c>
      <c r="E511" t="s">
        <v>3004</v>
      </c>
      <c r="F511" t="s">
        <v>70</v>
      </c>
      <c r="G511" s="362" t="s">
        <v>156</v>
      </c>
      <c r="H511">
        <v>2018</v>
      </c>
      <c r="I511" s="364">
        <v>18.2</v>
      </c>
      <c r="J511" s="364"/>
      <c r="K511" t="s">
        <v>2899</v>
      </c>
      <c r="O511" s="363">
        <f t="shared" si="24"/>
        <v>0.182</v>
      </c>
      <c r="P511" t="s">
        <v>1863</v>
      </c>
      <c r="T511">
        <v>1</v>
      </c>
      <c r="U511" t="s">
        <v>2885</v>
      </c>
      <c r="V511" t="s">
        <v>2886</v>
      </c>
    </row>
    <row r="512" spans="1:22" x14ac:dyDescent="0.45">
      <c r="A512" t="s">
        <v>3002</v>
      </c>
      <c r="B512" t="s">
        <v>3003</v>
      </c>
      <c r="C512" t="str">
        <f t="shared" si="23"/>
        <v>VC20ET05</v>
      </c>
      <c r="E512" t="s">
        <v>3004</v>
      </c>
      <c r="F512" t="s">
        <v>70</v>
      </c>
      <c r="G512" s="362" t="s">
        <v>156</v>
      </c>
      <c r="H512">
        <v>2016</v>
      </c>
      <c r="I512" s="364">
        <v>18.899999999999999</v>
      </c>
      <c r="J512" s="364"/>
      <c r="K512" t="s">
        <v>2899</v>
      </c>
      <c r="O512" s="363">
        <f t="shared" si="24"/>
        <v>0.18899999999999997</v>
      </c>
      <c r="P512" t="s">
        <v>1863</v>
      </c>
      <c r="T512">
        <v>1</v>
      </c>
      <c r="U512" t="s">
        <v>2873</v>
      </c>
      <c r="V512" t="s">
        <v>2874</v>
      </c>
    </row>
    <row r="513" spans="1:22" x14ac:dyDescent="0.45">
      <c r="A513" t="s">
        <v>2850</v>
      </c>
      <c r="E513" t="s">
        <v>3007</v>
      </c>
      <c r="F513" t="s">
        <v>70</v>
      </c>
      <c r="G513" s="362" t="s">
        <v>2542</v>
      </c>
      <c r="H513">
        <v>2016</v>
      </c>
      <c r="I513" s="364">
        <v>22.4</v>
      </c>
      <c r="J513" s="364"/>
      <c r="L513" t="s">
        <v>1863</v>
      </c>
      <c r="Q513" s="364">
        <f>(I513/I514)^(1/(H513-H514))</f>
        <v>0.96404908699434666</v>
      </c>
      <c r="T513">
        <v>0</v>
      </c>
      <c r="U513" t="s">
        <v>2849</v>
      </c>
      <c r="V513" t="s">
        <v>594</v>
      </c>
    </row>
    <row r="514" spans="1:22" x14ac:dyDescent="0.45">
      <c r="A514" t="s">
        <v>2850</v>
      </c>
      <c r="E514" t="s">
        <v>3007</v>
      </c>
      <c r="F514" t="s">
        <v>70</v>
      </c>
      <c r="G514" s="362" t="s">
        <v>2542</v>
      </c>
      <c r="H514">
        <v>2011</v>
      </c>
      <c r="I514" s="364">
        <v>26.9</v>
      </c>
      <c r="J514" s="364"/>
      <c r="L514" t="s">
        <v>1863</v>
      </c>
      <c r="T514">
        <v>0</v>
      </c>
      <c r="U514" t="s">
        <v>2849</v>
      </c>
      <c r="V514" t="s">
        <v>594</v>
      </c>
    </row>
    <row r="515" spans="1:22" x14ac:dyDescent="0.45">
      <c r="A515" t="s">
        <v>2850</v>
      </c>
      <c r="E515" t="s">
        <v>3007</v>
      </c>
      <c r="F515" t="s">
        <v>70</v>
      </c>
      <c r="G515" s="362" t="s">
        <v>2542</v>
      </c>
      <c r="H515">
        <v>2016</v>
      </c>
      <c r="I515" s="364">
        <v>24.7</v>
      </c>
      <c r="J515" s="364"/>
      <c r="L515" t="s">
        <v>1863</v>
      </c>
      <c r="Q515" s="364">
        <f>(I515/I516)^(1/(H515-H516))</f>
        <v>0.96774468069513997</v>
      </c>
      <c r="T515">
        <v>0.5</v>
      </c>
      <c r="U515" t="s">
        <v>2866</v>
      </c>
      <c r="V515" t="s">
        <v>84</v>
      </c>
    </row>
    <row r="516" spans="1:22" x14ac:dyDescent="0.45">
      <c r="A516" t="s">
        <v>2850</v>
      </c>
      <c r="E516" t="s">
        <v>3007</v>
      </c>
      <c r="F516" t="s">
        <v>70</v>
      </c>
      <c r="G516" s="362" t="s">
        <v>2542</v>
      </c>
      <c r="H516">
        <v>2011</v>
      </c>
      <c r="I516" s="364">
        <v>29.1</v>
      </c>
      <c r="J516" s="364"/>
      <c r="L516" t="s">
        <v>1863</v>
      </c>
      <c r="T516">
        <v>0.5</v>
      </c>
      <c r="U516" t="s">
        <v>2866</v>
      </c>
      <c r="V516" t="s">
        <v>84</v>
      </c>
    </row>
    <row r="517" spans="1:22" x14ac:dyDescent="0.45">
      <c r="A517" t="s">
        <v>2850</v>
      </c>
      <c r="E517" t="s">
        <v>3007</v>
      </c>
      <c r="F517" t="s">
        <v>70</v>
      </c>
      <c r="G517" s="362" t="s">
        <v>2542</v>
      </c>
      <c r="H517">
        <v>2016</v>
      </c>
      <c r="I517" s="364">
        <v>14.8</v>
      </c>
      <c r="J517" s="364"/>
      <c r="L517" t="s">
        <v>1863</v>
      </c>
      <c r="Q517" s="364">
        <f>(I517/I518)^(1/(H517-H518))</f>
        <v>0.94061766709094929</v>
      </c>
      <c r="T517">
        <v>0.5</v>
      </c>
      <c r="U517" t="s">
        <v>2867</v>
      </c>
      <c r="V517" t="s">
        <v>336</v>
      </c>
    </row>
    <row r="518" spans="1:22" x14ac:dyDescent="0.45">
      <c r="A518" t="s">
        <v>2850</v>
      </c>
      <c r="E518" t="s">
        <v>3007</v>
      </c>
      <c r="F518" t="s">
        <v>70</v>
      </c>
      <c r="G518" s="362" t="s">
        <v>2542</v>
      </c>
      <c r="H518">
        <v>2011</v>
      </c>
      <c r="I518" s="364">
        <v>20.100000000000001</v>
      </c>
      <c r="J518" s="364"/>
      <c r="L518" t="s">
        <v>1863</v>
      </c>
      <c r="T518">
        <v>0.5</v>
      </c>
      <c r="U518" t="s">
        <v>2867</v>
      </c>
      <c r="V518" t="s">
        <v>336</v>
      </c>
    </row>
    <row r="519" spans="1:22" x14ac:dyDescent="0.45">
      <c r="A519" t="s">
        <v>2850</v>
      </c>
      <c r="E519" t="s">
        <v>3007</v>
      </c>
      <c r="F519" t="s">
        <v>70</v>
      </c>
      <c r="G519" s="362" t="s">
        <v>2542</v>
      </c>
      <c r="H519">
        <v>2016</v>
      </c>
      <c r="I519" s="364">
        <v>34</v>
      </c>
      <c r="J519" s="364"/>
      <c r="L519" t="s">
        <v>1863</v>
      </c>
      <c r="Q519" s="364">
        <f>(I519/I520)^(1/(H519-H520))</f>
        <v>0.9680187850024814</v>
      </c>
      <c r="T519">
        <v>1</v>
      </c>
      <c r="U519" t="s">
        <v>2868</v>
      </c>
      <c r="V519" t="s">
        <v>806</v>
      </c>
    </row>
    <row r="520" spans="1:22" x14ac:dyDescent="0.45">
      <c r="A520" t="s">
        <v>2850</v>
      </c>
      <c r="E520" t="s">
        <v>3007</v>
      </c>
      <c r="F520" t="s">
        <v>70</v>
      </c>
      <c r="G520" s="362" t="s">
        <v>2542</v>
      </c>
      <c r="H520">
        <v>2011</v>
      </c>
      <c r="I520" s="364">
        <v>40</v>
      </c>
      <c r="J520" s="364"/>
      <c r="L520" t="s">
        <v>1863</v>
      </c>
      <c r="T520">
        <v>1</v>
      </c>
      <c r="U520" t="s">
        <v>2868</v>
      </c>
      <c r="V520" t="s">
        <v>806</v>
      </c>
    </row>
    <row r="521" spans="1:22" x14ac:dyDescent="0.45">
      <c r="A521" t="s">
        <v>2850</v>
      </c>
      <c r="E521" t="s">
        <v>3007</v>
      </c>
      <c r="F521" t="s">
        <v>70</v>
      </c>
      <c r="G521" s="362" t="s">
        <v>2542</v>
      </c>
      <c r="H521">
        <v>2016</v>
      </c>
      <c r="I521" s="364">
        <v>39.1</v>
      </c>
      <c r="J521" s="364"/>
      <c r="L521" t="s">
        <v>1863</v>
      </c>
      <c r="Q521" s="364">
        <f>(I521/I522)^(1/(H521-H522))</f>
        <v>0.97889813274424442</v>
      </c>
      <c r="T521">
        <v>1</v>
      </c>
      <c r="U521" t="s">
        <v>2869</v>
      </c>
      <c r="V521" t="s">
        <v>2946</v>
      </c>
    </row>
    <row r="522" spans="1:22" x14ac:dyDescent="0.45">
      <c r="A522" t="s">
        <v>2850</v>
      </c>
      <c r="E522" t="s">
        <v>3007</v>
      </c>
      <c r="F522" t="s">
        <v>70</v>
      </c>
      <c r="G522" s="362" t="s">
        <v>2542</v>
      </c>
      <c r="H522">
        <v>2011</v>
      </c>
      <c r="I522" s="364">
        <v>43.5</v>
      </c>
      <c r="J522" s="364"/>
      <c r="L522" t="s">
        <v>1863</v>
      </c>
      <c r="T522">
        <v>1</v>
      </c>
      <c r="U522" t="s">
        <v>2869</v>
      </c>
      <c r="V522" t="s">
        <v>2946</v>
      </c>
    </row>
    <row r="523" spans="1:22" x14ac:dyDescent="0.45">
      <c r="A523" t="s">
        <v>2850</v>
      </c>
      <c r="E523" t="s">
        <v>3007</v>
      </c>
      <c r="F523" t="s">
        <v>70</v>
      </c>
      <c r="G523" s="362" t="s">
        <v>2542</v>
      </c>
      <c r="H523">
        <v>2016</v>
      </c>
      <c r="I523" s="364">
        <v>22.9</v>
      </c>
      <c r="J523" s="364"/>
      <c r="L523" t="s">
        <v>1863</v>
      </c>
      <c r="Q523" s="364">
        <f>(I523/I524)^(1/(H523-H524))</f>
        <v>0.94868895339494175</v>
      </c>
      <c r="T523">
        <v>1</v>
      </c>
      <c r="U523" t="s">
        <v>2871</v>
      </c>
      <c r="V523" t="s">
        <v>805</v>
      </c>
    </row>
    <row r="524" spans="1:22" x14ac:dyDescent="0.45">
      <c r="A524" t="s">
        <v>2850</v>
      </c>
      <c r="E524" t="s">
        <v>3007</v>
      </c>
      <c r="F524" t="s">
        <v>70</v>
      </c>
      <c r="G524" s="362" t="s">
        <v>2542</v>
      </c>
      <c r="H524">
        <v>2011</v>
      </c>
      <c r="I524" s="364">
        <v>29.8</v>
      </c>
      <c r="J524" s="364"/>
      <c r="L524" t="s">
        <v>1863</v>
      </c>
      <c r="T524">
        <v>1</v>
      </c>
      <c r="U524" t="s">
        <v>2871</v>
      </c>
      <c r="V524" t="s">
        <v>805</v>
      </c>
    </row>
    <row r="525" spans="1:22" x14ac:dyDescent="0.45">
      <c r="A525" t="s">
        <v>2850</v>
      </c>
      <c r="E525" t="s">
        <v>3007</v>
      </c>
      <c r="F525" t="s">
        <v>70</v>
      </c>
      <c r="G525" s="362" t="s">
        <v>2542</v>
      </c>
      <c r="H525">
        <v>2016</v>
      </c>
      <c r="I525" s="364">
        <v>24.7</v>
      </c>
      <c r="J525" s="364"/>
      <c r="L525" t="s">
        <v>1863</v>
      </c>
      <c r="Q525" s="364">
        <f>(I525/I526)^(1/(H525-H526))</f>
        <v>0.98308016715489566</v>
      </c>
      <c r="T525">
        <v>1</v>
      </c>
      <c r="U525" t="s">
        <v>2872</v>
      </c>
      <c r="V525" t="s">
        <v>809</v>
      </c>
    </row>
    <row r="526" spans="1:22" x14ac:dyDescent="0.45">
      <c r="A526" t="s">
        <v>2850</v>
      </c>
      <c r="E526" t="s">
        <v>3007</v>
      </c>
      <c r="F526" t="s">
        <v>70</v>
      </c>
      <c r="G526" s="362" t="s">
        <v>2542</v>
      </c>
      <c r="H526">
        <v>2011</v>
      </c>
      <c r="I526" s="364">
        <v>26.9</v>
      </c>
      <c r="J526" s="364"/>
      <c r="L526" t="s">
        <v>1863</v>
      </c>
      <c r="T526">
        <v>1</v>
      </c>
      <c r="U526" t="s">
        <v>2872</v>
      </c>
      <c r="V526" t="s">
        <v>809</v>
      </c>
    </row>
    <row r="527" spans="1:22" x14ac:dyDescent="0.45">
      <c r="A527" t="s">
        <v>2850</v>
      </c>
      <c r="E527" t="s">
        <v>3007</v>
      </c>
      <c r="F527" t="s">
        <v>70</v>
      </c>
      <c r="G527" s="362" t="s">
        <v>2542</v>
      </c>
      <c r="H527">
        <v>2016</v>
      </c>
      <c r="I527" s="364">
        <v>31.2</v>
      </c>
      <c r="J527" s="364"/>
      <c r="L527" t="s">
        <v>1863</v>
      </c>
      <c r="Q527" s="364">
        <f>(I527/I528)^(1/(H527-H528))</f>
        <v>0.99065256482025776</v>
      </c>
      <c r="T527">
        <v>1</v>
      </c>
      <c r="U527" t="s">
        <v>2873</v>
      </c>
      <c r="V527" t="s">
        <v>2874</v>
      </c>
    </row>
    <row r="528" spans="1:22" x14ac:dyDescent="0.45">
      <c r="A528" t="s">
        <v>2850</v>
      </c>
      <c r="E528" t="s">
        <v>3007</v>
      </c>
      <c r="F528" t="s">
        <v>70</v>
      </c>
      <c r="G528" s="362" t="s">
        <v>2542</v>
      </c>
      <c r="H528">
        <v>2011</v>
      </c>
      <c r="I528" s="364">
        <v>32.700000000000003</v>
      </c>
      <c r="J528" s="364"/>
      <c r="L528" t="s">
        <v>1863</v>
      </c>
      <c r="T528">
        <v>1</v>
      </c>
      <c r="U528" t="s">
        <v>2873</v>
      </c>
      <c r="V528" t="s">
        <v>2874</v>
      </c>
    </row>
    <row r="529" spans="1:22" x14ac:dyDescent="0.45">
      <c r="A529" t="s">
        <v>2850</v>
      </c>
      <c r="E529" t="s">
        <v>3007</v>
      </c>
      <c r="F529" t="s">
        <v>70</v>
      </c>
      <c r="G529" s="362" t="s">
        <v>2542</v>
      </c>
      <c r="H529">
        <v>2016</v>
      </c>
      <c r="I529" s="364">
        <v>20.100000000000001</v>
      </c>
      <c r="J529" s="364"/>
      <c r="L529" t="s">
        <v>1863</v>
      </c>
      <c r="Q529" s="364">
        <f>(I529/I530)^(1/(H529-H530))</f>
        <v>0.93719562443164539</v>
      </c>
      <c r="T529">
        <v>1</v>
      </c>
      <c r="U529" t="s">
        <v>2876</v>
      </c>
      <c r="V529" t="s">
        <v>2877</v>
      </c>
    </row>
    <row r="530" spans="1:22" x14ac:dyDescent="0.45">
      <c r="A530" t="s">
        <v>2850</v>
      </c>
      <c r="E530" t="s">
        <v>3007</v>
      </c>
      <c r="F530" t="s">
        <v>70</v>
      </c>
      <c r="G530" s="362" t="s">
        <v>2542</v>
      </c>
      <c r="H530">
        <v>2011</v>
      </c>
      <c r="I530" s="364">
        <v>27.8</v>
      </c>
      <c r="J530" s="364"/>
      <c r="L530" t="s">
        <v>1863</v>
      </c>
      <c r="T530">
        <v>1</v>
      </c>
      <c r="U530" t="s">
        <v>2876</v>
      </c>
      <c r="V530" t="s">
        <v>2877</v>
      </c>
    </row>
    <row r="531" spans="1:22" x14ac:dyDescent="0.45">
      <c r="A531" t="s">
        <v>2850</v>
      </c>
      <c r="E531" t="s">
        <v>3007</v>
      </c>
      <c r="F531" t="s">
        <v>70</v>
      </c>
      <c r="G531" s="362" t="s">
        <v>2542</v>
      </c>
      <c r="H531">
        <v>2016</v>
      </c>
      <c r="I531" s="364">
        <v>14.9</v>
      </c>
      <c r="J531" s="364"/>
      <c r="L531" t="s">
        <v>1863</v>
      </c>
      <c r="Q531" s="364">
        <f>(I531/I532)^(1/(H531-H532))</f>
        <v>0.9400220612117699</v>
      </c>
      <c r="T531">
        <v>1</v>
      </c>
      <c r="U531" t="s">
        <v>2878</v>
      </c>
      <c r="V531" t="s">
        <v>2879</v>
      </c>
    </row>
    <row r="532" spans="1:22" x14ac:dyDescent="0.45">
      <c r="A532" t="s">
        <v>2850</v>
      </c>
      <c r="E532" t="s">
        <v>3007</v>
      </c>
      <c r="F532" t="s">
        <v>70</v>
      </c>
      <c r="G532" s="362" t="s">
        <v>2542</v>
      </c>
      <c r="H532">
        <v>2011</v>
      </c>
      <c r="I532" s="364">
        <v>20.3</v>
      </c>
      <c r="J532" s="364"/>
      <c r="L532" t="s">
        <v>1863</v>
      </c>
      <c r="T532">
        <v>1</v>
      </c>
      <c r="U532" t="s">
        <v>2878</v>
      </c>
      <c r="V532" t="s">
        <v>2879</v>
      </c>
    </row>
    <row r="533" spans="1:22" x14ac:dyDescent="0.45">
      <c r="A533" t="s">
        <v>2850</v>
      </c>
      <c r="E533" t="s">
        <v>3007</v>
      </c>
      <c r="F533" t="s">
        <v>70</v>
      </c>
      <c r="G533" s="362" t="s">
        <v>2542</v>
      </c>
      <c r="H533">
        <v>2016</v>
      </c>
      <c r="I533" s="364">
        <v>31.8</v>
      </c>
      <c r="J533" s="364"/>
      <c r="L533" t="s">
        <v>1863</v>
      </c>
      <c r="Q533" s="364">
        <f>(I533/I534)^(1/(H533-H534))</f>
        <v>1.0051088228182226</v>
      </c>
      <c r="T533">
        <v>1</v>
      </c>
      <c r="U533" t="s">
        <v>2880</v>
      </c>
      <c r="V533" t="s">
        <v>2881</v>
      </c>
    </row>
    <row r="534" spans="1:22" x14ac:dyDescent="0.45">
      <c r="A534" t="s">
        <v>2850</v>
      </c>
      <c r="E534" t="s">
        <v>3007</v>
      </c>
      <c r="F534" t="s">
        <v>70</v>
      </c>
      <c r="G534" s="362" t="s">
        <v>2542</v>
      </c>
      <c r="H534">
        <v>2011</v>
      </c>
      <c r="I534" s="364">
        <v>31</v>
      </c>
      <c r="J534" s="364"/>
      <c r="L534" t="s">
        <v>1863</v>
      </c>
      <c r="T534">
        <v>1</v>
      </c>
      <c r="U534" t="s">
        <v>2880</v>
      </c>
      <c r="V534" t="s">
        <v>2881</v>
      </c>
    </row>
    <row r="535" spans="1:22" x14ac:dyDescent="0.45">
      <c r="A535" t="s">
        <v>2850</v>
      </c>
      <c r="E535" t="s">
        <v>3007</v>
      </c>
      <c r="F535" t="s">
        <v>70</v>
      </c>
      <c r="G535" s="362" t="s">
        <v>2542</v>
      </c>
      <c r="H535">
        <v>2016</v>
      </c>
      <c r="I535" s="364">
        <v>21</v>
      </c>
      <c r="J535" s="364"/>
      <c r="L535" t="s">
        <v>1863</v>
      </c>
      <c r="Q535" s="364">
        <f>(I535/I536)^(1/(H535-H536))</f>
        <v>0.98984092145867864</v>
      </c>
      <c r="T535">
        <v>1</v>
      </c>
      <c r="U535" t="s">
        <v>2882</v>
      </c>
      <c r="V535" t="s">
        <v>2883</v>
      </c>
    </row>
    <row r="536" spans="1:22" x14ac:dyDescent="0.45">
      <c r="A536" t="s">
        <v>2850</v>
      </c>
      <c r="E536" t="s">
        <v>3007</v>
      </c>
      <c r="F536" t="s">
        <v>70</v>
      </c>
      <c r="G536" s="362" t="s">
        <v>2542</v>
      </c>
      <c r="H536">
        <v>2011</v>
      </c>
      <c r="I536" s="364">
        <v>22.1</v>
      </c>
      <c r="J536" s="364"/>
      <c r="L536" t="s">
        <v>1863</v>
      </c>
      <c r="T536">
        <v>1</v>
      </c>
      <c r="U536" t="s">
        <v>2882</v>
      </c>
      <c r="V536" t="s">
        <v>2883</v>
      </c>
    </row>
    <row r="537" spans="1:22" x14ac:dyDescent="0.45">
      <c r="A537" t="s">
        <v>2850</v>
      </c>
      <c r="E537" t="s">
        <v>3007</v>
      </c>
      <c r="F537" t="s">
        <v>70</v>
      </c>
      <c r="G537" s="362" t="s">
        <v>2542</v>
      </c>
      <c r="H537">
        <v>2016</v>
      </c>
      <c r="I537" s="364">
        <v>13.4</v>
      </c>
      <c r="J537" s="364"/>
      <c r="L537" t="s">
        <v>1863</v>
      </c>
      <c r="Q537" s="364">
        <f>(I537/I538)^(1/(H537-H538))</f>
        <v>0.98570840843707364</v>
      </c>
      <c r="T537">
        <v>1</v>
      </c>
      <c r="U537" t="s">
        <v>2884</v>
      </c>
      <c r="V537" t="s">
        <v>814</v>
      </c>
    </row>
    <row r="538" spans="1:22" x14ac:dyDescent="0.45">
      <c r="A538" t="s">
        <v>2850</v>
      </c>
      <c r="E538" t="s">
        <v>3007</v>
      </c>
      <c r="F538" t="s">
        <v>70</v>
      </c>
      <c r="G538" s="362" t="s">
        <v>2542</v>
      </c>
      <c r="H538">
        <v>2011</v>
      </c>
      <c r="I538" s="364">
        <v>14.4</v>
      </c>
      <c r="J538" s="364"/>
      <c r="L538" t="s">
        <v>1863</v>
      </c>
      <c r="T538">
        <v>1</v>
      </c>
      <c r="U538" t="s">
        <v>2884</v>
      </c>
      <c r="V538" t="s">
        <v>814</v>
      </c>
    </row>
    <row r="539" spans="1:22" x14ac:dyDescent="0.45">
      <c r="A539" t="s">
        <v>2850</v>
      </c>
      <c r="E539" t="s">
        <v>3007</v>
      </c>
      <c r="F539" t="s">
        <v>70</v>
      </c>
      <c r="G539" s="362" t="s">
        <v>2542</v>
      </c>
      <c r="H539">
        <v>2016</v>
      </c>
      <c r="I539" s="364">
        <v>22.1</v>
      </c>
      <c r="J539" s="364"/>
      <c r="L539" t="s">
        <v>1863</v>
      </c>
      <c r="Q539" s="364">
        <f>(I539/I540)^(1/(H539-H540))</f>
        <v>0.97642431410188335</v>
      </c>
      <c r="T539">
        <v>1</v>
      </c>
      <c r="U539" t="s">
        <v>2885</v>
      </c>
      <c r="V539" t="s">
        <v>2886</v>
      </c>
    </row>
    <row r="540" spans="1:22" x14ac:dyDescent="0.45">
      <c r="A540" t="s">
        <v>2850</v>
      </c>
      <c r="E540" t="s">
        <v>3007</v>
      </c>
      <c r="F540" t="s">
        <v>70</v>
      </c>
      <c r="G540" s="362" t="s">
        <v>2542</v>
      </c>
      <c r="H540">
        <v>2011</v>
      </c>
      <c r="I540" s="364">
        <v>24.9</v>
      </c>
      <c r="J540" s="364"/>
      <c r="L540" t="s">
        <v>1863</v>
      </c>
      <c r="T540">
        <v>1</v>
      </c>
      <c r="U540" t="s">
        <v>2885</v>
      </c>
      <c r="V540" t="s">
        <v>2886</v>
      </c>
    </row>
    <row r="541" spans="1:22" x14ac:dyDescent="0.45">
      <c r="A541" t="s">
        <v>2850</v>
      </c>
      <c r="B541" t="s">
        <v>3008</v>
      </c>
      <c r="C541" t="str">
        <f t="shared" ref="C541" si="25">_xlfn.CONCAT(B541,U541)</f>
        <v>VC21ET</v>
      </c>
      <c r="D541" t="s">
        <v>2621</v>
      </c>
      <c r="E541" t="s">
        <v>2536</v>
      </c>
      <c r="F541" t="s">
        <v>70</v>
      </c>
      <c r="G541" t="s">
        <v>3009</v>
      </c>
      <c r="H541">
        <v>2016</v>
      </c>
      <c r="I541" s="364">
        <v>3.1</v>
      </c>
      <c r="J541" s="364"/>
      <c r="K541" t="s">
        <v>3010</v>
      </c>
      <c r="L541" t="s">
        <v>1863</v>
      </c>
      <c r="O541" s="363">
        <f>I541/100</f>
        <v>3.1E-2</v>
      </c>
      <c r="P541" t="s">
        <v>1863</v>
      </c>
      <c r="Q541" s="373">
        <f>(I541/I542)^(1/(H541-H542))</f>
        <v>1.0439611497901928</v>
      </c>
      <c r="T541">
        <v>0</v>
      </c>
      <c r="U541" t="s">
        <v>2849</v>
      </c>
      <c r="V541" t="s">
        <v>594</v>
      </c>
    </row>
    <row r="542" spans="1:22" x14ac:dyDescent="0.45">
      <c r="A542" t="s">
        <v>2850</v>
      </c>
      <c r="B542" t="s">
        <v>3008</v>
      </c>
      <c r="E542" t="s">
        <v>2536</v>
      </c>
      <c r="F542" t="s">
        <v>70</v>
      </c>
      <c r="G542" t="s">
        <v>3009</v>
      </c>
      <c r="H542">
        <v>2011</v>
      </c>
      <c r="I542" s="364">
        <v>2.5</v>
      </c>
      <c r="J542" s="364"/>
      <c r="K542" t="s">
        <v>3010</v>
      </c>
      <c r="L542" t="s">
        <v>1863</v>
      </c>
      <c r="O542" s="363">
        <f t="shared" ref="O542:O605" si="26">I542/100</f>
        <v>2.5000000000000001E-2</v>
      </c>
      <c r="Q542" s="373">
        <f t="shared" ref="Q542" si="27">(I542/I543)^(1/(H542-H543))</f>
        <v>0.92856554944232006</v>
      </c>
      <c r="T542">
        <v>0</v>
      </c>
      <c r="U542" t="s">
        <v>2849</v>
      </c>
      <c r="V542" t="s">
        <v>594</v>
      </c>
    </row>
    <row r="543" spans="1:22" x14ac:dyDescent="0.45">
      <c r="A543" t="s">
        <v>2850</v>
      </c>
      <c r="B543" t="s">
        <v>3008</v>
      </c>
      <c r="E543" t="s">
        <v>2536</v>
      </c>
      <c r="F543" t="s">
        <v>70</v>
      </c>
      <c r="G543" t="s">
        <v>3009</v>
      </c>
      <c r="H543">
        <v>2005</v>
      </c>
      <c r="I543" s="364">
        <v>3.9</v>
      </c>
      <c r="J543" s="364"/>
      <c r="K543" t="s">
        <v>3010</v>
      </c>
      <c r="L543" t="s">
        <v>1863</v>
      </c>
      <c r="O543" s="363">
        <f t="shared" si="26"/>
        <v>3.9E-2</v>
      </c>
      <c r="Q543" s="373"/>
      <c r="T543">
        <v>0</v>
      </c>
      <c r="U543" t="s">
        <v>2849</v>
      </c>
      <c r="V543" t="s">
        <v>594</v>
      </c>
    </row>
    <row r="544" spans="1:22" x14ac:dyDescent="0.45">
      <c r="A544" t="s">
        <v>2850</v>
      </c>
      <c r="B544" t="s">
        <v>3008</v>
      </c>
      <c r="C544" t="str">
        <f t="shared" ref="C544" si="28">_xlfn.CONCAT(B544,U544)</f>
        <v>VC21ETR</v>
      </c>
      <c r="E544" t="s">
        <v>2536</v>
      </c>
      <c r="F544" t="s">
        <v>70</v>
      </c>
      <c r="G544" t="s">
        <v>3009</v>
      </c>
      <c r="H544">
        <v>2016</v>
      </c>
      <c r="I544" s="364">
        <v>3.3</v>
      </c>
      <c r="J544" s="364"/>
      <c r="K544" t="s">
        <v>3010</v>
      </c>
      <c r="L544" t="s">
        <v>1863</v>
      </c>
      <c r="O544" s="363">
        <f t="shared" si="26"/>
        <v>3.3000000000000002E-2</v>
      </c>
      <c r="Q544" s="373">
        <f>(I544/I545)^(1/(H544-H545))</f>
        <v>1.0488372867840543</v>
      </c>
      <c r="T544">
        <v>0.5</v>
      </c>
      <c r="U544" t="s">
        <v>2866</v>
      </c>
      <c r="V544" t="s">
        <v>84</v>
      </c>
    </row>
    <row r="545" spans="1:22" x14ac:dyDescent="0.45">
      <c r="A545" t="s">
        <v>2850</v>
      </c>
      <c r="B545" t="s">
        <v>3008</v>
      </c>
      <c r="E545" t="s">
        <v>2536</v>
      </c>
      <c r="F545" t="s">
        <v>70</v>
      </c>
      <c r="G545" t="s">
        <v>3009</v>
      </c>
      <c r="H545">
        <v>2011</v>
      </c>
      <c r="I545" s="364">
        <v>2.6</v>
      </c>
      <c r="J545" s="364"/>
      <c r="K545" t="s">
        <v>3010</v>
      </c>
      <c r="L545" t="s">
        <v>1863</v>
      </c>
      <c r="O545" s="363">
        <f t="shared" si="26"/>
        <v>2.6000000000000002E-2</v>
      </c>
      <c r="Q545" s="373">
        <f>(I545/I546)^(1/(H545-H546))</f>
        <v>0.93465526518406716</v>
      </c>
      <c r="T545">
        <v>0.5</v>
      </c>
      <c r="U545" t="s">
        <v>2866</v>
      </c>
      <c r="V545" t="s">
        <v>84</v>
      </c>
    </row>
    <row r="546" spans="1:22" x14ac:dyDescent="0.45">
      <c r="A546" t="s">
        <v>2850</v>
      </c>
      <c r="B546" t="s">
        <v>3008</v>
      </c>
      <c r="E546" t="s">
        <v>2536</v>
      </c>
      <c r="F546" t="s">
        <v>70</v>
      </c>
      <c r="G546" t="s">
        <v>3009</v>
      </c>
      <c r="H546">
        <v>2005</v>
      </c>
      <c r="I546" s="364">
        <v>3.9</v>
      </c>
      <c r="J546" s="364"/>
      <c r="K546" t="s">
        <v>3010</v>
      </c>
      <c r="L546" t="s">
        <v>1863</v>
      </c>
      <c r="O546" s="363">
        <f t="shared" si="26"/>
        <v>3.9E-2</v>
      </c>
      <c r="Q546" s="373"/>
      <c r="T546">
        <v>0.5</v>
      </c>
      <c r="U546" t="s">
        <v>2866</v>
      </c>
      <c r="V546" t="s">
        <v>84</v>
      </c>
    </row>
    <row r="547" spans="1:22" x14ac:dyDescent="0.45">
      <c r="A547" t="s">
        <v>2850</v>
      </c>
      <c r="B547" t="s">
        <v>3008</v>
      </c>
      <c r="C547" t="str">
        <f t="shared" ref="C547" si="29">_xlfn.CONCAT(B547,U547)</f>
        <v>VC21ETU</v>
      </c>
      <c r="E547" t="s">
        <v>2536</v>
      </c>
      <c r="F547" t="s">
        <v>70</v>
      </c>
      <c r="G547" t="s">
        <v>3009</v>
      </c>
      <c r="H547">
        <v>2016</v>
      </c>
      <c r="I547" s="364">
        <v>1.5</v>
      </c>
      <c r="J547" s="364"/>
      <c r="K547" t="s">
        <v>3010</v>
      </c>
      <c r="L547" t="s">
        <v>1863</v>
      </c>
      <c r="O547" s="363">
        <f t="shared" si="26"/>
        <v>1.4999999999999999E-2</v>
      </c>
      <c r="Q547" s="373">
        <f>(I547/I548)^(1/(H547-H548))</f>
        <v>1</v>
      </c>
      <c r="T547">
        <v>0.5</v>
      </c>
      <c r="U547" t="s">
        <v>2867</v>
      </c>
      <c r="V547" t="s">
        <v>336</v>
      </c>
    </row>
    <row r="548" spans="1:22" x14ac:dyDescent="0.45">
      <c r="A548" t="s">
        <v>2850</v>
      </c>
      <c r="B548" t="s">
        <v>3008</v>
      </c>
      <c r="E548" t="s">
        <v>2536</v>
      </c>
      <c r="F548" t="s">
        <v>70</v>
      </c>
      <c r="G548" t="s">
        <v>3009</v>
      </c>
      <c r="H548">
        <v>2011</v>
      </c>
      <c r="I548" s="364">
        <v>1.5</v>
      </c>
      <c r="J548" s="364"/>
      <c r="K548" t="s">
        <v>3010</v>
      </c>
      <c r="L548" t="s">
        <v>1863</v>
      </c>
      <c r="O548" s="363">
        <f t="shared" si="26"/>
        <v>1.4999999999999999E-2</v>
      </c>
      <c r="Q548" s="373">
        <f>(I548/I549)^(1/(H548-H549))</f>
        <v>0.86830146903546912</v>
      </c>
      <c r="T548">
        <v>0.5</v>
      </c>
      <c r="U548" t="s">
        <v>2867</v>
      </c>
      <c r="V548" t="s">
        <v>336</v>
      </c>
    </row>
    <row r="549" spans="1:22" x14ac:dyDescent="0.45">
      <c r="A549" t="s">
        <v>2850</v>
      </c>
      <c r="B549" t="s">
        <v>3008</v>
      </c>
      <c r="E549" t="s">
        <v>2536</v>
      </c>
      <c r="F549" t="s">
        <v>70</v>
      </c>
      <c r="G549" t="s">
        <v>3009</v>
      </c>
      <c r="H549">
        <v>2005</v>
      </c>
      <c r="I549" s="364">
        <v>3.5</v>
      </c>
      <c r="J549" s="364"/>
      <c r="K549" t="s">
        <v>3010</v>
      </c>
      <c r="L549" t="s">
        <v>1863</v>
      </c>
      <c r="O549" s="363">
        <f t="shared" si="26"/>
        <v>3.5000000000000003E-2</v>
      </c>
      <c r="Q549" s="373"/>
      <c r="T549">
        <v>0.5</v>
      </c>
      <c r="U549" t="s">
        <v>2867</v>
      </c>
      <c r="V549" t="s">
        <v>336</v>
      </c>
    </row>
    <row r="550" spans="1:22" x14ac:dyDescent="0.45">
      <c r="A550" t="s">
        <v>2850</v>
      </c>
      <c r="B550" t="s">
        <v>3008</v>
      </c>
      <c r="C550" t="str">
        <f t="shared" ref="C550" si="30">_xlfn.CONCAT(B550,U550)</f>
        <v>VC21ET01</v>
      </c>
      <c r="E550" t="s">
        <v>2536</v>
      </c>
      <c r="F550" t="s">
        <v>70</v>
      </c>
      <c r="G550" t="s">
        <v>3009</v>
      </c>
      <c r="H550">
        <v>2016</v>
      </c>
      <c r="I550" s="364">
        <v>1.5</v>
      </c>
      <c r="J550" s="364"/>
      <c r="K550" t="s">
        <v>3010</v>
      </c>
      <c r="L550" t="s">
        <v>1863</v>
      </c>
      <c r="O550" s="363">
        <f t="shared" si="26"/>
        <v>1.4999999999999999E-2</v>
      </c>
      <c r="Q550" s="373">
        <f>(I550/I551)^(1/(H550-H551))</f>
        <v>0.89582583329619558</v>
      </c>
      <c r="T550">
        <v>1</v>
      </c>
      <c r="U550" t="s">
        <v>2868</v>
      </c>
      <c r="V550" t="s">
        <v>806</v>
      </c>
    </row>
    <row r="551" spans="1:22" x14ac:dyDescent="0.45">
      <c r="A551" t="s">
        <v>2850</v>
      </c>
      <c r="B551" t="s">
        <v>3008</v>
      </c>
      <c r="E551" t="s">
        <v>2536</v>
      </c>
      <c r="F551" t="s">
        <v>70</v>
      </c>
      <c r="G551" t="s">
        <v>3009</v>
      </c>
      <c r="H551">
        <v>2011</v>
      </c>
      <c r="I551" s="364">
        <v>2.6</v>
      </c>
      <c r="J551" s="364"/>
      <c r="K551" t="s">
        <v>3010</v>
      </c>
      <c r="L551" t="s">
        <v>1863</v>
      </c>
      <c r="O551" s="363">
        <f t="shared" si="26"/>
        <v>2.6000000000000002E-2</v>
      </c>
      <c r="Q551" s="373">
        <f>(I551/I552)^(1/(H551-H552))</f>
        <v>0.93871039086108632</v>
      </c>
      <c r="T551">
        <v>1</v>
      </c>
      <c r="U551" t="s">
        <v>2868</v>
      </c>
      <c r="V551" t="s">
        <v>806</v>
      </c>
    </row>
    <row r="552" spans="1:22" x14ac:dyDescent="0.45">
      <c r="A552" t="s">
        <v>2850</v>
      </c>
      <c r="B552" t="s">
        <v>3008</v>
      </c>
      <c r="E552" t="s">
        <v>2536</v>
      </c>
      <c r="F552" t="s">
        <v>70</v>
      </c>
      <c r="G552" t="s">
        <v>3009</v>
      </c>
      <c r="H552">
        <v>2005</v>
      </c>
      <c r="I552" s="364">
        <v>3.8</v>
      </c>
      <c r="J552" s="364"/>
      <c r="K552" t="s">
        <v>3010</v>
      </c>
      <c r="L552" t="s">
        <v>1863</v>
      </c>
      <c r="O552" s="363">
        <f t="shared" si="26"/>
        <v>3.7999999999999999E-2</v>
      </c>
      <c r="Q552" s="373"/>
      <c r="T552">
        <v>1</v>
      </c>
      <c r="U552" t="s">
        <v>2868</v>
      </c>
      <c r="V552" t="s">
        <v>806</v>
      </c>
    </row>
    <row r="553" spans="1:22" x14ac:dyDescent="0.45">
      <c r="A553" t="s">
        <v>2850</v>
      </c>
      <c r="B553" t="s">
        <v>3008</v>
      </c>
      <c r="C553" t="str">
        <f t="shared" ref="C553" si="31">_xlfn.CONCAT(B553,U553)</f>
        <v>VC21ET02</v>
      </c>
      <c r="E553" t="s">
        <v>2536</v>
      </c>
      <c r="F553" t="s">
        <v>70</v>
      </c>
      <c r="G553" t="s">
        <v>3009</v>
      </c>
      <c r="H553">
        <v>2016</v>
      </c>
      <c r="I553" s="364">
        <v>4</v>
      </c>
      <c r="J553" s="364"/>
      <c r="K553" t="s">
        <v>3010</v>
      </c>
      <c r="L553" t="s">
        <v>1863</v>
      </c>
      <c r="O553" s="363">
        <f t="shared" si="26"/>
        <v>0.04</v>
      </c>
      <c r="Q553" s="373">
        <f>(I553/I554)^(1/(H553-H554))</f>
        <v>0.89411296065798118</v>
      </c>
      <c r="T553">
        <v>1</v>
      </c>
      <c r="U553" t="s">
        <v>2869</v>
      </c>
      <c r="V553" t="s">
        <v>2946</v>
      </c>
    </row>
    <row r="554" spans="1:22" x14ac:dyDescent="0.45">
      <c r="A554" t="s">
        <v>2850</v>
      </c>
      <c r="B554" t="s">
        <v>3008</v>
      </c>
      <c r="E554" t="s">
        <v>2536</v>
      </c>
      <c r="F554" t="s">
        <v>70</v>
      </c>
      <c r="G554" t="s">
        <v>3009</v>
      </c>
      <c r="H554">
        <v>2011</v>
      </c>
      <c r="I554" s="364">
        <v>7</v>
      </c>
      <c r="J554" s="364"/>
      <c r="K554" t="s">
        <v>3010</v>
      </c>
      <c r="L554" t="s">
        <v>1863</v>
      </c>
      <c r="O554" s="363">
        <f t="shared" si="26"/>
        <v>7.0000000000000007E-2</v>
      </c>
      <c r="Q554" s="373">
        <f>(I554/I555)^(1/(H554-H555))</f>
        <v>1.0804571817755644</v>
      </c>
      <c r="T554">
        <v>1</v>
      </c>
      <c r="U554" t="s">
        <v>2869</v>
      </c>
      <c r="V554" t="s">
        <v>2946</v>
      </c>
    </row>
    <row r="555" spans="1:22" x14ac:dyDescent="0.45">
      <c r="A555" t="s">
        <v>2850</v>
      </c>
      <c r="B555" t="s">
        <v>3008</v>
      </c>
      <c r="E555" t="s">
        <v>2536</v>
      </c>
      <c r="F555" t="s">
        <v>70</v>
      </c>
      <c r="G555" t="s">
        <v>3009</v>
      </c>
      <c r="H555">
        <v>2005</v>
      </c>
      <c r="I555" s="364">
        <v>4.4000000000000004</v>
      </c>
      <c r="J555" s="364"/>
      <c r="K555" t="s">
        <v>3010</v>
      </c>
      <c r="L555" t="s">
        <v>1863</v>
      </c>
      <c r="O555" s="363">
        <f t="shared" si="26"/>
        <v>4.4000000000000004E-2</v>
      </c>
      <c r="T555">
        <v>1</v>
      </c>
      <c r="U555" t="s">
        <v>2869</v>
      </c>
      <c r="V555" t="s">
        <v>2946</v>
      </c>
    </row>
    <row r="556" spans="1:22" x14ac:dyDescent="0.45">
      <c r="A556" t="s">
        <v>2850</v>
      </c>
      <c r="B556" t="s">
        <v>3008</v>
      </c>
      <c r="C556" t="str">
        <f t="shared" ref="C556" si="32">_xlfn.CONCAT(B556,U556)</f>
        <v>VC21ET03</v>
      </c>
      <c r="E556" t="s">
        <v>2536</v>
      </c>
      <c r="F556" t="s">
        <v>70</v>
      </c>
      <c r="G556" t="s">
        <v>3009</v>
      </c>
      <c r="H556">
        <v>2016</v>
      </c>
      <c r="I556" s="364">
        <v>2.2999999999999998</v>
      </c>
      <c r="J556" s="364"/>
      <c r="K556" t="s">
        <v>3010</v>
      </c>
      <c r="L556" t="s">
        <v>1863</v>
      </c>
      <c r="O556" s="363">
        <f t="shared" si="26"/>
        <v>2.3E-2</v>
      </c>
      <c r="Q556" s="373">
        <f>(I556/I557)^(1/(H556-H557))</f>
        <v>1.1589562187541786</v>
      </c>
      <c r="T556">
        <v>1</v>
      </c>
      <c r="U556" t="s">
        <v>2871</v>
      </c>
      <c r="V556" t="s">
        <v>805</v>
      </c>
    </row>
    <row r="557" spans="1:22" x14ac:dyDescent="0.45">
      <c r="A557" t="s">
        <v>2850</v>
      </c>
      <c r="B557" t="s">
        <v>3008</v>
      </c>
      <c r="E557" t="s">
        <v>2536</v>
      </c>
      <c r="F557" t="s">
        <v>70</v>
      </c>
      <c r="G557" t="s">
        <v>3009</v>
      </c>
      <c r="H557">
        <v>2011</v>
      </c>
      <c r="I557" s="364">
        <v>1.1000000000000001</v>
      </c>
      <c r="J557" s="364"/>
      <c r="K557" t="s">
        <v>3010</v>
      </c>
      <c r="L557" t="s">
        <v>1863</v>
      </c>
      <c r="O557" s="363">
        <f t="shared" si="26"/>
        <v>1.1000000000000001E-2</v>
      </c>
      <c r="Q557" s="373">
        <f>(I557/I558)^(1/(H557-H558))</f>
        <v>0.76706674365469041</v>
      </c>
      <c r="T557">
        <v>1</v>
      </c>
      <c r="U557" t="s">
        <v>2871</v>
      </c>
      <c r="V557" t="s">
        <v>805</v>
      </c>
    </row>
    <row r="558" spans="1:22" x14ac:dyDescent="0.45">
      <c r="A558" t="s">
        <v>2850</v>
      </c>
      <c r="B558" t="s">
        <v>3008</v>
      </c>
      <c r="E558" t="s">
        <v>2536</v>
      </c>
      <c r="F558" t="s">
        <v>70</v>
      </c>
      <c r="G558" t="s">
        <v>3009</v>
      </c>
      <c r="H558">
        <v>2005</v>
      </c>
      <c r="I558" s="364">
        <v>5.4</v>
      </c>
      <c r="J558" s="364"/>
      <c r="K558" t="s">
        <v>3010</v>
      </c>
      <c r="L558" t="s">
        <v>1863</v>
      </c>
      <c r="O558" s="363">
        <f t="shared" si="26"/>
        <v>5.4000000000000006E-2</v>
      </c>
      <c r="T558">
        <v>1</v>
      </c>
      <c r="U558" t="s">
        <v>2871</v>
      </c>
      <c r="V558" t="s">
        <v>805</v>
      </c>
    </row>
    <row r="559" spans="1:22" x14ac:dyDescent="0.45">
      <c r="A559" t="s">
        <v>2850</v>
      </c>
      <c r="B559" t="s">
        <v>3008</v>
      </c>
      <c r="C559" t="str">
        <f t="shared" ref="C559" si="33">_xlfn.CONCAT(B559,U559)</f>
        <v>VC21ET04</v>
      </c>
      <c r="E559" t="s">
        <v>2536</v>
      </c>
      <c r="F559" t="s">
        <v>70</v>
      </c>
      <c r="G559" t="s">
        <v>3009</v>
      </c>
      <c r="H559">
        <v>2016</v>
      </c>
      <c r="I559" s="364">
        <v>3.8</v>
      </c>
      <c r="J559" s="364"/>
      <c r="K559" t="s">
        <v>3010</v>
      </c>
      <c r="L559" t="s">
        <v>1863</v>
      </c>
      <c r="O559" s="363">
        <f t="shared" si="26"/>
        <v>3.7999999999999999E-2</v>
      </c>
      <c r="Q559" s="373">
        <f>(I559/I560)^(1/(H559-H560))</f>
        <v>1.0053478986466833</v>
      </c>
      <c r="T559">
        <v>1</v>
      </c>
      <c r="U559" t="s">
        <v>2872</v>
      </c>
      <c r="V559" t="s">
        <v>809</v>
      </c>
    </row>
    <row r="560" spans="1:22" x14ac:dyDescent="0.45">
      <c r="A560" t="s">
        <v>2850</v>
      </c>
      <c r="B560" t="s">
        <v>3008</v>
      </c>
      <c r="E560" t="s">
        <v>2536</v>
      </c>
      <c r="F560" t="s">
        <v>70</v>
      </c>
      <c r="G560" t="s">
        <v>3009</v>
      </c>
      <c r="H560">
        <v>2011</v>
      </c>
      <c r="I560" s="364">
        <v>3.7</v>
      </c>
      <c r="J560" s="364"/>
      <c r="K560" t="s">
        <v>3010</v>
      </c>
      <c r="L560" t="s">
        <v>1863</v>
      </c>
      <c r="O560" s="363">
        <f t="shared" si="26"/>
        <v>3.7000000000000005E-2</v>
      </c>
      <c r="Q560" s="373">
        <f>(I560/I561)^(1/(H560-H561))</f>
        <v>1.0093046635787797</v>
      </c>
      <c r="T560">
        <v>1</v>
      </c>
      <c r="U560" t="s">
        <v>2872</v>
      </c>
      <c r="V560" t="s">
        <v>809</v>
      </c>
    </row>
    <row r="561" spans="1:22" x14ac:dyDescent="0.45">
      <c r="A561" t="s">
        <v>2850</v>
      </c>
      <c r="B561" t="s">
        <v>3008</v>
      </c>
      <c r="E561" t="s">
        <v>2536</v>
      </c>
      <c r="F561" t="s">
        <v>70</v>
      </c>
      <c r="G561" t="s">
        <v>3009</v>
      </c>
      <c r="H561">
        <v>2005</v>
      </c>
      <c r="I561" s="364">
        <v>3.5</v>
      </c>
      <c r="J561" s="364"/>
      <c r="K561" t="s">
        <v>3010</v>
      </c>
      <c r="L561" t="s">
        <v>1863</v>
      </c>
      <c r="O561" s="363">
        <f t="shared" si="26"/>
        <v>3.5000000000000003E-2</v>
      </c>
      <c r="T561">
        <v>1</v>
      </c>
      <c r="U561" t="s">
        <v>2872</v>
      </c>
      <c r="V561" t="s">
        <v>809</v>
      </c>
    </row>
    <row r="562" spans="1:22" x14ac:dyDescent="0.45">
      <c r="A562" t="s">
        <v>2850</v>
      </c>
      <c r="B562" t="s">
        <v>3008</v>
      </c>
      <c r="C562" t="str">
        <f t="shared" ref="C562" si="34">_xlfn.CONCAT(B562,U562)</f>
        <v>VC21ET05</v>
      </c>
      <c r="E562" t="s">
        <v>2536</v>
      </c>
      <c r="F562" t="s">
        <v>70</v>
      </c>
      <c r="G562" t="s">
        <v>3009</v>
      </c>
      <c r="H562">
        <v>2016</v>
      </c>
      <c r="I562" s="364">
        <v>12.8</v>
      </c>
      <c r="J562" s="364"/>
      <c r="K562" t="s">
        <v>3010</v>
      </c>
      <c r="L562" t="s">
        <v>1863</v>
      </c>
      <c r="O562" s="363">
        <f t="shared" si="26"/>
        <v>0.128</v>
      </c>
      <c r="Q562" s="373">
        <f>(I562/I563)^(1/(H562-H563))</f>
        <v>1.0729846079997674</v>
      </c>
      <c r="T562">
        <v>1</v>
      </c>
      <c r="U562" t="s">
        <v>2873</v>
      </c>
      <c r="V562" t="s">
        <v>2874</v>
      </c>
    </row>
    <row r="563" spans="1:22" x14ac:dyDescent="0.45">
      <c r="A563" t="s">
        <v>2850</v>
      </c>
      <c r="B563" t="s">
        <v>3008</v>
      </c>
      <c r="E563" t="s">
        <v>2536</v>
      </c>
      <c r="F563" t="s">
        <v>70</v>
      </c>
      <c r="G563" t="s">
        <v>3009</v>
      </c>
      <c r="H563">
        <v>2011</v>
      </c>
      <c r="I563" s="364">
        <v>9</v>
      </c>
      <c r="J563" s="364"/>
      <c r="K563" t="s">
        <v>3010</v>
      </c>
      <c r="L563" t="s">
        <v>1863</v>
      </c>
      <c r="O563" s="363">
        <f t="shared" si="26"/>
        <v>0.09</v>
      </c>
      <c r="Q563" s="373">
        <f>(I563/I564)^(1/(H563-H564))</f>
        <v>0.92790582161493895</v>
      </c>
      <c r="T563">
        <v>1</v>
      </c>
      <c r="U563" t="s">
        <v>2873</v>
      </c>
      <c r="V563" t="s">
        <v>2874</v>
      </c>
    </row>
    <row r="564" spans="1:22" x14ac:dyDescent="0.45">
      <c r="A564" t="s">
        <v>2850</v>
      </c>
      <c r="B564" t="s">
        <v>3008</v>
      </c>
      <c r="E564" t="s">
        <v>2536</v>
      </c>
      <c r="F564" t="s">
        <v>70</v>
      </c>
      <c r="G564" t="s">
        <v>3009</v>
      </c>
      <c r="H564">
        <v>2005</v>
      </c>
      <c r="I564" s="364">
        <v>14.1</v>
      </c>
      <c r="J564" s="364"/>
      <c r="K564" t="s">
        <v>3010</v>
      </c>
      <c r="L564" t="s">
        <v>1863</v>
      </c>
      <c r="O564" s="363">
        <f t="shared" si="26"/>
        <v>0.14099999999999999</v>
      </c>
      <c r="T564">
        <v>1</v>
      </c>
      <c r="U564" t="s">
        <v>2873</v>
      </c>
      <c r="V564" t="s">
        <v>2874</v>
      </c>
    </row>
    <row r="565" spans="1:22" x14ac:dyDescent="0.45">
      <c r="A565" t="s">
        <v>2850</v>
      </c>
      <c r="B565" t="s">
        <v>3008</v>
      </c>
      <c r="C565" t="str">
        <f t="shared" ref="C565" si="35">_xlfn.CONCAT(B565,U565)</f>
        <v>VC21ET06</v>
      </c>
      <c r="E565" t="s">
        <v>2536</v>
      </c>
      <c r="F565" t="s">
        <v>70</v>
      </c>
      <c r="G565" t="s">
        <v>3009</v>
      </c>
      <c r="H565">
        <v>2016</v>
      </c>
      <c r="I565" s="364">
        <v>0.7</v>
      </c>
      <c r="J565" s="364"/>
      <c r="K565" t="s">
        <v>3010</v>
      </c>
      <c r="L565" t="s">
        <v>1863</v>
      </c>
      <c r="O565" s="363">
        <f t="shared" si="26"/>
        <v>6.9999999999999993E-3</v>
      </c>
      <c r="Q565" s="373">
        <f>(I565/I566)^(1/(H565-H566))</f>
        <v>0.82787564608120667</v>
      </c>
      <c r="T565">
        <v>1</v>
      </c>
      <c r="U565" t="s">
        <v>2876</v>
      </c>
      <c r="V565" t="s">
        <v>2877</v>
      </c>
    </row>
    <row r="566" spans="1:22" x14ac:dyDescent="0.45">
      <c r="A566" t="s">
        <v>2850</v>
      </c>
      <c r="B566" t="s">
        <v>3008</v>
      </c>
      <c r="E566" t="s">
        <v>2536</v>
      </c>
      <c r="F566" t="s">
        <v>70</v>
      </c>
      <c r="G566" t="s">
        <v>3009</v>
      </c>
      <c r="H566">
        <v>2011</v>
      </c>
      <c r="I566" s="364">
        <v>1.8</v>
      </c>
      <c r="J566" s="364"/>
      <c r="K566" t="s">
        <v>3010</v>
      </c>
      <c r="L566" t="s">
        <v>1863</v>
      </c>
      <c r="O566" s="363">
        <f t="shared" si="26"/>
        <v>1.8000000000000002E-2</v>
      </c>
      <c r="Q566" s="373">
        <f>(I566/I567)^(1/(H566-H567))</f>
        <v>0.86159526736161285</v>
      </c>
      <c r="T566">
        <v>1</v>
      </c>
      <c r="U566" t="s">
        <v>2876</v>
      </c>
      <c r="V566" t="s">
        <v>2877</v>
      </c>
    </row>
    <row r="567" spans="1:22" x14ac:dyDescent="0.45">
      <c r="A567" t="s">
        <v>2850</v>
      </c>
      <c r="B567" t="s">
        <v>3008</v>
      </c>
      <c r="E567" t="s">
        <v>2536</v>
      </c>
      <c r="F567" t="s">
        <v>70</v>
      </c>
      <c r="G567" t="s">
        <v>3009</v>
      </c>
      <c r="H567">
        <v>2005</v>
      </c>
      <c r="I567" s="364">
        <v>4.4000000000000004</v>
      </c>
      <c r="J567" s="364"/>
      <c r="K567" t="s">
        <v>3010</v>
      </c>
      <c r="L567" t="s">
        <v>1863</v>
      </c>
      <c r="O567" s="363">
        <f t="shared" si="26"/>
        <v>4.4000000000000004E-2</v>
      </c>
      <c r="T567">
        <v>1</v>
      </c>
      <c r="U567" t="s">
        <v>2876</v>
      </c>
      <c r="V567" t="s">
        <v>2877</v>
      </c>
    </row>
    <row r="568" spans="1:22" x14ac:dyDescent="0.45">
      <c r="A568" t="s">
        <v>2850</v>
      </c>
      <c r="B568" t="s">
        <v>3008</v>
      </c>
      <c r="C568" t="str">
        <f t="shared" ref="C568" si="36">_xlfn.CONCAT(B568,U568)</f>
        <v>VC21ET07</v>
      </c>
      <c r="E568" t="s">
        <v>2536</v>
      </c>
      <c r="F568" t="s">
        <v>70</v>
      </c>
      <c r="G568" t="s">
        <v>3009</v>
      </c>
      <c r="H568">
        <v>2016</v>
      </c>
      <c r="I568" s="364">
        <v>1.4</v>
      </c>
      <c r="J568" s="364"/>
      <c r="K568" t="s">
        <v>3010</v>
      </c>
      <c r="L568" t="s">
        <v>1863</v>
      </c>
      <c r="O568" s="363">
        <f t="shared" si="26"/>
        <v>1.3999999999999999E-2</v>
      </c>
      <c r="Q568" s="373">
        <f>(I568/I569)^(1/(H568-H569))</f>
        <v>1.2286596790831472</v>
      </c>
      <c r="T568">
        <v>1</v>
      </c>
      <c r="U568" t="s">
        <v>2878</v>
      </c>
      <c r="V568" t="s">
        <v>2879</v>
      </c>
    </row>
    <row r="569" spans="1:22" x14ac:dyDescent="0.45">
      <c r="A569" t="s">
        <v>2850</v>
      </c>
      <c r="B569" t="s">
        <v>3008</v>
      </c>
      <c r="E569" t="s">
        <v>2536</v>
      </c>
      <c r="F569" t="s">
        <v>70</v>
      </c>
      <c r="G569" t="s">
        <v>3009</v>
      </c>
      <c r="H569">
        <v>2011</v>
      </c>
      <c r="I569" s="364">
        <v>0.5</v>
      </c>
      <c r="J569" s="364"/>
      <c r="K569" t="s">
        <v>3010</v>
      </c>
      <c r="L569" t="s">
        <v>1863</v>
      </c>
      <c r="O569" s="363">
        <f t="shared" si="26"/>
        <v>5.0000000000000001E-3</v>
      </c>
      <c r="Q569" s="373">
        <f>(I569/I570)^(1/(H569-H570))</f>
        <v>0.79370052598409979</v>
      </c>
      <c r="T569">
        <v>1</v>
      </c>
      <c r="U569" t="s">
        <v>2878</v>
      </c>
      <c r="V569" t="s">
        <v>2879</v>
      </c>
    </row>
    <row r="570" spans="1:22" x14ac:dyDescent="0.45">
      <c r="A570" t="s">
        <v>2850</v>
      </c>
      <c r="B570" t="s">
        <v>3008</v>
      </c>
      <c r="E570" t="s">
        <v>2536</v>
      </c>
      <c r="F570" t="s">
        <v>70</v>
      </c>
      <c r="G570" t="s">
        <v>3009</v>
      </c>
      <c r="H570">
        <v>2005</v>
      </c>
      <c r="I570" s="364">
        <v>2</v>
      </c>
      <c r="J570" s="364"/>
      <c r="K570" t="s">
        <v>3010</v>
      </c>
      <c r="L570" t="s">
        <v>1863</v>
      </c>
      <c r="O570" s="363">
        <f t="shared" si="26"/>
        <v>0.02</v>
      </c>
      <c r="T570">
        <v>1</v>
      </c>
      <c r="U570" t="s">
        <v>2878</v>
      </c>
      <c r="V570" t="s">
        <v>2879</v>
      </c>
    </row>
    <row r="571" spans="1:22" x14ac:dyDescent="0.45">
      <c r="A571" t="s">
        <v>2850</v>
      </c>
      <c r="B571" t="s">
        <v>3008</v>
      </c>
      <c r="C571" t="str">
        <f t="shared" ref="C571" si="37">_xlfn.CONCAT(B571,U571)</f>
        <v>VC21ET12</v>
      </c>
      <c r="E571" t="s">
        <v>2536</v>
      </c>
      <c r="F571" t="s">
        <v>70</v>
      </c>
      <c r="G571" t="s">
        <v>3009</v>
      </c>
      <c r="H571">
        <v>2016</v>
      </c>
      <c r="I571" s="364">
        <v>0.7</v>
      </c>
      <c r="J571" s="364"/>
      <c r="K571" t="s">
        <v>3010</v>
      </c>
      <c r="L571" t="s">
        <v>1863</v>
      </c>
      <c r="O571" s="363">
        <f t="shared" si="26"/>
        <v>6.9999999999999993E-3</v>
      </c>
      <c r="Q571" s="373">
        <f>(I571/I572)^(1/(H571-H572))</f>
        <v>0.7752318483841889</v>
      </c>
      <c r="T571">
        <v>1</v>
      </c>
      <c r="U571" t="s">
        <v>2880</v>
      </c>
      <c r="V571" t="s">
        <v>2881</v>
      </c>
    </row>
    <row r="572" spans="1:22" x14ac:dyDescent="0.45">
      <c r="A572" t="s">
        <v>2850</v>
      </c>
      <c r="B572" t="s">
        <v>3008</v>
      </c>
      <c r="E572" t="s">
        <v>2536</v>
      </c>
      <c r="F572" t="s">
        <v>70</v>
      </c>
      <c r="G572" t="s">
        <v>3009</v>
      </c>
      <c r="H572">
        <v>2011</v>
      </c>
      <c r="I572" s="364">
        <v>2.5</v>
      </c>
      <c r="J572" s="364"/>
      <c r="K572" t="s">
        <v>3010</v>
      </c>
      <c r="L572" t="s">
        <v>1863</v>
      </c>
      <c r="O572" s="363">
        <f t="shared" si="26"/>
        <v>2.5000000000000001E-2</v>
      </c>
      <c r="Q572" s="373">
        <f>(I572/I573)^(1/(H572-H573))</f>
        <v>0.92465559714866186</v>
      </c>
      <c r="T572">
        <v>1</v>
      </c>
      <c r="U572" t="s">
        <v>2880</v>
      </c>
      <c r="V572" t="s">
        <v>2881</v>
      </c>
    </row>
    <row r="573" spans="1:22" x14ac:dyDescent="0.45">
      <c r="A573" t="s">
        <v>2850</v>
      </c>
      <c r="B573" t="s">
        <v>3008</v>
      </c>
      <c r="E573" t="s">
        <v>2536</v>
      </c>
      <c r="F573" t="s">
        <v>70</v>
      </c>
      <c r="G573" t="s">
        <v>3009</v>
      </c>
      <c r="H573">
        <v>2005</v>
      </c>
      <c r="I573" s="364">
        <v>4</v>
      </c>
      <c r="J573" s="364"/>
      <c r="K573" t="s">
        <v>3010</v>
      </c>
      <c r="L573" t="s">
        <v>1863</v>
      </c>
      <c r="O573" s="363">
        <f t="shared" si="26"/>
        <v>0.04</v>
      </c>
      <c r="T573">
        <v>1</v>
      </c>
      <c r="U573" t="s">
        <v>2880</v>
      </c>
      <c r="V573" t="s">
        <v>2881</v>
      </c>
    </row>
    <row r="574" spans="1:22" x14ac:dyDescent="0.45">
      <c r="A574" t="s">
        <v>2850</v>
      </c>
      <c r="B574" t="s">
        <v>3008</v>
      </c>
      <c r="C574" t="str">
        <f t="shared" ref="C574" si="38">_xlfn.CONCAT(B574,U574)</f>
        <v>VC21ET13</v>
      </c>
      <c r="E574" t="s">
        <v>2536</v>
      </c>
      <c r="F574" t="s">
        <v>70</v>
      </c>
      <c r="G574" t="s">
        <v>3009</v>
      </c>
      <c r="H574">
        <v>2016</v>
      </c>
      <c r="I574" s="364">
        <v>5.6</v>
      </c>
      <c r="J574" s="364"/>
      <c r="K574" t="s">
        <v>3010</v>
      </c>
      <c r="L574" t="s">
        <v>1863</v>
      </c>
      <c r="O574" s="363">
        <f t="shared" si="26"/>
        <v>5.5999999999999994E-2</v>
      </c>
      <c r="Q574" s="373">
        <f>(I574/I575)^(1/(H574-H575))</f>
        <v>1.194791263178075</v>
      </c>
      <c r="T574">
        <v>1</v>
      </c>
      <c r="U574" t="s">
        <v>2882</v>
      </c>
      <c r="V574" t="s">
        <v>2883</v>
      </c>
    </row>
    <row r="575" spans="1:22" x14ac:dyDescent="0.45">
      <c r="A575" t="s">
        <v>2850</v>
      </c>
      <c r="B575" t="s">
        <v>3008</v>
      </c>
      <c r="E575" t="s">
        <v>2536</v>
      </c>
      <c r="F575" t="s">
        <v>70</v>
      </c>
      <c r="G575" t="s">
        <v>3009</v>
      </c>
      <c r="H575">
        <v>2011</v>
      </c>
      <c r="I575" s="364">
        <v>2.2999999999999998</v>
      </c>
      <c r="J575" s="364"/>
      <c r="K575" t="s">
        <v>3010</v>
      </c>
      <c r="L575" t="s">
        <v>1863</v>
      </c>
      <c r="O575" s="363">
        <f t="shared" si="26"/>
        <v>2.3E-2</v>
      </c>
      <c r="Q575" s="373">
        <f>(I575/I576)^(1/(H575-H576))</f>
        <v>0.95146837344578994</v>
      </c>
      <c r="T575">
        <v>1</v>
      </c>
      <c r="U575" t="s">
        <v>2882</v>
      </c>
      <c r="V575" t="s">
        <v>2883</v>
      </c>
    </row>
    <row r="576" spans="1:22" x14ac:dyDescent="0.45">
      <c r="A576" t="s">
        <v>2850</v>
      </c>
      <c r="B576" t="s">
        <v>3008</v>
      </c>
      <c r="E576" t="s">
        <v>2536</v>
      </c>
      <c r="F576" t="s">
        <v>70</v>
      </c>
      <c r="G576" t="s">
        <v>3009</v>
      </c>
      <c r="H576">
        <v>2005</v>
      </c>
      <c r="I576" s="364">
        <v>3.1</v>
      </c>
      <c r="J576" s="364"/>
      <c r="K576" t="s">
        <v>3010</v>
      </c>
      <c r="L576" t="s">
        <v>1863</v>
      </c>
      <c r="O576" s="363">
        <f t="shared" si="26"/>
        <v>3.1E-2</v>
      </c>
      <c r="T576">
        <v>1</v>
      </c>
      <c r="U576" t="s">
        <v>2882</v>
      </c>
      <c r="V576" t="s">
        <v>2883</v>
      </c>
    </row>
    <row r="577" spans="1:22" x14ac:dyDescent="0.45">
      <c r="A577" t="s">
        <v>2850</v>
      </c>
      <c r="B577" t="s">
        <v>3008</v>
      </c>
      <c r="C577" t="str">
        <f t="shared" ref="C577" si="39">_xlfn.CONCAT(B577,U577)</f>
        <v>VC21ET14</v>
      </c>
      <c r="E577" t="s">
        <v>2536</v>
      </c>
      <c r="F577" t="s">
        <v>70</v>
      </c>
      <c r="G577" t="s">
        <v>3009</v>
      </c>
      <c r="H577">
        <v>2016</v>
      </c>
      <c r="I577" s="364">
        <v>1.8</v>
      </c>
      <c r="J577" s="364"/>
      <c r="K577" t="s">
        <v>3010</v>
      </c>
      <c r="L577" t="s">
        <v>1863</v>
      </c>
      <c r="O577" s="363">
        <f t="shared" si="26"/>
        <v>1.8000000000000002E-2</v>
      </c>
      <c r="Q577" s="373">
        <f>(I577/I578)^(1/(H577-H578))</f>
        <v>1.1247461131420948</v>
      </c>
      <c r="T577">
        <v>1</v>
      </c>
      <c r="U577" t="s">
        <v>2884</v>
      </c>
      <c r="V577" t="s">
        <v>814</v>
      </c>
    </row>
    <row r="578" spans="1:22" x14ac:dyDescent="0.45">
      <c r="A578" t="s">
        <v>2850</v>
      </c>
      <c r="B578" t="s">
        <v>3008</v>
      </c>
      <c r="E578" t="s">
        <v>2536</v>
      </c>
      <c r="F578" t="s">
        <v>70</v>
      </c>
      <c r="G578" t="s">
        <v>3009</v>
      </c>
      <c r="H578">
        <v>2011</v>
      </c>
      <c r="I578" s="364">
        <v>1</v>
      </c>
      <c r="J578" s="364"/>
      <c r="K578" t="s">
        <v>3010</v>
      </c>
      <c r="L578" t="s">
        <v>1863</v>
      </c>
      <c r="O578" s="363">
        <f t="shared" si="26"/>
        <v>0.01</v>
      </c>
      <c r="Q578" s="373">
        <f>(I578/I579)^(1/(H578-H579))</f>
        <v>0.79370052598409979</v>
      </c>
      <c r="T578">
        <v>1</v>
      </c>
      <c r="U578" t="s">
        <v>2884</v>
      </c>
      <c r="V578" t="s">
        <v>814</v>
      </c>
    </row>
    <row r="579" spans="1:22" x14ac:dyDescent="0.45">
      <c r="A579" t="s">
        <v>2850</v>
      </c>
      <c r="B579" t="s">
        <v>3008</v>
      </c>
      <c r="E579" t="s">
        <v>2536</v>
      </c>
      <c r="F579" t="s">
        <v>70</v>
      </c>
      <c r="G579" t="s">
        <v>3009</v>
      </c>
      <c r="H579">
        <v>2005</v>
      </c>
      <c r="I579" s="364">
        <v>4</v>
      </c>
      <c r="J579" s="364"/>
      <c r="K579" t="s">
        <v>3010</v>
      </c>
      <c r="L579" t="s">
        <v>1863</v>
      </c>
      <c r="O579" s="363">
        <f t="shared" si="26"/>
        <v>0.04</v>
      </c>
      <c r="T579">
        <v>1</v>
      </c>
      <c r="U579" t="s">
        <v>2884</v>
      </c>
      <c r="V579" t="s">
        <v>814</v>
      </c>
    </row>
    <row r="580" spans="1:22" x14ac:dyDescent="0.45">
      <c r="A580" t="s">
        <v>2850</v>
      </c>
      <c r="B580" t="s">
        <v>3008</v>
      </c>
      <c r="C580" t="str">
        <f t="shared" ref="C580" si="40">_xlfn.CONCAT(B580,U580)</f>
        <v>VC21ET15</v>
      </c>
      <c r="E580" t="s">
        <v>2536</v>
      </c>
      <c r="F580" t="s">
        <v>70</v>
      </c>
      <c r="G580" t="s">
        <v>3009</v>
      </c>
      <c r="H580">
        <v>2016</v>
      </c>
      <c r="I580" s="364">
        <v>9.3000000000000007</v>
      </c>
      <c r="J580" s="364"/>
      <c r="K580" t="s">
        <v>3010</v>
      </c>
      <c r="L580" t="s">
        <v>1863</v>
      </c>
      <c r="O580" s="363">
        <f t="shared" si="26"/>
        <v>9.3000000000000013E-2</v>
      </c>
      <c r="Q580" s="373">
        <f>(I580/I581)^(1/(H580-H581))</f>
        <v>0.98169494647415401</v>
      </c>
      <c r="T580">
        <v>1</v>
      </c>
      <c r="U580" t="s">
        <v>2885</v>
      </c>
      <c r="V580" t="s">
        <v>2886</v>
      </c>
    </row>
    <row r="581" spans="1:22" x14ac:dyDescent="0.45">
      <c r="A581" t="s">
        <v>2850</v>
      </c>
      <c r="B581" t="s">
        <v>3008</v>
      </c>
      <c r="E581" t="s">
        <v>2536</v>
      </c>
      <c r="F581" t="s">
        <v>70</v>
      </c>
      <c r="G581" t="s">
        <v>3009</v>
      </c>
      <c r="H581">
        <v>2011</v>
      </c>
      <c r="I581" s="364">
        <v>10.199999999999999</v>
      </c>
      <c r="J581" s="364"/>
      <c r="K581" t="s">
        <v>3010</v>
      </c>
      <c r="L581" t="s">
        <v>1863</v>
      </c>
      <c r="O581" s="363">
        <f t="shared" si="26"/>
        <v>0.10199999999999999</v>
      </c>
      <c r="Q581" s="373">
        <f>(I581/I582)^(1/(H581-H582))</f>
        <v>0.98020531988022463</v>
      </c>
      <c r="T581">
        <v>1</v>
      </c>
      <c r="U581" t="s">
        <v>2885</v>
      </c>
      <c r="V581" t="s">
        <v>2886</v>
      </c>
    </row>
    <row r="582" spans="1:22" x14ac:dyDescent="0.45">
      <c r="A582" t="s">
        <v>2850</v>
      </c>
      <c r="B582" t="s">
        <v>3008</v>
      </c>
      <c r="E582" t="s">
        <v>2536</v>
      </c>
      <c r="F582" t="s">
        <v>70</v>
      </c>
      <c r="G582" t="s">
        <v>3009</v>
      </c>
      <c r="H582">
        <v>2005</v>
      </c>
      <c r="I582" s="364">
        <v>11.5</v>
      </c>
      <c r="J582" s="364"/>
      <c r="K582" t="s">
        <v>3010</v>
      </c>
      <c r="L582" t="s">
        <v>1863</v>
      </c>
      <c r="O582" s="363">
        <f t="shared" si="26"/>
        <v>0.115</v>
      </c>
      <c r="T582">
        <v>1</v>
      </c>
      <c r="U582" t="s">
        <v>2885</v>
      </c>
      <c r="V582" t="s">
        <v>2886</v>
      </c>
    </row>
    <row r="583" spans="1:22" x14ac:dyDescent="0.45">
      <c r="A583" t="s">
        <v>3011</v>
      </c>
      <c r="B583" t="s">
        <v>3012</v>
      </c>
      <c r="C583" t="str">
        <f t="shared" ref="C583:C597" si="41">_xlfn.CONCAT(B583,U583)</f>
        <v>VC22ET</v>
      </c>
      <c r="D583" t="s">
        <v>2534</v>
      </c>
      <c r="E583" t="s">
        <v>2537</v>
      </c>
      <c r="F583" t="s">
        <v>70</v>
      </c>
      <c r="G583" t="s">
        <v>2533</v>
      </c>
      <c r="H583">
        <v>2016</v>
      </c>
      <c r="I583" s="364">
        <v>1.3</v>
      </c>
      <c r="K583" t="s">
        <v>3013</v>
      </c>
      <c r="L583" t="s">
        <v>1863</v>
      </c>
      <c r="O583" s="363">
        <f t="shared" si="26"/>
        <v>1.3000000000000001E-2</v>
      </c>
      <c r="T583">
        <v>0</v>
      </c>
      <c r="U583" t="s">
        <v>2849</v>
      </c>
      <c r="V583" t="s">
        <v>594</v>
      </c>
    </row>
    <row r="584" spans="1:22" x14ac:dyDescent="0.45">
      <c r="A584" t="s">
        <v>3014</v>
      </c>
      <c r="B584" t="s">
        <v>3012</v>
      </c>
      <c r="C584" t="str">
        <f t="shared" si="41"/>
        <v>VC22ETR</v>
      </c>
      <c r="E584" t="s">
        <v>2537</v>
      </c>
      <c r="F584" t="s">
        <v>70</v>
      </c>
      <c r="G584" t="s">
        <v>2533</v>
      </c>
      <c r="H584">
        <v>2016</v>
      </c>
      <c r="I584" s="364">
        <f>I$583/I$541*I544</f>
        <v>1.3838709677419354</v>
      </c>
      <c r="K584" t="s">
        <v>3013</v>
      </c>
      <c r="L584" t="s">
        <v>1863</v>
      </c>
      <c r="O584" s="363">
        <f t="shared" si="26"/>
        <v>1.3838709677419354E-2</v>
      </c>
      <c r="T584">
        <v>0.5</v>
      </c>
      <c r="U584" t="s">
        <v>2866</v>
      </c>
      <c r="V584" t="s">
        <v>84</v>
      </c>
    </row>
    <row r="585" spans="1:22" x14ac:dyDescent="0.45">
      <c r="A585" t="s">
        <v>3014</v>
      </c>
      <c r="B585" t="s">
        <v>3012</v>
      </c>
      <c r="C585" t="str">
        <f t="shared" si="41"/>
        <v>VC22ETU</v>
      </c>
      <c r="E585" t="s">
        <v>2537</v>
      </c>
      <c r="F585" t="s">
        <v>70</v>
      </c>
      <c r="G585" t="s">
        <v>2533</v>
      </c>
      <c r="H585">
        <v>2016</v>
      </c>
      <c r="I585" s="364">
        <f>I$583/I$541*I547</f>
        <v>0.62903225806451613</v>
      </c>
      <c r="K585" t="s">
        <v>3013</v>
      </c>
      <c r="L585" t="s">
        <v>1863</v>
      </c>
      <c r="O585" s="363">
        <f t="shared" si="26"/>
        <v>6.2903225806451614E-3</v>
      </c>
      <c r="T585">
        <v>0.5</v>
      </c>
      <c r="U585" t="s">
        <v>2867</v>
      </c>
      <c r="V585" t="s">
        <v>336</v>
      </c>
    </row>
    <row r="586" spans="1:22" x14ac:dyDescent="0.45">
      <c r="A586" t="s">
        <v>3014</v>
      </c>
      <c r="B586" t="s">
        <v>3012</v>
      </c>
      <c r="C586" t="str">
        <f t="shared" si="41"/>
        <v>VC22ET01</v>
      </c>
      <c r="E586" t="s">
        <v>2537</v>
      </c>
      <c r="F586" t="s">
        <v>70</v>
      </c>
      <c r="G586" t="s">
        <v>2533</v>
      </c>
      <c r="H586">
        <v>2016</v>
      </c>
      <c r="I586" s="364">
        <f>I$583/I$541*I550</f>
        <v>0.62903225806451613</v>
      </c>
      <c r="K586" t="s">
        <v>3013</v>
      </c>
      <c r="L586" t="s">
        <v>1863</v>
      </c>
      <c r="O586" s="363">
        <f t="shared" si="26"/>
        <v>6.2903225806451614E-3</v>
      </c>
      <c r="T586">
        <v>1</v>
      </c>
      <c r="U586" t="s">
        <v>2868</v>
      </c>
      <c r="V586" t="s">
        <v>806</v>
      </c>
    </row>
    <row r="587" spans="1:22" x14ac:dyDescent="0.45">
      <c r="A587" t="s">
        <v>3014</v>
      </c>
      <c r="B587" t="s">
        <v>3012</v>
      </c>
      <c r="C587" t="str">
        <f t="shared" si="41"/>
        <v>VC22ET02</v>
      </c>
      <c r="E587" t="s">
        <v>2537</v>
      </c>
      <c r="F587" t="s">
        <v>70</v>
      </c>
      <c r="G587" t="s">
        <v>2533</v>
      </c>
      <c r="H587">
        <v>2016</v>
      </c>
      <c r="I587" s="364">
        <f>I$583/I$541*I553</f>
        <v>1.6774193548387097</v>
      </c>
      <c r="K587" t="s">
        <v>3013</v>
      </c>
      <c r="L587" t="s">
        <v>1863</v>
      </c>
      <c r="O587" s="363">
        <f t="shared" si="26"/>
        <v>1.6774193548387096E-2</v>
      </c>
      <c r="T587">
        <v>1</v>
      </c>
      <c r="U587" t="s">
        <v>2869</v>
      </c>
      <c r="V587" t="s">
        <v>2946</v>
      </c>
    </row>
    <row r="588" spans="1:22" x14ac:dyDescent="0.45">
      <c r="A588" t="s">
        <v>3014</v>
      </c>
      <c r="B588" t="s">
        <v>3012</v>
      </c>
      <c r="C588" t="str">
        <f t="shared" si="41"/>
        <v>VC22ET03</v>
      </c>
      <c r="E588" t="s">
        <v>2537</v>
      </c>
      <c r="F588" t="s">
        <v>70</v>
      </c>
      <c r="G588" t="s">
        <v>2533</v>
      </c>
      <c r="H588">
        <v>2016</v>
      </c>
      <c r="I588" s="364">
        <f>I$583/I$541*I556</f>
        <v>0.96451612903225803</v>
      </c>
      <c r="K588" t="s">
        <v>3013</v>
      </c>
      <c r="L588" t="s">
        <v>1863</v>
      </c>
      <c r="O588" s="363">
        <f t="shared" si="26"/>
        <v>9.6451612903225795E-3</v>
      </c>
      <c r="T588">
        <v>1</v>
      </c>
      <c r="U588" t="s">
        <v>2871</v>
      </c>
      <c r="V588" t="s">
        <v>805</v>
      </c>
    </row>
    <row r="589" spans="1:22" x14ac:dyDescent="0.45">
      <c r="A589" t="s">
        <v>3014</v>
      </c>
      <c r="B589" t="s">
        <v>3012</v>
      </c>
      <c r="C589" t="str">
        <f t="shared" si="41"/>
        <v>VC22ET04</v>
      </c>
      <c r="E589" t="s">
        <v>2537</v>
      </c>
      <c r="F589" t="s">
        <v>70</v>
      </c>
      <c r="G589" t="s">
        <v>2533</v>
      </c>
      <c r="H589">
        <v>2016</v>
      </c>
      <c r="I589" s="364">
        <f>I$583/I$541*I559</f>
        <v>1.5935483870967742</v>
      </c>
      <c r="K589" t="s">
        <v>3013</v>
      </c>
      <c r="L589" t="s">
        <v>1863</v>
      </c>
      <c r="O589" s="363">
        <f t="shared" si="26"/>
        <v>1.5935483870967743E-2</v>
      </c>
      <c r="T589">
        <v>1</v>
      </c>
      <c r="U589" t="s">
        <v>2872</v>
      </c>
      <c r="V589" t="s">
        <v>809</v>
      </c>
    </row>
    <row r="590" spans="1:22" x14ac:dyDescent="0.45">
      <c r="A590" t="s">
        <v>3014</v>
      </c>
      <c r="B590" t="s">
        <v>3012</v>
      </c>
      <c r="C590" t="str">
        <f t="shared" si="41"/>
        <v>VC22ET05</v>
      </c>
      <c r="E590" t="s">
        <v>2537</v>
      </c>
      <c r="F590" t="s">
        <v>70</v>
      </c>
      <c r="G590" t="s">
        <v>2533</v>
      </c>
      <c r="H590">
        <v>2016</v>
      </c>
      <c r="I590" s="364">
        <f>I$583/I$541*I562</f>
        <v>5.3677419354838714</v>
      </c>
      <c r="K590" t="s">
        <v>3013</v>
      </c>
      <c r="L590" t="s">
        <v>1863</v>
      </c>
      <c r="O590" s="363">
        <f t="shared" si="26"/>
        <v>5.3677419354838711E-2</v>
      </c>
      <c r="T590">
        <v>1</v>
      </c>
      <c r="U590" t="s">
        <v>2873</v>
      </c>
      <c r="V590" t="s">
        <v>2874</v>
      </c>
    </row>
    <row r="591" spans="1:22" x14ac:dyDescent="0.45">
      <c r="A591" t="s">
        <v>3014</v>
      </c>
      <c r="B591" t="s">
        <v>3012</v>
      </c>
      <c r="C591" t="str">
        <f t="shared" si="41"/>
        <v>VC22ET06</v>
      </c>
      <c r="E591" t="s">
        <v>2537</v>
      </c>
      <c r="F591" t="s">
        <v>70</v>
      </c>
      <c r="G591" t="s">
        <v>2533</v>
      </c>
      <c r="H591">
        <v>2016</v>
      </c>
      <c r="I591" s="364">
        <f>I$583/I$541*I565</f>
        <v>0.29354838709677417</v>
      </c>
      <c r="K591" t="s">
        <v>3013</v>
      </c>
      <c r="L591" t="s">
        <v>1863</v>
      </c>
      <c r="O591" s="363">
        <f t="shared" si="26"/>
        <v>2.9354838709677415E-3</v>
      </c>
      <c r="T591">
        <v>1</v>
      </c>
      <c r="U591" t="s">
        <v>2876</v>
      </c>
      <c r="V591" t="s">
        <v>2877</v>
      </c>
    </row>
    <row r="592" spans="1:22" x14ac:dyDescent="0.45">
      <c r="A592" t="s">
        <v>3014</v>
      </c>
      <c r="B592" t="s">
        <v>3012</v>
      </c>
      <c r="C592" t="str">
        <f t="shared" si="41"/>
        <v>VC22ET07</v>
      </c>
      <c r="E592" t="s">
        <v>2537</v>
      </c>
      <c r="F592" t="s">
        <v>70</v>
      </c>
      <c r="G592" t="s">
        <v>2533</v>
      </c>
      <c r="H592">
        <v>2016</v>
      </c>
      <c r="I592" s="364">
        <f>I$583/I$541*I568</f>
        <v>0.58709677419354833</v>
      </c>
      <c r="K592" t="s">
        <v>3013</v>
      </c>
      <c r="L592" t="s">
        <v>1863</v>
      </c>
      <c r="O592" s="363">
        <f t="shared" si="26"/>
        <v>5.870967741935483E-3</v>
      </c>
      <c r="T592">
        <v>1</v>
      </c>
      <c r="U592" t="s">
        <v>2878</v>
      </c>
      <c r="V592" t="s">
        <v>2879</v>
      </c>
    </row>
    <row r="593" spans="1:22" x14ac:dyDescent="0.45">
      <c r="A593" t="s">
        <v>3014</v>
      </c>
      <c r="B593" t="s">
        <v>3012</v>
      </c>
      <c r="C593" t="str">
        <f t="shared" si="41"/>
        <v>VC22ET12</v>
      </c>
      <c r="E593" t="s">
        <v>2537</v>
      </c>
      <c r="F593" t="s">
        <v>70</v>
      </c>
      <c r="G593" t="s">
        <v>2533</v>
      </c>
      <c r="H593">
        <v>2016</v>
      </c>
      <c r="I593" s="364">
        <f>I$583/I$541*I571</f>
        <v>0.29354838709677417</v>
      </c>
      <c r="K593" t="s">
        <v>3013</v>
      </c>
      <c r="L593" t="s">
        <v>1863</v>
      </c>
      <c r="O593" s="363">
        <f t="shared" si="26"/>
        <v>2.9354838709677415E-3</v>
      </c>
      <c r="T593">
        <v>1</v>
      </c>
      <c r="U593" t="s">
        <v>2880</v>
      </c>
      <c r="V593" t="s">
        <v>2881</v>
      </c>
    </row>
    <row r="594" spans="1:22" x14ac:dyDescent="0.45">
      <c r="A594" t="s">
        <v>3014</v>
      </c>
      <c r="B594" t="s">
        <v>3012</v>
      </c>
      <c r="C594" t="str">
        <f t="shared" si="41"/>
        <v>VC22ET13</v>
      </c>
      <c r="E594" t="s">
        <v>2537</v>
      </c>
      <c r="F594" t="s">
        <v>70</v>
      </c>
      <c r="G594" t="s">
        <v>2533</v>
      </c>
      <c r="H594">
        <v>2016</v>
      </c>
      <c r="I594" s="364">
        <f>I$583/I$541*I574</f>
        <v>2.3483870967741933</v>
      </c>
      <c r="K594" t="s">
        <v>3013</v>
      </c>
      <c r="L594" t="s">
        <v>1863</v>
      </c>
      <c r="O594" s="363">
        <f t="shared" si="26"/>
        <v>2.3483870967741932E-2</v>
      </c>
      <c r="T594">
        <v>1</v>
      </c>
      <c r="U594" t="s">
        <v>2882</v>
      </c>
      <c r="V594" t="s">
        <v>2883</v>
      </c>
    </row>
    <row r="595" spans="1:22" x14ac:dyDescent="0.45">
      <c r="A595" t="s">
        <v>3014</v>
      </c>
      <c r="B595" t="s">
        <v>3012</v>
      </c>
      <c r="C595" t="str">
        <f t="shared" si="41"/>
        <v>VC22ET14</v>
      </c>
      <c r="E595" t="s">
        <v>2537</v>
      </c>
      <c r="F595" t="s">
        <v>70</v>
      </c>
      <c r="G595" t="s">
        <v>2533</v>
      </c>
      <c r="H595">
        <v>2016</v>
      </c>
      <c r="I595" s="364">
        <f>I$583/I$541*I577</f>
        <v>0.75483870967741939</v>
      </c>
      <c r="K595" t="s">
        <v>3013</v>
      </c>
      <c r="L595" t="s">
        <v>1863</v>
      </c>
      <c r="O595" s="363">
        <f t="shared" si="26"/>
        <v>7.5483870967741938E-3</v>
      </c>
      <c r="T595">
        <v>1</v>
      </c>
      <c r="U595" t="s">
        <v>2884</v>
      </c>
      <c r="V595" t="s">
        <v>814</v>
      </c>
    </row>
    <row r="596" spans="1:22" x14ac:dyDescent="0.45">
      <c r="A596" t="s">
        <v>3014</v>
      </c>
      <c r="B596" t="s">
        <v>3012</v>
      </c>
      <c r="C596" t="str">
        <f t="shared" si="41"/>
        <v>VC22ET15</v>
      </c>
      <c r="E596" t="s">
        <v>2537</v>
      </c>
      <c r="F596" t="s">
        <v>70</v>
      </c>
      <c r="G596" t="s">
        <v>2533</v>
      </c>
      <c r="H596">
        <v>2016</v>
      </c>
      <c r="I596" s="364">
        <f>I$583/I$541*I580</f>
        <v>3.9000000000000004</v>
      </c>
      <c r="K596" t="s">
        <v>3013</v>
      </c>
      <c r="L596" t="s">
        <v>1863</v>
      </c>
      <c r="O596" s="363">
        <f t="shared" si="26"/>
        <v>3.9000000000000007E-2</v>
      </c>
      <c r="T596">
        <v>1</v>
      </c>
      <c r="U596" t="s">
        <v>2885</v>
      </c>
      <c r="V596" t="s">
        <v>2886</v>
      </c>
    </row>
    <row r="597" spans="1:22" x14ac:dyDescent="0.45">
      <c r="A597" t="s">
        <v>2850</v>
      </c>
      <c r="B597" t="s">
        <v>3015</v>
      </c>
      <c r="C597" t="str">
        <f t="shared" si="41"/>
        <v>VC23ET</v>
      </c>
      <c r="D597" t="s">
        <v>2535</v>
      </c>
      <c r="E597" t="s">
        <v>2538</v>
      </c>
      <c r="F597" t="s">
        <v>70</v>
      </c>
      <c r="G597" t="s">
        <v>201</v>
      </c>
      <c r="H597">
        <v>2016</v>
      </c>
      <c r="I597" s="364">
        <v>1.4</v>
      </c>
      <c r="J597" s="364"/>
      <c r="K597" t="s">
        <v>3016</v>
      </c>
      <c r="L597" t="s">
        <v>1863</v>
      </c>
      <c r="O597" s="363">
        <f t="shared" si="26"/>
        <v>1.3999999999999999E-2</v>
      </c>
      <c r="P597" t="s">
        <v>1863</v>
      </c>
      <c r="Q597" s="373">
        <f>(I597/I598)^(1/(H597-H598))</f>
        <v>1.0696103757250688</v>
      </c>
      <c r="T597">
        <v>0</v>
      </c>
      <c r="U597" t="s">
        <v>2849</v>
      </c>
      <c r="V597" t="s">
        <v>594</v>
      </c>
    </row>
    <row r="598" spans="1:22" x14ac:dyDescent="0.45">
      <c r="A598" t="s">
        <v>2850</v>
      </c>
      <c r="B598" t="s">
        <v>3015</v>
      </c>
      <c r="E598" t="s">
        <v>2538</v>
      </c>
      <c r="F598" t="s">
        <v>70</v>
      </c>
      <c r="G598" t="s">
        <v>201</v>
      </c>
      <c r="H598">
        <v>2011</v>
      </c>
      <c r="I598" s="364">
        <v>1</v>
      </c>
      <c r="J598" s="364"/>
      <c r="K598" t="s">
        <v>3016</v>
      </c>
      <c r="L598" t="s">
        <v>1863</v>
      </c>
      <c r="O598" s="363">
        <f t="shared" si="26"/>
        <v>0.01</v>
      </c>
      <c r="Q598" s="373">
        <f>(I598/I599)^(1/(H598-H599))</f>
        <v>0.87038626147512566</v>
      </c>
      <c r="T598">
        <v>0</v>
      </c>
      <c r="U598" t="s">
        <v>2849</v>
      </c>
      <c r="V598" t="s">
        <v>594</v>
      </c>
    </row>
    <row r="599" spans="1:22" x14ac:dyDescent="0.45">
      <c r="A599" t="s">
        <v>2850</v>
      </c>
      <c r="B599" t="s">
        <v>3015</v>
      </c>
      <c r="E599" t="s">
        <v>2538</v>
      </c>
      <c r="F599" t="s">
        <v>70</v>
      </c>
      <c r="G599" t="s">
        <v>201</v>
      </c>
      <c r="H599">
        <v>2005</v>
      </c>
      <c r="I599" s="364">
        <v>2.2999999999999998</v>
      </c>
      <c r="J599" s="364"/>
      <c r="K599" t="s">
        <v>3016</v>
      </c>
      <c r="L599" t="s">
        <v>1863</v>
      </c>
      <c r="O599" s="363">
        <f t="shared" si="26"/>
        <v>2.3E-2</v>
      </c>
      <c r="T599">
        <v>0</v>
      </c>
      <c r="U599" t="s">
        <v>2849</v>
      </c>
      <c r="V599" t="s">
        <v>594</v>
      </c>
    </row>
    <row r="600" spans="1:22" x14ac:dyDescent="0.45">
      <c r="A600" t="s">
        <v>2850</v>
      </c>
      <c r="B600" t="s">
        <v>3015</v>
      </c>
      <c r="C600" t="str">
        <f t="shared" ref="C600" si="42">_xlfn.CONCAT(B600,U600)</f>
        <v>VC23ETR</v>
      </c>
      <c r="E600" t="s">
        <v>2538</v>
      </c>
      <c r="F600" t="s">
        <v>70</v>
      </c>
      <c r="G600" t="s">
        <v>201</v>
      </c>
      <c r="H600">
        <v>2016</v>
      </c>
      <c r="I600" s="364">
        <v>1.6</v>
      </c>
      <c r="J600" s="364"/>
      <c r="K600" t="s">
        <v>3016</v>
      </c>
      <c r="L600" t="s">
        <v>1863</v>
      </c>
      <c r="O600" s="363">
        <f t="shared" si="26"/>
        <v>1.6E-2</v>
      </c>
      <c r="Q600" s="373">
        <f>(I600/I601)^(1/(H600-H601))</f>
        <v>1.0592238410488122</v>
      </c>
      <c r="T600">
        <v>0.5</v>
      </c>
      <c r="U600" t="s">
        <v>2866</v>
      </c>
      <c r="V600" t="s">
        <v>84</v>
      </c>
    </row>
    <row r="601" spans="1:22" x14ac:dyDescent="0.45">
      <c r="A601" t="s">
        <v>2850</v>
      </c>
      <c r="B601" t="s">
        <v>3015</v>
      </c>
      <c r="E601" t="s">
        <v>2538</v>
      </c>
      <c r="F601" t="s">
        <v>70</v>
      </c>
      <c r="G601" t="s">
        <v>201</v>
      </c>
      <c r="H601">
        <v>2011</v>
      </c>
      <c r="I601" s="364">
        <v>1.2</v>
      </c>
      <c r="J601" s="364"/>
      <c r="K601" t="s">
        <v>3016</v>
      </c>
      <c r="L601" t="s">
        <v>1863</v>
      </c>
      <c r="O601" s="363">
        <f t="shared" si="26"/>
        <v>1.2E-2</v>
      </c>
      <c r="Q601" s="373">
        <f>(I601/I602)^(1/(H601-H602))</f>
        <v>0.88485791414993442</v>
      </c>
      <c r="T601">
        <v>0.5</v>
      </c>
      <c r="U601" t="s">
        <v>2866</v>
      </c>
      <c r="V601" t="s">
        <v>84</v>
      </c>
    </row>
    <row r="602" spans="1:22" x14ac:dyDescent="0.45">
      <c r="A602" t="s">
        <v>2850</v>
      </c>
      <c r="B602" t="s">
        <v>3015</v>
      </c>
      <c r="E602" t="s">
        <v>2538</v>
      </c>
      <c r="F602" t="s">
        <v>70</v>
      </c>
      <c r="G602" t="s">
        <v>201</v>
      </c>
      <c r="H602">
        <v>2005</v>
      </c>
      <c r="I602" s="364">
        <v>2.5</v>
      </c>
      <c r="J602" s="364"/>
      <c r="K602" t="s">
        <v>3016</v>
      </c>
      <c r="L602" t="s">
        <v>1863</v>
      </c>
      <c r="O602" s="363">
        <f t="shared" si="26"/>
        <v>2.5000000000000001E-2</v>
      </c>
      <c r="T602">
        <v>0.5</v>
      </c>
      <c r="U602" t="s">
        <v>2866</v>
      </c>
      <c r="V602" t="s">
        <v>84</v>
      </c>
    </row>
    <row r="603" spans="1:22" x14ac:dyDescent="0.45">
      <c r="A603" t="s">
        <v>2850</v>
      </c>
      <c r="B603" t="s">
        <v>3015</v>
      </c>
      <c r="C603" t="str">
        <f t="shared" ref="C603" si="43">_xlfn.CONCAT(B603,U603)</f>
        <v>VC23ETU</v>
      </c>
      <c r="E603" t="s">
        <v>2538</v>
      </c>
      <c r="F603" t="s">
        <v>70</v>
      </c>
      <c r="G603" t="s">
        <v>201</v>
      </c>
      <c r="H603">
        <v>2016</v>
      </c>
      <c r="I603" s="364">
        <v>0.6</v>
      </c>
      <c r="J603" s="364"/>
      <c r="K603" t="s">
        <v>3016</v>
      </c>
      <c r="L603" t="s">
        <v>1863</v>
      </c>
      <c r="O603" s="363">
        <f t="shared" si="26"/>
        <v>6.0000000000000001E-3</v>
      </c>
      <c r="Q603" s="373">
        <f>(I603/I604)^(1/(H603-H604))</f>
        <v>1.0371372893366482</v>
      </c>
      <c r="T603">
        <v>0.5</v>
      </c>
      <c r="U603" t="s">
        <v>2867</v>
      </c>
      <c r="V603" t="s">
        <v>336</v>
      </c>
    </row>
    <row r="604" spans="1:22" x14ac:dyDescent="0.45">
      <c r="A604" t="s">
        <v>2850</v>
      </c>
      <c r="B604" t="s">
        <v>3015</v>
      </c>
      <c r="E604" t="s">
        <v>2538</v>
      </c>
      <c r="F604" t="s">
        <v>70</v>
      </c>
      <c r="G604" t="s">
        <v>201</v>
      </c>
      <c r="H604">
        <v>2011</v>
      </c>
      <c r="I604" s="364">
        <v>0.5</v>
      </c>
      <c r="J604" s="364"/>
      <c r="K604" t="s">
        <v>3016</v>
      </c>
      <c r="L604" t="s">
        <v>1863</v>
      </c>
      <c r="O604" s="363">
        <f t="shared" si="26"/>
        <v>5.0000000000000001E-3</v>
      </c>
      <c r="Q604" s="373">
        <f>(I604/I605)^(1/(H604-H605))</f>
        <v>0.8527815098471232</v>
      </c>
      <c r="T604">
        <v>0.5</v>
      </c>
      <c r="U604" t="s">
        <v>2867</v>
      </c>
      <c r="V604" t="s">
        <v>336</v>
      </c>
    </row>
    <row r="605" spans="1:22" x14ac:dyDescent="0.45">
      <c r="A605" t="s">
        <v>2850</v>
      </c>
      <c r="B605" t="s">
        <v>3015</v>
      </c>
      <c r="E605" t="s">
        <v>2538</v>
      </c>
      <c r="F605" t="s">
        <v>70</v>
      </c>
      <c r="G605" t="s">
        <v>201</v>
      </c>
      <c r="H605">
        <v>2005</v>
      </c>
      <c r="I605" s="364">
        <v>1.3</v>
      </c>
      <c r="J605" s="364"/>
      <c r="K605" t="s">
        <v>3016</v>
      </c>
      <c r="L605" t="s">
        <v>1863</v>
      </c>
      <c r="O605" s="363">
        <f t="shared" si="26"/>
        <v>1.3000000000000001E-2</v>
      </c>
      <c r="T605">
        <v>0.5</v>
      </c>
      <c r="U605" t="s">
        <v>2867</v>
      </c>
      <c r="V605" t="s">
        <v>336</v>
      </c>
    </row>
    <row r="606" spans="1:22" x14ac:dyDescent="0.45">
      <c r="A606" t="s">
        <v>2850</v>
      </c>
      <c r="B606" t="s">
        <v>3015</v>
      </c>
      <c r="C606" t="str">
        <f t="shared" ref="C606" si="44">_xlfn.CONCAT(B606,U606)</f>
        <v>VC23ET01</v>
      </c>
      <c r="E606" t="s">
        <v>2538</v>
      </c>
      <c r="F606" t="s">
        <v>70</v>
      </c>
      <c r="G606" t="s">
        <v>201</v>
      </c>
      <c r="H606">
        <v>2016</v>
      </c>
      <c r="I606" s="364">
        <v>0.7</v>
      </c>
      <c r="J606" s="364"/>
      <c r="K606" t="s">
        <v>3016</v>
      </c>
      <c r="L606" t="s">
        <v>1863</v>
      </c>
      <c r="O606" s="363">
        <f t="shared" ref="O606:O638" si="45">I606/100</f>
        <v>6.9999999999999993E-3</v>
      </c>
      <c r="Q606" s="373">
        <f>(I606/I607)^(1/(H606-H607))</f>
        <v>0.97364718061516808</v>
      </c>
      <c r="T606">
        <v>1</v>
      </c>
      <c r="U606" t="s">
        <v>2868</v>
      </c>
      <c r="V606" t="s">
        <v>806</v>
      </c>
    </row>
    <row r="607" spans="1:22" x14ac:dyDescent="0.45">
      <c r="A607" t="s">
        <v>2850</v>
      </c>
      <c r="B607" t="s">
        <v>3015</v>
      </c>
      <c r="E607" t="s">
        <v>2538</v>
      </c>
      <c r="F607" t="s">
        <v>70</v>
      </c>
      <c r="G607" t="s">
        <v>201</v>
      </c>
      <c r="H607">
        <v>2011</v>
      </c>
      <c r="I607" s="364">
        <v>0.8</v>
      </c>
      <c r="J607" s="364"/>
      <c r="K607" t="s">
        <v>3016</v>
      </c>
      <c r="L607" t="s">
        <v>1863</v>
      </c>
      <c r="O607" s="363">
        <f t="shared" si="45"/>
        <v>8.0000000000000002E-3</v>
      </c>
      <c r="Q607" s="373">
        <f>(I607/I608)^(1/(H607-H608))</f>
        <v>0.92226934274428762</v>
      </c>
      <c r="T607">
        <v>1</v>
      </c>
      <c r="U607" t="s">
        <v>2868</v>
      </c>
      <c r="V607" t="s">
        <v>806</v>
      </c>
    </row>
    <row r="608" spans="1:22" x14ac:dyDescent="0.45">
      <c r="A608" t="s">
        <v>2850</v>
      </c>
      <c r="B608" t="s">
        <v>3015</v>
      </c>
      <c r="E608" t="s">
        <v>2538</v>
      </c>
      <c r="F608" t="s">
        <v>70</v>
      </c>
      <c r="G608" t="s">
        <v>201</v>
      </c>
      <c r="H608">
        <v>2005</v>
      </c>
      <c r="I608" s="364">
        <v>1.3</v>
      </c>
      <c r="J608" s="364"/>
      <c r="K608" t="s">
        <v>3016</v>
      </c>
      <c r="L608" t="s">
        <v>1863</v>
      </c>
      <c r="O608" s="363">
        <f t="shared" si="45"/>
        <v>1.3000000000000001E-2</v>
      </c>
      <c r="T608">
        <v>1</v>
      </c>
      <c r="U608" t="s">
        <v>2868</v>
      </c>
      <c r="V608" t="s">
        <v>806</v>
      </c>
    </row>
    <row r="609" spans="1:22" x14ac:dyDescent="0.45">
      <c r="A609" t="s">
        <v>2850</v>
      </c>
      <c r="B609" t="s">
        <v>3015</v>
      </c>
      <c r="C609" t="str">
        <f t="shared" ref="C609" si="46">_xlfn.CONCAT(B609,U609)</f>
        <v>VC23ET02</v>
      </c>
      <c r="E609" t="s">
        <v>2538</v>
      </c>
      <c r="F609" t="s">
        <v>70</v>
      </c>
      <c r="G609" t="s">
        <v>201</v>
      </c>
      <c r="H609">
        <v>2016</v>
      </c>
      <c r="I609" s="364">
        <v>3.6</v>
      </c>
      <c r="J609" s="364"/>
      <c r="K609" t="s">
        <v>3016</v>
      </c>
      <c r="L609" t="s">
        <v>1863</v>
      </c>
      <c r="O609" s="363">
        <f t="shared" si="45"/>
        <v>3.6000000000000004E-2</v>
      </c>
      <c r="Q609" s="373">
        <f>(I609/I610)^(1/(H609-H610))</f>
        <v>1.0303580331018511</v>
      </c>
      <c r="T609">
        <v>1</v>
      </c>
      <c r="U609" t="s">
        <v>2869</v>
      </c>
      <c r="V609" t="s">
        <v>2946</v>
      </c>
    </row>
    <row r="610" spans="1:22" x14ac:dyDescent="0.45">
      <c r="A610" t="s">
        <v>2850</v>
      </c>
      <c r="B610" t="s">
        <v>3015</v>
      </c>
      <c r="E610" t="s">
        <v>2538</v>
      </c>
      <c r="F610" t="s">
        <v>70</v>
      </c>
      <c r="G610" t="s">
        <v>201</v>
      </c>
      <c r="H610">
        <v>2011</v>
      </c>
      <c r="I610" s="364">
        <v>3.1</v>
      </c>
      <c r="J610" s="364"/>
      <c r="K610" t="s">
        <v>3016</v>
      </c>
      <c r="L610" t="s">
        <v>1863</v>
      </c>
      <c r="O610" s="363">
        <f t="shared" si="45"/>
        <v>3.1E-2</v>
      </c>
      <c r="Q610" s="373">
        <f>(I610/I611)^(1/(H610-H611))</f>
        <v>0.92341859323286302</v>
      </c>
      <c r="T610">
        <v>1</v>
      </c>
      <c r="U610" t="s">
        <v>2869</v>
      </c>
      <c r="V610" t="s">
        <v>2946</v>
      </c>
    </row>
    <row r="611" spans="1:22" x14ac:dyDescent="0.45">
      <c r="A611" t="s">
        <v>2850</v>
      </c>
      <c r="B611" t="s">
        <v>3015</v>
      </c>
      <c r="E611" t="s">
        <v>2538</v>
      </c>
      <c r="F611" t="s">
        <v>70</v>
      </c>
      <c r="G611" t="s">
        <v>201</v>
      </c>
      <c r="H611">
        <v>2005</v>
      </c>
      <c r="I611" s="364">
        <v>5</v>
      </c>
      <c r="J611" s="364"/>
      <c r="K611" t="s">
        <v>3016</v>
      </c>
      <c r="L611" t="s">
        <v>1863</v>
      </c>
      <c r="O611" s="363">
        <f t="shared" si="45"/>
        <v>0.05</v>
      </c>
      <c r="T611">
        <v>1</v>
      </c>
      <c r="U611" t="s">
        <v>2869</v>
      </c>
      <c r="V611" t="s">
        <v>2946</v>
      </c>
    </row>
    <row r="612" spans="1:22" x14ac:dyDescent="0.45">
      <c r="A612" t="s">
        <v>2850</v>
      </c>
      <c r="B612" t="s">
        <v>3015</v>
      </c>
      <c r="C612" t="str">
        <f t="shared" ref="C612" si="47">_xlfn.CONCAT(B612,U612)</f>
        <v>VC23ET03</v>
      </c>
      <c r="E612" t="s">
        <v>2538</v>
      </c>
      <c r="F612" t="s">
        <v>70</v>
      </c>
      <c r="G612" t="s">
        <v>201</v>
      </c>
      <c r="H612">
        <v>2016</v>
      </c>
      <c r="I612" s="364">
        <v>0.5</v>
      </c>
      <c r="J612" s="364"/>
      <c r="K612" t="s">
        <v>3016</v>
      </c>
      <c r="L612" t="s">
        <v>1863</v>
      </c>
      <c r="O612" s="363">
        <f t="shared" si="45"/>
        <v>5.0000000000000001E-3</v>
      </c>
      <c r="Q612" s="373">
        <f>(I612/I613)^(1/(H612-H613))</f>
        <v>0.88908953613219999</v>
      </c>
      <c r="T612">
        <v>1</v>
      </c>
      <c r="U612" t="s">
        <v>2871</v>
      </c>
      <c r="V612" t="s">
        <v>805</v>
      </c>
    </row>
    <row r="613" spans="1:22" x14ac:dyDescent="0.45">
      <c r="A613" t="s">
        <v>2850</v>
      </c>
      <c r="B613" t="s">
        <v>3015</v>
      </c>
      <c r="E613" t="s">
        <v>2538</v>
      </c>
      <c r="F613" t="s">
        <v>70</v>
      </c>
      <c r="G613" t="s">
        <v>201</v>
      </c>
      <c r="H613">
        <v>2011</v>
      </c>
      <c r="I613" s="364">
        <v>0.9</v>
      </c>
      <c r="J613" s="364"/>
      <c r="K613" t="s">
        <v>3016</v>
      </c>
      <c r="L613" t="s">
        <v>1863</v>
      </c>
      <c r="O613" s="363">
        <f t="shared" si="45"/>
        <v>9.0000000000000011E-3</v>
      </c>
      <c r="Q613" s="373">
        <f>(I613/I614)^(1/(H613-H614))</f>
        <v>0.8491906647824764</v>
      </c>
      <c r="T613">
        <v>1</v>
      </c>
      <c r="U613" t="s">
        <v>2871</v>
      </c>
      <c r="V613" t="s">
        <v>805</v>
      </c>
    </row>
    <row r="614" spans="1:22" x14ac:dyDescent="0.45">
      <c r="A614" t="s">
        <v>2850</v>
      </c>
      <c r="B614" t="s">
        <v>3015</v>
      </c>
      <c r="E614" t="s">
        <v>2538</v>
      </c>
      <c r="F614" t="s">
        <v>70</v>
      </c>
      <c r="G614" t="s">
        <v>201</v>
      </c>
      <c r="H614">
        <v>2005</v>
      </c>
      <c r="I614" s="364">
        <v>2.4</v>
      </c>
      <c r="J614" s="364"/>
      <c r="K614" t="s">
        <v>3016</v>
      </c>
      <c r="L614" t="s">
        <v>1863</v>
      </c>
      <c r="O614" s="363">
        <f t="shared" si="45"/>
        <v>2.4E-2</v>
      </c>
      <c r="T614">
        <v>1</v>
      </c>
      <c r="U614" t="s">
        <v>2871</v>
      </c>
      <c r="V614" t="s">
        <v>805</v>
      </c>
    </row>
    <row r="615" spans="1:22" x14ac:dyDescent="0.45">
      <c r="A615" t="s">
        <v>2850</v>
      </c>
      <c r="B615" t="s">
        <v>3015</v>
      </c>
      <c r="C615" t="str">
        <f t="shared" ref="C615" si="48">_xlfn.CONCAT(B615,U615)</f>
        <v>VC23ET04</v>
      </c>
      <c r="E615" t="s">
        <v>2538</v>
      </c>
      <c r="F615" t="s">
        <v>70</v>
      </c>
      <c r="G615" t="s">
        <v>201</v>
      </c>
      <c r="H615">
        <v>2016</v>
      </c>
      <c r="I615" s="364">
        <v>1.9</v>
      </c>
      <c r="J615" s="364"/>
      <c r="K615" t="s">
        <v>3016</v>
      </c>
      <c r="L615" t="s">
        <v>1863</v>
      </c>
      <c r="O615" s="363">
        <f t="shared" si="45"/>
        <v>1.9E-2</v>
      </c>
      <c r="Q615" s="373">
        <f>(I615/I616)^(1/(H615-H616))</f>
        <v>1.115506700140541</v>
      </c>
      <c r="T615">
        <v>1</v>
      </c>
      <c r="U615" t="s">
        <v>2872</v>
      </c>
      <c r="V615" t="s">
        <v>809</v>
      </c>
    </row>
    <row r="616" spans="1:22" x14ac:dyDescent="0.45">
      <c r="A616" t="s">
        <v>2850</v>
      </c>
      <c r="B616" t="s">
        <v>3015</v>
      </c>
      <c r="E616" t="s">
        <v>2538</v>
      </c>
      <c r="F616" t="s">
        <v>70</v>
      </c>
      <c r="G616" t="s">
        <v>201</v>
      </c>
      <c r="H616">
        <v>2011</v>
      </c>
      <c r="I616" s="364">
        <v>1.1000000000000001</v>
      </c>
      <c r="J616" s="364"/>
      <c r="K616" t="s">
        <v>3016</v>
      </c>
      <c r="L616" t="s">
        <v>1863</v>
      </c>
      <c r="O616" s="363">
        <f t="shared" si="45"/>
        <v>1.1000000000000001E-2</v>
      </c>
      <c r="Q616" s="373">
        <f>(I616/I617)^(1/(H616-H617))</f>
        <v>0.88432277120563829</v>
      </c>
      <c r="T616">
        <v>1</v>
      </c>
      <c r="U616" t="s">
        <v>2872</v>
      </c>
      <c r="V616" t="s">
        <v>809</v>
      </c>
    </row>
    <row r="617" spans="1:22" x14ac:dyDescent="0.45">
      <c r="A617" t="s">
        <v>2850</v>
      </c>
      <c r="B617" t="s">
        <v>3015</v>
      </c>
      <c r="E617" t="s">
        <v>2538</v>
      </c>
      <c r="F617" t="s">
        <v>70</v>
      </c>
      <c r="G617" t="s">
        <v>201</v>
      </c>
      <c r="H617">
        <v>2005</v>
      </c>
      <c r="I617" s="364">
        <v>2.2999999999999998</v>
      </c>
      <c r="J617" s="364"/>
      <c r="K617" t="s">
        <v>3016</v>
      </c>
      <c r="L617" t="s">
        <v>1863</v>
      </c>
      <c r="O617" s="363">
        <f t="shared" si="45"/>
        <v>2.3E-2</v>
      </c>
      <c r="T617">
        <v>1</v>
      </c>
      <c r="U617" t="s">
        <v>2872</v>
      </c>
      <c r="V617" t="s">
        <v>809</v>
      </c>
    </row>
    <row r="618" spans="1:22" x14ac:dyDescent="0.45">
      <c r="A618" t="s">
        <v>2850</v>
      </c>
      <c r="B618" t="s">
        <v>3015</v>
      </c>
      <c r="C618" t="str">
        <f t="shared" ref="C618" si="49">_xlfn.CONCAT(B618,U618)</f>
        <v>VC23ET05</v>
      </c>
      <c r="E618" t="s">
        <v>2538</v>
      </c>
      <c r="F618" t="s">
        <v>70</v>
      </c>
      <c r="G618" t="s">
        <v>201</v>
      </c>
      <c r="H618">
        <v>2016</v>
      </c>
      <c r="I618" s="364">
        <v>8.1999999999999993</v>
      </c>
      <c r="J618" s="364"/>
      <c r="K618" t="s">
        <v>3016</v>
      </c>
      <c r="L618" t="s">
        <v>1863</v>
      </c>
      <c r="O618" s="363">
        <f t="shared" si="45"/>
        <v>8.199999999999999E-2</v>
      </c>
      <c r="Q618" s="373">
        <f>(I618/I619)^(1/(H618-H619))</f>
        <v>1.032150821290873</v>
      </c>
      <c r="T618">
        <v>1</v>
      </c>
      <c r="U618" t="s">
        <v>2873</v>
      </c>
      <c r="V618" t="s">
        <v>2874</v>
      </c>
    </row>
    <row r="619" spans="1:22" x14ac:dyDescent="0.45">
      <c r="A619" t="s">
        <v>2850</v>
      </c>
      <c r="B619" t="s">
        <v>3015</v>
      </c>
      <c r="E619" t="s">
        <v>2538</v>
      </c>
      <c r="F619" t="s">
        <v>70</v>
      </c>
      <c r="G619" t="s">
        <v>201</v>
      </c>
      <c r="H619">
        <v>2011</v>
      </c>
      <c r="I619" s="364">
        <v>7</v>
      </c>
      <c r="J619" s="364"/>
      <c r="K619" t="s">
        <v>3016</v>
      </c>
      <c r="L619" t="s">
        <v>1863</v>
      </c>
      <c r="O619" s="363">
        <f t="shared" si="45"/>
        <v>7.0000000000000007E-2</v>
      </c>
      <c r="Q619" s="373">
        <f>(I619/I620)^(1/(H619-H620))</f>
        <v>0.98212607056212187</v>
      </c>
      <c r="T619">
        <v>1</v>
      </c>
      <c r="U619" t="s">
        <v>2873</v>
      </c>
      <c r="V619" t="s">
        <v>2874</v>
      </c>
    </row>
    <row r="620" spans="1:22" x14ac:dyDescent="0.45">
      <c r="A620" t="s">
        <v>2850</v>
      </c>
      <c r="B620" t="s">
        <v>3015</v>
      </c>
      <c r="E620" t="s">
        <v>2538</v>
      </c>
      <c r="F620" t="s">
        <v>70</v>
      </c>
      <c r="G620" t="s">
        <v>201</v>
      </c>
      <c r="H620">
        <v>2005</v>
      </c>
      <c r="I620" s="364">
        <v>7.8</v>
      </c>
      <c r="J620" s="364"/>
      <c r="K620" t="s">
        <v>3016</v>
      </c>
      <c r="L620" t="s">
        <v>1863</v>
      </c>
      <c r="O620" s="363">
        <f t="shared" si="45"/>
        <v>7.8E-2</v>
      </c>
      <c r="T620">
        <v>1</v>
      </c>
      <c r="U620" t="s">
        <v>2873</v>
      </c>
      <c r="V620" t="s">
        <v>2874</v>
      </c>
    </row>
    <row r="621" spans="1:22" x14ac:dyDescent="0.45">
      <c r="A621" t="s">
        <v>2850</v>
      </c>
      <c r="B621" t="s">
        <v>3015</v>
      </c>
      <c r="C621" t="str">
        <f t="shared" ref="C621" si="50">_xlfn.CONCAT(B621,U621)</f>
        <v>VC23ET06</v>
      </c>
      <c r="E621" t="s">
        <v>2538</v>
      </c>
      <c r="F621" t="s">
        <v>70</v>
      </c>
      <c r="G621" t="s">
        <v>201</v>
      </c>
      <c r="H621">
        <v>2016</v>
      </c>
      <c r="I621" s="364">
        <v>0.5</v>
      </c>
      <c r="J621" s="364"/>
      <c r="K621" t="s">
        <v>3016</v>
      </c>
      <c r="L621" t="s">
        <v>1863</v>
      </c>
      <c r="O621" s="363">
        <f t="shared" si="45"/>
        <v>5.0000000000000001E-3</v>
      </c>
      <c r="Q621" s="373">
        <f>(I621/I622)^(1/(H621-H622))</f>
        <v>0.96419250400262724</v>
      </c>
      <c r="T621">
        <v>1</v>
      </c>
      <c r="U621" t="s">
        <v>2876</v>
      </c>
      <c r="V621" t="s">
        <v>2877</v>
      </c>
    </row>
    <row r="622" spans="1:22" x14ac:dyDescent="0.45">
      <c r="A622" t="s">
        <v>2850</v>
      </c>
      <c r="B622" t="s">
        <v>3015</v>
      </c>
      <c r="E622" t="s">
        <v>2538</v>
      </c>
      <c r="F622" t="s">
        <v>70</v>
      </c>
      <c r="G622" t="s">
        <v>201</v>
      </c>
      <c r="H622">
        <v>2011</v>
      </c>
      <c r="I622" s="364">
        <v>0.6</v>
      </c>
      <c r="J622" s="364"/>
      <c r="K622" t="s">
        <v>3016</v>
      </c>
      <c r="L622" t="s">
        <v>1863</v>
      </c>
      <c r="O622" s="363">
        <f t="shared" si="45"/>
        <v>6.0000000000000001E-3</v>
      </c>
      <c r="Q622" s="373">
        <f>(I622/I623)^(1/(H622-H623))</f>
        <v>0.80529455309720543</v>
      </c>
      <c r="T622">
        <v>1</v>
      </c>
      <c r="U622" t="s">
        <v>2876</v>
      </c>
      <c r="V622" t="s">
        <v>2877</v>
      </c>
    </row>
    <row r="623" spans="1:22" x14ac:dyDescent="0.45">
      <c r="A623" t="s">
        <v>2850</v>
      </c>
      <c r="B623" t="s">
        <v>3015</v>
      </c>
      <c r="E623" t="s">
        <v>2538</v>
      </c>
      <c r="F623" t="s">
        <v>70</v>
      </c>
      <c r="G623" t="s">
        <v>201</v>
      </c>
      <c r="H623">
        <v>2005</v>
      </c>
      <c r="I623" s="364">
        <v>2.2000000000000002</v>
      </c>
      <c r="J623" s="364"/>
      <c r="K623" t="s">
        <v>3016</v>
      </c>
      <c r="L623" t="s">
        <v>1863</v>
      </c>
      <c r="O623" s="363">
        <f t="shared" si="45"/>
        <v>2.2000000000000002E-2</v>
      </c>
      <c r="T623">
        <v>1</v>
      </c>
      <c r="U623" t="s">
        <v>2876</v>
      </c>
      <c r="V623" t="s">
        <v>2877</v>
      </c>
    </row>
    <row r="624" spans="1:22" x14ac:dyDescent="0.45">
      <c r="A624" t="s">
        <v>2850</v>
      </c>
      <c r="B624" t="s">
        <v>3015</v>
      </c>
      <c r="C624" t="str">
        <f t="shared" ref="C624" si="51">_xlfn.CONCAT(B624,U624)</f>
        <v>VC23ET07</v>
      </c>
      <c r="E624" t="s">
        <v>2538</v>
      </c>
      <c r="F624" t="s">
        <v>70</v>
      </c>
      <c r="G624" t="s">
        <v>201</v>
      </c>
      <c r="H624">
        <v>2016</v>
      </c>
      <c r="I624" s="364">
        <v>1.1000000000000001</v>
      </c>
      <c r="J624" s="364"/>
      <c r="K624" t="s">
        <v>3016</v>
      </c>
      <c r="L624" t="s">
        <v>1863</v>
      </c>
      <c r="O624" s="363">
        <f t="shared" si="45"/>
        <v>1.1000000000000001E-2</v>
      </c>
      <c r="Q624" s="373">
        <f>(I624/I625)^(1/(H624-H625))</f>
        <v>1.1288813207301975</v>
      </c>
      <c r="T624">
        <v>1</v>
      </c>
      <c r="U624" t="s">
        <v>2878</v>
      </c>
      <c r="V624" t="s">
        <v>2879</v>
      </c>
    </row>
    <row r="625" spans="1:22" x14ac:dyDescent="0.45">
      <c r="A625" t="s">
        <v>2850</v>
      </c>
      <c r="B625" t="s">
        <v>3015</v>
      </c>
      <c r="E625" t="s">
        <v>2538</v>
      </c>
      <c r="F625" t="s">
        <v>70</v>
      </c>
      <c r="G625" t="s">
        <v>201</v>
      </c>
      <c r="H625">
        <v>2011</v>
      </c>
      <c r="I625" s="364">
        <v>0.6</v>
      </c>
      <c r="J625" s="364"/>
      <c r="K625" t="s">
        <v>3016</v>
      </c>
      <c r="L625" t="s">
        <v>1863</v>
      </c>
      <c r="O625" s="363">
        <f t="shared" si="45"/>
        <v>6.0000000000000001E-3</v>
      </c>
      <c r="Q625" s="373">
        <f>(I625/I626)^(1/(H625-H626))</f>
        <v>0.81818882300002704</v>
      </c>
      <c r="T625">
        <v>1</v>
      </c>
      <c r="U625" t="s">
        <v>2878</v>
      </c>
      <c r="V625" t="s">
        <v>2879</v>
      </c>
    </row>
    <row r="626" spans="1:22" x14ac:dyDescent="0.45">
      <c r="A626" t="s">
        <v>2850</v>
      </c>
      <c r="B626" t="s">
        <v>3015</v>
      </c>
      <c r="E626" t="s">
        <v>2538</v>
      </c>
      <c r="F626" t="s">
        <v>70</v>
      </c>
      <c r="G626" t="s">
        <v>201</v>
      </c>
      <c r="H626">
        <v>2005</v>
      </c>
      <c r="I626" s="364">
        <v>2</v>
      </c>
      <c r="J626" s="364"/>
      <c r="K626" t="s">
        <v>3016</v>
      </c>
      <c r="L626" t="s">
        <v>1863</v>
      </c>
      <c r="O626" s="363">
        <f t="shared" si="45"/>
        <v>0.02</v>
      </c>
      <c r="T626">
        <v>1</v>
      </c>
      <c r="U626" t="s">
        <v>2878</v>
      </c>
      <c r="V626" t="s">
        <v>2879</v>
      </c>
    </row>
    <row r="627" spans="1:22" x14ac:dyDescent="0.45">
      <c r="A627" t="s">
        <v>2850</v>
      </c>
      <c r="B627" t="s">
        <v>3015</v>
      </c>
      <c r="C627" t="str">
        <f t="shared" ref="C627" si="52">_xlfn.CONCAT(B627,U627)</f>
        <v>VC23ET12</v>
      </c>
      <c r="E627" t="s">
        <v>2538</v>
      </c>
      <c r="F627" t="s">
        <v>70</v>
      </c>
      <c r="G627" t="s">
        <v>201</v>
      </c>
      <c r="H627">
        <v>2016</v>
      </c>
      <c r="I627" s="364">
        <v>1.1000000000000001</v>
      </c>
      <c r="J627" s="364"/>
      <c r="K627" t="s">
        <v>3016</v>
      </c>
      <c r="L627" t="s">
        <v>1863</v>
      </c>
      <c r="O627" s="363">
        <f t="shared" si="45"/>
        <v>1.1000000000000001E-2</v>
      </c>
      <c r="Q627" s="373">
        <f>(I627/I628)^(1/(H627-H628))</f>
        <v>1.0657627566354742</v>
      </c>
      <c r="T627">
        <v>1</v>
      </c>
      <c r="U627" t="s">
        <v>2880</v>
      </c>
      <c r="V627" t="s">
        <v>2881</v>
      </c>
    </row>
    <row r="628" spans="1:22" x14ac:dyDescent="0.45">
      <c r="A628" t="s">
        <v>2850</v>
      </c>
      <c r="B628" t="s">
        <v>3015</v>
      </c>
      <c r="E628" t="s">
        <v>2538</v>
      </c>
      <c r="F628" t="s">
        <v>70</v>
      </c>
      <c r="G628" t="s">
        <v>201</v>
      </c>
      <c r="H628">
        <v>2011</v>
      </c>
      <c r="I628" s="364">
        <v>0.8</v>
      </c>
      <c r="J628" s="364"/>
      <c r="K628" t="s">
        <v>3016</v>
      </c>
      <c r="L628" t="s">
        <v>1863</v>
      </c>
      <c r="O628" s="363">
        <f t="shared" si="45"/>
        <v>8.0000000000000002E-3</v>
      </c>
      <c r="Q628" s="373">
        <f>(I628/I629)^(1/(H628-H629))</f>
        <v>0.82703710840002753</v>
      </c>
      <c r="T628">
        <v>1</v>
      </c>
      <c r="U628" t="s">
        <v>2880</v>
      </c>
      <c r="V628" t="s">
        <v>2881</v>
      </c>
    </row>
    <row r="629" spans="1:22" x14ac:dyDescent="0.45">
      <c r="A629" t="s">
        <v>2850</v>
      </c>
      <c r="B629" t="s">
        <v>3015</v>
      </c>
      <c r="E629" t="s">
        <v>2538</v>
      </c>
      <c r="F629" t="s">
        <v>70</v>
      </c>
      <c r="G629" t="s">
        <v>201</v>
      </c>
      <c r="H629">
        <v>2005</v>
      </c>
      <c r="I629" s="364">
        <v>2.5</v>
      </c>
      <c r="J629" s="364"/>
      <c r="K629" t="s">
        <v>3016</v>
      </c>
      <c r="L629" t="s">
        <v>1863</v>
      </c>
      <c r="O629" s="363">
        <f t="shared" si="45"/>
        <v>2.5000000000000001E-2</v>
      </c>
      <c r="T629">
        <v>1</v>
      </c>
      <c r="U629" t="s">
        <v>2880</v>
      </c>
      <c r="V629" t="s">
        <v>2881</v>
      </c>
    </row>
    <row r="630" spans="1:22" x14ac:dyDescent="0.45">
      <c r="A630" t="s">
        <v>2850</v>
      </c>
      <c r="B630" t="s">
        <v>3015</v>
      </c>
      <c r="C630" t="str">
        <f t="shared" ref="C630" si="53">_xlfn.CONCAT(B630,U630)</f>
        <v>VC23ET13</v>
      </c>
      <c r="E630" t="s">
        <v>2538</v>
      </c>
      <c r="F630" t="s">
        <v>70</v>
      </c>
      <c r="G630" t="s">
        <v>201</v>
      </c>
      <c r="H630">
        <v>2016</v>
      </c>
      <c r="I630" s="364">
        <v>2.2000000000000002</v>
      </c>
      <c r="J630" s="364"/>
      <c r="K630" t="s">
        <v>3016</v>
      </c>
      <c r="L630" t="s">
        <v>1863</v>
      </c>
      <c r="O630" s="363">
        <f t="shared" si="45"/>
        <v>2.2000000000000002E-2</v>
      </c>
      <c r="Q630" s="373">
        <f>(I630/I631)^(1/(H630-H631))</f>
        <v>1.1288813207301975</v>
      </c>
      <c r="T630">
        <v>1</v>
      </c>
      <c r="U630" t="s">
        <v>2882</v>
      </c>
      <c r="V630" t="s">
        <v>2883</v>
      </c>
    </row>
    <row r="631" spans="1:22" x14ac:dyDescent="0.45">
      <c r="A631" t="s">
        <v>2850</v>
      </c>
      <c r="B631" t="s">
        <v>3015</v>
      </c>
      <c r="E631" t="s">
        <v>2538</v>
      </c>
      <c r="F631" t="s">
        <v>70</v>
      </c>
      <c r="G631" t="s">
        <v>201</v>
      </c>
      <c r="H631">
        <v>2011</v>
      </c>
      <c r="I631" s="364">
        <v>1.2</v>
      </c>
      <c r="J631" s="364"/>
      <c r="K631" t="s">
        <v>3016</v>
      </c>
      <c r="L631" t="s">
        <v>1863</v>
      </c>
      <c r="O631" s="363">
        <f t="shared" si="45"/>
        <v>1.2E-2</v>
      </c>
      <c r="Q631" s="373">
        <f>(I631/I632)^(1/(H631-H632))</f>
        <v>0.91838590216844529</v>
      </c>
      <c r="T631">
        <v>1</v>
      </c>
      <c r="U631" t="s">
        <v>2882</v>
      </c>
      <c r="V631" t="s">
        <v>2883</v>
      </c>
    </row>
    <row r="632" spans="1:22" x14ac:dyDescent="0.45">
      <c r="A632" t="s">
        <v>2850</v>
      </c>
      <c r="B632" t="s">
        <v>3015</v>
      </c>
      <c r="E632" t="s">
        <v>2538</v>
      </c>
      <c r="F632" t="s">
        <v>70</v>
      </c>
      <c r="G632" t="s">
        <v>201</v>
      </c>
      <c r="H632">
        <v>2005</v>
      </c>
      <c r="I632" s="364">
        <v>2</v>
      </c>
      <c r="J632" s="364"/>
      <c r="K632" t="s">
        <v>3016</v>
      </c>
      <c r="L632" t="s">
        <v>1863</v>
      </c>
      <c r="O632" s="363">
        <f t="shared" si="45"/>
        <v>0.02</v>
      </c>
      <c r="T632">
        <v>1</v>
      </c>
      <c r="U632" t="s">
        <v>2882</v>
      </c>
      <c r="V632" t="s">
        <v>2883</v>
      </c>
    </row>
    <row r="633" spans="1:22" x14ac:dyDescent="0.45">
      <c r="A633" t="s">
        <v>2850</v>
      </c>
      <c r="B633" t="s">
        <v>3015</v>
      </c>
      <c r="C633" t="str">
        <f t="shared" ref="C633" si="54">_xlfn.CONCAT(B633,U633)</f>
        <v>VC23ET14</v>
      </c>
      <c r="E633" t="s">
        <v>2538</v>
      </c>
      <c r="F633" t="s">
        <v>70</v>
      </c>
      <c r="G633" t="s">
        <v>201</v>
      </c>
      <c r="H633">
        <v>2016</v>
      </c>
      <c r="I633" s="364">
        <v>0.5</v>
      </c>
      <c r="J633" s="364"/>
      <c r="K633" t="s">
        <v>3016</v>
      </c>
      <c r="L633" t="s">
        <v>1863</v>
      </c>
      <c r="O633" s="363">
        <f t="shared" si="45"/>
        <v>5.0000000000000001E-3</v>
      </c>
      <c r="Q633" s="373">
        <f>(I633/I634)^(1/(H633-H634))</f>
        <v>1.1075663432482901</v>
      </c>
      <c r="T633">
        <v>1</v>
      </c>
      <c r="U633" t="s">
        <v>2884</v>
      </c>
      <c r="V633" t="s">
        <v>814</v>
      </c>
    </row>
    <row r="634" spans="1:22" x14ac:dyDescent="0.45">
      <c r="A634" t="s">
        <v>2850</v>
      </c>
      <c r="B634" t="s">
        <v>3015</v>
      </c>
      <c r="E634" t="s">
        <v>2538</v>
      </c>
      <c r="F634" t="s">
        <v>70</v>
      </c>
      <c r="G634" t="s">
        <v>201</v>
      </c>
      <c r="H634">
        <v>2011</v>
      </c>
      <c r="I634" s="364">
        <v>0.3</v>
      </c>
      <c r="J634" s="364"/>
      <c r="K634" t="s">
        <v>3016</v>
      </c>
      <c r="L634" t="s">
        <v>1863</v>
      </c>
      <c r="O634" s="363">
        <f t="shared" si="45"/>
        <v>3.0000000000000001E-3</v>
      </c>
      <c r="Q634" s="373">
        <f>(I634/I635)^(1/(H634-H635))</f>
        <v>0.80529455309720543</v>
      </c>
      <c r="T634">
        <v>1</v>
      </c>
      <c r="U634" t="s">
        <v>2884</v>
      </c>
      <c r="V634" t="s">
        <v>814</v>
      </c>
    </row>
    <row r="635" spans="1:22" x14ac:dyDescent="0.45">
      <c r="A635" t="s">
        <v>2850</v>
      </c>
      <c r="B635" t="s">
        <v>3015</v>
      </c>
      <c r="E635" t="s">
        <v>2538</v>
      </c>
      <c r="F635" t="s">
        <v>70</v>
      </c>
      <c r="G635" t="s">
        <v>201</v>
      </c>
      <c r="H635">
        <v>2005</v>
      </c>
      <c r="I635" s="364">
        <v>1.1000000000000001</v>
      </c>
      <c r="J635" s="364"/>
      <c r="K635" t="s">
        <v>3016</v>
      </c>
      <c r="L635" t="s">
        <v>1863</v>
      </c>
      <c r="O635" s="363">
        <f t="shared" si="45"/>
        <v>1.1000000000000001E-2</v>
      </c>
      <c r="T635">
        <v>1</v>
      </c>
      <c r="U635" t="s">
        <v>2884</v>
      </c>
      <c r="V635" t="s">
        <v>814</v>
      </c>
    </row>
    <row r="636" spans="1:22" x14ac:dyDescent="0.45">
      <c r="A636" t="s">
        <v>2850</v>
      </c>
      <c r="B636" t="s">
        <v>3015</v>
      </c>
      <c r="C636" t="str">
        <f t="shared" ref="C636" si="55">_xlfn.CONCAT(B636,U636)</f>
        <v>VC23ET15</v>
      </c>
      <c r="E636" t="s">
        <v>2538</v>
      </c>
      <c r="F636" t="s">
        <v>70</v>
      </c>
      <c r="G636" t="s">
        <v>201</v>
      </c>
      <c r="H636">
        <v>2016</v>
      </c>
      <c r="I636" s="364">
        <v>1.9</v>
      </c>
      <c r="J636" s="364"/>
      <c r="K636" t="s">
        <v>3016</v>
      </c>
      <c r="L636" t="s">
        <v>1863</v>
      </c>
      <c r="O636" s="363">
        <f t="shared" si="45"/>
        <v>1.9E-2</v>
      </c>
      <c r="Q636" s="373">
        <f>(I636/I637)^(1/(H636-H637))</f>
        <v>0.91890607055949736</v>
      </c>
      <c r="T636">
        <v>1</v>
      </c>
      <c r="U636" t="s">
        <v>2885</v>
      </c>
      <c r="V636" t="s">
        <v>2886</v>
      </c>
    </row>
    <row r="637" spans="1:22" x14ac:dyDescent="0.45">
      <c r="A637" t="s">
        <v>2850</v>
      </c>
      <c r="B637" t="s">
        <v>3015</v>
      </c>
      <c r="E637" t="s">
        <v>2538</v>
      </c>
      <c r="F637" t="s">
        <v>70</v>
      </c>
      <c r="G637" t="s">
        <v>201</v>
      </c>
      <c r="H637">
        <v>2011</v>
      </c>
      <c r="I637" s="364">
        <v>2.9</v>
      </c>
      <c r="J637" s="364"/>
      <c r="K637" t="s">
        <v>3016</v>
      </c>
      <c r="L637" t="s">
        <v>1863</v>
      </c>
      <c r="O637" s="363">
        <f t="shared" si="45"/>
        <v>2.8999999999999998E-2</v>
      </c>
      <c r="Q637" s="373">
        <f>(I637/I638)^(1/(H637-H638))</f>
        <v>1.0058656894807376</v>
      </c>
      <c r="T637">
        <v>1</v>
      </c>
      <c r="U637" t="s">
        <v>2885</v>
      </c>
      <c r="V637" t="s">
        <v>2886</v>
      </c>
    </row>
    <row r="638" spans="1:22" x14ac:dyDescent="0.45">
      <c r="A638" t="s">
        <v>2850</v>
      </c>
      <c r="B638" t="s">
        <v>3015</v>
      </c>
      <c r="E638" t="s">
        <v>2538</v>
      </c>
      <c r="F638" t="s">
        <v>70</v>
      </c>
      <c r="G638" t="s">
        <v>201</v>
      </c>
      <c r="H638">
        <v>2005</v>
      </c>
      <c r="I638" s="364">
        <v>2.8</v>
      </c>
      <c r="J638" s="364"/>
      <c r="K638" t="s">
        <v>3016</v>
      </c>
      <c r="L638" t="s">
        <v>1863</v>
      </c>
      <c r="O638" s="363">
        <f t="shared" si="45"/>
        <v>2.7999999999999997E-2</v>
      </c>
      <c r="T638">
        <v>1</v>
      </c>
      <c r="U638" t="s">
        <v>2885</v>
      </c>
      <c r="V638" t="s">
        <v>2886</v>
      </c>
    </row>
    <row r="639" spans="1:22" x14ac:dyDescent="0.45">
      <c r="A639" t="s">
        <v>2850</v>
      </c>
      <c r="B639" t="s">
        <v>3017</v>
      </c>
      <c r="C639" t="str">
        <f t="shared" ref="C639:C693" si="56">_xlfn.CONCAT(B639,U639)</f>
        <v>VC24ET</v>
      </c>
      <c r="D639" t="s">
        <v>2544</v>
      </c>
      <c r="E639" t="s">
        <v>2546</v>
      </c>
      <c r="F639" t="s">
        <v>2240</v>
      </c>
      <c r="G639" s="362" t="s">
        <v>253</v>
      </c>
      <c r="H639">
        <v>2016</v>
      </c>
      <c r="I639" s="364">
        <v>3.9</v>
      </c>
      <c r="J639" s="364"/>
      <c r="K639" t="s">
        <v>2995</v>
      </c>
      <c r="O639" s="363">
        <f>I639/100</f>
        <v>3.9E-2</v>
      </c>
      <c r="P639" t="s">
        <v>1863</v>
      </c>
      <c r="T639">
        <v>0</v>
      </c>
      <c r="U639" t="s">
        <v>2849</v>
      </c>
      <c r="V639" t="s">
        <v>594</v>
      </c>
    </row>
    <row r="640" spans="1:22" x14ac:dyDescent="0.45">
      <c r="A640" t="s">
        <v>2850</v>
      </c>
      <c r="B640" t="s">
        <v>3017</v>
      </c>
      <c r="E640" t="s">
        <v>3018</v>
      </c>
      <c r="F640" t="s">
        <v>2240</v>
      </c>
      <c r="G640" s="362" t="s">
        <v>253</v>
      </c>
      <c r="H640">
        <v>2011</v>
      </c>
      <c r="I640" s="364">
        <v>3.4</v>
      </c>
      <c r="J640" s="364"/>
      <c r="K640" t="s">
        <v>2995</v>
      </c>
      <c r="O640" s="363">
        <f t="shared" ref="O640:O694" si="57">I640/100</f>
        <v>3.4000000000000002E-2</v>
      </c>
      <c r="T640">
        <v>0</v>
      </c>
      <c r="U640" t="s">
        <v>2849</v>
      </c>
      <c r="V640" t="s">
        <v>594</v>
      </c>
    </row>
    <row r="641" spans="1:22" x14ac:dyDescent="0.45">
      <c r="A641" t="s">
        <v>2850</v>
      </c>
      <c r="B641" t="s">
        <v>3017</v>
      </c>
      <c r="C641" t="str">
        <f t="shared" si="56"/>
        <v>VC24ETR</v>
      </c>
      <c r="E641" t="s">
        <v>3018</v>
      </c>
      <c r="F641" t="s">
        <v>2240</v>
      </c>
      <c r="G641" s="362" t="s">
        <v>253</v>
      </c>
      <c r="H641">
        <v>2016</v>
      </c>
      <c r="I641" s="364">
        <v>3.6</v>
      </c>
      <c r="J641" s="364"/>
      <c r="K641" t="s">
        <v>2995</v>
      </c>
      <c r="O641" s="363">
        <f t="shared" si="57"/>
        <v>3.6000000000000004E-2</v>
      </c>
      <c r="T641">
        <v>0.5</v>
      </c>
      <c r="U641" t="s">
        <v>2866</v>
      </c>
      <c r="V641" t="s">
        <v>84</v>
      </c>
    </row>
    <row r="642" spans="1:22" x14ac:dyDescent="0.45">
      <c r="A642" t="s">
        <v>2850</v>
      </c>
      <c r="B642" t="s">
        <v>3017</v>
      </c>
      <c r="E642" t="s">
        <v>3018</v>
      </c>
      <c r="F642" t="s">
        <v>2240</v>
      </c>
      <c r="G642" s="362" t="s">
        <v>253</v>
      </c>
      <c r="H642">
        <v>2011</v>
      </c>
      <c r="I642" s="364">
        <v>3.2</v>
      </c>
      <c r="J642" s="364"/>
      <c r="K642" t="s">
        <v>2995</v>
      </c>
      <c r="O642" s="363">
        <f t="shared" si="57"/>
        <v>3.2000000000000001E-2</v>
      </c>
      <c r="T642">
        <v>0.5</v>
      </c>
      <c r="U642" t="s">
        <v>2866</v>
      </c>
      <c r="V642" t="s">
        <v>84</v>
      </c>
    </row>
    <row r="643" spans="1:22" x14ac:dyDescent="0.45">
      <c r="A643" t="s">
        <v>2850</v>
      </c>
      <c r="B643" t="s">
        <v>3017</v>
      </c>
      <c r="C643" t="str">
        <f t="shared" si="56"/>
        <v>VC24ETU</v>
      </c>
      <c r="E643" t="s">
        <v>3018</v>
      </c>
      <c r="F643" t="s">
        <v>2240</v>
      </c>
      <c r="G643" s="362" t="s">
        <v>253</v>
      </c>
      <c r="H643">
        <v>2016</v>
      </c>
      <c r="I643" s="364">
        <v>5.4</v>
      </c>
      <c r="J643" s="364"/>
      <c r="K643" t="s">
        <v>2995</v>
      </c>
      <c r="O643" s="363">
        <f t="shared" si="57"/>
        <v>5.4000000000000006E-2</v>
      </c>
      <c r="T643">
        <v>0.5</v>
      </c>
      <c r="U643" t="s">
        <v>2867</v>
      </c>
      <c r="V643" t="s">
        <v>336</v>
      </c>
    </row>
    <row r="644" spans="1:22" x14ac:dyDescent="0.45">
      <c r="A644" t="s">
        <v>2850</v>
      </c>
      <c r="B644" t="s">
        <v>3017</v>
      </c>
      <c r="E644" t="s">
        <v>3018</v>
      </c>
      <c r="F644" t="s">
        <v>2240</v>
      </c>
      <c r="G644" s="362" t="s">
        <v>253</v>
      </c>
      <c r="H644">
        <v>2011</v>
      </c>
      <c r="I644" s="364">
        <v>4</v>
      </c>
      <c r="J644" s="364"/>
      <c r="K644" t="s">
        <v>2995</v>
      </c>
      <c r="O644" s="363">
        <f t="shared" si="57"/>
        <v>0.04</v>
      </c>
      <c r="T644">
        <v>0.5</v>
      </c>
      <c r="U644" t="s">
        <v>2867</v>
      </c>
      <c r="V644" t="s">
        <v>336</v>
      </c>
    </row>
    <row r="645" spans="1:22" x14ac:dyDescent="0.45">
      <c r="A645" t="s">
        <v>2850</v>
      </c>
      <c r="B645" t="s">
        <v>3017</v>
      </c>
      <c r="C645" t="str">
        <f t="shared" si="56"/>
        <v>VC24ET01</v>
      </c>
      <c r="E645" t="s">
        <v>3018</v>
      </c>
      <c r="F645" t="s">
        <v>2240</v>
      </c>
      <c r="G645" s="362" t="s">
        <v>253</v>
      </c>
      <c r="H645">
        <v>2016</v>
      </c>
      <c r="I645" s="364">
        <v>4.4000000000000004</v>
      </c>
      <c r="J645" s="364"/>
      <c r="K645" t="s">
        <v>2995</v>
      </c>
      <c r="O645" s="363">
        <f t="shared" si="57"/>
        <v>4.4000000000000004E-2</v>
      </c>
      <c r="T645">
        <v>1</v>
      </c>
      <c r="U645" t="s">
        <v>2868</v>
      </c>
      <c r="V645" t="s">
        <v>806</v>
      </c>
    </row>
    <row r="646" spans="1:22" x14ac:dyDescent="0.45">
      <c r="A646" t="s">
        <v>2850</v>
      </c>
      <c r="B646" t="s">
        <v>3017</v>
      </c>
      <c r="E646" t="s">
        <v>3018</v>
      </c>
      <c r="F646" t="s">
        <v>2240</v>
      </c>
      <c r="G646" s="362" t="s">
        <v>253</v>
      </c>
      <c r="H646">
        <v>2011</v>
      </c>
      <c r="I646" s="364">
        <v>4</v>
      </c>
      <c r="J646" s="364"/>
      <c r="K646" t="s">
        <v>2995</v>
      </c>
      <c r="O646" s="363">
        <f t="shared" si="57"/>
        <v>0.04</v>
      </c>
      <c r="T646">
        <v>1</v>
      </c>
      <c r="U646" t="s">
        <v>2868</v>
      </c>
      <c r="V646" t="s">
        <v>806</v>
      </c>
    </row>
    <row r="647" spans="1:22" x14ac:dyDescent="0.45">
      <c r="A647" t="s">
        <v>2850</v>
      </c>
      <c r="B647" t="s">
        <v>3017</v>
      </c>
      <c r="C647" t="str">
        <f t="shared" si="56"/>
        <v>VC24ET02</v>
      </c>
      <c r="E647" t="s">
        <v>3018</v>
      </c>
      <c r="F647" t="s">
        <v>2240</v>
      </c>
      <c r="G647" s="362" t="s">
        <v>253</v>
      </c>
      <c r="H647">
        <v>2016</v>
      </c>
      <c r="I647" s="364">
        <v>2.4</v>
      </c>
      <c r="J647" s="364"/>
      <c r="K647" t="s">
        <v>2995</v>
      </c>
      <c r="O647" s="363">
        <f t="shared" si="57"/>
        <v>2.4E-2</v>
      </c>
      <c r="T647">
        <v>1</v>
      </c>
      <c r="U647" t="s">
        <v>2869</v>
      </c>
      <c r="V647" t="s">
        <v>2946</v>
      </c>
    </row>
    <row r="648" spans="1:22" x14ac:dyDescent="0.45">
      <c r="A648" t="s">
        <v>2850</v>
      </c>
      <c r="B648" t="s">
        <v>3017</v>
      </c>
      <c r="E648" t="s">
        <v>3018</v>
      </c>
      <c r="F648" t="s">
        <v>2240</v>
      </c>
      <c r="G648" s="362" t="s">
        <v>253</v>
      </c>
      <c r="H648">
        <v>2011</v>
      </c>
      <c r="I648" s="364">
        <v>1.4</v>
      </c>
      <c r="J648" s="364"/>
      <c r="K648" t="s">
        <v>2995</v>
      </c>
      <c r="O648" s="363">
        <f t="shared" si="57"/>
        <v>1.3999999999999999E-2</v>
      </c>
      <c r="T648">
        <v>1</v>
      </c>
      <c r="U648" t="s">
        <v>2869</v>
      </c>
      <c r="V648" t="s">
        <v>2946</v>
      </c>
    </row>
    <row r="649" spans="1:22" x14ac:dyDescent="0.45">
      <c r="A649" t="s">
        <v>2850</v>
      </c>
      <c r="B649" t="s">
        <v>3017</v>
      </c>
      <c r="C649" t="str">
        <f t="shared" si="56"/>
        <v>VC24ET03</v>
      </c>
      <c r="E649" t="s">
        <v>3018</v>
      </c>
      <c r="F649" t="s">
        <v>2240</v>
      </c>
      <c r="G649" s="362" t="s">
        <v>253</v>
      </c>
      <c r="H649">
        <v>2016</v>
      </c>
      <c r="I649" s="364">
        <v>4.9000000000000004</v>
      </c>
      <c r="J649" s="364"/>
      <c r="K649" t="s">
        <v>2995</v>
      </c>
      <c r="O649" s="363">
        <f t="shared" si="57"/>
        <v>4.9000000000000002E-2</v>
      </c>
      <c r="T649">
        <v>1</v>
      </c>
      <c r="U649" t="s">
        <v>2871</v>
      </c>
      <c r="V649" t="s">
        <v>805</v>
      </c>
    </row>
    <row r="650" spans="1:22" x14ac:dyDescent="0.45">
      <c r="A650" t="s">
        <v>2850</v>
      </c>
      <c r="B650" t="s">
        <v>3017</v>
      </c>
      <c r="E650" t="s">
        <v>3018</v>
      </c>
      <c r="F650" t="s">
        <v>2240</v>
      </c>
      <c r="G650" s="362" t="s">
        <v>253</v>
      </c>
      <c r="H650">
        <v>2011</v>
      </c>
      <c r="I650" s="364">
        <v>3.3</v>
      </c>
      <c r="J650" s="364"/>
      <c r="K650" t="s">
        <v>2995</v>
      </c>
      <c r="O650" s="363">
        <f t="shared" si="57"/>
        <v>3.3000000000000002E-2</v>
      </c>
      <c r="T650">
        <v>1</v>
      </c>
      <c r="U650" t="s">
        <v>2871</v>
      </c>
      <c r="V650" t="s">
        <v>805</v>
      </c>
    </row>
    <row r="651" spans="1:22" x14ac:dyDescent="0.45">
      <c r="A651" t="s">
        <v>2850</v>
      </c>
      <c r="B651" t="s">
        <v>3017</v>
      </c>
      <c r="C651" t="str">
        <f t="shared" si="56"/>
        <v>VC24ET04</v>
      </c>
      <c r="E651" t="s">
        <v>3018</v>
      </c>
      <c r="F651" t="s">
        <v>2240</v>
      </c>
      <c r="G651" s="362" t="s">
        <v>253</v>
      </c>
      <c r="H651">
        <v>2016</v>
      </c>
      <c r="I651" s="364">
        <v>3.6</v>
      </c>
      <c r="J651" s="364"/>
      <c r="K651" t="s">
        <v>2995</v>
      </c>
      <c r="O651" s="363">
        <f t="shared" si="57"/>
        <v>3.6000000000000004E-2</v>
      </c>
      <c r="T651">
        <v>1</v>
      </c>
      <c r="U651" t="s">
        <v>2872</v>
      </c>
      <c r="V651" t="s">
        <v>809</v>
      </c>
    </row>
    <row r="652" spans="1:22" x14ac:dyDescent="0.45">
      <c r="A652" t="s">
        <v>2850</v>
      </c>
      <c r="B652" t="s">
        <v>3017</v>
      </c>
      <c r="E652" t="s">
        <v>3018</v>
      </c>
      <c r="F652" t="s">
        <v>2240</v>
      </c>
      <c r="G652" s="362" t="s">
        <v>253</v>
      </c>
      <c r="H652">
        <v>2011</v>
      </c>
      <c r="I652" s="364">
        <v>4</v>
      </c>
      <c r="J652" s="364"/>
      <c r="K652" t="s">
        <v>2995</v>
      </c>
      <c r="O652" s="363">
        <f t="shared" si="57"/>
        <v>0.04</v>
      </c>
      <c r="T652">
        <v>1</v>
      </c>
      <c r="U652" t="s">
        <v>2872</v>
      </c>
      <c r="V652" t="s">
        <v>809</v>
      </c>
    </row>
    <row r="653" spans="1:22" x14ac:dyDescent="0.45">
      <c r="A653" t="s">
        <v>2850</v>
      </c>
      <c r="B653" t="s">
        <v>3017</v>
      </c>
      <c r="C653" t="str">
        <f t="shared" si="56"/>
        <v>VC24ET05</v>
      </c>
      <c r="E653" t="s">
        <v>3018</v>
      </c>
      <c r="F653" t="s">
        <v>2240</v>
      </c>
      <c r="G653" s="362" t="s">
        <v>253</v>
      </c>
      <c r="H653">
        <v>2016</v>
      </c>
      <c r="I653" s="364">
        <v>4.7</v>
      </c>
      <c r="J653" s="364"/>
      <c r="K653" t="s">
        <v>2995</v>
      </c>
      <c r="O653" s="363">
        <f t="shared" si="57"/>
        <v>4.7E-2</v>
      </c>
      <c r="T653">
        <v>1</v>
      </c>
      <c r="U653" t="s">
        <v>2873</v>
      </c>
      <c r="V653" t="s">
        <v>2874</v>
      </c>
    </row>
    <row r="654" spans="1:22" x14ac:dyDescent="0.45">
      <c r="A654" t="s">
        <v>2850</v>
      </c>
      <c r="B654" t="s">
        <v>3017</v>
      </c>
      <c r="E654" t="s">
        <v>3018</v>
      </c>
      <c r="F654" t="s">
        <v>2240</v>
      </c>
      <c r="G654" s="362" t="s">
        <v>253</v>
      </c>
      <c r="H654">
        <v>2011</v>
      </c>
      <c r="I654" s="364">
        <v>5.9</v>
      </c>
      <c r="J654" s="364"/>
      <c r="K654" t="s">
        <v>2995</v>
      </c>
      <c r="O654" s="363">
        <f t="shared" si="57"/>
        <v>5.9000000000000004E-2</v>
      </c>
      <c r="T654">
        <v>1</v>
      </c>
      <c r="U654" t="s">
        <v>2873</v>
      </c>
      <c r="V654" t="s">
        <v>2874</v>
      </c>
    </row>
    <row r="655" spans="1:22" x14ac:dyDescent="0.45">
      <c r="A655" t="s">
        <v>2850</v>
      </c>
      <c r="B655" t="s">
        <v>3017</v>
      </c>
      <c r="C655" t="str">
        <f t="shared" si="56"/>
        <v>VC24ET06</v>
      </c>
      <c r="E655" t="s">
        <v>3018</v>
      </c>
      <c r="F655" t="s">
        <v>2240</v>
      </c>
      <c r="G655" s="362" t="s">
        <v>253</v>
      </c>
      <c r="H655">
        <v>2016</v>
      </c>
      <c r="I655" s="364">
        <v>1.5</v>
      </c>
      <c r="J655" s="364"/>
      <c r="K655" t="s">
        <v>2995</v>
      </c>
      <c r="O655" s="363">
        <f t="shared" si="57"/>
        <v>1.4999999999999999E-2</v>
      </c>
      <c r="T655">
        <v>1</v>
      </c>
      <c r="U655" t="s">
        <v>2876</v>
      </c>
      <c r="V655" t="s">
        <v>2877</v>
      </c>
    </row>
    <row r="656" spans="1:22" x14ac:dyDescent="0.45">
      <c r="A656" t="s">
        <v>2850</v>
      </c>
      <c r="B656" t="s">
        <v>3017</v>
      </c>
      <c r="E656" t="s">
        <v>3018</v>
      </c>
      <c r="F656" t="s">
        <v>2240</v>
      </c>
      <c r="G656" s="362" t="s">
        <v>253</v>
      </c>
      <c r="H656">
        <v>2011</v>
      </c>
      <c r="I656" s="364">
        <v>2.6</v>
      </c>
      <c r="J656" s="364"/>
      <c r="K656" t="s">
        <v>2995</v>
      </c>
      <c r="O656" s="363">
        <f t="shared" si="57"/>
        <v>2.6000000000000002E-2</v>
      </c>
      <c r="T656">
        <v>1</v>
      </c>
      <c r="U656" t="s">
        <v>2876</v>
      </c>
      <c r="V656" t="s">
        <v>2877</v>
      </c>
    </row>
    <row r="657" spans="1:22" x14ac:dyDescent="0.45">
      <c r="A657" t="s">
        <v>2850</v>
      </c>
      <c r="B657" t="s">
        <v>3017</v>
      </c>
      <c r="C657" t="str">
        <f t="shared" si="56"/>
        <v>VC24ET07</v>
      </c>
      <c r="E657" t="s">
        <v>3018</v>
      </c>
      <c r="F657" t="s">
        <v>2240</v>
      </c>
      <c r="G657" s="362" t="s">
        <v>253</v>
      </c>
      <c r="H657">
        <v>2016</v>
      </c>
      <c r="I657" s="364">
        <v>3.1</v>
      </c>
      <c r="J657" s="364"/>
      <c r="K657" t="s">
        <v>2995</v>
      </c>
      <c r="O657" s="363">
        <f t="shared" si="57"/>
        <v>3.1E-2</v>
      </c>
      <c r="T657">
        <v>1</v>
      </c>
      <c r="U657" t="s">
        <v>2878</v>
      </c>
      <c r="V657" t="s">
        <v>2879</v>
      </c>
    </row>
    <row r="658" spans="1:22" x14ac:dyDescent="0.45">
      <c r="A658" t="s">
        <v>2850</v>
      </c>
      <c r="B658" t="s">
        <v>3017</v>
      </c>
      <c r="E658" t="s">
        <v>3018</v>
      </c>
      <c r="F658" t="s">
        <v>2240</v>
      </c>
      <c r="G658" s="362" t="s">
        <v>253</v>
      </c>
      <c r="H658">
        <v>2011</v>
      </c>
      <c r="I658" s="364">
        <v>2.2000000000000002</v>
      </c>
      <c r="J658" s="364"/>
      <c r="K658" t="s">
        <v>2995</v>
      </c>
      <c r="O658" s="363">
        <f t="shared" si="57"/>
        <v>2.2000000000000002E-2</v>
      </c>
      <c r="T658">
        <v>1</v>
      </c>
      <c r="U658" t="s">
        <v>2878</v>
      </c>
      <c r="V658" t="s">
        <v>2879</v>
      </c>
    </row>
    <row r="659" spans="1:22" x14ac:dyDescent="0.45">
      <c r="A659" t="s">
        <v>2850</v>
      </c>
      <c r="B659" t="s">
        <v>3017</v>
      </c>
      <c r="C659" t="str">
        <f t="shared" si="56"/>
        <v>VC24ET12</v>
      </c>
      <c r="E659" t="s">
        <v>3018</v>
      </c>
      <c r="F659" t="s">
        <v>2240</v>
      </c>
      <c r="G659" s="362" t="s">
        <v>253</v>
      </c>
      <c r="H659">
        <v>2016</v>
      </c>
      <c r="I659" s="364">
        <v>3.7</v>
      </c>
      <c r="J659" s="364"/>
      <c r="K659" t="s">
        <v>2995</v>
      </c>
      <c r="O659" s="363">
        <f t="shared" si="57"/>
        <v>3.7000000000000005E-2</v>
      </c>
      <c r="T659">
        <v>1</v>
      </c>
      <c r="U659" t="s">
        <v>2880</v>
      </c>
      <c r="V659" t="s">
        <v>2881</v>
      </c>
    </row>
    <row r="660" spans="1:22" x14ac:dyDescent="0.45">
      <c r="A660" t="s">
        <v>2850</v>
      </c>
      <c r="B660" t="s">
        <v>3017</v>
      </c>
      <c r="E660" t="s">
        <v>3018</v>
      </c>
      <c r="F660" t="s">
        <v>2240</v>
      </c>
      <c r="G660" s="362" t="s">
        <v>253</v>
      </c>
      <c r="H660">
        <v>2011</v>
      </c>
      <c r="I660" s="364">
        <v>6.5</v>
      </c>
      <c r="J660" s="364"/>
      <c r="K660" t="s">
        <v>2995</v>
      </c>
      <c r="O660" s="363">
        <f t="shared" si="57"/>
        <v>6.5000000000000002E-2</v>
      </c>
      <c r="T660">
        <v>1</v>
      </c>
      <c r="U660" t="s">
        <v>2880</v>
      </c>
      <c r="V660" t="s">
        <v>2881</v>
      </c>
    </row>
    <row r="661" spans="1:22" x14ac:dyDescent="0.45">
      <c r="A661" t="s">
        <v>2850</v>
      </c>
      <c r="B661" t="s">
        <v>3017</v>
      </c>
      <c r="C661" t="str">
        <f t="shared" si="56"/>
        <v>VC24ET13</v>
      </c>
      <c r="E661" t="s">
        <v>3018</v>
      </c>
      <c r="F661" t="s">
        <v>2240</v>
      </c>
      <c r="G661" s="362" t="s">
        <v>253</v>
      </c>
      <c r="H661">
        <v>2016</v>
      </c>
      <c r="I661" s="364">
        <v>1.8</v>
      </c>
      <c r="J661" s="364"/>
      <c r="K661" t="s">
        <v>2995</v>
      </c>
      <c r="O661" s="363">
        <f t="shared" si="57"/>
        <v>1.8000000000000002E-2</v>
      </c>
      <c r="T661">
        <v>1</v>
      </c>
      <c r="U661" t="s">
        <v>2882</v>
      </c>
      <c r="V661" t="s">
        <v>2883</v>
      </c>
    </row>
    <row r="662" spans="1:22" x14ac:dyDescent="0.45">
      <c r="A662" t="s">
        <v>2850</v>
      </c>
      <c r="B662" t="s">
        <v>3017</v>
      </c>
      <c r="E662" t="s">
        <v>3018</v>
      </c>
      <c r="F662" t="s">
        <v>2240</v>
      </c>
      <c r="G662" s="362" t="s">
        <v>253</v>
      </c>
      <c r="H662">
        <v>2011</v>
      </c>
      <c r="I662" s="364">
        <v>1.6</v>
      </c>
      <c r="J662" s="364"/>
      <c r="K662" t="s">
        <v>2995</v>
      </c>
      <c r="O662" s="363">
        <f t="shared" si="57"/>
        <v>1.6E-2</v>
      </c>
      <c r="T662">
        <v>1</v>
      </c>
      <c r="U662" t="s">
        <v>2882</v>
      </c>
      <c r="V662" t="s">
        <v>2883</v>
      </c>
    </row>
    <row r="663" spans="1:22" x14ac:dyDescent="0.45">
      <c r="A663" t="s">
        <v>2850</v>
      </c>
      <c r="B663" t="s">
        <v>3017</v>
      </c>
      <c r="C663" t="str">
        <f t="shared" si="56"/>
        <v>VC24ET14</v>
      </c>
      <c r="E663" t="s">
        <v>3018</v>
      </c>
      <c r="F663" t="s">
        <v>2240</v>
      </c>
      <c r="G663" s="362" t="s">
        <v>253</v>
      </c>
      <c r="H663">
        <v>2016</v>
      </c>
      <c r="I663" s="364">
        <v>4.4000000000000004</v>
      </c>
      <c r="J663" s="364"/>
      <c r="K663" t="s">
        <v>2995</v>
      </c>
      <c r="O663" s="363">
        <f t="shared" si="57"/>
        <v>4.4000000000000004E-2</v>
      </c>
      <c r="T663">
        <v>1</v>
      </c>
      <c r="U663" t="s">
        <v>2884</v>
      </c>
      <c r="V663" t="s">
        <v>814</v>
      </c>
    </row>
    <row r="664" spans="1:22" x14ac:dyDescent="0.45">
      <c r="A664" t="s">
        <v>2850</v>
      </c>
      <c r="B664" t="s">
        <v>3017</v>
      </c>
      <c r="E664" t="s">
        <v>3018</v>
      </c>
      <c r="F664" t="s">
        <v>2240</v>
      </c>
      <c r="G664" s="362" t="s">
        <v>253</v>
      </c>
      <c r="H664">
        <v>2011</v>
      </c>
      <c r="I664" s="364">
        <v>2.2000000000000002</v>
      </c>
      <c r="J664" s="364"/>
      <c r="K664" t="s">
        <v>2995</v>
      </c>
      <c r="O664" s="363">
        <f t="shared" si="57"/>
        <v>2.2000000000000002E-2</v>
      </c>
      <c r="T664">
        <v>1</v>
      </c>
      <c r="U664" t="s">
        <v>2884</v>
      </c>
      <c r="V664" t="s">
        <v>814</v>
      </c>
    </row>
    <row r="665" spans="1:22" x14ac:dyDescent="0.45">
      <c r="A665" t="s">
        <v>2850</v>
      </c>
      <c r="B665" t="s">
        <v>3017</v>
      </c>
      <c r="C665" t="str">
        <f t="shared" si="56"/>
        <v>VC24ET15</v>
      </c>
      <c r="E665" t="s">
        <v>3018</v>
      </c>
      <c r="F665" t="s">
        <v>2240</v>
      </c>
      <c r="G665" s="362" t="s">
        <v>253</v>
      </c>
      <c r="H665">
        <v>2016</v>
      </c>
      <c r="I665" s="364">
        <v>3.7</v>
      </c>
      <c r="J665" s="364"/>
      <c r="K665" t="s">
        <v>2995</v>
      </c>
      <c r="O665" s="363">
        <f t="shared" si="57"/>
        <v>3.7000000000000005E-2</v>
      </c>
      <c r="T665">
        <v>1</v>
      </c>
      <c r="U665" t="s">
        <v>2885</v>
      </c>
      <c r="V665" t="s">
        <v>2886</v>
      </c>
    </row>
    <row r="666" spans="1:22" x14ac:dyDescent="0.45">
      <c r="A666" t="s">
        <v>2850</v>
      </c>
      <c r="B666" t="s">
        <v>3017</v>
      </c>
      <c r="E666" t="s">
        <v>3018</v>
      </c>
      <c r="F666" t="s">
        <v>2240</v>
      </c>
      <c r="G666" s="362" t="s">
        <v>253</v>
      </c>
      <c r="H666">
        <v>2011</v>
      </c>
      <c r="I666" s="364">
        <v>1.4</v>
      </c>
      <c r="J666" s="364"/>
      <c r="K666" t="s">
        <v>2995</v>
      </c>
      <c r="O666" s="363">
        <f t="shared" si="57"/>
        <v>1.3999999999999999E-2</v>
      </c>
      <c r="T666">
        <v>1</v>
      </c>
      <c r="U666" t="s">
        <v>2885</v>
      </c>
      <c r="V666" t="s">
        <v>2886</v>
      </c>
    </row>
    <row r="667" spans="1:22" x14ac:dyDescent="0.45">
      <c r="A667" t="s">
        <v>2850</v>
      </c>
      <c r="B667" t="s">
        <v>3019</v>
      </c>
      <c r="C667" t="str">
        <f t="shared" si="56"/>
        <v>VC25ET</v>
      </c>
      <c r="D667" t="s">
        <v>2545</v>
      </c>
      <c r="E667" t="s">
        <v>2547</v>
      </c>
      <c r="F667" t="s">
        <v>2240</v>
      </c>
      <c r="G667" s="362" t="s">
        <v>2543</v>
      </c>
      <c r="H667">
        <v>2016</v>
      </c>
      <c r="I667" s="364">
        <v>3.6</v>
      </c>
      <c r="J667" s="364"/>
      <c r="K667" t="s">
        <v>3020</v>
      </c>
      <c r="O667" s="363">
        <f t="shared" si="57"/>
        <v>3.6000000000000004E-2</v>
      </c>
      <c r="P667" t="s">
        <v>1863</v>
      </c>
      <c r="T667">
        <v>0</v>
      </c>
      <c r="U667" t="s">
        <v>2849</v>
      </c>
      <c r="V667" t="s">
        <v>594</v>
      </c>
    </row>
    <row r="668" spans="1:22" x14ac:dyDescent="0.45">
      <c r="A668" t="s">
        <v>2850</v>
      </c>
      <c r="B668" t="s">
        <v>3019</v>
      </c>
      <c r="E668" t="s">
        <v>3021</v>
      </c>
      <c r="F668" t="s">
        <v>2240</v>
      </c>
      <c r="G668" s="362" t="s">
        <v>2543</v>
      </c>
      <c r="H668">
        <v>2011</v>
      </c>
      <c r="I668" s="364">
        <v>2.2999999999999998</v>
      </c>
      <c r="J668" s="364"/>
      <c r="K668" t="s">
        <v>3020</v>
      </c>
      <c r="O668" s="363">
        <f t="shared" si="57"/>
        <v>2.3E-2</v>
      </c>
      <c r="T668">
        <v>0</v>
      </c>
      <c r="U668" t="s">
        <v>2849</v>
      </c>
      <c r="V668" t="s">
        <v>594</v>
      </c>
    </row>
    <row r="669" spans="1:22" x14ac:dyDescent="0.45">
      <c r="A669" t="s">
        <v>2850</v>
      </c>
      <c r="B669" t="s">
        <v>3019</v>
      </c>
      <c r="C669" t="str">
        <f t="shared" si="56"/>
        <v>VC25ETR</v>
      </c>
      <c r="E669" t="s">
        <v>3021</v>
      </c>
      <c r="F669" t="s">
        <v>2240</v>
      </c>
      <c r="G669" s="362" t="s">
        <v>2543</v>
      </c>
      <c r="H669">
        <v>2016</v>
      </c>
      <c r="I669" s="364">
        <v>3.7</v>
      </c>
      <c r="J669" s="364"/>
      <c r="K669" t="s">
        <v>3020</v>
      </c>
      <c r="O669" s="363">
        <f t="shared" si="57"/>
        <v>3.7000000000000005E-2</v>
      </c>
      <c r="T669">
        <v>0.5</v>
      </c>
      <c r="U669" t="s">
        <v>2866</v>
      </c>
      <c r="V669" t="s">
        <v>84</v>
      </c>
    </row>
    <row r="670" spans="1:22" x14ac:dyDescent="0.45">
      <c r="A670" t="s">
        <v>2850</v>
      </c>
      <c r="B670" t="s">
        <v>3019</v>
      </c>
      <c r="E670" t="s">
        <v>3021</v>
      </c>
      <c r="F670" t="s">
        <v>2240</v>
      </c>
      <c r="G670" s="362" t="s">
        <v>2543</v>
      </c>
      <c r="H670">
        <v>2011</v>
      </c>
      <c r="I670" s="364">
        <v>2.5</v>
      </c>
      <c r="J670" s="364"/>
      <c r="K670" t="s">
        <v>3020</v>
      </c>
      <c r="O670" s="363">
        <f t="shared" si="57"/>
        <v>2.5000000000000001E-2</v>
      </c>
      <c r="T670">
        <v>0.5</v>
      </c>
      <c r="U670" t="s">
        <v>2866</v>
      </c>
      <c r="V670" t="s">
        <v>84</v>
      </c>
    </row>
    <row r="671" spans="1:22" x14ac:dyDescent="0.45">
      <c r="A671" t="s">
        <v>2850</v>
      </c>
      <c r="B671" t="s">
        <v>3019</v>
      </c>
      <c r="C671" t="str">
        <f t="shared" si="56"/>
        <v>VC25ETU</v>
      </c>
      <c r="E671" t="s">
        <v>3021</v>
      </c>
      <c r="F671" t="s">
        <v>2240</v>
      </c>
      <c r="G671" s="362" t="s">
        <v>2543</v>
      </c>
      <c r="H671">
        <v>2016</v>
      </c>
      <c r="I671" s="364">
        <v>3</v>
      </c>
      <c r="J671" s="364"/>
      <c r="K671" t="s">
        <v>3020</v>
      </c>
      <c r="O671" s="363">
        <f t="shared" si="57"/>
        <v>0.03</v>
      </c>
      <c r="T671">
        <v>0.5</v>
      </c>
      <c r="U671" t="s">
        <v>2867</v>
      </c>
      <c r="V671" t="s">
        <v>336</v>
      </c>
    </row>
    <row r="672" spans="1:22" x14ac:dyDescent="0.45">
      <c r="A672" t="s">
        <v>2850</v>
      </c>
      <c r="B672" t="s">
        <v>3019</v>
      </c>
      <c r="E672" t="s">
        <v>3021</v>
      </c>
      <c r="F672" t="s">
        <v>2240</v>
      </c>
      <c r="G672" s="362" t="s">
        <v>2543</v>
      </c>
      <c r="H672">
        <v>2011</v>
      </c>
      <c r="I672" s="364">
        <v>1.7</v>
      </c>
      <c r="J672" s="364"/>
      <c r="K672" t="s">
        <v>3020</v>
      </c>
      <c r="O672" s="363">
        <f t="shared" si="57"/>
        <v>1.7000000000000001E-2</v>
      </c>
      <c r="T672">
        <v>0.5</v>
      </c>
      <c r="U672" t="s">
        <v>2867</v>
      </c>
      <c r="V672" t="s">
        <v>336</v>
      </c>
    </row>
    <row r="673" spans="1:22" x14ac:dyDescent="0.45">
      <c r="A673" t="s">
        <v>2850</v>
      </c>
      <c r="B673" t="s">
        <v>3019</v>
      </c>
      <c r="C673" t="str">
        <f t="shared" si="56"/>
        <v>VC25ET01</v>
      </c>
      <c r="E673" t="s">
        <v>3021</v>
      </c>
      <c r="F673" t="s">
        <v>2240</v>
      </c>
      <c r="G673" s="362" t="s">
        <v>2543</v>
      </c>
      <c r="H673">
        <v>2016</v>
      </c>
      <c r="I673" s="364">
        <v>0.9</v>
      </c>
      <c r="J673" s="364"/>
      <c r="K673" t="s">
        <v>3020</v>
      </c>
      <c r="O673" s="363">
        <f>I673/100</f>
        <v>9.0000000000000011E-3</v>
      </c>
      <c r="T673">
        <v>1</v>
      </c>
      <c r="U673" t="s">
        <v>2868</v>
      </c>
      <c r="V673" t="s">
        <v>806</v>
      </c>
    </row>
    <row r="674" spans="1:22" x14ac:dyDescent="0.45">
      <c r="A674" t="s">
        <v>2850</v>
      </c>
      <c r="B674" t="s">
        <v>3019</v>
      </c>
      <c r="E674" t="s">
        <v>3021</v>
      </c>
      <c r="F674" t="s">
        <v>2240</v>
      </c>
      <c r="G674" s="362" t="s">
        <v>2543</v>
      </c>
      <c r="H674">
        <v>2011</v>
      </c>
      <c r="I674" s="364">
        <v>1.3</v>
      </c>
      <c r="J674" s="364"/>
      <c r="K674" t="s">
        <v>3020</v>
      </c>
      <c r="O674" s="363">
        <f t="shared" si="57"/>
        <v>1.3000000000000001E-2</v>
      </c>
      <c r="T674">
        <v>1</v>
      </c>
      <c r="U674" t="s">
        <v>2868</v>
      </c>
      <c r="V674" t="s">
        <v>806</v>
      </c>
    </row>
    <row r="675" spans="1:22" x14ac:dyDescent="0.45">
      <c r="A675" t="s">
        <v>2850</v>
      </c>
      <c r="B675" t="s">
        <v>3019</v>
      </c>
      <c r="C675" t="str">
        <f t="shared" si="56"/>
        <v>VC25ET02</v>
      </c>
      <c r="E675" t="s">
        <v>3021</v>
      </c>
      <c r="F675" t="s">
        <v>2240</v>
      </c>
      <c r="G675" s="362" t="s">
        <v>2543</v>
      </c>
      <c r="H675">
        <v>2016</v>
      </c>
      <c r="I675" s="364">
        <v>2.5</v>
      </c>
      <c r="J675" s="364"/>
      <c r="K675" t="s">
        <v>3020</v>
      </c>
      <c r="O675" s="363">
        <f t="shared" si="57"/>
        <v>2.5000000000000001E-2</v>
      </c>
      <c r="T675">
        <v>1</v>
      </c>
      <c r="U675" t="s">
        <v>2869</v>
      </c>
      <c r="V675" t="s">
        <v>2946</v>
      </c>
    </row>
    <row r="676" spans="1:22" x14ac:dyDescent="0.45">
      <c r="A676" t="s">
        <v>2850</v>
      </c>
      <c r="B676" t="s">
        <v>3019</v>
      </c>
      <c r="E676" t="s">
        <v>3021</v>
      </c>
      <c r="F676" t="s">
        <v>2240</v>
      </c>
      <c r="G676" s="362" t="s">
        <v>2543</v>
      </c>
      <c r="H676">
        <v>2011</v>
      </c>
      <c r="I676" s="364">
        <v>4.3</v>
      </c>
      <c r="J676" s="364"/>
      <c r="K676" t="s">
        <v>3020</v>
      </c>
      <c r="O676" s="363">
        <f t="shared" si="57"/>
        <v>4.2999999999999997E-2</v>
      </c>
      <c r="T676">
        <v>1</v>
      </c>
      <c r="U676" t="s">
        <v>2869</v>
      </c>
      <c r="V676" t="s">
        <v>2946</v>
      </c>
    </row>
    <row r="677" spans="1:22" x14ac:dyDescent="0.45">
      <c r="A677" t="s">
        <v>2850</v>
      </c>
      <c r="B677" t="s">
        <v>3019</v>
      </c>
      <c r="C677" t="str">
        <f t="shared" si="56"/>
        <v>VC25ET03</v>
      </c>
      <c r="E677" t="s">
        <v>3021</v>
      </c>
      <c r="F677" t="s">
        <v>2240</v>
      </c>
      <c r="G677" s="362" t="s">
        <v>2543</v>
      </c>
      <c r="H677">
        <v>2016</v>
      </c>
      <c r="I677" s="364">
        <v>3.3</v>
      </c>
      <c r="J677" s="364"/>
      <c r="K677" t="s">
        <v>3020</v>
      </c>
      <c r="O677" s="363">
        <f t="shared" si="57"/>
        <v>3.3000000000000002E-2</v>
      </c>
      <c r="T677">
        <v>1</v>
      </c>
      <c r="U677" t="s">
        <v>2871</v>
      </c>
      <c r="V677" t="s">
        <v>805</v>
      </c>
    </row>
    <row r="678" spans="1:22" x14ac:dyDescent="0.45">
      <c r="A678" t="s">
        <v>2850</v>
      </c>
      <c r="B678" t="s">
        <v>3019</v>
      </c>
      <c r="E678" t="s">
        <v>3021</v>
      </c>
      <c r="F678" t="s">
        <v>2240</v>
      </c>
      <c r="G678" s="362" t="s">
        <v>2543</v>
      </c>
      <c r="H678">
        <v>2011</v>
      </c>
      <c r="I678" s="364">
        <v>2.2999999999999998</v>
      </c>
      <c r="J678" s="364"/>
      <c r="K678" t="s">
        <v>3020</v>
      </c>
      <c r="O678" s="363">
        <f t="shared" si="57"/>
        <v>2.3E-2</v>
      </c>
      <c r="T678">
        <v>1</v>
      </c>
      <c r="U678" t="s">
        <v>2871</v>
      </c>
      <c r="V678" t="s">
        <v>805</v>
      </c>
    </row>
    <row r="679" spans="1:22" x14ac:dyDescent="0.45">
      <c r="A679" t="s">
        <v>2850</v>
      </c>
      <c r="B679" t="s">
        <v>3019</v>
      </c>
      <c r="C679" t="str">
        <f t="shared" si="56"/>
        <v>VC25ET04</v>
      </c>
      <c r="E679" t="s">
        <v>3021</v>
      </c>
      <c r="F679" t="s">
        <v>2240</v>
      </c>
      <c r="G679" s="362" t="s">
        <v>2543</v>
      </c>
      <c r="H679">
        <v>2016</v>
      </c>
      <c r="I679" s="364">
        <v>5.7</v>
      </c>
      <c r="J679" s="364"/>
      <c r="K679" t="s">
        <v>3020</v>
      </c>
      <c r="O679" s="363">
        <f t="shared" si="57"/>
        <v>5.7000000000000002E-2</v>
      </c>
      <c r="T679">
        <v>1</v>
      </c>
      <c r="U679" t="s">
        <v>2872</v>
      </c>
      <c r="V679" t="s">
        <v>809</v>
      </c>
    </row>
    <row r="680" spans="1:22" x14ac:dyDescent="0.45">
      <c r="A680" t="s">
        <v>2850</v>
      </c>
      <c r="B680" t="s">
        <v>3019</v>
      </c>
      <c r="E680" t="s">
        <v>3021</v>
      </c>
      <c r="F680" t="s">
        <v>2240</v>
      </c>
      <c r="G680" s="362" t="s">
        <v>2543</v>
      </c>
      <c r="H680">
        <v>2011</v>
      </c>
      <c r="I680" s="364">
        <v>2.5</v>
      </c>
      <c r="J680" s="364"/>
      <c r="K680" t="s">
        <v>3020</v>
      </c>
      <c r="O680" s="363">
        <f t="shared" si="57"/>
        <v>2.5000000000000001E-2</v>
      </c>
      <c r="T680">
        <v>1</v>
      </c>
      <c r="U680" t="s">
        <v>2872</v>
      </c>
      <c r="V680" t="s">
        <v>809</v>
      </c>
    </row>
    <row r="681" spans="1:22" x14ac:dyDescent="0.45">
      <c r="A681" t="s">
        <v>2850</v>
      </c>
      <c r="B681" t="s">
        <v>3019</v>
      </c>
      <c r="C681" t="str">
        <f t="shared" si="56"/>
        <v>VC25ET05</v>
      </c>
      <c r="E681" t="s">
        <v>3021</v>
      </c>
      <c r="F681" t="s">
        <v>2240</v>
      </c>
      <c r="G681" s="362" t="s">
        <v>2543</v>
      </c>
      <c r="H681">
        <v>2016</v>
      </c>
      <c r="I681" s="364">
        <v>3</v>
      </c>
      <c r="J681" s="364"/>
      <c r="K681" t="s">
        <v>3020</v>
      </c>
      <c r="O681" s="363">
        <f t="shared" si="57"/>
        <v>0.03</v>
      </c>
      <c r="T681">
        <v>1</v>
      </c>
      <c r="U681" t="s">
        <v>2873</v>
      </c>
      <c r="V681" t="s">
        <v>2874</v>
      </c>
    </row>
    <row r="682" spans="1:22" x14ac:dyDescent="0.45">
      <c r="A682" t="s">
        <v>2850</v>
      </c>
      <c r="B682" t="s">
        <v>3019</v>
      </c>
      <c r="E682" t="s">
        <v>3021</v>
      </c>
      <c r="F682" t="s">
        <v>2240</v>
      </c>
      <c r="G682" s="362" t="s">
        <v>2543</v>
      </c>
      <c r="H682">
        <v>2011</v>
      </c>
      <c r="I682" s="364">
        <v>7.8</v>
      </c>
      <c r="J682" s="364"/>
      <c r="K682" t="s">
        <v>3020</v>
      </c>
      <c r="O682" s="363">
        <f t="shared" si="57"/>
        <v>7.8E-2</v>
      </c>
      <c r="T682">
        <v>1</v>
      </c>
      <c r="U682" t="s">
        <v>2873</v>
      </c>
      <c r="V682" t="s">
        <v>2874</v>
      </c>
    </row>
    <row r="683" spans="1:22" x14ac:dyDescent="0.45">
      <c r="A683" t="s">
        <v>2850</v>
      </c>
      <c r="B683" t="s">
        <v>3019</v>
      </c>
      <c r="C683" t="str">
        <f t="shared" si="56"/>
        <v>VC25ET06</v>
      </c>
      <c r="E683" t="s">
        <v>3021</v>
      </c>
      <c r="F683" t="s">
        <v>2240</v>
      </c>
      <c r="G683" s="362" t="s">
        <v>2543</v>
      </c>
      <c r="H683">
        <v>2016</v>
      </c>
      <c r="I683" s="364">
        <v>0.9</v>
      </c>
      <c r="J683" s="364"/>
      <c r="K683" t="s">
        <v>3020</v>
      </c>
      <c r="O683" s="363">
        <f t="shared" si="57"/>
        <v>9.0000000000000011E-3</v>
      </c>
      <c r="T683">
        <v>1</v>
      </c>
      <c r="U683" t="s">
        <v>2876</v>
      </c>
      <c r="V683" t="s">
        <v>2877</v>
      </c>
    </row>
    <row r="684" spans="1:22" x14ac:dyDescent="0.45">
      <c r="A684" t="s">
        <v>2850</v>
      </c>
      <c r="B684" t="s">
        <v>3019</v>
      </c>
      <c r="E684" t="s">
        <v>3021</v>
      </c>
      <c r="F684" t="s">
        <v>2240</v>
      </c>
      <c r="G684" s="362" t="s">
        <v>2543</v>
      </c>
      <c r="H684">
        <v>2011</v>
      </c>
      <c r="I684" s="364">
        <v>2.1</v>
      </c>
      <c r="J684" s="364"/>
      <c r="K684" t="s">
        <v>3020</v>
      </c>
      <c r="O684" s="363">
        <f t="shared" si="57"/>
        <v>2.1000000000000001E-2</v>
      </c>
      <c r="T684">
        <v>1</v>
      </c>
      <c r="U684" t="s">
        <v>2876</v>
      </c>
      <c r="V684" t="s">
        <v>2877</v>
      </c>
    </row>
    <row r="685" spans="1:22" x14ac:dyDescent="0.45">
      <c r="A685" t="s">
        <v>2850</v>
      </c>
      <c r="B685" t="s">
        <v>3019</v>
      </c>
      <c r="C685" t="str">
        <f t="shared" si="56"/>
        <v>VC25ET07</v>
      </c>
      <c r="E685" t="s">
        <v>3021</v>
      </c>
      <c r="F685" t="s">
        <v>2240</v>
      </c>
      <c r="G685" s="362" t="s">
        <v>2543</v>
      </c>
      <c r="H685">
        <v>2016</v>
      </c>
      <c r="I685" s="364">
        <v>1.5</v>
      </c>
      <c r="J685" s="364"/>
      <c r="K685" t="s">
        <v>3020</v>
      </c>
      <c r="O685" s="363">
        <f t="shared" si="57"/>
        <v>1.4999999999999999E-2</v>
      </c>
      <c r="T685">
        <v>1</v>
      </c>
      <c r="U685" t="s">
        <v>2878</v>
      </c>
      <c r="V685" t="s">
        <v>2879</v>
      </c>
    </row>
    <row r="686" spans="1:22" x14ac:dyDescent="0.45">
      <c r="A686" t="s">
        <v>2850</v>
      </c>
      <c r="B686" t="s">
        <v>3019</v>
      </c>
      <c r="E686" t="s">
        <v>3021</v>
      </c>
      <c r="F686" t="s">
        <v>2240</v>
      </c>
      <c r="G686" s="362" t="s">
        <v>2543</v>
      </c>
      <c r="H686">
        <v>2011</v>
      </c>
      <c r="I686" s="364">
        <v>2.2000000000000002</v>
      </c>
      <c r="J686" s="364"/>
      <c r="K686" t="s">
        <v>3020</v>
      </c>
      <c r="O686" s="363">
        <f t="shared" si="57"/>
        <v>2.2000000000000002E-2</v>
      </c>
      <c r="T686">
        <v>1</v>
      </c>
      <c r="U686" t="s">
        <v>2878</v>
      </c>
      <c r="V686" t="s">
        <v>2879</v>
      </c>
    </row>
    <row r="687" spans="1:22" x14ac:dyDescent="0.45">
      <c r="A687" t="s">
        <v>2850</v>
      </c>
      <c r="B687" t="s">
        <v>3019</v>
      </c>
      <c r="C687" t="str">
        <f t="shared" si="56"/>
        <v>VC25ET12</v>
      </c>
      <c r="E687" t="s">
        <v>3021</v>
      </c>
      <c r="F687" t="s">
        <v>2240</v>
      </c>
      <c r="G687" s="362" t="s">
        <v>2543</v>
      </c>
      <c r="H687">
        <v>2016</v>
      </c>
      <c r="I687" s="364">
        <v>2.8</v>
      </c>
      <c r="J687" s="364"/>
      <c r="K687" t="s">
        <v>3020</v>
      </c>
      <c r="O687" s="363">
        <f t="shared" si="57"/>
        <v>2.7999999999999997E-2</v>
      </c>
      <c r="T687">
        <v>1</v>
      </c>
      <c r="U687" t="s">
        <v>2880</v>
      </c>
      <c r="V687" t="s">
        <v>2881</v>
      </c>
    </row>
    <row r="688" spans="1:22" x14ac:dyDescent="0.45">
      <c r="A688" t="s">
        <v>2850</v>
      </c>
      <c r="B688" t="s">
        <v>3019</v>
      </c>
      <c r="E688" t="s">
        <v>3021</v>
      </c>
      <c r="F688" t="s">
        <v>2240</v>
      </c>
      <c r="G688" s="362" t="s">
        <v>2543</v>
      </c>
      <c r="H688">
        <v>2011</v>
      </c>
      <c r="I688" s="364">
        <v>3.4</v>
      </c>
      <c r="J688" s="364"/>
      <c r="K688" t="s">
        <v>3020</v>
      </c>
      <c r="O688" s="363">
        <f t="shared" si="57"/>
        <v>3.4000000000000002E-2</v>
      </c>
      <c r="T688">
        <v>1</v>
      </c>
      <c r="U688" t="s">
        <v>2880</v>
      </c>
      <c r="V688" t="s">
        <v>2881</v>
      </c>
    </row>
    <row r="689" spans="1:22" x14ac:dyDescent="0.45">
      <c r="A689" t="s">
        <v>2850</v>
      </c>
      <c r="B689" t="s">
        <v>3019</v>
      </c>
      <c r="C689" t="str">
        <f t="shared" si="56"/>
        <v>VC25ET13</v>
      </c>
      <c r="E689" t="s">
        <v>3021</v>
      </c>
      <c r="F689" t="s">
        <v>2240</v>
      </c>
      <c r="G689" s="362" t="s">
        <v>2543</v>
      </c>
      <c r="H689">
        <v>2016</v>
      </c>
      <c r="I689" s="364">
        <v>5.4</v>
      </c>
      <c r="J689" s="364"/>
      <c r="K689" t="s">
        <v>3020</v>
      </c>
      <c r="O689" s="363">
        <f t="shared" si="57"/>
        <v>5.4000000000000006E-2</v>
      </c>
      <c r="T689">
        <v>1</v>
      </c>
      <c r="U689" t="s">
        <v>2882</v>
      </c>
      <c r="V689" t="s">
        <v>2883</v>
      </c>
    </row>
    <row r="690" spans="1:22" x14ac:dyDescent="0.45">
      <c r="A690" t="s">
        <v>2850</v>
      </c>
      <c r="B690" t="s">
        <v>3019</v>
      </c>
      <c r="E690" t="s">
        <v>3021</v>
      </c>
      <c r="F690" t="s">
        <v>2240</v>
      </c>
      <c r="G690" s="362" t="s">
        <v>2543</v>
      </c>
      <c r="H690">
        <v>2011</v>
      </c>
      <c r="I690" s="364">
        <v>0.7</v>
      </c>
      <c r="J690" s="364"/>
      <c r="K690" t="s">
        <v>3020</v>
      </c>
      <c r="O690" s="363">
        <f t="shared" si="57"/>
        <v>6.9999999999999993E-3</v>
      </c>
      <c r="T690">
        <v>1</v>
      </c>
      <c r="U690" t="s">
        <v>2882</v>
      </c>
      <c r="V690" t="s">
        <v>2883</v>
      </c>
    </row>
    <row r="691" spans="1:22" x14ac:dyDescent="0.45">
      <c r="A691" t="s">
        <v>2850</v>
      </c>
      <c r="B691" t="s">
        <v>3019</v>
      </c>
      <c r="C691" t="str">
        <f t="shared" si="56"/>
        <v>VC25ET14</v>
      </c>
      <c r="E691" t="s">
        <v>3021</v>
      </c>
      <c r="F691" t="s">
        <v>2240</v>
      </c>
      <c r="G691" s="362" t="s">
        <v>2543</v>
      </c>
      <c r="H691">
        <v>2016</v>
      </c>
      <c r="I691" s="364">
        <v>1.3</v>
      </c>
      <c r="J691" s="364"/>
      <c r="K691" t="s">
        <v>3020</v>
      </c>
      <c r="O691" s="363">
        <f t="shared" si="57"/>
        <v>1.3000000000000001E-2</v>
      </c>
      <c r="T691">
        <v>1</v>
      </c>
      <c r="U691" t="s">
        <v>2884</v>
      </c>
      <c r="V691" t="s">
        <v>814</v>
      </c>
    </row>
    <row r="692" spans="1:22" x14ac:dyDescent="0.45">
      <c r="A692" t="s">
        <v>2850</v>
      </c>
      <c r="B692" t="s">
        <v>3019</v>
      </c>
      <c r="E692" t="s">
        <v>3021</v>
      </c>
      <c r="F692" t="s">
        <v>2240</v>
      </c>
      <c r="G692" s="362" t="s">
        <v>2543</v>
      </c>
      <c r="H692">
        <v>2011</v>
      </c>
      <c r="I692" s="364">
        <v>0.4</v>
      </c>
      <c r="J692" s="364"/>
      <c r="K692" t="s">
        <v>3020</v>
      </c>
      <c r="O692" s="363">
        <f t="shared" si="57"/>
        <v>4.0000000000000001E-3</v>
      </c>
      <c r="T692">
        <v>1</v>
      </c>
      <c r="U692" t="s">
        <v>2884</v>
      </c>
      <c r="V692" t="s">
        <v>814</v>
      </c>
    </row>
    <row r="693" spans="1:22" x14ac:dyDescent="0.45">
      <c r="A693" t="s">
        <v>2850</v>
      </c>
      <c r="B693" t="s">
        <v>3019</v>
      </c>
      <c r="C693" t="str">
        <f t="shared" si="56"/>
        <v>VC25ET15</v>
      </c>
      <c r="E693" t="s">
        <v>3021</v>
      </c>
      <c r="F693" t="s">
        <v>2240</v>
      </c>
      <c r="G693" s="362" t="s">
        <v>2543</v>
      </c>
      <c r="H693">
        <v>2016</v>
      </c>
      <c r="I693" s="364">
        <v>2.2000000000000002</v>
      </c>
      <c r="J693" s="364"/>
      <c r="K693" t="s">
        <v>3020</v>
      </c>
      <c r="O693" s="363">
        <f t="shared" si="57"/>
        <v>2.2000000000000002E-2</v>
      </c>
      <c r="T693">
        <v>1</v>
      </c>
      <c r="U693" t="s">
        <v>2885</v>
      </c>
      <c r="V693" t="s">
        <v>2886</v>
      </c>
    </row>
    <row r="694" spans="1:22" x14ac:dyDescent="0.45">
      <c r="A694" t="s">
        <v>2850</v>
      </c>
      <c r="B694" t="s">
        <v>3019</v>
      </c>
      <c r="E694" t="s">
        <v>3021</v>
      </c>
      <c r="F694" t="s">
        <v>2240</v>
      </c>
      <c r="G694" s="362" t="s">
        <v>2543</v>
      </c>
      <c r="H694">
        <v>2011</v>
      </c>
      <c r="I694" s="364">
        <v>2.1</v>
      </c>
      <c r="J694" s="364"/>
      <c r="K694" t="s">
        <v>3020</v>
      </c>
      <c r="O694" s="363">
        <f t="shared" si="57"/>
        <v>2.1000000000000001E-2</v>
      </c>
      <c r="T694">
        <v>1</v>
      </c>
      <c r="U694" t="s">
        <v>2885</v>
      </c>
      <c r="V694" t="s">
        <v>2886</v>
      </c>
    </row>
    <row r="695" spans="1:22" x14ac:dyDescent="0.45">
      <c r="A695" t="s">
        <v>3022</v>
      </c>
      <c r="B695" t="s">
        <v>3023</v>
      </c>
      <c r="C695" t="str">
        <f>_xlfn.CONCAT(B695,U695)</f>
        <v>VC26ET</v>
      </c>
      <c r="F695" t="s">
        <v>241</v>
      </c>
      <c r="G695" s="362" t="s">
        <v>2542</v>
      </c>
      <c r="H695">
        <v>2020</v>
      </c>
      <c r="I695" s="181">
        <v>0.20927000000000001</v>
      </c>
      <c r="J695" s="181"/>
      <c r="K695" t="s">
        <v>3024</v>
      </c>
      <c r="O695" s="363">
        <f>I695/1000</f>
        <v>2.0927000000000001E-4</v>
      </c>
      <c r="P695" t="s">
        <v>2195</v>
      </c>
      <c r="Q695" s="373">
        <v>0.91</v>
      </c>
      <c r="R695" t="s">
        <v>3025</v>
      </c>
      <c r="T695">
        <v>0</v>
      </c>
      <c r="U695" t="s">
        <v>2849</v>
      </c>
      <c r="V695" t="s">
        <v>594</v>
      </c>
    </row>
    <row r="696" spans="1:22" x14ac:dyDescent="0.45">
      <c r="A696" t="s">
        <v>3026</v>
      </c>
      <c r="B696" t="s">
        <v>3027</v>
      </c>
      <c r="C696" t="str">
        <f>_xlfn.CONCAT(B696,U696)</f>
        <v>VC27ET</v>
      </c>
      <c r="D696" t="s">
        <v>2696</v>
      </c>
      <c r="E696" t="s">
        <v>3028</v>
      </c>
      <c r="F696" t="s">
        <v>241</v>
      </c>
      <c r="G696" s="362" t="s">
        <v>2542</v>
      </c>
      <c r="H696">
        <v>2020</v>
      </c>
      <c r="I696" s="363">
        <v>0.86197000000000001</v>
      </c>
      <c r="K696" t="s">
        <v>3029</v>
      </c>
      <c r="O696" s="363">
        <f>I696/100</f>
        <v>8.619700000000001E-3</v>
      </c>
      <c r="P696" t="s">
        <v>1863</v>
      </c>
      <c r="Q696" s="373">
        <v>0.95799999999999996</v>
      </c>
      <c r="R696" t="s">
        <v>3030</v>
      </c>
      <c r="T696">
        <v>0</v>
      </c>
      <c r="U696" t="s">
        <v>2849</v>
      </c>
      <c r="V696" t="s">
        <v>594</v>
      </c>
    </row>
    <row r="697" spans="1:22" x14ac:dyDescent="0.45">
      <c r="A697" t="s">
        <v>2850</v>
      </c>
      <c r="B697" t="s">
        <v>3027</v>
      </c>
      <c r="E697" t="s">
        <v>3031</v>
      </c>
      <c r="F697" t="s">
        <v>241</v>
      </c>
      <c r="G697" s="362" t="s">
        <v>253</v>
      </c>
      <c r="H697">
        <v>2020</v>
      </c>
      <c r="I697" s="363">
        <v>0.83085141172013355</v>
      </c>
      <c r="K697" t="s">
        <v>3032</v>
      </c>
      <c r="L697" t="s">
        <v>3033</v>
      </c>
      <c r="O697" s="363">
        <f>I697/100</f>
        <v>8.3085141172013349E-3</v>
      </c>
      <c r="P697" t="s">
        <v>1863</v>
      </c>
      <c r="Q697" s="373">
        <v>0.91219046649149427</v>
      </c>
      <c r="R697" t="s">
        <v>3034</v>
      </c>
      <c r="T697">
        <v>0</v>
      </c>
      <c r="U697" t="s">
        <v>2849</v>
      </c>
      <c r="V697" t="s">
        <v>594</v>
      </c>
    </row>
    <row r="698" spans="1:22" x14ac:dyDescent="0.45">
      <c r="A698" t="s">
        <v>2850</v>
      </c>
      <c r="B698" t="s">
        <v>3027</v>
      </c>
      <c r="E698" t="s">
        <v>3031</v>
      </c>
      <c r="F698" t="s">
        <v>241</v>
      </c>
      <c r="G698" s="362" t="s">
        <v>253</v>
      </c>
      <c r="H698">
        <v>2016</v>
      </c>
      <c r="I698">
        <v>1.2</v>
      </c>
      <c r="J698" t="s">
        <v>3035</v>
      </c>
      <c r="K698" t="s">
        <v>3032</v>
      </c>
      <c r="L698" t="s">
        <v>1863</v>
      </c>
      <c r="O698" s="363">
        <f t="shared" ref="O698:O720" si="58">I698/100</f>
        <v>1.2E-2</v>
      </c>
      <c r="P698" t="s">
        <v>1863</v>
      </c>
      <c r="Q698" s="373"/>
      <c r="T698">
        <v>0</v>
      </c>
      <c r="U698" t="s">
        <v>2849</v>
      </c>
      <c r="V698" t="s">
        <v>594</v>
      </c>
    </row>
    <row r="699" spans="1:22" x14ac:dyDescent="0.45">
      <c r="A699" t="s">
        <v>2850</v>
      </c>
      <c r="B699" t="s">
        <v>3027</v>
      </c>
      <c r="C699" t="str">
        <f>_xlfn.CONCAT(B699,U699)</f>
        <v>VC27ET01</v>
      </c>
      <c r="E699" t="s">
        <v>3031</v>
      </c>
      <c r="F699" t="s">
        <v>241</v>
      </c>
      <c r="G699" s="362" t="s">
        <v>253</v>
      </c>
      <c r="H699">
        <v>2020</v>
      </c>
      <c r="I699" s="363">
        <v>1.1041450292522077</v>
      </c>
      <c r="K699" t="s">
        <v>3032</v>
      </c>
      <c r="L699" t="s">
        <v>3033</v>
      </c>
      <c r="O699" s="363">
        <f t="shared" si="58"/>
        <v>1.1041450292522077E-2</v>
      </c>
      <c r="P699" t="s">
        <v>1863</v>
      </c>
      <c r="Q699" s="373">
        <v>0.92626171891560682</v>
      </c>
      <c r="R699" t="s">
        <v>3034</v>
      </c>
      <c r="T699">
        <v>1</v>
      </c>
      <c r="U699" t="s">
        <v>2868</v>
      </c>
      <c r="V699" t="s">
        <v>806</v>
      </c>
    </row>
    <row r="700" spans="1:22" x14ac:dyDescent="0.45">
      <c r="A700" t="s">
        <v>2850</v>
      </c>
      <c r="B700" t="s">
        <v>3027</v>
      </c>
      <c r="E700" t="s">
        <v>3031</v>
      </c>
      <c r="F700" t="s">
        <v>241</v>
      </c>
      <c r="G700" s="362" t="s">
        <v>253</v>
      </c>
      <c r="H700">
        <v>2016</v>
      </c>
      <c r="I700">
        <v>1.5</v>
      </c>
      <c r="J700" t="s">
        <v>3036</v>
      </c>
      <c r="K700" t="s">
        <v>3032</v>
      </c>
      <c r="L700" t="s">
        <v>1863</v>
      </c>
      <c r="O700" s="363">
        <f t="shared" si="58"/>
        <v>1.4999999999999999E-2</v>
      </c>
      <c r="P700" t="s">
        <v>1863</v>
      </c>
      <c r="Q700" s="373"/>
      <c r="T700">
        <v>1</v>
      </c>
      <c r="U700" t="s">
        <v>2868</v>
      </c>
      <c r="V700" t="s">
        <v>806</v>
      </c>
    </row>
    <row r="701" spans="1:22" x14ac:dyDescent="0.45">
      <c r="A701" t="s">
        <v>2850</v>
      </c>
      <c r="B701" t="s">
        <v>3027</v>
      </c>
      <c r="C701" t="str">
        <f>_xlfn.CONCAT(B701,U701)</f>
        <v>VC27ET02</v>
      </c>
      <c r="E701" t="s">
        <v>3031</v>
      </c>
      <c r="F701" t="s">
        <v>241</v>
      </c>
      <c r="G701" s="362" t="s">
        <v>253</v>
      </c>
      <c r="H701">
        <v>2020</v>
      </c>
      <c r="I701" s="363">
        <v>1.3384186273168297</v>
      </c>
      <c r="K701" t="s">
        <v>3032</v>
      </c>
      <c r="L701" t="s">
        <v>3033</v>
      </c>
      <c r="O701" s="363">
        <f t="shared" si="58"/>
        <v>1.3384186273168296E-2</v>
      </c>
      <c r="P701" t="s">
        <v>1863</v>
      </c>
      <c r="Q701" s="373">
        <v>0.956352499790037</v>
      </c>
      <c r="R701" t="s">
        <v>3034</v>
      </c>
      <c r="T701">
        <v>1</v>
      </c>
      <c r="U701" t="s">
        <v>2869</v>
      </c>
      <c r="V701" t="s">
        <v>2946</v>
      </c>
    </row>
    <row r="702" spans="1:22" x14ac:dyDescent="0.45">
      <c r="A702" t="s">
        <v>2850</v>
      </c>
      <c r="B702" t="s">
        <v>3027</v>
      </c>
      <c r="E702" t="s">
        <v>3031</v>
      </c>
      <c r="F702" t="s">
        <v>241</v>
      </c>
      <c r="G702" s="362" t="s">
        <v>253</v>
      </c>
      <c r="H702">
        <v>2016</v>
      </c>
      <c r="I702">
        <v>1.6</v>
      </c>
      <c r="J702" t="s">
        <v>3037</v>
      </c>
      <c r="K702" t="s">
        <v>3032</v>
      </c>
      <c r="L702" t="s">
        <v>1863</v>
      </c>
      <c r="O702" s="363">
        <f t="shared" si="58"/>
        <v>1.6E-2</v>
      </c>
      <c r="P702" t="s">
        <v>1863</v>
      </c>
      <c r="Q702" s="373"/>
      <c r="T702">
        <v>1</v>
      </c>
      <c r="U702" t="s">
        <v>2869</v>
      </c>
      <c r="V702" t="s">
        <v>2946</v>
      </c>
    </row>
    <row r="703" spans="1:22" x14ac:dyDescent="0.45">
      <c r="A703" t="s">
        <v>2850</v>
      </c>
      <c r="B703" t="s">
        <v>3027</v>
      </c>
      <c r="C703" t="str">
        <f>_xlfn.CONCAT(B703,U703)</f>
        <v>VC27ET03</v>
      </c>
      <c r="E703" t="s">
        <v>3031</v>
      </c>
      <c r="F703" t="s">
        <v>241</v>
      </c>
      <c r="G703" s="362" t="s">
        <v>253</v>
      </c>
      <c r="H703">
        <v>2020</v>
      </c>
      <c r="I703" s="363">
        <v>0.85341424846683123</v>
      </c>
      <c r="K703" t="s">
        <v>3032</v>
      </c>
      <c r="L703" t="s">
        <v>3033</v>
      </c>
      <c r="O703" s="363">
        <f t="shared" si="58"/>
        <v>8.5341424846683122E-3</v>
      </c>
      <c r="P703" t="s">
        <v>1863</v>
      </c>
      <c r="Q703" s="373">
        <v>0.90012771589162677</v>
      </c>
      <c r="R703" t="s">
        <v>3034</v>
      </c>
      <c r="T703">
        <v>1</v>
      </c>
      <c r="U703" t="s">
        <v>2871</v>
      </c>
      <c r="V703" t="s">
        <v>805</v>
      </c>
    </row>
    <row r="704" spans="1:22" x14ac:dyDescent="0.45">
      <c r="A704" t="s">
        <v>2850</v>
      </c>
      <c r="B704" t="s">
        <v>3027</v>
      </c>
      <c r="E704" t="s">
        <v>3031</v>
      </c>
      <c r="F704" t="s">
        <v>241</v>
      </c>
      <c r="G704" s="362" t="s">
        <v>253</v>
      </c>
      <c r="H704">
        <v>2016</v>
      </c>
      <c r="I704">
        <v>1.3</v>
      </c>
      <c r="J704" t="s">
        <v>3038</v>
      </c>
      <c r="K704" t="s">
        <v>3032</v>
      </c>
      <c r="L704" t="s">
        <v>1863</v>
      </c>
      <c r="O704" s="363">
        <f t="shared" si="58"/>
        <v>1.3000000000000001E-2</v>
      </c>
      <c r="P704" t="s">
        <v>1863</v>
      </c>
      <c r="Q704" s="373"/>
      <c r="T704">
        <v>1</v>
      </c>
      <c r="U704" t="s">
        <v>2871</v>
      </c>
      <c r="V704" t="s">
        <v>805</v>
      </c>
    </row>
    <row r="705" spans="1:22" x14ac:dyDescent="0.45">
      <c r="A705" t="s">
        <v>2850</v>
      </c>
      <c r="B705" t="s">
        <v>3027</v>
      </c>
      <c r="C705" t="str">
        <f>_xlfn.CONCAT(B705,U705)</f>
        <v>VC27ET04</v>
      </c>
      <c r="E705" t="s">
        <v>3031</v>
      </c>
      <c r="F705" t="s">
        <v>241</v>
      </c>
      <c r="G705" s="362" t="s">
        <v>253</v>
      </c>
      <c r="H705">
        <v>2020</v>
      </c>
      <c r="I705" s="363">
        <v>0.96239232623358451</v>
      </c>
      <c r="K705" t="s">
        <v>3032</v>
      </c>
      <c r="L705" t="s">
        <v>3033</v>
      </c>
      <c r="O705" s="363">
        <f t="shared" si="58"/>
        <v>9.6239232623358453E-3</v>
      </c>
      <c r="P705" t="s">
        <v>1863</v>
      </c>
      <c r="Q705" s="373">
        <v>0.96714116000060635</v>
      </c>
      <c r="R705" t="s">
        <v>3034</v>
      </c>
      <c r="T705">
        <v>1</v>
      </c>
      <c r="U705" t="s">
        <v>2872</v>
      </c>
      <c r="V705" t="s">
        <v>809</v>
      </c>
    </row>
    <row r="706" spans="1:22" x14ac:dyDescent="0.45">
      <c r="A706" t="s">
        <v>2850</v>
      </c>
      <c r="B706" t="s">
        <v>3027</v>
      </c>
      <c r="E706" t="s">
        <v>3031</v>
      </c>
      <c r="F706" t="s">
        <v>241</v>
      </c>
      <c r="G706" s="362" t="s">
        <v>253</v>
      </c>
      <c r="H706">
        <v>2016</v>
      </c>
      <c r="I706">
        <v>1.1000000000000001</v>
      </c>
      <c r="J706" t="s">
        <v>3039</v>
      </c>
      <c r="K706" t="s">
        <v>3032</v>
      </c>
      <c r="L706" t="s">
        <v>1863</v>
      </c>
      <c r="O706" s="363">
        <f t="shared" si="58"/>
        <v>1.1000000000000001E-2</v>
      </c>
      <c r="P706" t="s">
        <v>1863</v>
      </c>
      <c r="Q706" s="373"/>
      <c r="T706">
        <v>1</v>
      </c>
      <c r="U706" t="s">
        <v>2872</v>
      </c>
      <c r="V706" t="s">
        <v>809</v>
      </c>
    </row>
    <row r="707" spans="1:22" x14ac:dyDescent="0.45">
      <c r="A707" t="s">
        <v>2850</v>
      </c>
      <c r="B707" t="s">
        <v>3027</v>
      </c>
      <c r="C707" t="str">
        <f>_xlfn.CONCAT(B707,U707)</f>
        <v>VC27ET05</v>
      </c>
      <c r="E707" t="s">
        <v>3031</v>
      </c>
      <c r="F707" t="s">
        <v>241</v>
      </c>
      <c r="G707" s="362" t="s">
        <v>253</v>
      </c>
      <c r="H707">
        <v>2020</v>
      </c>
      <c r="I707" s="363">
        <v>0.1</v>
      </c>
      <c r="K707" t="s">
        <v>3032</v>
      </c>
      <c r="L707" t="s">
        <v>3033</v>
      </c>
      <c r="O707" s="363">
        <f t="shared" si="58"/>
        <v>1E-3</v>
      </c>
      <c r="P707" t="s">
        <v>1863</v>
      </c>
      <c r="Q707" s="373">
        <v>1</v>
      </c>
      <c r="R707" t="s">
        <v>3040</v>
      </c>
      <c r="T707">
        <v>1</v>
      </c>
      <c r="U707" t="s">
        <v>2873</v>
      </c>
      <c r="V707" t="s">
        <v>2874</v>
      </c>
    </row>
    <row r="708" spans="1:22" x14ac:dyDescent="0.45">
      <c r="A708" t="s">
        <v>2850</v>
      </c>
      <c r="B708" t="s">
        <v>3027</v>
      </c>
      <c r="E708" t="s">
        <v>3031</v>
      </c>
      <c r="F708" t="s">
        <v>241</v>
      </c>
      <c r="G708" s="362" t="s">
        <v>253</v>
      </c>
      <c r="H708">
        <v>2016</v>
      </c>
      <c r="I708">
        <v>0.1</v>
      </c>
      <c r="J708" t="s">
        <v>3041</v>
      </c>
      <c r="K708" t="s">
        <v>3032</v>
      </c>
      <c r="L708" t="s">
        <v>1863</v>
      </c>
      <c r="O708" s="363">
        <f t="shared" si="58"/>
        <v>1E-3</v>
      </c>
      <c r="P708" t="s">
        <v>1863</v>
      </c>
      <c r="Q708" s="373"/>
      <c r="T708">
        <v>1</v>
      </c>
      <c r="U708" t="s">
        <v>2873</v>
      </c>
      <c r="V708" t="s">
        <v>2874</v>
      </c>
    </row>
    <row r="709" spans="1:22" x14ac:dyDescent="0.45">
      <c r="A709" t="s">
        <v>2850</v>
      </c>
      <c r="B709" t="s">
        <v>3027</v>
      </c>
      <c r="C709" t="str">
        <f>_xlfn.CONCAT(B709,U709)</f>
        <v>VC27ET06</v>
      </c>
      <c r="E709" t="s">
        <v>3031</v>
      </c>
      <c r="F709" t="s">
        <v>241</v>
      </c>
      <c r="G709" s="362" t="s">
        <v>253</v>
      </c>
      <c r="H709">
        <v>2020</v>
      </c>
      <c r="I709" s="363">
        <v>1.5242522040469724</v>
      </c>
      <c r="K709" t="s">
        <v>3032</v>
      </c>
      <c r="L709" t="s">
        <v>3033</v>
      </c>
      <c r="O709" s="363">
        <f t="shared" si="58"/>
        <v>1.5242522040469724E-2</v>
      </c>
      <c r="P709" t="s">
        <v>1863</v>
      </c>
      <c r="Q709" s="373">
        <v>0.98794828634196963</v>
      </c>
      <c r="R709" t="s">
        <v>3034</v>
      </c>
      <c r="T709">
        <v>1</v>
      </c>
      <c r="U709" t="s">
        <v>2876</v>
      </c>
      <c r="V709" t="s">
        <v>2877</v>
      </c>
    </row>
    <row r="710" spans="1:22" x14ac:dyDescent="0.45">
      <c r="A710" t="s">
        <v>2850</v>
      </c>
      <c r="B710" t="s">
        <v>3027</v>
      </c>
      <c r="E710" t="s">
        <v>3031</v>
      </c>
      <c r="F710" t="s">
        <v>241</v>
      </c>
      <c r="G710" s="362" t="s">
        <v>253</v>
      </c>
      <c r="H710">
        <v>2016</v>
      </c>
      <c r="I710">
        <v>1.6</v>
      </c>
      <c r="J710" t="s">
        <v>3042</v>
      </c>
      <c r="K710" t="s">
        <v>3032</v>
      </c>
      <c r="L710" t="s">
        <v>1863</v>
      </c>
      <c r="O710" s="363">
        <f t="shared" si="58"/>
        <v>1.6E-2</v>
      </c>
      <c r="P710" t="s">
        <v>1863</v>
      </c>
      <c r="Q710" s="373"/>
      <c r="T710">
        <v>1</v>
      </c>
      <c r="U710" t="s">
        <v>2876</v>
      </c>
      <c r="V710" t="s">
        <v>2877</v>
      </c>
    </row>
    <row r="711" spans="1:22" x14ac:dyDescent="0.45">
      <c r="A711" t="s">
        <v>2850</v>
      </c>
      <c r="B711" t="s">
        <v>3027</v>
      </c>
      <c r="C711" t="str">
        <f>_xlfn.CONCAT(B711,U711)</f>
        <v>VC27ET07</v>
      </c>
      <c r="E711" t="s">
        <v>3031</v>
      </c>
      <c r="F711" t="s">
        <v>241</v>
      </c>
      <c r="G711" s="362" t="s">
        <v>253</v>
      </c>
      <c r="H711">
        <v>2020</v>
      </c>
      <c r="I711" s="363">
        <v>0.5</v>
      </c>
      <c r="K711" t="s">
        <v>3032</v>
      </c>
      <c r="L711" t="s">
        <v>3033</v>
      </c>
      <c r="O711" s="363">
        <f t="shared" si="58"/>
        <v>5.0000000000000001E-3</v>
      </c>
      <c r="P711" t="s">
        <v>1863</v>
      </c>
      <c r="Q711" s="373">
        <v>1</v>
      </c>
      <c r="R711" t="s">
        <v>3040</v>
      </c>
      <c r="T711">
        <v>1</v>
      </c>
      <c r="U711" t="s">
        <v>2878</v>
      </c>
      <c r="V711" t="s">
        <v>2879</v>
      </c>
    </row>
    <row r="712" spans="1:22" x14ac:dyDescent="0.45">
      <c r="A712" t="s">
        <v>2850</v>
      </c>
      <c r="B712" t="s">
        <v>3027</v>
      </c>
      <c r="E712" t="s">
        <v>3031</v>
      </c>
      <c r="F712" t="s">
        <v>241</v>
      </c>
      <c r="G712" s="362" t="s">
        <v>253</v>
      </c>
      <c r="H712">
        <v>2016</v>
      </c>
      <c r="I712">
        <v>0.5</v>
      </c>
      <c r="J712" t="s">
        <v>3043</v>
      </c>
      <c r="K712" t="s">
        <v>3032</v>
      </c>
      <c r="L712" t="s">
        <v>1863</v>
      </c>
      <c r="O712" s="363">
        <f t="shared" si="58"/>
        <v>5.0000000000000001E-3</v>
      </c>
      <c r="P712" t="s">
        <v>1863</v>
      </c>
      <c r="Q712" s="373"/>
      <c r="T712">
        <v>1</v>
      </c>
      <c r="U712" t="s">
        <v>2878</v>
      </c>
      <c r="V712" t="s">
        <v>2879</v>
      </c>
    </row>
    <row r="713" spans="1:22" x14ac:dyDescent="0.45">
      <c r="A713" t="s">
        <v>2850</v>
      </c>
      <c r="B713" t="s">
        <v>3027</v>
      </c>
      <c r="C713" t="str">
        <f>_xlfn.CONCAT(B713,U713)</f>
        <v>VC27ET12</v>
      </c>
      <c r="E713" t="s">
        <v>3031</v>
      </c>
      <c r="F713" t="s">
        <v>241</v>
      </c>
      <c r="G713" s="362" t="s">
        <v>253</v>
      </c>
      <c r="H713">
        <v>2020</v>
      </c>
      <c r="I713" s="363">
        <v>4.3900863962584324</v>
      </c>
      <c r="K713" t="s">
        <v>3032</v>
      </c>
      <c r="L713" t="s">
        <v>3033</v>
      </c>
      <c r="O713" s="363">
        <f t="shared" si="58"/>
        <v>4.3900863962584323E-2</v>
      </c>
      <c r="P713" t="s">
        <v>1863</v>
      </c>
      <c r="Q713" s="373">
        <v>0.93680576112425107</v>
      </c>
      <c r="R713" t="s">
        <v>3034</v>
      </c>
      <c r="T713">
        <v>1</v>
      </c>
      <c r="U713" t="s">
        <v>2880</v>
      </c>
      <c r="V713" t="s">
        <v>2881</v>
      </c>
    </row>
    <row r="714" spans="1:22" x14ac:dyDescent="0.45">
      <c r="A714" t="s">
        <v>2850</v>
      </c>
      <c r="B714" t="s">
        <v>3027</v>
      </c>
      <c r="E714" t="s">
        <v>3031</v>
      </c>
      <c r="F714" t="s">
        <v>241</v>
      </c>
      <c r="G714" s="362" t="s">
        <v>253</v>
      </c>
      <c r="H714">
        <v>2016</v>
      </c>
      <c r="I714">
        <v>5.7</v>
      </c>
      <c r="J714" t="s">
        <v>3044</v>
      </c>
      <c r="K714" t="s">
        <v>3032</v>
      </c>
      <c r="L714" t="s">
        <v>1863</v>
      </c>
      <c r="O714" s="363">
        <f t="shared" si="58"/>
        <v>5.7000000000000002E-2</v>
      </c>
      <c r="P714" t="s">
        <v>1863</v>
      </c>
      <c r="T714">
        <v>1</v>
      </c>
      <c r="U714" t="s">
        <v>2880</v>
      </c>
      <c r="V714" t="s">
        <v>2881</v>
      </c>
    </row>
    <row r="715" spans="1:22" x14ac:dyDescent="0.45">
      <c r="A715" t="s">
        <v>2850</v>
      </c>
      <c r="B715" t="s">
        <v>3027</v>
      </c>
      <c r="C715" t="str">
        <f>_xlfn.CONCAT(B715,U715)</f>
        <v>VC27ET13</v>
      </c>
      <c r="E715" t="s">
        <v>3031</v>
      </c>
      <c r="F715" t="s">
        <v>241</v>
      </c>
      <c r="G715" s="362" t="s">
        <v>253</v>
      </c>
      <c r="H715">
        <v>2020</v>
      </c>
      <c r="I715" s="363">
        <v>3.2771445850492595</v>
      </c>
      <c r="K715" t="s">
        <v>3032</v>
      </c>
      <c r="L715" t="s">
        <v>3033</v>
      </c>
      <c r="O715" s="363">
        <f t="shared" si="58"/>
        <v>3.2771445850492596E-2</v>
      </c>
      <c r="P715" t="s">
        <v>1863</v>
      </c>
      <c r="Q715" s="373">
        <v>0.98368690390810465</v>
      </c>
      <c r="R715" t="s">
        <v>3034</v>
      </c>
      <c r="T715">
        <v>1</v>
      </c>
      <c r="U715" t="s">
        <v>2882</v>
      </c>
      <c r="V715" t="s">
        <v>2883</v>
      </c>
    </row>
    <row r="716" spans="1:22" x14ac:dyDescent="0.45">
      <c r="A716" t="s">
        <v>2850</v>
      </c>
      <c r="B716" t="s">
        <v>3027</v>
      </c>
      <c r="E716" t="s">
        <v>3031</v>
      </c>
      <c r="F716" t="s">
        <v>241</v>
      </c>
      <c r="G716" s="362" t="s">
        <v>253</v>
      </c>
      <c r="H716">
        <v>2016</v>
      </c>
      <c r="I716">
        <v>3.5</v>
      </c>
      <c r="J716" t="s">
        <v>3045</v>
      </c>
      <c r="K716" t="s">
        <v>3032</v>
      </c>
      <c r="L716" t="s">
        <v>1863</v>
      </c>
      <c r="O716" s="363">
        <f t="shared" si="58"/>
        <v>3.5000000000000003E-2</v>
      </c>
      <c r="P716" t="s">
        <v>1863</v>
      </c>
      <c r="T716">
        <v>1</v>
      </c>
      <c r="U716" t="s">
        <v>2882</v>
      </c>
      <c r="V716" t="s">
        <v>2883</v>
      </c>
    </row>
    <row r="717" spans="1:22" x14ac:dyDescent="0.45">
      <c r="A717" t="s">
        <v>2850</v>
      </c>
      <c r="B717" t="s">
        <v>3027</v>
      </c>
      <c r="C717" t="str">
        <f>_xlfn.CONCAT(B717,U717)</f>
        <v>VC27ET14</v>
      </c>
      <c r="E717" t="s">
        <v>3031</v>
      </c>
      <c r="F717" t="s">
        <v>241</v>
      </c>
      <c r="G717" s="362" t="s">
        <v>253</v>
      </c>
      <c r="H717">
        <v>2020</v>
      </c>
      <c r="I717" s="363">
        <v>3.1573863159301916</v>
      </c>
      <c r="K717" t="s">
        <v>3032</v>
      </c>
      <c r="L717" t="s">
        <v>3033</v>
      </c>
      <c r="O717" s="363">
        <f t="shared" si="58"/>
        <v>3.1573863159301913E-2</v>
      </c>
      <c r="P717" t="s">
        <v>1863</v>
      </c>
      <c r="Q717" s="373">
        <v>0.93114991509483769</v>
      </c>
      <c r="R717" t="s">
        <v>3034</v>
      </c>
      <c r="T717">
        <v>1</v>
      </c>
      <c r="U717" t="s">
        <v>2884</v>
      </c>
      <c r="V717" t="s">
        <v>814</v>
      </c>
    </row>
    <row r="718" spans="1:22" x14ac:dyDescent="0.45">
      <c r="A718" t="s">
        <v>2850</v>
      </c>
      <c r="B718" t="s">
        <v>3027</v>
      </c>
      <c r="E718" t="s">
        <v>3031</v>
      </c>
      <c r="F718" t="s">
        <v>241</v>
      </c>
      <c r="G718" s="362" t="s">
        <v>253</v>
      </c>
      <c r="H718">
        <v>2016</v>
      </c>
      <c r="I718">
        <v>4.2</v>
      </c>
      <c r="J718" t="s">
        <v>3046</v>
      </c>
      <c r="K718" t="s">
        <v>3032</v>
      </c>
      <c r="L718" t="s">
        <v>1863</v>
      </c>
      <c r="O718" s="363">
        <f t="shared" si="58"/>
        <v>4.2000000000000003E-2</v>
      </c>
      <c r="P718" t="s">
        <v>1863</v>
      </c>
      <c r="T718">
        <v>1</v>
      </c>
      <c r="U718" t="s">
        <v>2884</v>
      </c>
      <c r="V718" t="s">
        <v>814</v>
      </c>
    </row>
    <row r="719" spans="1:22" x14ac:dyDescent="0.45">
      <c r="A719" t="s">
        <v>2850</v>
      </c>
      <c r="B719" t="s">
        <v>3027</v>
      </c>
      <c r="C719" t="str">
        <f>_xlfn.CONCAT(B719,U719)</f>
        <v>VC27ET15</v>
      </c>
      <c r="E719" t="s">
        <v>3031</v>
      </c>
      <c r="F719" t="s">
        <v>241</v>
      </c>
      <c r="G719" s="362" t="s">
        <v>253</v>
      </c>
      <c r="H719">
        <v>2020</v>
      </c>
      <c r="I719" s="363">
        <v>2.9685728787672567</v>
      </c>
      <c r="K719" t="s">
        <v>3032</v>
      </c>
      <c r="L719" t="s">
        <v>3033</v>
      </c>
      <c r="O719" s="363">
        <f t="shared" si="58"/>
        <v>2.9685728787672568E-2</v>
      </c>
      <c r="P719" t="s">
        <v>1863</v>
      </c>
      <c r="Q719" s="373">
        <v>0.95966557859456925</v>
      </c>
      <c r="R719" t="s">
        <v>3034</v>
      </c>
      <c r="T719">
        <v>1</v>
      </c>
      <c r="U719" t="s">
        <v>2885</v>
      </c>
      <c r="V719" t="s">
        <v>2886</v>
      </c>
    </row>
    <row r="720" spans="1:22" x14ac:dyDescent="0.45">
      <c r="A720" t="s">
        <v>2850</v>
      </c>
      <c r="B720" t="s">
        <v>3027</v>
      </c>
      <c r="E720" t="s">
        <v>3031</v>
      </c>
      <c r="F720" t="s">
        <v>241</v>
      </c>
      <c r="G720" s="362" t="s">
        <v>253</v>
      </c>
      <c r="H720">
        <v>2016</v>
      </c>
      <c r="I720">
        <v>3.5</v>
      </c>
      <c r="J720" t="s">
        <v>3047</v>
      </c>
      <c r="K720" t="s">
        <v>3032</v>
      </c>
      <c r="L720" t="s">
        <v>1863</v>
      </c>
      <c r="O720" s="363">
        <f t="shared" si="58"/>
        <v>3.5000000000000003E-2</v>
      </c>
      <c r="P720" t="s">
        <v>1863</v>
      </c>
      <c r="Q720" s="373"/>
      <c r="T720">
        <v>1</v>
      </c>
      <c r="U720" t="s">
        <v>2885</v>
      </c>
      <c r="V720" t="s">
        <v>2886</v>
      </c>
    </row>
    <row r="721" spans="1:22" x14ac:dyDescent="0.45">
      <c r="A721" t="s">
        <v>2850</v>
      </c>
      <c r="B721" t="s">
        <v>3048</v>
      </c>
      <c r="C721" t="str">
        <f>_xlfn.CONCAT(B721,U721)</f>
        <v>VC28ET</v>
      </c>
      <c r="E721" t="s">
        <v>2365</v>
      </c>
      <c r="F721" t="s">
        <v>2846</v>
      </c>
      <c r="G721" s="362" t="s">
        <v>212</v>
      </c>
      <c r="H721">
        <v>2019</v>
      </c>
      <c r="I721" s="364">
        <v>4.7</v>
      </c>
      <c r="J721" s="364"/>
      <c r="K721" t="s">
        <v>3049</v>
      </c>
      <c r="L721" t="s">
        <v>2891</v>
      </c>
      <c r="O721" s="363">
        <f>1/I721</f>
        <v>0.21276595744680851</v>
      </c>
      <c r="P721" t="s">
        <v>3050</v>
      </c>
      <c r="T721">
        <v>0</v>
      </c>
      <c r="U721" t="s">
        <v>2849</v>
      </c>
      <c r="V721" t="s">
        <v>594</v>
      </c>
    </row>
    <row r="722" spans="1:22" x14ac:dyDescent="0.45">
      <c r="A722" t="s">
        <v>2850</v>
      </c>
      <c r="B722" t="s">
        <v>3048</v>
      </c>
      <c r="C722" t="str">
        <f t="shared" ref="C722:C734" si="59">_xlfn.CONCAT(B722,U722)</f>
        <v>VC28ETR</v>
      </c>
      <c r="E722" t="s">
        <v>2365</v>
      </c>
      <c r="F722" t="s">
        <v>2846</v>
      </c>
      <c r="G722" s="362" t="s">
        <v>212</v>
      </c>
      <c r="H722">
        <v>2019</v>
      </c>
      <c r="I722" s="364">
        <v>5</v>
      </c>
      <c r="J722" s="364"/>
      <c r="K722" t="s">
        <v>3049</v>
      </c>
      <c r="L722" t="s">
        <v>2891</v>
      </c>
      <c r="O722" s="363">
        <f t="shared" ref="O722:O734" si="60">1/I722</f>
        <v>0.2</v>
      </c>
      <c r="P722" t="s">
        <v>3050</v>
      </c>
      <c r="T722">
        <v>0.5</v>
      </c>
      <c r="U722" t="s">
        <v>2866</v>
      </c>
      <c r="V722" t="s">
        <v>84</v>
      </c>
    </row>
    <row r="723" spans="1:22" x14ac:dyDescent="0.45">
      <c r="A723" t="s">
        <v>2850</v>
      </c>
      <c r="B723" t="s">
        <v>3048</v>
      </c>
      <c r="C723" t="str">
        <f t="shared" si="59"/>
        <v>VC28ETU</v>
      </c>
      <c r="E723" t="s">
        <v>2365</v>
      </c>
      <c r="F723" t="s">
        <v>2846</v>
      </c>
      <c r="G723" s="362" t="s">
        <v>212</v>
      </c>
      <c r="H723">
        <v>2019</v>
      </c>
      <c r="I723" s="364">
        <v>4.0999999999999996</v>
      </c>
      <c r="J723" s="364"/>
      <c r="K723" t="s">
        <v>3049</v>
      </c>
      <c r="L723" t="s">
        <v>2891</v>
      </c>
      <c r="O723" s="363">
        <f t="shared" si="60"/>
        <v>0.24390243902439027</v>
      </c>
      <c r="P723" t="s">
        <v>3050</v>
      </c>
      <c r="T723">
        <v>0.5</v>
      </c>
      <c r="U723" t="s">
        <v>2867</v>
      </c>
      <c r="V723" t="s">
        <v>336</v>
      </c>
    </row>
    <row r="724" spans="1:22" x14ac:dyDescent="0.45">
      <c r="A724" t="s">
        <v>2850</v>
      </c>
      <c r="B724" t="s">
        <v>3048</v>
      </c>
      <c r="C724" t="str">
        <f t="shared" si="59"/>
        <v>VC28ET01</v>
      </c>
      <c r="E724" t="s">
        <v>2365</v>
      </c>
      <c r="F724" t="s">
        <v>2846</v>
      </c>
      <c r="G724" s="362" t="s">
        <v>212</v>
      </c>
      <c r="H724">
        <v>2019</v>
      </c>
      <c r="I724" s="364">
        <v>4.3</v>
      </c>
      <c r="J724" s="364"/>
      <c r="K724" t="s">
        <v>3049</v>
      </c>
      <c r="L724" t="s">
        <v>2891</v>
      </c>
      <c r="O724" s="363">
        <f t="shared" si="60"/>
        <v>0.23255813953488372</v>
      </c>
      <c r="P724" t="s">
        <v>3050</v>
      </c>
      <c r="T724">
        <v>1</v>
      </c>
      <c r="U724" t="s">
        <v>2868</v>
      </c>
      <c r="V724" t="s">
        <v>806</v>
      </c>
    </row>
    <row r="725" spans="1:22" x14ac:dyDescent="0.45">
      <c r="A725" t="s">
        <v>2850</v>
      </c>
      <c r="B725" t="s">
        <v>3048</v>
      </c>
      <c r="C725" t="str">
        <f t="shared" si="59"/>
        <v>VC28ET02</v>
      </c>
      <c r="E725" t="s">
        <v>2365</v>
      </c>
      <c r="F725" t="s">
        <v>2846</v>
      </c>
      <c r="G725" s="362" t="s">
        <v>212</v>
      </c>
      <c r="H725">
        <v>2019</v>
      </c>
      <c r="I725" s="364">
        <v>4.8</v>
      </c>
      <c r="J725" s="364"/>
      <c r="K725" t="s">
        <v>3049</v>
      </c>
      <c r="L725" t="s">
        <v>2891</v>
      </c>
      <c r="O725" s="363">
        <f t="shared" si="60"/>
        <v>0.20833333333333334</v>
      </c>
      <c r="P725" t="s">
        <v>3050</v>
      </c>
      <c r="T725">
        <v>1</v>
      </c>
      <c r="U725" t="s">
        <v>2869</v>
      </c>
      <c r="V725" t="s">
        <v>2946</v>
      </c>
    </row>
    <row r="726" spans="1:22" x14ac:dyDescent="0.45">
      <c r="A726" t="s">
        <v>2850</v>
      </c>
      <c r="B726" t="s">
        <v>3048</v>
      </c>
      <c r="C726" t="str">
        <f t="shared" si="59"/>
        <v>VC28ET03</v>
      </c>
      <c r="E726" t="s">
        <v>2365</v>
      </c>
      <c r="F726" t="s">
        <v>2846</v>
      </c>
      <c r="G726" s="362" t="s">
        <v>212</v>
      </c>
      <c r="H726">
        <v>2019</v>
      </c>
      <c r="I726" s="364">
        <v>4</v>
      </c>
      <c r="J726" s="364"/>
      <c r="K726" t="s">
        <v>3049</v>
      </c>
      <c r="L726" t="s">
        <v>2891</v>
      </c>
      <c r="O726" s="363">
        <f t="shared" si="60"/>
        <v>0.25</v>
      </c>
      <c r="P726" t="s">
        <v>3050</v>
      </c>
      <c r="T726">
        <v>1</v>
      </c>
      <c r="U726" t="s">
        <v>2871</v>
      </c>
      <c r="V726" t="s">
        <v>805</v>
      </c>
    </row>
    <row r="727" spans="1:22" x14ac:dyDescent="0.45">
      <c r="A727" t="s">
        <v>2850</v>
      </c>
      <c r="B727" t="s">
        <v>3048</v>
      </c>
      <c r="C727" t="str">
        <f t="shared" si="59"/>
        <v>VC28ET04</v>
      </c>
      <c r="E727" t="s">
        <v>2365</v>
      </c>
      <c r="F727" t="s">
        <v>2846</v>
      </c>
      <c r="G727" s="362" t="s">
        <v>212</v>
      </c>
      <c r="H727">
        <v>2019</v>
      </c>
      <c r="I727" s="364">
        <v>5.2</v>
      </c>
      <c r="J727" s="364"/>
      <c r="K727" t="s">
        <v>3049</v>
      </c>
      <c r="L727" t="s">
        <v>2891</v>
      </c>
      <c r="O727" s="363">
        <f t="shared" si="60"/>
        <v>0.19230769230769229</v>
      </c>
      <c r="P727" t="s">
        <v>3050</v>
      </c>
      <c r="T727">
        <v>1</v>
      </c>
      <c r="U727" t="s">
        <v>2872</v>
      </c>
      <c r="V727" t="s">
        <v>809</v>
      </c>
    </row>
    <row r="728" spans="1:22" x14ac:dyDescent="0.45">
      <c r="A728" t="s">
        <v>2850</v>
      </c>
      <c r="B728" t="s">
        <v>3048</v>
      </c>
      <c r="C728" t="str">
        <f t="shared" si="59"/>
        <v>VC28ET05</v>
      </c>
      <c r="E728" t="s">
        <v>2365</v>
      </c>
      <c r="F728" t="s">
        <v>2846</v>
      </c>
      <c r="G728" s="362" t="s">
        <v>212</v>
      </c>
      <c r="H728">
        <v>2019</v>
      </c>
      <c r="I728" s="364">
        <v>6</v>
      </c>
      <c r="J728" s="364"/>
      <c r="K728" t="s">
        <v>3049</v>
      </c>
      <c r="L728" t="s">
        <v>2891</v>
      </c>
      <c r="O728" s="363">
        <f t="shared" si="60"/>
        <v>0.16666666666666666</v>
      </c>
      <c r="P728" t="s">
        <v>3050</v>
      </c>
      <c r="T728">
        <v>1</v>
      </c>
      <c r="U728" t="s">
        <v>2873</v>
      </c>
      <c r="V728" t="s">
        <v>2874</v>
      </c>
    </row>
    <row r="729" spans="1:22" x14ac:dyDescent="0.45">
      <c r="A729" t="s">
        <v>2850</v>
      </c>
      <c r="B729" t="s">
        <v>3048</v>
      </c>
      <c r="C729" t="str">
        <f t="shared" si="59"/>
        <v>VC28ET06</v>
      </c>
      <c r="E729" t="s">
        <v>2365</v>
      </c>
      <c r="F729" t="s">
        <v>2846</v>
      </c>
      <c r="G729" s="362" t="s">
        <v>212</v>
      </c>
      <c r="H729">
        <v>2019</v>
      </c>
      <c r="I729" s="364">
        <v>4.7</v>
      </c>
      <c r="J729" s="364"/>
      <c r="K729" t="s">
        <v>3049</v>
      </c>
      <c r="L729" t="s">
        <v>2891</v>
      </c>
      <c r="O729" s="363">
        <f t="shared" si="60"/>
        <v>0.21276595744680851</v>
      </c>
      <c r="P729" t="s">
        <v>3050</v>
      </c>
      <c r="T729">
        <v>1</v>
      </c>
      <c r="U729" t="s">
        <v>2876</v>
      </c>
      <c r="V729" t="s">
        <v>2877</v>
      </c>
    </row>
    <row r="730" spans="1:22" x14ac:dyDescent="0.45">
      <c r="A730" t="s">
        <v>2850</v>
      </c>
      <c r="B730" t="s">
        <v>3048</v>
      </c>
      <c r="C730" t="str">
        <f t="shared" si="59"/>
        <v>VC28ET07</v>
      </c>
      <c r="E730" t="s">
        <v>2365</v>
      </c>
      <c r="F730" t="s">
        <v>2846</v>
      </c>
      <c r="G730" s="362" t="s">
        <v>212</v>
      </c>
      <c r="H730">
        <v>2019</v>
      </c>
      <c r="I730" s="364">
        <v>4.9000000000000004</v>
      </c>
      <c r="J730" s="364"/>
      <c r="K730" t="s">
        <v>3049</v>
      </c>
      <c r="L730" t="s">
        <v>2891</v>
      </c>
      <c r="O730" s="363">
        <f t="shared" si="60"/>
        <v>0.2040816326530612</v>
      </c>
      <c r="P730" t="s">
        <v>3050</v>
      </c>
      <c r="T730">
        <v>1</v>
      </c>
      <c r="U730" t="s">
        <v>2878</v>
      </c>
      <c r="V730" t="s">
        <v>2879</v>
      </c>
    </row>
    <row r="731" spans="1:22" x14ac:dyDescent="0.45">
      <c r="A731" t="s">
        <v>2850</v>
      </c>
      <c r="B731" t="s">
        <v>3048</v>
      </c>
      <c r="C731" t="str">
        <f t="shared" si="59"/>
        <v>VC28ET12</v>
      </c>
      <c r="E731" t="s">
        <v>2365</v>
      </c>
      <c r="F731" t="s">
        <v>2846</v>
      </c>
      <c r="G731" s="362" t="s">
        <v>212</v>
      </c>
      <c r="H731">
        <v>2019</v>
      </c>
      <c r="I731" s="364">
        <v>4.4000000000000004</v>
      </c>
      <c r="J731" s="364"/>
      <c r="K731" t="s">
        <v>3049</v>
      </c>
      <c r="L731" t="s">
        <v>2891</v>
      </c>
      <c r="O731" s="363">
        <f t="shared" si="60"/>
        <v>0.22727272727272727</v>
      </c>
      <c r="P731" t="s">
        <v>3050</v>
      </c>
      <c r="T731">
        <v>1</v>
      </c>
      <c r="U731" t="s">
        <v>2880</v>
      </c>
      <c r="V731" t="s">
        <v>2881</v>
      </c>
    </row>
    <row r="732" spans="1:22" x14ac:dyDescent="0.45">
      <c r="A732" t="s">
        <v>2850</v>
      </c>
      <c r="B732" t="s">
        <v>3048</v>
      </c>
      <c r="C732" t="str">
        <f t="shared" si="59"/>
        <v>VC28ET13</v>
      </c>
      <c r="E732" t="s">
        <v>2365</v>
      </c>
      <c r="F732" t="s">
        <v>2846</v>
      </c>
      <c r="G732" s="362" t="s">
        <v>212</v>
      </c>
      <c r="H732">
        <v>2019</v>
      </c>
      <c r="I732" s="364">
        <v>4.4000000000000004</v>
      </c>
      <c r="J732" s="364"/>
      <c r="K732" t="s">
        <v>3049</v>
      </c>
      <c r="L732" t="s">
        <v>2891</v>
      </c>
      <c r="O732" s="363">
        <f t="shared" si="60"/>
        <v>0.22727272727272727</v>
      </c>
      <c r="P732" t="s">
        <v>3050</v>
      </c>
      <c r="T732">
        <v>1</v>
      </c>
      <c r="U732" t="s">
        <v>2882</v>
      </c>
      <c r="V732" t="s">
        <v>2883</v>
      </c>
    </row>
    <row r="733" spans="1:22" x14ac:dyDescent="0.45">
      <c r="A733" t="s">
        <v>2850</v>
      </c>
      <c r="B733" t="s">
        <v>3048</v>
      </c>
      <c r="C733" t="str">
        <f t="shared" si="59"/>
        <v>VC28ET14</v>
      </c>
      <c r="E733" t="s">
        <v>2365</v>
      </c>
      <c r="F733" t="s">
        <v>2846</v>
      </c>
      <c r="G733" s="362" t="s">
        <v>212</v>
      </c>
      <c r="H733">
        <v>2019</v>
      </c>
      <c r="I733" s="364">
        <v>3.6</v>
      </c>
      <c r="J733" s="364"/>
      <c r="K733" t="s">
        <v>3049</v>
      </c>
      <c r="L733" t="s">
        <v>2891</v>
      </c>
      <c r="O733" s="363">
        <f t="shared" si="60"/>
        <v>0.27777777777777779</v>
      </c>
      <c r="P733" t="s">
        <v>3050</v>
      </c>
      <c r="T733">
        <v>1</v>
      </c>
      <c r="U733" t="s">
        <v>2884</v>
      </c>
      <c r="V733" t="s">
        <v>814</v>
      </c>
    </row>
    <row r="734" spans="1:22" x14ac:dyDescent="0.45">
      <c r="A734" t="s">
        <v>2850</v>
      </c>
      <c r="B734" t="s">
        <v>3048</v>
      </c>
      <c r="C734" t="str">
        <f t="shared" si="59"/>
        <v>VC28ET15</v>
      </c>
      <c r="E734" t="s">
        <v>2365</v>
      </c>
      <c r="F734" t="s">
        <v>2846</v>
      </c>
      <c r="G734" s="362" t="s">
        <v>212</v>
      </c>
      <c r="H734">
        <v>2019</v>
      </c>
      <c r="I734" s="364">
        <v>4.2</v>
      </c>
      <c r="J734" s="364"/>
      <c r="K734" t="s">
        <v>3049</v>
      </c>
      <c r="L734" t="s">
        <v>2891</v>
      </c>
      <c r="O734" s="363">
        <f t="shared" si="60"/>
        <v>0.23809523809523808</v>
      </c>
      <c r="P734" t="s">
        <v>3050</v>
      </c>
      <c r="T734">
        <v>1</v>
      </c>
      <c r="U734" t="s">
        <v>2885</v>
      </c>
      <c r="V734" t="s">
        <v>2886</v>
      </c>
    </row>
    <row r="735" spans="1:22" x14ac:dyDescent="0.45">
      <c r="A735" t="s">
        <v>3051</v>
      </c>
      <c r="D735" t="s">
        <v>2354</v>
      </c>
      <c r="E735" t="s">
        <v>3052</v>
      </c>
      <c r="F735" t="s">
        <v>69</v>
      </c>
      <c r="G735" s="362" t="s">
        <v>201</v>
      </c>
      <c r="H735" t="s">
        <v>3053</v>
      </c>
      <c r="I735">
        <v>13.61</v>
      </c>
      <c r="K735" t="s">
        <v>3054</v>
      </c>
      <c r="L735" t="s">
        <v>2909</v>
      </c>
      <c r="R735" s="368" t="s">
        <v>3055</v>
      </c>
      <c r="T735">
        <v>0</v>
      </c>
      <c r="U735" t="s">
        <v>2849</v>
      </c>
      <c r="V735" t="s">
        <v>594</v>
      </c>
    </row>
    <row r="736" spans="1:22" x14ac:dyDescent="0.45">
      <c r="A736" t="s">
        <v>3051</v>
      </c>
      <c r="E736" t="s">
        <v>3052</v>
      </c>
      <c r="F736" t="s">
        <v>69</v>
      </c>
      <c r="G736" s="362" t="s">
        <v>201</v>
      </c>
      <c r="H736" t="s">
        <v>3053</v>
      </c>
      <c r="I736">
        <v>12.41</v>
      </c>
      <c r="K736" t="s">
        <v>3054</v>
      </c>
      <c r="L736" t="s">
        <v>2909</v>
      </c>
      <c r="R736" s="368" t="s">
        <v>3055</v>
      </c>
      <c r="T736">
        <v>1</v>
      </c>
      <c r="U736" t="s">
        <v>2871</v>
      </c>
      <c r="V736" t="s">
        <v>805</v>
      </c>
    </row>
    <row r="737" spans="1:22" x14ac:dyDescent="0.45">
      <c r="A737" t="s">
        <v>3051</v>
      </c>
      <c r="E737" t="s">
        <v>3052</v>
      </c>
      <c r="F737" t="s">
        <v>69</v>
      </c>
      <c r="G737" s="362" t="s">
        <v>201</v>
      </c>
      <c r="H737" t="s">
        <v>3053</v>
      </c>
      <c r="I737">
        <v>13.11</v>
      </c>
      <c r="K737" t="s">
        <v>3054</v>
      </c>
      <c r="L737" t="s">
        <v>2909</v>
      </c>
      <c r="R737" s="368" t="s">
        <v>3055</v>
      </c>
      <c r="T737">
        <v>1</v>
      </c>
      <c r="U737" t="s">
        <v>2872</v>
      </c>
      <c r="V737" t="s">
        <v>809</v>
      </c>
    </row>
    <row r="738" spans="1:22" x14ac:dyDescent="0.45">
      <c r="A738" t="s">
        <v>3051</v>
      </c>
      <c r="E738" t="s">
        <v>3052</v>
      </c>
      <c r="F738" t="s">
        <v>69</v>
      </c>
      <c r="G738" s="362" t="s">
        <v>201</v>
      </c>
      <c r="H738" t="s">
        <v>3053</v>
      </c>
      <c r="I738">
        <v>16.170000000000002</v>
      </c>
      <c r="K738" t="s">
        <v>3054</v>
      </c>
      <c r="L738" t="s">
        <v>2909</v>
      </c>
      <c r="R738" s="368" t="s">
        <v>3055</v>
      </c>
      <c r="T738">
        <v>1</v>
      </c>
      <c r="U738" t="s">
        <v>2878</v>
      </c>
      <c r="V738" t="s">
        <v>807</v>
      </c>
    </row>
    <row r="739" spans="1:22" s="359" customFormat="1" x14ac:dyDescent="0.45">
      <c r="A739" s="359" t="s">
        <v>3056</v>
      </c>
      <c r="E739" s="359" t="s">
        <v>3057</v>
      </c>
      <c r="F739" s="359" t="s">
        <v>69</v>
      </c>
      <c r="G739" s="360" t="s">
        <v>212</v>
      </c>
      <c r="H739" s="359">
        <v>2015</v>
      </c>
      <c r="I739" s="359">
        <v>68</v>
      </c>
      <c r="K739" s="359" t="s">
        <v>3058</v>
      </c>
      <c r="L739" s="359" t="s">
        <v>3059</v>
      </c>
      <c r="Q739" s="375"/>
      <c r="R739" s="359" t="s">
        <v>3060</v>
      </c>
      <c r="T739" s="359">
        <v>0</v>
      </c>
      <c r="U739" s="359" t="s">
        <v>2849</v>
      </c>
      <c r="V739" s="359" t="s">
        <v>594</v>
      </c>
    </row>
    <row r="740" spans="1:22" x14ac:dyDescent="0.45">
      <c r="A740" t="s">
        <v>3061</v>
      </c>
      <c r="E740" t="s">
        <v>3062</v>
      </c>
      <c r="F740" t="s">
        <v>69</v>
      </c>
      <c r="G740" s="362" t="s">
        <v>212</v>
      </c>
      <c r="H740">
        <v>2005</v>
      </c>
      <c r="I740" s="60">
        <v>27.1</v>
      </c>
      <c r="J740" s="60"/>
      <c r="K740" t="s">
        <v>3063</v>
      </c>
      <c r="L740" t="s">
        <v>3064</v>
      </c>
      <c r="O740" s="363">
        <f>I740/1000</f>
        <v>2.7100000000000003E-2</v>
      </c>
      <c r="R740" s="376" t="s">
        <v>3065</v>
      </c>
      <c r="T740">
        <v>0</v>
      </c>
      <c r="U740" t="s">
        <v>2849</v>
      </c>
      <c r="V740" t="s">
        <v>594</v>
      </c>
    </row>
    <row r="741" spans="1:22" x14ac:dyDescent="0.45">
      <c r="A741" t="s">
        <v>3061</v>
      </c>
      <c r="E741" t="s">
        <v>3062</v>
      </c>
      <c r="F741" t="s">
        <v>69</v>
      </c>
      <c r="G741" s="362" t="s">
        <v>212</v>
      </c>
      <c r="H741">
        <v>2006</v>
      </c>
      <c r="I741" s="60">
        <v>22.4</v>
      </c>
      <c r="J741" s="60"/>
      <c r="K741" t="s">
        <v>3063</v>
      </c>
      <c r="L741" t="s">
        <v>3064</v>
      </c>
      <c r="O741" s="363">
        <f t="shared" ref="O741:O796" si="61">I741/1000</f>
        <v>2.24E-2</v>
      </c>
      <c r="R741" s="376" t="s">
        <v>3065</v>
      </c>
      <c r="T741">
        <v>0</v>
      </c>
      <c r="U741" t="s">
        <v>2849</v>
      </c>
      <c r="V741" t="s">
        <v>594</v>
      </c>
    </row>
    <row r="742" spans="1:22" x14ac:dyDescent="0.45">
      <c r="A742" t="s">
        <v>3061</v>
      </c>
      <c r="E742" t="s">
        <v>3062</v>
      </c>
      <c r="F742" t="s">
        <v>69</v>
      </c>
      <c r="G742" s="362" t="s">
        <v>212</v>
      </c>
      <c r="H742">
        <v>2007</v>
      </c>
      <c r="I742" s="60">
        <v>19.93</v>
      </c>
      <c r="J742" s="60"/>
      <c r="K742" t="s">
        <v>3063</v>
      </c>
      <c r="L742" t="s">
        <v>3064</v>
      </c>
      <c r="O742" s="363">
        <f t="shared" si="61"/>
        <v>1.993E-2</v>
      </c>
      <c r="R742" s="376" t="s">
        <v>3065</v>
      </c>
      <c r="T742">
        <v>0</v>
      </c>
      <c r="U742" t="s">
        <v>2849</v>
      </c>
      <c r="V742" t="s">
        <v>594</v>
      </c>
    </row>
    <row r="743" spans="1:22" x14ac:dyDescent="0.45">
      <c r="A743" t="s">
        <v>3061</v>
      </c>
      <c r="E743" t="s">
        <v>3062</v>
      </c>
      <c r="F743" t="s">
        <v>69</v>
      </c>
      <c r="G743" s="362" t="s">
        <v>212</v>
      </c>
      <c r="H743">
        <v>2008</v>
      </c>
      <c r="I743" s="60">
        <v>23.95</v>
      </c>
      <c r="J743" s="60"/>
      <c r="K743" t="s">
        <v>3063</v>
      </c>
      <c r="L743" t="s">
        <v>3064</v>
      </c>
      <c r="O743" s="363">
        <f t="shared" si="61"/>
        <v>2.3949999999999999E-2</v>
      </c>
      <c r="Q743" s="368">
        <f>AVERAGE(I743/I742, I742/I741, I741/I740)</f>
        <v>0.97266879314598098</v>
      </c>
      <c r="R743" s="376" t="s">
        <v>3065</v>
      </c>
      <c r="T743">
        <v>0</v>
      </c>
      <c r="U743" t="s">
        <v>2849</v>
      </c>
      <c r="V743" t="s">
        <v>594</v>
      </c>
    </row>
    <row r="744" spans="1:22" x14ac:dyDescent="0.45">
      <c r="A744" t="s">
        <v>3061</v>
      </c>
      <c r="E744" t="s">
        <v>3062</v>
      </c>
      <c r="F744" t="s">
        <v>69</v>
      </c>
      <c r="G744" s="362" t="s">
        <v>212</v>
      </c>
      <c r="H744">
        <v>2005</v>
      </c>
      <c r="I744" s="60">
        <v>84.832471836006093</v>
      </c>
      <c r="J744" s="60"/>
      <c r="K744" t="s">
        <v>3063</v>
      </c>
      <c r="L744" t="s">
        <v>3064</v>
      </c>
      <c r="O744" s="363">
        <f t="shared" si="61"/>
        <v>8.483247183600609E-2</v>
      </c>
      <c r="R744" s="376"/>
      <c r="T744">
        <v>1</v>
      </c>
      <c r="U744" t="s">
        <v>2884</v>
      </c>
      <c r="V744" t="s">
        <v>814</v>
      </c>
    </row>
    <row r="745" spans="1:22" x14ac:dyDescent="0.45">
      <c r="A745" t="s">
        <v>3061</v>
      </c>
      <c r="E745" t="s">
        <v>3062</v>
      </c>
      <c r="F745" t="s">
        <v>69</v>
      </c>
      <c r="G745" s="362" t="s">
        <v>212</v>
      </c>
      <c r="H745">
        <v>2006</v>
      </c>
      <c r="I745" s="60">
        <v>106.28179895319929</v>
      </c>
      <c r="J745" s="60"/>
      <c r="K745" t="s">
        <v>3063</v>
      </c>
      <c r="L745" t="s">
        <v>3064</v>
      </c>
      <c r="O745" s="363">
        <f t="shared" si="61"/>
        <v>0.10628179895319928</v>
      </c>
      <c r="T745">
        <v>1</v>
      </c>
      <c r="U745" t="s">
        <v>2884</v>
      </c>
      <c r="V745" t="s">
        <v>814</v>
      </c>
    </row>
    <row r="746" spans="1:22" x14ac:dyDescent="0.45">
      <c r="A746" t="s">
        <v>3061</v>
      </c>
      <c r="E746" t="s">
        <v>3062</v>
      </c>
      <c r="F746" t="s">
        <v>69</v>
      </c>
      <c r="G746" s="362" t="s">
        <v>212</v>
      </c>
      <c r="H746">
        <v>2007</v>
      </c>
      <c r="I746" s="60">
        <v>90.842844822674948</v>
      </c>
      <c r="J746" s="60"/>
      <c r="K746" t="s">
        <v>3063</v>
      </c>
      <c r="L746" t="s">
        <v>3064</v>
      </c>
      <c r="O746" s="363">
        <f t="shared" si="61"/>
        <v>9.0842844822674948E-2</v>
      </c>
      <c r="T746">
        <v>1</v>
      </c>
      <c r="U746" t="s">
        <v>2884</v>
      </c>
      <c r="V746" t="s">
        <v>814</v>
      </c>
    </row>
    <row r="747" spans="1:22" x14ac:dyDescent="0.45">
      <c r="A747" t="s">
        <v>3061</v>
      </c>
      <c r="E747" t="s">
        <v>3062</v>
      </c>
      <c r="F747" t="s">
        <v>69</v>
      </c>
      <c r="G747" s="362" t="s">
        <v>212</v>
      </c>
      <c r="H747">
        <v>2008</v>
      </c>
      <c r="I747" s="60">
        <v>92.509560434263079</v>
      </c>
      <c r="J747" s="60"/>
      <c r="K747" t="s">
        <v>3063</v>
      </c>
      <c r="L747" t="s">
        <v>3064</v>
      </c>
      <c r="O747" s="363">
        <f t="shared" si="61"/>
        <v>9.2509560434263075E-2</v>
      </c>
      <c r="T747">
        <v>1</v>
      </c>
      <c r="U747" t="s">
        <v>2884</v>
      </c>
      <c r="V747" t="s">
        <v>814</v>
      </c>
    </row>
    <row r="748" spans="1:22" x14ac:dyDescent="0.45">
      <c r="A748" t="s">
        <v>3061</v>
      </c>
      <c r="B748" t="s">
        <v>3070</v>
      </c>
      <c r="C748" t="str">
        <f t="shared" ref="C748" si="62">_xlfn.CONCAT(B748,U748)</f>
        <v>VC30ET14</v>
      </c>
      <c r="E748" t="s">
        <v>3062</v>
      </c>
      <c r="F748" t="s">
        <v>69</v>
      </c>
      <c r="G748" s="362" t="s">
        <v>212</v>
      </c>
      <c r="H748">
        <v>2009</v>
      </c>
      <c r="I748" s="60">
        <v>45.898460888129932</v>
      </c>
      <c r="J748" s="60"/>
      <c r="K748" t="s">
        <v>3063</v>
      </c>
      <c r="L748" t="s">
        <v>3064</v>
      </c>
      <c r="O748" s="363">
        <f t="shared" si="61"/>
        <v>4.5898460888129933E-2</v>
      </c>
      <c r="Q748" s="368">
        <f>AVERAGE(I748/I747, I747/I746, I746/I745, I745/I744)</f>
        <v>0.9055186423281929</v>
      </c>
      <c r="R748" s="376" t="s">
        <v>3065</v>
      </c>
      <c r="T748">
        <v>1</v>
      </c>
      <c r="U748" t="s">
        <v>2884</v>
      </c>
      <c r="V748" t="s">
        <v>814</v>
      </c>
    </row>
    <row r="749" spans="1:22" x14ac:dyDescent="0.45">
      <c r="A749" t="s">
        <v>3061</v>
      </c>
      <c r="E749" t="s">
        <v>3062</v>
      </c>
      <c r="F749" t="s">
        <v>69</v>
      </c>
      <c r="G749" s="362" t="s">
        <v>212</v>
      </c>
      <c r="H749">
        <v>2005</v>
      </c>
      <c r="I749" s="60">
        <v>97.738587150944099</v>
      </c>
      <c r="J749" s="60"/>
      <c r="K749" t="s">
        <v>3063</v>
      </c>
      <c r="O749" s="363">
        <f t="shared" si="61"/>
        <v>9.7738587150944092E-2</v>
      </c>
      <c r="T749">
        <v>1</v>
      </c>
      <c r="U749" t="s">
        <v>2869</v>
      </c>
      <c r="V749" t="s">
        <v>2870</v>
      </c>
    </row>
    <row r="750" spans="1:22" x14ac:dyDescent="0.45">
      <c r="A750" t="s">
        <v>3061</v>
      </c>
      <c r="E750" t="s">
        <v>3062</v>
      </c>
      <c r="F750" t="s">
        <v>69</v>
      </c>
      <c r="G750" s="362" t="s">
        <v>212</v>
      </c>
      <c r="H750">
        <v>2006</v>
      </c>
      <c r="I750" s="60">
        <v>131.43187713487143</v>
      </c>
      <c r="J750" s="60"/>
      <c r="K750" t="s">
        <v>3063</v>
      </c>
      <c r="O750" s="363">
        <f t="shared" si="61"/>
        <v>0.13143187713487142</v>
      </c>
      <c r="T750">
        <v>1</v>
      </c>
      <c r="U750" t="s">
        <v>2869</v>
      </c>
      <c r="V750" t="s">
        <v>2870</v>
      </c>
    </row>
    <row r="751" spans="1:22" x14ac:dyDescent="0.45">
      <c r="A751" t="s">
        <v>3061</v>
      </c>
      <c r="E751" t="s">
        <v>3062</v>
      </c>
      <c r="F751" t="s">
        <v>69</v>
      </c>
      <c r="G751" s="362" t="s">
        <v>212</v>
      </c>
      <c r="H751">
        <v>2007</v>
      </c>
      <c r="I751" s="60">
        <v>98.871051710306645</v>
      </c>
      <c r="J751" s="60"/>
      <c r="K751" t="s">
        <v>3063</v>
      </c>
      <c r="O751" s="363">
        <f t="shared" si="61"/>
        <v>9.8871051710306648E-2</v>
      </c>
      <c r="T751">
        <v>1</v>
      </c>
      <c r="U751" t="s">
        <v>2869</v>
      </c>
      <c r="V751" t="s">
        <v>2870</v>
      </c>
    </row>
    <row r="752" spans="1:22" x14ac:dyDescent="0.45">
      <c r="A752" t="s">
        <v>3061</v>
      </c>
      <c r="E752" t="s">
        <v>3062</v>
      </c>
      <c r="F752" t="s">
        <v>69</v>
      </c>
      <c r="G752" s="362" t="s">
        <v>212</v>
      </c>
      <c r="H752">
        <v>2008</v>
      </c>
      <c r="I752" s="60">
        <v>121.20312010839831</v>
      </c>
      <c r="J752" s="60"/>
      <c r="K752" t="s">
        <v>3063</v>
      </c>
      <c r="O752" s="363">
        <f t="shared" si="61"/>
        <v>0.12120312010839832</v>
      </c>
      <c r="T752">
        <v>1</v>
      </c>
      <c r="U752" t="s">
        <v>2869</v>
      </c>
      <c r="V752" t="s">
        <v>2870</v>
      </c>
    </row>
    <row r="753" spans="1:22" x14ac:dyDescent="0.45">
      <c r="A753" t="s">
        <v>3061</v>
      </c>
      <c r="B753" t="s">
        <v>3070</v>
      </c>
      <c r="C753" t="str">
        <f t="shared" ref="C753" si="63">_xlfn.CONCAT(B753,U753)</f>
        <v>VC30ET02</v>
      </c>
      <c r="E753" t="s">
        <v>3062</v>
      </c>
      <c r="F753" t="s">
        <v>69</v>
      </c>
      <c r="G753" s="362" t="s">
        <v>212</v>
      </c>
      <c r="H753">
        <v>2009</v>
      </c>
      <c r="I753" s="60">
        <v>110.31482234326324</v>
      </c>
      <c r="J753" s="60"/>
      <c r="K753" t="s">
        <v>3063</v>
      </c>
      <c r="O753" s="363">
        <f t="shared" si="61"/>
        <v>0.11031482234326324</v>
      </c>
      <c r="Q753" s="368">
        <f>AVERAGE(I753/I752, I752/I751, I751/I750, I750/I749)</f>
        <v>1.0582562442534886</v>
      </c>
      <c r="R753" s="376" t="s">
        <v>3065</v>
      </c>
      <c r="T753">
        <v>1</v>
      </c>
      <c r="U753" t="s">
        <v>2869</v>
      </c>
      <c r="V753" t="s">
        <v>2870</v>
      </c>
    </row>
    <row r="754" spans="1:22" x14ac:dyDescent="0.45">
      <c r="A754" t="s">
        <v>3061</v>
      </c>
      <c r="E754" t="s">
        <v>3062</v>
      </c>
      <c r="F754" t="s">
        <v>69</v>
      </c>
      <c r="G754" s="362" t="s">
        <v>212</v>
      </c>
      <c r="H754">
        <v>2005</v>
      </c>
      <c r="I754" s="60">
        <v>15.786759503977448</v>
      </c>
      <c r="J754" s="60"/>
      <c r="K754" t="s">
        <v>3063</v>
      </c>
      <c r="O754" s="363">
        <f t="shared" si="61"/>
        <v>1.5786759503977447E-2</v>
      </c>
      <c r="T754">
        <v>1</v>
      </c>
      <c r="U754" t="s">
        <v>2871</v>
      </c>
      <c r="V754" t="s">
        <v>805</v>
      </c>
    </row>
    <row r="755" spans="1:22" x14ac:dyDescent="0.45">
      <c r="A755" t="s">
        <v>3061</v>
      </c>
      <c r="E755" t="s">
        <v>3062</v>
      </c>
      <c r="F755" t="s">
        <v>69</v>
      </c>
      <c r="G755" s="362" t="s">
        <v>212</v>
      </c>
      <c r="H755">
        <v>2006</v>
      </c>
      <c r="I755" s="60">
        <v>20.845109342620944</v>
      </c>
      <c r="J755" s="60"/>
      <c r="K755" t="s">
        <v>3063</v>
      </c>
      <c r="O755" s="363">
        <f t="shared" si="61"/>
        <v>2.0845109342620943E-2</v>
      </c>
      <c r="T755">
        <v>1</v>
      </c>
      <c r="U755" t="s">
        <v>2871</v>
      </c>
      <c r="V755" t="s">
        <v>805</v>
      </c>
    </row>
    <row r="756" spans="1:22" x14ac:dyDescent="0.45">
      <c r="A756" t="s">
        <v>3061</v>
      </c>
      <c r="E756" t="s">
        <v>3062</v>
      </c>
      <c r="F756" t="s">
        <v>69</v>
      </c>
      <c r="G756" s="362" t="s">
        <v>212</v>
      </c>
      <c r="H756">
        <v>2007</v>
      </c>
      <c r="I756" s="60">
        <v>15.963636026860836</v>
      </c>
      <c r="J756" s="60"/>
      <c r="K756" t="s">
        <v>3063</v>
      </c>
      <c r="O756" s="363">
        <f t="shared" si="61"/>
        <v>1.5963636026860836E-2</v>
      </c>
      <c r="T756">
        <v>1</v>
      </c>
      <c r="U756" t="s">
        <v>2871</v>
      </c>
      <c r="V756" t="s">
        <v>805</v>
      </c>
    </row>
    <row r="757" spans="1:22" x14ac:dyDescent="0.45">
      <c r="A757" t="s">
        <v>3061</v>
      </c>
      <c r="E757" t="s">
        <v>3062</v>
      </c>
      <c r="F757" t="s">
        <v>69</v>
      </c>
      <c r="G757" s="362" t="s">
        <v>212</v>
      </c>
      <c r="H757">
        <v>2008</v>
      </c>
      <c r="I757" s="60">
        <v>15.206344917200225</v>
      </c>
      <c r="J757" s="60"/>
      <c r="K757" t="s">
        <v>3063</v>
      </c>
      <c r="O757" s="363">
        <f t="shared" si="61"/>
        <v>1.5206344917200226E-2</v>
      </c>
      <c r="T757">
        <v>1</v>
      </c>
      <c r="U757" t="s">
        <v>2871</v>
      </c>
      <c r="V757" t="s">
        <v>805</v>
      </c>
    </row>
    <row r="758" spans="1:22" x14ac:dyDescent="0.45">
      <c r="A758" t="s">
        <v>3061</v>
      </c>
      <c r="B758" t="s">
        <v>3070</v>
      </c>
      <c r="C758" t="str">
        <f t="shared" ref="C758" si="64">_xlfn.CONCAT(B758,U758)</f>
        <v>VC30ET03</v>
      </c>
      <c r="E758" t="s">
        <v>3062</v>
      </c>
      <c r="F758" t="s">
        <v>69</v>
      </c>
      <c r="G758" s="362" t="s">
        <v>212</v>
      </c>
      <c r="H758">
        <v>2009</v>
      </c>
      <c r="I758" s="60">
        <v>12.914221918413649</v>
      </c>
      <c r="J758" s="60"/>
      <c r="K758" t="s">
        <v>3063</v>
      </c>
      <c r="O758" s="363">
        <f t="shared" si="61"/>
        <v>1.2914221918413649E-2</v>
      </c>
      <c r="Q758" s="368">
        <f>AVERAGE(I758/I757, I757/I756, I756/I755, I755/I754)</f>
        <v>0.97201643261651727</v>
      </c>
      <c r="R758" s="376" t="s">
        <v>3065</v>
      </c>
      <c r="T758">
        <v>1</v>
      </c>
      <c r="U758" t="s">
        <v>2871</v>
      </c>
      <c r="V758" t="s">
        <v>805</v>
      </c>
    </row>
    <row r="759" spans="1:22" x14ac:dyDescent="0.45">
      <c r="A759" t="s">
        <v>3061</v>
      </c>
      <c r="E759" t="s">
        <v>3062</v>
      </c>
      <c r="F759" t="s">
        <v>69</v>
      </c>
      <c r="G759" s="362" t="s">
        <v>212</v>
      </c>
      <c r="H759">
        <v>2005</v>
      </c>
      <c r="I759" s="60">
        <v>192.54088690863935</v>
      </c>
      <c r="J759" s="60"/>
      <c r="K759" t="s">
        <v>3063</v>
      </c>
      <c r="O759" s="363">
        <f t="shared" si="61"/>
        <v>0.19254088690863935</v>
      </c>
      <c r="T759">
        <v>1</v>
      </c>
      <c r="U759" t="s">
        <v>2876</v>
      </c>
      <c r="V759" t="s">
        <v>2877</v>
      </c>
    </row>
    <row r="760" spans="1:22" x14ac:dyDescent="0.45">
      <c r="A760" t="s">
        <v>3061</v>
      </c>
      <c r="E760" t="s">
        <v>3062</v>
      </c>
      <c r="F760" t="s">
        <v>69</v>
      </c>
      <c r="G760" s="362" t="s">
        <v>212</v>
      </c>
      <c r="H760">
        <v>2006</v>
      </c>
      <c r="I760" s="60">
        <v>262.65922426425101</v>
      </c>
      <c r="J760" s="60"/>
      <c r="K760" t="s">
        <v>3063</v>
      </c>
      <c r="O760" s="363">
        <f t="shared" si="61"/>
        <v>0.26265922426425103</v>
      </c>
      <c r="T760">
        <v>1</v>
      </c>
      <c r="U760" t="s">
        <v>2876</v>
      </c>
      <c r="V760" t="s">
        <v>2877</v>
      </c>
    </row>
    <row r="761" spans="1:22" x14ac:dyDescent="0.45">
      <c r="A761" t="s">
        <v>3061</v>
      </c>
      <c r="E761" t="s">
        <v>3062</v>
      </c>
      <c r="F761" t="s">
        <v>69</v>
      </c>
      <c r="G761" s="362" t="s">
        <v>212</v>
      </c>
      <c r="H761">
        <v>2007</v>
      </c>
      <c r="I761" s="60">
        <v>174.74264678831386</v>
      </c>
      <c r="J761" s="60"/>
      <c r="K761" t="s">
        <v>3063</v>
      </c>
      <c r="O761" s="363">
        <f t="shared" si="61"/>
        <v>0.17474264678831386</v>
      </c>
      <c r="T761">
        <v>1</v>
      </c>
      <c r="U761" t="s">
        <v>2876</v>
      </c>
      <c r="V761" t="s">
        <v>2877</v>
      </c>
    </row>
    <row r="762" spans="1:22" x14ac:dyDescent="0.45">
      <c r="A762" t="s">
        <v>3061</v>
      </c>
      <c r="E762" t="s">
        <v>3062</v>
      </c>
      <c r="F762" t="s">
        <v>69</v>
      </c>
      <c r="G762" s="362" t="s">
        <v>212</v>
      </c>
      <c r="H762">
        <v>2008</v>
      </c>
      <c r="I762" s="60">
        <v>127.09067299995377</v>
      </c>
      <c r="J762" s="60"/>
      <c r="K762" t="s">
        <v>3063</v>
      </c>
      <c r="O762" s="363">
        <f t="shared" si="61"/>
        <v>0.12709067299995377</v>
      </c>
      <c r="T762">
        <v>1</v>
      </c>
      <c r="U762" t="s">
        <v>2876</v>
      </c>
      <c r="V762" t="s">
        <v>2877</v>
      </c>
    </row>
    <row r="763" spans="1:22" x14ac:dyDescent="0.45">
      <c r="A763" t="s">
        <v>3061</v>
      </c>
      <c r="B763" t="s">
        <v>3070</v>
      </c>
      <c r="C763" t="str">
        <f t="shared" ref="C763" si="65">_xlfn.CONCAT(B763,U763)</f>
        <v>VC30ET06</v>
      </c>
      <c r="E763" t="s">
        <v>3062</v>
      </c>
      <c r="F763" t="s">
        <v>69</v>
      </c>
      <c r="G763" s="362" t="s">
        <v>212</v>
      </c>
      <c r="H763">
        <v>2009</v>
      </c>
      <c r="I763" s="60">
        <v>109.99260803133949</v>
      </c>
      <c r="J763" s="60"/>
      <c r="K763" t="s">
        <v>3063</v>
      </c>
      <c r="O763" s="363">
        <f t="shared" si="61"/>
        <v>0.10999260803133949</v>
      </c>
      <c r="Q763" s="368">
        <f>AVERAGE(I763/I762, I762/I761, I761/I760, I760/I759)</f>
        <v>0.90555602152223247</v>
      </c>
      <c r="R763" s="376" t="s">
        <v>3065</v>
      </c>
      <c r="T763">
        <v>1</v>
      </c>
      <c r="U763" t="s">
        <v>2876</v>
      </c>
      <c r="V763" t="s">
        <v>2877</v>
      </c>
    </row>
    <row r="764" spans="1:22" x14ac:dyDescent="0.45">
      <c r="A764" t="s">
        <v>3061</v>
      </c>
      <c r="E764" t="s">
        <v>3062</v>
      </c>
      <c r="F764" t="s">
        <v>69</v>
      </c>
      <c r="G764" s="362" t="s">
        <v>212</v>
      </c>
      <c r="H764">
        <v>2005</v>
      </c>
      <c r="I764" s="60">
        <v>2.78</v>
      </c>
      <c r="J764" s="60"/>
      <c r="K764" t="s">
        <v>3063</v>
      </c>
      <c r="O764" s="363">
        <f t="shared" si="61"/>
        <v>2.7799999999999999E-3</v>
      </c>
      <c r="T764">
        <v>1</v>
      </c>
      <c r="U764" t="s">
        <v>2885</v>
      </c>
      <c r="V764" t="s">
        <v>2886</v>
      </c>
    </row>
    <row r="765" spans="1:22" x14ac:dyDescent="0.45">
      <c r="A765" t="s">
        <v>3061</v>
      </c>
      <c r="E765" t="s">
        <v>3062</v>
      </c>
      <c r="F765" t="s">
        <v>69</v>
      </c>
      <c r="G765" s="362" t="s">
        <v>212</v>
      </c>
      <c r="H765">
        <v>2006</v>
      </c>
      <c r="I765" s="60">
        <v>3.03</v>
      </c>
      <c r="J765" s="60"/>
      <c r="K765" t="s">
        <v>3063</v>
      </c>
      <c r="O765" s="363">
        <f t="shared" si="61"/>
        <v>3.0299999999999997E-3</v>
      </c>
      <c r="T765">
        <v>1</v>
      </c>
      <c r="U765" t="s">
        <v>2885</v>
      </c>
      <c r="V765" t="s">
        <v>2886</v>
      </c>
    </row>
    <row r="766" spans="1:22" x14ac:dyDescent="0.45">
      <c r="A766" t="s">
        <v>3061</v>
      </c>
      <c r="E766" t="s">
        <v>3062</v>
      </c>
      <c r="F766" t="s">
        <v>69</v>
      </c>
      <c r="G766" s="362" t="s">
        <v>212</v>
      </c>
      <c r="H766">
        <v>2007</v>
      </c>
      <c r="I766" s="60">
        <v>3.8499999999999996</v>
      </c>
      <c r="J766" s="60"/>
      <c r="K766" t="s">
        <v>3063</v>
      </c>
      <c r="O766" s="363">
        <f t="shared" si="61"/>
        <v>3.8499999999999997E-3</v>
      </c>
      <c r="T766">
        <v>1</v>
      </c>
      <c r="U766" t="s">
        <v>2885</v>
      </c>
      <c r="V766" t="s">
        <v>2886</v>
      </c>
    </row>
    <row r="767" spans="1:22" x14ac:dyDescent="0.45">
      <c r="A767" t="s">
        <v>3061</v>
      </c>
      <c r="E767" t="s">
        <v>3062</v>
      </c>
      <c r="F767" t="s">
        <v>69</v>
      </c>
      <c r="G767" s="362" t="s">
        <v>212</v>
      </c>
      <c r="H767">
        <v>2008</v>
      </c>
      <c r="I767" s="60">
        <v>4.03</v>
      </c>
      <c r="J767" s="60"/>
      <c r="K767" t="s">
        <v>3063</v>
      </c>
      <c r="O767" s="363">
        <f t="shared" si="61"/>
        <v>4.0300000000000006E-3</v>
      </c>
      <c r="T767">
        <v>1</v>
      </c>
      <c r="U767" t="s">
        <v>2885</v>
      </c>
      <c r="V767" t="s">
        <v>2886</v>
      </c>
    </row>
    <row r="768" spans="1:22" x14ac:dyDescent="0.45">
      <c r="A768" t="s">
        <v>3061</v>
      </c>
      <c r="B768" t="s">
        <v>3070</v>
      </c>
      <c r="C768" t="str">
        <f t="shared" ref="C768" si="66">_xlfn.CONCAT(B768,U768)</f>
        <v>VC30ET15</v>
      </c>
      <c r="E768" t="s">
        <v>3062</v>
      </c>
      <c r="F768" t="s">
        <v>69</v>
      </c>
      <c r="G768" s="362" t="s">
        <v>212</v>
      </c>
      <c r="H768">
        <v>2009</v>
      </c>
      <c r="I768" s="60">
        <v>3.5300000000000002</v>
      </c>
      <c r="J768" s="60"/>
      <c r="K768" t="s">
        <v>3063</v>
      </c>
      <c r="O768" s="363">
        <f t="shared" si="61"/>
        <v>3.5300000000000002E-3</v>
      </c>
      <c r="Q768" s="368">
        <f>AVERAGE(I768/I767, I767/I766, I766/I765, I765/I764)</f>
        <v>1.0708097220263215</v>
      </c>
      <c r="R768" s="376" t="s">
        <v>3065</v>
      </c>
      <c r="T768">
        <v>1</v>
      </c>
      <c r="U768" t="s">
        <v>2885</v>
      </c>
      <c r="V768" t="s">
        <v>2886</v>
      </c>
    </row>
    <row r="769" spans="1:22" x14ac:dyDescent="0.45">
      <c r="A769" t="s">
        <v>3061</v>
      </c>
      <c r="E769" t="s">
        <v>3062</v>
      </c>
      <c r="F769" t="s">
        <v>69</v>
      </c>
      <c r="G769" s="362" t="s">
        <v>212</v>
      </c>
      <c r="H769">
        <v>2005</v>
      </c>
      <c r="I769" s="60">
        <v>135.57923415527375</v>
      </c>
      <c r="J769" s="60"/>
      <c r="K769" t="s">
        <v>3063</v>
      </c>
      <c r="O769" s="363">
        <f t="shared" si="61"/>
        <v>0.13557923415527376</v>
      </c>
      <c r="T769">
        <v>1</v>
      </c>
      <c r="U769" t="s">
        <v>2880</v>
      </c>
      <c r="V769" t="s">
        <v>2892</v>
      </c>
    </row>
    <row r="770" spans="1:22" x14ac:dyDescent="0.45">
      <c r="A770" t="s">
        <v>3061</v>
      </c>
      <c r="E770" t="s">
        <v>3062</v>
      </c>
      <c r="F770" t="s">
        <v>69</v>
      </c>
      <c r="G770" s="362" t="s">
        <v>212</v>
      </c>
      <c r="H770">
        <v>2006</v>
      </c>
      <c r="I770" s="60">
        <v>186.70936060681098</v>
      </c>
      <c r="J770" s="60"/>
      <c r="K770" t="s">
        <v>3063</v>
      </c>
      <c r="O770" s="363">
        <f t="shared" si="61"/>
        <v>0.18670936060681098</v>
      </c>
      <c r="T770">
        <v>1</v>
      </c>
      <c r="U770" t="s">
        <v>2880</v>
      </c>
      <c r="V770" t="s">
        <v>2892</v>
      </c>
    </row>
    <row r="771" spans="1:22" x14ac:dyDescent="0.45">
      <c r="A771" t="s">
        <v>3061</v>
      </c>
      <c r="E771" t="s">
        <v>3062</v>
      </c>
      <c r="F771" t="s">
        <v>69</v>
      </c>
      <c r="G771" s="362" t="s">
        <v>212</v>
      </c>
      <c r="H771">
        <v>2007</v>
      </c>
      <c r="I771" s="60">
        <v>172.21559934965921</v>
      </c>
      <c r="J771" s="60"/>
      <c r="K771" t="s">
        <v>3063</v>
      </c>
      <c r="O771" s="363">
        <f t="shared" si="61"/>
        <v>0.17221559934965922</v>
      </c>
      <c r="T771">
        <v>1</v>
      </c>
      <c r="U771" t="s">
        <v>2880</v>
      </c>
      <c r="V771" t="s">
        <v>2892</v>
      </c>
    </row>
    <row r="772" spans="1:22" x14ac:dyDescent="0.45">
      <c r="A772" t="s">
        <v>3061</v>
      </c>
      <c r="E772" t="s">
        <v>3062</v>
      </c>
      <c r="F772" t="s">
        <v>69</v>
      </c>
      <c r="G772" s="362" t="s">
        <v>212</v>
      </c>
      <c r="H772">
        <v>2008</v>
      </c>
      <c r="I772" s="60">
        <v>138.88053320778326</v>
      </c>
      <c r="J772" s="60"/>
      <c r="K772" t="s">
        <v>3063</v>
      </c>
      <c r="O772" s="363">
        <f t="shared" si="61"/>
        <v>0.13888053320778326</v>
      </c>
      <c r="T772">
        <v>1</v>
      </c>
      <c r="U772" t="s">
        <v>2880</v>
      </c>
      <c r="V772" t="s">
        <v>2892</v>
      </c>
    </row>
    <row r="773" spans="1:22" x14ac:dyDescent="0.45">
      <c r="A773" t="s">
        <v>3061</v>
      </c>
      <c r="B773" t="s">
        <v>3070</v>
      </c>
      <c r="C773" t="str">
        <f t="shared" ref="C773" si="67">_xlfn.CONCAT(B773,U773)</f>
        <v>VC30ET12</v>
      </c>
      <c r="E773" t="s">
        <v>3062</v>
      </c>
      <c r="F773" t="s">
        <v>69</v>
      </c>
      <c r="G773" s="362" t="s">
        <v>212</v>
      </c>
      <c r="H773">
        <v>2009</v>
      </c>
      <c r="I773" s="60">
        <v>106.68878165361207</v>
      </c>
      <c r="J773" s="60"/>
      <c r="K773" t="s">
        <v>3063</v>
      </c>
      <c r="O773" s="363">
        <f t="shared" si="61"/>
        <v>0.10668878165361206</v>
      </c>
      <c r="Q773" s="368">
        <f>AVERAGE(I773/I772, I772/I771, I771/I770, I770/I769)</f>
        <v>0.96853393473500482</v>
      </c>
      <c r="R773" s="376" t="s">
        <v>3065</v>
      </c>
      <c r="T773">
        <v>1</v>
      </c>
      <c r="U773" t="s">
        <v>2880</v>
      </c>
      <c r="V773" t="s">
        <v>2892</v>
      </c>
    </row>
    <row r="774" spans="1:22" x14ac:dyDescent="0.45">
      <c r="A774" t="s">
        <v>3061</v>
      </c>
      <c r="E774" t="s">
        <v>3062</v>
      </c>
      <c r="F774" t="s">
        <v>69</v>
      </c>
      <c r="G774" s="362" t="s">
        <v>212</v>
      </c>
      <c r="H774">
        <v>2005</v>
      </c>
      <c r="I774" s="60">
        <v>6.8599999999999994</v>
      </c>
      <c r="J774" s="60"/>
      <c r="K774" t="s">
        <v>3063</v>
      </c>
      <c r="O774" s="363">
        <f t="shared" si="61"/>
        <v>6.8599999999999998E-3</v>
      </c>
      <c r="T774">
        <v>1</v>
      </c>
      <c r="U774" t="s">
        <v>2882</v>
      </c>
      <c r="V774" t="s">
        <v>2883</v>
      </c>
    </row>
    <row r="775" spans="1:22" x14ac:dyDescent="0.45">
      <c r="A775" t="s">
        <v>3061</v>
      </c>
      <c r="E775" t="s">
        <v>3062</v>
      </c>
      <c r="F775" t="s">
        <v>69</v>
      </c>
      <c r="G775" s="362" t="s">
        <v>212</v>
      </c>
      <c r="H775">
        <v>2006</v>
      </c>
      <c r="I775" s="60">
        <v>11.979999999999999</v>
      </c>
      <c r="J775" s="60"/>
      <c r="K775" t="s">
        <v>3063</v>
      </c>
      <c r="O775" s="363">
        <f t="shared" si="61"/>
        <v>1.1979999999999999E-2</v>
      </c>
      <c r="T775">
        <v>1</v>
      </c>
      <c r="U775" t="s">
        <v>2882</v>
      </c>
      <c r="V775" t="s">
        <v>2883</v>
      </c>
    </row>
    <row r="776" spans="1:22" x14ac:dyDescent="0.45">
      <c r="A776" t="s">
        <v>3061</v>
      </c>
      <c r="E776" t="s">
        <v>3062</v>
      </c>
      <c r="F776" t="s">
        <v>69</v>
      </c>
      <c r="G776" s="362" t="s">
        <v>212</v>
      </c>
      <c r="H776">
        <v>2007</v>
      </c>
      <c r="I776" s="60">
        <v>12.23</v>
      </c>
      <c r="J776" s="60"/>
      <c r="K776" t="s">
        <v>3063</v>
      </c>
      <c r="O776" s="363">
        <f t="shared" si="61"/>
        <v>1.2230000000000001E-2</v>
      </c>
      <c r="T776">
        <v>1</v>
      </c>
      <c r="U776" t="s">
        <v>2882</v>
      </c>
      <c r="V776" t="s">
        <v>2883</v>
      </c>
    </row>
    <row r="777" spans="1:22" x14ac:dyDescent="0.45">
      <c r="A777" t="s">
        <v>3061</v>
      </c>
      <c r="E777" t="s">
        <v>3062</v>
      </c>
      <c r="F777" t="s">
        <v>69</v>
      </c>
      <c r="G777" s="362" t="s">
        <v>212</v>
      </c>
      <c r="H777">
        <v>2008</v>
      </c>
      <c r="I777" s="60">
        <v>9.0199999999999978</v>
      </c>
      <c r="J777" s="60"/>
      <c r="K777" t="s">
        <v>3063</v>
      </c>
      <c r="O777" s="363">
        <f t="shared" si="61"/>
        <v>9.0199999999999985E-3</v>
      </c>
      <c r="T777">
        <v>1</v>
      </c>
      <c r="U777" t="s">
        <v>2882</v>
      </c>
      <c r="V777" t="s">
        <v>2883</v>
      </c>
    </row>
    <row r="778" spans="1:22" x14ac:dyDescent="0.45">
      <c r="A778" t="s">
        <v>3061</v>
      </c>
      <c r="B778" t="s">
        <v>3070</v>
      </c>
      <c r="C778" t="str">
        <f t="shared" ref="C778" si="68">_xlfn.CONCAT(B778,U778)</f>
        <v>VC30ET13</v>
      </c>
      <c r="E778" t="s">
        <v>3062</v>
      </c>
      <c r="F778" t="s">
        <v>69</v>
      </c>
      <c r="G778" s="362" t="s">
        <v>212</v>
      </c>
      <c r="H778">
        <v>2009</v>
      </c>
      <c r="I778" s="60">
        <v>9.15</v>
      </c>
      <c r="J778" s="60"/>
      <c r="K778" t="s">
        <v>3063</v>
      </c>
      <c r="O778" s="363">
        <f t="shared" si="61"/>
        <v>9.1500000000000001E-3</v>
      </c>
      <c r="Q778" s="368">
        <f>AVERAGE(I778/I777, I777/I776, I776/I775, I775/I774)</f>
        <v>1.1297917194527449</v>
      </c>
      <c r="R778" s="376" t="s">
        <v>3065</v>
      </c>
      <c r="T778">
        <v>1</v>
      </c>
      <c r="U778" t="s">
        <v>2882</v>
      </c>
      <c r="V778" t="s">
        <v>2883</v>
      </c>
    </row>
    <row r="779" spans="1:22" x14ac:dyDescent="0.45">
      <c r="A779" t="s">
        <v>3061</v>
      </c>
      <c r="E779" t="s">
        <v>3062</v>
      </c>
      <c r="F779" t="s">
        <v>69</v>
      </c>
      <c r="G779" s="362" t="s">
        <v>212</v>
      </c>
      <c r="H779">
        <v>2005</v>
      </c>
      <c r="I779" s="60">
        <v>9.9995772122075657</v>
      </c>
      <c r="J779" s="60"/>
      <c r="K779" t="s">
        <v>3063</v>
      </c>
      <c r="O779" s="363">
        <f t="shared" si="61"/>
        <v>9.9995772122075648E-3</v>
      </c>
      <c r="T779">
        <v>1</v>
      </c>
      <c r="U779" t="s">
        <v>2872</v>
      </c>
      <c r="V779" t="s">
        <v>809</v>
      </c>
    </row>
    <row r="780" spans="1:22" x14ac:dyDescent="0.45">
      <c r="A780" t="s">
        <v>3061</v>
      </c>
      <c r="E780" t="s">
        <v>3062</v>
      </c>
      <c r="F780" t="s">
        <v>69</v>
      </c>
      <c r="G780" s="362" t="s">
        <v>212</v>
      </c>
      <c r="H780">
        <v>2006</v>
      </c>
      <c r="I780" s="60">
        <v>11.504453498505123</v>
      </c>
      <c r="J780" s="60"/>
      <c r="K780" t="s">
        <v>3063</v>
      </c>
      <c r="O780" s="363">
        <f t="shared" si="61"/>
        <v>1.1504453498505124E-2</v>
      </c>
      <c r="T780">
        <v>1</v>
      </c>
      <c r="U780" t="s">
        <v>2872</v>
      </c>
      <c r="V780" t="s">
        <v>809</v>
      </c>
    </row>
    <row r="781" spans="1:22" x14ac:dyDescent="0.45">
      <c r="A781" t="s">
        <v>3061</v>
      </c>
      <c r="E781" t="s">
        <v>3062</v>
      </c>
      <c r="F781" t="s">
        <v>69</v>
      </c>
      <c r="G781" s="362" t="s">
        <v>212</v>
      </c>
      <c r="H781">
        <v>2007</v>
      </c>
      <c r="I781" s="60">
        <v>9.0225101111178159</v>
      </c>
      <c r="J781" s="60"/>
      <c r="K781" t="s">
        <v>3063</v>
      </c>
      <c r="O781" s="363">
        <f t="shared" si="61"/>
        <v>9.0225101111178155E-3</v>
      </c>
      <c r="T781">
        <v>1</v>
      </c>
      <c r="U781" t="s">
        <v>2872</v>
      </c>
      <c r="V781" t="s">
        <v>809</v>
      </c>
    </row>
    <row r="782" spans="1:22" x14ac:dyDescent="0.45">
      <c r="A782" t="s">
        <v>3061</v>
      </c>
      <c r="E782" t="s">
        <v>3062</v>
      </c>
      <c r="F782" t="s">
        <v>69</v>
      </c>
      <c r="G782" s="362" t="s">
        <v>212</v>
      </c>
      <c r="H782">
        <v>2008</v>
      </c>
      <c r="I782" s="60">
        <v>8.9630256176792873</v>
      </c>
      <c r="J782" s="60"/>
      <c r="K782" t="s">
        <v>3063</v>
      </c>
      <c r="O782" s="363">
        <f t="shared" si="61"/>
        <v>8.9630256176792874E-3</v>
      </c>
      <c r="T782">
        <v>1</v>
      </c>
      <c r="U782" t="s">
        <v>2872</v>
      </c>
      <c r="V782" t="s">
        <v>809</v>
      </c>
    </row>
    <row r="783" spans="1:22" x14ac:dyDescent="0.45">
      <c r="A783" t="s">
        <v>3061</v>
      </c>
      <c r="B783" t="s">
        <v>3070</v>
      </c>
      <c r="C783" t="str">
        <f t="shared" ref="C783" si="69">_xlfn.CONCAT(B783,U783)</f>
        <v>VC30ET04</v>
      </c>
      <c r="E783" t="s">
        <v>3062</v>
      </c>
      <c r="F783" t="s">
        <v>69</v>
      </c>
      <c r="G783" s="362" t="s">
        <v>212</v>
      </c>
      <c r="H783">
        <v>2009</v>
      </c>
      <c r="I783" s="60">
        <v>8.8522952547660001</v>
      </c>
      <c r="J783" s="60"/>
      <c r="K783" t="s">
        <v>3063</v>
      </c>
      <c r="O783" s="363">
        <f t="shared" si="61"/>
        <v>8.8522952547659996E-3</v>
      </c>
      <c r="Q783" s="368">
        <f>AVERAGE(I783/I782, I782/I781, I781/I780, I780/I779)</f>
        <v>0.9789523369325448</v>
      </c>
      <c r="R783" s="376" t="s">
        <v>3065</v>
      </c>
      <c r="T783">
        <v>1</v>
      </c>
      <c r="U783" t="s">
        <v>2872</v>
      </c>
      <c r="V783" t="s">
        <v>809</v>
      </c>
    </row>
    <row r="784" spans="1:22" ht="13.05" customHeight="1" x14ac:dyDescent="0.45">
      <c r="A784" t="s">
        <v>3061</v>
      </c>
      <c r="E784" t="s">
        <v>3062</v>
      </c>
      <c r="F784" t="s">
        <v>69</v>
      </c>
      <c r="G784" s="362" t="s">
        <v>212</v>
      </c>
      <c r="H784">
        <v>2005</v>
      </c>
      <c r="I784" s="60">
        <v>8.3412049401792814</v>
      </c>
      <c r="J784" s="60"/>
      <c r="K784" t="s">
        <v>3063</v>
      </c>
      <c r="O784" s="363">
        <f t="shared" si="61"/>
        <v>8.3412049401792813E-3</v>
      </c>
      <c r="T784">
        <v>1</v>
      </c>
      <c r="U784" t="s">
        <v>2878</v>
      </c>
      <c r="V784" t="s">
        <v>2879</v>
      </c>
    </row>
    <row r="785" spans="1:22" ht="13.05" customHeight="1" x14ac:dyDescent="0.45">
      <c r="A785" t="s">
        <v>3061</v>
      </c>
      <c r="E785" t="s">
        <v>3062</v>
      </c>
      <c r="F785" t="s">
        <v>69</v>
      </c>
      <c r="G785" s="362" t="s">
        <v>212</v>
      </c>
      <c r="H785">
        <v>2006</v>
      </c>
      <c r="I785" s="60">
        <v>10.196147467470736</v>
      </c>
      <c r="J785" s="60"/>
      <c r="K785" t="s">
        <v>3063</v>
      </c>
      <c r="O785" s="363">
        <f t="shared" si="61"/>
        <v>1.0196147467470735E-2</v>
      </c>
      <c r="T785">
        <v>1</v>
      </c>
      <c r="U785" t="s">
        <v>2878</v>
      </c>
      <c r="V785" t="s">
        <v>2879</v>
      </c>
    </row>
    <row r="786" spans="1:22" ht="13.05" customHeight="1" x14ac:dyDescent="0.45">
      <c r="A786" t="s">
        <v>3061</v>
      </c>
      <c r="E786" t="s">
        <v>3062</v>
      </c>
      <c r="F786" t="s">
        <v>69</v>
      </c>
      <c r="G786" s="362" t="s">
        <v>212</v>
      </c>
      <c r="H786">
        <v>2007</v>
      </c>
      <c r="I786" s="60">
        <v>7.5888076188774338</v>
      </c>
      <c r="J786" s="60"/>
      <c r="K786" t="s">
        <v>3063</v>
      </c>
      <c r="O786" s="363">
        <f t="shared" si="61"/>
        <v>7.588807618877434E-3</v>
      </c>
      <c r="T786">
        <v>1</v>
      </c>
      <c r="U786" t="s">
        <v>2878</v>
      </c>
      <c r="V786" t="s">
        <v>2879</v>
      </c>
    </row>
    <row r="787" spans="1:22" ht="13.05" customHeight="1" x14ac:dyDescent="0.45">
      <c r="A787" t="s">
        <v>3061</v>
      </c>
      <c r="E787" t="s">
        <v>3062</v>
      </c>
      <c r="F787" t="s">
        <v>69</v>
      </c>
      <c r="G787" s="362" t="s">
        <v>212</v>
      </c>
      <c r="H787">
        <v>2008</v>
      </c>
      <c r="I787" s="60">
        <v>6.1850669445188444</v>
      </c>
      <c r="J787" s="60"/>
      <c r="K787" t="s">
        <v>3063</v>
      </c>
      <c r="O787" s="363">
        <f t="shared" si="61"/>
        <v>6.1850669445188446E-3</v>
      </c>
      <c r="T787">
        <v>1</v>
      </c>
      <c r="U787" t="s">
        <v>2878</v>
      </c>
      <c r="V787" t="s">
        <v>2879</v>
      </c>
    </row>
    <row r="788" spans="1:22" ht="13.05" customHeight="1" x14ac:dyDescent="0.45">
      <c r="A788" t="s">
        <v>3061</v>
      </c>
      <c r="B788" t="s">
        <v>3070</v>
      </c>
      <c r="C788" t="str">
        <f t="shared" ref="C788" si="70">_xlfn.CONCAT(B788,U788)</f>
        <v>VC30ET07</v>
      </c>
      <c r="E788" t="s">
        <v>3062</v>
      </c>
      <c r="F788" t="s">
        <v>69</v>
      </c>
      <c r="G788" s="362" t="s">
        <v>212</v>
      </c>
      <c r="H788">
        <v>2009</v>
      </c>
      <c r="I788" s="60">
        <v>5.9663104387154009</v>
      </c>
      <c r="J788" s="60"/>
      <c r="K788" t="s">
        <v>3063</v>
      </c>
      <c r="O788" s="363">
        <f t="shared" si="61"/>
        <v>5.9663104387154007E-3</v>
      </c>
      <c r="Q788" s="368">
        <f>AVERAGE(I788/I787, I787/I786, I786/I785, I785/I784)</f>
        <v>0.93658031981863554</v>
      </c>
      <c r="R788" s="376" t="s">
        <v>3065</v>
      </c>
      <c r="T788">
        <v>1</v>
      </c>
      <c r="U788" t="s">
        <v>2878</v>
      </c>
      <c r="V788" t="s">
        <v>2879</v>
      </c>
    </row>
    <row r="789" spans="1:22" ht="13.05" customHeight="1" x14ac:dyDescent="0.45">
      <c r="A789" t="s">
        <v>3061</v>
      </c>
      <c r="E789" t="s">
        <v>3062</v>
      </c>
      <c r="F789" t="s">
        <v>69</v>
      </c>
      <c r="G789" s="362" t="s">
        <v>212</v>
      </c>
      <c r="H789">
        <v>2005</v>
      </c>
      <c r="I789" s="60">
        <v>1.5648429799688992</v>
      </c>
      <c r="J789" s="60"/>
      <c r="K789" t="s">
        <v>3063</v>
      </c>
      <c r="O789" s="363">
        <f t="shared" si="61"/>
        <v>1.5648429799688993E-3</v>
      </c>
      <c r="T789">
        <v>1</v>
      </c>
      <c r="U789" t="s">
        <v>2873</v>
      </c>
      <c r="V789" t="s">
        <v>3066</v>
      </c>
    </row>
    <row r="790" spans="1:22" ht="13.05" customHeight="1" x14ac:dyDescent="0.45">
      <c r="A790" t="s">
        <v>3061</v>
      </c>
      <c r="E790" t="s">
        <v>3062</v>
      </c>
      <c r="F790" t="s">
        <v>69</v>
      </c>
      <c r="G790" s="362" t="s">
        <v>212</v>
      </c>
      <c r="H790">
        <v>2006</v>
      </c>
      <c r="I790" s="60">
        <v>2.2606052243820711</v>
      </c>
      <c r="J790" s="60"/>
      <c r="K790" t="s">
        <v>3063</v>
      </c>
      <c r="O790" s="363">
        <f t="shared" si="61"/>
        <v>2.2606052243820712E-3</v>
      </c>
      <c r="T790">
        <v>1</v>
      </c>
      <c r="U790" t="s">
        <v>2873</v>
      </c>
      <c r="V790" t="s">
        <v>3066</v>
      </c>
    </row>
    <row r="791" spans="1:22" ht="13.05" customHeight="1" x14ac:dyDescent="0.45">
      <c r="A791" t="s">
        <v>3061</v>
      </c>
      <c r="B791" t="s">
        <v>3070</v>
      </c>
      <c r="C791" t="str">
        <f t="shared" ref="C791" si="71">_xlfn.CONCAT(B791,U791)</f>
        <v>VC30ET05</v>
      </c>
      <c r="E791" t="s">
        <v>3062</v>
      </c>
      <c r="F791" t="s">
        <v>69</v>
      </c>
      <c r="G791" s="362" t="s">
        <v>212</v>
      </c>
      <c r="H791">
        <v>2007</v>
      </c>
      <c r="I791" s="60">
        <v>2.583153614872407</v>
      </c>
      <c r="J791" s="60"/>
      <c r="K791" t="s">
        <v>3063</v>
      </c>
      <c r="O791" s="363">
        <f t="shared" si="61"/>
        <v>2.5831536148724068E-3</v>
      </c>
      <c r="Q791" s="368">
        <f>AVERAGE(I791/I790, I790/I789)</f>
        <v>1.2936517202632145</v>
      </c>
      <c r="R791" s="376" t="s">
        <v>3065</v>
      </c>
      <c r="T791">
        <v>1</v>
      </c>
      <c r="U791" t="s">
        <v>2873</v>
      </c>
      <c r="V791" t="s">
        <v>3066</v>
      </c>
    </row>
    <row r="792" spans="1:22" ht="13.05" customHeight="1" x14ac:dyDescent="0.45">
      <c r="A792" t="s">
        <v>3061</v>
      </c>
      <c r="E792" t="s">
        <v>3062</v>
      </c>
      <c r="F792" t="s">
        <v>69</v>
      </c>
      <c r="G792" s="362" t="s">
        <v>212</v>
      </c>
      <c r="H792">
        <v>2005</v>
      </c>
      <c r="I792" s="60">
        <v>0.26718205956903951</v>
      </c>
      <c r="J792" s="60"/>
      <c r="K792" t="s">
        <v>3063</v>
      </c>
      <c r="O792" s="363">
        <f t="shared" si="61"/>
        <v>2.6718205956903951E-4</v>
      </c>
      <c r="T792">
        <v>1</v>
      </c>
      <c r="U792" t="s">
        <v>2868</v>
      </c>
      <c r="V792" t="s">
        <v>806</v>
      </c>
    </row>
    <row r="793" spans="1:22" ht="13.05" customHeight="1" x14ac:dyDescent="0.45">
      <c r="A793" t="s">
        <v>3061</v>
      </c>
      <c r="E793" t="s">
        <v>3062</v>
      </c>
      <c r="F793" t="s">
        <v>69</v>
      </c>
      <c r="G793" s="362" t="s">
        <v>212</v>
      </c>
      <c r="H793">
        <v>2006</v>
      </c>
      <c r="I793" s="60">
        <v>0.24722658661949504</v>
      </c>
      <c r="J793" s="60"/>
      <c r="K793" t="s">
        <v>3063</v>
      </c>
      <c r="O793" s="363">
        <f t="shared" si="61"/>
        <v>2.4722658661949503E-4</v>
      </c>
      <c r="T793">
        <v>1</v>
      </c>
      <c r="U793" t="s">
        <v>2868</v>
      </c>
      <c r="V793" t="s">
        <v>806</v>
      </c>
    </row>
    <row r="794" spans="1:22" ht="13.05" customHeight="1" x14ac:dyDescent="0.45">
      <c r="A794" t="s">
        <v>3061</v>
      </c>
      <c r="E794" t="s">
        <v>3062</v>
      </c>
      <c r="F794" t="s">
        <v>69</v>
      </c>
      <c r="G794" s="362" t="s">
        <v>212</v>
      </c>
      <c r="H794">
        <v>2007</v>
      </c>
      <c r="I794" s="60">
        <v>0.16934602647471667</v>
      </c>
      <c r="J794" s="60"/>
      <c r="K794" t="s">
        <v>3063</v>
      </c>
      <c r="O794" s="363">
        <f t="shared" si="61"/>
        <v>1.6934602647471667E-4</v>
      </c>
      <c r="T794">
        <v>1</v>
      </c>
      <c r="U794" t="s">
        <v>2868</v>
      </c>
      <c r="V794" t="s">
        <v>806</v>
      </c>
    </row>
    <row r="795" spans="1:22" ht="13.05" customHeight="1" x14ac:dyDescent="0.45">
      <c r="A795" t="s">
        <v>3061</v>
      </c>
      <c r="E795" t="s">
        <v>3062</v>
      </c>
      <c r="F795" t="s">
        <v>69</v>
      </c>
      <c r="G795" s="362" t="s">
        <v>212</v>
      </c>
      <c r="H795">
        <v>2008</v>
      </c>
      <c r="I795" s="60">
        <v>8.320274213017817E-2</v>
      </c>
      <c r="J795" s="60"/>
      <c r="K795" t="s">
        <v>3063</v>
      </c>
      <c r="O795" s="363">
        <f t="shared" si="61"/>
        <v>8.3202742130178173E-5</v>
      </c>
      <c r="T795">
        <v>1</v>
      </c>
      <c r="U795" t="s">
        <v>2868</v>
      </c>
      <c r="V795" t="s">
        <v>806</v>
      </c>
    </row>
    <row r="796" spans="1:22" ht="13.05" customHeight="1" x14ac:dyDescent="0.45">
      <c r="A796" t="s">
        <v>3061</v>
      </c>
      <c r="B796" t="s">
        <v>3070</v>
      </c>
      <c r="C796" t="str">
        <f t="shared" ref="C796" si="72">_xlfn.CONCAT(B796,U796)</f>
        <v>VC30ET01</v>
      </c>
      <c r="E796" t="s">
        <v>3062</v>
      </c>
      <c r="F796" t="s">
        <v>69</v>
      </c>
      <c r="G796" s="362" t="s">
        <v>212</v>
      </c>
      <c r="H796">
        <v>2009</v>
      </c>
      <c r="I796" s="60">
        <v>0.10231923097604891</v>
      </c>
      <c r="J796" s="60"/>
      <c r="K796" t="s">
        <v>3063</v>
      </c>
      <c r="O796" s="363">
        <f t="shared" si="61"/>
        <v>1.0231923097604891E-4</v>
      </c>
      <c r="Q796" s="368">
        <f>AVERAGE(I796/I795, I795/I794, I794/I793, I793/I792)-1</f>
        <v>-0.16715743358637758</v>
      </c>
      <c r="R796" s="376" t="s">
        <v>3065</v>
      </c>
      <c r="T796">
        <v>1</v>
      </c>
      <c r="U796" t="s">
        <v>2868</v>
      </c>
      <c r="V796" t="s">
        <v>806</v>
      </c>
    </row>
    <row r="797" spans="1:22" x14ac:dyDescent="0.45">
      <c r="A797" t="s">
        <v>3061</v>
      </c>
      <c r="E797" t="s">
        <v>3067</v>
      </c>
      <c r="F797" t="s">
        <v>69</v>
      </c>
      <c r="G797" s="362" t="s">
        <v>212</v>
      </c>
      <c r="H797">
        <v>2005</v>
      </c>
      <c r="I797" s="60">
        <v>10.67</v>
      </c>
      <c r="J797" s="60"/>
      <c r="K797" t="s">
        <v>3068</v>
      </c>
      <c r="L797" t="s">
        <v>3064</v>
      </c>
      <c r="R797" s="376" t="s">
        <v>3065</v>
      </c>
      <c r="T797">
        <v>0</v>
      </c>
      <c r="U797" t="s">
        <v>2849</v>
      </c>
      <c r="V797" t="s">
        <v>594</v>
      </c>
    </row>
    <row r="798" spans="1:22" x14ac:dyDescent="0.45">
      <c r="A798" t="s">
        <v>3061</v>
      </c>
      <c r="E798" t="s">
        <v>3067</v>
      </c>
      <c r="F798" t="s">
        <v>69</v>
      </c>
      <c r="G798" s="362" t="s">
        <v>212</v>
      </c>
      <c r="H798">
        <v>2006</v>
      </c>
      <c r="I798" s="60">
        <v>6.34</v>
      </c>
      <c r="J798" s="60"/>
      <c r="K798" t="s">
        <v>3068</v>
      </c>
      <c r="L798" t="s">
        <v>3064</v>
      </c>
      <c r="R798" s="376" t="s">
        <v>3065</v>
      </c>
      <c r="T798">
        <v>0</v>
      </c>
      <c r="U798" t="s">
        <v>2849</v>
      </c>
      <c r="V798" t="s">
        <v>594</v>
      </c>
    </row>
    <row r="799" spans="1:22" x14ac:dyDescent="0.45">
      <c r="A799" t="s">
        <v>3061</v>
      </c>
      <c r="E799" t="s">
        <v>3067</v>
      </c>
      <c r="F799" t="s">
        <v>69</v>
      </c>
      <c r="G799" s="362" t="s">
        <v>212</v>
      </c>
      <c r="H799">
        <v>2007</v>
      </c>
      <c r="I799" s="60">
        <v>3.98</v>
      </c>
      <c r="J799" s="60"/>
      <c r="K799" t="s">
        <v>3068</v>
      </c>
      <c r="L799" t="s">
        <v>3064</v>
      </c>
      <c r="R799" s="376" t="s">
        <v>3065</v>
      </c>
      <c r="T799">
        <v>0</v>
      </c>
      <c r="U799" t="s">
        <v>2849</v>
      </c>
      <c r="V799" t="s">
        <v>594</v>
      </c>
    </row>
    <row r="800" spans="1:22" x14ac:dyDescent="0.45">
      <c r="A800" t="s">
        <v>3061</v>
      </c>
      <c r="E800" t="s">
        <v>3067</v>
      </c>
      <c r="F800" t="s">
        <v>69</v>
      </c>
      <c r="G800" s="362" t="s">
        <v>212</v>
      </c>
      <c r="H800">
        <v>2008</v>
      </c>
      <c r="I800" s="60">
        <v>4.2699999999999996</v>
      </c>
      <c r="J800" s="60"/>
      <c r="K800" t="s">
        <v>3068</v>
      </c>
      <c r="L800" t="s">
        <v>3064</v>
      </c>
      <c r="Q800" s="368">
        <f>AVERAGE(I800/I799, I799/I798, I798/I797)</f>
        <v>0.76493796327092367</v>
      </c>
      <c r="R800" s="376" t="s">
        <v>3065</v>
      </c>
      <c r="T800">
        <v>0</v>
      </c>
      <c r="U800" t="s">
        <v>2849</v>
      </c>
      <c r="V800" t="s">
        <v>594</v>
      </c>
    </row>
    <row r="801" spans="1:22" ht="13.05" customHeight="1" x14ac:dyDescent="0.45">
      <c r="A801" t="s">
        <v>3069</v>
      </c>
      <c r="B801" t="s">
        <v>3070</v>
      </c>
      <c r="C801" t="str">
        <f t="shared" ref="C801:C802" si="73">_xlfn.CONCAT(B801,U801)</f>
        <v>VC30ET</v>
      </c>
      <c r="D801" t="s">
        <v>2358</v>
      </c>
      <c r="E801" t="s">
        <v>3071</v>
      </c>
      <c r="F801" t="s">
        <v>69</v>
      </c>
      <c r="G801" s="362" t="s">
        <v>3072</v>
      </c>
      <c r="H801">
        <v>2020</v>
      </c>
      <c r="I801" s="52">
        <v>54.1</v>
      </c>
      <c r="J801" s="52"/>
      <c r="K801" t="s">
        <v>3073</v>
      </c>
      <c r="O801" s="363">
        <f>I801/1000*I739/100</f>
        <v>3.6788000000000001E-2</v>
      </c>
      <c r="P801" t="s">
        <v>2195</v>
      </c>
      <c r="R801" t="s">
        <v>3074</v>
      </c>
      <c r="T801">
        <v>0</v>
      </c>
      <c r="U801" t="s">
        <v>2849</v>
      </c>
      <c r="V801" t="s">
        <v>594</v>
      </c>
    </row>
    <row r="802" spans="1:22" x14ac:dyDescent="0.45">
      <c r="A802" t="s">
        <v>3075</v>
      </c>
      <c r="B802" t="s">
        <v>3076</v>
      </c>
      <c r="C802" t="str">
        <f t="shared" si="73"/>
        <v>VC32ET</v>
      </c>
      <c r="E802" t="s">
        <v>3197</v>
      </c>
      <c r="F802" t="s">
        <v>200</v>
      </c>
      <c r="G802" s="362" t="s">
        <v>212</v>
      </c>
      <c r="H802">
        <v>2020</v>
      </c>
      <c r="I802">
        <v>132</v>
      </c>
      <c r="K802" t="s">
        <v>3077</v>
      </c>
      <c r="L802" t="s">
        <v>2195</v>
      </c>
      <c r="O802">
        <f>I802/100000</f>
        <v>1.32E-3</v>
      </c>
      <c r="P802" t="s">
        <v>2195</v>
      </c>
      <c r="Q802" s="368">
        <v>0.92500000000000004</v>
      </c>
      <c r="R802" t="s">
        <v>3078</v>
      </c>
      <c r="T802">
        <v>0</v>
      </c>
      <c r="U802" t="s">
        <v>2849</v>
      </c>
      <c r="V802" t="s">
        <v>594</v>
      </c>
    </row>
    <row r="803" spans="1:22" x14ac:dyDescent="0.45">
      <c r="A803" t="s">
        <v>3196</v>
      </c>
      <c r="B803" t="s">
        <v>3076</v>
      </c>
      <c r="E803" t="s">
        <v>3197</v>
      </c>
      <c r="F803" t="s">
        <v>200</v>
      </c>
      <c r="G803" s="362" t="s">
        <v>212</v>
      </c>
      <c r="H803">
        <v>2017</v>
      </c>
      <c r="I803">
        <v>112.7</v>
      </c>
      <c r="K803" t="s">
        <v>3077</v>
      </c>
      <c r="L803" t="s">
        <v>2195</v>
      </c>
      <c r="O803" s="381">
        <f>I803/100000</f>
        <v>1.127E-3</v>
      </c>
      <c r="P803" t="s">
        <v>2195</v>
      </c>
      <c r="T803">
        <v>0</v>
      </c>
      <c r="U803" t="s">
        <v>2849</v>
      </c>
      <c r="V803" t="s">
        <v>594</v>
      </c>
    </row>
    <row r="804" spans="1:22" x14ac:dyDescent="0.45">
      <c r="A804" t="s">
        <v>3196</v>
      </c>
      <c r="B804" t="s">
        <v>3076</v>
      </c>
      <c r="C804" t="s">
        <v>3198</v>
      </c>
      <c r="E804" t="s">
        <v>3197</v>
      </c>
      <c r="F804" t="s">
        <v>200</v>
      </c>
      <c r="G804" s="362" t="s">
        <v>212</v>
      </c>
      <c r="H804">
        <v>2017</v>
      </c>
      <c r="I804">
        <v>100.8</v>
      </c>
      <c r="K804" t="s">
        <v>3077</v>
      </c>
      <c r="L804" t="s">
        <v>2195</v>
      </c>
      <c r="O804" s="381">
        <f t="shared" ref="O804:O814" si="74">I804/100000</f>
        <v>1.008E-3</v>
      </c>
      <c r="P804" t="s">
        <v>2195</v>
      </c>
      <c r="T804">
        <v>1</v>
      </c>
      <c r="U804" t="s">
        <v>2868</v>
      </c>
      <c r="V804" t="s">
        <v>806</v>
      </c>
    </row>
    <row r="805" spans="1:22" x14ac:dyDescent="0.45">
      <c r="A805" t="s">
        <v>3196</v>
      </c>
      <c r="B805" t="s">
        <v>3076</v>
      </c>
      <c r="C805" t="s">
        <v>3199</v>
      </c>
      <c r="E805" t="s">
        <v>3197</v>
      </c>
      <c r="F805" t="s">
        <v>200</v>
      </c>
      <c r="G805" s="362" t="s">
        <v>212</v>
      </c>
      <c r="H805">
        <v>2017</v>
      </c>
      <c r="I805">
        <v>156.4</v>
      </c>
      <c r="K805" t="s">
        <v>3077</v>
      </c>
      <c r="L805" t="s">
        <v>2195</v>
      </c>
      <c r="O805" s="381">
        <f t="shared" si="74"/>
        <v>1.5640000000000001E-3</v>
      </c>
      <c r="P805" t="s">
        <v>2195</v>
      </c>
      <c r="T805">
        <v>1</v>
      </c>
      <c r="U805" t="s">
        <v>2869</v>
      </c>
      <c r="V805" t="s">
        <v>2946</v>
      </c>
    </row>
    <row r="806" spans="1:22" x14ac:dyDescent="0.45">
      <c r="A806" t="s">
        <v>3196</v>
      </c>
      <c r="B806" t="s">
        <v>3076</v>
      </c>
      <c r="C806" t="s">
        <v>3200</v>
      </c>
      <c r="E806" t="s">
        <v>3197</v>
      </c>
      <c r="F806" t="s">
        <v>200</v>
      </c>
      <c r="G806" s="362" t="s">
        <v>212</v>
      </c>
      <c r="H806">
        <v>2017</v>
      </c>
      <c r="I806">
        <v>108.3</v>
      </c>
      <c r="K806" t="s">
        <v>3077</v>
      </c>
      <c r="L806" t="s">
        <v>2195</v>
      </c>
      <c r="O806" s="381">
        <f t="shared" si="74"/>
        <v>1.083E-3</v>
      </c>
      <c r="P806" t="s">
        <v>2195</v>
      </c>
      <c r="T806">
        <v>1</v>
      </c>
      <c r="U806" t="s">
        <v>2871</v>
      </c>
      <c r="V806" t="s">
        <v>805</v>
      </c>
    </row>
    <row r="807" spans="1:22" x14ac:dyDescent="0.45">
      <c r="A807" t="s">
        <v>3196</v>
      </c>
      <c r="B807" t="s">
        <v>3076</v>
      </c>
      <c r="C807" t="s">
        <v>3201</v>
      </c>
      <c r="E807" t="s">
        <v>3197</v>
      </c>
      <c r="F807" t="s">
        <v>200</v>
      </c>
      <c r="G807" s="362" t="s">
        <v>212</v>
      </c>
      <c r="H807">
        <v>2017</v>
      </c>
      <c r="I807">
        <v>115.2</v>
      </c>
      <c r="K807" t="s">
        <v>3077</v>
      </c>
      <c r="L807" t="s">
        <v>2195</v>
      </c>
      <c r="O807" s="381">
        <f t="shared" si="74"/>
        <v>1.152E-3</v>
      </c>
      <c r="P807" t="s">
        <v>2195</v>
      </c>
      <c r="T807">
        <v>1</v>
      </c>
      <c r="U807" t="s">
        <v>2872</v>
      </c>
      <c r="V807" t="s">
        <v>809</v>
      </c>
    </row>
    <row r="808" spans="1:22" x14ac:dyDescent="0.45">
      <c r="A808" t="s">
        <v>3196</v>
      </c>
      <c r="B808" t="s">
        <v>3076</v>
      </c>
      <c r="C808" t="s">
        <v>3202</v>
      </c>
      <c r="E808" t="s">
        <v>3197</v>
      </c>
      <c r="F808" t="s">
        <v>200</v>
      </c>
      <c r="G808" s="362" t="s">
        <v>212</v>
      </c>
      <c r="H808">
        <v>2017</v>
      </c>
      <c r="I808">
        <v>51.1</v>
      </c>
      <c r="K808" t="s">
        <v>3077</v>
      </c>
      <c r="L808" t="s">
        <v>2195</v>
      </c>
      <c r="O808" s="381">
        <f t="shared" si="74"/>
        <v>5.1100000000000006E-4</v>
      </c>
      <c r="P808" t="s">
        <v>2195</v>
      </c>
      <c r="T808">
        <v>1</v>
      </c>
      <c r="U808" t="s">
        <v>2873</v>
      </c>
      <c r="V808" t="s">
        <v>2874</v>
      </c>
    </row>
    <row r="809" spans="1:22" x14ac:dyDescent="0.45">
      <c r="A809" t="s">
        <v>3196</v>
      </c>
      <c r="B809" t="s">
        <v>3076</v>
      </c>
      <c r="C809" t="s">
        <v>3203</v>
      </c>
      <c r="E809" t="s">
        <v>3197</v>
      </c>
      <c r="F809" t="s">
        <v>200</v>
      </c>
      <c r="G809" s="362" t="s">
        <v>212</v>
      </c>
      <c r="H809">
        <v>2017</v>
      </c>
      <c r="I809">
        <v>61.9</v>
      </c>
      <c r="K809" t="s">
        <v>3077</v>
      </c>
      <c r="L809" t="s">
        <v>2195</v>
      </c>
      <c r="O809" s="381">
        <f t="shared" si="74"/>
        <v>6.1899999999999998E-4</v>
      </c>
      <c r="P809" t="s">
        <v>2195</v>
      </c>
      <c r="T809">
        <v>1</v>
      </c>
      <c r="U809" t="s">
        <v>2876</v>
      </c>
      <c r="V809" t="s">
        <v>2877</v>
      </c>
    </row>
    <row r="810" spans="1:22" x14ac:dyDescent="0.45">
      <c r="A810" t="s">
        <v>3196</v>
      </c>
      <c r="B810" t="s">
        <v>3076</v>
      </c>
      <c r="C810" t="s">
        <v>3204</v>
      </c>
      <c r="E810" t="s">
        <v>3197</v>
      </c>
      <c r="F810" t="s">
        <v>200</v>
      </c>
      <c r="G810" s="362" t="s">
        <v>212</v>
      </c>
      <c r="H810">
        <v>2017</v>
      </c>
      <c r="I810">
        <v>101.4</v>
      </c>
      <c r="K810" t="s">
        <v>3077</v>
      </c>
      <c r="L810" t="s">
        <v>2195</v>
      </c>
      <c r="O810" s="381">
        <f t="shared" si="74"/>
        <v>1.0140000000000001E-3</v>
      </c>
      <c r="P810" t="s">
        <v>2195</v>
      </c>
      <c r="T810">
        <v>1</v>
      </c>
      <c r="U810" t="s">
        <v>2878</v>
      </c>
      <c r="V810" t="s">
        <v>2879</v>
      </c>
    </row>
    <row r="811" spans="1:22" x14ac:dyDescent="0.45">
      <c r="A811" t="s">
        <v>3196</v>
      </c>
      <c r="B811" t="s">
        <v>3076</v>
      </c>
      <c r="C811" t="s">
        <v>3205</v>
      </c>
      <c r="E811" t="s">
        <v>3197</v>
      </c>
      <c r="F811" t="s">
        <v>200</v>
      </c>
      <c r="G811" s="362" t="s">
        <v>212</v>
      </c>
      <c r="H811">
        <v>2017</v>
      </c>
      <c r="I811">
        <v>152.69999999999999</v>
      </c>
      <c r="K811" t="s">
        <v>3077</v>
      </c>
      <c r="L811" t="s">
        <v>2195</v>
      </c>
      <c r="O811" s="381">
        <f t="shared" si="74"/>
        <v>1.5269999999999999E-3</v>
      </c>
      <c r="P811" t="s">
        <v>2195</v>
      </c>
      <c r="T811">
        <v>1</v>
      </c>
      <c r="U811" t="s">
        <v>2880</v>
      </c>
      <c r="V811" t="s">
        <v>2881</v>
      </c>
    </row>
    <row r="812" spans="1:22" x14ac:dyDescent="0.45">
      <c r="A812" t="s">
        <v>3196</v>
      </c>
      <c r="B812" t="s">
        <v>3076</v>
      </c>
      <c r="C812" t="s">
        <v>3206</v>
      </c>
      <c r="E812" t="s">
        <v>3197</v>
      </c>
      <c r="F812" t="s">
        <v>200</v>
      </c>
      <c r="G812" s="362" t="s">
        <v>212</v>
      </c>
      <c r="H812">
        <v>2017</v>
      </c>
      <c r="I812">
        <v>206.7</v>
      </c>
      <c r="K812" t="s">
        <v>3077</v>
      </c>
      <c r="L812" t="s">
        <v>2195</v>
      </c>
      <c r="O812" s="381">
        <f t="shared" si="74"/>
        <v>2.0669999999999998E-3</v>
      </c>
      <c r="P812" t="s">
        <v>2195</v>
      </c>
      <c r="T812">
        <v>1</v>
      </c>
      <c r="U812" t="s">
        <v>2882</v>
      </c>
      <c r="V812" t="s">
        <v>2883</v>
      </c>
    </row>
    <row r="813" spans="1:22" x14ac:dyDescent="0.45">
      <c r="A813" t="s">
        <v>3196</v>
      </c>
      <c r="B813" t="s">
        <v>3076</v>
      </c>
      <c r="C813" t="s">
        <v>3207</v>
      </c>
      <c r="E813" t="s">
        <v>3197</v>
      </c>
      <c r="F813" t="s">
        <v>200</v>
      </c>
      <c r="G813" s="362" t="s">
        <v>212</v>
      </c>
      <c r="H813">
        <v>2017</v>
      </c>
      <c r="I813">
        <v>262.10000000000002</v>
      </c>
      <c r="K813" t="s">
        <v>3077</v>
      </c>
      <c r="L813" t="s">
        <v>2195</v>
      </c>
      <c r="O813" s="381">
        <f t="shared" si="74"/>
        <v>2.6210000000000001E-3</v>
      </c>
      <c r="P813" t="s">
        <v>2195</v>
      </c>
      <c r="T813">
        <v>1</v>
      </c>
      <c r="U813" t="s">
        <v>2884</v>
      </c>
      <c r="V813" t="s">
        <v>814</v>
      </c>
    </row>
    <row r="814" spans="1:22" x14ac:dyDescent="0.45">
      <c r="A814" t="s">
        <v>3196</v>
      </c>
      <c r="B814" t="s">
        <v>3076</v>
      </c>
      <c r="C814" t="s">
        <v>3208</v>
      </c>
      <c r="E814" t="s">
        <v>3197</v>
      </c>
      <c r="F814" t="s">
        <v>200</v>
      </c>
      <c r="G814" s="362" t="s">
        <v>212</v>
      </c>
      <c r="H814">
        <v>2017</v>
      </c>
      <c r="I814">
        <v>348.5</v>
      </c>
      <c r="K814" t="s">
        <v>3077</v>
      </c>
      <c r="L814" t="s">
        <v>2195</v>
      </c>
      <c r="O814" s="381">
        <f t="shared" si="74"/>
        <v>3.4849999999999998E-3</v>
      </c>
      <c r="P814" t="s">
        <v>2195</v>
      </c>
      <c r="T814">
        <v>1</v>
      </c>
      <c r="U814" t="s">
        <v>2885</v>
      </c>
      <c r="V814" t="s">
        <v>2886</v>
      </c>
    </row>
    <row r="815" spans="1:22" x14ac:dyDescent="0.45">
      <c r="A815" t="s">
        <v>3079</v>
      </c>
      <c r="F815" t="s">
        <v>2393</v>
      </c>
      <c r="G815" s="362" t="s">
        <v>3080</v>
      </c>
      <c r="H815" t="s">
        <v>3081</v>
      </c>
      <c r="I815">
        <v>19.600000000000001</v>
      </c>
      <c r="J815" t="s">
        <v>3082</v>
      </c>
      <c r="K815" t="s">
        <v>3083</v>
      </c>
      <c r="L815" t="s">
        <v>2909</v>
      </c>
      <c r="T815">
        <v>0</v>
      </c>
      <c r="U815" t="s">
        <v>2849</v>
      </c>
      <c r="V815" t="s">
        <v>594</v>
      </c>
    </row>
    <row r="816" spans="1:22" x14ac:dyDescent="0.45">
      <c r="A816" t="s">
        <v>3079</v>
      </c>
      <c r="F816" t="s">
        <v>2393</v>
      </c>
      <c r="G816" s="362" t="s">
        <v>3084</v>
      </c>
      <c r="H816">
        <v>2012</v>
      </c>
      <c r="I816">
        <v>28.3</v>
      </c>
      <c r="J816" t="s">
        <v>3085</v>
      </c>
      <c r="K816" t="s">
        <v>3086</v>
      </c>
      <c r="L816" t="s">
        <v>1863</v>
      </c>
      <c r="T816">
        <v>1</v>
      </c>
      <c r="U816" t="s">
        <v>2871</v>
      </c>
      <c r="V816" t="s">
        <v>805</v>
      </c>
    </row>
    <row r="817" spans="1:22" x14ac:dyDescent="0.45">
      <c r="A817" t="s">
        <v>3079</v>
      </c>
      <c r="F817" t="s">
        <v>2393</v>
      </c>
      <c r="G817" s="362" t="s">
        <v>3080</v>
      </c>
      <c r="H817">
        <v>2014</v>
      </c>
      <c r="I817">
        <v>16.899999999999999</v>
      </c>
      <c r="J817" t="s">
        <v>3087</v>
      </c>
      <c r="K817" t="s">
        <v>3083</v>
      </c>
      <c r="L817" t="s">
        <v>1863</v>
      </c>
      <c r="T817">
        <v>1</v>
      </c>
      <c r="U817" t="s">
        <v>2872</v>
      </c>
      <c r="V817" t="s">
        <v>809</v>
      </c>
    </row>
    <row r="818" spans="1:22" x14ac:dyDescent="0.45">
      <c r="A818" t="s">
        <v>3079</v>
      </c>
      <c r="F818" t="s">
        <v>2393</v>
      </c>
      <c r="G818" s="362" t="s">
        <v>3080</v>
      </c>
      <c r="H818">
        <v>2013</v>
      </c>
      <c r="I818">
        <v>18.8</v>
      </c>
      <c r="J818" t="s">
        <v>3088</v>
      </c>
      <c r="K818" t="s">
        <v>3089</v>
      </c>
      <c r="L818" t="s">
        <v>1863</v>
      </c>
      <c r="T818">
        <v>1</v>
      </c>
      <c r="U818" t="s">
        <v>2878</v>
      </c>
      <c r="V818" t="s">
        <v>3090</v>
      </c>
    </row>
    <row r="819" spans="1:22" x14ac:dyDescent="0.45">
      <c r="A819" t="s">
        <v>3079</v>
      </c>
      <c r="F819" t="s">
        <v>2393</v>
      </c>
      <c r="G819" s="362" t="s">
        <v>3091</v>
      </c>
      <c r="H819">
        <v>2014</v>
      </c>
      <c r="I819">
        <v>18.100000000000001</v>
      </c>
      <c r="J819" t="s">
        <v>3092</v>
      </c>
      <c r="K819" t="s">
        <v>3093</v>
      </c>
      <c r="L819" t="s">
        <v>1863</v>
      </c>
      <c r="T819">
        <v>1</v>
      </c>
      <c r="U819" t="s">
        <v>2868</v>
      </c>
      <c r="V819" t="s">
        <v>806</v>
      </c>
    </row>
    <row r="820" spans="1:22" x14ac:dyDescent="0.45">
      <c r="A820" t="s">
        <v>3079</v>
      </c>
      <c r="F820" t="s">
        <v>2393</v>
      </c>
      <c r="G820" s="362" t="s">
        <v>3094</v>
      </c>
      <c r="H820">
        <v>2009</v>
      </c>
      <c r="I820">
        <v>30.3</v>
      </c>
      <c r="J820" t="s">
        <v>3095</v>
      </c>
      <c r="K820" t="s">
        <v>3096</v>
      </c>
      <c r="L820" t="s">
        <v>1863</v>
      </c>
      <c r="T820">
        <v>1</v>
      </c>
      <c r="U820" t="s">
        <v>2884</v>
      </c>
      <c r="V820" t="s">
        <v>814</v>
      </c>
    </row>
    <row r="821" spans="1:22" x14ac:dyDescent="0.45">
      <c r="A821" t="s">
        <v>3097</v>
      </c>
      <c r="B821" t="s">
        <v>3098</v>
      </c>
      <c r="C821" t="str">
        <f t="shared" ref="C821:C830" si="75">_xlfn.CONCAT(B821,U821)</f>
        <v>VC34ET</v>
      </c>
      <c r="F821" t="s">
        <v>2393</v>
      </c>
      <c r="G821" s="362" t="s">
        <v>3091</v>
      </c>
      <c r="H821" t="s">
        <v>2938</v>
      </c>
      <c r="I821">
        <v>21.81</v>
      </c>
      <c r="J821" t="s">
        <v>3099</v>
      </c>
      <c r="K821" t="s">
        <v>3093</v>
      </c>
      <c r="L821" t="s">
        <v>1863</v>
      </c>
      <c r="O821">
        <f>I821/100</f>
        <v>0.21809999999999999</v>
      </c>
      <c r="P821" t="s">
        <v>1863</v>
      </c>
      <c r="T821">
        <v>0</v>
      </c>
      <c r="U821" t="s">
        <v>2849</v>
      </c>
      <c r="V821" t="s">
        <v>594</v>
      </c>
    </row>
    <row r="822" spans="1:22" x14ac:dyDescent="0.45">
      <c r="A822" t="s">
        <v>3097</v>
      </c>
      <c r="B822" t="s">
        <v>3098</v>
      </c>
      <c r="C822" t="str">
        <f t="shared" si="75"/>
        <v>VC34ETR</v>
      </c>
      <c r="F822" t="s">
        <v>2393</v>
      </c>
      <c r="G822" s="362" t="s">
        <v>3091</v>
      </c>
      <c r="H822" t="s">
        <v>3005</v>
      </c>
      <c r="I822">
        <v>18.45</v>
      </c>
      <c r="J822" t="s">
        <v>3100</v>
      </c>
      <c r="K822" t="s">
        <v>3093</v>
      </c>
      <c r="L822" t="s">
        <v>1863</v>
      </c>
      <c r="O822">
        <f t="shared" ref="O822:O830" si="76">I822/100</f>
        <v>0.1845</v>
      </c>
      <c r="P822" t="s">
        <v>1863</v>
      </c>
      <c r="T822">
        <v>0.5</v>
      </c>
      <c r="U822" t="s">
        <v>2866</v>
      </c>
      <c r="V822" t="s">
        <v>84</v>
      </c>
    </row>
    <row r="823" spans="1:22" x14ac:dyDescent="0.45">
      <c r="A823" t="s">
        <v>3097</v>
      </c>
      <c r="B823" t="s">
        <v>3098</v>
      </c>
      <c r="C823" t="str">
        <f t="shared" si="75"/>
        <v>VC34ETU</v>
      </c>
      <c r="F823" t="s">
        <v>2393</v>
      </c>
      <c r="G823" s="362" t="s">
        <v>3091</v>
      </c>
      <c r="H823" t="s">
        <v>2938</v>
      </c>
      <c r="I823">
        <v>22.85</v>
      </c>
      <c r="J823" t="s">
        <v>3101</v>
      </c>
      <c r="K823" t="s">
        <v>3093</v>
      </c>
      <c r="L823" t="s">
        <v>2909</v>
      </c>
      <c r="O823">
        <f t="shared" si="76"/>
        <v>0.22850000000000001</v>
      </c>
      <c r="P823" t="s">
        <v>2909</v>
      </c>
      <c r="T823">
        <v>0.5</v>
      </c>
      <c r="U823" t="s">
        <v>2867</v>
      </c>
      <c r="V823" t="s">
        <v>336</v>
      </c>
    </row>
    <row r="824" spans="1:22" x14ac:dyDescent="0.45">
      <c r="A824" t="s">
        <v>3097</v>
      </c>
      <c r="B824" t="s">
        <v>3098</v>
      </c>
      <c r="C824" t="str">
        <f t="shared" si="75"/>
        <v>VC34ET01</v>
      </c>
      <c r="F824" t="s">
        <v>2393</v>
      </c>
      <c r="G824" s="362" t="s">
        <v>3091</v>
      </c>
      <c r="H824" t="s">
        <v>3102</v>
      </c>
      <c r="I824">
        <v>15.36</v>
      </c>
      <c r="J824" t="s">
        <v>3103</v>
      </c>
      <c r="K824" t="s">
        <v>3093</v>
      </c>
      <c r="L824" t="s">
        <v>2909</v>
      </c>
      <c r="O824">
        <f t="shared" si="76"/>
        <v>0.15359999999999999</v>
      </c>
      <c r="P824" t="s">
        <v>2909</v>
      </c>
      <c r="T824">
        <v>1</v>
      </c>
      <c r="U824" t="s">
        <v>2868</v>
      </c>
      <c r="V824" t="s">
        <v>806</v>
      </c>
    </row>
    <row r="825" spans="1:22" x14ac:dyDescent="0.45">
      <c r="A825" t="s">
        <v>3097</v>
      </c>
      <c r="B825" t="s">
        <v>3098</v>
      </c>
      <c r="C825" t="str">
        <f t="shared" si="75"/>
        <v>VC34ET03</v>
      </c>
      <c r="F825" t="s">
        <v>2393</v>
      </c>
      <c r="G825" s="362" t="s">
        <v>3091</v>
      </c>
      <c r="H825" t="s">
        <v>3005</v>
      </c>
      <c r="I825">
        <v>22.27</v>
      </c>
      <c r="J825" t="s">
        <v>3104</v>
      </c>
      <c r="K825" t="s">
        <v>3093</v>
      </c>
      <c r="L825" t="s">
        <v>2909</v>
      </c>
      <c r="O825">
        <f t="shared" si="76"/>
        <v>0.22270000000000001</v>
      </c>
      <c r="P825" t="s">
        <v>2909</v>
      </c>
      <c r="T825">
        <v>1</v>
      </c>
      <c r="U825" t="s">
        <v>2871</v>
      </c>
      <c r="V825" t="s">
        <v>805</v>
      </c>
    </row>
    <row r="826" spans="1:22" x14ac:dyDescent="0.45">
      <c r="A826" t="s">
        <v>3097</v>
      </c>
      <c r="B826" t="s">
        <v>3098</v>
      </c>
      <c r="C826" t="str">
        <f t="shared" si="75"/>
        <v>VC34ET04</v>
      </c>
      <c r="F826" t="s">
        <v>2393</v>
      </c>
      <c r="G826" s="362" t="s">
        <v>3091</v>
      </c>
      <c r="H826" t="s">
        <v>3005</v>
      </c>
      <c r="I826">
        <v>19.829999999999998</v>
      </c>
      <c r="J826" t="s">
        <v>3105</v>
      </c>
      <c r="K826" t="s">
        <v>3093</v>
      </c>
      <c r="L826" t="s">
        <v>2909</v>
      </c>
      <c r="O826">
        <f t="shared" si="76"/>
        <v>0.19829999999999998</v>
      </c>
      <c r="P826" t="s">
        <v>2909</v>
      </c>
      <c r="T826">
        <v>1</v>
      </c>
      <c r="U826" t="s">
        <v>2872</v>
      </c>
      <c r="V826" t="s">
        <v>809</v>
      </c>
    </row>
    <row r="827" spans="1:22" x14ac:dyDescent="0.45">
      <c r="A827" t="s">
        <v>3097</v>
      </c>
      <c r="B827" t="s">
        <v>3098</v>
      </c>
      <c r="C827" t="str">
        <f t="shared" si="75"/>
        <v>VC34ET05</v>
      </c>
      <c r="F827" t="s">
        <v>2393</v>
      </c>
      <c r="G827" s="362" t="s">
        <v>3091</v>
      </c>
      <c r="H827">
        <v>2017</v>
      </c>
      <c r="I827">
        <v>21.14</v>
      </c>
      <c r="J827" t="s">
        <v>3106</v>
      </c>
      <c r="K827" t="s">
        <v>3093</v>
      </c>
      <c r="L827" t="s">
        <v>2909</v>
      </c>
      <c r="O827">
        <f t="shared" si="76"/>
        <v>0.2114</v>
      </c>
      <c r="P827" t="s">
        <v>2909</v>
      </c>
      <c r="T827">
        <v>1</v>
      </c>
      <c r="U827" t="s">
        <v>2873</v>
      </c>
      <c r="V827" t="s">
        <v>2874</v>
      </c>
    </row>
    <row r="828" spans="1:22" x14ac:dyDescent="0.45">
      <c r="A828" t="s">
        <v>3097</v>
      </c>
      <c r="B828" t="s">
        <v>3098</v>
      </c>
      <c r="C828" t="str">
        <f t="shared" si="75"/>
        <v>VC34ET07</v>
      </c>
      <c r="F828" t="s">
        <v>2393</v>
      </c>
      <c r="G828" s="362" t="s">
        <v>3091</v>
      </c>
      <c r="H828" t="s">
        <v>2903</v>
      </c>
      <c r="I828">
        <v>23.83</v>
      </c>
      <c r="J828" t="s">
        <v>3107</v>
      </c>
      <c r="K828" t="s">
        <v>3093</v>
      </c>
      <c r="L828" t="s">
        <v>2909</v>
      </c>
      <c r="O828">
        <f t="shared" si="76"/>
        <v>0.23829999999999998</v>
      </c>
      <c r="P828" t="s">
        <v>2909</v>
      </c>
      <c r="T828">
        <v>1</v>
      </c>
      <c r="U828" t="s">
        <v>2878</v>
      </c>
      <c r="V828" t="s">
        <v>2879</v>
      </c>
    </row>
    <row r="829" spans="1:22" x14ac:dyDescent="0.45">
      <c r="A829" t="s">
        <v>3097</v>
      </c>
      <c r="B829" t="s">
        <v>3098</v>
      </c>
      <c r="C829" t="str">
        <f t="shared" si="75"/>
        <v>VC34ET14</v>
      </c>
      <c r="F829" t="s">
        <v>2393</v>
      </c>
      <c r="G829" s="362" t="s">
        <v>3091</v>
      </c>
      <c r="H829" t="s">
        <v>2938</v>
      </c>
      <c r="I829">
        <v>25.35</v>
      </c>
      <c r="J829" t="s">
        <v>3108</v>
      </c>
      <c r="K829" t="s">
        <v>3093</v>
      </c>
      <c r="L829" t="s">
        <v>2909</v>
      </c>
      <c r="O829">
        <f t="shared" si="76"/>
        <v>0.2535</v>
      </c>
      <c r="P829" t="s">
        <v>2909</v>
      </c>
      <c r="T829">
        <v>1</v>
      </c>
      <c r="U829" t="s">
        <v>2884</v>
      </c>
      <c r="V829" t="s">
        <v>814</v>
      </c>
    </row>
    <row r="830" spans="1:22" x14ac:dyDescent="0.45">
      <c r="A830" t="s">
        <v>3097</v>
      </c>
      <c r="B830" t="s">
        <v>3098</v>
      </c>
      <c r="C830" t="str">
        <f t="shared" si="75"/>
        <v>VC34ET15</v>
      </c>
      <c r="F830" t="s">
        <v>2393</v>
      </c>
      <c r="G830" s="362" t="s">
        <v>3094</v>
      </c>
      <c r="H830">
        <v>2019</v>
      </c>
      <c r="I830">
        <v>24.43</v>
      </c>
      <c r="J830" t="s">
        <v>3109</v>
      </c>
      <c r="K830" t="s">
        <v>3110</v>
      </c>
      <c r="L830" t="s">
        <v>1863</v>
      </c>
      <c r="O830">
        <f t="shared" si="76"/>
        <v>0.24429999999999999</v>
      </c>
      <c r="P830" t="s">
        <v>1863</v>
      </c>
      <c r="T830">
        <v>1</v>
      </c>
      <c r="U830" t="s">
        <v>2885</v>
      </c>
      <c r="V830" t="s">
        <v>2886</v>
      </c>
    </row>
    <row r="831" spans="1:22" x14ac:dyDescent="0.45">
      <c r="A831" t="s">
        <v>3111</v>
      </c>
      <c r="D831" t="s">
        <v>2713</v>
      </c>
      <c r="F831" t="s">
        <v>519</v>
      </c>
      <c r="G831" s="362" t="s">
        <v>3080</v>
      </c>
      <c r="H831">
        <v>2015</v>
      </c>
      <c r="I831">
        <v>3.2</v>
      </c>
      <c r="K831" t="s">
        <v>3083</v>
      </c>
      <c r="L831" t="s">
        <v>1863</v>
      </c>
      <c r="O831">
        <f>I831/100</f>
        <v>3.2000000000000001E-2</v>
      </c>
      <c r="Q831" s="376"/>
      <c r="T831">
        <v>0</v>
      </c>
      <c r="U831" t="s">
        <v>2849</v>
      </c>
      <c r="V831" t="s">
        <v>594</v>
      </c>
    </row>
    <row r="832" spans="1:22" x14ac:dyDescent="0.45">
      <c r="A832" t="s">
        <v>3111</v>
      </c>
      <c r="F832" t="s">
        <v>519</v>
      </c>
      <c r="G832" s="362" t="s">
        <v>3468</v>
      </c>
      <c r="H832">
        <v>2015</v>
      </c>
      <c r="I832">
        <v>3.5</v>
      </c>
      <c r="K832" t="s">
        <v>3123</v>
      </c>
      <c r="L832" t="s">
        <v>1863</v>
      </c>
      <c r="Q832" s="376"/>
      <c r="T832">
        <v>0</v>
      </c>
      <c r="U832" t="s">
        <v>2849</v>
      </c>
      <c r="V832" t="s">
        <v>594</v>
      </c>
    </row>
    <row r="833" spans="1:22" x14ac:dyDescent="0.45">
      <c r="A833" t="s">
        <v>3111</v>
      </c>
      <c r="F833" t="s">
        <v>519</v>
      </c>
      <c r="G833" s="362" t="s">
        <v>3469</v>
      </c>
      <c r="H833">
        <v>2015</v>
      </c>
      <c r="I833">
        <v>3</v>
      </c>
      <c r="K833" t="s">
        <v>3470</v>
      </c>
      <c r="L833" t="s">
        <v>1863</v>
      </c>
      <c r="Q833" s="365"/>
      <c r="T833">
        <v>0</v>
      </c>
      <c r="U833" t="s">
        <v>2849</v>
      </c>
      <c r="V833" t="s">
        <v>594</v>
      </c>
    </row>
    <row r="834" spans="1:22" x14ac:dyDescent="0.45">
      <c r="A834" t="s">
        <v>3111</v>
      </c>
      <c r="B834" t="s">
        <v>3462</v>
      </c>
      <c r="C834" t="str">
        <f t="shared" ref="C834:C839" si="77">_xlfn.CONCAT(B834,U834)</f>
        <v>VC35aET</v>
      </c>
      <c r="F834" t="s">
        <v>519</v>
      </c>
      <c r="G834" s="362" t="s">
        <v>3113</v>
      </c>
      <c r="H834">
        <v>2015</v>
      </c>
      <c r="I834">
        <v>2.6</v>
      </c>
      <c r="K834" t="s">
        <v>3471</v>
      </c>
      <c r="L834" t="s">
        <v>1863</v>
      </c>
      <c r="O834">
        <f>I834/100</f>
        <v>2.6000000000000002E-2</v>
      </c>
      <c r="Q834" s="365">
        <v>1</v>
      </c>
      <c r="R834" t="s">
        <v>3114</v>
      </c>
      <c r="T834">
        <v>0</v>
      </c>
      <c r="U834" t="s">
        <v>2849</v>
      </c>
      <c r="V834" t="s">
        <v>594</v>
      </c>
    </row>
    <row r="835" spans="1:22" x14ac:dyDescent="0.45">
      <c r="A835" t="s">
        <v>3111</v>
      </c>
      <c r="B835" t="s">
        <v>3463</v>
      </c>
      <c r="C835" t="str">
        <f t="shared" si="77"/>
        <v>VC35bET</v>
      </c>
      <c r="F835" t="s">
        <v>519</v>
      </c>
      <c r="G835" s="362" t="s">
        <v>3115</v>
      </c>
      <c r="H835">
        <v>2015</v>
      </c>
      <c r="I835">
        <v>2.6</v>
      </c>
      <c r="K835" t="s">
        <v>3472</v>
      </c>
      <c r="L835" t="s">
        <v>1863</v>
      </c>
      <c r="O835">
        <f t="shared" ref="O835:O839" si="78">I835/100</f>
        <v>2.6000000000000002E-2</v>
      </c>
      <c r="Q835" s="365">
        <v>1</v>
      </c>
      <c r="R835" t="s">
        <v>3114</v>
      </c>
      <c r="T835">
        <v>0</v>
      </c>
      <c r="U835" t="s">
        <v>2849</v>
      </c>
      <c r="V835" t="s">
        <v>594</v>
      </c>
    </row>
    <row r="836" spans="1:22" x14ac:dyDescent="0.45">
      <c r="A836" t="s">
        <v>3111</v>
      </c>
      <c r="B836" t="s">
        <v>3464</v>
      </c>
      <c r="C836" t="str">
        <f t="shared" si="77"/>
        <v>VC35cET</v>
      </c>
      <c r="F836" t="s">
        <v>519</v>
      </c>
      <c r="G836" s="362" t="s">
        <v>3116</v>
      </c>
      <c r="H836">
        <v>2015</v>
      </c>
      <c r="I836">
        <v>3.9</v>
      </c>
      <c r="K836" t="s">
        <v>3473</v>
      </c>
      <c r="L836" t="s">
        <v>1863</v>
      </c>
      <c r="O836">
        <f t="shared" si="78"/>
        <v>3.9E-2</v>
      </c>
      <c r="Q836" s="365">
        <v>1</v>
      </c>
      <c r="R836" t="s">
        <v>3114</v>
      </c>
      <c r="T836">
        <v>0</v>
      </c>
      <c r="U836" t="s">
        <v>2849</v>
      </c>
      <c r="V836" t="s">
        <v>594</v>
      </c>
    </row>
    <row r="837" spans="1:22" x14ac:dyDescent="0.45">
      <c r="A837" t="s">
        <v>3111</v>
      </c>
      <c r="B837" t="s">
        <v>3465</v>
      </c>
      <c r="C837" t="str">
        <f t="shared" si="77"/>
        <v>VC35dET</v>
      </c>
      <c r="F837" t="s">
        <v>519</v>
      </c>
      <c r="G837" s="362" t="s">
        <v>3117</v>
      </c>
      <c r="H837">
        <v>2015</v>
      </c>
      <c r="I837">
        <v>4.3</v>
      </c>
      <c r="K837" t="s">
        <v>3474</v>
      </c>
      <c r="L837" t="s">
        <v>1863</v>
      </c>
      <c r="O837">
        <f t="shared" si="78"/>
        <v>4.2999999999999997E-2</v>
      </c>
      <c r="Q837" s="365">
        <v>1</v>
      </c>
      <c r="R837" t="s">
        <v>3114</v>
      </c>
      <c r="T837">
        <v>0</v>
      </c>
      <c r="U837" t="s">
        <v>2849</v>
      </c>
      <c r="V837" t="s">
        <v>594</v>
      </c>
    </row>
    <row r="838" spans="1:22" x14ac:dyDescent="0.45">
      <c r="A838" t="s">
        <v>3111</v>
      </c>
      <c r="B838" t="s">
        <v>3466</v>
      </c>
      <c r="C838" t="str">
        <f t="shared" si="77"/>
        <v>VC35eET</v>
      </c>
      <c r="F838" t="s">
        <v>519</v>
      </c>
      <c r="G838" s="362" t="s">
        <v>3118</v>
      </c>
      <c r="H838">
        <v>2015</v>
      </c>
      <c r="I838">
        <v>4.9000000000000004</v>
      </c>
      <c r="K838" t="s">
        <v>3475</v>
      </c>
      <c r="L838" t="s">
        <v>1863</v>
      </c>
      <c r="O838">
        <f t="shared" si="78"/>
        <v>4.9000000000000002E-2</v>
      </c>
      <c r="Q838" s="365">
        <v>1</v>
      </c>
      <c r="R838" t="s">
        <v>3114</v>
      </c>
      <c r="T838">
        <v>0</v>
      </c>
      <c r="U838" t="s">
        <v>2849</v>
      </c>
      <c r="V838" t="s">
        <v>594</v>
      </c>
    </row>
    <row r="839" spans="1:22" x14ac:dyDescent="0.45">
      <c r="A839" t="s">
        <v>3111</v>
      </c>
      <c r="B839" t="s">
        <v>3467</v>
      </c>
      <c r="C839" t="str">
        <f t="shared" si="77"/>
        <v>VC35fET</v>
      </c>
      <c r="F839" t="s">
        <v>519</v>
      </c>
      <c r="G839" s="362" t="s">
        <v>3119</v>
      </c>
      <c r="H839">
        <v>2015</v>
      </c>
      <c r="I839">
        <v>4.5999999999999996</v>
      </c>
      <c r="K839" t="s">
        <v>3476</v>
      </c>
      <c r="L839" t="s">
        <v>1863</v>
      </c>
      <c r="O839">
        <f t="shared" si="78"/>
        <v>4.5999999999999999E-2</v>
      </c>
      <c r="Q839" s="365">
        <v>1</v>
      </c>
      <c r="R839" t="s">
        <v>3114</v>
      </c>
      <c r="T839">
        <v>0</v>
      </c>
      <c r="U839" t="s">
        <v>2849</v>
      </c>
      <c r="V839" t="s">
        <v>594</v>
      </c>
    </row>
    <row r="840" spans="1:22" s="369" customFormat="1" x14ac:dyDescent="0.45">
      <c r="A840" s="369" t="s">
        <v>3120</v>
      </c>
      <c r="F840" s="369" t="s">
        <v>3121</v>
      </c>
      <c r="G840" s="370" t="s">
        <v>3122</v>
      </c>
      <c r="H840" s="369">
        <v>2015</v>
      </c>
      <c r="I840" s="369">
        <v>8.9</v>
      </c>
      <c r="K840" s="369" t="s">
        <v>3123</v>
      </c>
      <c r="Q840" s="377"/>
      <c r="T840" s="369">
        <v>0</v>
      </c>
      <c r="U840" s="369" t="s">
        <v>2849</v>
      </c>
      <c r="V840" s="369" t="s">
        <v>594</v>
      </c>
    </row>
    <row r="841" spans="1:22" x14ac:dyDescent="0.45">
      <c r="A841" t="s">
        <v>2850</v>
      </c>
      <c r="B841" t="s">
        <v>3124</v>
      </c>
      <c r="C841" t="str">
        <f t="shared" ref="C841:C869" si="79">_xlfn.CONCAT(B841,U841)</f>
        <v>VC36ET</v>
      </c>
      <c r="D841" t="s">
        <v>2714</v>
      </c>
      <c r="E841" t="s">
        <v>3125</v>
      </c>
      <c r="F841" t="s">
        <v>3121</v>
      </c>
      <c r="G841" s="362" t="s">
        <v>3122</v>
      </c>
      <c r="H841">
        <v>2016</v>
      </c>
      <c r="I841">
        <v>4.7</v>
      </c>
      <c r="K841" t="s">
        <v>3123</v>
      </c>
      <c r="L841" t="s">
        <v>3126</v>
      </c>
      <c r="O841" s="363">
        <f>I841/100</f>
        <v>4.7E-2</v>
      </c>
      <c r="Q841" s="373">
        <f>(I841/I842)^(1/(H841-H842))</f>
        <v>0.91570376443284174</v>
      </c>
      <c r="T841">
        <v>0</v>
      </c>
      <c r="U841" t="s">
        <v>2849</v>
      </c>
      <c r="V841" t="s">
        <v>594</v>
      </c>
    </row>
    <row r="842" spans="1:22" x14ac:dyDescent="0.45">
      <c r="A842" t="s">
        <v>2850</v>
      </c>
      <c r="B842" t="s">
        <v>3124</v>
      </c>
      <c r="E842" t="s">
        <v>3125</v>
      </c>
      <c r="F842" t="s">
        <v>3121</v>
      </c>
      <c r="G842" s="362" t="s">
        <v>3122</v>
      </c>
      <c r="H842">
        <v>2011</v>
      </c>
      <c r="I842">
        <v>7.3</v>
      </c>
      <c r="K842" t="s">
        <v>3123</v>
      </c>
      <c r="L842" t="s">
        <v>3126</v>
      </c>
      <c r="O842" s="363">
        <f t="shared" ref="O842:O868" si="80">I842/100</f>
        <v>7.2999999999999995E-2</v>
      </c>
      <c r="T842">
        <v>0</v>
      </c>
      <c r="U842" t="s">
        <v>2849</v>
      </c>
      <c r="V842" t="s">
        <v>594</v>
      </c>
    </row>
    <row r="843" spans="1:22" x14ac:dyDescent="0.45">
      <c r="A843" t="s">
        <v>2850</v>
      </c>
      <c r="B843" t="s">
        <v>3124</v>
      </c>
      <c r="C843" t="str">
        <f t="shared" si="79"/>
        <v>VC36ETR</v>
      </c>
      <c r="E843" t="s">
        <v>3125</v>
      </c>
      <c r="F843" t="s">
        <v>3121</v>
      </c>
      <c r="G843" s="362" t="s">
        <v>3122</v>
      </c>
      <c r="H843">
        <v>2016</v>
      </c>
      <c r="I843">
        <v>4.5</v>
      </c>
      <c r="K843" t="s">
        <v>3123</v>
      </c>
      <c r="L843" t="s">
        <v>3126</v>
      </c>
      <c r="O843" s="363">
        <f t="shared" si="80"/>
        <v>4.4999999999999998E-2</v>
      </c>
      <c r="Q843" s="373">
        <f>(I843/I844)^(1/(H843-H844))</f>
        <v>0.93791647568279557</v>
      </c>
      <c r="T843">
        <v>0.5</v>
      </c>
      <c r="U843" t="s">
        <v>2866</v>
      </c>
      <c r="V843" t="s">
        <v>84</v>
      </c>
    </row>
    <row r="844" spans="1:22" x14ac:dyDescent="0.45">
      <c r="A844" t="s">
        <v>2850</v>
      </c>
      <c r="B844" t="s">
        <v>3124</v>
      </c>
      <c r="E844" t="s">
        <v>3125</v>
      </c>
      <c r="F844" t="s">
        <v>3121</v>
      </c>
      <c r="G844" s="362" t="s">
        <v>3122</v>
      </c>
      <c r="H844">
        <v>2011</v>
      </c>
      <c r="I844">
        <v>6.2</v>
      </c>
      <c r="K844" t="s">
        <v>3123</v>
      </c>
      <c r="L844" t="s">
        <v>3126</v>
      </c>
      <c r="O844" s="363">
        <f t="shared" si="80"/>
        <v>6.2E-2</v>
      </c>
      <c r="T844">
        <v>0.5</v>
      </c>
      <c r="U844" t="s">
        <v>2866</v>
      </c>
      <c r="V844" t="s">
        <v>84</v>
      </c>
    </row>
    <row r="845" spans="1:22" x14ac:dyDescent="0.45">
      <c r="A845" t="s">
        <v>2850</v>
      </c>
      <c r="B845" t="s">
        <v>3124</v>
      </c>
      <c r="C845" t="str">
        <f t="shared" si="79"/>
        <v>VC36ETU</v>
      </c>
      <c r="E845" t="s">
        <v>3125</v>
      </c>
      <c r="F845" t="s">
        <v>3121</v>
      </c>
      <c r="G845" s="362" t="s">
        <v>3122</v>
      </c>
      <c r="H845">
        <v>2016</v>
      </c>
      <c r="I845">
        <v>4.5</v>
      </c>
      <c r="K845" t="s">
        <v>3123</v>
      </c>
      <c r="L845" t="s">
        <v>3126</v>
      </c>
      <c r="O845" s="363">
        <f t="shared" si="80"/>
        <v>4.4999999999999998E-2</v>
      </c>
      <c r="Q845" s="373">
        <f>(I845/I846)^(1/(H845-H846))</f>
        <v>0.88264617913314714</v>
      </c>
      <c r="T845">
        <v>0.5</v>
      </c>
      <c r="U845" t="s">
        <v>2867</v>
      </c>
      <c r="V845" t="s">
        <v>336</v>
      </c>
    </row>
    <row r="846" spans="1:22" x14ac:dyDescent="0.45">
      <c r="A846" t="s">
        <v>2850</v>
      </c>
      <c r="B846" t="s">
        <v>3124</v>
      </c>
      <c r="E846" t="s">
        <v>3125</v>
      </c>
      <c r="F846" t="s">
        <v>3121</v>
      </c>
      <c r="G846" s="362" t="s">
        <v>3122</v>
      </c>
      <c r="H846">
        <v>2011</v>
      </c>
      <c r="I846">
        <v>8.4</v>
      </c>
      <c r="K846" t="s">
        <v>3123</v>
      </c>
      <c r="L846" t="s">
        <v>3126</v>
      </c>
      <c r="O846" s="363">
        <f t="shared" si="80"/>
        <v>8.4000000000000005E-2</v>
      </c>
      <c r="T846">
        <v>0.5</v>
      </c>
      <c r="U846" t="s">
        <v>2867</v>
      </c>
      <c r="V846" t="s">
        <v>336</v>
      </c>
    </row>
    <row r="847" spans="1:22" x14ac:dyDescent="0.45">
      <c r="A847" t="s">
        <v>2850</v>
      </c>
      <c r="B847" t="s">
        <v>3124</v>
      </c>
      <c r="C847" t="str">
        <f t="shared" si="79"/>
        <v>VC36ET01</v>
      </c>
      <c r="E847" t="s">
        <v>3125</v>
      </c>
      <c r="F847" t="s">
        <v>3121</v>
      </c>
      <c r="G847" s="362" t="s">
        <v>3122</v>
      </c>
      <c r="H847">
        <v>2016</v>
      </c>
      <c r="I847">
        <v>1.2</v>
      </c>
      <c r="K847" t="s">
        <v>3123</v>
      </c>
      <c r="L847" t="s">
        <v>3126</v>
      </c>
      <c r="O847" s="363">
        <f t="shared" si="80"/>
        <v>1.2E-2</v>
      </c>
      <c r="Q847" s="373">
        <f>(I847/I848)^(1/(H847-H848))</f>
        <v>0.94408751129490198</v>
      </c>
      <c r="T847">
        <v>1</v>
      </c>
      <c r="U847" t="s">
        <v>2868</v>
      </c>
      <c r="V847" t="s">
        <v>806</v>
      </c>
    </row>
    <row r="848" spans="1:22" x14ac:dyDescent="0.45">
      <c r="A848" t="s">
        <v>2850</v>
      </c>
      <c r="B848" t="s">
        <v>3124</v>
      </c>
      <c r="E848" t="s">
        <v>3125</v>
      </c>
      <c r="F848" t="s">
        <v>3121</v>
      </c>
      <c r="G848" s="362" t="s">
        <v>3122</v>
      </c>
      <c r="H848">
        <v>2011</v>
      </c>
      <c r="I848">
        <v>1.6</v>
      </c>
      <c r="K848" t="s">
        <v>3123</v>
      </c>
      <c r="L848" t="s">
        <v>3126</v>
      </c>
      <c r="O848" s="363">
        <f t="shared" si="80"/>
        <v>1.6E-2</v>
      </c>
      <c r="T848">
        <v>1</v>
      </c>
      <c r="U848" t="s">
        <v>2868</v>
      </c>
      <c r="V848" t="s">
        <v>806</v>
      </c>
    </row>
    <row r="849" spans="1:22" x14ac:dyDescent="0.45">
      <c r="A849" t="s">
        <v>2850</v>
      </c>
      <c r="B849" t="s">
        <v>3124</v>
      </c>
      <c r="C849" t="str">
        <f t="shared" si="79"/>
        <v>VC36ET02</v>
      </c>
      <c r="E849" t="s">
        <v>3125</v>
      </c>
      <c r="F849" t="s">
        <v>3121</v>
      </c>
      <c r="G849" s="362" t="s">
        <v>3122</v>
      </c>
      <c r="H849">
        <v>2016</v>
      </c>
      <c r="I849">
        <v>10</v>
      </c>
      <c r="K849" t="s">
        <v>3123</v>
      </c>
      <c r="L849" t="s">
        <v>3126</v>
      </c>
      <c r="O849" s="363">
        <f t="shared" si="80"/>
        <v>0.1</v>
      </c>
      <c r="Q849" s="373">
        <f>(I849/I850)^(1/(H849-H850))</f>
        <v>0.85180272951111635</v>
      </c>
      <c r="T849">
        <v>1</v>
      </c>
      <c r="U849" t="s">
        <v>2869</v>
      </c>
      <c r="V849" t="s">
        <v>2946</v>
      </c>
    </row>
    <row r="850" spans="1:22" x14ac:dyDescent="0.45">
      <c r="A850" t="s">
        <v>2850</v>
      </c>
      <c r="B850" t="s">
        <v>3124</v>
      </c>
      <c r="E850" t="s">
        <v>3125</v>
      </c>
      <c r="F850" t="s">
        <v>3121</v>
      </c>
      <c r="G850" s="362" t="s">
        <v>3122</v>
      </c>
      <c r="H850">
        <v>2011</v>
      </c>
      <c r="I850">
        <v>22.3</v>
      </c>
      <c r="K850" t="s">
        <v>3123</v>
      </c>
      <c r="L850" t="s">
        <v>3126</v>
      </c>
      <c r="O850" s="363">
        <f t="shared" si="80"/>
        <v>0.223</v>
      </c>
      <c r="T850">
        <v>1</v>
      </c>
      <c r="U850" t="s">
        <v>2869</v>
      </c>
      <c r="V850" t="s">
        <v>2946</v>
      </c>
    </row>
    <row r="851" spans="1:22" x14ac:dyDescent="0.45">
      <c r="A851" t="s">
        <v>2850</v>
      </c>
      <c r="B851" t="s">
        <v>3124</v>
      </c>
      <c r="C851" t="str">
        <f t="shared" si="79"/>
        <v>VC36ET03</v>
      </c>
      <c r="E851" t="s">
        <v>3125</v>
      </c>
      <c r="F851" t="s">
        <v>3121</v>
      </c>
      <c r="G851" s="362" t="s">
        <v>3122</v>
      </c>
      <c r="H851">
        <v>2016</v>
      </c>
      <c r="I851">
        <v>0.7</v>
      </c>
      <c r="K851" t="s">
        <v>3123</v>
      </c>
      <c r="L851" t="s">
        <v>3126</v>
      </c>
      <c r="O851" s="363">
        <f t="shared" si="80"/>
        <v>6.9999999999999993E-3</v>
      </c>
      <c r="Q851" s="373">
        <f>(I851/I852)^(1/(H851-H852))</f>
        <v>0.78158705837046549</v>
      </c>
      <c r="T851">
        <v>1</v>
      </c>
      <c r="U851" t="s">
        <v>2871</v>
      </c>
      <c r="V851" t="s">
        <v>805</v>
      </c>
    </row>
    <row r="852" spans="1:22" x14ac:dyDescent="0.45">
      <c r="A852" t="s">
        <v>2850</v>
      </c>
      <c r="B852" t="s">
        <v>3124</v>
      </c>
      <c r="E852" t="s">
        <v>3125</v>
      </c>
      <c r="F852" t="s">
        <v>3121</v>
      </c>
      <c r="G852" s="362" t="s">
        <v>3122</v>
      </c>
      <c r="H852">
        <v>2011</v>
      </c>
      <c r="I852">
        <v>2.4</v>
      </c>
      <c r="K852" t="s">
        <v>3123</v>
      </c>
      <c r="L852" t="s">
        <v>3126</v>
      </c>
      <c r="O852" s="363">
        <f t="shared" si="80"/>
        <v>2.4E-2</v>
      </c>
      <c r="T852">
        <v>1</v>
      </c>
      <c r="U852" t="s">
        <v>2871</v>
      </c>
      <c r="V852" t="s">
        <v>805</v>
      </c>
    </row>
    <row r="853" spans="1:22" x14ac:dyDescent="0.45">
      <c r="A853" t="s">
        <v>2850</v>
      </c>
      <c r="B853" t="s">
        <v>3124</v>
      </c>
      <c r="C853" t="str">
        <f t="shared" si="79"/>
        <v>VC36ET04</v>
      </c>
      <c r="E853" t="s">
        <v>3125</v>
      </c>
      <c r="F853" t="s">
        <v>3121</v>
      </c>
      <c r="G853" s="362" t="s">
        <v>3122</v>
      </c>
      <c r="H853">
        <v>2016</v>
      </c>
      <c r="I853">
        <v>6.7</v>
      </c>
      <c r="K853" t="s">
        <v>3123</v>
      </c>
      <c r="L853" t="s">
        <v>3126</v>
      </c>
      <c r="O853" s="363">
        <f t="shared" si="80"/>
        <v>6.7000000000000004E-2</v>
      </c>
      <c r="Q853" s="373">
        <f>(I853/I854)^(1/(H853-H854))</f>
        <v>0.94268470047285413</v>
      </c>
      <c r="T853">
        <v>1</v>
      </c>
      <c r="U853" t="s">
        <v>2872</v>
      </c>
      <c r="V853" t="s">
        <v>809</v>
      </c>
    </row>
    <row r="854" spans="1:22" x14ac:dyDescent="0.45">
      <c r="A854" t="s">
        <v>2850</v>
      </c>
      <c r="B854" t="s">
        <v>3124</v>
      </c>
      <c r="E854" t="s">
        <v>3125</v>
      </c>
      <c r="F854" t="s">
        <v>3121</v>
      </c>
      <c r="G854" s="362" t="s">
        <v>3122</v>
      </c>
      <c r="H854">
        <v>2011</v>
      </c>
      <c r="I854">
        <v>9</v>
      </c>
      <c r="K854" t="s">
        <v>3123</v>
      </c>
      <c r="L854" t="s">
        <v>3126</v>
      </c>
      <c r="O854" s="363">
        <f t="shared" si="80"/>
        <v>0.09</v>
      </c>
      <c r="T854">
        <v>1</v>
      </c>
      <c r="U854" t="s">
        <v>2872</v>
      </c>
      <c r="V854" t="s">
        <v>809</v>
      </c>
    </row>
    <row r="855" spans="1:22" x14ac:dyDescent="0.45">
      <c r="A855" t="s">
        <v>2850</v>
      </c>
      <c r="B855" t="s">
        <v>3124</v>
      </c>
      <c r="C855" t="str">
        <f t="shared" si="79"/>
        <v>VC36ET05</v>
      </c>
      <c r="E855" t="s">
        <v>3125</v>
      </c>
      <c r="F855" t="s">
        <v>3121</v>
      </c>
      <c r="G855" s="362" t="s">
        <v>3122</v>
      </c>
      <c r="H855">
        <v>2016</v>
      </c>
      <c r="I855">
        <v>18.2</v>
      </c>
      <c r="K855" t="s">
        <v>3123</v>
      </c>
      <c r="L855" t="s">
        <v>3126</v>
      </c>
      <c r="O855" s="363">
        <f t="shared" si="80"/>
        <v>0.182</v>
      </c>
      <c r="Q855" s="373">
        <f>(I855/I856)^(1/(H855-H856))</f>
        <v>0.94538970591709703</v>
      </c>
      <c r="T855">
        <v>1</v>
      </c>
      <c r="U855" t="s">
        <v>2873</v>
      </c>
      <c r="V855" t="s">
        <v>2874</v>
      </c>
    </row>
    <row r="856" spans="1:22" x14ac:dyDescent="0.45">
      <c r="A856" t="s">
        <v>2850</v>
      </c>
      <c r="B856" t="s">
        <v>3124</v>
      </c>
      <c r="E856" t="s">
        <v>3125</v>
      </c>
      <c r="F856" t="s">
        <v>3121</v>
      </c>
      <c r="G856" s="362" t="s">
        <v>3122</v>
      </c>
      <c r="H856">
        <v>2011</v>
      </c>
      <c r="I856">
        <v>24.1</v>
      </c>
      <c r="K856" t="s">
        <v>3123</v>
      </c>
      <c r="L856" t="s">
        <v>3126</v>
      </c>
      <c r="O856" s="363">
        <f t="shared" si="80"/>
        <v>0.24100000000000002</v>
      </c>
      <c r="T856">
        <v>1</v>
      </c>
      <c r="U856" t="s">
        <v>2873</v>
      </c>
      <c r="V856" t="s">
        <v>2874</v>
      </c>
    </row>
    <row r="857" spans="1:22" x14ac:dyDescent="0.45">
      <c r="A857" t="s">
        <v>2850</v>
      </c>
      <c r="B857" t="s">
        <v>3124</v>
      </c>
      <c r="C857" t="str">
        <f t="shared" si="79"/>
        <v>VC36ET06</v>
      </c>
      <c r="E857" t="s">
        <v>3125</v>
      </c>
      <c r="F857" t="s">
        <v>3121</v>
      </c>
      <c r="G857" s="362" t="s">
        <v>3122</v>
      </c>
      <c r="H857">
        <v>2016</v>
      </c>
      <c r="I857">
        <v>12.8</v>
      </c>
      <c r="K857" t="s">
        <v>3123</v>
      </c>
      <c r="L857" t="s">
        <v>3126</v>
      </c>
      <c r="O857" s="363">
        <f t="shared" si="80"/>
        <v>0.128</v>
      </c>
      <c r="Q857" s="373">
        <f>(I857/I858)^(1/(H857-H858))</f>
        <v>1.046458378616733</v>
      </c>
      <c r="T857">
        <v>1</v>
      </c>
      <c r="U857" t="s">
        <v>2876</v>
      </c>
      <c r="V857" t="s">
        <v>2877</v>
      </c>
    </row>
    <row r="858" spans="1:22" x14ac:dyDescent="0.45">
      <c r="A858" t="s">
        <v>2850</v>
      </c>
      <c r="B858" t="s">
        <v>3124</v>
      </c>
      <c r="E858" t="s">
        <v>3125</v>
      </c>
      <c r="F858" t="s">
        <v>3121</v>
      </c>
      <c r="G858" s="362" t="s">
        <v>3122</v>
      </c>
      <c r="H858">
        <v>2011</v>
      </c>
      <c r="I858">
        <v>10.199999999999999</v>
      </c>
      <c r="K858" t="s">
        <v>3123</v>
      </c>
      <c r="L858" t="s">
        <v>3126</v>
      </c>
      <c r="O858" s="363">
        <f t="shared" si="80"/>
        <v>0.10199999999999999</v>
      </c>
      <c r="T858">
        <v>1</v>
      </c>
      <c r="U858" t="s">
        <v>2876</v>
      </c>
      <c r="V858" t="s">
        <v>2877</v>
      </c>
    </row>
    <row r="859" spans="1:22" x14ac:dyDescent="0.45">
      <c r="A859" t="s">
        <v>2850</v>
      </c>
      <c r="B859" t="s">
        <v>3124</v>
      </c>
      <c r="C859" t="str">
        <f t="shared" si="79"/>
        <v>VC36ET07</v>
      </c>
      <c r="E859" t="s">
        <v>3125</v>
      </c>
      <c r="F859" t="s">
        <v>3121</v>
      </c>
      <c r="G859" s="362" t="s">
        <v>3122</v>
      </c>
      <c r="H859">
        <v>2016</v>
      </c>
      <c r="I859">
        <v>2.7</v>
      </c>
      <c r="K859" t="s">
        <v>3123</v>
      </c>
      <c r="L859" t="s">
        <v>3126</v>
      </c>
      <c r="O859" s="363">
        <f t="shared" si="80"/>
        <v>2.7000000000000003E-2</v>
      </c>
      <c r="Q859" s="373">
        <f>(I859/I860)^(1/(H859-H860))</f>
        <v>0.86118762733689047</v>
      </c>
      <c r="T859">
        <v>1</v>
      </c>
      <c r="U859" t="s">
        <v>2878</v>
      </c>
      <c r="V859" t="s">
        <v>2879</v>
      </c>
    </row>
    <row r="860" spans="1:22" x14ac:dyDescent="0.45">
      <c r="A860" t="s">
        <v>2850</v>
      </c>
      <c r="B860" t="s">
        <v>3124</v>
      </c>
      <c r="E860" t="s">
        <v>3125</v>
      </c>
      <c r="F860" t="s">
        <v>3121</v>
      </c>
      <c r="G860" s="362" t="s">
        <v>3122</v>
      </c>
      <c r="H860">
        <v>2011</v>
      </c>
      <c r="I860">
        <v>5.7</v>
      </c>
      <c r="K860" t="s">
        <v>3123</v>
      </c>
      <c r="L860" t="s">
        <v>3126</v>
      </c>
      <c r="O860" s="363">
        <f t="shared" si="80"/>
        <v>5.7000000000000002E-2</v>
      </c>
      <c r="T860">
        <v>1</v>
      </c>
      <c r="U860" t="s">
        <v>2878</v>
      </c>
      <c r="V860" t="s">
        <v>2879</v>
      </c>
    </row>
    <row r="861" spans="1:22" x14ac:dyDescent="0.45">
      <c r="A861" t="s">
        <v>2850</v>
      </c>
      <c r="B861" t="s">
        <v>3124</v>
      </c>
      <c r="C861" t="str">
        <f t="shared" si="79"/>
        <v>VC36ET12</v>
      </c>
      <c r="E861" t="s">
        <v>3125</v>
      </c>
      <c r="F861" t="s">
        <v>3121</v>
      </c>
      <c r="G861" s="362" t="s">
        <v>3122</v>
      </c>
      <c r="H861">
        <v>2016</v>
      </c>
      <c r="I861">
        <v>10.8</v>
      </c>
      <c r="K861" t="s">
        <v>3123</v>
      </c>
      <c r="L861" t="s">
        <v>3126</v>
      </c>
      <c r="O861" s="363">
        <f t="shared" si="80"/>
        <v>0.10800000000000001</v>
      </c>
      <c r="Q861" s="373">
        <f>(I861/I862)^(1/(H861-H862))</f>
        <v>0.88405391544249468</v>
      </c>
      <c r="T861">
        <v>1</v>
      </c>
      <c r="U861" t="s">
        <v>2880</v>
      </c>
      <c r="V861" t="s">
        <v>2881</v>
      </c>
    </row>
    <row r="862" spans="1:22" x14ac:dyDescent="0.45">
      <c r="A862" t="s">
        <v>2850</v>
      </c>
      <c r="B862" t="s">
        <v>3124</v>
      </c>
      <c r="E862" t="s">
        <v>3125</v>
      </c>
      <c r="F862" t="s">
        <v>3121</v>
      </c>
      <c r="G862" s="362" t="s">
        <v>3122</v>
      </c>
      <c r="H862">
        <v>2011</v>
      </c>
      <c r="I862">
        <v>20</v>
      </c>
      <c r="K862" t="s">
        <v>3123</v>
      </c>
      <c r="L862" t="s">
        <v>3126</v>
      </c>
      <c r="O862" s="363">
        <f t="shared" si="80"/>
        <v>0.2</v>
      </c>
      <c r="T862">
        <v>1</v>
      </c>
      <c r="U862" t="s">
        <v>2880</v>
      </c>
      <c r="V862" t="s">
        <v>2881</v>
      </c>
    </row>
    <row r="863" spans="1:22" x14ac:dyDescent="0.45">
      <c r="A863" t="s">
        <v>2850</v>
      </c>
      <c r="B863" t="s">
        <v>3124</v>
      </c>
      <c r="C863" t="str">
        <f t="shared" si="79"/>
        <v>VC36ET13</v>
      </c>
      <c r="E863" t="s">
        <v>3125</v>
      </c>
      <c r="F863" t="s">
        <v>3121</v>
      </c>
      <c r="G863" s="362" t="s">
        <v>3122</v>
      </c>
      <c r="H863">
        <v>2016</v>
      </c>
      <c r="I863">
        <v>15.5</v>
      </c>
      <c r="K863" t="s">
        <v>3123</v>
      </c>
      <c r="L863" t="s">
        <v>3126</v>
      </c>
      <c r="O863" s="363">
        <f t="shared" si="80"/>
        <v>0.155</v>
      </c>
      <c r="Q863" s="373">
        <f>(I863/I864)^(1/(H863-H864))</f>
        <v>0.88531407257085371</v>
      </c>
      <c r="T863">
        <v>1</v>
      </c>
      <c r="U863" t="s">
        <v>2882</v>
      </c>
      <c r="V863" t="s">
        <v>2883</v>
      </c>
    </row>
    <row r="864" spans="1:22" x14ac:dyDescent="0.45">
      <c r="A864" t="s">
        <v>2850</v>
      </c>
      <c r="B864" t="s">
        <v>3124</v>
      </c>
      <c r="E864" t="s">
        <v>3125</v>
      </c>
      <c r="F864" t="s">
        <v>3121</v>
      </c>
      <c r="G864" s="362" t="s">
        <v>3122</v>
      </c>
      <c r="H864">
        <v>2011</v>
      </c>
      <c r="I864">
        <v>28.5</v>
      </c>
      <c r="K864" t="s">
        <v>3123</v>
      </c>
      <c r="L864" t="s">
        <v>3126</v>
      </c>
      <c r="O864" s="363">
        <f t="shared" si="80"/>
        <v>0.28499999999999998</v>
      </c>
      <c r="T864">
        <v>1</v>
      </c>
      <c r="U864" t="s">
        <v>2882</v>
      </c>
      <c r="V864" t="s">
        <v>2883</v>
      </c>
    </row>
    <row r="865" spans="1:22" x14ac:dyDescent="0.45">
      <c r="A865" t="s">
        <v>2850</v>
      </c>
      <c r="B865" t="s">
        <v>3124</v>
      </c>
      <c r="C865" t="str">
        <f t="shared" si="79"/>
        <v>VC36ET14</v>
      </c>
      <c r="E865" t="s">
        <v>3125</v>
      </c>
      <c r="F865" t="s">
        <v>3121</v>
      </c>
      <c r="G865" s="362" t="s">
        <v>3122</v>
      </c>
      <c r="H865">
        <v>2016</v>
      </c>
      <c r="I865">
        <v>6.3</v>
      </c>
      <c r="K865" t="s">
        <v>3123</v>
      </c>
      <c r="L865" t="s">
        <v>3126</v>
      </c>
      <c r="O865" s="363">
        <f t="shared" si="80"/>
        <v>6.3E-2</v>
      </c>
      <c r="Q865" s="373">
        <f>(I865/I866)^(1/(H865-H866))</f>
        <v>0.95097939279558963</v>
      </c>
      <c r="T865">
        <v>1</v>
      </c>
      <c r="U865" t="s">
        <v>2884</v>
      </c>
      <c r="V865" t="s">
        <v>814</v>
      </c>
    </row>
    <row r="866" spans="1:22" x14ac:dyDescent="0.45">
      <c r="A866" t="s">
        <v>2850</v>
      </c>
      <c r="B866" t="s">
        <v>3124</v>
      </c>
      <c r="E866" t="s">
        <v>3125</v>
      </c>
      <c r="F866" t="s">
        <v>3121</v>
      </c>
      <c r="G866" s="362" t="s">
        <v>3122</v>
      </c>
      <c r="H866">
        <v>2011</v>
      </c>
      <c r="I866">
        <v>8.1</v>
      </c>
      <c r="K866" t="s">
        <v>3123</v>
      </c>
      <c r="L866" t="s">
        <v>3126</v>
      </c>
      <c r="O866" s="363">
        <f t="shared" si="80"/>
        <v>8.1000000000000003E-2</v>
      </c>
      <c r="T866">
        <v>1</v>
      </c>
      <c r="U866" t="s">
        <v>2884</v>
      </c>
      <c r="V866" t="s">
        <v>814</v>
      </c>
    </row>
    <row r="867" spans="1:22" x14ac:dyDescent="0.45">
      <c r="A867" t="s">
        <v>2850</v>
      </c>
      <c r="B867" t="s">
        <v>3124</v>
      </c>
      <c r="C867" t="str">
        <f t="shared" si="79"/>
        <v>VC36ET15</v>
      </c>
      <c r="E867" t="s">
        <v>3125</v>
      </c>
      <c r="F867" t="s">
        <v>3121</v>
      </c>
      <c r="G867" s="362" t="s">
        <v>3122</v>
      </c>
      <c r="H867">
        <v>2016</v>
      </c>
      <c r="I867">
        <v>15.2</v>
      </c>
      <c r="K867" t="s">
        <v>3123</v>
      </c>
      <c r="L867" t="s">
        <v>3126</v>
      </c>
      <c r="O867" s="363">
        <f t="shared" si="80"/>
        <v>0.152</v>
      </c>
      <c r="Q867" s="373">
        <f>(I867/I868)^(1/(H867-H868))</f>
        <v>0.90169711782321127</v>
      </c>
      <c r="T867">
        <v>1</v>
      </c>
      <c r="U867" t="s">
        <v>2885</v>
      </c>
      <c r="V867" t="s">
        <v>2886</v>
      </c>
    </row>
    <row r="868" spans="1:22" x14ac:dyDescent="0.45">
      <c r="A868" t="s">
        <v>2850</v>
      </c>
      <c r="B868" t="s">
        <v>3124</v>
      </c>
      <c r="E868" t="s">
        <v>3125</v>
      </c>
      <c r="F868" t="s">
        <v>3121</v>
      </c>
      <c r="G868" s="362" t="s">
        <v>3122</v>
      </c>
      <c r="H868">
        <v>2011</v>
      </c>
      <c r="I868">
        <v>25.5</v>
      </c>
      <c r="K868" t="s">
        <v>3123</v>
      </c>
      <c r="L868" t="s">
        <v>3126</v>
      </c>
      <c r="O868" s="363">
        <f t="shared" si="80"/>
        <v>0.255</v>
      </c>
      <c r="T868">
        <v>1</v>
      </c>
      <c r="U868" t="s">
        <v>2885</v>
      </c>
      <c r="V868" t="s">
        <v>2886</v>
      </c>
    </row>
    <row r="869" spans="1:22" s="369" customFormat="1" x14ac:dyDescent="0.45">
      <c r="A869" s="369" t="s">
        <v>3127</v>
      </c>
      <c r="B869" s="369" t="s">
        <v>3128</v>
      </c>
      <c r="C869" s="369" t="str">
        <f t="shared" si="79"/>
        <v>VC37aET</v>
      </c>
      <c r="D869" s="369" t="s">
        <v>2716</v>
      </c>
      <c r="F869" s="369" t="s">
        <v>3121</v>
      </c>
      <c r="G869" s="370"/>
      <c r="H869" s="369" t="s">
        <v>3129</v>
      </c>
      <c r="I869" s="369">
        <v>8.6999999999999993</v>
      </c>
      <c r="K869" s="369" t="s">
        <v>475</v>
      </c>
      <c r="L869" s="369" t="s">
        <v>2909</v>
      </c>
      <c r="O869" s="369">
        <f>(I869/100)*(1-I881/100)</f>
        <v>8.2649999999999987E-2</v>
      </c>
      <c r="Q869" s="377"/>
      <c r="T869" s="369">
        <v>0</v>
      </c>
      <c r="U869" s="369" t="s">
        <v>2849</v>
      </c>
      <c r="V869" s="369" t="s">
        <v>594</v>
      </c>
    </row>
    <row r="870" spans="1:22" x14ac:dyDescent="0.45">
      <c r="A870" t="s">
        <v>3130</v>
      </c>
      <c r="F870" t="s">
        <v>3121</v>
      </c>
      <c r="H870">
        <v>2018</v>
      </c>
      <c r="I870">
        <v>4.9000000000000004</v>
      </c>
      <c r="L870" t="s">
        <v>1863</v>
      </c>
      <c r="Q870" s="376"/>
      <c r="T870">
        <v>3</v>
      </c>
      <c r="U870" t="s">
        <v>3131</v>
      </c>
      <c r="V870" t="s">
        <v>3132</v>
      </c>
    </row>
    <row r="871" spans="1:22" x14ac:dyDescent="0.45">
      <c r="A871" t="s">
        <v>3130</v>
      </c>
      <c r="F871" t="s">
        <v>3121</v>
      </c>
      <c r="H871">
        <v>2018</v>
      </c>
      <c r="I871">
        <v>3.51</v>
      </c>
      <c r="L871" t="s">
        <v>1863</v>
      </c>
      <c r="Q871" s="376"/>
      <c r="U871" t="s">
        <v>3133</v>
      </c>
      <c r="V871" t="s">
        <v>3134</v>
      </c>
    </row>
    <row r="872" spans="1:22" x14ac:dyDescent="0.45">
      <c r="A872" t="s">
        <v>3130</v>
      </c>
      <c r="F872" t="s">
        <v>3121</v>
      </c>
      <c r="H872">
        <v>2018</v>
      </c>
      <c r="I872">
        <v>6.24</v>
      </c>
      <c r="L872" t="s">
        <v>1863</v>
      </c>
      <c r="Q872" s="376"/>
      <c r="U872" t="s">
        <v>3135</v>
      </c>
      <c r="V872" t="s">
        <v>3136</v>
      </c>
    </row>
    <row r="873" spans="1:22" x14ac:dyDescent="0.45">
      <c r="A873" t="s">
        <v>3137</v>
      </c>
      <c r="F873" t="s">
        <v>3121</v>
      </c>
      <c r="G873" s="362" t="s">
        <v>3138</v>
      </c>
      <c r="H873">
        <v>2009</v>
      </c>
      <c r="I873">
        <v>1.5</v>
      </c>
      <c r="J873" t="s">
        <v>3139</v>
      </c>
      <c r="L873" t="s">
        <v>1863</v>
      </c>
      <c r="Q873" s="376"/>
      <c r="T873">
        <v>0</v>
      </c>
      <c r="U873" t="s">
        <v>2849</v>
      </c>
      <c r="V873" t="s">
        <v>594</v>
      </c>
    </row>
    <row r="874" spans="1:22" x14ac:dyDescent="0.45">
      <c r="A874" t="s">
        <v>3137</v>
      </c>
      <c r="F874" t="s">
        <v>3121</v>
      </c>
      <c r="G874" s="362" t="s">
        <v>3138</v>
      </c>
      <c r="H874">
        <v>2009</v>
      </c>
      <c r="I874">
        <v>3.2</v>
      </c>
      <c r="J874" t="s">
        <v>3140</v>
      </c>
      <c r="L874" t="s">
        <v>1863</v>
      </c>
      <c r="Q874" s="376"/>
      <c r="T874">
        <v>0.5</v>
      </c>
      <c r="U874" t="s">
        <v>2867</v>
      </c>
      <c r="V874" t="s">
        <v>336</v>
      </c>
    </row>
    <row r="875" spans="1:22" x14ac:dyDescent="0.45">
      <c r="A875" t="s">
        <v>3137</v>
      </c>
      <c r="F875" t="s">
        <v>3121</v>
      </c>
      <c r="G875" s="362" t="s">
        <v>3138</v>
      </c>
      <c r="H875">
        <v>2009</v>
      </c>
      <c r="I875">
        <v>0.9</v>
      </c>
      <c r="J875" t="s">
        <v>3141</v>
      </c>
      <c r="L875" t="s">
        <v>1863</v>
      </c>
      <c r="Q875" s="376"/>
      <c r="T875">
        <v>0.5</v>
      </c>
      <c r="U875" t="s">
        <v>2866</v>
      </c>
      <c r="V875" t="s">
        <v>84</v>
      </c>
    </row>
    <row r="876" spans="1:22" x14ac:dyDescent="0.45">
      <c r="A876" t="s">
        <v>3137</v>
      </c>
      <c r="F876" t="s">
        <v>3121</v>
      </c>
      <c r="G876" s="362" t="s">
        <v>3113</v>
      </c>
      <c r="H876">
        <v>2009</v>
      </c>
      <c r="I876">
        <v>0.7</v>
      </c>
      <c r="L876" t="s">
        <v>1863</v>
      </c>
      <c r="Q876" s="378">
        <v>1</v>
      </c>
      <c r="R876" t="s">
        <v>3114</v>
      </c>
    </row>
    <row r="877" spans="1:22" x14ac:dyDescent="0.45">
      <c r="A877" t="s">
        <v>3137</v>
      </c>
      <c r="F877" t="s">
        <v>3121</v>
      </c>
      <c r="G877" s="362" t="s">
        <v>3115</v>
      </c>
      <c r="H877">
        <v>2009</v>
      </c>
      <c r="I877">
        <v>0.3</v>
      </c>
      <c r="L877" t="s">
        <v>1863</v>
      </c>
      <c r="Q877" s="378">
        <v>1</v>
      </c>
      <c r="R877" t="s">
        <v>3114</v>
      </c>
    </row>
    <row r="878" spans="1:22" x14ac:dyDescent="0.45">
      <c r="A878" t="s">
        <v>3137</v>
      </c>
      <c r="F878" t="s">
        <v>3121</v>
      </c>
      <c r="G878" s="362" t="s">
        <v>3116</v>
      </c>
      <c r="H878">
        <v>2009</v>
      </c>
      <c r="I878">
        <v>1.9</v>
      </c>
      <c r="L878" t="s">
        <v>1863</v>
      </c>
      <c r="Q878" s="378">
        <v>1</v>
      </c>
      <c r="R878" t="s">
        <v>3114</v>
      </c>
    </row>
    <row r="879" spans="1:22" x14ac:dyDescent="0.45">
      <c r="A879" t="s">
        <v>3137</v>
      </c>
      <c r="F879" t="s">
        <v>3121</v>
      </c>
      <c r="G879" s="362" t="s">
        <v>3117</v>
      </c>
      <c r="H879">
        <v>2009</v>
      </c>
      <c r="I879">
        <v>1.6</v>
      </c>
      <c r="L879" t="s">
        <v>1863</v>
      </c>
      <c r="Q879" s="378">
        <v>1</v>
      </c>
      <c r="R879" t="s">
        <v>3114</v>
      </c>
    </row>
    <row r="880" spans="1:22" x14ac:dyDescent="0.45">
      <c r="A880" t="s">
        <v>3137</v>
      </c>
      <c r="F880" t="s">
        <v>3121</v>
      </c>
      <c r="G880" s="362" t="s">
        <v>3118</v>
      </c>
      <c r="H880">
        <v>2009</v>
      </c>
      <c r="I880">
        <v>2.6</v>
      </c>
      <c r="L880" t="s">
        <v>1863</v>
      </c>
      <c r="Q880" s="378">
        <v>1</v>
      </c>
      <c r="R880" t="s">
        <v>3114</v>
      </c>
    </row>
    <row r="881" spans="1:22" x14ac:dyDescent="0.45">
      <c r="A881" t="s">
        <v>3142</v>
      </c>
      <c r="B881" t="s">
        <v>3143</v>
      </c>
      <c r="C881" t="str">
        <f t="shared" ref="C881" si="81">_xlfn.CONCAT(B881,U881)</f>
        <v>VC37bET</v>
      </c>
      <c r="D881" t="s">
        <v>2717</v>
      </c>
      <c r="E881" t="s">
        <v>3144</v>
      </c>
      <c r="F881" t="s">
        <v>3121</v>
      </c>
      <c r="H881">
        <v>2015</v>
      </c>
      <c r="I881">
        <v>5</v>
      </c>
      <c r="K881" t="s">
        <v>3145</v>
      </c>
      <c r="L881" t="s">
        <v>1863</v>
      </c>
      <c r="O881">
        <f>(I869/100)*(I881/100)</f>
        <v>4.3499999999999997E-3</v>
      </c>
      <c r="Q881" s="373"/>
      <c r="T881">
        <v>0</v>
      </c>
      <c r="U881" t="s">
        <v>2849</v>
      </c>
      <c r="V881" t="s">
        <v>594</v>
      </c>
    </row>
    <row r="882" spans="1:22" s="58" customFormat="1" x14ac:dyDescent="0.45">
      <c r="A882" s="58" t="s">
        <v>3146</v>
      </c>
      <c r="D882" s="58" t="s">
        <v>2707</v>
      </c>
      <c r="E882" s="58" t="s">
        <v>3148</v>
      </c>
      <c r="F882" s="58" t="s">
        <v>2386</v>
      </c>
      <c r="G882" s="394" t="s">
        <v>212</v>
      </c>
      <c r="H882" s="58">
        <v>2020</v>
      </c>
      <c r="I882" s="395">
        <v>45.1</v>
      </c>
      <c r="J882" s="135" t="s">
        <v>3149</v>
      </c>
      <c r="K882" s="58" t="s">
        <v>3150</v>
      </c>
      <c r="L882" s="58" t="s">
        <v>2953</v>
      </c>
      <c r="O882" s="396">
        <f>I882/100000</f>
        <v>4.5100000000000001E-4</v>
      </c>
      <c r="Q882" s="398"/>
      <c r="T882" s="58">
        <v>0</v>
      </c>
      <c r="U882" s="58" t="s">
        <v>2849</v>
      </c>
      <c r="V882" s="58" t="s">
        <v>594</v>
      </c>
    </row>
    <row r="883" spans="1:22" s="58" customFormat="1" x14ac:dyDescent="0.45">
      <c r="A883" s="58" t="s">
        <v>3146</v>
      </c>
      <c r="E883" s="58" t="s">
        <v>3151</v>
      </c>
      <c r="F883" s="58" t="s">
        <v>2386</v>
      </c>
      <c r="G883" s="394" t="s">
        <v>3152</v>
      </c>
      <c r="H883" s="58">
        <v>2020</v>
      </c>
      <c r="I883" s="395">
        <v>32.9</v>
      </c>
      <c r="J883" s="135" t="s">
        <v>3153</v>
      </c>
      <c r="K883" s="58" t="s">
        <v>3150</v>
      </c>
      <c r="L883" s="58" t="s">
        <v>2953</v>
      </c>
      <c r="O883" s="396">
        <f>I883/100000</f>
        <v>3.2899999999999997E-4</v>
      </c>
      <c r="Q883" s="397"/>
      <c r="T883" s="58">
        <v>0</v>
      </c>
      <c r="U883" s="58" t="s">
        <v>2849</v>
      </c>
      <c r="V883" s="58" t="s">
        <v>594</v>
      </c>
    </row>
    <row r="884" spans="1:22" s="58" customFormat="1" x14ac:dyDescent="0.45">
      <c r="A884" s="58" t="s">
        <v>3146</v>
      </c>
      <c r="E884" s="58" t="s">
        <v>3155</v>
      </c>
      <c r="F884" s="58" t="s">
        <v>2386</v>
      </c>
      <c r="G884" s="394" t="s">
        <v>3156</v>
      </c>
      <c r="H884" s="58">
        <v>2020</v>
      </c>
      <c r="I884" s="395">
        <v>57.4</v>
      </c>
      <c r="J884" s="135" t="s">
        <v>3157</v>
      </c>
      <c r="K884" s="58" t="s">
        <v>3150</v>
      </c>
      <c r="L884" s="58" t="s">
        <v>2953</v>
      </c>
      <c r="O884" s="396">
        <f t="shared" ref="O884:O897" si="82">I884/100000</f>
        <v>5.7399999999999997E-4</v>
      </c>
      <c r="Q884" s="397"/>
      <c r="T884" s="58">
        <v>0</v>
      </c>
      <c r="U884" s="58" t="s">
        <v>2849</v>
      </c>
      <c r="V884" s="58" t="s">
        <v>594</v>
      </c>
    </row>
    <row r="885" spans="1:22" s="58" customFormat="1" x14ac:dyDescent="0.45">
      <c r="A885" s="58" t="s">
        <v>3146</v>
      </c>
      <c r="E885" s="58" t="s">
        <v>3151</v>
      </c>
      <c r="F885" s="58" t="s">
        <v>2386</v>
      </c>
      <c r="G885" s="394" t="s">
        <v>3154</v>
      </c>
      <c r="H885" s="58">
        <v>2020</v>
      </c>
      <c r="I885" s="395">
        <v>7.2</v>
      </c>
      <c r="J885" s="135"/>
      <c r="K885" s="58" t="s">
        <v>3150</v>
      </c>
      <c r="L885" s="58" t="s">
        <v>2953</v>
      </c>
      <c r="O885" s="396">
        <f t="shared" si="82"/>
        <v>7.2000000000000002E-5</v>
      </c>
      <c r="Q885" s="397">
        <v>1</v>
      </c>
      <c r="T885" s="58">
        <v>0</v>
      </c>
      <c r="U885" s="58" t="s">
        <v>2849</v>
      </c>
      <c r="V885" s="58" t="s">
        <v>594</v>
      </c>
    </row>
    <row r="886" spans="1:22" s="58" customFormat="1" x14ac:dyDescent="0.45">
      <c r="A886" s="58" t="s">
        <v>3146</v>
      </c>
      <c r="E886" s="58" t="s">
        <v>3155</v>
      </c>
      <c r="F886" s="58" t="s">
        <v>2386</v>
      </c>
      <c r="G886" s="394" t="s">
        <v>3158</v>
      </c>
      <c r="H886" s="58">
        <v>2020</v>
      </c>
      <c r="I886" s="395">
        <v>5.6</v>
      </c>
      <c r="J886" s="135"/>
      <c r="K886" s="58" t="s">
        <v>3150</v>
      </c>
      <c r="L886" s="58" t="s">
        <v>2953</v>
      </c>
      <c r="O886" s="396">
        <f>I886/100000</f>
        <v>5.5999999999999999E-5</v>
      </c>
      <c r="Q886" s="397">
        <v>1</v>
      </c>
      <c r="T886" s="58">
        <v>0</v>
      </c>
      <c r="U886" s="58" t="s">
        <v>2849</v>
      </c>
      <c r="V886" s="58" t="s">
        <v>594</v>
      </c>
    </row>
    <row r="887" spans="1:22" s="58" customFormat="1" x14ac:dyDescent="0.45">
      <c r="A887" s="58" t="s">
        <v>3146</v>
      </c>
      <c r="B887" s="58" t="s">
        <v>3422</v>
      </c>
      <c r="C887" s="58" t="str">
        <f t="shared" ref="C887:C897" si="83">_xlfn.CONCAT(B887,U887)</f>
        <v>VC33aET</v>
      </c>
      <c r="E887" s="58" t="s">
        <v>3151</v>
      </c>
      <c r="F887" s="58" t="s">
        <v>2386</v>
      </c>
      <c r="G887" s="394" t="s">
        <v>3434</v>
      </c>
      <c r="H887" s="58">
        <v>2020</v>
      </c>
      <c r="I887" s="395">
        <v>10.9</v>
      </c>
      <c r="J887" s="135"/>
      <c r="K887" s="58" t="s">
        <v>3150</v>
      </c>
      <c r="L887" s="58" t="s">
        <v>2953</v>
      </c>
      <c r="O887" s="396">
        <f t="shared" si="82"/>
        <v>1.0900000000000001E-4</v>
      </c>
      <c r="Q887" s="397">
        <v>1</v>
      </c>
      <c r="T887" s="58">
        <v>0</v>
      </c>
      <c r="U887" s="58" t="s">
        <v>2849</v>
      </c>
      <c r="V887" s="58" t="s">
        <v>594</v>
      </c>
    </row>
    <row r="888" spans="1:22" s="58" customFormat="1" x14ac:dyDescent="0.45">
      <c r="A888" s="58" t="s">
        <v>3146</v>
      </c>
      <c r="B888" s="58" t="s">
        <v>3423</v>
      </c>
      <c r="C888" s="58" t="str">
        <f t="shared" si="83"/>
        <v>VC33bET</v>
      </c>
      <c r="E888" s="58" t="s">
        <v>3151</v>
      </c>
      <c r="F888" s="58" t="s">
        <v>2386</v>
      </c>
      <c r="G888" s="394" t="s">
        <v>3435</v>
      </c>
      <c r="H888" s="58">
        <v>2020</v>
      </c>
      <c r="I888" s="395">
        <v>18.100000000000001</v>
      </c>
      <c r="J888" s="135"/>
      <c r="K888" s="58" t="s">
        <v>3150</v>
      </c>
      <c r="L888" s="58" t="s">
        <v>2953</v>
      </c>
      <c r="O888" s="396">
        <f t="shared" si="82"/>
        <v>1.8100000000000001E-4</v>
      </c>
      <c r="Q888" s="397">
        <v>1</v>
      </c>
      <c r="T888" s="58">
        <v>0</v>
      </c>
      <c r="U888" s="58" t="s">
        <v>2849</v>
      </c>
      <c r="V888" s="58" t="s">
        <v>594</v>
      </c>
    </row>
    <row r="889" spans="1:22" s="58" customFormat="1" x14ac:dyDescent="0.45">
      <c r="A889" s="58" t="s">
        <v>3146</v>
      </c>
      <c r="B889" s="58" t="s">
        <v>3424</v>
      </c>
      <c r="C889" s="58" t="str">
        <f t="shared" si="83"/>
        <v>VC33cET</v>
      </c>
      <c r="E889" s="58" t="s">
        <v>3151</v>
      </c>
      <c r="F889" s="58" t="s">
        <v>2386</v>
      </c>
      <c r="G889" s="394" t="s">
        <v>3436</v>
      </c>
      <c r="H889" s="58">
        <v>2020</v>
      </c>
      <c r="I889" s="395">
        <v>42.7</v>
      </c>
      <c r="J889" s="135"/>
      <c r="K889" s="58" t="s">
        <v>3150</v>
      </c>
      <c r="L889" s="58" t="s">
        <v>2953</v>
      </c>
      <c r="O889" s="396">
        <f t="shared" si="82"/>
        <v>4.2700000000000002E-4</v>
      </c>
      <c r="Q889" s="397">
        <v>1</v>
      </c>
      <c r="T889" s="58">
        <v>0</v>
      </c>
      <c r="U889" s="58" t="s">
        <v>2849</v>
      </c>
      <c r="V889" s="58" t="s">
        <v>594</v>
      </c>
    </row>
    <row r="890" spans="1:22" s="58" customFormat="1" x14ac:dyDescent="0.45">
      <c r="A890" s="58" t="s">
        <v>3146</v>
      </c>
      <c r="B890" s="58" t="s">
        <v>3425</v>
      </c>
      <c r="C890" s="58" t="str">
        <f t="shared" si="83"/>
        <v>VC33dET</v>
      </c>
      <c r="E890" s="58" t="s">
        <v>3151</v>
      </c>
      <c r="F890" s="58" t="s">
        <v>2386</v>
      </c>
      <c r="G890" s="394" t="s">
        <v>3437</v>
      </c>
      <c r="H890" s="58">
        <v>2020</v>
      </c>
      <c r="I890" s="395">
        <v>112</v>
      </c>
      <c r="J890" s="135"/>
      <c r="K890" s="58" t="s">
        <v>3150</v>
      </c>
      <c r="L890" s="58" t="s">
        <v>2953</v>
      </c>
      <c r="O890" s="396">
        <f t="shared" si="82"/>
        <v>1.1199999999999999E-3</v>
      </c>
      <c r="Q890" s="397">
        <v>1</v>
      </c>
      <c r="T890" s="58">
        <v>0</v>
      </c>
      <c r="U890" s="58" t="s">
        <v>2849</v>
      </c>
      <c r="V890" s="58" t="s">
        <v>594</v>
      </c>
    </row>
    <row r="891" spans="1:22" s="58" customFormat="1" x14ac:dyDescent="0.45">
      <c r="A891" s="58" t="s">
        <v>3146</v>
      </c>
      <c r="B891" s="58" t="s">
        <v>3426</v>
      </c>
      <c r="C891" s="58" t="str">
        <f t="shared" si="83"/>
        <v>VC33eET</v>
      </c>
      <c r="E891" s="58" t="s">
        <v>3151</v>
      </c>
      <c r="F891" s="58" t="s">
        <v>2386</v>
      </c>
      <c r="G891" s="394" t="s">
        <v>3438</v>
      </c>
      <c r="H891" s="58">
        <v>2020</v>
      </c>
      <c r="I891" s="395">
        <v>247</v>
      </c>
      <c r="J891" s="135"/>
      <c r="K891" s="58" t="s">
        <v>3150</v>
      </c>
      <c r="L891" s="58" t="s">
        <v>2953</v>
      </c>
      <c r="O891" s="396">
        <f t="shared" si="82"/>
        <v>2.47E-3</v>
      </c>
      <c r="Q891" s="397">
        <v>1</v>
      </c>
      <c r="T891" s="58">
        <v>0</v>
      </c>
      <c r="U891" s="58" t="s">
        <v>2849</v>
      </c>
      <c r="V891" s="58" t="s">
        <v>594</v>
      </c>
    </row>
    <row r="892" spans="1:22" s="58" customFormat="1" x14ac:dyDescent="0.45">
      <c r="A892" s="58" t="s">
        <v>3146</v>
      </c>
      <c r="B892" s="58" t="s">
        <v>3427</v>
      </c>
      <c r="C892" s="58" t="str">
        <f t="shared" si="83"/>
        <v>VC33fET</v>
      </c>
      <c r="E892" s="58" t="s">
        <v>3155</v>
      </c>
      <c r="F892" s="58" t="s">
        <v>2386</v>
      </c>
      <c r="G892" s="394" t="s">
        <v>3439</v>
      </c>
      <c r="H892" s="58">
        <v>2020</v>
      </c>
      <c r="I892" s="395">
        <v>17</v>
      </c>
      <c r="J892" s="135"/>
      <c r="K892" s="58" t="s">
        <v>3150</v>
      </c>
      <c r="L892" s="58" t="s">
        <v>2953</v>
      </c>
      <c r="O892" s="396">
        <f t="shared" si="82"/>
        <v>1.7000000000000001E-4</v>
      </c>
      <c r="Q892" s="397">
        <v>1</v>
      </c>
      <c r="T892" s="58">
        <v>0</v>
      </c>
      <c r="U892" s="58" t="s">
        <v>2849</v>
      </c>
      <c r="V892" s="58" t="s">
        <v>594</v>
      </c>
    </row>
    <row r="893" spans="1:22" s="58" customFormat="1" x14ac:dyDescent="0.45">
      <c r="A893" s="58" t="s">
        <v>3146</v>
      </c>
      <c r="B893" s="58" t="s">
        <v>3428</v>
      </c>
      <c r="C893" s="58" t="str">
        <f t="shared" si="83"/>
        <v>VC33gET</v>
      </c>
      <c r="E893" s="58" t="s">
        <v>3155</v>
      </c>
      <c r="F893" s="58" t="s">
        <v>2386</v>
      </c>
      <c r="G893" s="394" t="s">
        <v>3440</v>
      </c>
      <c r="H893" s="58">
        <v>2020</v>
      </c>
      <c r="I893" s="395">
        <v>50.6</v>
      </c>
      <c r="J893" s="135"/>
      <c r="K893" s="58" t="s">
        <v>3150</v>
      </c>
      <c r="L893" s="58" t="s">
        <v>2953</v>
      </c>
      <c r="O893" s="396">
        <f t="shared" si="82"/>
        <v>5.0600000000000005E-4</v>
      </c>
      <c r="Q893" s="397">
        <v>1</v>
      </c>
      <c r="T893" s="58">
        <v>0</v>
      </c>
      <c r="U893" s="58" t="s">
        <v>2849</v>
      </c>
      <c r="V893" s="58" t="s">
        <v>594</v>
      </c>
    </row>
    <row r="894" spans="1:22" s="58" customFormat="1" x14ac:dyDescent="0.45">
      <c r="A894" s="58" t="s">
        <v>3146</v>
      </c>
      <c r="B894" s="58" t="s">
        <v>3429</v>
      </c>
      <c r="C894" s="58" t="str">
        <f t="shared" si="83"/>
        <v>VC33hET</v>
      </c>
      <c r="E894" s="58" t="s">
        <v>3155</v>
      </c>
      <c r="F894" s="58" t="s">
        <v>2386</v>
      </c>
      <c r="G894" s="394" t="s">
        <v>3441</v>
      </c>
      <c r="H894" s="58">
        <v>2020</v>
      </c>
      <c r="I894" s="395">
        <v>128.6</v>
      </c>
      <c r="J894" s="135"/>
      <c r="K894" s="58" t="s">
        <v>3150</v>
      </c>
      <c r="L894" s="58" t="s">
        <v>2953</v>
      </c>
      <c r="O894" s="396">
        <f t="shared" si="82"/>
        <v>1.286E-3</v>
      </c>
      <c r="Q894" s="397">
        <v>1</v>
      </c>
      <c r="T894" s="58">
        <v>0</v>
      </c>
      <c r="U894" s="58" t="s">
        <v>2849</v>
      </c>
      <c r="V894" s="58" t="s">
        <v>594</v>
      </c>
    </row>
    <row r="895" spans="1:22" s="58" customFormat="1" x14ac:dyDescent="0.45">
      <c r="A895" s="58" t="s">
        <v>3146</v>
      </c>
      <c r="B895" s="58" t="s">
        <v>3430</v>
      </c>
      <c r="C895" s="58" t="str">
        <f t="shared" si="83"/>
        <v>VC33iET</v>
      </c>
      <c r="E895" s="58" t="s">
        <v>3155</v>
      </c>
      <c r="F895" s="58" t="s">
        <v>2386</v>
      </c>
      <c r="G895" s="394" t="s">
        <v>3442</v>
      </c>
      <c r="H895" s="58">
        <v>2020</v>
      </c>
      <c r="I895" s="395">
        <v>255</v>
      </c>
      <c r="J895" s="135"/>
      <c r="K895" s="58" t="s">
        <v>3150</v>
      </c>
      <c r="L895" s="58" t="s">
        <v>2953</v>
      </c>
      <c r="O895" s="396">
        <f t="shared" si="82"/>
        <v>2.5500000000000002E-3</v>
      </c>
      <c r="Q895" s="397">
        <v>1</v>
      </c>
      <c r="T895" s="58">
        <v>0</v>
      </c>
      <c r="U895" s="58" t="s">
        <v>2849</v>
      </c>
      <c r="V895" s="58" t="s">
        <v>594</v>
      </c>
    </row>
    <row r="896" spans="1:22" s="58" customFormat="1" x14ac:dyDescent="0.45">
      <c r="A896" s="58" t="s">
        <v>3146</v>
      </c>
      <c r="B896" s="58" t="s">
        <v>3431</v>
      </c>
      <c r="C896" s="58" t="str">
        <f t="shared" si="83"/>
        <v>VC33jET</v>
      </c>
      <c r="E896" s="58" t="s">
        <v>3155</v>
      </c>
      <c r="F896" s="58" t="s">
        <v>2386</v>
      </c>
      <c r="G896" s="394" t="s">
        <v>3443</v>
      </c>
      <c r="H896" s="58">
        <v>2020</v>
      </c>
      <c r="I896" s="395">
        <v>358.1</v>
      </c>
      <c r="J896" s="135"/>
      <c r="K896" s="58" t="s">
        <v>3150</v>
      </c>
      <c r="L896" s="58" t="s">
        <v>2953</v>
      </c>
      <c r="O896" s="396">
        <f t="shared" si="82"/>
        <v>3.5810000000000004E-3</v>
      </c>
      <c r="Q896" s="397">
        <v>1</v>
      </c>
      <c r="T896" s="58">
        <v>0</v>
      </c>
      <c r="U896" s="58" t="s">
        <v>2849</v>
      </c>
      <c r="V896" s="58" t="s">
        <v>594</v>
      </c>
    </row>
    <row r="897" spans="1:22" s="58" customFormat="1" x14ac:dyDescent="0.45">
      <c r="A897" s="58" t="s">
        <v>3146</v>
      </c>
      <c r="B897" s="58" t="s">
        <v>3432</v>
      </c>
      <c r="C897" s="58" t="str">
        <f t="shared" si="83"/>
        <v>VC33kET</v>
      </c>
      <c r="E897" s="58" t="s">
        <v>3148</v>
      </c>
      <c r="F897" s="58" t="s">
        <v>2386</v>
      </c>
      <c r="G897" s="394" t="s">
        <v>3444</v>
      </c>
      <c r="H897" s="58">
        <v>2020</v>
      </c>
      <c r="I897" s="395">
        <v>435.5</v>
      </c>
      <c r="J897" s="135"/>
      <c r="K897" s="58" t="s">
        <v>3150</v>
      </c>
      <c r="L897" s="58" t="s">
        <v>2953</v>
      </c>
      <c r="O897" s="396">
        <f t="shared" si="82"/>
        <v>4.3550000000000004E-3</v>
      </c>
      <c r="Q897" s="397">
        <v>1</v>
      </c>
      <c r="T897" s="58">
        <v>0</v>
      </c>
      <c r="U897" s="58" t="s">
        <v>2849</v>
      </c>
      <c r="V897" s="58" t="s">
        <v>594</v>
      </c>
    </row>
    <row r="898" spans="1:22" x14ac:dyDescent="0.45">
      <c r="A898" t="s">
        <v>3159</v>
      </c>
      <c r="B898" t="s">
        <v>3160</v>
      </c>
      <c r="C898" t="str">
        <f t="shared" ref="C898" si="84">_xlfn.CONCAT(B898,U898)</f>
        <v>VC38ET</v>
      </c>
      <c r="D898" t="s">
        <v>2443</v>
      </c>
      <c r="F898" t="s">
        <v>232</v>
      </c>
      <c r="G898" s="362" t="s">
        <v>212</v>
      </c>
      <c r="H898" t="s">
        <v>2902</v>
      </c>
      <c r="I898">
        <v>21.58</v>
      </c>
      <c r="K898" t="s">
        <v>2847</v>
      </c>
      <c r="O898">
        <f>I898/100</f>
        <v>0.21579999999999999</v>
      </c>
      <c r="P898" t="s">
        <v>2909</v>
      </c>
      <c r="S898">
        <v>0.38</v>
      </c>
      <c r="T898">
        <v>0</v>
      </c>
      <c r="U898" t="s">
        <v>2849</v>
      </c>
      <c r="V898" t="s">
        <v>594</v>
      </c>
    </row>
    <row r="899" spans="1:22" x14ac:dyDescent="0.45">
      <c r="A899" t="s">
        <v>3161</v>
      </c>
      <c r="K899" t="s">
        <v>3162</v>
      </c>
    </row>
    <row r="900" spans="1:22" x14ac:dyDescent="0.45">
      <c r="A900" t="s">
        <v>3161</v>
      </c>
    </row>
    <row r="901" spans="1:22" x14ac:dyDescent="0.45">
      <c r="A901" t="s">
        <v>3161</v>
      </c>
    </row>
    <row r="902" spans="1:22" x14ac:dyDescent="0.45">
      <c r="A902" t="s">
        <v>3161</v>
      </c>
    </row>
    <row r="903" spans="1:22" x14ac:dyDescent="0.45">
      <c r="A903" t="s">
        <v>3161</v>
      </c>
    </row>
    <row r="904" spans="1:22" x14ac:dyDescent="0.45">
      <c r="A904" t="s">
        <v>3161</v>
      </c>
    </row>
    <row r="905" spans="1:22" x14ac:dyDescent="0.45">
      <c r="A905" t="s">
        <v>3161</v>
      </c>
    </row>
    <row r="906" spans="1:22" x14ac:dyDescent="0.45">
      <c r="A906" t="s">
        <v>3161</v>
      </c>
    </row>
    <row r="907" spans="1:22" x14ac:dyDescent="0.45">
      <c r="A907" t="s">
        <v>3163</v>
      </c>
      <c r="D907" t="s">
        <v>2723</v>
      </c>
      <c r="F907" t="s">
        <v>2395</v>
      </c>
      <c r="G907" s="362" t="s">
        <v>212</v>
      </c>
      <c r="H907">
        <v>2006</v>
      </c>
      <c r="I907">
        <v>360</v>
      </c>
      <c r="K907" t="s">
        <v>3164</v>
      </c>
      <c r="P907" t="s">
        <v>3165</v>
      </c>
      <c r="T907">
        <v>0</v>
      </c>
      <c r="U907" t="s">
        <v>2849</v>
      </c>
      <c r="V907" t="s">
        <v>594</v>
      </c>
    </row>
    <row r="908" spans="1:22" x14ac:dyDescent="0.45">
      <c r="A908" t="s">
        <v>3166</v>
      </c>
      <c r="B908" t="s">
        <v>3167</v>
      </c>
      <c r="C908" t="str">
        <f t="shared" ref="C908:C962" si="85">_xlfn.CONCAT(B908,U908)</f>
        <v>VC39ET</v>
      </c>
      <c r="D908" t="s">
        <v>2723</v>
      </c>
      <c r="F908" t="s">
        <v>2395</v>
      </c>
      <c r="G908" s="362" t="s">
        <v>212</v>
      </c>
      <c r="H908">
        <v>2020</v>
      </c>
      <c r="I908">
        <f>0.172*(890-180)+I907</f>
        <v>482.12</v>
      </c>
      <c r="K908" t="s">
        <v>3168</v>
      </c>
      <c r="O908" s="381">
        <f>I908/1000000</f>
        <v>4.8212E-4</v>
      </c>
      <c r="P908" t="s">
        <v>2579</v>
      </c>
      <c r="Q908" s="368">
        <f>(I908/314)^(1/14)-1</f>
        <v>3.110245624716157E-2</v>
      </c>
      <c r="R908" t="s">
        <v>3169</v>
      </c>
      <c r="T908">
        <v>0</v>
      </c>
      <c r="U908" t="s">
        <v>2849</v>
      </c>
      <c r="V908" t="s">
        <v>594</v>
      </c>
    </row>
    <row r="909" spans="1:22" x14ac:dyDescent="0.45">
      <c r="A909" t="s">
        <v>3170</v>
      </c>
      <c r="B909" t="s">
        <v>3171</v>
      </c>
      <c r="C909" t="str">
        <f t="shared" si="85"/>
        <v>VC40ET</v>
      </c>
      <c r="D909" t="s">
        <v>2728</v>
      </c>
      <c r="F909" t="s">
        <v>2395</v>
      </c>
      <c r="G909" s="362" t="s">
        <v>3172</v>
      </c>
      <c r="H909" t="s">
        <v>3173</v>
      </c>
      <c r="I909">
        <v>15.5</v>
      </c>
      <c r="K909" t="s">
        <v>3174</v>
      </c>
      <c r="O909" s="363">
        <f>I909/100</f>
        <v>0.155</v>
      </c>
      <c r="P909" t="s">
        <v>2195</v>
      </c>
      <c r="T909">
        <v>0</v>
      </c>
      <c r="U909" t="s">
        <v>2849</v>
      </c>
      <c r="V909" t="s">
        <v>594</v>
      </c>
    </row>
    <row r="910" spans="1:22" x14ac:dyDescent="0.45">
      <c r="A910" t="s">
        <v>3175</v>
      </c>
      <c r="B910" t="s">
        <v>3176</v>
      </c>
      <c r="C910" t="str">
        <f t="shared" si="85"/>
        <v>VC41ET</v>
      </c>
      <c r="D910" t="s">
        <v>2592</v>
      </c>
      <c r="E910" t="s">
        <v>2593</v>
      </c>
      <c r="F910" t="s">
        <v>214</v>
      </c>
      <c r="G910" s="362" t="s">
        <v>212</v>
      </c>
      <c r="H910">
        <v>2016</v>
      </c>
      <c r="I910" s="363">
        <v>0.18504347826086959</v>
      </c>
      <c r="J910" s="68"/>
      <c r="K910" t="s">
        <v>3177</v>
      </c>
      <c r="L910" t="s">
        <v>1943</v>
      </c>
      <c r="O910" s="68">
        <f>I910/100</f>
        <v>1.8504347826086959E-3</v>
      </c>
      <c r="P910" t="s">
        <v>2195</v>
      </c>
      <c r="T910">
        <v>0</v>
      </c>
      <c r="U910" t="s">
        <v>2849</v>
      </c>
      <c r="V910" t="s">
        <v>594</v>
      </c>
    </row>
    <row r="911" spans="1:22" x14ac:dyDescent="0.45">
      <c r="A911" t="s">
        <v>3175</v>
      </c>
      <c r="B911" t="s">
        <v>3176</v>
      </c>
      <c r="C911" t="str">
        <f t="shared" si="85"/>
        <v>VC41ETU</v>
      </c>
      <c r="E911" t="s">
        <v>2593</v>
      </c>
      <c r="F911" t="s">
        <v>214</v>
      </c>
      <c r="G911" s="362" t="s">
        <v>212</v>
      </c>
      <c r="H911">
        <v>2016</v>
      </c>
      <c r="I911" s="363">
        <v>0.27360000000000007</v>
      </c>
      <c r="K911" t="s">
        <v>3177</v>
      </c>
      <c r="L911" t="s">
        <v>1943</v>
      </c>
      <c r="O911" s="68">
        <f t="shared" ref="O911:O923" si="86">I911/100</f>
        <v>2.7360000000000006E-3</v>
      </c>
      <c r="T911">
        <v>0.5</v>
      </c>
      <c r="U911" t="s">
        <v>2867</v>
      </c>
      <c r="V911" t="s">
        <v>336</v>
      </c>
    </row>
    <row r="912" spans="1:22" x14ac:dyDescent="0.45">
      <c r="A912" t="s">
        <v>3175</v>
      </c>
      <c r="B912" t="s">
        <v>3176</v>
      </c>
      <c r="C912" t="str">
        <f t="shared" si="85"/>
        <v>VC41ETR</v>
      </c>
      <c r="E912" t="s">
        <v>2593</v>
      </c>
      <c r="F912" t="s">
        <v>214</v>
      </c>
      <c r="G912" s="362" t="s">
        <v>212</v>
      </c>
      <c r="H912">
        <v>2016</v>
      </c>
      <c r="I912" s="363">
        <v>0.16828571428571429</v>
      </c>
      <c r="J912" s="68"/>
      <c r="K912" t="s">
        <v>3177</v>
      </c>
      <c r="L912" t="s">
        <v>1943</v>
      </c>
      <c r="O912" s="68">
        <f t="shared" si="86"/>
        <v>1.6828571428571428E-3</v>
      </c>
      <c r="T912">
        <v>0.5</v>
      </c>
      <c r="U912" t="s">
        <v>2866</v>
      </c>
      <c r="V912" t="s">
        <v>84</v>
      </c>
    </row>
    <row r="913" spans="1:22" x14ac:dyDescent="0.45">
      <c r="A913" t="s">
        <v>3175</v>
      </c>
      <c r="B913" t="s">
        <v>3176</v>
      </c>
      <c r="C913" t="str">
        <f t="shared" si="85"/>
        <v>VC41ET01</v>
      </c>
      <c r="E913" t="s">
        <v>2593</v>
      </c>
      <c r="F913" t="s">
        <v>214</v>
      </c>
      <c r="G913" s="362" t="s">
        <v>212</v>
      </c>
      <c r="H913">
        <v>2016</v>
      </c>
      <c r="I913" s="363">
        <v>0.18558139534883722</v>
      </c>
      <c r="J913" s="68"/>
      <c r="K913" t="s">
        <v>3177</v>
      </c>
      <c r="L913" t="s">
        <v>1943</v>
      </c>
      <c r="O913" s="68">
        <f t="shared" si="86"/>
        <v>1.8558139534883722E-3</v>
      </c>
      <c r="T913">
        <v>1</v>
      </c>
      <c r="U913" t="s">
        <v>2868</v>
      </c>
      <c r="V913" t="s">
        <v>806</v>
      </c>
    </row>
    <row r="914" spans="1:22" x14ac:dyDescent="0.45">
      <c r="A914" t="s">
        <v>3175</v>
      </c>
      <c r="B914" t="s">
        <v>3176</v>
      </c>
      <c r="C914" t="str">
        <f t="shared" si="85"/>
        <v>VC41ET02</v>
      </c>
      <c r="E914" t="s">
        <v>2593</v>
      </c>
      <c r="F914" t="s">
        <v>214</v>
      </c>
      <c r="G914" s="362" t="s">
        <v>212</v>
      </c>
      <c r="H914">
        <v>2016</v>
      </c>
      <c r="I914" s="363">
        <v>0.18740909090909091</v>
      </c>
      <c r="J914" s="68"/>
      <c r="K914" t="s">
        <v>3177</v>
      </c>
      <c r="L914" t="s">
        <v>1943</v>
      </c>
      <c r="O914" s="68">
        <f t="shared" si="86"/>
        <v>1.8740909090909092E-3</v>
      </c>
      <c r="T914">
        <v>1</v>
      </c>
      <c r="U914" t="s">
        <v>2869</v>
      </c>
      <c r="V914" t="s">
        <v>2946</v>
      </c>
    </row>
    <row r="915" spans="1:22" x14ac:dyDescent="0.45">
      <c r="A915" t="s">
        <v>3175</v>
      </c>
      <c r="B915" t="s">
        <v>3176</v>
      </c>
      <c r="C915" t="str">
        <f t="shared" si="85"/>
        <v>VC41ET03</v>
      </c>
      <c r="E915" t="s">
        <v>2593</v>
      </c>
      <c r="F915" t="s">
        <v>214</v>
      </c>
      <c r="G915" s="362" t="s">
        <v>212</v>
      </c>
      <c r="H915">
        <v>2016</v>
      </c>
      <c r="I915" s="363">
        <v>0.25951219512195128</v>
      </c>
      <c r="J915" s="68"/>
      <c r="K915" t="s">
        <v>3177</v>
      </c>
      <c r="L915" t="s">
        <v>1943</v>
      </c>
      <c r="O915" s="68">
        <f t="shared" si="86"/>
        <v>2.595121951219513E-3</v>
      </c>
      <c r="T915">
        <v>1</v>
      </c>
      <c r="U915" t="s">
        <v>2871</v>
      </c>
      <c r="V915" t="s">
        <v>805</v>
      </c>
    </row>
    <row r="916" spans="1:22" x14ac:dyDescent="0.45">
      <c r="A916" t="s">
        <v>3175</v>
      </c>
      <c r="B916" t="s">
        <v>3176</v>
      </c>
      <c r="C916" t="str">
        <f t="shared" si="85"/>
        <v>VC41ET04</v>
      </c>
      <c r="E916" t="s">
        <v>2593</v>
      </c>
      <c r="F916" t="s">
        <v>214</v>
      </c>
      <c r="G916" s="362" t="s">
        <v>212</v>
      </c>
      <c r="H916">
        <v>2016</v>
      </c>
      <c r="I916" s="363">
        <v>0.17555999999999999</v>
      </c>
      <c r="J916" s="68"/>
      <c r="K916" t="s">
        <v>3177</v>
      </c>
      <c r="L916" t="s">
        <v>1943</v>
      </c>
      <c r="O916" s="68">
        <f t="shared" si="86"/>
        <v>1.7556E-3</v>
      </c>
      <c r="T916">
        <v>1</v>
      </c>
      <c r="U916" t="s">
        <v>2872</v>
      </c>
      <c r="V916" t="s">
        <v>809</v>
      </c>
    </row>
    <row r="917" spans="1:22" x14ac:dyDescent="0.45">
      <c r="A917" t="s">
        <v>3175</v>
      </c>
      <c r="B917" t="s">
        <v>3176</v>
      </c>
      <c r="C917" t="str">
        <f t="shared" si="85"/>
        <v>VC41ET05</v>
      </c>
      <c r="E917" t="s">
        <v>2593</v>
      </c>
      <c r="F917" t="s">
        <v>214</v>
      </c>
      <c r="G917" s="362" t="s">
        <v>212</v>
      </c>
      <c r="H917">
        <v>2016</v>
      </c>
      <c r="I917" s="363">
        <v>6.1384615384615385E-2</v>
      </c>
      <c r="J917" s="68"/>
      <c r="K917" t="s">
        <v>3177</v>
      </c>
      <c r="L917" t="s">
        <v>1943</v>
      </c>
      <c r="O917" s="68">
        <f t="shared" si="86"/>
        <v>6.1384615384615384E-4</v>
      </c>
      <c r="T917">
        <v>1</v>
      </c>
      <c r="U917" t="s">
        <v>2873</v>
      </c>
      <c r="V917" t="s">
        <v>2874</v>
      </c>
    </row>
    <row r="918" spans="1:22" x14ac:dyDescent="0.45">
      <c r="A918" t="s">
        <v>3175</v>
      </c>
      <c r="B918" t="s">
        <v>3176</v>
      </c>
      <c r="C918" t="str">
        <f t="shared" si="85"/>
        <v>VC41ET06</v>
      </c>
      <c r="E918" t="s">
        <v>2593</v>
      </c>
      <c r="F918" t="s">
        <v>214</v>
      </c>
      <c r="G918" s="362" t="s">
        <v>212</v>
      </c>
      <c r="H918">
        <v>2016</v>
      </c>
      <c r="I918" s="363">
        <v>0.17939534883720931</v>
      </c>
      <c r="J918" s="68"/>
      <c r="K918" t="s">
        <v>3177</v>
      </c>
      <c r="L918" t="s">
        <v>1943</v>
      </c>
      <c r="O918" s="68">
        <f t="shared" si="86"/>
        <v>1.793953488372093E-3</v>
      </c>
      <c r="T918">
        <v>1</v>
      </c>
      <c r="U918" t="s">
        <v>2876</v>
      </c>
      <c r="V918" t="s">
        <v>2877</v>
      </c>
    </row>
    <row r="919" spans="1:22" x14ac:dyDescent="0.45">
      <c r="A919" t="s">
        <v>3175</v>
      </c>
      <c r="B919" t="s">
        <v>3176</v>
      </c>
      <c r="C919" t="str">
        <f t="shared" si="85"/>
        <v>VC41ET07</v>
      </c>
      <c r="E919" t="s">
        <v>2593</v>
      </c>
      <c r="F919" t="s">
        <v>214</v>
      </c>
      <c r="G919" s="362" t="s">
        <v>212</v>
      </c>
      <c r="H919">
        <v>2016</v>
      </c>
      <c r="I919" s="363">
        <v>0.14657142857142857</v>
      </c>
      <c r="J919" s="68"/>
      <c r="K919" t="s">
        <v>3177</v>
      </c>
      <c r="L919" t="s">
        <v>1943</v>
      </c>
      <c r="O919" s="68">
        <f t="shared" si="86"/>
        <v>1.4657142857142857E-3</v>
      </c>
      <c r="T919">
        <v>1</v>
      </c>
      <c r="U919" t="s">
        <v>2878</v>
      </c>
      <c r="V919" t="s">
        <v>2879</v>
      </c>
    </row>
    <row r="920" spans="1:22" x14ac:dyDescent="0.45">
      <c r="A920" t="s">
        <v>3175</v>
      </c>
      <c r="B920" t="s">
        <v>3176</v>
      </c>
      <c r="C920" t="str">
        <f t="shared" si="85"/>
        <v>VC41ET12</v>
      </c>
      <c r="E920" t="s">
        <v>2593</v>
      </c>
      <c r="F920" t="s">
        <v>214</v>
      </c>
      <c r="G920" s="362" t="s">
        <v>212</v>
      </c>
      <c r="H920">
        <v>2016</v>
      </c>
      <c r="I920" s="363">
        <v>0.1862</v>
      </c>
      <c r="J920" s="68"/>
      <c r="K920" t="s">
        <v>3177</v>
      </c>
      <c r="L920" t="s">
        <v>1943</v>
      </c>
      <c r="O920" s="68">
        <f t="shared" si="86"/>
        <v>1.8619999999999999E-3</v>
      </c>
      <c r="T920">
        <v>1</v>
      </c>
      <c r="U920" t="s">
        <v>2880</v>
      </c>
      <c r="V920" t="s">
        <v>2881</v>
      </c>
    </row>
    <row r="921" spans="1:22" x14ac:dyDescent="0.45">
      <c r="A921" t="s">
        <v>3175</v>
      </c>
      <c r="B921" t="s">
        <v>3176</v>
      </c>
      <c r="C921" t="str">
        <f t="shared" si="85"/>
        <v>VC41ET13</v>
      </c>
      <c r="E921" t="s">
        <v>2593</v>
      </c>
      <c r="F921" t="s">
        <v>214</v>
      </c>
      <c r="G921" s="362" t="s">
        <v>212</v>
      </c>
      <c r="H921">
        <v>2016</v>
      </c>
      <c r="I921" s="363">
        <v>0.11594871794871796</v>
      </c>
      <c r="J921" s="68"/>
      <c r="K921" t="s">
        <v>3177</v>
      </c>
      <c r="L921" t="s">
        <v>1943</v>
      </c>
      <c r="O921" s="68">
        <f t="shared" si="86"/>
        <v>1.1594871794871795E-3</v>
      </c>
      <c r="T921">
        <v>1</v>
      </c>
      <c r="U921" t="s">
        <v>2882</v>
      </c>
      <c r="V921" t="s">
        <v>2883</v>
      </c>
    </row>
    <row r="922" spans="1:22" x14ac:dyDescent="0.45">
      <c r="A922" t="s">
        <v>3175</v>
      </c>
      <c r="B922" t="s">
        <v>3176</v>
      </c>
      <c r="C922" t="str">
        <f t="shared" si="85"/>
        <v>VC41ET14</v>
      </c>
      <c r="E922" t="s">
        <v>2593</v>
      </c>
      <c r="F922" t="s">
        <v>214</v>
      </c>
      <c r="G922" s="362" t="s">
        <v>212</v>
      </c>
      <c r="H922">
        <v>2016</v>
      </c>
      <c r="I922" s="363">
        <v>0.18472222222222223</v>
      </c>
      <c r="J922" s="68"/>
      <c r="K922" t="s">
        <v>3177</v>
      </c>
      <c r="L922" t="s">
        <v>1943</v>
      </c>
      <c r="O922" s="68">
        <f t="shared" si="86"/>
        <v>1.8472222222222223E-3</v>
      </c>
      <c r="T922">
        <v>1</v>
      </c>
      <c r="U922" t="s">
        <v>2884</v>
      </c>
      <c r="V922" t="s">
        <v>814</v>
      </c>
    </row>
    <row r="923" spans="1:22" x14ac:dyDescent="0.45">
      <c r="A923" t="s">
        <v>3175</v>
      </c>
      <c r="B923" t="s">
        <v>3176</v>
      </c>
      <c r="C923" t="str">
        <f t="shared" si="85"/>
        <v>VC41ET15</v>
      </c>
      <c r="E923" t="s">
        <v>2593</v>
      </c>
      <c r="F923" t="s">
        <v>214</v>
      </c>
      <c r="G923" s="362" t="s">
        <v>212</v>
      </c>
      <c r="H923">
        <v>2016</v>
      </c>
      <c r="I923" s="363">
        <v>0.20112195121951223</v>
      </c>
      <c r="J923" s="68"/>
      <c r="K923" t="s">
        <v>3177</v>
      </c>
      <c r="L923" t="s">
        <v>1943</v>
      </c>
      <c r="O923" s="68">
        <f t="shared" si="86"/>
        <v>2.0112195121951225E-3</v>
      </c>
      <c r="T923">
        <v>1</v>
      </c>
      <c r="U923" t="s">
        <v>2885</v>
      </c>
      <c r="V923" t="s">
        <v>2886</v>
      </c>
    </row>
    <row r="924" spans="1:22" x14ac:dyDescent="0.45">
      <c r="A924" t="s">
        <v>3175</v>
      </c>
      <c r="B924" t="s">
        <v>3178</v>
      </c>
      <c r="C924" t="str">
        <f t="shared" si="85"/>
        <v>VC42ET</v>
      </c>
      <c r="D924" t="s">
        <v>2594</v>
      </c>
      <c r="E924" t="s">
        <v>2595</v>
      </c>
      <c r="F924" t="s">
        <v>214</v>
      </c>
      <c r="G924" s="362" t="s">
        <v>212</v>
      </c>
      <c r="H924">
        <v>2016</v>
      </c>
      <c r="I924" s="363">
        <v>0.2121739130434783</v>
      </c>
      <c r="J924" s="68"/>
      <c r="K924" t="s">
        <v>3177</v>
      </c>
      <c r="L924" t="s">
        <v>1943</v>
      </c>
      <c r="O924" s="68">
        <f>I924/100</f>
        <v>2.1217391304347829E-3</v>
      </c>
      <c r="P924" t="s">
        <v>2195</v>
      </c>
      <c r="T924">
        <v>0</v>
      </c>
      <c r="U924" t="s">
        <v>2849</v>
      </c>
      <c r="V924" t="s">
        <v>594</v>
      </c>
    </row>
    <row r="925" spans="1:22" x14ac:dyDescent="0.45">
      <c r="A925" t="s">
        <v>3175</v>
      </c>
      <c r="B925" t="s">
        <v>3178</v>
      </c>
      <c r="C925" t="str">
        <f t="shared" si="85"/>
        <v>VC42ETU</v>
      </c>
      <c r="E925" t="s">
        <v>2595</v>
      </c>
      <c r="F925" t="s">
        <v>214</v>
      </c>
      <c r="G925" s="362" t="s">
        <v>212</v>
      </c>
      <c r="H925">
        <v>2016</v>
      </c>
      <c r="I925" s="363">
        <v>0.31371428571428572</v>
      </c>
      <c r="J925" s="68"/>
      <c r="K925" t="s">
        <v>3179</v>
      </c>
      <c r="L925" t="s">
        <v>1943</v>
      </c>
      <c r="O925" s="68">
        <f t="shared" ref="O925:O937" si="87">I925/100</f>
        <v>3.1371428571428574E-3</v>
      </c>
      <c r="T925">
        <v>0.5</v>
      </c>
      <c r="U925" t="s">
        <v>2867</v>
      </c>
      <c r="V925" t="s">
        <v>336</v>
      </c>
    </row>
    <row r="926" spans="1:22" x14ac:dyDescent="0.45">
      <c r="A926" t="s">
        <v>3175</v>
      </c>
      <c r="B926" t="s">
        <v>3178</v>
      </c>
      <c r="C926" t="str">
        <f t="shared" si="85"/>
        <v>VC42ETR</v>
      </c>
      <c r="E926" t="s">
        <v>2595</v>
      </c>
      <c r="F926" t="s">
        <v>214</v>
      </c>
      <c r="G926" s="362" t="s">
        <v>212</v>
      </c>
      <c r="H926">
        <v>2016</v>
      </c>
      <c r="I926" s="363">
        <v>0.19295918367346937</v>
      </c>
      <c r="J926" s="68"/>
      <c r="K926" t="s">
        <v>3179</v>
      </c>
      <c r="L926" t="s">
        <v>1943</v>
      </c>
      <c r="O926" s="68">
        <f t="shared" si="87"/>
        <v>1.9295918367346937E-3</v>
      </c>
      <c r="T926">
        <v>0.5</v>
      </c>
      <c r="U926" t="s">
        <v>2866</v>
      </c>
      <c r="V926" t="s">
        <v>84</v>
      </c>
    </row>
    <row r="927" spans="1:22" x14ac:dyDescent="0.45">
      <c r="A927" t="s">
        <v>3175</v>
      </c>
      <c r="B927" t="s">
        <v>3178</v>
      </c>
      <c r="C927" t="str">
        <f t="shared" si="85"/>
        <v>VC42ET01</v>
      </c>
      <c r="E927" t="s">
        <v>2595</v>
      </c>
      <c r="F927" t="s">
        <v>214</v>
      </c>
      <c r="G927" s="362" t="s">
        <v>212</v>
      </c>
      <c r="H927">
        <v>2016</v>
      </c>
      <c r="I927" s="363">
        <v>0.21279069767441861</v>
      </c>
      <c r="J927" s="68"/>
      <c r="K927" t="s">
        <v>3179</v>
      </c>
      <c r="L927" t="s">
        <v>1943</v>
      </c>
      <c r="O927" s="68">
        <f t="shared" si="87"/>
        <v>2.1279069767441861E-3</v>
      </c>
      <c r="T927">
        <v>1</v>
      </c>
      <c r="U927" t="s">
        <v>2868</v>
      </c>
      <c r="V927" t="s">
        <v>806</v>
      </c>
    </row>
    <row r="928" spans="1:22" x14ac:dyDescent="0.45">
      <c r="A928" t="s">
        <v>3175</v>
      </c>
      <c r="B928" t="s">
        <v>3178</v>
      </c>
      <c r="C928" t="str">
        <f t="shared" si="85"/>
        <v>VC42ET02</v>
      </c>
      <c r="E928" t="s">
        <v>2595</v>
      </c>
      <c r="F928" t="s">
        <v>214</v>
      </c>
      <c r="G928" s="362" t="s">
        <v>212</v>
      </c>
      <c r="H928">
        <v>2016</v>
      </c>
      <c r="I928" s="363">
        <v>0.2148863636363636</v>
      </c>
      <c r="J928" s="68"/>
      <c r="K928" t="s">
        <v>3179</v>
      </c>
      <c r="L928" t="s">
        <v>1943</v>
      </c>
      <c r="O928" s="68">
        <f t="shared" si="87"/>
        <v>2.1488636363636358E-3</v>
      </c>
      <c r="T928">
        <v>1</v>
      </c>
      <c r="U928" t="s">
        <v>2869</v>
      </c>
      <c r="V928" t="s">
        <v>2946</v>
      </c>
    </row>
    <row r="929" spans="1:22" x14ac:dyDescent="0.45">
      <c r="A929" t="s">
        <v>3175</v>
      </c>
      <c r="B929" t="s">
        <v>3178</v>
      </c>
      <c r="C929" t="str">
        <f t="shared" si="85"/>
        <v>VC42ET03</v>
      </c>
      <c r="E929" t="s">
        <v>2595</v>
      </c>
      <c r="F929" t="s">
        <v>214</v>
      </c>
      <c r="G929" s="362" t="s">
        <v>212</v>
      </c>
      <c r="H929">
        <v>2016</v>
      </c>
      <c r="I929" s="363">
        <v>0.29756097560975614</v>
      </c>
      <c r="J929" s="68"/>
      <c r="K929" t="s">
        <v>3179</v>
      </c>
      <c r="L929" t="s">
        <v>1943</v>
      </c>
      <c r="O929" s="68">
        <f t="shared" si="87"/>
        <v>2.9756097560975615E-3</v>
      </c>
      <c r="T929">
        <v>1</v>
      </c>
      <c r="U929" t="s">
        <v>2871</v>
      </c>
      <c r="V929" t="s">
        <v>805</v>
      </c>
    </row>
    <row r="930" spans="1:22" x14ac:dyDescent="0.45">
      <c r="A930" t="s">
        <v>3175</v>
      </c>
      <c r="B930" t="s">
        <v>3178</v>
      </c>
      <c r="C930" t="str">
        <f t="shared" si="85"/>
        <v>VC42ET04</v>
      </c>
      <c r="E930" t="s">
        <v>2595</v>
      </c>
      <c r="F930" t="s">
        <v>214</v>
      </c>
      <c r="G930" s="362" t="s">
        <v>212</v>
      </c>
      <c r="H930">
        <v>2016</v>
      </c>
      <c r="I930" s="363">
        <v>0.20129999999999998</v>
      </c>
      <c r="J930" s="68"/>
      <c r="K930" t="s">
        <v>3179</v>
      </c>
      <c r="L930" t="s">
        <v>1943</v>
      </c>
      <c r="O930" s="68">
        <f t="shared" si="87"/>
        <v>2.0129999999999996E-3</v>
      </c>
      <c r="T930">
        <v>1</v>
      </c>
      <c r="U930" t="s">
        <v>2872</v>
      </c>
      <c r="V930" t="s">
        <v>809</v>
      </c>
    </row>
    <row r="931" spans="1:22" x14ac:dyDescent="0.45">
      <c r="A931" t="s">
        <v>3175</v>
      </c>
      <c r="B931" t="s">
        <v>3178</v>
      </c>
      <c r="C931" t="str">
        <f t="shared" si="85"/>
        <v>VC42ET05</v>
      </c>
      <c r="E931" t="s">
        <v>2595</v>
      </c>
      <c r="F931" t="s">
        <v>214</v>
      </c>
      <c r="G931" s="362" t="s">
        <v>212</v>
      </c>
      <c r="H931">
        <v>2016</v>
      </c>
      <c r="I931" s="363">
        <v>7.0384615384615379E-2</v>
      </c>
      <c r="J931" s="68"/>
      <c r="K931" t="s">
        <v>3179</v>
      </c>
      <c r="L931" t="s">
        <v>1943</v>
      </c>
      <c r="O931" s="68">
        <f t="shared" si="87"/>
        <v>7.0384615384615375E-4</v>
      </c>
      <c r="T931">
        <v>1</v>
      </c>
      <c r="U931" t="s">
        <v>2873</v>
      </c>
      <c r="V931" t="s">
        <v>2874</v>
      </c>
    </row>
    <row r="932" spans="1:22" x14ac:dyDescent="0.45">
      <c r="A932" t="s">
        <v>3175</v>
      </c>
      <c r="B932" t="s">
        <v>3178</v>
      </c>
      <c r="C932" t="str">
        <f t="shared" si="85"/>
        <v>VC42ET06</v>
      </c>
      <c r="E932" t="s">
        <v>2595</v>
      </c>
      <c r="F932" t="s">
        <v>214</v>
      </c>
      <c r="G932" s="362" t="s">
        <v>212</v>
      </c>
      <c r="H932">
        <v>2016</v>
      </c>
      <c r="I932" s="363">
        <v>0.20569767441860465</v>
      </c>
      <c r="J932" s="68"/>
      <c r="K932" t="s">
        <v>3179</v>
      </c>
      <c r="L932" t="s">
        <v>1943</v>
      </c>
      <c r="O932" s="68">
        <f t="shared" si="87"/>
        <v>2.0569767441860464E-3</v>
      </c>
      <c r="T932">
        <v>1</v>
      </c>
      <c r="U932" t="s">
        <v>2876</v>
      </c>
      <c r="V932" t="s">
        <v>2877</v>
      </c>
    </row>
    <row r="933" spans="1:22" x14ac:dyDescent="0.45">
      <c r="A933" t="s">
        <v>3175</v>
      </c>
      <c r="B933" t="s">
        <v>3178</v>
      </c>
      <c r="C933" t="str">
        <f t="shared" si="85"/>
        <v>VC42ET07</v>
      </c>
      <c r="E933" t="s">
        <v>2595</v>
      </c>
      <c r="F933" t="s">
        <v>214</v>
      </c>
      <c r="G933" s="362" t="s">
        <v>212</v>
      </c>
      <c r="H933">
        <v>2016</v>
      </c>
      <c r="I933" s="363">
        <v>0.16806122448979591</v>
      </c>
      <c r="J933" s="68"/>
      <c r="K933" t="s">
        <v>3179</v>
      </c>
      <c r="L933" t="s">
        <v>1943</v>
      </c>
      <c r="O933" s="68">
        <f t="shared" si="87"/>
        <v>1.6806122448979591E-3</v>
      </c>
      <c r="T933">
        <v>1</v>
      </c>
      <c r="U933" t="s">
        <v>2878</v>
      </c>
      <c r="V933" t="s">
        <v>2879</v>
      </c>
    </row>
    <row r="934" spans="1:22" x14ac:dyDescent="0.45">
      <c r="A934" t="s">
        <v>3175</v>
      </c>
      <c r="B934" t="s">
        <v>3178</v>
      </c>
      <c r="C934" t="str">
        <f t="shared" si="85"/>
        <v>VC42ET12</v>
      </c>
      <c r="E934" t="s">
        <v>2595</v>
      </c>
      <c r="F934" t="s">
        <v>214</v>
      </c>
      <c r="G934" s="362" t="s">
        <v>212</v>
      </c>
      <c r="H934">
        <v>2016</v>
      </c>
      <c r="I934" s="363">
        <v>0.2135</v>
      </c>
      <c r="J934" s="68"/>
      <c r="K934" t="s">
        <v>3179</v>
      </c>
      <c r="L934" t="s">
        <v>1943</v>
      </c>
      <c r="O934" s="68">
        <f t="shared" si="87"/>
        <v>2.1349999999999997E-3</v>
      </c>
      <c r="T934">
        <v>1</v>
      </c>
      <c r="U934" t="s">
        <v>2880</v>
      </c>
      <c r="V934" t="s">
        <v>2881</v>
      </c>
    </row>
    <row r="935" spans="1:22" x14ac:dyDescent="0.45">
      <c r="A935" t="s">
        <v>3175</v>
      </c>
      <c r="B935" t="s">
        <v>3178</v>
      </c>
      <c r="C935" t="str">
        <f t="shared" si="85"/>
        <v>VC42ET13</v>
      </c>
      <c r="E935" t="s">
        <v>2595</v>
      </c>
      <c r="F935" t="s">
        <v>214</v>
      </c>
      <c r="G935" s="362" t="s">
        <v>212</v>
      </c>
      <c r="H935">
        <v>2016</v>
      </c>
      <c r="I935" s="363">
        <v>0.13294871794871796</v>
      </c>
      <c r="J935" s="68"/>
      <c r="K935" t="s">
        <v>3179</v>
      </c>
      <c r="L935" t="s">
        <v>1943</v>
      </c>
      <c r="O935" s="68">
        <f t="shared" si="87"/>
        <v>1.3294871794871795E-3</v>
      </c>
      <c r="T935">
        <v>1</v>
      </c>
      <c r="U935" t="s">
        <v>2882</v>
      </c>
      <c r="V935" t="s">
        <v>2883</v>
      </c>
    </row>
    <row r="936" spans="1:22" x14ac:dyDescent="0.45">
      <c r="A936" t="s">
        <v>3175</v>
      </c>
      <c r="B936" t="s">
        <v>3178</v>
      </c>
      <c r="C936" t="str">
        <f t="shared" si="85"/>
        <v>VC42ET14</v>
      </c>
      <c r="E936" t="s">
        <v>2595</v>
      </c>
      <c r="F936" t="s">
        <v>214</v>
      </c>
      <c r="G936" s="362" t="s">
        <v>212</v>
      </c>
      <c r="H936">
        <v>2016</v>
      </c>
      <c r="I936" s="363">
        <v>0.21180555555555555</v>
      </c>
      <c r="J936" s="68"/>
      <c r="K936" t="s">
        <v>3179</v>
      </c>
      <c r="L936" t="s">
        <v>1943</v>
      </c>
      <c r="O936" s="68">
        <f t="shared" si="87"/>
        <v>2.1180555555555553E-3</v>
      </c>
      <c r="T936">
        <v>1</v>
      </c>
      <c r="U936" t="s">
        <v>2884</v>
      </c>
      <c r="V936" t="s">
        <v>814</v>
      </c>
    </row>
    <row r="937" spans="1:22" x14ac:dyDescent="0.45">
      <c r="A937" t="s">
        <v>3175</v>
      </c>
      <c r="B937" t="s">
        <v>3178</v>
      </c>
      <c r="C937" t="str">
        <f t="shared" si="85"/>
        <v>VC42ET15</v>
      </c>
      <c r="E937" t="s">
        <v>2595</v>
      </c>
      <c r="F937" t="s">
        <v>214</v>
      </c>
      <c r="G937" s="362" t="s">
        <v>212</v>
      </c>
      <c r="H937">
        <v>2016</v>
      </c>
      <c r="I937" s="363">
        <v>0.23060975609756101</v>
      </c>
      <c r="J937" s="68"/>
      <c r="K937" t="s">
        <v>3179</v>
      </c>
      <c r="L937" t="s">
        <v>1943</v>
      </c>
      <c r="O937" s="68">
        <f t="shared" si="87"/>
        <v>2.3060975609756102E-3</v>
      </c>
      <c r="T937">
        <v>1</v>
      </c>
      <c r="U937" t="s">
        <v>2885</v>
      </c>
      <c r="V937" t="s">
        <v>2886</v>
      </c>
    </row>
    <row r="938" spans="1:22" x14ac:dyDescent="0.45">
      <c r="A938" t="s">
        <v>3180</v>
      </c>
      <c r="B938" t="s">
        <v>3181</v>
      </c>
      <c r="C938" t="str">
        <f t="shared" si="85"/>
        <v>VC43ET</v>
      </c>
      <c r="D938" t="s">
        <v>2730</v>
      </c>
      <c r="E938" t="s">
        <v>2458</v>
      </c>
      <c r="F938" t="s">
        <v>528</v>
      </c>
      <c r="G938" s="362" t="s">
        <v>3182</v>
      </c>
      <c r="H938">
        <v>2015</v>
      </c>
      <c r="I938" s="68">
        <v>4.6529294056327089E-3</v>
      </c>
      <c r="J938" s="68"/>
      <c r="K938" t="s">
        <v>3183</v>
      </c>
      <c r="L938" t="s">
        <v>1943</v>
      </c>
      <c r="O938" s="68">
        <f>I938</f>
        <v>4.6529294056327089E-3</v>
      </c>
      <c r="T938">
        <v>0</v>
      </c>
      <c r="U938" t="s">
        <v>2849</v>
      </c>
      <c r="V938" t="s">
        <v>594</v>
      </c>
    </row>
    <row r="939" spans="1:22" x14ac:dyDescent="0.45">
      <c r="A939" t="s">
        <v>3180</v>
      </c>
      <c r="B939" t="s">
        <v>3181</v>
      </c>
      <c r="C939" t="str">
        <f t="shared" si="85"/>
        <v>VC43ET01</v>
      </c>
      <c r="E939" t="s">
        <v>2458</v>
      </c>
      <c r="F939" t="s">
        <v>528</v>
      </c>
      <c r="G939" s="362" t="s">
        <v>3182</v>
      </c>
      <c r="H939">
        <v>2015</v>
      </c>
      <c r="I939" s="68">
        <v>4.1761180807911805E-3</v>
      </c>
      <c r="K939" t="s">
        <v>3183</v>
      </c>
      <c r="L939" t="s">
        <v>1943</v>
      </c>
      <c r="O939" s="68">
        <f t="shared" ref="O939:O961" si="88">I939</f>
        <v>4.1761180807911805E-3</v>
      </c>
      <c r="T939">
        <v>1</v>
      </c>
      <c r="U939" t="s">
        <v>2868</v>
      </c>
      <c r="V939" t="s">
        <v>806</v>
      </c>
    </row>
    <row r="940" spans="1:22" x14ac:dyDescent="0.45">
      <c r="A940" t="s">
        <v>3180</v>
      </c>
      <c r="B940" t="s">
        <v>3181</v>
      </c>
      <c r="C940" t="str">
        <f t="shared" si="85"/>
        <v>VC43ET02</v>
      </c>
      <c r="E940" t="s">
        <v>2458</v>
      </c>
      <c r="F940" t="s">
        <v>528</v>
      </c>
      <c r="G940" s="362" t="s">
        <v>3182</v>
      </c>
      <c r="H940">
        <v>2015</v>
      </c>
      <c r="I940" s="68">
        <v>8.6507533626304538E-4</v>
      </c>
      <c r="K940" t="s">
        <v>3183</v>
      </c>
      <c r="L940" t="s">
        <v>1943</v>
      </c>
      <c r="O940" s="68">
        <f t="shared" si="88"/>
        <v>8.6507533626304538E-4</v>
      </c>
      <c r="T940">
        <v>1</v>
      </c>
      <c r="U940" t="s">
        <v>2869</v>
      </c>
      <c r="V940" t="s">
        <v>2946</v>
      </c>
    </row>
    <row r="941" spans="1:22" x14ac:dyDescent="0.45">
      <c r="A941" t="s">
        <v>3180</v>
      </c>
      <c r="B941" t="s">
        <v>3181</v>
      </c>
      <c r="C941" t="str">
        <f t="shared" si="85"/>
        <v>VC43ET03</v>
      </c>
      <c r="E941" t="s">
        <v>2458</v>
      </c>
      <c r="F941" t="s">
        <v>528</v>
      </c>
      <c r="G941" s="362" t="s">
        <v>3182</v>
      </c>
      <c r="H941">
        <v>2015</v>
      </c>
      <c r="I941" s="68">
        <v>5.2961877439969256E-3</v>
      </c>
      <c r="K941" t="s">
        <v>3183</v>
      </c>
      <c r="L941" t="s">
        <v>1943</v>
      </c>
      <c r="O941" s="68">
        <f t="shared" si="88"/>
        <v>5.2961877439969256E-3</v>
      </c>
      <c r="T941">
        <v>1</v>
      </c>
      <c r="U941" t="s">
        <v>2871</v>
      </c>
      <c r="V941" t="s">
        <v>805</v>
      </c>
    </row>
    <row r="942" spans="1:22" x14ac:dyDescent="0.45">
      <c r="A942" t="s">
        <v>3180</v>
      </c>
      <c r="B942" t="s">
        <v>3181</v>
      </c>
      <c r="C942" t="str">
        <f t="shared" si="85"/>
        <v>VC43ET04</v>
      </c>
      <c r="E942" t="s">
        <v>2458</v>
      </c>
      <c r="F942" t="s">
        <v>528</v>
      </c>
      <c r="G942" s="362" t="s">
        <v>3182</v>
      </c>
      <c r="H942">
        <v>2015</v>
      </c>
      <c r="I942" s="68">
        <v>4.2704089902162855E-3</v>
      </c>
      <c r="K942" t="s">
        <v>3183</v>
      </c>
      <c r="L942" t="s">
        <v>1943</v>
      </c>
      <c r="O942" s="68">
        <f t="shared" si="88"/>
        <v>4.2704089902162855E-3</v>
      </c>
      <c r="T942">
        <v>1</v>
      </c>
      <c r="U942" t="s">
        <v>2872</v>
      </c>
      <c r="V942" t="s">
        <v>809</v>
      </c>
    </row>
    <row r="943" spans="1:22" x14ac:dyDescent="0.45">
      <c r="A943" t="s">
        <v>3180</v>
      </c>
      <c r="B943" t="s">
        <v>3181</v>
      </c>
      <c r="C943" t="str">
        <f t="shared" si="85"/>
        <v>VC43ET05</v>
      </c>
      <c r="E943" t="s">
        <v>2458</v>
      </c>
      <c r="F943" t="s">
        <v>528</v>
      </c>
      <c r="G943" s="362" t="s">
        <v>3182</v>
      </c>
      <c r="H943">
        <v>2015</v>
      </c>
      <c r="I943" s="68">
        <v>0</v>
      </c>
      <c r="K943" t="s">
        <v>3183</v>
      </c>
      <c r="L943" t="s">
        <v>1943</v>
      </c>
      <c r="O943" s="68">
        <f t="shared" si="88"/>
        <v>0</v>
      </c>
      <c r="T943">
        <v>1</v>
      </c>
      <c r="U943" t="s">
        <v>2873</v>
      </c>
      <c r="V943" t="s">
        <v>2874</v>
      </c>
    </row>
    <row r="944" spans="1:22" x14ac:dyDescent="0.45">
      <c r="A944" t="s">
        <v>3180</v>
      </c>
      <c r="B944" t="s">
        <v>3181</v>
      </c>
      <c r="C944" t="str">
        <f t="shared" si="85"/>
        <v>VC43ET06</v>
      </c>
      <c r="E944" t="s">
        <v>2458</v>
      </c>
      <c r="F944" t="s">
        <v>528</v>
      </c>
      <c r="G944" s="362" t="s">
        <v>3182</v>
      </c>
      <c r="H944">
        <v>2015</v>
      </c>
      <c r="I944" s="68">
        <v>2.1634357480036243E-2</v>
      </c>
      <c r="K944" t="s">
        <v>3183</v>
      </c>
      <c r="L944" t="s">
        <v>1943</v>
      </c>
      <c r="O944" s="68">
        <f t="shared" si="88"/>
        <v>2.1634357480036243E-2</v>
      </c>
      <c r="T944">
        <v>1</v>
      </c>
      <c r="U944" t="s">
        <v>2876</v>
      </c>
      <c r="V944" t="s">
        <v>2877</v>
      </c>
    </row>
    <row r="945" spans="1:22" x14ac:dyDescent="0.45">
      <c r="A945" t="s">
        <v>3180</v>
      </c>
      <c r="B945" t="s">
        <v>3181</v>
      </c>
      <c r="C945" t="str">
        <f t="shared" si="85"/>
        <v>VC43ET07</v>
      </c>
      <c r="E945" t="s">
        <v>2458</v>
      </c>
      <c r="F945" t="s">
        <v>528</v>
      </c>
      <c r="G945" s="362" t="s">
        <v>3182</v>
      </c>
      <c r="H945">
        <v>2015</v>
      </c>
      <c r="I945" s="68">
        <v>6.2780507385861465E-3</v>
      </c>
      <c r="K945" t="s">
        <v>3183</v>
      </c>
      <c r="L945" t="s">
        <v>1943</v>
      </c>
      <c r="O945" s="68">
        <f t="shared" si="88"/>
        <v>6.2780507385861465E-3</v>
      </c>
      <c r="T945">
        <v>1</v>
      </c>
      <c r="U945" t="s">
        <v>2878</v>
      </c>
      <c r="V945" t="s">
        <v>2879</v>
      </c>
    </row>
    <row r="946" spans="1:22" x14ac:dyDescent="0.45">
      <c r="A946" t="s">
        <v>3180</v>
      </c>
      <c r="B946" t="s">
        <v>3181</v>
      </c>
      <c r="C946" t="str">
        <f t="shared" si="85"/>
        <v>VC43ET12</v>
      </c>
      <c r="E946" t="s">
        <v>2458</v>
      </c>
      <c r="F946" t="s">
        <v>528</v>
      </c>
      <c r="G946" s="362" t="s">
        <v>3182</v>
      </c>
      <c r="H946">
        <v>2015</v>
      </c>
      <c r="I946" s="68">
        <v>1.7053149037208355E-2</v>
      </c>
      <c r="K946" t="s">
        <v>3183</v>
      </c>
      <c r="L946" t="s">
        <v>1943</v>
      </c>
      <c r="O946" s="68">
        <f t="shared" si="88"/>
        <v>1.7053149037208355E-2</v>
      </c>
      <c r="T946">
        <v>1</v>
      </c>
      <c r="U946" t="s">
        <v>2880</v>
      </c>
      <c r="V946" t="s">
        <v>2881</v>
      </c>
    </row>
    <row r="947" spans="1:22" x14ac:dyDescent="0.45">
      <c r="A947" t="s">
        <v>3180</v>
      </c>
      <c r="B947" t="s">
        <v>3181</v>
      </c>
      <c r="C947" t="str">
        <f t="shared" si="85"/>
        <v>VC43ET13</v>
      </c>
      <c r="E947" t="s">
        <v>2458</v>
      </c>
      <c r="F947" t="s">
        <v>528</v>
      </c>
      <c r="G947" s="362" t="s">
        <v>3182</v>
      </c>
      <c r="H947">
        <v>2015</v>
      </c>
      <c r="I947" s="68">
        <v>2.8261833333333331E-3</v>
      </c>
      <c r="K947" t="s">
        <v>3183</v>
      </c>
      <c r="L947" t="s">
        <v>1943</v>
      </c>
      <c r="O947" s="68">
        <f t="shared" si="88"/>
        <v>2.8261833333333331E-3</v>
      </c>
      <c r="T947">
        <v>1</v>
      </c>
      <c r="U947" t="s">
        <v>2882</v>
      </c>
      <c r="V947" t="s">
        <v>2883</v>
      </c>
    </row>
    <row r="948" spans="1:22" x14ac:dyDescent="0.45">
      <c r="A948" t="s">
        <v>3180</v>
      </c>
      <c r="B948" t="s">
        <v>3181</v>
      </c>
      <c r="C948" t="str">
        <f t="shared" si="85"/>
        <v>VC43ET14</v>
      </c>
      <c r="E948" t="s">
        <v>2458</v>
      </c>
      <c r="F948" t="s">
        <v>528</v>
      </c>
      <c r="G948" s="362" t="s">
        <v>3182</v>
      </c>
      <c r="H948">
        <v>2015</v>
      </c>
      <c r="I948" s="68">
        <v>0</v>
      </c>
      <c r="K948" t="s">
        <v>3183</v>
      </c>
      <c r="L948" t="s">
        <v>1943</v>
      </c>
      <c r="O948" s="68">
        <f t="shared" si="88"/>
        <v>0</v>
      </c>
      <c r="T948">
        <v>1</v>
      </c>
      <c r="U948" t="s">
        <v>2884</v>
      </c>
      <c r="V948" t="s">
        <v>814</v>
      </c>
    </row>
    <row r="949" spans="1:22" x14ac:dyDescent="0.45">
      <c r="A949" t="s">
        <v>3180</v>
      </c>
      <c r="B949" t="s">
        <v>3181</v>
      </c>
      <c r="C949" t="str">
        <f t="shared" si="85"/>
        <v>VC43ET15</v>
      </c>
      <c r="E949" t="s">
        <v>2458</v>
      </c>
      <c r="F949" t="s">
        <v>528</v>
      </c>
      <c r="G949" s="362" t="s">
        <v>3182</v>
      </c>
      <c r="H949">
        <v>2015</v>
      </c>
      <c r="I949" s="68">
        <v>0</v>
      </c>
      <c r="K949" t="s">
        <v>3183</v>
      </c>
      <c r="L949" t="s">
        <v>1943</v>
      </c>
      <c r="O949" s="68">
        <f t="shared" si="88"/>
        <v>0</v>
      </c>
      <c r="T949">
        <v>1</v>
      </c>
      <c r="U949" t="s">
        <v>2885</v>
      </c>
      <c r="V949" t="s">
        <v>2886</v>
      </c>
    </row>
    <row r="950" spans="1:22" x14ac:dyDescent="0.45">
      <c r="A950" t="s">
        <v>3184</v>
      </c>
      <c r="B950" t="s">
        <v>3185</v>
      </c>
      <c r="C950" t="str">
        <f t="shared" si="85"/>
        <v>VC44ET</v>
      </c>
      <c r="D950" t="s">
        <v>2738</v>
      </c>
      <c r="E950" t="s">
        <v>2462</v>
      </c>
      <c r="F950" t="s">
        <v>528</v>
      </c>
      <c r="G950" s="362" t="s">
        <v>3186</v>
      </c>
      <c r="H950">
        <v>2019</v>
      </c>
      <c r="I950" s="68">
        <f>8.3%/8</f>
        <v>1.0375000000000001E-2</v>
      </c>
      <c r="J950" s="68"/>
      <c r="K950" t="s">
        <v>3187</v>
      </c>
      <c r="L950" t="s">
        <v>2972</v>
      </c>
      <c r="O950" s="68">
        <f t="shared" si="88"/>
        <v>1.0375000000000001E-2</v>
      </c>
      <c r="P950" t="s">
        <v>2195</v>
      </c>
      <c r="Q950" s="373">
        <v>1</v>
      </c>
      <c r="R950" t="s">
        <v>2973</v>
      </c>
      <c r="S950" s="54">
        <v>0.77</v>
      </c>
      <c r="T950">
        <v>0</v>
      </c>
      <c r="U950" t="s">
        <v>2849</v>
      </c>
      <c r="V950" t="s">
        <v>594</v>
      </c>
    </row>
    <row r="951" spans="1:22" x14ac:dyDescent="0.45">
      <c r="A951" t="s">
        <v>3184</v>
      </c>
      <c r="B951" t="s">
        <v>3185</v>
      </c>
      <c r="C951" t="str">
        <f t="shared" si="85"/>
        <v>VC44ET01</v>
      </c>
      <c r="E951" t="s">
        <v>2462</v>
      </c>
      <c r="F951" t="s">
        <v>528</v>
      </c>
      <c r="G951" s="362" t="s">
        <v>3186</v>
      </c>
      <c r="H951">
        <v>2019</v>
      </c>
      <c r="I951" s="68">
        <f>8.3%/8</f>
        <v>1.0375000000000001E-2</v>
      </c>
      <c r="J951" s="68"/>
      <c r="K951" t="s">
        <v>3187</v>
      </c>
      <c r="L951" t="s">
        <v>2972</v>
      </c>
      <c r="O951" s="68">
        <f t="shared" si="88"/>
        <v>1.0375000000000001E-2</v>
      </c>
      <c r="P951" t="s">
        <v>2195</v>
      </c>
      <c r="Q951" s="373">
        <v>1</v>
      </c>
      <c r="R951" t="s">
        <v>2973</v>
      </c>
      <c r="S951" s="54"/>
      <c r="T951">
        <v>1</v>
      </c>
      <c r="U951" t="s">
        <v>2868</v>
      </c>
      <c r="V951" t="s">
        <v>806</v>
      </c>
    </row>
    <row r="952" spans="1:22" x14ac:dyDescent="0.45">
      <c r="A952" t="s">
        <v>3184</v>
      </c>
      <c r="B952" t="s">
        <v>3185</v>
      </c>
      <c r="C952" t="str">
        <f t="shared" si="85"/>
        <v>VC44ET02</v>
      </c>
      <c r="E952" t="s">
        <v>2462</v>
      </c>
      <c r="F952" t="s">
        <v>528</v>
      </c>
      <c r="G952" s="362" t="s">
        <v>3186</v>
      </c>
      <c r="H952">
        <v>2019</v>
      </c>
      <c r="I952" s="68">
        <f>3.5%/8</f>
        <v>4.3750000000000004E-3</v>
      </c>
      <c r="J952" s="68"/>
      <c r="K952" t="s">
        <v>3187</v>
      </c>
      <c r="L952" t="s">
        <v>2972</v>
      </c>
      <c r="O952" s="68">
        <f t="shared" si="88"/>
        <v>4.3750000000000004E-3</v>
      </c>
      <c r="P952" t="s">
        <v>2195</v>
      </c>
      <c r="Q952" s="373">
        <v>1</v>
      </c>
      <c r="R952" t="s">
        <v>2973</v>
      </c>
      <c r="S952" s="54"/>
      <c r="T952">
        <v>1</v>
      </c>
      <c r="U952" t="s">
        <v>2869</v>
      </c>
      <c r="V952" t="s">
        <v>2946</v>
      </c>
    </row>
    <row r="953" spans="1:22" x14ac:dyDescent="0.45">
      <c r="A953" t="s">
        <v>3184</v>
      </c>
      <c r="B953" t="s">
        <v>3185</v>
      </c>
      <c r="C953" t="str">
        <f t="shared" si="85"/>
        <v>VC44ET03</v>
      </c>
      <c r="E953" t="s">
        <v>2462</v>
      </c>
      <c r="F953" t="s">
        <v>528</v>
      </c>
      <c r="G953" s="362" t="s">
        <v>3186</v>
      </c>
      <c r="H953">
        <v>2019</v>
      </c>
      <c r="I953" s="68">
        <f>8.3%/8</f>
        <v>1.0375000000000001E-2</v>
      </c>
      <c r="J953" s="68" t="s">
        <v>3188</v>
      </c>
      <c r="K953" t="s">
        <v>3187</v>
      </c>
      <c r="L953" t="s">
        <v>2195</v>
      </c>
      <c r="O953" s="68">
        <f t="shared" si="88"/>
        <v>1.0375000000000001E-2</v>
      </c>
      <c r="P953" t="s">
        <v>2195</v>
      </c>
      <c r="Q953" s="373">
        <v>1</v>
      </c>
      <c r="R953" t="s">
        <v>2973</v>
      </c>
      <c r="S953" s="54"/>
      <c r="T953">
        <v>1</v>
      </c>
      <c r="U953" t="s">
        <v>2871</v>
      </c>
      <c r="V953" t="s">
        <v>805</v>
      </c>
    </row>
    <row r="954" spans="1:22" x14ac:dyDescent="0.45">
      <c r="A954" t="s">
        <v>3184</v>
      </c>
      <c r="B954" t="s">
        <v>3185</v>
      </c>
      <c r="C954" t="str">
        <f t="shared" si="85"/>
        <v>VC44ET04</v>
      </c>
      <c r="E954" t="s">
        <v>2462</v>
      </c>
      <c r="F954" t="s">
        <v>528</v>
      </c>
      <c r="G954" s="362" t="s">
        <v>3186</v>
      </c>
      <c r="H954">
        <v>2019</v>
      </c>
      <c r="I954" s="68">
        <f>8.3%/8</f>
        <v>1.0375000000000001E-2</v>
      </c>
      <c r="J954" s="68"/>
      <c r="K954" t="s">
        <v>3187</v>
      </c>
      <c r="L954" t="s">
        <v>2972</v>
      </c>
      <c r="O954" s="68">
        <f t="shared" si="88"/>
        <v>1.0375000000000001E-2</v>
      </c>
      <c r="P954" t="s">
        <v>2195</v>
      </c>
      <c r="Q954" s="373">
        <v>1</v>
      </c>
      <c r="R954" t="s">
        <v>2973</v>
      </c>
      <c r="S954" s="54"/>
      <c r="T954">
        <v>1</v>
      </c>
      <c r="U954" t="s">
        <v>2872</v>
      </c>
      <c r="V954" t="s">
        <v>809</v>
      </c>
    </row>
    <row r="955" spans="1:22" x14ac:dyDescent="0.45">
      <c r="A955" t="s">
        <v>3184</v>
      </c>
      <c r="B955" t="s">
        <v>3185</v>
      </c>
      <c r="C955" t="str">
        <f t="shared" si="85"/>
        <v>VC44ET05</v>
      </c>
      <c r="E955" t="s">
        <v>2462</v>
      </c>
      <c r="F955" t="s">
        <v>528</v>
      </c>
      <c r="G955" s="362" t="s">
        <v>3186</v>
      </c>
      <c r="H955">
        <v>2019</v>
      </c>
      <c r="I955" s="68">
        <f>8.3%/8</f>
        <v>1.0375000000000001E-2</v>
      </c>
      <c r="J955" s="68"/>
      <c r="K955" t="s">
        <v>3187</v>
      </c>
      <c r="L955" t="s">
        <v>2972</v>
      </c>
      <c r="O955" s="68">
        <f t="shared" si="88"/>
        <v>1.0375000000000001E-2</v>
      </c>
      <c r="P955" t="s">
        <v>2195</v>
      </c>
      <c r="Q955" s="373">
        <v>1</v>
      </c>
      <c r="R955" t="s">
        <v>2973</v>
      </c>
      <c r="S955" s="54"/>
      <c r="T955">
        <v>1</v>
      </c>
      <c r="U955" t="s">
        <v>2873</v>
      </c>
      <c r="V955" t="s">
        <v>2874</v>
      </c>
    </row>
    <row r="956" spans="1:22" x14ac:dyDescent="0.45">
      <c r="A956" t="s">
        <v>3184</v>
      </c>
      <c r="B956" t="s">
        <v>3185</v>
      </c>
      <c r="C956" t="str">
        <f t="shared" si="85"/>
        <v>VC44ET06</v>
      </c>
      <c r="E956" t="s">
        <v>2462</v>
      </c>
      <c r="F956" t="s">
        <v>528</v>
      </c>
      <c r="G956" s="362" t="s">
        <v>3186</v>
      </c>
      <c r="H956">
        <v>2019</v>
      </c>
      <c r="I956" s="68">
        <f>3.5%/8</f>
        <v>4.3750000000000004E-3</v>
      </c>
      <c r="J956" s="68"/>
      <c r="K956" t="s">
        <v>3187</v>
      </c>
      <c r="L956" t="s">
        <v>2972</v>
      </c>
      <c r="O956" s="68">
        <f t="shared" si="88"/>
        <v>4.3750000000000004E-3</v>
      </c>
      <c r="P956" t="s">
        <v>2195</v>
      </c>
      <c r="Q956" s="373">
        <v>1</v>
      </c>
      <c r="R956" t="s">
        <v>2973</v>
      </c>
      <c r="S956" s="54"/>
      <c r="T956">
        <v>1</v>
      </c>
      <c r="U956" t="s">
        <v>2876</v>
      </c>
      <c r="V956" t="s">
        <v>2877</v>
      </c>
    </row>
    <row r="957" spans="1:22" x14ac:dyDescent="0.45">
      <c r="A957" t="s">
        <v>3189</v>
      </c>
      <c r="B957" t="s">
        <v>3185</v>
      </c>
      <c r="C957" t="str">
        <f t="shared" si="85"/>
        <v>VC44ET07</v>
      </c>
      <c r="E957" t="s">
        <v>2462</v>
      </c>
      <c r="F957" t="s">
        <v>528</v>
      </c>
      <c r="G957" s="362" t="s">
        <v>3186</v>
      </c>
      <c r="H957">
        <v>2019</v>
      </c>
      <c r="I957" s="68">
        <f>8.93%/8</f>
        <v>1.1162499999999999E-2</v>
      </c>
      <c r="J957" s="68"/>
      <c r="K957" t="s">
        <v>3187</v>
      </c>
      <c r="L957" t="s">
        <v>2195</v>
      </c>
      <c r="O957" s="68">
        <f t="shared" si="88"/>
        <v>1.1162499999999999E-2</v>
      </c>
      <c r="P957" t="s">
        <v>2195</v>
      </c>
      <c r="Q957" s="373">
        <v>1</v>
      </c>
      <c r="R957" t="s">
        <v>2973</v>
      </c>
      <c r="T957">
        <v>1</v>
      </c>
      <c r="U957" t="s">
        <v>2878</v>
      </c>
      <c r="V957" t="s">
        <v>2879</v>
      </c>
    </row>
    <row r="958" spans="1:22" x14ac:dyDescent="0.45">
      <c r="A958" t="s">
        <v>3184</v>
      </c>
      <c r="B958" t="s">
        <v>3185</v>
      </c>
      <c r="C958" t="str">
        <f t="shared" si="85"/>
        <v>VC44ET12</v>
      </c>
      <c r="E958" t="s">
        <v>2462</v>
      </c>
      <c r="F958" t="s">
        <v>528</v>
      </c>
      <c r="G958" s="362" t="s">
        <v>3186</v>
      </c>
      <c r="H958">
        <v>2019</v>
      </c>
      <c r="I958" s="68">
        <f>8.3%/8</f>
        <v>1.0375000000000001E-2</v>
      </c>
      <c r="J958" s="68"/>
      <c r="K958" t="s">
        <v>3187</v>
      </c>
      <c r="L958" t="s">
        <v>2972</v>
      </c>
      <c r="O958" s="68">
        <f t="shared" si="88"/>
        <v>1.0375000000000001E-2</v>
      </c>
      <c r="P958" t="s">
        <v>2195</v>
      </c>
      <c r="Q958" s="373">
        <v>1</v>
      </c>
      <c r="R958" t="s">
        <v>2973</v>
      </c>
      <c r="T958">
        <v>1</v>
      </c>
      <c r="U958" t="s">
        <v>2880</v>
      </c>
      <c r="V958" t="s">
        <v>2881</v>
      </c>
    </row>
    <row r="959" spans="1:22" x14ac:dyDescent="0.45">
      <c r="A959" t="s">
        <v>3184</v>
      </c>
      <c r="B959" t="s">
        <v>3185</v>
      </c>
      <c r="C959" t="str">
        <f t="shared" si="85"/>
        <v>VC44ET13</v>
      </c>
      <c r="E959" t="s">
        <v>2462</v>
      </c>
      <c r="F959" t="s">
        <v>528</v>
      </c>
      <c r="G959" s="362" t="s">
        <v>3186</v>
      </c>
      <c r="H959">
        <v>2019</v>
      </c>
      <c r="I959" s="68">
        <f>3.5%/8</f>
        <v>4.3750000000000004E-3</v>
      </c>
      <c r="J959" s="68"/>
      <c r="K959" t="s">
        <v>3187</v>
      </c>
      <c r="L959" t="s">
        <v>2972</v>
      </c>
      <c r="O959" s="68">
        <f t="shared" si="88"/>
        <v>4.3750000000000004E-3</v>
      </c>
      <c r="P959" t="s">
        <v>2195</v>
      </c>
      <c r="Q959" s="373">
        <v>1</v>
      </c>
      <c r="R959" t="s">
        <v>2973</v>
      </c>
      <c r="T959">
        <v>1</v>
      </c>
      <c r="U959" t="s">
        <v>2882</v>
      </c>
      <c r="V959" t="s">
        <v>2883</v>
      </c>
    </row>
    <row r="960" spans="1:22" x14ac:dyDescent="0.45">
      <c r="A960" t="s">
        <v>3190</v>
      </c>
      <c r="B960" t="s">
        <v>3185</v>
      </c>
      <c r="C960" t="str">
        <f t="shared" si="85"/>
        <v>VC44ET14</v>
      </c>
      <c r="E960" t="s">
        <v>2462</v>
      </c>
      <c r="F960" t="s">
        <v>528</v>
      </c>
      <c r="G960" s="362" t="s">
        <v>3186</v>
      </c>
      <c r="H960">
        <v>2019</v>
      </c>
      <c r="I960" s="68">
        <f>0.5%/8</f>
        <v>6.2500000000000001E-4</v>
      </c>
      <c r="J960" s="68"/>
      <c r="K960" t="s">
        <v>3187</v>
      </c>
      <c r="L960" t="s">
        <v>2195</v>
      </c>
      <c r="O960" s="68">
        <f t="shared" si="88"/>
        <v>6.2500000000000001E-4</v>
      </c>
      <c r="P960" t="s">
        <v>2195</v>
      </c>
      <c r="Q960" s="373">
        <v>1</v>
      </c>
      <c r="R960" t="s">
        <v>2973</v>
      </c>
      <c r="T960">
        <v>1</v>
      </c>
      <c r="U960" t="s">
        <v>2884</v>
      </c>
      <c r="V960" t="s">
        <v>814</v>
      </c>
    </row>
    <row r="961" spans="1:22" x14ac:dyDescent="0.45">
      <c r="A961" t="s">
        <v>3190</v>
      </c>
      <c r="B961" t="s">
        <v>3185</v>
      </c>
      <c r="C961" t="str">
        <f t="shared" si="85"/>
        <v>VC44ET15</v>
      </c>
      <c r="E961" t="s">
        <v>2462</v>
      </c>
      <c r="F961" t="s">
        <v>528</v>
      </c>
      <c r="G961" s="362" t="s">
        <v>3186</v>
      </c>
      <c r="H961">
        <v>2019</v>
      </c>
      <c r="I961" s="68">
        <f>0.5%/8</f>
        <v>6.2500000000000001E-4</v>
      </c>
      <c r="J961" s="68"/>
      <c r="K961" t="s">
        <v>3187</v>
      </c>
      <c r="L961" t="s">
        <v>2195</v>
      </c>
      <c r="O961" s="68">
        <f t="shared" si="88"/>
        <v>6.2500000000000001E-4</v>
      </c>
      <c r="P961" t="s">
        <v>2195</v>
      </c>
      <c r="Q961" s="373">
        <v>1</v>
      </c>
      <c r="R961" t="s">
        <v>2973</v>
      </c>
      <c r="T961">
        <v>1</v>
      </c>
      <c r="U961" t="s">
        <v>2885</v>
      </c>
      <c r="V961" t="s">
        <v>2886</v>
      </c>
    </row>
    <row r="962" spans="1:22" x14ac:dyDescent="0.45">
      <c r="A962" t="s">
        <v>3191</v>
      </c>
      <c r="B962" t="s">
        <v>3192</v>
      </c>
      <c r="C962" t="str">
        <f t="shared" si="85"/>
        <v>VC45ET</v>
      </c>
      <c r="D962" t="s">
        <v>2747</v>
      </c>
      <c r="E962" t="s">
        <v>2475</v>
      </c>
      <c r="F962" t="s">
        <v>528</v>
      </c>
      <c r="G962" s="362" t="s">
        <v>3186</v>
      </c>
      <c r="H962" t="s">
        <v>3193</v>
      </c>
      <c r="I962" s="364">
        <v>33.4</v>
      </c>
      <c r="J962" s="364"/>
      <c r="K962" t="s">
        <v>3194</v>
      </c>
      <c r="O962" s="68">
        <f>I962/100</f>
        <v>0.33399999999999996</v>
      </c>
      <c r="P962" t="s">
        <v>2909</v>
      </c>
      <c r="T962">
        <v>0</v>
      </c>
      <c r="U962" t="s">
        <v>2849</v>
      </c>
      <c r="V962" t="s">
        <v>594</v>
      </c>
    </row>
    <row r="963" spans="1:22" x14ac:dyDescent="0.45">
      <c r="E963" t="s">
        <v>2490</v>
      </c>
      <c r="G963"/>
      <c r="Q963"/>
    </row>
  </sheetData>
  <phoneticPr fontId="37" type="noConversion"/>
  <pageMargins left="0.7" right="0.7" top="0.75" bottom="0.75" header="0.3" footer="0.3"/>
  <pageSetup orientation="portrait"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2E3A8-0ADC-43EB-8D3E-CB4250A63032}">
  <sheetPr>
    <tabColor theme="9" tint="0.59999389629810485"/>
  </sheetPr>
  <dimension ref="B2:AG72"/>
  <sheetViews>
    <sheetView topLeftCell="P45" zoomScale="80" zoomScaleNormal="80" workbookViewId="0">
      <selection activeCell="AD58" sqref="AD58"/>
    </sheetView>
  </sheetViews>
  <sheetFormatPr defaultRowHeight="14.25" x14ac:dyDescent="0.45"/>
  <cols>
    <col min="12" max="20" width="12.46484375" customWidth="1"/>
    <col min="21" max="21" width="11.53125" customWidth="1"/>
    <col min="29" max="29" width="12" bestFit="1" customWidth="1"/>
    <col min="30" max="30" width="10.19921875" bestFit="1" customWidth="1"/>
    <col min="31" max="31" width="9.19921875" bestFit="1" customWidth="1"/>
  </cols>
  <sheetData>
    <row r="2" spans="2:17" x14ac:dyDescent="0.45">
      <c r="Q2" t="s">
        <v>799</v>
      </c>
    </row>
    <row r="4" spans="2:17" x14ac:dyDescent="0.45">
      <c r="B4" t="s">
        <v>800</v>
      </c>
    </row>
    <row r="21" spans="12:20" x14ac:dyDescent="0.45">
      <c r="M21" t="s">
        <v>801</v>
      </c>
    </row>
    <row r="22" spans="12:20" x14ac:dyDescent="0.45">
      <c r="M22" t="s">
        <v>802</v>
      </c>
      <c r="N22" t="s">
        <v>803</v>
      </c>
      <c r="O22" t="s">
        <v>804</v>
      </c>
    </row>
    <row r="23" spans="12:20" x14ac:dyDescent="0.45">
      <c r="L23" t="s">
        <v>805</v>
      </c>
      <c r="M23">
        <v>34.5</v>
      </c>
      <c r="N23">
        <v>10</v>
      </c>
      <c r="O23" s="54">
        <f>T27</f>
        <v>9.1462182718789392E-2</v>
      </c>
    </row>
    <row r="24" spans="12:20" x14ac:dyDescent="0.45">
      <c r="L24" t="s">
        <v>806</v>
      </c>
      <c r="M24">
        <v>40.5</v>
      </c>
      <c r="N24">
        <v>10</v>
      </c>
      <c r="O24" s="54">
        <f>T28</f>
        <v>0.19550000000000001</v>
      </c>
    </row>
    <row r="25" spans="12:20" x14ac:dyDescent="0.45">
      <c r="L25" t="s">
        <v>807</v>
      </c>
      <c r="M25">
        <v>25.25</v>
      </c>
      <c r="N25">
        <v>10</v>
      </c>
      <c r="O25" s="54">
        <f>T29</f>
        <v>8.569319554422225E-2</v>
      </c>
      <c r="Q25" t="s">
        <v>808</v>
      </c>
    </row>
    <row r="26" spans="12:20" x14ac:dyDescent="0.45">
      <c r="L26" t="s">
        <v>809</v>
      </c>
      <c r="M26">
        <v>38.5</v>
      </c>
      <c r="N26">
        <v>10</v>
      </c>
      <c r="O26" s="54">
        <f>T30</f>
        <v>9.1462182718789392E-2</v>
      </c>
      <c r="R26" t="s">
        <v>810</v>
      </c>
      <c r="S26" t="s">
        <v>811</v>
      </c>
      <c r="T26" t="s">
        <v>804</v>
      </c>
    </row>
    <row r="27" spans="12:20" x14ac:dyDescent="0.45">
      <c r="L27" t="s">
        <v>812</v>
      </c>
      <c r="M27">
        <v>29.75</v>
      </c>
      <c r="N27">
        <v>4</v>
      </c>
      <c r="O27" s="54">
        <f>T31</f>
        <v>1</v>
      </c>
      <c r="Q27" t="s">
        <v>805</v>
      </c>
      <c r="R27" s="110">
        <v>12568982</v>
      </c>
      <c r="S27" s="110">
        <v>1265315</v>
      </c>
      <c r="T27" s="61">
        <f>S27/SUM(R27:S27)</f>
        <v>9.1462182718789392E-2</v>
      </c>
    </row>
    <row r="28" spans="12:20" x14ac:dyDescent="0.45">
      <c r="M28" t="s">
        <v>813</v>
      </c>
      <c r="N28" s="60">
        <f>SUMPRODUCT(M23:M27,N23:N27)/SUM(N23:N27)</f>
        <v>34.238636363636367</v>
      </c>
      <c r="O28" s="90">
        <f>SUMPRODUCT(O23:O27,M23:M27)/SUM(O23:O27)</f>
        <v>31.765374424425296</v>
      </c>
      <c r="Q28" t="s">
        <v>806</v>
      </c>
      <c r="R28" s="6">
        <f>S28/T28-S28</f>
        <v>3473300.1534526851</v>
      </c>
      <c r="S28" s="110">
        <v>844040</v>
      </c>
      <c r="T28" s="54">
        <v>0.19550000000000001</v>
      </c>
    </row>
    <row r="29" spans="12:20" x14ac:dyDescent="0.45">
      <c r="Q29" t="s">
        <v>807</v>
      </c>
      <c r="R29" s="110">
        <v>13625000</v>
      </c>
      <c r="S29" s="110">
        <v>1277000</v>
      </c>
      <c r="T29" s="61">
        <f>S29/SUM(R29:S29)</f>
        <v>8.569319554422225E-2</v>
      </c>
    </row>
    <row r="30" spans="12:20" x14ac:dyDescent="0.45">
      <c r="Q30" t="s">
        <v>809</v>
      </c>
      <c r="R30" s="110">
        <v>12568982</v>
      </c>
      <c r="S30" s="110">
        <v>1265315</v>
      </c>
      <c r="T30" s="61">
        <f>S30/SUM(R30:S30)</f>
        <v>9.1462182718789392E-2</v>
      </c>
    </row>
    <row r="31" spans="12:20" x14ac:dyDescent="0.45">
      <c r="Q31" t="s">
        <v>814</v>
      </c>
      <c r="T31" s="54">
        <v>1</v>
      </c>
    </row>
    <row r="37" spans="20:33" x14ac:dyDescent="0.45">
      <c r="Z37" t="s">
        <v>815</v>
      </c>
    </row>
    <row r="38" spans="20:33" x14ac:dyDescent="0.45">
      <c r="Y38">
        <v>32</v>
      </c>
      <c r="Z38" t="s">
        <v>816</v>
      </c>
    </row>
    <row r="40" spans="20:33" ht="14.65" thickBot="1" x14ac:dyDescent="0.5"/>
    <row r="41" spans="20:33" x14ac:dyDescent="0.45">
      <c r="T41" s="92"/>
      <c r="U41" s="403" t="s">
        <v>817</v>
      </c>
      <c r="V41" s="404"/>
      <c r="W41" s="405"/>
      <c r="X41" s="97"/>
      <c r="Y41" s="403" t="s">
        <v>815</v>
      </c>
      <c r="Z41" s="404"/>
      <c r="AA41" s="405"/>
      <c r="AC41" s="92"/>
      <c r="AD41" s="404" t="s">
        <v>815</v>
      </c>
      <c r="AE41" s="404"/>
      <c r="AF41" s="405"/>
    </row>
    <row r="42" spans="20:33" ht="14.65" thickBot="1" x14ac:dyDescent="0.5">
      <c r="T42" s="93"/>
      <c r="U42" s="93" t="s">
        <v>212</v>
      </c>
      <c r="V42" s="95" t="s">
        <v>338</v>
      </c>
      <c r="W42" s="96" t="s">
        <v>339</v>
      </c>
      <c r="X42" s="95" t="s">
        <v>818</v>
      </c>
      <c r="Y42" s="93" t="s">
        <v>212</v>
      </c>
      <c r="Z42" s="95" t="s">
        <v>338</v>
      </c>
      <c r="AA42" s="96" t="s">
        <v>339</v>
      </c>
      <c r="AC42" s="93"/>
      <c r="AD42" s="95" t="s">
        <v>212</v>
      </c>
      <c r="AE42" s="95" t="s">
        <v>338</v>
      </c>
      <c r="AF42" s="96" t="s">
        <v>339</v>
      </c>
    </row>
    <row r="43" spans="20:33" x14ac:dyDescent="0.45">
      <c r="T43" s="64" t="s">
        <v>819</v>
      </c>
      <c r="U43" s="98">
        <v>0.128</v>
      </c>
      <c r="V43" s="68">
        <v>8.5999999999999993E-2</v>
      </c>
      <c r="W43" s="103">
        <v>0.14399999999999999</v>
      </c>
      <c r="X43" t="s">
        <v>820</v>
      </c>
      <c r="Y43" s="100">
        <f>$Y$38*U43</f>
        <v>4.0960000000000001</v>
      </c>
      <c r="Z43" s="65">
        <f t="shared" ref="Z43:Z53" si="0">$Y$38*V43</f>
        <v>2.7519999999999998</v>
      </c>
      <c r="AA43" s="70">
        <f t="shared" ref="AA43:AA53" si="1">$Y$38*W43</f>
        <v>4.6079999999999997</v>
      </c>
      <c r="AC43" s="64" t="s">
        <v>820</v>
      </c>
      <c r="AD43" s="65">
        <f t="shared" ref="AD43:AF46" si="2">SUMIFS(Y$43:Y$53,$X$43:$X$53,$AC43)</f>
        <v>12.064</v>
      </c>
      <c r="AE43" s="65">
        <f t="shared" si="2"/>
        <v>6.976</v>
      </c>
      <c r="AF43" s="70">
        <f t="shared" si="2"/>
        <v>13.983999999999998</v>
      </c>
      <c r="AG43" t="s">
        <v>821</v>
      </c>
    </row>
    <row r="44" spans="20:33" x14ac:dyDescent="0.45">
      <c r="T44" s="64" t="s">
        <v>822</v>
      </c>
      <c r="U44" s="98">
        <v>9.2999999999999999E-2</v>
      </c>
      <c r="V44" s="68">
        <v>0.10100000000000001</v>
      </c>
      <c r="W44" s="69">
        <v>0.09</v>
      </c>
      <c r="X44" t="s">
        <v>823</v>
      </c>
      <c r="Y44" s="100">
        <f t="shared" ref="Y44:Y53" si="3">$Y$38*U44</f>
        <v>2.976</v>
      </c>
      <c r="Z44" s="65">
        <f t="shared" si="0"/>
        <v>3.2320000000000002</v>
      </c>
      <c r="AA44" s="70">
        <f t="shared" si="1"/>
        <v>2.88</v>
      </c>
      <c r="AC44" s="64" t="s">
        <v>823</v>
      </c>
      <c r="AD44" s="65">
        <f t="shared" si="2"/>
        <v>8.7680000000000007</v>
      </c>
      <c r="AE44" s="65">
        <f t="shared" si="2"/>
        <v>13.952</v>
      </c>
      <c r="AF44" s="70">
        <f t="shared" si="2"/>
        <v>6.88</v>
      </c>
      <c r="AG44" t="s">
        <v>824</v>
      </c>
    </row>
    <row r="45" spans="20:33" x14ac:dyDescent="0.45">
      <c r="T45" s="64" t="s">
        <v>825</v>
      </c>
      <c r="U45" s="98">
        <v>8.0000000000000002E-3</v>
      </c>
      <c r="V45" s="68">
        <v>1.0999999999999999E-2</v>
      </c>
      <c r="W45" s="103">
        <v>7.0000000000000001E-3</v>
      </c>
      <c r="X45" t="s">
        <v>823</v>
      </c>
      <c r="Y45" s="100">
        <f t="shared" si="3"/>
        <v>0.25600000000000001</v>
      </c>
      <c r="Z45" s="65">
        <f t="shared" si="0"/>
        <v>0.35199999999999998</v>
      </c>
      <c r="AA45" s="70">
        <f t="shared" si="1"/>
        <v>0.224</v>
      </c>
      <c r="AC45" s="64" t="s">
        <v>826</v>
      </c>
      <c r="AD45" s="65">
        <f t="shared" si="2"/>
        <v>6.1760000000000002</v>
      </c>
      <c r="AE45" s="65">
        <f t="shared" si="2"/>
        <v>6.4960000000000004</v>
      </c>
      <c r="AF45" s="70">
        <f t="shared" si="2"/>
        <v>6.0160000000000009</v>
      </c>
      <c r="AG45" t="s">
        <v>827</v>
      </c>
    </row>
    <row r="46" spans="20:33" ht="14.65" thickBot="1" x14ac:dyDescent="0.5">
      <c r="T46" s="64" t="s">
        <v>828</v>
      </c>
      <c r="U46" s="98">
        <v>0.13200000000000001</v>
      </c>
      <c r="V46" s="68">
        <v>0.13600000000000001</v>
      </c>
      <c r="W46" s="69">
        <v>0.13</v>
      </c>
      <c r="X46" t="s">
        <v>826</v>
      </c>
      <c r="Y46" s="100">
        <f t="shared" si="3"/>
        <v>4.2240000000000002</v>
      </c>
      <c r="Z46" s="65">
        <f t="shared" si="0"/>
        <v>4.3520000000000003</v>
      </c>
      <c r="AA46" s="70">
        <f t="shared" si="1"/>
        <v>4.16</v>
      </c>
      <c r="AC46" s="93" t="s">
        <v>829</v>
      </c>
      <c r="AD46" s="94">
        <f t="shared" si="2"/>
        <v>4.96</v>
      </c>
      <c r="AE46" s="94">
        <f t="shared" si="2"/>
        <v>4.6079999999999997</v>
      </c>
      <c r="AF46" s="109">
        <f t="shared" si="2"/>
        <v>5.12</v>
      </c>
    </row>
    <row r="47" spans="20:33" ht="14.65" thickBot="1" x14ac:dyDescent="0.5">
      <c r="T47" s="64" t="s">
        <v>830</v>
      </c>
      <c r="U47" s="98">
        <v>1.2999999999999999E-2</v>
      </c>
      <c r="V47" s="68">
        <v>4.0000000000000001E-3</v>
      </c>
      <c r="W47" s="103">
        <v>1.6E-2</v>
      </c>
      <c r="X47" t="s">
        <v>826</v>
      </c>
      <c r="Y47" s="100">
        <f t="shared" si="3"/>
        <v>0.41599999999999998</v>
      </c>
      <c r="Z47" s="65">
        <f t="shared" si="0"/>
        <v>0.128</v>
      </c>
      <c r="AA47" s="70">
        <f t="shared" si="1"/>
        <v>0.51200000000000001</v>
      </c>
    </row>
    <row r="48" spans="20:33" ht="14.65" thickBot="1" x14ac:dyDescent="0.5">
      <c r="T48" s="64" t="s">
        <v>831</v>
      </c>
      <c r="U48" s="98">
        <v>3.2000000000000001E-2</v>
      </c>
      <c r="V48" s="68">
        <v>3.6999999999999998E-2</v>
      </c>
      <c r="W48" s="69">
        <v>0.03</v>
      </c>
      <c r="X48" t="s">
        <v>826</v>
      </c>
      <c r="Y48" s="100">
        <f t="shared" si="3"/>
        <v>1.024</v>
      </c>
      <c r="Z48" s="65">
        <f t="shared" si="0"/>
        <v>1.1839999999999999</v>
      </c>
      <c r="AA48" s="70">
        <f t="shared" si="1"/>
        <v>0.96</v>
      </c>
      <c r="AC48" s="111"/>
      <c r="AD48" s="112"/>
      <c r="AE48" s="112" t="s">
        <v>338</v>
      </c>
      <c r="AF48" s="113" t="s">
        <v>339</v>
      </c>
    </row>
    <row r="49" spans="20:33" x14ac:dyDescent="0.45">
      <c r="T49" s="64" t="s">
        <v>832</v>
      </c>
      <c r="U49" s="98">
        <v>1.6E-2</v>
      </c>
      <c r="V49" s="68">
        <v>2.5999999999999999E-2</v>
      </c>
      <c r="W49" s="103">
        <v>1.2E-2</v>
      </c>
      <c r="X49" t="s">
        <v>826</v>
      </c>
      <c r="Y49" s="100">
        <f t="shared" si="3"/>
        <v>0.51200000000000001</v>
      </c>
      <c r="Z49" s="65">
        <f t="shared" si="0"/>
        <v>0.83199999999999996</v>
      </c>
      <c r="AA49" s="70">
        <f t="shared" si="1"/>
        <v>0.38400000000000001</v>
      </c>
      <c r="AC49" s="64" t="s">
        <v>833</v>
      </c>
      <c r="AE49" s="105">
        <v>47.5</v>
      </c>
      <c r="AF49" s="106">
        <v>74.8</v>
      </c>
    </row>
    <row r="50" spans="20:33" ht="14.65" thickBot="1" x14ac:dyDescent="0.5">
      <c r="T50" s="64" t="s">
        <v>829</v>
      </c>
      <c r="U50" s="98">
        <v>0.155</v>
      </c>
      <c r="V50" s="68">
        <v>0.14399999999999999</v>
      </c>
      <c r="W50" s="69">
        <v>0.16</v>
      </c>
      <c r="X50" t="s">
        <v>829</v>
      </c>
      <c r="Y50" s="100">
        <f t="shared" si="3"/>
        <v>4.96</v>
      </c>
      <c r="Z50" s="65">
        <f t="shared" si="0"/>
        <v>4.6079999999999997</v>
      </c>
      <c r="AA50" s="70">
        <f t="shared" si="1"/>
        <v>5.12</v>
      </c>
      <c r="AC50" s="93" t="s">
        <v>834</v>
      </c>
      <c r="AD50" s="95"/>
      <c r="AE50" s="107">
        <f>AE49*5/60</f>
        <v>3.9583333333333335</v>
      </c>
      <c r="AF50" s="108">
        <f>AF49*5/60</f>
        <v>6.2333333333333334</v>
      </c>
    </row>
    <row r="51" spans="20:33" x14ac:dyDescent="0.45">
      <c r="T51" s="64" t="s">
        <v>835</v>
      </c>
      <c r="U51" s="98">
        <v>0.249</v>
      </c>
      <c r="V51" s="68">
        <v>0.13200000000000001</v>
      </c>
      <c r="W51" s="103">
        <v>0.29299999999999998</v>
      </c>
      <c r="X51" t="s">
        <v>820</v>
      </c>
      <c r="Y51" s="100">
        <f t="shared" si="3"/>
        <v>7.968</v>
      </c>
      <c r="Z51" s="65">
        <f t="shared" si="0"/>
        <v>4.2240000000000002</v>
      </c>
      <c r="AA51" s="70">
        <f t="shared" si="1"/>
        <v>9.3759999999999994</v>
      </c>
    </row>
    <row r="52" spans="20:33" x14ac:dyDescent="0.45">
      <c r="T52" s="64" t="s">
        <v>836</v>
      </c>
      <c r="U52" s="98">
        <v>0.13300000000000001</v>
      </c>
      <c r="V52" s="68">
        <v>0.27200000000000002</v>
      </c>
      <c r="W52" s="103">
        <v>8.2000000000000003E-2</v>
      </c>
      <c r="X52" t="s">
        <v>823</v>
      </c>
      <c r="Y52" s="100">
        <f t="shared" si="3"/>
        <v>4.2560000000000002</v>
      </c>
      <c r="Z52" s="65">
        <f t="shared" si="0"/>
        <v>8.7040000000000006</v>
      </c>
      <c r="AA52" s="70">
        <f t="shared" si="1"/>
        <v>2.6240000000000001</v>
      </c>
      <c r="AD52" t="s">
        <v>212</v>
      </c>
      <c r="AE52" t="s">
        <v>339</v>
      </c>
      <c r="AF52" t="s">
        <v>1943</v>
      </c>
    </row>
    <row r="53" spans="20:33" ht="14.65" thickBot="1" x14ac:dyDescent="0.5">
      <c r="T53" s="93" t="s">
        <v>837</v>
      </c>
      <c r="U53" s="99">
        <v>0.04</v>
      </c>
      <c r="V53" s="102">
        <v>5.1999999999999998E-2</v>
      </c>
      <c r="W53" s="104">
        <v>3.5999999999999997E-2</v>
      </c>
      <c r="X53" s="95" t="s">
        <v>823</v>
      </c>
      <c r="Y53" s="101">
        <f t="shared" si="3"/>
        <v>1.28</v>
      </c>
      <c r="Z53" s="94">
        <f t="shared" si="0"/>
        <v>1.6639999999999999</v>
      </c>
      <c r="AA53" s="109">
        <f t="shared" si="1"/>
        <v>1.1519999999999999</v>
      </c>
      <c r="AC53" t="s">
        <v>829</v>
      </c>
      <c r="AD53" s="3">
        <f>(AD46*48*AD58)/AC58</f>
        <v>8.9720824678597919E-2</v>
      </c>
      <c r="AE53" s="3">
        <f>(AF46*48*AD58)/AC58</f>
        <v>9.2615044829520432E-2</v>
      </c>
      <c r="AF53" t="s">
        <v>3487</v>
      </c>
    </row>
    <row r="54" spans="20:33" x14ac:dyDescent="0.45">
      <c r="T54" t="s">
        <v>1950</v>
      </c>
      <c r="AC54" t="s">
        <v>1941</v>
      </c>
      <c r="AD54" s="3">
        <f>Y47+Y48+Y49</f>
        <v>1.952</v>
      </c>
      <c r="AE54" s="3">
        <f>AA47+AA48+AA49</f>
        <v>1.8559999999999999</v>
      </c>
      <c r="AF54" t="s">
        <v>1947</v>
      </c>
    </row>
    <row r="55" spans="20:33" ht="14.65" thickBot="1" x14ac:dyDescent="0.5">
      <c r="T55" t="s">
        <v>1951</v>
      </c>
      <c r="AC55" t="s">
        <v>1942</v>
      </c>
      <c r="AD55" s="3">
        <f>(Y46*48*AD58)/AC58</f>
        <v>7.6407411984354356E-2</v>
      </c>
      <c r="AE55" s="3">
        <f>(AA46*48*AD58)/AC58</f>
        <v>7.5249723923985351E-2</v>
      </c>
      <c r="AF55" t="s">
        <v>1949</v>
      </c>
    </row>
    <row r="56" spans="20:33" x14ac:dyDescent="0.45">
      <c r="Y56" s="403" t="s">
        <v>815</v>
      </c>
      <c r="Z56" s="404"/>
      <c r="AA56" s="405"/>
    </row>
    <row r="57" spans="20:33" ht="14.65" thickBot="1" x14ac:dyDescent="0.5">
      <c r="X57" t="s">
        <v>2797</v>
      </c>
      <c r="Y57" s="93" t="s">
        <v>212</v>
      </c>
      <c r="Z57" s="95" t="s">
        <v>338</v>
      </c>
      <c r="AA57" s="96" t="s">
        <v>339</v>
      </c>
      <c r="AC57" t="s">
        <v>1944</v>
      </c>
      <c r="AD57" t="s">
        <v>1945</v>
      </c>
    </row>
    <row r="58" spans="20:33" x14ac:dyDescent="0.45">
      <c r="X58" s="92" t="s">
        <v>822</v>
      </c>
      <c r="Y58" s="347">
        <f>Y44</f>
        <v>2.976</v>
      </c>
      <c r="Z58" s="347">
        <f t="shared" ref="Z58:AA58" si="4">Z44</f>
        <v>3.2320000000000002</v>
      </c>
      <c r="AA58" s="348">
        <f t="shared" si="4"/>
        <v>2.88</v>
      </c>
      <c r="AC58" s="6">
        <f>SUM('Pop M'!I481:AC481)*1000+SUM('Pop F'!I481:AC481)*1000</f>
        <v>100835453</v>
      </c>
      <c r="AD58" s="6">
        <v>38000</v>
      </c>
      <c r="AE58" t="s">
        <v>1946</v>
      </c>
    </row>
    <row r="59" spans="20:33" x14ac:dyDescent="0.45">
      <c r="X59" s="64" t="s">
        <v>831</v>
      </c>
      <c r="Y59" s="346">
        <f>Y48</f>
        <v>1.024</v>
      </c>
      <c r="Z59" s="346">
        <f t="shared" ref="Z59:AA59" si="5">Z48</f>
        <v>1.1839999999999999</v>
      </c>
      <c r="AA59" s="349">
        <f t="shared" si="5"/>
        <v>0.96</v>
      </c>
    </row>
    <row r="60" spans="20:33" ht="14.65" thickBot="1" x14ac:dyDescent="0.5">
      <c r="X60" s="93" t="s">
        <v>832</v>
      </c>
      <c r="Y60" s="350">
        <f>Y49</f>
        <v>0.51200000000000001</v>
      </c>
      <c r="Z60" s="350">
        <f t="shared" ref="Z60:AA60" si="6">Z49</f>
        <v>0.83199999999999996</v>
      </c>
      <c r="AA60" s="351">
        <f t="shared" si="6"/>
        <v>0.38400000000000001</v>
      </c>
      <c r="AE60" t="s">
        <v>2805</v>
      </c>
      <c r="AF60" t="s">
        <v>2806</v>
      </c>
    </row>
    <row r="61" spans="20:33" ht="14.65" thickBot="1" x14ac:dyDescent="0.5">
      <c r="X61" t="s">
        <v>2798</v>
      </c>
      <c r="Y61" s="346">
        <f>SUM(Y58:Y60)</f>
        <v>4.5120000000000005</v>
      </c>
      <c r="Z61" s="346">
        <f>SUM(Z58:Z60)</f>
        <v>5.2480000000000002</v>
      </c>
      <c r="AA61" s="346">
        <f>SUM(AA58:AA60)</f>
        <v>4.2240000000000002</v>
      </c>
      <c r="AD61" t="s">
        <v>2807</v>
      </c>
      <c r="AE61" s="3">
        <f>Y61</f>
        <v>4.5120000000000005</v>
      </c>
      <c r="AF61" s="3">
        <f>AA61</f>
        <v>4.2240000000000002</v>
      </c>
      <c r="AG61" t="s">
        <v>1947</v>
      </c>
    </row>
    <row r="62" spans="20:33" x14ac:dyDescent="0.45">
      <c r="Y62" s="403" t="s">
        <v>815</v>
      </c>
      <c r="Z62" s="404"/>
      <c r="AA62" s="405"/>
    </row>
    <row r="63" spans="20:33" ht="14.65" thickBot="1" x14ac:dyDescent="0.5">
      <c r="X63" t="s">
        <v>2799</v>
      </c>
      <c r="Y63" s="93" t="s">
        <v>212</v>
      </c>
      <c r="Z63" s="95" t="s">
        <v>338</v>
      </c>
      <c r="AA63" s="96" t="s">
        <v>339</v>
      </c>
      <c r="AD63" t="s">
        <v>2802</v>
      </c>
      <c r="AE63" s="195">
        <f>(Y66*48*AD58)/AC58</f>
        <v>7.6986256014538859E-2</v>
      </c>
      <c r="AF63" s="195">
        <f>(AA66*48*AD58)/AC58</f>
        <v>4.7465210475129221E-2</v>
      </c>
      <c r="AG63" t="s">
        <v>2804</v>
      </c>
    </row>
    <row r="64" spans="20:33" x14ac:dyDescent="0.45">
      <c r="X64" s="92" t="s">
        <v>829</v>
      </c>
      <c r="Y64" s="347">
        <f>Y50</f>
        <v>4.96</v>
      </c>
      <c r="Z64" s="97">
        <f t="shared" ref="Z64:AA64" si="7">Z50</f>
        <v>4.6079999999999997</v>
      </c>
      <c r="AA64" s="256">
        <f t="shared" si="7"/>
        <v>5.12</v>
      </c>
      <c r="AB64" t="s">
        <v>2809</v>
      </c>
      <c r="AE64" s="195"/>
      <c r="AF64" s="195"/>
    </row>
    <row r="65" spans="24:33" x14ac:dyDescent="0.45">
      <c r="X65" s="64" t="str">
        <f>T45</f>
        <v>mapping &amp; mobilization</v>
      </c>
      <c r="Y65" s="346">
        <f>Y45</f>
        <v>0.25600000000000001</v>
      </c>
      <c r="Z65">
        <f t="shared" ref="Z65:AA65" si="8">Z45</f>
        <v>0.35199999999999998</v>
      </c>
      <c r="AA65" s="257">
        <f t="shared" si="8"/>
        <v>0.224</v>
      </c>
      <c r="AB65" t="s">
        <v>2808</v>
      </c>
      <c r="AD65" t="s">
        <v>2803</v>
      </c>
      <c r="AE65" s="195">
        <f>(Y72*48*AD58)/AC58</f>
        <v>8.3932384376752905E-2</v>
      </c>
      <c r="AF65" s="195">
        <f>(AA72*48*AD58)/AC58</f>
        <v>8.4511228406937408E-2</v>
      </c>
      <c r="AG65" t="s">
        <v>2804</v>
      </c>
    </row>
    <row r="66" spans="24:33" ht="14.65" thickBot="1" x14ac:dyDescent="0.5">
      <c r="X66" s="93" t="s">
        <v>836</v>
      </c>
      <c r="Y66" s="350">
        <f>Y52</f>
        <v>4.2560000000000002</v>
      </c>
      <c r="Z66" s="95">
        <f t="shared" ref="Z66:AA66" si="9">Z52</f>
        <v>8.7040000000000006</v>
      </c>
      <c r="AA66" s="96">
        <f t="shared" si="9"/>
        <v>2.6240000000000001</v>
      </c>
      <c r="AB66" t="s">
        <v>2808</v>
      </c>
    </row>
    <row r="67" spans="24:33" ht="14.65" thickBot="1" x14ac:dyDescent="0.5">
      <c r="X67" t="s">
        <v>2801</v>
      </c>
      <c r="Y67" s="346">
        <f>SUM(Y64:Y66)</f>
        <v>9.4720000000000013</v>
      </c>
      <c r="Z67" s="346">
        <f>SUM(Z64:Z66)</f>
        <v>13.664000000000001</v>
      </c>
      <c r="AA67" s="346">
        <f>SUM(AA64:AA66)</f>
        <v>7.968</v>
      </c>
    </row>
    <row r="68" spans="24:33" x14ac:dyDescent="0.45">
      <c r="Y68" s="403" t="s">
        <v>815</v>
      </c>
      <c r="Z68" s="404"/>
      <c r="AA68" s="405"/>
    </row>
    <row r="69" spans="24:33" ht="14.65" thickBot="1" x14ac:dyDescent="0.5">
      <c r="X69" t="s">
        <v>2800</v>
      </c>
      <c r="Y69" s="64" t="s">
        <v>212</v>
      </c>
      <c r="Z69" t="s">
        <v>338</v>
      </c>
      <c r="AA69" s="257" t="s">
        <v>339</v>
      </c>
    </row>
    <row r="70" spans="24:33" x14ac:dyDescent="0.45">
      <c r="X70" s="92" t="s">
        <v>828</v>
      </c>
      <c r="Y70" s="347">
        <f>Y46</f>
        <v>4.2240000000000002</v>
      </c>
      <c r="Z70" s="347">
        <f>Z46</f>
        <v>4.3520000000000003</v>
      </c>
      <c r="AA70" s="348">
        <f>AA46</f>
        <v>4.16</v>
      </c>
    </row>
    <row r="71" spans="24:33" ht="14.65" thickBot="1" x14ac:dyDescent="0.5">
      <c r="X71" s="93" t="str">
        <f>T47</f>
        <v>commodities + supplies</v>
      </c>
      <c r="Y71" s="350">
        <f>Y47</f>
        <v>0.41599999999999998</v>
      </c>
      <c r="Z71" s="350">
        <f t="shared" ref="Z71:AA71" si="10">Z47</f>
        <v>0.128</v>
      </c>
      <c r="AA71" s="351">
        <f t="shared" si="10"/>
        <v>0.51200000000000001</v>
      </c>
    </row>
    <row r="72" spans="24:33" x14ac:dyDescent="0.45">
      <c r="Y72" s="3">
        <f>Y71+Y70</f>
        <v>4.6400000000000006</v>
      </c>
      <c r="Z72" s="3">
        <f t="shared" ref="Z72:AA72" si="11">Z71+Z70</f>
        <v>4.4800000000000004</v>
      </c>
      <c r="AA72" s="3">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D2C08-8E8B-41F6-99B2-0848E615BE75}">
  <dimension ref="A1:S124"/>
  <sheetViews>
    <sheetView topLeftCell="A28" zoomScale="70" zoomScaleNormal="70" zoomScaleSheetLayoutView="100" workbookViewId="0">
      <selection activeCell="I52" sqref="I52"/>
    </sheetView>
  </sheetViews>
  <sheetFormatPr defaultColWidth="8.73046875" defaultRowHeight="15.75" x14ac:dyDescent="0.5"/>
  <cols>
    <col min="1" max="1" width="11.53125" style="202" customWidth="1"/>
    <col min="2" max="2" width="12.53125" style="202" customWidth="1"/>
    <col min="3" max="108" width="17.19921875" style="202" customWidth="1"/>
    <col min="109" max="16384" width="8.73046875" style="202"/>
  </cols>
  <sheetData>
    <row r="1" spans="1:14" s="267" customFormat="1" ht="31.5" x14ac:dyDescent="0.5">
      <c r="B1" s="267" t="s">
        <v>928</v>
      </c>
      <c r="C1" s="267" t="s">
        <v>928</v>
      </c>
      <c r="D1" s="267" t="s">
        <v>1779</v>
      </c>
      <c r="E1" s="267" t="s">
        <v>1777</v>
      </c>
      <c r="F1" s="267" t="s">
        <v>1775</v>
      </c>
      <c r="G1" s="267" t="s">
        <v>1773</v>
      </c>
      <c r="H1" s="267" t="s">
        <v>1771</v>
      </c>
      <c r="I1" s="267" t="s">
        <v>1769</v>
      </c>
      <c r="J1" s="267" t="s">
        <v>1767</v>
      </c>
    </row>
    <row r="2" spans="1:14" x14ac:dyDescent="0.5">
      <c r="A2" s="406" t="s">
        <v>82</v>
      </c>
      <c r="B2" s="202" t="s">
        <v>923</v>
      </c>
      <c r="C2" s="202" t="s">
        <v>1787</v>
      </c>
      <c r="D2" s="202" t="s">
        <v>118</v>
      </c>
      <c r="E2" s="202" t="s">
        <v>118</v>
      </c>
      <c r="F2" s="202" t="s">
        <v>118</v>
      </c>
      <c r="G2" s="202" t="s">
        <v>118</v>
      </c>
      <c r="H2" s="202" t="s">
        <v>118</v>
      </c>
      <c r="I2" s="202" t="s">
        <v>118</v>
      </c>
      <c r="J2" s="202" t="s">
        <v>118</v>
      </c>
    </row>
    <row r="3" spans="1:14" x14ac:dyDescent="0.5">
      <c r="A3" s="406"/>
      <c r="B3" s="202" t="s">
        <v>594</v>
      </c>
      <c r="C3" s="202" t="s">
        <v>1786</v>
      </c>
      <c r="D3" s="203">
        <v>72</v>
      </c>
      <c r="E3" s="203">
        <v>195</v>
      </c>
      <c r="F3" s="203">
        <v>202</v>
      </c>
      <c r="G3" s="203">
        <v>162</v>
      </c>
      <c r="H3" s="203">
        <v>119</v>
      </c>
      <c r="I3" s="203">
        <v>49</v>
      </c>
      <c r="J3" s="203">
        <v>14</v>
      </c>
    </row>
    <row r="4" spans="1:14" x14ac:dyDescent="0.5">
      <c r="A4" s="406"/>
      <c r="B4" s="202" t="s">
        <v>594</v>
      </c>
      <c r="C4" s="202" t="s">
        <v>1785</v>
      </c>
      <c r="D4" s="202">
        <v>80</v>
      </c>
      <c r="E4" s="202">
        <v>200</v>
      </c>
      <c r="F4" s="202">
        <v>214</v>
      </c>
      <c r="G4" s="202">
        <v>190</v>
      </c>
      <c r="H4" s="202">
        <v>138</v>
      </c>
      <c r="I4" s="202">
        <v>69</v>
      </c>
      <c r="J4" s="202">
        <v>22</v>
      </c>
      <c r="M4" s="202" t="s">
        <v>1781</v>
      </c>
      <c r="N4" s="202" t="s">
        <v>1780</v>
      </c>
    </row>
    <row r="5" spans="1:14" x14ac:dyDescent="0.5">
      <c r="A5" s="406"/>
      <c r="B5" s="202" t="s">
        <v>594</v>
      </c>
      <c r="C5" s="202" t="s">
        <v>1784</v>
      </c>
      <c r="D5" s="202">
        <v>79</v>
      </c>
      <c r="E5" s="202">
        <v>206</v>
      </c>
      <c r="F5" s="202">
        <v>237</v>
      </c>
      <c r="G5" s="202">
        <v>194</v>
      </c>
      <c r="H5" s="202">
        <v>147</v>
      </c>
      <c r="I5" s="202">
        <v>69</v>
      </c>
      <c r="J5" s="202">
        <v>28</v>
      </c>
      <c r="M5" s="202" t="s">
        <v>1779</v>
      </c>
      <c r="N5" s="202" t="s">
        <v>1778</v>
      </c>
    </row>
    <row r="6" spans="1:14" x14ac:dyDescent="0.5">
      <c r="A6" s="406"/>
      <c r="B6" s="202" t="s">
        <v>594</v>
      </c>
      <c r="C6" s="202" t="s">
        <v>1783</v>
      </c>
      <c r="D6" s="202">
        <v>104</v>
      </c>
      <c r="E6" s="202">
        <v>228</v>
      </c>
      <c r="F6" s="202">
        <v>241</v>
      </c>
      <c r="G6" s="202">
        <v>231</v>
      </c>
      <c r="H6" s="202">
        <v>160</v>
      </c>
      <c r="I6" s="202">
        <v>84</v>
      </c>
      <c r="J6" s="202">
        <v>34</v>
      </c>
      <c r="M6" s="202" t="s">
        <v>1777</v>
      </c>
      <c r="N6" s="202" t="s">
        <v>1776</v>
      </c>
    </row>
    <row r="7" spans="1:14" x14ac:dyDescent="0.5">
      <c r="A7" s="406"/>
      <c r="B7" s="202" t="s">
        <v>594</v>
      </c>
      <c r="C7" s="202" t="s">
        <v>1782</v>
      </c>
      <c r="D7" s="202">
        <v>100</v>
      </c>
      <c r="E7" s="202">
        <v>235</v>
      </c>
      <c r="F7" s="202">
        <v>251</v>
      </c>
      <c r="G7" s="202">
        <v>243</v>
      </c>
      <c r="H7" s="202">
        <v>168</v>
      </c>
      <c r="I7" s="202">
        <v>89</v>
      </c>
      <c r="J7" s="202">
        <v>19</v>
      </c>
      <c r="M7" s="202" t="s">
        <v>1775</v>
      </c>
      <c r="N7" s="202" t="s">
        <v>1774</v>
      </c>
    </row>
    <row r="8" spans="1:14" x14ac:dyDescent="0.5">
      <c r="A8" s="406"/>
      <c r="M8" s="202" t="s">
        <v>1773</v>
      </c>
      <c r="N8" s="202" t="s">
        <v>1772</v>
      </c>
    </row>
    <row r="9" spans="1:14" x14ac:dyDescent="0.5">
      <c r="A9" s="406"/>
      <c r="B9" s="202" t="s">
        <v>594</v>
      </c>
      <c r="C9" s="202" t="s">
        <v>1788</v>
      </c>
      <c r="D9" s="205">
        <f>(D3/D4)^(1/3)</f>
        <v>0.96548938460562972</v>
      </c>
      <c r="E9" s="205">
        <f t="shared" ref="E9:J9" si="0">(E3/E4)^(1/3)</f>
        <v>0.99159624134038737</v>
      </c>
      <c r="F9" s="205">
        <f t="shared" si="0"/>
        <v>0.98094772737862757</v>
      </c>
      <c r="G9" s="205">
        <f t="shared" si="0"/>
        <v>0.9482448030704661</v>
      </c>
      <c r="H9" s="205">
        <f t="shared" si="0"/>
        <v>0.95182248141337733</v>
      </c>
      <c r="I9" s="205">
        <f t="shared" si="0"/>
        <v>0.89217283660451341</v>
      </c>
      <c r="J9" s="205">
        <f t="shared" si="0"/>
        <v>0.86013862753721815</v>
      </c>
      <c r="M9" s="202" t="s">
        <v>1771</v>
      </c>
      <c r="N9" s="202" t="s">
        <v>1770</v>
      </c>
    </row>
    <row r="10" spans="1:14" x14ac:dyDescent="0.5">
      <c r="A10" s="406"/>
      <c r="B10" s="202" t="s">
        <v>594</v>
      </c>
      <c r="C10" s="202" t="s">
        <v>1789</v>
      </c>
      <c r="D10" s="204">
        <f>(D4/D5)^(1/5)</f>
        <v>1.0025189236119947</v>
      </c>
      <c r="E10" s="204">
        <f t="shared" ref="E10:J10" si="1">(E4/E5)^(1/5)</f>
        <v>0.99410567962339069</v>
      </c>
      <c r="F10" s="204">
        <f t="shared" si="1"/>
        <v>0.97979018691613684</v>
      </c>
      <c r="G10" s="204">
        <f t="shared" si="1"/>
        <v>0.99584185175788764</v>
      </c>
      <c r="H10" s="204">
        <f t="shared" si="1"/>
        <v>0.98744371596307923</v>
      </c>
      <c r="I10" s="204">
        <f t="shared" si="1"/>
        <v>1</v>
      </c>
      <c r="J10" s="204">
        <f t="shared" si="1"/>
        <v>0.95291229369435537</v>
      </c>
      <c r="K10" s="202" t="s">
        <v>2084</v>
      </c>
      <c r="M10" s="202" t="s">
        <v>1769</v>
      </c>
      <c r="N10" s="202" t="s">
        <v>1768</v>
      </c>
    </row>
    <row r="11" spans="1:14" x14ac:dyDescent="0.5">
      <c r="A11" s="406"/>
      <c r="B11" s="202" t="s">
        <v>594</v>
      </c>
      <c r="C11" s="202" t="s">
        <v>1790</v>
      </c>
      <c r="D11" s="204">
        <f>(D5/D6)^(1/6)</f>
        <v>0.95521021613967239</v>
      </c>
      <c r="E11" s="204">
        <f t="shared" ref="E11:J11" si="2">(E5/E6)^(1/6)</f>
        <v>0.98323062129319394</v>
      </c>
      <c r="F11" s="204">
        <f t="shared" si="2"/>
        <v>0.99721442155099604</v>
      </c>
      <c r="G11" s="204">
        <f t="shared" si="2"/>
        <v>0.9713258757741785</v>
      </c>
      <c r="H11" s="204">
        <f t="shared" si="2"/>
        <v>0.98597573119407578</v>
      </c>
      <c r="I11" s="204">
        <f t="shared" si="2"/>
        <v>0.96774655528391262</v>
      </c>
      <c r="J11" s="204">
        <f t="shared" si="2"/>
        <v>0.96815862557002563</v>
      </c>
      <c r="K11" s="202" t="s">
        <v>2085</v>
      </c>
      <c r="M11" s="202" t="s">
        <v>1767</v>
      </c>
      <c r="N11" s="202" t="s">
        <v>1766</v>
      </c>
    </row>
    <row r="12" spans="1:14" x14ac:dyDescent="0.5">
      <c r="A12" s="406"/>
      <c r="B12" s="202" t="s">
        <v>594</v>
      </c>
      <c r="C12" s="202" t="s">
        <v>1791</v>
      </c>
      <c r="D12" s="204">
        <f>(D6/D7)^(1/5)</f>
        <v>1.0078749885178921</v>
      </c>
      <c r="E12" s="204">
        <f t="shared" ref="E12:J12" si="3">(E6/E7)^(1/5)</f>
        <v>0.9939702751603523</v>
      </c>
      <c r="F12" s="204">
        <f t="shared" si="3"/>
        <v>0.99190176766851246</v>
      </c>
      <c r="G12" s="204">
        <f t="shared" si="3"/>
        <v>0.98992237644015191</v>
      </c>
      <c r="H12" s="204">
        <f t="shared" si="3"/>
        <v>0.99028942228686234</v>
      </c>
      <c r="I12" s="204">
        <f t="shared" si="3"/>
        <v>0.98850269089213516</v>
      </c>
      <c r="J12" s="204">
        <f t="shared" si="3"/>
        <v>1.1234275325950922</v>
      </c>
      <c r="M12" s="202" t="s">
        <v>1765</v>
      </c>
    </row>
    <row r="13" spans="1:14" x14ac:dyDescent="0.5">
      <c r="A13" s="406"/>
      <c r="C13" s="202" t="s">
        <v>2075</v>
      </c>
      <c r="D13" s="204">
        <f>(D3/D5)^(1/8)</f>
        <v>0.98846927759109204</v>
      </c>
      <c r="E13" s="204">
        <f t="shared" ref="E13:J13" si="4">(E3/E5)^(1/8)</f>
        <v>0.99316389691241536</v>
      </c>
      <c r="F13" s="204">
        <f t="shared" si="4"/>
        <v>0.98022410443373342</v>
      </c>
      <c r="G13" s="204">
        <f t="shared" si="4"/>
        <v>0.97771923789514636</v>
      </c>
      <c r="H13" s="204">
        <f t="shared" si="4"/>
        <v>0.97393215219000295</v>
      </c>
      <c r="I13" s="204">
        <f t="shared" si="4"/>
        <v>0.95811661983967134</v>
      </c>
      <c r="J13" s="204">
        <f t="shared" si="4"/>
        <v>0.91700404320467122</v>
      </c>
    </row>
    <row r="14" spans="1:14" x14ac:dyDescent="0.5">
      <c r="A14" s="406"/>
      <c r="C14" s="202" t="s">
        <v>2076</v>
      </c>
      <c r="D14" s="204">
        <f>(D3/D6)^(1/14)</f>
        <v>0.97407589666322059</v>
      </c>
      <c r="E14" s="204">
        <f t="shared" ref="E14:J14" si="5">(E3/E6)^(1/14)</f>
        <v>0.98889454944516297</v>
      </c>
      <c r="F14" s="204">
        <f t="shared" si="5"/>
        <v>0.98746993212716327</v>
      </c>
      <c r="G14" s="204">
        <f t="shared" si="5"/>
        <v>0.97497408877847958</v>
      </c>
      <c r="H14" s="204">
        <f t="shared" si="5"/>
        <v>0.97907556690543529</v>
      </c>
      <c r="I14" s="204">
        <f t="shared" si="5"/>
        <v>0.96223194524741562</v>
      </c>
      <c r="J14" s="204">
        <f t="shared" si="5"/>
        <v>0.93858786959218077</v>
      </c>
    </row>
    <row r="15" spans="1:14" x14ac:dyDescent="0.5">
      <c r="A15" s="406"/>
      <c r="C15" s="202" t="s">
        <v>1792</v>
      </c>
      <c r="D15" s="204">
        <f>(D3/D7)^(1/19)</f>
        <v>0.9828589212155906</v>
      </c>
      <c r="E15" s="204">
        <f t="shared" ref="E15:J15" si="6">(E3/E7)^(1/19)</f>
        <v>0.99022774837049121</v>
      </c>
      <c r="F15" s="204">
        <f t="shared" si="6"/>
        <v>0.98863428120188701</v>
      </c>
      <c r="G15" s="204">
        <f t="shared" si="6"/>
        <v>0.97888582354261444</v>
      </c>
      <c r="H15" s="204">
        <f t="shared" si="6"/>
        <v>0.98201421096769992</v>
      </c>
      <c r="I15" s="204">
        <f t="shared" si="6"/>
        <v>0.96907683980530324</v>
      </c>
      <c r="J15" s="204">
        <f t="shared" si="6"/>
        <v>0.98405575849565552</v>
      </c>
    </row>
    <row r="16" spans="1:14" customFormat="1" ht="14.25" x14ac:dyDescent="0.45">
      <c r="B16" t="s">
        <v>928</v>
      </c>
      <c r="C16" t="s">
        <v>928</v>
      </c>
    </row>
    <row r="17" spans="1:19" customFormat="1" x14ac:dyDescent="0.5">
      <c r="A17" s="407" t="s">
        <v>336</v>
      </c>
      <c r="B17" t="s">
        <v>923</v>
      </c>
      <c r="C17" t="s">
        <v>1787</v>
      </c>
      <c r="D17" s="202" t="s">
        <v>336</v>
      </c>
      <c r="E17" t="s">
        <v>336</v>
      </c>
      <c r="F17" t="s">
        <v>336</v>
      </c>
      <c r="G17" t="s">
        <v>336</v>
      </c>
      <c r="H17" t="s">
        <v>336</v>
      </c>
      <c r="I17" t="s">
        <v>336</v>
      </c>
      <c r="J17" t="s">
        <v>336</v>
      </c>
      <c r="K17" s="202"/>
      <c r="L17" s="202"/>
      <c r="M17" s="202"/>
      <c r="O17" s="202"/>
      <c r="P17" s="202"/>
      <c r="R17" s="202"/>
      <c r="S17" s="202"/>
    </row>
    <row r="18" spans="1:19" customFormat="1" x14ac:dyDescent="0.5">
      <c r="A18" s="407"/>
      <c r="B18" t="s">
        <v>594</v>
      </c>
      <c r="C18" t="s">
        <v>1786</v>
      </c>
      <c r="D18" s="59">
        <v>52</v>
      </c>
      <c r="E18" s="59">
        <v>147</v>
      </c>
      <c r="F18" s="59">
        <v>159</v>
      </c>
      <c r="G18" s="59">
        <v>128</v>
      </c>
      <c r="H18" s="59">
        <v>109</v>
      </c>
      <c r="I18" s="59">
        <v>37</v>
      </c>
      <c r="J18" s="59">
        <v>1</v>
      </c>
      <c r="K18" s="202"/>
      <c r="L18" s="202"/>
      <c r="M18" s="202"/>
      <c r="O18" s="202"/>
      <c r="P18" s="202"/>
      <c r="R18" s="202"/>
      <c r="S18" s="202"/>
    </row>
    <row r="19" spans="1:19" customFormat="1" x14ac:dyDescent="0.5">
      <c r="A19" s="407"/>
      <c r="B19" t="s">
        <v>594</v>
      </c>
      <c r="C19" t="s">
        <v>1785</v>
      </c>
      <c r="D19">
        <v>20</v>
      </c>
      <c r="E19">
        <v>113</v>
      </c>
      <c r="F19">
        <v>120</v>
      </c>
      <c r="G19">
        <v>112</v>
      </c>
      <c r="H19">
        <v>77</v>
      </c>
      <c r="I19">
        <v>14</v>
      </c>
      <c r="J19">
        <v>0</v>
      </c>
      <c r="K19" s="202"/>
      <c r="L19" s="202"/>
      <c r="M19" s="202"/>
      <c r="O19" s="202"/>
      <c r="P19" s="202"/>
      <c r="R19" s="202"/>
      <c r="S19" s="202"/>
    </row>
    <row r="20" spans="1:19" customFormat="1" x14ac:dyDescent="0.5">
      <c r="A20" s="407"/>
      <c r="B20" t="s">
        <v>594</v>
      </c>
      <c r="C20" t="s">
        <v>1784</v>
      </c>
      <c r="D20">
        <v>27</v>
      </c>
      <c r="E20">
        <v>124</v>
      </c>
      <c r="F20">
        <v>158</v>
      </c>
      <c r="G20">
        <v>100</v>
      </c>
      <c r="H20">
        <v>75</v>
      </c>
      <c r="I20">
        <v>21</v>
      </c>
      <c r="J20">
        <v>22</v>
      </c>
      <c r="K20" s="202"/>
      <c r="L20" s="202"/>
      <c r="M20" s="202"/>
      <c r="O20" s="202"/>
      <c r="P20" s="202"/>
      <c r="R20" s="202"/>
      <c r="S20" s="202"/>
    </row>
    <row r="21" spans="1:19" customFormat="1" x14ac:dyDescent="0.5">
      <c r="A21" s="407"/>
      <c r="B21" t="s">
        <v>594</v>
      </c>
      <c r="C21" t="s">
        <v>1783</v>
      </c>
      <c r="D21">
        <v>35</v>
      </c>
      <c r="E21">
        <v>105</v>
      </c>
      <c r="F21">
        <v>133</v>
      </c>
      <c r="G21">
        <v>101</v>
      </c>
      <c r="H21">
        <v>58</v>
      </c>
      <c r="I21">
        <v>28</v>
      </c>
      <c r="J21">
        <v>14</v>
      </c>
      <c r="K21" s="202"/>
      <c r="L21" s="202"/>
      <c r="M21" s="202"/>
      <c r="O21" s="202"/>
      <c r="P21" s="202"/>
      <c r="R21" s="202"/>
      <c r="S21" s="202"/>
    </row>
    <row r="22" spans="1:19" customFormat="1" x14ac:dyDescent="0.5">
      <c r="A22" s="407"/>
      <c r="B22" t="s">
        <v>594</v>
      </c>
      <c r="C22" t="s">
        <v>1782</v>
      </c>
      <c r="D22">
        <v>50</v>
      </c>
      <c r="E22">
        <v>139</v>
      </c>
      <c r="F22">
        <v>142</v>
      </c>
      <c r="G22">
        <v>155</v>
      </c>
      <c r="H22">
        <v>92</v>
      </c>
      <c r="I22">
        <v>17</v>
      </c>
      <c r="J22">
        <v>5</v>
      </c>
      <c r="K22" s="202"/>
      <c r="L22" s="202"/>
      <c r="M22" s="202"/>
      <c r="O22" s="202"/>
      <c r="P22" s="202"/>
      <c r="R22" s="202"/>
      <c r="S22" s="202"/>
    </row>
    <row r="23" spans="1:19" x14ac:dyDescent="0.5">
      <c r="A23" s="407"/>
      <c r="M23" s="202" t="s">
        <v>1773</v>
      </c>
      <c r="N23" s="202" t="s">
        <v>1772</v>
      </c>
    </row>
    <row r="24" spans="1:19" x14ac:dyDescent="0.5">
      <c r="A24" s="407"/>
      <c r="B24" s="202" t="s">
        <v>594</v>
      </c>
      <c r="C24" s="202" t="s">
        <v>1788</v>
      </c>
      <c r="D24" s="205">
        <f>(D18/D19)^(1/3)</f>
        <v>1.3750688670741409</v>
      </c>
      <c r="E24" s="205">
        <f t="shared" ref="E24:I24" si="7">(E18/E19)^(1/3)</f>
        <v>1.0916404767363561</v>
      </c>
      <c r="F24" s="205">
        <f t="shared" si="7"/>
        <v>1.0983446175138709</v>
      </c>
      <c r="G24" s="205">
        <f t="shared" si="7"/>
        <v>1.0455159171494204</v>
      </c>
      <c r="H24" s="205">
        <f t="shared" si="7"/>
        <v>1.1228246134899573</v>
      </c>
      <c r="I24" s="205">
        <f t="shared" si="7"/>
        <v>1.3825830537793029</v>
      </c>
      <c r="J24" s="205">
        <v>1</v>
      </c>
      <c r="K24" s="202" t="s">
        <v>1793</v>
      </c>
      <c r="M24" s="202" t="s">
        <v>1771</v>
      </c>
      <c r="N24" s="202" t="s">
        <v>1770</v>
      </c>
    </row>
    <row r="25" spans="1:19" x14ac:dyDescent="0.5">
      <c r="A25" s="407"/>
      <c r="B25" s="202" t="s">
        <v>594</v>
      </c>
      <c r="C25" s="202" t="s">
        <v>1789</v>
      </c>
      <c r="D25" s="204">
        <f>(D19/D20)^(1/5)</f>
        <v>0.94174483349825566</v>
      </c>
      <c r="E25" s="204">
        <f t="shared" ref="E25:I25" si="8">(E19/E20)^(1/5)</f>
        <v>0.98159277172730297</v>
      </c>
      <c r="F25" s="204">
        <f t="shared" si="8"/>
        <v>0.94646559561889188</v>
      </c>
      <c r="G25" s="204">
        <f t="shared" si="8"/>
        <v>1.0229245566260303</v>
      </c>
      <c r="H25" s="204">
        <f t="shared" si="8"/>
        <v>1.0052773380130116</v>
      </c>
      <c r="I25" s="204">
        <f t="shared" si="8"/>
        <v>0.92210791148172777</v>
      </c>
      <c r="J25" s="204">
        <v>1</v>
      </c>
      <c r="M25" s="202" t="s">
        <v>1769</v>
      </c>
      <c r="N25" s="202" t="s">
        <v>1768</v>
      </c>
    </row>
    <row r="26" spans="1:19" x14ac:dyDescent="0.5">
      <c r="A26" s="407"/>
      <c r="B26" s="202" t="s">
        <v>594</v>
      </c>
      <c r="C26" s="202" t="s">
        <v>1790</v>
      </c>
      <c r="D26" s="204">
        <f>(D20/D21)^(1/6)</f>
        <v>0.95767015521976018</v>
      </c>
      <c r="E26" s="204">
        <f t="shared" ref="E26:J26" si="9">(E20/E21)^(1/6)</f>
        <v>1.0281079822076629</v>
      </c>
      <c r="F26" s="204">
        <f t="shared" si="9"/>
        <v>1.0291236870065419</v>
      </c>
      <c r="G26" s="204">
        <f t="shared" si="9"/>
        <v>0.99834298589079051</v>
      </c>
      <c r="H26" s="204">
        <f t="shared" si="9"/>
        <v>1.0437717658748797</v>
      </c>
      <c r="I26" s="204">
        <f t="shared" si="9"/>
        <v>0.95318429299693663</v>
      </c>
      <c r="J26" s="204">
        <f t="shared" si="9"/>
        <v>1.0782408321227752</v>
      </c>
      <c r="M26" s="202" t="s">
        <v>1767</v>
      </c>
      <c r="N26" s="202" t="s">
        <v>1766</v>
      </c>
    </row>
    <row r="27" spans="1:19" x14ac:dyDescent="0.5">
      <c r="A27" s="407"/>
      <c r="B27" s="202" t="s">
        <v>594</v>
      </c>
      <c r="C27" s="202" t="s">
        <v>1791</v>
      </c>
      <c r="D27" s="204">
        <f>(D21/D22)^(1/5)</f>
        <v>0.93114991509483769</v>
      </c>
      <c r="E27" s="204">
        <f t="shared" ref="E27:J27" si="10">(E21/E22)^(1/5)</f>
        <v>0.94544201831814323</v>
      </c>
      <c r="F27" s="204">
        <f t="shared" si="10"/>
        <v>0.98698978822783556</v>
      </c>
      <c r="G27" s="204">
        <f t="shared" si="10"/>
        <v>0.91790542181403023</v>
      </c>
      <c r="H27" s="204">
        <f t="shared" si="10"/>
        <v>0.91185972294313389</v>
      </c>
      <c r="I27" s="204">
        <f t="shared" si="10"/>
        <v>1.104947953796503</v>
      </c>
      <c r="J27" s="204">
        <f t="shared" si="10"/>
        <v>1.2286596790831472</v>
      </c>
      <c r="M27" s="202" t="s">
        <v>1765</v>
      </c>
    </row>
    <row r="28" spans="1:19" x14ac:dyDescent="0.5">
      <c r="A28" s="407"/>
      <c r="C28" s="202" t="s">
        <v>2075</v>
      </c>
      <c r="D28" s="204">
        <f>(D18/D20)^(1/8)</f>
        <v>1.0853753333984508</v>
      </c>
      <c r="E28" s="204">
        <f t="shared" ref="E28:J28" si="11">(E18/E20)^(1/8)</f>
        <v>1.0214966723375731</v>
      </c>
      <c r="F28" s="204">
        <f t="shared" si="11"/>
        <v>1.0007889572122999</v>
      </c>
      <c r="G28" s="204">
        <f t="shared" si="11"/>
        <v>1.0313385377212458</v>
      </c>
      <c r="H28" s="204">
        <f t="shared" si="11"/>
        <v>1.047841643642063</v>
      </c>
      <c r="I28" s="204">
        <f t="shared" si="11"/>
        <v>1.0733659239599782</v>
      </c>
      <c r="J28" s="204">
        <f t="shared" si="11"/>
        <v>0.67951205356792799</v>
      </c>
    </row>
    <row r="29" spans="1:19" x14ac:dyDescent="0.5">
      <c r="A29" s="266"/>
      <c r="C29" s="202" t="s">
        <v>2076</v>
      </c>
      <c r="D29" s="204">
        <f>(D18/D21)^(1/14)</f>
        <v>1.0286818868777732</v>
      </c>
      <c r="E29" s="204">
        <f t="shared" ref="E29:J29" si="12">(E18/E21)^(1/14)</f>
        <v>1.0243248690018334</v>
      </c>
      <c r="F29" s="204">
        <f t="shared" si="12"/>
        <v>1.0128356121418935</v>
      </c>
      <c r="G29" s="204">
        <f t="shared" si="12"/>
        <v>1.0170661150051812</v>
      </c>
      <c r="H29" s="204">
        <f t="shared" si="12"/>
        <v>1.0460954707357886</v>
      </c>
      <c r="I29" s="204">
        <f t="shared" si="12"/>
        <v>1.0201075880114914</v>
      </c>
      <c r="J29" s="204">
        <f t="shared" si="12"/>
        <v>0.82819711198728463</v>
      </c>
    </row>
    <row r="30" spans="1:19" x14ac:dyDescent="0.5">
      <c r="A30" s="266"/>
      <c r="C30" s="202" t="s">
        <v>1792</v>
      </c>
      <c r="D30" s="204">
        <f>(D18/D22)^(1/19)</f>
        <v>1.0020663800874854</v>
      </c>
      <c r="E30" s="204">
        <f t="shared" ref="E30:J30" si="13">(E18/E22)^(1/19)</f>
        <v>1.0029495336370799</v>
      </c>
      <c r="F30" s="204">
        <f t="shared" si="13"/>
        <v>1.0059691736008378</v>
      </c>
      <c r="G30" s="204">
        <f t="shared" si="13"/>
        <v>0.98997715357597393</v>
      </c>
      <c r="H30" s="204">
        <f t="shared" si="13"/>
        <v>1.0089641131168496</v>
      </c>
      <c r="I30" s="204">
        <f t="shared" si="13"/>
        <v>1.0417810738646736</v>
      </c>
      <c r="J30" s="204">
        <f t="shared" si="13"/>
        <v>0.91878121038117466</v>
      </c>
    </row>
    <row r="32" spans="1:19" x14ac:dyDescent="0.5">
      <c r="A32" s="407" t="s">
        <v>84</v>
      </c>
      <c r="B32" t="s">
        <v>923</v>
      </c>
      <c r="C32" t="s">
        <v>1787</v>
      </c>
      <c r="D32" t="s">
        <v>84</v>
      </c>
      <c r="E32" t="s">
        <v>84</v>
      </c>
      <c r="F32" t="s">
        <v>84</v>
      </c>
      <c r="G32" t="s">
        <v>84</v>
      </c>
      <c r="H32" t="s">
        <v>84</v>
      </c>
      <c r="I32" t="s">
        <v>84</v>
      </c>
      <c r="J32" t="s">
        <v>84</v>
      </c>
    </row>
    <row r="33" spans="1:14" x14ac:dyDescent="0.5">
      <c r="A33" s="407"/>
      <c r="B33" t="s">
        <v>594</v>
      </c>
      <c r="C33" t="s">
        <v>1786</v>
      </c>
      <c r="D33" s="59">
        <v>83</v>
      </c>
      <c r="E33" s="59">
        <v>219</v>
      </c>
      <c r="F33" s="59">
        <v>225</v>
      </c>
      <c r="G33" s="59">
        <v>175</v>
      </c>
      <c r="H33" s="59">
        <v>123</v>
      </c>
      <c r="I33" s="59">
        <v>54</v>
      </c>
      <c r="J33" s="59">
        <v>19</v>
      </c>
    </row>
    <row r="34" spans="1:14" x14ac:dyDescent="0.5">
      <c r="A34" s="407"/>
      <c r="B34" t="s">
        <v>594</v>
      </c>
      <c r="C34" t="s">
        <v>1785</v>
      </c>
      <c r="D34">
        <v>98</v>
      </c>
      <c r="E34">
        <v>230</v>
      </c>
      <c r="F34">
        <v>243</v>
      </c>
      <c r="G34">
        <v>210</v>
      </c>
      <c r="H34">
        <v>153</v>
      </c>
      <c r="I34">
        <v>80</v>
      </c>
      <c r="J34">
        <v>27</v>
      </c>
    </row>
    <row r="35" spans="1:14" x14ac:dyDescent="0.5">
      <c r="A35" s="407"/>
      <c r="B35" t="s">
        <v>594</v>
      </c>
      <c r="C35" t="s">
        <v>1784</v>
      </c>
      <c r="D35">
        <v>100</v>
      </c>
      <c r="E35">
        <v>235</v>
      </c>
      <c r="F35">
        <v>263</v>
      </c>
      <c r="G35">
        <v>221</v>
      </c>
      <c r="H35">
        <v>167</v>
      </c>
      <c r="I35">
        <v>78</v>
      </c>
      <c r="J35">
        <v>29</v>
      </c>
    </row>
    <row r="36" spans="1:14" x14ac:dyDescent="0.5">
      <c r="A36" s="407"/>
      <c r="B36" t="s">
        <v>594</v>
      </c>
      <c r="C36" t="s">
        <v>1783</v>
      </c>
      <c r="D36">
        <v>122</v>
      </c>
      <c r="E36">
        <v>260</v>
      </c>
      <c r="F36">
        <v>261</v>
      </c>
      <c r="G36">
        <v>253</v>
      </c>
      <c r="H36">
        <v>178</v>
      </c>
      <c r="I36">
        <v>94</v>
      </c>
      <c r="J36">
        <v>38</v>
      </c>
    </row>
    <row r="37" spans="1:14" x14ac:dyDescent="0.5">
      <c r="A37" s="407"/>
      <c r="B37" t="s">
        <v>594</v>
      </c>
      <c r="C37" t="s">
        <v>1782</v>
      </c>
      <c r="D37">
        <v>114</v>
      </c>
      <c r="E37">
        <v>256</v>
      </c>
      <c r="F37">
        <v>278</v>
      </c>
      <c r="G37">
        <v>259</v>
      </c>
      <c r="H37">
        <v>183</v>
      </c>
      <c r="I37">
        <v>99</v>
      </c>
      <c r="J37">
        <v>21</v>
      </c>
    </row>
    <row r="38" spans="1:14" x14ac:dyDescent="0.5">
      <c r="A38" s="407"/>
      <c r="M38" s="202" t="s">
        <v>1773</v>
      </c>
      <c r="N38" s="202" t="s">
        <v>1772</v>
      </c>
    </row>
    <row r="39" spans="1:14" x14ac:dyDescent="0.5">
      <c r="A39" s="407"/>
      <c r="B39" s="202" t="s">
        <v>594</v>
      </c>
      <c r="C39" s="202" t="s">
        <v>1788</v>
      </c>
      <c r="D39" s="205">
        <f>(D33/D34)^(1/3)</f>
        <v>0.94612969253443047</v>
      </c>
      <c r="E39" s="205">
        <f t="shared" ref="E39:J39" si="14">(E33/E34)^(1/3)</f>
        <v>0.98379684684603674</v>
      </c>
      <c r="F39" s="205">
        <f t="shared" si="14"/>
        <v>0.97467257940428864</v>
      </c>
      <c r="G39" s="205">
        <f t="shared" si="14"/>
        <v>0.94103602888102855</v>
      </c>
      <c r="H39" s="205">
        <f t="shared" si="14"/>
        <v>0.92983215401839769</v>
      </c>
      <c r="I39" s="205">
        <f t="shared" si="14"/>
        <v>0.87720532146385988</v>
      </c>
      <c r="J39" s="205">
        <f t="shared" si="14"/>
        <v>0.88946721624064828</v>
      </c>
      <c r="K39" s="202" t="s">
        <v>1793</v>
      </c>
      <c r="M39" s="202" t="s">
        <v>1771</v>
      </c>
      <c r="N39" s="202" t="s">
        <v>1770</v>
      </c>
    </row>
    <row r="40" spans="1:14" x14ac:dyDescent="0.5">
      <c r="A40" s="407"/>
      <c r="B40" s="202" t="s">
        <v>594</v>
      </c>
      <c r="C40" s="202" t="s">
        <v>1789</v>
      </c>
      <c r="D40" s="204">
        <f>(D34/D35)^(1/5)</f>
        <v>0.99596761054095528</v>
      </c>
      <c r="E40" s="204">
        <f t="shared" ref="E40:J40" si="15">(E34/E35)^(1/5)</f>
        <v>0.99570799604467319</v>
      </c>
      <c r="F40" s="204">
        <f t="shared" si="15"/>
        <v>0.98430593788594001</v>
      </c>
      <c r="G40" s="204">
        <f t="shared" si="15"/>
        <v>0.98984092145867864</v>
      </c>
      <c r="H40" s="204">
        <f t="shared" si="15"/>
        <v>0.98264125143846492</v>
      </c>
      <c r="I40" s="204">
        <f t="shared" si="15"/>
        <v>1.0050764030902959</v>
      </c>
      <c r="J40" s="204">
        <f t="shared" si="15"/>
        <v>0.98580985007845623</v>
      </c>
      <c r="M40" s="202" t="s">
        <v>1769</v>
      </c>
      <c r="N40" s="202" t="s">
        <v>1768</v>
      </c>
    </row>
    <row r="41" spans="1:14" x14ac:dyDescent="0.5">
      <c r="A41" s="407"/>
      <c r="B41" s="202" t="s">
        <v>594</v>
      </c>
      <c r="C41" s="202" t="s">
        <v>1790</v>
      </c>
      <c r="D41" s="204">
        <f>(D35/D36)^(1/6)</f>
        <v>0.96740136287639533</v>
      </c>
      <c r="E41" s="204">
        <f t="shared" ref="E41:J41" si="16">(E35/E36)^(1/6)</f>
        <v>0.98329180362307766</v>
      </c>
      <c r="F41" s="204">
        <f t="shared" si="16"/>
        <v>1.0012730804890255</v>
      </c>
      <c r="G41" s="204">
        <f t="shared" si="16"/>
        <v>0.97771428097928548</v>
      </c>
      <c r="H41" s="204">
        <f t="shared" si="16"/>
        <v>0.98942469297102109</v>
      </c>
      <c r="I41" s="204">
        <f t="shared" si="16"/>
        <v>0.96938089942862771</v>
      </c>
      <c r="J41" s="204">
        <f t="shared" si="16"/>
        <v>0.95595122386890474</v>
      </c>
      <c r="M41" s="202" t="s">
        <v>1767</v>
      </c>
      <c r="N41" s="202" t="s">
        <v>1766</v>
      </c>
    </row>
    <row r="42" spans="1:14" x14ac:dyDescent="0.5">
      <c r="A42" s="407"/>
      <c r="B42" s="202" t="s">
        <v>594</v>
      </c>
      <c r="C42" s="202" t="s">
        <v>1791</v>
      </c>
      <c r="D42" s="204">
        <f>(D36/D37)^(1/5)</f>
        <v>1.0136569347436399</v>
      </c>
      <c r="E42" s="204">
        <f t="shared" ref="E42:J42" si="17">(E36/E37)^(1/5)</f>
        <v>1.0031056498762414</v>
      </c>
      <c r="F42" s="204">
        <f t="shared" si="17"/>
        <v>0.98745915876618895</v>
      </c>
      <c r="G42" s="204">
        <f t="shared" si="17"/>
        <v>0.99532325559126178</v>
      </c>
      <c r="H42" s="204">
        <f t="shared" si="17"/>
        <v>0.99447479986654741</v>
      </c>
      <c r="I42" s="204">
        <f t="shared" si="17"/>
        <v>0.98968851806856062</v>
      </c>
      <c r="J42" s="204">
        <f t="shared" si="17"/>
        <v>1.1259338096786924</v>
      </c>
      <c r="M42" s="202" t="s">
        <v>1765</v>
      </c>
    </row>
    <row r="43" spans="1:14" x14ac:dyDescent="0.5">
      <c r="A43" s="407"/>
      <c r="C43" s="202" t="s">
        <v>2075</v>
      </c>
      <c r="D43" s="204">
        <f>(D33/D35)^(1/8)</f>
        <v>0.97697794903196278</v>
      </c>
      <c r="E43" s="204">
        <f t="shared" ref="E43:J43" si="18">(E33/E35)^(1/8)</f>
        <v>0.991224508343727</v>
      </c>
      <c r="F43" s="204">
        <f t="shared" si="18"/>
        <v>0.98068232092078877</v>
      </c>
      <c r="G43" s="204">
        <f t="shared" si="18"/>
        <v>0.97124930686865607</v>
      </c>
      <c r="H43" s="204">
        <f t="shared" si="18"/>
        <v>0.96249521705067753</v>
      </c>
      <c r="I43" s="204">
        <f t="shared" si="18"/>
        <v>0.95507481857202581</v>
      </c>
      <c r="J43" s="204">
        <f t="shared" si="18"/>
        <v>0.94851553964424851</v>
      </c>
    </row>
    <row r="44" spans="1:14" x14ac:dyDescent="0.5">
      <c r="A44" s="407"/>
      <c r="C44" s="202" t="s">
        <v>2076</v>
      </c>
      <c r="D44" s="204">
        <f>(D33/D36)^(1/14)</f>
        <v>0.9728621438822932</v>
      </c>
      <c r="E44" s="204">
        <f t="shared" ref="E44:J44" si="19">(E33/E36)^(1/14)</f>
        <v>0.98781697133012025</v>
      </c>
      <c r="F44" s="204">
        <f t="shared" si="19"/>
        <v>0.9894545681529805</v>
      </c>
      <c r="G44" s="204">
        <f t="shared" si="19"/>
        <v>0.97401475899122802</v>
      </c>
      <c r="H44" s="204">
        <f t="shared" si="19"/>
        <v>0.97394548951677373</v>
      </c>
      <c r="I44" s="204">
        <f t="shared" si="19"/>
        <v>0.96117996028548114</v>
      </c>
      <c r="J44" s="204">
        <f t="shared" si="19"/>
        <v>0.95169515301061958</v>
      </c>
    </row>
    <row r="45" spans="1:14" x14ac:dyDescent="0.5">
      <c r="A45" s="407"/>
      <c r="C45" s="202" t="s">
        <v>1792</v>
      </c>
      <c r="D45" s="204">
        <f>(D33/D37)^(1/19)</f>
        <v>0.98343567816544297</v>
      </c>
      <c r="E45" s="204">
        <f t="shared" ref="E45:J45" si="20">(E33/E37)^(1/19)</f>
        <v>0.99181756957690881</v>
      </c>
      <c r="F45" s="204">
        <f t="shared" si="20"/>
        <v>0.9889290698158083</v>
      </c>
      <c r="G45" s="204">
        <f t="shared" si="20"/>
        <v>0.97957762600602627</v>
      </c>
      <c r="H45" s="204">
        <f t="shared" si="20"/>
        <v>0.97930649017161875</v>
      </c>
      <c r="I45" s="204">
        <f t="shared" si="20"/>
        <v>0.96860161234701503</v>
      </c>
      <c r="J45" s="204">
        <f t="shared" si="20"/>
        <v>0.99474629876568743</v>
      </c>
    </row>
    <row r="47" spans="1:14" x14ac:dyDescent="0.5">
      <c r="C47" s="202" t="s">
        <v>1987</v>
      </c>
      <c r="D47" s="255">
        <f t="shared" ref="D47:I47" si="21">_xlfn.STDEV.P(D66:D76)</f>
        <v>46.197384634927531</v>
      </c>
      <c r="E47" s="255">
        <f t="shared" si="21"/>
        <v>57.482588093128669</v>
      </c>
      <c r="F47" s="255">
        <f t="shared" si="21"/>
        <v>42.183777383967943</v>
      </c>
      <c r="G47" s="255">
        <f t="shared" si="21"/>
        <v>31.393003379049684</v>
      </c>
      <c r="H47" s="255">
        <f t="shared" si="21"/>
        <v>36.884228079109036</v>
      </c>
      <c r="I47" s="255">
        <f t="shared" si="21"/>
        <v>16.121931232537456</v>
      </c>
      <c r="J47" s="255"/>
    </row>
    <row r="48" spans="1:14" x14ac:dyDescent="0.5">
      <c r="C48" s="202" t="s">
        <v>1989</v>
      </c>
      <c r="D48" s="255">
        <f t="shared" ref="D48:I48" si="22">MIN(MAX(D66:D76)-D65,D65-MIN(D66:D76))</f>
        <v>58</v>
      </c>
      <c r="E48" s="255">
        <f t="shared" si="22"/>
        <v>95</v>
      </c>
      <c r="F48" s="255">
        <f t="shared" si="22"/>
        <v>73</v>
      </c>
      <c r="G48" s="255">
        <f t="shared" si="22"/>
        <v>49</v>
      </c>
      <c r="H48" s="255">
        <f t="shared" si="22"/>
        <v>55</v>
      </c>
      <c r="I48" s="255">
        <f t="shared" si="22"/>
        <v>21</v>
      </c>
      <c r="J48" s="255"/>
    </row>
    <row r="49" spans="1:10" x14ac:dyDescent="0.5">
      <c r="C49" s="202" t="s">
        <v>1990</v>
      </c>
      <c r="D49" s="255">
        <f>D48/D65</f>
        <v>0.80555555555555558</v>
      </c>
      <c r="E49" s="255">
        <f>E48/E65</f>
        <v>0.48717948717948717</v>
      </c>
      <c r="F49" s="255">
        <f t="shared" ref="F49:I49" si="23">F48/F65</f>
        <v>0.36138613861386137</v>
      </c>
      <c r="G49" s="255">
        <f t="shared" si="23"/>
        <v>0.30246913580246915</v>
      </c>
      <c r="H49" s="255">
        <f t="shared" si="23"/>
        <v>0.46218487394957986</v>
      </c>
      <c r="I49" s="255">
        <f t="shared" si="23"/>
        <v>0.42857142857142855</v>
      </c>
      <c r="J49" s="255"/>
    </row>
    <row r="50" spans="1:10" x14ac:dyDescent="0.5">
      <c r="C50" s="202" t="s">
        <v>1988</v>
      </c>
      <c r="D50" s="255">
        <f t="shared" ref="D50:I50" si="24">_xlfn.STDEV.P(D52:D62)</f>
        <v>0.22290755814730442</v>
      </c>
      <c r="E50" s="255">
        <f t="shared" si="24"/>
        <v>0.20395145334737214</v>
      </c>
      <c r="F50" s="255">
        <f t="shared" si="24"/>
        <v>0.18117262301979284</v>
      </c>
      <c r="G50" s="255">
        <f t="shared" si="24"/>
        <v>0.18243058039511925</v>
      </c>
      <c r="H50" s="255">
        <f t="shared" si="24"/>
        <v>0.18926826252913995</v>
      </c>
      <c r="I50" s="255">
        <f t="shared" si="24"/>
        <v>0.68988631937629785</v>
      </c>
      <c r="J50" s="255"/>
    </row>
    <row r="51" spans="1:10" x14ac:dyDescent="0.5">
      <c r="D51" s="255"/>
      <c r="E51" s="255"/>
      <c r="F51" s="255"/>
      <c r="G51" s="255"/>
      <c r="H51" s="255"/>
      <c r="I51" s="255"/>
      <c r="J51" s="255"/>
    </row>
    <row r="52" spans="1:10" x14ac:dyDescent="0.5">
      <c r="B52" s="202" t="s">
        <v>1788</v>
      </c>
      <c r="C52" t="s">
        <v>1976</v>
      </c>
      <c r="D52" s="255">
        <f t="shared" ref="D52:J61" si="25">IFERROR(D66/D78,"")</f>
        <v>0.87654320987654322</v>
      </c>
      <c r="E52" s="255">
        <f t="shared" si="25"/>
        <v>0.91208791208791207</v>
      </c>
      <c r="F52" s="255">
        <f t="shared" si="25"/>
        <v>0.76712328767123283</v>
      </c>
      <c r="G52" s="255">
        <f t="shared" si="25"/>
        <v>0.88888888888888884</v>
      </c>
      <c r="H52" s="255">
        <f t="shared" si="25"/>
        <v>0.79012345679012341</v>
      </c>
      <c r="I52" s="255">
        <f t="shared" si="25"/>
        <v>0.85365853658536583</v>
      </c>
      <c r="J52" s="255" t="str">
        <f t="shared" si="25"/>
        <v/>
      </c>
    </row>
    <row r="53" spans="1:10" x14ac:dyDescent="0.5">
      <c r="C53" t="s">
        <v>1977</v>
      </c>
      <c r="D53" s="255">
        <f t="shared" si="25"/>
        <v>1.36</v>
      </c>
      <c r="E53" s="255">
        <f t="shared" si="25"/>
        <v>1.0755395683453237</v>
      </c>
      <c r="F53" s="255">
        <f t="shared" si="25"/>
        <v>1.1346938775510205</v>
      </c>
      <c r="G53" s="255">
        <f t="shared" si="25"/>
        <v>0.78835978835978837</v>
      </c>
      <c r="H53" s="255">
        <f t="shared" si="25"/>
        <v>0.82352941176470584</v>
      </c>
      <c r="I53" s="255" t="str">
        <f t="shared" si="25"/>
        <v/>
      </c>
      <c r="J53" s="255" t="str">
        <f t="shared" si="25"/>
        <v/>
      </c>
    </row>
    <row r="54" spans="1:10" x14ac:dyDescent="0.5">
      <c r="C54" t="s">
        <v>1978</v>
      </c>
      <c r="D54" s="255">
        <f t="shared" si="25"/>
        <v>0.82352941176470584</v>
      </c>
      <c r="E54" s="255">
        <f t="shared" si="25"/>
        <v>1.0129032258064516</v>
      </c>
      <c r="F54" s="255">
        <f t="shared" si="25"/>
        <v>1.3732394366197183</v>
      </c>
      <c r="G54" s="255">
        <f t="shared" si="25"/>
        <v>0.9</v>
      </c>
      <c r="H54" s="255">
        <f t="shared" si="25"/>
        <v>0.97520661157024791</v>
      </c>
      <c r="I54" s="255">
        <f t="shared" si="25"/>
        <v>0.5168539325842697</v>
      </c>
      <c r="J54" s="255" t="str">
        <f t="shared" si="25"/>
        <v/>
      </c>
    </row>
    <row r="55" spans="1:10" x14ac:dyDescent="0.5">
      <c r="C55" t="s">
        <v>1979</v>
      </c>
      <c r="D55" s="255">
        <f t="shared" si="25"/>
        <v>0.7946428571428571</v>
      </c>
      <c r="E55" s="255">
        <f t="shared" si="25"/>
        <v>0.92519685039370081</v>
      </c>
      <c r="F55" s="255">
        <f t="shared" si="25"/>
        <v>0.78846153846153844</v>
      </c>
      <c r="G55" s="255">
        <f t="shared" si="25"/>
        <v>0.76525821596244137</v>
      </c>
      <c r="H55" s="255">
        <f t="shared" si="25"/>
        <v>0.73376623376623373</v>
      </c>
      <c r="I55" s="255">
        <f t="shared" si="25"/>
        <v>0.94736842105263153</v>
      </c>
      <c r="J55" s="255" t="str">
        <f t="shared" si="25"/>
        <v/>
      </c>
    </row>
    <row r="56" spans="1:10" x14ac:dyDescent="0.5">
      <c r="C56" t="s">
        <v>1980</v>
      </c>
      <c r="D56" s="255">
        <f t="shared" si="25"/>
        <v>0.73076923076923073</v>
      </c>
      <c r="E56" s="255">
        <f t="shared" si="25"/>
        <v>0.82499999999999996</v>
      </c>
      <c r="F56" s="255">
        <f t="shared" si="25"/>
        <v>0.73458445040214482</v>
      </c>
      <c r="G56" s="255">
        <f t="shared" si="25"/>
        <v>0.75937500000000002</v>
      </c>
      <c r="H56" s="255">
        <f t="shared" si="25"/>
        <v>1.0264550264550265</v>
      </c>
      <c r="I56" s="255" t="str">
        <f t="shared" si="25"/>
        <v/>
      </c>
      <c r="J56" s="255" t="str">
        <f t="shared" si="25"/>
        <v/>
      </c>
    </row>
    <row r="57" spans="1:10" x14ac:dyDescent="0.5">
      <c r="C57" t="s">
        <v>1981</v>
      </c>
      <c r="D57" s="255">
        <f t="shared" si="25"/>
        <v>0.78494623655913975</v>
      </c>
      <c r="E57" s="255">
        <f t="shared" si="25"/>
        <v>1.1588785046728971</v>
      </c>
      <c r="F57" s="255">
        <f t="shared" si="25"/>
        <v>0.99534883720930234</v>
      </c>
      <c r="G57" s="255">
        <f t="shared" si="25"/>
        <v>0.9285714285714286</v>
      </c>
      <c r="H57" s="255">
        <f t="shared" si="25"/>
        <v>1.076271186440678</v>
      </c>
      <c r="I57" s="255">
        <f t="shared" si="25"/>
        <v>1.2452830188679245</v>
      </c>
      <c r="J57" s="255" t="str">
        <f t="shared" si="25"/>
        <v/>
      </c>
    </row>
    <row r="58" spans="1:10" x14ac:dyDescent="0.5">
      <c r="C58" t="s">
        <v>1982</v>
      </c>
      <c r="D58" s="255">
        <f t="shared" si="25"/>
        <v>1.2586206896551724</v>
      </c>
      <c r="E58" s="255">
        <f t="shared" si="25"/>
        <v>0.97837837837837838</v>
      </c>
      <c r="F58" s="255">
        <f t="shared" si="25"/>
        <v>0.97272727272727277</v>
      </c>
      <c r="G58" s="255">
        <f t="shared" si="25"/>
        <v>0.85185185185185186</v>
      </c>
      <c r="H58" s="255">
        <f t="shared" si="25"/>
        <v>0.94202898550724634</v>
      </c>
      <c r="I58" s="255">
        <f t="shared" si="25"/>
        <v>0.55882352941176472</v>
      </c>
      <c r="J58" s="255" t="str">
        <f t="shared" si="25"/>
        <v/>
      </c>
    </row>
    <row r="59" spans="1:10" x14ac:dyDescent="0.5">
      <c r="C59" t="s">
        <v>1983</v>
      </c>
      <c r="D59" s="255">
        <f t="shared" si="25"/>
        <v>1.2653061224489797</v>
      </c>
      <c r="E59" s="255">
        <f t="shared" si="25"/>
        <v>1.0125786163522013</v>
      </c>
      <c r="F59" s="255">
        <f t="shared" si="25"/>
        <v>0.8928571428571429</v>
      </c>
      <c r="G59" s="255">
        <f t="shared" si="25"/>
        <v>1.0384615384615385</v>
      </c>
      <c r="H59" s="255">
        <f t="shared" si="25"/>
        <v>0.66666666666666663</v>
      </c>
      <c r="I59" s="255" t="str">
        <f t="shared" si="25"/>
        <v/>
      </c>
      <c r="J59" s="255" t="str">
        <f t="shared" si="25"/>
        <v/>
      </c>
    </row>
    <row r="60" spans="1:10" x14ac:dyDescent="0.5">
      <c r="C60" t="s">
        <v>1984</v>
      </c>
      <c r="D60" s="255">
        <f t="shared" si="25"/>
        <v>0.76470588235294112</v>
      </c>
      <c r="E60" s="255">
        <f t="shared" si="25"/>
        <v>0.74545454545454548</v>
      </c>
      <c r="F60" s="255">
        <f t="shared" si="25"/>
        <v>1.0721649484536082</v>
      </c>
      <c r="G60" s="255">
        <f t="shared" si="25"/>
        <v>0.88648648648648654</v>
      </c>
      <c r="H60" s="255">
        <f t="shared" si="25"/>
        <v>1.0434782608695652</v>
      </c>
      <c r="I60" s="255" t="str">
        <f t="shared" si="25"/>
        <v/>
      </c>
      <c r="J60" s="255" t="str">
        <f t="shared" si="25"/>
        <v/>
      </c>
    </row>
    <row r="61" spans="1:10" x14ac:dyDescent="0.5">
      <c r="C61" t="s">
        <v>1985</v>
      </c>
      <c r="D61" s="255">
        <f t="shared" si="25"/>
        <v>0.875</v>
      </c>
      <c r="E61" s="255">
        <f t="shared" si="25"/>
        <v>1.5151515151515151</v>
      </c>
      <c r="F61" s="255">
        <f t="shared" si="25"/>
        <v>1.131578947368421</v>
      </c>
      <c r="G61" s="255">
        <f t="shared" si="25"/>
        <v>1.153061224489796</v>
      </c>
      <c r="H61" s="255">
        <f t="shared" si="25"/>
        <v>1.3333333333333333</v>
      </c>
      <c r="I61" s="255" t="str">
        <f t="shared" si="25"/>
        <v/>
      </c>
      <c r="J61" s="255" t="str">
        <f t="shared" si="25"/>
        <v/>
      </c>
    </row>
    <row r="62" spans="1:10" x14ac:dyDescent="0.5">
      <c r="C62" t="s">
        <v>1986</v>
      </c>
      <c r="D62" s="255">
        <f t="shared" ref="D62:J62" si="26">IFERROR(D76/D88,"")</f>
        <v>1.1129032258064515</v>
      </c>
      <c r="E62" s="255">
        <f t="shared" si="26"/>
        <v>0.77173913043478259</v>
      </c>
      <c r="F62" s="255">
        <f t="shared" si="26"/>
        <v>1.0240963855421688</v>
      </c>
      <c r="G62" s="255">
        <f t="shared" si="26"/>
        <v>1.3981481481481481</v>
      </c>
      <c r="H62" s="255">
        <f t="shared" si="26"/>
        <v>0.71111111111111114</v>
      </c>
      <c r="I62" s="255">
        <f t="shared" si="26"/>
        <v>2.5555555555555554</v>
      </c>
      <c r="J62" s="255" t="str">
        <f t="shared" si="26"/>
        <v/>
      </c>
    </row>
    <row r="63" spans="1:10" x14ac:dyDescent="0.5">
      <c r="C63"/>
    </row>
    <row r="64" spans="1:10" x14ac:dyDescent="0.5">
      <c r="A64" t="s">
        <v>923</v>
      </c>
      <c r="B64" t="s">
        <v>1787</v>
      </c>
      <c r="C64" t="s">
        <v>1975</v>
      </c>
      <c r="D64" t="s">
        <v>1779</v>
      </c>
      <c r="E64" t="s">
        <v>1777</v>
      </c>
      <c r="F64" t="s">
        <v>1775</v>
      </c>
      <c r="G64" t="s">
        <v>1773</v>
      </c>
      <c r="H64" t="s">
        <v>1771</v>
      </c>
      <c r="I64" t="s">
        <v>1769</v>
      </c>
      <c r="J64" t="s">
        <v>1767</v>
      </c>
    </row>
    <row r="65" spans="1:10" x14ac:dyDescent="0.5">
      <c r="A65" t="s">
        <v>594</v>
      </c>
      <c r="B65" t="s">
        <v>1786</v>
      </c>
      <c r="C65" t="s">
        <v>118</v>
      </c>
      <c r="D65">
        <v>72</v>
      </c>
      <c r="E65">
        <v>195</v>
      </c>
      <c r="F65">
        <v>202</v>
      </c>
      <c r="G65">
        <v>162</v>
      </c>
      <c r="H65">
        <v>119</v>
      </c>
      <c r="I65">
        <v>49</v>
      </c>
      <c r="J65">
        <v>14</v>
      </c>
    </row>
    <row r="66" spans="1:10" x14ac:dyDescent="0.5">
      <c r="A66" t="s">
        <v>594</v>
      </c>
      <c r="B66" t="s">
        <v>1786</v>
      </c>
      <c r="C66" t="s">
        <v>1976</v>
      </c>
      <c r="D66">
        <v>71</v>
      </c>
      <c r="E66">
        <v>166</v>
      </c>
      <c r="F66">
        <v>168</v>
      </c>
      <c r="G66">
        <v>184</v>
      </c>
      <c r="H66">
        <v>128</v>
      </c>
      <c r="I66">
        <v>70</v>
      </c>
      <c r="J66" t="s">
        <v>928</v>
      </c>
    </row>
    <row r="67" spans="1:10" x14ac:dyDescent="0.5">
      <c r="A67" t="s">
        <v>594</v>
      </c>
      <c r="B67" t="s">
        <v>1786</v>
      </c>
      <c r="C67" t="s">
        <v>1977</v>
      </c>
      <c r="D67">
        <v>204</v>
      </c>
      <c r="E67">
        <v>299</v>
      </c>
      <c r="F67">
        <v>278</v>
      </c>
      <c r="G67">
        <v>149</v>
      </c>
      <c r="H67">
        <v>112</v>
      </c>
      <c r="I67" t="s">
        <v>928</v>
      </c>
      <c r="J67" t="s">
        <v>928</v>
      </c>
    </row>
    <row r="68" spans="1:10" x14ac:dyDescent="0.5">
      <c r="A68" t="s">
        <v>594</v>
      </c>
      <c r="B68" t="s">
        <v>1786</v>
      </c>
      <c r="C68" t="s">
        <v>1978</v>
      </c>
      <c r="D68">
        <v>42</v>
      </c>
      <c r="E68">
        <v>157</v>
      </c>
      <c r="F68">
        <v>195</v>
      </c>
      <c r="G68">
        <v>144</v>
      </c>
      <c r="H68">
        <v>118</v>
      </c>
      <c r="I68">
        <v>46</v>
      </c>
      <c r="J68" t="s">
        <v>928</v>
      </c>
    </row>
    <row r="69" spans="1:10" x14ac:dyDescent="0.5">
      <c r="A69" t="s">
        <v>594</v>
      </c>
      <c r="B69" t="s">
        <v>1786</v>
      </c>
      <c r="C69" t="s">
        <v>1979</v>
      </c>
      <c r="D69">
        <v>89</v>
      </c>
      <c r="E69">
        <v>235</v>
      </c>
      <c r="F69">
        <v>205</v>
      </c>
      <c r="G69">
        <v>163</v>
      </c>
      <c r="H69">
        <v>113</v>
      </c>
      <c r="I69">
        <v>54</v>
      </c>
      <c r="J69" t="s">
        <v>928</v>
      </c>
    </row>
    <row r="70" spans="1:10" x14ac:dyDescent="0.5">
      <c r="A70" t="s">
        <v>594</v>
      </c>
      <c r="B70" t="s">
        <v>1786</v>
      </c>
      <c r="C70" t="s">
        <v>1980</v>
      </c>
      <c r="D70">
        <v>95</v>
      </c>
      <c r="E70">
        <v>264</v>
      </c>
      <c r="F70">
        <v>274</v>
      </c>
      <c r="G70">
        <v>243</v>
      </c>
      <c r="H70">
        <v>194</v>
      </c>
      <c r="I70" t="s">
        <v>928</v>
      </c>
      <c r="J70" t="s">
        <v>928</v>
      </c>
    </row>
    <row r="71" spans="1:10" x14ac:dyDescent="0.5">
      <c r="A71" t="s">
        <v>594</v>
      </c>
      <c r="B71" t="s">
        <v>1786</v>
      </c>
      <c r="C71" t="s">
        <v>1981</v>
      </c>
      <c r="D71">
        <v>73</v>
      </c>
      <c r="E71">
        <v>248</v>
      </c>
      <c r="F71">
        <v>214</v>
      </c>
      <c r="G71">
        <v>169</v>
      </c>
      <c r="H71">
        <v>127</v>
      </c>
      <c r="I71">
        <v>66</v>
      </c>
      <c r="J71" t="s">
        <v>928</v>
      </c>
    </row>
    <row r="72" spans="1:10" x14ac:dyDescent="0.5">
      <c r="A72" t="s">
        <v>594</v>
      </c>
      <c r="B72" t="s">
        <v>1786</v>
      </c>
      <c r="C72" t="s">
        <v>1982</v>
      </c>
      <c r="D72">
        <v>73</v>
      </c>
      <c r="E72">
        <v>181</v>
      </c>
      <c r="F72">
        <v>214</v>
      </c>
      <c r="G72">
        <v>161</v>
      </c>
      <c r="H72">
        <v>130</v>
      </c>
      <c r="I72">
        <v>38</v>
      </c>
      <c r="J72" t="s">
        <v>928</v>
      </c>
    </row>
    <row r="73" spans="1:10" x14ac:dyDescent="0.5">
      <c r="A73" t="s">
        <v>594</v>
      </c>
      <c r="B73" t="s">
        <v>1786</v>
      </c>
      <c r="C73" t="s">
        <v>1983</v>
      </c>
      <c r="D73">
        <v>124</v>
      </c>
      <c r="E73">
        <v>161</v>
      </c>
      <c r="F73">
        <v>175</v>
      </c>
      <c r="G73">
        <v>135</v>
      </c>
      <c r="H73">
        <v>64</v>
      </c>
      <c r="I73" t="s">
        <v>928</v>
      </c>
      <c r="J73" t="s">
        <v>928</v>
      </c>
    </row>
    <row r="74" spans="1:10" x14ac:dyDescent="0.5">
      <c r="A74" t="s">
        <v>594</v>
      </c>
      <c r="B74" t="s">
        <v>1786</v>
      </c>
      <c r="C74" t="s">
        <v>1984</v>
      </c>
      <c r="D74">
        <v>78</v>
      </c>
      <c r="E74">
        <v>164</v>
      </c>
      <c r="F74">
        <v>208</v>
      </c>
      <c r="G74">
        <v>164</v>
      </c>
      <c r="H74">
        <v>72</v>
      </c>
      <c r="I74" t="s">
        <v>928</v>
      </c>
      <c r="J74" t="s">
        <v>928</v>
      </c>
    </row>
    <row r="75" spans="1:10" x14ac:dyDescent="0.5">
      <c r="A75" t="s">
        <v>594</v>
      </c>
      <c r="B75" t="s">
        <v>1786</v>
      </c>
      <c r="C75" t="s">
        <v>1985</v>
      </c>
      <c r="D75">
        <v>14</v>
      </c>
      <c r="E75">
        <v>100</v>
      </c>
      <c r="F75">
        <v>129</v>
      </c>
      <c r="G75">
        <v>113</v>
      </c>
      <c r="H75">
        <v>76</v>
      </c>
      <c r="I75" t="s">
        <v>928</v>
      </c>
      <c r="J75" t="s">
        <v>928</v>
      </c>
    </row>
    <row r="76" spans="1:10" x14ac:dyDescent="0.5">
      <c r="A76" t="s">
        <v>594</v>
      </c>
      <c r="B76" t="s">
        <v>1786</v>
      </c>
      <c r="C76" t="s">
        <v>1986</v>
      </c>
      <c r="D76">
        <v>69</v>
      </c>
      <c r="E76">
        <v>142</v>
      </c>
      <c r="F76">
        <v>170</v>
      </c>
      <c r="G76">
        <v>151</v>
      </c>
      <c r="H76">
        <v>64</v>
      </c>
      <c r="I76">
        <v>23</v>
      </c>
      <c r="J76" t="s">
        <v>928</v>
      </c>
    </row>
    <row r="77" spans="1:10" x14ac:dyDescent="0.5">
      <c r="A77" t="s">
        <v>594</v>
      </c>
      <c r="B77" t="s">
        <v>1785</v>
      </c>
      <c r="C77" t="s">
        <v>118</v>
      </c>
      <c r="D77">
        <v>80</v>
      </c>
      <c r="E77">
        <v>200</v>
      </c>
      <c r="F77">
        <v>214</v>
      </c>
      <c r="G77">
        <v>190</v>
      </c>
      <c r="H77">
        <v>138</v>
      </c>
      <c r="I77">
        <v>69</v>
      </c>
      <c r="J77">
        <v>22</v>
      </c>
    </row>
    <row r="78" spans="1:10" x14ac:dyDescent="0.5">
      <c r="A78" t="s">
        <v>594</v>
      </c>
      <c r="B78" t="s">
        <v>1785</v>
      </c>
      <c r="C78" t="s">
        <v>1976</v>
      </c>
      <c r="D78">
        <v>81</v>
      </c>
      <c r="E78">
        <v>182</v>
      </c>
      <c r="F78">
        <v>219</v>
      </c>
      <c r="G78">
        <v>207</v>
      </c>
      <c r="H78">
        <v>162</v>
      </c>
      <c r="I78">
        <v>82</v>
      </c>
      <c r="J78">
        <v>4</v>
      </c>
    </row>
    <row r="79" spans="1:10" x14ac:dyDescent="0.5">
      <c r="A79" t="s">
        <v>594</v>
      </c>
      <c r="B79" t="s">
        <v>1785</v>
      </c>
      <c r="C79" t="s">
        <v>1977</v>
      </c>
      <c r="D79">
        <v>150</v>
      </c>
      <c r="E79">
        <v>278</v>
      </c>
      <c r="F79">
        <v>245</v>
      </c>
      <c r="G79">
        <v>189</v>
      </c>
      <c r="H79">
        <v>136</v>
      </c>
      <c r="I79">
        <v>82</v>
      </c>
      <c r="J79">
        <v>20</v>
      </c>
    </row>
    <row r="80" spans="1:10" x14ac:dyDescent="0.5">
      <c r="A80" t="s">
        <v>594</v>
      </c>
      <c r="B80" t="s">
        <v>1785</v>
      </c>
      <c r="C80" t="s">
        <v>1978</v>
      </c>
      <c r="D80">
        <v>51</v>
      </c>
      <c r="E80">
        <v>155</v>
      </c>
      <c r="F80">
        <v>142</v>
      </c>
      <c r="G80">
        <v>160</v>
      </c>
      <c r="H80">
        <v>121</v>
      </c>
      <c r="I80">
        <v>89</v>
      </c>
      <c r="J80">
        <v>27</v>
      </c>
    </row>
    <row r="81" spans="1:10" x14ac:dyDescent="0.5">
      <c r="A81" t="s">
        <v>594</v>
      </c>
      <c r="B81" t="s">
        <v>1785</v>
      </c>
      <c r="C81" t="s">
        <v>1979</v>
      </c>
      <c r="D81">
        <v>112</v>
      </c>
      <c r="E81">
        <v>254</v>
      </c>
      <c r="F81">
        <v>260</v>
      </c>
      <c r="G81">
        <v>213</v>
      </c>
      <c r="H81">
        <v>154</v>
      </c>
      <c r="I81">
        <v>57</v>
      </c>
      <c r="J81">
        <v>25</v>
      </c>
    </row>
    <row r="82" spans="1:10" x14ac:dyDescent="0.5">
      <c r="A82" t="s">
        <v>594</v>
      </c>
      <c r="B82" t="s">
        <v>1785</v>
      </c>
      <c r="C82" t="s">
        <v>1980</v>
      </c>
      <c r="D82">
        <v>130</v>
      </c>
      <c r="E82">
        <v>320</v>
      </c>
      <c r="F82">
        <v>373</v>
      </c>
      <c r="G82">
        <v>320</v>
      </c>
      <c r="H82">
        <v>189</v>
      </c>
      <c r="I82">
        <v>85</v>
      </c>
      <c r="J82" t="s">
        <v>928</v>
      </c>
    </row>
    <row r="83" spans="1:10" x14ac:dyDescent="0.5">
      <c r="A83" t="s">
        <v>594</v>
      </c>
      <c r="B83" t="s">
        <v>1785</v>
      </c>
      <c r="C83" t="s">
        <v>1981</v>
      </c>
      <c r="D83">
        <v>93</v>
      </c>
      <c r="E83">
        <v>214</v>
      </c>
      <c r="F83">
        <v>215</v>
      </c>
      <c r="G83">
        <v>182</v>
      </c>
      <c r="H83">
        <v>118</v>
      </c>
      <c r="I83">
        <v>53</v>
      </c>
      <c r="J83" t="s">
        <v>928</v>
      </c>
    </row>
    <row r="84" spans="1:10" x14ac:dyDescent="0.5">
      <c r="A84" t="s">
        <v>594</v>
      </c>
      <c r="B84" t="s">
        <v>1785</v>
      </c>
      <c r="C84" t="s">
        <v>1982</v>
      </c>
      <c r="D84">
        <v>58</v>
      </c>
      <c r="E84">
        <v>185</v>
      </c>
      <c r="F84">
        <v>220</v>
      </c>
      <c r="G84">
        <v>189</v>
      </c>
      <c r="H84">
        <v>138</v>
      </c>
      <c r="I84">
        <v>68</v>
      </c>
      <c r="J84">
        <v>27</v>
      </c>
    </row>
    <row r="85" spans="1:10" x14ac:dyDescent="0.5">
      <c r="A85" t="s">
        <v>594</v>
      </c>
      <c r="B85" t="s">
        <v>1785</v>
      </c>
      <c r="C85" t="s">
        <v>1983</v>
      </c>
      <c r="D85">
        <v>98</v>
      </c>
      <c r="E85">
        <v>159</v>
      </c>
      <c r="F85">
        <v>196</v>
      </c>
      <c r="G85">
        <v>130</v>
      </c>
      <c r="H85">
        <v>96</v>
      </c>
      <c r="I85">
        <v>13</v>
      </c>
      <c r="J85" t="s">
        <v>928</v>
      </c>
    </row>
    <row r="86" spans="1:10" x14ac:dyDescent="0.5">
      <c r="A86" t="s">
        <v>594</v>
      </c>
      <c r="B86" t="s">
        <v>1785</v>
      </c>
      <c r="C86" t="s">
        <v>1984</v>
      </c>
      <c r="D86">
        <v>102</v>
      </c>
      <c r="E86">
        <v>220</v>
      </c>
      <c r="F86">
        <v>194</v>
      </c>
      <c r="G86">
        <v>185</v>
      </c>
      <c r="H86">
        <v>69</v>
      </c>
      <c r="I86">
        <v>41</v>
      </c>
      <c r="J86" t="s">
        <v>928</v>
      </c>
    </row>
    <row r="87" spans="1:10" x14ac:dyDescent="0.5">
      <c r="A87" t="s">
        <v>594</v>
      </c>
      <c r="B87" t="s">
        <v>1785</v>
      </c>
      <c r="C87" t="s">
        <v>1985</v>
      </c>
      <c r="D87">
        <v>16</v>
      </c>
      <c r="E87">
        <v>66</v>
      </c>
      <c r="F87">
        <v>114</v>
      </c>
      <c r="G87">
        <v>98</v>
      </c>
      <c r="H87">
        <v>57</v>
      </c>
      <c r="I87">
        <v>13</v>
      </c>
      <c r="J87">
        <v>0</v>
      </c>
    </row>
    <row r="88" spans="1:10" x14ac:dyDescent="0.5">
      <c r="A88" t="s">
        <v>594</v>
      </c>
      <c r="B88" t="s">
        <v>1785</v>
      </c>
      <c r="C88" t="s">
        <v>1986</v>
      </c>
      <c r="D88">
        <v>62</v>
      </c>
      <c r="E88">
        <v>184</v>
      </c>
      <c r="F88">
        <v>166</v>
      </c>
      <c r="G88">
        <v>108</v>
      </c>
      <c r="H88">
        <v>90</v>
      </c>
      <c r="I88">
        <v>9</v>
      </c>
      <c r="J88" t="s">
        <v>928</v>
      </c>
    </row>
    <row r="89" spans="1:10" x14ac:dyDescent="0.5">
      <c r="A89" t="s">
        <v>594</v>
      </c>
      <c r="B89" t="s">
        <v>1784</v>
      </c>
      <c r="C89" t="s">
        <v>118</v>
      </c>
      <c r="D89">
        <v>79</v>
      </c>
      <c r="E89">
        <v>206</v>
      </c>
      <c r="F89">
        <v>237</v>
      </c>
      <c r="G89">
        <v>194</v>
      </c>
      <c r="H89">
        <v>147</v>
      </c>
      <c r="I89">
        <v>69</v>
      </c>
      <c r="J89">
        <v>28</v>
      </c>
    </row>
    <row r="90" spans="1:10" x14ac:dyDescent="0.5">
      <c r="A90" t="s">
        <v>594</v>
      </c>
      <c r="B90" t="s">
        <v>1784</v>
      </c>
      <c r="C90" t="s">
        <v>1976</v>
      </c>
      <c r="D90">
        <v>80</v>
      </c>
      <c r="E90">
        <v>172</v>
      </c>
      <c r="F90">
        <v>231</v>
      </c>
      <c r="G90">
        <v>226</v>
      </c>
      <c r="H90">
        <v>153</v>
      </c>
      <c r="I90">
        <v>43</v>
      </c>
      <c r="J90">
        <v>8</v>
      </c>
    </row>
    <row r="91" spans="1:10" x14ac:dyDescent="0.5">
      <c r="A91" t="s">
        <v>594</v>
      </c>
      <c r="B91" t="s">
        <v>1784</v>
      </c>
      <c r="C91" t="s">
        <v>1977</v>
      </c>
      <c r="D91">
        <v>107</v>
      </c>
      <c r="E91">
        <v>238</v>
      </c>
      <c r="F91">
        <v>241</v>
      </c>
      <c r="G91">
        <v>182</v>
      </c>
      <c r="H91">
        <v>144</v>
      </c>
      <c r="I91">
        <v>44</v>
      </c>
      <c r="J91" t="s">
        <v>928</v>
      </c>
    </row>
    <row r="92" spans="1:10" x14ac:dyDescent="0.5">
      <c r="A92" t="s">
        <v>594</v>
      </c>
      <c r="B92" t="s">
        <v>1784</v>
      </c>
      <c r="C92" t="s">
        <v>1978</v>
      </c>
      <c r="D92">
        <v>61</v>
      </c>
      <c r="E92">
        <v>204</v>
      </c>
      <c r="F92">
        <v>186</v>
      </c>
      <c r="G92">
        <v>154</v>
      </c>
      <c r="H92">
        <v>137</v>
      </c>
      <c r="I92">
        <v>68</v>
      </c>
      <c r="J92">
        <v>20</v>
      </c>
    </row>
    <row r="93" spans="1:10" x14ac:dyDescent="0.5">
      <c r="A93" t="s">
        <v>594</v>
      </c>
      <c r="B93" t="s">
        <v>1784</v>
      </c>
      <c r="C93" t="s">
        <v>1979</v>
      </c>
      <c r="D93">
        <v>107</v>
      </c>
      <c r="E93">
        <v>241</v>
      </c>
      <c r="F93">
        <v>286</v>
      </c>
      <c r="G93">
        <v>221</v>
      </c>
      <c r="H93">
        <v>160</v>
      </c>
      <c r="I93">
        <v>75</v>
      </c>
      <c r="J93">
        <v>37</v>
      </c>
    </row>
    <row r="94" spans="1:10" x14ac:dyDescent="0.5">
      <c r="A94" t="s">
        <v>594</v>
      </c>
      <c r="B94" t="s">
        <v>1784</v>
      </c>
      <c r="C94" t="s">
        <v>1980</v>
      </c>
      <c r="D94">
        <v>117</v>
      </c>
      <c r="E94">
        <v>301</v>
      </c>
      <c r="F94">
        <v>320</v>
      </c>
      <c r="G94">
        <v>302</v>
      </c>
      <c r="H94">
        <v>192</v>
      </c>
      <c r="I94">
        <v>146</v>
      </c>
      <c r="J94" t="s">
        <v>928</v>
      </c>
    </row>
    <row r="95" spans="1:10" x14ac:dyDescent="0.5">
      <c r="A95" t="s">
        <v>594</v>
      </c>
      <c r="B95" t="s">
        <v>1784</v>
      </c>
      <c r="C95" t="s">
        <v>1981</v>
      </c>
      <c r="D95">
        <v>141</v>
      </c>
      <c r="E95">
        <v>225</v>
      </c>
      <c r="F95">
        <v>230</v>
      </c>
      <c r="G95">
        <v>219</v>
      </c>
      <c r="H95">
        <v>128</v>
      </c>
      <c r="I95">
        <v>73</v>
      </c>
      <c r="J95">
        <v>22</v>
      </c>
    </row>
    <row r="96" spans="1:10" x14ac:dyDescent="0.5">
      <c r="A96" t="s">
        <v>594</v>
      </c>
      <c r="B96" t="s">
        <v>1784</v>
      </c>
      <c r="C96" t="s">
        <v>1982</v>
      </c>
      <c r="D96">
        <v>65</v>
      </c>
      <c r="E96">
        <v>178</v>
      </c>
      <c r="F96">
        <v>249</v>
      </c>
      <c r="G96">
        <v>210</v>
      </c>
      <c r="H96">
        <v>160</v>
      </c>
      <c r="I96">
        <v>75</v>
      </c>
      <c r="J96">
        <v>39</v>
      </c>
    </row>
    <row r="97" spans="1:10" x14ac:dyDescent="0.5">
      <c r="A97" t="s">
        <v>594</v>
      </c>
      <c r="B97" t="s">
        <v>1784</v>
      </c>
      <c r="C97" t="s">
        <v>1983</v>
      </c>
      <c r="D97">
        <v>77</v>
      </c>
      <c r="E97">
        <v>139</v>
      </c>
      <c r="F97">
        <v>177</v>
      </c>
      <c r="G97">
        <v>165</v>
      </c>
      <c r="H97">
        <v>144</v>
      </c>
      <c r="I97">
        <v>46</v>
      </c>
      <c r="J97">
        <v>42</v>
      </c>
    </row>
    <row r="98" spans="1:10" x14ac:dyDescent="0.5">
      <c r="A98" t="s">
        <v>594</v>
      </c>
      <c r="B98" t="s">
        <v>1784</v>
      </c>
      <c r="C98" t="s">
        <v>1984</v>
      </c>
      <c r="D98">
        <v>112</v>
      </c>
      <c r="E98">
        <v>172</v>
      </c>
      <c r="F98">
        <v>197</v>
      </c>
      <c r="G98">
        <v>154</v>
      </c>
      <c r="H98">
        <v>71</v>
      </c>
      <c r="I98">
        <v>57</v>
      </c>
      <c r="J98" t="s">
        <v>928</v>
      </c>
    </row>
    <row r="99" spans="1:10" x14ac:dyDescent="0.5">
      <c r="A99" t="s">
        <v>594</v>
      </c>
      <c r="B99" t="s">
        <v>1784</v>
      </c>
      <c r="C99" t="s">
        <v>1985</v>
      </c>
      <c r="D99">
        <v>15</v>
      </c>
      <c r="E99">
        <v>88</v>
      </c>
      <c r="F99">
        <v>92</v>
      </c>
      <c r="G99">
        <v>68</v>
      </c>
      <c r="H99">
        <v>34</v>
      </c>
      <c r="I99">
        <v>4</v>
      </c>
      <c r="J99">
        <v>0</v>
      </c>
    </row>
    <row r="100" spans="1:10" x14ac:dyDescent="0.5">
      <c r="A100" t="s">
        <v>594</v>
      </c>
      <c r="B100" t="s">
        <v>1784</v>
      </c>
      <c r="C100" t="s">
        <v>1986</v>
      </c>
      <c r="D100">
        <v>51</v>
      </c>
      <c r="E100">
        <v>165</v>
      </c>
      <c r="F100">
        <v>159</v>
      </c>
      <c r="G100">
        <v>183</v>
      </c>
      <c r="H100">
        <v>101</v>
      </c>
      <c r="I100">
        <v>12</v>
      </c>
      <c r="J100" t="s">
        <v>928</v>
      </c>
    </row>
    <row r="101" spans="1:10" x14ac:dyDescent="0.5">
      <c r="A101" t="s">
        <v>594</v>
      </c>
      <c r="B101" t="s">
        <v>1783</v>
      </c>
      <c r="C101" t="s">
        <v>118</v>
      </c>
      <c r="D101">
        <v>104</v>
      </c>
      <c r="E101">
        <v>228</v>
      </c>
      <c r="F101">
        <v>241</v>
      </c>
      <c r="G101">
        <v>231</v>
      </c>
      <c r="H101">
        <v>160</v>
      </c>
      <c r="I101">
        <v>84</v>
      </c>
      <c r="J101">
        <v>34</v>
      </c>
    </row>
    <row r="102" spans="1:10" x14ac:dyDescent="0.5">
      <c r="A102" t="s">
        <v>594</v>
      </c>
      <c r="B102" t="s">
        <v>1783</v>
      </c>
      <c r="C102" t="s">
        <v>1976</v>
      </c>
      <c r="D102">
        <v>104</v>
      </c>
      <c r="E102">
        <v>236</v>
      </c>
      <c r="F102">
        <v>219</v>
      </c>
      <c r="G102">
        <v>184</v>
      </c>
      <c r="H102">
        <v>150</v>
      </c>
      <c r="I102">
        <v>106</v>
      </c>
      <c r="J102">
        <v>26</v>
      </c>
    </row>
    <row r="103" spans="1:10" x14ac:dyDescent="0.5">
      <c r="A103" t="s">
        <v>594</v>
      </c>
      <c r="B103" t="s">
        <v>1783</v>
      </c>
      <c r="C103" t="s">
        <v>1977</v>
      </c>
      <c r="D103">
        <v>113</v>
      </c>
      <c r="E103">
        <v>238</v>
      </c>
      <c r="F103">
        <v>198</v>
      </c>
      <c r="G103">
        <v>194</v>
      </c>
      <c r="H103">
        <v>128</v>
      </c>
      <c r="I103">
        <v>67</v>
      </c>
      <c r="J103" t="s">
        <v>928</v>
      </c>
    </row>
    <row r="104" spans="1:10" x14ac:dyDescent="0.5">
      <c r="A104" t="s">
        <v>594</v>
      </c>
      <c r="B104" t="s">
        <v>1783</v>
      </c>
      <c r="C104" t="s">
        <v>1978</v>
      </c>
      <c r="D104">
        <v>102</v>
      </c>
      <c r="E104">
        <v>229</v>
      </c>
      <c r="F104">
        <v>229</v>
      </c>
      <c r="G104">
        <v>207</v>
      </c>
      <c r="H104">
        <v>142</v>
      </c>
      <c r="I104">
        <v>63</v>
      </c>
      <c r="J104">
        <v>45</v>
      </c>
    </row>
    <row r="105" spans="1:10" x14ac:dyDescent="0.5">
      <c r="A105" t="s">
        <v>594</v>
      </c>
      <c r="B105" t="s">
        <v>1783</v>
      </c>
      <c r="C105" t="s">
        <v>1979</v>
      </c>
      <c r="D105">
        <v>132</v>
      </c>
      <c r="E105">
        <v>251</v>
      </c>
      <c r="F105">
        <v>270</v>
      </c>
      <c r="G105">
        <v>260</v>
      </c>
      <c r="H105">
        <v>193</v>
      </c>
      <c r="I105">
        <v>108</v>
      </c>
      <c r="J105">
        <v>22</v>
      </c>
    </row>
    <row r="106" spans="1:10" x14ac:dyDescent="0.5">
      <c r="A106" t="s">
        <v>594</v>
      </c>
      <c r="B106" t="s">
        <v>1783</v>
      </c>
      <c r="C106" t="s">
        <v>1980</v>
      </c>
      <c r="D106">
        <v>135</v>
      </c>
      <c r="E106">
        <v>308</v>
      </c>
      <c r="F106">
        <v>247</v>
      </c>
      <c r="G106">
        <v>209</v>
      </c>
      <c r="H106">
        <v>177</v>
      </c>
      <c r="I106" t="s">
        <v>928</v>
      </c>
      <c r="J106" t="s">
        <v>928</v>
      </c>
    </row>
    <row r="107" spans="1:10" x14ac:dyDescent="0.5">
      <c r="A107" t="s">
        <v>594</v>
      </c>
      <c r="B107" t="s">
        <v>1783</v>
      </c>
      <c r="C107" t="s">
        <v>1981</v>
      </c>
      <c r="D107">
        <v>123</v>
      </c>
      <c r="E107">
        <v>271</v>
      </c>
      <c r="F107">
        <v>275</v>
      </c>
      <c r="G107">
        <v>178</v>
      </c>
      <c r="H107">
        <v>111</v>
      </c>
      <c r="I107">
        <v>44</v>
      </c>
      <c r="J107" t="s">
        <v>928</v>
      </c>
    </row>
    <row r="108" spans="1:10" x14ac:dyDescent="0.5">
      <c r="A108" t="s">
        <v>594</v>
      </c>
      <c r="B108" t="s">
        <v>1783</v>
      </c>
      <c r="C108" t="s">
        <v>1982</v>
      </c>
      <c r="D108">
        <v>78</v>
      </c>
      <c r="E108">
        <v>226</v>
      </c>
      <c r="F108">
        <v>253</v>
      </c>
      <c r="G108">
        <v>267</v>
      </c>
      <c r="H108">
        <v>163</v>
      </c>
      <c r="I108">
        <v>93</v>
      </c>
      <c r="J108">
        <v>48</v>
      </c>
    </row>
    <row r="109" spans="1:10" x14ac:dyDescent="0.5">
      <c r="A109" t="s">
        <v>594</v>
      </c>
      <c r="B109" t="s">
        <v>1783</v>
      </c>
      <c r="C109" t="s">
        <v>1983</v>
      </c>
      <c r="D109">
        <v>130</v>
      </c>
      <c r="E109">
        <v>203</v>
      </c>
      <c r="F109">
        <v>153</v>
      </c>
      <c r="G109">
        <v>135</v>
      </c>
      <c r="H109">
        <v>96</v>
      </c>
      <c r="I109">
        <v>19</v>
      </c>
      <c r="J109" t="s">
        <v>928</v>
      </c>
    </row>
    <row r="110" spans="1:10" x14ac:dyDescent="0.5">
      <c r="A110" t="s">
        <v>594</v>
      </c>
      <c r="B110" t="s">
        <v>1783</v>
      </c>
      <c r="C110" t="s">
        <v>1984</v>
      </c>
      <c r="D110">
        <v>89</v>
      </c>
      <c r="E110">
        <v>189</v>
      </c>
      <c r="F110">
        <v>190</v>
      </c>
      <c r="G110">
        <v>147</v>
      </c>
      <c r="H110">
        <v>110</v>
      </c>
      <c r="I110">
        <v>30</v>
      </c>
      <c r="J110" t="s">
        <v>928</v>
      </c>
    </row>
    <row r="111" spans="1:10" x14ac:dyDescent="0.5">
      <c r="A111" t="s">
        <v>594</v>
      </c>
      <c r="B111" t="s">
        <v>1783</v>
      </c>
      <c r="C111" t="s">
        <v>1985</v>
      </c>
      <c r="D111">
        <v>17</v>
      </c>
      <c r="E111">
        <v>59</v>
      </c>
      <c r="F111">
        <v>81</v>
      </c>
      <c r="G111">
        <v>75</v>
      </c>
      <c r="H111">
        <v>26</v>
      </c>
      <c r="I111">
        <v>17</v>
      </c>
      <c r="J111">
        <v>0</v>
      </c>
    </row>
    <row r="112" spans="1:10" x14ac:dyDescent="0.5">
      <c r="A112" t="s">
        <v>594</v>
      </c>
      <c r="B112" t="s">
        <v>1783</v>
      </c>
      <c r="C112" t="s">
        <v>1986</v>
      </c>
      <c r="D112">
        <v>57</v>
      </c>
      <c r="E112">
        <v>211</v>
      </c>
      <c r="F112">
        <v>150</v>
      </c>
      <c r="G112">
        <v>172</v>
      </c>
      <c r="H112">
        <v>104</v>
      </c>
      <c r="I112">
        <v>20</v>
      </c>
      <c r="J112" t="s">
        <v>928</v>
      </c>
    </row>
    <row r="113" spans="1:10" x14ac:dyDescent="0.5">
      <c r="A113" t="s">
        <v>594</v>
      </c>
      <c r="B113" t="s">
        <v>1782</v>
      </c>
      <c r="C113" t="s">
        <v>118</v>
      </c>
      <c r="D113">
        <v>100</v>
      </c>
      <c r="E113">
        <v>235</v>
      </c>
      <c r="F113">
        <v>251</v>
      </c>
      <c r="G113">
        <v>243</v>
      </c>
      <c r="H113">
        <v>168</v>
      </c>
      <c r="I113">
        <v>89</v>
      </c>
      <c r="J113">
        <v>19</v>
      </c>
    </row>
    <row r="114" spans="1:10" x14ac:dyDescent="0.5">
      <c r="A114" t="s">
        <v>594</v>
      </c>
      <c r="B114" t="s">
        <v>1782</v>
      </c>
      <c r="C114" t="s">
        <v>1976</v>
      </c>
      <c r="D114">
        <v>99</v>
      </c>
      <c r="E114">
        <v>213</v>
      </c>
      <c r="F114">
        <v>234</v>
      </c>
      <c r="G114">
        <v>238</v>
      </c>
      <c r="H114">
        <v>183</v>
      </c>
      <c r="I114">
        <v>84</v>
      </c>
      <c r="J114">
        <v>19</v>
      </c>
    </row>
    <row r="115" spans="1:10" x14ac:dyDescent="0.5">
      <c r="A115" t="s">
        <v>594</v>
      </c>
      <c r="B115" t="s">
        <v>1782</v>
      </c>
      <c r="C115" t="s">
        <v>1977</v>
      </c>
      <c r="D115">
        <v>133</v>
      </c>
      <c r="E115">
        <v>229</v>
      </c>
      <c r="F115">
        <v>198</v>
      </c>
      <c r="G115">
        <v>171</v>
      </c>
      <c r="H115">
        <v>96</v>
      </c>
      <c r="I115">
        <v>51</v>
      </c>
      <c r="J115">
        <v>5</v>
      </c>
    </row>
    <row r="116" spans="1:10" x14ac:dyDescent="0.5">
      <c r="A116" t="s">
        <v>594</v>
      </c>
      <c r="B116" t="s">
        <v>1782</v>
      </c>
      <c r="C116" t="s">
        <v>1978</v>
      </c>
      <c r="D116">
        <v>143</v>
      </c>
      <c r="E116">
        <v>235</v>
      </c>
      <c r="F116">
        <v>230</v>
      </c>
      <c r="G116">
        <v>226</v>
      </c>
      <c r="H116">
        <v>153</v>
      </c>
      <c r="I116">
        <v>105</v>
      </c>
      <c r="J116">
        <v>12</v>
      </c>
    </row>
    <row r="117" spans="1:10" x14ac:dyDescent="0.5">
      <c r="A117" t="s">
        <v>594</v>
      </c>
      <c r="B117" t="s">
        <v>1782</v>
      </c>
      <c r="C117" t="s">
        <v>1979</v>
      </c>
      <c r="D117">
        <v>104</v>
      </c>
      <c r="E117">
        <v>263</v>
      </c>
      <c r="F117">
        <v>280</v>
      </c>
      <c r="G117">
        <v>275</v>
      </c>
      <c r="H117">
        <v>191</v>
      </c>
      <c r="I117">
        <v>83</v>
      </c>
      <c r="J117">
        <v>16</v>
      </c>
    </row>
    <row r="118" spans="1:10" x14ac:dyDescent="0.5">
      <c r="A118" t="s">
        <v>594</v>
      </c>
      <c r="B118" t="s">
        <v>1782</v>
      </c>
      <c r="C118" t="s">
        <v>1980</v>
      </c>
      <c r="D118">
        <v>128</v>
      </c>
      <c r="E118">
        <v>242</v>
      </c>
      <c r="F118">
        <v>239</v>
      </c>
      <c r="G118">
        <v>184</v>
      </c>
      <c r="H118">
        <v>124</v>
      </c>
      <c r="I118">
        <v>97</v>
      </c>
      <c r="J118" t="s">
        <v>928</v>
      </c>
    </row>
    <row r="119" spans="1:10" x14ac:dyDescent="0.5">
      <c r="A119" t="s">
        <v>594</v>
      </c>
      <c r="B119" t="s">
        <v>1782</v>
      </c>
      <c r="C119" t="s">
        <v>1981</v>
      </c>
      <c r="D119">
        <v>110</v>
      </c>
      <c r="E119">
        <v>248</v>
      </c>
      <c r="F119">
        <v>222</v>
      </c>
      <c r="G119">
        <v>188</v>
      </c>
      <c r="H119">
        <v>163</v>
      </c>
      <c r="I119">
        <v>74</v>
      </c>
      <c r="J119" t="s">
        <v>928</v>
      </c>
    </row>
    <row r="120" spans="1:10" x14ac:dyDescent="0.5">
      <c r="A120" t="s">
        <v>594</v>
      </c>
      <c r="B120" t="s">
        <v>1782</v>
      </c>
      <c r="C120" t="s">
        <v>1982</v>
      </c>
      <c r="D120">
        <v>60</v>
      </c>
      <c r="E120">
        <v>226</v>
      </c>
      <c r="F120">
        <v>265</v>
      </c>
      <c r="G120">
        <v>250</v>
      </c>
      <c r="H120">
        <v>178</v>
      </c>
      <c r="I120">
        <v>95</v>
      </c>
      <c r="J120">
        <v>38</v>
      </c>
    </row>
    <row r="121" spans="1:10" x14ac:dyDescent="0.5">
      <c r="A121" t="s">
        <v>594</v>
      </c>
      <c r="B121" t="s">
        <v>1782</v>
      </c>
      <c r="C121" t="s">
        <v>1983</v>
      </c>
      <c r="D121">
        <v>96</v>
      </c>
      <c r="E121">
        <v>212</v>
      </c>
      <c r="F121">
        <v>213</v>
      </c>
      <c r="G121">
        <v>175</v>
      </c>
      <c r="H121">
        <v>130</v>
      </c>
      <c r="I121">
        <v>35</v>
      </c>
      <c r="J121" t="s">
        <v>928</v>
      </c>
    </row>
    <row r="122" spans="1:10" x14ac:dyDescent="0.5">
      <c r="A122" t="s">
        <v>594</v>
      </c>
      <c r="B122" t="s">
        <v>1782</v>
      </c>
      <c r="C122" t="s">
        <v>1984</v>
      </c>
      <c r="D122">
        <v>86</v>
      </c>
      <c r="E122">
        <v>178</v>
      </c>
      <c r="F122">
        <v>189</v>
      </c>
      <c r="G122">
        <v>185</v>
      </c>
      <c r="H122">
        <v>152</v>
      </c>
      <c r="I122">
        <v>37</v>
      </c>
      <c r="J122">
        <v>14</v>
      </c>
    </row>
    <row r="123" spans="1:10" x14ac:dyDescent="0.5">
      <c r="A123" t="s">
        <v>594</v>
      </c>
      <c r="B123" t="s">
        <v>1782</v>
      </c>
      <c r="C123" t="s">
        <v>1985</v>
      </c>
      <c r="D123">
        <v>22</v>
      </c>
      <c r="E123">
        <v>78</v>
      </c>
      <c r="F123">
        <v>124</v>
      </c>
      <c r="G123">
        <v>93</v>
      </c>
      <c r="H123">
        <v>45</v>
      </c>
      <c r="I123">
        <v>3</v>
      </c>
      <c r="J123">
        <v>4</v>
      </c>
    </row>
    <row r="124" spans="1:10" x14ac:dyDescent="0.5">
      <c r="A124" t="s">
        <v>594</v>
      </c>
      <c r="B124" t="s">
        <v>1782</v>
      </c>
      <c r="C124" t="s">
        <v>1986</v>
      </c>
      <c r="D124">
        <v>49</v>
      </c>
      <c r="E124">
        <v>113</v>
      </c>
      <c r="F124">
        <v>181</v>
      </c>
      <c r="G124">
        <v>195</v>
      </c>
      <c r="H124">
        <v>95</v>
      </c>
      <c r="I124">
        <v>59</v>
      </c>
      <c r="J124" t="s">
        <v>928</v>
      </c>
    </row>
  </sheetData>
  <mergeCells count="3">
    <mergeCell ref="A2:A15"/>
    <mergeCell ref="A17:A28"/>
    <mergeCell ref="A32:A45"/>
  </mergeCells>
  <pageMargins left="0" right="0" top="0" bottom="0" header="0" footer="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345B-0E5A-422D-8885-458288094868}">
  <dimension ref="A1:AJ73"/>
  <sheetViews>
    <sheetView topLeftCell="A4" workbookViewId="0">
      <selection activeCell="C16" sqref="C16"/>
    </sheetView>
  </sheetViews>
  <sheetFormatPr defaultColWidth="8.73046875" defaultRowHeight="14.25" x14ac:dyDescent="0.45"/>
  <cols>
    <col min="1" max="1" width="13.53125" style="64" customWidth="1"/>
    <col min="2" max="5" width="13.53125" customWidth="1"/>
    <col min="10" max="10" width="8.73046875" style="257"/>
    <col min="11" max="11" width="8.73046875" style="64"/>
    <col min="12" max="15" width="11.46484375" customWidth="1"/>
    <col min="16" max="16" width="11.46484375" style="257" customWidth="1"/>
    <col min="17" max="17" width="11.46484375" style="64" customWidth="1"/>
    <col min="18" max="19" width="11.46484375" customWidth="1"/>
    <col min="26" max="26" width="8.73046875" style="257"/>
    <col min="27" max="27" width="11.46484375" style="64" customWidth="1"/>
    <col min="28" max="28" width="11.46484375" customWidth="1"/>
    <col min="29" max="35" width="10.73046875" style="105" customWidth="1"/>
    <col min="36" max="36" width="8.73046875" style="257"/>
  </cols>
  <sheetData>
    <row r="1" spans="1:36" x14ac:dyDescent="0.45">
      <c r="A1" s="92"/>
      <c r="B1" s="97"/>
      <c r="C1" s="97"/>
      <c r="D1" s="97"/>
      <c r="E1" s="97"/>
      <c r="F1" s="97"/>
      <c r="G1" s="97"/>
      <c r="H1" s="97"/>
      <c r="I1" s="97"/>
      <c r="J1" s="256"/>
      <c r="K1" s="92"/>
      <c r="L1" s="97"/>
      <c r="M1" s="97"/>
      <c r="N1" s="97"/>
      <c r="O1" s="97"/>
      <c r="P1" s="256"/>
      <c r="Q1" s="92"/>
      <c r="R1" s="97"/>
      <c r="S1" s="97"/>
      <c r="T1" s="97"/>
      <c r="U1" s="97"/>
      <c r="V1" s="97"/>
      <c r="W1" s="97"/>
      <c r="X1" s="97"/>
      <c r="Y1" s="97"/>
      <c r="Z1" s="256"/>
      <c r="AA1" s="92"/>
      <c r="AB1" s="97"/>
      <c r="AC1" s="121"/>
      <c r="AD1" s="121"/>
      <c r="AE1" s="121"/>
      <c r="AF1" s="121"/>
      <c r="AG1" s="121"/>
      <c r="AH1" s="121"/>
      <c r="AI1" s="121"/>
      <c r="AJ1" s="256"/>
    </row>
    <row r="2" spans="1:36" x14ac:dyDescent="0.45">
      <c r="A2" s="408" t="s">
        <v>2053</v>
      </c>
      <c r="B2" s="409"/>
      <c r="C2" s="409"/>
      <c r="D2" s="409"/>
      <c r="E2" s="409"/>
      <c r="F2" s="409"/>
      <c r="G2" s="409"/>
      <c r="H2" s="409"/>
      <c r="I2" s="409"/>
      <c r="J2" s="410"/>
      <c r="K2" s="408" t="s">
        <v>2054</v>
      </c>
      <c r="L2" s="409"/>
      <c r="M2" s="409"/>
      <c r="N2" s="409"/>
      <c r="O2" s="409"/>
      <c r="P2" s="410"/>
      <c r="Q2" s="408" t="s">
        <v>2055</v>
      </c>
      <c r="R2" s="409"/>
      <c r="S2" s="409"/>
      <c r="T2" s="409"/>
      <c r="U2" s="409"/>
      <c r="V2" s="409"/>
      <c r="W2" s="409"/>
      <c r="X2" s="409"/>
      <c r="Y2" s="409"/>
      <c r="Z2" s="410"/>
      <c r="AA2" s="408" t="s">
        <v>2056</v>
      </c>
      <c r="AB2" s="409"/>
      <c r="AC2" s="409"/>
      <c r="AD2" s="409"/>
      <c r="AE2" s="409"/>
      <c r="AF2" s="409"/>
      <c r="AG2" s="409"/>
      <c r="AH2" s="409"/>
      <c r="AI2" s="409"/>
      <c r="AJ2" s="410"/>
    </row>
    <row r="4" spans="1:36" x14ac:dyDescent="0.45">
      <c r="A4" s="64" t="s">
        <v>928</v>
      </c>
      <c r="B4" t="s">
        <v>928</v>
      </c>
      <c r="C4" t="s">
        <v>2021</v>
      </c>
      <c r="D4" t="s">
        <v>928</v>
      </c>
      <c r="E4" t="s">
        <v>928</v>
      </c>
      <c r="F4" t="s">
        <v>928</v>
      </c>
      <c r="G4" t="s">
        <v>928</v>
      </c>
      <c r="H4" t="s">
        <v>928</v>
      </c>
      <c r="I4" t="s">
        <v>928</v>
      </c>
    </row>
    <row r="5" spans="1:36" x14ac:dyDescent="0.45">
      <c r="A5" s="64" t="s">
        <v>928</v>
      </c>
      <c r="B5" t="s">
        <v>928</v>
      </c>
      <c r="C5" t="s">
        <v>928</v>
      </c>
      <c r="D5" t="s">
        <v>928</v>
      </c>
      <c r="E5" t="s">
        <v>928</v>
      </c>
      <c r="F5" t="s">
        <v>928</v>
      </c>
      <c r="G5" t="s">
        <v>928</v>
      </c>
      <c r="H5" t="s">
        <v>928</v>
      </c>
      <c r="I5" t="s">
        <v>928</v>
      </c>
    </row>
    <row r="6" spans="1:36" x14ac:dyDescent="0.45">
      <c r="A6" s="64" t="s">
        <v>928</v>
      </c>
      <c r="B6" t="s">
        <v>928</v>
      </c>
      <c r="C6" t="s">
        <v>2022</v>
      </c>
      <c r="D6" t="s">
        <v>928</v>
      </c>
      <c r="E6" t="s">
        <v>928</v>
      </c>
      <c r="F6" t="s">
        <v>928</v>
      </c>
      <c r="G6" t="s">
        <v>928</v>
      </c>
      <c r="H6" t="s">
        <v>928</v>
      </c>
      <c r="I6" t="s">
        <v>928</v>
      </c>
    </row>
    <row r="7" spans="1:36" x14ac:dyDescent="0.45">
      <c r="A7" s="64" t="s">
        <v>923</v>
      </c>
      <c r="B7" t="s">
        <v>1787</v>
      </c>
      <c r="C7" t="s">
        <v>664</v>
      </c>
      <c r="D7" t="s">
        <v>665</v>
      </c>
      <c r="E7" t="s">
        <v>667</v>
      </c>
      <c r="F7" t="s">
        <v>670</v>
      </c>
      <c r="G7" t="s">
        <v>672</v>
      </c>
      <c r="H7" t="s">
        <v>674</v>
      </c>
      <c r="I7" t="s">
        <v>676</v>
      </c>
      <c r="R7" t="s">
        <v>1787</v>
      </c>
      <c r="S7" t="s">
        <v>664</v>
      </c>
      <c r="T7" t="s">
        <v>665</v>
      </c>
      <c r="U7" t="s">
        <v>667</v>
      </c>
      <c r="V7" t="s">
        <v>670</v>
      </c>
      <c r="W7" t="s">
        <v>672</v>
      </c>
      <c r="X7" t="s">
        <v>674</v>
      </c>
      <c r="Y7" t="s">
        <v>676</v>
      </c>
      <c r="AB7" t="s">
        <v>1787</v>
      </c>
      <c r="AC7" s="105" t="s">
        <v>664</v>
      </c>
      <c r="AD7" s="105" t="s">
        <v>665</v>
      </c>
      <c r="AE7" s="105" t="s">
        <v>667</v>
      </c>
      <c r="AF7" s="105" t="s">
        <v>670</v>
      </c>
      <c r="AG7" s="105" t="s">
        <v>672</v>
      </c>
      <c r="AH7" s="105" t="s">
        <v>674</v>
      </c>
      <c r="AI7" s="105" t="s">
        <v>676</v>
      </c>
    </row>
    <row r="8" spans="1:36" x14ac:dyDescent="0.45">
      <c r="A8" s="64" t="s">
        <v>594</v>
      </c>
      <c r="B8" t="s">
        <v>1785</v>
      </c>
      <c r="C8">
        <v>2.2200000000000002</v>
      </c>
      <c r="D8">
        <v>2.23</v>
      </c>
      <c r="E8">
        <v>2.3199999999999998</v>
      </c>
      <c r="F8">
        <v>3.68</v>
      </c>
      <c r="G8">
        <v>2.2000000000000002</v>
      </c>
      <c r="H8">
        <v>3.85</v>
      </c>
      <c r="I8">
        <v>4.57</v>
      </c>
      <c r="R8" t="s">
        <v>1785</v>
      </c>
      <c r="S8" s="59">
        <f>C8/5</f>
        <v>0.44400000000000006</v>
      </c>
      <c r="T8" s="59">
        <f t="shared" ref="T8:T11" si="0">D8/5</f>
        <v>0.44600000000000001</v>
      </c>
      <c r="U8" s="59">
        <f t="shared" ref="U8:U11" si="1">E8/5</f>
        <v>0.46399999999999997</v>
      </c>
      <c r="V8" s="59">
        <f t="shared" ref="V8:V11" si="2">F8/5</f>
        <v>0.73599999999999999</v>
      </c>
      <c r="W8" s="59">
        <f t="shared" ref="W8:W11" si="3">G8/5</f>
        <v>0.44000000000000006</v>
      </c>
      <c r="X8" s="59">
        <f t="shared" ref="X8:X11" si="4">H8/5</f>
        <v>0.77</v>
      </c>
      <c r="Y8" s="59">
        <f t="shared" ref="Y8:Y11" si="5">I8/5</f>
        <v>0.91400000000000003</v>
      </c>
      <c r="AB8" t="s">
        <v>2057</v>
      </c>
      <c r="AC8" s="105">
        <f>1-(1-(S8/S9))/5</f>
        <v>0.98893617021276592</v>
      </c>
      <c r="AD8" s="105">
        <f t="shared" ref="AD8:AI8" si="6">1-(1-(T8/T9))/5</f>
        <v>0.96958174904942962</v>
      </c>
      <c r="AE8" s="105">
        <f t="shared" si="6"/>
        <v>0.93144475920679881</v>
      </c>
      <c r="AF8" s="105">
        <f t="shared" si="6"/>
        <v>0.90744525547445254</v>
      </c>
      <c r="AG8" s="105">
        <f t="shared" si="6"/>
        <v>0.90628019323671505</v>
      </c>
      <c r="AH8" s="105">
        <f t="shared" si="6"/>
        <v>0.90447761194029852</v>
      </c>
      <c r="AI8" s="105">
        <f t="shared" si="6"/>
        <v>0.92452316076294283</v>
      </c>
    </row>
    <row r="9" spans="1:36" x14ac:dyDescent="0.45">
      <c r="A9" s="64" t="s">
        <v>594</v>
      </c>
      <c r="B9" t="s">
        <v>1784</v>
      </c>
      <c r="C9">
        <v>2.35</v>
      </c>
      <c r="D9">
        <v>2.63</v>
      </c>
      <c r="E9">
        <v>3.53</v>
      </c>
      <c r="F9">
        <v>6.85</v>
      </c>
      <c r="G9">
        <v>4.1399999999999997</v>
      </c>
      <c r="H9">
        <v>7.37</v>
      </c>
      <c r="I9">
        <v>7.34</v>
      </c>
      <c r="R9" t="s">
        <v>1784</v>
      </c>
      <c r="S9">
        <f t="shared" ref="S9:S11" si="7">C9/5</f>
        <v>0.47000000000000003</v>
      </c>
      <c r="T9">
        <f t="shared" si="0"/>
        <v>0.52600000000000002</v>
      </c>
      <c r="U9">
        <f t="shared" si="1"/>
        <v>0.70599999999999996</v>
      </c>
      <c r="V9">
        <f t="shared" si="2"/>
        <v>1.3699999999999999</v>
      </c>
      <c r="W9">
        <f t="shared" si="3"/>
        <v>0.82799999999999996</v>
      </c>
      <c r="X9">
        <f t="shared" si="4"/>
        <v>1.474</v>
      </c>
      <c r="Y9">
        <f t="shared" si="5"/>
        <v>1.468</v>
      </c>
      <c r="AB9" s="53" t="s">
        <v>2058</v>
      </c>
      <c r="AC9" s="105">
        <f>1-(1-(S9/S10))/6</f>
        <v>0.93401885175664101</v>
      </c>
      <c r="AD9" s="105">
        <f t="shared" ref="AD9:AI9" si="8">1-(1-(T9/T10))/6</f>
        <v>0.91557223264540333</v>
      </c>
      <c r="AE9" s="105">
        <f t="shared" si="8"/>
        <v>0.92440660474716196</v>
      </c>
      <c r="AF9" s="105">
        <f t="shared" si="8"/>
        <v>0.97550850975508507</v>
      </c>
      <c r="AG9" s="105">
        <f t="shared" si="8"/>
        <v>0.91799591002044989</v>
      </c>
      <c r="AH9" s="105">
        <f t="shared" si="8"/>
        <v>0.99624226348364275</v>
      </c>
      <c r="AI9" s="105">
        <f t="shared" si="8"/>
        <v>0.96183473389355745</v>
      </c>
    </row>
    <row r="10" spans="1:36" x14ac:dyDescent="0.45">
      <c r="A10" s="64" t="s">
        <v>594</v>
      </c>
      <c r="B10" t="s">
        <v>1783</v>
      </c>
      <c r="C10">
        <v>3.89</v>
      </c>
      <c r="D10">
        <v>5.33</v>
      </c>
      <c r="E10">
        <v>6.46</v>
      </c>
      <c r="F10">
        <v>8.0299999999999994</v>
      </c>
      <c r="G10">
        <v>8.15</v>
      </c>
      <c r="H10">
        <v>7.54</v>
      </c>
      <c r="I10">
        <v>9.52</v>
      </c>
      <c r="R10" t="s">
        <v>1783</v>
      </c>
      <c r="S10">
        <f t="shared" si="7"/>
        <v>0.77800000000000002</v>
      </c>
      <c r="T10">
        <f t="shared" si="0"/>
        <v>1.0660000000000001</v>
      </c>
      <c r="U10">
        <f t="shared" si="1"/>
        <v>1.292</v>
      </c>
      <c r="V10">
        <f t="shared" si="2"/>
        <v>1.6059999999999999</v>
      </c>
      <c r="W10">
        <f t="shared" si="3"/>
        <v>1.6300000000000001</v>
      </c>
      <c r="X10">
        <f t="shared" si="4"/>
        <v>1.508</v>
      </c>
      <c r="Y10">
        <f t="shared" si="5"/>
        <v>1.9039999999999999</v>
      </c>
      <c r="AB10" s="53" t="s">
        <v>2059</v>
      </c>
      <c r="AC10" s="105">
        <f>1-(1-(S10/S11))/5</f>
        <v>0.95910020449897748</v>
      </c>
      <c r="AD10" s="105">
        <f t="shared" ref="AD10:AI10" si="9">1-(1-(T10/T11))/5</f>
        <v>0.97678275290215588</v>
      </c>
      <c r="AE10" s="105">
        <f t="shared" si="9"/>
        <v>1.0100813008130081</v>
      </c>
      <c r="AF10" s="105">
        <f t="shared" si="9"/>
        <v>0.99633251833740832</v>
      </c>
      <c r="AG10" s="105">
        <f t="shared" si="9"/>
        <v>0.99267139479905442</v>
      </c>
      <c r="AH10" s="105">
        <f t="shared" si="9"/>
        <v>0.98256658595641644</v>
      </c>
      <c r="AI10" s="105">
        <f t="shared" si="9"/>
        <v>1.0365217391304347</v>
      </c>
    </row>
    <row r="11" spans="1:36" x14ac:dyDescent="0.45">
      <c r="A11" s="64" t="s">
        <v>594</v>
      </c>
      <c r="B11" t="s">
        <v>1782</v>
      </c>
      <c r="C11">
        <v>4.8899999999999997</v>
      </c>
      <c r="D11">
        <v>6.03</v>
      </c>
      <c r="E11">
        <v>6.15</v>
      </c>
      <c r="F11">
        <v>8.18</v>
      </c>
      <c r="G11">
        <v>8.4600000000000009</v>
      </c>
      <c r="H11">
        <v>8.26</v>
      </c>
      <c r="I11">
        <v>8.0500000000000007</v>
      </c>
      <c r="R11" t="s">
        <v>1782</v>
      </c>
      <c r="S11">
        <f t="shared" si="7"/>
        <v>0.97799999999999998</v>
      </c>
      <c r="T11">
        <f t="shared" si="0"/>
        <v>1.206</v>
      </c>
      <c r="U11">
        <f t="shared" si="1"/>
        <v>1.23</v>
      </c>
      <c r="V11">
        <f t="shared" si="2"/>
        <v>1.6359999999999999</v>
      </c>
      <c r="W11">
        <f t="shared" si="3"/>
        <v>1.6920000000000002</v>
      </c>
      <c r="X11">
        <f t="shared" si="4"/>
        <v>1.6519999999999999</v>
      </c>
      <c r="Y11">
        <f t="shared" si="5"/>
        <v>1.61</v>
      </c>
    </row>
    <row r="12" spans="1:36" x14ac:dyDescent="0.45">
      <c r="AC12" s="259">
        <f>AVERAGE(AC8:AC10)</f>
        <v>0.96068507548946147</v>
      </c>
      <c r="AD12" s="259">
        <f t="shared" ref="AD12:AI12" si="10">AVERAGE(AD8:AD10)</f>
        <v>0.9539789115323295</v>
      </c>
      <c r="AE12" s="259">
        <f t="shared" si="10"/>
        <v>0.95531088825565613</v>
      </c>
      <c r="AF12" s="259">
        <f t="shared" si="10"/>
        <v>0.95976209452231531</v>
      </c>
      <c r="AG12" s="259">
        <f t="shared" si="10"/>
        <v>0.93898249935207312</v>
      </c>
      <c r="AH12" s="259">
        <f t="shared" si="10"/>
        <v>0.96109548712678594</v>
      </c>
      <c r="AI12" s="259">
        <f t="shared" si="10"/>
        <v>0.97429321126231161</v>
      </c>
    </row>
    <row r="13" spans="1:36" x14ac:dyDescent="0.45">
      <c r="A13" s="64" t="s">
        <v>2021</v>
      </c>
      <c r="B13" t="s">
        <v>2020</v>
      </c>
    </row>
    <row r="14" spans="1:36" x14ac:dyDescent="0.45">
      <c r="A14" s="64" t="s">
        <v>2019</v>
      </c>
    </row>
    <row r="16" spans="1:36" x14ac:dyDescent="0.45">
      <c r="A16" s="64" t="s">
        <v>928</v>
      </c>
      <c r="B16" t="s">
        <v>928</v>
      </c>
      <c r="C16" t="s">
        <v>2024</v>
      </c>
      <c r="D16" t="s">
        <v>928</v>
      </c>
      <c r="E16" t="s">
        <v>928</v>
      </c>
      <c r="F16" t="s">
        <v>928</v>
      </c>
      <c r="G16" t="s">
        <v>928</v>
      </c>
      <c r="H16" t="s">
        <v>928</v>
      </c>
      <c r="I16" t="s">
        <v>928</v>
      </c>
    </row>
    <row r="17" spans="1:35" x14ac:dyDescent="0.45">
      <c r="A17" s="64" t="s">
        <v>928</v>
      </c>
      <c r="B17" t="s">
        <v>928</v>
      </c>
      <c r="C17" t="s">
        <v>928</v>
      </c>
      <c r="D17" t="s">
        <v>928</v>
      </c>
      <c r="E17" t="s">
        <v>928</v>
      </c>
      <c r="F17" t="s">
        <v>928</v>
      </c>
      <c r="G17" t="s">
        <v>928</v>
      </c>
      <c r="H17" t="s">
        <v>928</v>
      </c>
      <c r="I17" t="s">
        <v>928</v>
      </c>
    </row>
    <row r="18" spans="1:35" x14ac:dyDescent="0.45">
      <c r="A18" s="64" t="s">
        <v>928</v>
      </c>
      <c r="B18" t="s">
        <v>928</v>
      </c>
      <c r="C18" t="s">
        <v>2022</v>
      </c>
      <c r="D18" t="s">
        <v>928</v>
      </c>
      <c r="E18" t="s">
        <v>928</v>
      </c>
      <c r="F18" t="s">
        <v>928</v>
      </c>
      <c r="G18" t="s">
        <v>928</v>
      </c>
      <c r="H18" t="s">
        <v>928</v>
      </c>
      <c r="I18" t="s">
        <v>928</v>
      </c>
    </row>
    <row r="19" spans="1:35" x14ac:dyDescent="0.45">
      <c r="A19" s="64" t="s">
        <v>923</v>
      </c>
      <c r="B19" t="s">
        <v>1787</v>
      </c>
      <c r="C19" t="s">
        <v>664</v>
      </c>
      <c r="D19" t="s">
        <v>665</v>
      </c>
      <c r="E19" t="s">
        <v>667</v>
      </c>
      <c r="F19" t="s">
        <v>670</v>
      </c>
      <c r="G19" t="s">
        <v>672</v>
      </c>
      <c r="H19" t="s">
        <v>674</v>
      </c>
      <c r="I19" t="s">
        <v>676</v>
      </c>
      <c r="R19" t="s">
        <v>1787</v>
      </c>
      <c r="S19" t="s">
        <v>664</v>
      </c>
      <c r="T19" t="s">
        <v>665</v>
      </c>
      <c r="U19" t="s">
        <v>667</v>
      </c>
      <c r="V19" t="s">
        <v>670</v>
      </c>
      <c r="W19" t="s">
        <v>672</v>
      </c>
      <c r="X19" t="s">
        <v>674</v>
      </c>
      <c r="Y19" t="s">
        <v>676</v>
      </c>
      <c r="AB19" t="s">
        <v>1787</v>
      </c>
      <c r="AC19" s="105" t="s">
        <v>664</v>
      </c>
      <c r="AD19" s="105" t="s">
        <v>665</v>
      </c>
      <c r="AE19" s="105" t="s">
        <v>667</v>
      </c>
      <c r="AF19" s="105" t="s">
        <v>670</v>
      </c>
      <c r="AG19" s="105" t="s">
        <v>672</v>
      </c>
      <c r="AH19" s="105" t="s">
        <v>674</v>
      </c>
      <c r="AI19" s="105" t="s">
        <v>676</v>
      </c>
    </row>
    <row r="20" spans="1:35" x14ac:dyDescent="0.45">
      <c r="A20" s="64" t="s">
        <v>594</v>
      </c>
      <c r="B20" t="s">
        <v>1785</v>
      </c>
      <c r="C20">
        <v>2.86</v>
      </c>
      <c r="D20">
        <v>3.19</v>
      </c>
      <c r="E20">
        <v>2.93</v>
      </c>
      <c r="F20">
        <v>3.97</v>
      </c>
      <c r="G20">
        <v>4.1100000000000003</v>
      </c>
      <c r="H20">
        <v>5.84</v>
      </c>
      <c r="I20">
        <v>3.6</v>
      </c>
      <c r="R20" t="s">
        <v>1785</v>
      </c>
      <c r="S20" s="59">
        <f>C20/5</f>
        <v>0.57199999999999995</v>
      </c>
      <c r="T20" s="59">
        <f t="shared" ref="T20:T23" si="11">D20/5</f>
        <v>0.63800000000000001</v>
      </c>
      <c r="U20" s="59">
        <f t="shared" ref="U20:U23" si="12">E20/5</f>
        <v>0.58600000000000008</v>
      </c>
      <c r="V20" s="59">
        <f t="shared" ref="V20:V23" si="13">F20/5</f>
        <v>0.79400000000000004</v>
      </c>
      <c r="W20" s="59">
        <f t="shared" ref="W20:W23" si="14">G20/5</f>
        <v>0.82200000000000006</v>
      </c>
      <c r="X20" s="59">
        <f t="shared" ref="X20:X23" si="15">H20/5</f>
        <v>1.1679999999999999</v>
      </c>
      <c r="Y20" s="59">
        <f t="shared" ref="Y20:Y23" si="16">I20/5</f>
        <v>0.72</v>
      </c>
      <c r="AB20" t="s">
        <v>2057</v>
      </c>
      <c r="AC20" s="105">
        <f>1-(1-(S20/S21))/5</f>
        <v>0.96923076923076923</v>
      </c>
      <c r="AD20" s="105">
        <f t="shared" ref="AD20:AI20" si="17">1-(1-(T20/T21))/5</f>
        <v>0.99630769230769234</v>
      </c>
      <c r="AE20" s="105">
        <f t="shared" si="17"/>
        <v>0.91467710371819966</v>
      </c>
      <c r="AF20" s="105">
        <f t="shared" si="17"/>
        <v>0.93832752613240422</v>
      </c>
      <c r="AG20" s="105">
        <f t="shared" si="17"/>
        <v>0.9321543408360129</v>
      </c>
      <c r="AH20" s="105">
        <f t="shared" si="17"/>
        <v>0.96427566807313636</v>
      </c>
      <c r="AI20" s="105">
        <f t="shared" si="17"/>
        <v>0.87834602829162134</v>
      </c>
    </row>
    <row r="21" spans="1:35" x14ac:dyDescent="0.45">
      <c r="A21" s="64" t="s">
        <v>594</v>
      </c>
      <c r="B21" t="s">
        <v>1784</v>
      </c>
      <c r="C21">
        <v>3.38</v>
      </c>
      <c r="D21">
        <v>3.25</v>
      </c>
      <c r="E21">
        <v>5.1100000000000003</v>
      </c>
      <c r="F21">
        <v>5.74</v>
      </c>
      <c r="G21">
        <v>6.22</v>
      </c>
      <c r="H21">
        <v>7.11</v>
      </c>
      <c r="I21">
        <v>9.19</v>
      </c>
      <c r="R21" t="s">
        <v>1784</v>
      </c>
      <c r="S21">
        <f t="shared" ref="S21:S23" si="18">C21/5</f>
        <v>0.67599999999999993</v>
      </c>
      <c r="T21">
        <f t="shared" si="11"/>
        <v>0.65</v>
      </c>
      <c r="U21">
        <f t="shared" si="12"/>
        <v>1.022</v>
      </c>
      <c r="V21">
        <f t="shared" si="13"/>
        <v>1.1480000000000001</v>
      </c>
      <c r="W21">
        <f t="shared" si="14"/>
        <v>1.244</v>
      </c>
      <c r="X21">
        <f t="shared" si="15"/>
        <v>1.4220000000000002</v>
      </c>
      <c r="Y21">
        <f t="shared" si="16"/>
        <v>1.8379999999999999</v>
      </c>
      <c r="AB21" s="53" t="s">
        <v>2058</v>
      </c>
      <c r="AC21" s="105">
        <f>1-(1-(S21/S22))/6</f>
        <v>0.97558922558922556</v>
      </c>
      <c r="AD21" s="105">
        <f t="shared" ref="AD21" si="19">1-(1-(T21/T22))/6</f>
        <v>0.95083152566883589</v>
      </c>
      <c r="AE21" s="105">
        <f t="shared" ref="AE21" si="20">1-(1-(U21/U22))/6</f>
        <v>0.98596176821983272</v>
      </c>
      <c r="AF21" s="105">
        <f t="shared" ref="AF21" si="21">1-(1-(V21/V22))/6</f>
        <v>0.96807511737089202</v>
      </c>
      <c r="AG21" s="105">
        <f t="shared" ref="AG21" si="22">1-(1-(W21/W22))/6</f>
        <v>0.98357487922705311</v>
      </c>
      <c r="AH21" s="105">
        <f t="shared" ref="AH21" si="23">1-(1-(X21/X22))/6</f>
        <v>0.98127340823970044</v>
      </c>
      <c r="AI21" s="105">
        <f t="shared" ref="AI21" si="24">1-(1-(Y21/Y22))/6</f>
        <v>0.9854352863290301</v>
      </c>
    </row>
    <row r="22" spans="1:35" x14ac:dyDescent="0.45">
      <c r="A22" s="64" t="s">
        <v>594</v>
      </c>
      <c r="B22" t="s">
        <v>1783</v>
      </c>
      <c r="C22">
        <v>3.96</v>
      </c>
      <c r="D22">
        <v>4.6100000000000003</v>
      </c>
      <c r="E22">
        <v>5.58</v>
      </c>
      <c r="F22">
        <v>7.1</v>
      </c>
      <c r="G22">
        <v>6.9</v>
      </c>
      <c r="H22">
        <v>8.01</v>
      </c>
      <c r="I22">
        <v>10.07</v>
      </c>
      <c r="R22" t="s">
        <v>1783</v>
      </c>
      <c r="S22">
        <f t="shared" si="18"/>
        <v>0.79200000000000004</v>
      </c>
      <c r="T22">
        <f t="shared" si="11"/>
        <v>0.92200000000000004</v>
      </c>
      <c r="U22">
        <f t="shared" si="12"/>
        <v>1.1160000000000001</v>
      </c>
      <c r="V22">
        <f t="shared" si="13"/>
        <v>1.42</v>
      </c>
      <c r="W22">
        <f t="shared" si="14"/>
        <v>1.3800000000000001</v>
      </c>
      <c r="X22">
        <f t="shared" si="15"/>
        <v>1.6019999999999999</v>
      </c>
      <c r="Y22">
        <f t="shared" si="16"/>
        <v>2.0140000000000002</v>
      </c>
      <c r="AB22" s="53" t="s">
        <v>2059</v>
      </c>
      <c r="AC22" s="105">
        <f>1-(1-(S22/S23))/5</f>
        <v>0.98548009367681499</v>
      </c>
      <c r="AD22" s="105">
        <f t="shared" ref="AD22" si="25">1-(1-(T22/T23))/5</f>
        <v>0.96917431192660553</v>
      </c>
      <c r="AE22" s="105">
        <f t="shared" ref="AE22" si="26">1-(1-(U22/U23))/5</f>
        <v>0.95060728744939271</v>
      </c>
      <c r="AF22" s="105">
        <f t="shared" ref="AF22" si="27">1-(1-(V22/V23))/5</f>
        <v>0.91735537190082639</v>
      </c>
      <c r="AG22" s="105">
        <f t="shared" ref="AG22" si="28">1-(1-(W22/W23))/5</f>
        <v>0.93981762917933132</v>
      </c>
      <c r="AH22" s="105">
        <f t="shared" ref="AH22" si="29">1-(1-(X22/X23))/5</f>
        <v>0.96739811912225704</v>
      </c>
      <c r="AI22" s="105">
        <f t="shared" ref="AI22" si="30">1-(1-(Y22/Y23))/5</f>
        <v>0.92885476647472809</v>
      </c>
    </row>
    <row r="23" spans="1:35" x14ac:dyDescent="0.45">
      <c r="A23" s="64" t="s">
        <v>594</v>
      </c>
      <c r="B23" t="s">
        <v>1782</v>
      </c>
      <c r="C23">
        <v>4.2699999999999996</v>
      </c>
      <c r="D23">
        <v>5.45</v>
      </c>
      <c r="E23">
        <v>7.41</v>
      </c>
      <c r="F23">
        <v>12.1</v>
      </c>
      <c r="G23">
        <v>9.8699999999999992</v>
      </c>
      <c r="H23">
        <v>9.57</v>
      </c>
      <c r="I23">
        <v>15.63</v>
      </c>
      <c r="R23" t="s">
        <v>1782</v>
      </c>
      <c r="S23">
        <f t="shared" si="18"/>
        <v>0.85399999999999987</v>
      </c>
      <c r="T23">
        <f t="shared" si="11"/>
        <v>1.0900000000000001</v>
      </c>
      <c r="U23">
        <f t="shared" si="12"/>
        <v>1.482</v>
      </c>
      <c r="V23">
        <f t="shared" si="13"/>
        <v>2.42</v>
      </c>
      <c r="W23">
        <f t="shared" si="14"/>
        <v>1.9739999999999998</v>
      </c>
      <c r="X23">
        <f t="shared" si="15"/>
        <v>1.9140000000000001</v>
      </c>
      <c r="Y23">
        <f t="shared" si="16"/>
        <v>3.1260000000000003</v>
      </c>
    </row>
    <row r="24" spans="1:35" x14ac:dyDescent="0.45">
      <c r="AC24" s="259">
        <f>AVERAGE(AC20:AC22)</f>
        <v>0.9767666961656033</v>
      </c>
      <c r="AD24" s="259">
        <f t="shared" ref="AD24:AI24" si="31">AVERAGE(AD20:AD22)</f>
        <v>0.97210450996771136</v>
      </c>
      <c r="AE24" s="259">
        <f t="shared" si="31"/>
        <v>0.95041538646247492</v>
      </c>
      <c r="AF24" s="259">
        <f t="shared" si="31"/>
        <v>0.94125267180137417</v>
      </c>
      <c r="AG24" s="259">
        <f t="shared" si="31"/>
        <v>0.9518489497474657</v>
      </c>
      <c r="AH24" s="259">
        <f t="shared" si="31"/>
        <v>0.97098239847836465</v>
      </c>
      <c r="AI24" s="259">
        <f t="shared" si="31"/>
        <v>0.93087869369845988</v>
      </c>
    </row>
    <row r="25" spans="1:35" x14ac:dyDescent="0.45">
      <c r="A25" s="64" t="s">
        <v>2024</v>
      </c>
      <c r="B25" t="s">
        <v>2023</v>
      </c>
    </row>
    <row r="26" spans="1:35" x14ac:dyDescent="0.45">
      <c r="A26" s="64" t="s">
        <v>2019</v>
      </c>
    </row>
    <row r="28" spans="1:35" x14ac:dyDescent="0.45">
      <c r="A28" s="64" t="s">
        <v>928</v>
      </c>
      <c r="B28" t="s">
        <v>928</v>
      </c>
      <c r="C28" t="s">
        <v>2001</v>
      </c>
      <c r="D28" t="s">
        <v>928</v>
      </c>
      <c r="E28" t="s">
        <v>928</v>
      </c>
      <c r="L28" t="s">
        <v>928</v>
      </c>
      <c r="M28" t="s">
        <v>2051</v>
      </c>
    </row>
    <row r="29" spans="1:35" x14ac:dyDescent="0.45">
      <c r="A29" s="64" t="s">
        <v>928</v>
      </c>
      <c r="B29" t="s">
        <v>928</v>
      </c>
      <c r="C29" t="s">
        <v>2002</v>
      </c>
      <c r="D29" t="s">
        <v>928</v>
      </c>
      <c r="E29" t="s">
        <v>928</v>
      </c>
      <c r="L29" t="s">
        <v>928</v>
      </c>
      <c r="M29" t="s">
        <v>2002</v>
      </c>
    </row>
    <row r="30" spans="1:35" x14ac:dyDescent="0.45">
      <c r="A30" s="64" t="s">
        <v>928</v>
      </c>
      <c r="B30" t="s">
        <v>928</v>
      </c>
      <c r="C30" t="s">
        <v>928</v>
      </c>
      <c r="D30" t="s">
        <v>2003</v>
      </c>
      <c r="E30" t="s">
        <v>928</v>
      </c>
      <c r="L30" t="s">
        <v>928</v>
      </c>
      <c r="M30" t="s">
        <v>928</v>
      </c>
      <c r="N30" t="s">
        <v>2003</v>
      </c>
      <c r="O30" t="s">
        <v>928</v>
      </c>
    </row>
    <row r="31" spans="1:35" x14ac:dyDescent="0.45">
      <c r="A31" s="64" t="s">
        <v>923</v>
      </c>
      <c r="B31" t="s">
        <v>1787</v>
      </c>
      <c r="C31" t="s">
        <v>118</v>
      </c>
      <c r="D31" t="s">
        <v>336</v>
      </c>
      <c r="E31" t="s">
        <v>84</v>
      </c>
      <c r="L31" t="s">
        <v>1787</v>
      </c>
      <c r="M31" t="s">
        <v>118</v>
      </c>
      <c r="N31" t="s">
        <v>336</v>
      </c>
      <c r="O31" t="s">
        <v>84</v>
      </c>
    </row>
    <row r="32" spans="1:35" x14ac:dyDescent="0.45">
      <c r="A32" s="64" t="s">
        <v>594</v>
      </c>
      <c r="B32" t="s">
        <v>1786</v>
      </c>
      <c r="C32" t="s">
        <v>2004</v>
      </c>
      <c r="D32" t="s">
        <v>2005</v>
      </c>
      <c r="E32" t="s">
        <v>2006</v>
      </c>
      <c r="L32" t="s">
        <v>1786</v>
      </c>
      <c r="M32">
        <v>59</v>
      </c>
      <c r="N32">
        <v>46</v>
      </c>
      <c r="O32">
        <v>64</v>
      </c>
    </row>
    <row r="33" spans="1:31" x14ac:dyDescent="0.45">
      <c r="A33" s="64" t="s">
        <v>594</v>
      </c>
      <c r="B33" t="s">
        <v>1785</v>
      </c>
      <c r="C33" t="s">
        <v>2007</v>
      </c>
      <c r="D33" t="s">
        <v>2008</v>
      </c>
      <c r="E33" t="s">
        <v>2009</v>
      </c>
      <c r="L33" t="s">
        <v>1785</v>
      </c>
      <c r="M33">
        <v>67</v>
      </c>
      <c r="N33">
        <v>49</v>
      </c>
      <c r="O33">
        <v>69</v>
      </c>
    </row>
    <row r="34" spans="1:31" x14ac:dyDescent="0.45">
      <c r="A34" s="64" t="s">
        <v>594</v>
      </c>
      <c r="B34" t="s">
        <v>1784</v>
      </c>
      <c r="C34" t="s">
        <v>2010</v>
      </c>
      <c r="D34" t="s">
        <v>2011</v>
      </c>
      <c r="E34" t="s">
        <v>2012</v>
      </c>
      <c r="L34" t="s">
        <v>1784</v>
      </c>
      <c r="M34">
        <v>88</v>
      </c>
      <c r="N34">
        <v>69</v>
      </c>
      <c r="O34">
        <v>91</v>
      </c>
    </row>
    <row r="35" spans="1:31" x14ac:dyDescent="0.45">
      <c r="A35" s="64" t="s">
        <v>594</v>
      </c>
      <c r="B35" t="s">
        <v>1783</v>
      </c>
      <c r="C35" t="s">
        <v>2013</v>
      </c>
      <c r="D35" t="s">
        <v>2014</v>
      </c>
      <c r="E35" t="s">
        <v>2015</v>
      </c>
      <c r="L35" t="s">
        <v>1783</v>
      </c>
      <c r="M35">
        <v>123</v>
      </c>
      <c r="N35">
        <v>94</v>
      </c>
      <c r="O35">
        <v>126</v>
      </c>
    </row>
    <row r="36" spans="1:31" x14ac:dyDescent="0.45">
      <c r="A36" s="64" t="s">
        <v>594</v>
      </c>
      <c r="B36" t="s">
        <v>1782</v>
      </c>
      <c r="C36" t="s">
        <v>2016</v>
      </c>
      <c r="D36" t="s">
        <v>2017</v>
      </c>
      <c r="E36" t="s">
        <v>2018</v>
      </c>
      <c r="L36" t="s">
        <v>1782</v>
      </c>
      <c r="M36">
        <v>166</v>
      </c>
      <c r="N36">
        <v>135</v>
      </c>
      <c r="O36">
        <v>170</v>
      </c>
    </row>
    <row r="38" spans="1:31" x14ac:dyDescent="0.45">
      <c r="A38" s="64" t="s">
        <v>2001</v>
      </c>
      <c r="B38" t="s">
        <v>2025</v>
      </c>
      <c r="L38" t="s">
        <v>2025</v>
      </c>
    </row>
    <row r="39" spans="1:31" x14ac:dyDescent="0.45">
      <c r="A39" s="64" t="s">
        <v>2019</v>
      </c>
    </row>
    <row r="41" spans="1:31" x14ac:dyDescent="0.45">
      <c r="A41" s="64" t="s">
        <v>928</v>
      </c>
      <c r="B41" t="s">
        <v>928</v>
      </c>
      <c r="C41" t="s">
        <v>2027</v>
      </c>
      <c r="D41" t="s">
        <v>928</v>
      </c>
      <c r="E41" t="s">
        <v>928</v>
      </c>
      <c r="L41" t="s">
        <v>928</v>
      </c>
      <c r="M41" t="s">
        <v>2050</v>
      </c>
    </row>
    <row r="42" spans="1:31" x14ac:dyDescent="0.45">
      <c r="A42" s="64" t="s">
        <v>928</v>
      </c>
      <c r="B42" t="s">
        <v>928</v>
      </c>
      <c r="C42" t="s">
        <v>2002</v>
      </c>
      <c r="D42" t="s">
        <v>928</v>
      </c>
      <c r="E42" t="s">
        <v>928</v>
      </c>
      <c r="L42" t="s">
        <v>928</v>
      </c>
      <c r="M42" t="s">
        <v>2002</v>
      </c>
    </row>
    <row r="43" spans="1:31" x14ac:dyDescent="0.45">
      <c r="A43" s="64" t="s">
        <v>928</v>
      </c>
      <c r="B43" t="s">
        <v>928</v>
      </c>
      <c r="C43" t="s">
        <v>928</v>
      </c>
      <c r="D43" t="s">
        <v>2003</v>
      </c>
      <c r="E43" t="s">
        <v>928</v>
      </c>
      <c r="L43" t="s">
        <v>928</v>
      </c>
      <c r="M43" t="s">
        <v>928</v>
      </c>
      <c r="N43" t="s">
        <v>2003</v>
      </c>
      <c r="O43" t="s">
        <v>928</v>
      </c>
    </row>
    <row r="44" spans="1:31" x14ac:dyDescent="0.45">
      <c r="A44" s="64" t="s">
        <v>923</v>
      </c>
      <c r="B44" t="s">
        <v>1787</v>
      </c>
      <c r="C44" t="s">
        <v>118</v>
      </c>
      <c r="D44" t="s">
        <v>336</v>
      </c>
      <c r="E44" t="s">
        <v>84</v>
      </c>
      <c r="L44" t="s">
        <v>1787</v>
      </c>
      <c r="M44" t="s">
        <v>118</v>
      </c>
      <c r="N44" t="s">
        <v>336</v>
      </c>
      <c r="O44" t="s">
        <v>84</v>
      </c>
      <c r="R44" t="s">
        <v>1787</v>
      </c>
      <c r="S44" t="s">
        <v>118</v>
      </c>
      <c r="T44" t="s">
        <v>336</v>
      </c>
      <c r="U44" t="s">
        <v>84</v>
      </c>
      <c r="AB44" t="s">
        <v>1787</v>
      </c>
      <c r="AC44" s="105" t="s">
        <v>118</v>
      </c>
      <c r="AD44" s="105" t="s">
        <v>336</v>
      </c>
      <c r="AE44" s="105" t="s">
        <v>84</v>
      </c>
    </row>
    <row r="45" spans="1:31" x14ac:dyDescent="0.45">
      <c r="A45" s="64" t="s">
        <v>594</v>
      </c>
      <c r="B45" t="s">
        <v>1786</v>
      </c>
      <c r="C45" t="s">
        <v>2039</v>
      </c>
      <c r="D45" t="s">
        <v>2040</v>
      </c>
      <c r="E45" t="s">
        <v>2039</v>
      </c>
      <c r="L45" t="s">
        <v>1786</v>
      </c>
      <c r="M45">
        <v>13</v>
      </c>
      <c r="N45">
        <v>14</v>
      </c>
      <c r="O45">
        <v>13</v>
      </c>
      <c r="R45" t="s">
        <v>1786</v>
      </c>
      <c r="S45" s="59">
        <f>M45/4</f>
        <v>3.25</v>
      </c>
      <c r="T45" s="59">
        <f t="shared" ref="T45:T49" si="32">N45/4</f>
        <v>3.5</v>
      </c>
      <c r="U45" s="59">
        <f t="shared" ref="U45:U49" si="33">O45/4</f>
        <v>3.25</v>
      </c>
      <c r="AB45" t="s">
        <v>2060</v>
      </c>
      <c r="AC45" s="105">
        <f t="shared" ref="AC45:AE45" si="34">1-(1-(S45/S46))/5</f>
        <v>0.93</v>
      </c>
      <c r="AD45" s="105">
        <f t="shared" si="34"/>
        <v>1.2</v>
      </c>
      <c r="AE45" s="105">
        <f t="shared" si="34"/>
        <v>0.92380952380952386</v>
      </c>
    </row>
    <row r="46" spans="1:31" x14ac:dyDescent="0.45">
      <c r="A46" s="64" t="s">
        <v>594</v>
      </c>
      <c r="B46" t="s">
        <v>1785</v>
      </c>
      <c r="C46" t="s">
        <v>2038</v>
      </c>
      <c r="D46" t="s">
        <v>2037</v>
      </c>
      <c r="E46" t="s">
        <v>2036</v>
      </c>
      <c r="L46" t="s">
        <v>1785</v>
      </c>
      <c r="M46">
        <v>20</v>
      </c>
      <c r="N46">
        <v>7</v>
      </c>
      <c r="O46">
        <v>21</v>
      </c>
      <c r="R46" t="s">
        <v>1785</v>
      </c>
      <c r="S46">
        <f t="shared" ref="S46:S49" si="35">M46/4</f>
        <v>5</v>
      </c>
      <c r="T46">
        <f t="shared" si="32"/>
        <v>1.75</v>
      </c>
      <c r="U46">
        <f t="shared" si="33"/>
        <v>5.25</v>
      </c>
      <c r="AB46" t="s">
        <v>2057</v>
      </c>
      <c r="AC46" s="105">
        <f>1-(1-(S46/S47))/4</f>
        <v>0.91129032258064513</v>
      </c>
      <c r="AD46" s="105">
        <f t="shared" ref="AD46" si="36">1-(1-(T46/T47))/4</f>
        <v>0.83750000000000002</v>
      </c>
      <c r="AE46" s="105">
        <f t="shared" ref="AE46" si="37">1-(1-(U46/U47))/4</f>
        <v>0.9140625</v>
      </c>
    </row>
    <row r="47" spans="1:31" x14ac:dyDescent="0.45">
      <c r="A47" s="64" t="s">
        <v>594</v>
      </c>
      <c r="B47" t="s">
        <v>1784</v>
      </c>
      <c r="C47" t="s">
        <v>2035</v>
      </c>
      <c r="D47" t="s">
        <v>2034</v>
      </c>
      <c r="E47" t="s">
        <v>2033</v>
      </c>
      <c r="L47" t="s">
        <v>1784</v>
      </c>
      <c r="M47">
        <v>31</v>
      </c>
      <c r="N47">
        <v>20</v>
      </c>
      <c r="O47">
        <v>32</v>
      </c>
      <c r="R47" t="s">
        <v>1784</v>
      </c>
      <c r="S47">
        <f t="shared" si="35"/>
        <v>7.75</v>
      </c>
      <c r="T47">
        <f t="shared" si="32"/>
        <v>5</v>
      </c>
      <c r="U47">
        <f t="shared" si="33"/>
        <v>8</v>
      </c>
      <c r="AB47" s="53" t="s">
        <v>2058</v>
      </c>
      <c r="AC47" s="105">
        <f>1-(1-(S47/S48))/6</f>
        <v>0.93666666666666665</v>
      </c>
      <c r="AD47" s="105">
        <f t="shared" ref="AD47" si="38">1-(1-(T47/T48))/6</f>
        <v>0.97826086956521741</v>
      </c>
      <c r="AE47" s="105">
        <f t="shared" ref="AE47" si="39">1-(1-(U47/U48))/6</f>
        <v>0.93396226415094341</v>
      </c>
    </row>
    <row r="48" spans="1:31" x14ac:dyDescent="0.45">
      <c r="A48" s="64" t="s">
        <v>594</v>
      </c>
      <c r="B48" t="s">
        <v>1783</v>
      </c>
      <c r="C48" t="s">
        <v>2032</v>
      </c>
      <c r="D48" t="s">
        <v>2031</v>
      </c>
      <c r="E48" t="s">
        <v>2030</v>
      </c>
      <c r="L48" t="s">
        <v>1783</v>
      </c>
      <c r="M48">
        <v>50</v>
      </c>
      <c r="N48">
        <v>23</v>
      </c>
      <c r="O48">
        <v>53</v>
      </c>
      <c r="R48" t="s">
        <v>1783</v>
      </c>
      <c r="S48">
        <f t="shared" si="35"/>
        <v>12.5</v>
      </c>
      <c r="T48">
        <f t="shared" si="32"/>
        <v>5.75</v>
      </c>
      <c r="U48">
        <f t="shared" si="33"/>
        <v>13.25</v>
      </c>
      <c r="AB48" s="53" t="s">
        <v>2059</v>
      </c>
      <c r="AC48" s="105">
        <f>1-(1-(S48/S49))/5</f>
        <v>0.92987012987012985</v>
      </c>
      <c r="AD48" s="105">
        <f t="shared" ref="AD48" si="40">1-(1-(T48/T49))/5</f>
        <v>0.89387755102040822</v>
      </c>
      <c r="AE48" s="105">
        <f t="shared" ref="AE48" si="41">1-(1-(U48/U49))/5</f>
        <v>0.9325</v>
      </c>
    </row>
    <row r="49" spans="1:31" x14ac:dyDescent="0.45">
      <c r="A49" s="64" t="s">
        <v>594</v>
      </c>
      <c r="B49" t="s">
        <v>1782</v>
      </c>
      <c r="C49" t="s">
        <v>2029</v>
      </c>
      <c r="D49" t="s">
        <v>2008</v>
      </c>
      <c r="E49" t="s">
        <v>2028</v>
      </c>
      <c r="L49" t="s">
        <v>1782</v>
      </c>
      <c r="M49">
        <v>77</v>
      </c>
      <c r="N49">
        <v>49</v>
      </c>
      <c r="O49">
        <v>80</v>
      </c>
      <c r="R49" t="s">
        <v>1782</v>
      </c>
      <c r="S49">
        <f t="shared" si="35"/>
        <v>19.25</v>
      </c>
      <c r="T49">
        <f t="shared" si="32"/>
        <v>12.25</v>
      </c>
      <c r="U49">
        <f t="shared" si="33"/>
        <v>20</v>
      </c>
    </row>
    <row r="50" spans="1:31" x14ac:dyDescent="0.45">
      <c r="AC50" s="259">
        <f>AVERAGE(AC45:AC48)</f>
        <v>0.92695677977936042</v>
      </c>
      <c r="AD50" s="259">
        <f t="shared" ref="AD50:AE50" si="42">AVERAGE(AD45:AD48)</f>
        <v>0.9774096051464064</v>
      </c>
      <c r="AE50" s="259">
        <f t="shared" si="42"/>
        <v>0.92608357199011682</v>
      </c>
    </row>
    <row r="51" spans="1:31" x14ac:dyDescent="0.45">
      <c r="A51" s="64" t="s">
        <v>2027</v>
      </c>
      <c r="B51" t="s">
        <v>2026</v>
      </c>
      <c r="L51" t="s">
        <v>2026</v>
      </c>
    </row>
    <row r="52" spans="1:31" x14ac:dyDescent="0.45">
      <c r="A52" s="64" t="s">
        <v>2019</v>
      </c>
    </row>
    <row r="53" spans="1:31" x14ac:dyDescent="0.45">
      <c r="M53" t="s">
        <v>2052</v>
      </c>
      <c r="S53" t="s">
        <v>2052</v>
      </c>
      <c r="AC53" s="105" t="s">
        <v>2052</v>
      </c>
    </row>
    <row r="54" spans="1:31" hidden="1" x14ac:dyDescent="0.45">
      <c r="A54" s="64" t="s">
        <v>928</v>
      </c>
      <c r="B54" t="s">
        <v>928</v>
      </c>
      <c r="C54" t="s">
        <v>2042</v>
      </c>
    </row>
    <row r="55" spans="1:31" hidden="1" x14ac:dyDescent="0.45">
      <c r="A55" s="64" t="s">
        <v>928</v>
      </c>
      <c r="B55" t="s">
        <v>928</v>
      </c>
      <c r="C55" t="s">
        <v>928</v>
      </c>
    </row>
    <row r="56" spans="1:31" hidden="1" x14ac:dyDescent="0.45">
      <c r="A56" s="64" t="s">
        <v>928</v>
      </c>
      <c r="B56" t="s">
        <v>928</v>
      </c>
      <c r="C56" t="s">
        <v>2048</v>
      </c>
    </row>
    <row r="57" spans="1:31" hidden="1" x14ac:dyDescent="0.45">
      <c r="A57" s="64" t="s">
        <v>923</v>
      </c>
      <c r="B57" t="s">
        <v>1787</v>
      </c>
      <c r="C57" t="s">
        <v>981</v>
      </c>
    </row>
    <row r="58" spans="1:31" hidden="1" x14ac:dyDescent="0.45">
      <c r="A58" s="64" t="s">
        <v>594</v>
      </c>
      <c r="B58" t="s">
        <v>1786</v>
      </c>
      <c r="C58" t="s">
        <v>2047</v>
      </c>
      <c r="D58" s="154" t="s">
        <v>2049</v>
      </c>
      <c r="N58" s="154"/>
      <c r="T58" s="154"/>
      <c r="AD58" s="258"/>
    </row>
    <row r="59" spans="1:31" hidden="1" x14ac:dyDescent="0.45">
      <c r="A59" s="64" t="s">
        <v>594</v>
      </c>
      <c r="B59" t="s">
        <v>1785</v>
      </c>
      <c r="C59" t="s">
        <v>2046</v>
      </c>
    </row>
    <row r="60" spans="1:31" hidden="1" x14ac:dyDescent="0.45">
      <c r="A60" s="64" t="s">
        <v>594</v>
      </c>
      <c r="B60" t="s">
        <v>1784</v>
      </c>
      <c r="C60" t="s">
        <v>2045</v>
      </c>
    </row>
    <row r="61" spans="1:31" hidden="1" x14ac:dyDescent="0.45">
      <c r="A61" s="64" t="s">
        <v>594</v>
      </c>
      <c r="B61" t="s">
        <v>1783</v>
      </c>
      <c r="C61" t="s">
        <v>2044</v>
      </c>
    </row>
    <row r="62" spans="1:31" hidden="1" x14ac:dyDescent="0.45">
      <c r="A62" s="64" t="s">
        <v>594</v>
      </c>
      <c r="B62" t="s">
        <v>1782</v>
      </c>
      <c r="C62" t="s">
        <v>2043</v>
      </c>
    </row>
    <row r="63" spans="1:31" hidden="1" x14ac:dyDescent="0.45"/>
    <row r="64" spans="1:31" hidden="1" x14ac:dyDescent="0.45">
      <c r="A64" s="64" t="s">
        <v>2042</v>
      </c>
      <c r="B64" t="s">
        <v>2041</v>
      </c>
    </row>
    <row r="65" spans="1:31" hidden="1" x14ac:dyDescent="0.45">
      <c r="A65" s="64" t="s">
        <v>2019</v>
      </c>
    </row>
    <row r="66" spans="1:31" hidden="1" x14ac:dyDescent="0.45"/>
    <row r="67" spans="1:31" x14ac:dyDescent="0.45">
      <c r="L67" t="s">
        <v>1787</v>
      </c>
      <c r="M67" t="s">
        <v>118</v>
      </c>
      <c r="N67" t="s">
        <v>336</v>
      </c>
      <c r="O67" t="s">
        <v>84</v>
      </c>
      <c r="R67" t="s">
        <v>1787</v>
      </c>
      <c r="S67" t="s">
        <v>118</v>
      </c>
      <c r="T67" t="s">
        <v>336</v>
      </c>
      <c r="U67" t="s">
        <v>84</v>
      </c>
      <c r="AB67" t="s">
        <v>1787</v>
      </c>
      <c r="AC67" s="105" t="s">
        <v>118</v>
      </c>
      <c r="AD67" s="105" t="s">
        <v>336</v>
      </c>
      <c r="AE67" s="105" t="s">
        <v>84</v>
      </c>
    </row>
    <row r="68" spans="1:31" x14ac:dyDescent="0.45">
      <c r="L68" t="s">
        <v>1786</v>
      </c>
      <c r="M68">
        <f>M32-M45</f>
        <v>46</v>
      </c>
      <c r="N68">
        <f t="shared" ref="N68:O68" si="43">N32-N45</f>
        <v>32</v>
      </c>
      <c r="O68">
        <f t="shared" si="43"/>
        <v>51</v>
      </c>
      <c r="R68" t="s">
        <v>1786</v>
      </c>
      <c r="S68" s="59">
        <f>M68</f>
        <v>46</v>
      </c>
      <c r="T68" s="59">
        <f t="shared" ref="T68:T72" si="44">N68</f>
        <v>32</v>
      </c>
      <c r="U68" s="59">
        <f t="shared" ref="U68:U72" si="45">O68</f>
        <v>51</v>
      </c>
      <c r="AB68" t="s">
        <v>2060</v>
      </c>
      <c r="AC68" s="105">
        <f>1-(1-(S68/S69))/5</f>
        <v>0.99574468085106382</v>
      </c>
      <c r="AD68" s="105">
        <f t="shared" ref="AD68" si="46">1-(1-(T68/T69))/5</f>
        <v>0.95238095238095233</v>
      </c>
      <c r="AE68" s="105">
        <f t="shared" ref="AE68" si="47">1-(1-(U68/U69))/5</f>
        <v>1.0125</v>
      </c>
    </row>
    <row r="69" spans="1:31" x14ac:dyDescent="0.45">
      <c r="L69" t="s">
        <v>1785</v>
      </c>
      <c r="M69">
        <f t="shared" ref="M69:O69" si="48">M33-M46</f>
        <v>47</v>
      </c>
      <c r="N69">
        <f t="shared" si="48"/>
        <v>42</v>
      </c>
      <c r="O69">
        <f t="shared" si="48"/>
        <v>48</v>
      </c>
      <c r="R69" t="s">
        <v>1785</v>
      </c>
      <c r="S69">
        <f t="shared" ref="S69:S72" si="49">M69</f>
        <v>47</v>
      </c>
      <c r="T69">
        <f t="shared" si="44"/>
        <v>42</v>
      </c>
      <c r="U69">
        <f t="shared" si="45"/>
        <v>48</v>
      </c>
      <c r="AB69" t="s">
        <v>2057</v>
      </c>
      <c r="AC69" s="105">
        <f>1-(1-(S69/S70))/4</f>
        <v>0.95614035087719296</v>
      </c>
      <c r="AD69" s="105">
        <f t="shared" ref="AD69" si="50">1-(1-(T69/T70))/4</f>
        <v>0.9642857142857143</v>
      </c>
      <c r="AE69" s="105">
        <f t="shared" ref="AE69" si="51">1-(1-(U69/U70))/4</f>
        <v>0.95338983050847459</v>
      </c>
    </row>
    <row r="70" spans="1:31" x14ac:dyDescent="0.45">
      <c r="L70" t="s">
        <v>1784</v>
      </c>
      <c r="M70">
        <f t="shared" ref="M70:O70" si="52">M34-M47</f>
        <v>57</v>
      </c>
      <c r="N70">
        <f t="shared" si="52"/>
        <v>49</v>
      </c>
      <c r="O70">
        <f t="shared" si="52"/>
        <v>59</v>
      </c>
      <c r="R70" t="s">
        <v>1784</v>
      </c>
      <c r="S70">
        <f t="shared" si="49"/>
        <v>57</v>
      </c>
      <c r="T70">
        <f t="shared" si="44"/>
        <v>49</v>
      </c>
      <c r="U70">
        <f t="shared" si="45"/>
        <v>59</v>
      </c>
      <c r="AB70" s="53" t="s">
        <v>2058</v>
      </c>
      <c r="AC70" s="105">
        <f>1-(1-(S70/S71))/6</f>
        <v>0.9634703196347032</v>
      </c>
      <c r="AD70" s="105">
        <f t="shared" ref="AD70" si="53">1-(1-(T70/T71))/6</f>
        <v>0.94835680751173712</v>
      </c>
      <c r="AE70" s="105">
        <f t="shared" ref="AE70" si="54">1-(1-(U70/U71))/6</f>
        <v>0.96803652968036524</v>
      </c>
    </row>
    <row r="71" spans="1:31" x14ac:dyDescent="0.45">
      <c r="L71" t="s">
        <v>1783</v>
      </c>
      <c r="M71">
        <f t="shared" ref="M71:O71" si="55">M35-M48</f>
        <v>73</v>
      </c>
      <c r="N71">
        <f t="shared" si="55"/>
        <v>71</v>
      </c>
      <c r="O71">
        <f t="shared" si="55"/>
        <v>73</v>
      </c>
      <c r="R71" t="s">
        <v>1783</v>
      </c>
      <c r="S71">
        <f t="shared" si="49"/>
        <v>73</v>
      </c>
      <c r="T71">
        <f t="shared" si="44"/>
        <v>71</v>
      </c>
      <c r="U71">
        <f t="shared" si="45"/>
        <v>73</v>
      </c>
      <c r="AB71" s="53" t="s">
        <v>2059</v>
      </c>
      <c r="AC71" s="105">
        <f>1-(1-(S71/S72))/5</f>
        <v>0.96404494382022476</v>
      </c>
      <c r="AD71" s="105">
        <f t="shared" ref="AD71" si="56">1-(1-(T71/T72))/5</f>
        <v>0.96511627906976749</v>
      </c>
      <c r="AE71" s="105">
        <f t="shared" ref="AE71" si="57">1-(1-(U71/U72))/5</f>
        <v>0.9622222222222222</v>
      </c>
    </row>
    <row r="72" spans="1:31" x14ac:dyDescent="0.45">
      <c r="L72" t="s">
        <v>1782</v>
      </c>
      <c r="M72">
        <f t="shared" ref="M72:O72" si="58">M36-M49</f>
        <v>89</v>
      </c>
      <c r="N72">
        <f t="shared" si="58"/>
        <v>86</v>
      </c>
      <c r="O72">
        <f t="shared" si="58"/>
        <v>90</v>
      </c>
      <c r="R72" t="s">
        <v>1782</v>
      </c>
      <c r="S72">
        <f t="shared" si="49"/>
        <v>89</v>
      </c>
      <c r="T72">
        <f t="shared" si="44"/>
        <v>86</v>
      </c>
      <c r="U72">
        <f t="shared" si="45"/>
        <v>90</v>
      </c>
    </row>
    <row r="73" spans="1:31" x14ac:dyDescent="0.45">
      <c r="AC73" s="259">
        <f>AVERAGE(AC68:AC71)</f>
        <v>0.96985007379579624</v>
      </c>
      <c r="AD73" s="259">
        <f t="shared" ref="AD73:AE73" si="59">AVERAGE(AD68:AD71)</f>
        <v>0.95753493831204273</v>
      </c>
      <c r="AE73" s="259">
        <f t="shared" si="59"/>
        <v>0.97403714560276555</v>
      </c>
    </row>
  </sheetData>
  <mergeCells count="4">
    <mergeCell ref="AA2:AJ2"/>
    <mergeCell ref="A2:J2"/>
    <mergeCell ref="K2:P2"/>
    <mergeCell ref="Q2:Z2"/>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ED07-673B-4C17-A1C4-85455EE21ABD}">
  <dimension ref="A1:BK87"/>
  <sheetViews>
    <sheetView zoomScale="80" zoomScaleNormal="80" workbookViewId="0">
      <selection activeCell="B24" sqref="B24"/>
    </sheetView>
  </sheetViews>
  <sheetFormatPr defaultRowHeight="14.25" x14ac:dyDescent="0.45"/>
  <cols>
    <col min="1" max="1" width="25.53125" bestFit="1" customWidth="1"/>
    <col min="2" max="2" width="14.53125" customWidth="1"/>
    <col min="6" max="6" width="9.46484375" customWidth="1"/>
  </cols>
  <sheetData>
    <row r="1" spans="1:6" x14ac:dyDescent="0.45">
      <c r="B1" t="s">
        <v>2094</v>
      </c>
    </row>
    <row r="2" spans="1:6" x14ac:dyDescent="0.45">
      <c r="A2" t="s">
        <v>127</v>
      </c>
      <c r="B2" s="125">
        <f>'mort infant'!I275*'mort infant'!BM272</f>
        <v>33.853234800648842</v>
      </c>
    </row>
    <row r="3" spans="1:6" x14ac:dyDescent="0.45">
      <c r="A3" t="s">
        <v>128</v>
      </c>
      <c r="B3" s="125">
        <f>('mort 1-5'!I275-B2)/4</f>
        <v>3.6388099439055885</v>
      </c>
    </row>
    <row r="4" spans="1:6" x14ac:dyDescent="0.45">
      <c r="A4" t="s">
        <v>129</v>
      </c>
      <c r="B4" s="125">
        <f>'mort 5-9'!I275/5</f>
        <v>1.1229032258064517</v>
      </c>
    </row>
    <row r="5" spans="1:6" x14ac:dyDescent="0.45">
      <c r="A5" t="s">
        <v>130</v>
      </c>
      <c r="B5" s="125">
        <f>'mort 10-14'!I275/5</f>
        <v>0.9230404558404558</v>
      </c>
    </row>
    <row r="6" spans="1:6" x14ac:dyDescent="0.45">
      <c r="A6" t="s">
        <v>131</v>
      </c>
      <c r="B6" s="125">
        <f>'mort 15-19'!I275/5</f>
        <v>1.5441407123135868</v>
      </c>
    </row>
    <row r="7" spans="1:6" x14ac:dyDescent="0.45">
      <c r="A7" t="s">
        <v>132</v>
      </c>
      <c r="B7" s="125">
        <f>'mort 20-24'!I275/5</f>
        <v>1.7002298850574711</v>
      </c>
    </row>
    <row r="8" spans="1:6" x14ac:dyDescent="0.45">
      <c r="A8" t="s">
        <v>2095</v>
      </c>
      <c r="B8" s="125">
        <f>B7</f>
        <v>1.7002298850574711</v>
      </c>
      <c r="C8" t="s">
        <v>2097</v>
      </c>
    </row>
    <row r="9" spans="1:6" x14ac:dyDescent="0.45">
      <c r="A9" t="s">
        <v>2096</v>
      </c>
      <c r="B9" s="125">
        <f>B7</f>
        <v>1.7002298850574711</v>
      </c>
      <c r="C9" t="s">
        <v>2097</v>
      </c>
    </row>
    <row r="11" spans="1:6" x14ac:dyDescent="0.45">
      <c r="A11" t="s">
        <v>2093</v>
      </c>
      <c r="B11" s="260">
        <f>('mort adult f'!I275-'mort 15-19'!I275-'mort 20-24'!I275*3)/(60-34)</f>
        <v>5.5488316166847662</v>
      </c>
    </row>
    <row r="12" spans="1:6" x14ac:dyDescent="0.45">
      <c r="A12" t="s">
        <v>2109</v>
      </c>
      <c r="B12" s="260">
        <f>('mort adult m'!I275-'mort 15-19'!I275-'mort 20-24'!I275*3)/(60-34)</f>
        <v>7.5538925782127171</v>
      </c>
    </row>
    <row r="13" spans="1:6" x14ac:dyDescent="0.45">
      <c r="B13" s="260"/>
    </row>
    <row r="14" spans="1:6" x14ac:dyDescent="0.45">
      <c r="B14" s="260"/>
      <c r="C14" t="s">
        <v>2099</v>
      </c>
      <c r="D14" t="s">
        <v>2100</v>
      </c>
      <c r="E14" t="s">
        <v>2101</v>
      </c>
    </row>
    <row r="15" spans="1:6" x14ac:dyDescent="0.45">
      <c r="A15" s="280" t="s">
        <v>2092</v>
      </c>
      <c r="B15" s="286">
        <f>B11/(E16*D16+(1-D16))</f>
        <v>4.5419040325072819</v>
      </c>
      <c r="C15" s="124">
        <f>SUM(TotalPop!C37:C51)/1000</f>
        <v>1707.903</v>
      </c>
      <c r="F15" s="3"/>
    </row>
    <row r="16" spans="1:6" x14ac:dyDescent="0.45">
      <c r="A16" s="280" t="s">
        <v>2104</v>
      </c>
      <c r="B16" s="286">
        <f>B15*E16</f>
        <v>7.7212368552623794</v>
      </c>
      <c r="C16" s="124">
        <f>SUM(TotalPop!C52:C61)/1000</f>
        <v>791.62699999999995</v>
      </c>
      <c r="D16">
        <f>1-C15/SUM(C15:C16)</f>
        <v>0.31671034154421018</v>
      </c>
      <c r="E16" s="3">
        <f>AA66</f>
        <v>1.7</v>
      </c>
    </row>
    <row r="17" spans="1:63" x14ac:dyDescent="0.45">
      <c r="A17" s="280" t="s">
        <v>2088</v>
      </c>
      <c r="B17" s="286">
        <f>E17*B16</f>
        <v>21.61946319473466</v>
      </c>
      <c r="C17" s="124"/>
      <c r="E17" s="3">
        <f>AE66</f>
        <v>2.8</v>
      </c>
    </row>
    <row r="18" spans="1:63" x14ac:dyDescent="0.45">
      <c r="A18" s="280" t="s">
        <v>2089</v>
      </c>
      <c r="B18" s="286">
        <f>B16*E18</f>
        <v>84.933605407886176</v>
      </c>
      <c r="E18">
        <f>AH66</f>
        <v>11</v>
      </c>
    </row>
    <row r="19" spans="1:63" x14ac:dyDescent="0.45">
      <c r="B19" s="260"/>
    </row>
    <row r="20" spans="1:63" x14ac:dyDescent="0.45">
      <c r="B20" s="260"/>
      <c r="C20" t="s">
        <v>2099</v>
      </c>
      <c r="D20" t="s">
        <v>2100</v>
      </c>
      <c r="E20" t="s">
        <v>2101</v>
      </c>
    </row>
    <row r="21" spans="1:63" x14ac:dyDescent="0.45">
      <c r="A21" s="280" t="s">
        <v>2110</v>
      </c>
      <c r="B21" s="286">
        <f>B12/(E22*D22+(1-D22))</f>
        <v>6.1430507038265709</v>
      </c>
      <c r="C21" s="124">
        <f>SUM(TotalPop!B37:B51)/1000</f>
        <v>1640.201</v>
      </c>
    </row>
    <row r="22" spans="1:63" x14ac:dyDescent="0.45">
      <c r="A22" s="280" t="s">
        <v>2111</v>
      </c>
      <c r="B22" s="286">
        <f>B21*E22</f>
        <v>11.671796337270484</v>
      </c>
      <c r="C22" s="124">
        <f>SUM(TotalPop!B58:B67)/1000</f>
        <v>561.952</v>
      </c>
      <c r="D22">
        <f>1-C21/SUM(C21:C22)</f>
        <v>0.25518299591354465</v>
      </c>
      <c r="E22" s="3">
        <f>AV66</f>
        <v>1.9</v>
      </c>
    </row>
    <row r="23" spans="1:63" x14ac:dyDescent="0.45">
      <c r="A23" s="280" t="s">
        <v>2086</v>
      </c>
      <c r="B23" s="286">
        <f>E23*B22</f>
        <v>30.34667047690326</v>
      </c>
      <c r="C23" s="124"/>
      <c r="E23" s="3">
        <f>AZ66</f>
        <v>2.6</v>
      </c>
    </row>
    <row r="24" spans="1:63" x14ac:dyDescent="0.45">
      <c r="A24" s="280" t="s">
        <v>2087</v>
      </c>
      <c r="B24" s="286">
        <f>B22*E24</f>
        <v>101.5446281342532</v>
      </c>
      <c r="E24" s="3">
        <f>BC66</f>
        <v>8.6999999999999993</v>
      </c>
    </row>
    <row r="28" spans="1:63" x14ac:dyDescent="0.45">
      <c r="B28" s="281" t="s">
        <v>2112</v>
      </c>
      <c r="C28" s="281"/>
      <c r="D28" s="281"/>
      <c r="E28" s="281"/>
      <c r="F28" s="281"/>
      <c r="G28" s="281"/>
      <c r="H28" s="281"/>
      <c r="I28" s="281"/>
      <c r="J28" s="281"/>
      <c r="K28" s="281"/>
      <c r="L28" s="281"/>
      <c r="M28" s="281"/>
      <c r="N28" s="281"/>
      <c r="O28" s="281"/>
      <c r="P28" s="281"/>
      <c r="Q28" s="281"/>
      <c r="R28" s="281"/>
      <c r="S28" s="281"/>
      <c r="T28" s="281"/>
      <c r="U28" s="281"/>
      <c r="W28" s="281" t="s">
        <v>2113</v>
      </c>
      <c r="X28" s="281"/>
      <c r="Y28" s="281"/>
      <c r="Z28" s="281"/>
      <c r="AA28" s="281"/>
      <c r="AB28" s="281"/>
      <c r="AC28" s="281"/>
      <c r="AD28" s="281"/>
      <c r="AE28" s="281"/>
      <c r="AF28" s="281"/>
      <c r="AG28" s="281"/>
      <c r="AH28" s="281"/>
      <c r="AI28" s="281"/>
      <c r="AJ28" s="281"/>
      <c r="AK28" s="281"/>
      <c r="AL28" s="281"/>
      <c r="AM28" s="281"/>
      <c r="AN28" s="281"/>
      <c r="AO28" s="281"/>
      <c r="AP28" s="281"/>
      <c r="AR28" s="281" t="s">
        <v>2114</v>
      </c>
      <c r="AS28" s="281"/>
      <c r="AT28" s="281"/>
      <c r="AU28" s="281"/>
      <c r="AV28" s="281"/>
      <c r="AW28" s="281"/>
      <c r="AX28" s="281"/>
      <c r="AY28" s="281"/>
      <c r="AZ28" s="281"/>
      <c r="BA28" s="281"/>
      <c r="BB28" s="281"/>
      <c r="BC28" s="281"/>
      <c r="BD28" s="281"/>
      <c r="BE28" s="281"/>
      <c r="BF28" s="281"/>
      <c r="BG28" s="281"/>
      <c r="BH28" s="281"/>
      <c r="BI28" s="281"/>
      <c r="BJ28" s="281"/>
      <c r="BK28" s="281"/>
    </row>
    <row r="29" spans="1:63" x14ac:dyDescent="0.45">
      <c r="B29" s="282" t="s">
        <v>982</v>
      </c>
      <c r="C29" s="282" t="s">
        <v>983</v>
      </c>
      <c r="D29" s="282" t="s">
        <v>664</v>
      </c>
      <c r="E29" s="282" t="s">
        <v>665</v>
      </c>
      <c r="F29" s="282" t="s">
        <v>667</v>
      </c>
      <c r="G29" s="282" t="s">
        <v>670</v>
      </c>
      <c r="H29" s="282" t="s">
        <v>672</v>
      </c>
      <c r="I29" s="282" t="s">
        <v>674</v>
      </c>
      <c r="J29" s="282" t="s">
        <v>676</v>
      </c>
      <c r="K29" s="282" t="s">
        <v>984</v>
      </c>
      <c r="L29" s="282" t="s">
        <v>985</v>
      </c>
      <c r="M29" s="282" t="s">
        <v>986</v>
      </c>
      <c r="N29" s="282" t="s">
        <v>987</v>
      </c>
      <c r="O29" s="282" t="s">
        <v>988</v>
      </c>
      <c r="P29" s="282" t="s">
        <v>989</v>
      </c>
      <c r="Q29" s="282" t="s">
        <v>990</v>
      </c>
      <c r="R29" s="282" t="s">
        <v>991</v>
      </c>
      <c r="S29" s="282" t="s">
        <v>992</v>
      </c>
      <c r="T29" s="282" t="s">
        <v>993</v>
      </c>
      <c r="U29" s="282" t="s">
        <v>994</v>
      </c>
      <c r="W29" s="282" t="s">
        <v>982</v>
      </c>
      <c r="X29" s="282" t="s">
        <v>983</v>
      </c>
      <c r="Y29" s="282" t="s">
        <v>664</v>
      </c>
      <c r="Z29" s="282" t="s">
        <v>665</v>
      </c>
      <c r="AA29" s="282" t="s">
        <v>667</v>
      </c>
      <c r="AB29" s="282" t="s">
        <v>670</v>
      </c>
      <c r="AC29" s="282" t="s">
        <v>672</v>
      </c>
      <c r="AD29" s="282" t="s">
        <v>674</v>
      </c>
      <c r="AE29" s="282" t="s">
        <v>676</v>
      </c>
      <c r="AF29" s="282" t="s">
        <v>984</v>
      </c>
      <c r="AG29" s="282" t="s">
        <v>985</v>
      </c>
      <c r="AH29" s="282" t="s">
        <v>986</v>
      </c>
      <c r="AI29" s="282" t="s">
        <v>987</v>
      </c>
      <c r="AJ29" s="282" t="s">
        <v>988</v>
      </c>
      <c r="AK29" s="282" t="s">
        <v>989</v>
      </c>
      <c r="AL29" s="282" t="s">
        <v>990</v>
      </c>
      <c r="AM29" s="282" t="s">
        <v>991</v>
      </c>
      <c r="AN29" s="282" t="s">
        <v>992</v>
      </c>
      <c r="AO29" s="282" t="s">
        <v>993</v>
      </c>
      <c r="AP29" s="282" t="s">
        <v>994</v>
      </c>
      <c r="AR29" s="282" t="s">
        <v>982</v>
      </c>
      <c r="AS29" s="282" t="s">
        <v>983</v>
      </c>
      <c r="AT29" s="282" t="s">
        <v>664</v>
      </c>
      <c r="AU29" s="282" t="s">
        <v>665</v>
      </c>
      <c r="AV29" s="282" t="s">
        <v>667</v>
      </c>
      <c r="AW29" s="282" t="s">
        <v>670</v>
      </c>
      <c r="AX29" s="282" t="s">
        <v>672</v>
      </c>
      <c r="AY29" s="282" t="s">
        <v>674</v>
      </c>
      <c r="AZ29" s="282" t="s">
        <v>676</v>
      </c>
      <c r="BA29" s="282" t="s">
        <v>984</v>
      </c>
      <c r="BB29" s="282" t="s">
        <v>985</v>
      </c>
      <c r="BC29" s="282" t="s">
        <v>986</v>
      </c>
      <c r="BD29" s="282" t="s">
        <v>987</v>
      </c>
      <c r="BE29" s="282" t="s">
        <v>988</v>
      </c>
      <c r="BF29" s="282" t="s">
        <v>989</v>
      </c>
      <c r="BG29" s="282" t="s">
        <v>990</v>
      </c>
      <c r="BH29" s="282" t="s">
        <v>991</v>
      </c>
      <c r="BI29" s="282" t="s">
        <v>992</v>
      </c>
      <c r="BJ29" s="282" t="s">
        <v>993</v>
      </c>
      <c r="BK29" s="282" t="s">
        <v>994</v>
      </c>
    </row>
    <row r="30" spans="1:63" x14ac:dyDescent="0.45">
      <c r="B30" s="283">
        <v>1.2462868073570671E-2</v>
      </c>
      <c r="C30" s="283">
        <v>7.293687680620364E-3</v>
      </c>
      <c r="D30" s="283">
        <v>7.4726417001126401E-3</v>
      </c>
      <c r="E30" s="283">
        <v>9.825991326924988E-3</v>
      </c>
      <c r="F30" s="283">
        <v>1.1643111435736906E-2</v>
      </c>
      <c r="G30" s="283">
        <v>1.3896757481720642E-2</v>
      </c>
      <c r="H30" s="283">
        <v>1.8506713687772871E-2</v>
      </c>
      <c r="I30" s="283">
        <v>2.404516427756832E-2</v>
      </c>
      <c r="J30" s="283">
        <v>2.8705630078973237E-2</v>
      </c>
      <c r="K30" s="283">
        <v>3.5747975251832695E-2</v>
      </c>
      <c r="L30" s="283">
        <v>4.6172724642941851E-2</v>
      </c>
      <c r="M30" s="283">
        <v>6.5031995863161274E-2</v>
      </c>
      <c r="N30" s="283">
        <v>0.10043311559216134</v>
      </c>
      <c r="O30" s="283">
        <v>0.15747533938238456</v>
      </c>
      <c r="P30" s="283">
        <v>0.24393593254995011</v>
      </c>
      <c r="Q30" s="283">
        <v>0.3676810183916765</v>
      </c>
      <c r="R30" s="283">
        <v>0.52094780866314327</v>
      </c>
      <c r="S30" s="283">
        <v>0.67622096730719927</v>
      </c>
      <c r="T30" s="283">
        <v>0.80197227456953302</v>
      </c>
      <c r="U30" s="283">
        <v>0.88285608032725926</v>
      </c>
      <c r="W30" s="287">
        <v>1.0627023139871992E-2</v>
      </c>
      <c r="X30" s="287">
        <v>6.1901074153191916E-3</v>
      </c>
      <c r="Y30" s="287">
        <v>6.1295925986770477E-3</v>
      </c>
      <c r="Z30" s="287">
        <v>7.2180789161703542E-3</v>
      </c>
      <c r="AA30" s="287">
        <v>8.7937549312924034E-3</v>
      </c>
      <c r="AB30" s="287">
        <v>1.1546398192589204E-2</v>
      </c>
      <c r="AC30" s="287">
        <v>1.6360686661287177E-2</v>
      </c>
      <c r="AD30" s="287">
        <v>2.1691654332282855E-2</v>
      </c>
      <c r="AE30" s="287">
        <v>2.5172177387918979E-2</v>
      </c>
      <c r="AF30" s="287">
        <v>3.0272551823996206E-2</v>
      </c>
      <c r="AG30" s="287">
        <v>3.9179822235012714E-2</v>
      </c>
      <c r="AH30" s="287">
        <v>5.617031750686375E-2</v>
      </c>
      <c r="AI30" s="287">
        <v>8.9062514080762781E-2</v>
      </c>
      <c r="AJ30" s="287">
        <v>0.14393490786662069</v>
      </c>
      <c r="AK30" s="287">
        <v>0.22861072435746216</v>
      </c>
      <c r="AL30" s="287">
        <v>0.3505387721285867</v>
      </c>
      <c r="AM30" s="287">
        <v>0.50278360775271713</v>
      </c>
      <c r="AN30" s="287">
        <v>0.65696919627050632</v>
      </c>
      <c r="AO30" s="287">
        <v>0.78501469147894221</v>
      </c>
      <c r="AP30" s="287">
        <v>0.87907925407925402</v>
      </c>
      <c r="AR30" s="287">
        <v>1.4245497755597063E-2</v>
      </c>
      <c r="AS30" s="287">
        <v>8.3693974541571604E-3</v>
      </c>
      <c r="AT30" s="287">
        <v>8.7871636715319886E-3</v>
      </c>
      <c r="AU30" s="287">
        <v>1.2390884761684543E-2</v>
      </c>
      <c r="AV30" s="287">
        <v>1.4436785779985188E-2</v>
      </c>
      <c r="AW30" s="287">
        <v>1.6205159416484108E-2</v>
      </c>
      <c r="AX30" s="287">
        <v>2.0650569782277577E-2</v>
      </c>
      <c r="AY30" s="287">
        <v>2.6468483553683034E-2</v>
      </c>
      <c r="AZ30" s="287">
        <v>3.2301066070529669E-2</v>
      </c>
      <c r="BA30" s="287">
        <v>4.112228937764302E-2</v>
      </c>
      <c r="BB30" s="287">
        <v>5.3581189815721318E-2</v>
      </c>
      <c r="BC30" s="287">
        <v>7.5096505441750783E-2</v>
      </c>
      <c r="BD30" s="287">
        <v>0.11376260572114338</v>
      </c>
      <c r="BE30" s="287">
        <v>0.17279717076658144</v>
      </c>
      <c r="BF30" s="287">
        <v>0.2623463993450324</v>
      </c>
      <c r="BG30" s="287">
        <v>0.3878726775169235</v>
      </c>
      <c r="BH30" s="287">
        <v>0.54278538893923511</v>
      </c>
      <c r="BI30" s="287">
        <v>0.70042889156018584</v>
      </c>
      <c r="BJ30" s="287">
        <v>0.82537634408602145</v>
      </c>
      <c r="BK30" s="287">
        <v>0.88951695786228158</v>
      </c>
    </row>
    <row r="31" spans="1:63" x14ac:dyDescent="0.45">
      <c r="B31" s="283">
        <v>1.0053866805036586E-2</v>
      </c>
      <c r="C31" s="283">
        <v>6.0178950815362297E-3</v>
      </c>
      <c r="D31" s="283">
        <v>6.3026681449317159E-3</v>
      </c>
      <c r="E31" s="283">
        <v>8.4940158607328224E-3</v>
      </c>
      <c r="F31" s="283">
        <v>1.0119634597288856E-2</v>
      </c>
      <c r="G31" s="283">
        <v>1.2097236111003509E-2</v>
      </c>
      <c r="H31" s="283">
        <v>1.6273294927888482E-2</v>
      </c>
      <c r="I31" s="283">
        <v>2.1555764204796834E-2</v>
      </c>
      <c r="J31" s="283">
        <v>2.6126524262280501E-2</v>
      </c>
      <c r="K31" s="283">
        <v>3.3085902360718088E-2</v>
      </c>
      <c r="L31" s="283">
        <v>4.3704694296802925E-2</v>
      </c>
      <c r="M31" s="283">
        <v>6.2139206004807136E-2</v>
      </c>
      <c r="N31" s="283">
        <v>9.6424258267457819E-2</v>
      </c>
      <c r="O31" s="283">
        <v>0.15149369075879032</v>
      </c>
      <c r="P31" s="283">
        <v>0.23671501971887268</v>
      </c>
      <c r="Q31" s="283">
        <v>0.35767745870212891</v>
      </c>
      <c r="R31" s="283">
        <v>0.51017276192834238</v>
      </c>
      <c r="S31" s="283">
        <v>0.66619131567423107</v>
      </c>
      <c r="T31" s="283">
        <v>0.79423768045318877</v>
      </c>
      <c r="U31" s="283">
        <v>0.87889453786989957</v>
      </c>
      <c r="W31" s="287">
        <v>8.2431604359237791E-3</v>
      </c>
      <c r="X31" s="287">
        <v>4.9354293144069274E-3</v>
      </c>
      <c r="Y31" s="287">
        <v>5.0103142517447258E-3</v>
      </c>
      <c r="Z31" s="287">
        <v>6.0617021473367474E-3</v>
      </c>
      <c r="AA31" s="287">
        <v>7.4442149727684788E-3</v>
      </c>
      <c r="AB31" s="287">
        <v>9.818167373717393E-3</v>
      </c>
      <c r="AC31" s="287">
        <v>1.408616264717987E-2</v>
      </c>
      <c r="AD31" s="287">
        <v>1.9088663953152469E-2</v>
      </c>
      <c r="AE31" s="287">
        <v>2.2609380961373143E-2</v>
      </c>
      <c r="AF31" s="287">
        <v>2.7763406702083392E-2</v>
      </c>
      <c r="AG31" s="287">
        <v>3.653996065278433E-2</v>
      </c>
      <c r="AH31" s="287">
        <v>5.304530851611116E-2</v>
      </c>
      <c r="AI31" s="287">
        <v>8.4881437241423829E-2</v>
      </c>
      <c r="AJ31" s="287">
        <v>0.138099996042895</v>
      </c>
      <c r="AK31" s="287">
        <v>0.22058169440348194</v>
      </c>
      <c r="AL31" s="287">
        <v>0.340242617825954</v>
      </c>
      <c r="AM31" s="287">
        <v>0.49121249846305176</v>
      </c>
      <c r="AN31" s="287">
        <v>0.64610293097639748</v>
      </c>
      <c r="AO31" s="287">
        <v>0.7766041630827456</v>
      </c>
      <c r="AP31" s="287">
        <v>0.87347276868916968</v>
      </c>
      <c r="AR31" s="287">
        <v>1.1811540167408997E-2</v>
      </c>
      <c r="AS31" s="287">
        <v>7.0726866398458195E-3</v>
      </c>
      <c r="AT31" s="287">
        <v>7.5650231220606903E-3</v>
      </c>
      <c r="AU31" s="287">
        <v>1.0883203934056992E-2</v>
      </c>
      <c r="AV31" s="287">
        <v>1.2762837464665295E-2</v>
      </c>
      <c r="AW31" s="287">
        <v>1.4344584480954312E-2</v>
      </c>
      <c r="AX31" s="287">
        <v>1.8431555971312744E-2</v>
      </c>
      <c r="AY31" s="287">
        <v>2.4031164529987072E-2</v>
      </c>
      <c r="AZ31" s="287">
        <v>2.9765761814091449E-2</v>
      </c>
      <c r="BA31" s="287">
        <v>3.8541662265004051E-2</v>
      </c>
      <c r="BB31" s="287">
        <v>5.0816696000998904E-2</v>
      </c>
      <c r="BC31" s="287">
        <v>7.1920123198441932E-2</v>
      </c>
      <c r="BD31" s="287">
        <v>0.10980209241906215</v>
      </c>
      <c r="BE31" s="287">
        <v>0.16763240740630372</v>
      </c>
      <c r="BF31" s="287">
        <v>0.25560784210630089</v>
      </c>
      <c r="BG31" s="287">
        <v>0.37958015267175577</v>
      </c>
      <c r="BH31" s="287">
        <v>0.53386794717887154</v>
      </c>
      <c r="BI31" s="287">
        <v>0.69245517670224899</v>
      </c>
      <c r="BJ31" s="287">
        <v>0.8196274645794116</v>
      </c>
      <c r="BK31" s="287">
        <v>0.88810696692470092</v>
      </c>
    </row>
    <row r="32" spans="1:63" x14ac:dyDescent="0.45">
      <c r="B32" s="283">
        <v>8.2856155766328887E-3</v>
      </c>
      <c r="C32" s="283">
        <v>5.0683640459741981E-3</v>
      </c>
      <c r="D32" s="283">
        <v>5.4318479931951043E-3</v>
      </c>
      <c r="E32" s="283">
        <v>7.4663535350646707E-3</v>
      </c>
      <c r="F32" s="283">
        <v>9.0046937956662319E-3</v>
      </c>
      <c r="G32" s="283">
        <v>1.0775836650739534E-2</v>
      </c>
      <c r="H32" s="283">
        <v>1.4547099996163659E-2</v>
      </c>
      <c r="I32" s="283">
        <v>1.9486986074297042E-2</v>
      </c>
      <c r="J32" s="283">
        <v>2.4017171820830411E-2</v>
      </c>
      <c r="K32" s="283">
        <v>3.0729228679473013E-2</v>
      </c>
      <c r="L32" s="283">
        <v>4.0963106594975374E-2</v>
      </c>
      <c r="M32" s="283">
        <v>5.9191157918209059E-2</v>
      </c>
      <c r="N32" s="283">
        <v>9.2249137727478184E-2</v>
      </c>
      <c r="O32" s="283">
        <v>0.14521998521413218</v>
      </c>
      <c r="P32" s="283">
        <v>0.22745523796416992</v>
      </c>
      <c r="Q32" s="283">
        <v>0.3469886351242284</v>
      </c>
      <c r="R32" s="283">
        <v>0.49751710133276039</v>
      </c>
      <c r="S32" s="283">
        <v>0.65494777481948863</v>
      </c>
      <c r="T32" s="283">
        <v>0.78594254574811617</v>
      </c>
      <c r="U32" s="283">
        <v>0.87379119794750348</v>
      </c>
      <c r="W32" s="287">
        <v>6.5207733175758247E-3</v>
      </c>
      <c r="X32" s="287">
        <v>4.0118366270201948E-3</v>
      </c>
      <c r="Y32" s="287">
        <v>4.1842627901733332E-3</v>
      </c>
      <c r="Z32" s="287">
        <v>5.1701941812806775E-3</v>
      </c>
      <c r="AA32" s="287">
        <v>6.4501788557367904E-3</v>
      </c>
      <c r="AB32" s="287">
        <v>8.5340247974837521E-3</v>
      </c>
      <c r="AC32" s="287">
        <v>1.2329145079422101E-2</v>
      </c>
      <c r="AD32" s="287">
        <v>1.6939265815579422E-2</v>
      </c>
      <c r="AE32" s="287">
        <v>2.0424408670216502E-2</v>
      </c>
      <c r="AF32" s="287">
        <v>2.5472211132633107E-2</v>
      </c>
      <c r="AG32" s="287">
        <v>3.394411972346062E-2</v>
      </c>
      <c r="AH32" s="287">
        <v>4.9734896021966395E-2</v>
      </c>
      <c r="AI32" s="287">
        <v>8.0172601468872715E-2</v>
      </c>
      <c r="AJ32" s="287">
        <v>0.1312707522483893</v>
      </c>
      <c r="AK32" s="287">
        <v>0.21103985914377513</v>
      </c>
      <c r="AL32" s="287">
        <v>0.32803960396039605</v>
      </c>
      <c r="AM32" s="287">
        <v>0.47771092367725831</v>
      </c>
      <c r="AN32" s="287">
        <v>0.63376505682890905</v>
      </c>
      <c r="AO32" s="287">
        <v>0.76747116138425353</v>
      </c>
      <c r="AP32" s="287">
        <v>0.86785769290004622</v>
      </c>
      <c r="AR32" s="287">
        <v>9.9993414615589093E-3</v>
      </c>
      <c r="AS32" s="287">
        <v>6.0985136605232011E-3</v>
      </c>
      <c r="AT32" s="287">
        <v>6.6496577084047964E-3</v>
      </c>
      <c r="AU32" s="287">
        <v>9.7154834018274884E-3</v>
      </c>
      <c r="AV32" s="287">
        <v>1.1524951370344922E-2</v>
      </c>
      <c r="AW32" s="287">
        <v>1.3003072584278177E-2</v>
      </c>
      <c r="AX32" s="287">
        <v>1.6746111672913622E-2</v>
      </c>
      <c r="AY32" s="287">
        <v>2.2012205000810088E-2</v>
      </c>
      <c r="AZ32" s="287">
        <v>2.7640277796321295E-2</v>
      </c>
      <c r="BA32" s="287">
        <v>3.6208859989964912E-2</v>
      </c>
      <c r="BB32" s="287">
        <v>4.8238489531142986E-2</v>
      </c>
      <c r="BC32" s="287">
        <v>6.8719007891865663E-2</v>
      </c>
      <c r="BD32" s="287">
        <v>0.10550218543560927</v>
      </c>
      <c r="BE32" s="287">
        <v>0.16183937098969781</v>
      </c>
      <c r="BF32" s="287">
        <v>0.247936712975759</v>
      </c>
      <c r="BG32" s="287">
        <v>0.37022289127373381</v>
      </c>
      <c r="BH32" s="287">
        <v>0.52397642830546065</v>
      </c>
      <c r="BI32" s="287">
        <v>0.68384292071864183</v>
      </c>
      <c r="BJ32" s="287">
        <v>0.81373209772535804</v>
      </c>
      <c r="BK32" s="287">
        <v>0.88437242515792369</v>
      </c>
    </row>
    <row r="33" spans="2:63" x14ac:dyDescent="0.45">
      <c r="B33" s="283">
        <v>6.973590069624511E-3</v>
      </c>
      <c r="C33" s="283">
        <v>4.3608724143609267E-3</v>
      </c>
      <c r="D33" s="283">
        <v>4.7863930577104292E-3</v>
      </c>
      <c r="E33" s="283">
        <v>6.7053460372149196E-3</v>
      </c>
      <c r="F33" s="283">
        <v>8.1495634138530944E-3</v>
      </c>
      <c r="G33" s="283">
        <v>9.808195776058291E-3</v>
      </c>
      <c r="H33" s="283">
        <v>1.3260240262867984E-2</v>
      </c>
      <c r="I33" s="283">
        <v>1.7858422566463708E-2</v>
      </c>
      <c r="J33" s="283">
        <v>2.2217109454415278E-2</v>
      </c>
      <c r="K33" s="283">
        <v>2.875406523994414E-2</v>
      </c>
      <c r="L33" s="283">
        <v>3.842708887876578E-2</v>
      </c>
      <c r="M33" s="283">
        <v>5.570212212490628E-2</v>
      </c>
      <c r="N33" s="283">
        <v>8.7896133422710201E-2</v>
      </c>
      <c r="O33" s="283">
        <v>0.13869188036714467</v>
      </c>
      <c r="P33" s="283">
        <v>0.21787923271780082</v>
      </c>
      <c r="Q33" s="283">
        <v>0.33399366281630255</v>
      </c>
      <c r="R33" s="283">
        <v>0.48431654195617313</v>
      </c>
      <c r="S33" s="283">
        <v>0.64192933274024411</v>
      </c>
      <c r="T33" s="283">
        <v>0.77664961798320387</v>
      </c>
      <c r="U33" s="283">
        <v>0.86854718315392476</v>
      </c>
      <c r="W33" s="287">
        <v>5.2896389367997881E-3</v>
      </c>
      <c r="X33" s="287">
        <v>3.3400050949605161E-3</v>
      </c>
      <c r="Y33" s="287">
        <v>3.5761163243134787E-3</v>
      </c>
      <c r="Z33" s="287">
        <v>4.5239627960664179E-3</v>
      </c>
      <c r="AA33" s="287">
        <v>5.7014523520516648E-3</v>
      </c>
      <c r="AB33" s="287">
        <v>7.5983176820723234E-3</v>
      </c>
      <c r="AC33" s="287">
        <v>1.1019275417918913E-2</v>
      </c>
      <c r="AD33" s="287">
        <v>1.5265752579129896E-2</v>
      </c>
      <c r="AE33" s="287">
        <v>1.8589157578136544E-2</v>
      </c>
      <c r="AF33" s="287">
        <v>2.3439334629699309E-2</v>
      </c>
      <c r="AG33" s="287">
        <v>3.1465946114348144E-2</v>
      </c>
      <c r="AH33" s="287">
        <v>4.6366716702218272E-2</v>
      </c>
      <c r="AI33" s="287">
        <v>7.5139849564081457E-2</v>
      </c>
      <c r="AJ33" s="287">
        <v>0.12372704069153453</v>
      </c>
      <c r="AK33" s="287">
        <v>0.20031184189211076</v>
      </c>
      <c r="AL33" s="287">
        <v>0.31415557133213845</v>
      </c>
      <c r="AM33" s="287">
        <v>0.46226900346662236</v>
      </c>
      <c r="AN33" s="287">
        <v>0.61968873446137607</v>
      </c>
      <c r="AO33" s="287">
        <v>0.75715022167233736</v>
      </c>
      <c r="AP33" s="287">
        <v>0.86189042745334132</v>
      </c>
      <c r="AR33" s="287">
        <v>8.6080383648234546E-3</v>
      </c>
      <c r="AS33" s="287">
        <v>5.3557474344981485E-3</v>
      </c>
      <c r="AT33" s="287">
        <v>5.9678275029894038E-3</v>
      </c>
      <c r="AU33" s="287">
        <v>8.8409419908469615E-3</v>
      </c>
      <c r="AV33" s="287">
        <v>1.0558790838628157E-2</v>
      </c>
      <c r="AW33" s="287">
        <v>1.1999882647501908E-2</v>
      </c>
      <c r="AX33" s="287">
        <v>1.5497663772924514E-2</v>
      </c>
      <c r="AY33" s="287">
        <v>2.0438713868597632E-2</v>
      </c>
      <c r="AZ33" s="287">
        <v>2.5831671862754747E-2</v>
      </c>
      <c r="BA33" s="287">
        <v>3.4153455265075253E-2</v>
      </c>
      <c r="BB33" s="287">
        <v>4.5763839385025179E-2</v>
      </c>
      <c r="BC33" s="287">
        <v>6.5523868630868093E-2</v>
      </c>
      <c r="BD33" s="287">
        <v>0.10101099271613666</v>
      </c>
      <c r="BE33" s="287">
        <v>0.15557965784668945</v>
      </c>
      <c r="BF33" s="287">
        <v>0.23957270599531896</v>
      </c>
      <c r="BG33" s="287">
        <v>0.35996001142530698</v>
      </c>
      <c r="BH33" s="287">
        <v>0.51316075396575045</v>
      </c>
      <c r="BI33" s="287">
        <v>0.67452854252044825</v>
      </c>
      <c r="BJ33" s="287">
        <v>0.80746171391332688</v>
      </c>
      <c r="BK33" s="287">
        <v>0.88104929895974671</v>
      </c>
    </row>
    <row r="34" spans="2:63" x14ac:dyDescent="0.45">
      <c r="B34" s="283">
        <v>5.9914312840465347E-3</v>
      </c>
      <c r="C34" s="283">
        <v>3.8195316620617159E-3</v>
      </c>
      <c r="D34" s="283">
        <v>4.3016711138074374E-3</v>
      </c>
      <c r="E34" s="283">
        <v>6.1385325831570161E-3</v>
      </c>
      <c r="F34" s="283">
        <v>7.5010885606249609E-3</v>
      </c>
      <c r="G34" s="283">
        <v>9.0608036321564618E-3</v>
      </c>
      <c r="H34" s="283">
        <v>1.2280211278239377E-2</v>
      </c>
      <c r="I34" s="283">
        <v>1.6563842444131303E-2</v>
      </c>
      <c r="J34" s="283">
        <v>2.0693743052390263E-2</v>
      </c>
      <c r="K34" s="283">
        <v>2.6949489440629582E-2</v>
      </c>
      <c r="L34" s="283">
        <v>3.6223247197429698E-2</v>
      </c>
      <c r="M34" s="283">
        <v>5.2439075735335648E-2</v>
      </c>
      <c r="N34" s="283">
        <v>8.2868312281583839E-2</v>
      </c>
      <c r="O34" s="283">
        <v>0.13217962418860579</v>
      </c>
      <c r="P34" s="283">
        <v>0.20844335706140885</v>
      </c>
      <c r="Q34" s="283">
        <v>0.32127171963114182</v>
      </c>
      <c r="R34" s="283">
        <v>0.46928982725527829</v>
      </c>
      <c r="S34" s="283">
        <v>0.62935001840264992</v>
      </c>
      <c r="T34" s="283">
        <v>0.76640697976753369</v>
      </c>
      <c r="U34" s="283">
        <v>0.8648648648648648</v>
      </c>
      <c r="W34" s="287">
        <v>4.398645935664542E-3</v>
      </c>
      <c r="X34" s="287">
        <v>2.83900352240927E-3</v>
      </c>
      <c r="Y34" s="287">
        <v>3.1356103538876592E-3</v>
      </c>
      <c r="Z34" s="287">
        <v>4.0514671312941279E-3</v>
      </c>
      <c r="AA34" s="287">
        <v>5.1480797647612099E-3</v>
      </c>
      <c r="AB34" s="287">
        <v>6.8924404869133262E-3</v>
      </c>
      <c r="AC34" s="287">
        <v>1.0031707457363858E-2</v>
      </c>
      <c r="AD34" s="287">
        <v>1.3945304493022195E-2</v>
      </c>
      <c r="AE34" s="287">
        <v>1.7080045014603723E-2</v>
      </c>
      <c r="AF34" s="287">
        <v>2.1639623965302196E-2</v>
      </c>
      <c r="AG34" s="287">
        <v>2.9180369653384407E-2</v>
      </c>
      <c r="AH34" s="287">
        <v>4.3128942273917649E-2</v>
      </c>
      <c r="AI34" s="287">
        <v>7.0157989523822212E-2</v>
      </c>
      <c r="AJ34" s="287">
        <v>0.11610797147674626</v>
      </c>
      <c r="AK34" s="287">
        <v>0.18929314108526621</v>
      </c>
      <c r="AL34" s="287">
        <v>0.29973057698053779</v>
      </c>
      <c r="AM34" s="287">
        <v>0.44608247619492059</v>
      </c>
      <c r="AN34" s="287">
        <v>0.60482460729071696</v>
      </c>
      <c r="AO34" s="287">
        <v>0.74619831307292228</v>
      </c>
      <c r="AP34" s="287">
        <v>0.85760380402479408</v>
      </c>
      <c r="AR34" s="287">
        <v>7.5372790204033431E-3</v>
      </c>
      <c r="AS34" s="287">
        <v>4.7744973286627393E-3</v>
      </c>
      <c r="AT34" s="287">
        <v>5.4399922431143501E-3</v>
      </c>
      <c r="AU34" s="287">
        <v>8.181569624732073E-3</v>
      </c>
      <c r="AV34" s="287">
        <v>9.814838518820276E-3</v>
      </c>
      <c r="AW34" s="287">
        <v>1.1205270426212659E-2</v>
      </c>
      <c r="AX34" s="287">
        <v>1.4519991381147243E-2</v>
      </c>
      <c r="AY34" s="287">
        <v>1.9188408911154465E-2</v>
      </c>
      <c r="AZ34" s="287">
        <v>2.4307978431994465E-2</v>
      </c>
      <c r="BA34" s="287">
        <v>3.2279088936157871E-2</v>
      </c>
      <c r="BB34" s="287">
        <v>4.3457683180961437E-2</v>
      </c>
      <c r="BC34" s="287">
        <v>6.2398589630101906E-2</v>
      </c>
      <c r="BD34" s="287">
        <v>9.6514938730007743E-2</v>
      </c>
      <c r="BE34" s="287">
        <v>0.14917855812433006</v>
      </c>
      <c r="BF34" s="287">
        <v>0.23086951254919977</v>
      </c>
      <c r="BG34" s="287">
        <v>0.34924565280298847</v>
      </c>
      <c r="BH34" s="287">
        <v>0.50184013304890862</v>
      </c>
      <c r="BI34" s="287">
        <v>0.66479007084029262</v>
      </c>
      <c r="BJ34" s="287">
        <v>0.80101880877742948</v>
      </c>
      <c r="BK34" s="287">
        <v>0.87933660517854118</v>
      </c>
    </row>
    <row r="35" spans="2:63" x14ac:dyDescent="0.45">
      <c r="B35" s="283">
        <v>5.2032853158662483E-3</v>
      </c>
      <c r="C35" s="283">
        <v>3.3933117212629833E-3</v>
      </c>
      <c r="D35" s="283">
        <v>3.9176910142044562E-3</v>
      </c>
      <c r="E35" s="283">
        <v>5.6868331746783235E-3</v>
      </c>
      <c r="F35" s="283">
        <v>6.9868970515490677E-3</v>
      </c>
      <c r="G35" s="283">
        <v>8.4488234824572159E-3</v>
      </c>
      <c r="H35" s="283">
        <v>1.1460407950717616E-2</v>
      </c>
      <c r="I35" s="283">
        <v>1.5476783311411044E-2</v>
      </c>
      <c r="J35" s="283">
        <v>1.9349221378747682E-2</v>
      </c>
      <c r="K35" s="283">
        <v>2.525659493598692E-2</v>
      </c>
      <c r="L35" s="283">
        <v>3.4047480930373339E-2</v>
      </c>
      <c r="M35" s="283">
        <v>4.9404124137671798E-2</v>
      </c>
      <c r="N35" s="283">
        <v>7.7959978398725732E-2</v>
      </c>
      <c r="O35" s="283">
        <v>0.12461804848237933</v>
      </c>
      <c r="P35" s="283">
        <v>0.19884838282224265</v>
      </c>
      <c r="Q35" s="283">
        <v>0.30855775594359314</v>
      </c>
      <c r="R35" s="283">
        <v>0.45438996218747763</v>
      </c>
      <c r="S35" s="283">
        <v>0.61456921192323399</v>
      </c>
      <c r="T35" s="283">
        <v>0.75656567261403529</v>
      </c>
      <c r="U35" s="283">
        <v>0.85950447293564736</v>
      </c>
      <c r="W35" s="287">
        <v>3.7475448275846993E-3</v>
      </c>
      <c r="X35" s="287">
        <v>2.4781160324510573E-3</v>
      </c>
      <c r="Y35" s="287">
        <v>2.8094749977861369E-3</v>
      </c>
      <c r="Z35" s="287">
        <v>3.7033170072046759E-3</v>
      </c>
      <c r="AA35" s="287">
        <v>4.7379714937270242E-3</v>
      </c>
      <c r="AB35" s="287">
        <v>6.3503507841277092E-3</v>
      </c>
      <c r="AC35" s="287">
        <v>9.2472261604654559E-3</v>
      </c>
      <c r="AD35" s="287">
        <v>1.2883829167839381E-2</v>
      </c>
      <c r="AE35" s="287">
        <v>1.580685206167531E-2</v>
      </c>
      <c r="AF35" s="287">
        <v>2.0060295231135339E-2</v>
      </c>
      <c r="AG35" s="287">
        <v>2.7071150108497415E-2</v>
      </c>
      <c r="AH35" s="287">
        <v>4.0049087946663786E-2</v>
      </c>
      <c r="AI35" s="287">
        <v>6.5316578011313839E-2</v>
      </c>
      <c r="AJ35" s="287">
        <v>0.10856979939652649</v>
      </c>
      <c r="AK35" s="287">
        <v>0.1782443376606303</v>
      </c>
      <c r="AL35" s="287">
        <v>0.28506286044121293</v>
      </c>
      <c r="AM35" s="287">
        <v>0.42934163565950334</v>
      </c>
      <c r="AN35" s="287">
        <v>0.58925460011105368</v>
      </c>
      <c r="AO35" s="287">
        <v>0.7346696923852748</v>
      </c>
      <c r="AP35" s="287">
        <v>0.85192307692307689</v>
      </c>
      <c r="AR35" s="287">
        <v>6.6161794313425587E-3</v>
      </c>
      <c r="AS35" s="287">
        <v>4.2833566320124722E-3</v>
      </c>
      <c r="AT35" s="287">
        <v>4.999445176041107E-3</v>
      </c>
      <c r="AU35" s="287">
        <v>7.6278334533115486E-3</v>
      </c>
      <c r="AV35" s="287">
        <v>9.1969615593992665E-3</v>
      </c>
      <c r="AW35" s="287">
        <v>1.0520470170333078E-2</v>
      </c>
      <c r="AX35" s="287">
        <v>1.3656979461890633E-2</v>
      </c>
      <c r="AY35" s="287">
        <v>1.8072065679821933E-2</v>
      </c>
      <c r="AZ35" s="287">
        <v>2.2919971132319628E-2</v>
      </c>
      <c r="BA35" s="287">
        <v>3.0495138967387984E-2</v>
      </c>
      <c r="BB35" s="287">
        <v>4.1126724457538726E-2</v>
      </c>
      <c r="BC35" s="287">
        <v>5.9157037680150591E-2</v>
      </c>
      <c r="BD35" s="287">
        <v>9.1763226472446904E-2</v>
      </c>
      <c r="BE35" s="287">
        <v>0.14235114463735649</v>
      </c>
      <c r="BF35" s="287">
        <v>0.22148827899869988</v>
      </c>
      <c r="BG35" s="287">
        <v>0.33755912440875596</v>
      </c>
      <c r="BH35" s="287">
        <v>0.48939347236188518</v>
      </c>
      <c r="BI35" s="287">
        <v>0.6540492116579073</v>
      </c>
      <c r="BJ35" s="287">
        <v>0.79386624285898377</v>
      </c>
      <c r="BK35" s="287">
        <v>0.8760666929237233</v>
      </c>
    </row>
    <row r="36" spans="2:63" x14ac:dyDescent="0.45">
      <c r="B36" s="283">
        <v>4.5715044746699966E-3</v>
      </c>
      <c r="C36" s="283">
        <v>3.0463245030047173E-3</v>
      </c>
      <c r="D36" s="283">
        <v>3.606327484623278E-3</v>
      </c>
      <c r="E36" s="283">
        <v>5.3363961133363275E-3</v>
      </c>
      <c r="F36" s="283">
        <v>6.586028195811099E-3</v>
      </c>
      <c r="G36" s="283">
        <v>7.964582803567901E-3</v>
      </c>
      <c r="H36" s="283">
        <v>1.0782380997847682E-2</v>
      </c>
      <c r="I36" s="283">
        <v>1.4554678816595475E-2</v>
      </c>
      <c r="J36" s="283">
        <v>1.8189938534104579E-2</v>
      </c>
      <c r="K36" s="283">
        <v>2.3720132670371239E-2</v>
      </c>
      <c r="L36" s="283">
        <v>3.1973312320403097E-2</v>
      </c>
      <c r="M36" s="283">
        <v>4.6456694307447095E-2</v>
      </c>
      <c r="N36" s="283">
        <v>7.3498115782535955E-2</v>
      </c>
      <c r="O36" s="283">
        <v>0.1174506892903751</v>
      </c>
      <c r="P36" s="283">
        <v>0.18825488773669921</v>
      </c>
      <c r="Q36" s="283">
        <v>0.29612977279752289</v>
      </c>
      <c r="R36" s="283">
        <v>0.44008958204216631</v>
      </c>
      <c r="S36" s="283">
        <v>0.60062967791781352</v>
      </c>
      <c r="T36" s="283">
        <v>0.74520843170728757</v>
      </c>
      <c r="U36" s="283">
        <v>0.85321759561414956</v>
      </c>
      <c r="W36" s="287">
        <v>3.2570374298192626E-3</v>
      </c>
      <c r="X36" s="287">
        <v>2.1973771262054648E-3</v>
      </c>
      <c r="Y36" s="287">
        <v>2.5553306972497529E-3</v>
      </c>
      <c r="Z36" s="287">
        <v>3.4430423555298073E-3</v>
      </c>
      <c r="AA36" s="287">
        <v>4.4307900680930472E-3</v>
      </c>
      <c r="AB36" s="287">
        <v>5.9383577663509324E-3</v>
      </c>
      <c r="AC36" s="287">
        <v>8.6257640280200023E-3</v>
      </c>
      <c r="AD36" s="287">
        <v>1.2007755348094486E-2</v>
      </c>
      <c r="AE36" s="287">
        <v>1.4729050523382364E-2</v>
      </c>
      <c r="AF36" s="287">
        <v>1.8671910929759287E-2</v>
      </c>
      <c r="AG36" s="287">
        <v>2.5168690100148185E-2</v>
      </c>
      <c r="AH36" s="287">
        <v>3.7196360749627524E-2</v>
      </c>
      <c r="AI36" s="287">
        <v>6.0749242305174311E-2</v>
      </c>
      <c r="AJ36" s="287">
        <v>0.10138078085699184</v>
      </c>
      <c r="AK36" s="287">
        <v>0.16757840262970866</v>
      </c>
      <c r="AL36" s="287">
        <v>0.27068522340907158</v>
      </c>
      <c r="AM36" s="287">
        <v>0.41269879490767758</v>
      </c>
      <c r="AN36" s="287">
        <v>0.57355764661153874</v>
      </c>
      <c r="AO36" s="287">
        <v>0.7229162782024986</v>
      </c>
      <c r="AP36" s="287">
        <v>0.84434096740473252</v>
      </c>
      <c r="AR36" s="287">
        <v>5.845241138037356E-3</v>
      </c>
      <c r="AS36" s="287">
        <v>3.8720937477991482E-3</v>
      </c>
      <c r="AT36" s="287">
        <v>4.6314662073885793E-3</v>
      </c>
      <c r="AU36" s="287">
        <v>7.1885664191026809E-3</v>
      </c>
      <c r="AV36" s="287">
        <v>8.7039584020434102E-3</v>
      </c>
      <c r="AW36" s="287">
        <v>9.9655237908865529E-3</v>
      </c>
      <c r="AX36" s="287">
        <v>1.2921781776871814E-2</v>
      </c>
      <c r="AY36" s="287">
        <v>1.7095598007811238E-2</v>
      </c>
      <c r="AZ36" s="287">
        <v>2.1671790342159537E-2</v>
      </c>
      <c r="BA36" s="287">
        <v>2.8846288184468098E-2</v>
      </c>
      <c r="BB36" s="287">
        <v>3.8906277475612823E-2</v>
      </c>
      <c r="BC36" s="287">
        <v>5.5991377833759799E-2</v>
      </c>
      <c r="BD36" s="287">
        <v>8.7059143336028655E-2</v>
      </c>
      <c r="BE36" s="287">
        <v>0.13550563812364294</v>
      </c>
      <c r="BF36" s="287">
        <v>0.21200203560523551</v>
      </c>
      <c r="BG36" s="287">
        <v>0.32564147444192887</v>
      </c>
      <c r="BH36" s="287">
        <v>0.47657927609357714</v>
      </c>
      <c r="BI36" s="287">
        <v>0.64291051238279029</v>
      </c>
      <c r="BJ36" s="287">
        <v>0.78648620653937784</v>
      </c>
      <c r="BK36" s="287">
        <v>0.872681808710148</v>
      </c>
    </row>
    <row r="37" spans="2:63" x14ac:dyDescent="0.45">
      <c r="B37" s="283">
        <v>4.0448170378754016E-3</v>
      </c>
      <c r="C37" s="283">
        <v>2.7401181306689645E-3</v>
      </c>
      <c r="D37" s="283">
        <v>3.3296182780718263E-3</v>
      </c>
      <c r="E37" s="283">
        <v>5.0146575393811678E-3</v>
      </c>
      <c r="F37" s="283">
        <v>6.2166002950252552E-3</v>
      </c>
      <c r="G37" s="283">
        <v>7.5210365212046663E-3</v>
      </c>
      <c r="H37" s="283">
        <v>1.0159151673758138E-2</v>
      </c>
      <c r="I37" s="283">
        <v>1.3678823026954525E-2</v>
      </c>
      <c r="J37" s="283">
        <v>1.7078606087957388E-2</v>
      </c>
      <c r="K37" s="283">
        <v>2.2273357547362562E-2</v>
      </c>
      <c r="L37" s="283">
        <v>2.9973803400595828E-2</v>
      </c>
      <c r="M37" s="283">
        <v>4.3530509346997072E-2</v>
      </c>
      <c r="N37" s="283">
        <v>6.9073868276743611E-2</v>
      </c>
      <c r="O37" s="283">
        <v>0.11080464098846736</v>
      </c>
      <c r="P37" s="283">
        <v>0.17808364300340107</v>
      </c>
      <c r="Q37" s="283">
        <v>0.28225961265976907</v>
      </c>
      <c r="R37" s="283">
        <v>0.42584398532073608</v>
      </c>
      <c r="S37" s="283">
        <v>0.58705861612535915</v>
      </c>
      <c r="T37" s="283">
        <v>0.7344170165019055</v>
      </c>
      <c r="U37" s="283">
        <v>0.84846036875118802</v>
      </c>
      <c r="W37" s="287">
        <v>2.8771195021788419E-3</v>
      </c>
      <c r="X37" s="287">
        <v>1.966849903817419E-3</v>
      </c>
      <c r="Y37" s="287">
        <v>2.3407434047993357E-3</v>
      </c>
      <c r="Z37" s="287">
        <v>3.2151098842999369E-3</v>
      </c>
      <c r="AA37" s="287">
        <v>4.1611735707070482E-3</v>
      </c>
      <c r="AB37" s="287">
        <v>5.5756639275236974E-3</v>
      </c>
      <c r="AC37" s="287">
        <v>8.0806019341180327E-3</v>
      </c>
      <c r="AD37" s="287">
        <v>1.1223583899029506E-2</v>
      </c>
      <c r="AE37" s="287">
        <v>1.3748546576629037E-2</v>
      </c>
      <c r="AF37" s="287">
        <v>1.7416794094544389E-2</v>
      </c>
      <c r="AG37" s="287">
        <v>2.3443220349005159E-2</v>
      </c>
      <c r="AH37" s="287">
        <v>3.4588176437662134E-2</v>
      </c>
      <c r="AI37" s="287">
        <v>5.6560203008247462E-2</v>
      </c>
      <c r="AJ37" s="287">
        <v>9.4736183304675606E-2</v>
      </c>
      <c r="AK37" s="287">
        <v>0.15760226901595992</v>
      </c>
      <c r="AL37" s="287">
        <v>0.25703161374584926</v>
      </c>
      <c r="AM37" s="287">
        <v>0.39658094724428056</v>
      </c>
      <c r="AN37" s="287">
        <v>0.55803027708574005</v>
      </c>
      <c r="AO37" s="287">
        <v>0.7110506842597959</v>
      </c>
      <c r="AP37" s="287">
        <v>0.83980484522207266</v>
      </c>
      <c r="AR37" s="287">
        <v>5.1756430492166184E-3</v>
      </c>
      <c r="AS37" s="287">
        <v>3.4914100666897404E-3</v>
      </c>
      <c r="AT37" s="287">
        <v>4.2929241733155312E-3</v>
      </c>
      <c r="AU37" s="287">
        <v>6.7735185061662548E-3</v>
      </c>
      <c r="AV37" s="287">
        <v>8.2344513132095419E-3</v>
      </c>
      <c r="AW37" s="287">
        <v>9.4400393581994275E-3</v>
      </c>
      <c r="AX37" s="287">
        <v>1.2219643842541693E-2</v>
      </c>
      <c r="AY37" s="287">
        <v>1.61244032214049E-2</v>
      </c>
      <c r="AZ37" s="287">
        <v>2.0417056731670831E-2</v>
      </c>
      <c r="BA37" s="287">
        <v>2.7193639481065793E-2</v>
      </c>
      <c r="BB37" s="287">
        <v>3.6673126578037535E-2</v>
      </c>
      <c r="BC37" s="287">
        <v>5.2770649912632056E-2</v>
      </c>
      <c r="BD37" s="287">
        <v>8.2214793628123853E-2</v>
      </c>
      <c r="BE37" s="287">
        <v>0.12838929757543369</v>
      </c>
      <c r="BF37" s="287">
        <v>0.20200332960847503</v>
      </c>
      <c r="BG37" s="287">
        <v>0.31286767175414981</v>
      </c>
      <c r="BH37" s="287">
        <v>0.46255049244315344</v>
      </c>
      <c r="BI37" s="287">
        <v>0.63044943779718887</v>
      </c>
      <c r="BJ37" s="287">
        <v>0.77799794917274057</v>
      </c>
      <c r="BK37" s="287">
        <v>0.86925937904269091</v>
      </c>
    </row>
    <row r="38" spans="2:63" x14ac:dyDescent="0.45">
      <c r="B38" s="283">
        <v>3.6031849872727455E-3</v>
      </c>
      <c r="C38" s="283">
        <v>2.4790795934796829E-3</v>
      </c>
      <c r="D38" s="283">
        <v>3.0857403759576934E-3</v>
      </c>
      <c r="E38" s="283">
        <v>4.7069616127917453E-3</v>
      </c>
      <c r="F38" s="283">
        <v>5.8702808014652053E-3</v>
      </c>
      <c r="G38" s="283">
        <v>7.0949904441368313E-3</v>
      </c>
      <c r="H38" s="283">
        <v>9.5610306660914215E-3</v>
      </c>
      <c r="I38" s="283">
        <v>1.2843578859444397E-2</v>
      </c>
      <c r="J38" s="283">
        <v>1.6020155193454625E-2</v>
      </c>
      <c r="K38" s="283">
        <v>2.0906089524105016E-2</v>
      </c>
      <c r="L38" s="283">
        <v>2.8119602201520984E-2</v>
      </c>
      <c r="M38" s="283">
        <v>4.0771057814342537E-2</v>
      </c>
      <c r="N38" s="283">
        <v>6.4801737504804308E-2</v>
      </c>
      <c r="O38" s="283">
        <v>0.10439420095301623</v>
      </c>
      <c r="P38" s="283">
        <v>0.16881505485450296</v>
      </c>
      <c r="Q38" s="283">
        <v>0.26916630090208049</v>
      </c>
      <c r="R38" s="283">
        <v>0.41009435115748294</v>
      </c>
      <c r="S38" s="283">
        <v>0.57375897715742163</v>
      </c>
      <c r="T38" s="283">
        <v>0.72413189766488084</v>
      </c>
      <c r="U38" s="283">
        <v>0.84194999362628153</v>
      </c>
      <c r="W38" s="287">
        <v>2.5774610972234486E-3</v>
      </c>
      <c r="X38" s="287">
        <v>1.7764681648970286E-3</v>
      </c>
      <c r="Y38" s="287">
        <v>2.1681817362889108E-3</v>
      </c>
      <c r="Z38" s="287">
        <v>3.016498470372751E-3</v>
      </c>
      <c r="AA38" s="287">
        <v>3.923573414551477E-3</v>
      </c>
      <c r="AB38" s="287">
        <v>5.2483106568810573E-3</v>
      </c>
      <c r="AC38" s="287">
        <v>7.571909409891794E-3</v>
      </c>
      <c r="AD38" s="287">
        <v>1.0503424636476685E-2</v>
      </c>
      <c r="AE38" s="287">
        <v>1.284919929337462E-2</v>
      </c>
      <c r="AF38" s="287">
        <v>1.6269900761526339E-2</v>
      </c>
      <c r="AG38" s="287">
        <v>2.1869839881048857E-2</v>
      </c>
      <c r="AH38" s="287">
        <v>3.2224017001055406E-2</v>
      </c>
      <c r="AI38" s="287">
        <v>5.274509807817597E-2</v>
      </c>
      <c r="AJ38" s="287">
        <v>8.8630368776225613E-2</v>
      </c>
      <c r="AK38" s="287">
        <v>0.14832848049172215</v>
      </c>
      <c r="AL38" s="287">
        <v>0.24414712967557331</v>
      </c>
      <c r="AM38" s="287">
        <v>0.38106995071945643</v>
      </c>
      <c r="AN38" s="287">
        <v>0.54275740075178669</v>
      </c>
      <c r="AO38" s="287">
        <v>0.69908380034596218</v>
      </c>
      <c r="AP38" s="287">
        <v>0.83233055641262987</v>
      </c>
      <c r="AR38" s="287">
        <v>4.5958692920336202E-3</v>
      </c>
      <c r="AS38" s="287">
        <v>3.1611968291195411E-3</v>
      </c>
      <c r="AT38" s="287">
        <v>3.9785216068886431E-3</v>
      </c>
      <c r="AU38" s="287">
        <v>6.3574654406500864E-3</v>
      </c>
      <c r="AV38" s="287">
        <v>7.7795730872298663E-3</v>
      </c>
      <c r="AW38" s="287">
        <v>8.9152369032286724E-3</v>
      </c>
      <c r="AX38" s="287">
        <v>1.1531406310785294E-2</v>
      </c>
      <c r="AY38" s="287">
        <v>1.5172770656214637E-2</v>
      </c>
      <c r="AZ38" s="287">
        <v>1.9195493911914666E-2</v>
      </c>
      <c r="BA38" s="287">
        <v>2.5586610750341628E-2</v>
      </c>
      <c r="BB38" s="287">
        <v>3.4514549177306529E-2</v>
      </c>
      <c r="BC38" s="287">
        <v>4.9661325628669692E-2</v>
      </c>
      <c r="BD38" s="287">
        <v>7.7499822121401149E-2</v>
      </c>
      <c r="BE38" s="287">
        <v>0.12141094067412081</v>
      </c>
      <c r="BF38" s="287">
        <v>0.19210034480291385</v>
      </c>
      <c r="BG38" s="287">
        <v>0.30001134716165656</v>
      </c>
      <c r="BH38" s="287">
        <v>0.44816990223225167</v>
      </c>
      <c r="BI38" s="287">
        <v>0.61741948423463844</v>
      </c>
      <c r="BJ38" s="287">
        <v>0.76891035020973553</v>
      </c>
      <c r="BK38" s="287">
        <v>0.86530179139878916</v>
      </c>
    </row>
    <row r="39" spans="2:63" x14ac:dyDescent="0.45">
      <c r="B39" s="283">
        <v>3.2166666924288686E-3</v>
      </c>
      <c r="C39" s="283">
        <v>2.2483734191844065E-3</v>
      </c>
      <c r="D39" s="283">
        <v>2.8536506679721343E-3</v>
      </c>
      <c r="E39" s="283">
        <v>4.4149658016892591E-3</v>
      </c>
      <c r="F39" s="283">
        <v>5.5234939649366748E-3</v>
      </c>
      <c r="G39" s="283">
        <v>6.6766861434478034E-3</v>
      </c>
      <c r="H39" s="283">
        <v>8.9735923282821747E-3</v>
      </c>
      <c r="I39" s="283">
        <v>1.2034940918402749E-2</v>
      </c>
      <c r="J39" s="283">
        <v>1.5011314806172269E-2</v>
      </c>
      <c r="K39" s="283">
        <v>1.9601266493372054E-2</v>
      </c>
      <c r="L39" s="283">
        <v>2.6367619890987376E-2</v>
      </c>
      <c r="M39" s="283">
        <v>3.8209281362624359E-2</v>
      </c>
      <c r="N39" s="283">
        <v>6.0754400547264067E-2</v>
      </c>
      <c r="O39" s="283">
        <v>9.8188647816293009E-2</v>
      </c>
      <c r="P39" s="283">
        <v>0.15981890335425189</v>
      </c>
      <c r="Q39" s="283">
        <v>0.25710118439628121</v>
      </c>
      <c r="R39" s="283">
        <v>0.39510460850814055</v>
      </c>
      <c r="S39" s="283">
        <v>0.55863647904766678</v>
      </c>
      <c r="T39" s="283">
        <v>0.71409694461226014</v>
      </c>
      <c r="U39" s="283">
        <v>0.83782378161706883</v>
      </c>
      <c r="W39" s="287">
        <v>2.3281471778053959E-3</v>
      </c>
      <c r="X39" s="287">
        <v>1.6270202730985334E-3</v>
      </c>
      <c r="Y39" s="287">
        <v>2.0074511151537133E-3</v>
      </c>
      <c r="Z39" s="287">
        <v>2.8324396524118671E-3</v>
      </c>
      <c r="AA39" s="287">
        <v>3.6959192477067117E-3</v>
      </c>
      <c r="AB39" s="287">
        <v>4.9327949051344161E-3</v>
      </c>
      <c r="AC39" s="287">
        <v>7.0969135648866321E-3</v>
      </c>
      <c r="AD39" s="287">
        <v>9.82797466276762E-3</v>
      </c>
      <c r="AE39" s="287">
        <v>1.2032797295548492E-2</v>
      </c>
      <c r="AF39" s="287">
        <v>1.5234036050177027E-2</v>
      </c>
      <c r="AG39" s="287">
        <v>2.0455400879503982E-2</v>
      </c>
      <c r="AH39" s="287">
        <v>3.0102108538073751E-2</v>
      </c>
      <c r="AI39" s="287">
        <v>4.9302825611570532E-2</v>
      </c>
      <c r="AJ39" s="287">
        <v>8.3096844619311105E-2</v>
      </c>
      <c r="AK39" s="287">
        <v>0.13984424183829475</v>
      </c>
      <c r="AL39" s="287">
        <v>0.23217374846138508</v>
      </c>
      <c r="AM39" s="287">
        <v>0.36639877441676633</v>
      </c>
      <c r="AN39" s="287">
        <v>0.52800991033985567</v>
      </c>
      <c r="AO39" s="287">
        <v>0.68731174158753849</v>
      </c>
      <c r="AP39" s="287">
        <v>0.82721914951491526</v>
      </c>
      <c r="AR39" s="287">
        <v>4.0765994898853712E-3</v>
      </c>
      <c r="AS39" s="287">
        <v>2.8517372602493126E-3</v>
      </c>
      <c r="AT39" s="287">
        <v>3.6766100523312217E-3</v>
      </c>
      <c r="AU39" s="287">
        <v>5.9583814839402989E-3</v>
      </c>
      <c r="AV39" s="287">
        <v>7.3137650191825868E-3</v>
      </c>
      <c r="AW39" s="287">
        <v>8.393588913594683E-3</v>
      </c>
      <c r="AX39" s="287">
        <v>1.0830798045386277E-2</v>
      </c>
      <c r="AY39" s="287">
        <v>1.423008154584198E-2</v>
      </c>
      <c r="AZ39" s="287">
        <v>1.7990620303488383E-2</v>
      </c>
      <c r="BA39" s="287">
        <v>2.4002218524681058E-2</v>
      </c>
      <c r="BB39" s="287">
        <v>3.2392901518016222E-2</v>
      </c>
      <c r="BC39" s="287">
        <v>4.6615097362876876E-2</v>
      </c>
      <c r="BD39" s="287">
        <v>7.2883179258121669E-2</v>
      </c>
      <c r="BE39" s="287">
        <v>0.11450990017703354</v>
      </c>
      <c r="BF39" s="287">
        <v>0.18218564617393904</v>
      </c>
      <c r="BG39" s="287">
        <v>0.28696907940574051</v>
      </c>
      <c r="BH39" s="287">
        <v>0.43331917556508059</v>
      </c>
      <c r="BI39" s="287">
        <v>0.60369920581901382</v>
      </c>
      <c r="BJ39" s="287">
        <v>0.75918108324366085</v>
      </c>
      <c r="BK39" s="287">
        <v>0.86251002575034819</v>
      </c>
    </row>
    <row r="40" spans="2:63" x14ac:dyDescent="0.45">
      <c r="B40" s="283">
        <v>2.8907720197118769E-3</v>
      </c>
      <c r="C40" s="283">
        <v>2.0386790765570682E-3</v>
      </c>
      <c r="D40" s="283">
        <v>2.6454985780828993E-3</v>
      </c>
      <c r="E40" s="283">
        <v>4.1421845545555995E-3</v>
      </c>
      <c r="F40" s="283">
        <v>5.186842093075991E-3</v>
      </c>
      <c r="G40" s="283">
        <v>6.2676003297249495E-3</v>
      </c>
      <c r="H40" s="283">
        <v>8.4027608380518454E-3</v>
      </c>
      <c r="I40" s="283">
        <v>1.1255704520350652E-2</v>
      </c>
      <c r="J40" s="283">
        <v>1.4042399504689234E-2</v>
      </c>
      <c r="K40" s="283">
        <v>1.8348045014711711E-2</v>
      </c>
      <c r="L40" s="283">
        <v>2.4680659777519352E-2</v>
      </c>
      <c r="M40" s="283">
        <v>3.5751995639089929E-2</v>
      </c>
      <c r="N40" s="283">
        <v>5.6914121230033823E-2</v>
      </c>
      <c r="O40" s="283">
        <v>9.2171928780361692E-2</v>
      </c>
      <c r="P40" s="283">
        <v>0.1508781886326922</v>
      </c>
      <c r="Q40" s="283">
        <v>0.24500114769906225</v>
      </c>
      <c r="R40" s="283">
        <v>0.38076318906937251</v>
      </c>
      <c r="S40" s="283">
        <v>0.54373810312805848</v>
      </c>
      <c r="T40" s="283">
        <v>0.70190642604307507</v>
      </c>
      <c r="U40" s="283">
        <v>0.83196057979354743</v>
      </c>
      <c r="W40" s="287">
        <v>2.1289403702992446E-3</v>
      </c>
      <c r="X40" s="287">
        <v>1.4876126647827064E-3</v>
      </c>
      <c r="Y40" s="287">
        <v>1.8692590221031909E-3</v>
      </c>
      <c r="Z40" s="287">
        <v>2.6710903497550679E-3</v>
      </c>
      <c r="AA40" s="287">
        <v>3.4817171864961797E-3</v>
      </c>
      <c r="AB40" s="287">
        <v>4.6369844240284593E-3</v>
      </c>
      <c r="AC40" s="287">
        <v>6.6431771705622736E-3</v>
      </c>
      <c r="AD40" s="287">
        <v>9.1948126605573572E-3</v>
      </c>
      <c r="AE40" s="287">
        <v>1.1258989921330561E-2</v>
      </c>
      <c r="AF40" s="287">
        <v>1.4259921182344665E-2</v>
      </c>
      <c r="AG40" s="287">
        <v>1.9141403852873606E-2</v>
      </c>
      <c r="AH40" s="287">
        <v>2.8129138135512748E-2</v>
      </c>
      <c r="AI40" s="287">
        <v>4.6101014774081191E-2</v>
      </c>
      <c r="AJ40" s="287">
        <v>7.7915084152254538E-2</v>
      </c>
      <c r="AK40" s="287">
        <v>0.13183158368655698</v>
      </c>
      <c r="AL40" s="287">
        <v>0.22072025415430088</v>
      </c>
      <c r="AM40" s="287">
        <v>0.35208979956130737</v>
      </c>
      <c r="AN40" s="287">
        <v>0.5133510130020722</v>
      </c>
      <c r="AO40" s="287">
        <v>0.67535904063236629</v>
      </c>
      <c r="AP40" s="287">
        <v>0.82026212319790304</v>
      </c>
      <c r="AR40" s="287">
        <v>3.6274220436437357E-3</v>
      </c>
      <c r="AS40" s="287">
        <v>2.5722074793272246E-3</v>
      </c>
      <c r="AT40" s="287">
        <v>3.3991847088001167E-3</v>
      </c>
      <c r="AU40" s="287">
        <v>5.5748511932641022E-3</v>
      </c>
      <c r="AV40" s="287">
        <v>6.8547294498076212E-3</v>
      </c>
      <c r="AW40" s="287">
        <v>7.8709495790989306E-3</v>
      </c>
      <c r="AX40" s="287">
        <v>1.014222595090849E-2</v>
      </c>
      <c r="AY40" s="287">
        <v>1.3302443862314524E-2</v>
      </c>
      <c r="AZ40" s="287">
        <v>1.6822031077160324E-2</v>
      </c>
      <c r="BA40" s="287">
        <v>2.2461734100838036E-2</v>
      </c>
      <c r="BB40" s="287">
        <v>3.0312774984633369E-2</v>
      </c>
      <c r="BC40" s="287">
        <v>4.3616926697966116E-2</v>
      </c>
      <c r="BD40" s="287">
        <v>6.8318644199068065E-2</v>
      </c>
      <c r="BE40" s="287">
        <v>0.10765489610831711</v>
      </c>
      <c r="BF40" s="287">
        <v>0.17220714854995137</v>
      </c>
      <c r="BG40" s="287">
        <v>0.27359748114979882</v>
      </c>
      <c r="BH40" s="287">
        <v>0.41775968858119067</v>
      </c>
      <c r="BI40" s="287">
        <v>0.58896797721744742</v>
      </c>
      <c r="BJ40" s="287">
        <v>0.74842740198190438</v>
      </c>
      <c r="BK40" s="287">
        <v>0.85752749770852432</v>
      </c>
    </row>
    <row r="41" spans="2:63" x14ac:dyDescent="0.45">
      <c r="B41" s="283">
        <v>2.6107945243819802E-3</v>
      </c>
      <c r="C41" s="283">
        <v>1.8537372948968798E-3</v>
      </c>
      <c r="D41" s="283">
        <v>2.4582496392391304E-3</v>
      </c>
      <c r="E41" s="283">
        <v>3.8862799365082172E-3</v>
      </c>
      <c r="F41" s="283">
        <v>4.8640081333268031E-3</v>
      </c>
      <c r="G41" s="283">
        <v>5.8630351539002597E-3</v>
      </c>
      <c r="H41" s="283">
        <v>7.8372009665706507E-3</v>
      </c>
      <c r="I41" s="283">
        <v>1.0497227091331216E-2</v>
      </c>
      <c r="J41" s="283">
        <v>1.3105664032046986E-2</v>
      </c>
      <c r="K41" s="283">
        <v>1.7142624566463167E-2</v>
      </c>
      <c r="L41" s="283">
        <v>2.3064619993992924E-2</v>
      </c>
      <c r="M41" s="283">
        <v>3.3393358852676407E-2</v>
      </c>
      <c r="N41" s="283">
        <v>5.3232731249012573E-2</v>
      </c>
      <c r="O41" s="283">
        <v>8.6462279147931115E-2</v>
      </c>
      <c r="P41" s="283">
        <v>0.14220569359782154</v>
      </c>
      <c r="Q41" s="283">
        <v>0.23296438695874572</v>
      </c>
      <c r="R41" s="283">
        <v>0.36637230609286831</v>
      </c>
      <c r="S41" s="283">
        <v>0.52961241204816711</v>
      </c>
      <c r="T41" s="283">
        <v>0.69007403653970667</v>
      </c>
      <c r="U41" s="283">
        <v>0.82486346689072099</v>
      </c>
      <c r="W41" s="287">
        <v>1.9603404534028093E-3</v>
      </c>
      <c r="X41" s="287">
        <v>1.3684237134710517E-3</v>
      </c>
      <c r="Y41" s="287">
        <v>1.7518982931090433E-3</v>
      </c>
      <c r="Z41" s="287">
        <v>2.5243900163815572E-3</v>
      </c>
      <c r="AA41" s="287">
        <v>3.2801853696763734E-3</v>
      </c>
      <c r="AB41" s="287">
        <v>4.353933640261899E-3</v>
      </c>
      <c r="AC41" s="287">
        <v>6.2091517815976239E-3</v>
      </c>
      <c r="AD41" s="287">
        <v>8.6022504740090721E-3</v>
      </c>
      <c r="AE41" s="287">
        <v>1.054697402372843E-2</v>
      </c>
      <c r="AF41" s="287">
        <v>1.3367363667405256E-2</v>
      </c>
      <c r="AG41" s="287">
        <v>1.7938549690632972E-2</v>
      </c>
      <c r="AH41" s="287">
        <v>2.6326702808139722E-2</v>
      </c>
      <c r="AI41" s="287">
        <v>4.3169131678667497E-2</v>
      </c>
      <c r="AJ41" s="287">
        <v>7.3174060239172167E-2</v>
      </c>
      <c r="AK41" s="287">
        <v>0.12444006335361857</v>
      </c>
      <c r="AL41" s="287">
        <v>0.21003818272370098</v>
      </c>
      <c r="AM41" s="287">
        <v>0.33857025695726767</v>
      </c>
      <c r="AN41" s="287">
        <v>0.4992403793551512</v>
      </c>
      <c r="AO41" s="287">
        <v>0.66363897101001634</v>
      </c>
      <c r="AP41" s="287">
        <v>0.81353188427749168</v>
      </c>
      <c r="AR41" s="287">
        <v>3.2383589682859369E-3</v>
      </c>
      <c r="AS41" s="287">
        <v>2.3231815076898681E-3</v>
      </c>
      <c r="AT41" s="287">
        <v>3.1436636536999111E-3</v>
      </c>
      <c r="AU41" s="287">
        <v>5.2099206911884448E-3</v>
      </c>
      <c r="AV41" s="287">
        <v>6.410955701676652E-3</v>
      </c>
      <c r="AW41" s="287">
        <v>7.3438856742727189E-3</v>
      </c>
      <c r="AX41" s="287">
        <v>9.4433503532016395E-3</v>
      </c>
      <c r="AY41" s="287">
        <v>1.2376459593782288E-2</v>
      </c>
      <c r="AZ41" s="287">
        <v>1.5656827627221773E-2</v>
      </c>
      <c r="BA41" s="287">
        <v>2.0935755615946267E-2</v>
      </c>
      <c r="BB41" s="287">
        <v>2.826590002010829E-2</v>
      </c>
      <c r="BC41" s="287">
        <v>4.06599557122789E-2</v>
      </c>
      <c r="BD41" s="287">
        <v>6.3782997482506848E-2</v>
      </c>
      <c r="BE41" s="287">
        <v>0.10081170281886449</v>
      </c>
      <c r="BF41" s="287">
        <v>0.16214317393435623</v>
      </c>
      <c r="BG41" s="287">
        <v>0.25989006023723527</v>
      </c>
      <c r="BH41" s="287">
        <v>0.40149910232917635</v>
      </c>
      <c r="BI41" s="287">
        <v>0.57322059646795087</v>
      </c>
      <c r="BJ41" s="287">
        <v>0.73666018662519439</v>
      </c>
      <c r="BK41" s="287">
        <v>0.85048809727693098</v>
      </c>
    </row>
    <row r="42" spans="2:63" x14ac:dyDescent="0.45">
      <c r="B42" s="283">
        <v>2.3599086754012739E-3</v>
      </c>
      <c r="C42" s="283">
        <v>1.6836792890845579E-3</v>
      </c>
      <c r="D42" s="283">
        <v>2.2775942844680654E-3</v>
      </c>
      <c r="E42" s="283">
        <v>3.6466143550845718E-3</v>
      </c>
      <c r="F42" s="283">
        <v>4.5622574817617357E-3</v>
      </c>
      <c r="G42" s="283">
        <v>5.4758404416100099E-3</v>
      </c>
      <c r="H42" s="283">
        <v>7.2941012422708595E-3</v>
      </c>
      <c r="I42" s="283">
        <v>9.7638065954632532E-3</v>
      </c>
      <c r="J42" s="283">
        <v>1.2204831772865573E-2</v>
      </c>
      <c r="K42" s="283">
        <v>1.5994423328697268E-2</v>
      </c>
      <c r="L42" s="283">
        <v>2.1525312030061878E-2</v>
      </c>
      <c r="M42" s="283">
        <v>3.1156672159718141E-2</v>
      </c>
      <c r="N42" s="283">
        <v>4.9728606009629271E-2</v>
      </c>
      <c r="O42" s="283">
        <v>8.1009166882744635E-2</v>
      </c>
      <c r="P42" s="283">
        <v>0.13395056817955825</v>
      </c>
      <c r="Q42" s="283">
        <v>0.22121299851197682</v>
      </c>
      <c r="R42" s="283">
        <v>0.35186902925150693</v>
      </c>
      <c r="S42" s="283">
        <v>0.51515031747849316</v>
      </c>
      <c r="T42" s="283">
        <v>0.6787546142339026</v>
      </c>
      <c r="U42" s="283">
        <v>0.8191198510377401</v>
      </c>
      <c r="W42" s="287">
        <v>1.8113629560805244E-3</v>
      </c>
      <c r="X42" s="287">
        <v>1.2593481544232435E-3</v>
      </c>
      <c r="Y42" s="287">
        <v>1.6358142934241049E-3</v>
      </c>
      <c r="Z42" s="287">
        <v>2.3894273320893473E-3</v>
      </c>
      <c r="AA42" s="287">
        <v>3.1031818951729232E-3</v>
      </c>
      <c r="AB42" s="287">
        <v>4.0830299328547372E-3</v>
      </c>
      <c r="AC42" s="287">
        <v>5.7970686164754174E-3</v>
      </c>
      <c r="AD42" s="287">
        <v>8.0295084033868737E-3</v>
      </c>
      <c r="AE42" s="287">
        <v>9.8655275605436642E-3</v>
      </c>
      <c r="AF42" s="287">
        <v>1.252589035035767E-2</v>
      </c>
      <c r="AG42" s="287">
        <v>1.6797032467034567E-2</v>
      </c>
      <c r="AH42" s="287">
        <v>2.4634924887106724E-2</v>
      </c>
      <c r="AI42" s="287">
        <v>4.0417349049447014E-2</v>
      </c>
      <c r="AJ42" s="287">
        <v>6.8682968669400629E-2</v>
      </c>
      <c r="AK42" s="287">
        <v>0.11740955804066966</v>
      </c>
      <c r="AL42" s="287">
        <v>0.19974772111724701</v>
      </c>
      <c r="AM42" s="287">
        <v>0.32532021452822268</v>
      </c>
      <c r="AN42" s="287">
        <v>0.48515057350165003</v>
      </c>
      <c r="AO42" s="287">
        <v>0.6517202525197956</v>
      </c>
      <c r="AP42" s="287">
        <v>0.8075089040332154</v>
      </c>
      <c r="AR42" s="287">
        <v>2.8896871740527051E-3</v>
      </c>
      <c r="AS42" s="287">
        <v>2.0945770088836358E-3</v>
      </c>
      <c r="AT42" s="287">
        <v>2.8996692506567134E-3</v>
      </c>
      <c r="AU42" s="287">
        <v>4.8676161720019274E-3</v>
      </c>
      <c r="AV42" s="287">
        <v>5.9854511976914848E-3</v>
      </c>
      <c r="AW42" s="287">
        <v>6.840726662696214E-3</v>
      </c>
      <c r="AX42" s="287">
        <v>8.7681466852779655E-3</v>
      </c>
      <c r="AY42" s="287">
        <v>1.148024627337413E-2</v>
      </c>
      <c r="AZ42" s="287">
        <v>1.4532645047823211E-2</v>
      </c>
      <c r="BA42" s="287">
        <v>1.9472061152321255E-2</v>
      </c>
      <c r="BB42" s="287">
        <v>2.6311616568179232E-2</v>
      </c>
      <c r="BC42" s="287">
        <v>3.7844847656421751E-2</v>
      </c>
      <c r="BD42" s="287">
        <v>5.9448040691928397E-2</v>
      </c>
      <c r="BE42" s="287">
        <v>9.4217213739041808E-2</v>
      </c>
      <c r="BF42" s="287">
        <v>0.15236052944978271</v>
      </c>
      <c r="BG42" s="287">
        <v>0.24638641883454224</v>
      </c>
      <c r="BH42" s="287">
        <v>0.38514949647934871</v>
      </c>
      <c r="BI42" s="287">
        <v>0.55703914431989576</v>
      </c>
      <c r="BJ42" s="287">
        <v>0.72429913292710058</v>
      </c>
      <c r="BK42" s="287">
        <v>0.84525549600626004</v>
      </c>
    </row>
    <row r="43" spans="2:63" x14ac:dyDescent="0.45">
      <c r="B43" s="283">
        <v>2.1452367612939827E-3</v>
      </c>
      <c r="C43" s="283">
        <v>1.5340479485519923E-3</v>
      </c>
      <c r="D43" s="283">
        <v>2.1194134733760169E-3</v>
      </c>
      <c r="E43" s="283">
        <v>3.4147094284008232E-3</v>
      </c>
      <c r="F43" s="283">
        <v>4.2681303035686999E-3</v>
      </c>
      <c r="G43" s="283">
        <v>5.0987992765602107E-3</v>
      </c>
      <c r="H43" s="283">
        <v>6.7729791218684582E-3</v>
      </c>
      <c r="I43" s="283">
        <v>9.0673473291944997E-3</v>
      </c>
      <c r="J43" s="283">
        <v>1.1348331581502039E-2</v>
      </c>
      <c r="K43" s="283">
        <v>1.4886849081476913E-2</v>
      </c>
      <c r="L43" s="283">
        <v>2.0041630147731318E-2</v>
      </c>
      <c r="M43" s="283">
        <v>2.8971654103153738E-2</v>
      </c>
      <c r="N43" s="283">
        <v>4.6292832083931576E-2</v>
      </c>
      <c r="O43" s="283">
        <v>7.5644164332952485E-2</v>
      </c>
      <c r="P43" s="283">
        <v>0.12578594856321457</v>
      </c>
      <c r="Q43" s="283">
        <v>0.20953657707109255</v>
      </c>
      <c r="R43" s="283">
        <v>0.33703812331389821</v>
      </c>
      <c r="S43" s="283">
        <v>0.4998186356649601</v>
      </c>
      <c r="T43" s="283">
        <v>0.66652242577625342</v>
      </c>
      <c r="U43" s="283">
        <v>0.81092000616419546</v>
      </c>
      <c r="W43" s="287">
        <v>1.6829051052962675E-3</v>
      </c>
      <c r="X43" s="287">
        <v>1.1704731022281157E-3</v>
      </c>
      <c r="Y43" s="287">
        <v>1.5413744116358011E-3</v>
      </c>
      <c r="Z43" s="287">
        <v>2.2557649793716501E-3</v>
      </c>
      <c r="AA43" s="287">
        <v>2.9276994618729012E-3</v>
      </c>
      <c r="AB43" s="287">
        <v>3.8250699991057655E-3</v>
      </c>
      <c r="AC43" s="287">
        <v>5.4163136135539323E-3</v>
      </c>
      <c r="AD43" s="287">
        <v>7.4982050176796867E-3</v>
      </c>
      <c r="AE43" s="287">
        <v>9.2336579951134302E-3</v>
      </c>
      <c r="AF43" s="287">
        <v>1.1734721933965098E-2</v>
      </c>
      <c r="AG43" s="287">
        <v>1.5745863188540841E-2</v>
      </c>
      <c r="AH43" s="287">
        <v>2.3043859017529839E-2</v>
      </c>
      <c r="AI43" s="287">
        <v>3.7826130567391994E-2</v>
      </c>
      <c r="AJ43" s="287">
        <v>6.4451454798309465E-2</v>
      </c>
      <c r="AK43" s="287">
        <v>0.11069856131110355</v>
      </c>
      <c r="AL43" s="287">
        <v>0.18979677304269779</v>
      </c>
      <c r="AM43" s="287">
        <v>0.31228005024429484</v>
      </c>
      <c r="AN43" s="287">
        <v>0.47099988232839479</v>
      </c>
      <c r="AO43" s="287">
        <v>0.6394599200173362</v>
      </c>
      <c r="AP43" s="287">
        <v>0.79837105320175694</v>
      </c>
      <c r="AR43" s="287">
        <v>2.5908203932717326E-3</v>
      </c>
      <c r="AS43" s="287">
        <v>1.8856022866790916E-3</v>
      </c>
      <c r="AT43" s="287">
        <v>2.6785502242680647E-3</v>
      </c>
      <c r="AU43" s="287">
        <v>4.5386433686501887E-3</v>
      </c>
      <c r="AV43" s="287">
        <v>5.572598882723925E-3</v>
      </c>
      <c r="AW43" s="287">
        <v>6.3439535336383933E-3</v>
      </c>
      <c r="AX43" s="287">
        <v>8.1057375437977794E-3</v>
      </c>
      <c r="AY43" s="287">
        <v>1.061680685398827E-2</v>
      </c>
      <c r="AZ43" s="287">
        <v>1.3448194160198492E-2</v>
      </c>
      <c r="BA43" s="287">
        <v>1.8039224469462645E-2</v>
      </c>
      <c r="BB43" s="287">
        <v>2.4379090908460112E-2</v>
      </c>
      <c r="BC43" s="287">
        <v>3.5031883345651417E-2</v>
      </c>
      <c r="BD43" s="287">
        <v>5.5094613402312378E-2</v>
      </c>
      <c r="BE43" s="287">
        <v>8.7563574924541407E-2</v>
      </c>
      <c r="BF43" s="287">
        <v>0.14240714645278479</v>
      </c>
      <c r="BG43" s="287">
        <v>0.23241356813141978</v>
      </c>
      <c r="BH43" s="287">
        <v>0.36787005716675708</v>
      </c>
      <c r="BI43" s="287">
        <v>0.53945991236344626</v>
      </c>
      <c r="BJ43" s="287">
        <v>0.71044254790255823</v>
      </c>
      <c r="BK43" s="287">
        <v>0.8376265431451867</v>
      </c>
    </row>
    <row r="44" spans="2:63" x14ac:dyDescent="0.45">
      <c r="B44" s="283">
        <v>1.9603779223888213E-3</v>
      </c>
      <c r="C44" s="283">
        <v>1.4047687349938603E-3</v>
      </c>
      <c r="D44" s="283">
        <v>1.975455795554323E-3</v>
      </c>
      <c r="E44" s="283">
        <v>3.2119442395728733E-3</v>
      </c>
      <c r="F44" s="283">
        <v>4.0056699864910181E-3</v>
      </c>
      <c r="G44" s="283">
        <v>4.7626948059934582E-3</v>
      </c>
      <c r="H44" s="283">
        <v>6.299512821701614E-3</v>
      </c>
      <c r="I44" s="283">
        <v>8.4221720612844535E-3</v>
      </c>
      <c r="J44" s="283">
        <v>1.0557772611992235E-2</v>
      </c>
      <c r="K44" s="283">
        <v>1.3873693736165125E-2</v>
      </c>
      <c r="L44" s="283">
        <v>1.866326771786482E-2</v>
      </c>
      <c r="M44" s="283">
        <v>2.6957049241363242E-2</v>
      </c>
      <c r="N44" s="283">
        <v>4.3105031701468927E-2</v>
      </c>
      <c r="O44" s="283">
        <v>7.0629603309247863E-2</v>
      </c>
      <c r="P44" s="283">
        <v>0.11807794574366465</v>
      </c>
      <c r="Q44" s="283">
        <v>0.19839265740751857</v>
      </c>
      <c r="R44" s="283">
        <v>0.32272057398782156</v>
      </c>
      <c r="S44" s="283">
        <v>0.4845207257512959</v>
      </c>
      <c r="T44" s="283">
        <v>0.65383505865087521</v>
      </c>
      <c r="U44" s="283">
        <v>0.80523565950622411</v>
      </c>
      <c r="W44" s="287">
        <v>1.5745939229704796E-3</v>
      </c>
      <c r="X44" s="287">
        <v>1.091369127968179E-3</v>
      </c>
      <c r="Y44" s="287">
        <v>1.4464801778045842E-3</v>
      </c>
      <c r="Z44" s="287">
        <v>2.1453711252799102E-3</v>
      </c>
      <c r="AA44" s="287">
        <v>2.7740253357120045E-3</v>
      </c>
      <c r="AB44" s="287">
        <v>3.5985069422480838E-3</v>
      </c>
      <c r="AC44" s="287">
        <v>5.0677684079080782E-3</v>
      </c>
      <c r="AD44" s="287">
        <v>7.0078783086673924E-3</v>
      </c>
      <c r="AE44" s="287">
        <v>8.6526273832459345E-3</v>
      </c>
      <c r="AF44" s="287">
        <v>1.1013604523815576E-2</v>
      </c>
      <c r="AG44" s="287">
        <v>1.4765280768742334E-2</v>
      </c>
      <c r="AH44" s="287">
        <v>2.1583129006714188E-2</v>
      </c>
      <c r="AI44" s="287">
        <v>3.5425423633778409E-2</v>
      </c>
      <c r="AJ44" s="287">
        <v>6.0500634210514749E-2</v>
      </c>
      <c r="AK44" s="287">
        <v>0.10440802061817077</v>
      </c>
      <c r="AL44" s="287">
        <v>0.18033609148586438</v>
      </c>
      <c r="AM44" s="287">
        <v>0.29965984643591126</v>
      </c>
      <c r="AN44" s="287">
        <v>0.45702014461192364</v>
      </c>
      <c r="AO44" s="287">
        <v>0.62707861346014371</v>
      </c>
      <c r="AP44" s="287">
        <v>0.79249509941192942</v>
      </c>
      <c r="AR44" s="287">
        <v>2.3327283644926922E-3</v>
      </c>
      <c r="AS44" s="287">
        <v>1.7070931734152518E-3</v>
      </c>
      <c r="AT44" s="287">
        <v>2.4870558143371769E-3</v>
      </c>
      <c r="AU44" s="287">
        <v>4.2447817061635031E-3</v>
      </c>
      <c r="AV44" s="287">
        <v>5.202957341023811E-3</v>
      </c>
      <c r="AW44" s="287">
        <v>5.899521654815696E-3</v>
      </c>
      <c r="AX44" s="287">
        <v>7.5077937341904381E-3</v>
      </c>
      <c r="AY44" s="287">
        <v>9.8147965900144268E-3</v>
      </c>
      <c r="AZ44" s="287">
        <v>1.2445456178278082E-2</v>
      </c>
      <c r="BA44" s="287">
        <v>1.6726062189910514E-2</v>
      </c>
      <c r="BB44" s="287">
        <v>2.258681571583292E-2</v>
      </c>
      <c r="BC44" s="287">
        <v>3.2429979016404903E-2</v>
      </c>
      <c r="BD44" s="287">
        <v>5.1052339763228573E-2</v>
      </c>
      <c r="BE44" s="287">
        <v>8.1351022856421304E-2</v>
      </c>
      <c r="BF44" s="287">
        <v>0.13300431392049569</v>
      </c>
      <c r="BG44" s="287">
        <v>0.2190209888443255</v>
      </c>
      <c r="BH44" s="287">
        <v>0.35093009745169801</v>
      </c>
      <c r="BI44" s="287">
        <v>0.5217797139307262</v>
      </c>
      <c r="BJ44" s="287">
        <v>0.69611060082046861</v>
      </c>
      <c r="BK44" s="287">
        <v>0.83098125004313106</v>
      </c>
    </row>
    <row r="45" spans="2:63" x14ac:dyDescent="0.45">
      <c r="B45" s="283">
        <v>1.7910861595269727E-3</v>
      </c>
      <c r="C45" s="283">
        <v>1.280420014479285E-3</v>
      </c>
      <c r="D45" s="283">
        <v>1.8426848986466033E-3</v>
      </c>
      <c r="E45" s="283">
        <v>3.0180810942886088E-3</v>
      </c>
      <c r="F45" s="283">
        <v>3.7567364821393151E-3</v>
      </c>
      <c r="G45" s="283">
        <v>4.4484207655230736E-3</v>
      </c>
      <c r="H45" s="283">
        <v>5.8524923708300324E-3</v>
      </c>
      <c r="I45" s="283">
        <v>7.8234054274776872E-3</v>
      </c>
      <c r="J45" s="283">
        <v>9.8033030617513551E-3</v>
      </c>
      <c r="K45" s="283">
        <v>1.2895817786435421E-2</v>
      </c>
      <c r="L45" s="283">
        <v>1.7343908668492534E-2</v>
      </c>
      <c r="M45" s="283">
        <v>2.5015841340019555E-2</v>
      </c>
      <c r="N45" s="283">
        <v>4.0035535105702999E-2</v>
      </c>
      <c r="O45" s="283">
        <v>6.5791845251999645E-2</v>
      </c>
      <c r="P45" s="283">
        <v>0.11058218597832738</v>
      </c>
      <c r="Q45" s="283">
        <v>0.18741400503668568</v>
      </c>
      <c r="R45" s="283">
        <v>0.30841570426127307</v>
      </c>
      <c r="S45" s="283">
        <v>0.46906967098324137</v>
      </c>
      <c r="T45" s="283">
        <v>0.64061018050732488</v>
      </c>
      <c r="U45" s="283">
        <v>0.79617917594673204</v>
      </c>
      <c r="W45" s="287">
        <v>1.4762001038796837E-3</v>
      </c>
      <c r="X45" s="287">
        <v>1.0129090408849664E-3</v>
      </c>
      <c r="Y45" s="287">
        <v>1.3726121615916225E-3</v>
      </c>
      <c r="Z45" s="287">
        <v>2.0442024953505281E-3</v>
      </c>
      <c r="AA45" s="287">
        <v>2.6325749343962083E-3</v>
      </c>
      <c r="AB45" s="287">
        <v>3.3926671983142767E-3</v>
      </c>
      <c r="AC45" s="287">
        <v>4.7498340620566078E-3</v>
      </c>
      <c r="AD45" s="287">
        <v>6.5683343024012485E-3</v>
      </c>
      <c r="AE45" s="287">
        <v>8.112058351894184E-3</v>
      </c>
      <c r="AF45" s="287">
        <v>1.034297159129882E-2</v>
      </c>
      <c r="AG45" s="287">
        <v>1.3854453892937983E-2</v>
      </c>
      <c r="AH45" s="287">
        <v>2.0222452787822025E-2</v>
      </c>
      <c r="AI45" s="287">
        <v>3.3205067205899816E-2</v>
      </c>
      <c r="AJ45" s="287">
        <v>5.6840211329153636E-2</v>
      </c>
      <c r="AK45" s="287">
        <v>9.8527201453185373E-2</v>
      </c>
      <c r="AL45" s="287">
        <v>0.17141518277144074</v>
      </c>
      <c r="AM45" s="287">
        <v>0.28757008886444574</v>
      </c>
      <c r="AN45" s="287">
        <v>0.44334036341567773</v>
      </c>
      <c r="AO45" s="287">
        <v>0.61469959916419148</v>
      </c>
      <c r="AP45" s="287">
        <v>0.7833009611408378</v>
      </c>
      <c r="AR45" s="287">
        <v>2.0942855280787626E-3</v>
      </c>
      <c r="AS45" s="287">
        <v>1.5388386856809834E-3</v>
      </c>
      <c r="AT45" s="287">
        <v>2.2968642046062361E-3</v>
      </c>
      <c r="AU45" s="287">
        <v>3.9603411777273494E-3</v>
      </c>
      <c r="AV45" s="287">
        <v>4.8482941797299709E-3</v>
      </c>
      <c r="AW45" s="287">
        <v>5.4769153461233042E-3</v>
      </c>
      <c r="AX45" s="287">
        <v>6.9311295212954108E-3</v>
      </c>
      <c r="AY45" s="287">
        <v>9.0560318651592385E-3</v>
      </c>
      <c r="AZ45" s="287">
        <v>1.1474303396254291E-2</v>
      </c>
      <c r="BA45" s="287">
        <v>1.54341391336886E-2</v>
      </c>
      <c r="BB45" s="287">
        <v>2.0844512557219849E-2</v>
      </c>
      <c r="BC45" s="287">
        <v>2.9878535597446593E-2</v>
      </c>
      <c r="BD45" s="287">
        <v>4.7071061659673952E-2</v>
      </c>
      <c r="BE45" s="287">
        <v>7.5209320900232426E-2</v>
      </c>
      <c r="BF45" s="287">
        <v>0.12363221525438597</v>
      </c>
      <c r="BG45" s="287">
        <v>0.20545862047782454</v>
      </c>
      <c r="BH45" s="287">
        <v>0.3334099545160647</v>
      </c>
      <c r="BI45" s="287">
        <v>0.50302972709818361</v>
      </c>
      <c r="BJ45" s="287">
        <v>0.6804687827833229</v>
      </c>
      <c r="BK45" s="287">
        <v>0.82114915494737251</v>
      </c>
    </row>
    <row r="48" spans="2:63" x14ac:dyDescent="0.45">
      <c r="D48" t="s">
        <v>2103</v>
      </c>
      <c r="E48" t="s">
        <v>2102</v>
      </c>
      <c r="F48" t="s">
        <v>414</v>
      </c>
      <c r="H48" t="s">
        <v>2105</v>
      </c>
      <c r="I48" t="s">
        <v>2106</v>
      </c>
      <c r="J48" t="s">
        <v>2107</v>
      </c>
      <c r="L48" t="s">
        <v>2108</v>
      </c>
      <c r="M48" t="s">
        <v>2107</v>
      </c>
      <c r="Y48" t="s">
        <v>2103</v>
      </c>
      <c r="Z48" t="s">
        <v>2102</v>
      </c>
      <c r="AA48" t="s">
        <v>414</v>
      </c>
      <c r="AC48" t="s">
        <v>2105</v>
      </c>
      <c r="AD48" t="s">
        <v>2106</v>
      </c>
      <c r="AE48" t="s">
        <v>2107</v>
      </c>
      <c r="AG48" t="s">
        <v>2108</v>
      </c>
      <c r="AH48" t="s">
        <v>2107</v>
      </c>
      <c r="AT48" t="s">
        <v>2103</v>
      </c>
      <c r="AU48" t="s">
        <v>2102</v>
      </c>
      <c r="AV48" t="s">
        <v>414</v>
      </c>
      <c r="AX48" t="s">
        <v>2105</v>
      </c>
      <c r="AY48" t="s">
        <v>2106</v>
      </c>
      <c r="AZ48" t="s">
        <v>2107</v>
      </c>
      <c r="BB48" t="s">
        <v>2108</v>
      </c>
      <c r="BC48" t="s">
        <v>2107</v>
      </c>
    </row>
    <row r="49" spans="4:55" x14ac:dyDescent="0.45">
      <c r="D49" s="68">
        <f>AVERAGE(H30:J30)</f>
        <v>2.375250268143814E-2</v>
      </c>
      <c r="E49" s="68">
        <f>AVERAGE(K30:L30)</f>
        <v>4.0960349947387273E-2</v>
      </c>
      <c r="F49" s="89">
        <f>E49/D49</f>
        <v>1.7244645962884806</v>
      </c>
      <c r="H49" s="284">
        <f>AVERAGE(M30:O30)</f>
        <v>0.10764681694590239</v>
      </c>
      <c r="I49" s="89">
        <f>H49/D49</f>
        <v>4.532019989204132</v>
      </c>
      <c r="J49" s="89">
        <f>H49/E49</f>
        <v>2.6280736635349187</v>
      </c>
      <c r="K49" s="89"/>
      <c r="L49" s="284">
        <f>AVERAGE(P30:R30)</f>
        <v>0.37752158653492329</v>
      </c>
      <c r="M49" s="89">
        <f>L49/E49</f>
        <v>9.2167568641342665</v>
      </c>
      <c r="N49" s="89"/>
      <c r="O49" s="89"/>
      <c r="P49" s="89"/>
      <c r="Q49" s="89"/>
      <c r="R49" s="89"/>
      <c r="S49" s="89"/>
      <c r="T49" s="89"/>
      <c r="U49" s="89"/>
      <c r="Y49" s="68">
        <f>AVERAGE(AC30:AE30)</f>
        <v>2.1074839460496337E-2</v>
      </c>
      <c r="Z49" s="68">
        <f>AVERAGE(AF30:AG30)</f>
        <v>3.472618702950446E-2</v>
      </c>
      <c r="AA49" s="89">
        <f>Z49/Y49</f>
        <v>1.6477557086305139</v>
      </c>
      <c r="AC49" s="284">
        <f>AVERAGE(AH30:AJ30)</f>
        <v>9.6389246484749072E-2</v>
      </c>
      <c r="AD49" s="89">
        <f>AC49/Y49</f>
        <v>4.5736645664810673</v>
      </c>
      <c r="AE49" s="89">
        <f>AC49/Z49</f>
        <v>2.7756933521913516</v>
      </c>
      <c r="AF49" s="89"/>
      <c r="AG49" s="284">
        <f>AVERAGE(AK30:AM30)</f>
        <v>0.36064436807958861</v>
      </c>
      <c r="AH49" s="89">
        <f>AG49/Z49</f>
        <v>10.385371931942133</v>
      </c>
      <c r="AT49" s="68">
        <f>AVERAGE(AX30:AZ30)</f>
        <v>2.6473373135496761E-2</v>
      </c>
      <c r="AU49" s="68">
        <f>AVERAGE(BA30:BB30)</f>
        <v>4.7351739596682166E-2</v>
      </c>
      <c r="AV49" s="89">
        <f>AU49/AT49</f>
        <v>1.7886553162048964</v>
      </c>
      <c r="AX49" s="284">
        <f>AVERAGE(BC30:BE30)</f>
        <v>0.12055209397649187</v>
      </c>
      <c r="AY49" s="89">
        <f>AX49/AT49</f>
        <v>4.5537111330497542</v>
      </c>
      <c r="AZ49" s="89">
        <f>AX49/AU49</f>
        <v>2.5458852199157369</v>
      </c>
      <c r="BA49" s="89"/>
      <c r="BB49" s="284">
        <f>AVERAGE(BF30:BH30)</f>
        <v>0.39766815526706373</v>
      </c>
      <c r="BC49" s="89">
        <f>BB49/AU49</f>
        <v>8.3981741463818889</v>
      </c>
    </row>
    <row r="50" spans="4:55" x14ac:dyDescent="0.45">
      <c r="D50" s="68">
        <f t="shared" ref="D50:D64" si="0">AVERAGE(H31:J31)</f>
        <v>2.131852779832194E-2</v>
      </c>
      <c r="E50" s="68">
        <f t="shared" ref="E50:E64" si="1">AVERAGE(K31:L31)</f>
        <v>3.8395298328760506E-2</v>
      </c>
      <c r="F50" s="288">
        <f t="shared" ref="F50:F64" si="2">E50/D50</f>
        <v>1.8010295406882055</v>
      </c>
      <c r="H50" s="289">
        <f t="shared" ref="H50:H64" si="3">AVERAGE(M31:O31)</f>
        <v>0.10335238501035175</v>
      </c>
      <c r="I50" s="288">
        <f t="shared" ref="I50:I64" si="4">H50/D50</f>
        <v>4.8480076104733181</v>
      </c>
      <c r="J50" s="288">
        <f t="shared" ref="J50:J64" si="5">H50/E50</f>
        <v>2.691797941648868</v>
      </c>
      <c r="K50" s="288"/>
      <c r="L50" s="289">
        <f t="shared" ref="L50:L64" si="6">AVERAGE(P31:R31)</f>
        <v>0.36818841344978132</v>
      </c>
      <c r="M50" s="288">
        <f t="shared" ref="M50:M64" si="7">L50/E50</f>
        <v>9.5894140552616811</v>
      </c>
      <c r="N50" s="89"/>
      <c r="O50" s="89"/>
      <c r="P50" s="89"/>
      <c r="Q50" s="89"/>
      <c r="R50" s="89"/>
      <c r="S50" s="89"/>
      <c r="T50" s="89"/>
      <c r="U50" s="89"/>
      <c r="Y50" s="68">
        <f t="shared" ref="Y50:Y64" si="8">AVERAGE(AC31:AE31)</f>
        <v>1.8594735853901825E-2</v>
      </c>
      <c r="Z50" s="68">
        <f t="shared" ref="Z50:Z64" si="9">AVERAGE(AF31:AG31)</f>
        <v>3.2151683677433859E-2</v>
      </c>
      <c r="AA50" s="285">
        <f t="shared" ref="AA50:AA64" si="10">Z50/Y50</f>
        <v>1.729074504206378</v>
      </c>
      <c r="AC50" s="284">
        <f t="shared" ref="AC50:AC64" si="11">AVERAGE(AH31:AJ31)</f>
        <v>9.2008913933476655E-2</v>
      </c>
      <c r="AD50" s="285">
        <f t="shared" ref="AD50:AD64" si="12">AC50/Y50</f>
        <v>4.9481162118347584</v>
      </c>
      <c r="AE50" s="285">
        <f t="shared" ref="AE50:AE64" si="13">AC50/Z50</f>
        <v>2.8617137085749103</v>
      </c>
      <c r="AF50" s="89"/>
      <c r="AG50" s="284">
        <f t="shared" ref="AG50:AG64" si="14">AVERAGE(AK31:AM31)</f>
        <v>0.35067893689749591</v>
      </c>
      <c r="AH50" s="285">
        <f t="shared" ref="AH50:AH64" si="15">AG50/Z50</f>
        <v>10.907016267506549</v>
      </c>
      <c r="AT50" s="68">
        <f t="shared" ref="AT50:AT64" si="16">AVERAGE(AX31:AZ31)</f>
        <v>2.4076160771797087E-2</v>
      </c>
      <c r="AU50" s="68">
        <f t="shared" ref="AU50:AU64" si="17">AVERAGE(BA31:BB31)</f>
        <v>4.4679179133001477E-2</v>
      </c>
      <c r="AV50" s="285">
        <f t="shared" ref="AV50:AV64" si="18">AU50/AT50</f>
        <v>1.8557435114546523</v>
      </c>
      <c r="AX50" s="284">
        <f t="shared" ref="AX50:AX64" si="19">AVERAGE(BC31:BE31)</f>
        <v>0.11645154100793594</v>
      </c>
      <c r="AY50" s="285">
        <f t="shared" ref="AY50:AY64" si="20">AX50/AT50</f>
        <v>4.8367986121918465</v>
      </c>
      <c r="AZ50" s="285">
        <f t="shared" ref="AZ50:AZ64" si="21">AX50/AU50</f>
        <v>2.60639392369501</v>
      </c>
      <c r="BA50" s="89"/>
      <c r="BB50" s="284">
        <f t="shared" ref="BB50:BB64" si="22">AVERAGE(BF31:BH31)</f>
        <v>0.38968531398564271</v>
      </c>
      <c r="BC50" s="285">
        <f t="shared" ref="BC50:BC64" si="23">BB50/AU50</f>
        <v>8.7218548224805819</v>
      </c>
    </row>
    <row r="51" spans="4:55" x14ac:dyDescent="0.45">
      <c r="D51" s="68">
        <f t="shared" si="0"/>
        <v>1.9350419297097035E-2</v>
      </c>
      <c r="E51" s="68">
        <f t="shared" si="1"/>
        <v>3.5846167637224195E-2</v>
      </c>
      <c r="F51" s="288">
        <f t="shared" si="2"/>
        <v>1.852474981903977</v>
      </c>
      <c r="H51" s="289">
        <f t="shared" si="3"/>
        <v>9.8886760286606479E-2</v>
      </c>
      <c r="I51" s="288">
        <f t="shared" si="4"/>
        <v>5.1103161522418041</v>
      </c>
      <c r="J51" s="288">
        <f t="shared" si="5"/>
        <v>2.7586424659778199</v>
      </c>
      <c r="K51" s="288"/>
      <c r="L51" s="289">
        <f t="shared" si="6"/>
        <v>0.35732032480705289</v>
      </c>
      <c r="M51" s="288">
        <f t="shared" si="7"/>
        <v>9.9681597325343141</v>
      </c>
      <c r="N51" s="89"/>
      <c r="O51" s="89"/>
      <c r="P51" s="89"/>
      <c r="Q51" s="89"/>
      <c r="R51" s="89"/>
      <c r="S51" s="89"/>
      <c r="T51" s="89"/>
      <c r="U51" s="89"/>
      <c r="Y51" s="68">
        <f t="shared" si="8"/>
        <v>1.6564273188406007E-2</v>
      </c>
      <c r="Z51" s="68">
        <f t="shared" si="9"/>
        <v>2.9708165428046863E-2</v>
      </c>
      <c r="AA51" s="89">
        <f t="shared" si="10"/>
        <v>1.7935085403469915</v>
      </c>
      <c r="AC51" s="284">
        <f t="shared" si="11"/>
        <v>8.705941657974281E-2</v>
      </c>
      <c r="AD51" s="89">
        <f t="shared" si="12"/>
        <v>5.25585491071707</v>
      </c>
      <c r="AE51" s="89">
        <f t="shared" si="13"/>
        <v>2.9304878078251111</v>
      </c>
      <c r="AF51" s="89"/>
      <c r="AG51" s="284">
        <f t="shared" si="14"/>
        <v>0.33893012892714314</v>
      </c>
      <c r="AH51" s="288">
        <f t="shared" si="15"/>
        <v>11.408652269290457</v>
      </c>
      <c r="AT51" s="68">
        <f t="shared" si="16"/>
        <v>2.2132864823348336E-2</v>
      </c>
      <c r="AU51" s="68">
        <f t="shared" si="17"/>
        <v>4.2223674760553949E-2</v>
      </c>
      <c r="AV51" s="89">
        <f t="shared" si="18"/>
        <v>1.9077365310617844</v>
      </c>
      <c r="AX51" s="284">
        <f t="shared" si="19"/>
        <v>0.11202018810572424</v>
      </c>
      <c r="AY51" s="89">
        <f t="shared" si="20"/>
        <v>5.061260211897749</v>
      </c>
      <c r="AZ51" s="89">
        <f t="shared" si="21"/>
        <v>2.6530184485594641</v>
      </c>
      <c r="BA51" s="89"/>
      <c r="BB51" s="284">
        <f t="shared" si="22"/>
        <v>0.38071201085165113</v>
      </c>
      <c r="BC51" s="288">
        <f t="shared" si="23"/>
        <v>9.0165532254269483</v>
      </c>
    </row>
    <row r="52" spans="4:55" x14ac:dyDescent="0.45">
      <c r="D52" s="68">
        <f t="shared" si="0"/>
        <v>1.7778590761248991E-2</v>
      </c>
      <c r="E52" s="68">
        <f t="shared" si="1"/>
        <v>3.3590577059354962E-2</v>
      </c>
      <c r="F52" s="288">
        <f t="shared" si="2"/>
        <v>1.8893835574735474</v>
      </c>
      <c r="H52" s="289">
        <f t="shared" si="3"/>
        <v>9.4096711971587046E-2</v>
      </c>
      <c r="I52" s="288">
        <f t="shared" si="4"/>
        <v>5.2926980116266824</v>
      </c>
      <c r="J52" s="288">
        <f t="shared" si="5"/>
        <v>2.8012829849667957</v>
      </c>
      <c r="K52" s="288"/>
      <c r="L52" s="289">
        <f t="shared" si="6"/>
        <v>0.34539647916342547</v>
      </c>
      <c r="M52" s="288">
        <f t="shared" si="7"/>
        <v>10.282540801639271</v>
      </c>
      <c r="N52" s="89"/>
      <c r="O52" s="89"/>
      <c r="P52" s="89"/>
      <c r="Q52" s="89"/>
      <c r="R52" s="89"/>
      <c r="S52" s="89"/>
      <c r="T52" s="89"/>
      <c r="U52" s="89"/>
      <c r="Y52" s="68">
        <f t="shared" si="8"/>
        <v>1.4958061858395119E-2</v>
      </c>
      <c r="Z52" s="68">
        <f t="shared" si="9"/>
        <v>2.7452640372023725E-2</v>
      </c>
      <c r="AA52" s="89">
        <f t="shared" si="10"/>
        <v>1.8353073166772673</v>
      </c>
      <c r="AC52" s="284">
        <f t="shared" si="11"/>
        <v>8.1744535652611416E-2</v>
      </c>
      <c r="AD52" s="89">
        <f t="shared" si="12"/>
        <v>5.4649149352683555</v>
      </c>
      <c r="AE52" s="89">
        <f t="shared" si="13"/>
        <v>2.9776565949523439</v>
      </c>
      <c r="AF52" s="89"/>
      <c r="AG52" s="284">
        <f t="shared" si="14"/>
        <v>0.3255788055636239</v>
      </c>
      <c r="AH52" s="89">
        <f t="shared" si="15"/>
        <v>11.85965361260525</v>
      </c>
      <c r="AT52" s="68">
        <f t="shared" si="16"/>
        <v>2.0589349834758963E-2</v>
      </c>
      <c r="AU52" s="68">
        <f t="shared" si="17"/>
        <v>3.9958647325050216E-2</v>
      </c>
      <c r="AV52" s="89">
        <f t="shared" si="18"/>
        <v>1.9407435225366847</v>
      </c>
      <c r="AX52" s="284">
        <f t="shared" si="19"/>
        <v>0.10737150639789805</v>
      </c>
      <c r="AY52" s="89">
        <f t="shared" si="20"/>
        <v>5.2149051456026729</v>
      </c>
      <c r="AZ52" s="89">
        <f t="shared" si="21"/>
        <v>2.6870655936990762</v>
      </c>
      <c r="BA52" s="89"/>
      <c r="BB52" s="284">
        <f t="shared" si="22"/>
        <v>0.37089782379545877</v>
      </c>
      <c r="BC52" s="89">
        <f t="shared" si="23"/>
        <v>9.2820415260388867</v>
      </c>
    </row>
    <row r="53" spans="4:55" x14ac:dyDescent="0.45">
      <c r="D53" s="68">
        <f t="shared" si="0"/>
        <v>1.6512598924920314E-2</v>
      </c>
      <c r="E53" s="68">
        <f t="shared" si="1"/>
        <v>3.158636831902964E-2</v>
      </c>
      <c r="F53" s="288">
        <f t="shared" si="2"/>
        <v>1.9128647442263282</v>
      </c>
      <c r="H53" s="289">
        <f t="shared" si="3"/>
        <v>8.9162337401841762E-2</v>
      </c>
      <c r="I53" s="288">
        <f t="shared" si="4"/>
        <v>5.399655003264245</v>
      </c>
      <c r="J53" s="288">
        <f t="shared" si="5"/>
        <v>2.8228106663381332</v>
      </c>
      <c r="K53" s="288"/>
      <c r="L53" s="289">
        <f t="shared" si="6"/>
        <v>0.33300163464927635</v>
      </c>
      <c r="M53" s="288">
        <f t="shared" si="7"/>
        <v>10.542574292995088</v>
      </c>
      <c r="N53" s="89"/>
      <c r="O53" s="89"/>
      <c r="P53" s="89"/>
      <c r="Q53" s="89"/>
      <c r="R53" s="89"/>
      <c r="S53" s="89"/>
      <c r="T53" s="89"/>
      <c r="U53" s="89"/>
      <c r="Y53" s="68">
        <f t="shared" si="8"/>
        <v>1.3685685654996593E-2</v>
      </c>
      <c r="Z53" s="68">
        <f t="shared" si="9"/>
        <v>2.5409996809343301E-2</v>
      </c>
      <c r="AA53" s="89">
        <f t="shared" si="10"/>
        <v>1.85668423562441</v>
      </c>
      <c r="AC53" s="284">
        <f t="shared" si="11"/>
        <v>7.6464967758162042E-2</v>
      </c>
      <c r="AD53" s="89">
        <f t="shared" si="12"/>
        <v>5.5872222763091868</v>
      </c>
      <c r="AE53" s="89">
        <f t="shared" si="13"/>
        <v>3.0092474364280806</v>
      </c>
      <c r="AF53" s="89"/>
      <c r="AG53" s="284">
        <f t="shared" si="14"/>
        <v>0.31170206475357487</v>
      </c>
      <c r="AH53" s="89">
        <f t="shared" si="15"/>
        <v>12.2669068828439</v>
      </c>
      <c r="AT53" s="68">
        <f t="shared" si="16"/>
        <v>1.9338792908098725E-2</v>
      </c>
      <c r="AU53" s="68">
        <f t="shared" si="17"/>
        <v>3.7868386058559654E-2</v>
      </c>
      <c r="AV53" s="89">
        <f t="shared" si="18"/>
        <v>1.9581566563392425</v>
      </c>
      <c r="AX53" s="284">
        <f t="shared" si="19"/>
        <v>0.1026973621614799</v>
      </c>
      <c r="AY53" s="89">
        <f t="shared" si="20"/>
        <v>5.310432902897066</v>
      </c>
      <c r="AZ53" s="89">
        <f t="shared" si="21"/>
        <v>2.7119550857717769</v>
      </c>
      <c r="BA53" s="89"/>
      <c r="BB53" s="284">
        <f t="shared" si="22"/>
        <v>0.36065176613369898</v>
      </c>
      <c r="BC53" s="89">
        <f t="shared" si="23"/>
        <v>9.5238219441406162</v>
      </c>
    </row>
    <row r="54" spans="4:55" x14ac:dyDescent="0.45">
      <c r="D54" s="68">
        <f t="shared" si="0"/>
        <v>1.5428804213625446E-2</v>
      </c>
      <c r="E54" s="68">
        <f t="shared" si="1"/>
        <v>2.965203793318013E-2</v>
      </c>
      <c r="F54" s="89">
        <f t="shared" si="2"/>
        <v>1.9218623506152148</v>
      </c>
      <c r="H54" s="284">
        <f t="shared" si="3"/>
        <v>8.3994050339592286E-2</v>
      </c>
      <c r="I54" s="89">
        <f t="shared" si="4"/>
        <v>5.4439766800213638</v>
      </c>
      <c r="J54" s="89">
        <f t="shared" si="5"/>
        <v>2.8326569164949151</v>
      </c>
      <c r="K54" s="89"/>
      <c r="L54" s="284">
        <f t="shared" si="6"/>
        <v>0.3205987003177711</v>
      </c>
      <c r="M54" s="89">
        <f t="shared" si="7"/>
        <v>10.812029211625504</v>
      </c>
      <c r="N54" s="89"/>
      <c r="O54" s="89"/>
      <c r="P54" s="89"/>
      <c r="Q54" s="89"/>
      <c r="R54" s="89"/>
      <c r="S54" s="89"/>
      <c r="T54" s="89"/>
      <c r="U54" s="89"/>
      <c r="Y54" s="68">
        <f t="shared" si="8"/>
        <v>1.2645969129993384E-2</v>
      </c>
      <c r="Z54" s="68">
        <f t="shared" si="9"/>
        <v>2.3565722669816377E-2</v>
      </c>
      <c r="AA54" s="89">
        <f t="shared" si="10"/>
        <v>1.8634967733650245</v>
      </c>
      <c r="AC54" s="284">
        <f t="shared" si="11"/>
        <v>7.1311821784834709E-2</v>
      </c>
      <c r="AD54" s="89">
        <f t="shared" si="12"/>
        <v>5.6390950390428491</v>
      </c>
      <c r="AE54" s="89">
        <f t="shared" si="13"/>
        <v>3.0260825345353335</v>
      </c>
      <c r="AF54" s="89"/>
      <c r="AG54" s="284">
        <f t="shared" si="14"/>
        <v>0.29754961125378215</v>
      </c>
      <c r="AH54" s="89">
        <f t="shared" si="15"/>
        <v>12.626373288984336</v>
      </c>
      <c r="AT54" s="68">
        <f t="shared" si="16"/>
        <v>1.8216338758010733E-2</v>
      </c>
      <c r="AU54" s="68">
        <f t="shared" si="17"/>
        <v>3.5810931712463356E-2</v>
      </c>
      <c r="AV54" s="89">
        <f t="shared" si="18"/>
        <v>1.9658687834137532</v>
      </c>
      <c r="AX54" s="284">
        <f t="shared" si="19"/>
        <v>9.7757136263317987E-2</v>
      </c>
      <c r="AY54" s="89">
        <f t="shared" si="20"/>
        <v>5.3664535756576637</v>
      </c>
      <c r="AZ54" s="89">
        <f t="shared" si="21"/>
        <v>2.7298127021167495</v>
      </c>
      <c r="BA54" s="89"/>
      <c r="BB54" s="284">
        <f t="shared" si="22"/>
        <v>0.3494802919231137</v>
      </c>
      <c r="BC54" s="89">
        <f t="shared" si="23"/>
        <v>9.7590393550549059</v>
      </c>
    </row>
    <row r="55" spans="4:55" x14ac:dyDescent="0.45">
      <c r="D55" s="68">
        <f t="shared" si="0"/>
        <v>1.4508999449515912E-2</v>
      </c>
      <c r="E55" s="68">
        <f t="shared" si="1"/>
        <v>2.7846722495387166E-2</v>
      </c>
      <c r="F55" s="89">
        <f t="shared" si="2"/>
        <v>1.9192724206986074</v>
      </c>
      <c r="H55" s="284">
        <f t="shared" si="3"/>
        <v>7.913516646011938E-2</v>
      </c>
      <c r="I55" s="89">
        <f t="shared" si="4"/>
        <v>5.4542125206820993</v>
      </c>
      <c r="J55" s="89">
        <f t="shared" si="5"/>
        <v>2.8418125857801826</v>
      </c>
      <c r="K55" s="89"/>
      <c r="L55" s="284">
        <f t="shared" si="6"/>
        <v>0.30815808085879615</v>
      </c>
      <c r="M55" s="89">
        <f t="shared" si="7"/>
        <v>11.066224433049268</v>
      </c>
      <c r="N55" s="89"/>
      <c r="O55" s="89"/>
      <c r="P55" s="89"/>
      <c r="Q55" s="89"/>
      <c r="R55" s="89"/>
      <c r="S55" s="89"/>
      <c r="T55" s="89"/>
      <c r="U55" s="89"/>
      <c r="Y55" s="68">
        <f t="shared" si="8"/>
        <v>1.1787523299832285E-2</v>
      </c>
      <c r="Z55" s="68">
        <f t="shared" si="9"/>
        <v>2.1920300514953736E-2</v>
      </c>
      <c r="AA55" s="89">
        <f t="shared" si="10"/>
        <v>1.8596188493019243</v>
      </c>
      <c r="AC55" s="284">
        <f t="shared" si="11"/>
        <v>6.6442127970597897E-2</v>
      </c>
      <c r="AD55" s="89">
        <f t="shared" si="12"/>
        <v>5.6366487073279634</v>
      </c>
      <c r="AE55" s="89">
        <f t="shared" si="13"/>
        <v>3.0310774218296856</v>
      </c>
      <c r="AF55" s="89"/>
      <c r="AG55" s="284">
        <f t="shared" si="14"/>
        <v>0.28365414031548591</v>
      </c>
      <c r="AH55" s="89">
        <f t="shared" si="15"/>
        <v>12.940248703341492</v>
      </c>
      <c r="AT55" s="68">
        <f t="shared" si="16"/>
        <v>1.7229723375614195E-2</v>
      </c>
      <c r="AU55" s="68">
        <f t="shared" si="17"/>
        <v>3.3876282830040461E-2</v>
      </c>
      <c r="AV55" s="89">
        <f t="shared" si="18"/>
        <v>1.9661536109155819</v>
      </c>
      <c r="AX55" s="284">
        <f t="shared" si="19"/>
        <v>9.2852053097810458E-2</v>
      </c>
      <c r="AY55" s="89">
        <f t="shared" si="20"/>
        <v>5.3890623240781146</v>
      </c>
      <c r="AZ55" s="89">
        <f t="shared" si="21"/>
        <v>2.7409162204618291</v>
      </c>
      <c r="BA55" s="89"/>
      <c r="BB55" s="284">
        <f t="shared" si="22"/>
        <v>0.33807426204691388</v>
      </c>
      <c r="BC55" s="89">
        <f t="shared" si="23"/>
        <v>9.9796740906626233</v>
      </c>
    </row>
    <row r="56" spans="4:55" x14ac:dyDescent="0.45">
      <c r="D56" s="68">
        <f t="shared" si="0"/>
        <v>1.3638860262890018E-2</v>
      </c>
      <c r="E56" s="68">
        <f t="shared" si="1"/>
        <v>2.6123580473979197E-2</v>
      </c>
      <c r="F56" s="89">
        <f t="shared" si="2"/>
        <v>1.9153785558650278</v>
      </c>
      <c r="H56" s="284">
        <f t="shared" si="3"/>
        <v>7.4469672870736012E-2</v>
      </c>
      <c r="I56" s="89">
        <f t="shared" si="4"/>
        <v>5.4601096745129487</v>
      </c>
      <c r="J56" s="89">
        <f t="shared" si="5"/>
        <v>2.8506686878130165</v>
      </c>
      <c r="K56" s="89"/>
      <c r="L56" s="284">
        <f t="shared" si="6"/>
        <v>0.29539574699463539</v>
      </c>
      <c r="M56" s="89">
        <f t="shared" si="7"/>
        <v>11.307628649482753</v>
      </c>
      <c r="N56" s="89"/>
      <c r="O56" s="89"/>
      <c r="P56" s="89"/>
      <c r="Q56" s="89"/>
      <c r="R56" s="89"/>
      <c r="S56" s="89"/>
      <c r="T56" s="89"/>
      <c r="U56" s="89"/>
      <c r="Y56" s="68">
        <f t="shared" si="8"/>
        <v>1.1017577469925524E-2</v>
      </c>
      <c r="Z56" s="68">
        <f t="shared" si="9"/>
        <v>2.0430007221774772E-2</v>
      </c>
      <c r="AA56" s="89">
        <f t="shared" si="10"/>
        <v>1.8543102853183635</v>
      </c>
      <c r="AC56" s="284">
        <f t="shared" si="11"/>
        <v>6.1961520916861725E-2</v>
      </c>
      <c r="AD56" s="89">
        <f t="shared" si="12"/>
        <v>5.6238788505002058</v>
      </c>
      <c r="AE56" s="89">
        <f t="shared" si="13"/>
        <v>3.0328682826319175</v>
      </c>
      <c r="AF56" s="89"/>
      <c r="AG56" s="284">
        <f t="shared" si="14"/>
        <v>0.27040494333536325</v>
      </c>
      <c r="AH56" s="89">
        <f t="shared" si="15"/>
        <v>13.235675367121722</v>
      </c>
      <c r="AT56" s="68">
        <f t="shared" si="16"/>
        <v>1.6253701265205808E-2</v>
      </c>
      <c r="AU56" s="68">
        <f t="shared" si="17"/>
        <v>3.1933383029551662E-2</v>
      </c>
      <c r="AV56" s="89">
        <f t="shared" si="18"/>
        <v>1.964683767008272</v>
      </c>
      <c r="AX56" s="284">
        <f t="shared" si="19"/>
        <v>8.7791580372063208E-2</v>
      </c>
      <c r="AY56" s="89">
        <f t="shared" si="20"/>
        <v>5.401328530628164</v>
      </c>
      <c r="AZ56" s="89">
        <f t="shared" si="21"/>
        <v>2.749210138206136</v>
      </c>
      <c r="BA56" s="89"/>
      <c r="BB56" s="284">
        <f t="shared" si="22"/>
        <v>0.3258071646019261</v>
      </c>
      <c r="BC56" s="89">
        <f t="shared" si="23"/>
        <v>10.202713702473019</v>
      </c>
    </row>
    <row r="57" spans="4:55" x14ac:dyDescent="0.45">
      <c r="D57" s="68">
        <f t="shared" si="0"/>
        <v>1.2808254906330148E-2</v>
      </c>
      <c r="E57" s="68">
        <f t="shared" si="1"/>
        <v>2.4512845862813E-2</v>
      </c>
      <c r="F57" s="89">
        <f t="shared" si="2"/>
        <v>1.9138318250285729</v>
      </c>
      <c r="H57" s="284">
        <f t="shared" si="3"/>
        <v>6.9988998757387691E-2</v>
      </c>
      <c r="I57" s="89">
        <f t="shared" si="4"/>
        <v>5.4643664784339547</v>
      </c>
      <c r="J57" s="89">
        <f t="shared" si="5"/>
        <v>2.8551967873939881</v>
      </c>
      <c r="K57" s="89"/>
      <c r="L57" s="284">
        <f t="shared" si="6"/>
        <v>0.28269190230468882</v>
      </c>
      <c r="M57" s="89">
        <f t="shared" si="7"/>
        <v>11.5323983142057</v>
      </c>
      <c r="N57" s="89"/>
      <c r="O57" s="89"/>
      <c r="P57" s="89"/>
      <c r="Q57" s="89"/>
      <c r="R57" s="89"/>
      <c r="S57" s="89"/>
      <c r="T57" s="89"/>
      <c r="U57" s="89"/>
      <c r="Y57" s="68">
        <f t="shared" si="8"/>
        <v>1.0308177779914366E-2</v>
      </c>
      <c r="Z57" s="68">
        <f t="shared" si="9"/>
        <v>1.9069870321287596E-2</v>
      </c>
      <c r="AA57" s="89">
        <f t="shared" si="10"/>
        <v>1.8499749158814001</v>
      </c>
      <c r="AC57" s="284">
        <f t="shared" si="11"/>
        <v>5.7866494618485663E-2</v>
      </c>
      <c r="AD57" s="89">
        <f t="shared" si="12"/>
        <v>5.6136492650756731</v>
      </c>
      <c r="AE57" s="89">
        <f t="shared" si="13"/>
        <v>3.0344461521528858</v>
      </c>
      <c r="AF57" s="89"/>
      <c r="AG57" s="284">
        <f t="shared" si="14"/>
        <v>0.25784852029558397</v>
      </c>
      <c r="AH57" s="89">
        <f t="shared" si="15"/>
        <v>13.521251899009981</v>
      </c>
      <c r="AT57" s="68">
        <f t="shared" si="16"/>
        <v>1.5299890292971532E-2</v>
      </c>
      <c r="AU57" s="68">
        <f t="shared" si="17"/>
        <v>3.0050579963824077E-2</v>
      </c>
      <c r="AV57" s="89">
        <f t="shared" si="18"/>
        <v>1.9641042771155504</v>
      </c>
      <c r="AX57" s="284">
        <f t="shared" si="19"/>
        <v>8.2857362808063884E-2</v>
      </c>
      <c r="AY57" s="89">
        <f t="shared" si="20"/>
        <v>5.4155527406707566</v>
      </c>
      <c r="AZ57" s="89">
        <f t="shared" si="21"/>
        <v>2.7572633509173676</v>
      </c>
      <c r="BA57" s="89"/>
      <c r="BB57" s="284">
        <f t="shared" si="22"/>
        <v>0.31342719806560737</v>
      </c>
      <c r="BC57" s="89">
        <f t="shared" si="23"/>
        <v>10.429988321121318</v>
      </c>
    </row>
    <row r="58" spans="4:55" x14ac:dyDescent="0.45">
      <c r="D58" s="68">
        <f t="shared" si="0"/>
        <v>1.2006616017619065E-2</v>
      </c>
      <c r="E58" s="68">
        <f t="shared" si="1"/>
        <v>2.2984443192179717E-2</v>
      </c>
      <c r="F58" s="89">
        <f t="shared" si="2"/>
        <v>1.9143148376237966</v>
      </c>
      <c r="H58" s="284">
        <f t="shared" si="3"/>
        <v>6.5717443242060483E-2</v>
      </c>
      <c r="I58" s="89">
        <f t="shared" si="4"/>
        <v>5.4734359078048014</v>
      </c>
      <c r="J58" s="89">
        <f t="shared" si="5"/>
        <v>2.8592140645991524</v>
      </c>
      <c r="K58" s="89"/>
      <c r="L58" s="284">
        <f t="shared" si="6"/>
        <v>0.27067489875289125</v>
      </c>
      <c r="M58" s="89">
        <f t="shared" si="7"/>
        <v>11.776439241520819</v>
      </c>
      <c r="N58" s="89"/>
      <c r="O58" s="89"/>
      <c r="P58" s="89"/>
      <c r="Q58" s="89"/>
      <c r="R58" s="89"/>
      <c r="S58" s="89"/>
      <c r="T58" s="89"/>
      <c r="U58" s="89"/>
      <c r="Y58" s="68">
        <f t="shared" si="8"/>
        <v>9.6525618410675806E-3</v>
      </c>
      <c r="Z58" s="68">
        <f t="shared" si="9"/>
        <v>1.7844718464840505E-2</v>
      </c>
      <c r="AA58" s="89">
        <f t="shared" si="10"/>
        <v>1.8487028375118773</v>
      </c>
      <c r="AC58" s="284">
        <f t="shared" si="11"/>
        <v>5.4167259589651795E-2</v>
      </c>
      <c r="AD58" s="89">
        <f t="shared" si="12"/>
        <v>5.6116977525275153</v>
      </c>
      <c r="AE58" s="89">
        <f t="shared" si="13"/>
        <v>3.0354785196739127</v>
      </c>
      <c r="AF58" s="89"/>
      <c r="AG58" s="284">
        <f t="shared" si="14"/>
        <v>0.2461389215721487</v>
      </c>
      <c r="AH58" s="89">
        <f t="shared" si="15"/>
        <v>13.793376570054431</v>
      </c>
      <c r="AT58" s="68">
        <f t="shared" si="16"/>
        <v>1.4350499964905547E-2</v>
      </c>
      <c r="AU58" s="68">
        <f t="shared" si="17"/>
        <v>2.8197560021348642E-2</v>
      </c>
      <c r="AV58" s="89">
        <f t="shared" si="18"/>
        <v>1.9649183018226803</v>
      </c>
      <c r="AX58" s="284">
        <f t="shared" si="19"/>
        <v>7.8002725599344028E-2</v>
      </c>
      <c r="AY58" s="89">
        <f t="shared" si="20"/>
        <v>5.4355406285565904</v>
      </c>
      <c r="AZ58" s="89">
        <f t="shared" si="21"/>
        <v>2.7662934502236158</v>
      </c>
      <c r="BA58" s="89"/>
      <c r="BB58" s="284">
        <f t="shared" si="22"/>
        <v>0.30082463371492002</v>
      </c>
      <c r="BC58" s="89">
        <f t="shared" si="23"/>
        <v>10.6684632814741</v>
      </c>
    </row>
    <row r="59" spans="4:55" x14ac:dyDescent="0.45">
      <c r="D59" s="68">
        <f t="shared" si="0"/>
        <v>1.1233621621030575E-2</v>
      </c>
      <c r="E59" s="68">
        <f t="shared" si="1"/>
        <v>2.151435239611553E-2</v>
      </c>
      <c r="F59" s="89">
        <f t="shared" si="2"/>
        <v>1.9151750986376732</v>
      </c>
      <c r="H59" s="284">
        <f t="shared" si="3"/>
        <v>6.1612681883161817E-2</v>
      </c>
      <c r="I59" s="89">
        <f t="shared" si="4"/>
        <v>5.4846677199645129</v>
      </c>
      <c r="J59" s="89">
        <f t="shared" si="5"/>
        <v>2.8637943986771428</v>
      </c>
      <c r="K59" s="89"/>
      <c r="L59" s="284">
        <f t="shared" si="6"/>
        <v>0.25888084180037563</v>
      </c>
      <c r="M59" s="89">
        <f t="shared" si="7"/>
        <v>12.032936759328958</v>
      </c>
      <c r="N59" s="89"/>
      <c r="O59" s="89"/>
      <c r="P59" s="89"/>
      <c r="Q59" s="89"/>
      <c r="R59" s="89"/>
      <c r="S59" s="89"/>
      <c r="T59" s="89"/>
      <c r="U59" s="89"/>
      <c r="Y59" s="68">
        <f t="shared" si="8"/>
        <v>9.0323265841500636E-3</v>
      </c>
      <c r="Z59" s="68">
        <f t="shared" si="9"/>
        <v>1.6700662517609134E-2</v>
      </c>
      <c r="AA59" s="89">
        <f t="shared" si="10"/>
        <v>1.8489878949810645</v>
      </c>
      <c r="AC59" s="284">
        <f t="shared" si="11"/>
        <v>5.0715079020616151E-2</v>
      </c>
      <c r="AD59" s="89">
        <f t="shared" si="12"/>
        <v>5.6148411539515219</v>
      </c>
      <c r="AE59" s="89">
        <f t="shared" si="13"/>
        <v>3.036710607566754</v>
      </c>
      <c r="AF59" s="89"/>
      <c r="AG59" s="284">
        <f t="shared" si="14"/>
        <v>0.23488054580072174</v>
      </c>
      <c r="AH59" s="89">
        <f t="shared" si="15"/>
        <v>14.064145392619263</v>
      </c>
      <c r="AT59" s="68">
        <f t="shared" si="16"/>
        <v>1.342223363012778E-2</v>
      </c>
      <c r="AU59" s="68">
        <f t="shared" si="17"/>
        <v>2.6387254542735702E-2</v>
      </c>
      <c r="AV59" s="89">
        <f t="shared" si="18"/>
        <v>1.9659361675471367</v>
      </c>
      <c r="AX59" s="284">
        <f t="shared" si="19"/>
        <v>7.3196822335117095E-2</v>
      </c>
      <c r="AY59" s="89">
        <f t="shared" si="20"/>
        <v>5.4534010025587865</v>
      </c>
      <c r="AZ59" s="89">
        <f t="shared" si="21"/>
        <v>2.7739461191982122</v>
      </c>
      <c r="BA59" s="89"/>
      <c r="BB59" s="284">
        <f t="shared" si="22"/>
        <v>0.28785477276031363</v>
      </c>
      <c r="BC59" s="89">
        <f t="shared" si="23"/>
        <v>10.908856481985119</v>
      </c>
    </row>
    <row r="60" spans="4:55" x14ac:dyDescent="0.45">
      <c r="D60" s="68">
        <f t="shared" si="0"/>
        <v>1.0480030696649619E-2</v>
      </c>
      <c r="E60" s="68">
        <f t="shared" si="1"/>
        <v>2.0103622280228044E-2</v>
      </c>
      <c r="F60" s="89">
        <f t="shared" si="2"/>
        <v>1.9182789499514545</v>
      </c>
      <c r="H60" s="284">
        <f t="shared" si="3"/>
        <v>5.76961230832067E-2</v>
      </c>
      <c r="I60" s="89">
        <f t="shared" si="4"/>
        <v>5.5053391305095776</v>
      </c>
      <c r="J60" s="89">
        <f t="shared" si="5"/>
        <v>2.8699366849898968</v>
      </c>
      <c r="K60" s="89"/>
      <c r="L60" s="284">
        <f t="shared" si="6"/>
        <v>0.24718079554981184</v>
      </c>
      <c r="M60" s="89">
        <f t="shared" si="7"/>
        <v>12.295336238629726</v>
      </c>
      <c r="N60" s="89"/>
      <c r="O60" s="89"/>
      <c r="P60" s="89"/>
      <c r="Q60" s="89"/>
      <c r="R60" s="89"/>
      <c r="S60" s="89"/>
      <c r="T60" s="89"/>
      <c r="U60" s="89"/>
      <c r="Y60" s="68">
        <f t="shared" si="8"/>
        <v>8.4527920931117082E-3</v>
      </c>
      <c r="Z60" s="68">
        <f t="shared" si="9"/>
        <v>1.5652956679019114E-2</v>
      </c>
      <c r="AA60" s="89">
        <f t="shared" si="10"/>
        <v>1.8518090243547947</v>
      </c>
      <c r="AC60" s="284">
        <f t="shared" si="11"/>
        <v>4.7556631575326462E-2</v>
      </c>
      <c r="AD60" s="89">
        <f t="shared" si="12"/>
        <v>5.6261447166174818</v>
      </c>
      <c r="AE60" s="89">
        <f t="shared" si="13"/>
        <v>3.0381884106962582</v>
      </c>
      <c r="AF60" s="89"/>
      <c r="AG60" s="284">
        <f t="shared" si="14"/>
        <v>0.22434950101152906</v>
      </c>
      <c r="AH60" s="89">
        <f t="shared" si="15"/>
        <v>14.332723562203574</v>
      </c>
      <c r="AT60" s="68">
        <f t="shared" si="16"/>
        <v>1.2492212524735235E-2</v>
      </c>
      <c r="AU60" s="68">
        <f t="shared" si="17"/>
        <v>2.4600827818027277E-2</v>
      </c>
      <c r="AV60" s="89">
        <f t="shared" si="18"/>
        <v>1.9692930911410889</v>
      </c>
      <c r="AX60" s="284">
        <f t="shared" si="19"/>
        <v>6.8418218671216738E-2</v>
      </c>
      <c r="AY60" s="89">
        <f t="shared" si="20"/>
        <v>5.4768695726033387</v>
      </c>
      <c r="AZ60" s="89">
        <f t="shared" si="21"/>
        <v>2.7811348129139155</v>
      </c>
      <c r="BA60" s="89"/>
      <c r="BB60" s="284">
        <f t="shared" si="22"/>
        <v>0.27451077883358926</v>
      </c>
      <c r="BC60" s="89">
        <f t="shared" si="23"/>
        <v>11.158599249754925</v>
      </c>
    </row>
    <row r="61" spans="4:55" x14ac:dyDescent="0.45">
      <c r="D61" s="68">
        <f t="shared" si="0"/>
        <v>9.754246536866561E-3</v>
      </c>
      <c r="E61" s="68">
        <f t="shared" si="1"/>
        <v>1.8759867679379573E-2</v>
      </c>
      <c r="F61" s="89">
        <f t="shared" si="2"/>
        <v>1.9232513355568686</v>
      </c>
      <c r="H61" s="284">
        <f t="shared" si="3"/>
        <v>5.3964815017364019E-2</v>
      </c>
      <c r="I61" s="89">
        <f t="shared" si="4"/>
        <v>5.5324432095705047</v>
      </c>
      <c r="J61" s="89">
        <f t="shared" si="5"/>
        <v>2.8766095763394395</v>
      </c>
      <c r="K61" s="89"/>
      <c r="L61" s="284">
        <f t="shared" si="6"/>
        <v>0.23567753198101396</v>
      </c>
      <c r="M61" s="89">
        <f t="shared" si="7"/>
        <v>12.562856839340366</v>
      </c>
      <c r="N61" s="89"/>
      <c r="O61" s="89"/>
      <c r="P61" s="89"/>
      <c r="Q61" s="89"/>
      <c r="R61" s="89"/>
      <c r="S61" s="89"/>
      <c r="T61" s="89"/>
      <c r="U61" s="89"/>
      <c r="Y61" s="68">
        <f t="shared" si="8"/>
        <v>7.8973681934686527E-3</v>
      </c>
      <c r="Z61" s="68">
        <f t="shared" si="9"/>
        <v>1.4661461408696119E-2</v>
      </c>
      <c r="AA61" s="89">
        <f t="shared" si="10"/>
        <v>1.8564996653975894</v>
      </c>
      <c r="AC61" s="284">
        <f t="shared" si="11"/>
        <v>4.4578414201984794E-2</v>
      </c>
      <c r="AD61" s="89">
        <f t="shared" si="12"/>
        <v>5.6447177223992675</v>
      </c>
      <c r="AE61" s="89">
        <f t="shared" si="13"/>
        <v>3.0405164232498745</v>
      </c>
      <c r="AF61" s="89"/>
      <c r="AG61" s="284">
        <f t="shared" si="14"/>
        <v>0.21415916456204645</v>
      </c>
      <c r="AH61" s="89">
        <f t="shared" si="15"/>
        <v>14.606945282754877</v>
      </c>
      <c r="AT61" s="68">
        <f t="shared" si="16"/>
        <v>1.1593679335491769E-2</v>
      </c>
      <c r="AU61" s="68">
        <f t="shared" si="17"/>
        <v>2.2891838860250244E-2</v>
      </c>
      <c r="AV61" s="89">
        <f t="shared" si="18"/>
        <v>1.9745102652763029</v>
      </c>
      <c r="AX61" s="284">
        <f t="shared" si="19"/>
        <v>6.3836700695797319E-2</v>
      </c>
      <c r="AY61" s="89">
        <f t="shared" si="20"/>
        <v>5.5061640785918424</v>
      </c>
      <c r="AZ61" s="89">
        <f t="shared" si="21"/>
        <v>2.7886226652872517</v>
      </c>
      <c r="BA61" s="89"/>
      <c r="BB61" s="284">
        <f t="shared" si="22"/>
        <v>0.26129881492122453</v>
      </c>
      <c r="BC61" s="89">
        <f t="shared" si="23"/>
        <v>11.414496516264929</v>
      </c>
    </row>
    <row r="62" spans="4:55" x14ac:dyDescent="0.45">
      <c r="D62" s="68">
        <f t="shared" si="0"/>
        <v>9.0628860108549984E-3</v>
      </c>
      <c r="E62" s="68">
        <f t="shared" si="1"/>
        <v>1.7464239614604117E-2</v>
      </c>
      <c r="F62" s="89">
        <f t="shared" si="2"/>
        <v>1.9270064297053351</v>
      </c>
      <c r="H62" s="284">
        <f t="shared" si="3"/>
        <v>5.0302883506679268E-2</v>
      </c>
      <c r="I62" s="89">
        <f t="shared" si="4"/>
        <v>5.5504265910913366</v>
      </c>
      <c r="J62" s="89">
        <f t="shared" si="5"/>
        <v>2.8803363110418219</v>
      </c>
      <c r="K62" s="89"/>
      <c r="L62" s="284">
        <f t="shared" si="6"/>
        <v>0.2241202163160684</v>
      </c>
      <c r="M62" s="89">
        <f t="shared" si="7"/>
        <v>12.833093295894338</v>
      </c>
      <c r="N62" s="89"/>
      <c r="O62" s="89"/>
      <c r="P62" s="89"/>
      <c r="Q62" s="89"/>
      <c r="R62" s="89"/>
      <c r="S62" s="89"/>
      <c r="T62" s="89"/>
      <c r="U62" s="89"/>
      <c r="Y62" s="68">
        <f t="shared" si="8"/>
        <v>7.3827255421156828E-3</v>
      </c>
      <c r="Z62" s="68">
        <f t="shared" si="9"/>
        <v>1.3740292561252969E-2</v>
      </c>
      <c r="AA62" s="89">
        <f t="shared" si="10"/>
        <v>1.8611409137275587</v>
      </c>
      <c r="AC62" s="284">
        <f t="shared" si="11"/>
        <v>4.1773814794410426E-2</v>
      </c>
      <c r="AD62" s="89">
        <f t="shared" si="12"/>
        <v>5.6583188086982874</v>
      </c>
      <c r="AE62" s="89">
        <f t="shared" si="13"/>
        <v>3.0402420187333403</v>
      </c>
      <c r="AF62" s="89"/>
      <c r="AG62" s="284">
        <f t="shared" si="14"/>
        <v>0.20425846153269869</v>
      </c>
      <c r="AH62" s="89">
        <f t="shared" si="15"/>
        <v>14.865655925602249</v>
      </c>
      <c r="AT62" s="68">
        <f t="shared" si="16"/>
        <v>1.072357951932818E-2</v>
      </c>
      <c r="AU62" s="68">
        <f t="shared" si="17"/>
        <v>2.120915768896138E-2</v>
      </c>
      <c r="AV62" s="89">
        <f t="shared" si="18"/>
        <v>1.977805792434699</v>
      </c>
      <c r="AX62" s="284">
        <f t="shared" si="19"/>
        <v>5.9230023890835072E-2</v>
      </c>
      <c r="AY62" s="89">
        <f t="shared" si="20"/>
        <v>5.5233444936999696</v>
      </c>
      <c r="AZ62" s="89">
        <f t="shared" si="21"/>
        <v>2.7926627148263514</v>
      </c>
      <c r="BA62" s="89"/>
      <c r="BB62" s="284">
        <f t="shared" si="22"/>
        <v>0.24756359058365388</v>
      </c>
      <c r="BC62" s="89">
        <f t="shared" si="23"/>
        <v>11.672485735371849</v>
      </c>
    </row>
    <row r="63" spans="4:55" x14ac:dyDescent="0.45">
      <c r="D63" s="68">
        <f t="shared" si="0"/>
        <v>8.4264858316594349E-3</v>
      </c>
      <c r="E63" s="68">
        <f t="shared" si="1"/>
        <v>1.6268480727014971E-2</v>
      </c>
      <c r="F63" s="89">
        <f t="shared" si="2"/>
        <v>1.9306364541541281</v>
      </c>
      <c r="H63" s="284">
        <f t="shared" si="3"/>
        <v>4.6897228084026681E-2</v>
      </c>
      <c r="I63" s="89">
        <f t="shared" si="4"/>
        <v>5.5654550450708076</v>
      </c>
      <c r="J63" s="89">
        <f t="shared" si="5"/>
        <v>2.882704837099539</v>
      </c>
      <c r="K63" s="89"/>
      <c r="L63" s="284">
        <f t="shared" si="6"/>
        <v>0.21306372571300161</v>
      </c>
      <c r="M63" s="89">
        <f t="shared" si="7"/>
        <v>13.096719311914242</v>
      </c>
      <c r="N63" s="89"/>
      <c r="O63" s="89"/>
      <c r="P63" s="89"/>
      <c r="Q63" s="89"/>
      <c r="R63" s="89"/>
      <c r="S63" s="89"/>
      <c r="T63" s="89"/>
      <c r="U63" s="89"/>
      <c r="Y63" s="68">
        <f t="shared" si="8"/>
        <v>6.9094246999404684E-3</v>
      </c>
      <c r="Z63" s="68">
        <f t="shared" si="9"/>
        <v>1.2889442646278955E-2</v>
      </c>
      <c r="AA63" s="89">
        <f t="shared" si="10"/>
        <v>1.8654871000171709</v>
      </c>
      <c r="AC63" s="284">
        <f t="shared" si="11"/>
        <v>3.9169728950335776E-2</v>
      </c>
      <c r="AD63" s="89">
        <f t="shared" si="12"/>
        <v>5.6690289932059414</v>
      </c>
      <c r="AE63" s="89">
        <f t="shared" si="13"/>
        <v>3.0389001313135648</v>
      </c>
      <c r="AF63" s="89"/>
      <c r="AG63" s="284">
        <f t="shared" si="14"/>
        <v>0.19480131951331547</v>
      </c>
      <c r="AH63" s="89">
        <f t="shared" si="15"/>
        <v>15.113246154949341</v>
      </c>
      <c r="AT63" s="68">
        <f t="shared" si="16"/>
        <v>9.9226821674943139E-3</v>
      </c>
      <c r="AU63" s="68">
        <f t="shared" si="17"/>
        <v>1.9656438952871717E-2</v>
      </c>
      <c r="AV63" s="89">
        <f t="shared" si="18"/>
        <v>1.9809602505725912</v>
      </c>
      <c r="AX63" s="284">
        <f t="shared" si="19"/>
        <v>5.4944447212018264E-2</v>
      </c>
      <c r="AY63" s="89">
        <f t="shared" si="20"/>
        <v>5.5372575967424034</v>
      </c>
      <c r="AZ63" s="89">
        <f t="shared" si="21"/>
        <v>2.7952391246325483</v>
      </c>
      <c r="BA63" s="89"/>
      <c r="BB63" s="284">
        <f t="shared" si="22"/>
        <v>0.23431846673883974</v>
      </c>
      <c r="BC63" s="89">
        <f t="shared" si="23"/>
        <v>11.920697706265196</v>
      </c>
    </row>
    <row r="64" spans="4:55" x14ac:dyDescent="0.45">
      <c r="D64" s="68">
        <f t="shared" si="0"/>
        <v>7.8264002866863577E-3</v>
      </c>
      <c r="E64" s="68">
        <f t="shared" si="1"/>
        <v>1.5119863227463977E-2</v>
      </c>
      <c r="F64" s="89">
        <f t="shared" si="2"/>
        <v>1.9319051765323927</v>
      </c>
      <c r="H64" s="284">
        <f t="shared" si="3"/>
        <v>4.3614407232574065E-2</v>
      </c>
      <c r="I64" s="89">
        <f t="shared" si="4"/>
        <v>5.5727289219754557</v>
      </c>
      <c r="J64" s="89">
        <f t="shared" si="5"/>
        <v>2.8845768362078905</v>
      </c>
      <c r="K64" s="89"/>
      <c r="L64" s="284">
        <f t="shared" si="6"/>
        <v>0.20213729842542871</v>
      </c>
      <c r="M64" s="89">
        <f t="shared" si="7"/>
        <v>13.368989876724751</v>
      </c>
      <c r="N64" s="89"/>
      <c r="O64" s="89"/>
      <c r="P64" s="89"/>
      <c r="Q64" s="89"/>
      <c r="R64" s="89"/>
      <c r="S64" s="89"/>
      <c r="T64" s="89"/>
      <c r="U64" s="89"/>
      <c r="Y64" s="68">
        <f t="shared" si="8"/>
        <v>6.476742238784014E-3</v>
      </c>
      <c r="Z64" s="68">
        <f t="shared" si="9"/>
        <v>1.2098712742118403E-2</v>
      </c>
      <c r="AA64" s="89">
        <f t="shared" si="10"/>
        <v>1.868024432046858</v>
      </c>
      <c r="AC64" s="284">
        <f t="shared" si="11"/>
        <v>3.6755910440958495E-2</v>
      </c>
      <c r="AD64" s="89">
        <f t="shared" si="12"/>
        <v>5.6750614870631768</v>
      </c>
      <c r="AE64" s="89">
        <f t="shared" si="13"/>
        <v>3.0380017465000813</v>
      </c>
      <c r="AF64" s="89"/>
      <c r="AG64" s="284">
        <f t="shared" si="14"/>
        <v>0.18583749102969063</v>
      </c>
      <c r="AH64" s="89">
        <f t="shared" si="15"/>
        <v>15.360104416955663</v>
      </c>
      <c r="AT64" s="68">
        <f t="shared" si="16"/>
        <v>9.1538215942363142E-3</v>
      </c>
      <c r="AU64" s="68">
        <f t="shared" si="17"/>
        <v>1.8139325845454225E-2</v>
      </c>
      <c r="AV64" s="89">
        <f t="shared" si="18"/>
        <v>1.9816123417650631</v>
      </c>
      <c r="AX64" s="284">
        <f t="shared" si="19"/>
        <v>5.0719639385784325E-2</v>
      </c>
      <c r="AY64" s="89">
        <f t="shared" si="20"/>
        <v>5.540815807216501</v>
      </c>
      <c r="AZ64" s="89">
        <f t="shared" si="21"/>
        <v>2.7961149062491115</v>
      </c>
      <c r="BA64" s="89"/>
      <c r="BB64" s="284">
        <f t="shared" si="22"/>
        <v>0.22083359674942507</v>
      </c>
      <c r="BC64" s="89">
        <f t="shared" si="23"/>
        <v>12.174300116272882</v>
      </c>
    </row>
    <row r="66" spans="2:63" x14ac:dyDescent="0.45">
      <c r="C66" t="s">
        <v>2098</v>
      </c>
      <c r="F66" s="89">
        <v>1.8</v>
      </c>
      <c r="H66" s="89"/>
      <c r="I66" s="89">
        <v>4.8</v>
      </c>
      <c r="J66" s="89">
        <f>2.7</f>
        <v>2.7</v>
      </c>
      <c r="L66" s="89"/>
      <c r="M66">
        <v>10</v>
      </c>
      <c r="AA66">
        <v>1.7</v>
      </c>
      <c r="AE66">
        <v>2.8</v>
      </c>
      <c r="AH66">
        <v>11</v>
      </c>
      <c r="AV66">
        <v>1.9</v>
      </c>
      <c r="AZ66">
        <v>2.6</v>
      </c>
      <c r="BC66">
        <v>8.6999999999999993</v>
      </c>
    </row>
    <row r="67" spans="2:63" x14ac:dyDescent="0.45">
      <c r="AA67" s="3">
        <f>AVERAGE(AA49:AA53)</f>
        <v>1.7724660610971121</v>
      </c>
      <c r="AE67" s="3">
        <f>AVERAGE(AE49:AE53)</f>
        <v>2.9109597799943594</v>
      </c>
      <c r="AH67" s="3">
        <f>AVERAGE(AH49:AH53)</f>
        <v>11.365520192837657</v>
      </c>
      <c r="AV67" s="3">
        <f>AVERAGE(AV49:AV53)</f>
        <v>1.890207107519452</v>
      </c>
      <c r="AZ67" s="3">
        <f>AVERAGE(AZ49:AZ53)</f>
        <v>2.6408636543282129</v>
      </c>
      <c r="BC67" s="3">
        <f>AVERAGE(BC49:BC53)</f>
        <v>8.9884891328937844</v>
      </c>
    </row>
    <row r="70" spans="2:63" x14ac:dyDescent="0.45">
      <c r="B70" s="281" t="s">
        <v>2117</v>
      </c>
      <c r="C70" s="281"/>
      <c r="D70" s="281"/>
      <c r="E70" s="281"/>
      <c r="F70" s="281"/>
      <c r="G70" s="281"/>
      <c r="H70" s="281"/>
      <c r="I70" s="281"/>
      <c r="J70" s="281"/>
      <c r="K70" s="281"/>
      <c r="L70" s="281"/>
      <c r="M70" s="281"/>
      <c r="N70" s="281"/>
      <c r="O70" s="281"/>
      <c r="P70" s="281"/>
      <c r="Q70" s="281"/>
      <c r="R70" s="281"/>
      <c r="S70" s="281"/>
      <c r="T70" s="281"/>
      <c r="U70" s="281"/>
      <c r="W70" s="281" t="s">
        <v>2117</v>
      </c>
      <c r="X70" s="281"/>
      <c r="Y70" s="281"/>
      <c r="Z70" s="281"/>
      <c r="AA70" s="281"/>
      <c r="AB70" s="281"/>
      <c r="AC70" s="281"/>
      <c r="AD70" s="281"/>
      <c r="AE70" s="281"/>
      <c r="AF70" s="281"/>
      <c r="AG70" s="281"/>
      <c r="AH70" s="281"/>
      <c r="AI70" s="281"/>
      <c r="AJ70" s="281"/>
      <c r="AK70" s="281"/>
      <c r="AL70" s="281"/>
      <c r="AM70" s="281"/>
      <c r="AN70" s="281"/>
      <c r="AO70" s="281"/>
      <c r="AP70" s="281"/>
      <c r="AR70" s="281" t="s">
        <v>2117</v>
      </c>
      <c r="AS70" s="281"/>
      <c r="AT70" s="281"/>
      <c r="AU70" s="281"/>
      <c r="AV70" s="281"/>
      <c r="AW70" s="281"/>
      <c r="AX70" s="281"/>
      <c r="AY70" s="281"/>
      <c r="AZ70" s="281"/>
      <c r="BA70" s="281"/>
      <c r="BB70" s="281"/>
      <c r="BC70" s="281"/>
      <c r="BD70" s="281"/>
      <c r="BE70" s="281"/>
      <c r="BF70" s="281"/>
      <c r="BG70" s="281"/>
      <c r="BH70" s="281"/>
      <c r="BI70" s="281"/>
      <c r="BJ70" s="281"/>
      <c r="BK70" s="281"/>
    </row>
    <row r="71" spans="2:63" x14ac:dyDescent="0.45">
      <c r="B71" s="282" t="s">
        <v>982</v>
      </c>
      <c r="C71" s="282" t="s">
        <v>983</v>
      </c>
      <c r="D71" s="282" t="s">
        <v>664</v>
      </c>
      <c r="E71" s="282" t="s">
        <v>665</v>
      </c>
      <c r="F71" s="282" t="s">
        <v>667</v>
      </c>
      <c r="G71" s="282" t="s">
        <v>670</v>
      </c>
      <c r="H71" s="282" t="s">
        <v>672</v>
      </c>
      <c r="I71" s="282" t="s">
        <v>674</v>
      </c>
      <c r="J71" s="282" t="s">
        <v>676</v>
      </c>
      <c r="K71" s="282" t="s">
        <v>984</v>
      </c>
      <c r="L71" s="282" t="s">
        <v>985</v>
      </c>
      <c r="M71" s="282" t="s">
        <v>986</v>
      </c>
      <c r="N71" s="282" t="s">
        <v>987</v>
      </c>
      <c r="O71" s="282" t="s">
        <v>988</v>
      </c>
      <c r="P71" s="282" t="s">
        <v>989</v>
      </c>
      <c r="Q71" s="282" t="s">
        <v>990</v>
      </c>
      <c r="R71" s="282" t="s">
        <v>991</v>
      </c>
      <c r="S71" s="282" t="s">
        <v>992</v>
      </c>
      <c r="T71" s="282" t="s">
        <v>993</v>
      </c>
      <c r="U71" s="282" t="s">
        <v>994</v>
      </c>
      <c r="W71" s="282" t="s">
        <v>982</v>
      </c>
      <c r="X71" s="282" t="s">
        <v>983</v>
      </c>
      <c r="Y71" s="282" t="s">
        <v>664</v>
      </c>
      <c r="Z71" s="282" t="s">
        <v>665</v>
      </c>
      <c r="AA71" s="282" t="s">
        <v>667</v>
      </c>
      <c r="AB71" s="282" t="s">
        <v>670</v>
      </c>
      <c r="AC71" s="282" t="s">
        <v>672</v>
      </c>
      <c r="AD71" s="282" t="s">
        <v>674</v>
      </c>
      <c r="AE71" s="282" t="s">
        <v>676</v>
      </c>
      <c r="AF71" s="282" t="s">
        <v>984</v>
      </c>
      <c r="AG71" s="282" t="s">
        <v>985</v>
      </c>
      <c r="AH71" s="282" t="s">
        <v>986</v>
      </c>
      <c r="AI71" s="282" t="s">
        <v>987</v>
      </c>
      <c r="AJ71" s="282" t="s">
        <v>988</v>
      </c>
      <c r="AK71" s="282" t="s">
        <v>989</v>
      </c>
      <c r="AL71" s="282" t="s">
        <v>990</v>
      </c>
      <c r="AM71" s="282" t="s">
        <v>991</v>
      </c>
      <c r="AN71" s="282" t="s">
        <v>992</v>
      </c>
      <c r="AO71" s="282" t="s">
        <v>993</v>
      </c>
      <c r="AP71" s="282" t="s">
        <v>994</v>
      </c>
      <c r="AR71" s="282" t="s">
        <v>982</v>
      </c>
      <c r="AS71" s="282" t="s">
        <v>983</v>
      </c>
      <c r="AT71" s="282" t="s">
        <v>664</v>
      </c>
      <c r="AU71" s="282" t="s">
        <v>665</v>
      </c>
      <c r="AV71" s="282" t="s">
        <v>667</v>
      </c>
      <c r="AW71" s="282" t="s">
        <v>670</v>
      </c>
      <c r="AX71" s="282" t="s">
        <v>672</v>
      </c>
      <c r="AY71" s="282" t="s">
        <v>674</v>
      </c>
      <c r="AZ71" s="282" t="s">
        <v>676</v>
      </c>
      <c r="BA71" s="282" t="s">
        <v>984</v>
      </c>
      <c r="BB71" s="282" t="s">
        <v>985</v>
      </c>
      <c r="BC71" s="282" t="s">
        <v>986</v>
      </c>
      <c r="BD71" s="282" t="s">
        <v>987</v>
      </c>
      <c r="BE71" s="282" t="s">
        <v>988</v>
      </c>
      <c r="BF71" s="282" t="s">
        <v>989</v>
      </c>
      <c r="BG71" s="282" t="s">
        <v>990</v>
      </c>
      <c r="BH71" s="282" t="s">
        <v>991</v>
      </c>
      <c r="BI71" s="282" t="s">
        <v>992</v>
      </c>
      <c r="BJ71" s="282" t="s">
        <v>993</v>
      </c>
      <c r="BK71" s="282" t="s">
        <v>994</v>
      </c>
    </row>
    <row r="72" spans="2:63" x14ac:dyDescent="0.45">
      <c r="B72" s="283"/>
      <c r="C72" s="283"/>
      <c r="D72" s="283"/>
      <c r="E72" s="283"/>
      <c r="F72" s="283"/>
      <c r="G72" s="283"/>
      <c r="H72" s="283"/>
      <c r="I72" s="283"/>
      <c r="J72" s="283"/>
      <c r="K72" s="283"/>
      <c r="L72" s="283"/>
      <c r="M72" s="283"/>
      <c r="N72" s="283"/>
      <c r="O72" s="283"/>
      <c r="P72" s="283"/>
      <c r="Q72" s="283"/>
      <c r="R72" s="283"/>
      <c r="S72" s="283"/>
      <c r="T72" s="283"/>
      <c r="U72" s="283"/>
      <c r="W72" s="283"/>
      <c r="X72" s="283"/>
      <c r="Y72" s="283"/>
      <c r="Z72" s="283"/>
      <c r="AA72" s="283"/>
      <c r="AB72" s="283"/>
      <c r="AC72" s="283"/>
      <c r="AD72" s="283"/>
      <c r="AE72" s="283"/>
      <c r="AF72" s="283"/>
      <c r="AG72" s="283"/>
      <c r="AH72" s="283"/>
      <c r="AI72" s="283"/>
      <c r="AJ72" s="283"/>
      <c r="AK72" s="283"/>
      <c r="AL72" s="283"/>
      <c r="AM72" s="283"/>
      <c r="AN72" s="283"/>
      <c r="AO72" s="283"/>
      <c r="AP72" s="283"/>
      <c r="AR72" s="283"/>
      <c r="AS72" s="283"/>
      <c r="AT72" s="283"/>
      <c r="AU72" s="283"/>
      <c r="AV72" s="283"/>
      <c r="AW72" s="283"/>
      <c r="AX72" s="283"/>
      <c r="AY72" s="283"/>
      <c r="AZ72" s="283"/>
      <c r="BA72" s="283"/>
      <c r="BB72" s="283"/>
      <c r="BC72" s="283"/>
      <c r="BD72" s="283"/>
      <c r="BE72" s="283"/>
      <c r="BF72" s="283"/>
      <c r="BG72" s="283"/>
      <c r="BH72" s="283"/>
      <c r="BI72" s="283"/>
      <c r="BJ72" s="283"/>
      <c r="BK72" s="283"/>
    </row>
    <row r="73" spans="2:63" x14ac:dyDescent="0.45">
      <c r="B73" s="283">
        <f>B31/B30</f>
        <v>0.80670570736099478</v>
      </c>
      <c r="C73" s="283">
        <f t="shared" ref="C73:U73" si="24">C31/C30</f>
        <v>0.82508263926984848</v>
      </c>
      <c r="D73" s="283">
        <f t="shared" si="24"/>
        <v>0.84343240287256271</v>
      </c>
      <c r="E73" s="283">
        <f t="shared" si="24"/>
        <v>0.86444365541598711</v>
      </c>
      <c r="F73" s="283">
        <f t="shared" si="24"/>
        <v>0.86915208646273445</v>
      </c>
      <c r="G73" s="283">
        <f t="shared" si="24"/>
        <v>0.87050782363553758</v>
      </c>
      <c r="H73" s="283">
        <f t="shared" si="24"/>
        <v>0.87931845720615553</v>
      </c>
      <c r="I73" s="283">
        <f t="shared" si="24"/>
        <v>0.89646982470010228</v>
      </c>
      <c r="J73" s="283">
        <f t="shared" si="24"/>
        <v>0.91015331105440811</v>
      </c>
      <c r="K73" s="283">
        <f t="shared" si="24"/>
        <v>0.92553220504486811</v>
      </c>
      <c r="L73" s="283">
        <f t="shared" si="24"/>
        <v>0.94654787290062603</v>
      </c>
      <c r="M73" s="283">
        <f t="shared" si="24"/>
        <v>0.9555174369176509</v>
      </c>
      <c r="N73" s="283">
        <f t="shared" si="24"/>
        <v>0.96008430783943133</v>
      </c>
      <c r="O73" s="283">
        <f t="shared" si="24"/>
        <v>0.96201533111753146</v>
      </c>
      <c r="P73" s="283">
        <f t="shared" si="24"/>
        <v>0.97039832239721868</v>
      </c>
      <c r="Q73" s="283">
        <f t="shared" si="24"/>
        <v>0.97279283077134215</v>
      </c>
      <c r="R73" s="283">
        <f t="shared" si="24"/>
        <v>0.97931645635970366</v>
      </c>
      <c r="S73" s="283">
        <f t="shared" si="24"/>
        <v>0.98516808540718936</v>
      </c>
      <c r="T73" s="283">
        <f t="shared" si="24"/>
        <v>0.99035553427268308</v>
      </c>
      <c r="U73" s="283">
        <f t="shared" si="24"/>
        <v>0.99551281058641949</v>
      </c>
      <c r="W73" s="283">
        <f>W31/W30</f>
        <v>0.77567916503314138</v>
      </c>
      <c r="X73" s="283">
        <f t="shared" ref="X73:AP73" si="25">X31/X30</f>
        <v>0.79730915528102075</v>
      </c>
      <c r="Y73" s="283">
        <f t="shared" si="25"/>
        <v>0.81739759553124358</v>
      </c>
      <c r="Z73" s="283">
        <f t="shared" si="25"/>
        <v>0.83979438542254992</v>
      </c>
      <c r="AA73" s="283">
        <f t="shared" si="25"/>
        <v>0.84653427698768213</v>
      </c>
      <c r="AB73" s="283">
        <f t="shared" si="25"/>
        <v>0.85032295006238068</v>
      </c>
      <c r="AC73" s="283">
        <f t="shared" si="25"/>
        <v>0.86097624988507915</v>
      </c>
      <c r="AD73" s="283">
        <f t="shared" si="25"/>
        <v>0.88000037529380803</v>
      </c>
      <c r="AE73" s="283">
        <f t="shared" si="25"/>
        <v>0.89818932279669172</v>
      </c>
      <c r="AF73" s="283">
        <f t="shared" si="25"/>
        <v>0.91711484593367232</v>
      </c>
      <c r="AG73" s="283">
        <f t="shared" si="25"/>
        <v>0.93262191016606266</v>
      </c>
      <c r="AH73" s="283">
        <f t="shared" si="25"/>
        <v>0.94436547398239779</v>
      </c>
      <c r="AI73" s="283">
        <f t="shared" si="25"/>
        <v>0.95305458326106185</v>
      </c>
      <c r="AJ73" s="283">
        <f t="shared" si="25"/>
        <v>0.95946145441568143</v>
      </c>
      <c r="AK73" s="283">
        <f t="shared" si="25"/>
        <v>0.96487903191529278</v>
      </c>
      <c r="AL73" s="283">
        <f t="shared" si="25"/>
        <v>0.97062763060385282</v>
      </c>
      <c r="AM73" s="283">
        <f t="shared" si="25"/>
        <v>0.97698590584250633</v>
      </c>
      <c r="AN73" s="283">
        <f t="shared" si="25"/>
        <v>0.98346000793371346</v>
      </c>
      <c r="AO73" s="283">
        <f t="shared" si="25"/>
        <v>0.98928615160010391</v>
      </c>
      <c r="AP73" s="283">
        <f t="shared" si="25"/>
        <v>0.99362232089533664</v>
      </c>
      <c r="AR73" s="283">
        <f>AR31/AR30</f>
        <v>0.82914197664790179</v>
      </c>
      <c r="AS73" s="283">
        <f t="shared" ref="AS73:BK73" si="26">AS31/AS30</f>
        <v>0.84506521270927903</v>
      </c>
      <c r="AT73" s="283">
        <f t="shared" si="26"/>
        <v>0.86091751614565915</v>
      </c>
      <c r="AU73" s="283">
        <f t="shared" si="26"/>
        <v>0.8783233920236555</v>
      </c>
      <c r="AV73" s="283">
        <f t="shared" si="26"/>
        <v>0.88404979191139521</v>
      </c>
      <c r="AW73" s="283">
        <f t="shared" si="26"/>
        <v>0.8851862615040248</v>
      </c>
      <c r="AX73" s="283">
        <f t="shared" si="26"/>
        <v>0.89254466901590279</v>
      </c>
      <c r="AY73" s="283">
        <f t="shared" si="26"/>
        <v>0.90791618194700796</v>
      </c>
      <c r="AZ73" s="283">
        <f t="shared" si="26"/>
        <v>0.9215101987376404</v>
      </c>
      <c r="BA73" s="283">
        <f t="shared" si="26"/>
        <v>0.93724505245950673</v>
      </c>
      <c r="BB73" s="283">
        <f t="shared" si="26"/>
        <v>0.94840551648385973</v>
      </c>
      <c r="BC73" s="283">
        <f t="shared" si="26"/>
        <v>0.95770266239921598</v>
      </c>
      <c r="BD73" s="283">
        <f t="shared" si="26"/>
        <v>0.96518615869445445</v>
      </c>
      <c r="BE73" s="283">
        <f t="shared" si="26"/>
        <v>0.97011083377485152</v>
      </c>
      <c r="BF73" s="283">
        <f t="shared" si="26"/>
        <v>0.9743142758751222</v>
      </c>
      <c r="BG73" s="283">
        <f t="shared" si="26"/>
        <v>0.97862049758633507</v>
      </c>
      <c r="BH73" s="283">
        <f t="shared" si="26"/>
        <v>0.98357096203751737</v>
      </c>
      <c r="BI73" s="283">
        <f t="shared" si="26"/>
        <v>0.9886159538048529</v>
      </c>
      <c r="BJ73" s="283">
        <f t="shared" si="26"/>
        <v>0.99303483853420116</v>
      </c>
      <c r="BK73" s="283">
        <f t="shared" si="26"/>
        <v>0.99841488020535418</v>
      </c>
    </row>
    <row r="74" spans="2:63" x14ac:dyDescent="0.45">
      <c r="B74" s="283">
        <f t="shared" ref="B74:U74" si="27">B32/B31</f>
        <v>0.82412227427581652</v>
      </c>
      <c r="C74" s="283">
        <f t="shared" si="27"/>
        <v>0.8422154220542446</v>
      </c>
      <c r="D74" s="283">
        <f t="shared" si="27"/>
        <v>0.86183309485572701</v>
      </c>
      <c r="E74" s="283">
        <f t="shared" si="27"/>
        <v>0.87901337335394503</v>
      </c>
      <c r="F74" s="283">
        <f t="shared" si="27"/>
        <v>0.88982400590616906</v>
      </c>
      <c r="G74" s="283">
        <f t="shared" si="27"/>
        <v>0.89076848230960415</v>
      </c>
      <c r="H74" s="283">
        <f t="shared" si="27"/>
        <v>0.89392468216338028</v>
      </c>
      <c r="I74" s="283">
        <f t="shared" si="27"/>
        <v>0.90402668581615753</v>
      </c>
      <c r="J74" s="283">
        <f t="shared" si="27"/>
        <v>0.91926394723329452</v>
      </c>
      <c r="K74" s="283">
        <f t="shared" si="27"/>
        <v>0.92877106220191585</v>
      </c>
      <c r="L74" s="283">
        <f t="shared" si="27"/>
        <v>0.93727017781638844</v>
      </c>
      <c r="M74" s="283">
        <f t="shared" si="27"/>
        <v>0.9525573582905128</v>
      </c>
      <c r="N74" s="283">
        <f t="shared" si="27"/>
        <v>0.95670051691350477</v>
      </c>
      <c r="O74" s="283">
        <f t="shared" si="27"/>
        <v>0.95858767772284859</v>
      </c>
      <c r="P74" s="283">
        <f t="shared" si="27"/>
        <v>0.96088215371504582</v>
      </c>
      <c r="Q74" s="283">
        <f t="shared" si="27"/>
        <v>0.97011602683410336</v>
      </c>
      <c r="R74" s="283">
        <f t="shared" si="27"/>
        <v>0.97519338243824238</v>
      </c>
      <c r="S74" s="283">
        <f t="shared" si="27"/>
        <v>0.98312265472364613</v>
      </c>
      <c r="T74" s="283">
        <f t="shared" si="27"/>
        <v>0.98955585348161845</v>
      </c>
      <c r="U74" s="283">
        <f t="shared" si="27"/>
        <v>0.99419345586699781</v>
      </c>
      <c r="W74" s="283">
        <f t="shared" ref="W74:AP74" si="28">W32/W31</f>
        <v>0.79105257846956689</v>
      </c>
      <c r="X74" s="283">
        <f t="shared" si="28"/>
        <v>0.81286477253545319</v>
      </c>
      <c r="Y74" s="283">
        <f t="shared" si="28"/>
        <v>0.8351298102142517</v>
      </c>
      <c r="Z74" s="283">
        <f t="shared" si="28"/>
        <v>0.85292778424493187</v>
      </c>
      <c r="AA74" s="283">
        <f t="shared" si="28"/>
        <v>0.86646864435431403</v>
      </c>
      <c r="AB74" s="283">
        <f t="shared" si="28"/>
        <v>0.86920750814747683</v>
      </c>
      <c r="AC74" s="283">
        <f t="shared" si="28"/>
        <v>0.87526641486639845</v>
      </c>
      <c r="AD74" s="283">
        <f t="shared" si="28"/>
        <v>0.88739923638196394</v>
      </c>
      <c r="AE74" s="283">
        <f t="shared" si="28"/>
        <v>0.90335992414433886</v>
      </c>
      <c r="AF74" s="283">
        <f t="shared" si="28"/>
        <v>0.91747426409027999</v>
      </c>
      <c r="AG74" s="283">
        <f t="shared" si="28"/>
        <v>0.92895884716488031</v>
      </c>
      <c r="AH74" s="283">
        <f t="shared" si="28"/>
        <v>0.9375927374776355</v>
      </c>
      <c r="AI74" s="283">
        <f t="shared" si="28"/>
        <v>0.94452455182682615</v>
      </c>
      <c r="AJ74" s="283">
        <f t="shared" si="28"/>
        <v>0.95054855908624014</v>
      </c>
      <c r="AK74" s="283">
        <f t="shared" si="28"/>
        <v>0.95674239747994161</v>
      </c>
      <c r="AL74" s="283">
        <f t="shared" si="28"/>
        <v>0.96413437580650108</v>
      </c>
      <c r="AM74" s="283">
        <f t="shared" si="28"/>
        <v>0.97251378002791389</v>
      </c>
      <c r="AN74" s="283">
        <f t="shared" si="28"/>
        <v>0.98090416626211041</v>
      </c>
      <c r="AO74" s="283">
        <f t="shared" si="28"/>
        <v>0.98823982392492149</v>
      </c>
      <c r="AP74" s="283">
        <f t="shared" si="28"/>
        <v>0.99357155026418276</v>
      </c>
      <c r="AR74" s="283">
        <f t="shared" ref="AR74:BK74" si="29">AR32/AR31</f>
        <v>0.84657388620237706</v>
      </c>
      <c r="AS74" s="283">
        <f t="shared" si="29"/>
        <v>0.86226266920488726</v>
      </c>
      <c r="AT74" s="283">
        <f t="shared" si="29"/>
        <v>0.87900031514952581</v>
      </c>
      <c r="AU74" s="283">
        <f t="shared" si="29"/>
        <v>0.89270434154272005</v>
      </c>
      <c r="AV74" s="283">
        <f t="shared" si="29"/>
        <v>0.90300855137052893</v>
      </c>
      <c r="AW74" s="283">
        <f t="shared" si="29"/>
        <v>0.90647955690474713</v>
      </c>
      <c r="AX74" s="283">
        <f t="shared" si="29"/>
        <v>0.90855659169402825</v>
      </c>
      <c r="AY74" s="283">
        <f t="shared" si="29"/>
        <v>0.91598578060344749</v>
      </c>
      <c r="AZ74" s="283">
        <f t="shared" si="29"/>
        <v>0.92859299113372851</v>
      </c>
      <c r="BA74" s="283">
        <f t="shared" si="29"/>
        <v>0.93947323135677696</v>
      </c>
      <c r="BB74" s="283">
        <f t="shared" si="29"/>
        <v>0.94926457891309501</v>
      </c>
      <c r="BC74" s="283">
        <f t="shared" si="29"/>
        <v>0.95549068655313962</v>
      </c>
      <c r="BD74" s="283">
        <f t="shared" si="29"/>
        <v>0.96083948048055234</v>
      </c>
      <c r="BE74" s="283">
        <f t="shared" si="29"/>
        <v>0.96544202576197047</v>
      </c>
      <c r="BF74" s="283">
        <f t="shared" si="29"/>
        <v>0.96998867848760428</v>
      </c>
      <c r="BG74" s="283">
        <f t="shared" si="29"/>
        <v>0.97534839128927353</v>
      </c>
      <c r="BH74" s="283">
        <f t="shared" si="29"/>
        <v>0.98147197462278668</v>
      </c>
      <c r="BI74" s="283">
        <f t="shared" si="29"/>
        <v>0.98756272424069069</v>
      </c>
      <c r="BJ74" s="283">
        <f t="shared" si="29"/>
        <v>0.99280726048256718</v>
      </c>
      <c r="BK74" s="283">
        <f t="shared" si="29"/>
        <v>0.99579494148130709</v>
      </c>
    </row>
    <row r="75" spans="2:63" x14ac:dyDescent="0.45">
      <c r="B75" s="283">
        <f t="shared" ref="B75:U75" si="30">B33/B32</f>
        <v>0.84165020753454278</v>
      </c>
      <c r="C75" s="283">
        <f t="shared" si="30"/>
        <v>0.86041025759086265</v>
      </c>
      <c r="D75" s="283">
        <f t="shared" si="30"/>
        <v>0.88117212847390314</v>
      </c>
      <c r="E75" s="283">
        <f t="shared" si="30"/>
        <v>0.8980750785137902</v>
      </c>
      <c r="F75" s="283">
        <f t="shared" si="30"/>
        <v>0.90503504047803451</v>
      </c>
      <c r="G75" s="283">
        <f t="shared" si="30"/>
        <v>0.91020271501472372</v>
      </c>
      <c r="H75" s="283">
        <f t="shared" si="30"/>
        <v>0.91153840053103063</v>
      </c>
      <c r="I75" s="283">
        <f t="shared" si="30"/>
        <v>0.91642814842561116</v>
      </c>
      <c r="J75" s="283">
        <f t="shared" si="30"/>
        <v>0.9250510268301485</v>
      </c>
      <c r="K75" s="283">
        <f t="shared" si="30"/>
        <v>0.93572362456177516</v>
      </c>
      <c r="L75" s="283">
        <f t="shared" si="30"/>
        <v>0.93809020049957181</v>
      </c>
      <c r="M75" s="283">
        <f t="shared" si="30"/>
        <v>0.94105478054468938</v>
      </c>
      <c r="N75" s="283">
        <f t="shared" si="30"/>
        <v>0.95281252039853637</v>
      </c>
      <c r="O75" s="283">
        <f t="shared" si="30"/>
        <v>0.95504678755226713</v>
      </c>
      <c r="P75" s="283">
        <f t="shared" si="30"/>
        <v>0.95789938568977884</v>
      </c>
      <c r="Q75" s="283">
        <f t="shared" si="30"/>
        <v>0.96254928550246777</v>
      </c>
      <c r="R75" s="283">
        <f t="shared" si="30"/>
        <v>0.97346712436371474</v>
      </c>
      <c r="S75" s="283">
        <f t="shared" si="30"/>
        <v>0.98012293104922366</v>
      </c>
      <c r="T75" s="283">
        <f t="shared" si="30"/>
        <v>0.98817607239207716</v>
      </c>
      <c r="U75" s="283">
        <f t="shared" si="30"/>
        <v>0.99399854930343001</v>
      </c>
      <c r="W75" s="283">
        <f t="shared" ref="W75:AP75" si="31">W33/W32</f>
        <v>0.81119810169482698</v>
      </c>
      <c r="X75" s="283">
        <f t="shared" si="31"/>
        <v>0.83253766428702158</v>
      </c>
      <c r="Y75" s="283">
        <f t="shared" si="31"/>
        <v>0.85465863490025629</v>
      </c>
      <c r="Z75" s="283">
        <f t="shared" si="31"/>
        <v>0.87500829513250789</v>
      </c>
      <c r="AA75" s="283">
        <f t="shared" si="31"/>
        <v>0.88392159032625772</v>
      </c>
      <c r="AB75" s="283">
        <f t="shared" si="31"/>
        <v>0.89035570699450972</v>
      </c>
      <c r="AC75" s="283">
        <f t="shared" si="31"/>
        <v>0.89375827333807445</v>
      </c>
      <c r="AD75" s="283">
        <f t="shared" si="31"/>
        <v>0.90120509031091778</v>
      </c>
      <c r="AE75" s="283">
        <f t="shared" si="31"/>
        <v>0.91014422391791561</v>
      </c>
      <c r="AF75" s="283">
        <f t="shared" si="31"/>
        <v>0.92019238171556184</v>
      </c>
      <c r="AG75" s="283">
        <f t="shared" si="31"/>
        <v>0.92699255042399353</v>
      </c>
      <c r="AH75" s="283">
        <f t="shared" si="31"/>
        <v>0.93227734268790874</v>
      </c>
      <c r="AI75" s="283">
        <f t="shared" si="31"/>
        <v>0.93722603716750741</v>
      </c>
      <c r="AJ75" s="283">
        <f t="shared" si="31"/>
        <v>0.94253318863762869</v>
      </c>
      <c r="AK75" s="283">
        <f t="shared" si="31"/>
        <v>0.94916591920033611</v>
      </c>
      <c r="AL75" s="283">
        <f t="shared" si="31"/>
        <v>0.95767574262181521</v>
      </c>
      <c r="AM75" s="283">
        <f t="shared" si="31"/>
        <v>0.96767517876340525</v>
      </c>
      <c r="AN75" s="283">
        <f t="shared" si="31"/>
        <v>0.97778936813278261</v>
      </c>
      <c r="AO75" s="283">
        <f t="shared" si="31"/>
        <v>0.98655201624344979</v>
      </c>
      <c r="AP75" s="283">
        <f t="shared" si="31"/>
        <v>0.99312414293780749</v>
      </c>
      <c r="AR75" s="283">
        <f t="shared" ref="AR75:BK75" si="32">AR33/AR32</f>
        <v>0.86086052745732033</v>
      </c>
      <c r="AS75" s="283">
        <f t="shared" si="32"/>
        <v>0.87820536816485062</v>
      </c>
      <c r="AT75" s="283">
        <f t="shared" si="32"/>
        <v>0.89746386425972013</v>
      </c>
      <c r="AU75" s="283">
        <f t="shared" si="32"/>
        <v>0.90998477638117059</v>
      </c>
      <c r="AV75" s="283">
        <f t="shared" si="32"/>
        <v>0.91616792985323903</v>
      </c>
      <c r="AW75" s="283">
        <f t="shared" si="32"/>
        <v>0.92284977798330436</v>
      </c>
      <c r="AX75" s="283">
        <f t="shared" si="32"/>
        <v>0.92544849070793922</v>
      </c>
      <c r="AY75" s="283">
        <f t="shared" si="32"/>
        <v>0.92851733244558876</v>
      </c>
      <c r="AZ75" s="283">
        <f t="shared" si="32"/>
        <v>0.9345662895686504</v>
      </c>
      <c r="BA75" s="283">
        <f t="shared" si="32"/>
        <v>0.94323475730914197</v>
      </c>
      <c r="BB75" s="283">
        <f t="shared" si="32"/>
        <v>0.94869967591916071</v>
      </c>
      <c r="BC75" s="283">
        <f t="shared" si="32"/>
        <v>0.95350428711041124</v>
      </c>
      <c r="BD75" s="283">
        <f t="shared" si="32"/>
        <v>0.95743033472786487</v>
      </c>
      <c r="BE75" s="283">
        <f t="shared" si="32"/>
        <v>0.96132144419044463</v>
      </c>
      <c r="BF75" s="283">
        <f t="shared" si="32"/>
        <v>0.96626555672189707</v>
      </c>
      <c r="BG75" s="283">
        <f t="shared" si="32"/>
        <v>0.9722791861596729</v>
      </c>
      <c r="BH75" s="283">
        <f t="shared" si="32"/>
        <v>0.97935847157344824</v>
      </c>
      <c r="BI75" s="283">
        <f t="shared" si="32"/>
        <v>0.9863793600606332</v>
      </c>
      <c r="BJ75" s="283">
        <f t="shared" si="32"/>
        <v>0.99229428969367328</v>
      </c>
      <c r="BK75" s="283">
        <f t="shared" si="32"/>
        <v>0.99624239053181296</v>
      </c>
    </row>
    <row r="76" spans="2:63" x14ac:dyDescent="0.45">
      <c r="B76" s="283">
        <f t="shared" ref="B76:U76" si="33">B34/B33</f>
        <v>0.85916023514831297</v>
      </c>
      <c r="C76" s="283">
        <f t="shared" si="33"/>
        <v>0.87586411596989067</v>
      </c>
      <c r="D76" s="283">
        <f t="shared" si="33"/>
        <v>0.8987291812313345</v>
      </c>
      <c r="E76" s="283">
        <f t="shared" si="33"/>
        <v>0.91546842610178991</v>
      </c>
      <c r="F76" s="283">
        <f t="shared" si="33"/>
        <v>0.92042827078002498</v>
      </c>
      <c r="G76" s="283">
        <f t="shared" si="33"/>
        <v>0.92379922251081015</v>
      </c>
      <c r="H76" s="283">
        <f t="shared" si="33"/>
        <v>0.92609266761380371</v>
      </c>
      <c r="I76" s="283">
        <f t="shared" si="33"/>
        <v>0.92750870814516995</v>
      </c>
      <c r="J76" s="283">
        <f t="shared" si="33"/>
        <v>0.93143273632644985</v>
      </c>
      <c r="K76" s="283">
        <f t="shared" si="33"/>
        <v>0.93724102020858935</v>
      </c>
      <c r="L76" s="283">
        <f t="shared" si="33"/>
        <v>0.94264874739044069</v>
      </c>
      <c r="M76" s="283">
        <f t="shared" si="33"/>
        <v>0.94141971140249225</v>
      </c>
      <c r="N76" s="283">
        <f t="shared" si="33"/>
        <v>0.94279815339604811</v>
      </c>
      <c r="O76" s="283">
        <f t="shared" si="33"/>
        <v>0.95304515187695449</v>
      </c>
      <c r="P76" s="283">
        <f t="shared" si="33"/>
        <v>0.95669217511604965</v>
      </c>
      <c r="Q76" s="283">
        <f t="shared" si="33"/>
        <v>0.96190962703337923</v>
      </c>
      <c r="R76" s="283">
        <f t="shared" si="33"/>
        <v>0.96897336060378747</v>
      </c>
      <c r="S76" s="283">
        <f t="shared" si="33"/>
        <v>0.98040389541961559</v>
      </c>
      <c r="T76" s="283">
        <f t="shared" si="33"/>
        <v>0.98681176430335704</v>
      </c>
      <c r="U76" s="283">
        <f t="shared" si="33"/>
        <v>0.99576037046635912</v>
      </c>
      <c r="W76" s="283">
        <f t="shared" ref="W76:AP76" si="34">W34/W33</f>
        <v>0.83155882437709572</v>
      </c>
      <c r="X76" s="283">
        <f t="shared" si="34"/>
        <v>0.84999975799223482</v>
      </c>
      <c r="Y76" s="283">
        <f t="shared" si="34"/>
        <v>0.8768200107387768</v>
      </c>
      <c r="Z76" s="283">
        <f t="shared" si="34"/>
        <v>0.89555712854598968</v>
      </c>
      <c r="AA76" s="283">
        <f t="shared" si="34"/>
        <v>0.90294182023790415</v>
      </c>
      <c r="AB76" s="283">
        <f t="shared" si="34"/>
        <v>0.90710085775638694</v>
      </c>
      <c r="AC76" s="283">
        <f t="shared" si="34"/>
        <v>0.91037813984128857</v>
      </c>
      <c r="AD76" s="283">
        <f t="shared" si="34"/>
        <v>0.91350258827639386</v>
      </c>
      <c r="AE76" s="283">
        <f t="shared" si="34"/>
        <v>0.9188175926106652</v>
      </c>
      <c r="AF76" s="283">
        <f t="shared" si="34"/>
        <v>0.92321835526351714</v>
      </c>
      <c r="AG76" s="283">
        <f t="shared" si="34"/>
        <v>0.92736349154549857</v>
      </c>
      <c r="AH76" s="283">
        <f t="shared" si="34"/>
        <v>0.93017028897916942</v>
      </c>
      <c r="AI76" s="283">
        <f t="shared" si="34"/>
        <v>0.93369882866200615</v>
      </c>
      <c r="AJ76" s="283">
        <f t="shared" si="34"/>
        <v>0.93842033906085676</v>
      </c>
      <c r="AK76" s="283">
        <f t="shared" si="34"/>
        <v>0.94499226454729868</v>
      </c>
      <c r="AL76" s="283">
        <f t="shared" si="34"/>
        <v>0.95408327698778916</v>
      </c>
      <c r="AM76" s="283">
        <f t="shared" si="34"/>
        <v>0.96498461469335672</v>
      </c>
      <c r="AN76" s="283">
        <f t="shared" si="34"/>
        <v>0.97601355915630972</v>
      </c>
      <c r="AO76" s="283">
        <f t="shared" si="34"/>
        <v>0.98553535575116746</v>
      </c>
      <c r="AP76" s="283">
        <f t="shared" si="34"/>
        <v>0.99502648678763828</v>
      </c>
      <c r="AR76" s="283">
        <f t="shared" ref="AR76:BK76" si="35">AR34/AR33</f>
        <v>0.87560936661298538</v>
      </c>
      <c r="AS76" s="283">
        <f t="shared" si="35"/>
        <v>0.89147171091538335</v>
      </c>
      <c r="AT76" s="283">
        <f t="shared" si="35"/>
        <v>0.91155319760655773</v>
      </c>
      <c r="AU76" s="283">
        <f t="shared" si="35"/>
        <v>0.92541831325241841</v>
      </c>
      <c r="AV76" s="283">
        <f t="shared" si="35"/>
        <v>0.92954190198690045</v>
      </c>
      <c r="AW76" s="283">
        <f t="shared" si="35"/>
        <v>0.93378166731866596</v>
      </c>
      <c r="AX76" s="283">
        <f t="shared" si="35"/>
        <v>0.93691485335452096</v>
      </c>
      <c r="AY76" s="283">
        <f t="shared" si="35"/>
        <v>0.93882663236632735</v>
      </c>
      <c r="AZ76" s="283">
        <f t="shared" si="35"/>
        <v>0.94101452515904671</v>
      </c>
      <c r="BA76" s="283">
        <f t="shared" si="35"/>
        <v>0.94511927667728313</v>
      </c>
      <c r="BB76" s="283">
        <f t="shared" si="35"/>
        <v>0.94960745787386092</v>
      </c>
      <c r="BC76" s="283">
        <f t="shared" si="35"/>
        <v>0.95230319781066963</v>
      </c>
      <c r="BD76" s="283">
        <f t="shared" si="35"/>
        <v>0.95548945847147715</v>
      </c>
      <c r="BE76" s="283">
        <f t="shared" si="35"/>
        <v>0.95885644813111026</v>
      </c>
      <c r="BF76" s="283">
        <f t="shared" si="35"/>
        <v>0.96367201593369634</v>
      </c>
      <c r="BG76" s="283">
        <f t="shared" si="35"/>
        <v>0.97023458639226712</v>
      </c>
      <c r="BH76" s="283">
        <f t="shared" si="35"/>
        <v>0.97793942574650328</v>
      </c>
      <c r="BI76" s="283">
        <f t="shared" si="35"/>
        <v>0.98556255063163556</v>
      </c>
      <c r="BJ76" s="283">
        <f t="shared" si="35"/>
        <v>0.99202079179126379</v>
      </c>
      <c r="BK76" s="283">
        <f t="shared" si="35"/>
        <v>0.99805607497420668</v>
      </c>
    </row>
    <row r="77" spans="2:63" x14ac:dyDescent="0.45">
      <c r="B77" s="283">
        <f t="shared" ref="B77:U77" si="36">B35/B34</f>
        <v>0.86845447593150349</v>
      </c>
      <c r="C77" s="283">
        <f t="shared" si="36"/>
        <v>0.88841041821115141</v>
      </c>
      <c r="D77" s="283">
        <f t="shared" si="36"/>
        <v>0.91073699280019627</v>
      </c>
      <c r="E77" s="283">
        <f t="shared" si="36"/>
        <v>0.92641573497254526</v>
      </c>
      <c r="F77" s="283">
        <f t="shared" si="36"/>
        <v>0.93145108141036892</v>
      </c>
      <c r="G77" s="283">
        <f t="shared" si="36"/>
        <v>0.9324585131138533</v>
      </c>
      <c r="H77" s="283">
        <f t="shared" si="36"/>
        <v>0.93324191995177985</v>
      </c>
      <c r="I77" s="283">
        <f t="shared" si="36"/>
        <v>0.93437156044034864</v>
      </c>
      <c r="J77" s="283">
        <f t="shared" si="36"/>
        <v>0.93502762307241083</v>
      </c>
      <c r="K77" s="283">
        <f t="shared" si="36"/>
        <v>0.93718268732429411</v>
      </c>
      <c r="L77" s="283">
        <f t="shared" si="36"/>
        <v>0.93993453278228611</v>
      </c>
      <c r="M77" s="283">
        <f t="shared" si="36"/>
        <v>0.94212423550366331</v>
      </c>
      <c r="N77" s="283">
        <f t="shared" si="36"/>
        <v>0.94076947209712991</v>
      </c>
      <c r="O77" s="283">
        <f t="shared" si="36"/>
        <v>0.94279318198516793</v>
      </c>
      <c r="P77" s="283">
        <f t="shared" si="36"/>
        <v>0.95396843356183592</v>
      </c>
      <c r="Q77" s="283">
        <f t="shared" si="36"/>
        <v>0.96042613491736584</v>
      </c>
      <c r="R77" s="283">
        <f t="shared" si="36"/>
        <v>0.96825018527474782</v>
      </c>
      <c r="S77" s="283">
        <f t="shared" si="36"/>
        <v>0.97651417168949795</v>
      </c>
      <c r="T77" s="283">
        <f t="shared" si="36"/>
        <v>0.98715916293392392</v>
      </c>
      <c r="U77" s="283">
        <f t="shared" si="36"/>
        <v>0.99380204683184237</v>
      </c>
      <c r="W77" s="283">
        <f t="shared" ref="W77:AP77" si="37">W35/W34</f>
        <v>0.85197692253412183</v>
      </c>
      <c r="X77" s="283">
        <f t="shared" si="37"/>
        <v>0.87288233807756888</v>
      </c>
      <c r="Y77" s="283">
        <f t="shared" si="37"/>
        <v>0.89598983314455305</v>
      </c>
      <c r="Z77" s="283">
        <f t="shared" si="37"/>
        <v>0.91406813561430889</v>
      </c>
      <c r="AA77" s="283">
        <f t="shared" si="37"/>
        <v>0.92033762300238786</v>
      </c>
      <c r="AB77" s="283">
        <f t="shared" si="37"/>
        <v>0.92135010758310032</v>
      </c>
      <c r="AC77" s="283">
        <f t="shared" si="37"/>
        <v>0.92179982318737308</v>
      </c>
      <c r="AD77" s="283">
        <f t="shared" si="37"/>
        <v>0.92388295818754307</v>
      </c>
      <c r="AE77" s="283">
        <f t="shared" si="37"/>
        <v>0.92545728352356149</v>
      </c>
      <c r="AF77" s="283">
        <f t="shared" si="37"/>
        <v>0.92701681245943957</v>
      </c>
      <c r="AG77" s="283">
        <f t="shared" si="37"/>
        <v>0.92771786067342155</v>
      </c>
      <c r="AH77" s="283">
        <f t="shared" si="37"/>
        <v>0.92858961604730994</v>
      </c>
      <c r="AI77" s="283">
        <f t="shared" si="37"/>
        <v>0.93099272733771155</v>
      </c>
      <c r="AJ77" s="283">
        <f t="shared" si="37"/>
        <v>0.93507618827248662</v>
      </c>
      <c r="AK77" s="283">
        <f t="shared" si="37"/>
        <v>0.94163125319126584</v>
      </c>
      <c r="AL77" s="283">
        <f t="shared" si="37"/>
        <v>0.95106366294995237</v>
      </c>
      <c r="AM77" s="283">
        <f t="shared" si="37"/>
        <v>0.96247142304666067</v>
      </c>
      <c r="AN77" s="283">
        <f t="shared" si="37"/>
        <v>0.97425698790694315</v>
      </c>
      <c r="AO77" s="283">
        <f t="shared" si="37"/>
        <v>0.98455019197219651</v>
      </c>
      <c r="AP77" s="283">
        <f t="shared" si="37"/>
        <v>0.99337604722010664</v>
      </c>
      <c r="AR77" s="283">
        <f t="shared" ref="AR77:BK77" si="38">AR35/AR34</f>
        <v>0.8777941500417622</v>
      </c>
      <c r="AS77" s="283">
        <f t="shared" si="38"/>
        <v>0.89713248058558914</v>
      </c>
      <c r="AT77" s="283">
        <f t="shared" si="38"/>
        <v>0.91901696778504349</v>
      </c>
      <c r="AU77" s="283">
        <f t="shared" si="38"/>
        <v>0.93231907851194773</v>
      </c>
      <c r="AV77" s="283">
        <f t="shared" si="38"/>
        <v>0.93704665051429936</v>
      </c>
      <c r="AW77" s="283">
        <f t="shared" si="38"/>
        <v>0.938885878713144</v>
      </c>
      <c r="AX77" s="283">
        <f t="shared" si="38"/>
        <v>0.94056388212618747</v>
      </c>
      <c r="AY77" s="283">
        <f t="shared" si="38"/>
        <v>0.94182200116219184</v>
      </c>
      <c r="AZ77" s="283">
        <f t="shared" si="38"/>
        <v>0.94289910600513271</v>
      </c>
      <c r="BA77" s="283">
        <f t="shared" si="38"/>
        <v>0.94473357125109036</v>
      </c>
      <c r="BB77" s="283">
        <f t="shared" si="38"/>
        <v>0.9463625634685493</v>
      </c>
      <c r="BC77" s="283">
        <f t="shared" si="38"/>
        <v>0.94805087792581222</v>
      </c>
      <c r="BD77" s="283">
        <f t="shared" si="38"/>
        <v>0.95076707999729093</v>
      </c>
      <c r="BE77" s="283">
        <f t="shared" si="38"/>
        <v>0.95423327874450026</v>
      </c>
      <c r="BF77" s="283">
        <f t="shared" si="38"/>
        <v>0.95936564578443118</v>
      </c>
      <c r="BG77" s="283">
        <f t="shared" si="38"/>
        <v>0.96653779853682265</v>
      </c>
      <c r="BH77" s="283">
        <f t="shared" si="38"/>
        <v>0.97519795674490151</v>
      </c>
      <c r="BI77" s="283">
        <f t="shared" si="38"/>
        <v>0.98384323164031484</v>
      </c>
      <c r="BJ77" s="283">
        <f t="shared" si="38"/>
        <v>0.99107066420904344</v>
      </c>
      <c r="BK77" s="283">
        <f t="shared" si="38"/>
        <v>0.99628138731452676</v>
      </c>
    </row>
    <row r="78" spans="2:63" x14ac:dyDescent="0.45">
      <c r="B78" s="283">
        <f t="shared" ref="B78:U78" si="39">B36/B35</f>
        <v>0.87858039626045914</v>
      </c>
      <c r="C78" s="283">
        <f t="shared" si="39"/>
        <v>0.89774378343021244</v>
      </c>
      <c r="D78" s="283">
        <f t="shared" si="39"/>
        <v>0.92052371449094361</v>
      </c>
      <c r="E78" s="283">
        <f t="shared" si="39"/>
        <v>0.93837746763833663</v>
      </c>
      <c r="F78" s="283">
        <f t="shared" si="39"/>
        <v>0.94262562439658504</v>
      </c>
      <c r="G78" s="283">
        <f t="shared" si="39"/>
        <v>0.94268543071177047</v>
      </c>
      <c r="H78" s="283">
        <f t="shared" si="39"/>
        <v>0.9408374504829492</v>
      </c>
      <c r="I78" s="283">
        <f t="shared" si="39"/>
        <v>0.9404201456942477</v>
      </c>
      <c r="J78" s="283">
        <f t="shared" si="39"/>
        <v>0.94008633102330375</v>
      </c>
      <c r="K78" s="283">
        <f t="shared" si="39"/>
        <v>0.93916589827291208</v>
      </c>
      <c r="L78" s="283">
        <f t="shared" si="39"/>
        <v>0.93908011537734937</v>
      </c>
      <c r="M78" s="283">
        <f t="shared" si="39"/>
        <v>0.94034040919314221</v>
      </c>
      <c r="N78" s="283">
        <f t="shared" si="39"/>
        <v>0.94276726715636561</v>
      </c>
      <c r="O78" s="283">
        <f t="shared" si="39"/>
        <v>0.94248538410535554</v>
      </c>
      <c r="P78" s="283">
        <f t="shared" si="39"/>
        <v>0.94672576696279531</v>
      </c>
      <c r="Q78" s="283">
        <f t="shared" si="39"/>
        <v>0.95972234401282663</v>
      </c>
      <c r="R78" s="283">
        <f t="shared" si="39"/>
        <v>0.96852839777430844</v>
      </c>
      <c r="S78" s="283">
        <f t="shared" si="39"/>
        <v>0.97731820316576212</v>
      </c>
      <c r="T78" s="283">
        <f t="shared" si="39"/>
        <v>0.9849884268902831</v>
      </c>
      <c r="U78" s="283">
        <f t="shared" si="39"/>
        <v>0.9926854629388665</v>
      </c>
      <c r="W78" s="283">
        <f t="shared" ref="W78:AP78" si="40">W36/W35</f>
        <v>0.86911233345230732</v>
      </c>
      <c r="X78" s="283">
        <f t="shared" si="40"/>
        <v>0.88671276785699216</v>
      </c>
      <c r="Y78" s="283">
        <f t="shared" si="40"/>
        <v>0.90954028751398419</v>
      </c>
      <c r="Z78" s="283">
        <f t="shared" si="40"/>
        <v>0.92971850609372264</v>
      </c>
      <c r="AA78" s="283">
        <f t="shared" si="40"/>
        <v>0.93516604605142117</v>
      </c>
      <c r="AB78" s="283">
        <f t="shared" si="40"/>
        <v>0.93512279371928131</v>
      </c>
      <c r="AC78" s="283">
        <f t="shared" si="40"/>
        <v>0.9327947514572118</v>
      </c>
      <c r="AD78" s="283">
        <f t="shared" si="40"/>
        <v>0.93200206178363876</v>
      </c>
      <c r="AE78" s="283">
        <f t="shared" si="40"/>
        <v>0.9318142831926578</v>
      </c>
      <c r="AF78" s="283">
        <f t="shared" si="40"/>
        <v>0.93078943827201721</v>
      </c>
      <c r="AG78" s="283">
        <f t="shared" si="40"/>
        <v>0.92972370953120076</v>
      </c>
      <c r="AH78" s="283">
        <f t="shared" si="40"/>
        <v>0.92876923437468939</v>
      </c>
      <c r="AI78" s="283">
        <f t="shared" si="40"/>
        <v>0.9300738672294131</v>
      </c>
      <c r="AJ78" s="283">
        <f t="shared" si="40"/>
        <v>0.93378436195430015</v>
      </c>
      <c r="AK78" s="283">
        <f t="shared" si="40"/>
        <v>0.94016115647258802</v>
      </c>
      <c r="AL78" s="283">
        <f t="shared" si="40"/>
        <v>0.94956327523730022</v>
      </c>
      <c r="AM78" s="283">
        <f t="shared" si="40"/>
        <v>0.96123636896696263</v>
      </c>
      <c r="AN78" s="283">
        <f t="shared" si="40"/>
        <v>0.97336133906030331</v>
      </c>
      <c r="AO78" s="283">
        <f t="shared" si="40"/>
        <v>0.98400177072145711</v>
      </c>
      <c r="AP78" s="283">
        <f t="shared" si="40"/>
        <v>0.99110000688591626</v>
      </c>
      <c r="AR78" s="283">
        <f t="shared" ref="AR78:BK78" si="41">AR36/AR35</f>
        <v>0.88347681599246419</v>
      </c>
      <c r="AS78" s="283">
        <f t="shared" si="41"/>
        <v>0.9039858411182311</v>
      </c>
      <c r="AT78" s="283">
        <f t="shared" si="41"/>
        <v>0.9263960388212682</v>
      </c>
      <c r="AU78" s="283">
        <f t="shared" si="41"/>
        <v>0.94241260812817507</v>
      </c>
      <c r="AV78" s="283">
        <f t="shared" si="41"/>
        <v>0.94639499641574465</v>
      </c>
      <c r="AW78" s="283">
        <f t="shared" si="41"/>
        <v>0.94725080053822774</v>
      </c>
      <c r="AX78" s="283">
        <f t="shared" si="41"/>
        <v>0.94616688945968141</v>
      </c>
      <c r="AY78" s="283">
        <f t="shared" si="41"/>
        <v>0.94596812067250535</v>
      </c>
      <c r="AZ78" s="283">
        <f t="shared" si="41"/>
        <v>0.94554178175207115</v>
      </c>
      <c r="BA78" s="283">
        <f t="shared" si="41"/>
        <v>0.94593070112967204</v>
      </c>
      <c r="BB78" s="283">
        <f t="shared" si="41"/>
        <v>0.94600963215005363</v>
      </c>
      <c r="BC78" s="283">
        <f t="shared" si="41"/>
        <v>0.94648718106023433</v>
      </c>
      <c r="BD78" s="283">
        <f t="shared" si="41"/>
        <v>0.94873672910977347</v>
      </c>
      <c r="BE78" s="283">
        <f t="shared" si="41"/>
        <v>0.9519111242051993</v>
      </c>
      <c r="BF78" s="283">
        <f t="shared" si="41"/>
        <v>0.95717044966736109</v>
      </c>
      <c r="BG78" s="283">
        <f t="shared" si="41"/>
        <v>0.96469462945876172</v>
      </c>
      <c r="BH78" s="283">
        <f t="shared" si="41"/>
        <v>0.97381616839622964</v>
      </c>
      <c r="BI78" s="283">
        <f t="shared" si="41"/>
        <v>0.98296963121951908</v>
      </c>
      <c r="BJ78" s="283">
        <f t="shared" si="41"/>
        <v>0.99070367787270075</v>
      </c>
      <c r="BK78" s="283">
        <f t="shared" si="41"/>
        <v>0.99613627108424951</v>
      </c>
    </row>
    <row r="79" spans="2:63" x14ac:dyDescent="0.45">
      <c r="B79" s="283">
        <f t="shared" ref="B79:U79" si="42">B37/B36</f>
        <v>0.88478903614490834</v>
      </c>
      <c r="C79" s="283">
        <f t="shared" si="42"/>
        <v>0.89948333736812058</v>
      </c>
      <c r="D79" s="283">
        <f t="shared" si="42"/>
        <v>0.92327119272132407</v>
      </c>
      <c r="E79" s="283">
        <f t="shared" si="42"/>
        <v>0.93970864097755147</v>
      </c>
      <c r="F79" s="283">
        <f t="shared" si="42"/>
        <v>0.943907330821813</v>
      </c>
      <c r="G79" s="283">
        <f t="shared" si="42"/>
        <v>0.94431016748742458</v>
      </c>
      <c r="H79" s="283">
        <f t="shared" si="42"/>
        <v>0.94219928564813749</v>
      </c>
      <c r="I79" s="283">
        <f t="shared" si="42"/>
        <v>0.93982307677979915</v>
      </c>
      <c r="J79" s="283">
        <f t="shared" si="42"/>
        <v>0.93890400211833935</v>
      </c>
      <c r="K79" s="283">
        <f t="shared" si="42"/>
        <v>0.93900644894723373</v>
      </c>
      <c r="L79" s="283">
        <f t="shared" si="42"/>
        <v>0.93746319118362587</v>
      </c>
      <c r="M79" s="283">
        <f t="shared" si="42"/>
        <v>0.93701263070754148</v>
      </c>
      <c r="N79" s="283">
        <f t="shared" si="42"/>
        <v>0.93980461323821307</v>
      </c>
      <c r="O79" s="283">
        <f t="shared" si="42"/>
        <v>0.94341413965245779</v>
      </c>
      <c r="P79" s="283">
        <f t="shared" si="42"/>
        <v>0.94597088630429582</v>
      </c>
      <c r="Q79" s="283">
        <f t="shared" si="42"/>
        <v>0.95316188572758787</v>
      </c>
      <c r="R79" s="283">
        <f t="shared" si="42"/>
        <v>0.96763023415522409</v>
      </c>
      <c r="S79" s="283">
        <f t="shared" si="42"/>
        <v>0.97740527601050153</v>
      </c>
      <c r="T79" s="283">
        <f t="shared" si="42"/>
        <v>0.98551893034723359</v>
      </c>
      <c r="U79" s="283">
        <f t="shared" si="42"/>
        <v>0.99442436854629412</v>
      </c>
      <c r="W79" s="283">
        <f t="shared" ref="W79:AP79" si="43">W37/W36</f>
        <v>0.88335475540988706</v>
      </c>
      <c r="X79" s="283">
        <f t="shared" si="43"/>
        <v>0.89508982339042953</v>
      </c>
      <c r="Y79" s="283">
        <f t="shared" si="43"/>
        <v>0.91602367056390277</v>
      </c>
      <c r="Z79" s="283">
        <f t="shared" si="43"/>
        <v>0.93379910913271447</v>
      </c>
      <c r="AA79" s="283">
        <f t="shared" si="43"/>
        <v>0.93914934058204247</v>
      </c>
      <c r="AB79" s="283">
        <f t="shared" si="43"/>
        <v>0.93892354534743583</v>
      </c>
      <c r="AC79" s="283">
        <f t="shared" si="43"/>
        <v>0.93679839929181219</v>
      </c>
      <c r="AD79" s="283">
        <f t="shared" si="43"/>
        <v>0.93469458476355283</v>
      </c>
      <c r="AE79" s="283">
        <f t="shared" si="43"/>
        <v>0.9334306074110631</v>
      </c>
      <c r="AF79" s="283">
        <f t="shared" si="43"/>
        <v>0.9327804829437949</v>
      </c>
      <c r="AG79" s="283">
        <f t="shared" si="43"/>
        <v>0.93144380004373495</v>
      </c>
      <c r="AH79" s="283">
        <f t="shared" si="43"/>
        <v>0.9298806587687074</v>
      </c>
      <c r="AI79" s="283">
        <f t="shared" si="43"/>
        <v>0.93104376058086158</v>
      </c>
      <c r="AJ79" s="283">
        <f t="shared" si="43"/>
        <v>0.93445900203028487</v>
      </c>
      <c r="AK79" s="283">
        <f t="shared" si="43"/>
        <v>0.9404688584137384</v>
      </c>
      <c r="AL79" s="283">
        <f t="shared" si="43"/>
        <v>0.94955908752141827</v>
      </c>
      <c r="AM79" s="283">
        <f t="shared" si="43"/>
        <v>0.96094525144663279</v>
      </c>
      <c r="AN79" s="283">
        <f t="shared" si="43"/>
        <v>0.97292797050561308</v>
      </c>
      <c r="AO79" s="283">
        <f t="shared" si="43"/>
        <v>0.98358648947260396</v>
      </c>
      <c r="AP79" s="283">
        <f t="shared" si="43"/>
        <v>0.99462761803847721</v>
      </c>
      <c r="AR79" s="283">
        <f t="shared" ref="AR79:BK79" si="44">AR37/AR36</f>
        <v>0.88544560044522524</v>
      </c>
      <c r="AS79" s="283">
        <f t="shared" si="44"/>
        <v>0.90168531396591733</v>
      </c>
      <c r="AT79" s="283">
        <f t="shared" si="44"/>
        <v>0.92690391791416471</v>
      </c>
      <c r="AU79" s="283">
        <f t="shared" si="44"/>
        <v>0.942262769968503</v>
      </c>
      <c r="AV79" s="283">
        <f t="shared" si="44"/>
        <v>0.94605821085683917</v>
      </c>
      <c r="AW79" s="283">
        <f t="shared" si="44"/>
        <v>0.94726976286307407</v>
      </c>
      <c r="AX79" s="283">
        <f t="shared" si="44"/>
        <v>0.94566245224889578</v>
      </c>
      <c r="AY79" s="283">
        <f t="shared" si="44"/>
        <v>0.94319035894722236</v>
      </c>
      <c r="AZ79" s="283">
        <f t="shared" si="44"/>
        <v>0.94210290932688701</v>
      </c>
      <c r="BA79" s="283">
        <f t="shared" si="44"/>
        <v>0.94270844509235152</v>
      </c>
      <c r="BB79" s="283">
        <f t="shared" si="44"/>
        <v>0.94260178453271282</v>
      </c>
      <c r="BC79" s="283">
        <f t="shared" si="44"/>
        <v>0.94247814492634585</v>
      </c>
      <c r="BD79" s="283">
        <f t="shared" si="44"/>
        <v>0.94435564695132934</v>
      </c>
      <c r="BE79" s="283">
        <f t="shared" si="44"/>
        <v>0.94748306678046923</v>
      </c>
      <c r="BF79" s="283">
        <f t="shared" si="44"/>
        <v>0.95283674532550788</v>
      </c>
      <c r="BG79" s="283">
        <f t="shared" si="44"/>
        <v>0.96077341588730281</v>
      </c>
      <c r="BH79" s="283">
        <f t="shared" si="44"/>
        <v>0.97056358856932523</v>
      </c>
      <c r="BI79" s="283">
        <f t="shared" si="44"/>
        <v>0.98061771530314923</v>
      </c>
      <c r="BJ79" s="283">
        <f t="shared" si="44"/>
        <v>0.98920736651697105</v>
      </c>
      <c r="BK79" s="283">
        <f t="shared" si="44"/>
        <v>0.99607826170627345</v>
      </c>
    </row>
    <row r="80" spans="2:63" x14ac:dyDescent="0.45">
      <c r="B80" s="283">
        <f t="shared" ref="B80:U80" si="45">B38/B37</f>
        <v>0.89081532082483772</v>
      </c>
      <c r="C80" s="283">
        <f t="shared" si="45"/>
        <v>0.90473456809486075</v>
      </c>
      <c r="D80" s="283">
        <f t="shared" si="45"/>
        <v>0.92675499659517668</v>
      </c>
      <c r="E80" s="283">
        <f t="shared" si="45"/>
        <v>0.93864068998271144</v>
      </c>
      <c r="F80" s="283">
        <f t="shared" si="45"/>
        <v>0.94429117570303067</v>
      </c>
      <c r="G80" s="283">
        <f t="shared" si="45"/>
        <v>0.94335274454968421</v>
      </c>
      <c r="H80" s="283">
        <f t="shared" si="45"/>
        <v>0.94112490620533718</v>
      </c>
      <c r="I80" s="283">
        <f t="shared" si="45"/>
        <v>0.9389388863453928</v>
      </c>
      <c r="J80" s="283">
        <f t="shared" si="45"/>
        <v>0.93802474926515778</v>
      </c>
      <c r="K80" s="283">
        <f t="shared" si="45"/>
        <v>0.93861419319695483</v>
      </c>
      <c r="L80" s="283">
        <f t="shared" si="45"/>
        <v>0.9381392753434159</v>
      </c>
      <c r="M80" s="283">
        <f t="shared" si="45"/>
        <v>0.93660879291216259</v>
      </c>
      <c r="N80" s="283">
        <f t="shared" si="45"/>
        <v>0.93815127372303719</v>
      </c>
      <c r="O80" s="283">
        <f t="shared" si="45"/>
        <v>0.94214646626472676</v>
      </c>
      <c r="P80" s="283">
        <f t="shared" si="45"/>
        <v>0.94795373683634099</v>
      </c>
      <c r="Q80" s="283">
        <f t="shared" si="45"/>
        <v>0.95361252134406127</v>
      </c>
      <c r="R80" s="283">
        <f t="shared" si="45"/>
        <v>0.96301548288537908</v>
      </c>
      <c r="S80" s="283">
        <f t="shared" si="45"/>
        <v>0.97734529635947365</v>
      </c>
      <c r="T80" s="283">
        <f t="shared" si="45"/>
        <v>0.98599553304740462</v>
      </c>
      <c r="U80" s="283">
        <f t="shared" si="45"/>
        <v>0.9923268365091833</v>
      </c>
      <c r="W80" s="283">
        <f t="shared" ref="W80:AP80" si="46">W38/W37</f>
        <v>0.89584777249312653</v>
      </c>
      <c r="X80" s="283">
        <f t="shared" si="46"/>
        <v>0.90320474452530286</v>
      </c>
      <c r="Y80" s="283">
        <f t="shared" si="46"/>
        <v>0.92627911792611972</v>
      </c>
      <c r="Z80" s="283">
        <f t="shared" si="46"/>
        <v>0.9382256218062569</v>
      </c>
      <c r="AA80" s="283">
        <f t="shared" si="46"/>
        <v>0.94290068604006838</v>
      </c>
      <c r="AB80" s="283">
        <f t="shared" si="46"/>
        <v>0.94128891645949209</v>
      </c>
      <c r="AC80" s="283">
        <f t="shared" si="46"/>
        <v>0.93704769417258016</v>
      </c>
      <c r="AD80" s="283">
        <f t="shared" si="46"/>
        <v>0.93583517804726413</v>
      </c>
      <c r="AE80" s="283">
        <f t="shared" si="46"/>
        <v>0.93458601036540079</v>
      </c>
      <c r="AF80" s="283">
        <f t="shared" si="46"/>
        <v>0.93415014687592235</v>
      </c>
      <c r="AG80" s="283">
        <f t="shared" si="46"/>
        <v>0.93288548055544473</v>
      </c>
      <c r="AH80" s="283">
        <f t="shared" si="46"/>
        <v>0.93164833535333602</v>
      </c>
      <c r="AI80" s="283">
        <f t="shared" si="46"/>
        <v>0.93254789185400933</v>
      </c>
      <c r="AJ80" s="283">
        <f t="shared" si="46"/>
        <v>0.9355492873423723</v>
      </c>
      <c r="AK80" s="283">
        <f t="shared" si="46"/>
        <v>0.94115701136702135</v>
      </c>
      <c r="AL80" s="283">
        <f t="shared" si="46"/>
        <v>0.94987198701940212</v>
      </c>
      <c r="AM80" s="283">
        <f t="shared" si="46"/>
        <v>0.96088819537951764</v>
      </c>
      <c r="AN80" s="283">
        <f t="shared" si="46"/>
        <v>0.97263073893819074</v>
      </c>
      <c r="AO80" s="283">
        <f t="shared" si="46"/>
        <v>0.98317013937439457</v>
      </c>
      <c r="AP80" s="283">
        <f t="shared" si="46"/>
        <v>0.99109996941317202</v>
      </c>
      <c r="AR80" s="283">
        <f t="shared" ref="AR80:BK80" si="47">AR38/AR37</f>
        <v>0.88798034337573717</v>
      </c>
      <c r="AS80" s="283">
        <f t="shared" si="47"/>
        <v>0.90542123919483353</v>
      </c>
      <c r="AT80" s="283">
        <f t="shared" si="47"/>
        <v>0.92676260895051699</v>
      </c>
      <c r="AU80" s="283">
        <f t="shared" si="47"/>
        <v>0.93857652191583807</v>
      </c>
      <c r="AV80" s="283">
        <f t="shared" si="47"/>
        <v>0.94475913346527784</v>
      </c>
      <c r="AW80" s="283">
        <f t="shared" si="47"/>
        <v>0.94440675138553076</v>
      </c>
      <c r="AX80" s="283">
        <f t="shared" si="47"/>
        <v>0.94367777484967641</v>
      </c>
      <c r="AY80" s="283">
        <f t="shared" si="47"/>
        <v>0.94098184273096164</v>
      </c>
      <c r="AZ80" s="283">
        <f t="shared" si="47"/>
        <v>0.94016949476065848</v>
      </c>
      <c r="BA80" s="283">
        <f t="shared" si="47"/>
        <v>0.94090424226433178</v>
      </c>
      <c r="BB80" s="283">
        <f t="shared" si="47"/>
        <v>0.94114007715874126</v>
      </c>
      <c r="BC80" s="283">
        <f t="shared" si="47"/>
        <v>0.94107852965407457</v>
      </c>
      <c r="BD80" s="283">
        <f t="shared" si="47"/>
        <v>0.94265057055242896</v>
      </c>
      <c r="BE80" s="283">
        <f t="shared" si="47"/>
        <v>0.94564689555052028</v>
      </c>
      <c r="BF80" s="283">
        <f t="shared" si="47"/>
        <v>0.95097613081549082</v>
      </c>
      <c r="BG80" s="283">
        <f t="shared" si="47"/>
        <v>0.95890810795371761</v>
      </c>
      <c r="BH80" s="283">
        <f t="shared" si="47"/>
        <v>0.96891022613564914</v>
      </c>
      <c r="BI80" s="283">
        <f t="shared" si="47"/>
        <v>0.97933227824252245</v>
      </c>
      <c r="BJ80" s="283">
        <f t="shared" si="47"/>
        <v>0.9883192507478098</v>
      </c>
      <c r="BK80" s="283">
        <f t="shared" si="47"/>
        <v>0.99544717291602858</v>
      </c>
    </row>
    <row r="81" spans="2:63" x14ac:dyDescent="0.45">
      <c r="B81" s="283">
        <f t="shared" ref="B81:U81" si="48">B39/B38</f>
        <v>0.89272871190095815</v>
      </c>
      <c r="C81" s="283">
        <f t="shared" si="48"/>
        <v>0.9069387788508021</v>
      </c>
      <c r="D81" s="283">
        <f t="shared" si="48"/>
        <v>0.92478637872652281</v>
      </c>
      <c r="E81" s="283">
        <f t="shared" si="48"/>
        <v>0.93796511738932564</v>
      </c>
      <c r="F81" s="283">
        <f t="shared" si="48"/>
        <v>0.94092500030970005</v>
      </c>
      <c r="G81" s="283">
        <f t="shared" si="48"/>
        <v>0.94104230245514897</v>
      </c>
      <c r="H81" s="283">
        <f t="shared" si="48"/>
        <v>0.93855909908409563</v>
      </c>
      <c r="I81" s="283">
        <f t="shared" si="48"/>
        <v>0.93703951601877511</v>
      </c>
      <c r="J81" s="283">
        <f t="shared" si="48"/>
        <v>0.93702680310521969</v>
      </c>
      <c r="K81" s="283">
        <f t="shared" si="48"/>
        <v>0.93758646114910771</v>
      </c>
      <c r="L81" s="283">
        <f t="shared" si="48"/>
        <v>0.93769533800734761</v>
      </c>
      <c r="M81" s="283">
        <f t="shared" si="48"/>
        <v>0.9371667896530026</v>
      </c>
      <c r="N81" s="283">
        <f t="shared" si="48"/>
        <v>0.9375427710215305</v>
      </c>
      <c r="O81" s="283">
        <f t="shared" si="48"/>
        <v>0.94055653398299299</v>
      </c>
      <c r="P81" s="283">
        <f t="shared" si="48"/>
        <v>0.94671001642593666</v>
      </c>
      <c r="Q81" s="283">
        <f t="shared" si="48"/>
        <v>0.95517597683898614</v>
      </c>
      <c r="R81" s="283">
        <f t="shared" si="48"/>
        <v>0.96344806358089508</v>
      </c>
      <c r="S81" s="283">
        <f t="shared" si="48"/>
        <v>0.97364311721155739</v>
      </c>
      <c r="T81" s="283">
        <f t="shared" si="48"/>
        <v>0.98614209222797589</v>
      </c>
      <c r="U81" s="283">
        <f t="shared" si="48"/>
        <v>0.99509921962058445</v>
      </c>
      <c r="W81" s="283">
        <f t="shared" ref="W81:AP81" si="49">W39/W38</f>
        <v>0.90327151021343277</v>
      </c>
      <c r="X81" s="283">
        <f t="shared" si="49"/>
        <v>0.91587358853280787</v>
      </c>
      <c r="Y81" s="283">
        <f t="shared" si="49"/>
        <v>0.92586847382530479</v>
      </c>
      <c r="Z81" s="283">
        <f t="shared" si="49"/>
        <v>0.93898262513020947</v>
      </c>
      <c r="AA81" s="283">
        <f t="shared" si="49"/>
        <v>0.94197784957955488</v>
      </c>
      <c r="AB81" s="283">
        <f t="shared" si="49"/>
        <v>0.93988241695773689</v>
      </c>
      <c r="AC81" s="283">
        <f t="shared" si="49"/>
        <v>0.93726868359193038</v>
      </c>
      <c r="AD81" s="283">
        <f t="shared" si="49"/>
        <v>0.93569240537383047</v>
      </c>
      <c r="AE81" s="283">
        <f t="shared" si="49"/>
        <v>0.93646281148062771</v>
      </c>
      <c r="AF81" s="283">
        <f t="shared" si="49"/>
        <v>0.93633245054580572</v>
      </c>
      <c r="AG81" s="283">
        <f t="shared" si="49"/>
        <v>0.93532467502102989</v>
      </c>
      <c r="AH81" s="283">
        <f t="shared" si="49"/>
        <v>0.93415133616295698</v>
      </c>
      <c r="AI81" s="283">
        <f t="shared" si="49"/>
        <v>0.934737585253828</v>
      </c>
      <c r="AJ81" s="283">
        <f t="shared" si="49"/>
        <v>0.93756627402865067</v>
      </c>
      <c r="AK81" s="283">
        <f t="shared" si="49"/>
        <v>0.94280101417272399</v>
      </c>
      <c r="AL81" s="283">
        <f t="shared" si="49"/>
        <v>0.95095833717112033</v>
      </c>
      <c r="AM81" s="283">
        <f t="shared" si="49"/>
        <v>0.96150004408641754</v>
      </c>
      <c r="AN81" s="283">
        <f t="shared" si="49"/>
        <v>0.97282857794015543</v>
      </c>
      <c r="AO81" s="283">
        <f t="shared" si="49"/>
        <v>0.9831607330157015</v>
      </c>
      <c r="AP81" s="283">
        <f t="shared" si="49"/>
        <v>0.99385892196515657</v>
      </c>
      <c r="AR81" s="283">
        <f t="shared" ref="AR81:BK81" si="50">AR39/AR38</f>
        <v>0.887013801056453</v>
      </c>
      <c r="AS81" s="283">
        <f t="shared" si="50"/>
        <v>0.9021068330767561</v>
      </c>
      <c r="AT81" s="283">
        <f t="shared" si="50"/>
        <v>0.92411463744857525</v>
      </c>
      <c r="AU81" s="283">
        <f t="shared" si="50"/>
        <v>0.93722593375686858</v>
      </c>
      <c r="AV81" s="283">
        <f t="shared" si="50"/>
        <v>0.94012421210980057</v>
      </c>
      <c r="AW81" s="283">
        <f t="shared" si="50"/>
        <v>0.94148803948831983</v>
      </c>
      <c r="AX81" s="283">
        <f t="shared" si="50"/>
        <v>0.93924346723055452</v>
      </c>
      <c r="AY81" s="283">
        <f t="shared" si="50"/>
        <v>0.93786967906309582</v>
      </c>
      <c r="AZ81" s="283">
        <f t="shared" si="50"/>
        <v>0.9372314349422175</v>
      </c>
      <c r="BA81" s="283">
        <f t="shared" si="50"/>
        <v>0.93807729202120227</v>
      </c>
      <c r="BB81" s="283">
        <f t="shared" si="50"/>
        <v>0.93852888970413384</v>
      </c>
      <c r="BC81" s="283">
        <f t="shared" si="50"/>
        <v>0.93865994861735591</v>
      </c>
      <c r="BD81" s="283">
        <f t="shared" si="50"/>
        <v>0.94043027794247513</v>
      </c>
      <c r="BE81" s="283">
        <f t="shared" si="50"/>
        <v>0.94315964888526516</v>
      </c>
      <c r="BF81" s="283">
        <f t="shared" si="50"/>
        <v>0.94838791862062066</v>
      </c>
      <c r="BG81" s="283">
        <f t="shared" si="50"/>
        <v>0.95652741844831479</v>
      </c>
      <c r="BH81" s="283">
        <f t="shared" si="50"/>
        <v>0.96686362338657206</v>
      </c>
      <c r="BI81" s="283">
        <f t="shared" si="50"/>
        <v>0.97777802812194614</v>
      </c>
      <c r="BJ81" s="283">
        <f t="shared" si="50"/>
        <v>0.98734668227131961</v>
      </c>
      <c r="BK81" s="283">
        <f t="shared" si="50"/>
        <v>0.99677365090862924</v>
      </c>
    </row>
    <row r="82" spans="2:63" x14ac:dyDescent="0.45">
      <c r="B82" s="283">
        <f t="shared" ref="B82:U82" si="51">B40/B39</f>
        <v>0.89868559478541676</v>
      </c>
      <c r="C82" s="283">
        <f t="shared" si="51"/>
        <v>0.90673509087142445</v>
      </c>
      <c r="D82" s="283">
        <f t="shared" si="51"/>
        <v>0.92705761352451999</v>
      </c>
      <c r="E82" s="283">
        <f t="shared" si="51"/>
        <v>0.93821441447422138</v>
      </c>
      <c r="F82" s="283">
        <f t="shared" si="51"/>
        <v>0.93905092066764961</v>
      </c>
      <c r="G82" s="283">
        <f t="shared" si="51"/>
        <v>0.93872921312553947</v>
      </c>
      <c r="H82" s="283">
        <f t="shared" si="51"/>
        <v>0.93638762834910239</v>
      </c>
      <c r="I82" s="283">
        <f t="shared" si="51"/>
        <v>0.93525216257102195</v>
      </c>
      <c r="J82" s="283">
        <f t="shared" si="51"/>
        <v>0.93545433468062089</v>
      </c>
      <c r="K82" s="283">
        <f t="shared" si="51"/>
        <v>0.9360642599760528</v>
      </c>
      <c r="L82" s="283">
        <f t="shared" si="51"/>
        <v>0.93602152486866519</v>
      </c>
      <c r="M82" s="283">
        <f t="shared" si="51"/>
        <v>0.93568877414328699</v>
      </c>
      <c r="N82" s="283">
        <f t="shared" si="51"/>
        <v>0.93679010437700416</v>
      </c>
      <c r="O82" s="283">
        <f t="shared" si="51"/>
        <v>0.93872286491623391</v>
      </c>
      <c r="P82" s="283">
        <f t="shared" si="51"/>
        <v>0.94405721392204867</v>
      </c>
      <c r="Q82" s="283">
        <f t="shared" si="51"/>
        <v>0.95293667461846987</v>
      </c>
      <c r="R82" s="283">
        <f t="shared" si="51"/>
        <v>0.96370222181685194</v>
      </c>
      <c r="S82" s="283">
        <f t="shared" si="51"/>
        <v>0.97333082160154272</v>
      </c>
      <c r="T82" s="283">
        <f t="shared" si="51"/>
        <v>0.98292876245843019</v>
      </c>
      <c r="U82" s="283">
        <f t="shared" si="51"/>
        <v>0.99300186751418662</v>
      </c>
      <c r="W82" s="283">
        <f t="shared" ref="W82:AP82" si="52">W40/W39</f>
        <v>0.9144354749539797</v>
      </c>
      <c r="X82" s="283">
        <f t="shared" si="52"/>
        <v>0.91431722725228493</v>
      </c>
      <c r="Y82" s="283">
        <f t="shared" si="52"/>
        <v>0.9311604192962174</v>
      </c>
      <c r="Z82" s="283">
        <f t="shared" si="52"/>
        <v>0.94303521964910786</v>
      </c>
      <c r="AA82" s="283">
        <f t="shared" si="52"/>
        <v>0.94204363059516449</v>
      </c>
      <c r="AB82" s="283">
        <f t="shared" si="52"/>
        <v>0.940031871019398</v>
      </c>
      <c r="AC82" s="283">
        <f t="shared" si="52"/>
        <v>0.93606567274972774</v>
      </c>
      <c r="AD82" s="283">
        <f t="shared" si="52"/>
        <v>0.93557553576028851</v>
      </c>
      <c r="AE82" s="283">
        <f t="shared" si="52"/>
        <v>0.93569181336544249</v>
      </c>
      <c r="AF82" s="283">
        <f t="shared" si="52"/>
        <v>0.93605667830745076</v>
      </c>
      <c r="AG82" s="283">
        <f t="shared" si="52"/>
        <v>0.93576283181294273</v>
      </c>
      <c r="AH82" s="283">
        <f t="shared" si="52"/>
        <v>0.93445740187716253</v>
      </c>
      <c r="AI82" s="283">
        <f t="shared" si="52"/>
        <v>0.93505826901860301</v>
      </c>
      <c r="AJ82" s="283">
        <f t="shared" si="52"/>
        <v>0.93764191058281932</v>
      </c>
      <c r="AK82" s="283">
        <f t="shared" si="52"/>
        <v>0.94270298121389229</v>
      </c>
      <c r="AL82" s="283">
        <f t="shared" si="52"/>
        <v>0.95066843524306055</v>
      </c>
      <c r="AM82" s="283">
        <f t="shared" si="52"/>
        <v>0.96094699039800013</v>
      </c>
      <c r="AN82" s="283">
        <f t="shared" si="52"/>
        <v>0.97223745795159755</v>
      </c>
      <c r="AO82" s="283">
        <f t="shared" si="52"/>
        <v>0.98260949110579121</v>
      </c>
      <c r="AP82" s="283">
        <f t="shared" si="52"/>
        <v>0.99158986307184516</v>
      </c>
      <c r="AR82" s="283">
        <f t="shared" ref="AR82:BK82" si="53">AR40/AR39</f>
        <v>0.8898156546022955</v>
      </c>
      <c r="AS82" s="283">
        <f t="shared" si="53"/>
        <v>0.90197912520957479</v>
      </c>
      <c r="AT82" s="283">
        <f t="shared" si="53"/>
        <v>0.92454316895663213</v>
      </c>
      <c r="AU82" s="283">
        <f t="shared" si="53"/>
        <v>0.93563180006014546</v>
      </c>
      <c r="AV82" s="283">
        <f t="shared" si="53"/>
        <v>0.9372367627109971</v>
      </c>
      <c r="AW82" s="283">
        <f t="shared" si="53"/>
        <v>0.93773350829116031</v>
      </c>
      <c r="AX82" s="283">
        <f t="shared" si="53"/>
        <v>0.93642462064269527</v>
      </c>
      <c r="AY82" s="283">
        <f t="shared" si="53"/>
        <v>0.93481149910918748</v>
      </c>
      <c r="AZ82" s="283">
        <f t="shared" si="53"/>
        <v>0.93504452839230512</v>
      </c>
      <c r="BA82" s="283">
        <f t="shared" si="53"/>
        <v>0.93581908179616946</v>
      </c>
      <c r="BB82" s="283">
        <f t="shared" si="53"/>
        <v>0.9357844948768812</v>
      </c>
      <c r="BC82" s="283">
        <f t="shared" si="53"/>
        <v>0.93568241118169515</v>
      </c>
      <c r="BD82" s="283">
        <f t="shared" si="53"/>
        <v>0.93737189972341994</v>
      </c>
      <c r="BE82" s="283">
        <f t="shared" si="53"/>
        <v>0.94013614492617215</v>
      </c>
      <c r="BF82" s="283">
        <f t="shared" si="53"/>
        <v>0.94522895829860909</v>
      </c>
      <c r="BG82" s="283">
        <f t="shared" si="53"/>
        <v>0.95340404518970556</v>
      </c>
      <c r="BH82" s="283">
        <f t="shared" si="53"/>
        <v>0.96409231840802057</v>
      </c>
      <c r="BI82" s="283">
        <f t="shared" si="53"/>
        <v>0.97559839658629144</v>
      </c>
      <c r="BJ82" s="283">
        <f t="shared" si="53"/>
        <v>0.98583515646120878</v>
      </c>
      <c r="BK82" s="283">
        <f t="shared" si="53"/>
        <v>0.99422322304313016</v>
      </c>
    </row>
    <row r="83" spans="2:63" x14ac:dyDescent="0.45">
      <c r="B83" s="283">
        <f t="shared" ref="B83:U83" si="54">B41/B40</f>
        <v>0.90314784651962898</v>
      </c>
      <c r="C83" s="283">
        <f t="shared" si="54"/>
        <v>0.9092835239313295</v>
      </c>
      <c r="D83" s="283">
        <f t="shared" si="54"/>
        <v>0.92921979229357154</v>
      </c>
      <c r="E83" s="283">
        <f t="shared" si="54"/>
        <v>0.9382198898487184</v>
      </c>
      <c r="F83" s="283">
        <f t="shared" si="54"/>
        <v>0.93775905378339075</v>
      </c>
      <c r="G83" s="283">
        <f t="shared" si="54"/>
        <v>0.93545134428786336</v>
      </c>
      <c r="H83" s="283">
        <f t="shared" si="54"/>
        <v>0.93269356555763661</v>
      </c>
      <c r="I83" s="283">
        <f t="shared" si="54"/>
        <v>0.93261395342707465</v>
      </c>
      <c r="J83" s="283">
        <f t="shared" si="54"/>
        <v>0.93329234990576648</v>
      </c>
      <c r="K83" s="283">
        <f t="shared" si="54"/>
        <v>0.93430251303165968</v>
      </c>
      <c r="L83" s="283">
        <f t="shared" si="54"/>
        <v>0.93452201853216199</v>
      </c>
      <c r="M83" s="283">
        <f t="shared" si="54"/>
        <v>0.93402782853792155</v>
      </c>
      <c r="N83" s="283">
        <f t="shared" si="54"/>
        <v>0.93531675616773702</v>
      </c>
      <c r="O83" s="283">
        <f t="shared" si="54"/>
        <v>0.93805435442241625</v>
      </c>
      <c r="P83" s="283">
        <f t="shared" si="54"/>
        <v>0.94251988896828842</v>
      </c>
      <c r="Q83" s="283">
        <f t="shared" si="54"/>
        <v>0.95087059447124944</v>
      </c>
      <c r="R83" s="283">
        <f t="shared" si="54"/>
        <v>0.96220516218577457</v>
      </c>
      <c r="S83" s="283">
        <f t="shared" si="54"/>
        <v>0.97402114915502891</v>
      </c>
      <c r="T83" s="283">
        <f t="shared" si="54"/>
        <v>0.98314249725554981</v>
      </c>
      <c r="U83" s="283">
        <f t="shared" si="54"/>
        <v>0.99146941204283068</v>
      </c>
      <c r="W83" s="283">
        <f t="shared" ref="W83:AP83" si="55">W41/W40</f>
        <v>0.92080571196424033</v>
      </c>
      <c r="X83" s="283">
        <f t="shared" si="55"/>
        <v>0.91987904235201945</v>
      </c>
      <c r="Y83" s="283">
        <f t="shared" si="55"/>
        <v>0.93721537378907527</v>
      </c>
      <c r="Z83" s="283">
        <f t="shared" si="55"/>
        <v>0.94507848325424004</v>
      </c>
      <c r="AA83" s="283">
        <f t="shared" si="55"/>
        <v>0.94211712036766049</v>
      </c>
      <c r="AB83" s="283">
        <f t="shared" si="55"/>
        <v>0.93895800419345488</v>
      </c>
      <c r="AC83" s="283">
        <f t="shared" si="55"/>
        <v>0.93466599221710744</v>
      </c>
      <c r="AD83" s="283">
        <f t="shared" si="55"/>
        <v>0.93555472977821752</v>
      </c>
      <c r="AE83" s="283">
        <f t="shared" si="55"/>
        <v>0.93676023314905077</v>
      </c>
      <c r="AF83" s="283">
        <f t="shared" si="55"/>
        <v>0.93740796295252371</v>
      </c>
      <c r="AG83" s="283">
        <f t="shared" si="55"/>
        <v>0.93715956407972367</v>
      </c>
      <c r="AH83" s="283">
        <f t="shared" si="55"/>
        <v>0.93592283849260671</v>
      </c>
      <c r="AI83" s="283">
        <f t="shared" si="55"/>
        <v>0.936403068136755</v>
      </c>
      <c r="AJ83" s="283">
        <f t="shared" si="55"/>
        <v>0.93915139841448547</v>
      </c>
      <c r="AK83" s="283">
        <f t="shared" si="55"/>
        <v>0.9439320978612189</v>
      </c>
      <c r="AL83" s="283">
        <f t="shared" si="55"/>
        <v>0.95160357407375817</v>
      </c>
      <c r="AM83" s="283">
        <f t="shared" si="55"/>
        <v>0.96160200431570408</v>
      </c>
      <c r="AN83" s="283">
        <f t="shared" si="55"/>
        <v>0.97251269932360285</v>
      </c>
      <c r="AO83" s="283">
        <f t="shared" si="55"/>
        <v>0.98264616460693865</v>
      </c>
      <c r="AP83" s="283">
        <f t="shared" si="55"/>
        <v>0.99179501438616646</v>
      </c>
      <c r="AR83" s="283">
        <f t="shared" ref="AR83:BK83" si="56">AR41/AR40</f>
        <v>0.89274391822160681</v>
      </c>
      <c r="AS83" s="283">
        <f t="shared" si="56"/>
        <v>0.90318589241390024</v>
      </c>
      <c r="AT83" s="283">
        <f t="shared" si="56"/>
        <v>0.92482872306447794</v>
      </c>
      <c r="AU83" s="283">
        <f t="shared" si="56"/>
        <v>0.93453986672925182</v>
      </c>
      <c r="AV83" s="283">
        <f t="shared" si="56"/>
        <v>0.93526020955598421</v>
      </c>
      <c r="AW83" s="283">
        <f t="shared" si="56"/>
        <v>0.93303680838893777</v>
      </c>
      <c r="AX83" s="283">
        <f t="shared" si="56"/>
        <v>0.93109248392910737</v>
      </c>
      <c r="AY83" s="283">
        <f t="shared" si="56"/>
        <v>0.93038991345375832</v>
      </c>
      <c r="AZ83" s="283">
        <f t="shared" si="56"/>
        <v>0.9307334860699088</v>
      </c>
      <c r="BA83" s="283">
        <f t="shared" si="56"/>
        <v>0.93206319342749067</v>
      </c>
      <c r="BB83" s="283">
        <f t="shared" si="56"/>
        <v>0.93247484053958396</v>
      </c>
      <c r="BC83" s="283">
        <f t="shared" si="56"/>
        <v>0.93220588405590021</v>
      </c>
      <c r="BD83" s="283">
        <f t="shared" si="56"/>
        <v>0.93361041089537478</v>
      </c>
      <c r="BE83" s="283">
        <f t="shared" si="56"/>
        <v>0.93643397990401356</v>
      </c>
      <c r="BF83" s="283">
        <f t="shared" si="56"/>
        <v>0.94155890333045078</v>
      </c>
      <c r="BG83" s="283">
        <f t="shared" si="56"/>
        <v>0.94989931612324119</v>
      </c>
      <c r="BH83" s="283">
        <f t="shared" si="56"/>
        <v>0.96107669864644174</v>
      </c>
      <c r="BI83" s="283">
        <f t="shared" si="56"/>
        <v>0.97326275560193554</v>
      </c>
      <c r="BJ83" s="283">
        <f t="shared" si="56"/>
        <v>0.98427741244434752</v>
      </c>
      <c r="BK83" s="283">
        <f t="shared" si="56"/>
        <v>0.9917910499075494</v>
      </c>
    </row>
    <row r="84" spans="2:63" x14ac:dyDescent="0.45">
      <c r="B84" s="283">
        <f t="shared" ref="B84:U84" si="57">B42/B41</f>
        <v>0.90390440663265326</v>
      </c>
      <c r="C84" s="283">
        <f t="shared" si="57"/>
        <v>0.90826207883907206</v>
      </c>
      <c r="D84" s="283">
        <f t="shared" si="57"/>
        <v>0.92651057407376214</v>
      </c>
      <c r="E84" s="283">
        <f t="shared" si="57"/>
        <v>0.93833033509187136</v>
      </c>
      <c r="F84" s="283">
        <f t="shared" si="57"/>
        <v>0.9379625520159891</v>
      </c>
      <c r="G84" s="283">
        <f t="shared" si="57"/>
        <v>0.93396002204887396</v>
      </c>
      <c r="H84" s="283">
        <f t="shared" si="57"/>
        <v>0.93070233535973279</v>
      </c>
      <c r="I84" s="283">
        <f t="shared" si="57"/>
        <v>0.93013197776071421</v>
      </c>
      <c r="J84" s="283">
        <f t="shared" si="57"/>
        <v>0.93126389803838794</v>
      </c>
      <c r="K84" s="283">
        <f t="shared" si="57"/>
        <v>0.93302068575822561</v>
      </c>
      <c r="L84" s="283">
        <f t="shared" si="57"/>
        <v>0.93326107413293813</v>
      </c>
      <c r="M84" s="283">
        <f t="shared" si="57"/>
        <v>0.93302001446377414</v>
      </c>
      <c r="N84" s="283">
        <f t="shared" si="57"/>
        <v>0.93417348392304589</v>
      </c>
      <c r="O84" s="283">
        <f t="shared" si="57"/>
        <v>0.9369307365139361</v>
      </c>
      <c r="P84" s="283">
        <f t="shared" si="57"/>
        <v>0.94194940294296525</v>
      </c>
      <c r="Q84" s="283">
        <f t="shared" si="57"/>
        <v>0.94955714647986134</v>
      </c>
      <c r="R84" s="283">
        <f t="shared" si="57"/>
        <v>0.9604138287742604</v>
      </c>
      <c r="S84" s="283">
        <f t="shared" si="57"/>
        <v>0.97269305960231411</v>
      </c>
      <c r="T84" s="283">
        <f t="shared" si="57"/>
        <v>0.98359680018891316</v>
      </c>
      <c r="U84" s="283">
        <f t="shared" si="57"/>
        <v>0.9930368890325193</v>
      </c>
      <c r="W84" s="283">
        <f t="shared" ref="W84:AP84" si="58">W42/W41</f>
        <v>0.92400427330687074</v>
      </c>
      <c r="X84" s="283">
        <f t="shared" si="58"/>
        <v>0.9202910926096608</v>
      </c>
      <c r="Y84" s="283">
        <f t="shared" si="58"/>
        <v>0.93373816268812759</v>
      </c>
      <c r="Z84" s="283">
        <f t="shared" si="58"/>
        <v>0.94653651637964231</v>
      </c>
      <c r="AA84" s="283">
        <f t="shared" si="58"/>
        <v>0.94603857570375249</v>
      </c>
      <c r="AB84" s="283">
        <f t="shared" si="58"/>
        <v>0.93777955067986141</v>
      </c>
      <c r="AC84" s="283">
        <f t="shared" si="58"/>
        <v>0.93363293737745012</v>
      </c>
      <c r="AD84" s="283">
        <f t="shared" si="58"/>
        <v>0.9334195077959323</v>
      </c>
      <c r="AE84" s="283">
        <f t="shared" si="58"/>
        <v>0.93538938641058023</v>
      </c>
      <c r="AF84" s="283">
        <f t="shared" si="58"/>
        <v>0.93705016651118567</v>
      </c>
      <c r="AG84" s="283">
        <f t="shared" si="58"/>
        <v>0.9363651330076882</v>
      </c>
      <c r="AH84" s="283">
        <f t="shared" si="58"/>
        <v>0.93573908843191966</v>
      </c>
      <c r="AI84" s="283">
        <f t="shared" si="58"/>
        <v>0.93625577994703313</v>
      </c>
      <c r="AJ84" s="283">
        <f t="shared" si="58"/>
        <v>0.93862454051214006</v>
      </c>
      <c r="AK84" s="283">
        <f t="shared" si="58"/>
        <v>0.94350287902883434</v>
      </c>
      <c r="AL84" s="283">
        <f t="shared" si="58"/>
        <v>0.95100670995620462</v>
      </c>
      <c r="AM84" s="283">
        <f t="shared" si="58"/>
        <v>0.96086471815887442</v>
      </c>
      <c r="AN84" s="283">
        <f t="shared" si="58"/>
        <v>0.97177751152320568</v>
      </c>
      <c r="AO84" s="283">
        <f t="shared" si="58"/>
        <v>0.98204035776849996</v>
      </c>
      <c r="AP84" s="283">
        <f t="shared" si="58"/>
        <v>0.9925965037625718</v>
      </c>
      <c r="AR84" s="283">
        <f t="shared" ref="AR84:BK84" si="59">AR42/AR41</f>
        <v>0.8923307151406431</v>
      </c>
      <c r="AS84" s="283">
        <f t="shared" si="59"/>
        <v>0.9015985199393427</v>
      </c>
      <c r="AT84" s="283">
        <f t="shared" si="59"/>
        <v>0.92238533446285498</v>
      </c>
      <c r="AU84" s="283">
        <f t="shared" si="59"/>
        <v>0.93429755662778935</v>
      </c>
      <c r="AV84" s="283">
        <f t="shared" si="59"/>
        <v>0.93362853780538757</v>
      </c>
      <c r="AW84" s="283">
        <f t="shared" si="59"/>
        <v>0.93148599612066618</v>
      </c>
      <c r="AX84" s="283">
        <f t="shared" si="59"/>
        <v>0.92849956396092459</v>
      </c>
      <c r="AY84" s="283">
        <f t="shared" si="59"/>
        <v>0.92758726244632994</v>
      </c>
      <c r="AZ84" s="283">
        <f t="shared" si="59"/>
        <v>0.92819857213960766</v>
      </c>
      <c r="BA84" s="283">
        <f t="shared" si="59"/>
        <v>0.93008637994846721</v>
      </c>
      <c r="BB84" s="283">
        <f t="shared" si="59"/>
        <v>0.93086073853870621</v>
      </c>
      <c r="BC84" s="283">
        <f t="shared" si="59"/>
        <v>0.93076460594847588</v>
      </c>
      <c r="BD84" s="283">
        <f t="shared" si="59"/>
        <v>0.93203585654990018</v>
      </c>
      <c r="BE84" s="283">
        <f t="shared" si="59"/>
        <v>0.93458607586788345</v>
      </c>
      <c r="BF84" s="283">
        <f t="shared" si="59"/>
        <v>0.93966662766491771</v>
      </c>
      <c r="BG84" s="283">
        <f t="shared" si="59"/>
        <v>0.94804094704365949</v>
      </c>
      <c r="BH84" s="283">
        <f t="shared" si="59"/>
        <v>0.95927859924223913</v>
      </c>
      <c r="BI84" s="283">
        <f t="shared" si="59"/>
        <v>0.97177098616525404</v>
      </c>
      <c r="BJ84" s="283">
        <f t="shared" si="59"/>
        <v>0.98322014149465231</v>
      </c>
      <c r="BK84" s="283">
        <f t="shared" si="59"/>
        <v>0.99384753144997029</v>
      </c>
    </row>
    <row r="85" spans="2:63" x14ac:dyDescent="0.45">
      <c r="B85" s="283">
        <f t="shared" ref="B85:U85" si="60">B43/B42</f>
        <v>0.90903380442432213</v>
      </c>
      <c r="C85" s="283">
        <f t="shared" si="60"/>
        <v>0.91112835947876847</v>
      </c>
      <c r="D85" s="283">
        <f t="shared" si="60"/>
        <v>0.93054917103948043</v>
      </c>
      <c r="E85" s="283">
        <f t="shared" si="60"/>
        <v>0.93640541496788732</v>
      </c>
      <c r="F85" s="283">
        <f t="shared" si="60"/>
        <v>0.93553034229899334</v>
      </c>
      <c r="G85" s="283">
        <f t="shared" si="60"/>
        <v>0.93114460345032601</v>
      </c>
      <c r="H85" s="283">
        <f t="shared" si="60"/>
        <v>0.92855567765053926</v>
      </c>
      <c r="I85" s="283">
        <f t="shared" si="60"/>
        <v>0.92866928902582291</v>
      </c>
      <c r="J85" s="283">
        <f t="shared" si="60"/>
        <v>0.92982285972447809</v>
      </c>
      <c r="K85" s="283">
        <f t="shared" si="60"/>
        <v>0.93075247388049676</v>
      </c>
      <c r="L85" s="283">
        <f t="shared" si="60"/>
        <v>0.93107268873694027</v>
      </c>
      <c r="M85" s="283">
        <f t="shared" si="60"/>
        <v>0.92986997952273698</v>
      </c>
      <c r="N85" s="283">
        <f t="shared" si="60"/>
        <v>0.93090950659199245</v>
      </c>
      <c r="O85" s="283">
        <f t="shared" si="60"/>
        <v>0.93377289563343324</v>
      </c>
      <c r="P85" s="283">
        <f t="shared" si="60"/>
        <v>0.93904751784703766</v>
      </c>
      <c r="Q85" s="283">
        <f t="shared" si="60"/>
        <v>0.94721638638132699</v>
      </c>
      <c r="R85" s="283">
        <f t="shared" si="60"/>
        <v>0.95785106188755254</v>
      </c>
      <c r="S85" s="283">
        <f t="shared" si="60"/>
        <v>0.97023843081650996</v>
      </c>
      <c r="T85" s="283">
        <f t="shared" si="60"/>
        <v>0.98197848205944738</v>
      </c>
      <c r="U85" s="283">
        <f t="shared" si="60"/>
        <v>0.98998944432471481</v>
      </c>
      <c r="W85" s="283">
        <f t="shared" ref="W85:AP85" si="61">W43/W42</f>
        <v>0.92908221383624989</v>
      </c>
      <c r="X85" s="283">
        <f t="shared" si="61"/>
        <v>0.92942773459192407</v>
      </c>
      <c r="Y85" s="283">
        <f t="shared" si="61"/>
        <v>0.94226735750632107</v>
      </c>
      <c r="Z85" s="283">
        <f t="shared" si="61"/>
        <v>0.94406092584501367</v>
      </c>
      <c r="AA85" s="283">
        <f t="shared" si="61"/>
        <v>0.94345080655020919</v>
      </c>
      <c r="AB85" s="283">
        <f t="shared" si="61"/>
        <v>0.93682144437069714</v>
      </c>
      <c r="AC85" s="283">
        <f t="shared" si="61"/>
        <v>0.93431939000353215</v>
      </c>
      <c r="AD85" s="283">
        <f t="shared" si="61"/>
        <v>0.93383114394860323</v>
      </c>
      <c r="AE85" s="283">
        <f t="shared" si="61"/>
        <v>0.93595177130138052</v>
      </c>
      <c r="AF85" s="283">
        <f t="shared" si="61"/>
        <v>0.9368373509376936</v>
      </c>
      <c r="AG85" s="283">
        <f t="shared" si="61"/>
        <v>0.93741934591382592</v>
      </c>
      <c r="AH85" s="283">
        <f t="shared" si="61"/>
        <v>0.93541421876185193</v>
      </c>
      <c r="AI85" s="283">
        <f t="shared" si="61"/>
        <v>0.93588846020344141</v>
      </c>
      <c r="AJ85" s="283">
        <f t="shared" si="61"/>
        <v>0.93839063812953138</v>
      </c>
      <c r="AK85" s="283">
        <f t="shared" si="61"/>
        <v>0.94284113796560343</v>
      </c>
      <c r="AL85" s="283">
        <f t="shared" si="61"/>
        <v>0.95018242001014741</v>
      </c>
      <c r="AM85" s="283">
        <f t="shared" si="61"/>
        <v>0.95991591145715116</v>
      </c>
      <c r="AN85" s="283">
        <f t="shared" si="61"/>
        <v>0.97083237257431154</v>
      </c>
      <c r="AO85" s="283">
        <f t="shared" si="61"/>
        <v>0.981187737445543</v>
      </c>
      <c r="AP85" s="283">
        <f t="shared" si="61"/>
        <v>0.98868390083896518</v>
      </c>
      <c r="AR85" s="283">
        <f t="shared" ref="AR85:BK85" si="62">AR43/AR42</f>
        <v>0.89657469380610488</v>
      </c>
      <c r="AS85" s="283">
        <f t="shared" si="62"/>
        <v>0.9002305853075685</v>
      </c>
      <c r="AT85" s="283">
        <f t="shared" si="62"/>
        <v>0.92374336268228874</v>
      </c>
      <c r="AU85" s="283">
        <f t="shared" si="62"/>
        <v>0.93241603451727362</v>
      </c>
      <c r="AV85" s="283">
        <f t="shared" si="62"/>
        <v>0.93102402787499261</v>
      </c>
      <c r="AW85" s="283">
        <f t="shared" si="62"/>
        <v>0.92738006449419774</v>
      </c>
      <c r="AX85" s="283">
        <f t="shared" si="62"/>
        <v>0.92445277602479037</v>
      </c>
      <c r="AY85" s="283">
        <f t="shared" si="62"/>
        <v>0.9247891204748443</v>
      </c>
      <c r="AZ85" s="283">
        <f t="shared" si="62"/>
        <v>0.92537828564201019</v>
      </c>
      <c r="BA85" s="283">
        <f t="shared" si="62"/>
        <v>0.92641576710086482</v>
      </c>
      <c r="BB85" s="283">
        <f t="shared" si="62"/>
        <v>0.92655237831124826</v>
      </c>
      <c r="BC85" s="283">
        <f t="shared" si="62"/>
        <v>0.92567114191321065</v>
      </c>
      <c r="BD85" s="283">
        <f t="shared" si="62"/>
        <v>0.9267692048561138</v>
      </c>
      <c r="BE85" s="283">
        <f t="shared" si="62"/>
        <v>0.92937979642521251</v>
      </c>
      <c r="BF85" s="283">
        <f t="shared" si="62"/>
        <v>0.93467216848784651</v>
      </c>
      <c r="BG85" s="283">
        <f t="shared" si="62"/>
        <v>0.94328887619205282</v>
      </c>
      <c r="BH85" s="283">
        <f t="shared" si="62"/>
        <v>0.95513576034619552</v>
      </c>
      <c r="BI85" s="283">
        <f t="shared" si="62"/>
        <v>0.96844165776192903</v>
      </c>
      <c r="BJ85" s="283">
        <f t="shared" si="62"/>
        <v>0.98086897471691858</v>
      </c>
      <c r="BK85" s="283">
        <f t="shared" si="62"/>
        <v>0.99097438242387148</v>
      </c>
    </row>
    <row r="86" spans="2:63" x14ac:dyDescent="0.45">
      <c r="B86" s="283">
        <f t="shared" ref="B86:U86" si="63">B44/B43</f>
        <v>0.91382823460770046</v>
      </c>
      <c r="C86" s="283">
        <f t="shared" si="63"/>
        <v>0.91572674525580489</v>
      </c>
      <c r="D86" s="283">
        <f t="shared" si="63"/>
        <v>0.93207664307598104</v>
      </c>
      <c r="E86" s="283">
        <f t="shared" si="63"/>
        <v>0.94062007527155567</v>
      </c>
      <c r="F86" s="283">
        <f t="shared" si="63"/>
        <v>0.93850695775191506</v>
      </c>
      <c r="G86" s="283">
        <f t="shared" si="63"/>
        <v>0.93408164308176145</v>
      </c>
      <c r="H86" s="283">
        <f t="shared" si="63"/>
        <v>0.93009482361489559</v>
      </c>
      <c r="I86" s="283">
        <f t="shared" si="63"/>
        <v>0.92884630482470332</v>
      </c>
      <c r="J86" s="283">
        <f t="shared" si="63"/>
        <v>0.93033698708641643</v>
      </c>
      <c r="K86" s="283">
        <f t="shared" si="63"/>
        <v>0.93194292897263165</v>
      </c>
      <c r="L86" s="283">
        <f t="shared" si="63"/>
        <v>0.93122503410619395</v>
      </c>
      <c r="M86" s="283">
        <f t="shared" si="63"/>
        <v>0.93046289816185557</v>
      </c>
      <c r="N86" s="283">
        <f t="shared" si="63"/>
        <v>0.93113835902968767</v>
      </c>
      <c r="O86" s="283">
        <f t="shared" si="63"/>
        <v>0.93370855415055254</v>
      </c>
      <c r="P86" s="283">
        <f t="shared" si="63"/>
        <v>0.93872127286398599</v>
      </c>
      <c r="Q86" s="283">
        <f t="shared" si="63"/>
        <v>0.94681635149650734</v>
      </c>
      <c r="R86" s="283">
        <f t="shared" si="63"/>
        <v>0.95751949605789222</v>
      </c>
      <c r="S86" s="283">
        <f t="shared" si="63"/>
        <v>0.96939307816461906</v>
      </c>
      <c r="T86" s="283">
        <f t="shared" si="63"/>
        <v>0.9809648308373089</v>
      </c>
      <c r="U86" s="283">
        <f t="shared" si="63"/>
        <v>0.99299024982148443</v>
      </c>
      <c r="W86" s="283">
        <f t="shared" ref="W86:AP86" si="64">W44/W43</f>
        <v>0.93564035073342988</v>
      </c>
      <c r="X86" s="283">
        <f t="shared" si="64"/>
        <v>0.93241709347326807</v>
      </c>
      <c r="Y86" s="283">
        <f t="shared" si="64"/>
        <v>0.9384353125918905</v>
      </c>
      <c r="Z86" s="283">
        <f t="shared" si="64"/>
        <v>0.95106145582484825</v>
      </c>
      <c r="AA86" s="283">
        <f t="shared" si="64"/>
        <v>0.94751027960274692</v>
      </c>
      <c r="AB86" s="283">
        <f t="shared" si="64"/>
        <v>0.94076891222627346</v>
      </c>
      <c r="AC86" s="283">
        <f t="shared" si="64"/>
        <v>0.93564899846758409</v>
      </c>
      <c r="AD86" s="283">
        <f t="shared" si="64"/>
        <v>0.93460745500340758</v>
      </c>
      <c r="AE86" s="283">
        <f t="shared" si="64"/>
        <v>0.9370747094840437</v>
      </c>
      <c r="AF86" s="283">
        <f t="shared" si="64"/>
        <v>0.93854840240719184</v>
      </c>
      <c r="AG86" s="283">
        <f t="shared" si="64"/>
        <v>0.93772444177514935</v>
      </c>
      <c r="AH86" s="283">
        <f t="shared" si="64"/>
        <v>0.9366108771232956</v>
      </c>
      <c r="AI86" s="283">
        <f t="shared" si="64"/>
        <v>0.93653310826132685</v>
      </c>
      <c r="AJ86" s="283">
        <f t="shared" si="64"/>
        <v>0.9387008314993327</v>
      </c>
      <c r="AK86" s="283">
        <f t="shared" si="64"/>
        <v>0.94317414229753127</v>
      </c>
      <c r="AL86" s="283">
        <f t="shared" si="64"/>
        <v>0.95015362271356907</v>
      </c>
      <c r="AM86" s="283">
        <f t="shared" si="64"/>
        <v>0.95958690349091824</v>
      </c>
      <c r="AN86" s="283">
        <f t="shared" si="64"/>
        <v>0.97031902078751675</v>
      </c>
      <c r="AO86" s="283">
        <f t="shared" si="64"/>
        <v>0.9806378692868557</v>
      </c>
      <c r="AP86" s="283">
        <f t="shared" si="64"/>
        <v>0.99264007159795831</v>
      </c>
      <c r="AR86" s="283">
        <f t="shared" ref="AR86:BK86" si="65">AR44/AR43</f>
        <v>0.90038212241601301</v>
      </c>
      <c r="AS86" s="283">
        <f t="shared" si="65"/>
        <v>0.90533045355061126</v>
      </c>
      <c r="AT86" s="283">
        <f t="shared" si="65"/>
        <v>0.92850818767707999</v>
      </c>
      <c r="AU86" s="283">
        <f t="shared" si="65"/>
        <v>0.93525341415532248</v>
      </c>
      <c r="AV86" s="283">
        <f t="shared" si="65"/>
        <v>0.93366801568186253</v>
      </c>
      <c r="AW86" s="283">
        <f t="shared" si="65"/>
        <v>0.92994402048089941</v>
      </c>
      <c r="AX86" s="283">
        <f t="shared" si="65"/>
        <v>0.92623202930313642</v>
      </c>
      <c r="AY86" s="283">
        <f t="shared" si="65"/>
        <v>0.92445842945022938</v>
      </c>
      <c r="AZ86" s="283">
        <f t="shared" si="65"/>
        <v>0.92543697912332867</v>
      </c>
      <c r="BA86" s="283">
        <f t="shared" si="65"/>
        <v>0.92720516994646351</v>
      </c>
      <c r="BB86" s="283">
        <f t="shared" si="65"/>
        <v>0.92648309982694099</v>
      </c>
      <c r="BC86" s="283">
        <f t="shared" si="65"/>
        <v>0.92572753501220217</v>
      </c>
      <c r="BD86" s="283">
        <f t="shared" si="65"/>
        <v>0.92663032936511813</v>
      </c>
      <c r="BE86" s="283">
        <f t="shared" si="65"/>
        <v>0.92905095442398489</v>
      </c>
      <c r="BF86" s="283">
        <f t="shared" si="65"/>
        <v>0.93397218632277967</v>
      </c>
      <c r="BG86" s="283">
        <f t="shared" si="65"/>
        <v>0.94237608675444728</v>
      </c>
      <c r="BH86" s="283">
        <f t="shared" si="65"/>
        <v>0.95395124070296344</v>
      </c>
      <c r="BI86" s="283">
        <f t="shared" si="65"/>
        <v>0.96722611258497271</v>
      </c>
      <c r="BJ86" s="283">
        <f t="shared" si="65"/>
        <v>0.97982673317581859</v>
      </c>
      <c r="BK86" s="283">
        <f t="shared" si="65"/>
        <v>0.99206652038854526</v>
      </c>
    </row>
    <row r="87" spans="2:63" x14ac:dyDescent="0.45">
      <c r="B87" s="283">
        <f t="shared" ref="B87:U87" si="66">B45/B44</f>
        <v>0.91364330268749516</v>
      </c>
      <c r="C87" s="283">
        <f t="shared" si="66"/>
        <v>0.91148100223406603</v>
      </c>
      <c r="D87" s="283">
        <f t="shared" si="66"/>
        <v>0.93278974036953155</v>
      </c>
      <c r="E87" s="283">
        <f t="shared" si="66"/>
        <v>0.93964305391863079</v>
      </c>
      <c r="F87" s="283">
        <f t="shared" si="66"/>
        <v>0.93785471464418624</v>
      </c>
      <c r="G87" s="283">
        <f t="shared" si="66"/>
        <v>0.93401339928922245</v>
      </c>
      <c r="H87" s="283">
        <f t="shared" si="66"/>
        <v>0.92903888546244229</v>
      </c>
      <c r="I87" s="283">
        <f t="shared" si="66"/>
        <v>0.92890591293435898</v>
      </c>
      <c r="J87" s="283">
        <f t="shared" si="66"/>
        <v>0.92853894680551252</v>
      </c>
      <c r="K87" s="283">
        <f t="shared" si="66"/>
        <v>0.92951581833029551</v>
      </c>
      <c r="L87" s="283">
        <f t="shared" si="66"/>
        <v>0.92930717871504509</v>
      </c>
      <c r="M87" s="283">
        <f t="shared" si="66"/>
        <v>0.92798885798060293</v>
      </c>
      <c r="N87" s="283">
        <f t="shared" si="66"/>
        <v>0.92879029490050635</v>
      </c>
      <c r="O87" s="283">
        <f t="shared" si="66"/>
        <v>0.93150523533218277</v>
      </c>
      <c r="P87" s="283">
        <f t="shared" si="66"/>
        <v>0.93651854528694278</v>
      </c>
      <c r="Q87" s="283">
        <f t="shared" si="66"/>
        <v>0.94466200254437016</v>
      </c>
      <c r="R87" s="283">
        <f t="shared" si="66"/>
        <v>0.95567413149467095</v>
      </c>
      <c r="S87" s="283">
        <f t="shared" si="66"/>
        <v>0.96811064223497112</v>
      </c>
      <c r="T87" s="283">
        <f t="shared" si="66"/>
        <v>0.97977337255233976</v>
      </c>
      <c r="U87" s="283">
        <f t="shared" si="66"/>
        <v>0.98875300236325159</v>
      </c>
      <c r="W87" s="283">
        <f t="shared" ref="W87:AP87" si="67">W45/W44</f>
        <v>0.93751162273942013</v>
      </c>
      <c r="X87" s="283">
        <f t="shared" si="67"/>
        <v>0.92810857016884551</v>
      </c>
      <c r="Y87" s="283">
        <f t="shared" si="67"/>
        <v>0.94893257623130656</v>
      </c>
      <c r="Z87" s="283">
        <f t="shared" si="67"/>
        <v>0.95284329655728794</v>
      </c>
      <c r="AA87" s="283">
        <f t="shared" si="67"/>
        <v>0.94900897281116925</v>
      </c>
      <c r="AB87" s="283">
        <f t="shared" si="67"/>
        <v>0.94279856972980758</v>
      </c>
      <c r="AC87" s="283">
        <f t="shared" si="67"/>
        <v>0.93726344215821999</v>
      </c>
      <c r="AD87" s="283">
        <f t="shared" si="67"/>
        <v>0.93727859033703353</v>
      </c>
      <c r="AE87" s="283">
        <f t="shared" si="67"/>
        <v>0.93752544661769976</v>
      </c>
      <c r="AF87" s="283">
        <f t="shared" si="67"/>
        <v>0.93910867862863667</v>
      </c>
      <c r="AG87" s="283">
        <f t="shared" si="67"/>
        <v>0.93831293220427314</v>
      </c>
      <c r="AH87" s="283">
        <f t="shared" si="67"/>
        <v>0.93695648955863275</v>
      </c>
      <c r="AI87" s="283">
        <f t="shared" si="67"/>
        <v>0.93732308042855794</v>
      </c>
      <c r="AJ87" s="283">
        <f t="shared" si="67"/>
        <v>0.93949777669066237</v>
      </c>
      <c r="AK87" s="283">
        <f t="shared" si="67"/>
        <v>0.94367464175485072</v>
      </c>
      <c r="AL87" s="283">
        <f t="shared" si="67"/>
        <v>0.95053176188459809</v>
      </c>
      <c r="AM87" s="283">
        <f t="shared" si="67"/>
        <v>0.9596550631816092</v>
      </c>
      <c r="AN87" s="283">
        <f t="shared" si="67"/>
        <v>0.97006744372753628</v>
      </c>
      <c r="AO87" s="283">
        <f t="shared" si="67"/>
        <v>0.98025923061281528</v>
      </c>
      <c r="AP87" s="283">
        <f t="shared" si="67"/>
        <v>0.98839849195545293</v>
      </c>
      <c r="AR87" s="283">
        <f t="shared" ref="AR87:BK87" si="68">AR45/AR44</f>
        <v>0.89778371110697897</v>
      </c>
      <c r="AS87" s="283">
        <f t="shared" si="68"/>
        <v>0.90143801735340878</v>
      </c>
      <c r="AT87" s="283">
        <f t="shared" si="68"/>
        <v>0.92352740592529536</v>
      </c>
      <c r="AU87" s="283">
        <f t="shared" si="68"/>
        <v>0.93299054035614115</v>
      </c>
      <c r="AV87" s="283">
        <f t="shared" si="68"/>
        <v>0.93183431305549558</v>
      </c>
      <c r="AW87" s="283">
        <f t="shared" si="68"/>
        <v>0.92836600432724503</v>
      </c>
      <c r="AX87" s="283">
        <f t="shared" si="68"/>
        <v>0.92319125520605305</v>
      </c>
      <c r="AY87" s="283">
        <f t="shared" si="68"/>
        <v>0.92269175240705903</v>
      </c>
      <c r="AZ87" s="283">
        <f t="shared" si="68"/>
        <v>0.92196728122197635</v>
      </c>
      <c r="BA87" s="283">
        <f t="shared" si="68"/>
        <v>0.92275987966843576</v>
      </c>
      <c r="BB87" s="283">
        <f t="shared" si="68"/>
        <v>0.92286193943700745</v>
      </c>
      <c r="BC87" s="283">
        <f t="shared" si="68"/>
        <v>0.92132454302028233</v>
      </c>
      <c r="BD87" s="283">
        <f t="shared" si="68"/>
        <v>0.92201575633910093</v>
      </c>
      <c r="BE87" s="283">
        <f t="shared" si="68"/>
        <v>0.92450369103497887</v>
      </c>
      <c r="BF87" s="283">
        <f t="shared" si="68"/>
        <v>0.92953537829072252</v>
      </c>
      <c r="BG87" s="283">
        <f t="shared" si="68"/>
        <v>0.93807731195962807</v>
      </c>
      <c r="BH87" s="283">
        <f t="shared" si="68"/>
        <v>0.9500751201938592</v>
      </c>
      <c r="BI87" s="283">
        <f t="shared" si="68"/>
        <v>0.96406532041789594</v>
      </c>
      <c r="BJ87" s="283">
        <f t="shared" si="68"/>
        <v>0.97752969424871639</v>
      </c>
      <c r="BK87" s="283">
        <f t="shared" si="68"/>
        <v>0.98816809032063213</v>
      </c>
    </row>
  </sheetData>
  <conditionalFormatting sqref="B30:U45">
    <cfRule type="colorScale" priority="6">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F02ED-B255-4EEF-8CAA-1A7122B8C9FB}">
  <dimension ref="A1:C10"/>
  <sheetViews>
    <sheetView workbookViewId="0">
      <selection activeCell="B11" sqref="B11"/>
    </sheetView>
  </sheetViews>
  <sheetFormatPr defaultColWidth="8.73046875" defaultRowHeight="14.25" x14ac:dyDescent="0.45"/>
  <cols>
    <col min="1" max="1" width="16.19921875" customWidth="1"/>
    <col min="2" max="2" width="77.796875" customWidth="1"/>
    <col min="3" max="3" width="10.19921875" bestFit="1" customWidth="1"/>
  </cols>
  <sheetData>
    <row r="1" spans="1:3" x14ac:dyDescent="0.45">
      <c r="A1" s="198" t="s">
        <v>100</v>
      </c>
      <c r="B1" s="198" t="s">
        <v>101</v>
      </c>
      <c r="C1" s="198" t="s">
        <v>102</v>
      </c>
    </row>
    <row r="2" spans="1:3" x14ac:dyDescent="0.45">
      <c r="A2" t="s">
        <v>72</v>
      </c>
      <c r="B2" t="s">
        <v>103</v>
      </c>
      <c r="C2" t="s">
        <v>104</v>
      </c>
    </row>
    <row r="3" spans="1:3" x14ac:dyDescent="0.45">
      <c r="A3" t="s">
        <v>73</v>
      </c>
      <c r="B3" t="s">
        <v>105</v>
      </c>
      <c r="C3" t="s">
        <v>104</v>
      </c>
    </row>
    <row r="4" spans="1:3" x14ac:dyDescent="0.45">
      <c r="A4" t="s">
        <v>74</v>
      </c>
      <c r="B4" t="s">
        <v>106</v>
      </c>
      <c r="C4" t="s">
        <v>104</v>
      </c>
    </row>
    <row r="5" spans="1:3" x14ac:dyDescent="0.45">
      <c r="A5" t="s">
        <v>75</v>
      </c>
      <c r="B5" t="s">
        <v>107</v>
      </c>
      <c r="C5" t="s">
        <v>108</v>
      </c>
    </row>
    <row r="6" spans="1:3" x14ac:dyDescent="0.45">
      <c r="A6" t="s">
        <v>76</v>
      </c>
      <c r="B6" t="s">
        <v>109</v>
      </c>
      <c r="C6" t="s">
        <v>110</v>
      </c>
    </row>
    <row r="7" spans="1:3" x14ac:dyDescent="0.45">
      <c r="A7" t="s">
        <v>77</v>
      </c>
      <c r="B7" t="s">
        <v>111</v>
      </c>
      <c r="C7" t="s">
        <v>110</v>
      </c>
    </row>
    <row r="8" spans="1:3" x14ac:dyDescent="0.45">
      <c r="A8" t="s">
        <v>78</v>
      </c>
      <c r="B8" t="s">
        <v>112</v>
      </c>
      <c r="C8" t="s">
        <v>110</v>
      </c>
    </row>
    <row r="9" spans="1:3" x14ac:dyDescent="0.45">
      <c r="A9" t="s">
        <v>79</v>
      </c>
      <c r="B9" t="s">
        <v>113</v>
      </c>
      <c r="C9" t="s">
        <v>110</v>
      </c>
    </row>
    <row r="10" spans="1:3" x14ac:dyDescent="0.45">
      <c r="A10" t="s">
        <v>80</v>
      </c>
      <c r="B10" t="s">
        <v>114</v>
      </c>
      <c r="C10" t="s">
        <v>110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40377-5D18-430C-A345-8D909AC3680D}">
  <dimension ref="B2:L102"/>
  <sheetViews>
    <sheetView workbookViewId="0">
      <selection activeCell="AE35" sqref="AE35"/>
    </sheetView>
  </sheetViews>
  <sheetFormatPr defaultRowHeight="14.25" x14ac:dyDescent="0.45"/>
  <cols>
    <col min="9" max="9" width="9.19921875" bestFit="1" customWidth="1"/>
    <col min="11" max="11" width="14.53125" bestFit="1" customWidth="1"/>
  </cols>
  <sheetData>
    <row r="2" spans="2:2" x14ac:dyDescent="0.45">
      <c r="B2" t="s">
        <v>1954</v>
      </c>
    </row>
    <row r="20" spans="2:12" x14ac:dyDescent="0.45">
      <c r="K20" s="6">
        <f>SUM(total_pop)</f>
        <v>24715222.24724872</v>
      </c>
      <c r="L20" t="s">
        <v>1955</v>
      </c>
    </row>
    <row r="21" spans="2:12" x14ac:dyDescent="0.45">
      <c r="K21" s="6">
        <v>39878</v>
      </c>
      <c r="L21" t="s">
        <v>1956</v>
      </c>
    </row>
    <row r="22" spans="2:12" x14ac:dyDescent="0.45">
      <c r="K22" s="47">
        <f>K20/K21</f>
        <v>619.7708572959707</v>
      </c>
      <c r="L22" t="s">
        <v>1957</v>
      </c>
    </row>
    <row r="28" spans="2:12" x14ac:dyDescent="0.45">
      <c r="B28" t="s">
        <v>1958</v>
      </c>
    </row>
    <row r="30" spans="2:12" x14ac:dyDescent="0.45">
      <c r="I30" s="6">
        <f>10000/4.9</f>
        <v>2040.8163265306121</v>
      </c>
      <c r="J30" t="s">
        <v>1959</v>
      </c>
    </row>
    <row r="59" spans="2:12" x14ac:dyDescent="0.45">
      <c r="B59" t="s">
        <v>1960</v>
      </c>
    </row>
    <row r="61" spans="2:12" x14ac:dyDescent="0.45">
      <c r="L61" t="s">
        <v>1961</v>
      </c>
    </row>
    <row r="74" spans="2:2" x14ac:dyDescent="0.45">
      <c r="B74" t="s">
        <v>1962</v>
      </c>
    </row>
    <row r="102" spans="11:11" x14ac:dyDescent="0.45">
      <c r="K102" t="s">
        <v>1963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D8334-4E92-4AD8-A01F-EF6198415536}">
  <sheetPr>
    <tabColor theme="0" tint="-0.34998626667073579"/>
  </sheetPr>
  <dimension ref="A1:AK68"/>
  <sheetViews>
    <sheetView zoomScale="70" zoomScaleNormal="70" workbookViewId="0">
      <pane ySplit="1" topLeftCell="A2" activePane="bottomLeft" state="frozen"/>
      <selection pane="bottomLeft" activeCell="H6" sqref="H6"/>
    </sheetView>
  </sheetViews>
  <sheetFormatPr defaultColWidth="8.73046875" defaultRowHeight="14.25" x14ac:dyDescent="0.45"/>
  <cols>
    <col min="1" max="1" width="11.796875" bestFit="1" customWidth="1"/>
    <col min="2" max="2" width="17.796875" style="66" customWidth="1"/>
    <col min="3" max="3" width="22.796875" style="66" customWidth="1"/>
    <col min="4" max="4" width="22.796875" customWidth="1"/>
    <col min="5" max="5" width="17.796875" customWidth="1"/>
    <col min="6" max="6" width="19.265625" customWidth="1"/>
    <col min="7" max="7" width="17.796875" style="56" customWidth="1"/>
    <col min="8" max="8" width="10.265625" style="81" customWidth="1"/>
    <col min="9" max="9" width="18.46484375" style="206" customWidth="1"/>
    <col min="10" max="10" width="18.46484375" style="234" customWidth="1"/>
    <col min="11" max="12" width="18.46484375" style="194" customWidth="1"/>
    <col min="33" max="35" width="16.19921875" customWidth="1"/>
  </cols>
  <sheetData>
    <row r="1" spans="1:37" x14ac:dyDescent="0.45">
      <c r="A1" s="77" t="s">
        <v>427</v>
      </c>
      <c r="B1" s="78" t="s">
        <v>428</v>
      </c>
      <c r="C1" s="78" t="s">
        <v>429</v>
      </c>
      <c r="D1" s="77" t="s">
        <v>430</v>
      </c>
      <c r="E1" s="77" t="s">
        <v>431</v>
      </c>
      <c r="F1" s="77" t="s">
        <v>432</v>
      </c>
      <c r="G1" s="207" t="s">
        <v>433</v>
      </c>
      <c r="H1" s="214" t="s">
        <v>1807</v>
      </c>
      <c r="I1" s="238" t="s">
        <v>1803</v>
      </c>
      <c r="J1" s="213" t="s">
        <v>1914</v>
      </c>
      <c r="K1" s="213" t="s">
        <v>1912</v>
      </c>
      <c r="L1" s="213" t="s">
        <v>1913</v>
      </c>
    </row>
    <row r="2" spans="1:37" x14ac:dyDescent="0.45">
      <c r="A2" s="79" t="s">
        <v>152</v>
      </c>
      <c r="B2" s="411" t="s">
        <v>435</v>
      </c>
      <c r="C2" s="412" t="s">
        <v>436</v>
      </c>
      <c r="D2" s="159" t="s">
        <v>287</v>
      </c>
      <c r="E2" s="79" t="s">
        <v>437</v>
      </c>
      <c r="F2" s="79" t="s">
        <v>438</v>
      </c>
      <c r="G2" s="208" t="s">
        <v>439</v>
      </c>
      <c r="I2" s="215">
        <v>1</v>
      </c>
      <c r="J2" s="234">
        <f>IF(I2&gt;0,K2/I2,"-")</f>
        <v>0.10430311241290574</v>
      </c>
      <c r="K2" s="194">
        <f>'DALYs '!L9*I2</f>
        <v>0.10430311241290574</v>
      </c>
      <c r="L2" s="194">
        <f>K2/(4*10/60)</f>
        <v>0.15645466861935861</v>
      </c>
      <c r="M2" t="s">
        <v>440</v>
      </c>
    </row>
    <row r="3" spans="1:37" x14ac:dyDescent="0.45">
      <c r="A3" s="79" t="s">
        <v>157</v>
      </c>
      <c r="B3" s="411"/>
      <c r="C3" s="412"/>
      <c r="D3" s="79" t="s">
        <v>289</v>
      </c>
      <c r="E3" s="79" t="s">
        <v>437</v>
      </c>
      <c r="F3" s="79" t="s">
        <v>441</v>
      </c>
      <c r="G3" s="208" t="s">
        <v>442</v>
      </c>
      <c r="I3" s="224">
        <v>0.25</v>
      </c>
      <c r="J3" s="234">
        <f t="shared" ref="J3:J54" si="0">IF(I3&gt;0,K3/I3,"-")</f>
        <v>0.29204871475613614</v>
      </c>
      <c r="K3" s="194">
        <f>'DALYs '!L10*I3</f>
        <v>7.3012178689034035E-2</v>
      </c>
      <c r="L3" s="194">
        <f>K3/(1*4)</f>
        <v>1.8253044672258509E-2</v>
      </c>
    </row>
    <row r="4" spans="1:37" x14ac:dyDescent="0.45">
      <c r="A4" s="79" t="s">
        <v>159</v>
      </c>
      <c r="B4" s="411"/>
      <c r="C4" s="412"/>
      <c r="D4" s="79" t="s">
        <v>290</v>
      </c>
      <c r="E4" s="79" t="s">
        <v>437</v>
      </c>
      <c r="F4" s="79" t="s">
        <v>443</v>
      </c>
      <c r="G4" s="208" t="s">
        <v>194</v>
      </c>
      <c r="L4" s="222"/>
    </row>
    <row r="5" spans="1:37" x14ac:dyDescent="0.45">
      <c r="A5" s="79" t="s">
        <v>162</v>
      </c>
      <c r="B5" s="411"/>
      <c r="C5" s="412"/>
      <c r="D5" s="79" t="s">
        <v>291</v>
      </c>
      <c r="E5" s="79" t="s">
        <v>437</v>
      </c>
      <c r="F5" s="79" t="s">
        <v>444</v>
      </c>
      <c r="G5" s="209" t="s">
        <v>445</v>
      </c>
      <c r="H5" s="81" t="s">
        <v>446</v>
      </c>
      <c r="I5" s="215">
        <v>1</v>
      </c>
      <c r="J5" s="234">
        <f t="shared" si="0"/>
        <v>0.83442489930324593</v>
      </c>
      <c r="K5" s="194">
        <f>'DALYs '!L7*I5</f>
        <v>0.83442489930324593</v>
      </c>
      <c r="L5" s="194">
        <f>K5/2</f>
        <v>0.41721244965162296</v>
      </c>
      <c r="AG5" s="186"/>
      <c r="AH5" s="186"/>
      <c r="AI5" s="186"/>
      <c r="AK5" s="186"/>
    </row>
    <row r="6" spans="1:37" x14ac:dyDescent="0.45">
      <c r="A6" s="79" t="s">
        <v>164</v>
      </c>
      <c r="B6" s="411"/>
      <c r="C6" s="412"/>
      <c r="D6" s="79" t="s">
        <v>292</v>
      </c>
      <c r="E6" s="79" t="s">
        <v>437</v>
      </c>
      <c r="F6" s="79" t="s">
        <v>444</v>
      </c>
      <c r="G6" s="209" t="s">
        <v>445</v>
      </c>
      <c r="H6" s="305" t="s">
        <v>446</v>
      </c>
      <c r="I6" s="215">
        <v>1</v>
      </c>
      <c r="J6" s="234">
        <f t="shared" si="0"/>
        <v>0.11473342365419609</v>
      </c>
      <c r="K6" s="194">
        <f>'DALYs '!L6+'DALYs '!L17*I6</f>
        <v>0.11473342365419609</v>
      </c>
      <c r="L6" s="194">
        <f>K6/2</f>
        <v>5.7366711827098044E-2</v>
      </c>
    </row>
    <row r="7" spans="1:37" x14ac:dyDescent="0.45">
      <c r="A7" s="79" t="s">
        <v>166</v>
      </c>
      <c r="B7" s="411"/>
      <c r="C7" s="412"/>
      <c r="D7" s="159" t="s">
        <v>447</v>
      </c>
      <c r="E7" s="79" t="s">
        <v>448</v>
      </c>
      <c r="F7" s="79" t="s">
        <v>449</v>
      </c>
      <c r="G7" s="208" t="s">
        <v>450</v>
      </c>
      <c r="H7" s="81" t="s">
        <v>446</v>
      </c>
      <c r="I7" s="224">
        <v>1</v>
      </c>
      <c r="J7" s="234">
        <f t="shared" si="0"/>
        <v>6.0189073039141977E-2</v>
      </c>
      <c r="K7" s="194">
        <f>'DALYs '!G126*I7</f>
        <v>6.0189073039141977E-2</v>
      </c>
      <c r="L7" s="194">
        <f>K7/(2*5/60)</f>
        <v>0.36113443823485186</v>
      </c>
    </row>
    <row r="8" spans="1:37" x14ac:dyDescent="0.45">
      <c r="A8" s="79" t="s">
        <v>170</v>
      </c>
      <c r="B8" s="411"/>
      <c r="C8" s="412"/>
      <c r="D8" s="159" t="s">
        <v>451</v>
      </c>
      <c r="E8" s="79" t="s">
        <v>448</v>
      </c>
      <c r="F8" s="79" t="s">
        <v>449</v>
      </c>
      <c r="G8" s="208" t="s">
        <v>450</v>
      </c>
      <c r="I8" s="224">
        <v>1</v>
      </c>
      <c r="J8" s="234">
        <f t="shared" si="0"/>
        <v>2.3E-2</v>
      </c>
      <c r="K8" s="194">
        <f>'DALYs '!B177*I8</f>
        <v>2.3E-2</v>
      </c>
      <c r="L8" s="194">
        <f>K8/(2*5/60)</f>
        <v>0.13800000000000001</v>
      </c>
    </row>
    <row r="9" spans="1:37" x14ac:dyDescent="0.45">
      <c r="A9" s="79" t="s">
        <v>172</v>
      </c>
      <c r="B9" s="411"/>
      <c r="C9" s="412"/>
      <c r="D9" s="79" t="s">
        <v>1891</v>
      </c>
      <c r="E9" s="79" t="s">
        <v>448</v>
      </c>
      <c r="F9" s="79" t="s">
        <v>449</v>
      </c>
      <c r="G9" s="208" t="s">
        <v>450</v>
      </c>
      <c r="I9" s="224">
        <v>1</v>
      </c>
      <c r="J9" s="234">
        <f t="shared" si="0"/>
        <v>0.14500000000000002</v>
      </c>
      <c r="K9" s="194">
        <f>'DALYs '!K457*I9</f>
        <v>0.14500000000000002</v>
      </c>
      <c r="L9" s="194">
        <f>K9/(10/60)</f>
        <v>0.87000000000000011</v>
      </c>
    </row>
    <row r="10" spans="1:37" x14ac:dyDescent="0.45">
      <c r="A10" s="79" t="s">
        <v>248</v>
      </c>
      <c r="B10" s="411"/>
      <c r="C10" s="412" t="s">
        <v>66</v>
      </c>
      <c r="D10" s="79" t="s">
        <v>452</v>
      </c>
      <c r="E10" s="79" t="s">
        <v>453</v>
      </c>
      <c r="F10" s="79" t="s">
        <v>454</v>
      </c>
      <c r="G10" s="208" t="s">
        <v>455</v>
      </c>
      <c r="I10" s="239">
        <v>1</v>
      </c>
      <c r="J10" s="240">
        <f t="shared" si="0"/>
        <v>0.26551608334870802</v>
      </c>
      <c r="K10" s="241">
        <f>'DALYs '!E110*I10</f>
        <v>0.26551608334870802</v>
      </c>
      <c r="L10" s="242">
        <f>K10/((15+10)/60)</f>
        <v>0.63723860003689925</v>
      </c>
      <c r="M10" t="s">
        <v>1801</v>
      </c>
    </row>
    <row r="11" spans="1:37" x14ac:dyDescent="0.45">
      <c r="A11" s="79" t="s">
        <v>256</v>
      </c>
      <c r="B11" s="411"/>
      <c r="C11" s="412"/>
      <c r="D11" s="159" t="s">
        <v>456</v>
      </c>
      <c r="E11" s="79" t="s">
        <v>457</v>
      </c>
      <c r="F11" s="80" t="s">
        <v>458</v>
      </c>
      <c r="G11" s="208" t="s">
        <v>450</v>
      </c>
      <c r="I11" s="239"/>
      <c r="J11" s="241"/>
      <c r="K11" s="241"/>
      <c r="L11" s="241"/>
    </row>
    <row r="12" spans="1:37" x14ac:dyDescent="0.45">
      <c r="A12" s="79" t="s">
        <v>259</v>
      </c>
      <c r="B12" s="411"/>
      <c r="C12" s="412"/>
      <c r="D12" s="159" t="s">
        <v>260</v>
      </c>
      <c r="E12" s="79" t="s">
        <v>457</v>
      </c>
      <c r="F12" s="79" t="s">
        <v>458</v>
      </c>
      <c r="G12" s="208" t="s">
        <v>450</v>
      </c>
      <c r="I12" s="239"/>
      <c r="J12" s="241"/>
      <c r="K12" s="241"/>
      <c r="L12" s="241"/>
    </row>
    <row r="13" spans="1:37" x14ac:dyDescent="0.45">
      <c r="A13" s="79" t="s">
        <v>261</v>
      </c>
      <c r="B13" s="411"/>
      <c r="C13" s="412"/>
      <c r="D13" s="159" t="s">
        <v>262</v>
      </c>
      <c r="E13" s="79" t="s">
        <v>457</v>
      </c>
      <c r="F13" s="80" t="s">
        <v>458</v>
      </c>
      <c r="G13" s="208" t="s">
        <v>450</v>
      </c>
      <c r="H13" s="216"/>
      <c r="I13" s="239"/>
      <c r="J13" s="241"/>
      <c r="K13" s="241"/>
      <c r="L13" s="241"/>
      <c r="N13" s="154"/>
    </row>
    <row r="14" spans="1:37" x14ac:dyDescent="0.45">
      <c r="A14" s="79" t="s">
        <v>263</v>
      </c>
      <c r="B14" s="411"/>
      <c r="C14" s="412"/>
      <c r="D14" s="79" t="s">
        <v>264</v>
      </c>
      <c r="E14" s="79" t="s">
        <v>457</v>
      </c>
      <c r="F14" s="79" t="s">
        <v>459</v>
      </c>
      <c r="G14" s="208" t="s">
        <v>455</v>
      </c>
      <c r="I14" s="239"/>
      <c r="J14" s="241"/>
      <c r="K14" s="241"/>
      <c r="L14" s="241"/>
      <c r="M14" s="212"/>
      <c r="N14" s="154"/>
    </row>
    <row r="15" spans="1:37" x14ac:dyDescent="0.45">
      <c r="A15" s="79" t="s">
        <v>265</v>
      </c>
      <c r="B15" s="411"/>
      <c r="C15" s="412"/>
      <c r="D15" s="159" t="s">
        <v>460</v>
      </c>
      <c r="E15" s="79" t="s">
        <v>457</v>
      </c>
      <c r="F15" s="79" t="s">
        <v>461</v>
      </c>
      <c r="G15" s="208" t="s">
        <v>439</v>
      </c>
      <c r="I15" s="239"/>
      <c r="J15" s="241"/>
      <c r="K15" s="241"/>
      <c r="L15" s="241"/>
      <c r="N15" s="154"/>
    </row>
    <row r="16" spans="1:37" x14ac:dyDescent="0.45">
      <c r="A16" s="79" t="s">
        <v>175</v>
      </c>
      <c r="B16" s="411"/>
      <c r="C16" s="412" t="s">
        <v>68</v>
      </c>
      <c r="D16" s="159" t="s">
        <v>293</v>
      </c>
      <c r="E16" s="79" t="s">
        <v>437</v>
      </c>
      <c r="F16" s="79" t="s">
        <v>462</v>
      </c>
      <c r="G16" s="209" t="s">
        <v>194</v>
      </c>
      <c r="I16" s="223">
        <v>1</v>
      </c>
      <c r="J16" s="234">
        <f t="shared" si="0"/>
        <v>7.4195673431245293E-2</v>
      </c>
      <c r="K16" s="194">
        <f>SUMIF('DALYs '!D194:D202,D16,'DALYs '!C194:C202)*I16</f>
        <v>7.4195673431245293E-2</v>
      </c>
      <c r="L16" s="194">
        <f>K16/(5/60)</f>
        <v>0.89034808117494357</v>
      </c>
      <c r="N16" s="154"/>
    </row>
    <row r="17" spans="1:14" x14ac:dyDescent="0.45">
      <c r="A17" s="79" t="s">
        <v>177</v>
      </c>
      <c r="B17" s="411"/>
      <c r="C17" s="412"/>
      <c r="D17" s="159" t="s">
        <v>294</v>
      </c>
      <c r="E17" s="79" t="s">
        <v>463</v>
      </c>
      <c r="F17" s="79" t="s">
        <v>464</v>
      </c>
      <c r="G17" s="208" t="s">
        <v>450</v>
      </c>
      <c r="I17" s="223">
        <v>1</v>
      </c>
      <c r="J17" s="234">
        <f t="shared" si="0"/>
        <v>2.8409800837628687</v>
      </c>
      <c r="K17" s="194">
        <f>SUMIF('DALYs '!D195:D203,D17,'DALYs '!C195:C203)*I17</f>
        <v>2.8409800837628687</v>
      </c>
      <c r="L17" s="194">
        <f>K17/(20/60)</f>
        <v>8.5229402512886061</v>
      </c>
      <c r="N17" s="154"/>
    </row>
    <row r="18" spans="1:14" x14ac:dyDescent="0.45">
      <c r="A18" s="79" t="s">
        <v>180</v>
      </c>
      <c r="B18" s="411"/>
      <c r="C18" s="412"/>
      <c r="D18" s="159" t="s">
        <v>295</v>
      </c>
      <c r="E18" s="79" t="s">
        <v>465</v>
      </c>
      <c r="F18" s="79" t="s">
        <v>466</v>
      </c>
      <c r="G18" s="208" t="s">
        <v>450</v>
      </c>
      <c r="I18" s="223">
        <v>1</v>
      </c>
      <c r="J18" s="234">
        <f t="shared" si="0"/>
        <v>0.32413649864778804</v>
      </c>
      <c r="K18" s="194">
        <f>SUMIF('DALYs '!D196:D204,D18,'DALYs '!C196:C204)*I18</f>
        <v>0.32413649864778804</v>
      </c>
      <c r="L18" s="194">
        <f>K18/(5/60)</f>
        <v>3.8896379837734565</v>
      </c>
    </row>
    <row r="19" spans="1:14" x14ac:dyDescent="0.45">
      <c r="A19" s="79" t="s">
        <v>183</v>
      </c>
      <c r="B19" s="411"/>
      <c r="C19" s="412"/>
      <c r="D19" s="159" t="s">
        <v>296</v>
      </c>
      <c r="E19" s="79" t="s">
        <v>467</v>
      </c>
      <c r="F19" s="81" t="s">
        <v>449</v>
      </c>
      <c r="G19" s="208" t="s">
        <v>450</v>
      </c>
      <c r="H19" s="81" t="s">
        <v>446</v>
      </c>
      <c r="I19" s="223">
        <v>1</v>
      </c>
      <c r="J19" s="234">
        <f t="shared" si="0"/>
        <v>4.7904191616766463E-2</v>
      </c>
      <c r="K19" s="194">
        <f>'DALYs '!O138*I19</f>
        <v>4.7904191616766463E-2</v>
      </c>
      <c r="L19" s="194">
        <f>K19/(10/60)</f>
        <v>0.28742514970059879</v>
      </c>
    </row>
    <row r="20" spans="1:14" x14ac:dyDescent="0.45">
      <c r="A20" s="79" t="s">
        <v>185</v>
      </c>
      <c r="B20" s="411"/>
      <c r="C20" s="412"/>
      <c r="D20" s="79" t="s">
        <v>468</v>
      </c>
      <c r="E20" s="79" t="s">
        <v>469</v>
      </c>
      <c r="F20" s="80" t="s">
        <v>470</v>
      </c>
      <c r="G20" s="209" t="s">
        <v>194</v>
      </c>
      <c r="I20" s="223">
        <v>1</v>
      </c>
      <c r="J20" s="234">
        <f t="shared" si="0"/>
        <v>0.34184059999999999</v>
      </c>
      <c r="K20" s="194">
        <f>'DALYs '!P185*I20</f>
        <v>0.34184059999999999</v>
      </c>
      <c r="L20" s="194">
        <f>K20/(10/60)</f>
        <v>2.0510436000000003</v>
      </c>
    </row>
    <row r="21" spans="1:14" x14ac:dyDescent="0.45">
      <c r="A21" s="67" t="s">
        <v>471</v>
      </c>
      <c r="B21" s="411"/>
      <c r="C21" s="411" t="s">
        <v>472</v>
      </c>
      <c r="D21" s="67" t="s">
        <v>473</v>
      </c>
      <c r="E21" s="67" t="s">
        <v>474</v>
      </c>
      <c r="F21" s="63" t="s">
        <v>475</v>
      </c>
      <c r="G21" s="210" t="s">
        <v>475</v>
      </c>
      <c r="H21" s="77"/>
      <c r="I21" s="217"/>
      <c r="J21" s="235"/>
      <c r="K21" s="218"/>
      <c r="L21" s="218"/>
    </row>
    <row r="22" spans="1:14" x14ac:dyDescent="0.45">
      <c r="A22" s="79" t="s">
        <v>476</v>
      </c>
      <c r="B22" s="411"/>
      <c r="C22" s="411"/>
      <c r="D22" s="67" t="s">
        <v>477</v>
      </c>
      <c r="E22" s="67" t="s">
        <v>474</v>
      </c>
      <c r="F22" s="67" t="s">
        <v>478</v>
      </c>
      <c r="G22" s="207" t="s">
        <v>194</v>
      </c>
      <c r="H22" s="77"/>
      <c r="I22" s="219"/>
      <c r="J22" s="235"/>
      <c r="K22" s="218"/>
      <c r="L22" s="218"/>
    </row>
    <row r="23" spans="1:14" x14ac:dyDescent="0.45">
      <c r="A23" s="79" t="s">
        <v>479</v>
      </c>
      <c r="B23" s="411"/>
      <c r="C23" s="411"/>
      <c r="D23" s="67" t="s">
        <v>480</v>
      </c>
      <c r="E23" s="67" t="s">
        <v>474</v>
      </c>
      <c r="F23" s="67" t="s">
        <v>481</v>
      </c>
      <c r="G23" s="207" t="s">
        <v>194</v>
      </c>
      <c r="H23" s="77"/>
      <c r="I23" s="219"/>
      <c r="J23" s="235"/>
      <c r="K23" s="218"/>
      <c r="L23" s="218"/>
    </row>
    <row r="24" spans="1:14" x14ac:dyDescent="0.45">
      <c r="A24" s="79" t="s">
        <v>188</v>
      </c>
      <c r="B24" s="411"/>
      <c r="C24" s="412" t="s">
        <v>70</v>
      </c>
      <c r="D24" s="79" t="s">
        <v>297</v>
      </c>
      <c r="E24" s="79" t="s">
        <v>437</v>
      </c>
      <c r="F24" s="80" t="s">
        <v>1832</v>
      </c>
      <c r="G24" s="208" t="s">
        <v>450</v>
      </c>
      <c r="H24" s="230" t="s">
        <v>1833</v>
      </c>
      <c r="M24" t="s">
        <v>1808</v>
      </c>
    </row>
    <row r="25" spans="1:14" x14ac:dyDescent="0.45">
      <c r="A25" s="79" t="s">
        <v>190</v>
      </c>
      <c r="B25" s="411"/>
      <c r="C25" s="412"/>
      <c r="D25" s="79" t="s">
        <v>298</v>
      </c>
      <c r="E25" s="79" t="s">
        <v>448</v>
      </c>
      <c r="F25" s="81" t="s">
        <v>466</v>
      </c>
      <c r="G25" s="208" t="s">
        <v>450</v>
      </c>
    </row>
    <row r="26" spans="1:14" x14ac:dyDescent="0.45">
      <c r="A26" s="79" t="s">
        <v>299</v>
      </c>
      <c r="B26" s="411"/>
      <c r="C26" s="412"/>
      <c r="D26" s="79" t="s">
        <v>300</v>
      </c>
      <c r="E26" s="79" t="s">
        <v>448</v>
      </c>
      <c r="F26" s="80" t="s">
        <v>464</v>
      </c>
      <c r="G26" s="208" t="s">
        <v>450</v>
      </c>
      <c r="H26" s="81" t="s">
        <v>1834</v>
      </c>
      <c r="I26" s="244">
        <v>0.25</v>
      </c>
      <c r="J26" s="240">
        <f>IF(I26&gt;0,K26/I26,"-")</f>
        <v>6.4682320441988947</v>
      </c>
      <c r="K26" s="243">
        <f>'DALYs '!G226*I26</f>
        <v>1.6170580110497237</v>
      </c>
      <c r="L26" s="243">
        <f>K26/((5*12+5+20+5)/60)</f>
        <v>1.0780386740331491</v>
      </c>
      <c r="M26" t="s">
        <v>1921</v>
      </c>
    </row>
    <row r="27" spans="1:14" x14ac:dyDescent="0.45">
      <c r="A27" s="79" t="s">
        <v>301</v>
      </c>
      <c r="B27" s="411"/>
      <c r="C27" s="412"/>
      <c r="D27" s="79" t="s">
        <v>302</v>
      </c>
      <c r="E27" s="79" t="s">
        <v>448</v>
      </c>
      <c r="F27" s="80" t="s">
        <v>466</v>
      </c>
      <c r="G27" s="208" t="s">
        <v>450</v>
      </c>
      <c r="I27" s="243"/>
      <c r="J27" s="243"/>
      <c r="K27" s="243"/>
      <c r="L27" s="243"/>
      <c r="M27" t="s">
        <v>1805</v>
      </c>
    </row>
    <row r="28" spans="1:14" x14ac:dyDescent="0.45">
      <c r="A28" s="67" t="s">
        <v>482</v>
      </c>
      <c r="B28" s="414" t="s">
        <v>483</v>
      </c>
      <c r="C28" s="82" t="s">
        <v>484</v>
      </c>
      <c r="D28" s="67"/>
      <c r="E28" s="67"/>
      <c r="F28" s="67"/>
      <c r="G28" s="211"/>
      <c r="H28" s="77"/>
      <c r="I28" s="220"/>
      <c r="J28" s="235"/>
      <c r="K28" s="218"/>
      <c r="L28" s="218"/>
    </row>
    <row r="29" spans="1:14" x14ac:dyDescent="0.45">
      <c r="A29" s="67" t="s">
        <v>485</v>
      </c>
      <c r="B29" s="414"/>
      <c r="C29" s="82" t="s">
        <v>486</v>
      </c>
      <c r="D29" s="67"/>
      <c r="E29" s="67"/>
      <c r="F29" s="67"/>
      <c r="G29" s="211"/>
      <c r="H29" s="77"/>
      <c r="I29" s="220"/>
      <c r="J29" s="235"/>
      <c r="K29" s="218"/>
      <c r="L29" s="218"/>
    </row>
    <row r="30" spans="1:14" x14ac:dyDescent="0.45">
      <c r="A30" s="67" t="s">
        <v>487</v>
      </c>
      <c r="B30" s="414"/>
      <c r="C30" s="82" t="s">
        <v>488</v>
      </c>
      <c r="D30" s="67"/>
      <c r="E30" s="67"/>
      <c r="F30" s="67"/>
      <c r="G30" s="211"/>
      <c r="H30" s="77"/>
      <c r="I30" s="220"/>
      <c r="J30" s="235"/>
      <c r="K30" s="218"/>
      <c r="L30" s="218"/>
    </row>
    <row r="31" spans="1:14" ht="14.55" customHeight="1" x14ac:dyDescent="0.45">
      <c r="A31" s="79" t="s">
        <v>239</v>
      </c>
      <c r="B31" s="420" t="s">
        <v>489</v>
      </c>
      <c r="C31" s="415" t="s">
        <v>490</v>
      </c>
      <c r="D31" s="159" t="s">
        <v>491</v>
      </c>
      <c r="E31" s="80" t="s">
        <v>492</v>
      </c>
      <c r="F31" s="80" t="s">
        <v>466</v>
      </c>
      <c r="G31" s="208" t="s">
        <v>450</v>
      </c>
      <c r="I31" s="221"/>
      <c r="K31" s="221"/>
      <c r="L31" s="221"/>
      <c r="M31" t="s">
        <v>1804</v>
      </c>
    </row>
    <row r="32" spans="1:14" x14ac:dyDescent="0.45">
      <c r="A32" s="79" t="s">
        <v>245</v>
      </c>
      <c r="B32" s="421"/>
      <c r="C32" s="415"/>
      <c r="D32" s="159" t="s">
        <v>493</v>
      </c>
      <c r="E32" s="79" t="s">
        <v>494</v>
      </c>
      <c r="F32" s="79" t="s">
        <v>495</v>
      </c>
      <c r="G32" s="208" t="s">
        <v>439</v>
      </c>
      <c r="I32" s="221"/>
      <c r="K32" s="222"/>
      <c r="L32" s="222"/>
    </row>
    <row r="33" spans="1:13" x14ac:dyDescent="0.45">
      <c r="A33" s="79" t="s">
        <v>243</v>
      </c>
      <c r="B33" s="421"/>
      <c r="C33" s="415"/>
      <c r="D33" s="159" t="s">
        <v>163</v>
      </c>
      <c r="E33" s="79" t="s">
        <v>496</v>
      </c>
      <c r="F33" s="79" t="s">
        <v>466</v>
      </c>
      <c r="G33" s="208" t="s">
        <v>455</v>
      </c>
      <c r="I33" s="245">
        <v>0.25</v>
      </c>
      <c r="J33" s="240">
        <f t="shared" si="0"/>
        <v>4.9309664694280082</v>
      </c>
      <c r="K33" s="246">
        <f>'DALYs '!M253*I33</f>
        <v>1.2327416173570021</v>
      </c>
      <c r="L33" s="246">
        <f>K33/0.25</f>
        <v>4.9309664694280082</v>
      </c>
      <c r="M33" t="s">
        <v>1802</v>
      </c>
    </row>
    <row r="34" spans="1:13" x14ac:dyDescent="0.45">
      <c r="A34" s="79" t="s">
        <v>497</v>
      </c>
      <c r="B34" s="421"/>
      <c r="C34" s="415"/>
      <c r="D34" s="159" t="s">
        <v>498</v>
      </c>
      <c r="E34" s="79" t="s">
        <v>496</v>
      </c>
      <c r="F34" s="79" t="s">
        <v>499</v>
      </c>
      <c r="G34" s="209" t="s">
        <v>194</v>
      </c>
      <c r="I34" s="221"/>
      <c r="K34" s="222"/>
      <c r="L34" s="222"/>
      <c r="M34" t="s">
        <v>1806</v>
      </c>
    </row>
    <row r="35" spans="1:13" x14ac:dyDescent="0.45">
      <c r="A35" s="79" t="s">
        <v>197</v>
      </c>
      <c r="B35" s="421"/>
      <c r="C35" s="415" t="s">
        <v>500</v>
      </c>
      <c r="D35" s="159" t="s">
        <v>501</v>
      </c>
      <c r="E35" s="79" t="s">
        <v>492</v>
      </c>
      <c r="F35" s="79" t="s">
        <v>502</v>
      </c>
      <c r="G35" s="209" t="s">
        <v>194</v>
      </c>
      <c r="I35" s="221"/>
      <c r="K35" s="221"/>
      <c r="L35" s="222"/>
    </row>
    <row r="36" spans="1:13" x14ac:dyDescent="0.45">
      <c r="A36" s="79" t="s">
        <v>197</v>
      </c>
      <c r="B36" s="421"/>
      <c r="C36" s="415"/>
      <c r="D36" s="160" t="s">
        <v>307</v>
      </c>
      <c r="E36" s="79" t="s">
        <v>503</v>
      </c>
      <c r="F36" s="80" t="s">
        <v>449</v>
      </c>
      <c r="G36" s="208" t="s">
        <v>439</v>
      </c>
      <c r="I36" s="221"/>
      <c r="K36" s="221"/>
      <c r="L36" s="222"/>
      <c r="M36" t="s">
        <v>1802</v>
      </c>
    </row>
    <row r="37" spans="1:13" x14ac:dyDescent="0.45">
      <c r="A37" s="79" t="s">
        <v>203</v>
      </c>
      <c r="B37" s="421"/>
      <c r="C37" s="415"/>
      <c r="D37" s="159" t="s">
        <v>308</v>
      </c>
      <c r="E37" s="79" t="s">
        <v>496</v>
      </c>
      <c r="F37" s="79" t="s">
        <v>466</v>
      </c>
      <c r="G37" s="208" t="s">
        <v>450</v>
      </c>
      <c r="I37" s="228">
        <f>'DALYs '!F335</f>
        <v>0.53898305084745768</v>
      </c>
      <c r="J37" s="234">
        <f t="shared" si="0"/>
        <v>41.724137931034484</v>
      </c>
      <c r="K37" s="225">
        <f>'DALYs '!Q346*I37</f>
        <v>22.488603156049098</v>
      </c>
      <c r="L37" s="194">
        <f>K37/(35/60)</f>
        <v>38.551891124655597</v>
      </c>
      <c r="M37" t="s">
        <v>1806</v>
      </c>
    </row>
    <row r="38" spans="1:13" x14ac:dyDescent="0.45">
      <c r="A38" s="79" t="s">
        <v>309</v>
      </c>
      <c r="B38" s="421"/>
      <c r="C38" s="415"/>
      <c r="D38" s="159" t="s">
        <v>211</v>
      </c>
      <c r="E38" s="79" t="s">
        <v>496</v>
      </c>
      <c r="F38" s="79" t="s">
        <v>466</v>
      </c>
      <c r="G38" s="208" t="s">
        <v>505</v>
      </c>
      <c r="I38" s="221"/>
      <c r="K38" s="221"/>
      <c r="L38" s="222"/>
    </row>
    <row r="39" spans="1:13" x14ac:dyDescent="0.45">
      <c r="A39" s="79" t="s">
        <v>303</v>
      </c>
      <c r="B39" s="421"/>
      <c r="C39" s="411" t="s">
        <v>506</v>
      </c>
      <c r="D39" s="79" t="s">
        <v>507</v>
      </c>
      <c r="E39" s="79" t="s">
        <v>508</v>
      </c>
      <c r="F39" s="79" t="s">
        <v>502</v>
      </c>
      <c r="G39" s="209" t="s">
        <v>194</v>
      </c>
      <c r="I39" s="221"/>
      <c r="K39" s="221"/>
      <c r="L39" s="222"/>
    </row>
    <row r="40" spans="1:13" x14ac:dyDescent="0.45">
      <c r="A40" s="79" t="s">
        <v>303</v>
      </c>
      <c r="B40" s="421"/>
      <c r="C40" s="411"/>
      <c r="D40" s="159" t="s">
        <v>304</v>
      </c>
      <c r="E40" s="79" t="s">
        <v>492</v>
      </c>
      <c r="F40" s="79" t="s">
        <v>466</v>
      </c>
      <c r="G40" s="208" t="s">
        <v>455</v>
      </c>
      <c r="H40" s="81" t="s">
        <v>509</v>
      </c>
      <c r="I40" s="215"/>
      <c r="K40" s="221"/>
      <c r="M40" t="s">
        <v>1841</v>
      </c>
    </row>
    <row r="41" spans="1:13" x14ac:dyDescent="0.45">
      <c r="A41" s="79" t="s">
        <v>305</v>
      </c>
      <c r="B41" s="421"/>
      <c r="C41" s="411"/>
      <c r="D41" s="159" t="s">
        <v>306</v>
      </c>
      <c r="E41" s="79" t="s">
        <v>496</v>
      </c>
      <c r="F41" s="79" t="s">
        <v>466</v>
      </c>
      <c r="G41" s="208" t="s">
        <v>439</v>
      </c>
      <c r="I41" s="215">
        <v>1</v>
      </c>
      <c r="J41" s="234">
        <f t="shared" si="0"/>
        <v>2.222222222222222E-2</v>
      </c>
      <c r="K41" s="194">
        <f>'DALYs '!E383</f>
        <v>2.222222222222222E-2</v>
      </c>
      <c r="L41" s="194">
        <f>K41/(10/60)</f>
        <v>0.13333333333333333</v>
      </c>
      <c r="M41" t="s">
        <v>1840</v>
      </c>
    </row>
    <row r="42" spans="1:13" x14ac:dyDescent="0.45">
      <c r="A42" s="79" t="s">
        <v>213</v>
      </c>
      <c r="B42" s="421"/>
      <c r="C42" s="83" t="s">
        <v>214</v>
      </c>
      <c r="D42" s="79" t="s">
        <v>510</v>
      </c>
      <c r="E42" s="79" t="s">
        <v>511</v>
      </c>
      <c r="F42" s="79" t="s">
        <v>466</v>
      </c>
      <c r="G42" s="208" t="s">
        <v>439</v>
      </c>
      <c r="I42" s="223">
        <v>1</v>
      </c>
      <c r="J42" s="234">
        <f t="shared" si="0"/>
        <v>1.7479452054794519E-2</v>
      </c>
      <c r="K42" s="194">
        <f>'DALYs '!O412</f>
        <v>1.7479452054794519E-2</v>
      </c>
      <c r="L42" s="194">
        <f>K42/(1/6)</f>
        <v>0.10487671232876712</v>
      </c>
      <c r="M42" s="81" t="s">
        <v>1852</v>
      </c>
    </row>
    <row r="43" spans="1:13" x14ac:dyDescent="0.45">
      <c r="A43" s="79" t="s">
        <v>217</v>
      </c>
      <c r="B43" s="421"/>
      <c r="C43" s="416" t="s">
        <v>512</v>
      </c>
      <c r="D43" s="79" t="s">
        <v>513</v>
      </c>
      <c r="E43" s="79" t="s">
        <v>496</v>
      </c>
      <c r="F43" s="79" t="s">
        <v>466</v>
      </c>
      <c r="G43" s="208" t="s">
        <v>450</v>
      </c>
      <c r="I43" s="244">
        <v>0.25</v>
      </c>
      <c r="J43" s="250">
        <f t="shared" si="0"/>
        <v>3.0097926267281103</v>
      </c>
      <c r="K43" s="241">
        <f>'DALYs '!AC435*I43</f>
        <v>0.75244815668202758</v>
      </c>
      <c r="L43" s="241">
        <f>K43/((10 + 5*'DALYs '!AE432)/60)</f>
        <v>0.33442140296979006</v>
      </c>
    </row>
    <row r="44" spans="1:13" x14ac:dyDescent="0.45">
      <c r="A44" s="79" t="s">
        <v>217</v>
      </c>
      <c r="B44" s="421"/>
      <c r="C44" s="417"/>
      <c r="D44" s="79" t="s">
        <v>514</v>
      </c>
      <c r="E44" s="79" t="s">
        <v>515</v>
      </c>
      <c r="F44" s="80" t="s">
        <v>516</v>
      </c>
      <c r="G44" s="208" t="s">
        <v>450</v>
      </c>
      <c r="I44" s="80"/>
      <c r="J44" s="250"/>
      <c r="K44" s="241"/>
      <c r="L44" s="241"/>
      <c r="M44" s="187"/>
    </row>
    <row r="45" spans="1:13" x14ac:dyDescent="0.45">
      <c r="A45" s="79" t="s">
        <v>225</v>
      </c>
      <c r="B45" s="421"/>
      <c r="C45" s="83" t="s">
        <v>517</v>
      </c>
      <c r="D45" s="79" t="s">
        <v>518</v>
      </c>
      <c r="E45" s="79" t="s">
        <v>496</v>
      </c>
      <c r="F45" s="79" t="s">
        <v>466</v>
      </c>
      <c r="G45" s="208" t="s">
        <v>450</v>
      </c>
      <c r="I45" s="251">
        <f>I43</f>
        <v>0.25</v>
      </c>
      <c r="J45" s="250">
        <f t="shared" ref="J45:L45" si="1">J43</f>
        <v>3.0097926267281103</v>
      </c>
      <c r="K45" s="241">
        <f t="shared" si="1"/>
        <v>0.75244815668202758</v>
      </c>
      <c r="L45" s="241">
        <f t="shared" si="1"/>
        <v>0.33442140296979006</v>
      </c>
      <c r="M45" t="s">
        <v>1889</v>
      </c>
    </row>
    <row r="46" spans="1:13" x14ac:dyDescent="0.45">
      <c r="A46" s="79" t="s">
        <v>227</v>
      </c>
      <c r="B46" s="421"/>
      <c r="C46" s="418" t="s">
        <v>519</v>
      </c>
      <c r="D46" s="79" t="s">
        <v>513</v>
      </c>
      <c r="E46" s="79" t="s">
        <v>496</v>
      </c>
      <c r="F46" s="79" t="s">
        <v>466</v>
      </c>
      <c r="G46" s="208" t="s">
        <v>450</v>
      </c>
      <c r="I46" s="251">
        <f>I45</f>
        <v>0.25</v>
      </c>
      <c r="J46" s="250">
        <f t="shared" ref="J46:L46" si="2">J45</f>
        <v>3.0097926267281103</v>
      </c>
      <c r="K46" s="241">
        <f t="shared" si="2"/>
        <v>0.75244815668202758</v>
      </c>
      <c r="L46" s="241">
        <f t="shared" si="2"/>
        <v>0.33442140296979006</v>
      </c>
      <c r="M46" t="s">
        <v>1890</v>
      </c>
    </row>
    <row r="47" spans="1:13" x14ac:dyDescent="0.45">
      <c r="A47" s="79" t="s">
        <v>520</v>
      </c>
      <c r="B47" s="421"/>
      <c r="C47" s="419"/>
      <c r="D47" s="79" t="s">
        <v>514</v>
      </c>
      <c r="E47" s="79" t="s">
        <v>515</v>
      </c>
      <c r="F47" s="80" t="s">
        <v>516</v>
      </c>
      <c r="G47" s="208" t="s">
        <v>450</v>
      </c>
      <c r="I47" s="80"/>
      <c r="J47" s="250"/>
      <c r="K47" s="241"/>
      <c r="L47" s="241"/>
    </row>
    <row r="48" spans="1:13" x14ac:dyDescent="0.45">
      <c r="A48" s="67" t="s">
        <v>521</v>
      </c>
      <c r="B48" s="421"/>
      <c r="C48" s="82" t="s">
        <v>522</v>
      </c>
      <c r="D48" s="67"/>
      <c r="E48" s="67"/>
      <c r="F48" s="67" t="s">
        <v>523</v>
      </c>
      <c r="G48" s="210"/>
      <c r="H48" s="77"/>
      <c r="I48" s="217"/>
      <c r="J48" s="235"/>
      <c r="K48" s="218"/>
      <c r="L48" s="218"/>
    </row>
    <row r="49" spans="1:13" x14ac:dyDescent="0.45">
      <c r="A49" s="67" t="s">
        <v>524</v>
      </c>
      <c r="B49" s="421"/>
      <c r="C49" s="82" t="s">
        <v>525</v>
      </c>
      <c r="D49" s="67"/>
      <c r="E49" s="67"/>
      <c r="F49" s="67" t="s">
        <v>526</v>
      </c>
      <c r="G49" s="210"/>
      <c r="H49" s="77"/>
      <c r="I49" s="217"/>
      <c r="J49" s="235"/>
      <c r="K49" s="218"/>
      <c r="L49" s="218"/>
    </row>
    <row r="50" spans="1:13" x14ac:dyDescent="0.45">
      <c r="A50" s="79" t="s">
        <v>527</v>
      </c>
      <c r="B50" s="421"/>
      <c r="C50" s="423" t="s">
        <v>528</v>
      </c>
      <c r="D50" s="83" t="s">
        <v>529</v>
      </c>
      <c r="E50" s="79"/>
      <c r="F50" s="79" t="s">
        <v>530</v>
      </c>
      <c r="G50" s="208"/>
      <c r="I50" s="247"/>
      <c r="J50" s="248"/>
      <c r="K50" s="249"/>
      <c r="L50" s="222"/>
    </row>
    <row r="51" spans="1:13" x14ac:dyDescent="0.45">
      <c r="A51" s="117" t="s">
        <v>531</v>
      </c>
      <c r="B51" s="421"/>
      <c r="C51" s="424"/>
      <c r="D51" s="82" t="s">
        <v>532</v>
      </c>
      <c r="E51" s="67"/>
      <c r="F51" s="67"/>
      <c r="G51" s="210"/>
      <c r="H51" s="77"/>
      <c r="I51" s="217"/>
      <c r="J51" s="235"/>
      <c r="K51" s="233"/>
      <c r="L51" s="233"/>
    </row>
    <row r="52" spans="1:13" x14ac:dyDescent="0.45">
      <c r="A52" s="79" t="s">
        <v>236</v>
      </c>
      <c r="B52" s="421"/>
      <c r="C52" s="425"/>
      <c r="D52" s="83" t="s">
        <v>533</v>
      </c>
      <c r="E52" s="79" t="s">
        <v>515</v>
      </c>
      <c r="F52" s="80" t="s">
        <v>534</v>
      </c>
      <c r="G52" s="208" t="s">
        <v>439</v>
      </c>
      <c r="I52" s="215">
        <v>1</v>
      </c>
      <c r="J52" s="234">
        <f t="shared" si="0"/>
        <v>8.1395348837209301E-3</v>
      </c>
      <c r="K52" s="194">
        <f>'DALYs '!I287*I52</f>
        <v>8.1395348837209301E-3</v>
      </c>
      <c r="L52" s="194">
        <f>K52/(20/60)</f>
        <v>2.441860465116279E-2</v>
      </c>
    </row>
    <row r="53" spans="1:13" x14ac:dyDescent="0.45">
      <c r="A53" s="79" t="s">
        <v>535</v>
      </c>
      <c r="B53" s="421"/>
      <c r="C53" s="423" t="s">
        <v>232</v>
      </c>
      <c r="D53" s="82" t="s">
        <v>536</v>
      </c>
      <c r="E53" s="67"/>
      <c r="F53" s="67" t="s">
        <v>537</v>
      </c>
      <c r="G53" s="210"/>
      <c r="H53" s="77"/>
      <c r="I53" s="217"/>
      <c r="J53" s="235"/>
      <c r="K53" s="218"/>
      <c r="L53" s="233"/>
    </row>
    <row r="54" spans="1:13" x14ac:dyDescent="0.45">
      <c r="A54" s="79" t="s">
        <v>230</v>
      </c>
      <c r="B54" s="421"/>
      <c r="C54" s="424"/>
      <c r="D54" s="83" t="s">
        <v>538</v>
      </c>
      <c r="E54" s="79" t="s">
        <v>448</v>
      </c>
      <c r="F54" s="79" t="s">
        <v>466</v>
      </c>
      <c r="G54" s="208" t="s">
        <v>439</v>
      </c>
      <c r="I54" s="245">
        <v>0.75</v>
      </c>
      <c r="J54" s="240">
        <f t="shared" si="0"/>
        <v>2.3216438356164385E-2</v>
      </c>
      <c r="K54" s="242">
        <f>'DALYs '!Q519*I54</f>
        <v>1.741232876712329E-2</v>
      </c>
      <c r="L54" s="242">
        <f>K54/((10+5*5)/60)</f>
        <v>2.9849706457925639E-2</v>
      </c>
      <c r="M54" t="s">
        <v>1923</v>
      </c>
    </row>
    <row r="55" spans="1:13" x14ac:dyDescent="0.45">
      <c r="A55" s="79" t="s">
        <v>234</v>
      </c>
      <c r="B55" s="422"/>
      <c r="C55" s="425"/>
      <c r="D55" s="83" t="s">
        <v>539</v>
      </c>
      <c r="E55" s="79" t="s">
        <v>515</v>
      </c>
      <c r="F55" s="80" t="s">
        <v>516</v>
      </c>
      <c r="G55" s="208" t="s">
        <v>450</v>
      </c>
      <c r="I55" s="80"/>
      <c r="J55" s="250"/>
      <c r="K55" s="241"/>
      <c r="L55" s="241"/>
      <c r="M55" t="s">
        <v>1922</v>
      </c>
    </row>
    <row r="56" spans="1:13" x14ac:dyDescent="0.45">
      <c r="A56" s="67" t="s">
        <v>540</v>
      </c>
      <c r="B56" s="415" t="s">
        <v>541</v>
      </c>
      <c r="C56" s="82" t="s">
        <v>542</v>
      </c>
      <c r="D56" s="67"/>
      <c r="E56" s="67"/>
      <c r="F56" s="67"/>
      <c r="G56" s="210"/>
      <c r="H56" s="77"/>
      <c r="I56" s="217"/>
      <c r="J56" s="235"/>
      <c r="K56" s="218"/>
      <c r="L56" s="218"/>
    </row>
    <row r="57" spans="1:13" x14ac:dyDescent="0.45">
      <c r="A57" s="67" t="s">
        <v>543</v>
      </c>
      <c r="B57" s="415"/>
      <c r="C57" s="82" t="s">
        <v>544</v>
      </c>
      <c r="D57" s="67"/>
      <c r="E57" s="67"/>
      <c r="F57" s="67"/>
      <c r="G57" s="210"/>
      <c r="H57" s="77"/>
      <c r="I57" s="217"/>
      <c r="J57" s="235"/>
      <c r="K57" s="218"/>
      <c r="L57" s="218"/>
    </row>
    <row r="58" spans="1:13" x14ac:dyDescent="0.45">
      <c r="A58" s="67" t="s">
        <v>545</v>
      </c>
      <c r="B58" s="415"/>
      <c r="C58" s="82" t="s">
        <v>546</v>
      </c>
      <c r="D58" s="67"/>
      <c r="E58" s="67"/>
      <c r="F58" s="67"/>
      <c r="G58" s="210"/>
      <c r="H58" s="77"/>
      <c r="I58" s="217"/>
      <c r="J58" s="235"/>
      <c r="K58" s="218"/>
      <c r="L58" s="218"/>
    </row>
    <row r="59" spans="1:13" x14ac:dyDescent="0.45">
      <c r="A59" s="67" t="s">
        <v>547</v>
      </c>
      <c r="B59" s="415"/>
      <c r="C59" s="82" t="s">
        <v>548</v>
      </c>
      <c r="D59" s="67"/>
      <c r="E59" s="67"/>
      <c r="F59" s="67"/>
      <c r="G59" s="210"/>
      <c r="H59" s="77"/>
      <c r="I59" s="217"/>
      <c r="J59" s="235"/>
      <c r="K59" s="218"/>
      <c r="L59" s="218"/>
    </row>
    <row r="60" spans="1:13" x14ac:dyDescent="0.45">
      <c r="A60" s="67" t="s">
        <v>549</v>
      </c>
      <c r="B60" s="415"/>
      <c r="C60" s="82" t="s">
        <v>550</v>
      </c>
      <c r="D60" s="67"/>
      <c r="E60" s="67"/>
      <c r="F60" s="67"/>
      <c r="G60" s="210"/>
      <c r="H60" s="77"/>
      <c r="I60" s="217"/>
      <c r="J60" s="235"/>
      <c r="K60" s="218"/>
      <c r="L60" s="218"/>
    </row>
    <row r="61" spans="1:13" x14ac:dyDescent="0.45">
      <c r="A61" s="67" t="s">
        <v>551</v>
      </c>
      <c r="B61" s="415"/>
      <c r="C61" s="82" t="s">
        <v>552</v>
      </c>
      <c r="D61" s="67"/>
      <c r="E61" s="67"/>
      <c r="F61" s="67"/>
      <c r="G61" s="210"/>
      <c r="H61" s="77"/>
      <c r="I61" s="217"/>
      <c r="J61" s="235"/>
      <c r="K61" s="218"/>
      <c r="L61" s="218"/>
    </row>
    <row r="62" spans="1:13" x14ac:dyDescent="0.45">
      <c r="A62" s="67" t="s">
        <v>553</v>
      </c>
      <c r="B62" s="415"/>
      <c r="C62" s="82" t="s">
        <v>554</v>
      </c>
      <c r="D62" s="67"/>
      <c r="E62" s="67"/>
      <c r="F62" s="67"/>
      <c r="G62" s="210"/>
      <c r="H62" s="77"/>
      <c r="I62" s="217"/>
      <c r="J62" s="235"/>
      <c r="K62" s="218"/>
      <c r="L62" s="218"/>
    </row>
    <row r="63" spans="1:13" x14ac:dyDescent="0.45">
      <c r="A63" s="67" t="s">
        <v>555</v>
      </c>
      <c r="B63" s="415"/>
      <c r="C63" s="82" t="s">
        <v>556</v>
      </c>
      <c r="D63" s="67"/>
      <c r="E63" s="67"/>
      <c r="F63" s="67"/>
      <c r="G63" s="210"/>
      <c r="H63" s="77"/>
      <c r="I63" s="217"/>
      <c r="J63" s="235"/>
      <c r="K63" s="218"/>
      <c r="L63" s="218"/>
    </row>
    <row r="64" spans="1:13" x14ac:dyDescent="0.45">
      <c r="A64" s="67" t="s">
        <v>557</v>
      </c>
      <c r="B64" s="413" t="s">
        <v>332</v>
      </c>
      <c r="C64" s="67" t="s">
        <v>558</v>
      </c>
      <c r="D64" s="67"/>
      <c r="E64" s="67"/>
      <c r="F64" s="67"/>
      <c r="G64" s="210"/>
      <c r="H64" s="77"/>
      <c r="I64" s="217"/>
      <c r="J64" s="235"/>
      <c r="K64" s="218"/>
      <c r="L64" s="218"/>
    </row>
    <row r="65" spans="1:12" x14ac:dyDescent="0.45">
      <c r="A65" s="67" t="s">
        <v>559</v>
      </c>
      <c r="B65" s="413"/>
      <c r="C65" s="82" t="s">
        <v>560</v>
      </c>
      <c r="D65" s="67"/>
      <c r="E65" s="67"/>
      <c r="F65" s="67"/>
      <c r="G65" s="210"/>
      <c r="H65" s="77"/>
      <c r="I65" s="217"/>
      <c r="J65" s="235"/>
      <c r="K65" s="218"/>
      <c r="L65" s="218"/>
    </row>
    <row r="66" spans="1:12" x14ac:dyDescent="0.45">
      <c r="A66" s="67" t="s">
        <v>561</v>
      </c>
      <c r="B66" s="413"/>
      <c r="C66" s="82" t="s">
        <v>562</v>
      </c>
      <c r="D66" s="67"/>
      <c r="E66" s="67"/>
      <c r="F66" s="67"/>
      <c r="G66" s="211"/>
      <c r="H66" s="77"/>
      <c r="I66" s="220"/>
      <c r="J66" s="236"/>
      <c r="K66" s="218"/>
      <c r="L66" s="218"/>
    </row>
    <row r="67" spans="1:12" x14ac:dyDescent="0.45">
      <c r="A67" s="67" t="s">
        <v>563</v>
      </c>
      <c r="B67" s="413"/>
      <c r="C67" s="82" t="s">
        <v>564</v>
      </c>
      <c r="D67" s="67"/>
      <c r="E67" s="67"/>
      <c r="F67" s="67"/>
      <c r="G67" s="211"/>
      <c r="H67" s="77"/>
      <c r="I67" s="220"/>
      <c r="J67" s="236"/>
      <c r="K67" s="218"/>
      <c r="L67" s="218"/>
    </row>
    <row r="68" spans="1:12" x14ac:dyDescent="0.45">
      <c r="A68" s="67" t="s">
        <v>565</v>
      </c>
      <c r="B68" s="413"/>
      <c r="C68" s="82" t="s">
        <v>566</v>
      </c>
      <c r="D68" s="67"/>
      <c r="E68" s="67"/>
      <c r="F68" s="67"/>
      <c r="G68" s="211"/>
      <c r="H68" s="77"/>
      <c r="I68" s="220"/>
      <c r="J68" s="236"/>
      <c r="K68" s="218"/>
      <c r="L68" s="218"/>
    </row>
  </sheetData>
  <mergeCells count="17">
    <mergeCell ref="B64:B68"/>
    <mergeCell ref="B28:B30"/>
    <mergeCell ref="C31:C34"/>
    <mergeCell ref="C35:C38"/>
    <mergeCell ref="C39:C41"/>
    <mergeCell ref="B56:B63"/>
    <mergeCell ref="C43:C44"/>
    <mergeCell ref="C46:C47"/>
    <mergeCell ref="B31:B55"/>
    <mergeCell ref="C50:C52"/>
    <mergeCell ref="C53:C55"/>
    <mergeCell ref="B2:B27"/>
    <mergeCell ref="C10:C15"/>
    <mergeCell ref="C16:C20"/>
    <mergeCell ref="C21:C23"/>
    <mergeCell ref="C24:C27"/>
    <mergeCell ref="C2:C9"/>
  </mergeCells>
  <conditionalFormatting sqref="K37">
    <cfRule type="colorScale" priority="13">
      <colorScale>
        <cfvo type="min"/>
        <cfvo type="max"/>
        <color rgb="FFFCFCFF"/>
        <color rgb="FF63BE7B"/>
      </colorScale>
    </cfRule>
  </conditionalFormatting>
  <conditionalFormatting sqref="H40">
    <cfRule type="colorScale" priority="25">
      <colorScale>
        <cfvo type="min"/>
        <cfvo type="max"/>
        <color rgb="FFFCFCFF"/>
        <color rgb="FF63BE7B"/>
      </colorScale>
    </cfRule>
  </conditionalFormatting>
  <conditionalFormatting sqref="M42">
    <cfRule type="colorScale" priority="9">
      <colorScale>
        <cfvo type="min"/>
        <cfvo type="max"/>
        <color rgb="FFFCFCFF"/>
        <color rgb="FF63BE7B"/>
      </colorScale>
    </cfRule>
  </conditionalFormatting>
  <conditionalFormatting sqref="M44">
    <cfRule type="colorScale" priority="8">
      <colorScale>
        <cfvo type="min"/>
        <cfvo type="max"/>
        <color rgb="FFFCFCFF"/>
        <color rgb="FF63BE7B"/>
      </colorScale>
    </cfRule>
  </conditionalFormatting>
  <conditionalFormatting sqref="J1">
    <cfRule type="colorScale" priority="3">
      <colorScale>
        <cfvo type="min"/>
        <cfvo type="max"/>
        <color rgb="FFFCFCFF"/>
        <color rgb="FF63BE7B"/>
      </colorScale>
    </cfRule>
  </conditionalFormatting>
  <conditionalFormatting sqref="K1:K10 K26 K28:K30 K33 K41:K43 K16:K23 K48:K50 K52:K54 K56:K1048576">
    <cfRule type="colorScale" priority="26">
      <colorScale>
        <cfvo type="min"/>
        <cfvo type="max"/>
        <color rgb="FFFCFCFF"/>
        <color rgb="FF63BE7B"/>
      </colorScale>
    </cfRule>
  </conditionalFormatting>
  <conditionalFormatting sqref="L1:L10 L16:L23 L26:L33 L35:L54 L56:L1048576">
    <cfRule type="colorScale" priority="27">
      <colorScale>
        <cfvo type="min"/>
        <cfvo type="max"/>
        <color rgb="FFFCFCFF"/>
        <color rgb="FF63BE7B"/>
      </colorScale>
    </cfRule>
  </conditionalFormatting>
  <conditionalFormatting sqref="L34">
    <cfRule type="colorScale" priority="2">
      <colorScale>
        <cfvo type="min"/>
        <cfvo type="max"/>
        <color rgb="FFFCFCFF"/>
        <color rgb="FF63BE7B"/>
      </colorScale>
    </cfRule>
  </conditionalFormatting>
  <conditionalFormatting sqref="L55">
    <cfRule type="colorScale" priority="1">
      <colorScale>
        <cfvo type="min"/>
        <cfvo type="max"/>
        <color rgb="FFFCFCFF"/>
        <color rgb="FF63BE7B"/>
      </colorScale>
    </cfRule>
  </conditionalFormatting>
  <hyperlinks>
    <hyperlink ref="H6" r:id="rId1" xr:uid="{E673E8B9-EFEF-4304-98F5-50BE024D87C6}"/>
  </hyperlinks>
  <pageMargins left="0.7" right="0.7" top="0.75" bottom="0.75" header="0.3" footer="0.3"/>
  <pageSetup orientation="portrait"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83D06-B7B0-4361-896A-BFF57EC1D426}">
  <sheetPr>
    <tabColor theme="0" tint="-0.34998626667073579"/>
  </sheetPr>
  <dimension ref="A1:AE111"/>
  <sheetViews>
    <sheetView zoomScale="60" zoomScaleNormal="60" workbookViewId="0">
      <pane ySplit="1" topLeftCell="A2" activePane="bottomLeft" state="frozen"/>
      <selection pane="bottomLeft" sqref="A1:S1"/>
    </sheetView>
  </sheetViews>
  <sheetFormatPr defaultColWidth="8.73046875" defaultRowHeight="14.25" x14ac:dyDescent="0.45"/>
  <cols>
    <col min="1" max="1" width="18.796875" style="58" bestFit="1" customWidth="1"/>
    <col min="2" max="2" width="22.19921875" style="58" bestFit="1" customWidth="1"/>
    <col min="3" max="3" width="14.53125" style="58" customWidth="1"/>
    <col min="4" max="5" width="10.796875" style="58" customWidth="1"/>
    <col min="6" max="6" width="14.46484375" style="58" bestFit="1" customWidth="1"/>
    <col min="7" max="7" width="11.19921875" style="58" customWidth="1"/>
    <col min="8" max="8" width="15.19921875" style="58" customWidth="1"/>
    <col min="9" max="9" width="12.46484375" style="58" customWidth="1"/>
    <col min="10" max="11" width="12.46484375" style="139" customWidth="1"/>
    <col min="12" max="17" width="12.46484375" style="58" customWidth="1"/>
    <col min="18" max="19" width="14.53125" style="145" customWidth="1"/>
    <col min="20" max="25" width="8.73046875" style="58"/>
    <col min="26" max="26" width="12.265625" style="58" bestFit="1" customWidth="1"/>
    <col min="27" max="16384" width="8.73046875" style="58"/>
  </cols>
  <sheetData>
    <row r="1" spans="1:28" s="129" customFormat="1" x14ac:dyDescent="0.45">
      <c r="A1" s="129" t="s">
        <v>135</v>
      </c>
      <c r="B1" s="129" t="s">
        <v>136</v>
      </c>
      <c r="C1" s="129" t="s">
        <v>137</v>
      </c>
      <c r="D1" s="129" t="s">
        <v>138</v>
      </c>
      <c r="E1" s="129" t="s">
        <v>139</v>
      </c>
      <c r="F1" s="129" t="s">
        <v>140</v>
      </c>
      <c r="G1" s="129" t="s">
        <v>141</v>
      </c>
      <c r="H1" s="129" t="s">
        <v>142</v>
      </c>
      <c r="I1" s="129" t="s">
        <v>143</v>
      </c>
      <c r="J1" s="144" t="s">
        <v>144</v>
      </c>
      <c r="K1" s="144" t="s">
        <v>145</v>
      </c>
      <c r="L1" s="129" t="s">
        <v>146</v>
      </c>
      <c r="M1" s="129" t="s">
        <v>147</v>
      </c>
      <c r="N1" s="129" t="s">
        <v>148</v>
      </c>
      <c r="O1" s="129" t="s">
        <v>149</v>
      </c>
      <c r="P1" s="129" t="s">
        <v>150</v>
      </c>
      <c r="Q1" s="129" t="s">
        <v>151</v>
      </c>
      <c r="R1" s="252" t="s">
        <v>1916</v>
      </c>
      <c r="S1" s="252" t="s">
        <v>1920</v>
      </c>
    </row>
    <row r="2" spans="1:28" x14ac:dyDescent="0.45">
      <c r="A2" s="58" t="s">
        <v>152</v>
      </c>
      <c r="B2" s="58" t="s">
        <v>153</v>
      </c>
      <c r="C2" s="58" t="s">
        <v>154</v>
      </c>
      <c r="D2" s="58" t="s">
        <v>155</v>
      </c>
      <c r="E2" s="58" t="s">
        <v>65</v>
      </c>
      <c r="F2" s="58" t="s">
        <v>156</v>
      </c>
      <c r="G2" s="58" t="s">
        <v>82</v>
      </c>
      <c r="H2" s="58">
        <v>1</v>
      </c>
      <c r="L2" s="58">
        <v>1</v>
      </c>
      <c r="M2" s="58">
        <v>4</v>
      </c>
      <c r="O2" s="58">
        <v>10</v>
      </c>
      <c r="R2" s="145">
        <f>IFERROR(IF(VLOOKUP($A2,'Services summary'!$A:$L,10,FALSE)=0,"",VLOOKUP($A2,'Services summary'!$A:$L,10,FALSE)),"")</f>
        <v>0.10430311241290574</v>
      </c>
      <c r="S2" s="145">
        <f>IFERROR(IF(VLOOKUP($A2,'Services summary'!$A:$L,11,FALSE)=0,"",VLOOKUP($A2,'Services summary'!$A:$L,11,FALSE)),"")</f>
        <v>0.10430311241290574</v>
      </c>
      <c r="AB2"/>
    </row>
    <row r="3" spans="1:28" x14ac:dyDescent="0.45">
      <c r="A3" s="58" t="s">
        <v>157</v>
      </c>
      <c r="B3" s="58" t="s">
        <v>158</v>
      </c>
      <c r="C3" s="58" t="s">
        <v>154</v>
      </c>
      <c r="D3" s="58" t="s">
        <v>155</v>
      </c>
      <c r="E3" s="58" t="s">
        <v>65</v>
      </c>
      <c r="F3" s="58" t="s">
        <v>156</v>
      </c>
      <c r="G3" s="58" t="s">
        <v>82</v>
      </c>
      <c r="H3" s="58">
        <v>1</v>
      </c>
      <c r="L3" s="58">
        <v>1</v>
      </c>
      <c r="M3" s="58">
        <v>1</v>
      </c>
      <c r="O3" s="130">
        <v>90</v>
      </c>
      <c r="R3" s="145">
        <f>IFERROR(IF(VLOOKUP($A3,'Services summary'!$A:$L,10,FALSE)=0,"",VLOOKUP($A3,'Services summary'!$A:$L,10,FALSE)),"")</f>
        <v>0.29204871475613614</v>
      </c>
      <c r="S3" s="145">
        <f>IFERROR(IF(VLOOKUP($A3,'Services summary'!$A:$L,11,FALSE)=0,"",VLOOKUP($A3,'Services summary'!$A:$L,11,FALSE)),"")</f>
        <v>7.3012178689034035E-2</v>
      </c>
      <c r="AB3"/>
    </row>
    <row r="4" spans="1:28" x14ac:dyDescent="0.45">
      <c r="A4" s="58" t="s">
        <v>159</v>
      </c>
      <c r="B4" s="58" t="s">
        <v>160</v>
      </c>
      <c r="C4" s="58" t="s">
        <v>154</v>
      </c>
      <c r="D4" s="58" t="s">
        <v>161</v>
      </c>
      <c r="E4" s="58" t="s">
        <v>65</v>
      </c>
      <c r="F4" s="58" t="s">
        <v>156</v>
      </c>
      <c r="G4" s="58" t="s">
        <v>82</v>
      </c>
      <c r="H4" s="58">
        <v>1</v>
      </c>
      <c r="L4" s="58">
        <v>1</v>
      </c>
      <c r="R4" s="145" t="str">
        <f>IFERROR(IF(VLOOKUP($A4,'Services summary'!$A:$L,10,FALSE)=0,"",VLOOKUP($A4,'Services summary'!$A:$L,10,FALSE)),"")</f>
        <v/>
      </c>
      <c r="S4" s="145" t="str">
        <f>IFERROR(IF(VLOOKUP($A4,'Services summary'!$A:$L,11,FALSE)=0,"",VLOOKUP($A4,'Services summary'!$A:$L,11,FALSE)),"")</f>
        <v/>
      </c>
      <c r="AB4"/>
    </row>
    <row r="5" spans="1:28" x14ac:dyDescent="0.45">
      <c r="A5" s="58" t="s">
        <v>162</v>
      </c>
      <c r="B5" s="58" t="s">
        <v>163</v>
      </c>
      <c r="C5" s="58" t="s">
        <v>154</v>
      </c>
      <c r="D5" s="58" t="s">
        <v>155</v>
      </c>
      <c r="E5" s="58" t="s">
        <v>65</v>
      </c>
      <c r="F5" s="58" t="s">
        <v>156</v>
      </c>
      <c r="G5" s="58" t="s">
        <v>82</v>
      </c>
      <c r="H5" s="58">
        <v>1</v>
      </c>
      <c r="L5" s="58">
        <v>1</v>
      </c>
      <c r="M5" s="58">
        <v>2</v>
      </c>
      <c r="O5" s="58">
        <v>60</v>
      </c>
      <c r="R5" s="145">
        <f>IFERROR(IF(VLOOKUP($A5,'Services summary'!$A:$L,10,FALSE)=0,"",VLOOKUP($A5,'Services summary'!$A:$L,10,FALSE)),"")</f>
        <v>0.83442489930324593</v>
      </c>
      <c r="S5" s="145">
        <f>IFERROR(IF(VLOOKUP($A5,'Services summary'!$A:$L,11,FALSE)=0,"",VLOOKUP($A5,'Services summary'!$A:$L,11,FALSE)),"")</f>
        <v>0.83442489930324593</v>
      </c>
      <c r="AB5"/>
    </row>
    <row r="6" spans="1:28" x14ac:dyDescent="0.45">
      <c r="A6" s="58" t="s">
        <v>164</v>
      </c>
      <c r="B6" s="58" t="s">
        <v>165</v>
      </c>
      <c r="C6" s="58" t="s">
        <v>154</v>
      </c>
      <c r="D6" s="58" t="s">
        <v>155</v>
      </c>
      <c r="E6" s="58" t="s">
        <v>65</v>
      </c>
      <c r="F6" s="58" t="s">
        <v>156</v>
      </c>
      <c r="G6" s="58" t="s">
        <v>82</v>
      </c>
      <c r="H6" s="58">
        <v>1</v>
      </c>
      <c r="L6" s="58">
        <v>1</v>
      </c>
      <c r="M6" s="58">
        <v>2</v>
      </c>
      <c r="O6" s="58">
        <v>60</v>
      </c>
      <c r="R6" s="145">
        <f>IFERROR(IF(VLOOKUP($A6,'Services summary'!$A:$L,10,FALSE)=0,"",VLOOKUP($A6,'Services summary'!$A:$L,10,FALSE)),"")</f>
        <v>0.11473342365419609</v>
      </c>
      <c r="S6" s="145">
        <f>IFERROR(IF(VLOOKUP($A6,'Services summary'!$A:$L,11,FALSE)=0,"",VLOOKUP($A6,'Services summary'!$A:$L,11,FALSE)),"")</f>
        <v>0.11473342365419609</v>
      </c>
    </row>
    <row r="7" spans="1:28" x14ac:dyDescent="0.45">
      <c r="A7" s="58" t="s">
        <v>166</v>
      </c>
      <c r="B7" s="58" t="s">
        <v>167</v>
      </c>
      <c r="C7" s="58" t="s">
        <v>154</v>
      </c>
      <c r="D7" s="58" t="s">
        <v>168</v>
      </c>
      <c r="E7" s="58" t="s">
        <v>67</v>
      </c>
      <c r="F7" s="131" t="s">
        <v>169</v>
      </c>
      <c r="G7" s="58" t="s">
        <v>82</v>
      </c>
      <c r="H7" s="130">
        <v>2</v>
      </c>
      <c r="L7" s="130">
        <v>0.98</v>
      </c>
      <c r="M7" s="58">
        <v>1</v>
      </c>
      <c r="O7" s="58">
        <v>5</v>
      </c>
      <c r="R7" s="145">
        <f>IFERROR(IF(VLOOKUP($A7,'Services summary'!$A:$L,10,FALSE)=0,"",VLOOKUP($A7,'Services summary'!$A:$L,10,FALSE)),"")</f>
        <v>6.0189073039141977E-2</v>
      </c>
      <c r="S7" s="145">
        <f>IFERROR(IF(VLOOKUP($A7,'Services summary'!$A:$L,11,FALSE)=0,"",VLOOKUP($A7,'Services summary'!$A:$L,11,FALSE)),"")</f>
        <v>6.0189073039141977E-2</v>
      </c>
    </row>
    <row r="8" spans="1:28" x14ac:dyDescent="0.45">
      <c r="A8" s="58" t="s">
        <v>170</v>
      </c>
      <c r="B8" s="58" t="s">
        <v>171</v>
      </c>
      <c r="C8" s="58" t="s">
        <v>154</v>
      </c>
      <c r="D8" s="58" t="s">
        <v>168</v>
      </c>
      <c r="E8" s="58" t="s">
        <v>67</v>
      </c>
      <c r="F8" s="131" t="s">
        <v>169</v>
      </c>
      <c r="G8" s="58" t="s">
        <v>82</v>
      </c>
      <c r="H8" s="58">
        <f>5-H7</f>
        <v>3</v>
      </c>
      <c r="L8" s="58">
        <v>0.98</v>
      </c>
      <c r="M8" s="58">
        <v>1</v>
      </c>
      <c r="O8" s="58">
        <v>5</v>
      </c>
      <c r="R8" s="145">
        <f>IFERROR(IF(VLOOKUP($A8,'Services summary'!$A:$L,10,FALSE)=0,"",VLOOKUP($A8,'Services summary'!$A:$L,10,FALSE)),"")</f>
        <v>2.3E-2</v>
      </c>
      <c r="S8" s="145">
        <f>IFERROR(IF(VLOOKUP($A8,'Services summary'!$A:$L,11,FALSE)=0,"",VLOOKUP($A8,'Services summary'!$A:$L,11,FALSE)),"")</f>
        <v>2.3E-2</v>
      </c>
    </row>
    <row r="9" spans="1:28" x14ac:dyDescent="0.45">
      <c r="A9" s="58" t="s">
        <v>172</v>
      </c>
      <c r="B9" s="58" t="s">
        <v>173</v>
      </c>
      <c r="C9" s="58" t="s">
        <v>154</v>
      </c>
      <c r="D9" s="58" t="s">
        <v>168</v>
      </c>
      <c r="E9" s="58" t="s">
        <v>67</v>
      </c>
      <c r="F9" s="131" t="s">
        <v>169</v>
      </c>
      <c r="G9" s="58" t="s">
        <v>82</v>
      </c>
      <c r="H9" s="132">
        <v>0.46029999999999999</v>
      </c>
      <c r="I9" s="58" t="s">
        <v>174</v>
      </c>
      <c r="L9" s="130">
        <v>0.98</v>
      </c>
      <c r="M9" s="58">
        <v>2</v>
      </c>
      <c r="O9" s="58">
        <v>5</v>
      </c>
      <c r="R9" s="145">
        <f>IFERROR(IF(VLOOKUP($A9,'Services summary'!$A:$L,10,FALSE)=0,"",VLOOKUP($A9,'Services summary'!$A:$L,10,FALSE)),"")</f>
        <v>0.14500000000000002</v>
      </c>
      <c r="S9" s="145">
        <f>IFERROR(IF(VLOOKUP($A9,'Services summary'!$A:$L,11,FALSE)=0,"",VLOOKUP($A9,'Services summary'!$A:$L,11,FALSE)),"")</f>
        <v>0.14500000000000002</v>
      </c>
    </row>
    <row r="10" spans="1:28" x14ac:dyDescent="0.45">
      <c r="A10" s="58" t="s">
        <v>175</v>
      </c>
      <c r="B10" s="58" t="s">
        <v>176</v>
      </c>
      <c r="C10" s="58" t="s">
        <v>154</v>
      </c>
      <c r="D10" s="58" t="s">
        <v>161</v>
      </c>
      <c r="E10" s="58" t="s">
        <v>68</v>
      </c>
      <c r="F10" s="58" t="s">
        <v>156</v>
      </c>
      <c r="G10" s="58" t="s">
        <v>82</v>
      </c>
      <c r="H10" s="58">
        <v>1</v>
      </c>
      <c r="L10" s="58">
        <v>1</v>
      </c>
      <c r="M10" s="58">
        <v>1</v>
      </c>
      <c r="O10" s="58">
        <v>0</v>
      </c>
      <c r="R10" s="145">
        <f>IFERROR(IF(VLOOKUP($A10,'Services summary'!$A:$L,10,FALSE)=0,"",VLOOKUP($A10,'Services summary'!$A:$L,10,FALSE)),"")</f>
        <v>7.4195673431245293E-2</v>
      </c>
      <c r="S10" s="145">
        <f>IFERROR(IF(VLOOKUP($A10,'Services summary'!$A:$L,11,FALSE)=0,"",VLOOKUP($A10,'Services summary'!$A:$L,11,FALSE)),"")</f>
        <v>7.4195673431245293E-2</v>
      </c>
    </row>
    <row r="11" spans="1:28" x14ac:dyDescent="0.45">
      <c r="A11" s="58" t="s">
        <v>177</v>
      </c>
      <c r="B11" s="58" t="s">
        <v>178</v>
      </c>
      <c r="C11" s="58" t="s">
        <v>154</v>
      </c>
      <c r="D11" s="58" t="s">
        <v>161</v>
      </c>
      <c r="E11" s="58" t="s">
        <v>68</v>
      </c>
      <c r="F11" s="58" t="s">
        <v>179</v>
      </c>
      <c r="G11" s="58" t="s">
        <v>82</v>
      </c>
      <c r="H11" s="58">
        <v>1</v>
      </c>
      <c r="L11" s="58">
        <v>1</v>
      </c>
      <c r="M11" s="58">
        <v>4</v>
      </c>
      <c r="O11" s="58">
        <v>5</v>
      </c>
      <c r="R11" s="145">
        <f>IFERROR(IF(VLOOKUP($A11,'Services summary'!$A:$L,10,FALSE)=0,"",VLOOKUP($A11,'Services summary'!$A:$L,10,FALSE)),"")</f>
        <v>2.8409800837628687</v>
      </c>
      <c r="S11" s="145">
        <f>IFERROR(IF(VLOOKUP($A11,'Services summary'!$A:$L,11,FALSE)=0,"",VLOOKUP($A11,'Services summary'!$A:$L,11,FALSE)),"")</f>
        <v>2.8409800837628687</v>
      </c>
    </row>
    <row r="12" spans="1:28" x14ac:dyDescent="0.45">
      <c r="A12" s="58" t="s">
        <v>180</v>
      </c>
      <c r="B12" s="58" t="s">
        <v>181</v>
      </c>
      <c r="C12" s="58" t="s">
        <v>154</v>
      </c>
      <c r="D12" s="58" t="s">
        <v>161</v>
      </c>
      <c r="E12" s="58" t="s">
        <v>68</v>
      </c>
      <c r="F12" s="58" t="s">
        <v>182</v>
      </c>
      <c r="G12" s="58" t="s">
        <v>82</v>
      </c>
      <c r="H12" s="58">
        <v>1</v>
      </c>
      <c r="L12" s="58">
        <v>1</v>
      </c>
      <c r="M12" s="58">
        <v>1</v>
      </c>
      <c r="O12" s="58">
        <v>5</v>
      </c>
      <c r="R12" s="145">
        <f>IFERROR(IF(VLOOKUP($A12,'Services summary'!$A:$L,10,FALSE)=0,"",VLOOKUP($A12,'Services summary'!$A:$L,10,FALSE)),"")</f>
        <v>0.32413649864778804</v>
      </c>
      <c r="S12" s="145">
        <f>IFERROR(IF(VLOOKUP($A12,'Services summary'!$A:$L,11,FALSE)=0,"",VLOOKUP($A12,'Services summary'!$A:$L,11,FALSE)),"")</f>
        <v>0.32413649864778804</v>
      </c>
    </row>
    <row r="13" spans="1:28" x14ac:dyDescent="0.45">
      <c r="A13" s="58" t="s">
        <v>183</v>
      </c>
      <c r="B13" s="58" t="s">
        <v>184</v>
      </c>
      <c r="C13" s="58" t="s">
        <v>154</v>
      </c>
      <c r="D13" s="58" t="s">
        <v>161</v>
      </c>
      <c r="E13" s="58" t="s">
        <v>68</v>
      </c>
      <c r="F13" s="58" t="s">
        <v>156</v>
      </c>
      <c r="G13" s="58" t="s">
        <v>82</v>
      </c>
      <c r="H13" s="58">
        <v>1</v>
      </c>
      <c r="L13" s="58">
        <v>1</v>
      </c>
      <c r="M13" s="58">
        <v>2</v>
      </c>
      <c r="O13" s="58">
        <v>0</v>
      </c>
      <c r="R13" s="145">
        <f>IFERROR(IF(VLOOKUP($A13,'Services summary'!$A:$L,10,FALSE)=0,"",VLOOKUP($A13,'Services summary'!$A:$L,10,FALSE)),"")</f>
        <v>4.7904191616766463E-2</v>
      </c>
      <c r="S13" s="145">
        <f>IFERROR(IF(VLOOKUP($A13,'Services summary'!$A:$L,11,FALSE)=0,"",VLOOKUP($A13,'Services summary'!$A:$L,11,FALSE)),"")</f>
        <v>4.7904191616766463E-2</v>
      </c>
    </row>
    <row r="14" spans="1:28" x14ac:dyDescent="0.45">
      <c r="A14" s="58" t="s">
        <v>185</v>
      </c>
      <c r="B14" s="58" t="s">
        <v>186</v>
      </c>
      <c r="C14" s="58" t="s">
        <v>154</v>
      </c>
      <c r="D14" s="58" t="s">
        <v>161</v>
      </c>
      <c r="E14" s="58" t="s">
        <v>68</v>
      </c>
      <c r="F14" s="58" t="s">
        <v>187</v>
      </c>
      <c r="G14" s="58" t="s">
        <v>82</v>
      </c>
      <c r="H14" s="58">
        <v>1</v>
      </c>
      <c r="L14" s="58">
        <v>1</v>
      </c>
      <c r="M14" s="58">
        <v>2</v>
      </c>
      <c r="O14" s="58">
        <v>0</v>
      </c>
      <c r="R14" s="145">
        <f>IFERROR(IF(VLOOKUP($A14,'Services summary'!$A:$L,10,FALSE)=0,"",VLOOKUP($A14,'Services summary'!$A:$L,10,FALSE)),"")</f>
        <v>0.34184059999999999</v>
      </c>
      <c r="S14" s="145">
        <f>IFERROR(IF(VLOOKUP($A14,'Services summary'!$A:$L,11,FALSE)=0,"",VLOOKUP($A14,'Services summary'!$A:$L,11,FALSE)),"")</f>
        <v>0.34184059999999999</v>
      </c>
    </row>
    <row r="15" spans="1:28" x14ac:dyDescent="0.45">
      <c r="A15" s="58" t="s">
        <v>188</v>
      </c>
      <c r="B15" s="58" t="s">
        <v>189</v>
      </c>
      <c r="C15" s="58" t="s">
        <v>154</v>
      </c>
      <c r="D15" s="58" t="s">
        <v>161</v>
      </c>
      <c r="E15" s="58" t="s">
        <v>70</v>
      </c>
      <c r="F15" s="133" t="s">
        <v>169</v>
      </c>
      <c r="G15" s="58" t="s">
        <v>82</v>
      </c>
      <c r="H15" s="58">
        <v>1</v>
      </c>
      <c r="L15" s="58">
        <v>1</v>
      </c>
      <c r="M15" s="58">
        <v>6</v>
      </c>
      <c r="O15" s="58">
        <v>5</v>
      </c>
      <c r="R15" s="145" t="str">
        <f>IFERROR(IF(VLOOKUP($A15,'Services summary'!$A:$L,10,FALSE)=0,"",VLOOKUP($A15,'Services summary'!$A:$L,10,FALSE)),"")</f>
        <v/>
      </c>
      <c r="S15" s="145" t="str">
        <f>IFERROR(IF(VLOOKUP($A15,'Services summary'!$A:$L,11,FALSE)=0,"",VLOOKUP($A15,'Services summary'!$A:$L,11,FALSE)),"")</f>
        <v/>
      </c>
    </row>
    <row r="16" spans="1:28" x14ac:dyDescent="0.45">
      <c r="A16" s="58" t="s">
        <v>190</v>
      </c>
      <c r="B16" s="58" t="s">
        <v>1925</v>
      </c>
      <c r="C16" s="58" t="s">
        <v>154</v>
      </c>
      <c r="D16" s="58" t="s">
        <v>168</v>
      </c>
      <c r="E16" s="58" t="s">
        <v>70</v>
      </c>
      <c r="F16" s="131" t="str">
        <f>F15</f>
        <v>1-4</v>
      </c>
      <c r="G16" s="58" t="s">
        <v>82</v>
      </c>
      <c r="H16" s="134">
        <f>0.38/4</f>
        <v>9.5000000000000001E-2</v>
      </c>
      <c r="I16" s="138" t="s">
        <v>174</v>
      </c>
      <c r="L16" s="130">
        <v>0.98</v>
      </c>
      <c r="R16" s="145" t="str">
        <f>IFERROR(IF(VLOOKUP($A16,'Services summary'!$A:$L,10,FALSE)=0,"",VLOOKUP($A16,'Services summary'!$A:$L,10,FALSE)),"")</f>
        <v/>
      </c>
      <c r="S16" s="145" t="str">
        <f>IFERROR(IF(VLOOKUP($A16,'Services summary'!$A:$L,11,FALSE)=0,"",VLOOKUP($A16,'Services summary'!$A:$L,11,FALSE)),"")</f>
        <v/>
      </c>
    </row>
    <row r="17" spans="1:31" x14ac:dyDescent="0.45">
      <c r="A17" s="58" t="s">
        <v>299</v>
      </c>
      <c r="B17" s="58" t="s">
        <v>1924</v>
      </c>
      <c r="C17" s="58" t="s">
        <v>154</v>
      </c>
      <c r="D17" s="58" t="s">
        <v>168</v>
      </c>
      <c r="E17" s="58" t="s">
        <v>70</v>
      </c>
      <c r="F17" s="131" t="str">
        <f>F16</f>
        <v>1-4</v>
      </c>
      <c r="G17" s="58" t="s">
        <v>82</v>
      </c>
      <c r="H17" s="138">
        <f>H16</f>
        <v>9.5000000000000001E-2</v>
      </c>
      <c r="I17" s="138" t="s">
        <v>174</v>
      </c>
      <c r="L17" s="58">
        <f>L16</f>
        <v>0.98</v>
      </c>
      <c r="M17" s="130">
        <v>4</v>
      </c>
      <c r="O17" s="58">
        <v>5</v>
      </c>
      <c r="R17" s="145">
        <f>IFERROR(IF(VLOOKUP($A17,'Services summary'!$A:$L,10,FALSE)=0,"",VLOOKUP($A17,'Services summary'!$A:$L,10,FALSE)),"")</f>
        <v>6.4682320441988947</v>
      </c>
      <c r="S17" s="145">
        <f>IFERROR(IF(VLOOKUP($A17,'Services summary'!$A:$L,11,FALSE)=0,"",VLOOKUP($A17,'Services summary'!$A:$L,11,FALSE)),"")</f>
        <v>1.6170580110497237</v>
      </c>
      <c r="AE17"/>
    </row>
    <row r="18" spans="1:31" x14ac:dyDescent="0.45">
      <c r="A18" s="58" t="s">
        <v>301</v>
      </c>
      <c r="B18" s="58" t="s">
        <v>1926</v>
      </c>
      <c r="C18" s="58" t="s">
        <v>154</v>
      </c>
      <c r="D18" s="58" t="s">
        <v>168</v>
      </c>
      <c r="E18" s="58" t="s">
        <v>70</v>
      </c>
      <c r="F18" s="131" t="str">
        <f>F17</f>
        <v>1-4</v>
      </c>
      <c r="G18" s="58" t="s">
        <v>82</v>
      </c>
      <c r="H18" s="138">
        <f>H17</f>
        <v>9.5000000000000001E-2</v>
      </c>
      <c r="I18" s="138" t="s">
        <v>174</v>
      </c>
      <c r="L18" s="58">
        <f>L17</f>
        <v>0.98</v>
      </c>
      <c r="R18" s="145" t="str">
        <f>IFERROR(IF(VLOOKUP($A18,'Services summary'!$A:$L,10,FALSE)=0,"",VLOOKUP($A18,'Services summary'!$A:$L,10,FALSE)),"")</f>
        <v/>
      </c>
      <c r="S18" s="145" t="str">
        <f>IFERROR(IF(VLOOKUP($A18,'Services summary'!$A:$L,11,FALSE)=0,"",VLOOKUP($A18,'Services summary'!$A:$L,11,FALSE)),"")</f>
        <v/>
      </c>
      <c r="AE18"/>
    </row>
    <row r="19" spans="1:31" x14ac:dyDescent="0.45">
      <c r="A19" s="58" t="s">
        <v>152</v>
      </c>
      <c r="B19" s="58" t="s">
        <v>153</v>
      </c>
      <c r="C19" s="58" t="s">
        <v>154</v>
      </c>
      <c r="D19" s="58" t="s">
        <v>155</v>
      </c>
      <c r="E19" s="58" t="s">
        <v>65</v>
      </c>
      <c r="F19" s="58" t="str">
        <f t="shared" ref="F19:F35" si="0">F2</f>
        <v>births</v>
      </c>
      <c r="G19" s="58" t="s">
        <v>84</v>
      </c>
      <c r="H19" s="58">
        <f t="shared" ref="H19:H35" si="1">H2</f>
        <v>1</v>
      </c>
      <c r="L19" s="58">
        <f t="shared" ref="L19:M35" si="2">L2</f>
        <v>1</v>
      </c>
      <c r="M19" s="58">
        <f t="shared" si="2"/>
        <v>4</v>
      </c>
      <c r="O19" s="58">
        <f t="shared" ref="O19:O35" si="3">O2</f>
        <v>10</v>
      </c>
      <c r="R19" s="58">
        <f t="shared" ref="R19:S35" si="4">R2</f>
        <v>0.10430311241290574</v>
      </c>
      <c r="S19" s="58">
        <f t="shared" si="4"/>
        <v>0.10430311241290574</v>
      </c>
      <c r="AE19"/>
    </row>
    <row r="20" spans="1:31" x14ac:dyDescent="0.45">
      <c r="A20" s="58" t="s">
        <v>157</v>
      </c>
      <c r="B20" s="58" t="s">
        <v>158</v>
      </c>
      <c r="C20" s="58" t="s">
        <v>154</v>
      </c>
      <c r="D20" s="58" t="s">
        <v>155</v>
      </c>
      <c r="E20" s="58" t="s">
        <v>65</v>
      </c>
      <c r="F20" s="58" t="str">
        <f t="shared" si="0"/>
        <v>births</v>
      </c>
      <c r="G20" s="58" t="s">
        <v>84</v>
      </c>
      <c r="H20" s="58">
        <f t="shared" si="1"/>
        <v>1</v>
      </c>
      <c r="L20" s="58">
        <f t="shared" si="2"/>
        <v>1</v>
      </c>
      <c r="M20" s="58">
        <f t="shared" si="2"/>
        <v>1</v>
      </c>
      <c r="O20" s="58">
        <f t="shared" si="3"/>
        <v>90</v>
      </c>
      <c r="R20" s="58">
        <f t="shared" si="4"/>
        <v>0.29204871475613614</v>
      </c>
      <c r="S20" s="58">
        <f t="shared" si="4"/>
        <v>7.3012178689034035E-2</v>
      </c>
      <c r="AE20"/>
    </row>
    <row r="21" spans="1:31" x14ac:dyDescent="0.45">
      <c r="A21" s="58" t="s">
        <v>159</v>
      </c>
      <c r="B21" s="58" t="s">
        <v>160</v>
      </c>
      <c r="C21" s="58" t="s">
        <v>154</v>
      </c>
      <c r="D21" s="58" t="s">
        <v>161</v>
      </c>
      <c r="E21" s="58" t="s">
        <v>65</v>
      </c>
      <c r="F21" s="58" t="str">
        <f t="shared" si="0"/>
        <v>births</v>
      </c>
      <c r="G21" s="58" t="s">
        <v>84</v>
      </c>
      <c r="H21" s="58">
        <f t="shared" si="1"/>
        <v>1</v>
      </c>
      <c r="L21" s="58">
        <f t="shared" si="2"/>
        <v>1</v>
      </c>
      <c r="M21" s="58">
        <f t="shared" si="2"/>
        <v>0</v>
      </c>
      <c r="O21" s="58">
        <f t="shared" si="3"/>
        <v>0</v>
      </c>
      <c r="R21" s="58" t="str">
        <f t="shared" si="4"/>
        <v/>
      </c>
      <c r="S21" s="58" t="str">
        <f t="shared" si="4"/>
        <v/>
      </c>
      <c r="AE21"/>
    </row>
    <row r="22" spans="1:31" x14ac:dyDescent="0.45">
      <c r="A22" s="58" t="s">
        <v>162</v>
      </c>
      <c r="B22" s="58" t="s">
        <v>163</v>
      </c>
      <c r="C22" s="58" t="s">
        <v>154</v>
      </c>
      <c r="D22" s="58" t="s">
        <v>155</v>
      </c>
      <c r="E22" s="58" t="s">
        <v>65</v>
      </c>
      <c r="F22" s="58" t="str">
        <f t="shared" si="0"/>
        <v>births</v>
      </c>
      <c r="G22" s="58" t="s">
        <v>84</v>
      </c>
      <c r="H22" s="58">
        <f t="shared" si="1"/>
        <v>1</v>
      </c>
      <c r="L22" s="58">
        <f t="shared" si="2"/>
        <v>1</v>
      </c>
      <c r="M22" s="58">
        <f t="shared" si="2"/>
        <v>2</v>
      </c>
      <c r="O22" s="58">
        <f t="shared" si="3"/>
        <v>60</v>
      </c>
      <c r="R22" s="58">
        <f t="shared" si="4"/>
        <v>0.83442489930324593</v>
      </c>
      <c r="S22" s="58">
        <f t="shared" si="4"/>
        <v>0.83442489930324593</v>
      </c>
      <c r="AE22"/>
    </row>
    <row r="23" spans="1:31" x14ac:dyDescent="0.45">
      <c r="A23" s="58" t="s">
        <v>164</v>
      </c>
      <c r="B23" s="58" t="s">
        <v>165</v>
      </c>
      <c r="C23" s="58" t="s">
        <v>154</v>
      </c>
      <c r="D23" s="58" t="s">
        <v>155</v>
      </c>
      <c r="E23" s="58" t="s">
        <v>65</v>
      </c>
      <c r="F23" s="58" t="str">
        <f t="shared" si="0"/>
        <v>births</v>
      </c>
      <c r="G23" s="58" t="s">
        <v>84</v>
      </c>
      <c r="H23" s="58">
        <f t="shared" si="1"/>
        <v>1</v>
      </c>
      <c r="L23" s="58">
        <f t="shared" si="2"/>
        <v>1</v>
      </c>
      <c r="M23" s="58">
        <f t="shared" si="2"/>
        <v>2</v>
      </c>
      <c r="O23" s="58">
        <f t="shared" si="3"/>
        <v>60</v>
      </c>
      <c r="R23" s="58">
        <f t="shared" si="4"/>
        <v>0.11473342365419609</v>
      </c>
      <c r="S23" s="58">
        <f t="shared" si="4"/>
        <v>0.11473342365419609</v>
      </c>
      <c r="AE23"/>
    </row>
    <row r="24" spans="1:31" x14ac:dyDescent="0.45">
      <c r="A24" s="58" t="s">
        <v>166</v>
      </c>
      <c r="B24" s="58" t="s">
        <v>167</v>
      </c>
      <c r="C24" s="58" t="s">
        <v>154</v>
      </c>
      <c r="D24" s="58" t="s">
        <v>168</v>
      </c>
      <c r="E24" s="58" t="s">
        <v>67</v>
      </c>
      <c r="F24" s="58" t="str">
        <f t="shared" si="0"/>
        <v>1-4</v>
      </c>
      <c r="G24" s="58" t="s">
        <v>84</v>
      </c>
      <c r="H24" s="58">
        <f t="shared" si="1"/>
        <v>2</v>
      </c>
      <c r="L24" s="58">
        <f t="shared" si="2"/>
        <v>0.98</v>
      </c>
      <c r="M24" s="58">
        <f t="shared" si="2"/>
        <v>1</v>
      </c>
      <c r="O24" s="58">
        <f t="shared" si="3"/>
        <v>5</v>
      </c>
      <c r="R24" s="58">
        <f t="shared" si="4"/>
        <v>6.0189073039141977E-2</v>
      </c>
      <c r="S24" s="58">
        <f t="shared" si="4"/>
        <v>6.0189073039141977E-2</v>
      </c>
      <c r="AE24"/>
    </row>
    <row r="25" spans="1:31" x14ac:dyDescent="0.45">
      <c r="A25" s="58" t="s">
        <v>170</v>
      </c>
      <c r="B25" s="58" t="s">
        <v>171</v>
      </c>
      <c r="C25" s="58" t="s">
        <v>154</v>
      </c>
      <c r="D25" s="58" t="s">
        <v>168</v>
      </c>
      <c r="E25" s="58" t="s">
        <v>67</v>
      </c>
      <c r="F25" s="58" t="str">
        <f t="shared" si="0"/>
        <v>1-4</v>
      </c>
      <c r="G25" s="58" t="s">
        <v>84</v>
      </c>
      <c r="H25" s="58">
        <f t="shared" si="1"/>
        <v>3</v>
      </c>
      <c r="L25" s="58">
        <f t="shared" si="2"/>
        <v>0.98</v>
      </c>
      <c r="M25" s="58">
        <f t="shared" si="2"/>
        <v>1</v>
      </c>
      <c r="O25" s="58">
        <f t="shared" si="3"/>
        <v>5</v>
      </c>
      <c r="R25" s="58">
        <f t="shared" si="4"/>
        <v>2.3E-2</v>
      </c>
      <c r="S25" s="58">
        <f t="shared" si="4"/>
        <v>2.3E-2</v>
      </c>
      <c r="AE25"/>
    </row>
    <row r="26" spans="1:31" x14ac:dyDescent="0.45">
      <c r="A26" s="58" t="s">
        <v>172</v>
      </c>
      <c r="B26" s="58" t="s">
        <v>173</v>
      </c>
      <c r="C26" s="58" t="s">
        <v>154</v>
      </c>
      <c r="D26" s="58" t="s">
        <v>168</v>
      </c>
      <c r="E26" s="58" t="s">
        <v>67</v>
      </c>
      <c r="F26" s="58" t="str">
        <f t="shared" si="0"/>
        <v>1-4</v>
      </c>
      <c r="G26" s="58" t="s">
        <v>84</v>
      </c>
      <c r="H26" s="58">
        <f t="shared" si="1"/>
        <v>0.46029999999999999</v>
      </c>
      <c r="I26" s="58" t="s">
        <v>174</v>
      </c>
      <c r="L26" s="58">
        <f t="shared" si="2"/>
        <v>0.98</v>
      </c>
      <c r="M26" s="58">
        <f t="shared" si="2"/>
        <v>2</v>
      </c>
      <c r="O26" s="58">
        <f t="shared" si="3"/>
        <v>5</v>
      </c>
      <c r="R26" s="58">
        <f t="shared" si="4"/>
        <v>0.14500000000000002</v>
      </c>
      <c r="S26" s="58">
        <f t="shared" si="4"/>
        <v>0.14500000000000002</v>
      </c>
      <c r="AE26"/>
    </row>
    <row r="27" spans="1:31" x14ac:dyDescent="0.45">
      <c r="A27" s="58" t="s">
        <v>175</v>
      </c>
      <c r="B27" s="58" t="s">
        <v>176</v>
      </c>
      <c r="C27" s="58" t="s">
        <v>154</v>
      </c>
      <c r="D27" s="58" t="s">
        <v>161</v>
      </c>
      <c r="E27" s="58" t="s">
        <v>68</v>
      </c>
      <c r="F27" s="58" t="str">
        <f t="shared" si="0"/>
        <v>births</v>
      </c>
      <c r="G27" s="58" t="s">
        <v>84</v>
      </c>
      <c r="H27" s="58">
        <f t="shared" si="1"/>
        <v>1</v>
      </c>
      <c r="L27" s="58">
        <f t="shared" si="2"/>
        <v>1</v>
      </c>
      <c r="M27" s="58">
        <f t="shared" si="2"/>
        <v>1</v>
      </c>
      <c r="O27" s="58">
        <f t="shared" si="3"/>
        <v>0</v>
      </c>
      <c r="R27" s="58">
        <f t="shared" si="4"/>
        <v>7.4195673431245293E-2</v>
      </c>
      <c r="S27" s="58">
        <f t="shared" si="4"/>
        <v>7.4195673431245293E-2</v>
      </c>
      <c r="AE27"/>
    </row>
    <row r="28" spans="1:31" x14ac:dyDescent="0.45">
      <c r="A28" s="58" t="s">
        <v>177</v>
      </c>
      <c r="B28" s="58" t="s">
        <v>178</v>
      </c>
      <c r="C28" s="58" t="s">
        <v>154</v>
      </c>
      <c r="D28" s="58" t="s">
        <v>161</v>
      </c>
      <c r="E28" s="58" t="s">
        <v>68</v>
      </c>
      <c r="F28" s="58" t="str">
        <f t="shared" si="0"/>
        <v>1 yo</v>
      </c>
      <c r="G28" s="58" t="s">
        <v>84</v>
      </c>
      <c r="H28" s="58">
        <f t="shared" si="1"/>
        <v>1</v>
      </c>
      <c r="L28" s="58">
        <f t="shared" si="2"/>
        <v>1</v>
      </c>
      <c r="M28" s="58">
        <f t="shared" si="2"/>
        <v>4</v>
      </c>
      <c r="O28" s="58">
        <f t="shared" si="3"/>
        <v>5</v>
      </c>
      <c r="R28" s="58">
        <f t="shared" si="4"/>
        <v>2.8409800837628687</v>
      </c>
      <c r="S28" s="58">
        <f t="shared" si="4"/>
        <v>2.8409800837628687</v>
      </c>
      <c r="AE28"/>
    </row>
    <row r="29" spans="1:31" x14ac:dyDescent="0.45">
      <c r="A29" s="58" t="s">
        <v>180</v>
      </c>
      <c r="B29" s="58" t="s">
        <v>181</v>
      </c>
      <c r="C29" s="58" t="s">
        <v>154</v>
      </c>
      <c r="D29" s="58" t="s">
        <v>161</v>
      </c>
      <c r="E29" s="58" t="s">
        <v>68</v>
      </c>
      <c r="F29" s="58" t="str">
        <f t="shared" si="0"/>
        <v>2 yo</v>
      </c>
      <c r="G29" s="58" t="s">
        <v>84</v>
      </c>
      <c r="H29" s="58">
        <f t="shared" si="1"/>
        <v>1</v>
      </c>
      <c r="L29" s="58">
        <f t="shared" si="2"/>
        <v>1</v>
      </c>
      <c r="M29" s="58">
        <f t="shared" si="2"/>
        <v>1</v>
      </c>
      <c r="O29" s="58">
        <f t="shared" si="3"/>
        <v>5</v>
      </c>
      <c r="R29" s="58">
        <f t="shared" si="4"/>
        <v>0.32413649864778804</v>
      </c>
      <c r="S29" s="58">
        <f t="shared" si="4"/>
        <v>0.32413649864778804</v>
      </c>
      <c r="AE29"/>
    </row>
    <row r="30" spans="1:31" x14ac:dyDescent="0.45">
      <c r="A30" s="58" t="s">
        <v>183</v>
      </c>
      <c r="B30" s="58" t="s">
        <v>184</v>
      </c>
      <c r="C30" s="58" t="s">
        <v>154</v>
      </c>
      <c r="D30" s="58" t="s">
        <v>161</v>
      </c>
      <c r="E30" s="58" t="s">
        <v>68</v>
      </c>
      <c r="F30" s="58" t="str">
        <f t="shared" si="0"/>
        <v>births</v>
      </c>
      <c r="G30" s="58" t="s">
        <v>84</v>
      </c>
      <c r="H30" s="58">
        <f t="shared" si="1"/>
        <v>1</v>
      </c>
      <c r="L30" s="58">
        <f t="shared" si="2"/>
        <v>1</v>
      </c>
      <c r="M30" s="58">
        <f t="shared" si="2"/>
        <v>2</v>
      </c>
      <c r="O30" s="58">
        <f t="shared" si="3"/>
        <v>0</v>
      </c>
      <c r="R30" s="58">
        <f t="shared" si="4"/>
        <v>4.7904191616766463E-2</v>
      </c>
      <c r="S30" s="58">
        <f t="shared" si="4"/>
        <v>4.7904191616766463E-2</v>
      </c>
      <c r="AE30"/>
    </row>
    <row r="31" spans="1:31" x14ac:dyDescent="0.45">
      <c r="A31" s="58" t="s">
        <v>185</v>
      </c>
      <c r="B31" s="58" t="s">
        <v>186</v>
      </c>
      <c r="C31" s="58" t="s">
        <v>154</v>
      </c>
      <c r="D31" s="58" t="s">
        <v>161</v>
      </c>
      <c r="E31" s="58" t="s">
        <v>68</v>
      </c>
      <c r="F31" s="58" t="str">
        <f t="shared" si="0"/>
        <v>15 yo girls</v>
      </c>
      <c r="G31" s="58" t="s">
        <v>84</v>
      </c>
      <c r="H31" s="58">
        <f t="shared" si="1"/>
        <v>1</v>
      </c>
      <c r="L31" s="58">
        <f t="shared" si="2"/>
        <v>1</v>
      </c>
      <c r="M31" s="58">
        <f t="shared" si="2"/>
        <v>2</v>
      </c>
      <c r="O31" s="58">
        <f t="shared" si="3"/>
        <v>0</v>
      </c>
      <c r="R31" s="58">
        <f t="shared" si="4"/>
        <v>0.34184059999999999</v>
      </c>
      <c r="S31" s="58">
        <f t="shared" si="4"/>
        <v>0.34184059999999999</v>
      </c>
      <c r="AE31"/>
    </row>
    <row r="32" spans="1:31" x14ac:dyDescent="0.45">
      <c r="A32" s="58" t="s">
        <v>188</v>
      </c>
      <c r="B32" s="58" t="s">
        <v>189</v>
      </c>
      <c r="C32" s="58" t="s">
        <v>154</v>
      </c>
      <c r="D32" s="58" t="s">
        <v>161</v>
      </c>
      <c r="E32" s="58" t="s">
        <v>70</v>
      </c>
      <c r="F32" s="58" t="str">
        <f t="shared" si="0"/>
        <v>1-4</v>
      </c>
      <c r="G32" s="58" t="s">
        <v>84</v>
      </c>
      <c r="H32" s="58">
        <f t="shared" si="1"/>
        <v>1</v>
      </c>
      <c r="L32" s="58">
        <f t="shared" si="2"/>
        <v>1</v>
      </c>
      <c r="M32" s="58">
        <f t="shared" si="2"/>
        <v>6</v>
      </c>
      <c r="O32" s="58">
        <f t="shared" si="3"/>
        <v>5</v>
      </c>
      <c r="R32" s="58" t="str">
        <f t="shared" si="4"/>
        <v/>
      </c>
      <c r="S32" s="58" t="str">
        <f t="shared" si="4"/>
        <v/>
      </c>
      <c r="AE32"/>
    </row>
    <row r="33" spans="1:31" x14ac:dyDescent="0.45">
      <c r="A33" s="58" t="s">
        <v>190</v>
      </c>
      <c r="B33" s="58" t="s">
        <v>1925</v>
      </c>
      <c r="C33" s="58" t="s">
        <v>154</v>
      </c>
      <c r="D33" s="58" t="s">
        <v>168</v>
      </c>
      <c r="E33" s="58" t="s">
        <v>70</v>
      </c>
      <c r="F33" s="58" t="str">
        <f t="shared" si="0"/>
        <v>1-4</v>
      </c>
      <c r="G33" s="58" t="s">
        <v>84</v>
      </c>
      <c r="H33" s="58">
        <f t="shared" si="1"/>
        <v>9.5000000000000001E-2</v>
      </c>
      <c r="I33" s="138" t="s">
        <v>174</v>
      </c>
      <c r="L33" s="58">
        <f t="shared" si="2"/>
        <v>0.98</v>
      </c>
      <c r="M33" s="58">
        <f t="shared" si="2"/>
        <v>0</v>
      </c>
      <c r="O33" s="58">
        <f t="shared" si="3"/>
        <v>0</v>
      </c>
      <c r="R33" s="58" t="str">
        <f t="shared" si="4"/>
        <v/>
      </c>
      <c r="S33" s="58" t="str">
        <f t="shared" si="4"/>
        <v/>
      </c>
      <c r="AE33"/>
    </row>
    <row r="34" spans="1:31" x14ac:dyDescent="0.45">
      <c r="A34" s="58" t="s">
        <v>299</v>
      </c>
      <c r="B34" s="58" t="s">
        <v>1924</v>
      </c>
      <c r="C34" s="58" t="s">
        <v>154</v>
      </c>
      <c r="D34" s="58" t="s">
        <v>168</v>
      </c>
      <c r="E34" s="58" t="s">
        <v>70</v>
      </c>
      <c r="F34" s="58" t="str">
        <f t="shared" si="0"/>
        <v>1-4</v>
      </c>
      <c r="G34" s="58" t="s">
        <v>84</v>
      </c>
      <c r="H34" s="58">
        <f t="shared" si="1"/>
        <v>9.5000000000000001E-2</v>
      </c>
      <c r="I34" s="138" t="s">
        <v>174</v>
      </c>
      <c r="L34" s="58">
        <f t="shared" si="2"/>
        <v>0.98</v>
      </c>
      <c r="M34" s="58">
        <f t="shared" si="2"/>
        <v>4</v>
      </c>
      <c r="O34" s="58">
        <f t="shared" si="3"/>
        <v>5</v>
      </c>
      <c r="R34" s="58">
        <f t="shared" si="4"/>
        <v>6.4682320441988947</v>
      </c>
      <c r="S34" s="58">
        <f t="shared" si="4"/>
        <v>1.6170580110497237</v>
      </c>
      <c r="AE34"/>
    </row>
    <row r="35" spans="1:31" x14ac:dyDescent="0.45">
      <c r="A35" s="58" t="s">
        <v>301</v>
      </c>
      <c r="B35" s="58" t="s">
        <v>1926</v>
      </c>
      <c r="C35" s="58" t="s">
        <v>154</v>
      </c>
      <c r="D35" s="58" t="s">
        <v>168</v>
      </c>
      <c r="E35" s="58" t="s">
        <v>70</v>
      </c>
      <c r="F35" s="58" t="str">
        <f t="shared" si="0"/>
        <v>1-4</v>
      </c>
      <c r="G35" s="58" t="s">
        <v>84</v>
      </c>
      <c r="H35" s="58">
        <f t="shared" si="1"/>
        <v>9.5000000000000001E-2</v>
      </c>
      <c r="I35" s="138" t="s">
        <v>174</v>
      </c>
      <c r="L35" s="58">
        <f t="shared" si="2"/>
        <v>0.98</v>
      </c>
      <c r="M35" s="58">
        <f t="shared" si="2"/>
        <v>0</v>
      </c>
      <c r="O35" s="58">
        <f t="shared" si="3"/>
        <v>0</v>
      </c>
      <c r="R35" s="58" t="str">
        <f t="shared" si="4"/>
        <v/>
      </c>
      <c r="S35" s="58" t="str">
        <f t="shared" si="4"/>
        <v/>
      </c>
      <c r="AE35"/>
    </row>
    <row r="36" spans="1:31" x14ac:dyDescent="0.45">
      <c r="A36" s="58" t="s">
        <v>192</v>
      </c>
      <c r="B36" s="58" t="s">
        <v>192</v>
      </c>
      <c r="C36" s="58" t="s">
        <v>193</v>
      </c>
      <c r="D36" s="58" t="s">
        <v>194</v>
      </c>
      <c r="E36" s="58" t="s">
        <v>194</v>
      </c>
      <c r="F36" s="58" t="s">
        <v>212</v>
      </c>
      <c r="G36" s="58" t="s">
        <v>82</v>
      </c>
      <c r="H36" s="58">
        <v>0.1</v>
      </c>
      <c r="I36" s="58" t="s">
        <v>2064</v>
      </c>
      <c r="L36" s="130">
        <v>0.98</v>
      </c>
      <c r="M36" s="58">
        <v>1</v>
      </c>
      <c r="O36" s="262">
        <f>'Work time'!AD53*10*60</f>
        <v>53.832494807158753</v>
      </c>
      <c r="P36" s="135"/>
      <c r="R36" s="145" t="str">
        <f>IFERROR(IF(VLOOKUP($A36,'Services summary'!$A:$L,10,FALSE)=0,"",VLOOKUP($A36,'Services summary'!$A:$L,10,FALSE)),"")</f>
        <v/>
      </c>
      <c r="S36" s="145" t="str">
        <f>IFERROR(IF(VLOOKUP($A36,'Services summary'!$A:$L,11,FALSE)=0,"",VLOOKUP($A36,'Services summary'!$A:$L,11,FALSE)),"")</f>
        <v/>
      </c>
      <c r="AE36"/>
    </row>
    <row r="37" spans="1:31" x14ac:dyDescent="0.45">
      <c r="A37" s="58" t="s">
        <v>192</v>
      </c>
      <c r="B37" s="58" t="s">
        <v>192</v>
      </c>
      <c r="C37" s="58" t="s">
        <v>193</v>
      </c>
      <c r="D37" s="58" t="s">
        <v>194</v>
      </c>
      <c r="E37" s="58" t="s">
        <v>194</v>
      </c>
      <c r="F37" s="58" t="s">
        <v>212</v>
      </c>
      <c r="G37" s="58" t="s">
        <v>84</v>
      </c>
      <c r="H37" s="58">
        <v>0.1</v>
      </c>
      <c r="I37" s="58" t="s">
        <v>2064</v>
      </c>
      <c r="L37" s="58">
        <f>L36</f>
        <v>0.98</v>
      </c>
      <c r="M37" s="58">
        <v>1</v>
      </c>
      <c r="O37" s="262">
        <f>'Work time'!AE53*10*60</f>
        <v>55.569026897712263</v>
      </c>
      <c r="P37" s="135"/>
      <c r="R37" s="145" t="str">
        <f>IFERROR(IF(VLOOKUP($A37,'Services summary'!$A:$L,10,FALSE)=0,"",VLOOKUP($A37,'Services summary'!$A:$L,10,FALSE)),"")</f>
        <v/>
      </c>
      <c r="S37" s="145" t="str">
        <f>IFERROR(IF(VLOOKUP($A37,'Services summary'!$A:$L,11,FALSE)=0,"",VLOOKUP($A37,'Services summary'!$A:$L,11,FALSE)),"")</f>
        <v/>
      </c>
      <c r="AE37"/>
    </row>
    <row r="38" spans="1:31" x14ac:dyDescent="0.45">
      <c r="A38" s="58" t="s">
        <v>1948</v>
      </c>
      <c r="B38" s="58" t="s">
        <v>1948</v>
      </c>
      <c r="C38" s="58" t="s">
        <v>193</v>
      </c>
      <c r="D38" s="58" t="s">
        <v>194</v>
      </c>
      <c r="E38" s="58" t="s">
        <v>194</v>
      </c>
      <c r="F38" s="58" t="s">
        <v>194</v>
      </c>
      <c r="G38" s="58" t="s">
        <v>82</v>
      </c>
      <c r="P38" s="136">
        <f>'Work time'!AD54</f>
        <v>1.952</v>
      </c>
      <c r="R38" s="145" t="str">
        <f>IFERROR(IF(VLOOKUP($A38,'Services summary'!$A:$L,10,FALSE)=0,"",VLOOKUP($A38,'Services summary'!$A:$L,10,FALSE)),"")</f>
        <v/>
      </c>
      <c r="S38" s="145" t="str">
        <f>IFERROR(IF(VLOOKUP($A38,'Services summary'!$A:$L,11,FALSE)=0,"",VLOOKUP($A38,'Services summary'!$A:$L,11,FALSE)),"")</f>
        <v/>
      </c>
      <c r="AE38"/>
    </row>
    <row r="39" spans="1:31" x14ac:dyDescent="0.45">
      <c r="A39" s="58" t="s">
        <v>1948</v>
      </c>
      <c r="B39" s="58" t="s">
        <v>1948</v>
      </c>
      <c r="C39" s="58" t="s">
        <v>193</v>
      </c>
      <c r="D39" s="58" t="s">
        <v>194</v>
      </c>
      <c r="E39" s="58" t="s">
        <v>194</v>
      </c>
      <c r="F39" s="58" t="s">
        <v>194</v>
      </c>
      <c r="G39" s="58" t="s">
        <v>84</v>
      </c>
      <c r="P39" s="136">
        <f>'Work time'!AE54</f>
        <v>1.8559999999999999</v>
      </c>
      <c r="R39" s="145" t="str">
        <f>IFERROR(IF(VLOOKUP($A39,'Services summary'!$A:$L,10,FALSE)=0,"",VLOOKUP($A39,'Services summary'!$A:$L,10,FALSE)),"")</f>
        <v/>
      </c>
      <c r="S39" s="145" t="str">
        <f>IFERROR(IF(VLOOKUP($A39,'Services summary'!$A:$L,11,FALSE)=0,"",VLOOKUP($A39,'Services summary'!$A:$L,11,FALSE)),"")</f>
        <v/>
      </c>
      <c r="AE39"/>
    </row>
    <row r="40" spans="1:31" x14ac:dyDescent="0.45">
      <c r="A40" s="58" t="s">
        <v>1952</v>
      </c>
      <c r="B40" s="58" t="s">
        <v>1952</v>
      </c>
      <c r="C40" s="58" t="s">
        <v>193</v>
      </c>
      <c r="D40" s="58" t="s">
        <v>194</v>
      </c>
      <c r="E40" s="58" t="s">
        <v>194</v>
      </c>
      <c r="F40" s="58" t="s">
        <v>212</v>
      </c>
      <c r="G40" s="58" t="s">
        <v>82</v>
      </c>
      <c r="H40" s="58">
        <v>0.1</v>
      </c>
      <c r="I40" s="58" t="s">
        <v>2064</v>
      </c>
      <c r="L40" s="58">
        <v>1</v>
      </c>
      <c r="M40" s="58">
        <v>1</v>
      </c>
      <c r="O40" s="262">
        <f>'Work time'!AD55*10*60</f>
        <v>45.844447190612613</v>
      </c>
      <c r="AE40"/>
    </row>
    <row r="41" spans="1:31" x14ac:dyDescent="0.45">
      <c r="A41" s="58" t="s">
        <v>1952</v>
      </c>
      <c r="B41" s="58" t="s">
        <v>1952</v>
      </c>
      <c r="C41" s="58" t="s">
        <v>193</v>
      </c>
      <c r="D41" s="58" t="s">
        <v>194</v>
      </c>
      <c r="E41" s="58" t="s">
        <v>194</v>
      </c>
      <c r="F41" s="58" t="s">
        <v>212</v>
      </c>
      <c r="G41" s="58" t="s">
        <v>84</v>
      </c>
      <c r="H41" s="58">
        <v>0.1</v>
      </c>
      <c r="I41" s="58" t="s">
        <v>2064</v>
      </c>
      <c r="L41" s="58">
        <v>1</v>
      </c>
      <c r="M41" s="58">
        <v>1</v>
      </c>
      <c r="O41" s="262">
        <f>'Work time'!AE55*10*60</f>
        <v>45.14983435439121</v>
      </c>
      <c r="AE41"/>
    </row>
    <row r="42" spans="1:31" x14ac:dyDescent="0.45">
      <c r="A42" s="58" t="s">
        <v>195</v>
      </c>
      <c r="B42" s="58" t="s">
        <v>196</v>
      </c>
      <c r="C42" s="58" t="s">
        <v>1953</v>
      </c>
      <c r="D42" s="58" t="s">
        <v>194</v>
      </c>
      <c r="E42" s="58" t="s">
        <v>194</v>
      </c>
      <c r="F42" s="58" t="s">
        <v>194</v>
      </c>
      <c r="G42" s="58" t="s">
        <v>82</v>
      </c>
      <c r="Q42" s="58">
        <v>0.5</v>
      </c>
      <c r="R42" s="145" t="str">
        <f>IFERROR(IF(VLOOKUP($A42,'Services summary'!$A:$L,10,FALSE)=0,"",VLOOKUP($A42,'Services summary'!$A:$L,10,FALSE)),"")</f>
        <v/>
      </c>
      <c r="S42" s="145" t="str">
        <f>IFERROR(IF(VLOOKUP($A42,'Services summary'!$A:$L,11,FALSE)=0,"",VLOOKUP($A42,'Services summary'!$A:$L,11,FALSE)),"")</f>
        <v/>
      </c>
      <c r="AE42"/>
    </row>
    <row r="43" spans="1:31" x14ac:dyDescent="0.45">
      <c r="A43" s="58" t="s">
        <v>195</v>
      </c>
      <c r="B43" s="58" t="s">
        <v>196</v>
      </c>
      <c r="C43" s="58" t="s">
        <v>1953</v>
      </c>
      <c r="D43" s="58" t="s">
        <v>194</v>
      </c>
      <c r="E43" s="58" t="s">
        <v>194</v>
      </c>
      <c r="F43" s="58" t="s">
        <v>194</v>
      </c>
      <c r="G43" s="58" t="s">
        <v>84</v>
      </c>
      <c r="Q43" s="58">
        <f>Q42</f>
        <v>0.5</v>
      </c>
      <c r="R43" s="145" t="str">
        <f>IFERROR(IF(VLOOKUP($A43,'Services summary'!$A:$L,10,FALSE)=0,"",VLOOKUP($A43,'Services summary'!$A:$L,10,FALSE)),"")</f>
        <v/>
      </c>
      <c r="S43" s="145" t="str">
        <f>IFERROR(IF(VLOOKUP($A43,'Services summary'!$A:$L,11,FALSE)=0,"",VLOOKUP($A43,'Services summary'!$A:$L,11,FALSE)),"")</f>
        <v/>
      </c>
      <c r="AE43"/>
    </row>
    <row r="44" spans="1:31" x14ac:dyDescent="0.45">
      <c r="A44" s="58" t="s">
        <v>197</v>
      </c>
      <c r="B44" s="58" t="s">
        <v>198</v>
      </c>
      <c r="C44" s="58" t="s">
        <v>154</v>
      </c>
      <c r="D44" s="58" t="s">
        <v>199</v>
      </c>
      <c r="E44" s="58" t="s">
        <v>200</v>
      </c>
      <c r="F44" s="58" t="s">
        <v>201</v>
      </c>
      <c r="G44" s="58" t="s">
        <v>82</v>
      </c>
      <c r="H44" s="137">
        <f>'TB Incidence'!I275/100000</f>
        <v>1.2945230835262726E-3</v>
      </c>
      <c r="I44" s="128"/>
      <c r="J44" s="139">
        <f>1/'DALYs '!M314</f>
        <v>8.3333333333333339</v>
      </c>
      <c r="K44" s="139" t="s">
        <v>202</v>
      </c>
      <c r="L44" s="138">
        <f>'TB Incidence'!BM272</f>
        <v>0.92465934537590888</v>
      </c>
      <c r="M44" s="58">
        <v>2</v>
      </c>
      <c r="O44" s="58">
        <v>10</v>
      </c>
      <c r="R44" s="145" t="str">
        <f>IFERROR(IF(VLOOKUP($A44,'Services summary'!$A:$L,10,FALSE)=0,"",VLOOKUP($A44,'Services summary'!$A:$L,10,FALSE)),"")</f>
        <v/>
      </c>
      <c r="S44" s="145" t="str">
        <f>IFERROR(IF(VLOOKUP($A44,'Services summary'!$A:$L,11,FALSE)=0,"",VLOOKUP($A44,'Services summary'!$A:$L,11,FALSE)),"")</f>
        <v/>
      </c>
      <c r="AE44"/>
    </row>
    <row r="45" spans="1:31" x14ac:dyDescent="0.45">
      <c r="A45" s="58" t="s">
        <v>203</v>
      </c>
      <c r="B45" s="58" t="s">
        <v>204</v>
      </c>
      <c r="C45" s="58" t="s">
        <v>154</v>
      </c>
      <c r="D45" s="58" t="s">
        <v>199</v>
      </c>
      <c r="E45" s="58" t="s">
        <v>200</v>
      </c>
      <c r="F45" s="58" t="s">
        <v>201</v>
      </c>
      <c r="G45" s="58" t="s">
        <v>82</v>
      </c>
      <c r="H45" s="128">
        <f>H44</f>
        <v>1.2945230835262726E-3</v>
      </c>
      <c r="I45" s="128"/>
      <c r="L45" s="138">
        <f>L44</f>
        <v>0.92465934537590888</v>
      </c>
      <c r="M45" s="58">
        <v>1</v>
      </c>
      <c r="O45" s="58">
        <v>5</v>
      </c>
      <c r="R45" s="145">
        <f>IFERROR(IF(VLOOKUP($A45,'Services summary'!$A:$L,10,FALSE)=0,"",VLOOKUP($A45,'Services summary'!$A:$L,10,FALSE)),"")</f>
        <v>41.724137931034484</v>
      </c>
      <c r="S45" s="145">
        <f>IFERROR(IF(VLOOKUP($A45,'Services summary'!$A:$L,11,FALSE)=0,"",VLOOKUP($A45,'Services summary'!$A:$L,11,FALSE)),"")</f>
        <v>22.488603156049098</v>
      </c>
      <c r="AE45"/>
    </row>
    <row r="46" spans="1:31" x14ac:dyDescent="0.45">
      <c r="A46" s="58" t="s">
        <v>309</v>
      </c>
      <c r="B46" s="58" t="s">
        <v>205</v>
      </c>
      <c r="C46" s="58" t="s">
        <v>154</v>
      </c>
      <c r="D46" s="58" t="s">
        <v>206</v>
      </c>
      <c r="E46" s="58" t="s">
        <v>200</v>
      </c>
      <c r="F46" s="58" t="s">
        <v>201</v>
      </c>
      <c r="G46" s="58" t="s">
        <v>82</v>
      </c>
      <c r="H46" s="128">
        <f>H45</f>
        <v>1.2945230835262726E-3</v>
      </c>
      <c r="I46" s="128"/>
      <c r="L46" s="138">
        <f>L45</f>
        <v>0.92465934537590888</v>
      </c>
      <c r="M46" s="58">
        <v>1</v>
      </c>
      <c r="O46" s="58">
        <v>60</v>
      </c>
      <c r="R46" s="145" t="str">
        <f>IFERROR(IF(VLOOKUP($A46,'Services summary'!$A:$L,10,FALSE)=0,"",VLOOKUP($A46,'Services summary'!$A:$L,10,FALSE)),"")</f>
        <v/>
      </c>
      <c r="S46" s="145" t="str">
        <f>IFERROR(IF(VLOOKUP($A46,'Services summary'!$A:$L,11,FALSE)=0,"",VLOOKUP($A46,'Services summary'!$A:$L,11,FALSE)),"")</f>
        <v/>
      </c>
      <c r="AE46"/>
    </row>
    <row r="47" spans="1:31" x14ac:dyDescent="0.45">
      <c r="A47" s="58" t="s">
        <v>197</v>
      </c>
      <c r="B47" s="58" t="s">
        <v>198</v>
      </c>
      <c r="C47" s="58" t="s">
        <v>154</v>
      </c>
      <c r="D47" s="58" t="s">
        <v>199</v>
      </c>
      <c r="E47" s="58" t="s">
        <v>200</v>
      </c>
      <c r="F47" s="58" t="s">
        <v>201</v>
      </c>
      <c r="G47" s="58" t="s">
        <v>84</v>
      </c>
      <c r="H47" s="128">
        <f>H44</f>
        <v>1.2945230835262726E-3</v>
      </c>
      <c r="I47" s="128"/>
      <c r="J47" s="139">
        <f>J44</f>
        <v>8.3333333333333339</v>
      </c>
      <c r="K47" s="139" t="s">
        <v>202</v>
      </c>
      <c r="L47" s="138">
        <f>L44</f>
        <v>0.92465934537590888</v>
      </c>
      <c r="M47" s="58">
        <f>M44</f>
        <v>2</v>
      </c>
      <c r="O47" s="58">
        <f>O44</f>
        <v>10</v>
      </c>
      <c r="R47" s="145" t="str">
        <f>IFERROR(IF(VLOOKUP($A47,'Services summary'!$A:$L,10,FALSE)=0,"",VLOOKUP($A47,'Services summary'!$A:$L,10,FALSE)),"")</f>
        <v/>
      </c>
      <c r="S47" s="145" t="str">
        <f>IFERROR(IF(VLOOKUP($A47,'Services summary'!$A:$L,11,FALSE)=0,"",VLOOKUP($A47,'Services summary'!$A:$L,11,FALSE)),"")</f>
        <v/>
      </c>
      <c r="AE47"/>
    </row>
    <row r="48" spans="1:31" x14ac:dyDescent="0.45">
      <c r="A48" s="58" t="s">
        <v>203</v>
      </c>
      <c r="B48" s="58" t="s">
        <v>204</v>
      </c>
      <c r="C48" s="58" t="s">
        <v>154</v>
      </c>
      <c r="D48" s="58" t="s">
        <v>199</v>
      </c>
      <c r="E48" s="58" t="s">
        <v>200</v>
      </c>
      <c r="F48" s="58" t="s">
        <v>201</v>
      </c>
      <c r="G48" s="58" t="s">
        <v>84</v>
      </c>
      <c r="H48" s="128">
        <f>H45</f>
        <v>1.2945230835262726E-3</v>
      </c>
      <c r="I48" s="128"/>
      <c r="L48" s="138">
        <f>L47</f>
        <v>0.92465934537590888</v>
      </c>
      <c r="M48" s="58">
        <f>M45</f>
        <v>1</v>
      </c>
      <c r="O48" s="58">
        <f>O45</f>
        <v>5</v>
      </c>
      <c r="R48" s="145">
        <f>IFERROR(IF(VLOOKUP($A48,'Services summary'!$A:$L,10,FALSE)=0,"",VLOOKUP($A48,'Services summary'!$A:$L,10,FALSE)),"")</f>
        <v>41.724137931034484</v>
      </c>
      <c r="S48" s="145">
        <f>IFERROR(IF(VLOOKUP($A48,'Services summary'!$A:$L,11,FALSE)=0,"",VLOOKUP($A48,'Services summary'!$A:$L,11,FALSE)),"")</f>
        <v>22.488603156049098</v>
      </c>
      <c r="AE48"/>
    </row>
    <row r="49" spans="1:31" x14ac:dyDescent="0.45">
      <c r="A49" s="58" t="s">
        <v>309</v>
      </c>
      <c r="B49" s="58" t="s">
        <v>205</v>
      </c>
      <c r="C49" s="58" t="s">
        <v>154</v>
      </c>
      <c r="D49" s="58" t="s">
        <v>206</v>
      </c>
      <c r="E49" s="58" t="s">
        <v>200</v>
      </c>
      <c r="F49" s="58" t="s">
        <v>201</v>
      </c>
      <c r="G49" s="58" t="s">
        <v>84</v>
      </c>
      <c r="H49" s="128">
        <f>H46</f>
        <v>1.2945230835262726E-3</v>
      </c>
      <c r="I49" s="128"/>
      <c r="L49" s="138">
        <f>L48</f>
        <v>0.92465934537590888</v>
      </c>
      <c r="M49" s="58">
        <f>M46</f>
        <v>1</v>
      </c>
      <c r="O49" s="58">
        <f>O46</f>
        <v>60</v>
      </c>
      <c r="R49" s="145" t="str">
        <f>IFERROR(IF(VLOOKUP($A49,'Services summary'!$A:$L,10,FALSE)=0,"",VLOOKUP($A49,'Services summary'!$A:$L,10,FALSE)),"")</f>
        <v/>
      </c>
      <c r="S49" s="145" t="str">
        <f>IFERROR(IF(VLOOKUP($A49,'Services summary'!$A:$L,11,FALSE)=0,"",VLOOKUP($A49,'Services summary'!$A:$L,11,FALSE)),"")</f>
        <v/>
      </c>
      <c r="AE49"/>
    </row>
    <row r="50" spans="1:31" x14ac:dyDescent="0.45">
      <c r="A50" s="58" t="s">
        <v>1931</v>
      </c>
      <c r="B50" s="58" t="s">
        <v>207</v>
      </c>
      <c r="C50" s="58" t="s">
        <v>154</v>
      </c>
      <c r="D50" s="58" t="s">
        <v>199</v>
      </c>
      <c r="E50" s="58" t="s">
        <v>69</v>
      </c>
      <c r="F50" s="58" t="s">
        <v>201</v>
      </c>
      <c r="G50" s="58" t="s">
        <v>82</v>
      </c>
      <c r="H50" s="128">
        <f>'Malaria Incid'!I275*Prevalences!L95/1000</f>
        <v>1.894207576270393E-2</v>
      </c>
      <c r="I50" s="128"/>
      <c r="L50" s="138">
        <f>'Malaria Incid'!BM272</f>
        <v>0.87556301899925537</v>
      </c>
      <c r="M50" s="58">
        <v>1</v>
      </c>
      <c r="O50" s="130">
        <v>15</v>
      </c>
      <c r="R50" s="145" t="str">
        <f>IFERROR(IF(VLOOKUP("DPC.M.1",'Services summary'!$A:$L,10,FALSE)=0,"",VLOOKUP("DPC.M.1",'Services summary'!$A:$L,10,FALSE)),"")</f>
        <v/>
      </c>
      <c r="S50" s="145" t="str">
        <f>IFERROR(IF(VLOOKUP("DPC.M.1",'Services summary'!$A:$L,11,FALSE)=0,"",VLOOKUP("DPC.M.1",'Services summary'!$A:$L,11,FALSE)),"")</f>
        <v/>
      </c>
      <c r="AE50"/>
    </row>
    <row r="51" spans="1:31" x14ac:dyDescent="0.45">
      <c r="A51" s="58" t="s">
        <v>1932</v>
      </c>
      <c r="B51" s="58" t="s">
        <v>208</v>
      </c>
      <c r="C51" s="58" t="s">
        <v>154</v>
      </c>
      <c r="D51" s="58" t="s">
        <v>199</v>
      </c>
      <c r="E51" s="58" t="s">
        <v>69</v>
      </c>
      <c r="F51" s="58" t="s">
        <v>201</v>
      </c>
      <c r="G51" s="58" t="s">
        <v>82</v>
      </c>
      <c r="H51" s="128">
        <f>H50</f>
        <v>1.894207576270393E-2</v>
      </c>
      <c r="I51" s="128"/>
      <c r="L51" s="138">
        <f>L50</f>
        <v>0.87556301899925537</v>
      </c>
      <c r="M51" s="58">
        <v>1</v>
      </c>
      <c r="O51" s="130">
        <v>10</v>
      </c>
      <c r="R51" s="145">
        <f>IFERROR(IF(VLOOKUP("DPC.M.2",'Services summary'!$A:$L,10,FALSE)=0,"",VLOOKUP("DPC.M.2",'Services summary'!$A:$L,10,FALSE)),"")</f>
        <v>2.222222222222222E-2</v>
      </c>
      <c r="S51" s="145">
        <f>IFERROR(IF(VLOOKUP("DPC.M.2",'Services summary'!$A:$L,11,FALSE)=0,"",VLOOKUP("DPC.M.2",'Services summary'!$A:$L,11,FALSE)),"")</f>
        <v>2.222222222222222E-2</v>
      </c>
      <c r="AE51"/>
    </row>
    <row r="52" spans="1:31" x14ac:dyDescent="0.45">
      <c r="A52" s="58" t="s">
        <v>1933</v>
      </c>
      <c r="B52" s="58" t="s">
        <v>207</v>
      </c>
      <c r="C52" s="58" t="s">
        <v>154</v>
      </c>
      <c r="D52" s="58" t="s">
        <v>168</v>
      </c>
      <c r="E52" s="58" t="s">
        <v>69</v>
      </c>
      <c r="F52" s="140" t="s">
        <v>209</v>
      </c>
      <c r="G52" s="58" t="s">
        <v>82</v>
      </c>
      <c r="H52" s="128">
        <f>H51</f>
        <v>1.894207576270393E-2</v>
      </c>
      <c r="I52" s="128"/>
      <c r="L52" s="138">
        <f>L51</f>
        <v>0.87556301899925537</v>
      </c>
      <c r="M52" s="58">
        <f>M50</f>
        <v>1</v>
      </c>
      <c r="O52" s="58">
        <f>O50</f>
        <v>15</v>
      </c>
      <c r="R52" s="145" t="str">
        <f>R50</f>
        <v/>
      </c>
      <c r="S52" s="145" t="str">
        <f>S50</f>
        <v/>
      </c>
      <c r="AE52"/>
    </row>
    <row r="53" spans="1:31" x14ac:dyDescent="0.45">
      <c r="A53" s="58" t="s">
        <v>1934</v>
      </c>
      <c r="B53" s="58" t="s">
        <v>208</v>
      </c>
      <c r="C53" s="58" t="s">
        <v>154</v>
      </c>
      <c r="D53" s="58" t="s">
        <v>168</v>
      </c>
      <c r="E53" s="58" t="s">
        <v>69</v>
      </c>
      <c r="F53" s="140" t="s">
        <v>209</v>
      </c>
      <c r="G53" s="58" t="s">
        <v>82</v>
      </c>
      <c r="H53" s="128">
        <f>H52</f>
        <v>1.894207576270393E-2</v>
      </c>
      <c r="I53" s="128"/>
      <c r="L53" s="138">
        <f>L52</f>
        <v>0.87556301899925537</v>
      </c>
      <c r="M53" s="58">
        <f>M51</f>
        <v>1</v>
      </c>
      <c r="O53" s="58">
        <f>O51</f>
        <v>10</v>
      </c>
      <c r="R53" s="145">
        <f>R51</f>
        <v>2.222222222222222E-2</v>
      </c>
      <c r="S53" s="145">
        <f>S51</f>
        <v>2.222222222222222E-2</v>
      </c>
      <c r="AE53"/>
    </row>
    <row r="54" spans="1:31" x14ac:dyDescent="0.45">
      <c r="A54" s="58" t="s">
        <v>1935</v>
      </c>
      <c r="B54" s="58" t="s">
        <v>207</v>
      </c>
      <c r="C54" s="58" t="s">
        <v>154</v>
      </c>
      <c r="D54" s="58" t="s">
        <v>199</v>
      </c>
      <c r="E54" s="58" t="s">
        <v>69</v>
      </c>
      <c r="F54" s="140" t="s">
        <v>212</v>
      </c>
      <c r="G54" s="58" t="s">
        <v>82</v>
      </c>
      <c r="H54" s="128">
        <f>57/1000</f>
        <v>5.7000000000000002E-2</v>
      </c>
      <c r="I54" s="128"/>
      <c r="K54" s="139" t="s">
        <v>1936</v>
      </c>
      <c r="L54" s="261">
        <v>0.98</v>
      </c>
      <c r="M54" s="58">
        <v>1</v>
      </c>
      <c r="O54" s="58">
        <f>O50</f>
        <v>15</v>
      </c>
      <c r="R54" s="145">
        <v>0</v>
      </c>
      <c r="S54" s="145">
        <v>0</v>
      </c>
      <c r="AE54"/>
    </row>
    <row r="55" spans="1:31" x14ac:dyDescent="0.45">
      <c r="A55" s="58" t="s">
        <v>210</v>
      </c>
      <c r="B55" s="58" t="s">
        <v>211</v>
      </c>
      <c r="C55" s="58" t="s">
        <v>154</v>
      </c>
      <c r="D55" s="58" t="s">
        <v>206</v>
      </c>
      <c r="E55" s="58" t="s">
        <v>69</v>
      </c>
      <c r="F55" s="58" t="s">
        <v>212</v>
      </c>
      <c r="G55" s="58" t="s">
        <v>82</v>
      </c>
      <c r="H55" s="128">
        <f>H53</f>
        <v>1.894207576270393E-2</v>
      </c>
      <c r="I55" s="128"/>
      <c r="L55" s="138">
        <f>L53</f>
        <v>0.87556301899925537</v>
      </c>
      <c r="M55" s="58">
        <v>0</v>
      </c>
      <c r="O55" s="58">
        <v>0</v>
      </c>
      <c r="R55" s="145" t="str">
        <f>IFERROR(IF(VLOOKUP("DPC.M.3",'Services summary'!$A:$L,10,FALSE)=0,"",VLOOKUP("DPC.M.3",'Services summary'!$A:$L,10,FALSE)),"")</f>
        <v/>
      </c>
      <c r="S55" s="145" t="str">
        <f>IFERROR(IF(VLOOKUP("DPC.M.3",'Services summary'!$A:$L,11,FALSE)=0,"",VLOOKUP("DPC.M.3",'Services summary'!$A:$L,11,FALSE)),"")</f>
        <v/>
      </c>
      <c r="AE55"/>
    </row>
    <row r="56" spans="1:31" x14ac:dyDescent="0.45">
      <c r="A56" s="58" t="s">
        <v>1931</v>
      </c>
      <c r="B56" s="58" t="s">
        <v>207</v>
      </c>
      <c r="C56" s="58" t="s">
        <v>154</v>
      </c>
      <c r="D56" s="58" t="s">
        <v>199</v>
      </c>
      <c r="E56" s="58" t="s">
        <v>69</v>
      </c>
      <c r="F56" s="58" t="s">
        <v>201</v>
      </c>
      <c r="G56" s="58" t="s">
        <v>84</v>
      </c>
      <c r="H56" s="128">
        <f>'Malaria Incid'!I275*Prevalences!K179/1000</f>
        <v>2.0044524616617914E-2</v>
      </c>
      <c r="I56" s="128"/>
      <c r="L56" s="138">
        <f>L55</f>
        <v>0.87556301899925537</v>
      </c>
      <c r="M56" s="58">
        <f>M50</f>
        <v>1</v>
      </c>
      <c r="O56" s="58">
        <f>O50</f>
        <v>15</v>
      </c>
      <c r="R56" s="145" t="str">
        <f t="shared" ref="R56:S61" si="5">R50</f>
        <v/>
      </c>
      <c r="S56" s="145" t="str">
        <f t="shared" si="5"/>
        <v/>
      </c>
      <c r="AE56"/>
    </row>
    <row r="57" spans="1:31" x14ac:dyDescent="0.45">
      <c r="A57" s="58" t="s">
        <v>1932</v>
      </c>
      <c r="B57" s="58" t="s">
        <v>208</v>
      </c>
      <c r="C57" s="58" t="s">
        <v>154</v>
      </c>
      <c r="D57" s="58" t="s">
        <v>199</v>
      </c>
      <c r="E57" s="58" t="s">
        <v>69</v>
      </c>
      <c r="F57" s="58" t="s">
        <v>201</v>
      </c>
      <c r="G57" s="58" t="s">
        <v>84</v>
      </c>
      <c r="H57" s="128">
        <f>H56</f>
        <v>2.0044524616617914E-2</v>
      </c>
      <c r="I57" s="128"/>
      <c r="L57" s="138">
        <f>L56</f>
        <v>0.87556301899925537</v>
      </c>
      <c r="M57" s="58">
        <f>M51</f>
        <v>1</v>
      </c>
      <c r="O57" s="58">
        <f>O51</f>
        <v>10</v>
      </c>
      <c r="R57" s="145">
        <f t="shared" si="5"/>
        <v>2.222222222222222E-2</v>
      </c>
      <c r="S57" s="145">
        <f t="shared" si="5"/>
        <v>2.222222222222222E-2</v>
      </c>
      <c r="AE57"/>
    </row>
    <row r="58" spans="1:31" x14ac:dyDescent="0.45">
      <c r="A58" s="58" t="s">
        <v>1933</v>
      </c>
      <c r="B58" s="58" t="s">
        <v>207</v>
      </c>
      <c r="C58" s="58" t="s">
        <v>154</v>
      </c>
      <c r="D58" s="58" t="s">
        <v>168</v>
      </c>
      <c r="E58" s="58" t="s">
        <v>69</v>
      </c>
      <c r="F58" s="140" t="s">
        <v>209</v>
      </c>
      <c r="G58" s="58" t="s">
        <v>84</v>
      </c>
      <c r="H58" s="128">
        <f>H57</f>
        <v>2.0044524616617914E-2</v>
      </c>
      <c r="I58" s="128"/>
      <c r="L58" s="138">
        <f>L57</f>
        <v>0.87556301899925537</v>
      </c>
      <c r="M58" s="58">
        <f>M52</f>
        <v>1</v>
      </c>
      <c r="O58" s="58">
        <f>O52</f>
        <v>15</v>
      </c>
      <c r="R58" s="145" t="str">
        <f t="shared" si="5"/>
        <v/>
      </c>
      <c r="S58" s="145" t="str">
        <f t="shared" si="5"/>
        <v/>
      </c>
      <c r="AE58"/>
    </row>
    <row r="59" spans="1:31" x14ac:dyDescent="0.45">
      <c r="A59" s="58" t="s">
        <v>1934</v>
      </c>
      <c r="B59" s="58" t="s">
        <v>208</v>
      </c>
      <c r="C59" s="58" t="s">
        <v>154</v>
      </c>
      <c r="D59" s="58" t="s">
        <v>168</v>
      </c>
      <c r="E59" s="58" t="s">
        <v>69</v>
      </c>
      <c r="F59" s="140" t="s">
        <v>209</v>
      </c>
      <c r="G59" s="58" t="s">
        <v>84</v>
      </c>
      <c r="H59" s="128">
        <f>H58</f>
        <v>2.0044524616617914E-2</v>
      </c>
      <c r="I59" s="128"/>
      <c r="L59" s="138">
        <f>L58</f>
        <v>0.87556301899925537</v>
      </c>
      <c r="M59" s="58">
        <f>M53</f>
        <v>1</v>
      </c>
      <c r="O59" s="58">
        <f>O53</f>
        <v>10</v>
      </c>
      <c r="R59" s="145">
        <f t="shared" si="5"/>
        <v>2.222222222222222E-2</v>
      </c>
      <c r="S59" s="145">
        <f t="shared" si="5"/>
        <v>2.222222222222222E-2</v>
      </c>
      <c r="AE59"/>
    </row>
    <row r="60" spans="1:31" x14ac:dyDescent="0.45">
      <c r="A60" s="58" t="s">
        <v>1935</v>
      </c>
      <c r="B60" s="58" t="s">
        <v>207</v>
      </c>
      <c r="C60" s="58" t="s">
        <v>154</v>
      </c>
      <c r="D60" s="58" t="s">
        <v>199</v>
      </c>
      <c r="E60" s="58" t="s">
        <v>69</v>
      </c>
      <c r="F60" s="140" t="s">
        <v>212</v>
      </c>
      <c r="G60" s="58" t="s">
        <v>84</v>
      </c>
      <c r="H60" s="128">
        <f>57/1000</f>
        <v>5.7000000000000002E-2</v>
      </c>
      <c r="I60" s="128"/>
      <c r="K60" s="139" t="s">
        <v>1936</v>
      </c>
      <c r="L60" s="138">
        <v>0.95</v>
      </c>
      <c r="M60" s="58">
        <v>1</v>
      </c>
      <c r="O60" s="58">
        <f>O56</f>
        <v>15</v>
      </c>
      <c r="R60" s="145">
        <f t="shared" si="5"/>
        <v>0</v>
      </c>
      <c r="S60" s="145">
        <f t="shared" si="5"/>
        <v>0</v>
      </c>
      <c r="AE60"/>
    </row>
    <row r="61" spans="1:31" x14ac:dyDescent="0.45">
      <c r="A61" s="58" t="s">
        <v>210</v>
      </c>
      <c r="B61" s="58" t="s">
        <v>211</v>
      </c>
      <c r="C61" s="58" t="s">
        <v>154</v>
      </c>
      <c r="D61" s="58" t="s">
        <v>206</v>
      </c>
      <c r="E61" s="58" t="s">
        <v>69</v>
      </c>
      <c r="F61" s="58" t="s">
        <v>212</v>
      </c>
      <c r="G61" s="58" t="s">
        <v>84</v>
      </c>
      <c r="H61" s="128">
        <f>H59</f>
        <v>2.0044524616617914E-2</v>
      </c>
      <c r="I61" s="128"/>
      <c r="L61" s="138">
        <f>L59</f>
        <v>0.87556301899925537</v>
      </c>
      <c r="M61" s="58">
        <f>M55</f>
        <v>0</v>
      </c>
      <c r="O61" s="58">
        <f>O55</f>
        <v>0</v>
      </c>
      <c r="R61" s="145" t="str">
        <f t="shared" si="5"/>
        <v/>
      </c>
      <c r="S61" s="145" t="str">
        <f t="shared" si="5"/>
        <v/>
      </c>
      <c r="AE61"/>
    </row>
    <row r="62" spans="1:31" x14ac:dyDescent="0.45">
      <c r="A62" s="58" t="s">
        <v>213</v>
      </c>
      <c r="B62" s="58" t="s">
        <v>214</v>
      </c>
      <c r="C62" s="58" t="s">
        <v>154</v>
      </c>
      <c r="D62" s="58" t="s">
        <v>199</v>
      </c>
      <c r="E62" s="58" t="s">
        <v>215</v>
      </c>
      <c r="F62" s="58" t="s">
        <v>212</v>
      </c>
      <c r="G62" s="58" t="s">
        <v>82</v>
      </c>
      <c r="H62" s="143">
        <f>Prevalences!M144/100/1000</f>
        <v>7.1491228070175447E-3</v>
      </c>
      <c r="I62" s="143"/>
      <c r="J62" s="145">
        <f>Prevalences!L158</f>
        <v>0.53600000000000003</v>
      </c>
      <c r="K62" s="145" t="s">
        <v>216</v>
      </c>
      <c r="L62" s="130">
        <v>1</v>
      </c>
      <c r="M62" s="58">
        <v>1</v>
      </c>
      <c r="O62" s="130">
        <v>15</v>
      </c>
      <c r="R62" s="145">
        <f>IFERROR(IF(VLOOKUP($A62,'Services summary'!$A:$L,10,FALSE)=0,"",VLOOKUP($A62,'Services summary'!$A:$L,10,FALSE)),"")</f>
        <v>1.7479452054794519E-2</v>
      </c>
      <c r="S62" s="145">
        <f>IFERROR(IF(VLOOKUP($A62,'Services summary'!$A:$L,11,FALSE)=0,"",VLOOKUP($A62,'Services summary'!$A:$L,11,FALSE)),"")</f>
        <v>1.7479452054794519E-2</v>
      </c>
      <c r="AE62"/>
    </row>
    <row r="63" spans="1:31" x14ac:dyDescent="0.45">
      <c r="A63" s="58" t="s">
        <v>213</v>
      </c>
      <c r="B63" s="58" t="s">
        <v>214</v>
      </c>
      <c r="C63" s="58" t="s">
        <v>154</v>
      </c>
      <c r="D63" s="58" t="s">
        <v>199</v>
      </c>
      <c r="E63" s="58" t="s">
        <v>215</v>
      </c>
      <c r="F63" s="58" t="s">
        <v>212</v>
      </c>
      <c r="G63" s="58" t="s">
        <v>84</v>
      </c>
      <c r="H63" s="143">
        <f>H62*Prevalences!$N$152</f>
        <v>7.8511628323778421E-3</v>
      </c>
      <c r="I63" s="143"/>
      <c r="J63" s="145">
        <f>J62</f>
        <v>0.53600000000000003</v>
      </c>
      <c r="K63" s="145" t="s">
        <v>216</v>
      </c>
      <c r="L63" s="58">
        <f>L62</f>
        <v>1</v>
      </c>
      <c r="M63" s="58">
        <f>M62</f>
        <v>1</v>
      </c>
      <c r="O63" s="132">
        <f>O62</f>
        <v>15</v>
      </c>
      <c r="R63" s="145">
        <f>IFERROR(IF(VLOOKUP($A63,'Services summary'!$A:$L,10,FALSE)=0,"",VLOOKUP($A63,'Services summary'!$A:$L,10,FALSE)),"")</f>
        <v>1.7479452054794519E-2</v>
      </c>
      <c r="S63" s="145">
        <f>IFERROR(IF(VLOOKUP($A63,'Services summary'!$A:$L,11,FALSE)=0,"",VLOOKUP($A63,'Services summary'!$A:$L,11,FALSE)),"")</f>
        <v>1.7479452054794519E-2</v>
      </c>
      <c r="AE63"/>
    </row>
    <row r="64" spans="1:31" x14ac:dyDescent="0.45">
      <c r="A64" s="58" t="s">
        <v>217</v>
      </c>
      <c r="B64" s="58" t="s">
        <v>218</v>
      </c>
      <c r="C64" s="58" t="s">
        <v>154</v>
      </c>
      <c r="D64" s="58" t="s">
        <v>219</v>
      </c>
      <c r="E64" s="58" t="s">
        <v>220</v>
      </c>
      <c r="F64" s="58" t="s">
        <v>221</v>
      </c>
      <c r="G64" s="58" t="s">
        <v>82</v>
      </c>
      <c r="H64" s="145">
        <f>Prevalences!AO51</f>
        <v>0.19600000000000001</v>
      </c>
      <c r="I64" s="146" t="s">
        <v>222</v>
      </c>
      <c r="L64" s="130">
        <v>1.02</v>
      </c>
      <c r="M64" s="58">
        <v>1</v>
      </c>
      <c r="O64" s="58">
        <v>15</v>
      </c>
      <c r="R64" s="145">
        <f>IFERROR(IF(VLOOKUP($A64,'Services summary'!$A:$L,10,FALSE)=0,"",VLOOKUP($A64,'Services summary'!$A:$L,10,FALSE)),"")</f>
        <v>3.0097926267281103</v>
      </c>
      <c r="S64" s="145">
        <f>IFERROR(IF(VLOOKUP($A64,'Services summary'!$A:$L,11,FALSE)=0,"",VLOOKUP($A64,'Services summary'!$A:$L,11,FALSE)),"")</f>
        <v>0.75244815668202758</v>
      </c>
      <c r="AE64"/>
    </row>
    <row r="65" spans="1:31" x14ac:dyDescent="0.45">
      <c r="A65" s="58" t="s">
        <v>223</v>
      </c>
      <c r="B65" s="58" t="s">
        <v>224</v>
      </c>
      <c r="C65" s="58" t="s">
        <v>154</v>
      </c>
      <c r="D65" s="58" t="s">
        <v>219</v>
      </c>
      <c r="E65" s="58" t="s">
        <v>220</v>
      </c>
      <c r="F65" s="58" t="s">
        <v>201</v>
      </c>
      <c r="G65" s="58" t="s">
        <v>82</v>
      </c>
      <c r="H65" s="145">
        <f>Prevalences!AO51</f>
        <v>0.19600000000000001</v>
      </c>
      <c r="I65" s="146" t="s">
        <v>174</v>
      </c>
      <c r="L65" s="58">
        <f>L64</f>
        <v>1.02</v>
      </c>
      <c r="N65" s="58">
        <v>1</v>
      </c>
      <c r="O65" s="58">
        <v>5</v>
      </c>
      <c r="R65" s="145" t="str">
        <f>IFERROR(IF(VLOOKUP($A65,'Services summary'!$A:$L,10,FALSE)=0,"",VLOOKUP($A65,'Services summary'!$A:$L,10,FALSE)),"")</f>
        <v/>
      </c>
      <c r="S65" s="145" t="str">
        <f>IFERROR(IF(VLOOKUP($A65,'Services summary'!$A:$L,11,FALSE)=0,"",VLOOKUP($A65,'Services summary'!$A:$L,11,FALSE)),"")</f>
        <v/>
      </c>
      <c r="AE65"/>
    </row>
    <row r="66" spans="1:31" x14ac:dyDescent="0.45">
      <c r="A66" s="58" t="s">
        <v>217</v>
      </c>
      <c r="B66" s="58" t="s">
        <v>218</v>
      </c>
      <c r="C66" s="58" t="s">
        <v>154</v>
      </c>
      <c r="D66" s="58" t="s">
        <v>219</v>
      </c>
      <c r="E66" s="58" t="s">
        <v>220</v>
      </c>
      <c r="F66" s="58" t="s">
        <v>221</v>
      </c>
      <c r="G66" s="58" t="s">
        <v>84</v>
      </c>
      <c r="H66" s="145">
        <f>Prevalences!AO53</f>
        <v>0.18525192477596872</v>
      </c>
      <c r="I66" s="146" t="s">
        <v>222</v>
      </c>
      <c r="L66" s="132">
        <f>L65</f>
        <v>1.02</v>
      </c>
      <c r="M66" s="58">
        <f>M64</f>
        <v>1</v>
      </c>
      <c r="O66" s="58">
        <f>O64</f>
        <v>15</v>
      </c>
      <c r="R66" s="145">
        <f>IFERROR(IF(VLOOKUP($A66,'Services summary'!$A:$L,10,FALSE)=0,"",VLOOKUP($A66,'Services summary'!$A:$L,10,FALSE)),"")</f>
        <v>3.0097926267281103</v>
      </c>
      <c r="S66" s="145">
        <f>IFERROR(IF(VLOOKUP($A66,'Services summary'!$A:$L,11,FALSE)=0,"",VLOOKUP($A66,'Services summary'!$A:$L,11,FALSE)),"")</f>
        <v>0.75244815668202758</v>
      </c>
      <c r="AE66"/>
    </row>
    <row r="67" spans="1:31" x14ac:dyDescent="0.45">
      <c r="A67" s="58" t="s">
        <v>223</v>
      </c>
      <c r="B67" s="58" t="s">
        <v>224</v>
      </c>
      <c r="C67" s="58" t="s">
        <v>154</v>
      </c>
      <c r="D67" s="58" t="s">
        <v>219</v>
      </c>
      <c r="E67" s="58" t="s">
        <v>220</v>
      </c>
      <c r="F67" s="58" t="s">
        <v>201</v>
      </c>
      <c r="G67" s="58" t="s">
        <v>84</v>
      </c>
      <c r="H67" s="145">
        <f>Prevalences!AO53</f>
        <v>0.18525192477596872</v>
      </c>
      <c r="I67" s="146" t="s">
        <v>174</v>
      </c>
      <c r="L67" s="58">
        <f>L66</f>
        <v>1.02</v>
      </c>
      <c r="N67" s="58">
        <f>N65</f>
        <v>1</v>
      </c>
      <c r="O67" s="58">
        <f>O65</f>
        <v>5</v>
      </c>
      <c r="R67" s="145" t="str">
        <f>IFERROR(IF(VLOOKUP($A67,'Services summary'!$A:$L,10,FALSE)=0,"",VLOOKUP($A67,'Services summary'!$A:$L,10,FALSE)),"")</f>
        <v/>
      </c>
      <c r="S67" s="145" t="str">
        <f>IFERROR(IF(VLOOKUP($A67,'Services summary'!$A:$L,11,FALSE)=0,"",VLOOKUP($A67,'Services summary'!$A:$L,11,FALSE)),"")</f>
        <v/>
      </c>
      <c r="AE67"/>
    </row>
    <row r="68" spans="1:31" x14ac:dyDescent="0.45">
      <c r="A68" s="58" t="s">
        <v>225</v>
      </c>
      <c r="B68" s="58" t="s">
        <v>226</v>
      </c>
      <c r="C68" s="58" t="s">
        <v>154</v>
      </c>
      <c r="D68" s="58" t="s">
        <v>219</v>
      </c>
      <c r="E68" s="58" t="s">
        <v>220</v>
      </c>
      <c r="F68" s="58" t="s">
        <v>221</v>
      </c>
      <c r="G68" s="58" t="s">
        <v>82</v>
      </c>
      <c r="H68" s="145">
        <f>Prevalences!AO64</f>
        <v>0.02</v>
      </c>
      <c r="I68" s="146"/>
      <c r="L68" s="130">
        <v>1.02</v>
      </c>
      <c r="M68" s="58">
        <v>1</v>
      </c>
      <c r="O68" s="58">
        <v>15</v>
      </c>
      <c r="R68" s="145">
        <f>IFERROR(IF(VLOOKUP($A68,'Services summary'!$A:$L,10,FALSE)=0,"",VLOOKUP($A68,'Services summary'!$A:$L,10,FALSE)),"")</f>
        <v>3.0097926267281103</v>
      </c>
      <c r="S68" s="145">
        <f>IFERROR(IF(VLOOKUP($A68,'Services summary'!$A:$L,11,FALSE)=0,"",VLOOKUP($A68,'Services summary'!$A:$L,11,FALSE)),"")</f>
        <v>0.75244815668202758</v>
      </c>
      <c r="AE68"/>
    </row>
    <row r="69" spans="1:31" x14ac:dyDescent="0.45">
      <c r="A69" s="58" t="s">
        <v>225</v>
      </c>
      <c r="B69" s="58" t="s">
        <v>226</v>
      </c>
      <c r="C69" s="58" t="s">
        <v>154</v>
      </c>
      <c r="D69" s="58" t="s">
        <v>219</v>
      </c>
      <c r="E69" s="58" t="s">
        <v>220</v>
      </c>
      <c r="F69" s="58" t="str">
        <f>F68</f>
        <v>50 yo adults</v>
      </c>
      <c r="G69" s="58" t="s">
        <v>84</v>
      </c>
      <c r="H69" s="145">
        <f>H68</f>
        <v>0.02</v>
      </c>
      <c r="I69" s="146"/>
      <c r="L69" s="139">
        <f>L68</f>
        <v>1.02</v>
      </c>
      <c r="M69" s="58">
        <v>1</v>
      </c>
      <c r="O69" s="58">
        <v>15</v>
      </c>
      <c r="R69" s="145">
        <f>R68</f>
        <v>3.0097926267281103</v>
      </c>
      <c r="S69" s="145">
        <f>S68</f>
        <v>0.75244815668202758</v>
      </c>
      <c r="AE69"/>
    </row>
    <row r="70" spans="1:31" x14ac:dyDescent="0.45">
      <c r="A70" s="58" t="s">
        <v>227</v>
      </c>
      <c r="B70" s="58" t="s">
        <v>228</v>
      </c>
      <c r="C70" s="58" t="s">
        <v>154</v>
      </c>
      <c r="D70" s="58" t="s">
        <v>219</v>
      </c>
      <c r="E70" s="58" t="s">
        <v>220</v>
      </c>
      <c r="F70" s="58" t="s">
        <v>221</v>
      </c>
      <c r="G70" s="58" t="s">
        <v>82</v>
      </c>
      <c r="H70" s="145">
        <f>Prevalences!AM96</f>
        <v>2.56464E-2</v>
      </c>
      <c r="I70" s="146" t="s">
        <v>222</v>
      </c>
      <c r="L70" s="130">
        <v>1.02</v>
      </c>
      <c r="M70" s="58">
        <v>1</v>
      </c>
      <c r="O70" s="58">
        <v>5</v>
      </c>
      <c r="R70" s="145">
        <f>IFERROR(IF(VLOOKUP($A70,'Services summary'!$A:$L,10,FALSE)=0,"",VLOOKUP($A70,'Services summary'!$A:$L,10,FALSE)),"")</f>
        <v>3.0097926267281103</v>
      </c>
      <c r="S70" s="145">
        <f>IFERROR(IF(VLOOKUP($A70,'Services summary'!$A:$L,11,FALSE)=0,"",VLOOKUP($A70,'Services summary'!$A:$L,11,FALSE)),"")</f>
        <v>0.75244815668202758</v>
      </c>
      <c r="AE70"/>
    </row>
    <row r="71" spans="1:31" x14ac:dyDescent="0.45">
      <c r="A71" s="58" t="s">
        <v>520</v>
      </c>
      <c r="B71" s="58" t="s">
        <v>229</v>
      </c>
      <c r="C71" s="58" t="s">
        <v>154</v>
      </c>
      <c r="D71" s="58" t="s">
        <v>219</v>
      </c>
      <c r="E71" s="58" t="s">
        <v>220</v>
      </c>
      <c r="F71" s="58" t="s">
        <v>201</v>
      </c>
      <c r="G71" s="58" t="s">
        <v>82</v>
      </c>
      <c r="H71" s="141">
        <f>H70</f>
        <v>2.56464E-2</v>
      </c>
      <c r="I71" s="146" t="s">
        <v>174</v>
      </c>
      <c r="L71" s="58">
        <f>L70</f>
        <v>1.02</v>
      </c>
      <c r="N71" s="58">
        <v>1</v>
      </c>
      <c r="O71" s="58">
        <v>5</v>
      </c>
      <c r="R71" s="145" t="str">
        <f>IFERROR(IF(VLOOKUP($A71,'Services summary'!$A:$L,10,FALSE)=0,"",VLOOKUP($A71,'Services summary'!$A:$L,10,FALSE)),"")</f>
        <v/>
      </c>
      <c r="S71" s="145" t="str">
        <f>IFERROR(IF(VLOOKUP($A71,'Services summary'!$A:$L,11,FALSE)=0,"",VLOOKUP($A71,'Services summary'!$A:$L,11,FALSE)),"")</f>
        <v/>
      </c>
      <c r="AE71"/>
    </row>
    <row r="72" spans="1:31" x14ac:dyDescent="0.45">
      <c r="A72" s="58" t="s">
        <v>227</v>
      </c>
      <c r="B72" s="58" t="str">
        <f t="shared" ref="B72:F73" si="6">B70</f>
        <v>Diabetes dx</v>
      </c>
      <c r="C72" s="58" t="str">
        <f t="shared" si="6"/>
        <v>Clinical</v>
      </c>
      <c r="D72" s="58" t="str">
        <f t="shared" si="6"/>
        <v>Adult Chronic</v>
      </c>
      <c r="E72" s="58" t="str">
        <f t="shared" si="6"/>
        <v>NCDs</v>
      </c>
      <c r="F72" s="58" t="str">
        <f t="shared" si="6"/>
        <v>50 yo adults</v>
      </c>
      <c r="G72" s="58" t="s">
        <v>84</v>
      </c>
      <c r="H72" s="145">
        <f>Prevalences!AM95</f>
        <v>1.9E-2</v>
      </c>
      <c r="I72" s="146" t="s">
        <v>222</v>
      </c>
      <c r="L72" s="132">
        <f>L71</f>
        <v>1.02</v>
      </c>
      <c r="M72" s="58">
        <f>M70</f>
        <v>1</v>
      </c>
      <c r="O72" s="58">
        <f>O70</f>
        <v>5</v>
      </c>
      <c r="R72" s="145">
        <f>IFERROR(IF(VLOOKUP($A72,'Services summary'!$A:$L,10,FALSE)=0,"",VLOOKUP($A72,'Services summary'!$A:$L,10,FALSE)),"")</f>
        <v>3.0097926267281103</v>
      </c>
      <c r="S72" s="145">
        <f>IFERROR(IF(VLOOKUP($A72,'Services summary'!$A:$L,11,FALSE)=0,"",VLOOKUP($A72,'Services summary'!$A:$L,11,FALSE)),"")</f>
        <v>0.75244815668202758</v>
      </c>
      <c r="AE72"/>
    </row>
    <row r="73" spans="1:31" x14ac:dyDescent="0.45">
      <c r="A73" s="58" t="s">
        <v>520</v>
      </c>
      <c r="B73" s="58" t="str">
        <f t="shared" si="6"/>
        <v>Diabetes followup</v>
      </c>
      <c r="C73" s="58" t="str">
        <f t="shared" si="6"/>
        <v>Clinical</v>
      </c>
      <c r="D73" s="58" t="str">
        <f t="shared" si="6"/>
        <v>Adult Chronic</v>
      </c>
      <c r="E73" s="58" t="str">
        <f t="shared" si="6"/>
        <v>NCDs</v>
      </c>
      <c r="F73" s="58" t="str">
        <f t="shared" si="6"/>
        <v>adults 18+</v>
      </c>
      <c r="G73" s="58" t="s">
        <v>84</v>
      </c>
      <c r="H73" s="141">
        <f>H72</f>
        <v>1.9E-2</v>
      </c>
      <c r="I73" s="146" t="s">
        <v>174</v>
      </c>
      <c r="L73" s="58">
        <f>L72</f>
        <v>1.02</v>
      </c>
      <c r="N73" s="58">
        <f>N71</f>
        <v>1</v>
      </c>
      <c r="O73" s="58">
        <f>O71</f>
        <v>5</v>
      </c>
      <c r="R73" s="145" t="str">
        <f>IFERROR(IF(VLOOKUP($A73,'Services summary'!$A:$L,10,FALSE)=0,"",VLOOKUP($A73,'Services summary'!$A:$L,10,FALSE)),"")</f>
        <v/>
      </c>
      <c r="S73" s="145" t="str">
        <f>IFERROR(IF(VLOOKUP($A73,'Services summary'!$A:$L,11,FALSE)=0,"",VLOOKUP($A73,'Services summary'!$A:$L,11,FALSE)),"")</f>
        <v/>
      </c>
      <c r="AE73"/>
    </row>
    <row r="74" spans="1:31" x14ac:dyDescent="0.45">
      <c r="A74" s="58" t="s">
        <v>230</v>
      </c>
      <c r="B74" s="58" t="s">
        <v>231</v>
      </c>
      <c r="C74" s="58" t="s">
        <v>154</v>
      </c>
      <c r="D74" s="58" t="str">
        <f>D72</f>
        <v>Adult Chronic</v>
      </c>
      <c r="E74" s="58" t="s">
        <v>232</v>
      </c>
      <c r="F74" s="58" t="s">
        <v>233</v>
      </c>
      <c r="G74" s="58" t="s">
        <v>82</v>
      </c>
      <c r="H74" s="145">
        <f>Prevalences!K238</f>
        <v>0.21579999999999999</v>
      </c>
      <c r="I74" s="146" t="s">
        <v>222</v>
      </c>
      <c r="L74" s="130">
        <v>1.02</v>
      </c>
      <c r="M74" s="58">
        <v>1</v>
      </c>
      <c r="O74" s="58">
        <v>15</v>
      </c>
      <c r="R74" s="145">
        <f>IFERROR(IF(VLOOKUP($A74,'Services summary'!$A:$L,10,FALSE)=0,"",VLOOKUP($A74,'Services summary'!$A:$L,10,FALSE)),"")</f>
        <v>2.3216438356164385E-2</v>
      </c>
      <c r="S74" s="145">
        <f>IFERROR(IF(VLOOKUP($A74,'Services summary'!$A:$L,11,FALSE)=0,"",VLOOKUP($A74,'Services summary'!$A:$L,11,FALSE)),"")</f>
        <v>1.741232876712329E-2</v>
      </c>
      <c r="AE74"/>
    </row>
    <row r="75" spans="1:31" x14ac:dyDescent="0.45">
      <c r="A75" s="58" t="s">
        <v>234</v>
      </c>
      <c r="B75" s="58" t="s">
        <v>235</v>
      </c>
      <c r="C75" s="58" t="s">
        <v>154</v>
      </c>
      <c r="D75" s="58" t="str">
        <f>D73</f>
        <v>Adult Chronic</v>
      </c>
      <c r="E75" s="58" t="s">
        <v>232</v>
      </c>
      <c r="F75" s="58" t="str">
        <f>F73</f>
        <v>adults 18+</v>
      </c>
      <c r="G75" s="58" t="s">
        <v>82</v>
      </c>
      <c r="H75" s="141">
        <f>H74</f>
        <v>0.21579999999999999</v>
      </c>
      <c r="I75" s="146" t="s">
        <v>174</v>
      </c>
      <c r="L75" s="58">
        <f>L74</f>
        <v>1.02</v>
      </c>
      <c r="N75" s="58">
        <v>1</v>
      </c>
      <c r="O75" s="58">
        <v>5</v>
      </c>
      <c r="R75" s="145" t="str">
        <f>IFERROR(IF(VLOOKUP($A75,'Services summary'!$A:$L,10,FALSE)=0,"",VLOOKUP($A75,'Services summary'!$A:$L,10,FALSE)),"")</f>
        <v/>
      </c>
      <c r="S75" s="145" t="str">
        <f>IFERROR(IF(VLOOKUP($A75,'Services summary'!$A:$L,11,FALSE)=0,"",VLOOKUP($A75,'Services summary'!$A:$L,11,FALSE)),"")</f>
        <v/>
      </c>
      <c r="AE75"/>
    </row>
    <row r="76" spans="1:31" x14ac:dyDescent="0.45">
      <c r="A76" s="58" t="s">
        <v>236</v>
      </c>
      <c r="B76" s="58" t="s">
        <v>237</v>
      </c>
      <c r="C76" s="58" t="s">
        <v>154</v>
      </c>
      <c r="D76" s="58" t="str">
        <f>D74</f>
        <v>Adult Chronic</v>
      </c>
      <c r="E76" s="58" t="s">
        <v>238</v>
      </c>
      <c r="F76" s="58" t="s">
        <v>201</v>
      </c>
      <c r="G76" s="58" t="s">
        <v>82</v>
      </c>
      <c r="H76" s="145">
        <f>Prevalences!O256</f>
        <v>9.9171468987202336E-3</v>
      </c>
      <c r="I76" s="146" t="s">
        <v>174</v>
      </c>
      <c r="L76" s="130">
        <v>0.98</v>
      </c>
      <c r="N76" s="58">
        <v>2</v>
      </c>
      <c r="O76" s="58">
        <v>5</v>
      </c>
      <c r="R76" s="145">
        <f>IFERROR(IF(VLOOKUP($A76,'Services summary'!$A:$L,10,FALSE)=0,"",VLOOKUP($A76,'Services summary'!$A:$L,10,FALSE)),"")</f>
        <v>8.1395348837209301E-3</v>
      </c>
      <c r="S76" s="145">
        <f>IFERROR(IF(VLOOKUP($A76,'Services summary'!$A:$L,11,FALSE)=0,"",VLOOKUP($A76,'Services summary'!$A:$L,11,FALSE)),"")</f>
        <v>8.1395348837209301E-3</v>
      </c>
      <c r="AE76"/>
    </row>
    <row r="77" spans="1:31" x14ac:dyDescent="0.45">
      <c r="A77" s="58" t="s">
        <v>239</v>
      </c>
      <c r="B77" s="58" t="s">
        <v>240</v>
      </c>
      <c r="C77" s="58" t="s">
        <v>154</v>
      </c>
      <c r="D77" s="58" t="s">
        <v>219</v>
      </c>
      <c r="E77" s="58" t="s">
        <v>241</v>
      </c>
      <c r="F77" s="58" t="s">
        <v>201</v>
      </c>
      <c r="G77" s="58" t="s">
        <v>82</v>
      </c>
      <c r="H77" s="142">
        <f>'HIV Incid'!M275/1000</f>
        <v>2.0926851436312916E-4</v>
      </c>
      <c r="I77" s="142" t="s">
        <v>242</v>
      </c>
      <c r="J77" s="147">
        <f>1/0.25</f>
        <v>4</v>
      </c>
      <c r="K77" s="139" t="s">
        <v>202</v>
      </c>
      <c r="L77" s="138">
        <f>'HIV Incid'!BM273</f>
        <v>0.90986310592664843</v>
      </c>
      <c r="M77" s="58">
        <v>1</v>
      </c>
      <c r="O77" s="58">
        <v>5</v>
      </c>
      <c r="R77" s="145" t="str">
        <f>IFERROR(IF(VLOOKUP($A77,'Services summary'!$A:$L,10,FALSE)=0,"",VLOOKUP($A77,'Services summary'!$A:$L,10,FALSE)),"")</f>
        <v/>
      </c>
      <c r="S77" s="145" t="str">
        <f>IFERROR(IF(VLOOKUP($A77,'Services summary'!$A:$L,11,FALSE)=0,"",VLOOKUP($A77,'Services summary'!$A:$L,11,FALSE)),"")</f>
        <v/>
      </c>
      <c r="AE77"/>
    </row>
    <row r="78" spans="1:31" x14ac:dyDescent="0.45">
      <c r="A78" s="58" t="s">
        <v>243</v>
      </c>
      <c r="B78" s="58" t="s">
        <v>244</v>
      </c>
      <c r="C78" s="58" t="s">
        <v>154</v>
      </c>
      <c r="D78" s="58" t="s">
        <v>219</v>
      </c>
      <c r="E78" s="58" t="s">
        <v>241</v>
      </c>
      <c r="F78" s="58" t="s">
        <v>201</v>
      </c>
      <c r="G78" s="58" t="s">
        <v>82</v>
      </c>
      <c r="H78" s="142">
        <f>H77</f>
        <v>2.0926851436312916E-4</v>
      </c>
      <c r="I78" s="142" t="s">
        <v>242</v>
      </c>
      <c r="L78" s="138">
        <f>L77</f>
        <v>0.90986310592664843</v>
      </c>
      <c r="M78" s="58">
        <v>1</v>
      </c>
      <c r="O78" s="58">
        <v>15</v>
      </c>
      <c r="R78" s="145">
        <f>IFERROR(IF(VLOOKUP($A78,'Services summary'!$A:$L,10,FALSE)=0,"",VLOOKUP($A78,'Services summary'!$A:$L,10,FALSE)),"")</f>
        <v>4.9309664694280082</v>
      </c>
      <c r="S78" s="145">
        <f>IFERROR(IF(VLOOKUP($A78,'Services summary'!$A:$L,11,FALSE)=0,"",VLOOKUP($A78,'Services summary'!$A:$L,11,FALSE)),"")</f>
        <v>1.2327416173570021</v>
      </c>
      <c r="AE78"/>
    </row>
    <row r="79" spans="1:31" x14ac:dyDescent="0.45">
      <c r="A79" s="58" t="s">
        <v>245</v>
      </c>
      <c r="B79" s="58" t="s">
        <v>246</v>
      </c>
      <c r="C79" s="58" t="s">
        <v>154</v>
      </c>
      <c r="D79" s="58" t="s">
        <v>206</v>
      </c>
      <c r="E79" s="58" t="s">
        <v>241</v>
      </c>
      <c r="F79" s="58" t="s">
        <v>247</v>
      </c>
      <c r="G79" s="58" t="s">
        <v>82</v>
      </c>
      <c r="H79" s="58">
        <v>1</v>
      </c>
      <c r="L79" s="58">
        <v>1</v>
      </c>
      <c r="M79" s="58">
        <v>1</v>
      </c>
      <c r="O79" s="58">
        <v>5</v>
      </c>
      <c r="R79" s="145" t="str">
        <f>IFERROR(IF(VLOOKUP($A79,'Services summary'!$A:$L,10,FALSE)=0,"",VLOOKUP($A79,'Services summary'!$A:$L,10,FALSE)),"")</f>
        <v/>
      </c>
      <c r="S79" s="145" t="str">
        <f>IFERROR(IF(VLOOKUP($A79,'Services summary'!$A:$L,11,FALSE)=0,"",VLOOKUP($A79,'Services summary'!$A:$L,11,FALSE)),"")</f>
        <v/>
      </c>
      <c r="AE79"/>
    </row>
    <row r="80" spans="1:31" x14ac:dyDescent="0.45">
      <c r="A80" s="58" t="s">
        <v>230</v>
      </c>
      <c r="B80" s="58" t="s">
        <v>231</v>
      </c>
      <c r="C80" s="58" t="s">
        <v>154</v>
      </c>
      <c r="D80" s="58" t="str">
        <f>D78</f>
        <v>Adult Chronic</v>
      </c>
      <c r="E80" s="58" t="s">
        <v>232</v>
      </c>
      <c r="F80" s="58" t="str">
        <f t="shared" ref="F80:F85" si="7">F74</f>
        <v>30 yo adults</v>
      </c>
      <c r="G80" s="58" t="s">
        <v>84</v>
      </c>
      <c r="H80" s="145">
        <f t="shared" ref="H80:H85" si="8">H74</f>
        <v>0.21579999999999999</v>
      </c>
      <c r="I80" s="146" t="s">
        <v>222</v>
      </c>
      <c r="L80" s="145">
        <f>L74</f>
        <v>1.02</v>
      </c>
      <c r="M80" s="145">
        <f>M74</f>
        <v>1</v>
      </c>
      <c r="O80" s="145">
        <f t="shared" ref="O80:O85" si="9">O74</f>
        <v>15</v>
      </c>
      <c r="R80" s="145">
        <f>R74</f>
        <v>2.3216438356164385E-2</v>
      </c>
      <c r="S80" s="145">
        <f>S74</f>
        <v>1.741232876712329E-2</v>
      </c>
      <c r="AE80"/>
    </row>
    <row r="81" spans="1:31" x14ac:dyDescent="0.45">
      <c r="A81" s="58" t="s">
        <v>234</v>
      </c>
      <c r="B81" s="58" t="s">
        <v>235</v>
      </c>
      <c r="C81" s="58" t="s">
        <v>154</v>
      </c>
      <c r="D81" s="58" t="str">
        <f>D79</f>
        <v>Public Health</v>
      </c>
      <c r="E81" s="58" t="s">
        <v>232</v>
      </c>
      <c r="F81" s="58" t="str">
        <f t="shared" si="7"/>
        <v>adults 18+</v>
      </c>
      <c r="G81" s="58" t="s">
        <v>84</v>
      </c>
      <c r="H81" s="145">
        <f t="shared" si="8"/>
        <v>0.21579999999999999</v>
      </c>
      <c r="I81" s="146" t="s">
        <v>174</v>
      </c>
      <c r="L81" s="145">
        <f>L75</f>
        <v>1.02</v>
      </c>
      <c r="N81" s="145">
        <f>N75</f>
        <v>1</v>
      </c>
      <c r="O81" s="145">
        <f t="shared" si="9"/>
        <v>5</v>
      </c>
      <c r="R81" s="145" t="str">
        <f>IFERROR(IF(VLOOKUP($A81,'Services summary'!$A:$L,10,FALSE)=0,"",VLOOKUP($A81,'Services summary'!$A:$L,10,FALSE)),"")</f>
        <v/>
      </c>
      <c r="S81" s="145" t="str">
        <f>IFERROR(IF(VLOOKUP($A81,'Services summary'!$A:$L,11,FALSE)=0,"",VLOOKUP($A81,'Services summary'!$A:$L,11,FALSE)),"")</f>
        <v/>
      </c>
      <c r="AE81"/>
    </row>
    <row r="82" spans="1:31" x14ac:dyDescent="0.45">
      <c r="A82" s="58" t="s">
        <v>236</v>
      </c>
      <c r="B82" s="58" t="s">
        <v>237</v>
      </c>
      <c r="C82" s="58" t="s">
        <v>154</v>
      </c>
      <c r="D82" s="58" t="str">
        <f>D80</f>
        <v>Adult Chronic</v>
      </c>
      <c r="E82" s="58" t="s">
        <v>238</v>
      </c>
      <c r="F82" s="58" t="str">
        <f t="shared" si="7"/>
        <v>adults 18+</v>
      </c>
      <c r="G82" s="58" t="s">
        <v>84</v>
      </c>
      <c r="H82" s="145">
        <f t="shared" si="8"/>
        <v>9.9171468987202336E-3</v>
      </c>
      <c r="I82" s="146" t="s">
        <v>174</v>
      </c>
      <c r="L82" s="145">
        <f>L76</f>
        <v>0.98</v>
      </c>
      <c r="N82" s="145">
        <f>N76</f>
        <v>2</v>
      </c>
      <c r="O82" s="145">
        <f t="shared" si="9"/>
        <v>5</v>
      </c>
      <c r="R82" s="145">
        <f>R76</f>
        <v>8.1395348837209301E-3</v>
      </c>
      <c r="S82" s="145">
        <f>S76</f>
        <v>8.1395348837209301E-3</v>
      </c>
      <c r="AE82"/>
    </row>
    <row r="83" spans="1:31" x14ac:dyDescent="0.45">
      <c r="A83" s="58" t="s">
        <v>239</v>
      </c>
      <c r="B83" s="58" t="s">
        <v>240</v>
      </c>
      <c r="C83" s="58" t="s">
        <v>154</v>
      </c>
      <c r="D83" s="58" t="s">
        <v>219</v>
      </c>
      <c r="E83" s="58" t="s">
        <v>241</v>
      </c>
      <c r="F83" s="58" t="str">
        <f t="shared" si="7"/>
        <v>adults 18+</v>
      </c>
      <c r="G83" s="58" t="s">
        <v>84</v>
      </c>
      <c r="H83" s="145">
        <f t="shared" si="8"/>
        <v>2.0926851436312916E-4</v>
      </c>
      <c r="I83" s="142" t="s">
        <v>242</v>
      </c>
      <c r="J83" s="145">
        <f>J77</f>
        <v>4</v>
      </c>
      <c r="K83" s="139" t="s">
        <v>202</v>
      </c>
      <c r="L83" s="145">
        <f>L77</f>
        <v>0.90986310592664843</v>
      </c>
      <c r="M83" s="145">
        <f>M77</f>
        <v>1</v>
      </c>
      <c r="O83" s="145">
        <f t="shared" si="9"/>
        <v>5</v>
      </c>
      <c r="R83" s="145" t="str">
        <f>IFERROR(IF(VLOOKUP($A83,'Services summary'!$A:$L,10,FALSE)=0,"",VLOOKUP($A83,'Services summary'!$A:$L,10,FALSE)),"")</f>
        <v/>
      </c>
      <c r="S83" s="145" t="str">
        <f>IFERROR(IF(VLOOKUP($A83,'Services summary'!$A:$L,11,FALSE)=0,"",VLOOKUP($A83,'Services summary'!$A:$L,11,FALSE)),"")</f>
        <v/>
      </c>
      <c r="AE83"/>
    </row>
    <row r="84" spans="1:31" x14ac:dyDescent="0.45">
      <c r="A84" s="58" t="s">
        <v>243</v>
      </c>
      <c r="B84" s="58" t="s">
        <v>244</v>
      </c>
      <c r="C84" s="58" t="s">
        <v>154</v>
      </c>
      <c r="D84" s="58" t="s">
        <v>219</v>
      </c>
      <c r="E84" s="58" t="s">
        <v>241</v>
      </c>
      <c r="F84" s="58" t="str">
        <f t="shared" si="7"/>
        <v>adults 18+</v>
      </c>
      <c r="G84" s="58" t="s">
        <v>84</v>
      </c>
      <c r="H84" s="145">
        <f t="shared" si="8"/>
        <v>2.0926851436312916E-4</v>
      </c>
      <c r="I84" s="142" t="s">
        <v>242</v>
      </c>
      <c r="L84" s="145">
        <f>L78</f>
        <v>0.90986310592664843</v>
      </c>
      <c r="M84" s="145">
        <f>M78</f>
        <v>1</v>
      </c>
      <c r="O84" s="145">
        <f t="shared" si="9"/>
        <v>15</v>
      </c>
      <c r="R84" s="145">
        <f>R78</f>
        <v>4.9309664694280082</v>
      </c>
      <c r="S84" s="145">
        <f>S78</f>
        <v>1.2327416173570021</v>
      </c>
      <c r="AE84"/>
    </row>
    <row r="85" spans="1:31" x14ac:dyDescent="0.45">
      <c r="A85" s="58" t="s">
        <v>245</v>
      </c>
      <c r="B85" s="58" t="s">
        <v>246</v>
      </c>
      <c r="C85" s="58" t="s">
        <v>154</v>
      </c>
      <c r="D85" s="58" t="s">
        <v>206</v>
      </c>
      <c r="E85" s="58" t="s">
        <v>241</v>
      </c>
      <c r="F85" s="58" t="str">
        <f t="shared" si="7"/>
        <v>18 yo women</v>
      </c>
      <c r="G85" s="58" t="s">
        <v>84</v>
      </c>
      <c r="H85" s="145">
        <f t="shared" si="8"/>
        <v>1</v>
      </c>
      <c r="L85" s="145">
        <f>L79</f>
        <v>1</v>
      </c>
      <c r="M85" s="145">
        <f>M79</f>
        <v>1</v>
      </c>
      <c r="O85" s="145">
        <f t="shared" si="9"/>
        <v>5</v>
      </c>
      <c r="R85" s="145" t="str">
        <f>IFERROR(IF(VLOOKUP($A85,'Services summary'!$A:$L,10,FALSE)=0,"",VLOOKUP($A85,'Services summary'!$A:$L,10,FALSE)),"")</f>
        <v/>
      </c>
      <c r="S85" s="145" t="str">
        <f>IFERROR(IF(VLOOKUP($A85,'Services summary'!$A:$L,11,FALSE)=0,"",VLOOKUP($A85,'Services summary'!$A:$L,11,FALSE)),"")</f>
        <v/>
      </c>
      <c r="AE85"/>
    </row>
    <row r="86" spans="1:31" x14ac:dyDescent="0.45">
      <c r="A86" s="58" t="s">
        <v>1927</v>
      </c>
      <c r="B86" s="58" t="s">
        <v>249</v>
      </c>
      <c r="C86" s="58" t="s">
        <v>154</v>
      </c>
      <c r="D86" s="58" t="s">
        <v>155</v>
      </c>
      <c r="E86" s="58" t="s">
        <v>66</v>
      </c>
      <c r="F86" s="58" t="s">
        <v>247</v>
      </c>
      <c r="G86" s="58" t="s">
        <v>82</v>
      </c>
      <c r="H86" s="58">
        <f>'FP mod'!BK273/100</f>
        <v>0.58399999999999996</v>
      </c>
      <c r="I86" s="58" t="s">
        <v>174</v>
      </c>
      <c r="L86" s="58">
        <v>1</v>
      </c>
      <c r="M86" s="58">
        <v>1</v>
      </c>
      <c r="O86" s="58">
        <v>15</v>
      </c>
      <c r="R86" s="145">
        <f>'Services summary'!K10</f>
        <v>0.26551608334870802</v>
      </c>
      <c r="S86" s="145">
        <f>'Services summary'!L10</f>
        <v>0.63723860003689925</v>
      </c>
      <c r="AE86"/>
    </row>
    <row r="87" spans="1:31" x14ac:dyDescent="0.45">
      <c r="A87" s="58" t="s">
        <v>1927</v>
      </c>
      <c r="B87" s="58" t="s">
        <v>249</v>
      </c>
      <c r="C87" s="58" t="s">
        <v>154</v>
      </c>
      <c r="D87" s="58" t="s">
        <v>155</v>
      </c>
      <c r="E87" s="58" t="s">
        <v>66</v>
      </c>
      <c r="F87" s="58" t="s">
        <v>247</v>
      </c>
      <c r="G87" s="58" t="s">
        <v>84</v>
      </c>
      <c r="H87" s="58">
        <f>Prevalences!H56/100</f>
        <v>0.57399999999999995</v>
      </c>
      <c r="I87" s="58" t="s">
        <v>174</v>
      </c>
      <c r="L87" s="58">
        <v>1</v>
      </c>
      <c r="M87" s="58">
        <v>1</v>
      </c>
      <c r="O87" s="58">
        <v>15</v>
      </c>
      <c r="R87" s="145">
        <f>R86</f>
        <v>0.26551608334870802</v>
      </c>
      <c r="S87" s="145">
        <f>S86</f>
        <v>0.63723860003689925</v>
      </c>
      <c r="AE87"/>
    </row>
    <row r="88" spans="1:31" x14ac:dyDescent="0.45">
      <c r="A88" s="58" t="s">
        <v>1928</v>
      </c>
      <c r="B88" s="58" t="s">
        <v>250</v>
      </c>
      <c r="C88" s="58" t="s">
        <v>154</v>
      </c>
      <c r="D88" s="58" t="s">
        <v>155</v>
      </c>
      <c r="E88" s="58" t="s">
        <v>66</v>
      </c>
      <c r="F88" s="58" t="s">
        <v>156</v>
      </c>
      <c r="G88" s="58" t="s">
        <v>82</v>
      </c>
      <c r="H88" s="58">
        <v>1</v>
      </c>
      <c r="I88" s="58" t="s">
        <v>251</v>
      </c>
      <c r="L88" s="58">
        <v>1</v>
      </c>
      <c r="M88" s="58">
        <v>1</v>
      </c>
      <c r="O88" s="58">
        <v>15</v>
      </c>
      <c r="R88" s="145">
        <f>R86</f>
        <v>0.26551608334870802</v>
      </c>
      <c r="S88" s="145">
        <f>S86</f>
        <v>0.63723860003689925</v>
      </c>
      <c r="AE88"/>
    </row>
    <row r="89" spans="1:31" x14ac:dyDescent="0.45">
      <c r="A89" s="58" t="s">
        <v>1929</v>
      </c>
      <c r="B89" s="58" t="s">
        <v>252</v>
      </c>
      <c r="C89" s="58" t="s">
        <v>154</v>
      </c>
      <c r="D89" s="58" t="s">
        <v>155</v>
      </c>
      <c r="E89" s="58" t="s">
        <v>66</v>
      </c>
      <c r="F89" s="58" t="s">
        <v>253</v>
      </c>
      <c r="G89" s="58" t="s">
        <v>82</v>
      </c>
      <c r="H89" s="58">
        <f>Prevalences!T72</f>
        <v>5.0116865018980945E-2</v>
      </c>
      <c r="I89" s="58" t="s">
        <v>254</v>
      </c>
      <c r="L89" s="58">
        <v>1</v>
      </c>
      <c r="N89" s="58">
        <v>1</v>
      </c>
      <c r="O89" s="58">
        <v>15</v>
      </c>
      <c r="R89" s="145" t="str">
        <f>IFERROR(IF(VLOOKUP($A89,'Services summary'!$A:$L,10,FALSE)=0,"",VLOOKUP($A89,'Services summary'!$A:$L,10,FALSE)),"")</f>
        <v/>
      </c>
      <c r="S89" s="145" t="str">
        <f>IFERROR(IF(VLOOKUP($A89,'Services summary'!$A:$L,11,FALSE)=0,"",VLOOKUP($A89,'Services summary'!$A:$L,11,FALSE)),"")</f>
        <v/>
      </c>
      <c r="AE89"/>
    </row>
    <row r="90" spans="1:31" x14ac:dyDescent="0.45">
      <c r="A90" s="58" t="s">
        <v>1930</v>
      </c>
      <c r="B90" s="58" t="s">
        <v>255</v>
      </c>
      <c r="C90" s="58" t="s">
        <v>154</v>
      </c>
      <c r="D90" s="58" t="s">
        <v>155</v>
      </c>
      <c r="E90" s="58" t="s">
        <v>66</v>
      </c>
      <c r="F90" s="58" t="s">
        <v>253</v>
      </c>
      <c r="G90" s="58" t="s">
        <v>82</v>
      </c>
      <c r="H90" s="58">
        <f>Prevalences!S71</f>
        <v>0.26812151014720248</v>
      </c>
      <c r="I90" s="58" t="s">
        <v>254</v>
      </c>
      <c r="L90" s="58">
        <v>1</v>
      </c>
      <c r="N90" s="58">
        <v>1</v>
      </c>
      <c r="O90" s="58">
        <v>15</v>
      </c>
      <c r="R90" s="145" t="str">
        <f>IFERROR(IF(VLOOKUP($A90,'Services summary'!$A:$L,10,FALSE)=0,"",VLOOKUP($A90,'Services summary'!$A:$L,10,FALSE)),"")</f>
        <v/>
      </c>
      <c r="S90" s="145" t="str">
        <f>IFERROR(IF(VLOOKUP($A90,'Services summary'!$A:$L,11,FALSE)=0,"",VLOOKUP($A90,'Services summary'!$A:$L,11,FALSE)),"")</f>
        <v/>
      </c>
      <c r="AE90"/>
    </row>
    <row r="91" spans="1:31" x14ac:dyDescent="0.45">
      <c r="A91" s="58" t="s">
        <v>1928</v>
      </c>
      <c r="B91" s="58" t="s">
        <v>250</v>
      </c>
      <c r="C91" s="58" t="s">
        <v>154</v>
      </c>
      <c r="D91" s="58" t="s">
        <v>155</v>
      </c>
      <c r="E91" s="58" t="s">
        <v>66</v>
      </c>
      <c r="F91" s="58" t="str">
        <f>F88</f>
        <v>births</v>
      </c>
      <c r="G91" s="58" t="s">
        <v>84</v>
      </c>
      <c r="H91" s="58">
        <f>H88</f>
        <v>1</v>
      </c>
      <c r="I91" s="58" t="s">
        <v>251</v>
      </c>
      <c r="L91" s="58">
        <f t="shared" ref="L91:O93" si="10">L88</f>
        <v>1</v>
      </c>
      <c r="M91" s="58">
        <f t="shared" si="10"/>
        <v>1</v>
      </c>
      <c r="N91" s="58">
        <f t="shared" si="10"/>
        <v>0</v>
      </c>
      <c r="O91" s="58">
        <f t="shared" si="10"/>
        <v>15</v>
      </c>
      <c r="R91" s="145">
        <f>R88</f>
        <v>0.26551608334870802</v>
      </c>
      <c r="S91" s="145">
        <f>S88</f>
        <v>0.63723860003689925</v>
      </c>
      <c r="AE91"/>
    </row>
    <row r="92" spans="1:31" x14ac:dyDescent="0.45">
      <c r="A92" s="58" t="s">
        <v>1929</v>
      </c>
      <c r="B92" s="58" t="s">
        <v>252</v>
      </c>
      <c r="C92" s="58" t="s">
        <v>154</v>
      </c>
      <c r="D92" s="58" t="s">
        <v>155</v>
      </c>
      <c r="E92" s="58" t="s">
        <v>66</v>
      </c>
      <c r="F92" s="58" t="str">
        <f>F89</f>
        <v>women 15-49</v>
      </c>
      <c r="G92" s="58" t="s">
        <v>84</v>
      </c>
      <c r="H92" s="58">
        <f>H89</f>
        <v>5.0116865018980945E-2</v>
      </c>
      <c r="I92" s="58" t="s">
        <v>254</v>
      </c>
      <c r="L92" s="58">
        <f t="shared" si="10"/>
        <v>1</v>
      </c>
      <c r="M92" s="58">
        <f t="shared" si="10"/>
        <v>0</v>
      </c>
      <c r="N92" s="58">
        <f t="shared" si="10"/>
        <v>1</v>
      </c>
      <c r="O92" s="58">
        <f t="shared" si="10"/>
        <v>15</v>
      </c>
      <c r="R92" s="145" t="str">
        <f>IFERROR(IF(VLOOKUP($A92,'Services summary'!$A:$L,10,FALSE)=0,"",VLOOKUP($A92,'Services summary'!$A:$L,10,FALSE)),"")</f>
        <v/>
      </c>
      <c r="S92" s="145" t="str">
        <f>IFERROR(IF(VLOOKUP($A92,'Services summary'!$A:$L,11,FALSE)=0,"",VLOOKUP($A92,'Services summary'!$A:$L,11,FALSE)),"")</f>
        <v/>
      </c>
      <c r="AE92"/>
    </row>
    <row r="93" spans="1:31" x14ac:dyDescent="0.45">
      <c r="A93" s="58" t="s">
        <v>1930</v>
      </c>
      <c r="B93" s="58" t="s">
        <v>255</v>
      </c>
      <c r="C93" s="58" t="s">
        <v>154</v>
      </c>
      <c r="D93" s="58" t="s">
        <v>155</v>
      </c>
      <c r="E93" s="58" t="s">
        <v>66</v>
      </c>
      <c r="F93" s="58" t="str">
        <f>F90</f>
        <v>women 15-49</v>
      </c>
      <c r="G93" s="58" t="s">
        <v>84</v>
      </c>
      <c r="H93" s="58">
        <f>H90</f>
        <v>0.26812151014720248</v>
      </c>
      <c r="I93" s="58" t="s">
        <v>254</v>
      </c>
      <c r="L93" s="58">
        <f t="shared" si="10"/>
        <v>1</v>
      </c>
      <c r="M93" s="58">
        <f t="shared" si="10"/>
        <v>0</v>
      </c>
      <c r="N93" s="58">
        <f t="shared" si="10"/>
        <v>1</v>
      </c>
      <c r="O93" s="58">
        <f t="shared" si="10"/>
        <v>15</v>
      </c>
      <c r="R93" s="145" t="str">
        <f>IFERROR(IF(VLOOKUP($A93,'Services summary'!$A:$L,10,FALSE)=0,"",VLOOKUP($A93,'Services summary'!$A:$L,10,FALSE)),"")</f>
        <v/>
      </c>
      <c r="S93" s="145" t="str">
        <f>IFERROR(IF(VLOOKUP($A93,'Services summary'!$A:$L,11,FALSE)=0,"",VLOOKUP($A93,'Services summary'!$A:$L,11,FALSE)),"")</f>
        <v/>
      </c>
      <c r="AE93"/>
    </row>
    <row r="94" spans="1:31" x14ac:dyDescent="0.45">
      <c r="A94" s="58" t="s">
        <v>256</v>
      </c>
      <c r="B94" s="58" t="s">
        <v>257</v>
      </c>
      <c r="C94" s="58" t="s">
        <v>154</v>
      </c>
      <c r="D94" s="58" t="s">
        <v>155</v>
      </c>
      <c r="E94" s="58" t="s">
        <v>66</v>
      </c>
      <c r="F94" s="58" t="s">
        <v>253</v>
      </c>
      <c r="G94" s="58" t="s">
        <v>82</v>
      </c>
      <c r="H94" s="151">
        <f>Prevalences!H58/100*Prevalences!N57</f>
        <v>3.280483410006485E-2</v>
      </c>
      <c r="I94" s="58" t="s">
        <v>258</v>
      </c>
      <c r="L94" s="58">
        <v>1</v>
      </c>
      <c r="N94" s="58">
        <v>4</v>
      </c>
      <c r="O94" s="58">
        <v>5</v>
      </c>
      <c r="R94" s="145" t="str">
        <f>IFERROR(IF(VLOOKUP($A94,'Services summary'!$A:$L,10,FALSE)=0,"",VLOOKUP($A94,'Services summary'!$A:$L,10,FALSE)),"")</f>
        <v/>
      </c>
      <c r="S94" s="145" t="str">
        <f>IFERROR(IF(VLOOKUP($A94,'Services summary'!$A:$L,11,FALSE)=0,"",VLOOKUP($A94,'Services summary'!$A:$L,11,FALSE)),"")</f>
        <v/>
      </c>
      <c r="AE94"/>
    </row>
    <row r="95" spans="1:31" x14ac:dyDescent="0.45">
      <c r="A95" s="58" t="s">
        <v>259</v>
      </c>
      <c r="B95" s="58" t="s">
        <v>260</v>
      </c>
      <c r="C95" s="58" t="s">
        <v>154</v>
      </c>
      <c r="D95" s="58" t="s">
        <v>155</v>
      </c>
      <c r="E95" s="58" t="s">
        <v>66</v>
      </c>
      <c r="F95" s="58" t="s">
        <v>253</v>
      </c>
      <c r="G95" s="58" t="s">
        <v>82</v>
      </c>
      <c r="H95" s="151">
        <f>Prevalences!H58/100*Prevalences!P57</f>
        <v>0.37176641117540893</v>
      </c>
      <c r="I95" s="58" t="s">
        <v>258</v>
      </c>
      <c r="L95" s="58">
        <v>1</v>
      </c>
      <c r="N95" s="58">
        <v>4</v>
      </c>
      <c r="O95" s="58">
        <v>5</v>
      </c>
      <c r="R95" s="145" t="str">
        <f>IFERROR(IF(VLOOKUP($A95,'Services summary'!$A:$L,10,FALSE)=0,"",VLOOKUP($A95,'Services summary'!$A:$L,10,FALSE)),"")</f>
        <v/>
      </c>
      <c r="S95" s="145" t="str">
        <f>IFERROR(IF(VLOOKUP($A95,'Services summary'!$A:$L,11,FALSE)=0,"",VLOOKUP($A95,'Services summary'!$A:$L,11,FALSE)),"")</f>
        <v/>
      </c>
      <c r="AE95"/>
    </row>
    <row r="96" spans="1:31" x14ac:dyDescent="0.45">
      <c r="A96" s="58" t="s">
        <v>261</v>
      </c>
      <c r="B96" s="58" t="s">
        <v>262</v>
      </c>
      <c r="C96" s="58" t="s">
        <v>154</v>
      </c>
      <c r="D96" s="58" t="s">
        <v>155</v>
      </c>
      <c r="E96" s="58" t="s">
        <v>66</v>
      </c>
      <c r="F96" s="58" t="s">
        <v>253</v>
      </c>
      <c r="G96" s="58" t="s">
        <v>82</v>
      </c>
      <c r="H96" s="152">
        <v>0</v>
      </c>
      <c r="I96" s="58" t="s">
        <v>258</v>
      </c>
      <c r="L96" s="58">
        <v>1</v>
      </c>
      <c r="N96" s="58">
        <v>0</v>
      </c>
      <c r="O96" s="58">
        <v>0</v>
      </c>
      <c r="R96" s="145" t="str">
        <f>IFERROR(IF(VLOOKUP($A96,'Services summary'!$A:$L,10,FALSE)=0,"",VLOOKUP($A96,'Services summary'!$A:$L,10,FALSE)),"")</f>
        <v/>
      </c>
      <c r="S96" s="145" t="str">
        <f>IFERROR(IF(VLOOKUP($A96,'Services summary'!$A:$L,11,FALSE)=0,"",VLOOKUP($A96,'Services summary'!$A:$L,11,FALSE)),"")</f>
        <v/>
      </c>
      <c r="AE96"/>
    </row>
    <row r="97" spans="1:31" x14ac:dyDescent="0.45">
      <c r="A97" s="58" t="s">
        <v>263</v>
      </c>
      <c r="B97" s="58" t="s">
        <v>264</v>
      </c>
      <c r="C97" s="58" t="s">
        <v>154</v>
      </c>
      <c r="D97" s="58" t="s">
        <v>155</v>
      </c>
      <c r="E97" s="58" t="s">
        <v>66</v>
      </c>
      <c r="F97" s="58" t="s">
        <v>253</v>
      </c>
      <c r="G97" s="58" t="s">
        <v>82</v>
      </c>
      <c r="H97" s="151">
        <f>Prevalences!H58/100*Prevalences!O57</f>
        <v>3.4377158820119012E-2</v>
      </c>
      <c r="I97" s="58" t="s">
        <v>258</v>
      </c>
      <c r="L97" s="58">
        <v>1</v>
      </c>
      <c r="N97" s="58">
        <f>1/5</f>
        <v>0.2</v>
      </c>
      <c r="O97" s="58">
        <v>15</v>
      </c>
      <c r="R97" s="145" t="str">
        <f>IFERROR(IF(VLOOKUP($A97,'Services summary'!$A:$L,10,FALSE)=0,"",VLOOKUP($A97,'Services summary'!$A:$L,10,FALSE)),"")</f>
        <v/>
      </c>
      <c r="S97" s="145" t="str">
        <f>IFERROR(IF(VLOOKUP($A97,'Services summary'!$A:$L,11,FALSE)=0,"",VLOOKUP($A97,'Services summary'!$A:$L,11,FALSE)),"")</f>
        <v/>
      </c>
      <c r="AE97"/>
    </row>
    <row r="98" spans="1:31" x14ac:dyDescent="0.45">
      <c r="A98" s="58" t="s">
        <v>265</v>
      </c>
      <c r="B98" s="58" t="s">
        <v>266</v>
      </c>
      <c r="C98" s="58" t="s">
        <v>154</v>
      </c>
      <c r="D98" s="58" t="s">
        <v>155</v>
      </c>
      <c r="E98" s="58" t="s">
        <v>66</v>
      </c>
      <c r="F98" s="58" t="s">
        <v>253</v>
      </c>
      <c r="G98" s="58" t="s">
        <v>82</v>
      </c>
      <c r="H98" s="151">
        <f>Prevalences!H58/100*Prevalences!Q57</f>
        <v>0.1302238408674441</v>
      </c>
      <c r="I98" s="58" t="s">
        <v>258</v>
      </c>
      <c r="L98" s="58">
        <v>1</v>
      </c>
      <c r="N98" s="58">
        <f>1/3</f>
        <v>0.33333333333333331</v>
      </c>
      <c r="O98" s="58">
        <v>10</v>
      </c>
      <c r="R98" s="145" t="str">
        <f>IFERROR(IF(VLOOKUP($A98,'Services summary'!$A:$L,10,FALSE)=0,"",VLOOKUP($A98,'Services summary'!$A:$L,10,FALSE)),"")</f>
        <v/>
      </c>
      <c r="S98" s="145" t="str">
        <f>IFERROR(IF(VLOOKUP($A98,'Services summary'!$A:$L,11,FALSE)=0,"",VLOOKUP($A98,'Services summary'!$A:$L,11,FALSE)),"")</f>
        <v/>
      </c>
      <c r="AE98"/>
    </row>
    <row r="99" spans="1:31" x14ac:dyDescent="0.45">
      <c r="A99" s="58" t="s">
        <v>256</v>
      </c>
      <c r="B99" s="58" t="s">
        <v>257</v>
      </c>
      <c r="C99" s="58" t="s">
        <v>154</v>
      </c>
      <c r="D99" s="58" t="s">
        <v>155</v>
      </c>
      <c r="E99" s="58" t="s">
        <v>66</v>
      </c>
      <c r="F99" s="58" t="s">
        <v>253</v>
      </c>
      <c r="G99" s="58" t="s">
        <v>84</v>
      </c>
      <c r="H99" s="151">
        <f>Prevalences!H56/100*Prevalences!N56</f>
        <v>1.5944444444444442E-2</v>
      </c>
      <c r="I99" s="58" t="s">
        <v>258</v>
      </c>
      <c r="L99" s="58">
        <v>1</v>
      </c>
      <c r="N99" s="58">
        <v>4</v>
      </c>
      <c r="O99" s="58">
        <v>5</v>
      </c>
      <c r="R99" s="145" t="str">
        <f>IFERROR(IF(VLOOKUP($A99,'Services summary'!$A:$L,10,FALSE)=0,"",VLOOKUP($A99,'Services summary'!$A:$L,10,FALSE)),"")</f>
        <v/>
      </c>
      <c r="S99" s="145" t="str">
        <f>IFERROR(IF(VLOOKUP($A99,'Services summary'!$A:$L,11,FALSE)=0,"",VLOOKUP($A99,'Services summary'!$A:$L,11,FALSE)),"")</f>
        <v/>
      </c>
      <c r="AE99"/>
    </row>
    <row r="100" spans="1:31" x14ac:dyDescent="0.45">
      <c r="A100" s="58" t="s">
        <v>259</v>
      </c>
      <c r="B100" s="58" t="s">
        <v>260</v>
      </c>
      <c r="C100" s="58" t="s">
        <v>154</v>
      </c>
      <c r="D100" s="58" t="s">
        <v>155</v>
      </c>
      <c r="E100" s="58" t="s">
        <v>66</v>
      </c>
      <c r="F100" s="58" t="s">
        <v>253</v>
      </c>
      <c r="G100" s="58" t="s">
        <v>84</v>
      </c>
      <c r="H100" s="151">
        <f>Prevalences!H56/100*Prevalences!P56</f>
        <v>0.3915246913580247</v>
      </c>
      <c r="I100" s="58" t="s">
        <v>258</v>
      </c>
      <c r="L100" s="58">
        <v>1</v>
      </c>
      <c r="N100" s="58">
        <v>4</v>
      </c>
      <c r="O100" s="58">
        <v>5</v>
      </c>
      <c r="R100" s="145" t="str">
        <f>IFERROR(IF(VLOOKUP($A100,'Services summary'!$A:$L,10,FALSE)=0,"",VLOOKUP($A100,'Services summary'!$A:$L,10,FALSE)),"")</f>
        <v/>
      </c>
      <c r="S100" s="145" t="str">
        <f>IFERROR(IF(VLOOKUP($A100,'Services summary'!$A:$L,11,FALSE)=0,"",VLOOKUP($A100,'Services summary'!$A:$L,11,FALSE)),"")</f>
        <v/>
      </c>
      <c r="AE100"/>
    </row>
    <row r="101" spans="1:31" x14ac:dyDescent="0.45">
      <c r="A101" s="58" t="s">
        <v>261</v>
      </c>
      <c r="B101" s="58" t="s">
        <v>262</v>
      </c>
      <c r="C101" s="58" t="s">
        <v>154</v>
      </c>
      <c r="D101" s="58" t="s">
        <v>155</v>
      </c>
      <c r="E101" s="58" t="s">
        <v>66</v>
      </c>
      <c r="F101" s="58" t="s">
        <v>253</v>
      </c>
      <c r="G101" s="58" t="s">
        <v>84</v>
      </c>
      <c r="H101" s="152">
        <v>0</v>
      </c>
      <c r="I101" s="58" t="s">
        <v>258</v>
      </c>
      <c r="L101" s="58">
        <v>1</v>
      </c>
      <c r="N101" s="58">
        <v>0</v>
      </c>
      <c r="O101" s="58">
        <v>0</v>
      </c>
      <c r="R101" s="145" t="str">
        <f>IFERROR(IF(VLOOKUP($A101,'Services summary'!$A:$L,10,FALSE)=0,"",VLOOKUP($A101,'Services summary'!$A:$L,10,FALSE)),"")</f>
        <v/>
      </c>
      <c r="S101" s="145" t="str">
        <f>IFERROR(IF(VLOOKUP($A101,'Services summary'!$A:$L,11,FALSE)=0,"",VLOOKUP($A101,'Services summary'!$A:$L,11,FALSE)),"")</f>
        <v/>
      </c>
      <c r="AE101"/>
    </row>
    <row r="102" spans="1:31" x14ac:dyDescent="0.45">
      <c r="A102" s="58" t="s">
        <v>263</v>
      </c>
      <c r="B102" s="58" t="s">
        <v>264</v>
      </c>
      <c r="C102" s="58" t="s">
        <v>154</v>
      </c>
      <c r="D102" s="58" t="s">
        <v>155</v>
      </c>
      <c r="E102" s="58" t="s">
        <v>66</v>
      </c>
      <c r="F102" s="58" t="s">
        <v>253</v>
      </c>
      <c r="G102" s="58" t="s">
        <v>84</v>
      </c>
      <c r="H102" s="151">
        <f>Prevalences!H56/100*Prevalences!O56</f>
        <v>2.6574074074074069E-2</v>
      </c>
      <c r="I102" s="58" t="s">
        <v>258</v>
      </c>
      <c r="L102" s="58">
        <v>1</v>
      </c>
      <c r="N102" s="58">
        <f>2/5</f>
        <v>0.4</v>
      </c>
      <c r="O102" s="58">
        <v>15</v>
      </c>
      <c r="R102" s="145" t="str">
        <f>IFERROR(IF(VLOOKUP($A102,'Services summary'!$A:$L,10,FALSE)=0,"",VLOOKUP($A102,'Services summary'!$A:$L,10,FALSE)),"")</f>
        <v/>
      </c>
      <c r="S102" s="145" t="str">
        <f>IFERROR(IF(VLOOKUP($A102,'Services summary'!$A:$L,11,FALSE)=0,"",VLOOKUP($A102,'Services summary'!$A:$L,11,FALSE)),"")</f>
        <v/>
      </c>
      <c r="AE102"/>
    </row>
    <row r="103" spans="1:31" x14ac:dyDescent="0.45">
      <c r="A103" s="58" t="s">
        <v>265</v>
      </c>
      <c r="B103" s="58" t="s">
        <v>266</v>
      </c>
      <c r="C103" s="58" t="s">
        <v>154</v>
      </c>
      <c r="D103" s="58" t="s">
        <v>155</v>
      </c>
      <c r="E103" s="58" t="s">
        <v>66</v>
      </c>
      <c r="F103" s="58" t="s">
        <v>253</v>
      </c>
      <c r="G103" s="58" t="s">
        <v>84</v>
      </c>
      <c r="H103" s="151">
        <f>Prevalences!H56/100*Prevalences!Q56</f>
        <v>0.12932716049382714</v>
      </c>
      <c r="I103" s="58" t="s">
        <v>258</v>
      </c>
      <c r="L103" s="58">
        <v>1</v>
      </c>
      <c r="N103" s="58">
        <v>0.33</v>
      </c>
      <c r="O103" s="58">
        <v>10</v>
      </c>
      <c r="R103" s="145" t="str">
        <f>IFERROR(IF(VLOOKUP($A103,'Services summary'!$A:$L,10,FALSE)=0,"",VLOOKUP($A103,'Services summary'!$A:$L,10,FALSE)),"")</f>
        <v/>
      </c>
      <c r="S103" s="145" t="str">
        <f>IFERROR(IF(VLOOKUP($A103,'Services summary'!$A:$L,11,FALSE)=0,"",VLOOKUP($A103,'Services summary'!$A:$L,11,FALSE)),"")</f>
        <v/>
      </c>
      <c r="AE103"/>
    </row>
    <row r="104" spans="1:31" x14ac:dyDescent="0.45">
      <c r="AE104"/>
    </row>
    <row r="105" spans="1:31" x14ac:dyDescent="0.45">
      <c r="AE105"/>
    </row>
    <row r="106" spans="1:31" x14ac:dyDescent="0.45">
      <c r="AE106"/>
    </row>
    <row r="107" spans="1:31" x14ac:dyDescent="0.45">
      <c r="AE107"/>
    </row>
    <row r="108" spans="1:31" x14ac:dyDescent="0.45">
      <c r="AE108"/>
    </row>
    <row r="109" spans="1:31" x14ac:dyDescent="0.45">
      <c r="AE109"/>
    </row>
    <row r="110" spans="1:31" x14ac:dyDescent="0.45">
      <c r="AE110"/>
    </row>
    <row r="111" spans="1:31" x14ac:dyDescent="0.45">
      <c r="AE111"/>
    </row>
  </sheetData>
  <autoFilter ref="A1:S103" xr:uid="{C1D83D06-B7B0-4361-896A-BFF57EC1D426}"/>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E4EC1-0891-4AA1-B142-1771347B6417}">
  <sheetPr>
    <tabColor theme="0" tint="-0.34998626667073579"/>
  </sheetPr>
  <dimension ref="A1:M2"/>
  <sheetViews>
    <sheetView workbookViewId="0">
      <selection activeCell="O7" sqref="O7"/>
    </sheetView>
  </sheetViews>
  <sheetFormatPr defaultRowHeight="14.25" x14ac:dyDescent="0.45"/>
  <cols>
    <col min="1" max="1" width="13.46484375" bestFit="1" customWidth="1"/>
    <col min="2" max="2" width="8" bestFit="1" customWidth="1"/>
    <col min="3" max="4" width="8" customWidth="1"/>
  </cols>
  <sheetData>
    <row r="1" spans="1:13" ht="42.75" x14ac:dyDescent="0.45">
      <c r="A1" s="301" t="s">
        <v>135</v>
      </c>
      <c r="B1" s="304" t="s">
        <v>140</v>
      </c>
      <c r="C1" s="299" t="s">
        <v>139</v>
      </c>
      <c r="D1" s="302" t="s">
        <v>137</v>
      </c>
      <c r="E1" s="299" t="s">
        <v>141</v>
      </c>
      <c r="F1" s="308" t="s">
        <v>142</v>
      </c>
      <c r="G1" s="300" t="s">
        <v>144</v>
      </c>
      <c r="H1" s="300" t="s">
        <v>146</v>
      </c>
      <c r="I1" s="299" t="s">
        <v>147</v>
      </c>
      <c r="J1" s="299" t="s">
        <v>148</v>
      </c>
      <c r="K1" s="313" t="s">
        <v>149</v>
      </c>
      <c r="L1" s="299" t="s">
        <v>150</v>
      </c>
      <c r="M1" s="299" t="s">
        <v>151</v>
      </c>
    </row>
    <row r="2" spans="1:13" x14ac:dyDescent="0.45">
      <c r="A2" t="s">
        <v>2775</v>
      </c>
      <c r="B2" t="s">
        <v>212</v>
      </c>
      <c r="C2" t="s">
        <v>65</v>
      </c>
      <c r="D2" t="s">
        <v>154</v>
      </c>
      <c r="E2" t="s">
        <v>82</v>
      </c>
      <c r="F2">
        <v>1</v>
      </c>
      <c r="G2">
        <v>1</v>
      </c>
      <c r="H2">
        <v>1</v>
      </c>
      <c r="I2">
        <v>1</v>
      </c>
      <c r="K2">
        <v>5</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69DB649-2DB5-4089-AAF3-5D26827EC131}">
          <x14:formula1>
            <xm:f>Lookup!$D$2:$D$15</xm:f>
          </x14:formula1>
          <xm:sqref>O6:O7 C2:C22</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F6554-28D4-4202-9CF6-0BC79556F34B}">
  <sheetPr>
    <tabColor theme="0" tint="-0.34998626667073579"/>
  </sheetPr>
  <dimension ref="A1:Q29"/>
  <sheetViews>
    <sheetView zoomScale="110" zoomScaleNormal="110" workbookViewId="0">
      <pane ySplit="1" topLeftCell="A2" activePane="bottomLeft" state="frozen"/>
      <selection pane="bottomLeft" activeCell="E16" sqref="E16"/>
    </sheetView>
  </sheetViews>
  <sheetFormatPr defaultColWidth="8.73046875" defaultRowHeight="14.25" x14ac:dyDescent="0.45"/>
  <cols>
    <col min="1" max="1" width="18.796875" style="58" bestFit="1" customWidth="1"/>
    <col min="2" max="2" width="22.19921875" style="58" bestFit="1" customWidth="1"/>
    <col min="3" max="3" width="13.796875" style="58" bestFit="1" customWidth="1"/>
    <col min="4" max="4" width="11.19921875" style="58" customWidth="1"/>
    <col min="5" max="5" width="15.19921875" style="58" customWidth="1"/>
    <col min="6" max="11" width="8.73046875" style="58"/>
    <col min="12" max="12" width="12.265625" style="58" bestFit="1" customWidth="1"/>
    <col min="13" max="16384" width="8.73046875" style="58"/>
  </cols>
  <sheetData>
    <row r="1" spans="1:17" s="129" customFormat="1" x14ac:dyDescent="0.45">
      <c r="A1" s="129" t="s">
        <v>135</v>
      </c>
      <c r="B1" s="129" t="s">
        <v>136</v>
      </c>
      <c r="C1" s="129" t="s">
        <v>139</v>
      </c>
      <c r="D1" s="129" t="s">
        <v>141</v>
      </c>
      <c r="E1" s="129" t="s">
        <v>142</v>
      </c>
    </row>
    <row r="2" spans="1:17" x14ac:dyDescent="0.45">
      <c r="A2" s="58" t="s">
        <v>1948</v>
      </c>
      <c r="B2" s="58" t="s">
        <v>1948</v>
      </c>
      <c r="C2" s="58" t="s">
        <v>194</v>
      </c>
      <c r="D2" s="58" t="s">
        <v>82</v>
      </c>
      <c r="N2"/>
    </row>
    <row r="3" spans="1:17" x14ac:dyDescent="0.45">
      <c r="A3" s="58" t="s">
        <v>1948</v>
      </c>
      <c r="B3" s="58" t="s">
        <v>1948</v>
      </c>
      <c r="C3" s="58" t="s">
        <v>194</v>
      </c>
      <c r="D3" s="58" t="s">
        <v>84</v>
      </c>
      <c r="N3"/>
    </row>
    <row r="4" spans="1:17" x14ac:dyDescent="0.45">
      <c r="A4" s="58" t="s">
        <v>227</v>
      </c>
      <c r="B4" s="58" t="s">
        <v>228</v>
      </c>
      <c r="C4" s="58" t="s">
        <v>220</v>
      </c>
      <c r="D4" s="58" t="s">
        <v>82</v>
      </c>
      <c r="E4" s="145">
        <v>2.56464E-2</v>
      </c>
    </row>
    <row r="5" spans="1:17" x14ac:dyDescent="0.45">
      <c r="A5" s="58" t="s">
        <v>227</v>
      </c>
      <c r="B5" s="58" t="s">
        <v>228</v>
      </c>
      <c r="C5" s="58" t="s">
        <v>220</v>
      </c>
      <c r="D5" s="58" t="s">
        <v>84</v>
      </c>
      <c r="E5" s="145">
        <v>1.9E-2</v>
      </c>
    </row>
    <row r="6" spans="1:17" x14ac:dyDescent="0.45">
      <c r="A6" s="58" t="s">
        <v>217</v>
      </c>
      <c r="B6" s="58" t="s">
        <v>218</v>
      </c>
      <c r="C6" s="58" t="s">
        <v>220</v>
      </c>
      <c r="D6" s="58" t="s">
        <v>82</v>
      </c>
      <c r="E6" s="145">
        <v>0.19600000000000001</v>
      </c>
    </row>
    <row r="7" spans="1:17" x14ac:dyDescent="0.45">
      <c r="A7" s="58" t="s">
        <v>217</v>
      </c>
      <c r="B7" s="58" t="s">
        <v>218</v>
      </c>
      <c r="C7" s="58" t="s">
        <v>220</v>
      </c>
      <c r="D7" s="58" t="s">
        <v>84</v>
      </c>
      <c r="E7" s="145">
        <v>0.18525192477596872</v>
      </c>
    </row>
    <row r="8" spans="1:17" x14ac:dyDescent="0.45">
      <c r="A8" s="58" t="s">
        <v>239</v>
      </c>
      <c r="B8" s="58" t="s">
        <v>240</v>
      </c>
      <c r="C8" s="58" t="s">
        <v>241</v>
      </c>
      <c r="D8" s="58" t="s">
        <v>82</v>
      </c>
      <c r="E8" s="142">
        <v>2.0926851436312916E-4</v>
      </c>
    </row>
    <row r="9" spans="1:17" x14ac:dyDescent="0.45">
      <c r="A9" s="58" t="s">
        <v>239</v>
      </c>
      <c r="B9" s="58" t="s">
        <v>240</v>
      </c>
      <c r="C9" s="58" t="s">
        <v>241</v>
      </c>
      <c r="D9" s="58" t="s">
        <v>84</v>
      </c>
      <c r="E9" s="145">
        <v>2.0926851436312916E-4</v>
      </c>
      <c r="Q9"/>
    </row>
    <row r="10" spans="1:17" x14ac:dyDescent="0.45">
      <c r="A10" s="58" t="s">
        <v>1931</v>
      </c>
      <c r="B10" s="58" t="s">
        <v>207</v>
      </c>
      <c r="C10" s="58" t="s">
        <v>69</v>
      </c>
      <c r="D10" s="58" t="s">
        <v>82</v>
      </c>
      <c r="E10" s="128">
        <v>1.894207576270393E-2</v>
      </c>
      <c r="Q10"/>
    </row>
    <row r="11" spans="1:17" x14ac:dyDescent="0.45">
      <c r="A11" s="58" t="s">
        <v>1931</v>
      </c>
      <c r="B11" s="58" t="s">
        <v>207</v>
      </c>
      <c r="C11" s="58" t="s">
        <v>69</v>
      </c>
      <c r="D11" s="58" t="s">
        <v>84</v>
      </c>
      <c r="E11" s="128">
        <v>2.0044524616617914E-2</v>
      </c>
      <c r="Q11"/>
    </row>
    <row r="12" spans="1:17" x14ac:dyDescent="0.45">
      <c r="A12" s="58" t="s">
        <v>1927</v>
      </c>
      <c r="B12" s="58" t="s">
        <v>249</v>
      </c>
      <c r="C12" s="58" t="s">
        <v>66</v>
      </c>
      <c r="D12" s="58" t="s">
        <v>82</v>
      </c>
      <c r="E12" s="58">
        <v>0.58399999999999996</v>
      </c>
      <c r="Q12"/>
    </row>
    <row r="13" spans="1:17" x14ac:dyDescent="0.45">
      <c r="A13" s="58" t="s">
        <v>1927</v>
      </c>
      <c r="B13" s="58" t="s">
        <v>249</v>
      </c>
      <c r="C13" s="58" t="s">
        <v>66</v>
      </c>
      <c r="D13" s="58" t="s">
        <v>84</v>
      </c>
      <c r="E13" s="58">
        <v>0.57399999999999995</v>
      </c>
      <c r="Q13"/>
    </row>
    <row r="14" spans="1:17" x14ac:dyDescent="0.45">
      <c r="A14" s="58" t="s">
        <v>256</v>
      </c>
      <c r="B14" s="58" t="s">
        <v>257</v>
      </c>
      <c r="C14" s="58" t="s">
        <v>66</v>
      </c>
      <c r="D14" s="58" t="s">
        <v>82</v>
      </c>
      <c r="E14" s="151">
        <v>3.280483410006485E-2</v>
      </c>
      <c r="Q14"/>
    </row>
    <row r="15" spans="1:17" x14ac:dyDescent="0.45">
      <c r="A15" s="58" t="s">
        <v>256</v>
      </c>
      <c r="B15" s="58" t="s">
        <v>257</v>
      </c>
      <c r="C15" s="58" t="s">
        <v>66</v>
      </c>
      <c r="D15" s="58" t="s">
        <v>84</v>
      </c>
      <c r="E15" s="151">
        <v>1.5944444444444442E-2</v>
      </c>
      <c r="Q15"/>
    </row>
    <row r="16" spans="1:17" x14ac:dyDescent="0.45">
      <c r="A16" s="58" t="s">
        <v>259</v>
      </c>
      <c r="B16" s="58" t="s">
        <v>260</v>
      </c>
      <c r="C16" s="58" t="s">
        <v>66</v>
      </c>
      <c r="D16" s="58" t="s">
        <v>82</v>
      </c>
      <c r="E16" s="151">
        <v>0.37176641117540893</v>
      </c>
      <c r="Q16"/>
    </row>
    <row r="17" spans="1:17" x14ac:dyDescent="0.45">
      <c r="A17" s="58" t="s">
        <v>259</v>
      </c>
      <c r="B17" s="58" t="s">
        <v>260</v>
      </c>
      <c r="C17" s="58" t="s">
        <v>66</v>
      </c>
      <c r="D17" s="58" t="s">
        <v>84</v>
      </c>
      <c r="E17" s="151">
        <v>0.3915246913580247</v>
      </c>
      <c r="Q17"/>
    </row>
    <row r="18" spans="1:17" x14ac:dyDescent="0.45">
      <c r="A18" s="58" t="s">
        <v>263</v>
      </c>
      <c r="B18" s="58" t="s">
        <v>264</v>
      </c>
      <c r="C18" s="58" t="s">
        <v>66</v>
      </c>
      <c r="D18" s="58" t="s">
        <v>82</v>
      </c>
      <c r="E18" s="151">
        <v>3.4377158820119012E-2</v>
      </c>
      <c r="Q18"/>
    </row>
    <row r="19" spans="1:17" x14ac:dyDescent="0.45">
      <c r="A19" s="58" t="s">
        <v>263</v>
      </c>
      <c r="B19" s="58" t="s">
        <v>264</v>
      </c>
      <c r="C19" s="58" t="s">
        <v>66</v>
      </c>
      <c r="D19" s="58" t="s">
        <v>84</v>
      </c>
      <c r="E19" s="151">
        <v>2.6574074074074069E-2</v>
      </c>
      <c r="Q19"/>
    </row>
    <row r="20" spans="1:17" x14ac:dyDescent="0.45">
      <c r="A20" s="58" t="s">
        <v>265</v>
      </c>
      <c r="B20" s="58" t="s">
        <v>266</v>
      </c>
      <c r="C20" s="58" t="s">
        <v>66</v>
      </c>
      <c r="D20" s="58" t="s">
        <v>82</v>
      </c>
      <c r="E20" s="151">
        <v>0.1302238408674441</v>
      </c>
      <c r="Q20"/>
    </row>
    <row r="21" spans="1:17" x14ac:dyDescent="0.45">
      <c r="A21" s="58" t="s">
        <v>265</v>
      </c>
      <c r="B21" s="58" t="s">
        <v>266</v>
      </c>
      <c r="C21" s="58" t="s">
        <v>66</v>
      </c>
      <c r="D21" s="58" t="s">
        <v>84</v>
      </c>
      <c r="E21" s="151">
        <v>0.12932716049382714</v>
      </c>
      <c r="Q21"/>
    </row>
    <row r="22" spans="1:17" x14ac:dyDescent="0.45">
      <c r="Q22"/>
    </row>
    <row r="23" spans="1:17" x14ac:dyDescent="0.45">
      <c r="Q23"/>
    </row>
    <row r="24" spans="1:17" x14ac:dyDescent="0.45">
      <c r="Q24"/>
    </row>
    <row r="25" spans="1:17" x14ac:dyDescent="0.45">
      <c r="Q25"/>
    </row>
    <row r="26" spans="1:17" x14ac:dyDescent="0.45">
      <c r="Q26"/>
    </row>
    <row r="27" spans="1:17" x14ac:dyDescent="0.45">
      <c r="Q27"/>
    </row>
    <row r="28" spans="1:17" x14ac:dyDescent="0.45">
      <c r="Q28"/>
    </row>
    <row r="29" spans="1:17" x14ac:dyDescent="0.45">
      <c r="Q29"/>
    </row>
  </sheetData>
  <autoFilter ref="A1:E21" xr:uid="{C1D83D06-B7B0-4361-896A-BFF57EC1D426}">
    <sortState xmlns:xlrd2="http://schemas.microsoft.com/office/spreadsheetml/2017/richdata2" ref="A2:E21">
      <sortCondition ref="A2:A21"/>
    </sortState>
  </autoFilter>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1DF91-CB0A-43E1-9090-E7803F99E625}">
  <dimension ref="B1:J142"/>
  <sheetViews>
    <sheetView workbookViewId="0">
      <selection activeCell="F1" sqref="F1"/>
    </sheetView>
  </sheetViews>
  <sheetFormatPr defaultRowHeight="14.25" x14ac:dyDescent="0.45"/>
  <cols>
    <col min="4" max="4" width="15.796875" customWidth="1"/>
    <col min="6" max="6" width="23" style="58" bestFit="1" customWidth="1"/>
    <col min="7" max="8" width="8.265625" bestFit="1" customWidth="1"/>
    <col min="9" max="9" width="12.53125" customWidth="1"/>
    <col min="10" max="10" width="12.73046875" customWidth="1"/>
  </cols>
  <sheetData>
    <row r="1" spans="2:10" x14ac:dyDescent="0.45">
      <c r="B1" s="186" t="s">
        <v>2168</v>
      </c>
      <c r="D1" s="186" t="s">
        <v>2169</v>
      </c>
      <c r="F1" s="401" t="s">
        <v>3488</v>
      </c>
      <c r="G1" s="129" t="s">
        <v>116</v>
      </c>
      <c r="H1" s="129" t="s">
        <v>117</v>
      </c>
      <c r="I1" s="129" t="s">
        <v>3214</v>
      </c>
      <c r="J1" s="129" t="s">
        <v>3215</v>
      </c>
    </row>
    <row r="2" spans="2:10" x14ac:dyDescent="0.45">
      <c r="B2" s="58" t="s">
        <v>2787</v>
      </c>
      <c r="D2" s="58" t="s">
        <v>65</v>
      </c>
      <c r="F2" s="58" t="s">
        <v>156</v>
      </c>
      <c r="G2" t="b">
        <v>1</v>
      </c>
      <c r="H2" t="b">
        <v>1</v>
      </c>
      <c r="I2">
        <v>0</v>
      </c>
      <c r="J2">
        <v>0</v>
      </c>
    </row>
    <row r="3" spans="2:10" x14ac:dyDescent="0.45">
      <c r="B3" s="58" t="s">
        <v>2788</v>
      </c>
      <c r="D3" s="58" t="s">
        <v>2240</v>
      </c>
      <c r="F3" s="131" t="s">
        <v>169</v>
      </c>
      <c r="G3" t="b">
        <v>1</v>
      </c>
      <c r="H3" t="b">
        <v>1</v>
      </c>
      <c r="I3">
        <v>1</v>
      </c>
      <c r="J3">
        <v>4</v>
      </c>
    </row>
    <row r="4" spans="2:10" x14ac:dyDescent="0.45">
      <c r="B4" s="58" t="s">
        <v>2789</v>
      </c>
      <c r="D4" s="58" t="s">
        <v>67</v>
      </c>
      <c r="F4" s="131" t="s">
        <v>2587</v>
      </c>
      <c r="G4" t="b">
        <v>1</v>
      </c>
      <c r="H4" t="b">
        <v>1</v>
      </c>
      <c r="I4">
        <v>0</v>
      </c>
      <c r="J4">
        <v>9</v>
      </c>
    </row>
    <row r="5" spans="2:10" x14ac:dyDescent="0.45">
      <c r="B5" s="58" t="s">
        <v>206</v>
      </c>
      <c r="D5" s="58" t="s">
        <v>68</v>
      </c>
      <c r="F5" s="131" t="s">
        <v>2588</v>
      </c>
      <c r="G5" t="b">
        <v>1</v>
      </c>
      <c r="H5" t="b">
        <v>1</v>
      </c>
      <c r="I5">
        <v>5</v>
      </c>
      <c r="J5">
        <v>9</v>
      </c>
    </row>
    <row r="6" spans="2:10" x14ac:dyDescent="0.45">
      <c r="B6" s="58" t="s">
        <v>194</v>
      </c>
      <c r="D6" s="58" t="s">
        <v>70</v>
      </c>
      <c r="F6" s="131" t="s">
        <v>2589</v>
      </c>
      <c r="G6" t="b">
        <v>1</v>
      </c>
      <c r="H6" t="b">
        <v>1</v>
      </c>
      <c r="I6">
        <v>10</v>
      </c>
      <c r="J6">
        <v>14</v>
      </c>
    </row>
    <row r="7" spans="2:10" x14ac:dyDescent="0.45">
      <c r="B7" s="58"/>
      <c r="D7" s="58" t="s">
        <v>194</v>
      </c>
      <c r="F7" s="140" t="s">
        <v>2533</v>
      </c>
      <c r="G7" t="b">
        <v>1</v>
      </c>
      <c r="H7" t="b">
        <v>1</v>
      </c>
      <c r="I7">
        <v>5</v>
      </c>
      <c r="J7">
        <v>18</v>
      </c>
    </row>
    <row r="8" spans="2:10" x14ac:dyDescent="0.45">
      <c r="B8" s="58"/>
      <c r="D8" s="58" t="s">
        <v>200</v>
      </c>
      <c r="F8" s="140" t="s">
        <v>209</v>
      </c>
      <c r="G8" t="b">
        <v>1</v>
      </c>
      <c r="H8" t="b">
        <v>1</v>
      </c>
      <c r="I8">
        <v>1</v>
      </c>
      <c r="J8">
        <v>18</v>
      </c>
    </row>
    <row r="9" spans="2:10" x14ac:dyDescent="0.45">
      <c r="B9" s="58"/>
      <c r="D9" s="58" t="s">
        <v>69</v>
      </c>
      <c r="F9" s="58" t="s">
        <v>179</v>
      </c>
      <c r="G9" t="b">
        <v>1</v>
      </c>
      <c r="H9" s="58" t="b">
        <v>1</v>
      </c>
      <c r="I9">
        <v>1</v>
      </c>
      <c r="J9">
        <v>1</v>
      </c>
    </row>
    <row r="10" spans="2:10" x14ac:dyDescent="0.45">
      <c r="D10" s="58" t="s">
        <v>215</v>
      </c>
      <c r="F10" s="58" t="s">
        <v>182</v>
      </c>
      <c r="G10" t="b">
        <v>1</v>
      </c>
      <c r="H10" s="58" t="b">
        <v>1</v>
      </c>
      <c r="I10">
        <v>2</v>
      </c>
      <c r="J10">
        <v>2</v>
      </c>
    </row>
    <row r="11" spans="2:10" x14ac:dyDescent="0.45">
      <c r="D11" s="58" t="s">
        <v>220</v>
      </c>
      <c r="F11" s="58" t="s">
        <v>2429</v>
      </c>
      <c r="G11" t="b">
        <v>1</v>
      </c>
      <c r="H11" s="58" t="b">
        <v>1</v>
      </c>
      <c r="I11">
        <v>15</v>
      </c>
      <c r="J11">
        <v>15</v>
      </c>
    </row>
    <row r="12" spans="2:10" x14ac:dyDescent="0.45">
      <c r="D12" s="58" t="s">
        <v>232</v>
      </c>
      <c r="F12" s="58" t="s">
        <v>187</v>
      </c>
      <c r="G12" t="b">
        <v>0</v>
      </c>
      <c r="H12" s="58" t="b">
        <v>1</v>
      </c>
      <c r="I12">
        <v>15</v>
      </c>
      <c r="J12">
        <v>15</v>
      </c>
    </row>
    <row r="13" spans="2:10" x14ac:dyDescent="0.45">
      <c r="D13" s="58" t="s">
        <v>528</v>
      </c>
      <c r="F13" s="58" t="s">
        <v>2590</v>
      </c>
      <c r="G13" t="b">
        <v>1</v>
      </c>
      <c r="H13" s="58" t="b">
        <v>1</v>
      </c>
      <c r="I13">
        <v>15</v>
      </c>
      <c r="J13">
        <v>19</v>
      </c>
    </row>
    <row r="14" spans="2:10" x14ac:dyDescent="0.45">
      <c r="D14" s="58" t="s">
        <v>241</v>
      </c>
      <c r="F14" s="58" t="s">
        <v>3406</v>
      </c>
      <c r="G14" t="b">
        <v>1</v>
      </c>
      <c r="H14" s="58" t="b">
        <v>1</v>
      </c>
      <c r="I14">
        <v>15</v>
      </c>
      <c r="J14">
        <v>24</v>
      </c>
    </row>
    <row r="15" spans="2:10" x14ac:dyDescent="0.45">
      <c r="D15" s="58" t="s">
        <v>66</v>
      </c>
      <c r="F15" s="58" t="s">
        <v>3407</v>
      </c>
      <c r="G15" t="b">
        <v>1</v>
      </c>
      <c r="H15" s="58" t="b">
        <v>1</v>
      </c>
      <c r="I15">
        <v>25</v>
      </c>
      <c r="J15">
        <v>34</v>
      </c>
    </row>
    <row r="16" spans="2:10" x14ac:dyDescent="0.45">
      <c r="F16" s="58" t="s">
        <v>3396</v>
      </c>
      <c r="G16" t="b">
        <v>1</v>
      </c>
      <c r="H16" s="58" t="b">
        <v>1</v>
      </c>
      <c r="I16">
        <v>35</v>
      </c>
      <c r="J16">
        <v>44</v>
      </c>
    </row>
    <row r="17" spans="6:10" x14ac:dyDescent="0.45">
      <c r="F17" s="58" t="s">
        <v>3397</v>
      </c>
      <c r="G17" t="b">
        <v>1</v>
      </c>
      <c r="H17" s="58" t="b">
        <v>1</v>
      </c>
      <c r="I17">
        <v>45</v>
      </c>
      <c r="J17">
        <v>54</v>
      </c>
    </row>
    <row r="18" spans="6:10" x14ac:dyDescent="0.45">
      <c r="F18" s="58" t="s">
        <v>3398</v>
      </c>
      <c r="G18" t="b">
        <v>1</v>
      </c>
      <c r="H18" s="58" t="b">
        <v>1</v>
      </c>
      <c r="I18">
        <v>55</v>
      </c>
      <c r="J18">
        <v>64</v>
      </c>
    </row>
    <row r="19" spans="6:10" x14ac:dyDescent="0.45">
      <c r="F19" s="58" t="s">
        <v>3408</v>
      </c>
      <c r="G19" t="b">
        <v>1</v>
      </c>
      <c r="H19" s="58" t="b">
        <v>1</v>
      </c>
      <c r="I19">
        <v>18</v>
      </c>
      <c r="J19">
        <v>30</v>
      </c>
    </row>
    <row r="20" spans="6:10" x14ac:dyDescent="0.45">
      <c r="F20" s="58" t="s">
        <v>3409</v>
      </c>
      <c r="G20" t="b">
        <v>1</v>
      </c>
      <c r="H20" s="58" t="b">
        <v>1</v>
      </c>
      <c r="I20">
        <v>31</v>
      </c>
      <c r="J20">
        <v>44</v>
      </c>
    </row>
    <row r="21" spans="6:10" x14ac:dyDescent="0.45">
      <c r="F21" s="58" t="s">
        <v>2430</v>
      </c>
      <c r="G21" t="b">
        <v>1</v>
      </c>
      <c r="H21" s="58" t="b">
        <v>1</v>
      </c>
      <c r="I21">
        <v>18</v>
      </c>
      <c r="J21">
        <v>18</v>
      </c>
    </row>
    <row r="22" spans="6:10" x14ac:dyDescent="0.45">
      <c r="F22" s="58" t="s">
        <v>247</v>
      </c>
      <c r="G22" t="b">
        <v>0</v>
      </c>
      <c r="H22" s="58" t="b">
        <v>1</v>
      </c>
      <c r="I22">
        <v>18</v>
      </c>
      <c r="J22">
        <v>18</v>
      </c>
    </row>
    <row r="23" spans="6:10" x14ac:dyDescent="0.45">
      <c r="F23" s="58" t="s">
        <v>233</v>
      </c>
      <c r="G23" t="b">
        <v>1</v>
      </c>
      <c r="H23" s="58" t="b">
        <v>1</v>
      </c>
      <c r="I23">
        <v>30</v>
      </c>
      <c r="J23">
        <v>30</v>
      </c>
    </row>
    <row r="24" spans="6:10" x14ac:dyDescent="0.45">
      <c r="F24" s="58" t="s">
        <v>221</v>
      </c>
      <c r="G24" t="b">
        <v>1</v>
      </c>
      <c r="H24" s="58" t="b">
        <v>1</v>
      </c>
      <c r="I24">
        <v>50</v>
      </c>
      <c r="J24">
        <v>50</v>
      </c>
    </row>
    <row r="25" spans="6:10" x14ac:dyDescent="0.45">
      <c r="F25" s="58" t="s">
        <v>201</v>
      </c>
      <c r="G25" t="b">
        <v>1</v>
      </c>
      <c r="H25" t="b">
        <v>1</v>
      </c>
      <c r="I25">
        <v>18</v>
      </c>
    </row>
    <row r="26" spans="6:10" x14ac:dyDescent="0.45">
      <c r="F26" s="58" t="s">
        <v>2824</v>
      </c>
      <c r="G26" t="b">
        <v>1</v>
      </c>
      <c r="H26" t="b">
        <v>1</v>
      </c>
      <c r="I26">
        <v>35</v>
      </c>
    </row>
    <row r="27" spans="6:10" x14ac:dyDescent="0.45">
      <c r="F27" s="58" t="s">
        <v>3420</v>
      </c>
      <c r="G27" t="b">
        <v>1</v>
      </c>
      <c r="H27" s="58" t="b">
        <v>1</v>
      </c>
      <c r="I27">
        <v>50</v>
      </c>
    </row>
    <row r="28" spans="6:10" x14ac:dyDescent="0.45">
      <c r="F28" s="58" t="s">
        <v>3399</v>
      </c>
      <c r="G28" t="b">
        <v>1</v>
      </c>
      <c r="H28" s="58" t="b">
        <v>1</v>
      </c>
      <c r="I28">
        <v>65</v>
      </c>
    </row>
    <row r="29" spans="6:10" x14ac:dyDescent="0.45">
      <c r="F29" s="58" t="s">
        <v>3389</v>
      </c>
      <c r="G29" t="b">
        <v>1</v>
      </c>
      <c r="H29" s="58" t="b">
        <v>1</v>
      </c>
      <c r="I29">
        <v>70</v>
      </c>
    </row>
    <row r="30" spans="6:10" x14ac:dyDescent="0.45">
      <c r="F30" s="58" t="s">
        <v>2568</v>
      </c>
      <c r="G30" t="b">
        <v>1</v>
      </c>
      <c r="H30" t="b">
        <v>0</v>
      </c>
      <c r="I30">
        <v>18</v>
      </c>
    </row>
    <row r="31" spans="6:10" x14ac:dyDescent="0.45">
      <c r="F31" s="58" t="s">
        <v>253</v>
      </c>
      <c r="G31" t="b">
        <v>0</v>
      </c>
      <c r="H31" t="b">
        <v>1</v>
      </c>
      <c r="I31">
        <v>15</v>
      </c>
      <c r="J31">
        <v>49</v>
      </c>
    </row>
    <row r="32" spans="6:10" x14ac:dyDescent="0.45">
      <c r="F32" s="58" t="s">
        <v>2543</v>
      </c>
      <c r="G32" t="b">
        <v>1</v>
      </c>
      <c r="H32" t="b">
        <v>0</v>
      </c>
      <c r="I32">
        <v>15</v>
      </c>
      <c r="J32">
        <v>49</v>
      </c>
    </row>
    <row r="33" spans="6:10" x14ac:dyDescent="0.45">
      <c r="F33" s="58" t="s">
        <v>3477</v>
      </c>
      <c r="G33" t="b">
        <v>0</v>
      </c>
      <c r="H33" t="b">
        <v>1</v>
      </c>
      <c r="I33">
        <v>20</v>
      </c>
      <c r="J33">
        <v>29</v>
      </c>
    </row>
    <row r="34" spans="6:10" x14ac:dyDescent="0.45">
      <c r="F34" s="58" t="s">
        <v>3478</v>
      </c>
      <c r="G34" t="b">
        <v>1</v>
      </c>
      <c r="H34" t="b">
        <v>0</v>
      </c>
      <c r="I34">
        <v>20</v>
      </c>
      <c r="J34">
        <v>29</v>
      </c>
    </row>
    <row r="35" spans="6:10" x14ac:dyDescent="0.45">
      <c r="F35" s="58" t="s">
        <v>3479</v>
      </c>
      <c r="G35" t="b">
        <v>0</v>
      </c>
      <c r="H35" t="b">
        <v>1</v>
      </c>
      <c r="I35">
        <v>30</v>
      </c>
      <c r="J35">
        <v>39</v>
      </c>
    </row>
    <row r="36" spans="6:10" x14ac:dyDescent="0.45">
      <c r="F36" s="58" t="s">
        <v>3480</v>
      </c>
      <c r="G36" t="b">
        <v>1</v>
      </c>
      <c r="H36" t="b">
        <v>0</v>
      </c>
      <c r="I36">
        <v>30</v>
      </c>
      <c r="J36">
        <v>39</v>
      </c>
    </row>
    <row r="37" spans="6:10" x14ac:dyDescent="0.45">
      <c r="F37" s="58" t="s">
        <v>3481</v>
      </c>
      <c r="G37" t="b">
        <v>0</v>
      </c>
      <c r="H37" t="b">
        <v>1</v>
      </c>
      <c r="I37">
        <v>40</v>
      </c>
      <c r="J37">
        <v>49</v>
      </c>
    </row>
    <row r="38" spans="6:10" x14ac:dyDescent="0.45">
      <c r="F38" s="58" t="s">
        <v>3482</v>
      </c>
      <c r="G38" t="b">
        <v>1</v>
      </c>
      <c r="H38" t="b">
        <v>0</v>
      </c>
      <c r="I38">
        <v>40</v>
      </c>
      <c r="J38">
        <v>49</v>
      </c>
    </row>
    <row r="39" spans="6:10" x14ac:dyDescent="0.45">
      <c r="F39" s="58" t="s">
        <v>3483</v>
      </c>
      <c r="G39" t="b">
        <v>0</v>
      </c>
      <c r="H39" t="b">
        <v>1</v>
      </c>
      <c r="I39">
        <v>50</v>
      </c>
      <c r="J39">
        <v>59</v>
      </c>
    </row>
    <row r="40" spans="6:10" x14ac:dyDescent="0.45">
      <c r="F40" s="58" t="s">
        <v>3484</v>
      </c>
      <c r="G40" t="b">
        <v>1</v>
      </c>
      <c r="H40" t="b">
        <v>0</v>
      </c>
      <c r="I40">
        <v>50</v>
      </c>
      <c r="J40">
        <v>59</v>
      </c>
    </row>
    <row r="41" spans="6:10" x14ac:dyDescent="0.45">
      <c r="F41" s="58" t="s">
        <v>3485</v>
      </c>
      <c r="G41" t="b">
        <v>0</v>
      </c>
      <c r="H41" t="b">
        <v>1</v>
      </c>
      <c r="I41">
        <v>60</v>
      </c>
      <c r="J41">
        <v>69</v>
      </c>
    </row>
    <row r="42" spans="6:10" x14ac:dyDescent="0.45">
      <c r="F42" s="58" t="s">
        <v>3486</v>
      </c>
      <c r="G42" t="b">
        <v>1</v>
      </c>
      <c r="H42" t="b">
        <v>0</v>
      </c>
      <c r="I42">
        <v>60</v>
      </c>
      <c r="J42">
        <v>69</v>
      </c>
    </row>
    <row r="43" spans="6:10" x14ac:dyDescent="0.45">
      <c r="F43" s="58" t="s">
        <v>2561</v>
      </c>
      <c r="G43" t="b">
        <v>0</v>
      </c>
      <c r="H43" t="b">
        <v>1</v>
      </c>
      <c r="I43">
        <v>30</v>
      </c>
      <c r="J43">
        <v>49</v>
      </c>
    </row>
    <row r="44" spans="6:10" x14ac:dyDescent="0.45">
      <c r="F44" s="58" t="s">
        <v>212</v>
      </c>
      <c r="G44" t="b">
        <v>1</v>
      </c>
      <c r="H44" t="b">
        <v>1</v>
      </c>
    </row>
    <row r="45" spans="6:10" x14ac:dyDescent="0.45">
      <c r="F45" s="58" t="s">
        <v>194</v>
      </c>
      <c r="G45" t="b">
        <v>0</v>
      </c>
      <c r="H45" t="b">
        <v>0</v>
      </c>
    </row>
    <row r="50" spans="6:6" x14ac:dyDescent="0.45">
      <c r="F50"/>
    </row>
    <row r="51" spans="6:6" x14ac:dyDescent="0.45">
      <c r="F51"/>
    </row>
    <row r="52" spans="6:6" x14ac:dyDescent="0.45">
      <c r="F52"/>
    </row>
    <row r="53" spans="6:6" x14ac:dyDescent="0.45">
      <c r="F53"/>
    </row>
    <row r="54" spans="6:6" x14ac:dyDescent="0.45">
      <c r="F54"/>
    </row>
    <row r="55" spans="6:6" x14ac:dyDescent="0.45">
      <c r="F55"/>
    </row>
    <row r="56" spans="6:6" x14ac:dyDescent="0.45">
      <c r="F56"/>
    </row>
    <row r="57" spans="6:6" x14ac:dyDescent="0.45">
      <c r="F57"/>
    </row>
    <row r="58" spans="6:6" x14ac:dyDescent="0.45">
      <c r="F58"/>
    </row>
    <row r="59" spans="6:6" x14ac:dyDescent="0.45">
      <c r="F59"/>
    </row>
    <row r="60" spans="6:6" x14ac:dyDescent="0.45">
      <c r="F60"/>
    </row>
    <row r="61" spans="6:6" x14ac:dyDescent="0.45">
      <c r="F61"/>
    </row>
    <row r="62" spans="6:6" x14ac:dyDescent="0.45">
      <c r="F62"/>
    </row>
    <row r="63" spans="6:6" x14ac:dyDescent="0.45">
      <c r="F63"/>
    </row>
    <row r="64" spans="6:6" x14ac:dyDescent="0.45">
      <c r="F64"/>
    </row>
    <row r="65" spans="6:6" x14ac:dyDescent="0.45">
      <c r="F65"/>
    </row>
    <row r="66" spans="6:6" x14ac:dyDescent="0.45">
      <c r="F66"/>
    </row>
    <row r="67" spans="6:6" x14ac:dyDescent="0.45">
      <c r="F67"/>
    </row>
    <row r="68" spans="6:6" x14ac:dyDescent="0.45">
      <c r="F68"/>
    </row>
    <row r="69" spans="6:6" x14ac:dyDescent="0.45">
      <c r="F69"/>
    </row>
    <row r="70" spans="6:6" x14ac:dyDescent="0.45">
      <c r="F70"/>
    </row>
    <row r="71" spans="6:6" x14ac:dyDescent="0.45">
      <c r="F71"/>
    </row>
    <row r="72" spans="6:6" x14ac:dyDescent="0.45">
      <c r="F72"/>
    </row>
    <row r="73" spans="6:6" x14ac:dyDescent="0.45">
      <c r="F73"/>
    </row>
    <row r="74" spans="6:6" x14ac:dyDescent="0.45">
      <c r="F74"/>
    </row>
    <row r="75" spans="6:6" x14ac:dyDescent="0.45">
      <c r="F75"/>
    </row>
    <row r="76" spans="6:6" x14ac:dyDescent="0.45">
      <c r="F76"/>
    </row>
    <row r="77" spans="6:6" x14ac:dyDescent="0.45">
      <c r="F77"/>
    </row>
    <row r="78" spans="6:6" x14ac:dyDescent="0.45">
      <c r="F78"/>
    </row>
    <row r="79" spans="6:6" x14ac:dyDescent="0.45">
      <c r="F79"/>
    </row>
    <row r="80" spans="6:6" x14ac:dyDescent="0.45">
      <c r="F80"/>
    </row>
    <row r="81" spans="6:6" x14ac:dyDescent="0.45">
      <c r="F81"/>
    </row>
    <row r="82" spans="6:6" x14ac:dyDescent="0.45">
      <c r="F82"/>
    </row>
    <row r="83" spans="6:6" x14ac:dyDescent="0.45">
      <c r="F83"/>
    </row>
    <row r="84" spans="6:6" x14ac:dyDescent="0.45">
      <c r="F84"/>
    </row>
    <row r="85" spans="6:6" x14ac:dyDescent="0.45">
      <c r="F85"/>
    </row>
    <row r="86" spans="6:6" x14ac:dyDescent="0.45">
      <c r="F86"/>
    </row>
    <row r="87" spans="6:6" x14ac:dyDescent="0.45">
      <c r="F87"/>
    </row>
    <row r="88" spans="6:6" x14ac:dyDescent="0.45">
      <c r="F88"/>
    </row>
    <row r="89" spans="6:6" x14ac:dyDescent="0.45">
      <c r="F89"/>
    </row>
    <row r="90" spans="6:6" x14ac:dyDescent="0.45">
      <c r="F90"/>
    </row>
    <row r="91" spans="6:6" x14ac:dyDescent="0.45">
      <c r="F91"/>
    </row>
    <row r="92" spans="6:6" x14ac:dyDescent="0.45">
      <c r="F92"/>
    </row>
    <row r="93" spans="6:6" x14ac:dyDescent="0.45">
      <c r="F93"/>
    </row>
    <row r="94" spans="6:6" x14ac:dyDescent="0.45">
      <c r="F94"/>
    </row>
    <row r="95" spans="6:6" x14ac:dyDescent="0.45">
      <c r="F95"/>
    </row>
    <row r="96" spans="6:6" x14ac:dyDescent="0.45">
      <c r="F96"/>
    </row>
    <row r="97" spans="6:6" x14ac:dyDescent="0.45">
      <c r="F97"/>
    </row>
    <row r="98" spans="6:6" x14ac:dyDescent="0.45">
      <c r="F98"/>
    </row>
    <row r="99" spans="6:6" x14ac:dyDescent="0.45">
      <c r="F99"/>
    </row>
    <row r="100" spans="6:6" x14ac:dyDescent="0.45">
      <c r="F100"/>
    </row>
    <row r="101" spans="6:6" x14ac:dyDescent="0.45">
      <c r="F101"/>
    </row>
    <row r="102" spans="6:6" x14ac:dyDescent="0.45">
      <c r="F102"/>
    </row>
    <row r="103" spans="6:6" x14ac:dyDescent="0.45">
      <c r="F103"/>
    </row>
    <row r="104" spans="6:6" x14ac:dyDescent="0.45">
      <c r="F104"/>
    </row>
    <row r="105" spans="6:6" x14ac:dyDescent="0.45">
      <c r="F105"/>
    </row>
    <row r="106" spans="6:6" x14ac:dyDescent="0.45">
      <c r="F106"/>
    </row>
    <row r="107" spans="6:6" x14ac:dyDescent="0.45">
      <c r="F107"/>
    </row>
    <row r="108" spans="6:6" x14ac:dyDescent="0.45">
      <c r="F108"/>
    </row>
    <row r="109" spans="6:6" x14ac:dyDescent="0.45">
      <c r="F109"/>
    </row>
    <row r="110" spans="6:6" x14ac:dyDescent="0.45">
      <c r="F110"/>
    </row>
    <row r="111" spans="6:6" x14ac:dyDescent="0.45">
      <c r="F111"/>
    </row>
    <row r="112" spans="6:6" x14ac:dyDescent="0.45">
      <c r="F112"/>
    </row>
    <row r="113" spans="6:6" x14ac:dyDescent="0.45">
      <c r="F113"/>
    </row>
    <row r="114" spans="6:6" x14ac:dyDescent="0.45">
      <c r="F114"/>
    </row>
    <row r="115" spans="6:6" x14ac:dyDescent="0.45">
      <c r="F115"/>
    </row>
    <row r="116" spans="6:6" x14ac:dyDescent="0.45">
      <c r="F116"/>
    </row>
    <row r="117" spans="6:6" x14ac:dyDescent="0.45">
      <c r="F117"/>
    </row>
    <row r="118" spans="6:6" x14ac:dyDescent="0.45">
      <c r="F118"/>
    </row>
    <row r="119" spans="6:6" x14ac:dyDescent="0.45">
      <c r="F119"/>
    </row>
    <row r="120" spans="6:6" x14ac:dyDescent="0.45">
      <c r="F120"/>
    </row>
    <row r="121" spans="6:6" x14ac:dyDescent="0.45">
      <c r="F121"/>
    </row>
    <row r="122" spans="6:6" x14ac:dyDescent="0.45">
      <c r="F122"/>
    </row>
    <row r="123" spans="6:6" x14ac:dyDescent="0.45">
      <c r="F123"/>
    </row>
    <row r="124" spans="6:6" x14ac:dyDescent="0.45">
      <c r="F124"/>
    </row>
    <row r="125" spans="6:6" x14ac:dyDescent="0.45">
      <c r="F125"/>
    </row>
    <row r="126" spans="6:6" x14ac:dyDescent="0.45">
      <c r="F126"/>
    </row>
    <row r="127" spans="6:6" x14ac:dyDescent="0.45">
      <c r="F127"/>
    </row>
    <row r="128" spans="6:6" x14ac:dyDescent="0.45">
      <c r="F128"/>
    </row>
    <row r="129" spans="6:6" x14ac:dyDescent="0.45">
      <c r="F129"/>
    </row>
    <row r="130" spans="6:6" x14ac:dyDescent="0.45">
      <c r="F130"/>
    </row>
    <row r="131" spans="6:6" x14ac:dyDescent="0.45">
      <c r="F131"/>
    </row>
    <row r="132" spans="6:6" x14ac:dyDescent="0.45">
      <c r="F132"/>
    </row>
    <row r="133" spans="6:6" x14ac:dyDescent="0.45">
      <c r="F133"/>
    </row>
    <row r="134" spans="6:6" x14ac:dyDescent="0.45">
      <c r="F134"/>
    </row>
    <row r="135" spans="6:6" x14ac:dyDescent="0.45">
      <c r="F135"/>
    </row>
    <row r="136" spans="6:6" x14ac:dyDescent="0.45">
      <c r="F136"/>
    </row>
    <row r="137" spans="6:6" x14ac:dyDescent="0.45">
      <c r="F137"/>
    </row>
    <row r="138" spans="6:6" x14ac:dyDescent="0.45">
      <c r="F138"/>
    </row>
    <row r="139" spans="6:6" x14ac:dyDescent="0.45">
      <c r="F139"/>
    </row>
    <row r="140" spans="6:6" x14ac:dyDescent="0.45">
      <c r="F140"/>
    </row>
    <row r="141" spans="6:6" x14ac:dyDescent="0.45">
      <c r="F141"/>
    </row>
    <row r="142" spans="6:6" x14ac:dyDescent="0.45">
      <c r="F142"/>
    </row>
  </sheetData>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9D2CE-8E38-4E26-8C01-F37D5DCFD7CD}">
  <dimension ref="B1:AR479"/>
  <sheetViews>
    <sheetView topLeftCell="A199" zoomScale="90" zoomScaleNormal="90" workbookViewId="0">
      <selection activeCell="C217" sqref="C217"/>
    </sheetView>
  </sheetViews>
  <sheetFormatPr defaultRowHeight="14.25" x14ac:dyDescent="0.45"/>
  <cols>
    <col min="4" max="4" width="11.53125" bestFit="1" customWidth="1"/>
    <col min="11" max="11" width="16.796875" customWidth="1"/>
    <col min="13" max="15" width="9.46484375" customWidth="1"/>
    <col min="16" max="17" width="12.53125" customWidth="1"/>
    <col min="18" max="19" width="9.46484375" customWidth="1"/>
    <col min="20" max="20" width="7.796875" customWidth="1"/>
    <col min="39" max="39" width="12.53125" customWidth="1"/>
    <col min="41" max="41" width="11.796875" customWidth="1"/>
  </cols>
  <sheetData>
    <row r="1" spans="2:27" x14ac:dyDescent="0.45">
      <c r="B1" t="s">
        <v>310</v>
      </c>
    </row>
    <row r="2" spans="2:27" x14ac:dyDescent="0.45">
      <c r="B2" t="s">
        <v>311</v>
      </c>
    </row>
    <row r="3" spans="2:27" x14ac:dyDescent="0.45">
      <c r="B3" t="s">
        <v>312</v>
      </c>
    </row>
    <row r="4" spans="2:27" x14ac:dyDescent="0.45">
      <c r="B4" t="s">
        <v>313</v>
      </c>
    </row>
    <row r="7" spans="2:27" x14ac:dyDescent="0.45">
      <c r="B7" t="s">
        <v>314</v>
      </c>
    </row>
    <row r="8" spans="2:27" x14ac:dyDescent="0.45">
      <c r="B8" t="s">
        <v>315</v>
      </c>
      <c r="G8" s="188">
        <v>0.46089999999999998</v>
      </c>
    </row>
    <row r="11" spans="2:27" x14ac:dyDescent="0.45">
      <c r="B11" t="s">
        <v>316</v>
      </c>
    </row>
    <row r="12" spans="2:27" x14ac:dyDescent="0.45">
      <c r="B12" t="s">
        <v>317</v>
      </c>
      <c r="AA12" t="s">
        <v>318</v>
      </c>
    </row>
    <row r="27" spans="7:10" x14ac:dyDescent="0.45">
      <c r="H27" t="s">
        <v>319</v>
      </c>
      <c r="I27" t="s">
        <v>320</v>
      </c>
    </row>
    <row r="28" spans="7:10" x14ac:dyDescent="0.45">
      <c r="G28" t="s">
        <v>321</v>
      </c>
      <c r="H28" s="61">
        <v>0.27</v>
      </c>
      <c r="I28" s="61">
        <f>H28/SUM(H$28:H$31)</f>
        <v>0.67500000000000004</v>
      </c>
      <c r="J28" s="61"/>
    </row>
    <row r="29" spans="7:10" x14ac:dyDescent="0.45">
      <c r="G29" t="s">
        <v>266</v>
      </c>
      <c r="H29" s="61">
        <v>0.09</v>
      </c>
      <c r="I29" s="61">
        <f t="shared" ref="I29:I31" si="0">H29/SUM(H$28:H$31)</f>
        <v>0.22499999999999998</v>
      </c>
      <c r="J29" s="61"/>
    </row>
    <row r="30" spans="7:10" x14ac:dyDescent="0.45">
      <c r="G30" t="s">
        <v>322</v>
      </c>
      <c r="H30" s="61">
        <v>0.02</v>
      </c>
      <c r="I30" s="61">
        <f t="shared" si="0"/>
        <v>4.9999999999999996E-2</v>
      </c>
      <c r="J30" s="61"/>
    </row>
    <row r="31" spans="7:10" x14ac:dyDescent="0.45">
      <c r="G31" t="s">
        <v>323</v>
      </c>
      <c r="H31" s="61">
        <v>0.02</v>
      </c>
      <c r="I31" s="61">
        <f t="shared" si="0"/>
        <v>4.9999999999999996E-2</v>
      </c>
      <c r="J31" s="61"/>
    </row>
    <row r="32" spans="7:10" x14ac:dyDescent="0.45">
      <c r="G32" t="s">
        <v>324</v>
      </c>
      <c r="H32" s="61">
        <v>0.01</v>
      </c>
      <c r="I32" s="61"/>
      <c r="J32" s="61"/>
    </row>
    <row r="36" spans="2:27" x14ac:dyDescent="0.45">
      <c r="AA36" t="s">
        <v>325</v>
      </c>
    </row>
    <row r="40" spans="2:27" x14ac:dyDescent="0.45">
      <c r="B40" t="s">
        <v>326</v>
      </c>
    </row>
    <row r="41" spans="2:27" x14ac:dyDescent="0.45">
      <c r="B41" s="57" t="s">
        <v>327</v>
      </c>
      <c r="S41" s="127"/>
    </row>
    <row r="42" spans="2:27" x14ac:dyDescent="0.45">
      <c r="S42" s="127"/>
      <c r="AA42" t="s">
        <v>328</v>
      </c>
    </row>
    <row r="43" spans="2:27" x14ac:dyDescent="0.45">
      <c r="S43" s="127"/>
      <c r="T43" s="127"/>
      <c r="U43" s="127"/>
    </row>
    <row r="44" spans="2:27" x14ac:dyDescent="0.45">
      <c r="S44" s="127"/>
      <c r="T44" s="127"/>
      <c r="U44" s="127"/>
    </row>
    <row r="45" spans="2:27" x14ac:dyDescent="0.45">
      <c r="S45" s="127"/>
      <c r="T45" s="127"/>
      <c r="U45" s="127"/>
    </row>
    <row r="46" spans="2:27" x14ac:dyDescent="0.45">
      <c r="L46" s="127"/>
      <c r="M46" s="127"/>
      <c r="N46" s="127"/>
      <c r="O46" s="127"/>
      <c r="P46" s="127"/>
      <c r="Q46" s="127"/>
      <c r="R46" s="127"/>
      <c r="S46" s="127"/>
      <c r="T46" s="127"/>
      <c r="U46" s="127"/>
    </row>
    <row r="47" spans="2:27" x14ac:dyDescent="0.45">
      <c r="L47" s="127"/>
      <c r="N47" s="127"/>
      <c r="O47" s="127"/>
      <c r="P47" s="127"/>
      <c r="Q47" s="127"/>
      <c r="R47" s="127"/>
      <c r="S47" s="127"/>
      <c r="T47" s="127"/>
      <c r="U47" s="127"/>
    </row>
    <row r="48" spans="2:27" x14ac:dyDescent="0.45">
      <c r="L48" s="127"/>
      <c r="N48" s="127"/>
      <c r="O48" s="127"/>
      <c r="P48" s="127"/>
      <c r="Q48" s="127"/>
      <c r="R48" s="127"/>
      <c r="S48" s="127"/>
      <c r="T48" s="127"/>
      <c r="U48" s="127"/>
    </row>
    <row r="49" spans="5:44" x14ac:dyDescent="0.45">
      <c r="L49" s="58" t="s">
        <v>329</v>
      </c>
      <c r="M49" s="58"/>
      <c r="N49" s="58"/>
      <c r="O49" s="58"/>
      <c r="P49" s="58"/>
      <c r="Q49" s="58"/>
      <c r="R49" s="58"/>
      <c r="S49" s="127"/>
      <c r="T49" s="127"/>
      <c r="U49" s="127"/>
    </row>
    <row r="50" spans="5:44" x14ac:dyDescent="0.45">
      <c r="L50" s="58"/>
      <c r="M50" s="58" t="s">
        <v>330</v>
      </c>
      <c r="N50" s="58" t="s">
        <v>322</v>
      </c>
      <c r="O50" s="58" t="s">
        <v>323</v>
      </c>
      <c r="P50" s="58" t="s">
        <v>331</v>
      </c>
      <c r="Q50" s="58" t="s">
        <v>266</v>
      </c>
      <c r="R50" s="58" t="s">
        <v>332</v>
      </c>
      <c r="S50" s="58" t="s">
        <v>333</v>
      </c>
      <c r="T50" s="58" t="s">
        <v>334</v>
      </c>
      <c r="U50" s="127"/>
      <c r="AO50" t="s">
        <v>335</v>
      </c>
    </row>
    <row r="51" spans="5:44" x14ac:dyDescent="0.45">
      <c r="L51" s="58" t="s">
        <v>336</v>
      </c>
      <c r="M51" s="149">
        <v>4.0000000000000001E-3</v>
      </c>
      <c r="N51" s="149">
        <v>6.5000000000000002E-2</v>
      </c>
      <c r="O51" s="149">
        <v>4.5999999999999999E-2</v>
      </c>
      <c r="P51" s="149">
        <v>0.26400000000000001</v>
      </c>
      <c r="Q51" s="150">
        <v>0.11</v>
      </c>
      <c r="R51" s="149">
        <v>8.0000000000000002E-3</v>
      </c>
      <c r="S51" s="68">
        <v>0.498</v>
      </c>
      <c r="T51" s="91">
        <f>(S53-S52)/(S51-S52)</f>
        <v>0.20114942528735619</v>
      </c>
      <c r="AN51" t="s">
        <v>337</v>
      </c>
      <c r="AO51" s="115">
        <v>0.19600000000000001</v>
      </c>
    </row>
    <row r="52" spans="5:44" x14ac:dyDescent="0.45">
      <c r="L52" s="58" t="s">
        <v>84</v>
      </c>
      <c r="M52" s="149">
        <v>4.0000000000000001E-3</v>
      </c>
      <c r="N52" s="149">
        <v>8.9999999999999993E-3</v>
      </c>
      <c r="O52" s="149">
        <v>1.4999999999999999E-2</v>
      </c>
      <c r="P52" s="149">
        <v>0.221</v>
      </c>
      <c r="Q52" s="149">
        <v>7.2999999999999995E-2</v>
      </c>
      <c r="R52" s="149">
        <v>2E-3</v>
      </c>
      <c r="S52" s="68">
        <v>0.32400000000000001</v>
      </c>
      <c r="T52" s="84">
        <f>1-T51</f>
        <v>0.79885057471264376</v>
      </c>
      <c r="AN52" t="s">
        <v>338</v>
      </c>
      <c r="AO52" s="68">
        <v>0.23699999999999999</v>
      </c>
      <c r="AP52" s="68">
        <f>1-AP53</f>
        <v>0.2077</v>
      </c>
    </row>
    <row r="53" spans="5:44" x14ac:dyDescent="0.45">
      <c r="L53" s="58" t="s">
        <v>118</v>
      </c>
      <c r="M53" s="84">
        <f>M51*$T51+M52*$T52</f>
        <v>4.0000000000000001E-3</v>
      </c>
      <c r="N53" s="84">
        <f t="shared" ref="N53:R53" si="1">N51*$T51+N52*$T52</f>
        <v>2.0264367816091946E-2</v>
      </c>
      <c r="O53" s="84">
        <f t="shared" si="1"/>
        <v>2.1235632183908039E-2</v>
      </c>
      <c r="P53" s="84">
        <f t="shared" si="1"/>
        <v>0.22964942528735632</v>
      </c>
      <c r="Q53" s="84">
        <f t="shared" si="1"/>
        <v>8.0442528735632179E-2</v>
      </c>
      <c r="R53" s="84">
        <f t="shared" si="1"/>
        <v>3.2068965517241367E-3</v>
      </c>
      <c r="S53" s="68">
        <v>0.35899999999999999</v>
      </c>
      <c r="U53" s="114"/>
      <c r="AN53" t="s">
        <v>339</v>
      </c>
      <c r="AO53" s="116">
        <f>(AO51-AO52*AP52)/AP53</f>
        <v>0.18525192477596872</v>
      </c>
      <c r="AP53" s="68">
        <v>0.7923</v>
      </c>
      <c r="AQ53" t="s">
        <v>340</v>
      </c>
      <c r="AR53" t="s">
        <v>341</v>
      </c>
    </row>
    <row r="54" spans="5:44" x14ac:dyDescent="0.45">
      <c r="L54" s="58" t="s">
        <v>342</v>
      </c>
      <c r="M54" s="89"/>
      <c r="N54" s="89"/>
      <c r="O54" s="89"/>
      <c r="P54" s="89"/>
      <c r="Q54" s="89"/>
      <c r="R54" s="89"/>
      <c r="S54" s="89"/>
    </row>
    <row r="55" spans="5:44" x14ac:dyDescent="0.45">
      <c r="F55" t="s">
        <v>343</v>
      </c>
      <c r="G55" t="s">
        <v>344</v>
      </c>
      <c r="H55" t="s">
        <v>118</v>
      </c>
      <c r="M55" s="58" t="s">
        <v>330</v>
      </c>
      <c r="N55" s="58" t="s">
        <v>322</v>
      </c>
      <c r="O55" s="58" t="s">
        <v>323</v>
      </c>
      <c r="P55" s="58" t="s">
        <v>331</v>
      </c>
      <c r="Q55" s="58" t="s">
        <v>266</v>
      </c>
      <c r="R55" s="58" t="s">
        <v>332</v>
      </c>
      <c r="AO55" s="114"/>
    </row>
    <row r="56" spans="5:44" x14ac:dyDescent="0.45">
      <c r="E56" t="s">
        <v>84</v>
      </c>
      <c r="F56">
        <v>32.4</v>
      </c>
      <c r="G56">
        <v>25</v>
      </c>
      <c r="H56" s="59">
        <f>G56+F56</f>
        <v>57.4</v>
      </c>
      <c r="L56" s="58" t="s">
        <v>84</v>
      </c>
      <c r="M56" s="91">
        <f>M52/SUM($M52:$R52)</f>
        <v>1.2345679012345678E-2</v>
      </c>
      <c r="N56" s="72">
        <f t="shared" ref="N56:R56" si="2">N52/SUM($M52:$R52)</f>
        <v>2.7777777777777776E-2</v>
      </c>
      <c r="O56" s="72">
        <f t="shared" si="2"/>
        <v>4.6296296296296294E-2</v>
      </c>
      <c r="P56" s="72">
        <f t="shared" si="2"/>
        <v>0.6820987654320988</v>
      </c>
      <c r="Q56" s="72">
        <f t="shared" si="2"/>
        <v>0.22530864197530862</v>
      </c>
      <c r="R56" s="91">
        <f t="shared" si="2"/>
        <v>6.1728395061728392E-3</v>
      </c>
      <c r="S56" s="91"/>
    </row>
    <row r="57" spans="5:44" x14ac:dyDescent="0.45">
      <c r="E57" t="s">
        <v>336</v>
      </c>
      <c r="F57">
        <v>49.8</v>
      </c>
      <c r="G57">
        <v>11</v>
      </c>
      <c r="H57" s="59">
        <f>G57+F57</f>
        <v>60.8</v>
      </c>
      <c r="L57" s="58" t="s">
        <v>118</v>
      </c>
      <c r="M57" s="91">
        <f t="shared" ref="M57:R57" si="3">M53/SUM($M53:$R53)</f>
        <v>1.1148307731735838E-2</v>
      </c>
      <c r="N57" s="72">
        <f t="shared" si="3"/>
        <v>5.6478352100719179E-2</v>
      </c>
      <c r="O57" s="72">
        <f t="shared" si="3"/>
        <v>5.9185340616040097E-2</v>
      </c>
      <c r="P57" s="72">
        <f t="shared" si="3"/>
        <v>0.64005061587993151</v>
      </c>
      <c r="Q57" s="72">
        <f t="shared" si="3"/>
        <v>0.22419951626595763</v>
      </c>
      <c r="R57" s="91">
        <f t="shared" si="3"/>
        <v>8.9378674056157965E-3</v>
      </c>
      <c r="S57" s="91" t="s">
        <v>345</v>
      </c>
    </row>
    <row r="58" spans="5:44" x14ac:dyDescent="0.45">
      <c r="E58" t="s">
        <v>118</v>
      </c>
      <c r="H58" s="60">
        <f>H56*T52+T51*H57</f>
        <v>58.083908045977005</v>
      </c>
      <c r="S58" t="s">
        <v>346</v>
      </c>
    </row>
    <row r="61" spans="5:44" x14ac:dyDescent="0.45">
      <c r="AA61" t="s">
        <v>347</v>
      </c>
    </row>
    <row r="64" spans="5:44" x14ac:dyDescent="0.45">
      <c r="AN64" t="s">
        <v>82</v>
      </c>
      <c r="AO64" s="85">
        <v>0.02</v>
      </c>
    </row>
    <row r="70" spans="12:39" x14ac:dyDescent="0.45">
      <c r="M70" t="s">
        <v>330</v>
      </c>
      <c r="N70" s="58" t="s">
        <v>322</v>
      </c>
      <c r="O70" s="58" t="s">
        <v>323</v>
      </c>
      <c r="P70" s="58" t="s">
        <v>331</v>
      </c>
      <c r="Q70" s="58" t="s">
        <v>266</v>
      </c>
      <c r="R70" s="58" t="s">
        <v>262</v>
      </c>
      <c r="S70" s="61" t="s">
        <v>348</v>
      </c>
      <c r="T70" s="61" t="s">
        <v>349</v>
      </c>
    </row>
    <row r="71" spans="12:39" x14ac:dyDescent="0.45">
      <c r="L71" s="61" t="s">
        <v>350</v>
      </c>
      <c r="N71" s="91">
        <v>0.7</v>
      </c>
      <c r="O71" s="91">
        <v>0.13</v>
      </c>
      <c r="P71" s="91">
        <v>0.38</v>
      </c>
      <c r="Q71" s="91">
        <v>0.11</v>
      </c>
      <c r="R71" s="91">
        <v>0.35</v>
      </c>
      <c r="S71" s="72">
        <f>SUMPRODUCT(N71:R71,N57:R57)-T72</f>
        <v>0.26812151014720248</v>
      </c>
      <c r="T71" s="91"/>
    </row>
    <row r="72" spans="12:39" x14ac:dyDescent="0.45">
      <c r="L72" s="61" t="s">
        <v>351</v>
      </c>
      <c r="N72" s="91">
        <v>0.24199999999999999</v>
      </c>
      <c r="O72" s="91">
        <v>3.4000000000000002E-2</v>
      </c>
      <c r="P72" s="91">
        <v>4.3999999999999997E-2</v>
      </c>
      <c r="Q72" s="91">
        <v>2.4E-2</v>
      </c>
      <c r="R72" s="91">
        <v>0.1</v>
      </c>
      <c r="S72" s="91"/>
      <c r="T72" s="72">
        <f>SUMPRODUCT(N72:R72,N57:R57)</f>
        <v>5.0116865018980945E-2</v>
      </c>
    </row>
    <row r="74" spans="12:39" x14ac:dyDescent="0.45">
      <c r="N74" s="91"/>
      <c r="O74" s="91"/>
      <c r="P74" s="91"/>
      <c r="Q74" s="91"/>
      <c r="R74" s="91"/>
      <c r="AA74" t="s">
        <v>352</v>
      </c>
    </row>
    <row r="77" spans="12:39" x14ac:dyDescent="0.45">
      <c r="L77" s="61"/>
      <c r="M77" s="61"/>
      <c r="N77" s="61"/>
      <c r="O77" s="61"/>
      <c r="P77" s="61"/>
      <c r="Q77" s="61"/>
      <c r="R77" s="61"/>
    </row>
    <row r="78" spans="12:39" x14ac:dyDescent="0.45">
      <c r="L78" s="61"/>
      <c r="M78" s="61"/>
      <c r="N78" s="61"/>
      <c r="O78" s="61"/>
      <c r="P78" s="61"/>
      <c r="Q78" s="61"/>
      <c r="R78" s="61"/>
      <c r="S78" s="61"/>
      <c r="T78" s="61"/>
    </row>
    <row r="79" spans="12:39" x14ac:dyDescent="0.45">
      <c r="M79" s="61"/>
      <c r="S79" s="61"/>
      <c r="T79" s="61"/>
    </row>
    <row r="80" spans="12:39" x14ac:dyDescent="0.45">
      <c r="M80" s="61"/>
      <c r="S80" s="61"/>
      <c r="T80" s="61"/>
      <c r="AM80" t="s">
        <v>353</v>
      </c>
    </row>
    <row r="81" spans="2:41" x14ac:dyDescent="0.45">
      <c r="AM81" s="68">
        <v>4.2000000000000003E-2</v>
      </c>
      <c r="AN81" t="s">
        <v>337</v>
      </c>
    </row>
    <row r="82" spans="2:41" x14ac:dyDescent="0.45">
      <c r="AM82" s="68">
        <v>1.9E-2</v>
      </c>
      <c r="AN82" t="s">
        <v>339</v>
      </c>
    </row>
    <row r="83" spans="2:41" x14ac:dyDescent="0.45">
      <c r="AM83" s="91">
        <f>(AM81-AM82*AP53)/AP52</f>
        <v>0.12973663938372654</v>
      </c>
      <c r="AN83" t="s">
        <v>338</v>
      </c>
    </row>
    <row r="91" spans="2:41" x14ac:dyDescent="0.45">
      <c r="B91" t="s">
        <v>354</v>
      </c>
    </row>
    <row r="92" spans="2:41" x14ac:dyDescent="0.45">
      <c r="B92" t="s">
        <v>355</v>
      </c>
      <c r="AA92" t="s">
        <v>356</v>
      </c>
    </row>
    <row r="94" spans="2:41" x14ac:dyDescent="0.45">
      <c r="AM94" s="68">
        <v>5.0999999999999997E-2</v>
      </c>
      <c r="AN94" t="s">
        <v>338</v>
      </c>
      <c r="AO94" t="s">
        <v>357</v>
      </c>
    </row>
    <row r="95" spans="2:41" x14ac:dyDescent="0.45">
      <c r="L95" s="185">
        <v>0.68</v>
      </c>
      <c r="M95" t="s">
        <v>358</v>
      </c>
      <c r="AM95" s="115">
        <v>1.9E-2</v>
      </c>
      <c r="AN95" t="s">
        <v>339</v>
      </c>
      <c r="AO95" t="s">
        <v>359</v>
      </c>
    </row>
    <row r="96" spans="2:41" x14ac:dyDescent="0.45">
      <c r="AM96" s="116">
        <f>AM94*AP52+AM95*AP53</f>
        <v>2.56464E-2</v>
      </c>
      <c r="AN96" t="s">
        <v>337</v>
      </c>
    </row>
    <row r="101" spans="2:27" x14ac:dyDescent="0.45">
      <c r="B101" s="57" t="s">
        <v>360</v>
      </c>
    </row>
    <row r="108" spans="2:27" x14ac:dyDescent="0.45">
      <c r="J108" s="185">
        <v>0.25</v>
      </c>
    </row>
    <row r="112" spans="2:27" x14ac:dyDescent="0.45">
      <c r="AA112" t="s">
        <v>2205</v>
      </c>
    </row>
    <row r="116" spans="40:40" x14ac:dyDescent="0.45">
      <c r="AN116" s="306">
        <v>0.14810999999999999</v>
      </c>
    </row>
    <row r="129" spans="2:27" x14ac:dyDescent="0.45">
      <c r="B129" t="s">
        <v>361</v>
      </c>
    </row>
    <row r="130" spans="2:27" x14ac:dyDescent="0.45">
      <c r="B130" t="s">
        <v>362</v>
      </c>
    </row>
    <row r="136" spans="2:27" x14ac:dyDescent="0.45">
      <c r="AA136" t="s">
        <v>2233</v>
      </c>
    </row>
    <row r="140" spans="2:27" x14ac:dyDescent="0.45">
      <c r="B140" t="s">
        <v>363</v>
      </c>
      <c r="K140" t="s">
        <v>1843</v>
      </c>
    </row>
    <row r="141" spans="2:27" x14ac:dyDescent="0.45">
      <c r="M141" t="s">
        <v>364</v>
      </c>
      <c r="N141" t="s">
        <v>365</v>
      </c>
    </row>
    <row r="142" spans="2:27" x14ac:dyDescent="0.45">
      <c r="L142" t="s">
        <v>366</v>
      </c>
      <c r="M142">
        <v>163</v>
      </c>
      <c r="N142">
        <v>37</v>
      </c>
      <c r="O142" t="s">
        <v>367</v>
      </c>
      <c r="Q142" s="47">
        <f>AVERAGE('mort adult m'!I275,'mort adult f'!I275)</f>
        <v>203.5595663710973</v>
      </c>
      <c r="R142" t="s">
        <v>368</v>
      </c>
    </row>
    <row r="143" spans="2:27" x14ac:dyDescent="0.45">
      <c r="L143" t="s">
        <v>332</v>
      </c>
      <c r="M143" s="47">
        <f>M144-M142</f>
        <v>551.91228070175441</v>
      </c>
      <c r="N143" s="47">
        <f>N144-N142</f>
        <v>47.474885844748854</v>
      </c>
      <c r="Q143" s="47">
        <f>Q142*100/(60-15)</f>
        <v>452.35459193577179</v>
      </c>
      <c r="R143" t="s">
        <v>369</v>
      </c>
    </row>
    <row r="144" spans="2:27" x14ac:dyDescent="0.45">
      <c r="L144" t="s">
        <v>118</v>
      </c>
      <c r="M144" s="73">
        <f>M142/0.228</f>
        <v>714.91228070175441</v>
      </c>
      <c r="N144" s="6">
        <f>N142/0.438</f>
        <v>84.474885844748854</v>
      </c>
      <c r="Q144" s="75">
        <f>N144/Q143</f>
        <v>0.18674483989043519</v>
      </c>
      <c r="R144" t="s">
        <v>370</v>
      </c>
    </row>
    <row r="145" spans="12:15" x14ac:dyDescent="0.45">
      <c r="N145" s="76">
        <f>N144/M144</f>
        <v>0.11816119001596771</v>
      </c>
      <c r="O145" t="s">
        <v>371</v>
      </c>
    </row>
    <row r="150" spans="12:15" x14ac:dyDescent="0.45">
      <c r="L150" t="s">
        <v>372</v>
      </c>
      <c r="N150" s="68">
        <v>0.78310000000000002</v>
      </c>
      <c r="O150" t="s">
        <v>373</v>
      </c>
    </row>
    <row r="151" spans="12:15" x14ac:dyDescent="0.45">
      <c r="L151" t="s">
        <v>374</v>
      </c>
      <c r="N151" s="54">
        <v>0.86</v>
      </c>
      <c r="O151" t="s">
        <v>375</v>
      </c>
    </row>
    <row r="152" spans="12:15" x14ac:dyDescent="0.45">
      <c r="L152" t="s">
        <v>376</v>
      </c>
      <c r="N152" s="74">
        <f>N151/N150</f>
        <v>1.0981994636700294</v>
      </c>
    </row>
    <row r="157" spans="12:15" x14ac:dyDescent="0.45">
      <c r="L157" t="s">
        <v>377</v>
      </c>
    </row>
    <row r="158" spans="12:15" x14ac:dyDescent="0.45">
      <c r="L158" s="72">
        <f>0.373+0.163</f>
        <v>0.53600000000000003</v>
      </c>
    </row>
    <row r="164" spans="2:35" x14ac:dyDescent="0.45">
      <c r="B164" t="s">
        <v>378</v>
      </c>
    </row>
    <row r="165" spans="2:35" x14ac:dyDescent="0.45">
      <c r="M165" s="54"/>
    </row>
    <row r="166" spans="2:35" x14ac:dyDescent="0.45">
      <c r="M166" s="54"/>
      <c r="AA166" s="68">
        <v>0.48499999999999999</v>
      </c>
    </row>
    <row r="170" spans="2:35" x14ac:dyDescent="0.45">
      <c r="AA170" t="s">
        <v>2432</v>
      </c>
    </row>
    <row r="171" spans="2:35" x14ac:dyDescent="0.45">
      <c r="B171" t="s">
        <v>379</v>
      </c>
    </row>
    <row r="172" spans="2:35" x14ac:dyDescent="0.45">
      <c r="K172" s="54">
        <v>0.25</v>
      </c>
      <c r="L172" t="s">
        <v>380</v>
      </c>
      <c r="AI172" s="306">
        <v>8.6999999999999994E-2</v>
      </c>
    </row>
    <row r="173" spans="2:35" x14ac:dyDescent="0.45">
      <c r="K173" s="54">
        <f>1-0.78</f>
        <v>0.21999999999999997</v>
      </c>
      <c r="L173" t="s">
        <v>381</v>
      </c>
      <c r="M173" t="s">
        <v>340</v>
      </c>
    </row>
    <row r="174" spans="2:35" x14ac:dyDescent="0.45">
      <c r="K174" s="84">
        <f>K172*K173</f>
        <v>5.4999999999999993E-2</v>
      </c>
      <c r="L174" t="s">
        <v>382</v>
      </c>
    </row>
    <row r="176" spans="2:35" x14ac:dyDescent="0.45">
      <c r="K176" s="54" t="e">
        <f>#REF!</f>
        <v>#REF!</v>
      </c>
      <c r="L176" t="s">
        <v>383</v>
      </c>
    </row>
    <row r="177" spans="2:38" x14ac:dyDescent="0.45">
      <c r="K177" s="54">
        <v>1</v>
      </c>
      <c r="L177" t="s">
        <v>384</v>
      </c>
    </row>
    <row r="179" spans="2:38" x14ac:dyDescent="0.45">
      <c r="K179" s="85">
        <f>L95/(1-K174)</f>
        <v>0.71957671957671954</v>
      </c>
      <c r="L179" t="s">
        <v>385</v>
      </c>
    </row>
    <row r="180" spans="2:38" x14ac:dyDescent="0.45">
      <c r="AA180" t="s">
        <v>2433</v>
      </c>
    </row>
    <row r="182" spans="2:38" x14ac:dyDescent="0.45">
      <c r="AA182" s="68">
        <v>3.5999999999999997E-2</v>
      </c>
      <c r="AB182" t="s">
        <v>2434</v>
      </c>
    </row>
    <row r="183" spans="2:38" x14ac:dyDescent="0.45">
      <c r="B183" t="s">
        <v>386</v>
      </c>
      <c r="AB183" t="s">
        <v>2435</v>
      </c>
    </row>
    <row r="184" spans="2:38" x14ac:dyDescent="0.45">
      <c r="B184" t="s">
        <v>317</v>
      </c>
      <c r="AB184" t="s">
        <v>2436</v>
      </c>
    </row>
    <row r="185" spans="2:38" x14ac:dyDescent="0.45">
      <c r="AB185" t="s">
        <v>2437</v>
      </c>
    </row>
    <row r="186" spans="2:38" x14ac:dyDescent="0.45">
      <c r="M186">
        <v>4.7</v>
      </c>
      <c r="N186" t="s">
        <v>337</v>
      </c>
      <c r="AA186" s="185">
        <v>0.05</v>
      </c>
      <c r="AB186" t="s">
        <v>2438</v>
      </c>
    </row>
    <row r="187" spans="2:38" x14ac:dyDescent="0.45">
      <c r="M187" s="60">
        <v>5</v>
      </c>
      <c r="N187" t="s">
        <v>339</v>
      </c>
    </row>
    <row r="188" spans="2:38" x14ac:dyDescent="0.45">
      <c r="M188">
        <v>4.0999999999999996</v>
      </c>
      <c r="N188" t="s">
        <v>338</v>
      </c>
    </row>
    <row r="190" spans="2:38" x14ac:dyDescent="0.45">
      <c r="AA190" t="s">
        <v>2491</v>
      </c>
      <c r="AL190" t="s">
        <v>2492</v>
      </c>
    </row>
    <row r="191" spans="2:38" x14ac:dyDescent="0.45">
      <c r="AL191" s="185">
        <v>0.15</v>
      </c>
    </row>
    <row r="192" spans="2:38" x14ac:dyDescent="0.45">
      <c r="B192" t="s">
        <v>387</v>
      </c>
    </row>
    <row r="205" spans="27:38" x14ac:dyDescent="0.45">
      <c r="AA205" t="s">
        <v>2494</v>
      </c>
    </row>
    <row r="206" spans="27:38" x14ac:dyDescent="0.45">
      <c r="AA206" s="127" t="s">
        <v>2495</v>
      </c>
    </row>
    <row r="208" spans="27:38" x14ac:dyDescent="0.45">
      <c r="AL208" s="115">
        <v>9.5000000000000001E-2</v>
      </c>
    </row>
    <row r="210" spans="2:39" x14ac:dyDescent="0.45">
      <c r="H210" t="s">
        <v>118</v>
      </c>
      <c r="I210" s="68">
        <v>0.14299999999999999</v>
      </c>
    </row>
    <row r="211" spans="2:39" x14ac:dyDescent="0.45">
      <c r="I211">
        <f>I210*26</f>
        <v>3.7179999999999995</v>
      </c>
    </row>
    <row r="216" spans="2:39" x14ac:dyDescent="0.45">
      <c r="B216" t="s">
        <v>118</v>
      </c>
      <c r="C216" s="68">
        <v>6.6000000000000003E-2</v>
      </c>
      <c r="N216" t="s">
        <v>118</v>
      </c>
      <c r="O216" s="68">
        <v>0.11799999999999999</v>
      </c>
      <c r="AA216" t="s">
        <v>2496</v>
      </c>
    </row>
    <row r="217" spans="2:39" x14ac:dyDescent="0.45">
      <c r="C217">
        <f>C216*26</f>
        <v>1.7160000000000002</v>
      </c>
      <c r="O217">
        <f>O216*26</f>
        <v>3.0679999999999996</v>
      </c>
      <c r="AL217" s="115">
        <v>0.16600000000000001</v>
      </c>
      <c r="AM217" t="s">
        <v>2497</v>
      </c>
    </row>
    <row r="219" spans="2:39" x14ac:dyDescent="0.45">
      <c r="B219" t="s">
        <v>388</v>
      </c>
    </row>
    <row r="220" spans="2:39" x14ac:dyDescent="0.45">
      <c r="B220" t="s">
        <v>389</v>
      </c>
    </row>
    <row r="221" spans="2:39" x14ac:dyDescent="0.45">
      <c r="B221" t="s">
        <v>390</v>
      </c>
    </row>
    <row r="222" spans="2:39" x14ac:dyDescent="0.45">
      <c r="B222" t="s">
        <v>391</v>
      </c>
    </row>
    <row r="227" spans="2:35" x14ac:dyDescent="0.45">
      <c r="B227" t="s">
        <v>392</v>
      </c>
    </row>
    <row r="228" spans="2:35" x14ac:dyDescent="0.45">
      <c r="B228" t="s">
        <v>393</v>
      </c>
      <c r="AA228" t="s">
        <v>2498</v>
      </c>
    </row>
    <row r="235" spans="2:35" x14ac:dyDescent="0.45">
      <c r="B235" s="57" t="s">
        <v>394</v>
      </c>
    </row>
    <row r="238" spans="2:35" x14ac:dyDescent="0.45">
      <c r="K238" s="115">
        <v>0.21579999999999999</v>
      </c>
    </row>
    <row r="239" spans="2:35" x14ac:dyDescent="0.45">
      <c r="AI239" t="s">
        <v>2499</v>
      </c>
    </row>
    <row r="240" spans="2:35" x14ac:dyDescent="0.45">
      <c r="AI240" s="115">
        <v>0.14499999999999999</v>
      </c>
    </row>
    <row r="244" spans="2:39" x14ac:dyDescent="0.45">
      <c r="B244" s="57" t="s">
        <v>395</v>
      </c>
    </row>
    <row r="249" spans="2:39" x14ac:dyDescent="0.45">
      <c r="P249" t="s">
        <v>396</v>
      </c>
      <c r="R249" t="s">
        <v>397</v>
      </c>
    </row>
    <row r="250" spans="2:39" x14ac:dyDescent="0.45">
      <c r="P250">
        <v>11</v>
      </c>
      <c r="Q250" t="s">
        <v>398</v>
      </c>
      <c r="R250" t="s">
        <v>399</v>
      </c>
      <c r="AA250" t="s">
        <v>2500</v>
      </c>
    </row>
    <row r="251" spans="2:39" x14ac:dyDescent="0.45">
      <c r="P251">
        <v>26</v>
      </c>
      <c r="Q251" t="s">
        <v>400</v>
      </c>
      <c r="R251" t="s">
        <v>399</v>
      </c>
    </row>
    <row r="252" spans="2:39" x14ac:dyDescent="0.45">
      <c r="P252">
        <v>21</v>
      </c>
      <c r="Q252" t="s">
        <v>401</v>
      </c>
      <c r="R252" t="s">
        <v>399</v>
      </c>
      <c r="AL252" s="54">
        <v>0.25</v>
      </c>
      <c r="AM252" t="s">
        <v>2501</v>
      </c>
    </row>
    <row r="253" spans="2:39" x14ac:dyDescent="0.45">
      <c r="P253">
        <v>5</v>
      </c>
      <c r="Q253" t="s">
        <v>402</v>
      </c>
      <c r="R253" t="s">
        <v>403</v>
      </c>
      <c r="AL253" s="54">
        <v>0.25</v>
      </c>
      <c r="AM253" t="s">
        <v>2502</v>
      </c>
    </row>
    <row r="254" spans="2:39" x14ac:dyDescent="0.45">
      <c r="Q254" t="s">
        <v>404</v>
      </c>
      <c r="R254" t="s">
        <v>405</v>
      </c>
    </row>
    <row r="255" spans="2:39" x14ac:dyDescent="0.45">
      <c r="P255">
        <v>5</v>
      </c>
      <c r="Q255" t="s">
        <v>406</v>
      </c>
      <c r="R255" t="s">
        <v>407</v>
      </c>
      <c r="AL255" s="327">
        <f>AL252*AL253*1.6</f>
        <v>0.1</v>
      </c>
      <c r="AM255" s="127" t="s">
        <v>2503</v>
      </c>
    </row>
    <row r="256" spans="2:39" x14ac:dyDescent="0.45">
      <c r="O256" s="116">
        <f>P256*1000000/P260</f>
        <v>9.9171468987202336E-3</v>
      </c>
      <c r="P256">
        <v>1</v>
      </c>
      <c r="Q256" t="s">
        <v>408</v>
      </c>
      <c r="R256" t="s">
        <v>409</v>
      </c>
    </row>
    <row r="257" spans="2:28" x14ac:dyDescent="0.45">
      <c r="P257">
        <v>10</v>
      </c>
      <c r="Q257" t="s">
        <v>410</v>
      </c>
      <c r="R257" t="s">
        <v>411</v>
      </c>
    </row>
    <row r="259" spans="2:28" x14ac:dyDescent="0.45">
      <c r="P259" s="6">
        <f>SUM(P250:P257)*1000000</f>
        <v>79000000</v>
      </c>
      <c r="Q259" t="s">
        <v>412</v>
      </c>
    </row>
    <row r="260" spans="2:28" x14ac:dyDescent="0.45">
      <c r="P260" s="6">
        <f>(SUM('Pop M'!I481:AC481)+SUM('Pop F'!I481:AC481))*1000</f>
        <v>100835453.00000001</v>
      </c>
      <c r="Q260" t="s">
        <v>413</v>
      </c>
    </row>
    <row r="261" spans="2:28" x14ac:dyDescent="0.45">
      <c r="P261" s="61">
        <f>P259/P260</f>
        <v>0.78345460499889841</v>
      </c>
      <c r="Q261" t="s">
        <v>414</v>
      </c>
    </row>
    <row r="263" spans="2:28" x14ac:dyDescent="0.45">
      <c r="P263" t="s">
        <v>415</v>
      </c>
    </row>
    <row r="266" spans="2:28" x14ac:dyDescent="0.45">
      <c r="AA266" t="s">
        <v>2506</v>
      </c>
    </row>
    <row r="267" spans="2:28" x14ac:dyDescent="0.45">
      <c r="AA267" t="s">
        <v>2507</v>
      </c>
    </row>
    <row r="268" spans="2:28" x14ac:dyDescent="0.45">
      <c r="AA268" t="s">
        <v>2508</v>
      </c>
    </row>
    <row r="269" spans="2:28" x14ac:dyDescent="0.45">
      <c r="AA269" t="s">
        <v>2509</v>
      </c>
    </row>
    <row r="271" spans="2:28" x14ac:dyDescent="0.45">
      <c r="AA271" s="127" t="s">
        <v>2510</v>
      </c>
    </row>
    <row r="272" spans="2:28" x14ac:dyDescent="0.45">
      <c r="B272" s="57" t="s">
        <v>416</v>
      </c>
      <c r="AA272" s="332">
        <v>1.4999999999999999E-2</v>
      </c>
      <c r="AB272" t="s">
        <v>2511</v>
      </c>
    </row>
    <row r="273" spans="2:27" x14ac:dyDescent="0.45">
      <c r="C273" t="s">
        <v>417</v>
      </c>
      <c r="D273" t="s">
        <v>418</v>
      </c>
      <c r="E273" t="s">
        <v>419</v>
      </c>
    </row>
    <row r="274" spans="2:27" x14ac:dyDescent="0.45">
      <c r="B274" t="s">
        <v>420</v>
      </c>
      <c r="C274" s="89">
        <v>2.08</v>
      </c>
      <c r="D274" s="6">
        <v>2232580</v>
      </c>
      <c r="AA274" t="s">
        <v>2512</v>
      </c>
    </row>
    <row r="275" spans="2:27" x14ac:dyDescent="0.45">
      <c r="B275" t="s">
        <v>421</v>
      </c>
      <c r="C275" s="89">
        <v>1.28</v>
      </c>
      <c r="D275" s="6">
        <v>1372230</v>
      </c>
    </row>
    <row r="276" spans="2:27" x14ac:dyDescent="0.45">
      <c r="B276" t="s">
        <v>422</v>
      </c>
      <c r="C276" s="89">
        <v>0.7</v>
      </c>
      <c r="D276" s="6">
        <v>758000</v>
      </c>
    </row>
    <row r="277" spans="2:27" x14ac:dyDescent="0.45">
      <c r="B277" t="s">
        <v>423</v>
      </c>
      <c r="C277" s="89">
        <v>0</v>
      </c>
      <c r="D277" s="6">
        <v>0</v>
      </c>
      <c r="E277" t="s">
        <v>424</v>
      </c>
    </row>
    <row r="278" spans="2:27" x14ac:dyDescent="0.45">
      <c r="B278" t="s">
        <v>425</v>
      </c>
      <c r="C278" s="89">
        <v>0</v>
      </c>
      <c r="D278" s="6">
        <v>0</v>
      </c>
    </row>
    <row r="279" spans="2:27" x14ac:dyDescent="0.45">
      <c r="B279" t="s">
        <v>426</v>
      </c>
      <c r="C279" s="89">
        <v>0</v>
      </c>
      <c r="D279" s="6">
        <v>0</v>
      </c>
    </row>
    <row r="284" spans="2:27" x14ac:dyDescent="0.45">
      <c r="B284" t="s">
        <v>2513</v>
      </c>
    </row>
    <row r="285" spans="2:27" x14ac:dyDescent="0.45">
      <c r="B285" t="s">
        <v>2514</v>
      </c>
    </row>
    <row r="286" spans="2:27" x14ac:dyDescent="0.45">
      <c r="F286" t="s">
        <v>2515</v>
      </c>
    </row>
    <row r="288" spans="2:27" x14ac:dyDescent="0.45">
      <c r="K288" s="306">
        <v>9.6000000000000002E-2</v>
      </c>
      <c r="L288" t="s">
        <v>2516</v>
      </c>
    </row>
    <row r="300" spans="2:27" x14ac:dyDescent="0.45">
      <c r="B300" t="s">
        <v>2517</v>
      </c>
    </row>
    <row r="301" spans="2:27" x14ac:dyDescent="0.45">
      <c r="AA301" t="s">
        <v>2530</v>
      </c>
    </row>
    <row r="302" spans="2:27" ht="14.55" customHeight="1" x14ac:dyDescent="0.45">
      <c r="H302" s="185">
        <v>0.14000000000000001</v>
      </c>
      <c r="I302" s="426" t="s">
        <v>2518</v>
      </c>
      <c r="J302" s="426"/>
      <c r="K302" s="426"/>
      <c r="L302" s="426"/>
      <c r="M302" s="426"/>
      <c r="N302" s="426"/>
      <c r="O302" s="426"/>
      <c r="P302" s="426"/>
      <c r="Q302" s="426"/>
    </row>
    <row r="303" spans="2:27" x14ac:dyDescent="0.45">
      <c r="I303" s="426"/>
      <c r="J303" s="426"/>
      <c r="K303" s="426"/>
      <c r="L303" s="426"/>
      <c r="M303" s="426"/>
      <c r="N303" s="426"/>
      <c r="O303" s="426"/>
      <c r="P303" s="426"/>
      <c r="Q303" s="426"/>
    </row>
    <row r="308" spans="2:30" x14ac:dyDescent="0.45">
      <c r="B308" t="s">
        <v>2520</v>
      </c>
    </row>
    <row r="316" spans="2:30" x14ac:dyDescent="0.45">
      <c r="B316" s="68">
        <v>0.13020000000000001</v>
      </c>
      <c r="C316" t="s">
        <v>2521</v>
      </c>
    </row>
    <row r="317" spans="2:30" x14ac:dyDescent="0.45">
      <c r="B317">
        <f>(49-15)</f>
        <v>34</v>
      </c>
      <c r="C317" t="s">
        <v>2522</v>
      </c>
    </row>
    <row r="318" spans="2:30" x14ac:dyDescent="0.45">
      <c r="B318" s="188">
        <f>B316/B317</f>
        <v>3.8294117647058828E-3</v>
      </c>
      <c r="C318" t="s">
        <v>2523</v>
      </c>
      <c r="AA318" t="s">
        <v>2531</v>
      </c>
      <c r="AD318" s="306">
        <v>0.29070000000000001</v>
      </c>
    </row>
    <row r="319" spans="2:30" x14ac:dyDescent="0.45">
      <c r="C319" s="127" t="s">
        <v>2524</v>
      </c>
    </row>
    <row r="320" spans="2:30" x14ac:dyDescent="0.45">
      <c r="C320" s="127" t="s">
        <v>2525</v>
      </c>
    </row>
    <row r="321" spans="2:28" x14ac:dyDescent="0.45">
      <c r="C321" s="127" t="s">
        <v>2526</v>
      </c>
      <c r="AA321" t="s">
        <v>327</v>
      </c>
    </row>
    <row r="322" spans="2:28" x14ac:dyDescent="0.45">
      <c r="AA322" t="s">
        <v>2532</v>
      </c>
      <c r="AB322" s="185">
        <v>0.03</v>
      </c>
    </row>
    <row r="323" spans="2:28" x14ac:dyDescent="0.45">
      <c r="B323" s="306">
        <v>0.37019999999999997</v>
      </c>
      <c r="C323" s="58" t="s">
        <v>2527</v>
      </c>
      <c r="AA323" s="333" t="s">
        <v>2533</v>
      </c>
      <c r="AB323" s="185">
        <v>0.02</v>
      </c>
    </row>
    <row r="324" spans="2:28" x14ac:dyDescent="0.45">
      <c r="AA324" t="s">
        <v>844</v>
      </c>
      <c r="AB324" s="185">
        <v>0.01</v>
      </c>
    </row>
    <row r="333" spans="2:28" x14ac:dyDescent="0.45">
      <c r="B333" t="s">
        <v>327</v>
      </c>
    </row>
    <row r="335" spans="2:28" x14ac:dyDescent="0.45">
      <c r="B335" t="s">
        <v>2539</v>
      </c>
    </row>
    <row r="336" spans="2:28" x14ac:dyDescent="0.45">
      <c r="B336" t="s">
        <v>2540</v>
      </c>
      <c r="C336" s="68">
        <v>3.9E-2</v>
      </c>
      <c r="E336" t="s">
        <v>2542</v>
      </c>
    </row>
    <row r="337" spans="2:3" x14ac:dyDescent="0.45">
      <c r="B337" t="s">
        <v>2541</v>
      </c>
      <c r="C337" s="68">
        <v>3.5999999999999997E-2</v>
      </c>
    </row>
    <row r="356" spans="27:37" x14ac:dyDescent="0.45">
      <c r="AA356" t="s">
        <v>2564</v>
      </c>
      <c r="AI356" t="s">
        <v>2566</v>
      </c>
    </row>
    <row r="357" spans="27:37" x14ac:dyDescent="0.45">
      <c r="AA357" t="s">
        <v>2565</v>
      </c>
    </row>
    <row r="359" spans="27:37" x14ac:dyDescent="0.45">
      <c r="AJ359" s="68">
        <v>8.8999999999999996E-2</v>
      </c>
      <c r="AK359" t="s">
        <v>2567</v>
      </c>
    </row>
    <row r="369" spans="2:40" x14ac:dyDescent="0.45">
      <c r="B369" t="s">
        <v>2549</v>
      </c>
    </row>
    <row r="370" spans="2:40" x14ac:dyDescent="0.45">
      <c r="B370" t="s">
        <v>2550</v>
      </c>
    </row>
    <row r="380" spans="2:40" x14ac:dyDescent="0.45">
      <c r="AA380" t="s">
        <v>2569</v>
      </c>
    </row>
    <row r="382" spans="2:40" x14ac:dyDescent="0.45">
      <c r="AA382" s="57" t="s">
        <v>2570</v>
      </c>
    </row>
    <row r="384" spans="2:40" x14ac:dyDescent="0.45">
      <c r="AM384" t="s">
        <v>1937</v>
      </c>
      <c r="AN384">
        <f>1000/1000000</f>
        <v>1E-3</v>
      </c>
    </row>
    <row r="386" spans="10:41" x14ac:dyDescent="0.45">
      <c r="AM386" t="s">
        <v>2572</v>
      </c>
      <c r="AN386">
        <v>360</v>
      </c>
    </row>
    <row r="387" spans="10:41" x14ac:dyDescent="0.45">
      <c r="AM387" t="s">
        <v>2573</v>
      </c>
      <c r="AN387">
        <v>180</v>
      </c>
    </row>
    <row r="388" spans="10:41" x14ac:dyDescent="0.45">
      <c r="AM388" t="s">
        <v>2574</v>
      </c>
      <c r="AN388">
        <v>890</v>
      </c>
    </row>
    <row r="390" spans="10:41" x14ac:dyDescent="0.45">
      <c r="AM390" t="s">
        <v>2576</v>
      </c>
      <c r="AN390" s="89">
        <f>AN387*0.172+283.132</f>
        <v>314.09199999999998</v>
      </c>
    </row>
    <row r="391" spans="10:41" x14ac:dyDescent="0.45">
      <c r="AM391" t="s">
        <v>2575</v>
      </c>
      <c r="AN391" s="335">
        <f>0.172*(AN388-AN387)+AN386</f>
        <v>482.12</v>
      </c>
      <c r="AO391" s="3"/>
    </row>
    <row r="393" spans="10:41" x14ac:dyDescent="0.45">
      <c r="AM393" t="s">
        <v>2580</v>
      </c>
      <c r="AN393" s="306">
        <v>3.1199999999999999E-2</v>
      </c>
    </row>
    <row r="395" spans="10:41" x14ac:dyDescent="0.45">
      <c r="AM395" t="s">
        <v>2577</v>
      </c>
    </row>
    <row r="396" spans="10:41" x14ac:dyDescent="0.45">
      <c r="L396" t="s">
        <v>576</v>
      </c>
      <c r="M396" t="s">
        <v>577</v>
      </c>
      <c r="N396" t="s">
        <v>118</v>
      </c>
      <c r="AM396" t="s">
        <v>2578</v>
      </c>
    </row>
    <row r="397" spans="10:41" x14ac:dyDescent="0.45">
      <c r="J397" t="s">
        <v>2551</v>
      </c>
      <c r="L397">
        <v>18895</v>
      </c>
      <c r="M397">
        <v>32970</v>
      </c>
      <c r="N397">
        <f>M397+L397</f>
        <v>51865</v>
      </c>
    </row>
    <row r="398" spans="10:41" x14ac:dyDescent="0.45">
      <c r="J398" t="s">
        <v>431</v>
      </c>
      <c r="L398">
        <v>57516835</v>
      </c>
      <c r="M398">
        <v>57446748</v>
      </c>
      <c r="N398">
        <f>M398+L398</f>
        <v>114963583</v>
      </c>
      <c r="P398" t="s">
        <v>2553</v>
      </c>
    </row>
    <row r="399" spans="10:41" x14ac:dyDescent="0.45">
      <c r="J399" t="s">
        <v>2552</v>
      </c>
      <c r="L399">
        <f>L397/L398</f>
        <v>3.2851251290165739E-4</v>
      </c>
      <c r="M399">
        <f>M397/M398</f>
        <v>5.7392282675426643E-4</v>
      </c>
      <c r="N399">
        <f>N397/N398</f>
        <v>4.5114286321434503E-4</v>
      </c>
      <c r="P399" t="s">
        <v>2554</v>
      </c>
    </row>
    <row r="401" spans="2:27" x14ac:dyDescent="0.45">
      <c r="AA401" t="s">
        <v>2571</v>
      </c>
    </row>
    <row r="403" spans="2:27" x14ac:dyDescent="0.45">
      <c r="B403" t="s">
        <v>2557</v>
      </c>
    </row>
    <row r="405" spans="2:27" x14ac:dyDescent="0.45">
      <c r="B405" t="s">
        <v>2558</v>
      </c>
    </row>
    <row r="406" spans="2:27" x14ac:dyDescent="0.45">
      <c r="B406" t="s">
        <v>2559</v>
      </c>
    </row>
    <row r="407" spans="2:27" x14ac:dyDescent="0.45">
      <c r="B407" t="s">
        <v>2560</v>
      </c>
    </row>
    <row r="409" spans="2:27" x14ac:dyDescent="0.45">
      <c r="B409" t="s">
        <v>2548</v>
      </c>
    </row>
    <row r="411" spans="2:27" x14ac:dyDescent="0.45">
      <c r="AA411" t="s">
        <v>2583</v>
      </c>
    </row>
    <row r="412" spans="2:27" x14ac:dyDescent="0.45">
      <c r="AA412" t="s">
        <v>2584</v>
      </c>
    </row>
    <row r="413" spans="2:27" x14ac:dyDescent="0.45">
      <c r="AA413" t="s">
        <v>2585</v>
      </c>
    </row>
    <row r="414" spans="2:27" x14ac:dyDescent="0.45">
      <c r="AA414" t="s">
        <v>2586</v>
      </c>
    </row>
    <row r="417" spans="2:36" x14ac:dyDescent="0.45">
      <c r="AJ417" s="306">
        <v>0.155</v>
      </c>
    </row>
    <row r="425" spans="2:36" x14ac:dyDescent="0.45">
      <c r="B425" t="s">
        <v>387</v>
      </c>
    </row>
    <row r="448" spans="2:19" x14ac:dyDescent="0.45">
      <c r="B448" s="68">
        <v>3.2000000000000001E-2</v>
      </c>
      <c r="C448" t="s">
        <v>2597</v>
      </c>
      <c r="S448" t="s">
        <v>2608</v>
      </c>
    </row>
    <row r="449" spans="2:31" x14ac:dyDescent="0.45">
      <c r="C449" t="s">
        <v>2598</v>
      </c>
      <c r="S449" t="s">
        <v>2609</v>
      </c>
    </row>
    <row r="451" spans="2:31" x14ac:dyDescent="0.45">
      <c r="B451">
        <v>4.5999999999999996</v>
      </c>
      <c r="C451" t="s">
        <v>2599</v>
      </c>
    </row>
    <row r="453" spans="2:31" x14ac:dyDescent="0.45">
      <c r="B453" s="188">
        <f>B448/B451</f>
        <v>6.956521739130435E-3</v>
      </c>
      <c r="C453" t="s">
        <v>2600</v>
      </c>
    </row>
    <row r="454" spans="2:31" x14ac:dyDescent="0.45">
      <c r="C454" t="s">
        <v>2601</v>
      </c>
    </row>
    <row r="460" spans="2:31" x14ac:dyDescent="0.45">
      <c r="B460" s="54">
        <v>0.27</v>
      </c>
      <c r="C460" t="s">
        <v>2602</v>
      </c>
    </row>
    <row r="461" spans="2:31" x14ac:dyDescent="0.45">
      <c r="B461" s="54">
        <v>0.31</v>
      </c>
      <c r="C461" t="s">
        <v>2603</v>
      </c>
      <c r="AD461" t="s">
        <v>2614</v>
      </c>
    </row>
    <row r="462" spans="2:31" x14ac:dyDescent="0.45">
      <c r="C462" t="s">
        <v>2604</v>
      </c>
      <c r="AD462" s="68">
        <v>8.3000000000000004E-2</v>
      </c>
      <c r="AE462" t="s">
        <v>1863</v>
      </c>
    </row>
    <row r="463" spans="2:31" x14ac:dyDescent="0.45">
      <c r="AD463" s="68">
        <v>3.5000000000000003E-2</v>
      </c>
      <c r="AE463" t="s">
        <v>2610</v>
      </c>
    </row>
    <row r="464" spans="2:31" x14ac:dyDescent="0.45">
      <c r="B464" s="188">
        <f>B460*B453</f>
        <v>1.8782608695652177E-3</v>
      </c>
      <c r="C464" t="s">
        <v>2605</v>
      </c>
      <c r="AD464" s="54">
        <v>0.13</v>
      </c>
      <c r="AE464" t="s">
        <v>2611</v>
      </c>
    </row>
    <row r="465" spans="2:31" x14ac:dyDescent="0.45">
      <c r="B465" s="188">
        <f>B453*B461</f>
        <v>2.156521739130435E-3</v>
      </c>
      <c r="C465" t="s">
        <v>2606</v>
      </c>
    </row>
    <row r="466" spans="2:31" x14ac:dyDescent="0.45">
      <c r="AD466" t="s">
        <v>2612</v>
      </c>
    </row>
    <row r="467" spans="2:31" x14ac:dyDescent="0.45">
      <c r="AD467" t="s">
        <v>2613</v>
      </c>
    </row>
    <row r="468" spans="2:31" x14ac:dyDescent="0.45">
      <c r="B468" t="s">
        <v>2615</v>
      </c>
    </row>
    <row r="469" spans="2:31" x14ac:dyDescent="0.45">
      <c r="B469" t="s">
        <v>2616</v>
      </c>
      <c r="AD469" s="188">
        <f>AD462/8</f>
        <v>1.0375000000000001E-2</v>
      </c>
      <c r="AE469" t="s">
        <v>1863</v>
      </c>
    </row>
    <row r="470" spans="2:31" x14ac:dyDescent="0.45">
      <c r="B470" s="188">
        <v>0.33</v>
      </c>
      <c r="D470" t="s">
        <v>2617</v>
      </c>
      <c r="AD470">
        <f>AD463/8</f>
        <v>4.3750000000000004E-3</v>
      </c>
      <c r="AE470" t="s">
        <v>2610</v>
      </c>
    </row>
    <row r="471" spans="2:31" x14ac:dyDescent="0.45">
      <c r="AD471">
        <f>AD464/8</f>
        <v>1.6250000000000001E-2</v>
      </c>
      <c r="AE471" t="s">
        <v>2611</v>
      </c>
    </row>
    <row r="479" spans="2:31" x14ac:dyDescent="0.45">
      <c r="B479" t="s">
        <v>2618</v>
      </c>
    </row>
  </sheetData>
  <mergeCells count="1">
    <mergeCell ref="I302:Q303"/>
  </mergeCells>
  <hyperlinks>
    <hyperlink ref="B101" r:id="rId1" xr:uid="{FE3EA52F-73CE-428C-8A7A-ACFFCA006BC1}"/>
    <hyperlink ref="B244" r:id="rId2" xr:uid="{C04EE1A0-FF4F-409D-83E4-07D12737B1D7}"/>
    <hyperlink ref="B272" r:id="rId3" xr:uid="{1DFF29FC-808E-4E81-A417-6F0EFC6F25F6}"/>
    <hyperlink ref="B41" r:id="rId4" xr:uid="{800D413D-ED61-43B2-ACAF-34083BBA4350}"/>
    <hyperlink ref="B235" r:id="rId5" xr:uid="{201996F8-9826-430D-8CC9-52C9A42F1DA6}"/>
    <hyperlink ref="AA382" r:id="rId6" xr:uid="{59302A8D-B40F-4BB7-B901-72C5280812F4}"/>
  </hyperlinks>
  <pageMargins left="0.7" right="0.7" top="0.75" bottom="0.75" header="0.3" footer="0.3"/>
  <drawing r:id="rId7"/>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29279-D87A-490C-9C89-6AF402518E50}">
  <dimension ref="A1:AK526"/>
  <sheetViews>
    <sheetView topLeftCell="A105" workbookViewId="0">
      <selection activeCell="O116" sqref="O116"/>
    </sheetView>
  </sheetViews>
  <sheetFormatPr defaultRowHeight="14.25" x14ac:dyDescent="0.45"/>
  <cols>
    <col min="4" max="4" width="12.53125" bestFit="1" customWidth="1"/>
    <col min="5" max="5" width="9.73046875" customWidth="1"/>
    <col min="11" max="11" width="12.46484375" customWidth="1"/>
    <col min="13" max="13" width="12.53125" bestFit="1" customWidth="1"/>
    <col min="15" max="15" width="13.53125" bestFit="1" customWidth="1"/>
    <col min="16" max="16" width="9.19921875" bestFit="1" customWidth="1"/>
    <col min="17" max="18" width="9.19921875" customWidth="1"/>
    <col min="19" max="20" width="9.19921875" bestFit="1" customWidth="1"/>
    <col min="21" max="21" width="10.19921875" bestFit="1" customWidth="1"/>
    <col min="22" max="22" width="9.19921875" bestFit="1" customWidth="1"/>
    <col min="26" max="30" width="13.796875" customWidth="1"/>
  </cols>
  <sheetData>
    <row r="1" spans="1:22" x14ac:dyDescent="0.45">
      <c r="A1" s="57" t="s">
        <v>567</v>
      </c>
    </row>
    <row r="2" spans="1:22" x14ac:dyDescent="0.45">
      <c r="G2" t="s">
        <v>568</v>
      </c>
      <c r="I2" t="s">
        <v>569</v>
      </c>
    </row>
    <row r="3" spans="1:22" x14ac:dyDescent="0.45">
      <c r="G3" t="s">
        <v>570</v>
      </c>
      <c r="I3" s="178">
        <f>SUM(V6:V22)/1000</f>
        <v>10.092043800000001</v>
      </c>
      <c r="J3" t="s">
        <v>571</v>
      </c>
    </row>
    <row r="4" spans="1:22" x14ac:dyDescent="0.45">
      <c r="S4" s="409" t="s">
        <v>572</v>
      </c>
      <c r="T4" s="409"/>
      <c r="U4" s="409"/>
    </row>
    <row r="5" spans="1:22" x14ac:dyDescent="0.45">
      <c r="H5" t="s">
        <v>434</v>
      </c>
      <c r="I5" t="s">
        <v>573</v>
      </c>
      <c r="J5" t="s">
        <v>1794</v>
      </c>
      <c r="K5" t="s">
        <v>574</v>
      </c>
      <c r="L5" t="s">
        <v>575</v>
      </c>
      <c r="S5" t="s">
        <v>576</v>
      </c>
      <c r="T5" t="s">
        <v>577</v>
      </c>
      <c r="U5" t="s">
        <v>118</v>
      </c>
      <c r="V5" t="s">
        <v>578</v>
      </c>
    </row>
    <row r="6" spans="1:22" x14ac:dyDescent="0.45">
      <c r="G6" t="s">
        <v>579</v>
      </c>
      <c r="H6">
        <v>1</v>
      </c>
      <c r="I6">
        <f>H6</f>
        <v>1</v>
      </c>
      <c r="J6" s="58">
        <f>I3</f>
        <v>10.092043800000001</v>
      </c>
      <c r="K6" s="54">
        <v>0.95</v>
      </c>
      <c r="L6" s="59">
        <f>I6/J6/K6</f>
        <v>0.10430311241290574</v>
      </c>
      <c r="M6" s="79" t="s">
        <v>292</v>
      </c>
      <c r="P6" t="s">
        <v>580</v>
      </c>
      <c r="S6" s="6">
        <f>SUMIFS('Pop M'!I:I,'Pop M'!C:C,P6,'Pop M'!H:H,2000)</f>
        <v>109.78100000000001</v>
      </c>
      <c r="T6" s="6">
        <f>SUMIFS('Pop F'!I:I,'Pop F'!C:C,P6,'Pop F'!H:H,2000)</f>
        <v>107.18</v>
      </c>
      <c r="U6" s="6">
        <f t="shared" ref="U6:U22" si="0">T6+S6</f>
        <v>216.96100000000001</v>
      </c>
      <c r="V6" s="6">
        <f>U6/5</f>
        <v>43.392200000000003</v>
      </c>
    </row>
    <row r="7" spans="1:22" x14ac:dyDescent="0.45">
      <c r="G7" t="s">
        <v>581</v>
      </c>
      <c r="H7">
        <v>9</v>
      </c>
      <c r="I7">
        <f>H7-H6</f>
        <v>8</v>
      </c>
      <c r="J7">
        <f>J6</f>
        <v>10.092043800000001</v>
      </c>
      <c r="K7" s="54">
        <v>0.95</v>
      </c>
      <c r="L7" s="59">
        <f t="shared" ref="L7:L17" si="1">I7/J7/K7</f>
        <v>0.83442489930324593</v>
      </c>
      <c r="M7" s="79" t="s">
        <v>163</v>
      </c>
      <c r="P7" t="s">
        <v>582</v>
      </c>
      <c r="S7" s="6">
        <f>SUMIFS('Pop M'!I:I,'Pop M'!C:C,P7,'Pop M'!H:H,2000)</f>
        <v>578.81100000000004</v>
      </c>
      <c r="T7" s="6">
        <f>SUMIFS('Pop F'!I:I,'Pop F'!C:C,P7,'Pop F'!H:H,2000)</f>
        <v>577.00599999999997</v>
      </c>
      <c r="U7" s="6">
        <f t="shared" si="0"/>
        <v>1155.817</v>
      </c>
      <c r="V7" s="6">
        <f t="shared" ref="V7:V22" si="2">U7/5</f>
        <v>231.1634</v>
      </c>
    </row>
    <row r="8" spans="1:22" x14ac:dyDescent="0.45">
      <c r="G8" t="s">
        <v>583</v>
      </c>
      <c r="H8">
        <v>12</v>
      </c>
      <c r="I8">
        <f t="shared" ref="I8:I17" si="3">H8-H7</f>
        <v>3</v>
      </c>
      <c r="J8">
        <f t="shared" ref="J8:J17" si="4">J7</f>
        <v>10.092043800000001</v>
      </c>
      <c r="K8" s="54">
        <v>0.95</v>
      </c>
      <c r="L8" s="59">
        <f t="shared" si="1"/>
        <v>0.31290933723871717</v>
      </c>
      <c r="M8" s="159" t="s">
        <v>296</v>
      </c>
      <c r="P8" t="s">
        <v>584</v>
      </c>
      <c r="S8" s="6">
        <f>SUMIFS('Pop M'!I:I,'Pop M'!C:C,P8,'Pop M'!H:H,2000)</f>
        <v>309.108</v>
      </c>
      <c r="T8" s="6">
        <f>SUMIFS('Pop F'!I:I,'Pop F'!C:C,P8,'Pop F'!H:H,2000)</f>
        <v>303.87900000000002</v>
      </c>
      <c r="U8" s="6">
        <f t="shared" si="0"/>
        <v>612.98700000000008</v>
      </c>
      <c r="V8" s="6">
        <f t="shared" si="2"/>
        <v>122.59740000000002</v>
      </c>
    </row>
    <row r="9" spans="1:22" x14ac:dyDescent="0.45">
      <c r="G9" t="s">
        <v>585</v>
      </c>
      <c r="H9">
        <v>13</v>
      </c>
      <c r="I9">
        <f t="shared" si="3"/>
        <v>1</v>
      </c>
      <c r="J9">
        <f t="shared" si="4"/>
        <v>10.092043800000001</v>
      </c>
      <c r="K9" s="54">
        <v>0.95</v>
      </c>
      <c r="L9">
        <f t="shared" si="1"/>
        <v>0.10430311241290574</v>
      </c>
      <c r="M9" s="159" t="s">
        <v>287</v>
      </c>
      <c r="P9" t="s">
        <v>586</v>
      </c>
      <c r="S9" s="6">
        <f>SUMIFS('Pop M'!I:I,'Pop M'!C:C,P9,'Pop M'!H:H,2000)</f>
        <v>257.42399999999998</v>
      </c>
      <c r="T9" s="6">
        <f>SUMIFS('Pop F'!I:I,'Pop F'!C:C,P9,'Pop F'!H:H,2000)</f>
        <v>253.32599999999999</v>
      </c>
      <c r="U9" s="6">
        <f t="shared" si="0"/>
        <v>510.75</v>
      </c>
      <c r="V9" s="6">
        <f t="shared" si="2"/>
        <v>102.15</v>
      </c>
    </row>
    <row r="10" spans="1:22" x14ac:dyDescent="0.45">
      <c r="G10" t="s">
        <v>587</v>
      </c>
      <c r="H10" s="179">
        <v>15.8</v>
      </c>
      <c r="I10">
        <f t="shared" si="3"/>
        <v>2.8000000000000007</v>
      </c>
      <c r="J10">
        <f t="shared" si="4"/>
        <v>10.092043800000001</v>
      </c>
      <c r="K10" s="54">
        <v>0.95</v>
      </c>
      <c r="L10" s="59">
        <f t="shared" si="1"/>
        <v>0.29204871475613614</v>
      </c>
      <c r="M10" s="79" t="s">
        <v>289</v>
      </c>
      <c r="P10" t="s">
        <v>588</v>
      </c>
      <c r="S10" s="6">
        <f>SUMIFS('Pop M'!I:I,'Pop M'!C:C,P10,'Pop M'!H:H,2000)</f>
        <v>1412.626</v>
      </c>
      <c r="T10" s="6">
        <f>SUMIFS('Pop F'!I:I,'Pop F'!C:C,P10,'Pop F'!H:H,2000)</f>
        <v>1401.569</v>
      </c>
      <c r="U10" s="6">
        <f t="shared" si="0"/>
        <v>2814.1949999999997</v>
      </c>
      <c r="V10" s="6">
        <f t="shared" si="2"/>
        <v>562.83899999999994</v>
      </c>
    </row>
    <row r="11" spans="1:22" x14ac:dyDescent="0.45">
      <c r="G11" t="s">
        <v>589</v>
      </c>
      <c r="H11" s="179">
        <v>16.2</v>
      </c>
      <c r="I11">
        <f t="shared" si="3"/>
        <v>0.39999999999999858</v>
      </c>
      <c r="J11">
        <f t="shared" si="4"/>
        <v>10.092043800000001</v>
      </c>
      <c r="K11" s="54">
        <v>0.95</v>
      </c>
      <c r="L11">
        <f t="shared" si="1"/>
        <v>4.1721244965162149E-2</v>
      </c>
      <c r="P11" t="s">
        <v>590</v>
      </c>
      <c r="S11" s="6">
        <f>SUMIFS('Pop M'!I:I,'Pop M'!C:C,P11,'Pop M'!H:H,2000)</f>
        <v>4357.8770000000004</v>
      </c>
      <c r="T11" s="6">
        <f>SUMIFS('Pop F'!I:I,'Pop F'!C:C,P11,'Pop F'!H:H,2000)</f>
        <v>4308.4849999999997</v>
      </c>
      <c r="U11" s="6">
        <f t="shared" si="0"/>
        <v>8666.362000000001</v>
      </c>
      <c r="V11" s="6">
        <f t="shared" si="2"/>
        <v>1733.2724000000003</v>
      </c>
    </row>
    <row r="12" spans="1:22" x14ac:dyDescent="0.45">
      <c r="G12" t="s">
        <v>591</v>
      </c>
      <c r="H12">
        <v>20</v>
      </c>
      <c r="I12">
        <f t="shared" si="3"/>
        <v>3.8000000000000007</v>
      </c>
      <c r="J12">
        <f t="shared" si="4"/>
        <v>10.092043800000001</v>
      </c>
      <c r="K12" s="54">
        <v>0.95</v>
      </c>
      <c r="L12">
        <f t="shared" si="1"/>
        <v>0.39635182716904188</v>
      </c>
      <c r="P12" t="s">
        <v>592</v>
      </c>
      <c r="S12" s="6">
        <f>SUMIFS('Pop M'!I:I,'Pop M'!C:C,P12,'Pop M'!H:H,2000)</f>
        <v>164.26499999999999</v>
      </c>
      <c r="T12" s="6">
        <f>SUMIFS('Pop F'!I:I,'Pop F'!C:C,P12,'Pop F'!H:H,2000)</f>
        <v>158.929</v>
      </c>
      <c r="U12" s="6">
        <f t="shared" si="0"/>
        <v>323.19399999999996</v>
      </c>
      <c r="V12" s="6">
        <f t="shared" si="2"/>
        <v>64.638799999999989</v>
      </c>
    </row>
    <row r="13" spans="1:22" x14ac:dyDescent="0.45">
      <c r="G13" t="s">
        <v>593</v>
      </c>
      <c r="H13">
        <v>21</v>
      </c>
      <c r="I13">
        <f t="shared" si="3"/>
        <v>1</v>
      </c>
      <c r="J13">
        <f t="shared" si="4"/>
        <v>10.092043800000001</v>
      </c>
      <c r="K13" s="54">
        <v>0.95</v>
      </c>
      <c r="L13">
        <f t="shared" si="1"/>
        <v>0.10430311241290574</v>
      </c>
      <c r="P13" t="s">
        <v>594</v>
      </c>
      <c r="S13" s="6">
        <f>SUMIFS('Pop M'!I:I,'Pop M'!C:C,P13,'Pop M'!H:H,2000)</f>
        <v>6246.6239999999998</v>
      </c>
      <c r="T13" s="6">
        <f>SUMIFS('Pop F'!I:I,'Pop F'!C:C,P13,'Pop F'!H:H,2000)</f>
        <v>6100.9660000000003</v>
      </c>
      <c r="U13" s="6">
        <f t="shared" si="0"/>
        <v>12347.59</v>
      </c>
      <c r="V13" s="6">
        <f t="shared" si="2"/>
        <v>2469.518</v>
      </c>
    </row>
    <row r="14" spans="1:22" x14ac:dyDescent="0.45">
      <c r="G14" t="s">
        <v>595</v>
      </c>
      <c r="H14" s="179">
        <v>21.8</v>
      </c>
      <c r="I14">
        <f t="shared" si="3"/>
        <v>0.80000000000000071</v>
      </c>
      <c r="J14">
        <f t="shared" si="4"/>
        <v>10.092043800000001</v>
      </c>
      <c r="K14" s="54">
        <v>0.95</v>
      </c>
      <c r="L14">
        <f t="shared" si="1"/>
        <v>8.3442489930324659E-2</v>
      </c>
      <c r="P14" t="s">
        <v>596</v>
      </c>
      <c r="S14" s="6">
        <f>SUMIFS('Pop M'!I:I,'Pop M'!C:C,P14,'Pop M'!H:H,2000)</f>
        <v>1578.674</v>
      </c>
      <c r="T14" s="6">
        <f>SUMIFS('Pop F'!I:I,'Pop F'!C:C,P14,'Pop F'!H:H,2000)</f>
        <v>1582.675</v>
      </c>
      <c r="U14" s="6">
        <f t="shared" si="0"/>
        <v>3161.3490000000002</v>
      </c>
      <c r="V14" s="6">
        <f t="shared" si="2"/>
        <v>632.26980000000003</v>
      </c>
    </row>
    <row r="15" spans="1:22" x14ac:dyDescent="0.45">
      <c r="G15" t="s">
        <v>597</v>
      </c>
      <c r="H15" s="179">
        <v>22.1</v>
      </c>
      <c r="I15">
        <f t="shared" si="3"/>
        <v>0.30000000000000071</v>
      </c>
      <c r="J15">
        <f t="shared" si="4"/>
        <v>10.092043800000001</v>
      </c>
      <c r="K15" s="54">
        <v>0.95</v>
      </c>
      <c r="L15">
        <f t="shared" si="1"/>
        <v>3.1290933723871796E-2</v>
      </c>
      <c r="P15" t="s">
        <v>598</v>
      </c>
      <c r="S15" s="6">
        <f>SUMIFS('Pop M'!I:I,'Pop M'!C:C,P15,'Pop M'!H:H,2000)</f>
        <v>132.58799999999999</v>
      </c>
      <c r="T15" s="6">
        <f>SUMIFS('Pop F'!I:I,'Pop F'!C:C,P15,'Pop F'!H:H,2000)</f>
        <v>132.84200000000001</v>
      </c>
      <c r="U15" s="6">
        <f t="shared" si="0"/>
        <v>265.43</v>
      </c>
      <c r="V15" s="6">
        <f t="shared" si="2"/>
        <v>53.085999999999999</v>
      </c>
    </row>
    <row r="16" spans="1:22" x14ac:dyDescent="0.45">
      <c r="G16" t="s">
        <v>599</v>
      </c>
      <c r="H16" s="179">
        <v>22.3</v>
      </c>
      <c r="I16">
        <f t="shared" si="3"/>
        <v>0.19999999999999929</v>
      </c>
      <c r="J16">
        <f t="shared" si="4"/>
        <v>10.092043800000001</v>
      </c>
      <c r="K16" s="54">
        <v>0.95</v>
      </c>
      <c r="L16">
        <f t="shared" si="1"/>
        <v>2.0860622482581075E-2</v>
      </c>
      <c r="P16" t="s">
        <v>600</v>
      </c>
      <c r="S16" s="6">
        <f>SUMIFS('Pop M'!I:I,'Pop M'!C:C,P16,'Pop M'!H:H,2000)</f>
        <v>643.88199999999995</v>
      </c>
      <c r="T16" s="6">
        <f>SUMIFS('Pop F'!I:I,'Pop F'!C:C,P16,'Pop F'!H:H,2000)</f>
        <v>645.64599999999996</v>
      </c>
      <c r="U16" s="6">
        <f t="shared" si="0"/>
        <v>1289.5279999999998</v>
      </c>
      <c r="V16" s="6">
        <f t="shared" si="2"/>
        <v>257.90559999999994</v>
      </c>
    </row>
    <row r="17" spans="1:22" x14ac:dyDescent="0.45">
      <c r="G17" t="s">
        <v>601</v>
      </c>
      <c r="H17" s="179">
        <v>22.4</v>
      </c>
      <c r="I17">
        <f t="shared" si="3"/>
        <v>9.9999999999997868E-2</v>
      </c>
      <c r="J17">
        <f t="shared" si="4"/>
        <v>10.092043800000001</v>
      </c>
      <c r="K17" s="54">
        <v>0.95</v>
      </c>
      <c r="L17" s="59">
        <f t="shared" si="1"/>
        <v>1.0430311241290352E-2</v>
      </c>
      <c r="M17" s="79" t="s">
        <v>292</v>
      </c>
      <c r="P17" t="s">
        <v>602</v>
      </c>
      <c r="S17" s="6">
        <f>SUMIFS('Pop M'!I:I,'Pop M'!C:C,P17,'Pop M'!H:H,2000)</f>
        <v>2457.0500000000002</v>
      </c>
      <c r="T17" s="6">
        <f>SUMIFS('Pop F'!I:I,'Pop F'!C:C,P17,'Pop F'!H:H,2000)</f>
        <v>2402.3780000000002</v>
      </c>
      <c r="U17" s="6">
        <f t="shared" si="0"/>
        <v>4859.4279999999999</v>
      </c>
      <c r="V17" s="6">
        <f t="shared" si="2"/>
        <v>971.88559999999995</v>
      </c>
    </row>
    <row r="18" spans="1:22" x14ac:dyDescent="0.45">
      <c r="P18" t="s">
        <v>603</v>
      </c>
      <c r="S18" s="6">
        <f>SUMIFS('Pop M'!I:I,'Pop M'!C:C,P18,'Pop M'!H:H,2000)</f>
        <v>73.69</v>
      </c>
      <c r="T18" s="6">
        <f>SUMIFS('Pop F'!I:I,'Pop F'!C:C,P18,'Pop F'!H:H,2000)</f>
        <v>72.668000000000006</v>
      </c>
      <c r="U18" s="6">
        <f t="shared" si="0"/>
        <v>146.358</v>
      </c>
      <c r="V18" s="6">
        <f t="shared" si="2"/>
        <v>29.271599999999999</v>
      </c>
    </row>
    <row r="19" spans="1:22" x14ac:dyDescent="0.45">
      <c r="P19" t="s">
        <v>604</v>
      </c>
      <c r="S19" s="6">
        <f>SUMIFS('Pop M'!I:I,'Pop M'!C:C,P19,'Pop M'!H:H,2000)</f>
        <v>2389.049</v>
      </c>
      <c r="T19" s="6">
        <f>SUMIFS('Pop F'!I:I,'Pop F'!C:C,P19,'Pop F'!H:H,2000)</f>
        <v>2347.4070000000002</v>
      </c>
      <c r="U19" s="6">
        <f t="shared" si="0"/>
        <v>4736.4560000000001</v>
      </c>
      <c r="V19" s="6">
        <f t="shared" si="2"/>
        <v>947.2912</v>
      </c>
    </row>
    <row r="20" spans="1:22" x14ac:dyDescent="0.45">
      <c r="P20" t="s">
        <v>605</v>
      </c>
      <c r="S20" s="6">
        <f>SUMIFS('Pop M'!I:I,'Pop M'!C:C,P20,'Pop M'!H:H,2000)</f>
        <v>2906.9850000000001</v>
      </c>
      <c r="T20" s="6">
        <f>SUMIFS('Pop F'!I:I,'Pop F'!C:C,P20,'Pop F'!H:H,2000)</f>
        <v>2847.1109999999999</v>
      </c>
      <c r="U20" s="6">
        <f t="shared" si="0"/>
        <v>5754.0959999999995</v>
      </c>
      <c r="V20" s="6">
        <f t="shared" si="2"/>
        <v>1150.8191999999999</v>
      </c>
    </row>
    <row r="21" spans="1:22" x14ac:dyDescent="0.45">
      <c r="P21" t="s">
        <v>606</v>
      </c>
      <c r="S21" s="6">
        <f>SUMIFS('Pop M'!I:I,'Pop M'!C:C,P21,'Pop M'!H:H,2000)</f>
        <v>961.10900000000004</v>
      </c>
      <c r="T21" s="6">
        <f>SUMIFS('Pop F'!I:I,'Pop F'!C:C,P21,'Pop F'!H:H,2000)</f>
        <v>946.91800000000001</v>
      </c>
      <c r="U21" s="6">
        <f t="shared" si="0"/>
        <v>1908.027</v>
      </c>
      <c r="V21" s="6">
        <f t="shared" si="2"/>
        <v>381.60540000000003</v>
      </c>
    </row>
    <row r="22" spans="1:22" x14ac:dyDescent="0.45">
      <c r="P22" t="s">
        <v>607</v>
      </c>
      <c r="S22" s="6">
        <f>SUMIFS('Pop M'!I:I,'Pop M'!C:C,P22,'Pop M'!H:H,2000)</f>
        <v>854.05499999999995</v>
      </c>
      <c r="T22" s="6">
        <f>SUMIFS('Pop F'!I:I,'Pop F'!C:C,P22,'Pop F'!H:H,2000)</f>
        <v>837.63599999999997</v>
      </c>
      <c r="U22" s="6">
        <f t="shared" si="0"/>
        <v>1691.6909999999998</v>
      </c>
      <c r="V22" s="6">
        <f t="shared" si="2"/>
        <v>338.33819999999997</v>
      </c>
    </row>
    <row r="27" spans="1:22" x14ac:dyDescent="0.45">
      <c r="A27" t="s">
        <v>608</v>
      </c>
    </row>
    <row r="28" spans="1:22" x14ac:dyDescent="0.45">
      <c r="I28" t="s">
        <v>609</v>
      </c>
      <c r="M28" s="54">
        <v>0.45</v>
      </c>
    </row>
    <row r="29" spans="1:22" x14ac:dyDescent="0.45">
      <c r="I29" t="s">
        <v>610</v>
      </c>
      <c r="M29">
        <f>29.1/1000</f>
        <v>2.9100000000000001E-2</v>
      </c>
    </row>
    <row r="30" spans="1:22" x14ac:dyDescent="0.45">
      <c r="I30" t="s">
        <v>611</v>
      </c>
      <c r="M30">
        <v>66.599999999999994</v>
      </c>
      <c r="N30" t="s">
        <v>612</v>
      </c>
    </row>
    <row r="31" spans="1:22" x14ac:dyDescent="0.45">
      <c r="M31">
        <v>63.2</v>
      </c>
      <c r="N31" s="86" t="s">
        <v>613</v>
      </c>
    </row>
    <row r="32" spans="1:22" x14ac:dyDescent="0.45">
      <c r="I32" t="s">
        <v>614</v>
      </c>
      <c r="L32" s="180">
        <f>M28*M29*M31</f>
        <v>0.82760400000000012</v>
      </c>
    </row>
    <row r="33" spans="1:21" x14ac:dyDescent="0.45">
      <c r="L33" s="127" t="s">
        <v>615</v>
      </c>
    </row>
    <row r="34" spans="1:21" x14ac:dyDescent="0.45">
      <c r="A34" t="s">
        <v>616</v>
      </c>
    </row>
    <row r="41" spans="1:21" x14ac:dyDescent="0.45">
      <c r="A41" t="s">
        <v>617</v>
      </c>
    </row>
    <row r="43" spans="1:21" x14ac:dyDescent="0.45">
      <c r="P43" t="s">
        <v>618</v>
      </c>
      <c r="S43" t="s">
        <v>619</v>
      </c>
      <c r="T43" t="s">
        <v>620</v>
      </c>
      <c r="U43" t="s">
        <v>621</v>
      </c>
    </row>
    <row r="44" spans="1:21" x14ac:dyDescent="0.45">
      <c r="O44" t="s">
        <v>622</v>
      </c>
      <c r="P44">
        <v>1.2</v>
      </c>
      <c r="S44">
        <v>1.8</v>
      </c>
      <c r="T44">
        <v>3.2</v>
      </c>
      <c r="U44">
        <v>10.5</v>
      </c>
    </row>
    <row r="45" spans="1:21" x14ac:dyDescent="0.45">
      <c r="O45" t="s">
        <v>623</v>
      </c>
      <c r="P45" s="54">
        <f>Prevalences!I30</f>
        <v>4.9999999999999996E-2</v>
      </c>
      <c r="Q45" s="54"/>
      <c r="R45" s="54"/>
      <c r="S45" s="61">
        <f>Prevalences!I33</f>
        <v>0</v>
      </c>
      <c r="T45" s="54">
        <f>Prevalences!I28</f>
        <v>0.67500000000000004</v>
      </c>
      <c r="U45" s="54">
        <f>Prevalences!I29+Prevalences!I31</f>
        <v>0.27499999999999997</v>
      </c>
    </row>
    <row r="49" spans="15:19" x14ac:dyDescent="0.45">
      <c r="P49" t="s">
        <v>153</v>
      </c>
      <c r="Q49" t="s">
        <v>624</v>
      </c>
      <c r="R49" t="s">
        <v>625</v>
      </c>
    </row>
    <row r="50" spans="15:19" x14ac:dyDescent="0.45">
      <c r="O50" t="s">
        <v>626</v>
      </c>
      <c r="P50">
        <v>47.2</v>
      </c>
      <c r="Q50">
        <v>295.39999999999998</v>
      </c>
      <c r="R50">
        <v>42.8</v>
      </c>
      <c r="S50" t="s">
        <v>627</v>
      </c>
    </row>
    <row r="51" spans="15:19" x14ac:dyDescent="0.45">
      <c r="O51" t="s">
        <v>622</v>
      </c>
      <c r="P51">
        <v>1.88</v>
      </c>
      <c r="Q51" s="181">
        <f>SUMPRODUCT(P44:U44,P45:U45)</f>
        <v>5.1074999999999999</v>
      </c>
      <c r="R51">
        <v>3</v>
      </c>
      <c r="S51" t="s">
        <v>628</v>
      </c>
    </row>
    <row r="52" spans="15:19" x14ac:dyDescent="0.45">
      <c r="O52" t="s">
        <v>629</v>
      </c>
      <c r="P52">
        <f>P50/P51</f>
        <v>25.106382978723406</v>
      </c>
      <c r="Q52">
        <f>Q50/Q51</f>
        <v>57.836514929025938</v>
      </c>
      <c r="R52">
        <f>R50/R51</f>
        <v>14.266666666666666</v>
      </c>
    </row>
    <row r="53" spans="15:19" x14ac:dyDescent="0.45">
      <c r="O53" t="s">
        <v>630</v>
      </c>
      <c r="P53" s="59">
        <f>1/P52</f>
        <v>3.9830508474576268E-2</v>
      </c>
      <c r="Q53" s="180">
        <f t="shared" ref="Q53:R53" si="5">1/Q52</f>
        <v>1.7290115098171972E-2</v>
      </c>
      <c r="R53" s="180">
        <f t="shared" si="5"/>
        <v>7.0093457943925241E-2</v>
      </c>
    </row>
    <row r="54" spans="15:19" x14ac:dyDescent="0.45">
      <c r="R54" s="127" t="s">
        <v>631</v>
      </c>
    </row>
    <row r="55" spans="15:19" x14ac:dyDescent="0.45">
      <c r="Q55" s="127" t="s">
        <v>632</v>
      </c>
    </row>
    <row r="74" spans="1:7" x14ac:dyDescent="0.45">
      <c r="A74" s="182" t="s">
        <v>633</v>
      </c>
      <c r="B74" s="182"/>
    </row>
    <row r="75" spans="1:7" x14ac:dyDescent="0.45">
      <c r="A75" t="s">
        <v>634</v>
      </c>
    </row>
    <row r="76" spans="1:7" x14ac:dyDescent="0.45">
      <c r="A76" t="s">
        <v>635</v>
      </c>
    </row>
    <row r="77" spans="1:7" x14ac:dyDescent="0.45">
      <c r="A77" t="s">
        <v>636</v>
      </c>
    </row>
    <row r="79" spans="1:7" x14ac:dyDescent="0.45">
      <c r="A79" t="s">
        <v>637</v>
      </c>
      <c r="E79">
        <f>401/100000</f>
        <v>4.0099999999999997E-3</v>
      </c>
      <c r="G79" t="s">
        <v>638</v>
      </c>
    </row>
    <row r="80" spans="1:7" x14ac:dyDescent="0.45">
      <c r="A80" t="s">
        <v>639</v>
      </c>
      <c r="E80" s="54">
        <v>0.85</v>
      </c>
      <c r="G80" t="s">
        <v>640</v>
      </c>
    </row>
    <row r="82" spans="2:22" x14ac:dyDescent="0.45">
      <c r="B82" t="s">
        <v>641</v>
      </c>
      <c r="C82" t="s">
        <v>642</v>
      </c>
      <c r="E82" t="s">
        <v>643</v>
      </c>
      <c r="G82" t="s">
        <v>644</v>
      </c>
    </row>
    <row r="83" spans="2:22" x14ac:dyDescent="0.45">
      <c r="B83" s="54">
        <v>1</v>
      </c>
      <c r="C83" t="s">
        <v>645</v>
      </c>
    </row>
    <row r="84" spans="2:22" x14ac:dyDescent="0.45">
      <c r="C84" s="61">
        <f>Prevalences!S71</f>
        <v>0.26812151014720248</v>
      </c>
      <c r="D84" t="s">
        <v>646</v>
      </c>
    </row>
    <row r="85" spans="2:22" x14ac:dyDescent="0.45">
      <c r="C85" s="61">
        <f>Prevalences!T72</f>
        <v>5.0116865018980945E-2</v>
      </c>
      <c r="D85" t="s">
        <v>647</v>
      </c>
    </row>
    <row r="86" spans="2:22" x14ac:dyDescent="0.45">
      <c r="C86" s="54">
        <f>B83-C84-C85</f>
        <v>0.68176162483381653</v>
      </c>
      <c r="D86" t="s">
        <v>648</v>
      </c>
    </row>
    <row r="87" spans="2:22" x14ac:dyDescent="0.45">
      <c r="C87" s="54"/>
      <c r="E87" s="61">
        <f>C86*C84</f>
        <v>0.18279495641085339</v>
      </c>
      <c r="F87" t="s">
        <v>646</v>
      </c>
    </row>
    <row r="88" spans="2:22" x14ac:dyDescent="0.45">
      <c r="C88" s="54"/>
      <c r="E88" s="61">
        <f>C86*C85</f>
        <v>3.4167755326917508E-2</v>
      </c>
      <c r="F88" t="s">
        <v>647</v>
      </c>
    </row>
    <row r="89" spans="2:22" x14ac:dyDescent="0.45">
      <c r="C89" s="54"/>
      <c r="E89" s="54">
        <f>C86-E87-E88</f>
        <v>0.4647989130960456</v>
      </c>
      <c r="F89" t="s">
        <v>648</v>
      </c>
    </row>
    <row r="90" spans="2:22" x14ac:dyDescent="0.45">
      <c r="C90" s="54"/>
      <c r="G90" s="61">
        <f>E89*E87</f>
        <v>8.4962897059203693E-2</v>
      </c>
      <c r="H90" t="s">
        <v>646</v>
      </c>
    </row>
    <row r="91" spans="2:22" x14ac:dyDescent="0.45">
      <c r="C91" s="54"/>
      <c r="G91" s="61">
        <f>E89*E88</f>
        <v>1.588113553888288E-2</v>
      </c>
      <c r="H91" t="s">
        <v>647</v>
      </c>
    </row>
    <row r="92" spans="2:22" x14ac:dyDescent="0.45">
      <c r="G92" s="54">
        <f>E89-G90-G91</f>
        <v>0.36395488049795904</v>
      </c>
      <c r="H92" t="s">
        <v>648</v>
      </c>
      <c r="I92" t="s">
        <v>649</v>
      </c>
    </row>
    <row r="93" spans="2:22" x14ac:dyDescent="0.45">
      <c r="G93" s="54"/>
      <c r="I93" s="61"/>
    </row>
    <row r="94" spans="2:22" x14ac:dyDescent="0.45">
      <c r="B94" s="89">
        <f>C84*0.5+C85*1+E87*1.5+E88*2+G90*2.5+G91*3+G92*3</f>
        <v>1.8786208561212323</v>
      </c>
      <c r="C94" t="s">
        <v>650</v>
      </c>
      <c r="G94" s="54"/>
      <c r="I94" s="61"/>
      <c r="V94" t="s">
        <v>2140</v>
      </c>
    </row>
    <row r="96" spans="2:22" x14ac:dyDescent="0.45">
      <c r="B96" t="s">
        <v>618</v>
      </c>
      <c r="C96" t="s">
        <v>619</v>
      </c>
      <c r="D96" t="s">
        <v>620</v>
      </c>
      <c r="E96" t="s">
        <v>651</v>
      </c>
    </row>
    <row r="97" spans="1:22" x14ac:dyDescent="0.45">
      <c r="A97" t="s">
        <v>652</v>
      </c>
      <c r="B97" s="54">
        <v>0.91</v>
      </c>
      <c r="C97" s="54">
        <v>0.85</v>
      </c>
      <c r="D97" s="54">
        <v>0.94</v>
      </c>
      <c r="E97" s="54">
        <v>0.99</v>
      </c>
      <c r="G97" t="s">
        <v>653</v>
      </c>
    </row>
    <row r="98" spans="1:22" x14ac:dyDescent="0.45">
      <c r="A98" t="s">
        <v>654</v>
      </c>
      <c r="B98" s="3">
        <f>B94</f>
        <v>1.8786208561212323</v>
      </c>
      <c r="C98" s="3">
        <f>B98</f>
        <v>1.8786208561212323</v>
      </c>
      <c r="D98" s="3">
        <f>C98</f>
        <v>1.8786208561212323</v>
      </c>
      <c r="E98">
        <v>3</v>
      </c>
    </row>
    <row r="99" spans="1:22" x14ac:dyDescent="0.45">
      <c r="A99" t="s">
        <v>655</v>
      </c>
      <c r="B99" s="54">
        <f>P45</f>
        <v>4.9999999999999996E-2</v>
      </c>
      <c r="C99" s="54">
        <f>S45</f>
        <v>0</v>
      </c>
      <c r="D99" s="54">
        <f>T45</f>
        <v>0.67500000000000004</v>
      </c>
      <c r="E99" s="54">
        <f>U45</f>
        <v>0.27499999999999997</v>
      </c>
    </row>
    <row r="101" spans="1:22" x14ac:dyDescent="0.45">
      <c r="A101" t="s">
        <v>656</v>
      </c>
      <c r="E101" s="89">
        <f>66.6</f>
        <v>66.599999999999994</v>
      </c>
      <c r="G101" t="s">
        <v>612</v>
      </c>
    </row>
    <row r="102" spans="1:22" x14ac:dyDescent="0.45">
      <c r="A102" t="s">
        <v>657</v>
      </c>
      <c r="E102" s="89">
        <f>S111</f>
        <v>29.195164730085189</v>
      </c>
      <c r="N102" t="s">
        <v>115</v>
      </c>
      <c r="O102" t="s">
        <v>658</v>
      </c>
      <c r="P102" t="s">
        <v>659</v>
      </c>
      <c r="Q102" t="s">
        <v>660</v>
      </c>
      <c r="R102" t="s">
        <v>661</v>
      </c>
      <c r="S102" t="s">
        <v>662</v>
      </c>
    </row>
    <row r="103" spans="1:22" x14ac:dyDescent="0.45">
      <c r="A103" t="s">
        <v>663</v>
      </c>
      <c r="E103" s="89">
        <f>E101-E102</f>
        <v>37.404835269914805</v>
      </c>
      <c r="N103" t="s">
        <v>664</v>
      </c>
      <c r="O103">
        <f>9.4/100</f>
        <v>9.4E-2</v>
      </c>
      <c r="P103" s="6">
        <f>'Pop F'!L482</f>
        <v>6432.598</v>
      </c>
      <c r="Q103" s="6">
        <f t="shared" ref="Q103:Q109" si="6">O103*P103</f>
        <v>604.66421200000002</v>
      </c>
      <c r="R103" s="61">
        <f>Q103/SUM(Q$103:Q$109)</f>
        <v>7.4784852036946237E-2</v>
      </c>
      <c r="S103">
        <v>17</v>
      </c>
    </row>
    <row r="104" spans="1:22" x14ac:dyDescent="0.45">
      <c r="N104" t="s">
        <v>665</v>
      </c>
      <c r="O104">
        <f>34.7/100</f>
        <v>0.34700000000000003</v>
      </c>
      <c r="P104" s="6">
        <f>'Pop F'!M482</f>
        <v>5816.1729999999998</v>
      </c>
      <c r="Q104" s="6">
        <f t="shared" si="6"/>
        <v>2018.212031</v>
      </c>
      <c r="R104" s="61">
        <f t="shared" ref="R104:R109" si="7">Q104/SUM(Q$103:Q$109)</f>
        <v>0.24961240490535225</v>
      </c>
      <c r="S104">
        <v>22</v>
      </c>
    </row>
    <row r="105" spans="1:22" x14ac:dyDescent="0.45">
      <c r="A105" s="86" t="s">
        <v>666</v>
      </c>
      <c r="N105" t="s">
        <v>667</v>
      </c>
      <c r="O105">
        <f>40.5/100</f>
        <v>0.40500000000000003</v>
      </c>
      <c r="P105" s="6">
        <f>'Pop F'!N482</f>
        <v>4802.45</v>
      </c>
      <c r="Q105" s="6">
        <f t="shared" si="6"/>
        <v>1944.99225</v>
      </c>
      <c r="R105" s="61">
        <f t="shared" si="7"/>
        <v>0.24055658453498344</v>
      </c>
      <c r="S105">
        <v>27</v>
      </c>
    </row>
    <row r="106" spans="1:22" x14ac:dyDescent="0.45">
      <c r="A106" t="s">
        <v>668</v>
      </c>
      <c r="E106">
        <f>E79*E80</f>
        <v>3.4084999999999996E-3</v>
      </c>
      <c r="F106" t="s">
        <v>669</v>
      </c>
      <c r="N106" t="s">
        <v>670</v>
      </c>
      <c r="O106">
        <f>39.5/100</f>
        <v>0.39500000000000002</v>
      </c>
      <c r="P106" s="6">
        <f>'Pop F'!O482</f>
        <v>3757.5439999999999</v>
      </c>
      <c r="Q106" s="6">
        <f t="shared" si="6"/>
        <v>1484.2298800000001</v>
      </c>
      <c r="R106" s="61">
        <f t="shared" si="7"/>
        <v>0.18356950810347358</v>
      </c>
      <c r="S106">
        <v>32</v>
      </c>
    </row>
    <row r="107" spans="1:22" x14ac:dyDescent="0.45">
      <c r="A107" t="s">
        <v>671</v>
      </c>
      <c r="E107">
        <f>SUMPRODUCT(B97:E97,B99:E99)</f>
        <v>0.95224999999999993</v>
      </c>
      <c r="N107" t="s">
        <v>672</v>
      </c>
      <c r="O107">
        <f>34.1/100</f>
        <v>0.34100000000000003</v>
      </c>
      <c r="P107" s="6">
        <f>'Pop F'!P482</f>
        <v>3182.837</v>
      </c>
      <c r="Q107" s="6">
        <f t="shared" si="6"/>
        <v>1085.3474170000002</v>
      </c>
      <c r="R107" s="61">
        <f t="shared" si="7"/>
        <v>0.13423573675801867</v>
      </c>
      <c r="S107">
        <v>37</v>
      </c>
    </row>
    <row r="108" spans="1:22" x14ac:dyDescent="0.45">
      <c r="A108" t="s">
        <v>673</v>
      </c>
      <c r="E108">
        <f>SUMPRODUCT(B99:E99,B98:E98)</f>
        <v>2.1870001206878937</v>
      </c>
      <c r="N108" t="s">
        <v>674</v>
      </c>
      <c r="O108">
        <f>26.9/100</f>
        <v>0.26899999999999996</v>
      </c>
      <c r="P108" s="6">
        <f>'Pop F'!Q482</f>
        <v>2488.422</v>
      </c>
      <c r="Q108" s="6">
        <f t="shared" si="6"/>
        <v>669.38551799999993</v>
      </c>
      <c r="R108" s="61">
        <f t="shared" si="7"/>
        <v>8.2789581268131351E-2</v>
      </c>
      <c r="S108">
        <v>42</v>
      </c>
    </row>
    <row r="109" spans="1:22" x14ac:dyDescent="0.45">
      <c r="A109" t="s">
        <v>675</v>
      </c>
      <c r="E109">
        <f>E106*E107*E108</f>
        <v>7.0984427930970212E-3</v>
      </c>
      <c r="N109" t="s">
        <v>676</v>
      </c>
      <c r="O109">
        <f>13.7/100</f>
        <v>0.13699999999999998</v>
      </c>
      <c r="P109" s="6">
        <f>'Pop F'!R482</f>
        <v>2033.2280000000001</v>
      </c>
      <c r="Q109" s="6">
        <f t="shared" si="6"/>
        <v>278.55223599999999</v>
      </c>
      <c r="R109" s="61">
        <f t="shared" si="7"/>
        <v>3.4451332393094447E-2</v>
      </c>
      <c r="S109">
        <v>47</v>
      </c>
    </row>
    <row r="110" spans="1:22" x14ac:dyDescent="0.45">
      <c r="A110" t="s">
        <v>677</v>
      </c>
      <c r="E110" s="183">
        <f>E109*E103</f>
        <v>0.26551608334870802</v>
      </c>
      <c r="V110" t="s">
        <v>2141</v>
      </c>
    </row>
    <row r="111" spans="1:22" x14ac:dyDescent="0.45">
      <c r="R111" t="s">
        <v>678</v>
      </c>
      <c r="S111" s="89">
        <f>SUMPRODUCT(S103:S109,R103:R109)</f>
        <v>29.195164730085189</v>
      </c>
      <c r="V111" t="s">
        <v>2142</v>
      </c>
    </row>
    <row r="113" spans="1:16" x14ac:dyDescent="0.45">
      <c r="A113" s="182" t="s">
        <v>679</v>
      </c>
    </row>
    <row r="114" spans="1:16" x14ac:dyDescent="0.45">
      <c r="A114" t="s">
        <v>680</v>
      </c>
    </row>
    <row r="116" spans="1:16" x14ac:dyDescent="0.45">
      <c r="M116" t="s">
        <v>681</v>
      </c>
      <c r="O116" s="189">
        <f>Prevalences!C217*SUM(Demographics_Total!B3:G4)</f>
        <v>7281600.1817481061</v>
      </c>
      <c r="P116" t="s">
        <v>682</v>
      </c>
    </row>
    <row r="117" spans="1:16" x14ac:dyDescent="0.45">
      <c r="F117" t="s">
        <v>683</v>
      </c>
      <c r="G117">
        <f>2/52*0.279</f>
        <v>1.0730769230769233E-2</v>
      </c>
      <c r="M117" t="s">
        <v>684</v>
      </c>
      <c r="O117" s="189">
        <f>10916+2461</f>
        <v>13377</v>
      </c>
      <c r="P117" t="s">
        <v>685</v>
      </c>
    </row>
    <row r="118" spans="1:16" x14ac:dyDescent="0.45">
      <c r="F118" t="s">
        <v>686</v>
      </c>
    </row>
    <row r="119" spans="1:16" x14ac:dyDescent="0.45">
      <c r="G119" t="s">
        <v>687</v>
      </c>
      <c r="J119" s="75">
        <f>O117/O116</f>
        <v>1.8370961967302854E-3</v>
      </c>
      <c r="O119" t="s">
        <v>688</v>
      </c>
    </row>
    <row r="120" spans="1:16" x14ac:dyDescent="0.45">
      <c r="G120" t="s">
        <v>689</v>
      </c>
      <c r="J120" s="61">
        <f>AVERAGE(0.34,0.5)</f>
        <v>0.42000000000000004</v>
      </c>
      <c r="O120" s="91">
        <f>43881/1500000</f>
        <v>2.9253999999999999E-2</v>
      </c>
      <c r="P120" t="s">
        <v>690</v>
      </c>
    </row>
    <row r="121" spans="1:16" x14ac:dyDescent="0.45">
      <c r="G121" t="s">
        <v>691</v>
      </c>
      <c r="J121" s="3">
        <f>E101</f>
        <v>66.599999999999994</v>
      </c>
      <c r="P121" t="s">
        <v>692</v>
      </c>
    </row>
    <row r="122" spans="1:16" x14ac:dyDescent="0.45">
      <c r="G122" t="s">
        <v>693</v>
      </c>
      <c r="J122">
        <v>2.5</v>
      </c>
    </row>
    <row r="123" spans="1:16" x14ac:dyDescent="0.45">
      <c r="G123" t="s">
        <v>694</v>
      </c>
      <c r="J123" s="3">
        <f>J121-J122</f>
        <v>64.099999999999994</v>
      </c>
    </row>
    <row r="124" spans="1:16" x14ac:dyDescent="0.45">
      <c r="G124" t="s">
        <v>695</v>
      </c>
      <c r="J124" s="184">
        <f>J119*J120*J123</f>
        <v>4.9458303808372746E-2</v>
      </c>
    </row>
    <row r="126" spans="1:16" x14ac:dyDescent="0.45">
      <c r="F126" t="s">
        <v>696</v>
      </c>
      <c r="G126" s="190">
        <f>J124+G117</f>
        <v>6.0189073039141977E-2</v>
      </c>
    </row>
    <row r="133" spans="1:16" x14ac:dyDescent="0.45">
      <c r="A133" s="186" t="s">
        <v>697</v>
      </c>
    </row>
    <row r="134" spans="1:16" x14ac:dyDescent="0.45">
      <c r="A134" t="s">
        <v>698</v>
      </c>
    </row>
    <row r="135" spans="1:16" x14ac:dyDescent="0.45">
      <c r="M135" t="s">
        <v>434</v>
      </c>
      <c r="O135">
        <v>3.2000000000000001E-2</v>
      </c>
      <c r="P135" t="s">
        <v>576</v>
      </c>
    </row>
    <row r="136" spans="1:16" x14ac:dyDescent="0.45">
      <c r="M136" t="s">
        <v>288</v>
      </c>
      <c r="O136">
        <v>3.34</v>
      </c>
      <c r="P136" t="s">
        <v>576</v>
      </c>
    </row>
    <row r="137" spans="1:16" x14ac:dyDescent="0.45">
      <c r="M137" t="s">
        <v>699</v>
      </c>
      <c r="O137">
        <f>O136*0.2</f>
        <v>0.66800000000000004</v>
      </c>
      <c r="P137" t="s">
        <v>576</v>
      </c>
    </row>
    <row r="138" spans="1:16" x14ac:dyDescent="0.45">
      <c r="M138" t="s">
        <v>614</v>
      </c>
      <c r="O138" s="191">
        <f>O135/O137</f>
        <v>4.7904191616766463E-2</v>
      </c>
      <c r="P138" s="127" t="s">
        <v>700</v>
      </c>
    </row>
    <row r="139" spans="1:16" x14ac:dyDescent="0.45">
      <c r="P139" t="s">
        <v>701</v>
      </c>
    </row>
    <row r="141" spans="1:16" x14ac:dyDescent="0.45">
      <c r="A141" t="s">
        <v>702</v>
      </c>
    </row>
    <row r="158" spans="1:12" x14ac:dyDescent="0.45">
      <c r="A158" t="s">
        <v>703</v>
      </c>
    </row>
    <row r="159" spans="1:12" x14ac:dyDescent="0.45">
      <c r="L159" t="s">
        <v>704</v>
      </c>
    </row>
    <row r="160" spans="1:12" x14ac:dyDescent="0.45">
      <c r="L160" t="s">
        <v>705</v>
      </c>
    </row>
    <row r="162" spans="1:14" x14ac:dyDescent="0.45">
      <c r="L162" t="s">
        <v>706</v>
      </c>
    </row>
    <row r="163" spans="1:14" x14ac:dyDescent="0.45">
      <c r="L163">
        <v>4979</v>
      </c>
    </row>
    <row r="164" spans="1:14" x14ac:dyDescent="0.45">
      <c r="L164" t="s">
        <v>707</v>
      </c>
    </row>
    <row r="165" spans="1:14" x14ac:dyDescent="0.45">
      <c r="L165">
        <v>338</v>
      </c>
      <c r="M165" t="s">
        <v>708</v>
      </c>
    </row>
    <row r="166" spans="1:14" x14ac:dyDescent="0.45">
      <c r="L166" s="180">
        <f>L165/1000</f>
        <v>0.33800000000000002</v>
      </c>
      <c r="M166" t="s">
        <v>709</v>
      </c>
      <c r="N166" s="127" t="s">
        <v>710</v>
      </c>
    </row>
    <row r="175" spans="1:14" x14ac:dyDescent="0.45">
      <c r="A175" t="s">
        <v>711</v>
      </c>
    </row>
    <row r="177" spans="1:16" x14ac:dyDescent="0.45">
      <c r="B177" s="188">
        <f>23/1000</f>
        <v>2.3E-2</v>
      </c>
      <c r="C177" t="s">
        <v>712</v>
      </c>
    </row>
    <row r="180" spans="1:16" x14ac:dyDescent="0.45">
      <c r="A180" t="s">
        <v>713</v>
      </c>
    </row>
    <row r="181" spans="1:16" x14ac:dyDescent="0.45">
      <c r="G181" t="s">
        <v>714</v>
      </c>
    </row>
    <row r="182" spans="1:16" x14ac:dyDescent="0.45">
      <c r="B182" t="s">
        <v>715</v>
      </c>
      <c r="D182" s="6">
        <v>1100000</v>
      </c>
      <c r="G182" s="196" t="s">
        <v>716</v>
      </c>
    </row>
    <row r="184" spans="1:16" x14ac:dyDescent="0.45">
      <c r="B184" t="s">
        <v>717</v>
      </c>
      <c r="D184" s="192">
        <v>271</v>
      </c>
      <c r="P184">
        <f>341.8406</f>
        <v>341.84059999999999</v>
      </c>
    </row>
    <row r="185" spans="1:16" x14ac:dyDescent="0.45">
      <c r="B185" t="s">
        <v>718</v>
      </c>
      <c r="D185" s="193">
        <v>17.3</v>
      </c>
      <c r="E185" t="s">
        <v>576</v>
      </c>
      <c r="P185" s="188">
        <f>P184/1000</f>
        <v>0.34184059999999999</v>
      </c>
    </row>
    <row r="187" spans="1:16" x14ac:dyDescent="0.45">
      <c r="B187" t="s">
        <v>719</v>
      </c>
      <c r="D187" s="161">
        <f>D185/D182*1000000</f>
        <v>15.727272727272728</v>
      </c>
    </row>
    <row r="188" spans="1:16" x14ac:dyDescent="0.45">
      <c r="B188" t="s">
        <v>720</v>
      </c>
      <c r="D188" s="180">
        <f>D187/D184</f>
        <v>5.8034216705803429E-2</v>
      </c>
    </row>
    <row r="192" spans="1:16" x14ac:dyDescent="0.45">
      <c r="A192" t="s">
        <v>721</v>
      </c>
      <c r="H192" s="57" t="s">
        <v>722</v>
      </c>
    </row>
    <row r="193" spans="1:8" x14ac:dyDescent="0.45">
      <c r="B193" s="186" t="s">
        <v>723</v>
      </c>
      <c r="C193" s="186" t="s">
        <v>724</v>
      </c>
      <c r="H193" t="s">
        <v>725</v>
      </c>
    </row>
    <row r="194" spans="1:8" x14ac:dyDescent="0.45">
      <c r="B194" t="s">
        <v>726</v>
      </c>
      <c r="C194" s="195">
        <v>0.36098622654892099</v>
      </c>
      <c r="D194" t="s">
        <v>294</v>
      </c>
    </row>
    <row r="195" spans="1:8" x14ac:dyDescent="0.45">
      <c r="B195" t="s">
        <v>727</v>
      </c>
      <c r="C195" s="195">
        <v>7.4195673431245293E-2</v>
      </c>
      <c r="D195" t="s">
        <v>293</v>
      </c>
    </row>
    <row r="196" spans="1:8" x14ac:dyDescent="0.45">
      <c r="B196" t="s">
        <v>728</v>
      </c>
      <c r="C196" s="195">
        <v>0.48551077682244398</v>
      </c>
      <c r="D196" t="s">
        <v>294</v>
      </c>
    </row>
    <row r="197" spans="1:8" x14ac:dyDescent="0.45">
      <c r="B197" t="s">
        <v>729</v>
      </c>
      <c r="C197" s="195">
        <v>0.29236325111597999</v>
      </c>
      <c r="D197" t="s">
        <v>729</v>
      </c>
    </row>
    <row r="198" spans="1:8" x14ac:dyDescent="0.45">
      <c r="B198" t="s">
        <v>730</v>
      </c>
      <c r="C198" s="195">
        <v>1.8559004324519299</v>
      </c>
      <c r="D198" t="s">
        <v>294</v>
      </c>
    </row>
    <row r="199" spans="1:8" x14ac:dyDescent="0.45">
      <c r="B199" t="s">
        <v>731</v>
      </c>
      <c r="C199" s="195">
        <v>0.14366259279414001</v>
      </c>
      <c r="D199" t="s">
        <v>295</v>
      </c>
    </row>
    <row r="200" spans="1:8" x14ac:dyDescent="0.45">
      <c r="B200" t="s">
        <v>732</v>
      </c>
      <c r="C200" s="195">
        <v>0.180473905853648</v>
      </c>
      <c r="D200" t="s">
        <v>295</v>
      </c>
    </row>
    <row r="201" spans="1:8" x14ac:dyDescent="0.45">
      <c r="B201" t="s">
        <v>733</v>
      </c>
      <c r="C201" s="195">
        <v>0.43717590813142299</v>
      </c>
      <c r="D201" t="s">
        <v>294</v>
      </c>
    </row>
    <row r="202" spans="1:8" x14ac:dyDescent="0.45">
      <c r="B202" t="s">
        <v>734</v>
      </c>
      <c r="C202" s="195">
        <v>6.2392966357071998E-2</v>
      </c>
      <c r="D202" t="s">
        <v>294</v>
      </c>
    </row>
    <row r="206" spans="1:8" x14ac:dyDescent="0.45">
      <c r="A206" s="57" t="s">
        <v>735</v>
      </c>
    </row>
    <row r="216" spans="13:13" x14ac:dyDescent="0.45">
      <c r="M216" s="127" t="s">
        <v>736</v>
      </c>
    </row>
    <row r="217" spans="13:13" x14ac:dyDescent="0.45">
      <c r="M217" s="127" t="s">
        <v>737</v>
      </c>
    </row>
    <row r="218" spans="13:13" x14ac:dyDescent="0.45">
      <c r="M218" s="127"/>
    </row>
    <row r="219" spans="13:13" x14ac:dyDescent="0.45">
      <c r="M219" s="127" t="s">
        <v>738</v>
      </c>
    </row>
    <row r="225" spans="1:13" x14ac:dyDescent="0.45">
      <c r="C225" t="s">
        <v>739</v>
      </c>
      <c r="E225" t="s">
        <v>740</v>
      </c>
      <c r="G225" t="s">
        <v>741</v>
      </c>
    </row>
    <row r="226" spans="1:13" x14ac:dyDescent="0.45">
      <c r="C226">
        <v>724</v>
      </c>
      <c r="E226">
        <v>4683</v>
      </c>
      <c r="G226" s="188">
        <f>E226/C226</f>
        <v>6.4682320441988947</v>
      </c>
    </row>
    <row r="227" spans="1:13" x14ac:dyDescent="0.45">
      <c r="G227" t="s">
        <v>1919</v>
      </c>
    </row>
    <row r="228" spans="1:13" x14ac:dyDescent="0.45">
      <c r="G228" s="188" t="e">
        <f>G226*Tasks_previous!#REF!</f>
        <v>#REF!</v>
      </c>
    </row>
    <row r="230" spans="1:13" x14ac:dyDescent="0.45">
      <c r="A230" s="186" t="s">
        <v>742</v>
      </c>
    </row>
    <row r="232" spans="1:13" x14ac:dyDescent="0.45">
      <c r="B232" t="s">
        <v>743</v>
      </c>
    </row>
    <row r="233" spans="1:13" x14ac:dyDescent="0.45">
      <c r="B233" t="s">
        <v>744</v>
      </c>
    </row>
    <row r="234" spans="1:13" x14ac:dyDescent="0.45">
      <c r="B234" t="s">
        <v>745</v>
      </c>
    </row>
    <row r="235" spans="1:13" x14ac:dyDescent="0.45">
      <c r="B235" t="s">
        <v>746</v>
      </c>
    </row>
    <row r="237" spans="1:13" x14ac:dyDescent="0.45">
      <c r="B237" s="57" t="s">
        <v>747</v>
      </c>
    </row>
    <row r="238" spans="1:13" x14ac:dyDescent="0.45">
      <c r="M238" t="s">
        <v>748</v>
      </c>
    </row>
    <row r="244" spans="13:18" x14ac:dyDescent="0.45">
      <c r="M244" t="s">
        <v>749</v>
      </c>
    </row>
    <row r="247" spans="13:18" x14ac:dyDescent="0.45">
      <c r="M247" t="s">
        <v>750</v>
      </c>
    </row>
    <row r="248" spans="13:18" x14ac:dyDescent="0.45">
      <c r="M248">
        <v>1.5</v>
      </c>
      <c r="N248" t="s">
        <v>751</v>
      </c>
      <c r="P248" t="s">
        <v>752</v>
      </c>
      <c r="R248">
        <v>0.52</v>
      </c>
    </row>
    <row r="249" spans="13:18" x14ac:dyDescent="0.45">
      <c r="M249">
        <v>1.17</v>
      </c>
      <c r="N249" t="s">
        <v>753</v>
      </c>
      <c r="P249" t="s">
        <v>754</v>
      </c>
      <c r="R249">
        <v>0.78</v>
      </c>
    </row>
    <row r="250" spans="13:18" x14ac:dyDescent="0.45">
      <c r="Q250" t="s">
        <v>755</v>
      </c>
      <c r="R250">
        <f>R249-R248</f>
        <v>0.26</v>
      </c>
    </row>
    <row r="251" spans="13:18" x14ac:dyDescent="0.45">
      <c r="M251" s="6">
        <f>M248/M249*10000</f>
        <v>12820.512820512822</v>
      </c>
      <c r="N251" t="s">
        <v>756</v>
      </c>
    </row>
    <row r="252" spans="13:18" x14ac:dyDescent="0.45">
      <c r="M252" s="6">
        <v>10000</v>
      </c>
      <c r="N252" t="s">
        <v>757</v>
      </c>
    </row>
    <row r="253" spans="13:18" x14ac:dyDescent="0.45">
      <c r="M253" s="197">
        <f>M251/M252/R250</f>
        <v>4.9309664694280082</v>
      </c>
      <c r="N253" t="s">
        <v>758</v>
      </c>
    </row>
    <row r="256" spans="13:18" x14ac:dyDescent="0.45">
      <c r="M256" t="s">
        <v>759</v>
      </c>
    </row>
    <row r="257" spans="13:13" x14ac:dyDescent="0.45">
      <c r="M257" t="s">
        <v>760</v>
      </c>
    </row>
    <row r="258" spans="13:13" x14ac:dyDescent="0.45">
      <c r="M258" t="s">
        <v>761</v>
      </c>
    </row>
    <row r="279" spans="2:10" x14ac:dyDescent="0.45">
      <c r="B279" t="s">
        <v>762</v>
      </c>
    </row>
    <row r="280" spans="2:10" x14ac:dyDescent="0.45">
      <c r="B280" t="s">
        <v>763</v>
      </c>
    </row>
    <row r="285" spans="2:10" x14ac:dyDescent="0.45">
      <c r="I285">
        <f>5.25/43</f>
        <v>0.12209302325581395</v>
      </c>
      <c r="J285" t="s">
        <v>764</v>
      </c>
    </row>
    <row r="286" spans="2:10" x14ac:dyDescent="0.45">
      <c r="I286">
        <v>15</v>
      </c>
      <c r="J286" t="s">
        <v>765</v>
      </c>
    </row>
    <row r="287" spans="2:10" x14ac:dyDescent="0.45">
      <c r="I287" s="59">
        <f>I285/I286</f>
        <v>8.1395348837209301E-3</v>
      </c>
    </row>
    <row r="290" spans="2:14" x14ac:dyDescent="0.45">
      <c r="B290" t="s">
        <v>766</v>
      </c>
    </row>
    <row r="301" spans="2:14" x14ac:dyDescent="0.45">
      <c r="M301">
        <v>29</v>
      </c>
      <c r="N301" t="s">
        <v>767</v>
      </c>
    </row>
    <row r="303" spans="2:14" x14ac:dyDescent="0.45">
      <c r="M303">
        <f>M301/365</f>
        <v>7.9452054794520555E-2</v>
      </c>
      <c r="N303" t="s">
        <v>768</v>
      </c>
    </row>
    <row r="304" spans="2:14" x14ac:dyDescent="0.45">
      <c r="N304" t="s">
        <v>769</v>
      </c>
    </row>
    <row r="305" spans="1:14" x14ac:dyDescent="0.45">
      <c r="N305" t="s">
        <v>770</v>
      </c>
    </row>
    <row r="309" spans="1:14" x14ac:dyDescent="0.45">
      <c r="A309" s="186" t="s">
        <v>200</v>
      </c>
    </row>
    <row r="311" spans="1:14" x14ac:dyDescent="0.45">
      <c r="A311" t="s">
        <v>504</v>
      </c>
    </row>
    <row r="314" spans="1:14" x14ac:dyDescent="0.45">
      <c r="M314" s="85">
        <v>0.12</v>
      </c>
      <c r="N314" t="s">
        <v>1809</v>
      </c>
    </row>
    <row r="323" spans="2:9" x14ac:dyDescent="0.45">
      <c r="B323" s="186" t="s">
        <v>1810</v>
      </c>
    </row>
    <row r="324" spans="2:9" x14ac:dyDescent="0.45">
      <c r="B324" t="s">
        <v>1814</v>
      </c>
      <c r="E324">
        <f>127/64</f>
        <v>1.984375</v>
      </c>
      <c r="F324" t="s">
        <v>1815</v>
      </c>
      <c r="H324" t="s">
        <v>1818</v>
      </c>
    </row>
    <row r="325" spans="2:9" x14ac:dyDescent="0.45">
      <c r="E325" s="226">
        <f>177/102</f>
        <v>1.7352941176470589</v>
      </c>
      <c r="F325" t="s">
        <v>1816</v>
      </c>
      <c r="H325" s="61">
        <f>1-(102/177)</f>
        <v>0.42372881355932202</v>
      </c>
      <c r="I325" t="s">
        <v>1816</v>
      </c>
    </row>
    <row r="327" spans="2:9" x14ac:dyDescent="0.45">
      <c r="B327" s="186" t="s">
        <v>1811</v>
      </c>
    </row>
    <row r="328" spans="2:9" x14ac:dyDescent="0.45">
      <c r="B328" t="s">
        <v>1812</v>
      </c>
      <c r="E328" s="54">
        <v>0.76</v>
      </c>
    </row>
    <row r="329" spans="2:9" x14ac:dyDescent="0.45">
      <c r="B329" t="s">
        <v>1813</v>
      </c>
      <c r="E329" s="54">
        <v>0.95</v>
      </c>
    </row>
    <row r="331" spans="2:9" x14ac:dyDescent="0.45">
      <c r="B331" s="186" t="s">
        <v>1817</v>
      </c>
    </row>
    <row r="332" spans="2:9" x14ac:dyDescent="0.45">
      <c r="B332" t="s">
        <v>1819</v>
      </c>
      <c r="F332">
        <f>102*0.76</f>
        <v>77.52</v>
      </c>
    </row>
    <row r="333" spans="2:9" x14ac:dyDescent="0.45">
      <c r="B333" t="s">
        <v>1820</v>
      </c>
      <c r="F333">
        <f>177*0.95</f>
        <v>168.15</v>
      </c>
    </row>
    <row r="334" spans="2:9" x14ac:dyDescent="0.45">
      <c r="B334" t="s">
        <v>1821</v>
      </c>
      <c r="F334">
        <f>F333-F332</f>
        <v>90.63000000000001</v>
      </c>
    </row>
    <row r="335" spans="2:9" x14ac:dyDescent="0.45">
      <c r="F335" s="227">
        <f>F334/F333</f>
        <v>0.53898305084745768</v>
      </c>
      <c r="G335" t="s">
        <v>1822</v>
      </c>
    </row>
    <row r="338" spans="1:18" x14ac:dyDescent="0.45">
      <c r="A338" t="s">
        <v>1823</v>
      </c>
    </row>
    <row r="342" spans="1:18" x14ac:dyDescent="0.45">
      <c r="O342" t="s">
        <v>1828</v>
      </c>
      <c r="P342" t="s">
        <v>1829</v>
      </c>
      <c r="Q342" t="s">
        <v>1830</v>
      </c>
    </row>
    <row r="343" spans="1:18" x14ac:dyDescent="0.45">
      <c r="M343" t="s">
        <v>1824</v>
      </c>
      <c r="O343">
        <v>0.62</v>
      </c>
      <c r="P343">
        <v>44.8</v>
      </c>
      <c r="Q343" s="60">
        <f>P343/O343</f>
        <v>72.258064516129025</v>
      </c>
    </row>
    <row r="344" spans="1:18" x14ac:dyDescent="0.45">
      <c r="M344" t="s">
        <v>1825</v>
      </c>
      <c r="O344">
        <f>0.62+0.51</f>
        <v>1.1299999999999999</v>
      </c>
      <c r="P344">
        <v>47.4</v>
      </c>
      <c r="Q344" s="60">
        <f t="shared" ref="Q344:Q346" si="8">P344/O344</f>
        <v>41.946902654867259</v>
      </c>
    </row>
    <row r="345" spans="1:18" x14ac:dyDescent="0.45">
      <c r="M345" t="s">
        <v>1826</v>
      </c>
      <c r="O345">
        <f>0.61+0.03</f>
        <v>0.64</v>
      </c>
      <c r="P345">
        <v>45.9</v>
      </c>
      <c r="Q345" s="60">
        <f t="shared" si="8"/>
        <v>71.71875</v>
      </c>
    </row>
    <row r="346" spans="1:18" x14ac:dyDescent="0.45">
      <c r="M346" t="s">
        <v>1827</v>
      </c>
      <c r="O346">
        <f>0.62+0.51+0.03</f>
        <v>1.1599999999999999</v>
      </c>
      <c r="P346">
        <v>48.4</v>
      </c>
      <c r="Q346" s="229">
        <f t="shared" si="8"/>
        <v>41.724137931034484</v>
      </c>
      <c r="R346" t="s">
        <v>1831</v>
      </c>
    </row>
    <row r="360" spans="1:1" x14ac:dyDescent="0.45">
      <c r="A360" s="186" t="s">
        <v>69</v>
      </c>
    </row>
    <row r="361" spans="1:1" x14ac:dyDescent="0.45">
      <c r="A361" t="s">
        <v>1835</v>
      </c>
    </row>
    <row r="381" spans="2:8" x14ac:dyDescent="0.45">
      <c r="B381" t="s">
        <v>1836</v>
      </c>
      <c r="E381" s="193">
        <v>0.3</v>
      </c>
    </row>
    <row r="382" spans="2:8" x14ac:dyDescent="0.45">
      <c r="B382" t="s">
        <v>1837</v>
      </c>
      <c r="E382" s="193">
        <v>13.5</v>
      </c>
      <c r="G382">
        <f>E382/E381</f>
        <v>45</v>
      </c>
      <c r="H382" t="s">
        <v>1839</v>
      </c>
    </row>
    <row r="383" spans="2:8" x14ac:dyDescent="0.45">
      <c r="B383" t="s">
        <v>1838</v>
      </c>
      <c r="E383" s="231">
        <f>E381*(1/E382)</f>
        <v>2.222222222222222E-2</v>
      </c>
    </row>
    <row r="386" spans="1:11" x14ac:dyDescent="0.45">
      <c r="A386" t="s">
        <v>215</v>
      </c>
    </row>
    <row r="388" spans="1:11" x14ac:dyDescent="0.45">
      <c r="K388" t="s">
        <v>1842</v>
      </c>
    </row>
    <row r="404" spans="1:16" x14ac:dyDescent="0.45">
      <c r="B404" t="s">
        <v>363</v>
      </c>
    </row>
    <row r="407" spans="1:16" x14ac:dyDescent="0.45">
      <c r="M407" t="s">
        <v>418</v>
      </c>
      <c r="N407" t="s">
        <v>1846</v>
      </c>
      <c r="O407" t="s">
        <v>1847</v>
      </c>
    </row>
    <row r="408" spans="1:16" x14ac:dyDescent="0.45">
      <c r="L408" t="s">
        <v>1845</v>
      </c>
      <c r="M408">
        <v>15</v>
      </c>
      <c r="N408">
        <f>AVERAGE(1,7)</f>
        <v>4</v>
      </c>
    </row>
    <row r="409" spans="1:16" x14ac:dyDescent="0.45">
      <c r="L409" t="s">
        <v>1844</v>
      </c>
      <c r="M409">
        <v>35</v>
      </c>
      <c r="N409">
        <f>AVERAGE(8,30)</f>
        <v>19</v>
      </c>
      <c r="O409">
        <f>SUMPRODUCT(M408:M409,N408:N409)/SUM(M408:M409)</f>
        <v>14.5</v>
      </c>
      <c r="P409" t="s">
        <v>1848</v>
      </c>
    </row>
    <row r="410" spans="1:16" x14ac:dyDescent="0.45">
      <c r="O410">
        <f>O409/365</f>
        <v>3.9726027397260277E-2</v>
      </c>
      <c r="P410" t="s">
        <v>1849</v>
      </c>
    </row>
    <row r="411" spans="1:16" x14ac:dyDescent="0.45">
      <c r="O411">
        <v>1.44</v>
      </c>
      <c r="P411" t="s">
        <v>1850</v>
      </c>
    </row>
    <row r="412" spans="1:16" x14ac:dyDescent="0.45">
      <c r="O412" s="59">
        <f>O410*(O411-1)</f>
        <v>1.7479452054794519E-2</v>
      </c>
      <c r="P412" t="s">
        <v>1851</v>
      </c>
    </row>
    <row r="415" spans="1:16" x14ac:dyDescent="0.45">
      <c r="A415" s="186" t="s">
        <v>1853</v>
      </c>
    </row>
    <row r="417" spans="2:32" x14ac:dyDescent="0.45">
      <c r="B417" t="s">
        <v>1854</v>
      </c>
    </row>
    <row r="420" spans="2:32" x14ac:dyDescent="0.45">
      <c r="Y420" t="s">
        <v>1875</v>
      </c>
      <c r="Z420" s="54">
        <v>0.7</v>
      </c>
      <c r="AC420" s="127" t="s">
        <v>1886</v>
      </c>
    </row>
    <row r="421" spans="2:32" x14ac:dyDescent="0.45">
      <c r="AC421" s="127" t="s">
        <v>1879</v>
      </c>
    </row>
    <row r="423" spans="2:32" x14ac:dyDescent="0.45">
      <c r="L423" t="s">
        <v>1859</v>
      </c>
      <c r="Y423" t="s">
        <v>1864</v>
      </c>
    </row>
    <row r="424" spans="2:32" x14ac:dyDescent="0.45">
      <c r="K424" t="s">
        <v>1855</v>
      </c>
      <c r="L424">
        <v>40</v>
      </c>
      <c r="Z424" t="s">
        <v>1865</v>
      </c>
      <c r="AA424" t="s">
        <v>1869</v>
      </c>
      <c r="AB424" t="s">
        <v>1870</v>
      </c>
      <c r="AC424" t="s">
        <v>1871</v>
      </c>
      <c r="AD424" t="s">
        <v>1872</v>
      </c>
    </row>
    <row r="425" spans="2:32" x14ac:dyDescent="0.45">
      <c r="K425" t="s">
        <v>1856</v>
      </c>
      <c r="L425">
        <v>32.9</v>
      </c>
      <c r="Y425" t="s">
        <v>1866</v>
      </c>
      <c r="Z425" s="89">
        <v>18.7</v>
      </c>
      <c r="AA425" s="89">
        <f>13.7</f>
        <v>13.7</v>
      </c>
      <c r="AB425" s="89">
        <v>13.4</v>
      </c>
      <c r="AC425" s="89">
        <f>$Z425-($Z425-AA425)/$Z$420</f>
        <v>11.557142857142857</v>
      </c>
      <c r="AD425" s="89">
        <f t="shared" ref="AD425:AD429" si="9">$Z425-($Z425-AB425)/$Z$420</f>
        <v>11.12857142857143</v>
      </c>
    </row>
    <row r="426" spans="2:32" x14ac:dyDescent="0.45">
      <c r="K426" t="s">
        <v>1857</v>
      </c>
      <c r="L426">
        <v>32.5</v>
      </c>
      <c r="Y426" t="s">
        <v>1867</v>
      </c>
      <c r="Z426" s="89">
        <v>10.7</v>
      </c>
      <c r="AA426" s="89">
        <f>9.9</f>
        <v>9.9</v>
      </c>
      <c r="AB426" s="89">
        <v>9.8000000000000007</v>
      </c>
      <c r="AC426" s="89">
        <f t="shared" ref="AC426:AC429" si="10">$Z426-($Z426-AA426)/$Z$420</f>
        <v>9.5571428571428569</v>
      </c>
      <c r="AD426" s="89">
        <f t="shared" si="9"/>
        <v>9.4142857142857146</v>
      </c>
    </row>
    <row r="427" spans="2:32" x14ac:dyDescent="0.45">
      <c r="Y427" t="s">
        <v>1868</v>
      </c>
      <c r="Z427" s="89">
        <v>9.1999999999999993</v>
      </c>
      <c r="AA427" s="89">
        <f>8.2</f>
        <v>8.1999999999999993</v>
      </c>
      <c r="AB427" s="89">
        <v>3.2</v>
      </c>
      <c r="AC427" s="89">
        <f t="shared" si="10"/>
        <v>7.7714285714285705</v>
      </c>
      <c r="AD427" s="89">
        <f t="shared" si="9"/>
        <v>0.62857142857142811</v>
      </c>
    </row>
    <row r="428" spans="2:32" x14ac:dyDescent="0.45">
      <c r="L428" t="s">
        <v>1860</v>
      </c>
      <c r="M428" t="s">
        <v>1861</v>
      </c>
      <c r="N428" t="s">
        <v>1862</v>
      </c>
      <c r="Y428" t="s">
        <v>1873</v>
      </c>
      <c r="Z428" s="89">
        <f>0.8</f>
        <v>0.8</v>
      </c>
      <c r="AA428" s="89">
        <f>0.6</f>
        <v>0.6</v>
      </c>
      <c r="AB428" s="89">
        <v>0.6</v>
      </c>
      <c r="AC428" s="89">
        <f t="shared" si="10"/>
        <v>0.51428571428571423</v>
      </c>
      <c r="AD428" s="89">
        <f t="shared" si="9"/>
        <v>0.51428571428571423</v>
      </c>
    </row>
    <row r="429" spans="2:32" x14ac:dyDescent="0.45">
      <c r="K429" t="s">
        <v>1863</v>
      </c>
      <c r="L429" s="91">
        <v>0.248</v>
      </c>
      <c r="M429" s="91">
        <v>0.17499999999999999</v>
      </c>
      <c r="N429" s="91">
        <v>0.153</v>
      </c>
      <c r="Y429" t="s">
        <v>1874</v>
      </c>
      <c r="Z429" s="89">
        <v>0.6</v>
      </c>
      <c r="AA429" s="89">
        <v>0.5</v>
      </c>
      <c r="AB429" s="89">
        <v>0.5</v>
      </c>
      <c r="AC429" s="89">
        <f t="shared" si="10"/>
        <v>0.45714285714285718</v>
      </c>
      <c r="AD429" s="89">
        <f t="shared" si="9"/>
        <v>0.45714285714285718</v>
      </c>
    </row>
    <row r="430" spans="2:32" x14ac:dyDescent="0.45">
      <c r="K430" t="s">
        <v>1878</v>
      </c>
      <c r="L430" s="91">
        <f>L429*0.7</f>
        <v>0.17359999999999998</v>
      </c>
      <c r="M430" s="91">
        <f t="shared" ref="M430:N430" si="11">M429*0.7</f>
        <v>0.12249999999999998</v>
      </c>
      <c r="N430" s="91">
        <f t="shared" si="11"/>
        <v>0.10709999999999999</v>
      </c>
    </row>
    <row r="431" spans="2:32" x14ac:dyDescent="0.45">
      <c r="J431" t="s">
        <v>1856</v>
      </c>
      <c r="K431" t="s">
        <v>1876</v>
      </c>
      <c r="L431" s="91">
        <v>4.2000000000000003E-2</v>
      </c>
      <c r="M431" s="91">
        <v>0.16</v>
      </c>
      <c r="N431" s="91">
        <v>1.2E-2</v>
      </c>
      <c r="AC431" s="3">
        <f>SUM(AC425:AC429)</f>
        <v>29.857142857142854</v>
      </c>
      <c r="AD431" s="3">
        <f>SUM(AD425:AD429)</f>
        <v>22.142857142857139</v>
      </c>
      <c r="AE431" t="s">
        <v>1880</v>
      </c>
    </row>
    <row r="432" spans="2:32" x14ac:dyDescent="0.45">
      <c r="K432" t="s">
        <v>1877</v>
      </c>
      <c r="L432" s="91">
        <f>L430-L431</f>
        <v>0.13159999999999997</v>
      </c>
      <c r="M432" s="91">
        <v>0</v>
      </c>
      <c r="N432" s="91">
        <f t="shared" ref="N432" si="12">N430-N431</f>
        <v>9.509999999999999E-2</v>
      </c>
      <c r="AE432">
        <v>25</v>
      </c>
      <c r="AF432" t="s">
        <v>1881</v>
      </c>
    </row>
    <row r="433" spans="10:37" x14ac:dyDescent="0.45">
      <c r="J433" t="s">
        <v>1857</v>
      </c>
      <c r="K433" t="s">
        <v>1876</v>
      </c>
      <c r="L433" s="91">
        <v>0.126</v>
      </c>
      <c r="M433" s="91">
        <v>0.14899999999999999</v>
      </c>
      <c r="N433" s="91">
        <v>6.0000000000000001E-3</v>
      </c>
      <c r="AC433" s="3">
        <f>AC431/1000*AE432</f>
        <v>0.74642857142857133</v>
      </c>
      <c r="AD433" s="3">
        <f>AD431/1000*AE432</f>
        <v>0.55357142857142849</v>
      </c>
      <c r="AE433" s="89" t="s">
        <v>1882</v>
      </c>
    </row>
    <row r="434" spans="10:37" x14ac:dyDescent="0.45">
      <c r="K434" t="s">
        <v>1877</v>
      </c>
      <c r="L434" s="91">
        <f>L430-L433</f>
        <v>4.7599999999999976E-2</v>
      </c>
      <c r="M434" s="91">
        <v>0</v>
      </c>
      <c r="N434" s="91">
        <f t="shared" ref="N434" si="13">N430-N433</f>
        <v>0.10109999999999998</v>
      </c>
      <c r="AE434" s="84">
        <f>L429</f>
        <v>0.248</v>
      </c>
      <c r="AF434" t="s">
        <v>1883</v>
      </c>
    </row>
    <row r="435" spans="10:37" x14ac:dyDescent="0.45">
      <c r="AC435" s="232">
        <f>AC433/AE434</f>
        <v>3.0097926267281103</v>
      </c>
      <c r="AD435" s="3">
        <f>AD433/AE434</f>
        <v>2.2321428571428568</v>
      </c>
      <c r="AE435" t="s">
        <v>1884</v>
      </c>
      <c r="AK435" s="127" t="s">
        <v>1885</v>
      </c>
    </row>
    <row r="436" spans="10:37" x14ac:dyDescent="0.45">
      <c r="AC436" s="127" t="s">
        <v>1887</v>
      </c>
    </row>
    <row r="437" spans="10:37" x14ac:dyDescent="0.45">
      <c r="AC437" s="127" t="s">
        <v>1888</v>
      </c>
    </row>
    <row r="450" spans="1:25" x14ac:dyDescent="0.45">
      <c r="A450" t="s">
        <v>1893</v>
      </c>
    </row>
    <row r="451" spans="1:25" x14ac:dyDescent="0.45">
      <c r="A451" t="s">
        <v>1892</v>
      </c>
    </row>
    <row r="452" spans="1:25" x14ac:dyDescent="0.45">
      <c r="P452" t="s">
        <v>1894</v>
      </c>
      <c r="Y452" t="s">
        <v>1895</v>
      </c>
    </row>
    <row r="456" spans="1:25" x14ac:dyDescent="0.45">
      <c r="K456" t="s">
        <v>1896</v>
      </c>
    </row>
    <row r="457" spans="1:25" x14ac:dyDescent="0.45">
      <c r="K457" s="59">
        <f>AVERAGE(0.154,0.135,0.146)</f>
        <v>0.14500000000000002</v>
      </c>
    </row>
    <row r="463" spans="1:25" x14ac:dyDescent="0.45">
      <c r="B463" t="s">
        <v>1897</v>
      </c>
    </row>
    <row r="475" spans="12:15" x14ac:dyDescent="0.45">
      <c r="M475" t="s">
        <v>1901</v>
      </c>
      <c r="N475" t="s">
        <v>434</v>
      </c>
      <c r="O475" t="s">
        <v>1902</v>
      </c>
    </row>
    <row r="476" spans="12:15" x14ac:dyDescent="0.45">
      <c r="L476" t="s">
        <v>1898</v>
      </c>
      <c r="M476">
        <v>761.9</v>
      </c>
      <c r="N476">
        <v>1.075</v>
      </c>
      <c r="O476" s="201">
        <f>N476/M476</f>
        <v>1.41094631841449E-3</v>
      </c>
    </row>
    <row r="477" spans="12:15" x14ac:dyDescent="0.45">
      <c r="L477" t="s">
        <v>1899</v>
      </c>
      <c r="M477">
        <v>463.7</v>
      </c>
      <c r="N477">
        <v>0.65300000000000002</v>
      </c>
      <c r="O477" s="201">
        <f t="shared" ref="O477:O479" si="14">N477/M477</f>
        <v>1.4082380849687298E-3</v>
      </c>
    </row>
    <row r="478" spans="12:15" x14ac:dyDescent="0.45">
      <c r="L478" t="s">
        <v>423</v>
      </c>
      <c r="M478">
        <v>428.2</v>
      </c>
      <c r="N478">
        <v>1.758</v>
      </c>
      <c r="O478" s="201">
        <f t="shared" si="14"/>
        <v>4.1055581503970113E-3</v>
      </c>
    </row>
    <row r="479" spans="12:15" x14ac:dyDescent="0.45">
      <c r="L479" t="s">
        <v>1900</v>
      </c>
      <c r="M479">
        <v>252.3</v>
      </c>
      <c r="N479">
        <v>2.613</v>
      </c>
      <c r="O479" s="201">
        <f t="shared" si="14"/>
        <v>1.0356718192627824E-2</v>
      </c>
    </row>
    <row r="481" spans="1:15" x14ac:dyDescent="0.45">
      <c r="L481" s="127" t="s">
        <v>1903</v>
      </c>
    </row>
    <row r="491" spans="1:15" x14ac:dyDescent="0.45">
      <c r="A491" s="186" t="s">
        <v>1904</v>
      </c>
    </row>
    <row r="493" spans="1:15" x14ac:dyDescent="0.45">
      <c r="B493" t="s">
        <v>1905</v>
      </c>
    </row>
    <row r="494" spans="1:15" x14ac:dyDescent="0.45">
      <c r="B494" s="57" t="s">
        <v>1906</v>
      </c>
    </row>
    <row r="495" spans="1:15" x14ac:dyDescent="0.45">
      <c r="O495" t="s">
        <v>1907</v>
      </c>
    </row>
    <row r="517" spans="2:18" x14ac:dyDescent="0.45">
      <c r="P517" t="s">
        <v>1908</v>
      </c>
      <c r="Q517" t="s">
        <v>1858</v>
      </c>
    </row>
    <row r="518" spans="2:18" x14ac:dyDescent="0.45">
      <c r="O518" t="s">
        <v>1019</v>
      </c>
      <c r="P518">
        <v>21</v>
      </c>
      <c r="Q518">
        <f>P518/365*B$522</f>
        <v>2.1863013698630137E-2</v>
      </c>
    </row>
    <row r="519" spans="2:18" x14ac:dyDescent="0.45">
      <c r="O519" t="s">
        <v>1023</v>
      </c>
      <c r="P519">
        <v>22.3</v>
      </c>
      <c r="Q519" s="59">
        <f t="shared" ref="Q519:Q524" si="15">P519/365*B$522</f>
        <v>2.3216438356164385E-2</v>
      </c>
      <c r="R519" s="127" t="s">
        <v>1909</v>
      </c>
    </row>
    <row r="520" spans="2:18" x14ac:dyDescent="0.45">
      <c r="O520" t="s">
        <v>1026</v>
      </c>
      <c r="P520">
        <v>22.1</v>
      </c>
      <c r="Q520">
        <f t="shared" si="15"/>
        <v>2.3008219178082195E-2</v>
      </c>
    </row>
    <row r="521" spans="2:18" x14ac:dyDescent="0.45">
      <c r="O521" t="s">
        <v>1028</v>
      </c>
      <c r="P521">
        <v>26.3</v>
      </c>
      <c r="Q521">
        <f t="shared" si="15"/>
        <v>2.7380821917808218E-2</v>
      </c>
    </row>
    <row r="522" spans="2:18" x14ac:dyDescent="0.45">
      <c r="B522">
        <f>1-0.62</f>
        <v>0.38</v>
      </c>
      <c r="O522" t="s">
        <v>1030</v>
      </c>
      <c r="P522">
        <v>26.3</v>
      </c>
      <c r="Q522">
        <f t="shared" si="15"/>
        <v>2.7380821917808218E-2</v>
      </c>
    </row>
    <row r="523" spans="2:18" x14ac:dyDescent="0.45">
      <c r="B523" s="427" t="s">
        <v>1910</v>
      </c>
      <c r="C523" s="427"/>
      <c r="D523" s="427"/>
      <c r="E523" s="427"/>
      <c r="F523" s="427"/>
      <c r="G523" s="427"/>
      <c r="H523" s="427"/>
      <c r="I523" s="427"/>
      <c r="J523" s="427"/>
      <c r="O523" t="s">
        <v>1033</v>
      </c>
      <c r="P523">
        <v>27.1</v>
      </c>
      <c r="Q523">
        <f t="shared" si="15"/>
        <v>2.821369863013699E-2</v>
      </c>
    </row>
    <row r="524" spans="2:18" x14ac:dyDescent="0.45">
      <c r="B524" s="427"/>
      <c r="C524" s="427"/>
      <c r="D524" s="427"/>
      <c r="E524" s="427"/>
      <c r="F524" s="427"/>
      <c r="G524" s="427"/>
      <c r="H524" s="427"/>
      <c r="I524" s="427"/>
      <c r="J524" s="427"/>
      <c r="O524" t="s">
        <v>1036</v>
      </c>
      <c r="P524">
        <v>27.1</v>
      </c>
      <c r="Q524">
        <f t="shared" si="15"/>
        <v>2.821369863013699E-2</v>
      </c>
    </row>
    <row r="526" spans="2:18" x14ac:dyDescent="0.45">
      <c r="B526" t="s">
        <v>1911</v>
      </c>
    </row>
  </sheetData>
  <mergeCells count="2">
    <mergeCell ref="S4:U4"/>
    <mergeCell ref="B523:J524"/>
  </mergeCells>
  <hyperlinks>
    <hyperlink ref="A206" r:id="rId1" xr:uid="{608902D9-A736-4E77-BBEE-E6CDF1477C2C}"/>
    <hyperlink ref="G182" r:id="rId2" display="https://nam10.safelinks.protection.outlook.com/?url=https%3A%2F%2Fdoi.org%2F10.1016%2FS2214-109X(20)30022-X&amp;data=04%7C01%7Cbrittany.hagedorn%40gatesfoundation.org%7C527559ea427d48ec749e08d9b58e5a52%7C296b38384bd5496cbd4bf456ea743b74%7C0%7C0%7C637740445327530756%7CUnknown%7CTWFpbGZsb3d8eyJWIjoiMC4wLjAwMDAiLCJQIjoiV2luMzIiLCJBTiI6Ik1haWwiLCJXVCI6Mn0%3D%7C3000&amp;sdata=UjRP5lWrkG3gHh2eu2f9hWYNGig0vSVDvCZuwceZCYo%3D&amp;reserved=0" xr:uid="{798E19E6-B143-4E46-B902-7189288DD882}"/>
    <hyperlink ref="B237" r:id="rId3" xr:uid="{F1F31724-949E-40B6-A420-E67A04A5C91F}"/>
    <hyperlink ref="A1" r:id="rId4" xr:uid="{D70FCCD0-FBBD-4DE6-A908-07DB80592A18}"/>
    <hyperlink ref="B494" r:id="rId5" xr:uid="{977B4A69-E545-4F56-A4DA-6AE20455E2C7}"/>
    <hyperlink ref="H192" r:id="rId6" xr:uid="{1AA1A04B-389B-4B94-8BF3-FD790F2EF42C}"/>
  </hyperlinks>
  <pageMargins left="0.7" right="0.7" top="0.75" bottom="0.75" header="0.3" footer="0.3"/>
  <pageSetup orientation="portrait" r:id="rId7"/>
  <drawing r:id="rId8"/>
  <legacyDrawing r:id="rId9"/>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1D91A-16D6-45C5-A387-3895908BDA45}">
  <dimension ref="B1:J41"/>
  <sheetViews>
    <sheetView workbookViewId="0">
      <selection activeCell="Q33" sqref="Q33"/>
    </sheetView>
  </sheetViews>
  <sheetFormatPr defaultRowHeight="14.25" x14ac:dyDescent="0.45"/>
  <cols>
    <col min="3" max="3" width="19.796875" bestFit="1" customWidth="1"/>
    <col min="4" max="4" width="19.796875" customWidth="1"/>
    <col min="5" max="9" width="12.46484375" customWidth="1"/>
  </cols>
  <sheetData>
    <row r="1" spans="2:10" x14ac:dyDescent="0.45">
      <c r="B1" t="s">
        <v>771</v>
      </c>
      <c r="C1" t="s">
        <v>435</v>
      </c>
      <c r="D1" t="s">
        <v>772</v>
      </c>
      <c r="E1" t="s">
        <v>624</v>
      </c>
      <c r="F1" t="s">
        <v>268</v>
      </c>
      <c r="G1" t="s">
        <v>773</v>
      </c>
      <c r="H1" t="s">
        <v>774</v>
      </c>
      <c r="I1" t="s">
        <v>153</v>
      </c>
    </row>
    <row r="3" spans="2:10" x14ac:dyDescent="0.45">
      <c r="B3" t="s">
        <v>775</v>
      </c>
    </row>
    <row r="4" spans="2:10" s="161" customFormat="1" x14ac:dyDescent="0.45">
      <c r="B4" s="161">
        <v>77.400000000000006</v>
      </c>
      <c r="E4" s="161">
        <v>295.39999999999998</v>
      </c>
      <c r="F4" s="161">
        <v>113.8</v>
      </c>
      <c r="G4" s="161">
        <v>81</v>
      </c>
      <c r="H4" s="161">
        <v>78.099999999999994</v>
      </c>
      <c r="I4" s="161">
        <v>47.2</v>
      </c>
      <c r="J4" s="161" t="s">
        <v>776</v>
      </c>
    </row>
    <row r="5" spans="2:10" x14ac:dyDescent="0.45">
      <c r="B5" t="s">
        <v>777</v>
      </c>
    </row>
    <row r="6" spans="2:10" s="61" customFormat="1" x14ac:dyDescent="0.45">
      <c r="C6" s="61">
        <v>0.08</v>
      </c>
      <c r="D6" s="61">
        <v>0.12</v>
      </c>
      <c r="E6" s="61">
        <f>C6</f>
        <v>0.08</v>
      </c>
      <c r="F6" s="61">
        <f>D6</f>
        <v>0.12</v>
      </c>
      <c r="G6" s="61">
        <f t="shared" ref="G6:H6" si="0">F6</f>
        <v>0.12</v>
      </c>
      <c r="H6" s="61">
        <f t="shared" si="0"/>
        <v>0.12</v>
      </c>
      <c r="I6" s="61">
        <f>C6</f>
        <v>0.08</v>
      </c>
      <c r="J6" s="61" t="s">
        <v>778</v>
      </c>
    </row>
    <row r="7" spans="2:10" s="61" customFormat="1" x14ac:dyDescent="0.45">
      <c r="C7" s="61">
        <v>0.15</v>
      </c>
      <c r="D7" s="61">
        <v>0.06</v>
      </c>
      <c r="E7" s="61">
        <f t="shared" ref="E7:E10" si="1">C7</f>
        <v>0.15</v>
      </c>
      <c r="F7" s="61">
        <f>D7</f>
        <v>0.06</v>
      </c>
      <c r="G7" s="61">
        <f t="shared" ref="G7:H7" si="2">F7</f>
        <v>0.06</v>
      </c>
      <c r="H7" s="61">
        <f t="shared" si="2"/>
        <v>0.06</v>
      </c>
      <c r="I7" s="61">
        <f t="shared" ref="I7:I10" si="3">C7</f>
        <v>0.15</v>
      </c>
      <c r="J7" s="61" t="s">
        <v>779</v>
      </c>
    </row>
    <row r="8" spans="2:10" s="61" customFormat="1" x14ac:dyDescent="0.45">
      <c r="C8" s="61">
        <v>0.04</v>
      </c>
      <c r="D8" s="61">
        <v>0.15</v>
      </c>
      <c r="E8" s="61">
        <f t="shared" si="1"/>
        <v>0.04</v>
      </c>
      <c r="F8" s="61">
        <f>D8</f>
        <v>0.15</v>
      </c>
      <c r="G8" s="61">
        <f t="shared" ref="G8:H8" si="4">F8</f>
        <v>0.15</v>
      </c>
      <c r="H8" s="61">
        <f t="shared" si="4"/>
        <v>0.15</v>
      </c>
      <c r="I8" s="61">
        <f t="shared" si="3"/>
        <v>0.04</v>
      </c>
      <c r="J8" s="61" t="s">
        <v>780</v>
      </c>
    </row>
    <row r="9" spans="2:10" s="61" customFormat="1" x14ac:dyDescent="0.45">
      <c r="C9" s="61">
        <v>0.68</v>
      </c>
      <c r="D9" s="61">
        <v>0.53</v>
      </c>
      <c r="E9" s="61">
        <f t="shared" si="1"/>
        <v>0.68</v>
      </c>
      <c r="F9" s="61">
        <f>D9</f>
        <v>0.53</v>
      </c>
      <c r="G9" s="61">
        <f t="shared" ref="G9:H9" si="5">F9</f>
        <v>0.53</v>
      </c>
      <c r="H9" s="61">
        <f t="shared" si="5"/>
        <v>0.53</v>
      </c>
      <c r="I9" s="61">
        <f t="shared" si="3"/>
        <v>0.68</v>
      </c>
      <c r="J9" s="61" t="s">
        <v>781</v>
      </c>
    </row>
    <row r="10" spans="2:10" s="61" customFormat="1" x14ac:dyDescent="0.45">
      <c r="C10" s="61">
        <v>0.05</v>
      </c>
      <c r="D10" s="61">
        <v>0.14000000000000001</v>
      </c>
      <c r="E10" s="61">
        <f t="shared" si="1"/>
        <v>0.05</v>
      </c>
      <c r="F10" s="61">
        <f>D10</f>
        <v>0.14000000000000001</v>
      </c>
      <c r="G10" s="61">
        <f t="shared" ref="G10:H10" si="6">F10</f>
        <v>0.14000000000000001</v>
      </c>
      <c r="H10" s="61">
        <f t="shared" si="6"/>
        <v>0.14000000000000001</v>
      </c>
      <c r="I10" s="61">
        <f t="shared" si="3"/>
        <v>0.05</v>
      </c>
      <c r="J10" s="61" t="s">
        <v>782</v>
      </c>
    </row>
    <row r="12" spans="2:10" x14ac:dyDescent="0.45">
      <c r="B12" t="s">
        <v>783</v>
      </c>
    </row>
    <row r="13" spans="2:10" x14ac:dyDescent="0.45">
      <c r="B13" s="54"/>
      <c r="C13" s="54"/>
      <c r="D13" s="54"/>
      <c r="E13" s="54">
        <f>SUM(E6:E10,E8,E6)</f>
        <v>1.1200000000000001</v>
      </c>
      <c r="F13" s="54">
        <f t="shared" ref="F13:H13" si="7">SUM(F6:F10,F8,F6)</f>
        <v>1.27</v>
      </c>
      <c r="G13" s="54">
        <f t="shared" si="7"/>
        <v>1.27</v>
      </c>
      <c r="H13" s="54">
        <f t="shared" si="7"/>
        <v>1.27</v>
      </c>
      <c r="I13" s="54">
        <f t="shared" ref="I13" si="8">SUM(I6:I10,I8,I6)</f>
        <v>1.1200000000000001</v>
      </c>
      <c r="J13" t="s">
        <v>784</v>
      </c>
    </row>
    <row r="14" spans="2:10" x14ac:dyDescent="0.45">
      <c r="B14" s="161"/>
      <c r="C14" s="161"/>
      <c r="D14" s="161"/>
      <c r="E14" s="161">
        <f t="shared" ref="E14:I14" si="9">E4*E13</f>
        <v>330.84800000000001</v>
      </c>
      <c r="F14" s="161">
        <f t="shared" si="9"/>
        <v>144.52600000000001</v>
      </c>
      <c r="G14" s="161">
        <f t="shared" si="9"/>
        <v>102.87</v>
      </c>
      <c r="H14" s="161">
        <f t="shared" si="9"/>
        <v>99.186999999999998</v>
      </c>
      <c r="I14" s="161">
        <f t="shared" si="9"/>
        <v>52.864000000000011</v>
      </c>
      <c r="J14" t="s">
        <v>776</v>
      </c>
    </row>
    <row r="16" spans="2:10" x14ac:dyDescent="0.45">
      <c r="E16" t="s">
        <v>785</v>
      </c>
    </row>
    <row r="17" spans="2:9" x14ac:dyDescent="0.45">
      <c r="E17" s="127" t="s">
        <v>786</v>
      </c>
    </row>
    <row r="30" spans="2:9" x14ac:dyDescent="0.45">
      <c r="B30" t="s">
        <v>787</v>
      </c>
    </row>
    <row r="32" spans="2:9" x14ac:dyDescent="0.45">
      <c r="I32" t="s">
        <v>788</v>
      </c>
    </row>
    <row r="33" spans="2:6" ht="15.4" x14ac:dyDescent="0.45">
      <c r="B33" s="428" t="s">
        <v>789</v>
      </c>
      <c r="C33" s="428"/>
      <c r="D33" s="428"/>
      <c r="E33" s="428"/>
    </row>
    <row r="34" spans="2:6" ht="15.4" x14ac:dyDescent="0.45">
      <c r="C34" s="162" t="s">
        <v>790</v>
      </c>
      <c r="D34" s="162" t="s">
        <v>791</v>
      </c>
      <c r="E34" s="162" t="s">
        <v>792</v>
      </c>
      <c r="F34" s="162" t="s">
        <v>793</v>
      </c>
    </row>
    <row r="35" spans="2:6" ht="30.75" x14ac:dyDescent="0.45">
      <c r="C35" s="163" t="s">
        <v>794</v>
      </c>
      <c r="D35" s="164">
        <v>35256</v>
      </c>
      <c r="E35" s="164">
        <v>2938</v>
      </c>
      <c r="F35" s="161">
        <f>D35/C38</f>
        <v>1272.7797833935019</v>
      </c>
    </row>
    <row r="36" spans="2:6" ht="30.75" x14ac:dyDescent="0.45">
      <c r="C36" s="163" t="s">
        <v>795</v>
      </c>
      <c r="D36" s="164">
        <v>43536</v>
      </c>
      <c r="E36" s="164">
        <v>3628</v>
      </c>
      <c r="F36" s="161">
        <f>D36/C38</f>
        <v>1571.6967509025271</v>
      </c>
    </row>
    <row r="38" spans="2:6" ht="15.4" x14ac:dyDescent="0.45">
      <c r="B38" s="165" t="s">
        <v>796</v>
      </c>
      <c r="C38" s="165">
        <v>27.7</v>
      </c>
    </row>
    <row r="40" spans="2:6" x14ac:dyDescent="0.45">
      <c r="C40" s="127" t="s">
        <v>797</v>
      </c>
    </row>
    <row r="41" spans="2:6" x14ac:dyDescent="0.45">
      <c r="C41" s="127" t="s">
        <v>798</v>
      </c>
    </row>
  </sheetData>
  <mergeCells count="1">
    <mergeCell ref="B33:E33"/>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D0886-DE98-43AA-A125-576802BD5CAB}">
  <sheetPr>
    <tabColor theme="5" tint="0.59999389629810485"/>
  </sheetPr>
  <dimension ref="B1:BD62"/>
  <sheetViews>
    <sheetView topLeftCell="AD33" workbookViewId="0">
      <selection activeCell="AT34" sqref="AT34:AT37"/>
    </sheetView>
  </sheetViews>
  <sheetFormatPr defaultRowHeight="14.25" x14ac:dyDescent="0.45"/>
  <cols>
    <col min="28" max="28" width="7" bestFit="1" customWidth="1"/>
    <col min="29" max="29" width="10.265625" bestFit="1" customWidth="1"/>
    <col min="30" max="30" width="6.265625" bestFit="1" customWidth="1"/>
    <col min="31" max="31" width="11.265625" bestFit="1" customWidth="1"/>
    <col min="32" max="32" width="18.796875" bestFit="1" customWidth="1"/>
    <col min="33" max="33" width="11.19921875" bestFit="1" customWidth="1"/>
    <col min="51" max="51" width="10.265625" bestFit="1" customWidth="1"/>
    <col min="52" max="52" width="19.73046875" bestFit="1" customWidth="1"/>
    <col min="53" max="53" width="6.265625" bestFit="1" customWidth="1"/>
    <col min="54" max="54" width="11.265625" bestFit="1" customWidth="1"/>
  </cols>
  <sheetData>
    <row r="1" spans="2:56" x14ac:dyDescent="0.45">
      <c r="AX1" s="355" t="s">
        <v>267</v>
      </c>
      <c r="AY1" s="355" t="s">
        <v>2834</v>
      </c>
      <c r="AZ1" s="355" t="s">
        <v>3213</v>
      </c>
      <c r="BA1" s="355" t="s">
        <v>3212</v>
      </c>
      <c r="BB1" s="355" t="s">
        <v>2842</v>
      </c>
      <c r="BC1" s="355" t="s">
        <v>2844</v>
      </c>
      <c r="BD1" s="355" t="s">
        <v>2843</v>
      </c>
    </row>
    <row r="2" spans="2:56" x14ac:dyDescent="0.45">
      <c r="B2" t="s">
        <v>838</v>
      </c>
      <c r="AX2" t="s">
        <v>269</v>
      </c>
      <c r="AY2" t="str">
        <f>_xlfn.CONCAT(AX2,BD2)</f>
        <v>JanET</v>
      </c>
      <c r="AZ2" s="363">
        <f>BA2/SUM($BA$2:$BA$13)</f>
        <v>8.2535106481912021E-2</v>
      </c>
      <c r="BA2" s="181">
        <f>(BA4-BA13)/3+BA13</f>
        <v>0.98611111111111105</v>
      </c>
      <c r="BB2">
        <v>0</v>
      </c>
      <c r="BC2" t="s">
        <v>594</v>
      </c>
      <c r="BD2" t="s">
        <v>2849</v>
      </c>
    </row>
    <row r="3" spans="2:56" ht="14.65" thickBot="1" x14ac:dyDescent="0.5">
      <c r="V3" s="172" t="s">
        <v>594</v>
      </c>
      <c r="W3" t="s">
        <v>604</v>
      </c>
      <c r="X3" t="s">
        <v>839</v>
      </c>
      <c r="Y3" t="s">
        <v>840</v>
      </c>
      <c r="AX3" t="s">
        <v>270</v>
      </c>
      <c r="AY3" t="str">
        <f t="shared" ref="AY3:AY13" si="0">_xlfn.CONCAT(AX3,BD3)</f>
        <v>FebET</v>
      </c>
      <c r="AZ3" s="363">
        <f t="shared" ref="AZ3:AZ13" si="1">BA3/SUM($BA$2:$BA$13)</f>
        <v>8.6208499953501355E-2</v>
      </c>
      <c r="BA3" s="181">
        <f>AT34</f>
        <v>1.03</v>
      </c>
      <c r="BB3">
        <v>0</v>
      </c>
      <c r="BC3" t="s">
        <v>594</v>
      </c>
      <c r="BD3" t="s">
        <v>2849</v>
      </c>
    </row>
    <row r="4" spans="2:56" x14ac:dyDescent="0.45">
      <c r="N4" t="s">
        <v>841</v>
      </c>
      <c r="U4" s="166" t="s">
        <v>267</v>
      </c>
      <c r="V4" s="167" t="s">
        <v>842</v>
      </c>
      <c r="W4" s="171" t="s">
        <v>843</v>
      </c>
      <c r="X4" s="171" t="s">
        <v>843</v>
      </c>
      <c r="Y4" s="171" t="s">
        <v>843</v>
      </c>
      <c r="AX4" t="s">
        <v>271</v>
      </c>
      <c r="AY4" t="str">
        <f t="shared" si="0"/>
        <v>MarET</v>
      </c>
      <c r="AZ4" s="363">
        <f t="shared" si="1"/>
        <v>8.74639635450572E-2</v>
      </c>
      <c r="BA4" s="181">
        <f>(BA6-BA3)/3+BA3</f>
        <v>1.0449999999999999</v>
      </c>
      <c r="BB4">
        <v>0</v>
      </c>
      <c r="BC4" t="s">
        <v>594</v>
      </c>
      <c r="BD4" t="s">
        <v>2849</v>
      </c>
    </row>
    <row r="5" spans="2:56" x14ac:dyDescent="0.45">
      <c r="N5" s="54">
        <v>0.36</v>
      </c>
      <c r="O5" t="s">
        <v>844</v>
      </c>
      <c r="U5" s="168" t="s">
        <v>845</v>
      </c>
      <c r="V5" s="173">
        <v>13</v>
      </c>
      <c r="W5">
        <v>0.4</v>
      </c>
      <c r="X5">
        <v>0.6</v>
      </c>
      <c r="Y5">
        <v>7.5</v>
      </c>
      <c r="AX5" t="s">
        <v>272</v>
      </c>
      <c r="AY5" t="str">
        <f t="shared" si="0"/>
        <v>AprET</v>
      </c>
      <c r="AZ5" s="363">
        <f t="shared" si="1"/>
        <v>8.871942713661303E-2</v>
      </c>
      <c r="BA5" s="181">
        <f>(BA6-BA3)/3+BA4</f>
        <v>1.0599999999999998</v>
      </c>
      <c r="BB5">
        <v>0</v>
      </c>
      <c r="BC5" t="s">
        <v>594</v>
      </c>
      <c r="BD5" t="s">
        <v>2849</v>
      </c>
    </row>
    <row r="6" spans="2:56" x14ac:dyDescent="0.45">
      <c r="U6" s="169" t="s">
        <v>846</v>
      </c>
      <c r="V6" s="174">
        <v>30</v>
      </c>
      <c r="W6">
        <v>1.6</v>
      </c>
      <c r="X6">
        <v>0.6</v>
      </c>
      <c r="Y6">
        <v>6.9</v>
      </c>
      <c r="AX6" t="s">
        <v>273</v>
      </c>
      <c r="AY6" t="str">
        <f t="shared" si="0"/>
        <v>MayET</v>
      </c>
      <c r="AZ6" s="363">
        <f t="shared" si="1"/>
        <v>8.9974890728168888E-2</v>
      </c>
      <c r="BA6" s="181">
        <f>AT35</f>
        <v>1.075</v>
      </c>
      <c r="BB6">
        <v>0</v>
      </c>
      <c r="BC6" t="s">
        <v>594</v>
      </c>
      <c r="BD6" t="s">
        <v>2849</v>
      </c>
    </row>
    <row r="7" spans="2:56" x14ac:dyDescent="0.45">
      <c r="N7" t="s">
        <v>847</v>
      </c>
      <c r="U7" s="168" t="s">
        <v>848</v>
      </c>
      <c r="V7" s="173">
        <v>58</v>
      </c>
      <c r="W7">
        <v>3.1</v>
      </c>
      <c r="X7">
        <v>0.8</v>
      </c>
      <c r="Y7">
        <v>3.9</v>
      </c>
      <c r="AX7" t="s">
        <v>274</v>
      </c>
      <c r="AY7" t="str">
        <f t="shared" si="0"/>
        <v>JuneET</v>
      </c>
      <c r="AZ7" s="363">
        <f t="shared" si="1"/>
        <v>8.6766483771970618E-2</v>
      </c>
      <c r="BA7" s="181">
        <f>(BA9-BA6)/3+BA6</f>
        <v>1.0366666666666666</v>
      </c>
      <c r="BB7">
        <v>0</v>
      </c>
      <c r="BC7" t="s">
        <v>594</v>
      </c>
      <c r="BD7" t="s">
        <v>2849</v>
      </c>
    </row>
    <row r="8" spans="2:56" x14ac:dyDescent="0.45">
      <c r="N8" t="s">
        <v>849</v>
      </c>
      <c r="U8" s="169" t="s">
        <v>850</v>
      </c>
      <c r="V8" s="174">
        <v>82</v>
      </c>
      <c r="W8">
        <v>6.7</v>
      </c>
      <c r="X8">
        <v>1.6</v>
      </c>
      <c r="Y8">
        <v>1.4</v>
      </c>
      <c r="AX8" t="s">
        <v>275</v>
      </c>
      <c r="AY8" t="str">
        <f t="shared" si="0"/>
        <v>JulyET</v>
      </c>
      <c r="AZ8" s="363">
        <f t="shared" si="1"/>
        <v>8.3558076815772347E-2</v>
      </c>
      <c r="BA8" s="181">
        <f>(BA9-BA6)/3+BA7</f>
        <v>0.99833333333333329</v>
      </c>
      <c r="BB8">
        <v>0</v>
      </c>
      <c r="BC8" t="s">
        <v>594</v>
      </c>
      <c r="BD8" t="s">
        <v>2849</v>
      </c>
    </row>
    <row r="9" spans="2:56" x14ac:dyDescent="0.45">
      <c r="U9" s="168" t="s">
        <v>273</v>
      </c>
      <c r="V9" s="173">
        <v>84</v>
      </c>
      <c r="W9">
        <v>7.9</v>
      </c>
      <c r="X9">
        <v>2.7</v>
      </c>
      <c r="Y9">
        <v>0.3</v>
      </c>
      <c r="AX9" t="s">
        <v>276</v>
      </c>
      <c r="AY9" t="str">
        <f t="shared" si="0"/>
        <v>AugET</v>
      </c>
      <c r="AZ9" s="363">
        <f t="shared" si="1"/>
        <v>8.0349669859574077E-2</v>
      </c>
      <c r="BA9" s="181">
        <f>AT36</f>
        <v>0.96</v>
      </c>
      <c r="BB9">
        <v>0</v>
      </c>
      <c r="BC9" t="s">
        <v>594</v>
      </c>
      <c r="BD9" t="s">
        <v>2849</v>
      </c>
    </row>
    <row r="10" spans="2:56" x14ac:dyDescent="0.45">
      <c r="N10" t="s">
        <v>851</v>
      </c>
      <c r="U10" s="169" t="s">
        <v>274</v>
      </c>
      <c r="V10" s="174">
        <v>138</v>
      </c>
      <c r="W10">
        <v>5.5</v>
      </c>
      <c r="X10">
        <v>3.7</v>
      </c>
      <c r="Y10">
        <v>0.1</v>
      </c>
      <c r="AX10" t="s">
        <v>277</v>
      </c>
      <c r="AY10" t="str">
        <f t="shared" si="0"/>
        <v>SeptET</v>
      </c>
      <c r="AZ10" s="363">
        <f t="shared" si="1"/>
        <v>7.9233702222635552E-2</v>
      </c>
      <c r="BA10" s="181">
        <f>(BA12-BA9)/3+BA9</f>
        <v>0.94666666666666666</v>
      </c>
      <c r="BB10">
        <v>0</v>
      </c>
      <c r="BC10" t="s">
        <v>594</v>
      </c>
      <c r="BD10" t="s">
        <v>2849</v>
      </c>
    </row>
    <row r="11" spans="2:56" x14ac:dyDescent="0.45">
      <c r="U11" s="168" t="s">
        <v>275</v>
      </c>
      <c r="V11" s="173">
        <v>280</v>
      </c>
      <c r="W11">
        <v>6.3</v>
      </c>
      <c r="X11">
        <v>3.3</v>
      </c>
      <c r="Y11">
        <v>0.1</v>
      </c>
      <c r="AX11" t="s">
        <v>278</v>
      </c>
      <c r="AY11" t="str">
        <f t="shared" si="0"/>
        <v>OctET</v>
      </c>
      <c r="AZ11" s="363">
        <f t="shared" si="1"/>
        <v>7.8117734585697027E-2</v>
      </c>
      <c r="BA11" s="181">
        <f>(BA12-BA9)/3+BA10</f>
        <v>0.93333333333333335</v>
      </c>
      <c r="BB11">
        <v>0</v>
      </c>
      <c r="BC11" t="s">
        <v>594</v>
      </c>
      <c r="BD11" t="s">
        <v>2849</v>
      </c>
    </row>
    <row r="12" spans="2:56" x14ac:dyDescent="0.45">
      <c r="U12" s="169" t="s">
        <v>852</v>
      </c>
      <c r="V12" s="174">
        <v>290</v>
      </c>
      <c r="W12">
        <v>8.6999999999999993</v>
      </c>
      <c r="X12">
        <v>3</v>
      </c>
      <c r="Y12">
        <v>0.1</v>
      </c>
      <c r="AX12" t="s">
        <v>279</v>
      </c>
      <c r="AY12" t="str">
        <f t="shared" si="0"/>
        <v>NovET</v>
      </c>
      <c r="AZ12" s="363">
        <f t="shared" si="1"/>
        <v>7.7001766948758502E-2</v>
      </c>
      <c r="BA12" s="181">
        <f>AT37</f>
        <v>0.92</v>
      </c>
      <c r="BB12">
        <v>0</v>
      </c>
      <c r="BC12" t="s">
        <v>594</v>
      </c>
      <c r="BD12" t="s">
        <v>2849</v>
      </c>
    </row>
    <row r="13" spans="2:56" x14ac:dyDescent="0.45">
      <c r="U13" s="168" t="s">
        <v>853</v>
      </c>
      <c r="V13" s="173">
        <v>149</v>
      </c>
      <c r="W13">
        <v>6.7</v>
      </c>
      <c r="X13">
        <v>1.6</v>
      </c>
      <c r="Y13">
        <v>0.3</v>
      </c>
      <c r="AX13" t="s">
        <v>280</v>
      </c>
      <c r="AY13" t="str">
        <f t="shared" si="0"/>
        <v>DecET</v>
      </c>
      <c r="AZ13" s="363">
        <f t="shared" si="1"/>
        <v>8.0070677950339453E-2</v>
      </c>
      <c r="BA13" s="181">
        <f>(BA3-BA12)/3+BA12</f>
        <v>0.95666666666666667</v>
      </c>
      <c r="BB13">
        <v>0</v>
      </c>
      <c r="BC13" t="s">
        <v>594</v>
      </c>
      <c r="BD13" t="s">
        <v>2849</v>
      </c>
    </row>
    <row r="14" spans="2:56" x14ac:dyDescent="0.45">
      <c r="U14" s="169" t="s">
        <v>854</v>
      </c>
      <c r="V14" s="174">
        <v>27</v>
      </c>
      <c r="W14">
        <v>6.3</v>
      </c>
      <c r="X14">
        <v>0.1</v>
      </c>
      <c r="Y14">
        <v>1.6</v>
      </c>
    </row>
    <row r="15" spans="2:56" x14ac:dyDescent="0.45">
      <c r="U15" s="168" t="s">
        <v>855</v>
      </c>
      <c r="V15" s="173">
        <v>7</v>
      </c>
      <c r="W15">
        <v>3.5</v>
      </c>
      <c r="X15">
        <v>0</v>
      </c>
      <c r="Y15">
        <v>3.7</v>
      </c>
    </row>
    <row r="16" spans="2:56" ht="14.65" thickBot="1" x14ac:dyDescent="0.5">
      <c r="U16" s="170" t="s">
        <v>856</v>
      </c>
      <c r="V16" s="175">
        <v>7</v>
      </c>
      <c r="W16">
        <v>1.6</v>
      </c>
      <c r="X16">
        <v>0.7</v>
      </c>
      <c r="Y16">
        <v>7.3</v>
      </c>
    </row>
    <row r="21" spans="2:20" x14ac:dyDescent="0.45">
      <c r="B21" t="s">
        <v>857</v>
      </c>
    </row>
    <row r="30" spans="2:20" x14ac:dyDescent="0.45">
      <c r="T30" t="s">
        <v>858</v>
      </c>
    </row>
    <row r="34" spans="13:49" x14ac:dyDescent="0.45">
      <c r="AT34">
        <v>1.03</v>
      </c>
      <c r="AU34" t="s">
        <v>859</v>
      </c>
    </row>
    <row r="35" spans="13:49" x14ac:dyDescent="0.45">
      <c r="AT35">
        <v>1.075</v>
      </c>
      <c r="AU35" t="s">
        <v>860</v>
      </c>
    </row>
    <row r="36" spans="13:49" x14ac:dyDescent="0.45">
      <c r="AT36">
        <v>0.96</v>
      </c>
      <c r="AU36" t="s">
        <v>861</v>
      </c>
    </row>
    <row r="37" spans="13:49" x14ac:dyDescent="0.45">
      <c r="AT37">
        <v>0.92</v>
      </c>
      <c r="AU37" t="s">
        <v>862</v>
      </c>
    </row>
    <row r="38" spans="13:49" x14ac:dyDescent="0.45">
      <c r="M38" t="s">
        <v>863</v>
      </c>
    </row>
    <row r="39" spans="13:49" x14ac:dyDescent="0.45">
      <c r="M39" t="s">
        <v>864</v>
      </c>
      <c r="AT39">
        <f>(AT35-AT37)/AT37</f>
        <v>0.16847826086956511</v>
      </c>
      <c r="AU39" t="s">
        <v>865</v>
      </c>
    </row>
    <row r="41" spans="13:49" x14ac:dyDescent="0.45">
      <c r="M41" t="s">
        <v>841</v>
      </c>
      <c r="AU41" t="s">
        <v>866</v>
      </c>
    </row>
    <row r="42" spans="13:49" x14ac:dyDescent="0.45">
      <c r="M42" s="84" t="s">
        <v>867</v>
      </c>
      <c r="AT42" t="s">
        <v>805</v>
      </c>
      <c r="AU42" t="s">
        <v>868</v>
      </c>
    </row>
    <row r="43" spans="13:49" x14ac:dyDescent="0.45">
      <c r="AT43" t="s">
        <v>869</v>
      </c>
      <c r="AU43" t="s">
        <v>870</v>
      </c>
    </row>
    <row r="44" spans="13:49" x14ac:dyDescent="0.45">
      <c r="M44" t="s">
        <v>871</v>
      </c>
      <c r="AT44" t="s">
        <v>872</v>
      </c>
      <c r="AU44" t="s">
        <v>873</v>
      </c>
      <c r="AV44" s="61">
        <f>55/115</f>
        <v>0.47826086956521741</v>
      </c>
      <c r="AW44" t="s">
        <v>874</v>
      </c>
    </row>
    <row r="45" spans="13:49" x14ac:dyDescent="0.45">
      <c r="M45" t="s">
        <v>875</v>
      </c>
      <c r="AW45" t="s">
        <v>876</v>
      </c>
    </row>
    <row r="46" spans="13:49" x14ac:dyDescent="0.45">
      <c r="M46" t="s">
        <v>877</v>
      </c>
    </row>
    <row r="53" spans="3:15" x14ac:dyDescent="0.45">
      <c r="C53" t="s">
        <v>878</v>
      </c>
    </row>
    <row r="55" spans="3:15" x14ac:dyDescent="0.45">
      <c r="O55" t="s">
        <v>879</v>
      </c>
    </row>
    <row r="57" spans="3:15" x14ac:dyDescent="0.45">
      <c r="O57" t="s">
        <v>880</v>
      </c>
    </row>
    <row r="59" spans="3:15" x14ac:dyDescent="0.45">
      <c r="O59" t="s">
        <v>881</v>
      </c>
    </row>
    <row r="60" spans="3:15" x14ac:dyDescent="0.45">
      <c r="O60" t="s">
        <v>882</v>
      </c>
    </row>
    <row r="62" spans="3:15" x14ac:dyDescent="0.45">
      <c r="O62" t="s">
        <v>883</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32321-C7A3-4600-9ECA-22F69BC40B1E}">
  <sheetPr>
    <tabColor theme="5" tint="0.59999389629810485"/>
  </sheetPr>
  <dimension ref="A1:H169"/>
  <sheetViews>
    <sheetView workbookViewId="0">
      <selection activeCell="I7" sqref="I7"/>
    </sheetView>
  </sheetViews>
  <sheetFormatPr defaultRowHeight="14.25" x14ac:dyDescent="0.45"/>
  <cols>
    <col min="1" max="1" width="7" bestFit="1" customWidth="1"/>
    <col min="2" max="2" width="10.265625" bestFit="1" customWidth="1"/>
    <col min="3" max="3" width="8.53125" style="363" bestFit="1" customWidth="1"/>
    <col min="4" max="4" width="11.265625" bestFit="1" customWidth="1"/>
    <col min="5" max="5" width="17.46484375" bestFit="1" customWidth="1"/>
    <col min="6" max="6" width="11.19921875" bestFit="1" customWidth="1"/>
  </cols>
  <sheetData>
    <row r="1" spans="1:8" x14ac:dyDescent="0.45">
      <c r="A1" s="355" t="s">
        <v>267</v>
      </c>
      <c r="B1" s="355" t="s">
        <v>2834</v>
      </c>
      <c r="C1" s="389" t="s">
        <v>3210</v>
      </c>
      <c r="D1" s="355" t="s">
        <v>2842</v>
      </c>
      <c r="E1" s="355" t="s">
        <v>2844</v>
      </c>
      <c r="F1" s="355" t="s">
        <v>2843</v>
      </c>
    </row>
    <row r="2" spans="1:8" x14ac:dyDescent="0.45">
      <c r="A2" t="s">
        <v>269</v>
      </c>
      <c r="B2" t="str">
        <f t="shared" ref="B2:B65" si="0">_xlfn.CONCAT(A2,F2)</f>
        <v>JanET</v>
      </c>
      <c r="C2" s="390">
        <v>9.3468292987793397E-2</v>
      </c>
      <c r="D2">
        <v>0</v>
      </c>
      <c r="E2" t="s">
        <v>594</v>
      </c>
      <c r="F2" t="s">
        <v>2849</v>
      </c>
      <c r="H2" t="s">
        <v>3419</v>
      </c>
    </row>
    <row r="3" spans="1:8" x14ac:dyDescent="0.45">
      <c r="A3" t="s">
        <v>270</v>
      </c>
      <c r="B3" t="str">
        <f t="shared" si="0"/>
        <v>FebET</v>
      </c>
      <c r="C3" s="390">
        <v>8.70935409593733E-2</v>
      </c>
      <c r="D3">
        <v>0</v>
      </c>
      <c r="E3" t="s">
        <v>594</v>
      </c>
      <c r="F3" t="s">
        <v>2849</v>
      </c>
    </row>
    <row r="4" spans="1:8" x14ac:dyDescent="0.45">
      <c r="A4" t="s">
        <v>271</v>
      </c>
      <c r="B4" t="str">
        <f t="shared" si="0"/>
        <v>MarET</v>
      </c>
      <c r="C4" s="390">
        <v>8.8412160129692496E-2</v>
      </c>
      <c r="D4">
        <v>0</v>
      </c>
      <c r="E4" t="s">
        <v>594</v>
      </c>
      <c r="F4" t="s">
        <v>2849</v>
      </c>
    </row>
    <row r="5" spans="1:8" x14ac:dyDescent="0.45">
      <c r="A5" t="s">
        <v>272</v>
      </c>
      <c r="B5" t="str">
        <f t="shared" si="0"/>
        <v>AprET</v>
      </c>
      <c r="C5" s="390">
        <v>8.4403739867652303E-2</v>
      </c>
      <c r="D5">
        <v>0</v>
      </c>
      <c r="E5" t="s">
        <v>594</v>
      </c>
      <c r="F5" t="s">
        <v>2849</v>
      </c>
    </row>
    <row r="6" spans="1:8" x14ac:dyDescent="0.45">
      <c r="A6" t="s">
        <v>273</v>
      </c>
      <c r="B6" t="str">
        <f t="shared" si="0"/>
        <v>MayET</v>
      </c>
      <c r="C6" s="390">
        <v>8.8117442317258002E-2</v>
      </c>
      <c r="D6">
        <v>0</v>
      </c>
      <c r="E6" t="s">
        <v>594</v>
      </c>
      <c r="F6" t="s">
        <v>2849</v>
      </c>
    </row>
    <row r="7" spans="1:8" x14ac:dyDescent="0.45">
      <c r="A7" t="s">
        <v>274</v>
      </c>
      <c r="B7" t="str">
        <f t="shared" si="0"/>
        <v>JuneET</v>
      </c>
      <c r="C7" s="390">
        <v>8.6393880468918605E-2</v>
      </c>
      <c r="D7">
        <v>0</v>
      </c>
      <c r="E7" t="s">
        <v>594</v>
      </c>
      <c r="F7" t="s">
        <v>2849</v>
      </c>
    </row>
    <row r="8" spans="1:8" x14ac:dyDescent="0.45">
      <c r="A8" t="s">
        <v>275</v>
      </c>
      <c r="B8" t="str">
        <f t="shared" si="0"/>
        <v>JulyET</v>
      </c>
      <c r="C8" s="390">
        <v>8.5205006727096494E-2</v>
      </c>
      <c r="D8">
        <v>0</v>
      </c>
      <c r="E8" t="s">
        <v>594</v>
      </c>
      <c r="F8" t="s">
        <v>2849</v>
      </c>
    </row>
    <row r="9" spans="1:8" x14ac:dyDescent="0.45">
      <c r="A9" t="s">
        <v>276</v>
      </c>
      <c r="B9" t="str">
        <f t="shared" si="0"/>
        <v>AugET</v>
      </c>
      <c r="C9" s="390">
        <v>9.1867766222212294E-2</v>
      </c>
      <c r="D9">
        <v>0</v>
      </c>
      <c r="E9" t="s">
        <v>594</v>
      </c>
      <c r="F9" t="s">
        <v>2849</v>
      </c>
    </row>
    <row r="10" spans="1:8" x14ac:dyDescent="0.45">
      <c r="A10" t="s">
        <v>277</v>
      </c>
      <c r="B10" t="str">
        <f t="shared" si="0"/>
        <v>SeptET</v>
      </c>
      <c r="C10" s="390">
        <v>8.3208753466405896E-2</v>
      </c>
      <c r="D10">
        <v>0</v>
      </c>
      <c r="E10" t="s">
        <v>594</v>
      </c>
      <c r="F10" t="s">
        <v>2849</v>
      </c>
    </row>
    <row r="11" spans="1:8" x14ac:dyDescent="0.45">
      <c r="A11" t="s">
        <v>278</v>
      </c>
      <c r="B11" t="str">
        <f t="shared" si="0"/>
        <v>OctET</v>
      </c>
      <c r="C11" s="390">
        <v>7.3805667224914301E-2</v>
      </c>
      <c r="D11">
        <v>0</v>
      </c>
      <c r="E11" t="s">
        <v>594</v>
      </c>
      <c r="F11" t="s">
        <v>2849</v>
      </c>
    </row>
    <row r="12" spans="1:8" x14ac:dyDescent="0.45">
      <c r="A12" t="s">
        <v>279</v>
      </c>
      <c r="B12" t="str">
        <f t="shared" si="0"/>
        <v>NovET</v>
      </c>
      <c r="C12" s="390">
        <v>7.5192895334018697E-2</v>
      </c>
      <c r="D12">
        <v>0</v>
      </c>
      <c r="E12" t="s">
        <v>594</v>
      </c>
      <c r="F12" t="s">
        <v>2849</v>
      </c>
    </row>
    <row r="13" spans="1:8" x14ac:dyDescent="0.45">
      <c r="A13" t="s">
        <v>280</v>
      </c>
      <c r="B13" t="str">
        <f t="shared" si="0"/>
        <v>DecET</v>
      </c>
      <c r="C13" s="390">
        <v>6.2830854294664104E-2</v>
      </c>
      <c r="D13">
        <v>0</v>
      </c>
      <c r="E13" t="s">
        <v>594</v>
      </c>
      <c r="F13" t="s">
        <v>2849</v>
      </c>
    </row>
    <row r="14" spans="1:8" x14ac:dyDescent="0.45">
      <c r="A14" t="s">
        <v>269</v>
      </c>
      <c r="B14" t="str">
        <f t="shared" si="0"/>
        <v>JanETU</v>
      </c>
      <c r="C14" s="390">
        <v>7.6408043258177794E-2</v>
      </c>
      <c r="D14">
        <v>0.5</v>
      </c>
      <c r="E14" t="s">
        <v>336</v>
      </c>
      <c r="F14" t="s">
        <v>2867</v>
      </c>
    </row>
    <row r="15" spans="1:8" x14ac:dyDescent="0.45">
      <c r="A15" t="s">
        <v>270</v>
      </c>
      <c r="B15" t="str">
        <f t="shared" si="0"/>
        <v>FebETU</v>
      </c>
      <c r="C15" s="390">
        <v>9.1690279136459801E-2</v>
      </c>
      <c r="D15">
        <v>0.5</v>
      </c>
      <c r="E15" t="s">
        <v>336</v>
      </c>
      <c r="F15" t="s">
        <v>2867</v>
      </c>
    </row>
    <row r="16" spans="1:8" x14ac:dyDescent="0.45">
      <c r="A16" t="s">
        <v>271</v>
      </c>
      <c r="B16" t="str">
        <f t="shared" si="0"/>
        <v>MarETU</v>
      </c>
      <c r="C16" s="390">
        <v>8.9547495163188606E-2</v>
      </c>
      <c r="D16">
        <v>0.5</v>
      </c>
      <c r="E16" t="s">
        <v>336</v>
      </c>
      <c r="F16" t="s">
        <v>2867</v>
      </c>
    </row>
    <row r="17" spans="1:6" x14ac:dyDescent="0.45">
      <c r="A17" t="s">
        <v>272</v>
      </c>
      <c r="B17" t="str">
        <f t="shared" si="0"/>
        <v>AprETU</v>
      </c>
      <c r="C17" s="390">
        <v>9.2176047325894406E-2</v>
      </c>
      <c r="D17">
        <v>0.5</v>
      </c>
      <c r="E17" t="s">
        <v>336</v>
      </c>
      <c r="F17" t="s">
        <v>2867</v>
      </c>
    </row>
    <row r="18" spans="1:6" x14ac:dyDescent="0.45">
      <c r="A18" t="s">
        <v>273</v>
      </c>
      <c r="B18" t="str">
        <f t="shared" si="0"/>
        <v>MayETU</v>
      </c>
      <c r="C18" s="390">
        <v>6.4782227209412901E-2</v>
      </c>
      <c r="D18">
        <v>0.5</v>
      </c>
      <c r="E18" t="s">
        <v>336</v>
      </c>
      <c r="F18" t="s">
        <v>2867</v>
      </c>
    </row>
    <row r="19" spans="1:6" x14ac:dyDescent="0.45">
      <c r="A19" t="s">
        <v>274</v>
      </c>
      <c r="B19" t="str">
        <f t="shared" si="0"/>
        <v>JuneETU</v>
      </c>
      <c r="C19" s="390">
        <v>8.8030508513506203E-2</v>
      </c>
      <c r="D19">
        <v>0.5</v>
      </c>
      <c r="E19" t="s">
        <v>336</v>
      </c>
      <c r="F19" t="s">
        <v>2867</v>
      </c>
    </row>
    <row r="20" spans="1:6" x14ac:dyDescent="0.45">
      <c r="A20" t="s">
        <v>275</v>
      </c>
      <c r="B20" t="str">
        <f t="shared" si="0"/>
        <v>JulyETU</v>
      </c>
      <c r="C20" s="390">
        <v>8.9732339850653597E-2</v>
      </c>
      <c r="D20">
        <v>0.5</v>
      </c>
      <c r="E20" t="s">
        <v>336</v>
      </c>
      <c r="F20" t="s">
        <v>2867</v>
      </c>
    </row>
    <row r="21" spans="1:6" x14ac:dyDescent="0.45">
      <c r="A21" t="s">
        <v>276</v>
      </c>
      <c r="B21" t="str">
        <f t="shared" si="0"/>
        <v>AugETU</v>
      </c>
      <c r="C21" s="390">
        <v>9.5015425914235896E-2</v>
      </c>
      <c r="D21">
        <v>0.5</v>
      </c>
      <c r="E21" t="s">
        <v>336</v>
      </c>
      <c r="F21" t="s">
        <v>2867</v>
      </c>
    </row>
    <row r="22" spans="1:6" x14ac:dyDescent="0.45">
      <c r="A22" t="s">
        <v>277</v>
      </c>
      <c r="B22" t="str">
        <f t="shared" si="0"/>
        <v>SeptETU</v>
      </c>
      <c r="C22" s="390">
        <v>7.9092727755465206E-2</v>
      </c>
      <c r="D22">
        <v>0.5</v>
      </c>
      <c r="E22" t="s">
        <v>336</v>
      </c>
      <c r="F22" t="s">
        <v>2867</v>
      </c>
    </row>
    <row r="23" spans="1:6" x14ac:dyDescent="0.45">
      <c r="A23" t="s">
        <v>278</v>
      </c>
      <c r="B23" t="str">
        <f t="shared" si="0"/>
        <v>OctETU</v>
      </c>
      <c r="C23" s="390">
        <v>8.0252051237286098E-2</v>
      </c>
      <c r="D23">
        <v>0.5</v>
      </c>
      <c r="E23" t="s">
        <v>336</v>
      </c>
      <c r="F23" t="s">
        <v>2867</v>
      </c>
    </row>
    <row r="24" spans="1:6" x14ac:dyDescent="0.45">
      <c r="A24" t="s">
        <v>279</v>
      </c>
      <c r="B24" t="str">
        <f t="shared" si="0"/>
        <v>NovETU</v>
      </c>
      <c r="C24" s="390">
        <v>7.1049271147846205E-2</v>
      </c>
      <c r="D24">
        <v>0.5</v>
      </c>
      <c r="E24" t="s">
        <v>336</v>
      </c>
      <c r="F24" t="s">
        <v>2867</v>
      </c>
    </row>
    <row r="25" spans="1:6" x14ac:dyDescent="0.45">
      <c r="A25" t="s">
        <v>280</v>
      </c>
      <c r="B25" t="str">
        <f t="shared" si="0"/>
        <v>DecETU</v>
      </c>
      <c r="C25" s="390">
        <v>8.2223583487873203E-2</v>
      </c>
      <c r="D25">
        <v>0.5</v>
      </c>
      <c r="E25" t="s">
        <v>336</v>
      </c>
      <c r="F25" t="s">
        <v>2867</v>
      </c>
    </row>
    <row r="26" spans="1:6" x14ac:dyDescent="0.45">
      <c r="A26" t="s">
        <v>269</v>
      </c>
      <c r="B26" t="str">
        <f t="shared" si="0"/>
        <v>JanETR</v>
      </c>
      <c r="C26" s="390">
        <v>9.5713728266083806E-2</v>
      </c>
      <c r="D26">
        <v>0.5</v>
      </c>
      <c r="E26" t="s">
        <v>84</v>
      </c>
      <c r="F26" t="s">
        <v>2866</v>
      </c>
    </row>
    <row r="27" spans="1:6" x14ac:dyDescent="0.45">
      <c r="A27" t="s">
        <v>270</v>
      </c>
      <c r="B27" t="str">
        <f t="shared" si="0"/>
        <v>FebETR</v>
      </c>
      <c r="C27" s="390">
        <v>8.6488527654674893E-2</v>
      </c>
      <c r="D27">
        <v>0.5</v>
      </c>
      <c r="E27" t="s">
        <v>84</v>
      </c>
      <c r="F27" t="s">
        <v>2866</v>
      </c>
    </row>
    <row r="28" spans="1:6" x14ac:dyDescent="0.45">
      <c r="A28" t="s">
        <v>271</v>
      </c>
      <c r="B28" t="str">
        <f t="shared" si="0"/>
        <v>MarETR</v>
      </c>
      <c r="C28" s="390">
        <v>8.8262729647882801E-2</v>
      </c>
      <c r="D28">
        <v>0.5</v>
      </c>
      <c r="E28" t="s">
        <v>84</v>
      </c>
      <c r="F28" t="s">
        <v>2866</v>
      </c>
    </row>
    <row r="29" spans="1:6" x14ac:dyDescent="0.45">
      <c r="A29" t="s">
        <v>272</v>
      </c>
      <c r="B29" t="str">
        <f t="shared" si="0"/>
        <v>AprETR</v>
      </c>
      <c r="C29" s="390">
        <v>8.3380764610135397E-2</v>
      </c>
      <c r="D29">
        <v>0.5</v>
      </c>
      <c r="E29" t="s">
        <v>84</v>
      </c>
      <c r="F29" t="s">
        <v>2866</v>
      </c>
    </row>
    <row r="30" spans="1:6" x14ac:dyDescent="0.45">
      <c r="A30" t="s">
        <v>273</v>
      </c>
      <c r="B30" t="str">
        <f t="shared" si="0"/>
        <v>MayETR</v>
      </c>
      <c r="C30" s="390">
        <v>9.1188775742037306E-2</v>
      </c>
      <c r="D30">
        <v>0.5</v>
      </c>
      <c r="E30" t="s">
        <v>84</v>
      </c>
      <c r="F30" t="s">
        <v>2866</v>
      </c>
    </row>
    <row r="31" spans="1:6" x14ac:dyDescent="0.45">
      <c r="A31" t="s">
        <v>274</v>
      </c>
      <c r="B31" t="str">
        <f t="shared" si="0"/>
        <v>JuneETR</v>
      </c>
      <c r="C31" s="390">
        <v>8.6178470823280298E-2</v>
      </c>
      <c r="D31">
        <v>0.5</v>
      </c>
      <c r="E31" t="s">
        <v>84</v>
      </c>
      <c r="F31" t="s">
        <v>2866</v>
      </c>
    </row>
    <row r="32" spans="1:6" x14ac:dyDescent="0.45">
      <c r="A32" t="s">
        <v>275</v>
      </c>
      <c r="B32" t="str">
        <f t="shared" si="0"/>
        <v>JulyETR</v>
      </c>
      <c r="C32" s="390">
        <v>8.4609128374005305E-2</v>
      </c>
      <c r="D32">
        <v>0.5</v>
      </c>
      <c r="E32" t="s">
        <v>84</v>
      </c>
      <c r="F32" t="s">
        <v>2866</v>
      </c>
    </row>
    <row r="33" spans="1:6" x14ac:dyDescent="0.45">
      <c r="A33" t="s">
        <v>276</v>
      </c>
      <c r="B33" t="str">
        <f t="shared" si="0"/>
        <v>AugETR</v>
      </c>
      <c r="C33" s="390">
        <v>9.1453477672599107E-2</v>
      </c>
      <c r="D33">
        <v>0.5</v>
      </c>
      <c r="E33" t="s">
        <v>84</v>
      </c>
      <c r="F33" t="s">
        <v>2866</v>
      </c>
    </row>
    <row r="34" spans="1:6" x14ac:dyDescent="0.45">
      <c r="A34" t="s">
        <v>277</v>
      </c>
      <c r="B34" t="str">
        <f t="shared" si="0"/>
        <v>SeptETR</v>
      </c>
      <c r="C34" s="390">
        <v>8.3750496376631497E-2</v>
      </c>
      <c r="D34">
        <v>0.5</v>
      </c>
      <c r="E34" t="s">
        <v>84</v>
      </c>
      <c r="F34" t="s">
        <v>2866</v>
      </c>
    </row>
    <row r="35" spans="1:6" x14ac:dyDescent="0.45">
      <c r="A35" t="s">
        <v>278</v>
      </c>
      <c r="B35" t="str">
        <f t="shared" si="0"/>
        <v>OctETR</v>
      </c>
      <c r="C35" s="390">
        <v>7.2957207307375205E-2</v>
      </c>
      <c r="D35">
        <v>0.5</v>
      </c>
      <c r="E35" t="s">
        <v>84</v>
      </c>
      <c r="F35" t="s">
        <v>2866</v>
      </c>
    </row>
    <row r="36" spans="1:6" x14ac:dyDescent="0.45">
      <c r="A36" t="s">
        <v>279</v>
      </c>
      <c r="B36" t="str">
        <f t="shared" si="0"/>
        <v>NovETR</v>
      </c>
      <c r="C36" s="390">
        <v>7.5738270699272497E-2</v>
      </c>
      <c r="D36">
        <v>0.5</v>
      </c>
      <c r="E36" t="s">
        <v>84</v>
      </c>
      <c r="F36" t="s">
        <v>2866</v>
      </c>
    </row>
    <row r="37" spans="1:6" x14ac:dyDescent="0.45">
      <c r="A37" t="s">
        <v>280</v>
      </c>
      <c r="B37" t="str">
        <f t="shared" si="0"/>
        <v>DecETR</v>
      </c>
      <c r="C37" s="390">
        <v>6.0278422826021999E-2</v>
      </c>
      <c r="D37">
        <v>0.5</v>
      </c>
      <c r="E37" t="s">
        <v>84</v>
      </c>
      <c r="F37" t="s">
        <v>2866</v>
      </c>
    </row>
    <row r="38" spans="1:6" x14ac:dyDescent="0.45">
      <c r="A38" t="s">
        <v>269</v>
      </c>
      <c r="B38" t="str">
        <f t="shared" si="0"/>
        <v>JanET01</v>
      </c>
      <c r="C38" s="363">
        <v>7.8977856201488505E-2</v>
      </c>
      <c r="D38">
        <v>1</v>
      </c>
      <c r="E38" t="s">
        <v>3357</v>
      </c>
      <c r="F38" t="s">
        <v>2868</v>
      </c>
    </row>
    <row r="39" spans="1:6" x14ac:dyDescent="0.45">
      <c r="A39" t="s">
        <v>270</v>
      </c>
      <c r="B39" t="str">
        <f t="shared" si="0"/>
        <v>FebET01</v>
      </c>
      <c r="C39" s="363">
        <v>7.9554276374392205E-2</v>
      </c>
      <c r="D39">
        <v>1</v>
      </c>
      <c r="E39" t="s">
        <v>3357</v>
      </c>
      <c r="F39" t="s">
        <v>2868</v>
      </c>
    </row>
    <row r="40" spans="1:6" x14ac:dyDescent="0.45">
      <c r="A40" t="s">
        <v>271</v>
      </c>
      <c r="B40" t="str">
        <f t="shared" si="0"/>
        <v>MarET01</v>
      </c>
      <c r="C40" s="363">
        <v>9.4694643265869793E-2</v>
      </c>
      <c r="D40">
        <v>1</v>
      </c>
      <c r="E40" t="s">
        <v>3357</v>
      </c>
      <c r="F40" t="s">
        <v>2868</v>
      </c>
    </row>
    <row r="41" spans="1:6" x14ac:dyDescent="0.45">
      <c r="A41" t="s">
        <v>272</v>
      </c>
      <c r="B41" t="str">
        <f t="shared" si="0"/>
        <v>AprET01</v>
      </c>
      <c r="C41" s="363">
        <v>8.5724970151308796E-2</v>
      </c>
      <c r="D41">
        <v>1</v>
      </c>
      <c r="E41" t="s">
        <v>3357</v>
      </c>
      <c r="F41" t="s">
        <v>2868</v>
      </c>
    </row>
    <row r="42" spans="1:6" x14ac:dyDescent="0.45">
      <c r="A42" t="s">
        <v>273</v>
      </c>
      <c r="B42" t="str">
        <f t="shared" si="0"/>
        <v>MayET01</v>
      </c>
      <c r="C42" s="363">
        <v>9.0977549382895401E-2</v>
      </c>
      <c r="D42">
        <v>1</v>
      </c>
      <c r="E42" t="s">
        <v>3357</v>
      </c>
      <c r="F42" t="s">
        <v>2868</v>
      </c>
    </row>
    <row r="43" spans="1:6" x14ac:dyDescent="0.45">
      <c r="A43" t="s">
        <v>274</v>
      </c>
      <c r="B43" t="str">
        <f t="shared" si="0"/>
        <v>JuneET01</v>
      </c>
      <c r="C43" s="363">
        <v>7.71206575106297E-2</v>
      </c>
      <c r="D43">
        <v>1</v>
      </c>
      <c r="E43" t="s">
        <v>3357</v>
      </c>
      <c r="F43" t="s">
        <v>2868</v>
      </c>
    </row>
    <row r="44" spans="1:6" x14ac:dyDescent="0.45">
      <c r="A44" t="s">
        <v>275</v>
      </c>
      <c r="B44" t="str">
        <f t="shared" si="0"/>
        <v>JulyET01</v>
      </c>
      <c r="C44" s="363">
        <v>7.2849730514378597E-2</v>
      </c>
      <c r="D44">
        <v>1</v>
      </c>
      <c r="E44" t="s">
        <v>3357</v>
      </c>
      <c r="F44" t="s">
        <v>2868</v>
      </c>
    </row>
    <row r="45" spans="1:6" x14ac:dyDescent="0.45">
      <c r="A45" t="s">
        <v>276</v>
      </c>
      <c r="B45" t="str">
        <f t="shared" si="0"/>
        <v>AugET01</v>
      </c>
      <c r="C45" s="363">
        <v>9.9294366885082794E-2</v>
      </c>
      <c r="D45">
        <v>1</v>
      </c>
      <c r="E45" t="s">
        <v>3357</v>
      </c>
      <c r="F45" t="s">
        <v>2868</v>
      </c>
    </row>
    <row r="46" spans="1:6" x14ac:dyDescent="0.45">
      <c r="A46" t="s">
        <v>277</v>
      </c>
      <c r="B46" t="str">
        <f t="shared" si="0"/>
        <v>SeptET01</v>
      </c>
      <c r="C46" s="363">
        <v>7.8116476307395794E-2</v>
      </c>
      <c r="D46">
        <v>1</v>
      </c>
      <c r="E46" t="s">
        <v>3357</v>
      </c>
      <c r="F46" t="s">
        <v>2868</v>
      </c>
    </row>
    <row r="47" spans="1:6" x14ac:dyDescent="0.45">
      <c r="A47" t="s">
        <v>278</v>
      </c>
      <c r="B47" t="str">
        <f t="shared" si="0"/>
        <v>OctET01</v>
      </c>
      <c r="C47" s="363">
        <v>9.0719206026811799E-2</v>
      </c>
      <c r="D47">
        <v>1</v>
      </c>
      <c r="E47" t="s">
        <v>3357</v>
      </c>
      <c r="F47" t="s">
        <v>2868</v>
      </c>
    </row>
    <row r="48" spans="1:6" x14ac:dyDescent="0.45">
      <c r="A48" t="s">
        <v>279</v>
      </c>
      <c r="B48" t="str">
        <f t="shared" si="0"/>
        <v>NovET01</v>
      </c>
      <c r="C48" s="363">
        <v>7.9228708050398097E-2</v>
      </c>
      <c r="D48">
        <v>1</v>
      </c>
      <c r="E48" t="s">
        <v>3357</v>
      </c>
      <c r="F48" t="s">
        <v>2868</v>
      </c>
    </row>
    <row r="49" spans="1:6" x14ac:dyDescent="0.45">
      <c r="A49" t="s">
        <v>280</v>
      </c>
      <c r="B49" t="str">
        <f t="shared" si="0"/>
        <v>DecET01</v>
      </c>
      <c r="C49" s="363">
        <v>7.2741559329348504E-2</v>
      </c>
      <c r="D49">
        <v>1</v>
      </c>
      <c r="E49" t="s">
        <v>3357</v>
      </c>
      <c r="F49" t="s">
        <v>2868</v>
      </c>
    </row>
    <row r="50" spans="1:6" x14ac:dyDescent="0.45">
      <c r="A50" t="s">
        <v>269</v>
      </c>
      <c r="B50" t="str">
        <f t="shared" si="0"/>
        <v>JanET02</v>
      </c>
      <c r="C50" s="363">
        <v>0.119638970739136</v>
      </c>
      <c r="D50">
        <v>1</v>
      </c>
      <c r="E50" t="s">
        <v>3358</v>
      </c>
      <c r="F50" t="s">
        <v>2869</v>
      </c>
    </row>
    <row r="51" spans="1:6" x14ac:dyDescent="0.45">
      <c r="A51" t="s">
        <v>270</v>
      </c>
      <c r="B51" t="str">
        <f t="shared" si="0"/>
        <v>FebET02</v>
      </c>
      <c r="C51" s="363">
        <v>0.12031804378581901</v>
      </c>
      <c r="D51">
        <v>1</v>
      </c>
      <c r="E51" t="s">
        <v>3358</v>
      </c>
      <c r="F51" t="s">
        <v>2869</v>
      </c>
    </row>
    <row r="52" spans="1:6" x14ac:dyDescent="0.45">
      <c r="A52" t="s">
        <v>271</v>
      </c>
      <c r="B52" t="str">
        <f t="shared" si="0"/>
        <v>MarET02</v>
      </c>
      <c r="C52" s="363">
        <v>8.3057341185665406E-2</v>
      </c>
      <c r="D52">
        <v>1</v>
      </c>
      <c r="E52" t="s">
        <v>3358</v>
      </c>
      <c r="F52" t="s">
        <v>2869</v>
      </c>
    </row>
    <row r="53" spans="1:6" x14ac:dyDescent="0.45">
      <c r="A53" t="s">
        <v>272</v>
      </c>
      <c r="B53" t="str">
        <f t="shared" si="0"/>
        <v>AprET02</v>
      </c>
      <c r="C53" s="363">
        <v>9.1408419043312095E-2</v>
      </c>
      <c r="D53">
        <v>1</v>
      </c>
      <c r="E53" t="s">
        <v>3358</v>
      </c>
      <c r="F53" t="s">
        <v>2869</v>
      </c>
    </row>
    <row r="54" spans="1:6" x14ac:dyDescent="0.45">
      <c r="A54" t="s">
        <v>273</v>
      </c>
      <c r="B54" t="str">
        <f t="shared" si="0"/>
        <v>MayET02</v>
      </c>
      <c r="C54" s="363">
        <v>0.12854095954422901</v>
      </c>
      <c r="D54">
        <v>1</v>
      </c>
      <c r="E54" t="s">
        <v>3358</v>
      </c>
      <c r="F54" t="s">
        <v>2869</v>
      </c>
    </row>
    <row r="55" spans="1:6" x14ac:dyDescent="0.45">
      <c r="A55" t="s">
        <v>274</v>
      </c>
      <c r="B55" t="str">
        <f t="shared" si="0"/>
        <v>JuneET02</v>
      </c>
      <c r="C55" s="363">
        <v>0.110063927388844</v>
      </c>
      <c r="D55">
        <v>1</v>
      </c>
      <c r="E55" t="s">
        <v>3358</v>
      </c>
      <c r="F55" t="s">
        <v>2869</v>
      </c>
    </row>
    <row r="56" spans="1:6" x14ac:dyDescent="0.45">
      <c r="A56" t="s">
        <v>275</v>
      </c>
      <c r="B56" t="str">
        <f t="shared" si="0"/>
        <v>JulyET02</v>
      </c>
      <c r="C56" s="363">
        <v>8.8776240502924597E-2</v>
      </c>
      <c r="D56">
        <v>1</v>
      </c>
      <c r="E56" t="s">
        <v>3358</v>
      </c>
      <c r="F56" t="s">
        <v>2869</v>
      </c>
    </row>
    <row r="57" spans="1:6" x14ac:dyDescent="0.45">
      <c r="A57" t="s">
        <v>276</v>
      </c>
      <c r="B57" t="str">
        <f t="shared" si="0"/>
        <v>AugET02</v>
      </c>
      <c r="C57" s="363">
        <v>4.7855591203143102E-2</v>
      </c>
      <c r="D57">
        <v>1</v>
      </c>
      <c r="E57" t="s">
        <v>3358</v>
      </c>
      <c r="F57" t="s">
        <v>2869</v>
      </c>
    </row>
    <row r="58" spans="1:6" x14ac:dyDescent="0.45">
      <c r="A58" t="s">
        <v>277</v>
      </c>
      <c r="B58" t="str">
        <f t="shared" si="0"/>
        <v>SeptET02</v>
      </c>
      <c r="C58" s="363">
        <v>3.1295713444432403E-2</v>
      </c>
      <c r="D58">
        <v>1</v>
      </c>
      <c r="E58" t="s">
        <v>3358</v>
      </c>
      <c r="F58" t="s">
        <v>2869</v>
      </c>
    </row>
    <row r="59" spans="1:6" x14ac:dyDescent="0.45">
      <c r="A59" t="s">
        <v>278</v>
      </c>
      <c r="B59" t="str">
        <f t="shared" si="0"/>
        <v>OctET02</v>
      </c>
      <c r="C59" s="363">
        <v>6.5555611557017293E-2</v>
      </c>
      <c r="D59">
        <v>1</v>
      </c>
      <c r="E59" t="s">
        <v>3358</v>
      </c>
      <c r="F59" t="s">
        <v>2869</v>
      </c>
    </row>
    <row r="60" spans="1:6" x14ac:dyDescent="0.45">
      <c r="A60" t="s">
        <v>279</v>
      </c>
      <c r="B60" t="str">
        <f t="shared" si="0"/>
        <v>NovET02</v>
      </c>
      <c r="C60" s="363">
        <v>6.0795718292669797E-2</v>
      </c>
      <c r="D60">
        <v>1</v>
      </c>
      <c r="E60" t="s">
        <v>3358</v>
      </c>
      <c r="F60" t="s">
        <v>2869</v>
      </c>
    </row>
    <row r="61" spans="1:6" x14ac:dyDescent="0.45">
      <c r="A61" t="s">
        <v>280</v>
      </c>
      <c r="B61" t="str">
        <f t="shared" si="0"/>
        <v>DecET02</v>
      </c>
      <c r="C61" s="363">
        <v>5.2693463312806797E-2</v>
      </c>
      <c r="D61">
        <v>1</v>
      </c>
      <c r="E61" t="s">
        <v>3358</v>
      </c>
      <c r="F61" t="s">
        <v>2869</v>
      </c>
    </row>
    <row r="62" spans="1:6" x14ac:dyDescent="0.45">
      <c r="A62" t="s">
        <v>269</v>
      </c>
      <c r="B62" t="str">
        <f t="shared" si="0"/>
        <v>JanET03</v>
      </c>
      <c r="C62" s="363">
        <v>7.3215020513968401E-2</v>
      </c>
      <c r="D62">
        <v>1</v>
      </c>
      <c r="E62" t="s">
        <v>3359</v>
      </c>
      <c r="F62" t="s">
        <v>2871</v>
      </c>
    </row>
    <row r="63" spans="1:6" x14ac:dyDescent="0.45">
      <c r="A63" t="s">
        <v>270</v>
      </c>
      <c r="B63" t="str">
        <f t="shared" si="0"/>
        <v>FebET03</v>
      </c>
      <c r="C63" s="363">
        <v>8.0759360654443793E-2</v>
      </c>
      <c r="D63">
        <v>1</v>
      </c>
      <c r="E63" t="s">
        <v>3359</v>
      </c>
      <c r="F63" t="s">
        <v>2871</v>
      </c>
    </row>
    <row r="64" spans="1:6" x14ac:dyDescent="0.45">
      <c r="A64" t="s">
        <v>271</v>
      </c>
      <c r="B64" t="str">
        <f t="shared" si="0"/>
        <v>MarET03</v>
      </c>
      <c r="C64" s="363">
        <v>9.7303723372625203E-2</v>
      </c>
      <c r="D64">
        <v>1</v>
      </c>
      <c r="E64" t="s">
        <v>3359</v>
      </c>
      <c r="F64" t="s">
        <v>2871</v>
      </c>
    </row>
    <row r="65" spans="1:6" x14ac:dyDescent="0.45">
      <c r="A65" t="s">
        <v>272</v>
      </c>
      <c r="B65" t="str">
        <f t="shared" si="0"/>
        <v>AprET03</v>
      </c>
      <c r="C65" s="363">
        <v>8.7542573457591796E-2</v>
      </c>
      <c r="D65">
        <v>1</v>
      </c>
      <c r="E65" t="s">
        <v>3359</v>
      </c>
      <c r="F65" t="s">
        <v>2871</v>
      </c>
    </row>
    <row r="66" spans="1:6" x14ac:dyDescent="0.45">
      <c r="A66" t="s">
        <v>273</v>
      </c>
      <c r="B66" t="str">
        <f t="shared" ref="B66:B129" si="1">_xlfn.CONCAT(A66,F66)</f>
        <v>MayET03</v>
      </c>
      <c r="C66" s="363">
        <v>7.5933322382079393E-2</v>
      </c>
      <c r="D66">
        <v>1</v>
      </c>
      <c r="E66" t="s">
        <v>3359</v>
      </c>
      <c r="F66" t="s">
        <v>2871</v>
      </c>
    </row>
    <row r="67" spans="1:6" x14ac:dyDescent="0.45">
      <c r="A67" t="s">
        <v>274</v>
      </c>
      <c r="B67" t="str">
        <f t="shared" si="1"/>
        <v>JuneET03</v>
      </c>
      <c r="C67" s="363">
        <v>6.2686359255245794E-2</v>
      </c>
      <c r="D67">
        <v>1</v>
      </c>
      <c r="E67" t="s">
        <v>3359</v>
      </c>
      <c r="F67" t="s">
        <v>2871</v>
      </c>
    </row>
    <row r="68" spans="1:6" x14ac:dyDescent="0.45">
      <c r="A68" t="s">
        <v>275</v>
      </c>
      <c r="B68" t="str">
        <f t="shared" si="1"/>
        <v>JulyET03</v>
      </c>
      <c r="C68" s="363">
        <v>8.6314041705917902E-2</v>
      </c>
      <c r="D68">
        <v>1</v>
      </c>
      <c r="E68" t="s">
        <v>3359</v>
      </c>
      <c r="F68" t="s">
        <v>2871</v>
      </c>
    </row>
    <row r="69" spans="1:6" x14ac:dyDescent="0.45">
      <c r="A69" t="s">
        <v>276</v>
      </c>
      <c r="B69" t="str">
        <f t="shared" si="1"/>
        <v>AugET03</v>
      </c>
      <c r="C69" s="363">
        <v>0.10510507714313699</v>
      </c>
      <c r="D69">
        <v>1</v>
      </c>
      <c r="E69" t="s">
        <v>3359</v>
      </c>
      <c r="F69" t="s">
        <v>2871</v>
      </c>
    </row>
    <row r="70" spans="1:6" x14ac:dyDescent="0.45">
      <c r="A70" t="s">
        <v>277</v>
      </c>
      <c r="B70" t="str">
        <f t="shared" si="1"/>
        <v>SeptET03</v>
      </c>
      <c r="C70" s="363">
        <v>0.102730579396168</v>
      </c>
      <c r="D70">
        <v>1</v>
      </c>
      <c r="E70" t="s">
        <v>3359</v>
      </c>
      <c r="F70" t="s">
        <v>2871</v>
      </c>
    </row>
    <row r="71" spans="1:6" x14ac:dyDescent="0.45">
      <c r="A71" t="s">
        <v>278</v>
      </c>
      <c r="B71" t="str">
        <f t="shared" si="1"/>
        <v>OctET03</v>
      </c>
      <c r="C71" s="363">
        <v>7.1352256743233602E-2</v>
      </c>
      <c r="D71">
        <v>1</v>
      </c>
      <c r="E71" t="s">
        <v>3359</v>
      </c>
      <c r="F71" t="s">
        <v>2871</v>
      </c>
    </row>
    <row r="72" spans="1:6" x14ac:dyDescent="0.45">
      <c r="A72" t="s">
        <v>279</v>
      </c>
      <c r="B72" t="str">
        <f t="shared" si="1"/>
        <v>NovET03</v>
      </c>
      <c r="C72" s="363">
        <v>8.0057405568158102E-2</v>
      </c>
      <c r="D72">
        <v>1</v>
      </c>
      <c r="E72" t="s">
        <v>3359</v>
      </c>
      <c r="F72" t="s">
        <v>2871</v>
      </c>
    </row>
    <row r="73" spans="1:6" x14ac:dyDescent="0.45">
      <c r="A73" t="s">
        <v>280</v>
      </c>
      <c r="B73" t="str">
        <f t="shared" si="1"/>
        <v>DecET03</v>
      </c>
      <c r="C73" s="363">
        <v>7.7000279807430794E-2</v>
      </c>
      <c r="D73">
        <v>1</v>
      </c>
      <c r="E73" t="s">
        <v>3359</v>
      </c>
      <c r="F73" t="s">
        <v>2871</v>
      </c>
    </row>
    <row r="74" spans="1:6" x14ac:dyDescent="0.45">
      <c r="A74" t="s">
        <v>269</v>
      </c>
      <c r="B74" t="str">
        <f t="shared" si="1"/>
        <v>JanET04</v>
      </c>
      <c r="C74" s="363">
        <v>9.5276942203046194E-2</v>
      </c>
      <c r="D74">
        <v>1</v>
      </c>
      <c r="E74" t="s">
        <v>3360</v>
      </c>
      <c r="F74" t="s">
        <v>2872</v>
      </c>
    </row>
    <row r="75" spans="1:6" x14ac:dyDescent="0.45">
      <c r="A75" t="s">
        <v>270</v>
      </c>
      <c r="B75" t="str">
        <f t="shared" si="1"/>
        <v>FebET04</v>
      </c>
      <c r="C75" s="363">
        <v>9.0759896157263903E-2</v>
      </c>
      <c r="D75">
        <v>1</v>
      </c>
      <c r="E75" t="s">
        <v>3360</v>
      </c>
      <c r="F75" t="s">
        <v>2872</v>
      </c>
    </row>
    <row r="76" spans="1:6" x14ac:dyDescent="0.45">
      <c r="A76" t="s">
        <v>271</v>
      </c>
      <c r="B76" t="str">
        <f t="shared" si="1"/>
        <v>MarET04</v>
      </c>
      <c r="C76" s="363">
        <v>9.4408035576808894E-2</v>
      </c>
      <c r="D76">
        <v>1</v>
      </c>
      <c r="E76" t="s">
        <v>3360</v>
      </c>
      <c r="F76" t="s">
        <v>2872</v>
      </c>
    </row>
    <row r="77" spans="1:6" x14ac:dyDescent="0.45">
      <c r="A77" t="s">
        <v>272</v>
      </c>
      <c r="B77" t="str">
        <f t="shared" si="1"/>
        <v>AprET04</v>
      </c>
      <c r="C77" s="363">
        <v>8.1631306167197604E-2</v>
      </c>
      <c r="D77">
        <v>1</v>
      </c>
      <c r="E77" t="s">
        <v>3360</v>
      </c>
      <c r="F77" t="s">
        <v>2872</v>
      </c>
    </row>
    <row r="78" spans="1:6" x14ac:dyDescent="0.45">
      <c r="A78" t="s">
        <v>273</v>
      </c>
      <c r="B78" t="str">
        <f t="shared" si="1"/>
        <v>MayET04</v>
      </c>
      <c r="C78" s="363">
        <v>9.0941206490117096E-2</v>
      </c>
      <c r="D78">
        <v>1</v>
      </c>
      <c r="E78" t="s">
        <v>3360</v>
      </c>
      <c r="F78" t="s">
        <v>2872</v>
      </c>
    </row>
    <row r="79" spans="1:6" x14ac:dyDescent="0.45">
      <c r="A79" t="s">
        <v>274</v>
      </c>
      <c r="B79" t="str">
        <f t="shared" si="1"/>
        <v>JuneET04</v>
      </c>
      <c r="C79" s="363">
        <v>8.9449106592488406E-2</v>
      </c>
      <c r="D79">
        <v>1</v>
      </c>
      <c r="E79" t="s">
        <v>3360</v>
      </c>
      <c r="F79" t="s">
        <v>2872</v>
      </c>
    </row>
    <row r="80" spans="1:6" x14ac:dyDescent="0.45">
      <c r="A80" t="s">
        <v>275</v>
      </c>
      <c r="B80" t="str">
        <f t="shared" si="1"/>
        <v>JulyET04</v>
      </c>
      <c r="C80" s="363">
        <v>8.3909266408871905E-2</v>
      </c>
      <c r="D80">
        <v>1</v>
      </c>
      <c r="E80" t="s">
        <v>3360</v>
      </c>
      <c r="F80" t="s">
        <v>2872</v>
      </c>
    </row>
    <row r="81" spans="1:6" x14ac:dyDescent="0.45">
      <c r="A81" t="s">
        <v>276</v>
      </c>
      <c r="B81" t="str">
        <f t="shared" si="1"/>
        <v>AugET04</v>
      </c>
      <c r="C81" s="363">
        <v>9.0376977349690205E-2</v>
      </c>
      <c r="D81">
        <v>1</v>
      </c>
      <c r="E81" t="s">
        <v>3360</v>
      </c>
      <c r="F81" t="s">
        <v>2872</v>
      </c>
    </row>
    <row r="82" spans="1:6" x14ac:dyDescent="0.45">
      <c r="A82" t="s">
        <v>277</v>
      </c>
      <c r="B82" t="str">
        <f t="shared" si="1"/>
        <v>SeptET04</v>
      </c>
      <c r="C82" s="363">
        <v>8.6065126328565306E-2</v>
      </c>
      <c r="D82">
        <v>1</v>
      </c>
      <c r="E82" t="s">
        <v>3360</v>
      </c>
      <c r="F82" t="s">
        <v>2872</v>
      </c>
    </row>
    <row r="83" spans="1:6" x14ac:dyDescent="0.45">
      <c r="A83" t="s">
        <v>278</v>
      </c>
      <c r="B83" t="str">
        <f t="shared" si="1"/>
        <v>OctET04</v>
      </c>
      <c r="C83" s="363">
        <v>7.4317226790385299E-2</v>
      </c>
      <c r="D83">
        <v>1</v>
      </c>
      <c r="E83" t="s">
        <v>3360</v>
      </c>
      <c r="F83" t="s">
        <v>2872</v>
      </c>
    </row>
    <row r="84" spans="1:6" x14ac:dyDescent="0.45">
      <c r="A84" t="s">
        <v>279</v>
      </c>
      <c r="B84" t="str">
        <f t="shared" si="1"/>
        <v>NovET04</v>
      </c>
      <c r="C84" s="363">
        <v>7.5794930007336198E-2</v>
      </c>
      <c r="D84">
        <v>1</v>
      </c>
      <c r="E84" t="s">
        <v>3360</v>
      </c>
      <c r="F84" t="s">
        <v>2872</v>
      </c>
    </row>
    <row r="85" spans="1:6" x14ac:dyDescent="0.45">
      <c r="A85" t="s">
        <v>280</v>
      </c>
      <c r="B85" t="str">
        <f t="shared" si="1"/>
        <v>DecET04</v>
      </c>
      <c r="C85" s="363">
        <v>4.7069979928228999E-2</v>
      </c>
      <c r="D85">
        <v>1</v>
      </c>
      <c r="E85" t="s">
        <v>3360</v>
      </c>
      <c r="F85" t="s">
        <v>2872</v>
      </c>
    </row>
    <row r="86" spans="1:6" x14ac:dyDescent="0.45">
      <c r="A86" t="s">
        <v>269</v>
      </c>
      <c r="B86" t="str">
        <f t="shared" si="1"/>
        <v>JanET05</v>
      </c>
      <c r="C86" s="363">
        <v>0.12665112663851</v>
      </c>
      <c r="D86">
        <v>1</v>
      </c>
      <c r="E86" t="s">
        <v>3361</v>
      </c>
      <c r="F86" t="s">
        <v>2873</v>
      </c>
    </row>
    <row r="87" spans="1:6" x14ac:dyDescent="0.45">
      <c r="A87" t="s">
        <v>270</v>
      </c>
      <c r="B87" t="str">
        <f t="shared" si="1"/>
        <v>FebET05</v>
      </c>
      <c r="C87" s="363">
        <v>9.5858291524042905E-2</v>
      </c>
      <c r="D87">
        <v>1</v>
      </c>
      <c r="E87" t="s">
        <v>3361</v>
      </c>
      <c r="F87" t="s">
        <v>2873</v>
      </c>
    </row>
    <row r="88" spans="1:6" x14ac:dyDescent="0.45">
      <c r="A88" t="s">
        <v>271</v>
      </c>
      <c r="B88" t="str">
        <f t="shared" si="1"/>
        <v>MarET05</v>
      </c>
      <c r="C88" s="363">
        <v>0.10597568194856501</v>
      </c>
      <c r="D88">
        <v>1</v>
      </c>
      <c r="E88" t="s">
        <v>3361</v>
      </c>
      <c r="F88" t="s">
        <v>2873</v>
      </c>
    </row>
    <row r="89" spans="1:6" x14ac:dyDescent="0.45">
      <c r="A89" t="s">
        <v>272</v>
      </c>
      <c r="B89" t="str">
        <f t="shared" si="1"/>
        <v>AprET05</v>
      </c>
      <c r="C89" s="363">
        <v>6.3617234782729404E-2</v>
      </c>
      <c r="D89">
        <v>1</v>
      </c>
      <c r="E89" t="s">
        <v>3361</v>
      </c>
      <c r="F89" t="s">
        <v>2873</v>
      </c>
    </row>
    <row r="90" spans="1:6" x14ac:dyDescent="0.45">
      <c r="A90" t="s">
        <v>273</v>
      </c>
      <c r="B90" t="str">
        <f t="shared" si="1"/>
        <v>MayET05</v>
      </c>
      <c r="C90" s="363">
        <v>0.107100610446238</v>
      </c>
      <c r="D90">
        <v>1</v>
      </c>
      <c r="E90" t="s">
        <v>3361</v>
      </c>
      <c r="F90" t="s">
        <v>2873</v>
      </c>
    </row>
    <row r="91" spans="1:6" x14ac:dyDescent="0.45">
      <c r="A91" t="s">
        <v>274</v>
      </c>
      <c r="B91" t="str">
        <f t="shared" si="1"/>
        <v>JuneET05</v>
      </c>
      <c r="C91" s="363">
        <v>9.7748498755981197E-2</v>
      </c>
      <c r="D91">
        <v>1</v>
      </c>
      <c r="E91" t="s">
        <v>3361</v>
      </c>
      <c r="F91" t="s">
        <v>2873</v>
      </c>
    </row>
    <row r="92" spans="1:6" x14ac:dyDescent="0.45">
      <c r="A92" t="s">
        <v>275</v>
      </c>
      <c r="B92" t="str">
        <f t="shared" si="1"/>
        <v>JulyET05</v>
      </c>
      <c r="C92" s="363">
        <v>8.5496913821880696E-2</v>
      </c>
      <c r="D92">
        <v>1</v>
      </c>
      <c r="E92" t="s">
        <v>3361</v>
      </c>
      <c r="F92" t="s">
        <v>2873</v>
      </c>
    </row>
    <row r="93" spans="1:6" x14ac:dyDescent="0.45">
      <c r="A93" t="s">
        <v>276</v>
      </c>
      <c r="B93" t="str">
        <f t="shared" si="1"/>
        <v>AugET05</v>
      </c>
      <c r="C93" s="363">
        <v>8.6352851939908007E-2</v>
      </c>
      <c r="D93">
        <v>1</v>
      </c>
      <c r="E93" t="s">
        <v>3361</v>
      </c>
      <c r="F93" t="s">
        <v>2873</v>
      </c>
    </row>
    <row r="94" spans="1:6" x14ac:dyDescent="0.45">
      <c r="A94" t="s">
        <v>277</v>
      </c>
      <c r="B94" t="str">
        <f t="shared" si="1"/>
        <v>SeptET05</v>
      </c>
      <c r="C94" s="363">
        <v>7.8326742531016597E-2</v>
      </c>
      <c r="D94">
        <v>1</v>
      </c>
      <c r="E94" t="s">
        <v>3361</v>
      </c>
      <c r="F94" t="s">
        <v>2873</v>
      </c>
    </row>
    <row r="95" spans="1:6" x14ac:dyDescent="0.45">
      <c r="A95" t="s">
        <v>278</v>
      </c>
      <c r="B95" t="str">
        <f t="shared" si="1"/>
        <v>OctET05</v>
      </c>
      <c r="C95" s="363">
        <v>5.0162480704962598E-2</v>
      </c>
      <c r="D95">
        <v>1</v>
      </c>
      <c r="E95" t="s">
        <v>3361</v>
      </c>
      <c r="F95" t="s">
        <v>2873</v>
      </c>
    </row>
    <row r="96" spans="1:6" x14ac:dyDescent="0.45">
      <c r="A96" t="s">
        <v>279</v>
      </c>
      <c r="B96" t="str">
        <f t="shared" si="1"/>
        <v>NovET05</v>
      </c>
      <c r="C96" s="363">
        <v>5.5283216021023901E-2</v>
      </c>
      <c r="D96">
        <v>1</v>
      </c>
      <c r="E96" t="s">
        <v>3361</v>
      </c>
      <c r="F96" t="s">
        <v>2873</v>
      </c>
    </row>
    <row r="97" spans="1:6" x14ac:dyDescent="0.45">
      <c r="A97" t="s">
        <v>280</v>
      </c>
      <c r="B97" t="str">
        <f t="shared" si="1"/>
        <v>DecET05</v>
      </c>
      <c r="C97" s="363">
        <v>4.7426350885141799E-2</v>
      </c>
      <c r="D97">
        <v>1</v>
      </c>
      <c r="E97" t="s">
        <v>3361</v>
      </c>
      <c r="F97" t="s">
        <v>2873</v>
      </c>
    </row>
    <row r="98" spans="1:6" x14ac:dyDescent="0.45">
      <c r="A98" t="s">
        <v>269</v>
      </c>
      <c r="B98" t="str">
        <f t="shared" si="1"/>
        <v>JanET06</v>
      </c>
      <c r="C98" s="363">
        <v>9.8730657896003604E-2</v>
      </c>
      <c r="D98">
        <v>1</v>
      </c>
      <c r="E98" t="s">
        <v>3362</v>
      </c>
      <c r="F98" t="s">
        <v>2876</v>
      </c>
    </row>
    <row r="99" spans="1:6" x14ac:dyDescent="0.45">
      <c r="A99" t="s">
        <v>270</v>
      </c>
      <c r="B99" t="str">
        <f t="shared" si="1"/>
        <v>FebET06</v>
      </c>
      <c r="C99" s="363">
        <v>9.1888708369127506E-2</v>
      </c>
      <c r="D99">
        <v>1</v>
      </c>
      <c r="E99" t="s">
        <v>3362</v>
      </c>
      <c r="F99" t="s">
        <v>2876</v>
      </c>
    </row>
    <row r="100" spans="1:6" x14ac:dyDescent="0.45">
      <c r="A100" t="s">
        <v>271</v>
      </c>
      <c r="B100" t="str">
        <f t="shared" si="1"/>
        <v>MarET06</v>
      </c>
      <c r="C100" s="363">
        <v>8.0632307432735306E-2</v>
      </c>
      <c r="D100">
        <v>1</v>
      </c>
      <c r="E100" t="s">
        <v>3362</v>
      </c>
      <c r="F100" t="s">
        <v>2876</v>
      </c>
    </row>
    <row r="101" spans="1:6" x14ac:dyDescent="0.45">
      <c r="A101" t="s">
        <v>272</v>
      </c>
      <c r="B101" t="str">
        <f t="shared" si="1"/>
        <v>AprET06</v>
      </c>
      <c r="C101" s="363">
        <v>8.30445582672662E-2</v>
      </c>
      <c r="D101">
        <v>1</v>
      </c>
      <c r="E101" t="s">
        <v>3362</v>
      </c>
      <c r="F101" t="s">
        <v>2876</v>
      </c>
    </row>
    <row r="102" spans="1:6" x14ac:dyDescent="0.45">
      <c r="A102" t="s">
        <v>273</v>
      </c>
      <c r="B102" t="str">
        <f t="shared" si="1"/>
        <v>MayET06</v>
      </c>
      <c r="C102" s="363">
        <v>8.6791018955436505E-2</v>
      </c>
      <c r="D102">
        <v>1</v>
      </c>
      <c r="E102" t="s">
        <v>3362</v>
      </c>
      <c r="F102" t="s">
        <v>2876</v>
      </c>
    </row>
    <row r="103" spans="1:6" x14ac:dyDescent="0.45">
      <c r="A103" t="s">
        <v>274</v>
      </c>
      <c r="B103" t="str">
        <f t="shared" si="1"/>
        <v>JuneET06</v>
      </c>
      <c r="C103" s="363">
        <v>0.11168180157944101</v>
      </c>
      <c r="D103">
        <v>1</v>
      </c>
      <c r="E103" t="s">
        <v>3362</v>
      </c>
      <c r="F103" t="s">
        <v>2876</v>
      </c>
    </row>
    <row r="104" spans="1:6" x14ac:dyDescent="0.45">
      <c r="A104" t="s">
        <v>275</v>
      </c>
      <c r="B104" t="str">
        <f t="shared" si="1"/>
        <v>JulyET06</v>
      </c>
      <c r="C104" s="363">
        <v>0.11681766728509201</v>
      </c>
      <c r="D104">
        <v>1</v>
      </c>
      <c r="E104" t="s">
        <v>3362</v>
      </c>
      <c r="F104" t="s">
        <v>2876</v>
      </c>
    </row>
    <row r="105" spans="1:6" x14ac:dyDescent="0.45">
      <c r="A105" t="s">
        <v>276</v>
      </c>
      <c r="B105" t="str">
        <f t="shared" si="1"/>
        <v>AugET06</v>
      </c>
      <c r="C105" s="363">
        <v>7.6739559956737799E-2</v>
      </c>
      <c r="D105">
        <v>1</v>
      </c>
      <c r="E105" t="s">
        <v>3362</v>
      </c>
      <c r="F105" t="s">
        <v>2876</v>
      </c>
    </row>
    <row r="106" spans="1:6" x14ac:dyDescent="0.45">
      <c r="A106" t="s">
        <v>277</v>
      </c>
      <c r="B106" t="str">
        <f t="shared" si="1"/>
        <v>SeptET06</v>
      </c>
      <c r="C106" s="363">
        <v>8.2370788099667094E-2</v>
      </c>
      <c r="D106">
        <v>1</v>
      </c>
      <c r="E106" t="s">
        <v>3362</v>
      </c>
      <c r="F106" t="s">
        <v>2876</v>
      </c>
    </row>
    <row r="107" spans="1:6" x14ac:dyDescent="0.45">
      <c r="A107" t="s">
        <v>278</v>
      </c>
      <c r="B107" t="str">
        <f t="shared" si="1"/>
        <v>OctET06</v>
      </c>
      <c r="C107" s="363">
        <v>7.7896509256574598E-2</v>
      </c>
      <c r="D107">
        <v>1</v>
      </c>
      <c r="E107" t="s">
        <v>3362</v>
      </c>
      <c r="F107" t="s">
        <v>2876</v>
      </c>
    </row>
    <row r="108" spans="1:6" x14ac:dyDescent="0.45">
      <c r="A108" t="s">
        <v>279</v>
      </c>
      <c r="B108" t="str">
        <f t="shared" si="1"/>
        <v>NovET06</v>
      </c>
      <c r="C108" s="363">
        <v>4.5603011085689503E-2</v>
      </c>
      <c r="D108">
        <v>1</v>
      </c>
      <c r="E108" t="s">
        <v>3362</v>
      </c>
      <c r="F108" t="s">
        <v>2876</v>
      </c>
    </row>
    <row r="109" spans="1:6" x14ac:dyDescent="0.45">
      <c r="A109" t="s">
        <v>280</v>
      </c>
      <c r="B109" t="str">
        <f t="shared" si="1"/>
        <v>DecET06</v>
      </c>
      <c r="C109" s="363">
        <v>4.7803411816228901E-2</v>
      </c>
      <c r="D109">
        <v>1</v>
      </c>
      <c r="E109" t="s">
        <v>3362</v>
      </c>
      <c r="F109" t="s">
        <v>2876</v>
      </c>
    </row>
    <row r="110" spans="1:6" x14ac:dyDescent="0.45">
      <c r="A110" t="s">
        <v>269</v>
      </c>
      <c r="B110" t="str">
        <f t="shared" si="1"/>
        <v>JanET07</v>
      </c>
      <c r="C110" s="363">
        <v>0.1029818095797</v>
      </c>
      <c r="D110">
        <v>1</v>
      </c>
      <c r="E110" t="s">
        <v>3363</v>
      </c>
      <c r="F110" t="s">
        <v>2878</v>
      </c>
    </row>
    <row r="111" spans="1:6" x14ac:dyDescent="0.45">
      <c r="A111" t="s">
        <v>270</v>
      </c>
      <c r="B111" t="str">
        <f t="shared" si="1"/>
        <v>FebET07</v>
      </c>
      <c r="C111" s="363">
        <v>8.5040139539699494E-2</v>
      </c>
      <c r="D111">
        <v>1</v>
      </c>
      <c r="E111" t="s">
        <v>3363</v>
      </c>
      <c r="F111" t="s">
        <v>2878</v>
      </c>
    </row>
    <row r="112" spans="1:6" x14ac:dyDescent="0.45">
      <c r="A112" t="s">
        <v>271</v>
      </c>
      <c r="B112" t="str">
        <f t="shared" si="1"/>
        <v>MarET07</v>
      </c>
      <c r="C112" s="363">
        <v>6.3224966979639793E-2</v>
      </c>
      <c r="D112">
        <v>1</v>
      </c>
      <c r="E112" t="s">
        <v>3363</v>
      </c>
      <c r="F112" t="s">
        <v>2878</v>
      </c>
    </row>
    <row r="113" spans="1:6" x14ac:dyDescent="0.45">
      <c r="A113" t="s">
        <v>272</v>
      </c>
      <c r="B113" t="str">
        <f t="shared" si="1"/>
        <v>AprET07</v>
      </c>
      <c r="C113" s="363">
        <v>9.3590813012297602E-2</v>
      </c>
      <c r="D113">
        <v>1</v>
      </c>
      <c r="E113" t="s">
        <v>3363</v>
      </c>
      <c r="F113" t="s">
        <v>2878</v>
      </c>
    </row>
    <row r="114" spans="1:6" x14ac:dyDescent="0.45">
      <c r="A114" t="s">
        <v>273</v>
      </c>
      <c r="B114" t="str">
        <f t="shared" si="1"/>
        <v>MayET07</v>
      </c>
      <c r="C114" s="363">
        <v>8.9618409866999899E-2</v>
      </c>
      <c r="D114">
        <v>1</v>
      </c>
      <c r="E114" t="s">
        <v>3363</v>
      </c>
      <c r="F114" t="s">
        <v>2878</v>
      </c>
    </row>
    <row r="115" spans="1:6" x14ac:dyDescent="0.45">
      <c r="A115" t="s">
        <v>274</v>
      </c>
      <c r="B115" t="str">
        <f t="shared" si="1"/>
        <v>JuneET07</v>
      </c>
      <c r="C115" s="363">
        <v>9.50488415830084E-2</v>
      </c>
      <c r="D115">
        <v>1</v>
      </c>
      <c r="E115" t="s">
        <v>3363</v>
      </c>
      <c r="F115" t="s">
        <v>2878</v>
      </c>
    </row>
    <row r="116" spans="1:6" x14ac:dyDescent="0.45">
      <c r="A116" t="s">
        <v>275</v>
      </c>
      <c r="B116" t="str">
        <f t="shared" si="1"/>
        <v>JulyET07</v>
      </c>
      <c r="C116" s="363">
        <v>8.7688677490194905E-2</v>
      </c>
      <c r="D116">
        <v>1</v>
      </c>
      <c r="E116" t="s">
        <v>3363</v>
      </c>
      <c r="F116" t="s">
        <v>2878</v>
      </c>
    </row>
    <row r="117" spans="1:6" x14ac:dyDescent="0.45">
      <c r="A117" t="s">
        <v>276</v>
      </c>
      <c r="B117" t="str">
        <f t="shared" si="1"/>
        <v>AugET07</v>
      </c>
      <c r="C117" s="363">
        <v>8.27840791483829E-2</v>
      </c>
      <c r="D117">
        <v>1</v>
      </c>
      <c r="E117" t="s">
        <v>3363</v>
      </c>
      <c r="F117" t="s">
        <v>2878</v>
      </c>
    </row>
    <row r="118" spans="1:6" x14ac:dyDescent="0.45">
      <c r="A118" t="s">
        <v>277</v>
      </c>
      <c r="B118" t="str">
        <f t="shared" si="1"/>
        <v>SeptET07</v>
      </c>
      <c r="C118" s="363">
        <v>6.5825389428905604E-2</v>
      </c>
      <c r="D118">
        <v>1</v>
      </c>
      <c r="E118" t="s">
        <v>3363</v>
      </c>
      <c r="F118" t="s">
        <v>2878</v>
      </c>
    </row>
    <row r="119" spans="1:6" x14ac:dyDescent="0.45">
      <c r="A119" t="s">
        <v>278</v>
      </c>
      <c r="B119" t="str">
        <f t="shared" si="1"/>
        <v>OctET07</v>
      </c>
      <c r="C119" s="363">
        <v>7.5636705496391801E-2</v>
      </c>
      <c r="D119">
        <v>1</v>
      </c>
      <c r="E119" t="s">
        <v>3363</v>
      </c>
      <c r="F119" t="s">
        <v>2878</v>
      </c>
    </row>
    <row r="120" spans="1:6" x14ac:dyDescent="0.45">
      <c r="A120" t="s">
        <v>279</v>
      </c>
      <c r="B120" t="str">
        <f t="shared" si="1"/>
        <v>NovET07</v>
      </c>
      <c r="C120" s="363">
        <v>7.3172346304579305E-2</v>
      </c>
      <c r="D120">
        <v>1</v>
      </c>
      <c r="E120" t="s">
        <v>3363</v>
      </c>
      <c r="F120" t="s">
        <v>2878</v>
      </c>
    </row>
    <row r="121" spans="1:6" x14ac:dyDescent="0.45">
      <c r="A121" t="s">
        <v>280</v>
      </c>
      <c r="B121" t="str">
        <f t="shared" si="1"/>
        <v>DecET07</v>
      </c>
      <c r="C121" s="363">
        <v>8.5387821570199807E-2</v>
      </c>
      <c r="D121">
        <v>1</v>
      </c>
      <c r="E121" t="s">
        <v>3363</v>
      </c>
      <c r="F121" t="s">
        <v>2878</v>
      </c>
    </row>
    <row r="122" spans="1:6" x14ac:dyDescent="0.45">
      <c r="A122" t="s">
        <v>269</v>
      </c>
      <c r="B122" t="str">
        <f t="shared" si="1"/>
        <v>JanET12</v>
      </c>
      <c r="C122" s="363">
        <v>0.104474565881907</v>
      </c>
      <c r="D122">
        <v>1</v>
      </c>
      <c r="E122" t="s">
        <v>3364</v>
      </c>
      <c r="F122" t="s">
        <v>2880</v>
      </c>
    </row>
    <row r="123" spans="1:6" x14ac:dyDescent="0.45">
      <c r="A123" t="s">
        <v>270</v>
      </c>
      <c r="B123" t="str">
        <f t="shared" si="1"/>
        <v>FebET12</v>
      </c>
      <c r="C123" s="363">
        <v>9.3831708162952596E-2</v>
      </c>
      <c r="D123">
        <v>1</v>
      </c>
      <c r="E123" t="s">
        <v>3364</v>
      </c>
      <c r="F123" t="s">
        <v>2880</v>
      </c>
    </row>
    <row r="124" spans="1:6" x14ac:dyDescent="0.45">
      <c r="A124" t="s">
        <v>271</v>
      </c>
      <c r="B124" t="str">
        <f t="shared" si="1"/>
        <v>MarET12</v>
      </c>
      <c r="C124" s="363">
        <v>5.43907990353827E-2</v>
      </c>
      <c r="D124">
        <v>1</v>
      </c>
      <c r="E124" t="s">
        <v>3364</v>
      </c>
      <c r="F124" t="s">
        <v>2880</v>
      </c>
    </row>
    <row r="125" spans="1:6" x14ac:dyDescent="0.45">
      <c r="A125" t="s">
        <v>272</v>
      </c>
      <c r="B125" t="str">
        <f t="shared" si="1"/>
        <v>AprET12</v>
      </c>
      <c r="C125" s="363">
        <v>7.2831893666271505E-2</v>
      </c>
      <c r="D125">
        <v>1</v>
      </c>
      <c r="E125" t="s">
        <v>3364</v>
      </c>
      <c r="F125" t="s">
        <v>2880</v>
      </c>
    </row>
    <row r="126" spans="1:6" x14ac:dyDescent="0.45">
      <c r="A126" t="s">
        <v>273</v>
      </c>
      <c r="B126" t="str">
        <f t="shared" si="1"/>
        <v>MayET12</v>
      </c>
      <c r="C126" s="363">
        <v>0.102513844193343</v>
      </c>
      <c r="D126">
        <v>1</v>
      </c>
      <c r="E126" t="s">
        <v>3364</v>
      </c>
      <c r="F126" t="s">
        <v>2880</v>
      </c>
    </row>
    <row r="127" spans="1:6" x14ac:dyDescent="0.45">
      <c r="A127" t="s">
        <v>274</v>
      </c>
      <c r="B127" t="str">
        <f t="shared" si="1"/>
        <v>JuneET12</v>
      </c>
      <c r="C127" s="363">
        <v>0.111302765612524</v>
      </c>
      <c r="D127">
        <v>1</v>
      </c>
      <c r="E127" t="s">
        <v>3364</v>
      </c>
      <c r="F127" t="s">
        <v>2880</v>
      </c>
    </row>
    <row r="128" spans="1:6" x14ac:dyDescent="0.45">
      <c r="A128" t="s">
        <v>275</v>
      </c>
      <c r="B128" t="str">
        <f t="shared" si="1"/>
        <v>JulyET12</v>
      </c>
      <c r="C128" s="363">
        <v>6.8448466371474406E-2</v>
      </c>
      <c r="D128">
        <v>1</v>
      </c>
      <c r="E128" t="s">
        <v>3364</v>
      </c>
      <c r="F128" t="s">
        <v>2880</v>
      </c>
    </row>
    <row r="129" spans="1:6" x14ac:dyDescent="0.45">
      <c r="A129" t="s">
        <v>276</v>
      </c>
      <c r="B129" t="str">
        <f t="shared" si="1"/>
        <v>AugET12</v>
      </c>
      <c r="C129" s="363">
        <v>0.102790066700541</v>
      </c>
      <c r="D129">
        <v>1</v>
      </c>
      <c r="E129" t="s">
        <v>3364</v>
      </c>
      <c r="F129" t="s">
        <v>2880</v>
      </c>
    </row>
    <row r="130" spans="1:6" x14ac:dyDescent="0.45">
      <c r="A130" t="s">
        <v>277</v>
      </c>
      <c r="B130" t="str">
        <f t="shared" ref="B130:B169" si="2">_xlfn.CONCAT(A130,F130)</f>
        <v>SeptET12</v>
      </c>
      <c r="C130" s="363">
        <v>9.0566204521441804E-2</v>
      </c>
      <c r="D130">
        <v>1</v>
      </c>
      <c r="E130" t="s">
        <v>3364</v>
      </c>
      <c r="F130" t="s">
        <v>2880</v>
      </c>
    </row>
    <row r="131" spans="1:6" x14ac:dyDescent="0.45">
      <c r="A131" t="s">
        <v>278</v>
      </c>
      <c r="B131" t="str">
        <f t="shared" si="2"/>
        <v>OctET12</v>
      </c>
      <c r="C131" s="363">
        <v>8.2660859606248999E-2</v>
      </c>
      <c r="D131">
        <v>1</v>
      </c>
      <c r="E131" t="s">
        <v>3364</v>
      </c>
      <c r="F131" t="s">
        <v>2880</v>
      </c>
    </row>
    <row r="132" spans="1:6" x14ac:dyDescent="0.45">
      <c r="A132" t="s">
        <v>279</v>
      </c>
      <c r="B132" t="str">
        <f t="shared" si="2"/>
        <v>NovET12</v>
      </c>
      <c r="C132" s="363">
        <v>6.5860324066232795E-2</v>
      </c>
      <c r="D132">
        <v>1</v>
      </c>
      <c r="E132" t="s">
        <v>3364</v>
      </c>
      <c r="F132" t="s">
        <v>2880</v>
      </c>
    </row>
    <row r="133" spans="1:6" x14ac:dyDescent="0.45">
      <c r="A133" t="s">
        <v>280</v>
      </c>
      <c r="B133" t="str">
        <f t="shared" si="2"/>
        <v>DecET12</v>
      </c>
      <c r="C133" s="363">
        <v>5.03285021816803E-2</v>
      </c>
      <c r="D133">
        <v>1</v>
      </c>
      <c r="E133" t="s">
        <v>3364</v>
      </c>
      <c r="F133" t="s">
        <v>2880</v>
      </c>
    </row>
    <row r="134" spans="1:6" x14ac:dyDescent="0.45">
      <c r="A134" t="s">
        <v>269</v>
      </c>
      <c r="B134" t="str">
        <f t="shared" si="2"/>
        <v>JanET13</v>
      </c>
      <c r="C134" s="363">
        <v>9.5542442366008007E-2</v>
      </c>
      <c r="D134">
        <v>1</v>
      </c>
      <c r="E134" t="s">
        <v>3365</v>
      </c>
      <c r="F134" t="s">
        <v>2882</v>
      </c>
    </row>
    <row r="135" spans="1:6" x14ac:dyDescent="0.45">
      <c r="A135" t="s">
        <v>270</v>
      </c>
      <c r="B135" t="str">
        <f t="shared" si="2"/>
        <v>FebET13</v>
      </c>
      <c r="C135" s="363">
        <v>0.101006764229001</v>
      </c>
      <c r="D135">
        <v>1</v>
      </c>
      <c r="E135" t="s">
        <v>3365</v>
      </c>
      <c r="F135" t="s">
        <v>2882</v>
      </c>
    </row>
    <row r="136" spans="1:6" x14ac:dyDescent="0.45">
      <c r="A136" t="s">
        <v>271</v>
      </c>
      <c r="B136" t="str">
        <f t="shared" si="2"/>
        <v>MarET13</v>
      </c>
      <c r="C136" s="363">
        <v>9.3882458085874504E-2</v>
      </c>
      <c r="D136">
        <v>1</v>
      </c>
      <c r="E136" t="s">
        <v>3365</v>
      </c>
      <c r="F136" t="s">
        <v>2882</v>
      </c>
    </row>
    <row r="137" spans="1:6" x14ac:dyDescent="0.45">
      <c r="A137" t="s">
        <v>272</v>
      </c>
      <c r="B137" t="str">
        <f t="shared" si="2"/>
        <v>AprET13</v>
      </c>
      <c r="C137" s="363">
        <v>6.2568163144299305E-2</v>
      </c>
      <c r="D137">
        <v>1</v>
      </c>
      <c r="E137" t="s">
        <v>3365</v>
      </c>
      <c r="F137" t="s">
        <v>2882</v>
      </c>
    </row>
    <row r="138" spans="1:6" x14ac:dyDescent="0.45">
      <c r="A138" t="s">
        <v>273</v>
      </c>
      <c r="B138" t="str">
        <f t="shared" si="2"/>
        <v>MayET13</v>
      </c>
      <c r="C138" s="363">
        <v>0.116399282061574</v>
      </c>
      <c r="D138">
        <v>1</v>
      </c>
      <c r="E138" t="s">
        <v>3365</v>
      </c>
      <c r="F138" t="s">
        <v>2882</v>
      </c>
    </row>
    <row r="139" spans="1:6" x14ac:dyDescent="0.45">
      <c r="A139" t="s">
        <v>274</v>
      </c>
      <c r="B139" t="str">
        <f t="shared" si="2"/>
        <v>JuneET13</v>
      </c>
      <c r="C139" s="363">
        <v>8.6545671407926503E-2</v>
      </c>
      <c r="D139">
        <v>1</v>
      </c>
      <c r="E139" t="s">
        <v>3365</v>
      </c>
      <c r="F139" t="s">
        <v>2882</v>
      </c>
    </row>
    <row r="140" spans="1:6" x14ac:dyDescent="0.45">
      <c r="A140" t="s">
        <v>275</v>
      </c>
      <c r="B140" t="str">
        <f t="shared" si="2"/>
        <v>JulyET13</v>
      </c>
      <c r="C140" s="363">
        <v>8.5347770208764495E-2</v>
      </c>
      <c r="D140">
        <v>1</v>
      </c>
      <c r="E140" t="s">
        <v>3365</v>
      </c>
      <c r="F140" t="s">
        <v>2882</v>
      </c>
    </row>
    <row r="141" spans="1:6" x14ac:dyDescent="0.45">
      <c r="A141" t="s">
        <v>276</v>
      </c>
      <c r="B141" t="str">
        <f t="shared" si="2"/>
        <v>AugET13</v>
      </c>
      <c r="C141" s="363">
        <v>7.0098582817870098E-2</v>
      </c>
      <c r="D141">
        <v>1</v>
      </c>
      <c r="E141" t="s">
        <v>3365</v>
      </c>
      <c r="F141" t="s">
        <v>2882</v>
      </c>
    </row>
    <row r="142" spans="1:6" x14ac:dyDescent="0.45">
      <c r="A142" t="s">
        <v>277</v>
      </c>
      <c r="B142" t="str">
        <f t="shared" si="2"/>
        <v>SeptET13</v>
      </c>
      <c r="C142" s="363">
        <v>6.9289475788807703E-2</v>
      </c>
      <c r="D142">
        <v>1</v>
      </c>
      <c r="E142" t="s">
        <v>3365</v>
      </c>
      <c r="F142" t="s">
        <v>2882</v>
      </c>
    </row>
    <row r="143" spans="1:6" x14ac:dyDescent="0.45">
      <c r="A143" t="s">
        <v>278</v>
      </c>
      <c r="B143" t="str">
        <f t="shared" si="2"/>
        <v>OctET13</v>
      </c>
      <c r="C143" s="363">
        <v>7.2725267571382493E-2</v>
      </c>
      <c r="D143">
        <v>1</v>
      </c>
      <c r="E143" t="s">
        <v>3365</v>
      </c>
      <c r="F143" t="s">
        <v>2882</v>
      </c>
    </row>
    <row r="144" spans="1:6" x14ac:dyDescent="0.45">
      <c r="A144" t="s">
        <v>279</v>
      </c>
      <c r="B144" t="str">
        <f t="shared" si="2"/>
        <v>NovET13</v>
      </c>
      <c r="C144" s="363">
        <v>7.89905461762163E-2</v>
      </c>
      <c r="D144">
        <v>1</v>
      </c>
      <c r="E144" t="s">
        <v>3365</v>
      </c>
      <c r="F144" t="s">
        <v>2882</v>
      </c>
    </row>
    <row r="145" spans="1:6" x14ac:dyDescent="0.45">
      <c r="A145" t="s">
        <v>280</v>
      </c>
      <c r="B145" t="str">
        <f t="shared" si="2"/>
        <v>DecET13</v>
      </c>
      <c r="C145" s="363">
        <v>6.7603576142275495E-2</v>
      </c>
      <c r="D145">
        <v>1</v>
      </c>
      <c r="E145" t="s">
        <v>3365</v>
      </c>
      <c r="F145" t="s">
        <v>2882</v>
      </c>
    </row>
    <row r="146" spans="1:6" x14ac:dyDescent="0.45">
      <c r="A146" t="s">
        <v>269</v>
      </c>
      <c r="B146" t="str">
        <f t="shared" si="2"/>
        <v>JanET14</v>
      </c>
      <c r="C146" s="363">
        <v>9.6150420068166403E-2</v>
      </c>
      <c r="D146">
        <v>1</v>
      </c>
      <c r="E146" t="s">
        <v>3366</v>
      </c>
      <c r="F146" t="s">
        <v>2884</v>
      </c>
    </row>
    <row r="147" spans="1:6" x14ac:dyDescent="0.45">
      <c r="A147" t="s">
        <v>270</v>
      </c>
      <c r="B147" t="str">
        <f t="shared" si="2"/>
        <v>FebET14</v>
      </c>
      <c r="C147" s="363">
        <v>7.0895192110293201E-2</v>
      </c>
      <c r="D147">
        <v>1</v>
      </c>
      <c r="E147" t="s">
        <v>3366</v>
      </c>
      <c r="F147" t="s">
        <v>2884</v>
      </c>
    </row>
    <row r="148" spans="1:6" x14ac:dyDescent="0.45">
      <c r="A148" t="s">
        <v>271</v>
      </c>
      <c r="B148" t="str">
        <f t="shared" si="2"/>
        <v>MarET14</v>
      </c>
      <c r="C148" s="363">
        <v>8.4228346142514204E-2</v>
      </c>
      <c r="D148">
        <v>1</v>
      </c>
      <c r="E148" t="s">
        <v>3366</v>
      </c>
      <c r="F148" t="s">
        <v>2884</v>
      </c>
    </row>
    <row r="149" spans="1:6" x14ac:dyDescent="0.45">
      <c r="A149" t="s">
        <v>272</v>
      </c>
      <c r="B149" t="str">
        <f t="shared" si="2"/>
        <v>AprET14</v>
      </c>
      <c r="C149" s="363">
        <v>7.1844864423629404E-2</v>
      </c>
      <c r="D149">
        <v>1</v>
      </c>
      <c r="E149" t="s">
        <v>3366</v>
      </c>
      <c r="F149" t="s">
        <v>2884</v>
      </c>
    </row>
    <row r="150" spans="1:6" x14ac:dyDescent="0.45">
      <c r="A150" t="s">
        <v>273</v>
      </c>
      <c r="B150" t="str">
        <f t="shared" si="2"/>
        <v>MayET14</v>
      </c>
      <c r="C150" s="363">
        <v>4.3646601761714199E-2</v>
      </c>
      <c r="D150">
        <v>1</v>
      </c>
      <c r="E150" t="s">
        <v>3366</v>
      </c>
      <c r="F150" t="s">
        <v>2884</v>
      </c>
    </row>
    <row r="151" spans="1:6" x14ac:dyDescent="0.45">
      <c r="A151" t="s">
        <v>274</v>
      </c>
      <c r="B151" t="str">
        <f t="shared" si="2"/>
        <v>JuneET14</v>
      </c>
      <c r="C151" s="363">
        <v>0.115473553158547</v>
      </c>
      <c r="D151">
        <v>1</v>
      </c>
      <c r="E151" t="s">
        <v>3366</v>
      </c>
      <c r="F151" t="s">
        <v>2884</v>
      </c>
    </row>
    <row r="152" spans="1:6" x14ac:dyDescent="0.45">
      <c r="A152" t="s">
        <v>275</v>
      </c>
      <c r="B152" t="str">
        <f t="shared" si="2"/>
        <v>JulyET14</v>
      </c>
      <c r="C152" s="363">
        <v>0.102405641337484</v>
      </c>
      <c r="D152">
        <v>1</v>
      </c>
      <c r="E152" t="s">
        <v>3366</v>
      </c>
      <c r="F152" t="s">
        <v>2884</v>
      </c>
    </row>
    <row r="153" spans="1:6" x14ac:dyDescent="0.45">
      <c r="A153" t="s">
        <v>276</v>
      </c>
      <c r="B153" t="str">
        <f t="shared" si="2"/>
        <v>AugET14</v>
      </c>
      <c r="C153" s="363">
        <v>0.111501884032705</v>
      </c>
      <c r="D153">
        <v>1</v>
      </c>
      <c r="E153" t="s">
        <v>3366</v>
      </c>
      <c r="F153" t="s">
        <v>2884</v>
      </c>
    </row>
    <row r="154" spans="1:6" x14ac:dyDescent="0.45">
      <c r="A154" t="s">
        <v>277</v>
      </c>
      <c r="B154" t="str">
        <f t="shared" si="2"/>
        <v>SeptET14</v>
      </c>
      <c r="C154" s="363">
        <v>7.8591809810500901E-2</v>
      </c>
      <c r="D154">
        <v>1</v>
      </c>
      <c r="E154" t="s">
        <v>3366</v>
      </c>
      <c r="F154" t="s">
        <v>2884</v>
      </c>
    </row>
    <row r="155" spans="1:6" x14ac:dyDescent="0.45">
      <c r="A155" t="s">
        <v>278</v>
      </c>
      <c r="B155" t="str">
        <f t="shared" si="2"/>
        <v>OctET14</v>
      </c>
      <c r="C155" s="363">
        <v>6.3284257106929295E-2</v>
      </c>
      <c r="D155">
        <v>1</v>
      </c>
      <c r="E155" t="s">
        <v>3366</v>
      </c>
      <c r="F155" t="s">
        <v>2884</v>
      </c>
    </row>
    <row r="156" spans="1:6" x14ac:dyDescent="0.45">
      <c r="A156" t="s">
        <v>279</v>
      </c>
      <c r="B156" t="str">
        <f t="shared" si="2"/>
        <v>NovET14</v>
      </c>
      <c r="C156" s="363">
        <v>9.2879351459249193E-2</v>
      </c>
      <c r="D156">
        <v>1</v>
      </c>
      <c r="E156" t="s">
        <v>3366</v>
      </c>
      <c r="F156" t="s">
        <v>2884</v>
      </c>
    </row>
    <row r="157" spans="1:6" x14ac:dyDescent="0.45">
      <c r="A157" t="s">
        <v>280</v>
      </c>
      <c r="B157" t="str">
        <f t="shared" si="2"/>
        <v>DecET14</v>
      </c>
      <c r="C157" s="363">
        <v>6.9098078588266901E-2</v>
      </c>
      <c r="D157">
        <v>1</v>
      </c>
      <c r="E157" t="s">
        <v>3366</v>
      </c>
      <c r="F157" t="s">
        <v>2884</v>
      </c>
    </row>
    <row r="158" spans="1:6" x14ac:dyDescent="0.45">
      <c r="A158" t="s">
        <v>269</v>
      </c>
      <c r="B158" t="str">
        <f t="shared" si="2"/>
        <v>JanET15</v>
      </c>
      <c r="C158" s="363">
        <v>8.1045077945293906E-2</v>
      </c>
      <c r="D158">
        <v>1</v>
      </c>
      <c r="E158" t="s">
        <v>3367</v>
      </c>
      <c r="F158" t="s">
        <v>2885</v>
      </c>
    </row>
    <row r="159" spans="1:6" x14ac:dyDescent="0.45">
      <c r="A159" t="s">
        <v>270</v>
      </c>
      <c r="B159" t="str">
        <f t="shared" si="2"/>
        <v>FebET15</v>
      </c>
      <c r="C159" s="363">
        <v>8.5770478256495697E-2</v>
      </c>
      <c r="D159">
        <v>1</v>
      </c>
      <c r="E159" t="s">
        <v>3367</v>
      </c>
      <c r="F159" t="s">
        <v>2885</v>
      </c>
    </row>
    <row r="160" spans="1:6" x14ac:dyDescent="0.45">
      <c r="A160" t="s">
        <v>271</v>
      </c>
      <c r="B160" t="str">
        <f t="shared" si="2"/>
        <v>MarET15</v>
      </c>
      <c r="C160" s="363">
        <v>7.5381590232430407E-2</v>
      </c>
      <c r="D160">
        <v>1</v>
      </c>
      <c r="E160" t="s">
        <v>3367</v>
      </c>
      <c r="F160" t="s">
        <v>2885</v>
      </c>
    </row>
    <row r="161" spans="1:6" x14ac:dyDescent="0.45">
      <c r="A161" t="s">
        <v>272</v>
      </c>
      <c r="B161" t="str">
        <f t="shared" si="2"/>
        <v>AprET15</v>
      </c>
      <c r="C161" s="363">
        <v>7.8487189655032402E-2</v>
      </c>
      <c r="D161">
        <v>1</v>
      </c>
      <c r="E161" t="s">
        <v>3367</v>
      </c>
      <c r="F161" t="s">
        <v>2885</v>
      </c>
    </row>
    <row r="162" spans="1:6" x14ac:dyDescent="0.45">
      <c r="A162" t="s">
        <v>273</v>
      </c>
      <c r="B162" t="str">
        <f t="shared" si="2"/>
        <v>MayET15</v>
      </c>
      <c r="C162" s="363">
        <v>0.11447534993177701</v>
      </c>
      <c r="D162">
        <v>1</v>
      </c>
      <c r="E162" t="s">
        <v>3367</v>
      </c>
      <c r="F162" t="s">
        <v>2885</v>
      </c>
    </row>
    <row r="163" spans="1:6" x14ac:dyDescent="0.45">
      <c r="A163" t="s">
        <v>274</v>
      </c>
      <c r="B163" t="str">
        <f t="shared" si="2"/>
        <v>JuneET15</v>
      </c>
      <c r="C163" s="363">
        <v>9.1567471887607402E-2</v>
      </c>
      <c r="D163">
        <v>1</v>
      </c>
      <c r="E163" t="s">
        <v>3367</v>
      </c>
      <c r="F163" t="s">
        <v>2885</v>
      </c>
    </row>
    <row r="164" spans="1:6" x14ac:dyDescent="0.45">
      <c r="A164" t="s">
        <v>275</v>
      </c>
      <c r="B164" t="str">
        <f t="shared" si="2"/>
        <v>JulyET15</v>
      </c>
      <c r="C164" s="363">
        <v>7.6663317967091693E-2</v>
      </c>
      <c r="D164">
        <v>1</v>
      </c>
      <c r="E164" t="s">
        <v>3367</v>
      </c>
      <c r="F164" t="s">
        <v>2885</v>
      </c>
    </row>
    <row r="165" spans="1:6" x14ac:dyDescent="0.45">
      <c r="A165" t="s">
        <v>276</v>
      </c>
      <c r="B165" t="str">
        <f t="shared" si="2"/>
        <v>AugET15</v>
      </c>
      <c r="C165" s="363">
        <v>0.10236751558819</v>
      </c>
      <c r="D165">
        <v>1</v>
      </c>
      <c r="E165" t="s">
        <v>3367</v>
      </c>
      <c r="F165" t="s">
        <v>2885</v>
      </c>
    </row>
    <row r="166" spans="1:6" x14ac:dyDescent="0.45">
      <c r="A166" t="s">
        <v>277</v>
      </c>
      <c r="B166" t="str">
        <f t="shared" si="2"/>
        <v>SeptET15</v>
      </c>
      <c r="C166" s="363">
        <v>8.6088587577240597E-2</v>
      </c>
      <c r="D166">
        <v>1</v>
      </c>
      <c r="E166" t="s">
        <v>3367</v>
      </c>
      <c r="F166" t="s">
        <v>2885</v>
      </c>
    </row>
    <row r="167" spans="1:6" x14ac:dyDescent="0.45">
      <c r="A167" t="s">
        <v>278</v>
      </c>
      <c r="B167" t="str">
        <f t="shared" si="2"/>
        <v>OctET15</v>
      </c>
      <c r="C167" s="363">
        <v>8.7759485950088895E-2</v>
      </c>
      <c r="D167">
        <v>1</v>
      </c>
      <c r="E167" t="s">
        <v>3367</v>
      </c>
      <c r="F167" t="s">
        <v>2885</v>
      </c>
    </row>
    <row r="168" spans="1:6" x14ac:dyDescent="0.45">
      <c r="A168" t="s">
        <v>279</v>
      </c>
      <c r="B168" t="str">
        <f t="shared" si="2"/>
        <v>NovET15</v>
      </c>
      <c r="C168" s="363">
        <v>6.8733846537411394E-2</v>
      </c>
      <c r="D168">
        <v>1</v>
      </c>
      <c r="E168" t="s">
        <v>3367</v>
      </c>
      <c r="F168" t="s">
        <v>2885</v>
      </c>
    </row>
    <row r="169" spans="1:6" x14ac:dyDescent="0.45">
      <c r="A169" t="s">
        <v>280</v>
      </c>
      <c r="B169" t="str">
        <f t="shared" si="2"/>
        <v>DecET15</v>
      </c>
      <c r="C169" s="363">
        <v>5.1660088471340203E-2</v>
      </c>
      <c r="D169">
        <v>1</v>
      </c>
      <c r="E169" t="s">
        <v>3367</v>
      </c>
      <c r="F169" t="s">
        <v>2885</v>
      </c>
    </row>
  </sheetData>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FF3A6-F5E0-4AF7-BA72-BAF686032D70}">
  <sheetPr>
    <tabColor theme="5" tint="0.59999389629810485"/>
  </sheetPr>
  <dimension ref="A1:I13"/>
  <sheetViews>
    <sheetView topLeftCell="B1" workbookViewId="0">
      <selection activeCell="I1" sqref="I1"/>
    </sheetView>
  </sheetViews>
  <sheetFormatPr defaultRowHeight="14.25" x14ac:dyDescent="0.45"/>
  <cols>
    <col min="1" max="1" width="7" bestFit="1" customWidth="1"/>
    <col min="2" max="2" width="10.265625" bestFit="1" customWidth="1"/>
    <col min="3" max="3" width="25.265625" bestFit="1" customWidth="1"/>
    <col min="4" max="4" width="11.73046875" bestFit="1" customWidth="1"/>
    <col min="5" max="5" width="11.265625" bestFit="1" customWidth="1"/>
    <col min="6" max="6" width="18.796875" bestFit="1" customWidth="1"/>
    <col min="7" max="7" width="11.19921875" bestFit="1" customWidth="1"/>
  </cols>
  <sheetData>
    <row r="1" spans="1:9" x14ac:dyDescent="0.45">
      <c r="A1" s="355" t="s">
        <v>267</v>
      </c>
      <c r="B1" s="355" t="s">
        <v>2834</v>
      </c>
      <c r="C1" s="355" t="s">
        <v>3218</v>
      </c>
      <c r="D1" s="355" t="s">
        <v>3216</v>
      </c>
      <c r="E1" s="355" t="s">
        <v>2842</v>
      </c>
      <c r="F1" s="355" t="s">
        <v>2844</v>
      </c>
      <c r="G1" s="355" t="s">
        <v>2843</v>
      </c>
      <c r="I1" t="s">
        <v>3354</v>
      </c>
    </row>
    <row r="2" spans="1:9" x14ac:dyDescent="0.45">
      <c r="A2" t="s">
        <v>269</v>
      </c>
      <c r="B2" t="str">
        <f>_xlfn.CONCAT(A2,G2)</f>
        <v>JanET07</v>
      </c>
      <c r="C2" s="364">
        <f>D2/SUM($D$2:$D$13)</f>
        <v>9.7892720259538907E-2</v>
      </c>
      <c r="D2" s="383">
        <v>1.17919491561408</v>
      </c>
      <c r="E2">
        <v>1</v>
      </c>
      <c r="F2" t="s">
        <v>3217</v>
      </c>
      <c r="G2" t="s">
        <v>2878</v>
      </c>
    </row>
    <row r="3" spans="1:9" x14ac:dyDescent="0.45">
      <c r="A3" t="s">
        <v>270</v>
      </c>
      <c r="B3" t="str">
        <f>_xlfn.CONCAT(A3,G3)</f>
        <v>FebET07</v>
      </c>
      <c r="C3" s="364">
        <f t="shared" ref="C3:C13" si="0">D3/SUM($D$2:$D$13)</f>
        <v>0.11145199066061744</v>
      </c>
      <c r="D3" s="383">
        <v>1.3425270068461681</v>
      </c>
      <c r="E3">
        <v>1</v>
      </c>
      <c r="F3" t="s">
        <v>3217</v>
      </c>
      <c r="G3" t="s">
        <v>2878</v>
      </c>
    </row>
    <row r="4" spans="1:9" x14ac:dyDescent="0.45">
      <c r="A4" t="s">
        <v>271</v>
      </c>
      <c r="B4" t="str">
        <f t="shared" ref="B4:B13" si="1">_xlfn.CONCAT(A4,G4)</f>
        <v>MarET07</v>
      </c>
      <c r="C4" s="364">
        <f t="shared" si="0"/>
        <v>0.12678985220161312</v>
      </c>
      <c r="D4" s="383">
        <v>1.5272836291729697</v>
      </c>
      <c r="E4">
        <v>1</v>
      </c>
      <c r="F4" t="s">
        <v>3217</v>
      </c>
      <c r="G4" t="s">
        <v>2878</v>
      </c>
    </row>
    <row r="5" spans="1:9" x14ac:dyDescent="0.45">
      <c r="A5" t="s">
        <v>272</v>
      </c>
      <c r="B5" t="str">
        <f t="shared" si="1"/>
        <v>AprET07</v>
      </c>
      <c r="C5" s="364">
        <f t="shared" si="0"/>
        <v>0.11608174608550521</v>
      </c>
      <c r="D5" s="383">
        <v>1.3982960573239782</v>
      </c>
      <c r="E5">
        <v>1</v>
      </c>
      <c r="F5" t="s">
        <v>3217</v>
      </c>
      <c r="G5" t="s">
        <v>2878</v>
      </c>
    </row>
    <row r="6" spans="1:9" x14ac:dyDescent="0.45">
      <c r="A6" t="s">
        <v>273</v>
      </c>
      <c r="B6" t="str">
        <f t="shared" si="1"/>
        <v>MayET07</v>
      </c>
      <c r="C6" s="364">
        <f t="shared" si="0"/>
        <v>9.710943265680623E-2</v>
      </c>
      <c r="D6" s="383">
        <v>1.1697595995235976</v>
      </c>
      <c r="E6">
        <v>1</v>
      </c>
      <c r="F6" t="s">
        <v>3217</v>
      </c>
      <c r="G6" t="s">
        <v>2878</v>
      </c>
    </row>
    <row r="7" spans="1:9" x14ac:dyDescent="0.45">
      <c r="A7" t="s">
        <v>274</v>
      </c>
      <c r="B7" t="str">
        <f t="shared" si="1"/>
        <v>JuneET07</v>
      </c>
      <c r="C7" s="364">
        <f t="shared" si="0"/>
        <v>7.3740198772910687E-2</v>
      </c>
      <c r="D7" s="383">
        <v>0.88825877183563995</v>
      </c>
      <c r="E7">
        <v>1</v>
      </c>
      <c r="F7" t="s">
        <v>3217</v>
      </c>
      <c r="G7" t="s">
        <v>2878</v>
      </c>
    </row>
    <row r="8" spans="1:9" x14ac:dyDescent="0.45">
      <c r="A8" t="s">
        <v>275</v>
      </c>
      <c r="B8" t="str">
        <f t="shared" si="1"/>
        <v>JulyET07</v>
      </c>
      <c r="C8" s="364">
        <f t="shared" si="0"/>
        <v>5.6152135281385754E-2</v>
      </c>
      <c r="D8" s="383">
        <v>0.67639669476068109</v>
      </c>
      <c r="E8">
        <v>1</v>
      </c>
      <c r="F8" t="s">
        <v>3217</v>
      </c>
      <c r="G8" t="s">
        <v>2878</v>
      </c>
    </row>
    <row r="9" spans="1:9" x14ac:dyDescent="0.45">
      <c r="A9" t="s">
        <v>276</v>
      </c>
      <c r="B9" t="str">
        <f t="shared" si="1"/>
        <v>AugET07</v>
      </c>
      <c r="C9" s="364">
        <f t="shared" si="0"/>
        <v>5.7572990687490763E-2</v>
      </c>
      <c r="D9" s="383">
        <v>0.69351201718976174</v>
      </c>
      <c r="E9">
        <v>1</v>
      </c>
      <c r="F9" t="s">
        <v>3217</v>
      </c>
      <c r="G9" t="s">
        <v>2878</v>
      </c>
    </row>
    <row r="10" spans="1:9" x14ac:dyDescent="0.45">
      <c r="A10" t="s">
        <v>277</v>
      </c>
      <c r="B10" t="str">
        <f t="shared" si="1"/>
        <v>SeptET07</v>
      </c>
      <c r="C10" s="364">
        <f t="shared" si="0"/>
        <v>5.5517049192932967E-2</v>
      </c>
      <c r="D10" s="383">
        <v>0.66874658263288178</v>
      </c>
      <c r="E10">
        <v>1</v>
      </c>
      <c r="F10" t="s">
        <v>3217</v>
      </c>
      <c r="G10" t="s">
        <v>2878</v>
      </c>
    </row>
    <row r="11" spans="1:9" x14ac:dyDescent="0.45">
      <c r="A11" t="s">
        <v>278</v>
      </c>
      <c r="B11" t="str">
        <f t="shared" si="1"/>
        <v>OctET07</v>
      </c>
      <c r="C11" s="364">
        <f t="shared" si="0"/>
        <v>5.6351548258912781E-2</v>
      </c>
      <c r="D11" s="383">
        <v>0.67879878113221004</v>
      </c>
      <c r="E11">
        <v>1</v>
      </c>
      <c r="F11" t="s">
        <v>3217</v>
      </c>
      <c r="G11" t="s">
        <v>2878</v>
      </c>
    </row>
    <row r="12" spans="1:9" x14ac:dyDescent="0.45">
      <c r="A12" t="s">
        <v>279</v>
      </c>
      <c r="B12" t="str">
        <f t="shared" si="1"/>
        <v>NovET07</v>
      </c>
      <c r="C12" s="364">
        <f t="shared" si="0"/>
        <v>6.8327289554465973E-2</v>
      </c>
      <c r="D12" s="383">
        <v>0.82305601710425713</v>
      </c>
      <c r="E12">
        <v>1</v>
      </c>
      <c r="F12" t="s">
        <v>3217</v>
      </c>
      <c r="G12" t="s">
        <v>2878</v>
      </c>
    </row>
    <row r="13" spans="1:9" x14ac:dyDescent="0.45">
      <c r="A13" t="s">
        <v>280</v>
      </c>
      <c r="B13" t="str">
        <f t="shared" si="1"/>
        <v>DecET07</v>
      </c>
      <c r="C13" s="364">
        <f t="shared" si="0"/>
        <v>8.3013046387820241E-2</v>
      </c>
      <c r="D13" s="383">
        <v>0.99995752463130572</v>
      </c>
      <c r="E13">
        <v>1</v>
      </c>
      <c r="F13" t="s">
        <v>3217</v>
      </c>
      <c r="G13" t="s">
        <v>2878</v>
      </c>
    </row>
  </sheetData>
  <phoneticPr fontId="37" type="noConversion"/>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56958-C723-4214-A9FE-F56778FB9163}">
  <sheetPr>
    <tabColor theme="5" tint="0.59999389629810485"/>
  </sheetPr>
  <dimension ref="A1:AV40"/>
  <sheetViews>
    <sheetView topLeftCell="AB1" zoomScale="80" zoomScaleNormal="80" workbookViewId="0">
      <selection activeCell="U5" sqref="U5"/>
    </sheetView>
  </sheetViews>
  <sheetFormatPr defaultRowHeight="14.25" x14ac:dyDescent="0.45"/>
  <cols>
    <col min="11" max="13" width="9.265625" bestFit="1" customWidth="1"/>
    <col min="14" max="14" width="8.796875" bestFit="1" customWidth="1"/>
    <col min="15" max="17" width="9.265625" bestFit="1" customWidth="1"/>
    <col min="43" max="43" width="7.265625" bestFit="1" customWidth="1"/>
    <col min="44" max="44" width="10.73046875" bestFit="1" customWidth="1"/>
    <col min="45" max="45" width="11.19921875" bestFit="1" customWidth="1"/>
    <col min="46" max="46" width="11.46484375" bestFit="1" customWidth="1"/>
    <col min="47" max="47" width="19.19921875" bestFit="1" customWidth="1"/>
    <col min="48" max="48" width="11.46484375" bestFit="1" customWidth="1"/>
  </cols>
  <sheetData>
    <row r="1" spans="1:48" x14ac:dyDescent="0.45">
      <c r="A1" s="57" t="s">
        <v>884</v>
      </c>
      <c r="AQ1" s="355" t="s">
        <v>267</v>
      </c>
      <c r="AR1" s="355" t="s">
        <v>2834</v>
      </c>
      <c r="AS1" s="355" t="s">
        <v>3209</v>
      </c>
      <c r="AT1" s="355" t="s">
        <v>2842</v>
      </c>
      <c r="AU1" s="355" t="s">
        <v>2844</v>
      </c>
      <c r="AV1" s="355" t="s">
        <v>2843</v>
      </c>
    </row>
    <row r="2" spans="1:48" x14ac:dyDescent="0.45">
      <c r="AQ2" t="s">
        <v>269</v>
      </c>
      <c r="AR2" t="str">
        <f>_xlfn.CONCAT(AQ2,AV2)</f>
        <v>JanETR</v>
      </c>
      <c r="AS2" s="3">
        <f>AM21</f>
        <v>6.6936482067843195E-2</v>
      </c>
      <c r="AT2">
        <v>0.5</v>
      </c>
      <c r="AU2" t="s">
        <v>84</v>
      </c>
      <c r="AV2" t="s">
        <v>2866</v>
      </c>
    </row>
    <row r="3" spans="1:48" x14ac:dyDescent="0.45">
      <c r="AQ3" t="s">
        <v>270</v>
      </c>
      <c r="AR3" t="str">
        <f t="shared" ref="AR3:AR13" si="0">_xlfn.CONCAT(AQ3,AV3)</f>
        <v>FebETR</v>
      </c>
      <c r="AS3" s="3">
        <f t="shared" ref="AS3:AS13" si="1">AM22</f>
        <v>6.4084654318813022E-2</v>
      </c>
      <c r="AT3">
        <v>0.5</v>
      </c>
      <c r="AU3" t="s">
        <v>84</v>
      </c>
      <c r="AV3" t="s">
        <v>2866</v>
      </c>
    </row>
    <row r="4" spans="1:48" x14ac:dyDescent="0.45">
      <c r="K4" t="s">
        <v>885</v>
      </c>
      <c r="L4" t="s">
        <v>886</v>
      </c>
      <c r="M4" t="s">
        <v>887</v>
      </c>
      <c r="N4" t="s">
        <v>888</v>
      </c>
      <c r="O4" t="s">
        <v>889</v>
      </c>
      <c r="P4" t="s">
        <v>890</v>
      </c>
      <c r="Q4" t="s">
        <v>891</v>
      </c>
      <c r="U4" t="s">
        <v>885</v>
      </c>
      <c r="V4" t="s">
        <v>886</v>
      </c>
      <c r="W4" t="s">
        <v>887</v>
      </c>
      <c r="X4" t="s">
        <v>888</v>
      </c>
      <c r="Y4" t="s">
        <v>889</v>
      </c>
      <c r="Z4" t="s">
        <v>890</v>
      </c>
      <c r="AA4" t="s">
        <v>891</v>
      </c>
      <c r="AQ4" t="s">
        <v>271</v>
      </c>
      <c r="AR4" t="str">
        <f t="shared" si="0"/>
        <v>MarETR</v>
      </c>
      <c r="AS4" s="3">
        <f t="shared" si="1"/>
        <v>6.0600247743600254E-2</v>
      </c>
      <c r="AT4">
        <v>0.5</v>
      </c>
      <c r="AU4" t="s">
        <v>84</v>
      </c>
      <c r="AV4" t="s">
        <v>2866</v>
      </c>
    </row>
    <row r="5" spans="1:48" x14ac:dyDescent="0.45">
      <c r="J5" t="s">
        <v>269</v>
      </c>
      <c r="K5" s="6">
        <v>1618</v>
      </c>
      <c r="L5" s="6">
        <v>962</v>
      </c>
      <c r="M5" s="6">
        <v>688</v>
      </c>
      <c r="N5" s="6">
        <v>142</v>
      </c>
      <c r="O5" s="6">
        <v>1529</v>
      </c>
      <c r="P5" s="6">
        <v>2385</v>
      </c>
      <c r="Q5" s="6">
        <v>1062</v>
      </c>
      <c r="U5" s="89">
        <f t="shared" ref="U5:U16" si="2">K5/SUM(K$5:K$16)</f>
        <v>7.3192798335293588E-2</v>
      </c>
      <c r="V5" s="89">
        <f t="shared" ref="V5:V16" si="3">L5/SUM(L$5:L$16)</f>
        <v>6.4052200545975102E-2</v>
      </c>
      <c r="W5" s="89">
        <f t="shared" ref="W5:W16" si="4">M5/SUM(M$5:M$16)</f>
        <v>6.8186323092170473E-2</v>
      </c>
      <c r="X5" s="89">
        <f t="shared" ref="X5:X16" si="5">N5/SUM(N$5:N$16)</f>
        <v>6.495882891125343E-2</v>
      </c>
      <c r="Y5" s="89">
        <f t="shared" ref="Y5:Y16" si="6">O5/SUM(O$5:O$16)</f>
        <v>5.9185569404660528E-2</v>
      </c>
      <c r="Z5" s="89">
        <f t="shared" ref="Z5:Z16" si="7">P5/SUM(P$5:P$16)</f>
        <v>6.1553152502129199E-2</v>
      </c>
      <c r="AA5" s="89">
        <f t="shared" ref="AA5:AA16" si="8">Q5/SUM(Q$5:Q$16)</f>
        <v>7.5329834019009792E-2</v>
      </c>
      <c r="AQ5" t="s">
        <v>272</v>
      </c>
      <c r="AR5" t="str">
        <f t="shared" si="0"/>
        <v>AprETR</v>
      </c>
      <c r="AS5" s="3">
        <f t="shared" si="1"/>
        <v>6.0703878213611638E-2</v>
      </c>
      <c r="AT5">
        <v>0.5</v>
      </c>
      <c r="AU5" t="s">
        <v>84</v>
      </c>
      <c r="AV5" t="s">
        <v>2866</v>
      </c>
    </row>
    <row r="6" spans="1:48" x14ac:dyDescent="0.45">
      <c r="J6" t="s">
        <v>270</v>
      </c>
      <c r="K6" s="6">
        <v>1537</v>
      </c>
      <c r="L6" s="6">
        <v>917</v>
      </c>
      <c r="M6" s="6">
        <v>688</v>
      </c>
      <c r="N6" s="6">
        <v>160</v>
      </c>
      <c r="O6" s="6">
        <v>1548</v>
      </c>
      <c r="P6" s="6">
        <v>2725</v>
      </c>
      <c r="Q6" s="6">
        <v>906</v>
      </c>
      <c r="U6" s="89">
        <f t="shared" si="2"/>
        <v>6.952863475979372E-2</v>
      </c>
      <c r="V6" s="89">
        <f t="shared" si="3"/>
        <v>6.1055995738730939E-2</v>
      </c>
      <c r="W6" s="89">
        <f t="shared" si="4"/>
        <v>6.8186323092170473E-2</v>
      </c>
      <c r="X6" s="89">
        <f t="shared" si="5"/>
        <v>7.3193046660567251E-2</v>
      </c>
      <c r="Y6" s="89">
        <f t="shared" si="6"/>
        <v>5.9921034295889138E-2</v>
      </c>
      <c r="Z6" s="89">
        <f t="shared" si="7"/>
        <v>7.0328025395514485E-2</v>
      </c>
      <c r="AA6" s="89">
        <f t="shared" si="8"/>
        <v>6.4264434671584617E-2</v>
      </c>
      <c r="AQ6" t="s">
        <v>273</v>
      </c>
      <c r="AR6" t="str">
        <f t="shared" si="0"/>
        <v>MayETR</v>
      </c>
      <c r="AS6" s="3">
        <f t="shared" si="1"/>
        <v>6.4051402944234115E-2</v>
      </c>
      <c r="AT6">
        <v>0.5</v>
      </c>
      <c r="AU6" t="s">
        <v>84</v>
      </c>
      <c r="AV6" t="s">
        <v>2866</v>
      </c>
    </row>
    <row r="7" spans="1:48" x14ac:dyDescent="0.45">
      <c r="J7" t="s">
        <v>271</v>
      </c>
      <c r="K7" s="6">
        <v>1439</v>
      </c>
      <c r="L7" s="6">
        <v>846</v>
      </c>
      <c r="M7" s="6">
        <v>546</v>
      </c>
      <c r="N7" s="6">
        <v>158</v>
      </c>
      <c r="O7" s="6">
        <v>1434</v>
      </c>
      <c r="P7" s="6">
        <v>2270</v>
      </c>
      <c r="Q7" s="6">
        <v>909</v>
      </c>
      <c r="U7" s="89">
        <f t="shared" si="2"/>
        <v>6.50954491993124E-2</v>
      </c>
      <c r="V7" s="89">
        <f t="shared" si="3"/>
        <v>5.6328650376190156E-2</v>
      </c>
      <c r="W7" s="89">
        <f t="shared" si="4"/>
        <v>5.4112983151635284E-2</v>
      </c>
      <c r="X7" s="89">
        <f t="shared" si="5"/>
        <v>7.2278133577310152E-2</v>
      </c>
      <c r="Y7" s="89">
        <f t="shared" si="6"/>
        <v>5.5508244948517457E-2</v>
      </c>
      <c r="Z7" s="89">
        <f t="shared" si="7"/>
        <v>5.8585180788190055E-2</v>
      </c>
      <c r="AA7" s="89">
        <f t="shared" si="8"/>
        <v>6.4477230812881259E-2</v>
      </c>
      <c r="AQ7" t="s">
        <v>274</v>
      </c>
      <c r="AR7" t="str">
        <f t="shared" si="0"/>
        <v>JuneETR</v>
      </c>
      <c r="AS7" s="3">
        <f t="shared" si="1"/>
        <v>7.8032799832215824E-2</v>
      </c>
      <c r="AT7">
        <v>0.5</v>
      </c>
      <c r="AU7" t="s">
        <v>84</v>
      </c>
      <c r="AV7" t="s">
        <v>2866</v>
      </c>
    </row>
    <row r="8" spans="1:48" x14ac:dyDescent="0.45">
      <c r="J8" t="s">
        <v>272</v>
      </c>
      <c r="K8" s="6">
        <v>1500</v>
      </c>
      <c r="L8" s="6">
        <v>822</v>
      </c>
      <c r="M8" s="6">
        <v>702</v>
      </c>
      <c r="N8" s="6">
        <v>208</v>
      </c>
      <c r="O8" s="6">
        <v>1416</v>
      </c>
      <c r="P8" s="6">
        <v>2267</v>
      </c>
      <c r="Q8" s="6">
        <v>822</v>
      </c>
      <c r="U8" s="89">
        <f t="shared" si="2"/>
        <v>6.785488102777526E-2</v>
      </c>
      <c r="V8" s="89">
        <f t="shared" si="3"/>
        <v>5.4730674478993276E-2</v>
      </c>
      <c r="W8" s="89">
        <f t="shared" si="4"/>
        <v>6.9573835480673932E-2</v>
      </c>
      <c r="X8" s="89">
        <f t="shared" si="5"/>
        <v>9.5150960658737418E-2</v>
      </c>
      <c r="Y8" s="89">
        <f t="shared" si="6"/>
        <v>5.4811488735774558E-2</v>
      </c>
      <c r="Z8" s="89">
        <f t="shared" si="7"/>
        <v>5.8507755439130768E-2</v>
      </c>
      <c r="AA8" s="89">
        <f t="shared" si="8"/>
        <v>5.8306142715278765E-2</v>
      </c>
      <c r="AQ8" t="s">
        <v>275</v>
      </c>
      <c r="AR8" t="str">
        <f t="shared" si="0"/>
        <v>JulyETR</v>
      </c>
      <c r="AS8" s="3">
        <f t="shared" si="1"/>
        <v>9.129394265165322E-2</v>
      </c>
      <c r="AT8">
        <v>0.5</v>
      </c>
      <c r="AU8" t="s">
        <v>84</v>
      </c>
      <c r="AV8" t="s">
        <v>2866</v>
      </c>
    </row>
    <row r="9" spans="1:48" x14ac:dyDescent="0.45">
      <c r="J9" t="s">
        <v>273</v>
      </c>
      <c r="K9" s="6">
        <v>1650</v>
      </c>
      <c r="L9" s="6">
        <v>841</v>
      </c>
      <c r="M9" s="6">
        <v>746</v>
      </c>
      <c r="N9" s="6">
        <v>189</v>
      </c>
      <c r="O9" s="6">
        <v>1792</v>
      </c>
      <c r="P9" s="6">
        <v>2532</v>
      </c>
      <c r="Q9" s="6">
        <v>914</v>
      </c>
      <c r="U9" s="89">
        <f t="shared" si="2"/>
        <v>7.4640369130552789E-2</v>
      </c>
      <c r="V9" s="89">
        <f t="shared" si="3"/>
        <v>5.5995738730940811E-2</v>
      </c>
      <c r="W9" s="89">
        <f t="shared" si="4"/>
        <v>7.3934588701684831E-2</v>
      </c>
      <c r="X9" s="89">
        <f t="shared" si="5"/>
        <v>8.6459286367795055E-2</v>
      </c>
      <c r="Y9" s="89">
        <f t="shared" si="6"/>
        <v>6.936595184640397E-2</v>
      </c>
      <c r="Z9" s="89">
        <f t="shared" si="7"/>
        <v>6.534699460603402E-2</v>
      </c>
      <c r="AA9" s="89">
        <f t="shared" si="8"/>
        <v>6.4831891048375653E-2</v>
      </c>
      <c r="AQ9" t="s">
        <v>276</v>
      </c>
      <c r="AR9" t="str">
        <f t="shared" si="0"/>
        <v>AugETR</v>
      </c>
      <c r="AS9" s="3">
        <f t="shared" si="1"/>
        <v>7.2674867820140321E-2</v>
      </c>
      <c r="AT9">
        <v>0.5</v>
      </c>
      <c r="AU9" t="s">
        <v>84</v>
      </c>
      <c r="AV9" t="s">
        <v>2866</v>
      </c>
    </row>
    <row r="10" spans="1:48" x14ac:dyDescent="0.45">
      <c r="J10" t="s">
        <v>274</v>
      </c>
      <c r="K10" s="6">
        <v>2173</v>
      </c>
      <c r="L10" s="6">
        <v>1033</v>
      </c>
      <c r="M10" s="6">
        <v>928</v>
      </c>
      <c r="N10" s="6">
        <v>234</v>
      </c>
      <c r="O10" s="6">
        <v>2645</v>
      </c>
      <c r="P10" s="6">
        <v>3701</v>
      </c>
      <c r="Q10" s="6">
        <v>896</v>
      </c>
      <c r="U10" s="89">
        <f t="shared" si="2"/>
        <v>9.8299104315570429E-2</v>
      </c>
      <c r="V10" s="89">
        <f t="shared" si="3"/>
        <v>6.8779545908515885E-2</v>
      </c>
      <c r="W10" s="89">
        <f t="shared" si="4"/>
        <v>9.1972249752229937E-2</v>
      </c>
      <c r="X10" s="89">
        <f t="shared" si="5"/>
        <v>0.10704483074107959</v>
      </c>
      <c r="Y10" s="89">
        <f t="shared" si="6"/>
        <v>0.10238445459472013</v>
      </c>
      <c r="Z10" s="89">
        <f t="shared" si="7"/>
        <v>9.5517072289467569E-2</v>
      </c>
      <c r="AA10" s="89">
        <f t="shared" si="8"/>
        <v>6.3555114200595828E-2</v>
      </c>
      <c r="AQ10" t="s">
        <v>277</v>
      </c>
      <c r="AR10" t="str">
        <f t="shared" si="0"/>
        <v>SeptETR</v>
      </c>
      <c r="AS10" s="3">
        <f t="shared" si="1"/>
        <v>9.393164701025386E-2</v>
      </c>
      <c r="AT10">
        <v>0.5</v>
      </c>
      <c r="AU10" t="s">
        <v>84</v>
      </c>
      <c r="AV10" t="s">
        <v>2866</v>
      </c>
    </row>
    <row r="11" spans="1:48" x14ac:dyDescent="0.45">
      <c r="J11" t="s">
        <v>275</v>
      </c>
      <c r="K11" s="6">
        <v>1682</v>
      </c>
      <c r="L11" s="6">
        <v>914</v>
      </c>
      <c r="M11" s="6">
        <v>772</v>
      </c>
      <c r="N11" s="6">
        <v>158</v>
      </c>
      <c r="O11" s="6">
        <v>2669</v>
      </c>
      <c r="P11" s="6">
        <v>2753</v>
      </c>
      <c r="Q11" s="6">
        <v>1067</v>
      </c>
      <c r="U11" s="89">
        <f t="shared" si="2"/>
        <v>7.608793992581199E-2</v>
      </c>
      <c r="V11" s="89">
        <f t="shared" si="3"/>
        <v>6.0856248751581334E-2</v>
      </c>
      <c r="W11" s="89">
        <f t="shared" si="4"/>
        <v>7.6511397423191282E-2</v>
      </c>
      <c r="X11" s="89">
        <f t="shared" si="5"/>
        <v>7.2278133577310152E-2</v>
      </c>
      <c r="Y11" s="89">
        <f t="shared" si="6"/>
        <v>0.10331346287837734</v>
      </c>
      <c r="Z11" s="89">
        <f t="shared" si="7"/>
        <v>7.1050661986734459E-2</v>
      </c>
      <c r="AA11" s="89">
        <f t="shared" si="8"/>
        <v>7.5684494254504187E-2</v>
      </c>
      <c r="AQ11" t="s">
        <v>278</v>
      </c>
      <c r="AR11" t="str">
        <f t="shared" si="0"/>
        <v>OctETR</v>
      </c>
      <c r="AS11" s="3">
        <f t="shared" si="1"/>
        <v>0.1277403545528342</v>
      </c>
      <c r="AT11">
        <v>0.5</v>
      </c>
      <c r="AU11" t="s">
        <v>84</v>
      </c>
      <c r="AV11" t="s">
        <v>2866</v>
      </c>
    </row>
    <row r="12" spans="1:48" x14ac:dyDescent="0.45">
      <c r="J12" t="s">
        <v>276</v>
      </c>
      <c r="K12" s="6">
        <v>1211</v>
      </c>
      <c r="L12" s="6">
        <v>1117</v>
      </c>
      <c r="M12" s="6">
        <v>591</v>
      </c>
      <c r="N12" s="6">
        <v>123</v>
      </c>
      <c r="O12" s="6">
        <v>1721</v>
      </c>
      <c r="P12" s="6">
        <v>2183</v>
      </c>
      <c r="Q12" s="6">
        <v>1132</v>
      </c>
      <c r="U12" s="89">
        <f t="shared" si="2"/>
        <v>5.4781507283090565E-2</v>
      </c>
      <c r="V12" s="89">
        <f t="shared" si="3"/>
        <v>7.4372461548704971E-2</v>
      </c>
      <c r="W12" s="89">
        <f t="shared" si="4"/>
        <v>5.857284440039643E-2</v>
      </c>
      <c r="X12" s="89">
        <f t="shared" si="5"/>
        <v>5.6267154620311073E-2</v>
      </c>
      <c r="Y12" s="89">
        <f t="shared" si="6"/>
        <v>6.6617635673918096E-2</v>
      </c>
      <c r="Z12" s="89">
        <f t="shared" si="7"/>
        <v>5.6339845665470872E-2</v>
      </c>
      <c r="AA12" s="89">
        <f t="shared" si="8"/>
        <v>8.0295077315931343E-2</v>
      </c>
      <c r="AQ12" t="s">
        <v>279</v>
      </c>
      <c r="AR12" t="str">
        <f t="shared" si="0"/>
        <v>NovETR</v>
      </c>
      <c r="AS12" s="3">
        <f t="shared" si="1"/>
        <v>0.13255239757366111</v>
      </c>
      <c r="AT12">
        <v>0.5</v>
      </c>
      <c r="AU12" t="s">
        <v>84</v>
      </c>
      <c r="AV12" t="s">
        <v>2866</v>
      </c>
    </row>
    <row r="13" spans="1:48" x14ac:dyDescent="0.45">
      <c r="J13" t="s">
        <v>277</v>
      </c>
      <c r="K13" s="6">
        <v>1703</v>
      </c>
      <c r="L13" s="6">
        <v>1188</v>
      </c>
      <c r="M13" s="6">
        <v>872</v>
      </c>
      <c r="N13" s="6">
        <v>126</v>
      </c>
      <c r="O13" s="6">
        <v>2096</v>
      </c>
      <c r="P13" s="6">
        <v>3352</v>
      </c>
      <c r="Q13" s="6">
        <v>1729</v>
      </c>
      <c r="U13" s="89">
        <f t="shared" si="2"/>
        <v>7.7037908260200849E-2</v>
      </c>
      <c r="V13" s="89">
        <f t="shared" si="3"/>
        <v>7.9099806911245754E-2</v>
      </c>
      <c r="W13" s="89">
        <f t="shared" si="4"/>
        <v>8.6422200198216059E-2</v>
      </c>
      <c r="X13" s="89">
        <f t="shared" si="5"/>
        <v>5.7639524245196708E-2</v>
      </c>
      <c r="Y13" s="89">
        <f t="shared" si="6"/>
        <v>8.1133390106061784E-2</v>
      </c>
      <c r="Z13" s="89">
        <f t="shared" si="7"/>
        <v>8.6509923348904436E-2</v>
      </c>
      <c r="AA13" s="89">
        <f t="shared" si="8"/>
        <v>0.12264150943396226</v>
      </c>
      <c r="AQ13" t="s">
        <v>280</v>
      </c>
      <c r="AR13" t="str">
        <f t="shared" si="0"/>
        <v>DecETR</v>
      </c>
      <c r="AS13" s="3">
        <f t="shared" si="1"/>
        <v>8.7397325271139303E-2</v>
      </c>
      <c r="AT13">
        <v>0.5</v>
      </c>
      <c r="AU13" t="s">
        <v>84</v>
      </c>
      <c r="AV13" t="s">
        <v>2866</v>
      </c>
    </row>
    <row r="14" spans="1:48" x14ac:dyDescent="0.45">
      <c r="J14" t="s">
        <v>278</v>
      </c>
      <c r="K14" s="6">
        <v>2614</v>
      </c>
      <c r="L14" s="6">
        <v>2577</v>
      </c>
      <c r="M14" s="6">
        <v>854</v>
      </c>
      <c r="N14" s="6">
        <v>202</v>
      </c>
      <c r="O14" s="6">
        <v>3187</v>
      </c>
      <c r="P14" s="6">
        <v>5708</v>
      </c>
      <c r="Q14" s="6">
        <v>1852</v>
      </c>
      <c r="U14" s="89">
        <f t="shared" si="2"/>
        <v>0.11824843933773636</v>
      </c>
      <c r="V14" s="89">
        <f t="shared" si="3"/>
        <v>0.17158266196151542</v>
      </c>
      <c r="W14" s="89">
        <f t="shared" si="4"/>
        <v>8.4638255698711598E-2</v>
      </c>
      <c r="X14" s="89">
        <f t="shared" si="5"/>
        <v>9.2406221408966149E-2</v>
      </c>
      <c r="Y14" s="89">
        <f t="shared" si="6"/>
        <v>0.12336455833397848</v>
      </c>
      <c r="Z14" s="89">
        <f t="shared" si="7"/>
        <v>0.14731463081012725</v>
      </c>
      <c r="AA14" s="89">
        <f t="shared" si="8"/>
        <v>0.13136615122712442</v>
      </c>
    </row>
    <row r="15" spans="1:48" x14ac:dyDescent="0.45">
      <c r="J15" t="s">
        <v>279</v>
      </c>
      <c r="K15" s="6">
        <v>2722</v>
      </c>
      <c r="L15" s="6">
        <v>2412</v>
      </c>
      <c r="M15" s="6">
        <v>1545</v>
      </c>
      <c r="N15" s="6">
        <v>247</v>
      </c>
      <c r="O15" s="6">
        <v>3294</v>
      </c>
      <c r="P15" s="6">
        <v>4492</v>
      </c>
      <c r="Q15" s="6">
        <v>1487</v>
      </c>
      <c r="U15" s="89">
        <f t="shared" si="2"/>
        <v>0.12313399077173617</v>
      </c>
      <c r="V15" s="89">
        <f t="shared" si="3"/>
        <v>0.16059657766828683</v>
      </c>
      <c r="W15" s="89">
        <f t="shared" si="4"/>
        <v>0.1531219028741328</v>
      </c>
      <c r="X15" s="89">
        <f t="shared" si="5"/>
        <v>0.11299176578225069</v>
      </c>
      <c r="Y15" s="89">
        <f t="shared" si="6"/>
        <v>0.12750638693195016</v>
      </c>
      <c r="Z15" s="89">
        <f t="shared" si="7"/>
        <v>0.1159315559914316</v>
      </c>
      <c r="AA15" s="89">
        <f t="shared" si="8"/>
        <v>0.10547595403603348</v>
      </c>
    </row>
    <row r="16" spans="1:48" x14ac:dyDescent="0.45">
      <c r="J16" t="s">
        <v>280</v>
      </c>
      <c r="K16" s="6">
        <v>2257</v>
      </c>
      <c r="L16" s="6">
        <v>1390</v>
      </c>
      <c r="M16" s="6">
        <v>1158</v>
      </c>
      <c r="N16" s="6">
        <v>239</v>
      </c>
      <c r="O16" s="6">
        <v>2503</v>
      </c>
      <c r="P16" s="6">
        <v>4379</v>
      </c>
      <c r="Q16" s="6">
        <v>1322</v>
      </c>
      <c r="U16" s="89">
        <f t="shared" si="2"/>
        <v>0.10209897765312585</v>
      </c>
      <c r="V16" s="89">
        <f t="shared" si="3"/>
        <v>9.2549437379319532E-2</v>
      </c>
      <c r="W16" s="89">
        <f t="shared" si="4"/>
        <v>0.11476709613478692</v>
      </c>
      <c r="X16" s="89">
        <f t="shared" si="5"/>
        <v>0.10933211344922232</v>
      </c>
      <c r="Y16" s="89">
        <f t="shared" si="6"/>
        <v>9.6887822249748387E-2</v>
      </c>
      <c r="Z16" s="89">
        <f t="shared" si="7"/>
        <v>0.11301520117686531</v>
      </c>
      <c r="AA16" s="89">
        <f t="shared" si="8"/>
        <v>9.3772166264718404E-2</v>
      </c>
    </row>
    <row r="17" spans="2:41" x14ac:dyDescent="0.45">
      <c r="U17" s="89"/>
    </row>
    <row r="18" spans="2:41" x14ac:dyDescent="0.45">
      <c r="B18" t="s">
        <v>892</v>
      </c>
    </row>
    <row r="20" spans="2:41" x14ac:dyDescent="0.45">
      <c r="K20" t="s">
        <v>893</v>
      </c>
      <c r="L20" t="s">
        <v>894</v>
      </c>
      <c r="M20" t="s">
        <v>895</v>
      </c>
      <c r="N20" t="s">
        <v>896</v>
      </c>
      <c r="O20" t="s">
        <v>897</v>
      </c>
      <c r="P20" t="s">
        <v>898</v>
      </c>
      <c r="Q20" t="s">
        <v>899</v>
      </c>
      <c r="R20" t="s">
        <v>900</v>
      </c>
      <c r="S20" t="s">
        <v>901</v>
      </c>
      <c r="U20" t="s">
        <v>893</v>
      </c>
      <c r="V20" t="s">
        <v>894</v>
      </c>
      <c r="W20" t="s">
        <v>895</v>
      </c>
      <c r="X20" t="s">
        <v>896</v>
      </c>
      <c r="Y20" t="s">
        <v>897</v>
      </c>
      <c r="Z20" t="s">
        <v>898</v>
      </c>
      <c r="AA20" t="s">
        <v>899</v>
      </c>
      <c r="AB20" t="s">
        <v>900</v>
      </c>
      <c r="AC20" t="s">
        <v>902</v>
      </c>
      <c r="AN20" t="s">
        <v>1991</v>
      </c>
      <c r="AO20" t="s">
        <v>1992</v>
      </c>
    </row>
    <row r="21" spans="2:41" x14ac:dyDescent="0.45">
      <c r="J21" t="s">
        <v>269</v>
      </c>
      <c r="K21">
        <v>849</v>
      </c>
      <c r="L21">
        <v>484</v>
      </c>
      <c r="M21">
        <v>119</v>
      </c>
      <c r="N21">
        <v>311</v>
      </c>
      <c r="O21">
        <v>171</v>
      </c>
      <c r="P21">
        <v>235</v>
      </c>
      <c r="Q21">
        <v>50</v>
      </c>
      <c r="R21">
        <v>275</v>
      </c>
      <c r="S21">
        <v>117</v>
      </c>
      <c r="U21" s="89">
        <f>K21/SUM(K$21:K$32)</f>
        <v>6.2986868462052079E-2</v>
      </c>
      <c r="V21" s="89">
        <f t="shared" ref="V21:V32" si="9">L21/SUM(L$21:L$32)</f>
        <v>5.2706087335293479E-2</v>
      </c>
      <c r="W21" s="89">
        <f t="shared" ref="W21:W32" si="10">M21/SUM(M$21:M$32)</f>
        <v>8.3158630328441646E-2</v>
      </c>
      <c r="X21" s="89">
        <f t="shared" ref="X21:X32" si="11">N21/SUM(N$21:N$32)</f>
        <v>6.9466160375251287E-2</v>
      </c>
      <c r="Y21" s="89">
        <f t="shared" ref="Y21:Y32" si="12">O21/SUM(O$21:O$32)</f>
        <v>6.1488673139158574E-2</v>
      </c>
      <c r="Z21" s="89">
        <f t="shared" ref="Z21:Z32" si="13">P21/SUM(P$21:P$32)</f>
        <v>6.8553092182030345E-2</v>
      </c>
      <c r="AA21" s="89">
        <f t="shared" ref="AA21:AA32" si="14">Q21/SUM(Q$21:Q$32)</f>
        <v>5.8072009291521488E-2</v>
      </c>
      <c r="AB21" s="89">
        <f t="shared" ref="AB21:AB32" si="15">R21/SUM(R$21:R$32)</f>
        <v>5.7676174496644292E-2</v>
      </c>
      <c r="AC21" s="89">
        <f t="shared" ref="AC21:AC32" si="16">S21/SUM(S$21:S$32)</f>
        <v>9.0417310664605871E-2</v>
      </c>
      <c r="AL21" s="3">
        <f>AVERAGE(U21:AC21,U5:AA5)</f>
        <v>6.6936482067843195E-2</v>
      </c>
      <c r="AM21" s="89">
        <f>AL21/SUM(AL$21:AL$32)</f>
        <v>6.6936482067843195E-2</v>
      </c>
      <c r="AN21">
        <f>_xlfn.STDEV.S(U21:AC21,U5:AA5)</f>
        <v>9.8253872301259041E-3</v>
      </c>
      <c r="AO21" s="3">
        <f>AN21/AL21</f>
        <v>0.14678672865071432</v>
      </c>
    </row>
    <row r="22" spans="2:41" x14ac:dyDescent="0.45">
      <c r="J22" t="s">
        <v>270</v>
      </c>
      <c r="K22">
        <v>780</v>
      </c>
      <c r="L22">
        <v>510</v>
      </c>
      <c r="M22">
        <v>97</v>
      </c>
      <c r="N22">
        <v>280</v>
      </c>
      <c r="O22">
        <v>183</v>
      </c>
      <c r="P22">
        <v>245</v>
      </c>
      <c r="Q22">
        <v>36</v>
      </c>
      <c r="R22">
        <v>295</v>
      </c>
      <c r="S22">
        <v>96</v>
      </c>
      <c r="U22" s="89">
        <f t="shared" ref="U22:U32" si="17">K22/SUM(K$21:K$32)</f>
        <v>5.7867794346761627E-2</v>
      </c>
      <c r="V22" s="89">
        <f t="shared" si="9"/>
        <v>5.5537406076445604E-2</v>
      </c>
      <c r="W22" s="89">
        <f t="shared" si="10"/>
        <v>6.7784765897973442E-2</v>
      </c>
      <c r="X22" s="89">
        <f t="shared" si="11"/>
        <v>6.2541880723698901E-2</v>
      </c>
      <c r="Y22" s="89">
        <f t="shared" si="12"/>
        <v>6.5803667745415323E-2</v>
      </c>
      <c r="Z22" s="89">
        <f t="shared" si="13"/>
        <v>7.1470245040840139E-2</v>
      </c>
      <c r="AA22" s="89">
        <f t="shared" si="14"/>
        <v>4.1811846689895474E-2</v>
      </c>
      <c r="AB22" s="89">
        <f t="shared" si="15"/>
        <v>6.1870805369127514E-2</v>
      </c>
      <c r="AC22" s="89">
        <f t="shared" si="16"/>
        <v>7.4188562596599686E-2</v>
      </c>
      <c r="AL22" s="3">
        <f t="shared" ref="AL22:AL32" si="18">AVERAGE(U22:AC22,U6:AA6)</f>
        <v>6.4084654318813022E-2</v>
      </c>
      <c r="AM22" s="89">
        <f t="shared" ref="AM22:AM32" si="19">AL22/SUM(AL$21:AL$32)</f>
        <v>6.4084654318813022E-2</v>
      </c>
      <c r="AN22">
        <f t="shared" ref="AN22:AN32" si="20">_xlfn.STDEV.S(U22:AC22,U6:AA6)</f>
        <v>8.0964589460895027E-3</v>
      </c>
      <c r="AO22" s="3">
        <f t="shared" ref="AO22:AO32" si="21">AN22/AL22</f>
        <v>0.12634005803964624</v>
      </c>
    </row>
    <row r="23" spans="2:41" x14ac:dyDescent="0.45">
      <c r="J23" t="s">
        <v>271</v>
      </c>
      <c r="K23">
        <v>958</v>
      </c>
      <c r="L23">
        <v>522</v>
      </c>
      <c r="M23">
        <v>86</v>
      </c>
      <c r="N23">
        <v>290</v>
      </c>
      <c r="O23">
        <v>162</v>
      </c>
      <c r="P23">
        <v>131</v>
      </c>
      <c r="Q23">
        <v>62</v>
      </c>
      <c r="R23">
        <v>283</v>
      </c>
      <c r="S23">
        <v>81</v>
      </c>
      <c r="U23" s="89">
        <f t="shared" si="17"/>
        <v>7.1073521774612361E-2</v>
      </c>
      <c r="V23" s="89">
        <f t="shared" si="9"/>
        <v>5.6844168572361971E-2</v>
      </c>
      <c r="W23" s="89">
        <f t="shared" si="10"/>
        <v>6.0097833682739341E-2</v>
      </c>
      <c r="X23" s="89">
        <f t="shared" si="11"/>
        <v>6.4775519320973862E-2</v>
      </c>
      <c r="Y23" s="89">
        <f t="shared" si="12"/>
        <v>5.8252427184466021E-2</v>
      </c>
      <c r="Z23" s="89">
        <f t="shared" si="13"/>
        <v>3.8214702450408401E-2</v>
      </c>
      <c r="AA23" s="89">
        <f t="shared" si="14"/>
        <v>7.2009291521486649E-2</v>
      </c>
      <c r="AB23" s="89">
        <f t="shared" si="15"/>
        <v>5.9354026845637585E-2</v>
      </c>
      <c r="AC23" s="89">
        <f t="shared" si="16"/>
        <v>6.2596599690880994E-2</v>
      </c>
      <c r="AL23" s="3">
        <f t="shared" si="18"/>
        <v>6.0600247743600254E-2</v>
      </c>
      <c r="AM23" s="89">
        <f t="shared" si="19"/>
        <v>6.0600247743600254E-2</v>
      </c>
      <c r="AN23">
        <f t="shared" si="20"/>
        <v>8.349624997372353E-3</v>
      </c>
      <c r="AO23" s="3">
        <f t="shared" si="21"/>
        <v>0.13778202743823145</v>
      </c>
    </row>
    <row r="24" spans="2:41" x14ac:dyDescent="0.45">
      <c r="J24" t="s">
        <v>272</v>
      </c>
      <c r="K24">
        <v>847</v>
      </c>
      <c r="L24">
        <v>650</v>
      </c>
      <c r="M24">
        <v>76</v>
      </c>
      <c r="N24">
        <v>347</v>
      </c>
      <c r="O24">
        <v>129</v>
      </c>
      <c r="P24">
        <v>78</v>
      </c>
      <c r="Q24">
        <v>43</v>
      </c>
      <c r="R24">
        <v>254</v>
      </c>
      <c r="S24">
        <v>98</v>
      </c>
      <c r="U24" s="89">
        <f t="shared" si="17"/>
        <v>6.2838489502188594E-2</v>
      </c>
      <c r="V24" s="89">
        <f t="shared" si="9"/>
        <v>7.0782968528803225E-2</v>
      </c>
      <c r="W24" s="89">
        <f t="shared" si="10"/>
        <v>5.3109713487071976E-2</v>
      </c>
      <c r="X24" s="89">
        <f t="shared" si="11"/>
        <v>7.7507259325441141E-2</v>
      </c>
      <c r="Y24" s="89">
        <f t="shared" si="12"/>
        <v>4.6386192017259978E-2</v>
      </c>
      <c r="Z24" s="89">
        <f t="shared" si="13"/>
        <v>2.2753792298716453E-2</v>
      </c>
      <c r="AA24" s="89">
        <f t="shared" si="14"/>
        <v>4.9941927990708478E-2</v>
      </c>
      <c r="AB24" s="89">
        <f t="shared" si="15"/>
        <v>5.3271812080536912E-2</v>
      </c>
      <c r="AC24" s="89">
        <f t="shared" si="16"/>
        <v>7.5734157650695522E-2</v>
      </c>
      <c r="AL24" s="3">
        <f t="shared" si="18"/>
        <v>6.0703878213611638E-2</v>
      </c>
      <c r="AM24" s="89">
        <f t="shared" si="19"/>
        <v>6.0703878213611638E-2</v>
      </c>
      <c r="AN24">
        <f t="shared" si="20"/>
        <v>1.6094978926506305E-2</v>
      </c>
      <c r="AO24" s="3">
        <f t="shared" si="21"/>
        <v>0.26513922009841745</v>
      </c>
    </row>
    <row r="25" spans="2:41" x14ac:dyDescent="0.45">
      <c r="J25" t="s">
        <v>273</v>
      </c>
      <c r="K25">
        <v>853</v>
      </c>
      <c r="L25">
        <v>661</v>
      </c>
      <c r="M25">
        <v>79</v>
      </c>
      <c r="N25">
        <v>257</v>
      </c>
      <c r="O25">
        <v>157</v>
      </c>
      <c r="P25">
        <v>86</v>
      </c>
      <c r="Q25">
        <v>55</v>
      </c>
      <c r="R25">
        <v>252</v>
      </c>
      <c r="S25">
        <v>114</v>
      </c>
      <c r="U25" s="89">
        <f t="shared" si="17"/>
        <v>6.3283626381779062E-2</v>
      </c>
      <c r="V25" s="89">
        <f t="shared" si="9"/>
        <v>7.1980834150059889E-2</v>
      </c>
      <c r="W25" s="89">
        <f t="shared" si="10"/>
        <v>5.5206149545772187E-2</v>
      </c>
      <c r="X25" s="89">
        <f t="shared" si="11"/>
        <v>5.7404511949966493E-2</v>
      </c>
      <c r="Y25" s="89">
        <f t="shared" si="12"/>
        <v>5.645451276519238E-2</v>
      </c>
      <c r="Z25" s="89">
        <f t="shared" si="13"/>
        <v>2.5087514585764293E-2</v>
      </c>
      <c r="AA25" s="89">
        <f t="shared" si="14"/>
        <v>6.3879210220673638E-2</v>
      </c>
      <c r="AB25" s="89">
        <f t="shared" si="15"/>
        <v>5.2852348993288591E-2</v>
      </c>
      <c r="AC25" s="89">
        <f t="shared" si="16"/>
        <v>8.8098918083462138E-2</v>
      </c>
      <c r="AL25" s="3">
        <f t="shared" si="18"/>
        <v>6.4051402944234115E-2</v>
      </c>
      <c r="AM25" s="89">
        <f t="shared" si="19"/>
        <v>6.4051402944234115E-2</v>
      </c>
      <c r="AN25">
        <f t="shared" si="20"/>
        <v>1.4771270513391249E-2</v>
      </c>
      <c r="AO25" s="3">
        <f t="shared" si="21"/>
        <v>0.23061587778571763</v>
      </c>
    </row>
    <row r="26" spans="2:41" x14ac:dyDescent="0.45">
      <c r="J26" t="s">
        <v>274</v>
      </c>
      <c r="K26">
        <v>1048</v>
      </c>
      <c r="L26">
        <v>688</v>
      </c>
      <c r="M26">
        <v>119</v>
      </c>
      <c r="N26">
        <v>465</v>
      </c>
      <c r="O26">
        <v>176</v>
      </c>
      <c r="P26">
        <v>89</v>
      </c>
      <c r="Q26">
        <v>43</v>
      </c>
      <c r="R26">
        <v>309</v>
      </c>
      <c r="S26">
        <v>100</v>
      </c>
      <c r="U26" s="89">
        <f t="shared" si="17"/>
        <v>7.7750574968469474E-2</v>
      </c>
      <c r="V26" s="89">
        <f t="shared" si="9"/>
        <v>7.4921049765871717E-2</v>
      </c>
      <c r="W26" s="89">
        <f t="shared" si="10"/>
        <v>8.3158630328441646E-2</v>
      </c>
      <c r="X26" s="89">
        <f t="shared" si="11"/>
        <v>0.10386419477328568</v>
      </c>
      <c r="Y26" s="89">
        <f t="shared" si="12"/>
        <v>6.3286587558432222E-2</v>
      </c>
      <c r="Z26" s="89">
        <f t="shared" si="13"/>
        <v>2.5962660443407233E-2</v>
      </c>
      <c r="AA26" s="89">
        <f t="shared" si="14"/>
        <v>4.9941927990708478E-2</v>
      </c>
      <c r="AB26" s="89">
        <f t="shared" si="15"/>
        <v>6.4807046979865765E-2</v>
      </c>
      <c r="AC26" s="89">
        <f t="shared" si="16"/>
        <v>7.7279752704791344E-2</v>
      </c>
      <c r="AL26" s="3">
        <f t="shared" si="18"/>
        <v>7.8032799832215824E-2</v>
      </c>
      <c r="AM26" s="89">
        <f t="shared" si="19"/>
        <v>7.8032799832215824E-2</v>
      </c>
      <c r="AN26">
        <f t="shared" si="20"/>
        <v>2.196556531683359E-2</v>
      </c>
      <c r="AO26" s="3">
        <f t="shared" si="21"/>
        <v>0.28149144159972983</v>
      </c>
    </row>
    <row r="27" spans="2:41" x14ac:dyDescent="0.45">
      <c r="J27" t="s">
        <v>275</v>
      </c>
      <c r="K27">
        <v>1275</v>
      </c>
      <c r="L27">
        <v>906</v>
      </c>
      <c r="M27">
        <v>173</v>
      </c>
      <c r="N27">
        <v>688</v>
      </c>
      <c r="O27">
        <v>435</v>
      </c>
      <c r="P27">
        <v>174</v>
      </c>
      <c r="Q27">
        <v>55</v>
      </c>
      <c r="R27">
        <v>467</v>
      </c>
      <c r="S27">
        <v>114</v>
      </c>
      <c r="U27" s="89">
        <f t="shared" si="17"/>
        <v>9.4591586912975742E-2</v>
      </c>
      <c r="V27" s="89">
        <f t="shared" si="9"/>
        <v>9.866056844168572E-2</v>
      </c>
      <c r="W27" s="89">
        <f t="shared" si="10"/>
        <v>0.12089447938504543</v>
      </c>
      <c r="X27" s="89">
        <f t="shared" si="11"/>
        <v>0.1536743354925173</v>
      </c>
      <c r="Y27" s="89">
        <f t="shared" si="12"/>
        <v>0.15641855447680691</v>
      </c>
      <c r="Z27" s="89">
        <f t="shared" si="13"/>
        <v>5.0758459743290546E-2</v>
      </c>
      <c r="AA27" s="89">
        <f t="shared" si="14"/>
        <v>6.3879210220673638E-2</v>
      </c>
      <c r="AB27" s="89">
        <f t="shared" si="15"/>
        <v>9.7944630872483215E-2</v>
      </c>
      <c r="AC27" s="89">
        <f t="shared" si="16"/>
        <v>8.8098918083462138E-2</v>
      </c>
      <c r="AL27" s="3">
        <f t="shared" si="18"/>
        <v>9.129394265165322E-2</v>
      </c>
      <c r="AM27" s="89">
        <f t="shared" si="19"/>
        <v>9.129394265165322E-2</v>
      </c>
      <c r="AN27">
        <f t="shared" si="20"/>
        <v>3.0614494578008921E-2</v>
      </c>
      <c r="AO27" s="3">
        <f t="shared" si="21"/>
        <v>0.33533982309016347</v>
      </c>
    </row>
    <row r="28" spans="2:41" x14ac:dyDescent="0.45">
      <c r="J28" t="s">
        <v>276</v>
      </c>
      <c r="K28">
        <v>1202</v>
      </c>
      <c r="L28">
        <v>633</v>
      </c>
      <c r="M28">
        <v>104</v>
      </c>
      <c r="N28">
        <v>396</v>
      </c>
      <c r="O28">
        <v>321</v>
      </c>
      <c r="P28">
        <v>264</v>
      </c>
      <c r="Q28">
        <v>45</v>
      </c>
      <c r="R28">
        <v>406</v>
      </c>
      <c r="S28">
        <v>86</v>
      </c>
      <c r="U28" s="89">
        <f t="shared" si="17"/>
        <v>8.9175754877958299E-2</v>
      </c>
      <c r="V28" s="89">
        <f t="shared" si="9"/>
        <v>6.8931721659588371E-2</v>
      </c>
      <c r="W28" s="89">
        <f t="shared" si="10"/>
        <v>7.2676450034940596E-2</v>
      </c>
      <c r="X28" s="89">
        <f t="shared" si="11"/>
        <v>8.8452088452088448E-2</v>
      </c>
      <c r="Y28" s="89">
        <f t="shared" si="12"/>
        <v>0.11542610571736785</v>
      </c>
      <c r="Z28" s="89">
        <f t="shared" si="13"/>
        <v>7.7012835472578769E-2</v>
      </c>
      <c r="AA28" s="89">
        <f t="shared" si="14"/>
        <v>5.2264808362369339E-2</v>
      </c>
      <c r="AB28" s="89">
        <f t="shared" si="15"/>
        <v>8.5151006711409391E-2</v>
      </c>
      <c r="AC28" s="89">
        <f t="shared" si="16"/>
        <v>6.6460587326120563E-2</v>
      </c>
      <c r="AL28" s="3">
        <f t="shared" si="18"/>
        <v>7.2674867820140321E-2</v>
      </c>
      <c r="AM28" s="89">
        <f t="shared" si="19"/>
        <v>7.2674867820140321E-2</v>
      </c>
      <c r="AN28">
        <f t="shared" si="20"/>
        <v>1.662380654701651E-2</v>
      </c>
      <c r="AO28" s="3">
        <f t="shared" si="21"/>
        <v>0.22874216418470827</v>
      </c>
    </row>
    <row r="29" spans="2:41" x14ac:dyDescent="0.45">
      <c r="J29" t="s">
        <v>277</v>
      </c>
      <c r="K29">
        <v>1740</v>
      </c>
      <c r="L29">
        <v>917</v>
      </c>
      <c r="M29">
        <v>119</v>
      </c>
      <c r="N29">
        <v>437</v>
      </c>
      <c r="O29">
        <v>204</v>
      </c>
      <c r="P29">
        <v>446</v>
      </c>
      <c r="Q29">
        <v>78</v>
      </c>
      <c r="R29">
        <v>479</v>
      </c>
      <c r="S29">
        <v>140</v>
      </c>
      <c r="U29" s="89">
        <f t="shared" si="17"/>
        <v>0.12908969508123749</v>
      </c>
      <c r="V29" s="89">
        <f t="shared" si="9"/>
        <v>9.9858434062942397E-2</v>
      </c>
      <c r="W29" s="89">
        <f t="shared" si="10"/>
        <v>8.3158630328441646E-2</v>
      </c>
      <c r="X29" s="89">
        <f t="shared" si="11"/>
        <v>9.7610006700915797E-2</v>
      </c>
      <c r="Y29" s="89">
        <f t="shared" si="12"/>
        <v>7.3354908306364611E-2</v>
      </c>
      <c r="Z29" s="89">
        <f t="shared" si="13"/>
        <v>0.13010501750291714</v>
      </c>
      <c r="AA29" s="89">
        <f t="shared" si="14"/>
        <v>9.0592334494773524E-2</v>
      </c>
      <c r="AB29" s="89">
        <f t="shared" si="15"/>
        <v>0.10046140939597316</v>
      </c>
      <c r="AC29" s="89">
        <f t="shared" si="16"/>
        <v>0.10819165378670788</v>
      </c>
      <c r="AL29" s="3">
        <f t="shared" si="18"/>
        <v>9.393164701025386E-2</v>
      </c>
      <c r="AM29" s="89">
        <f t="shared" si="19"/>
        <v>9.393164701025386E-2</v>
      </c>
      <c r="AN29">
        <f t="shared" si="20"/>
        <v>2.0513215727405113E-2</v>
      </c>
      <c r="AO29" s="3">
        <f t="shared" si="21"/>
        <v>0.2183844995836795</v>
      </c>
    </row>
    <row r="30" spans="2:41" x14ac:dyDescent="0.45">
      <c r="J30" t="s">
        <v>278</v>
      </c>
      <c r="K30">
        <v>1643</v>
      </c>
      <c r="L30">
        <v>1382</v>
      </c>
      <c r="M30">
        <v>197</v>
      </c>
      <c r="N30">
        <v>500</v>
      </c>
      <c r="O30">
        <v>268</v>
      </c>
      <c r="P30">
        <v>598</v>
      </c>
      <c r="Q30">
        <v>124</v>
      </c>
      <c r="R30">
        <v>698</v>
      </c>
      <c r="S30">
        <v>119</v>
      </c>
      <c r="U30" s="89">
        <f t="shared" si="17"/>
        <v>0.12189331552785815</v>
      </c>
      <c r="V30" s="89">
        <f t="shared" si="9"/>
        <v>0.15049548077970162</v>
      </c>
      <c r="W30" s="89">
        <f t="shared" si="10"/>
        <v>0.1376659678546471</v>
      </c>
      <c r="X30" s="89">
        <f t="shared" si="11"/>
        <v>0.11168192986374804</v>
      </c>
      <c r="Y30" s="89">
        <f t="shared" si="12"/>
        <v>9.6368212873067238E-2</v>
      </c>
      <c r="Z30" s="89">
        <f t="shared" si="13"/>
        <v>0.17444574095682613</v>
      </c>
      <c r="AA30" s="89">
        <f t="shared" si="14"/>
        <v>0.1440185830429733</v>
      </c>
      <c r="AB30" s="89">
        <f t="shared" si="15"/>
        <v>0.14639261744966442</v>
      </c>
      <c r="AC30" s="89">
        <f t="shared" si="16"/>
        <v>9.1962905718701707E-2</v>
      </c>
      <c r="AL30" s="3">
        <f t="shared" si="18"/>
        <v>0.1277403545528342</v>
      </c>
      <c r="AM30" s="89">
        <f t="shared" si="19"/>
        <v>0.1277403545528342</v>
      </c>
      <c r="AN30">
        <f t="shared" si="20"/>
        <v>2.7689799395829037E-2</v>
      </c>
      <c r="AO30" s="3">
        <f t="shared" si="21"/>
        <v>0.21676626382288899</v>
      </c>
    </row>
    <row r="31" spans="2:41" x14ac:dyDescent="0.45">
      <c r="J31" t="s">
        <v>279</v>
      </c>
      <c r="K31">
        <v>1354</v>
      </c>
      <c r="L31">
        <v>1048</v>
      </c>
      <c r="M31">
        <v>148</v>
      </c>
      <c r="N31">
        <v>302</v>
      </c>
      <c r="O31">
        <v>370</v>
      </c>
      <c r="P31">
        <v>756</v>
      </c>
      <c r="Q31">
        <v>205</v>
      </c>
      <c r="R31">
        <v>711</v>
      </c>
      <c r="S31">
        <v>124</v>
      </c>
      <c r="U31" s="89">
        <f t="shared" si="17"/>
        <v>0.10045255582758365</v>
      </c>
      <c r="V31" s="89">
        <f t="shared" si="9"/>
        <v>0.11412392464336274</v>
      </c>
      <c r="W31" s="89">
        <f t="shared" si="10"/>
        <v>0.103424178895877</v>
      </c>
      <c r="X31" s="89">
        <f t="shared" si="11"/>
        <v>6.7455885637703814E-2</v>
      </c>
      <c r="Y31" s="89">
        <f t="shared" si="12"/>
        <v>0.13304566702624954</v>
      </c>
      <c r="Z31" s="89">
        <f t="shared" si="13"/>
        <v>0.220536756126021</v>
      </c>
      <c r="AA31" s="89">
        <f t="shared" si="14"/>
        <v>0.23809523809523808</v>
      </c>
      <c r="AB31" s="89">
        <f t="shared" si="15"/>
        <v>0.14911912751677853</v>
      </c>
      <c r="AC31" s="89">
        <f t="shared" si="16"/>
        <v>9.5826893353941262E-2</v>
      </c>
      <c r="AL31" s="3">
        <f t="shared" si="18"/>
        <v>0.13255239757366111</v>
      </c>
      <c r="AM31" s="89">
        <f t="shared" si="19"/>
        <v>0.13255239757366111</v>
      </c>
      <c r="AN31">
        <f t="shared" si="20"/>
        <v>4.4479037891736309E-2</v>
      </c>
      <c r="AO31" s="3">
        <f t="shared" si="21"/>
        <v>0.33555815440470416</v>
      </c>
    </row>
    <row r="32" spans="2:41" x14ac:dyDescent="0.45">
      <c r="J32" t="s">
        <v>280</v>
      </c>
      <c r="K32">
        <v>930</v>
      </c>
      <c r="L32">
        <v>782</v>
      </c>
      <c r="M32">
        <v>114</v>
      </c>
      <c r="N32">
        <v>204</v>
      </c>
      <c r="O32">
        <v>205</v>
      </c>
      <c r="P32">
        <v>326</v>
      </c>
      <c r="Q32">
        <v>65</v>
      </c>
      <c r="R32">
        <v>339</v>
      </c>
      <c r="S32">
        <v>105</v>
      </c>
      <c r="U32" s="89">
        <f t="shared" si="17"/>
        <v>6.8996216336523475E-2</v>
      </c>
      <c r="V32" s="89">
        <f t="shared" si="9"/>
        <v>8.5157355983883257E-2</v>
      </c>
      <c r="W32" s="89">
        <f t="shared" si="10"/>
        <v>7.9664570230607967E-2</v>
      </c>
      <c r="X32" s="89">
        <f t="shared" si="11"/>
        <v>4.55662273844092E-2</v>
      </c>
      <c r="Y32" s="89">
        <f t="shared" si="12"/>
        <v>7.3714491190219347E-2</v>
      </c>
      <c r="Z32" s="89">
        <f t="shared" si="13"/>
        <v>9.5099183197199538E-2</v>
      </c>
      <c r="AA32" s="89">
        <f t="shared" si="14"/>
        <v>7.5493612078977937E-2</v>
      </c>
      <c r="AB32" s="89">
        <f t="shared" si="15"/>
        <v>7.1098993288590609E-2</v>
      </c>
      <c r="AC32" s="89">
        <f t="shared" si="16"/>
        <v>8.1143740340030912E-2</v>
      </c>
      <c r="AL32" s="3">
        <f t="shared" si="18"/>
        <v>8.7397325271139303E-2</v>
      </c>
      <c r="AM32" s="89">
        <f t="shared" si="19"/>
        <v>8.7397325271139303E-2</v>
      </c>
      <c r="AN32">
        <f t="shared" si="20"/>
        <v>1.8450185641377684E-2</v>
      </c>
      <c r="AO32" s="3">
        <f t="shared" si="21"/>
        <v>0.21110698278395001</v>
      </c>
    </row>
    <row r="34" spans="2:41" x14ac:dyDescent="0.45">
      <c r="AO34" s="3">
        <f>AVERAGE(AO21:AO32)</f>
        <v>0.22783777012354597</v>
      </c>
    </row>
    <row r="36" spans="2:41" x14ac:dyDescent="0.45">
      <c r="AO36" s="154" t="s">
        <v>1993</v>
      </c>
    </row>
    <row r="37" spans="2:41" x14ac:dyDescent="0.45">
      <c r="AO37" s="154" t="s">
        <v>1995</v>
      </c>
    </row>
    <row r="38" spans="2:41" x14ac:dyDescent="0.45">
      <c r="B38" s="57" t="s">
        <v>903</v>
      </c>
      <c r="AO38" s="154" t="s">
        <v>1994</v>
      </c>
    </row>
    <row r="40" spans="2:41" x14ac:dyDescent="0.45">
      <c r="AO40" s="154" t="s">
        <v>1996</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C263DAB0-EC35-4A18-8366-BE8E1D01A40D}"/>
    <hyperlink ref="B38" r:id="rId2" xr:uid="{B56A2749-FAF9-464E-8ED1-9B8396840EAE}"/>
  </hyperlinks>
  <pageMargins left="0.7" right="0.7" top="0.75" bottom="0.75" header="0.3" footer="0.3"/>
  <pageSetup orientation="portrait" r:id="rId3"/>
  <drawing r:id="rId4"/>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61F91-C51C-4D8E-9E6E-A2266F1E9121}">
  <sheetPr>
    <tabColor theme="5" tint="0.59999389629810485"/>
  </sheetPr>
  <dimension ref="A1:AG35"/>
  <sheetViews>
    <sheetView workbookViewId="0">
      <selection activeCell="M12" sqref="M12"/>
    </sheetView>
  </sheetViews>
  <sheetFormatPr defaultRowHeight="14.25" x14ac:dyDescent="0.45"/>
  <cols>
    <col min="20" max="20" width="10.19921875" customWidth="1"/>
    <col min="23" max="26" width="9" customWidth="1"/>
    <col min="28" max="28" width="7" bestFit="1" customWidth="1"/>
    <col min="29" max="29" width="10.265625" bestFit="1" customWidth="1"/>
    <col min="30" max="30" width="8" bestFit="1" customWidth="1"/>
    <col min="31" max="31" width="11.265625" bestFit="1" customWidth="1"/>
    <col min="32" max="32" width="18.796875" bestFit="1" customWidth="1"/>
    <col min="33" max="33" width="11.19921875" bestFit="1" customWidth="1"/>
  </cols>
  <sheetData>
    <row r="1" spans="1:33" x14ac:dyDescent="0.45">
      <c r="A1" t="s">
        <v>904</v>
      </c>
      <c r="AB1" s="355" t="s">
        <v>267</v>
      </c>
      <c r="AC1" s="355" t="s">
        <v>2834</v>
      </c>
      <c r="AD1" s="355" t="s">
        <v>3211</v>
      </c>
      <c r="AE1" s="355" t="s">
        <v>2842</v>
      </c>
      <c r="AF1" s="355" t="s">
        <v>2844</v>
      </c>
      <c r="AG1" s="355" t="s">
        <v>2843</v>
      </c>
    </row>
    <row r="2" spans="1:33" x14ac:dyDescent="0.45">
      <c r="A2" t="s">
        <v>905</v>
      </c>
      <c r="AB2" t="s">
        <v>269</v>
      </c>
      <c r="AC2" t="str">
        <f>_xlfn.CONCAT(AB2,AG2)</f>
        <v>JanET</v>
      </c>
      <c r="AD2" s="3">
        <f>Y13/SUM($Y$13:$Y$24)</f>
        <v>0.16488222698072805</v>
      </c>
      <c r="AE2">
        <v>0</v>
      </c>
      <c r="AF2" t="s">
        <v>594</v>
      </c>
      <c r="AG2" t="s">
        <v>2849</v>
      </c>
    </row>
    <row r="3" spans="1:33" x14ac:dyDescent="0.45">
      <c r="AB3" t="s">
        <v>270</v>
      </c>
      <c r="AC3" t="str">
        <f t="shared" ref="AC3:AC13" si="0">_xlfn.CONCAT(AB3,AG3)</f>
        <v>FebET</v>
      </c>
      <c r="AD3" s="3">
        <f t="shared" ref="AD3:AD13" si="1">Y14/SUM($Y$13:$Y$24)</f>
        <v>6.852248394004283E-2</v>
      </c>
      <c r="AE3">
        <v>0</v>
      </c>
      <c r="AF3" t="s">
        <v>594</v>
      </c>
      <c r="AG3" t="s">
        <v>2849</v>
      </c>
    </row>
    <row r="4" spans="1:33" x14ac:dyDescent="0.45">
      <c r="L4" s="71" t="s">
        <v>906</v>
      </c>
      <c r="AB4" t="s">
        <v>271</v>
      </c>
      <c r="AC4" t="str">
        <f t="shared" si="0"/>
        <v>MarET</v>
      </c>
      <c r="AD4" s="3">
        <f t="shared" si="1"/>
        <v>1.9271948608137045E-2</v>
      </c>
      <c r="AE4">
        <v>0</v>
      </c>
      <c r="AF4" t="s">
        <v>594</v>
      </c>
      <c r="AG4" t="s">
        <v>2849</v>
      </c>
    </row>
    <row r="5" spans="1:33" x14ac:dyDescent="0.45">
      <c r="L5" t="s">
        <v>907</v>
      </c>
      <c r="AB5" t="s">
        <v>272</v>
      </c>
      <c r="AC5" t="str">
        <f t="shared" si="0"/>
        <v>AprET</v>
      </c>
      <c r="AD5" s="3">
        <f t="shared" si="1"/>
        <v>1.9271948608137045E-2</v>
      </c>
      <c r="AE5">
        <v>0</v>
      </c>
      <c r="AF5" t="s">
        <v>594</v>
      </c>
      <c r="AG5" t="s">
        <v>2849</v>
      </c>
    </row>
    <row r="6" spans="1:33" x14ac:dyDescent="0.45">
      <c r="L6" t="s">
        <v>908</v>
      </c>
      <c r="AB6" t="s">
        <v>273</v>
      </c>
      <c r="AC6" t="str">
        <f t="shared" si="0"/>
        <v>MayET</v>
      </c>
      <c r="AD6" s="3">
        <f t="shared" si="1"/>
        <v>2.9978586723768741E-2</v>
      </c>
      <c r="AE6">
        <v>0</v>
      </c>
      <c r="AF6" t="s">
        <v>594</v>
      </c>
      <c r="AG6" t="s">
        <v>2849</v>
      </c>
    </row>
    <row r="7" spans="1:33" x14ac:dyDescent="0.45">
      <c r="L7" t="s">
        <v>909</v>
      </c>
      <c r="AB7" t="s">
        <v>274</v>
      </c>
      <c r="AC7" t="str">
        <f t="shared" si="0"/>
        <v>JuneET</v>
      </c>
      <c r="AD7" s="3">
        <f t="shared" si="1"/>
        <v>2.9978586723768744E-2</v>
      </c>
      <c r="AE7">
        <v>0</v>
      </c>
      <c r="AF7" t="s">
        <v>594</v>
      </c>
      <c r="AG7" t="s">
        <v>2849</v>
      </c>
    </row>
    <row r="8" spans="1:33" x14ac:dyDescent="0.45">
      <c r="L8" t="s">
        <v>910</v>
      </c>
      <c r="AB8" t="s">
        <v>275</v>
      </c>
      <c r="AC8" t="str">
        <f t="shared" si="0"/>
        <v>JulyET</v>
      </c>
      <c r="AD8" s="3">
        <f t="shared" si="1"/>
        <v>3.8543897216274096E-2</v>
      </c>
      <c r="AE8">
        <v>0</v>
      </c>
      <c r="AF8" t="s">
        <v>594</v>
      </c>
      <c r="AG8" t="s">
        <v>2849</v>
      </c>
    </row>
    <row r="9" spans="1:33" x14ac:dyDescent="0.45">
      <c r="U9" s="429" t="s">
        <v>911</v>
      </c>
      <c r="V9" s="429"/>
      <c r="W9" s="429" t="s">
        <v>912</v>
      </c>
      <c r="X9" s="429"/>
      <c r="Y9" s="429" t="s">
        <v>913</v>
      </c>
      <c r="Z9" s="429"/>
      <c r="AB9" t="s">
        <v>276</v>
      </c>
      <c r="AC9" t="str">
        <f t="shared" si="0"/>
        <v>AugET</v>
      </c>
      <c r="AD9" s="3">
        <f t="shared" si="1"/>
        <v>6.852248394004283E-2</v>
      </c>
      <c r="AE9">
        <v>0</v>
      </c>
      <c r="AF9" t="s">
        <v>594</v>
      </c>
      <c r="AG9" t="s">
        <v>2849</v>
      </c>
    </row>
    <row r="10" spans="1:33" ht="14.55" customHeight="1" x14ac:dyDescent="0.45">
      <c r="M10" t="s">
        <v>914</v>
      </c>
      <c r="N10" t="s">
        <v>812</v>
      </c>
      <c r="O10" t="s">
        <v>915</v>
      </c>
      <c r="U10" s="429"/>
      <c r="V10" s="429"/>
      <c r="W10" s="429"/>
      <c r="X10" s="429"/>
      <c r="Y10" s="429"/>
      <c r="Z10" s="429"/>
      <c r="AB10" t="s">
        <v>277</v>
      </c>
      <c r="AC10" t="str">
        <f t="shared" si="0"/>
        <v>SeptET</v>
      </c>
      <c r="AD10" s="3">
        <f t="shared" si="1"/>
        <v>0.10706638115631693</v>
      </c>
      <c r="AE10">
        <v>0</v>
      </c>
      <c r="AF10" t="s">
        <v>594</v>
      </c>
      <c r="AG10" t="s">
        <v>2849</v>
      </c>
    </row>
    <row r="11" spans="1:33" x14ac:dyDescent="0.45">
      <c r="M11" t="s">
        <v>916</v>
      </c>
      <c r="U11" s="429"/>
      <c r="V11" s="429"/>
      <c r="W11" s="429"/>
      <c r="X11" s="429"/>
      <c r="Y11" s="429"/>
      <c r="Z11" s="429"/>
      <c r="AB11" t="s">
        <v>278</v>
      </c>
      <c r="AC11" t="str">
        <f t="shared" si="0"/>
        <v>OctET</v>
      </c>
      <c r="AD11" s="3">
        <f t="shared" si="1"/>
        <v>0.15417558886509636</v>
      </c>
      <c r="AE11">
        <v>0</v>
      </c>
      <c r="AF11" t="s">
        <v>594</v>
      </c>
      <c r="AG11" t="s">
        <v>2849</v>
      </c>
    </row>
    <row r="12" spans="1:33" ht="14.65" thickBot="1" x14ac:dyDescent="0.5">
      <c r="L12" t="s">
        <v>269</v>
      </c>
      <c r="M12" s="54">
        <v>0.77</v>
      </c>
      <c r="N12" s="54">
        <v>1</v>
      </c>
      <c r="S12" t="s">
        <v>917</v>
      </c>
      <c r="T12" t="s">
        <v>918</v>
      </c>
      <c r="U12" s="55" t="s">
        <v>914</v>
      </c>
      <c r="V12" s="55" t="s">
        <v>812</v>
      </c>
      <c r="W12" s="55" t="s">
        <v>914</v>
      </c>
      <c r="X12" s="55" t="s">
        <v>812</v>
      </c>
      <c r="Y12" s="55" t="s">
        <v>914</v>
      </c>
      <c r="Z12" s="55" t="s">
        <v>812</v>
      </c>
      <c r="AB12" t="s">
        <v>279</v>
      </c>
      <c r="AC12" t="str">
        <f t="shared" si="0"/>
        <v>NovET</v>
      </c>
      <c r="AD12" s="3">
        <f t="shared" si="1"/>
        <v>0.14561027837259102</v>
      </c>
      <c r="AE12">
        <v>0</v>
      </c>
      <c r="AF12" t="s">
        <v>594</v>
      </c>
      <c r="AG12" t="s">
        <v>2849</v>
      </c>
    </row>
    <row r="13" spans="1:33" x14ac:dyDescent="0.45">
      <c r="L13" t="s">
        <v>270</v>
      </c>
      <c r="M13" s="54">
        <v>0.32</v>
      </c>
      <c r="N13" s="54">
        <v>0.8</v>
      </c>
      <c r="S13" t="s">
        <v>269</v>
      </c>
      <c r="T13" t="s">
        <v>272</v>
      </c>
      <c r="U13" s="120">
        <f>SUM(M15:M23)</f>
        <v>3.49</v>
      </c>
      <c r="V13" s="122">
        <f>SUM(N15:N23)</f>
        <v>3</v>
      </c>
      <c r="W13" s="121">
        <f>U13/AVERAGE(U$13:U$24)</f>
        <v>0.996431120628123</v>
      </c>
      <c r="X13" s="122">
        <f t="shared" ref="X13:X24" si="2">V13/AVERAGE(V$13:V$24)</f>
        <v>0.79999999999999993</v>
      </c>
      <c r="Y13" s="120">
        <f>M12/AVERAGE(M12:M23)</f>
        <v>1.9785867237687365</v>
      </c>
      <c r="Z13" s="122">
        <f>N12/AVERAGE(N12:N23)</f>
        <v>2.4</v>
      </c>
      <c r="AB13" t="s">
        <v>280</v>
      </c>
      <c r="AC13" t="str">
        <f t="shared" si="0"/>
        <v>DecET</v>
      </c>
      <c r="AD13" s="3">
        <f t="shared" si="1"/>
        <v>0.15417558886509636</v>
      </c>
      <c r="AE13">
        <v>0</v>
      </c>
      <c r="AF13" t="s">
        <v>594</v>
      </c>
      <c r="AG13" t="s">
        <v>2849</v>
      </c>
    </row>
    <row r="14" spans="1:33" x14ac:dyDescent="0.45">
      <c r="L14" t="s">
        <v>271</v>
      </c>
      <c r="M14" s="54">
        <v>0.09</v>
      </c>
      <c r="N14" s="54">
        <v>0.2</v>
      </c>
      <c r="S14" t="s">
        <v>270</v>
      </c>
      <c r="T14" t="s">
        <v>273</v>
      </c>
      <c r="U14" s="88">
        <f t="shared" ref="U14:V24" si="3">SUM(M16:M24)</f>
        <v>4.17</v>
      </c>
      <c r="V14" s="106">
        <f t="shared" si="3"/>
        <v>3.8</v>
      </c>
      <c r="W14" s="105">
        <f t="shared" ref="W14:W24" si="4">U14/AVERAGE(U$13:U$24)</f>
        <v>1.1905781584582442</v>
      </c>
      <c r="X14" s="106">
        <f t="shared" si="2"/>
        <v>1.0133333333333332</v>
      </c>
      <c r="Y14" s="88">
        <f t="shared" ref="Y14:Z14" si="5">M13/AVERAGE(M13:M24)</f>
        <v>0.82226980728051391</v>
      </c>
      <c r="Z14" s="106">
        <f t="shared" si="5"/>
        <v>1.92</v>
      </c>
    </row>
    <row r="15" spans="1:33" x14ac:dyDescent="0.45">
      <c r="L15" t="s">
        <v>272</v>
      </c>
      <c r="M15" s="54">
        <v>0.09</v>
      </c>
      <c r="N15" s="54">
        <v>0.2</v>
      </c>
      <c r="S15" t="s">
        <v>271</v>
      </c>
      <c r="T15" t="s">
        <v>274</v>
      </c>
      <c r="U15" s="88">
        <f t="shared" si="3"/>
        <v>4.3499999999999996</v>
      </c>
      <c r="V15" s="106">
        <f t="shared" si="3"/>
        <v>4.4000000000000004</v>
      </c>
      <c r="W15" s="105">
        <f t="shared" si="4"/>
        <v>1.2419700214132763</v>
      </c>
      <c r="X15" s="106">
        <f t="shared" si="2"/>
        <v>1.1733333333333333</v>
      </c>
      <c r="Y15" s="88">
        <f t="shared" ref="Y15:Z15" si="6">M14/AVERAGE(M14:M25)</f>
        <v>0.23126338329764454</v>
      </c>
      <c r="Z15" s="106">
        <f t="shared" si="6"/>
        <v>0.48</v>
      </c>
    </row>
    <row r="16" spans="1:33" x14ac:dyDescent="0.45">
      <c r="L16" t="s">
        <v>273</v>
      </c>
      <c r="M16" s="54">
        <v>0.14000000000000001</v>
      </c>
      <c r="N16" s="54">
        <v>0.2</v>
      </c>
      <c r="S16" t="s">
        <v>272</v>
      </c>
      <c r="T16" t="s">
        <v>275</v>
      </c>
      <c r="U16" s="88">
        <f t="shared" si="3"/>
        <v>4.3</v>
      </c>
      <c r="V16" s="106">
        <f t="shared" si="3"/>
        <v>4.6000000000000005</v>
      </c>
      <c r="W16" s="105">
        <f t="shared" si="4"/>
        <v>1.2276945039257674</v>
      </c>
      <c r="X16" s="106">
        <f t="shared" si="2"/>
        <v>1.2266666666666666</v>
      </c>
      <c r="Y16" s="88">
        <f t="shared" ref="Y16:Z16" si="7">M15/AVERAGE(M15:M26)</f>
        <v>0.23126338329764454</v>
      </c>
      <c r="Z16" s="106">
        <f t="shared" si="7"/>
        <v>0.48</v>
      </c>
    </row>
    <row r="17" spans="12:26" x14ac:dyDescent="0.45">
      <c r="L17" t="s">
        <v>274</v>
      </c>
      <c r="M17" s="54">
        <v>0.14000000000000001</v>
      </c>
      <c r="N17" s="54">
        <v>0</v>
      </c>
      <c r="S17" t="s">
        <v>273</v>
      </c>
      <c r="T17" t="s">
        <v>276</v>
      </c>
      <c r="U17" s="88">
        <f t="shared" si="3"/>
        <v>4.21</v>
      </c>
      <c r="V17" s="106">
        <f t="shared" si="3"/>
        <v>4.8000000000000007</v>
      </c>
      <c r="W17" s="105">
        <f t="shared" si="4"/>
        <v>1.2019985724482514</v>
      </c>
      <c r="X17" s="106">
        <f t="shared" si="2"/>
        <v>1.28</v>
      </c>
      <c r="Y17" s="88">
        <f t="shared" ref="Y17:Z17" si="8">M16/AVERAGE(M16:M27)</f>
        <v>0.35974304068522489</v>
      </c>
      <c r="Z17" s="106">
        <f t="shared" si="8"/>
        <v>0.48</v>
      </c>
    </row>
    <row r="18" spans="12:26" x14ac:dyDescent="0.45">
      <c r="L18" t="s">
        <v>275</v>
      </c>
      <c r="M18" s="54">
        <v>0.18</v>
      </c>
      <c r="N18" s="54">
        <v>0</v>
      </c>
      <c r="S18" t="s">
        <v>274</v>
      </c>
      <c r="T18" t="s">
        <v>277</v>
      </c>
      <c r="U18" s="88">
        <f t="shared" si="3"/>
        <v>4.0299999999999994</v>
      </c>
      <c r="V18" s="106">
        <f t="shared" si="3"/>
        <v>4.8000000000000007</v>
      </c>
      <c r="W18" s="105">
        <f t="shared" si="4"/>
        <v>1.1506067094932191</v>
      </c>
      <c r="X18" s="106">
        <f t="shared" si="2"/>
        <v>1.28</v>
      </c>
      <c r="Y18" s="88">
        <f t="shared" ref="Y18:Z18" si="9">M17/AVERAGE(M17:M28)</f>
        <v>0.35974304068522495</v>
      </c>
      <c r="Z18" s="106">
        <f t="shared" si="9"/>
        <v>0</v>
      </c>
    </row>
    <row r="19" spans="12:26" x14ac:dyDescent="0.45">
      <c r="L19" t="s">
        <v>276</v>
      </c>
      <c r="M19" s="54">
        <v>0.32</v>
      </c>
      <c r="N19" s="54">
        <v>0.2</v>
      </c>
      <c r="S19" t="s">
        <v>275</v>
      </c>
      <c r="T19" t="s">
        <v>278</v>
      </c>
      <c r="U19" s="88">
        <f t="shared" si="3"/>
        <v>3.67</v>
      </c>
      <c r="V19" s="106">
        <f t="shared" si="3"/>
        <v>4.4000000000000004</v>
      </c>
      <c r="W19" s="105">
        <f t="shared" si="4"/>
        <v>1.047822983583155</v>
      </c>
      <c r="X19" s="106">
        <f t="shared" si="2"/>
        <v>1.1733333333333333</v>
      </c>
      <c r="Y19" s="88">
        <f t="shared" ref="Y19:Z19" si="10">M18/AVERAGE(M18:M29)</f>
        <v>0.46252676659528913</v>
      </c>
      <c r="Z19" s="106">
        <f t="shared" si="10"/>
        <v>0</v>
      </c>
    </row>
    <row r="20" spans="12:26" x14ac:dyDescent="0.45">
      <c r="L20" t="s">
        <v>277</v>
      </c>
      <c r="M20" s="54">
        <v>0.5</v>
      </c>
      <c r="N20" s="54">
        <v>0.4</v>
      </c>
      <c r="S20" t="s">
        <v>276</v>
      </c>
      <c r="T20" t="s">
        <v>279</v>
      </c>
      <c r="U20" s="88">
        <f t="shared" si="3"/>
        <v>3.13</v>
      </c>
      <c r="V20" s="106">
        <f t="shared" si="3"/>
        <v>3.8000000000000007</v>
      </c>
      <c r="W20" s="105">
        <f t="shared" si="4"/>
        <v>0.89364739471805865</v>
      </c>
      <c r="X20" s="106">
        <f t="shared" si="2"/>
        <v>1.0133333333333334</v>
      </c>
      <c r="Y20" s="88">
        <f t="shared" ref="Y20:Z20" si="11">M19/AVERAGE(M19:M30)</f>
        <v>0.82226980728051402</v>
      </c>
      <c r="Z20" s="106">
        <f t="shared" si="11"/>
        <v>0.47999999999999993</v>
      </c>
    </row>
    <row r="21" spans="12:26" x14ac:dyDescent="0.45">
      <c r="L21" t="s">
        <v>278</v>
      </c>
      <c r="M21" s="54">
        <v>0.72</v>
      </c>
      <c r="N21" s="54">
        <v>0.6</v>
      </c>
      <c r="S21" t="s">
        <v>277</v>
      </c>
      <c r="T21" t="s">
        <v>280</v>
      </c>
      <c r="U21" s="88">
        <f t="shared" si="3"/>
        <v>2.7700000000000005</v>
      </c>
      <c r="V21" s="106">
        <f t="shared" si="3"/>
        <v>3.4000000000000008</v>
      </c>
      <c r="W21" s="105">
        <f t="shared" si="4"/>
        <v>0.79086366880799452</v>
      </c>
      <c r="X21" s="106">
        <f t="shared" si="2"/>
        <v>0.90666666666666673</v>
      </c>
      <c r="Y21" s="88">
        <f t="shared" ref="Y21:Z21" si="12">M20/AVERAGE(M20:M31)</f>
        <v>1.2847965738758031</v>
      </c>
      <c r="Z21" s="106">
        <f t="shared" si="12"/>
        <v>0.95999999999999985</v>
      </c>
    </row>
    <row r="22" spans="12:26" x14ac:dyDescent="0.45">
      <c r="L22" t="s">
        <v>279</v>
      </c>
      <c r="M22" s="54">
        <v>0.68</v>
      </c>
      <c r="N22" s="54">
        <v>0.6</v>
      </c>
      <c r="S22" t="s">
        <v>278</v>
      </c>
      <c r="T22" t="s">
        <v>269</v>
      </c>
      <c r="U22" s="88">
        <f t="shared" si="3"/>
        <v>2.5500000000000003</v>
      </c>
      <c r="V22" s="106">
        <f t="shared" si="3"/>
        <v>3.0000000000000004</v>
      </c>
      <c r="W22" s="105">
        <f t="shared" si="4"/>
        <v>0.7280513918629552</v>
      </c>
      <c r="X22" s="106">
        <f t="shared" si="2"/>
        <v>0.8</v>
      </c>
      <c r="Y22" s="88">
        <f t="shared" ref="Y22:Z22" si="13">M21/AVERAGE(M21:M32)</f>
        <v>1.8501070663811563</v>
      </c>
      <c r="Z22" s="106">
        <f t="shared" si="13"/>
        <v>1.4399999999999997</v>
      </c>
    </row>
    <row r="23" spans="12:26" x14ac:dyDescent="0.45">
      <c r="L23" t="s">
        <v>280</v>
      </c>
      <c r="M23" s="54">
        <v>0.72</v>
      </c>
      <c r="N23" s="54">
        <v>0.8</v>
      </c>
      <c r="S23" t="s">
        <v>279</v>
      </c>
      <c r="T23" t="s">
        <v>270</v>
      </c>
      <c r="U23" s="88">
        <f t="shared" si="3"/>
        <v>2.5</v>
      </c>
      <c r="V23" s="106">
        <f t="shared" si="3"/>
        <v>2.6</v>
      </c>
      <c r="W23" s="105">
        <f t="shared" si="4"/>
        <v>0.71377587437544621</v>
      </c>
      <c r="X23" s="106">
        <f t="shared" si="2"/>
        <v>0.69333333333333325</v>
      </c>
      <c r="Y23" s="88">
        <f t="shared" ref="Y23:Z23" si="14">M22/AVERAGE(M22:M33)</f>
        <v>1.7473233404710922</v>
      </c>
      <c r="Z23" s="106">
        <f t="shared" si="14"/>
        <v>1.4399999999999997</v>
      </c>
    </row>
    <row r="24" spans="12:26" ht="14.65" thickBot="1" x14ac:dyDescent="0.5">
      <c r="L24" t="s">
        <v>269</v>
      </c>
      <c r="M24" s="61">
        <f>M12</f>
        <v>0.77</v>
      </c>
      <c r="N24" s="61">
        <f>N12</f>
        <v>1</v>
      </c>
      <c r="S24" t="s">
        <v>280</v>
      </c>
      <c r="T24" t="s">
        <v>271</v>
      </c>
      <c r="U24" s="123">
        <f t="shared" si="3"/>
        <v>2.86</v>
      </c>
      <c r="V24" s="108">
        <f t="shared" si="3"/>
        <v>2.4000000000000004</v>
      </c>
      <c r="W24" s="107">
        <f t="shared" si="4"/>
        <v>0.81655960028551045</v>
      </c>
      <c r="X24" s="108">
        <f t="shared" si="2"/>
        <v>0.64</v>
      </c>
      <c r="Y24" s="123">
        <f t="shared" ref="Y24:Z24" si="15">M23/AVERAGE(M23:M34)</f>
        <v>1.8501070663811563</v>
      </c>
      <c r="Z24" s="108">
        <f t="shared" si="15"/>
        <v>1.92</v>
      </c>
    </row>
    <row r="25" spans="12:26" x14ac:dyDescent="0.45">
      <c r="L25" t="s">
        <v>270</v>
      </c>
      <c r="M25" s="61">
        <f t="shared" ref="M25:N35" si="16">M13</f>
        <v>0.32</v>
      </c>
      <c r="N25" s="61">
        <f t="shared" si="16"/>
        <v>0.8</v>
      </c>
    </row>
    <row r="26" spans="12:26" x14ac:dyDescent="0.45">
      <c r="L26" t="s">
        <v>271</v>
      </c>
      <c r="M26" s="61">
        <f t="shared" si="16"/>
        <v>0.09</v>
      </c>
      <c r="N26" s="61">
        <f t="shared" si="16"/>
        <v>0.2</v>
      </c>
      <c r="T26" s="154" t="s">
        <v>919</v>
      </c>
    </row>
    <row r="27" spans="12:26" x14ac:dyDescent="0.45">
      <c r="L27" t="s">
        <v>272</v>
      </c>
      <c r="M27" s="61">
        <f t="shared" si="16"/>
        <v>0.09</v>
      </c>
      <c r="N27" s="61">
        <f t="shared" si="16"/>
        <v>0.2</v>
      </c>
      <c r="T27" s="154" t="s">
        <v>920</v>
      </c>
    </row>
    <row r="28" spans="12:26" x14ac:dyDescent="0.45">
      <c r="L28" t="s">
        <v>273</v>
      </c>
      <c r="M28" s="61">
        <f t="shared" si="16"/>
        <v>0.14000000000000001</v>
      </c>
      <c r="N28" s="61">
        <f t="shared" si="16"/>
        <v>0.2</v>
      </c>
    </row>
    <row r="29" spans="12:26" x14ac:dyDescent="0.45">
      <c r="L29" t="s">
        <v>274</v>
      </c>
      <c r="M29" s="61">
        <f t="shared" si="16"/>
        <v>0.14000000000000001</v>
      </c>
      <c r="N29" s="61">
        <f t="shared" si="16"/>
        <v>0</v>
      </c>
    </row>
    <row r="30" spans="12:26" x14ac:dyDescent="0.45">
      <c r="L30" t="s">
        <v>275</v>
      </c>
      <c r="M30" s="61">
        <f t="shared" si="16"/>
        <v>0.18</v>
      </c>
      <c r="N30" s="61">
        <f t="shared" si="16"/>
        <v>0</v>
      </c>
    </row>
    <row r="31" spans="12:26" x14ac:dyDescent="0.45">
      <c r="L31" t="s">
        <v>276</v>
      </c>
      <c r="M31" s="61">
        <f t="shared" si="16"/>
        <v>0.32</v>
      </c>
      <c r="N31" s="61">
        <f t="shared" si="16"/>
        <v>0.2</v>
      </c>
    </row>
    <row r="32" spans="12:26" x14ac:dyDescent="0.45">
      <c r="L32" t="s">
        <v>277</v>
      </c>
      <c r="M32" s="61">
        <f t="shared" si="16"/>
        <v>0.5</v>
      </c>
      <c r="N32" s="61">
        <f t="shared" si="16"/>
        <v>0.4</v>
      </c>
    </row>
    <row r="33" spans="12:14" x14ac:dyDescent="0.45">
      <c r="L33" t="s">
        <v>278</v>
      </c>
      <c r="M33" s="61">
        <f t="shared" si="16"/>
        <v>0.72</v>
      </c>
      <c r="N33" s="61">
        <f t="shared" si="16"/>
        <v>0.6</v>
      </c>
    </row>
    <row r="34" spans="12:14" x14ac:dyDescent="0.45">
      <c r="L34" t="s">
        <v>279</v>
      </c>
      <c r="M34" s="61">
        <f t="shared" si="16"/>
        <v>0.68</v>
      </c>
      <c r="N34" s="61">
        <f t="shared" si="16"/>
        <v>0.6</v>
      </c>
    </row>
    <row r="35" spans="12:14" x14ac:dyDescent="0.45">
      <c r="L35" t="s">
        <v>280</v>
      </c>
      <c r="M35" s="61">
        <f t="shared" si="16"/>
        <v>0.72</v>
      </c>
      <c r="N35" s="61">
        <f t="shared" si="16"/>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DF59A-BF84-4245-9D00-5F08244D8164}">
  <sheetPr>
    <tabColor theme="5" tint="0.59999389629810485"/>
  </sheetPr>
  <dimension ref="A1:Q27"/>
  <sheetViews>
    <sheetView zoomScale="90" zoomScaleNormal="90" workbookViewId="0">
      <selection activeCell="AW45" sqref="AW45"/>
    </sheetView>
  </sheetViews>
  <sheetFormatPr defaultRowHeight="14.25" x14ac:dyDescent="0.45"/>
  <sheetData>
    <row r="1" spans="1:17" x14ac:dyDescent="0.45">
      <c r="A1" t="s">
        <v>921</v>
      </c>
      <c r="B1" t="s">
        <v>922</v>
      </c>
      <c r="C1" t="s">
        <v>923</v>
      </c>
      <c r="D1" t="s">
        <v>924</v>
      </c>
      <c r="E1" t="s">
        <v>845</v>
      </c>
      <c r="F1" t="s">
        <v>846</v>
      </c>
      <c r="G1" t="s">
        <v>848</v>
      </c>
      <c r="H1" t="s">
        <v>850</v>
      </c>
      <c r="I1" t="s">
        <v>273</v>
      </c>
      <c r="J1" t="s">
        <v>274</v>
      </c>
      <c r="K1" t="s">
        <v>275</v>
      </c>
      <c r="L1" t="s">
        <v>852</v>
      </c>
      <c r="M1" t="s">
        <v>853</v>
      </c>
      <c r="N1" t="s">
        <v>854</v>
      </c>
      <c r="O1" t="s">
        <v>855</v>
      </c>
      <c r="P1" t="s">
        <v>856</v>
      </c>
    </row>
    <row r="2" spans="1:17" x14ac:dyDescent="0.45">
      <c r="A2" s="119" t="s">
        <v>925</v>
      </c>
      <c r="B2" s="119" t="s">
        <v>926</v>
      </c>
      <c r="C2" s="119" t="s">
        <v>594</v>
      </c>
      <c r="D2" s="119">
        <v>2011</v>
      </c>
      <c r="E2" s="119">
        <v>1275</v>
      </c>
      <c r="F2" s="119">
        <v>691</v>
      </c>
      <c r="G2" s="119">
        <v>682</v>
      </c>
      <c r="H2" s="119">
        <v>150</v>
      </c>
      <c r="I2" s="119">
        <v>131</v>
      </c>
      <c r="J2" s="119">
        <v>93</v>
      </c>
      <c r="K2" s="119">
        <v>70</v>
      </c>
      <c r="L2" s="119">
        <v>36</v>
      </c>
      <c r="M2" s="119">
        <v>57</v>
      </c>
      <c r="N2" s="119">
        <v>66</v>
      </c>
      <c r="O2" s="119">
        <v>213</v>
      </c>
      <c r="P2" s="119">
        <v>102</v>
      </c>
    </row>
    <row r="3" spans="1:17" x14ac:dyDescent="0.45">
      <c r="A3" s="119" t="s">
        <v>925</v>
      </c>
      <c r="B3" s="119" t="s">
        <v>926</v>
      </c>
      <c r="C3" s="119" t="s">
        <v>594</v>
      </c>
      <c r="D3" s="119">
        <v>2012</v>
      </c>
      <c r="E3" s="119">
        <v>2082</v>
      </c>
      <c r="F3" s="119">
        <v>410</v>
      </c>
      <c r="G3" s="119">
        <v>309</v>
      </c>
      <c r="H3" s="119">
        <v>386</v>
      </c>
      <c r="I3" s="119">
        <v>379</v>
      </c>
      <c r="J3" s="119">
        <v>149</v>
      </c>
      <c r="K3" s="119">
        <v>172</v>
      </c>
      <c r="L3" s="119">
        <v>93</v>
      </c>
      <c r="M3" s="119">
        <v>116</v>
      </c>
      <c r="N3" s="119">
        <v>145</v>
      </c>
      <c r="O3" s="119">
        <v>238</v>
      </c>
      <c r="P3" s="119">
        <v>124</v>
      </c>
    </row>
    <row r="4" spans="1:17" x14ac:dyDescent="0.45">
      <c r="A4" s="119" t="s">
        <v>925</v>
      </c>
      <c r="B4" s="119" t="s">
        <v>926</v>
      </c>
      <c r="C4" s="119" t="s">
        <v>594</v>
      </c>
      <c r="D4" s="119">
        <v>2013</v>
      </c>
      <c r="E4" s="119">
        <v>602</v>
      </c>
      <c r="F4" s="119">
        <v>586</v>
      </c>
      <c r="G4" s="119">
        <v>401</v>
      </c>
      <c r="H4" s="119">
        <v>342</v>
      </c>
      <c r="I4" s="119">
        <v>215</v>
      </c>
      <c r="J4" s="119">
        <v>143</v>
      </c>
      <c r="K4" s="119">
        <v>89</v>
      </c>
      <c r="L4" s="119">
        <v>165</v>
      </c>
      <c r="M4" s="119">
        <v>432</v>
      </c>
      <c r="N4" s="119">
        <v>919</v>
      </c>
      <c r="O4" s="119">
        <v>1354</v>
      </c>
      <c r="P4" s="119">
        <v>878</v>
      </c>
    </row>
    <row r="5" spans="1:17" x14ac:dyDescent="0.45">
      <c r="A5" s="119" t="s">
        <v>925</v>
      </c>
      <c r="B5" s="119" t="s">
        <v>926</v>
      </c>
      <c r="C5" s="119" t="s">
        <v>594</v>
      </c>
      <c r="D5" s="119">
        <v>2014</v>
      </c>
      <c r="E5" s="119">
        <v>2283</v>
      </c>
      <c r="F5" s="119">
        <v>3493</v>
      </c>
      <c r="G5" s="119">
        <v>3312</v>
      </c>
      <c r="H5" s="119">
        <v>1210</v>
      </c>
      <c r="I5" s="119">
        <v>853</v>
      </c>
      <c r="J5" s="119">
        <v>898</v>
      </c>
      <c r="K5" s="119">
        <v>516</v>
      </c>
      <c r="L5" s="119">
        <v>465</v>
      </c>
      <c r="M5" s="119">
        <v>171</v>
      </c>
      <c r="N5" s="119">
        <v>236</v>
      </c>
      <c r="O5" s="119">
        <v>361</v>
      </c>
      <c r="P5" s="119">
        <v>482</v>
      </c>
    </row>
    <row r="6" spans="1:17" x14ac:dyDescent="0.45">
      <c r="A6" s="119" t="s">
        <v>925</v>
      </c>
      <c r="B6" s="119" t="s">
        <v>926</v>
      </c>
      <c r="C6" s="119" t="s">
        <v>594</v>
      </c>
      <c r="D6" s="119">
        <v>2015</v>
      </c>
      <c r="E6" s="119">
        <v>2232</v>
      </c>
      <c r="F6" s="119">
        <v>5539</v>
      </c>
      <c r="G6" s="119">
        <v>2844</v>
      </c>
      <c r="H6" s="119">
        <v>2441</v>
      </c>
      <c r="I6" s="119">
        <v>803</v>
      </c>
      <c r="J6" s="119">
        <v>537</v>
      </c>
      <c r="K6" s="119">
        <v>288</v>
      </c>
      <c r="L6" s="119">
        <v>240</v>
      </c>
      <c r="M6" s="119">
        <v>263</v>
      </c>
      <c r="N6" s="119">
        <v>485</v>
      </c>
      <c r="O6" s="119">
        <v>700</v>
      </c>
      <c r="P6" s="119">
        <v>1406</v>
      </c>
    </row>
    <row r="7" spans="1:17" x14ac:dyDescent="0.45">
      <c r="A7" s="119" t="s">
        <v>925</v>
      </c>
      <c r="B7" s="119" t="s">
        <v>926</v>
      </c>
      <c r="C7" s="119" t="s">
        <v>594</v>
      </c>
      <c r="D7" s="119">
        <v>2016</v>
      </c>
      <c r="E7" s="119">
        <v>1329</v>
      </c>
      <c r="F7" s="119">
        <v>1351</v>
      </c>
      <c r="G7" s="119">
        <v>773</v>
      </c>
      <c r="H7" s="119">
        <v>122</v>
      </c>
      <c r="I7" s="119">
        <v>129</v>
      </c>
      <c r="J7" s="119">
        <v>120</v>
      </c>
      <c r="K7" s="119">
        <v>113</v>
      </c>
      <c r="L7" s="119">
        <v>59</v>
      </c>
      <c r="M7" s="119">
        <v>58</v>
      </c>
      <c r="N7" s="119">
        <v>96</v>
      </c>
      <c r="O7" s="119">
        <v>253</v>
      </c>
      <c r="P7" s="119">
        <v>165</v>
      </c>
    </row>
    <row r="8" spans="1:17" x14ac:dyDescent="0.45">
      <c r="A8" s="119" t="s">
        <v>925</v>
      </c>
      <c r="B8" s="119" t="s">
        <v>926</v>
      </c>
      <c r="C8" s="119" t="s">
        <v>594</v>
      </c>
      <c r="D8" s="119">
        <v>2017</v>
      </c>
      <c r="E8" s="119">
        <v>214</v>
      </c>
      <c r="F8" s="119">
        <v>377</v>
      </c>
      <c r="G8" s="119">
        <v>247</v>
      </c>
      <c r="H8" s="119">
        <v>105</v>
      </c>
      <c r="I8" s="119">
        <v>58</v>
      </c>
      <c r="J8" s="119">
        <v>67</v>
      </c>
      <c r="K8" s="119">
        <v>74</v>
      </c>
      <c r="L8" s="119">
        <v>159</v>
      </c>
      <c r="M8" s="119">
        <v>197</v>
      </c>
      <c r="N8" s="119">
        <v>128</v>
      </c>
      <c r="O8" s="119">
        <v>87</v>
      </c>
      <c r="P8" s="119">
        <v>199</v>
      </c>
    </row>
    <row r="9" spans="1:17" x14ac:dyDescent="0.45">
      <c r="A9" s="119" t="s">
        <v>925</v>
      </c>
      <c r="B9" s="119" t="s">
        <v>926</v>
      </c>
      <c r="C9" s="119" t="s">
        <v>594</v>
      </c>
      <c r="D9" s="119">
        <v>2018</v>
      </c>
      <c r="E9" s="119">
        <v>182</v>
      </c>
      <c r="F9" s="119">
        <v>171</v>
      </c>
      <c r="G9" s="119">
        <v>146</v>
      </c>
      <c r="H9" s="119">
        <v>45</v>
      </c>
      <c r="I9" s="119">
        <v>116</v>
      </c>
      <c r="J9" s="119">
        <v>98</v>
      </c>
      <c r="K9" s="119">
        <v>137</v>
      </c>
      <c r="L9" s="119">
        <v>52</v>
      </c>
      <c r="M9" s="119">
        <v>236</v>
      </c>
      <c r="N9" s="119">
        <v>168</v>
      </c>
      <c r="O9" s="119">
        <v>0</v>
      </c>
      <c r="P9" s="119">
        <v>0</v>
      </c>
    </row>
    <row r="10" spans="1:17" x14ac:dyDescent="0.45">
      <c r="A10" s="119" t="s">
        <v>925</v>
      </c>
      <c r="B10" s="119" t="s">
        <v>926</v>
      </c>
      <c r="C10" s="119" t="s">
        <v>594</v>
      </c>
      <c r="D10" s="119">
        <v>2019</v>
      </c>
      <c r="E10" s="119">
        <v>794</v>
      </c>
      <c r="F10" s="119">
        <v>426</v>
      </c>
      <c r="G10" s="119">
        <v>489</v>
      </c>
      <c r="H10" s="119">
        <v>248</v>
      </c>
      <c r="I10" s="119">
        <v>305</v>
      </c>
      <c r="J10" s="119">
        <v>176</v>
      </c>
      <c r="K10" s="119">
        <v>141</v>
      </c>
      <c r="L10" s="119">
        <v>100</v>
      </c>
      <c r="M10" s="119">
        <v>128</v>
      </c>
      <c r="N10" s="119">
        <v>174</v>
      </c>
      <c r="O10" s="119">
        <v>343</v>
      </c>
      <c r="P10" s="119">
        <v>286</v>
      </c>
    </row>
    <row r="11" spans="1:17" x14ac:dyDescent="0.45">
      <c r="A11" s="119" t="s">
        <v>925</v>
      </c>
      <c r="B11" s="119" t="s">
        <v>926</v>
      </c>
      <c r="C11" s="119" t="s">
        <v>594</v>
      </c>
      <c r="D11" s="119">
        <v>2020</v>
      </c>
      <c r="E11" s="119">
        <v>755</v>
      </c>
      <c r="F11" s="119">
        <v>721</v>
      </c>
      <c r="G11" s="119">
        <v>224</v>
      </c>
      <c r="H11" s="119">
        <v>104</v>
      </c>
      <c r="I11" s="119">
        <v>45</v>
      </c>
      <c r="J11" s="119">
        <v>17</v>
      </c>
      <c r="K11" s="119">
        <v>19</v>
      </c>
      <c r="L11" s="119">
        <v>4</v>
      </c>
      <c r="M11" s="119">
        <v>6</v>
      </c>
      <c r="N11" s="119">
        <v>5</v>
      </c>
      <c r="O11" s="119">
        <v>8</v>
      </c>
      <c r="P11" s="119">
        <v>39</v>
      </c>
      <c r="Q11" t="s">
        <v>927</v>
      </c>
    </row>
    <row r="12" spans="1:17" x14ac:dyDescent="0.45">
      <c r="A12" s="119" t="s">
        <v>925</v>
      </c>
      <c r="B12" s="119" t="s">
        <v>926</v>
      </c>
      <c r="C12" s="119" t="s">
        <v>594</v>
      </c>
      <c r="D12" s="119">
        <v>2021</v>
      </c>
      <c r="E12" s="119">
        <v>63</v>
      </c>
      <c r="F12" s="119">
        <v>121</v>
      </c>
      <c r="G12" s="119">
        <v>293</v>
      </c>
      <c r="H12" s="119">
        <v>116</v>
      </c>
      <c r="I12" s="119">
        <v>38</v>
      </c>
      <c r="J12" s="119">
        <v>129</v>
      </c>
      <c r="K12" s="119">
        <v>238</v>
      </c>
      <c r="L12" s="119">
        <v>217</v>
      </c>
      <c r="M12" s="119">
        <v>12</v>
      </c>
      <c r="N12" s="119">
        <v>0</v>
      </c>
      <c r="O12" s="119" t="s">
        <v>928</v>
      </c>
      <c r="P12" s="119" t="s">
        <v>928</v>
      </c>
      <c r="Q12" t="s">
        <v>927</v>
      </c>
    </row>
    <row r="13" spans="1:17" x14ac:dyDescent="0.45">
      <c r="A13" s="119"/>
      <c r="B13" s="119"/>
      <c r="C13" s="119"/>
      <c r="D13" s="119"/>
      <c r="E13" s="119"/>
      <c r="F13" s="119"/>
      <c r="G13" s="119"/>
      <c r="H13" s="119"/>
      <c r="I13" s="119"/>
      <c r="J13" s="119"/>
      <c r="K13" s="119"/>
      <c r="L13" s="119"/>
      <c r="M13" s="119"/>
      <c r="N13" s="119"/>
      <c r="O13" s="119"/>
      <c r="P13" s="119"/>
    </row>
    <row r="14" spans="1:17" x14ac:dyDescent="0.45">
      <c r="A14" t="s">
        <v>921</v>
      </c>
      <c r="B14" t="s">
        <v>922</v>
      </c>
      <c r="C14" t="s">
        <v>923</v>
      </c>
      <c r="D14" t="s">
        <v>924</v>
      </c>
      <c r="E14" t="s">
        <v>845</v>
      </c>
      <c r="F14" t="s">
        <v>846</v>
      </c>
      <c r="G14" t="s">
        <v>848</v>
      </c>
      <c r="H14" t="s">
        <v>850</v>
      </c>
      <c r="I14" t="s">
        <v>273</v>
      </c>
      <c r="J14" t="s">
        <v>274</v>
      </c>
      <c r="K14" t="s">
        <v>275</v>
      </c>
      <c r="L14" t="s">
        <v>852</v>
      </c>
      <c r="M14" t="s">
        <v>853</v>
      </c>
      <c r="N14" t="s">
        <v>854</v>
      </c>
      <c r="O14" t="s">
        <v>855</v>
      </c>
      <c r="P14" t="s">
        <v>856</v>
      </c>
    </row>
    <row r="15" spans="1:17" x14ac:dyDescent="0.45">
      <c r="A15" s="119" t="s">
        <v>925</v>
      </c>
      <c r="B15" s="119" t="s">
        <v>926</v>
      </c>
      <c r="C15" s="119" t="s">
        <v>594</v>
      </c>
      <c r="D15" s="119">
        <v>2011</v>
      </c>
      <c r="E15" s="118">
        <f t="shared" ref="E15:P15" si="0">E2/SUM($E2:$P2)</f>
        <v>0.35754346606842402</v>
      </c>
      <c r="F15" s="118">
        <f t="shared" si="0"/>
        <v>0.19377453729669097</v>
      </c>
      <c r="G15" s="118">
        <f t="shared" si="0"/>
        <v>0.19125070106561975</v>
      </c>
      <c r="H15" s="118">
        <f t="shared" si="0"/>
        <v>4.2063937184520471E-2</v>
      </c>
      <c r="I15" s="118">
        <f t="shared" si="0"/>
        <v>3.6735838474481211E-2</v>
      </c>
      <c r="J15" s="118">
        <f t="shared" si="0"/>
        <v>2.6079641054402691E-2</v>
      </c>
      <c r="K15" s="118">
        <f t="shared" si="0"/>
        <v>1.9629837352776219E-2</v>
      </c>
      <c r="L15" s="118">
        <f t="shared" si="0"/>
        <v>1.0095344924284913E-2</v>
      </c>
      <c r="M15" s="118">
        <f t="shared" si="0"/>
        <v>1.598429613011778E-2</v>
      </c>
      <c r="N15" s="118">
        <f t="shared" si="0"/>
        <v>1.8508132361189006E-2</v>
      </c>
      <c r="O15" s="118">
        <f t="shared" si="0"/>
        <v>5.9730790802019068E-2</v>
      </c>
      <c r="P15" s="118">
        <f t="shared" si="0"/>
        <v>2.8603477285473921E-2</v>
      </c>
    </row>
    <row r="16" spans="1:17" x14ac:dyDescent="0.45">
      <c r="A16" s="119" t="s">
        <v>925</v>
      </c>
      <c r="B16" s="119" t="s">
        <v>926</v>
      </c>
      <c r="C16" s="119" t="s">
        <v>594</v>
      </c>
      <c r="D16" s="119">
        <v>2012</v>
      </c>
      <c r="E16" s="118">
        <f t="shared" ref="E16:P16" si="1">E3/SUM($E3:$P3)</f>
        <v>0.45231370845101021</v>
      </c>
      <c r="F16" s="118">
        <f t="shared" si="1"/>
        <v>8.907234412339779E-2</v>
      </c>
      <c r="G16" s="118">
        <f t="shared" si="1"/>
        <v>6.7130132522268085E-2</v>
      </c>
      <c r="H16" s="118">
        <f t="shared" si="1"/>
        <v>8.3858353247881823E-2</v>
      </c>
      <c r="I16" s="118">
        <f t="shared" si="1"/>
        <v>8.2337605909189662E-2</v>
      </c>
      <c r="J16" s="118">
        <f t="shared" si="1"/>
        <v>3.2370193352161632E-2</v>
      </c>
      <c r="K16" s="118">
        <f t="shared" si="1"/>
        <v>3.7366934607864437E-2</v>
      </c>
      <c r="L16" s="118">
        <f t="shared" si="1"/>
        <v>2.0204214642624375E-2</v>
      </c>
      <c r="M16" s="118">
        <f t="shared" si="1"/>
        <v>2.5200955898327177E-2</v>
      </c>
      <c r="N16" s="118">
        <f t="shared" si="1"/>
        <v>3.1501194872908971E-2</v>
      </c>
      <c r="O16" s="118">
        <f t="shared" si="1"/>
        <v>5.1705409515533346E-2</v>
      </c>
      <c r="P16" s="118">
        <f t="shared" si="1"/>
        <v>2.6938952856832499E-2</v>
      </c>
    </row>
    <row r="17" spans="1:16" x14ac:dyDescent="0.45">
      <c r="A17" s="119" t="s">
        <v>925</v>
      </c>
      <c r="B17" s="119" t="s">
        <v>926</v>
      </c>
      <c r="C17" s="119" t="s">
        <v>594</v>
      </c>
      <c r="D17" s="119">
        <v>2013</v>
      </c>
      <c r="E17" s="118">
        <f t="shared" ref="E17:P17" si="2">E4/SUM($E4:$P4)</f>
        <v>9.826967025791708E-2</v>
      </c>
      <c r="F17" s="118">
        <f t="shared" si="2"/>
        <v>9.5657851779301334E-2</v>
      </c>
      <c r="G17" s="118">
        <f t="shared" si="2"/>
        <v>6.5458700620306884E-2</v>
      </c>
      <c r="H17" s="118">
        <f t="shared" si="2"/>
        <v>5.5827619980411358E-2</v>
      </c>
      <c r="I17" s="118">
        <f t="shared" si="2"/>
        <v>3.5096310806398953E-2</v>
      </c>
      <c r="J17" s="118">
        <f t="shared" si="2"/>
        <v>2.3343127652628141E-2</v>
      </c>
      <c r="K17" s="118">
        <f t="shared" si="2"/>
        <v>1.4528240287300032E-2</v>
      </c>
      <c r="L17" s="118">
        <f t="shared" si="2"/>
        <v>2.6934378060724781E-2</v>
      </c>
      <c r="M17" s="118">
        <f t="shared" si="2"/>
        <v>7.0519098922624882E-2</v>
      </c>
      <c r="N17" s="118">
        <f t="shared" si="2"/>
        <v>0.15001632386549135</v>
      </c>
      <c r="O17" s="118">
        <f t="shared" si="2"/>
        <v>0.22102513875285668</v>
      </c>
      <c r="P17" s="118">
        <f t="shared" si="2"/>
        <v>0.14332353901403852</v>
      </c>
    </row>
    <row r="18" spans="1:16" x14ac:dyDescent="0.45">
      <c r="A18" s="119" t="s">
        <v>925</v>
      </c>
      <c r="B18" s="119" t="s">
        <v>926</v>
      </c>
      <c r="C18" s="119" t="s">
        <v>594</v>
      </c>
      <c r="D18" s="119">
        <v>2014</v>
      </c>
      <c r="E18" s="118">
        <f t="shared" ref="E18:P18" si="3">E5/SUM($E5:$P5)</f>
        <v>0.15987394957983192</v>
      </c>
      <c r="F18" s="118">
        <f t="shared" si="3"/>
        <v>0.24460784313725489</v>
      </c>
      <c r="G18" s="118">
        <f t="shared" si="3"/>
        <v>0.23193277310924371</v>
      </c>
      <c r="H18" s="118">
        <f t="shared" si="3"/>
        <v>8.4733893557422973E-2</v>
      </c>
      <c r="I18" s="118">
        <f t="shared" si="3"/>
        <v>5.9733893557422972E-2</v>
      </c>
      <c r="J18" s="118">
        <f t="shared" si="3"/>
        <v>6.2885154061624648E-2</v>
      </c>
      <c r="K18" s="118">
        <f t="shared" si="3"/>
        <v>3.6134453781512609E-2</v>
      </c>
      <c r="L18" s="118">
        <f t="shared" si="3"/>
        <v>3.2563025210084036E-2</v>
      </c>
      <c r="M18" s="118">
        <f t="shared" si="3"/>
        <v>1.1974789915966387E-2</v>
      </c>
      <c r="N18" s="118">
        <f t="shared" si="3"/>
        <v>1.6526610644257703E-2</v>
      </c>
      <c r="O18" s="118">
        <f t="shared" si="3"/>
        <v>2.5280112044817928E-2</v>
      </c>
      <c r="P18" s="118">
        <f t="shared" si="3"/>
        <v>3.3753501400560222E-2</v>
      </c>
    </row>
    <row r="19" spans="1:16" x14ac:dyDescent="0.45">
      <c r="A19" s="119" t="s">
        <v>925</v>
      </c>
      <c r="B19" s="119" t="s">
        <v>926</v>
      </c>
      <c r="C19" s="119" t="s">
        <v>594</v>
      </c>
      <c r="D19" s="119">
        <v>2015</v>
      </c>
      <c r="E19" s="118">
        <f t="shared" ref="E19:P19" si="4">E6/SUM($E6:$P6)</f>
        <v>0.12554843064461693</v>
      </c>
      <c r="F19" s="118">
        <f t="shared" si="4"/>
        <v>0.31156485543930701</v>
      </c>
      <c r="G19" s="118">
        <f t="shared" si="4"/>
        <v>0.15997300033749579</v>
      </c>
      <c r="H19" s="118">
        <f t="shared" si="4"/>
        <v>0.13730453369332885</v>
      </c>
      <c r="I19" s="118">
        <f t="shared" si="4"/>
        <v>4.5168185397682532E-2</v>
      </c>
      <c r="J19" s="118">
        <f t="shared" si="4"/>
        <v>3.0205872426594668E-2</v>
      </c>
      <c r="K19" s="118">
        <f t="shared" si="4"/>
        <v>1.619979750253122E-2</v>
      </c>
      <c r="L19" s="118">
        <f t="shared" si="4"/>
        <v>1.3499831252109349E-2</v>
      </c>
      <c r="M19" s="118">
        <f t="shared" si="4"/>
        <v>1.4793565080436494E-2</v>
      </c>
      <c r="N19" s="118">
        <f t="shared" si="4"/>
        <v>2.7280908988637644E-2</v>
      </c>
      <c r="O19" s="118">
        <f t="shared" si="4"/>
        <v>3.9374507818652267E-2</v>
      </c>
      <c r="P19" s="118">
        <f t="shared" si="4"/>
        <v>7.9086511418607272E-2</v>
      </c>
    </row>
    <row r="20" spans="1:16" x14ac:dyDescent="0.45">
      <c r="A20" s="119" t="s">
        <v>925</v>
      </c>
      <c r="B20" s="119" t="s">
        <v>926</v>
      </c>
      <c r="C20" s="119" t="s">
        <v>594</v>
      </c>
      <c r="D20" s="119">
        <v>2016</v>
      </c>
      <c r="E20" s="118">
        <f t="shared" ref="E20:P20" si="5">E7/SUM($E7:$P7)</f>
        <v>0.2909369527145359</v>
      </c>
      <c r="F20" s="118">
        <f t="shared" si="5"/>
        <v>0.29575306479859897</v>
      </c>
      <c r="G20" s="118">
        <f t="shared" si="5"/>
        <v>0.16922066549912435</v>
      </c>
      <c r="H20" s="118">
        <f t="shared" si="5"/>
        <v>2.6707530647985988E-2</v>
      </c>
      <c r="I20" s="118">
        <f t="shared" si="5"/>
        <v>2.8239929947460597E-2</v>
      </c>
      <c r="J20" s="118">
        <f t="shared" si="5"/>
        <v>2.6269702276707531E-2</v>
      </c>
      <c r="K20" s="118">
        <f t="shared" si="5"/>
        <v>2.4737302977232926E-2</v>
      </c>
      <c r="L20" s="118">
        <f t="shared" si="5"/>
        <v>1.2915936952714535E-2</v>
      </c>
      <c r="M20" s="118">
        <f t="shared" si="5"/>
        <v>1.2697022767075307E-2</v>
      </c>
      <c r="N20" s="118">
        <f t="shared" si="5"/>
        <v>2.1015761821366025E-2</v>
      </c>
      <c r="O20" s="118">
        <f t="shared" si="5"/>
        <v>5.5385288966725045E-2</v>
      </c>
      <c r="P20" s="118">
        <f t="shared" si="5"/>
        <v>3.6120840630472856E-2</v>
      </c>
    </row>
    <row r="21" spans="1:16" x14ac:dyDescent="0.45">
      <c r="A21" s="119" t="s">
        <v>925</v>
      </c>
      <c r="B21" s="119" t="s">
        <v>926</v>
      </c>
      <c r="C21" s="119" t="s">
        <v>594</v>
      </c>
      <c r="D21" s="119">
        <v>2017</v>
      </c>
      <c r="E21" s="118">
        <f t="shared" ref="E21:P21" si="6">E8/SUM($E8:$P8)</f>
        <v>0.11192468619246862</v>
      </c>
      <c r="F21" s="118">
        <f t="shared" si="6"/>
        <v>0.19717573221757323</v>
      </c>
      <c r="G21" s="118">
        <f t="shared" si="6"/>
        <v>0.12918410041841005</v>
      </c>
      <c r="H21" s="118">
        <f t="shared" si="6"/>
        <v>5.4916317991631797E-2</v>
      </c>
      <c r="I21" s="118">
        <f t="shared" si="6"/>
        <v>3.0334728033472803E-2</v>
      </c>
      <c r="J21" s="118">
        <f t="shared" si="6"/>
        <v>3.5041841004184102E-2</v>
      </c>
      <c r="K21" s="118">
        <f t="shared" si="6"/>
        <v>3.8702928870292884E-2</v>
      </c>
      <c r="L21" s="118">
        <f t="shared" si="6"/>
        <v>8.3158995815899583E-2</v>
      </c>
      <c r="M21" s="118">
        <f t="shared" si="6"/>
        <v>0.10303347280334728</v>
      </c>
      <c r="N21" s="118">
        <f t="shared" si="6"/>
        <v>6.6945606694560664E-2</v>
      </c>
      <c r="O21" s="118">
        <f t="shared" si="6"/>
        <v>4.5502092050209206E-2</v>
      </c>
      <c r="P21" s="118">
        <f t="shared" si="6"/>
        <v>0.10407949790794979</v>
      </c>
    </row>
    <row r="22" spans="1:16" x14ac:dyDescent="0.45">
      <c r="A22" s="119" t="s">
        <v>925</v>
      </c>
      <c r="B22" s="119" t="s">
        <v>926</v>
      </c>
      <c r="C22" s="119" t="s">
        <v>594</v>
      </c>
      <c r="D22" s="119">
        <v>2018</v>
      </c>
      <c r="E22" s="118">
        <f t="shared" ref="E22:P22" si="7">E9/SUM($E9:$P9)</f>
        <v>0.13471502590673576</v>
      </c>
      <c r="F22" s="118">
        <f t="shared" si="7"/>
        <v>0.12657290895632864</v>
      </c>
      <c r="G22" s="118">
        <f t="shared" si="7"/>
        <v>0.1080680977054034</v>
      </c>
      <c r="H22" s="118">
        <f t="shared" si="7"/>
        <v>3.3308660251665435E-2</v>
      </c>
      <c r="I22" s="118">
        <f t="shared" si="7"/>
        <v>8.5862324204293114E-2</v>
      </c>
      <c r="J22" s="118">
        <f t="shared" si="7"/>
        <v>7.2538860103626937E-2</v>
      </c>
      <c r="K22" s="118">
        <f t="shared" si="7"/>
        <v>0.10140636565507032</v>
      </c>
      <c r="L22" s="118">
        <f t="shared" si="7"/>
        <v>3.84900074019245E-2</v>
      </c>
      <c r="M22" s="118">
        <f t="shared" si="7"/>
        <v>0.17468541820873426</v>
      </c>
      <c r="N22" s="118">
        <f t="shared" si="7"/>
        <v>0.12435233160621761</v>
      </c>
      <c r="O22" s="118">
        <f t="shared" si="7"/>
        <v>0</v>
      </c>
      <c r="P22" s="118">
        <f t="shared" si="7"/>
        <v>0</v>
      </c>
    </row>
    <row r="23" spans="1:16" x14ac:dyDescent="0.45">
      <c r="A23" s="119" t="s">
        <v>925</v>
      </c>
      <c r="B23" s="119" t="s">
        <v>926</v>
      </c>
      <c r="C23" s="119" t="s">
        <v>594</v>
      </c>
      <c r="D23" s="119">
        <v>2019</v>
      </c>
      <c r="E23" s="118">
        <f t="shared" ref="E23:P23" si="8">E10/SUM($E10:$P10)</f>
        <v>0.21994459833795013</v>
      </c>
      <c r="F23" s="118">
        <f t="shared" si="8"/>
        <v>0.11800554016620499</v>
      </c>
      <c r="G23" s="118">
        <f t="shared" si="8"/>
        <v>0.13545706371191135</v>
      </c>
      <c r="H23" s="118">
        <f t="shared" si="8"/>
        <v>6.869806094182826E-2</v>
      </c>
      <c r="I23" s="118">
        <f t="shared" si="8"/>
        <v>8.4487534626038779E-2</v>
      </c>
      <c r="J23" s="118">
        <f t="shared" si="8"/>
        <v>4.8753462603878119E-2</v>
      </c>
      <c r="K23" s="118">
        <f t="shared" si="8"/>
        <v>3.9058171745152352E-2</v>
      </c>
      <c r="L23" s="118">
        <f t="shared" si="8"/>
        <v>2.7700831024930747E-2</v>
      </c>
      <c r="M23" s="118">
        <f t="shared" si="8"/>
        <v>3.545706371191136E-2</v>
      </c>
      <c r="N23" s="118">
        <f t="shared" si="8"/>
        <v>4.8199445983379503E-2</v>
      </c>
      <c r="O23" s="118">
        <f t="shared" si="8"/>
        <v>9.5013850415512469E-2</v>
      </c>
      <c r="P23" s="118">
        <f t="shared" si="8"/>
        <v>7.9224376731301935E-2</v>
      </c>
    </row>
    <row r="25" spans="1:16" x14ac:dyDescent="0.45">
      <c r="E25" s="153">
        <f>AVERAGE(E15:E23)</f>
        <v>0.21678560979483227</v>
      </c>
      <c r="F25" s="153">
        <f t="shared" ref="F25:P25" si="9">AVERAGE(F15:F23)</f>
        <v>0.1857982975460731</v>
      </c>
      <c r="G25" s="153">
        <f t="shared" si="9"/>
        <v>0.13974169277664261</v>
      </c>
      <c r="H25" s="153">
        <f t="shared" si="9"/>
        <v>6.5268767499630786E-2</v>
      </c>
      <c r="I25" s="153">
        <f t="shared" si="9"/>
        <v>5.4221816772937852E-2</v>
      </c>
      <c r="J25" s="153">
        <f t="shared" si="9"/>
        <v>3.9720872726200937E-2</v>
      </c>
      <c r="K25" s="153">
        <f t="shared" si="9"/>
        <v>3.6418225864414774E-2</v>
      </c>
      <c r="L25" s="153">
        <f t="shared" si="9"/>
        <v>2.9506951698366313E-2</v>
      </c>
      <c r="M25" s="153">
        <f t="shared" si="9"/>
        <v>5.1593964826504544E-2</v>
      </c>
      <c r="N25" s="153">
        <f t="shared" si="9"/>
        <v>5.6038479648667608E-2</v>
      </c>
      <c r="O25" s="153">
        <f t="shared" si="9"/>
        <v>6.5890798929591779E-2</v>
      </c>
      <c r="P25" s="153">
        <f t="shared" si="9"/>
        <v>5.9014521916137444E-2</v>
      </c>
    </row>
    <row r="27" spans="1:16" x14ac:dyDescent="0.45">
      <c r="A27" t="s">
        <v>929</v>
      </c>
    </row>
  </sheetData>
  <conditionalFormatting sqref="E15:P23">
    <cfRule type="colorScale" priority="2">
      <colorScale>
        <cfvo type="min"/>
        <cfvo type="max"/>
        <color rgb="FFFCFCFF"/>
        <color rgb="FF63BE7B"/>
      </colorScale>
    </cfRule>
  </conditionalFormatting>
  <conditionalFormatting sqref="E25:P25">
    <cfRule type="colorScale" priority="1">
      <colorScale>
        <cfvo type="min"/>
        <cfvo type="max"/>
        <color rgb="FFFCFCFF"/>
        <color rgb="FFF8696B"/>
      </colorScale>
    </cfRule>
  </conditionalFormatting>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9D36A-823B-4590-9BFE-F3BEE35B4B93}">
  <dimension ref="B3:BB37"/>
  <sheetViews>
    <sheetView topLeftCell="D1" zoomScale="110" zoomScaleNormal="110" workbookViewId="0">
      <selection activeCell="AD18" sqref="AD18"/>
    </sheetView>
  </sheetViews>
  <sheetFormatPr defaultRowHeight="14.25" x14ac:dyDescent="0.45"/>
  <sheetData>
    <row r="3" spans="21:21" x14ac:dyDescent="0.45">
      <c r="U3" t="s">
        <v>788</v>
      </c>
    </row>
    <row r="25" spans="2:54" x14ac:dyDescent="0.45">
      <c r="B25" t="s">
        <v>930</v>
      </c>
      <c r="W25" t="s">
        <v>932</v>
      </c>
    </row>
    <row r="26" spans="2:54" x14ac:dyDescent="0.45">
      <c r="W26" t="s">
        <v>940</v>
      </c>
      <c r="AG26" t="s">
        <v>941</v>
      </c>
      <c r="AR26" t="s">
        <v>944</v>
      </c>
    </row>
    <row r="30" spans="2:54" x14ac:dyDescent="0.45">
      <c r="AY30" t="s">
        <v>1762</v>
      </c>
      <c r="AZ30" t="s">
        <v>1763</v>
      </c>
      <c r="BA30" t="s">
        <v>332</v>
      </c>
      <c r="BB30" t="s">
        <v>1764</v>
      </c>
    </row>
    <row r="31" spans="2:54" x14ac:dyDescent="0.45">
      <c r="AX31">
        <v>2008</v>
      </c>
      <c r="AY31" s="54">
        <v>0.75</v>
      </c>
      <c r="AZ31" s="54">
        <v>0.25</v>
      </c>
    </row>
    <row r="32" spans="2:54" x14ac:dyDescent="0.45">
      <c r="AX32">
        <v>2010</v>
      </c>
      <c r="AY32" s="54">
        <v>0.7</v>
      </c>
      <c r="AZ32" s="54">
        <v>0.3</v>
      </c>
    </row>
    <row r="33" spans="2:54" x14ac:dyDescent="0.45">
      <c r="AX33">
        <v>2014</v>
      </c>
      <c r="AY33" s="54">
        <v>0.37</v>
      </c>
      <c r="AZ33" s="54">
        <v>0.51</v>
      </c>
      <c r="BA33" s="54">
        <f>1-AZ33-AY33</f>
        <v>0.12</v>
      </c>
    </row>
    <row r="34" spans="2:54" x14ac:dyDescent="0.45">
      <c r="AX34">
        <v>2017</v>
      </c>
      <c r="AY34" s="54">
        <v>0.36</v>
      </c>
      <c r="AZ34" s="54">
        <v>0.44</v>
      </c>
      <c r="BA34" s="54">
        <f>1-AZ34-AY34-BB34</f>
        <v>0.12000000000000006</v>
      </c>
      <c r="BB34" s="54">
        <v>0.08</v>
      </c>
    </row>
    <row r="37" spans="2:54" x14ac:dyDescent="0.45">
      <c r="B37" t="s">
        <v>799</v>
      </c>
    </row>
  </sheetData>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03176-422C-4AFC-94A4-C58FC992CF93}">
  <sheetPr>
    <tabColor theme="2"/>
  </sheetPr>
  <dimension ref="A1:CL47"/>
  <sheetViews>
    <sheetView workbookViewId="0">
      <selection activeCell="AJ35" sqref="AJ35"/>
    </sheetView>
  </sheetViews>
  <sheetFormatPr defaultRowHeight="14.25" x14ac:dyDescent="0.45"/>
  <sheetData>
    <row r="1" spans="1:90" x14ac:dyDescent="0.45">
      <c r="A1" t="s">
        <v>931</v>
      </c>
      <c r="K1" t="s">
        <v>932</v>
      </c>
      <c r="U1" t="s">
        <v>933</v>
      </c>
      <c r="AD1" t="s">
        <v>934</v>
      </c>
      <c r="AO1" t="s">
        <v>935</v>
      </c>
      <c r="BC1" t="s">
        <v>936</v>
      </c>
      <c r="BO1" t="s">
        <v>937</v>
      </c>
      <c r="BY1" t="s">
        <v>938</v>
      </c>
      <c r="CL1" t="s">
        <v>939</v>
      </c>
    </row>
    <row r="2" spans="1:90" x14ac:dyDescent="0.45">
      <c r="K2" s="57" t="s">
        <v>940</v>
      </c>
      <c r="U2" s="57" t="s">
        <v>941</v>
      </c>
      <c r="AD2" t="s">
        <v>942</v>
      </c>
      <c r="AO2" t="s">
        <v>943</v>
      </c>
      <c r="BC2" t="s">
        <v>944</v>
      </c>
      <c r="BO2" t="s">
        <v>945</v>
      </c>
      <c r="BY2" t="s">
        <v>946</v>
      </c>
      <c r="CL2" t="s">
        <v>947</v>
      </c>
    </row>
    <row r="10" spans="1:90" x14ac:dyDescent="0.45">
      <c r="AO10" t="s">
        <v>948</v>
      </c>
    </row>
    <row r="20" spans="1:30" x14ac:dyDescent="0.45">
      <c r="AD20" t="s">
        <v>949</v>
      </c>
    </row>
    <row r="21" spans="1:30" x14ac:dyDescent="0.45">
      <c r="AD21" t="s">
        <v>950</v>
      </c>
    </row>
    <row r="29" spans="1:30" x14ac:dyDescent="0.45">
      <c r="A29" t="s">
        <v>951</v>
      </c>
    </row>
    <row r="30" spans="1:30" x14ac:dyDescent="0.45">
      <c r="B30" s="53" t="s">
        <v>952</v>
      </c>
    </row>
    <row r="31" spans="1:30" x14ac:dyDescent="0.45">
      <c r="B31" s="53" t="s">
        <v>953</v>
      </c>
    </row>
    <row r="32" spans="1:30" x14ac:dyDescent="0.45">
      <c r="B32" s="53" t="s">
        <v>954</v>
      </c>
    </row>
    <row r="33" spans="1:2" x14ac:dyDescent="0.45">
      <c r="A33" t="s">
        <v>955</v>
      </c>
    </row>
    <row r="35" spans="1:2" x14ac:dyDescent="0.45">
      <c r="A35" t="s">
        <v>956</v>
      </c>
    </row>
    <row r="36" spans="1:2" x14ac:dyDescent="0.45">
      <c r="B36" s="53" t="s">
        <v>957</v>
      </c>
    </row>
    <row r="38" spans="1:2" x14ac:dyDescent="0.45">
      <c r="A38" t="s">
        <v>958</v>
      </c>
    </row>
    <row r="39" spans="1:2" x14ac:dyDescent="0.45">
      <c r="B39" s="53" t="s">
        <v>959</v>
      </c>
    </row>
    <row r="40" spans="1:2" x14ac:dyDescent="0.45">
      <c r="B40" s="53" t="s">
        <v>960</v>
      </c>
    </row>
    <row r="41" spans="1:2" x14ac:dyDescent="0.45">
      <c r="B41" s="53" t="s">
        <v>961</v>
      </c>
    </row>
    <row r="42" spans="1:2" x14ac:dyDescent="0.45">
      <c r="A42" t="s">
        <v>962</v>
      </c>
    </row>
    <row r="43" spans="1:2" x14ac:dyDescent="0.45">
      <c r="B43" s="53" t="s">
        <v>963</v>
      </c>
    </row>
    <row r="44" spans="1:2" x14ac:dyDescent="0.45">
      <c r="B44" s="53" t="s">
        <v>964</v>
      </c>
    </row>
    <row r="46" spans="1:2" x14ac:dyDescent="0.45">
      <c r="A46" t="s">
        <v>965</v>
      </c>
    </row>
    <row r="47" spans="1:2" x14ac:dyDescent="0.45">
      <c r="B47" s="53" t="s">
        <v>966</v>
      </c>
    </row>
  </sheetData>
  <hyperlinks>
    <hyperlink ref="U2" r:id="rId1" xr:uid="{09D06C5C-BA4A-4271-8178-91DE97445F93}"/>
    <hyperlink ref="K2" r:id="rId2" xr:uid="{E0EE6963-4EB6-4B3C-A400-369295D2662C}"/>
  </hyperlinks>
  <pageMargins left="0.7" right="0.7" top="0.75" bottom="0.75" header="0.3" footer="0.3"/>
  <drawing r:id="rId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B6E27-01D5-486D-A6B5-59610D9C36C2}">
  <sheetPr>
    <tabColor theme="2"/>
  </sheetPr>
  <dimension ref="B1:X30"/>
  <sheetViews>
    <sheetView zoomScale="70" zoomScaleNormal="70" workbookViewId="0">
      <selection activeCell="M20" sqref="M20"/>
    </sheetView>
  </sheetViews>
  <sheetFormatPr defaultRowHeight="14.25" x14ac:dyDescent="0.45"/>
  <sheetData>
    <row r="1" spans="2:24" x14ac:dyDescent="0.45">
      <c r="B1" t="s">
        <v>967</v>
      </c>
      <c r="M1" t="s">
        <v>968</v>
      </c>
      <c r="X1" t="s">
        <v>969</v>
      </c>
    </row>
    <row r="2" spans="2:24" x14ac:dyDescent="0.45">
      <c r="B2" t="s">
        <v>944</v>
      </c>
      <c r="M2" t="s">
        <v>940</v>
      </c>
      <c r="X2" t="s">
        <v>970</v>
      </c>
    </row>
    <row r="3" spans="2:24" x14ac:dyDescent="0.45">
      <c r="B3" s="52" t="s">
        <v>971</v>
      </c>
    </row>
    <row r="6" spans="2:24" x14ac:dyDescent="0.45">
      <c r="H6" s="52" t="s">
        <v>972</v>
      </c>
    </row>
    <row r="17" spans="13:24" x14ac:dyDescent="0.45">
      <c r="M17" t="s">
        <v>973</v>
      </c>
    </row>
    <row r="18" spans="13:24" x14ac:dyDescent="0.45">
      <c r="M18" t="s">
        <v>504</v>
      </c>
    </row>
    <row r="30" spans="13:24" x14ac:dyDescent="0.45">
      <c r="X30" t="s">
        <v>974</v>
      </c>
    </row>
  </sheetData>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DD53F-79A5-4EF0-A211-6BD43581E655}">
  <dimension ref="A1:CZ25"/>
  <sheetViews>
    <sheetView workbookViewId="0">
      <selection activeCell="B4" sqref="B4"/>
    </sheetView>
  </sheetViews>
  <sheetFormatPr defaultColWidth="9.796875" defaultRowHeight="14.25" x14ac:dyDescent="0.45"/>
  <cols>
    <col min="1" max="1" width="9.265625" bestFit="1" customWidth="1"/>
    <col min="2" max="2" width="10.19921875" bestFit="1" customWidth="1"/>
    <col min="3" max="29" width="10.53125" bestFit="1" customWidth="1"/>
    <col min="30" max="33" width="9" bestFit="1" customWidth="1"/>
    <col min="34" max="34" width="10.53125" bestFit="1" customWidth="1"/>
    <col min="35" max="38" width="9" bestFit="1" customWidth="1"/>
    <col min="39" max="39" width="10.53125" bestFit="1" customWidth="1"/>
    <col min="40" max="43" width="9" bestFit="1" customWidth="1"/>
    <col min="44" max="44" width="10.53125" bestFit="1" customWidth="1"/>
    <col min="45" max="48" width="9" bestFit="1" customWidth="1"/>
    <col min="49" max="49" width="10.53125" bestFit="1" customWidth="1"/>
    <col min="50" max="53" width="9" bestFit="1" customWidth="1"/>
    <col min="54" max="54" width="10.53125" bestFit="1" customWidth="1"/>
    <col min="55" max="58" width="9" bestFit="1" customWidth="1"/>
    <col min="59" max="59" width="10.53125" bestFit="1" customWidth="1"/>
    <col min="60" max="63" width="9" bestFit="1" customWidth="1"/>
    <col min="64" max="64" width="10.53125" bestFit="1" customWidth="1"/>
    <col min="65" max="76" width="9" bestFit="1" customWidth="1"/>
    <col min="77" max="78" width="8" bestFit="1" customWidth="1"/>
    <col min="79" max="79" width="9" bestFit="1" customWidth="1"/>
    <col min="80" max="82" width="8" bestFit="1" customWidth="1"/>
    <col min="83" max="83" width="8.53125" bestFit="1" customWidth="1"/>
    <col min="84" max="84" width="9" bestFit="1" customWidth="1"/>
    <col min="85" max="91" width="8" bestFit="1" customWidth="1"/>
    <col min="92" max="93" width="7" bestFit="1" customWidth="1"/>
    <col min="94" max="94" width="8" bestFit="1" customWidth="1"/>
    <col min="95" max="97" width="7" bestFit="1" customWidth="1"/>
    <col min="98" max="98" width="5.46484375" bestFit="1" customWidth="1"/>
    <col min="99" max="99" width="7" bestFit="1" customWidth="1"/>
    <col min="100" max="102" width="5.46484375" bestFit="1" customWidth="1"/>
    <col min="103" max="103" width="11.53125" bestFit="1" customWidth="1"/>
    <col min="104" max="104" width="12.53125" bestFit="1" customWidth="1"/>
  </cols>
  <sheetData>
    <row r="1" spans="1:104" x14ac:dyDescent="0.45">
      <c r="B1" t="s">
        <v>976</v>
      </c>
    </row>
    <row r="2" spans="1:104" s="48" customFormat="1" x14ac:dyDescent="0.45">
      <c r="A2" t="s">
        <v>977</v>
      </c>
      <c r="B2" s="62" t="s">
        <v>119</v>
      </c>
      <c r="C2" s="62">
        <v>1</v>
      </c>
      <c r="D2" s="62">
        <v>2</v>
      </c>
      <c r="E2" s="62">
        <v>3</v>
      </c>
      <c r="F2" s="62">
        <v>4</v>
      </c>
      <c r="G2" s="62">
        <v>5</v>
      </c>
      <c r="H2" s="62">
        <v>6</v>
      </c>
      <c r="I2" s="62">
        <v>7</v>
      </c>
      <c r="J2" s="62">
        <v>8</v>
      </c>
      <c r="K2" s="62">
        <v>9</v>
      </c>
      <c r="L2" s="62">
        <v>10</v>
      </c>
      <c r="M2" s="62">
        <v>11</v>
      </c>
      <c r="N2" s="62">
        <v>12</v>
      </c>
      <c r="O2" s="62">
        <v>13</v>
      </c>
      <c r="P2" s="62">
        <v>14</v>
      </c>
      <c r="Q2" s="62">
        <v>15</v>
      </c>
      <c r="R2" s="62">
        <v>16</v>
      </c>
      <c r="S2" s="62">
        <v>17</v>
      </c>
      <c r="T2" s="62">
        <v>18</v>
      </c>
      <c r="U2" s="62">
        <v>19</v>
      </c>
      <c r="V2" s="62">
        <v>20</v>
      </c>
      <c r="W2" s="62">
        <v>21</v>
      </c>
      <c r="X2" s="62">
        <v>22</v>
      </c>
      <c r="Y2" s="62">
        <v>23</v>
      </c>
      <c r="Z2" s="62">
        <v>24</v>
      </c>
      <c r="AA2" s="62">
        <v>25</v>
      </c>
      <c r="AB2" s="62">
        <v>26</v>
      </c>
      <c r="AC2" s="62">
        <v>27</v>
      </c>
      <c r="AD2" s="62">
        <v>28</v>
      </c>
      <c r="AE2" s="62">
        <v>29</v>
      </c>
      <c r="AF2" s="62">
        <v>30</v>
      </c>
      <c r="AG2" s="62">
        <v>31</v>
      </c>
      <c r="AH2" s="62">
        <v>32</v>
      </c>
      <c r="AI2" s="62">
        <v>33</v>
      </c>
      <c r="AJ2" s="62">
        <v>34</v>
      </c>
      <c r="AK2" s="62">
        <v>35</v>
      </c>
      <c r="AL2" s="62">
        <v>36</v>
      </c>
      <c r="AM2" s="62">
        <v>37</v>
      </c>
      <c r="AN2" s="62">
        <v>38</v>
      </c>
      <c r="AO2" s="62">
        <v>39</v>
      </c>
      <c r="AP2" s="62">
        <v>40</v>
      </c>
      <c r="AQ2" s="62">
        <v>41</v>
      </c>
      <c r="AR2" s="62">
        <v>42</v>
      </c>
      <c r="AS2" s="62">
        <v>43</v>
      </c>
      <c r="AT2" s="62">
        <v>44</v>
      </c>
      <c r="AU2" s="62">
        <v>45</v>
      </c>
      <c r="AV2" s="62">
        <v>46</v>
      </c>
      <c r="AW2" s="62">
        <v>47</v>
      </c>
      <c r="AX2" s="62">
        <v>48</v>
      </c>
      <c r="AY2" s="62">
        <v>49</v>
      </c>
      <c r="AZ2" s="62">
        <v>50</v>
      </c>
      <c r="BA2" s="62">
        <v>51</v>
      </c>
      <c r="BB2" s="62">
        <v>52</v>
      </c>
      <c r="BC2" s="62">
        <v>53</v>
      </c>
      <c r="BD2" s="62">
        <v>54</v>
      </c>
      <c r="BE2" s="62">
        <v>55</v>
      </c>
      <c r="BF2" s="62">
        <v>56</v>
      </c>
      <c r="BG2" s="62">
        <v>57</v>
      </c>
      <c r="BH2" s="62">
        <v>58</v>
      </c>
      <c r="BI2" s="62">
        <v>59</v>
      </c>
      <c r="BJ2" s="62">
        <v>60</v>
      </c>
      <c r="BK2" s="62">
        <v>61</v>
      </c>
      <c r="BL2" s="62">
        <v>62</v>
      </c>
      <c r="BM2" s="62">
        <v>63</v>
      </c>
      <c r="BN2" s="62">
        <v>64</v>
      </c>
      <c r="BO2" s="62">
        <v>65</v>
      </c>
      <c r="BP2" s="62">
        <v>66</v>
      </c>
      <c r="BQ2" s="62">
        <v>67</v>
      </c>
      <c r="BR2" s="62">
        <v>68</v>
      </c>
      <c r="BS2" s="62">
        <v>69</v>
      </c>
      <c r="BT2" s="62">
        <v>70</v>
      </c>
      <c r="BU2" s="62">
        <v>71</v>
      </c>
      <c r="BV2" s="62">
        <v>72</v>
      </c>
      <c r="BW2" s="62">
        <v>73</v>
      </c>
      <c r="BX2" s="62">
        <v>74</v>
      </c>
      <c r="BY2" s="62">
        <v>75</v>
      </c>
      <c r="BZ2" s="62">
        <v>76</v>
      </c>
      <c r="CA2" s="62">
        <v>77</v>
      </c>
      <c r="CB2" s="62">
        <v>78</v>
      </c>
      <c r="CC2" s="62">
        <v>79</v>
      </c>
      <c r="CD2" s="62">
        <v>80</v>
      </c>
      <c r="CE2" s="62">
        <v>81</v>
      </c>
      <c r="CF2" s="62">
        <v>82</v>
      </c>
      <c r="CG2" s="62">
        <v>83</v>
      </c>
      <c r="CH2" s="62">
        <v>84</v>
      </c>
      <c r="CI2" s="62">
        <v>85</v>
      </c>
      <c r="CJ2" s="62">
        <v>86</v>
      </c>
      <c r="CK2" s="62">
        <v>87</v>
      </c>
      <c r="CL2" s="62">
        <v>88</v>
      </c>
      <c r="CM2" s="62">
        <v>89</v>
      </c>
      <c r="CN2" s="62">
        <v>90</v>
      </c>
      <c r="CO2" s="62">
        <v>91</v>
      </c>
      <c r="CP2" s="62">
        <v>92</v>
      </c>
      <c r="CQ2" s="62">
        <v>93</v>
      </c>
      <c r="CR2" s="62">
        <v>94</v>
      </c>
      <c r="CS2" s="62">
        <v>95</v>
      </c>
      <c r="CT2" s="62">
        <v>96</v>
      </c>
      <c r="CU2" s="62">
        <v>97</v>
      </c>
      <c r="CV2" s="62">
        <v>98</v>
      </c>
      <c r="CW2" s="62">
        <v>99</v>
      </c>
      <c r="CX2" s="62">
        <v>100</v>
      </c>
      <c r="CZ2" s="48" t="s">
        <v>978</v>
      </c>
    </row>
    <row r="3" spans="1:104" x14ac:dyDescent="0.45">
      <c r="A3" s="48" t="s">
        <v>979</v>
      </c>
      <c r="B3" s="314">
        <f>B10</f>
        <v>383352.08778901002</v>
      </c>
      <c r="C3" s="314">
        <f t="shared" ref="C3:F3" si="0">C10</f>
        <v>359903.17157791241</v>
      </c>
      <c r="D3" s="314">
        <f t="shared" si="0"/>
        <v>354231.09791800001</v>
      </c>
      <c r="E3" s="314">
        <f t="shared" si="0"/>
        <v>348559.02425808762</v>
      </c>
      <c r="F3" s="314">
        <f t="shared" si="0"/>
        <v>342886.95059817523</v>
      </c>
      <c r="G3" s="6">
        <f t="shared" ref="G3:BN3" si="1">G10</f>
        <v>337214.87693826284</v>
      </c>
      <c r="H3" s="6">
        <f t="shared" si="1"/>
        <v>331542.80327835045</v>
      </c>
      <c r="I3" s="6">
        <f t="shared" si="1"/>
        <v>325870.729618438</v>
      </c>
      <c r="J3" s="6">
        <f t="shared" si="1"/>
        <v>322852.12216115242</v>
      </c>
      <c r="K3" s="6">
        <f t="shared" si="1"/>
        <v>319833.51470386685</v>
      </c>
      <c r="L3" s="6">
        <f t="shared" si="1"/>
        <v>316814.90724658128</v>
      </c>
      <c r="M3" s="6">
        <f t="shared" si="1"/>
        <v>313796.29978929571</v>
      </c>
      <c r="N3" s="6">
        <f t="shared" si="1"/>
        <v>310777.69233201002</v>
      </c>
      <c r="O3" s="6">
        <f t="shared" si="1"/>
        <v>305056.4833388144</v>
      </c>
      <c r="P3" s="6">
        <f t="shared" si="1"/>
        <v>299335.27434561879</v>
      </c>
      <c r="Q3" s="6">
        <f t="shared" si="1"/>
        <v>293614.06535242317</v>
      </c>
      <c r="R3" s="6">
        <f t="shared" si="1"/>
        <v>287892.85635922756</v>
      </c>
      <c r="S3" s="6">
        <f t="shared" si="1"/>
        <v>282171.647366032</v>
      </c>
      <c r="T3" s="6">
        <f t="shared" si="1"/>
        <v>269626.11473761598</v>
      </c>
      <c r="U3" s="6">
        <f t="shared" si="1"/>
        <v>257080.58210919998</v>
      </c>
      <c r="V3" s="6">
        <f t="shared" si="1"/>
        <v>244535.04948078399</v>
      </c>
      <c r="W3" s="6">
        <f t="shared" si="1"/>
        <v>231989.51685236799</v>
      </c>
      <c r="X3" s="6">
        <f t="shared" si="1"/>
        <v>219443.98422395199</v>
      </c>
      <c r="Y3" s="6">
        <f t="shared" si="1"/>
        <v>215412.84384322123</v>
      </c>
      <c r="Z3" s="6">
        <f t="shared" si="1"/>
        <v>211381.70346249046</v>
      </c>
      <c r="AA3" s="6">
        <f t="shared" si="1"/>
        <v>207350.5630817597</v>
      </c>
      <c r="AB3" s="6">
        <f t="shared" si="1"/>
        <v>203319.42270102893</v>
      </c>
      <c r="AC3" s="6">
        <f t="shared" si="1"/>
        <v>199288.2823202982</v>
      </c>
      <c r="AD3" s="6">
        <f t="shared" si="1"/>
        <v>189399.30609779648</v>
      </c>
      <c r="AE3" s="6">
        <f t="shared" si="1"/>
        <v>179510.32987529476</v>
      </c>
      <c r="AF3" s="6">
        <f t="shared" si="1"/>
        <v>169621.35365279304</v>
      </c>
      <c r="AG3" s="6">
        <f t="shared" si="1"/>
        <v>159732.37743029132</v>
      </c>
      <c r="AH3" s="6">
        <f t="shared" si="1"/>
        <v>149843.4012077896</v>
      </c>
      <c r="AI3" s="6">
        <f t="shared" si="1"/>
        <v>147037.52227593807</v>
      </c>
      <c r="AJ3" s="6">
        <f t="shared" si="1"/>
        <v>144231.64334408654</v>
      </c>
      <c r="AK3" s="6">
        <f t="shared" si="1"/>
        <v>141425.764412235</v>
      </c>
      <c r="AL3" s="6">
        <f t="shared" si="1"/>
        <v>138619.88548038347</v>
      </c>
      <c r="AM3" s="6">
        <f t="shared" si="1"/>
        <v>135814.00654853199</v>
      </c>
      <c r="AN3" s="6">
        <f t="shared" si="1"/>
        <v>130683.96239133719</v>
      </c>
      <c r="AO3" s="6">
        <f t="shared" si="1"/>
        <v>125553.91823414239</v>
      </c>
      <c r="AP3" s="6">
        <f t="shared" si="1"/>
        <v>120423.87407694758</v>
      </c>
      <c r="AQ3" s="6">
        <f t="shared" si="1"/>
        <v>115293.82991975278</v>
      </c>
      <c r="AR3" s="6">
        <f t="shared" si="1"/>
        <v>110163.78576255799</v>
      </c>
      <c r="AS3" s="6">
        <f t="shared" si="1"/>
        <v>107339.35566922011</v>
      </c>
      <c r="AT3" s="6">
        <f t="shared" si="1"/>
        <v>104514.92557588223</v>
      </c>
      <c r="AU3" s="6">
        <f t="shared" si="1"/>
        <v>101690.49548254434</v>
      </c>
      <c r="AV3" s="6">
        <f t="shared" si="1"/>
        <v>98866.065389206458</v>
      </c>
      <c r="AW3" s="6">
        <f t="shared" si="1"/>
        <v>96041.635295868589</v>
      </c>
      <c r="AX3" s="6">
        <f t="shared" si="1"/>
        <v>93971.561690844668</v>
      </c>
      <c r="AY3" s="6">
        <f t="shared" si="1"/>
        <v>91901.488085820747</v>
      </c>
      <c r="AZ3" s="6">
        <f t="shared" si="1"/>
        <v>89831.414480796826</v>
      </c>
      <c r="BA3" s="6">
        <f t="shared" si="1"/>
        <v>87761.340875772905</v>
      </c>
      <c r="BB3" s="6">
        <f t="shared" si="1"/>
        <v>85691.267270748998</v>
      </c>
      <c r="BC3" s="6">
        <f t="shared" si="1"/>
        <v>83173.546966781563</v>
      </c>
      <c r="BD3" s="6">
        <f t="shared" si="1"/>
        <v>80655.826662814128</v>
      </c>
      <c r="BE3" s="6">
        <f t="shared" si="1"/>
        <v>78138.106358846693</v>
      </c>
      <c r="BF3" s="6">
        <f t="shared" si="1"/>
        <v>75620.386054879258</v>
      </c>
      <c r="BG3" s="6">
        <f t="shared" si="1"/>
        <v>73102.665750911794</v>
      </c>
      <c r="BH3" s="6">
        <f t="shared" si="1"/>
        <v>69393.777862033356</v>
      </c>
      <c r="BI3" s="6">
        <f t="shared" si="1"/>
        <v>65684.889973154917</v>
      </c>
      <c r="BJ3" s="6">
        <f t="shared" si="1"/>
        <v>61976.002084276479</v>
      </c>
      <c r="BK3" s="6">
        <f t="shared" si="1"/>
        <v>58267.11419539804</v>
      </c>
      <c r="BL3" s="6">
        <f t="shared" si="1"/>
        <v>54558.226306519602</v>
      </c>
      <c r="BM3" s="6">
        <f t="shared" si="1"/>
        <v>52766.465288235442</v>
      </c>
      <c r="BN3" s="6">
        <f t="shared" si="1"/>
        <v>50974.704269951282</v>
      </c>
      <c r="BO3" s="6">
        <f t="shared" ref="BO3:CX3" si="2">BO10</f>
        <v>49182.943251667122</v>
      </c>
      <c r="BP3" s="6">
        <f t="shared" si="2"/>
        <v>47391.182233382962</v>
      </c>
      <c r="BQ3" s="6">
        <f t="shared" si="2"/>
        <v>45599.421215098802</v>
      </c>
      <c r="BR3" s="6">
        <f t="shared" si="2"/>
        <v>43055.90677678612</v>
      </c>
      <c r="BS3" s="6">
        <f t="shared" si="2"/>
        <v>40512.392338473437</v>
      </c>
      <c r="BT3" s="6">
        <f t="shared" si="2"/>
        <v>37968.877900160755</v>
      </c>
      <c r="BU3" s="6">
        <f t="shared" si="2"/>
        <v>35425.363461848072</v>
      </c>
      <c r="BV3" s="6">
        <f t="shared" si="2"/>
        <v>32881.849023535397</v>
      </c>
      <c r="BW3" s="6">
        <f t="shared" si="2"/>
        <v>30549.294251822517</v>
      </c>
      <c r="BX3" s="6">
        <f t="shared" si="2"/>
        <v>28216.739480109638</v>
      </c>
      <c r="BY3" s="6">
        <f t="shared" si="2"/>
        <v>25884.184708396759</v>
      </c>
      <c r="BZ3" s="6">
        <f t="shared" si="2"/>
        <v>23551.629936683879</v>
      </c>
      <c r="CA3" s="6">
        <f t="shared" si="2"/>
        <v>21219.075164971</v>
      </c>
      <c r="CB3" s="6">
        <f t="shared" si="2"/>
        <v>18497.977361328394</v>
      </c>
      <c r="CC3" s="6">
        <f t="shared" si="2"/>
        <v>15776.87955768579</v>
      </c>
      <c r="CD3" s="6">
        <f t="shared" si="2"/>
        <v>13055.781754043186</v>
      </c>
      <c r="CE3" s="6">
        <f t="shared" si="2"/>
        <v>10334.683950400582</v>
      </c>
      <c r="CF3" s="6">
        <f t="shared" si="2"/>
        <v>7613.5861467579771</v>
      </c>
      <c r="CG3" s="6">
        <f t="shared" si="2"/>
        <v>6706.4429337596493</v>
      </c>
      <c r="CH3" s="6">
        <f t="shared" si="2"/>
        <v>5799.2997207613216</v>
      </c>
      <c r="CI3" s="6">
        <f t="shared" si="2"/>
        <v>4892.1565077629939</v>
      </c>
      <c r="CJ3" s="6">
        <f t="shared" si="2"/>
        <v>3985.0132947646666</v>
      </c>
      <c r="CK3" s="6">
        <f t="shared" si="2"/>
        <v>3077.8700817663403</v>
      </c>
      <c r="CL3" s="6">
        <f t="shared" si="2"/>
        <v>2595.3307647200181</v>
      </c>
      <c r="CM3" s="6">
        <f t="shared" si="2"/>
        <v>2112.791447673696</v>
      </c>
      <c r="CN3" s="6">
        <f t="shared" si="2"/>
        <v>1630.2521306273738</v>
      </c>
      <c r="CO3" s="6">
        <f t="shared" si="2"/>
        <v>1147.7128135810517</v>
      </c>
      <c r="CP3" s="6">
        <f t="shared" si="2"/>
        <v>665.17349653473002</v>
      </c>
      <c r="CQ3" s="6">
        <f t="shared" si="2"/>
        <v>547.85800009202489</v>
      </c>
      <c r="CR3" s="6">
        <f t="shared" si="2"/>
        <v>430.54250364931977</v>
      </c>
      <c r="CS3" s="6">
        <f t="shared" si="2"/>
        <v>313.22700720661464</v>
      </c>
      <c r="CT3" s="6">
        <f t="shared" si="2"/>
        <v>195.91151076390955</v>
      </c>
      <c r="CU3" s="6">
        <f t="shared" si="2"/>
        <v>78.596014321204535</v>
      </c>
      <c r="CV3" s="6">
        <f t="shared" si="2"/>
        <v>69.704659889146399</v>
      </c>
      <c r="CW3" s="6">
        <f t="shared" si="2"/>
        <v>60.813305457088262</v>
      </c>
      <c r="CX3" s="6">
        <f t="shared" si="2"/>
        <v>51.921951025030125</v>
      </c>
      <c r="CZ3" s="47">
        <f>SUM(B3:CX3)+SUM(B4:CX4)</f>
        <v>24715222.24724872</v>
      </c>
    </row>
    <row r="4" spans="1:104" x14ac:dyDescent="0.45">
      <c r="A4" s="48" t="s">
        <v>980</v>
      </c>
      <c r="B4" s="314">
        <f>B18</f>
        <v>382978.40541072498</v>
      </c>
      <c r="C4" s="314">
        <f t="shared" ref="C4:F4" si="3">C18</f>
        <v>360965.07490157319</v>
      </c>
      <c r="D4" s="314">
        <f t="shared" si="3"/>
        <v>353905.65092881501</v>
      </c>
      <c r="E4" s="314">
        <f t="shared" si="3"/>
        <v>346846.22695605684</v>
      </c>
      <c r="F4" s="314">
        <f t="shared" si="3"/>
        <v>339786.80298329866</v>
      </c>
      <c r="G4" s="6">
        <f t="shared" ref="G4:BN4" si="4">G18</f>
        <v>332727.37901054049</v>
      </c>
      <c r="H4" s="6">
        <f t="shared" si="4"/>
        <v>325667.95503778232</v>
      </c>
      <c r="I4" s="6">
        <f t="shared" si="4"/>
        <v>318608.53106502403</v>
      </c>
      <c r="J4" s="6">
        <f t="shared" si="4"/>
        <v>315570.76912867243</v>
      </c>
      <c r="K4" s="6">
        <f t="shared" si="4"/>
        <v>312533.00719232083</v>
      </c>
      <c r="L4" s="6">
        <f t="shared" si="4"/>
        <v>309495.24525596923</v>
      </c>
      <c r="M4" s="6">
        <f t="shared" si="4"/>
        <v>306457.48331961763</v>
      </c>
      <c r="N4" s="6">
        <f t="shared" si="4"/>
        <v>303419.72138326603</v>
      </c>
      <c r="O4" s="6">
        <f t="shared" si="4"/>
        <v>298368.35499821283</v>
      </c>
      <c r="P4" s="6">
        <f t="shared" si="4"/>
        <v>293316.98861315963</v>
      </c>
      <c r="Q4" s="6">
        <f t="shared" si="4"/>
        <v>288265.62222810643</v>
      </c>
      <c r="R4" s="6">
        <f t="shared" si="4"/>
        <v>283214.25584305322</v>
      </c>
      <c r="S4" s="6">
        <f t="shared" si="4"/>
        <v>278162.88945800002</v>
      </c>
      <c r="T4" s="6">
        <f t="shared" si="4"/>
        <v>266252.99010736559</v>
      </c>
      <c r="U4" s="6">
        <f t="shared" si="4"/>
        <v>254343.0907567312</v>
      </c>
      <c r="V4" s="6">
        <f t="shared" si="4"/>
        <v>242433.1914060968</v>
      </c>
      <c r="W4" s="6">
        <f t="shared" si="4"/>
        <v>230523.2920554624</v>
      </c>
      <c r="X4" s="6">
        <f t="shared" si="4"/>
        <v>218613.392704828</v>
      </c>
      <c r="Y4" s="6">
        <f t="shared" si="4"/>
        <v>213552.73128424189</v>
      </c>
      <c r="Z4" s="6">
        <f t="shared" si="4"/>
        <v>208492.06986365578</v>
      </c>
      <c r="AA4" s="6">
        <f t="shared" si="4"/>
        <v>203431.40844306967</v>
      </c>
      <c r="AB4" s="6">
        <f t="shared" si="4"/>
        <v>198370.74702248356</v>
      </c>
      <c r="AC4" s="6">
        <f t="shared" si="4"/>
        <v>193310.08560189739</v>
      </c>
      <c r="AD4" s="6">
        <f t="shared" si="4"/>
        <v>183330.93817681211</v>
      </c>
      <c r="AE4" s="6">
        <f t="shared" si="4"/>
        <v>173351.79075172683</v>
      </c>
      <c r="AF4" s="6">
        <f t="shared" si="4"/>
        <v>163372.64332664156</v>
      </c>
      <c r="AG4" s="6">
        <f t="shared" si="4"/>
        <v>153393.49590155628</v>
      </c>
      <c r="AH4" s="6">
        <f t="shared" si="4"/>
        <v>143414.348476471</v>
      </c>
      <c r="AI4" s="6">
        <f t="shared" si="4"/>
        <v>141224.05078278229</v>
      </c>
      <c r="AJ4" s="6">
        <f t="shared" si="4"/>
        <v>139033.75308909357</v>
      </c>
      <c r="AK4" s="6">
        <f t="shared" si="4"/>
        <v>136843.45539540486</v>
      </c>
      <c r="AL4" s="6">
        <f t="shared" si="4"/>
        <v>134653.15770171615</v>
      </c>
      <c r="AM4" s="6">
        <f t="shared" si="4"/>
        <v>132462.8600080274</v>
      </c>
      <c r="AN4" s="6">
        <f t="shared" si="4"/>
        <v>126708.665680847</v>
      </c>
      <c r="AO4" s="6">
        <f t="shared" si="4"/>
        <v>120954.47135366659</v>
      </c>
      <c r="AP4" s="6">
        <f t="shared" si="4"/>
        <v>115200.27702648619</v>
      </c>
      <c r="AQ4" s="6">
        <f t="shared" si="4"/>
        <v>109446.08269930579</v>
      </c>
      <c r="AR4" s="6">
        <f t="shared" si="4"/>
        <v>103691.8883721254</v>
      </c>
      <c r="AS4" s="6">
        <f t="shared" si="4"/>
        <v>101564.23950919532</v>
      </c>
      <c r="AT4" s="6">
        <f t="shared" si="4"/>
        <v>99436.590646265249</v>
      </c>
      <c r="AU4" s="6">
        <f t="shared" si="4"/>
        <v>97308.941783335176</v>
      </c>
      <c r="AV4" s="6">
        <f t="shared" si="4"/>
        <v>95181.292920405103</v>
      </c>
      <c r="AW4" s="6">
        <f t="shared" si="4"/>
        <v>93053.644057475001</v>
      </c>
      <c r="AX4" s="6">
        <f t="shared" si="4"/>
        <v>89775.514339346235</v>
      </c>
      <c r="AY4" s="6">
        <f t="shared" si="4"/>
        <v>86497.384621217469</v>
      </c>
      <c r="AZ4" s="6">
        <f t="shared" si="4"/>
        <v>83219.254903088702</v>
      </c>
      <c r="BA4" s="6">
        <f t="shared" si="4"/>
        <v>79941.125184959936</v>
      </c>
      <c r="BB4" s="6">
        <f t="shared" si="4"/>
        <v>76662.995466831198</v>
      </c>
      <c r="BC4" s="6">
        <f t="shared" si="4"/>
        <v>75542.430462681601</v>
      </c>
      <c r="BD4" s="6">
        <f t="shared" si="4"/>
        <v>74421.865458532004</v>
      </c>
      <c r="BE4" s="6">
        <f t="shared" si="4"/>
        <v>73301.300454382406</v>
      </c>
      <c r="BF4" s="6">
        <f t="shared" si="4"/>
        <v>72180.735450232809</v>
      </c>
      <c r="BG4" s="6">
        <f t="shared" si="4"/>
        <v>71060.170446083212</v>
      </c>
      <c r="BH4" s="6">
        <f t="shared" si="4"/>
        <v>66444.184090104536</v>
      </c>
      <c r="BI4" s="6">
        <f t="shared" si="4"/>
        <v>61828.197734125853</v>
      </c>
      <c r="BJ4" s="6">
        <f t="shared" si="4"/>
        <v>57212.211378147171</v>
      </c>
      <c r="BK4" s="6">
        <f t="shared" si="4"/>
        <v>52596.225022168488</v>
      </c>
      <c r="BL4" s="6">
        <f t="shared" si="4"/>
        <v>47980.238666189798</v>
      </c>
      <c r="BM4" s="6">
        <f t="shared" si="4"/>
        <v>46230.911540586239</v>
      </c>
      <c r="BN4" s="6">
        <f t="shared" si="4"/>
        <v>44481.584414982681</v>
      </c>
      <c r="BO4" s="6">
        <f t="shared" ref="BO4:CX4" si="5">BO18</f>
        <v>42732.257289379122</v>
      </c>
      <c r="BP4" s="6">
        <f t="shared" si="5"/>
        <v>40982.930163775563</v>
      </c>
      <c r="BQ4" s="6">
        <f t="shared" si="5"/>
        <v>39233.603038171997</v>
      </c>
      <c r="BR4" s="6">
        <f t="shared" si="5"/>
        <v>36360.973600892758</v>
      </c>
      <c r="BS4" s="6">
        <f t="shared" si="5"/>
        <v>33488.344163613518</v>
      </c>
      <c r="BT4" s="6">
        <f t="shared" si="5"/>
        <v>30615.714726334278</v>
      </c>
      <c r="BU4" s="6">
        <f t="shared" si="5"/>
        <v>27743.085289055038</v>
      </c>
      <c r="BV4" s="6">
        <f t="shared" si="5"/>
        <v>24870.455851775801</v>
      </c>
      <c r="BW4" s="6">
        <f t="shared" si="5"/>
        <v>22973.758242296484</v>
      </c>
      <c r="BX4" s="6">
        <f t="shared" si="5"/>
        <v>21077.060632817167</v>
      </c>
      <c r="BY4" s="6">
        <f t="shared" si="5"/>
        <v>19180.36302333785</v>
      </c>
      <c r="BZ4" s="6">
        <f t="shared" si="5"/>
        <v>17283.665413858533</v>
      </c>
      <c r="CA4" s="6">
        <f t="shared" si="5"/>
        <v>15386.967804379219</v>
      </c>
      <c r="CB4" s="6">
        <f t="shared" si="5"/>
        <v>13246.254960803801</v>
      </c>
      <c r="CC4" s="6">
        <f t="shared" si="5"/>
        <v>11105.542117228382</v>
      </c>
      <c r="CD4" s="6">
        <f t="shared" si="5"/>
        <v>8964.8292736529638</v>
      </c>
      <c r="CE4" s="6">
        <f t="shared" si="5"/>
        <v>6824.1164300775454</v>
      </c>
      <c r="CF4" s="6">
        <f t="shared" si="5"/>
        <v>4683.4035865021269</v>
      </c>
      <c r="CG4" s="6">
        <f t="shared" si="5"/>
        <v>4112.6121642120979</v>
      </c>
      <c r="CH4" s="6">
        <f t="shared" si="5"/>
        <v>3541.8207419220689</v>
      </c>
      <c r="CI4" s="6">
        <f t="shared" si="5"/>
        <v>2971.0293196320399</v>
      </c>
      <c r="CJ4" s="6">
        <f t="shared" si="5"/>
        <v>2400.2378973420109</v>
      </c>
      <c r="CK4" s="6">
        <f t="shared" si="5"/>
        <v>1829.4464750519815</v>
      </c>
      <c r="CL4" s="6">
        <f t="shared" si="5"/>
        <v>1531.7582015250209</v>
      </c>
      <c r="CM4" s="6">
        <f t="shared" si="5"/>
        <v>1234.0699279980604</v>
      </c>
      <c r="CN4" s="6">
        <f t="shared" si="5"/>
        <v>936.38165447109986</v>
      </c>
      <c r="CO4" s="6">
        <f t="shared" si="5"/>
        <v>638.69338094413934</v>
      </c>
      <c r="CP4" s="6">
        <f t="shared" si="5"/>
        <v>341.00510741717864</v>
      </c>
      <c r="CQ4" s="6">
        <f t="shared" si="5"/>
        <v>277.39833314801405</v>
      </c>
      <c r="CR4" s="6">
        <f t="shared" si="5"/>
        <v>213.79155887884943</v>
      </c>
      <c r="CS4" s="6">
        <f t="shared" si="5"/>
        <v>150.18478460968481</v>
      </c>
      <c r="CT4" s="6">
        <f t="shared" si="5"/>
        <v>86.578010340520194</v>
      </c>
      <c r="CU4" s="6">
        <f t="shared" si="5"/>
        <v>22.971236071355605</v>
      </c>
      <c r="CV4" s="6">
        <f t="shared" si="5"/>
        <v>24.2165934226033</v>
      </c>
      <c r="CW4" s="6">
        <f t="shared" si="5"/>
        <v>25.461950773850994</v>
      </c>
      <c r="CX4" s="6">
        <f t="shared" si="5"/>
        <v>26.707308125098692</v>
      </c>
    </row>
    <row r="5" spans="1:104" x14ac:dyDescent="0.45">
      <c r="B5" s="127"/>
    </row>
    <row r="7" spans="1:104" x14ac:dyDescent="0.45">
      <c r="B7" t="s">
        <v>3347</v>
      </c>
      <c r="D7" s="53" t="s">
        <v>169</v>
      </c>
      <c r="I7" s="53" t="s">
        <v>982</v>
      </c>
      <c r="N7" s="53" t="s">
        <v>983</v>
      </c>
      <c r="S7" s="53" t="s">
        <v>664</v>
      </c>
      <c r="X7" s="53" t="s">
        <v>665</v>
      </c>
      <c r="AC7" s="53" t="s">
        <v>667</v>
      </c>
      <c r="AH7" s="53" t="s">
        <v>670</v>
      </c>
      <c r="AM7" s="53" t="s">
        <v>672</v>
      </c>
      <c r="AR7" s="53" t="s">
        <v>674</v>
      </c>
      <c r="AW7" s="53" t="s">
        <v>676</v>
      </c>
      <c r="BB7" s="53" t="s">
        <v>984</v>
      </c>
      <c r="BG7" s="53" t="s">
        <v>985</v>
      </c>
      <c r="BL7" s="53" t="s">
        <v>986</v>
      </c>
      <c r="BQ7" s="53" t="s">
        <v>987</v>
      </c>
      <c r="BV7" s="53" t="s">
        <v>988</v>
      </c>
      <c r="CA7" s="53" t="s">
        <v>989</v>
      </c>
      <c r="CF7" s="53" t="s">
        <v>990</v>
      </c>
      <c r="CK7" s="53" t="s">
        <v>991</v>
      </c>
      <c r="CP7" s="53" t="s">
        <v>992</v>
      </c>
      <c r="CU7" s="53" t="s">
        <v>993</v>
      </c>
      <c r="CX7" s="53" t="s">
        <v>994</v>
      </c>
    </row>
    <row r="8" spans="1:104" x14ac:dyDescent="0.45">
      <c r="A8" t="s">
        <v>117</v>
      </c>
      <c r="B8" s="6">
        <f>IFERROR(VLOOKUP(_xlfn.CONCAT(B7,$A$8,RegionSelect!$C$2),PopRegional2020!$E:$G,3,FALSE),VLOOKUP(_xlfn.CONCAT(B7,$A$8,"ET"),PopRegional2020!$E:$G,3,FALSE))</f>
        <v>383352.08778901002</v>
      </c>
      <c r="D8" s="6">
        <f>IFERROR(VLOOKUP(_xlfn.CONCAT(D7,$A$8,RegionSelect!$C$2),PopRegional2020!$E:$G,3,FALSE),VLOOKUP(_xlfn.CONCAT(D7,$A$8,"ET"),PopRegional2020!$E:$G,3,FALSE))</f>
        <v>1416924.3916720001</v>
      </c>
      <c r="I8" s="6">
        <f>IFERROR(VLOOKUP(_xlfn.CONCAT(I7,$A$8,RegionSelect!$C$2),PopRegional2020!$E:$G,3,FALSE),VLOOKUP(_xlfn.CONCAT(I7,$A$8,"ET"),PopRegional2020!$E:$G,3,FALSE))</f>
        <v>1629353.64809219</v>
      </c>
      <c r="N8" s="6">
        <f>IFERROR(VLOOKUP(_xlfn.CONCAT(N7,$A$8,RegionSelect!$C$2),PopRegional2020!$E:$G,3,FALSE),VLOOKUP(_xlfn.CONCAT(N7,$A$8,"ET"),PopRegional2020!$E:$G,3,FALSE))</f>
        <v>1553888.4616600501</v>
      </c>
      <c r="S8" s="6">
        <f>IFERROR(VLOOKUP(_xlfn.CONCAT(S7,$A$8,RegionSelect!$C$2),PopRegional2020!$E:$G,3,FALSE),VLOOKUP(_xlfn.CONCAT(S7,$A$8,"ET"),PopRegional2020!$E:$G,3,FALSE))</f>
        <v>1410858.23683016</v>
      </c>
      <c r="X8" s="6">
        <f>IFERROR(VLOOKUP(_xlfn.CONCAT(X7,$A$8,RegionSelect!$C$2),PopRegional2020!$E:$G,3,FALSE),VLOOKUP(_xlfn.CONCAT(X7,$A$8,"ET"),PopRegional2020!$E:$G,3,FALSE))</f>
        <v>1097219.92111976</v>
      </c>
      <c r="AC8" s="6">
        <f>IFERROR(VLOOKUP(_xlfn.CONCAT(AC7,$A$8,RegionSelect!$C$2),PopRegional2020!$E:$G,3,FALSE),VLOOKUP(_xlfn.CONCAT(AC7,$A$8,"ET"),PopRegional2020!$E:$G,3,FALSE))</f>
        <v>996441.41160149104</v>
      </c>
      <c r="AH8" s="6">
        <f>IFERROR(VLOOKUP(_xlfn.CONCAT(AH7,$A$8,RegionSelect!$C$2),PopRegional2020!$E:$G,3,FALSE),VLOOKUP(_xlfn.CONCAT(AH7,$A$8,"ET"),PopRegional2020!$E:$G,3,FALSE))</f>
        <v>749217.00603894796</v>
      </c>
      <c r="AM8" s="6">
        <f>IFERROR(VLOOKUP(_xlfn.CONCAT(AM7,$A$8,RegionSelect!$C$2),PopRegional2020!$E:$G,3,FALSE),VLOOKUP(_xlfn.CONCAT(AM7,$A$8,"ET"),PopRegional2020!$E:$G,3,FALSE))</f>
        <v>679070.03274266003</v>
      </c>
      <c r="AR8" s="6">
        <f>IFERROR(VLOOKUP(_xlfn.CONCAT(AR7,$A$8,RegionSelect!$C$2),PopRegional2020!$E:$G,3,FALSE),VLOOKUP(_xlfn.CONCAT(AR7,$A$8,"ET"),PopRegional2020!$E:$G,3,FALSE))</f>
        <v>550818.92881278996</v>
      </c>
      <c r="AW8" s="6">
        <f>IFERROR(VLOOKUP(_xlfn.CONCAT(AW7,$A$8,RegionSelect!$C$2),PopRegional2020!$E:$G,3,FALSE),VLOOKUP(_xlfn.CONCAT(AW7,$A$8,"ET"),PopRegional2020!$E:$G,3,FALSE))</f>
        <v>480208.17647934298</v>
      </c>
      <c r="BB8" s="6">
        <f>IFERROR(VLOOKUP(_xlfn.CONCAT(BB7,$A$8,RegionSelect!$C$2),PopRegional2020!$E:$G,3,FALSE),VLOOKUP(_xlfn.CONCAT(BB7,$A$8,"ET"),PopRegional2020!$E:$G,3,FALSE))</f>
        <v>428456.33635374502</v>
      </c>
      <c r="BG8" s="6">
        <f>IFERROR(VLOOKUP(_xlfn.CONCAT(BG7,$A$8,RegionSelect!$C$2),PopRegional2020!$E:$G,3,FALSE),VLOOKUP(_xlfn.CONCAT(BG7,$A$8,"ET"),PopRegional2020!$E:$G,3,FALSE))</f>
        <v>365513.32875455898</v>
      </c>
      <c r="BL8" s="6">
        <f>IFERROR(VLOOKUP(_xlfn.CONCAT(BL7,$A$8,RegionSelect!$C$2),PopRegional2020!$E:$G,3,FALSE),VLOOKUP(_xlfn.CONCAT(BL7,$A$8,"ET"),PopRegional2020!$E:$G,3,FALSE))</f>
        <v>272791.131532598</v>
      </c>
      <c r="BQ8" s="6">
        <f>IFERROR(VLOOKUP(_xlfn.CONCAT(BQ7,$A$8,RegionSelect!$C$2),PopRegional2020!$E:$G,3,FALSE),VLOOKUP(_xlfn.CONCAT(BQ7,$A$8,"ET"),PopRegional2020!$E:$G,3,FALSE))</f>
        <v>227997.106075494</v>
      </c>
      <c r="BV8" s="6">
        <f>IFERROR(VLOOKUP(_xlfn.CONCAT(BV7,$A$8,RegionSelect!$C$2),PopRegional2020!$E:$G,3,FALSE),VLOOKUP(_xlfn.CONCAT(BV7,$A$8,"ET"),PopRegional2020!$E:$G,3,FALSE))</f>
        <v>164409.245117677</v>
      </c>
      <c r="CA8" s="6">
        <f>IFERROR(VLOOKUP(_xlfn.CONCAT(CA7,$A$8,RegionSelect!$C$2),PopRegional2020!$E:$G,3,FALSE),VLOOKUP(_xlfn.CONCAT(CA7,$A$8,"ET"),PopRegional2020!$E:$G,3,FALSE))</f>
        <v>106095.375824855</v>
      </c>
      <c r="CF8" s="6">
        <f>IFERROR(VLOOKUP(_xlfn.CONCAT(CF7,$A$8,RegionSelect!$C$2),PopRegional2020!$E:$G,3,FALSE),VLOOKUP(_xlfn.CONCAT(CF7,$A$8,"ET"),PopRegional2020!$E:$G,3,FALSE))</f>
        <v>40071.506035568302</v>
      </c>
      <c r="CK8" s="6">
        <f>IFERROR(VLOOKUP(_xlfn.CONCAT(CK7,$A$8,RegionSelect!$C$2),PopRegional2020!$E:$G,3,FALSE),VLOOKUP(_xlfn.CONCAT(CK7,$A$8,"ET"),PopRegional2020!$E:$G,3,FALSE))</f>
        <v>16727.554792208372</v>
      </c>
      <c r="CP8" s="6">
        <f>IFERROR(VLOOKUP(_xlfn.CONCAT(CP7,$A$8,RegionSelect!$C$2),PopRegional2020!$E:$G,3,FALSE),VLOOKUP(_xlfn.CONCAT(CP7,$A$8,"ET"),PopRegional2020!$E:$G,3,FALSE))</f>
        <v>4434.4899768982004</v>
      </c>
      <c r="CU8" s="6">
        <f>IFERROR(VLOOKUP(_xlfn.CONCAT(CU7,$A$8,RegionSelect!$C$2),PopRegional2020!$E:$G,3,FALSE),VLOOKUP(_xlfn.CONCAT(CU7,$A$8,"ET"),PopRegional2020!$E:$G,3,FALSE))</f>
        <v>677.55184759659085</v>
      </c>
      <c r="CX8" s="6">
        <f>IFERROR(VLOOKUP(_xlfn.CONCAT(CX7,$A$8,RegionSelect!$C$2),PopRegional2020!$E:$G,3,FALSE),VLOOKUP(_xlfn.CONCAT(CX7,$A$8,"ET"),PopRegional2020!$E:$G,3,FALSE))</f>
        <v>51.921951025030125</v>
      </c>
      <c r="CY8" s="6">
        <f>SUM(B8:CX8)</f>
        <v>12574577.851100629</v>
      </c>
    </row>
    <row r="9" spans="1:104" x14ac:dyDescent="0.45">
      <c r="A9" t="s">
        <v>995</v>
      </c>
      <c r="D9" s="6">
        <f>D8/4</f>
        <v>354231.09791800001</v>
      </c>
      <c r="I9" s="6">
        <f>I8/5</f>
        <v>325870.729618438</v>
      </c>
      <c r="N9" s="6">
        <f>N8/5</f>
        <v>310777.69233201002</v>
      </c>
      <c r="S9" s="6">
        <f>S8/5</f>
        <v>282171.647366032</v>
      </c>
      <c r="X9" s="6">
        <f>X8/5</f>
        <v>219443.98422395199</v>
      </c>
      <c r="AC9" s="6">
        <f>AC8/5</f>
        <v>199288.2823202982</v>
      </c>
      <c r="AH9" s="6">
        <f>AH8/5</f>
        <v>149843.4012077896</v>
      </c>
      <c r="AM9" s="6">
        <f>AM8/5</f>
        <v>135814.00654853199</v>
      </c>
      <c r="AR9" s="6">
        <f>AR8/5</f>
        <v>110163.78576255799</v>
      </c>
      <c r="AW9" s="6">
        <f>AW8/5</f>
        <v>96041.635295868589</v>
      </c>
      <c r="BB9" s="6">
        <f>BB8/5</f>
        <v>85691.267270748998</v>
      </c>
      <c r="BG9" s="6">
        <f>BG8/5</f>
        <v>73102.665750911794</v>
      </c>
      <c r="BL9" s="6">
        <f>BL8/5</f>
        <v>54558.226306519602</v>
      </c>
      <c r="BQ9" s="6">
        <f>BQ8/5</f>
        <v>45599.421215098802</v>
      </c>
      <c r="BV9" s="6">
        <f>BV8/5</f>
        <v>32881.849023535397</v>
      </c>
      <c r="CA9" s="6">
        <f>CA8/5</f>
        <v>21219.075164971</v>
      </c>
      <c r="CF9" s="6">
        <f>CF8/5</f>
        <v>8014.30120711366</v>
      </c>
      <c r="CK9" s="6">
        <f>CK8/5</f>
        <v>3345.5109584416741</v>
      </c>
      <c r="CP9" s="6">
        <f>CP8/5</f>
        <v>886.89799537964007</v>
      </c>
      <c r="CU9" s="6">
        <f>CU8/5</f>
        <v>135.51036951931817</v>
      </c>
      <c r="CX9" s="6">
        <f>CX8</f>
        <v>51.921951025030125</v>
      </c>
      <c r="CY9" s="6"/>
    </row>
    <row r="10" spans="1:104" x14ac:dyDescent="0.45">
      <c r="B10" s="6">
        <f>B8</f>
        <v>383352.08778901002</v>
      </c>
      <c r="C10" s="6">
        <f>-(I10-D10)/5+D10</f>
        <v>359903.17157791241</v>
      </c>
      <c r="D10" s="6">
        <f>D9</f>
        <v>354231.09791800001</v>
      </c>
      <c r="E10" s="6">
        <f>(I10-D10)/5+D10</f>
        <v>348559.02425808762</v>
      </c>
      <c r="F10" s="6">
        <f>(I10-D10)/5+E10</f>
        <v>342886.95059817523</v>
      </c>
      <c r="G10" s="6">
        <f>(I10-D10)/5+F10</f>
        <v>337214.87693826284</v>
      </c>
      <c r="H10" s="6">
        <f>(I10-D10)/5+G10</f>
        <v>331542.80327835045</v>
      </c>
      <c r="I10" s="6">
        <f>I9</f>
        <v>325870.729618438</v>
      </c>
      <c r="J10" s="6">
        <f>(N10-I10)/5+I10</f>
        <v>322852.12216115242</v>
      </c>
      <c r="K10" s="6">
        <f>(N10-I10)/5+J10</f>
        <v>319833.51470386685</v>
      </c>
      <c r="L10" s="6">
        <f>(N10-I10)/5+K10</f>
        <v>316814.90724658128</v>
      </c>
      <c r="M10" s="6">
        <f>(N10-I10)/5+L10</f>
        <v>313796.29978929571</v>
      </c>
      <c r="N10" s="6">
        <f>N9</f>
        <v>310777.69233201002</v>
      </c>
      <c r="O10" s="6">
        <f>(S10-N10)/5+N10</f>
        <v>305056.4833388144</v>
      </c>
      <c r="P10" s="6">
        <f>(S10-N10)/5+O10</f>
        <v>299335.27434561879</v>
      </c>
      <c r="Q10" s="6">
        <f>(S10-N10)/5+P10</f>
        <v>293614.06535242317</v>
      </c>
      <c r="R10" s="6">
        <f>(S10-N10)/5+Q10</f>
        <v>287892.85635922756</v>
      </c>
      <c r="S10" s="6">
        <f>S9</f>
        <v>282171.647366032</v>
      </c>
      <c r="T10" s="6">
        <f>(X10-S10)/5+S10</f>
        <v>269626.11473761598</v>
      </c>
      <c r="U10" s="6">
        <f>(X10-S10)/5+T10</f>
        <v>257080.58210919998</v>
      </c>
      <c r="V10" s="6">
        <f>(X10-S10)/5+U10</f>
        <v>244535.04948078399</v>
      </c>
      <c r="W10" s="6">
        <f>(X10-S10)/5+V10</f>
        <v>231989.51685236799</v>
      </c>
      <c r="X10" s="6">
        <f>X9</f>
        <v>219443.98422395199</v>
      </c>
      <c r="Y10" s="6">
        <f>(AC10-X10)/5+X10</f>
        <v>215412.84384322123</v>
      </c>
      <c r="Z10" s="6">
        <f>(AC10-X10)/5+Y10</f>
        <v>211381.70346249046</v>
      </c>
      <c r="AA10" s="6">
        <f>(AC10-X10)/5+Z10</f>
        <v>207350.5630817597</v>
      </c>
      <c r="AB10" s="6">
        <f>(AC10-X10)/5+AA10</f>
        <v>203319.42270102893</v>
      </c>
      <c r="AC10" s="6">
        <f>AC9</f>
        <v>199288.2823202982</v>
      </c>
      <c r="AD10" s="6">
        <f>(AH10-AC10)/5+AC10</f>
        <v>189399.30609779648</v>
      </c>
      <c r="AE10" s="6">
        <f>(AH10-AC10)/5+AD10</f>
        <v>179510.32987529476</v>
      </c>
      <c r="AF10" s="6">
        <f>(AH10-AC10)/5+AE10</f>
        <v>169621.35365279304</v>
      </c>
      <c r="AG10" s="6">
        <f>(AH10-AC10)/5+AF10</f>
        <v>159732.37743029132</v>
      </c>
      <c r="AH10" s="6">
        <f>AH9</f>
        <v>149843.4012077896</v>
      </c>
      <c r="AI10" s="6">
        <f>(AM10-AH10)/5+AH10</f>
        <v>147037.52227593807</v>
      </c>
      <c r="AJ10" s="6">
        <f>(AM10-AH10)/5+AI10</f>
        <v>144231.64334408654</v>
      </c>
      <c r="AK10" s="6">
        <f>(AM10-AH10)/5+AJ10</f>
        <v>141425.764412235</v>
      </c>
      <c r="AL10" s="6">
        <f>(AM10-AH10)/5+AK10</f>
        <v>138619.88548038347</v>
      </c>
      <c r="AM10" s="6">
        <f>AM9</f>
        <v>135814.00654853199</v>
      </c>
      <c r="AN10" s="6">
        <f>(AR10-AM10)/5+AM10</f>
        <v>130683.96239133719</v>
      </c>
      <c r="AO10" s="6">
        <f>(AR10-AM10)/5+AN10</f>
        <v>125553.91823414239</v>
      </c>
      <c r="AP10" s="6">
        <f>(AR10-AM10)/5+AO10</f>
        <v>120423.87407694758</v>
      </c>
      <c r="AQ10" s="6">
        <f>(AR10-AM10)/5+AP10</f>
        <v>115293.82991975278</v>
      </c>
      <c r="AR10" s="6">
        <f>AR9</f>
        <v>110163.78576255799</v>
      </c>
      <c r="AS10" s="6">
        <f>(AW10-AR10)/5+AR10</f>
        <v>107339.35566922011</v>
      </c>
      <c r="AT10" s="6">
        <f>(AW10-AR10)/5+AS10</f>
        <v>104514.92557588223</v>
      </c>
      <c r="AU10" s="6">
        <f>(AW10-AR10)/5+AT10</f>
        <v>101690.49548254434</v>
      </c>
      <c r="AV10" s="6">
        <f>(AW10-AR10)/5+AU10</f>
        <v>98866.065389206458</v>
      </c>
      <c r="AW10" s="6">
        <f>AW9</f>
        <v>96041.635295868589</v>
      </c>
      <c r="AX10" s="6">
        <f>(BB10-AW10)/5+AW10</f>
        <v>93971.561690844668</v>
      </c>
      <c r="AY10" s="6">
        <f>(BB10-AW10)/5+AX10</f>
        <v>91901.488085820747</v>
      </c>
      <c r="AZ10" s="6">
        <f>(BB10-AW10)/5+AY10</f>
        <v>89831.414480796826</v>
      </c>
      <c r="BA10" s="6">
        <f>(BB10-AW10)/5+AZ10</f>
        <v>87761.340875772905</v>
      </c>
      <c r="BB10" s="6">
        <f>BB9</f>
        <v>85691.267270748998</v>
      </c>
      <c r="BC10" s="6">
        <f>(BG10-BB10)/5+BB10</f>
        <v>83173.546966781563</v>
      </c>
      <c r="BD10" s="6">
        <f>(BG10-BB10)/5+BC10</f>
        <v>80655.826662814128</v>
      </c>
      <c r="BE10" s="6">
        <f>(BG10-BB10)/5+BD10</f>
        <v>78138.106358846693</v>
      </c>
      <c r="BF10" s="6">
        <f>(BG10-BB10)/5+BE10</f>
        <v>75620.386054879258</v>
      </c>
      <c r="BG10" s="6">
        <f>BG9</f>
        <v>73102.665750911794</v>
      </c>
      <c r="BH10" s="6">
        <f>(BL10-BG10)/5+BG10</f>
        <v>69393.777862033356</v>
      </c>
      <c r="BI10" s="6">
        <f>(BL10-BG10)/5+BH10</f>
        <v>65684.889973154917</v>
      </c>
      <c r="BJ10" s="6">
        <f>(BL10-BG10)/5+BI10</f>
        <v>61976.002084276479</v>
      </c>
      <c r="BK10" s="6">
        <f>(BL10-BG10)/5+BJ10</f>
        <v>58267.11419539804</v>
      </c>
      <c r="BL10" s="6">
        <f>BL9</f>
        <v>54558.226306519602</v>
      </c>
      <c r="BM10" s="6">
        <f>(BQ10-BL10)/5+BL10</f>
        <v>52766.465288235442</v>
      </c>
      <c r="BN10" s="6">
        <f>(BQ10-BL10)/5+BM10</f>
        <v>50974.704269951282</v>
      </c>
      <c r="BO10" s="6">
        <f>(BQ10-BL10)/5+BN10</f>
        <v>49182.943251667122</v>
      </c>
      <c r="BP10" s="6">
        <f>(BQ10-BL10)/5+BO10</f>
        <v>47391.182233382962</v>
      </c>
      <c r="BQ10" s="6">
        <f>BQ9</f>
        <v>45599.421215098802</v>
      </c>
      <c r="BR10" s="6">
        <f>(BV10-BQ10)/5+BQ10</f>
        <v>43055.90677678612</v>
      </c>
      <c r="BS10" s="6">
        <f>(BV10-BQ10)/5+BR10</f>
        <v>40512.392338473437</v>
      </c>
      <c r="BT10" s="6">
        <f>(BV10-BQ10)/5+BS10</f>
        <v>37968.877900160755</v>
      </c>
      <c r="BU10" s="6">
        <f>(BV10-BQ10)/5+BT10</f>
        <v>35425.363461848072</v>
      </c>
      <c r="BV10" s="6">
        <f>BV9</f>
        <v>32881.849023535397</v>
      </c>
      <c r="BW10" s="6">
        <f>(CA10-BV10)/5+BV10</f>
        <v>30549.294251822517</v>
      </c>
      <c r="BX10" s="6">
        <f>(CA10-BV10)/5+BW10</f>
        <v>28216.739480109638</v>
      </c>
      <c r="BY10" s="6">
        <f>(CA10-BV10)/5+BX10</f>
        <v>25884.184708396759</v>
      </c>
      <c r="BZ10" s="6">
        <f>(CA10-BV10)/5+BY10</f>
        <v>23551.629936683879</v>
      </c>
      <c r="CA10" s="6">
        <f>CA9</f>
        <v>21219.075164971</v>
      </c>
      <c r="CB10" s="6">
        <f>(CF10-CA10)/5+CA10</f>
        <v>18497.977361328394</v>
      </c>
      <c r="CC10" s="6">
        <f>(CF10-CA10)/5+CB10</f>
        <v>15776.87955768579</v>
      </c>
      <c r="CD10" s="6">
        <f>(CF10-CA10)/5+CC10</f>
        <v>13055.781754043186</v>
      </c>
      <c r="CE10" s="6">
        <f>(CF10-CA10)/5+CD10</f>
        <v>10334.683950400582</v>
      </c>
      <c r="CF10" s="6">
        <f>CF9*CF24</f>
        <v>7613.5861467579771</v>
      </c>
      <c r="CG10" s="6">
        <f>(CK10-CF10)/5+CF10</f>
        <v>6706.4429337596493</v>
      </c>
      <c r="CH10" s="6">
        <f>(CK10-CF10)/5+CG10</f>
        <v>5799.2997207613216</v>
      </c>
      <c r="CI10" s="6">
        <f>(CK10-CF10)/5+CH10</f>
        <v>4892.1565077629939</v>
      </c>
      <c r="CJ10" s="6">
        <f>(CK10-CF10)/5+CI10</f>
        <v>3985.0132947646666</v>
      </c>
      <c r="CK10" s="6">
        <f>CK9*CK24</f>
        <v>3077.8700817663403</v>
      </c>
      <c r="CL10" s="6">
        <f>(CP10-CK10)/5+CK10</f>
        <v>2595.3307647200181</v>
      </c>
      <c r="CM10" s="6">
        <f>(CP10-CK10)/5+CL10</f>
        <v>2112.791447673696</v>
      </c>
      <c r="CN10" s="6">
        <f>(CP10-CK10)/5+CM10</f>
        <v>1630.2521306273738</v>
      </c>
      <c r="CO10" s="6">
        <f>(CP10-CK10)/5+CN10</f>
        <v>1147.7128135810517</v>
      </c>
      <c r="CP10" s="6">
        <f>CP9*CP24</f>
        <v>665.17349653473002</v>
      </c>
      <c r="CQ10" s="6">
        <f>(CU10-CP10)/5+CP10</f>
        <v>547.85800009202489</v>
      </c>
      <c r="CR10" s="6">
        <f>(CU10-CP10)/5+CQ10</f>
        <v>430.54250364931977</v>
      </c>
      <c r="CS10" s="6">
        <f>(CU10-CP10)/5+CR10</f>
        <v>313.22700720661464</v>
      </c>
      <c r="CT10" s="6">
        <f>(CU10-CP10)/5+CS10</f>
        <v>195.91151076390955</v>
      </c>
      <c r="CU10" s="6">
        <f>CU9*CU24</f>
        <v>78.596014321204535</v>
      </c>
      <c r="CV10" s="6">
        <f>(CX10-CU10)/3+CU10</f>
        <v>69.704659889146399</v>
      </c>
      <c r="CW10" s="6">
        <f>(CX10-CU10)/3+CV10</f>
        <v>60.813305457088262</v>
      </c>
      <c r="CX10" s="6">
        <f>CX9*CX24</f>
        <v>51.921951025030125</v>
      </c>
      <c r="CY10" s="6"/>
      <c r="CZ10" s="6"/>
    </row>
    <row r="11" spans="1:104" x14ac:dyDescent="0.45">
      <c r="B11" s="47">
        <f>B10</f>
        <v>383352.08778901002</v>
      </c>
      <c r="D11" s="6">
        <f>SUM(C10:F10)</f>
        <v>1405580.2443521752</v>
      </c>
      <c r="I11" s="6">
        <f>SUM(G10:K10)</f>
        <v>1637314.0467000704</v>
      </c>
      <c r="N11" s="6">
        <f>SUM(L10:P10)</f>
        <v>1545780.6570523204</v>
      </c>
      <c r="S11" s="6">
        <f>SUM(Q10:U10)</f>
        <v>1390385.2659244987</v>
      </c>
      <c r="X11" s="6">
        <f>SUM(V10:Z10)</f>
        <v>1122763.0978628155</v>
      </c>
      <c r="AC11" s="6">
        <f>SUM(AA10:AE10)</f>
        <v>978867.90407617809</v>
      </c>
      <c r="AH11" s="6">
        <f>SUM(AF10:AJ10)</f>
        <v>770466.29791089869</v>
      </c>
      <c r="AM11" s="6">
        <f>SUM(AK10:AO10)</f>
        <v>672097.53706662997</v>
      </c>
      <c r="AR11" s="6">
        <f>SUM(AP10:AT10)</f>
        <v>557735.77100436063</v>
      </c>
      <c r="AW11" s="6">
        <f>SUM(AU10:AY10)</f>
        <v>482471.24594428483</v>
      </c>
      <c r="BB11" s="6">
        <f>SUM(AZ10:BD10)</f>
        <v>427113.39625691442</v>
      </c>
      <c r="BG11" s="6">
        <f>SUM(BE10:BI10)</f>
        <v>361939.82599982602</v>
      </c>
      <c r="BL11" s="6">
        <f>SUM(BJ10:BN10)</f>
        <v>278542.51214438083</v>
      </c>
      <c r="BQ11" s="6">
        <f>SUM(BO10:BS10)</f>
        <v>225741.84581540845</v>
      </c>
      <c r="BV11" s="6">
        <f>SUM(BT10:BX10)</f>
        <v>165042.1241174764</v>
      </c>
      <c r="CA11" s="6">
        <f>SUM(BY10:CC10)</f>
        <v>104929.74672906582</v>
      </c>
      <c r="CF11" s="6">
        <f>SUM(CD10:CH10)</f>
        <v>43509.794505722719</v>
      </c>
      <c r="CK11" s="6">
        <f>SUM(CI10:CM10)</f>
        <v>16663.162096687716</v>
      </c>
      <c r="CP11" s="6">
        <f>SUM(CN10:CR10)</f>
        <v>4421.5389444845005</v>
      </c>
      <c r="CU11" s="6">
        <f>SUM(CS10:CW10)</f>
        <v>718.25249763796342</v>
      </c>
      <c r="CX11" s="6">
        <f>CX10</f>
        <v>51.921951025030125</v>
      </c>
      <c r="CY11" s="6">
        <f>SUM(B11:CX11)</f>
        <v>12575488.276741875</v>
      </c>
      <c r="CZ11" s="6"/>
    </row>
    <row r="12" spans="1:104" x14ac:dyDescent="0.45">
      <c r="D12" s="61">
        <f>(D11-D8)/D8</f>
        <v>-8.0061768902422326E-3</v>
      </c>
      <c r="I12" s="61">
        <f>(I11-I8)/I8</f>
        <v>4.8856174454214854E-3</v>
      </c>
      <c r="N12" s="61">
        <f>(N11-N8)/N8</f>
        <v>-5.2177519865666102E-3</v>
      </c>
      <c r="S12" s="61">
        <f>(S11-S8)/S8</f>
        <v>-1.4511004983504872E-2</v>
      </c>
      <c r="X12" s="61">
        <f>(X11-X8)/X8</f>
        <v>2.3279906107599242E-2</v>
      </c>
      <c r="AC12" s="61">
        <f>(AC11-AC8)/AC8</f>
        <v>-1.7636267743096529E-2</v>
      </c>
      <c r="AH12" s="61">
        <f>(AH11-AH8)/AH8</f>
        <v>2.8361998861043052E-2</v>
      </c>
      <c r="AM12" s="61">
        <f>(AM11-AM8)/AM8</f>
        <v>-1.0267712223832366E-2</v>
      </c>
      <c r="AR12" s="61">
        <f>(AR11-AR8)/AR8</f>
        <v>1.2557379257969434E-2</v>
      </c>
      <c r="AW12" s="61">
        <f>(AW11-AW8)/AW8</f>
        <v>4.7126841561374545E-3</v>
      </c>
      <c r="BB12" s="61">
        <f>(BB11-BB8)/BB8</f>
        <v>-3.1343686226216355E-3</v>
      </c>
      <c r="BG12" s="61">
        <f>(BG11-BG8)/BG8</f>
        <v>-9.7766687931989532E-3</v>
      </c>
      <c r="BL12" s="61">
        <f>(BL11-BL8)/BL8</f>
        <v>2.1083458906711403E-2</v>
      </c>
      <c r="BQ12" s="61">
        <f>(BQ11-BQ8)/BQ8</f>
        <v>-9.8916179196537196E-3</v>
      </c>
      <c r="BV12" s="61">
        <f>(BV11-BV8)/BV8</f>
        <v>3.8494124788810711E-3</v>
      </c>
      <c r="CA12" s="61">
        <f>(CA11-CA8)/CA8</f>
        <v>-1.0986615455450452E-2</v>
      </c>
      <c r="CF12" s="61">
        <f>(CF11-CF8)/CF8</f>
        <v>8.5803824470747886E-2</v>
      </c>
      <c r="CK12" s="61">
        <f>(CK11-CK8)/CK8</f>
        <v>-3.849498406703717E-3</v>
      </c>
      <c r="CP12" s="61">
        <f>(CP11-CP8)/CP8</f>
        <v>-2.920523550886196E-3</v>
      </c>
      <c r="CU12" s="61">
        <f>(CU11-CU8)/CU8</f>
        <v>6.0070163170162914E-2</v>
      </c>
      <c r="CX12" s="61">
        <f>(CX11-CX8)/CX8</f>
        <v>0</v>
      </c>
      <c r="CY12" s="75">
        <f>(CY11-CY8)/CY8</f>
        <v>7.2402083952778759E-5</v>
      </c>
      <c r="CZ12" s="6"/>
    </row>
    <row r="13" spans="1:104" x14ac:dyDescent="0.45">
      <c r="D13" s="6"/>
      <c r="I13" s="6"/>
      <c r="N13" s="6"/>
      <c r="S13" s="6"/>
      <c r="X13" s="6"/>
      <c r="AC13" s="6"/>
      <c r="AH13" s="6"/>
      <c r="AM13" s="6"/>
      <c r="AR13" s="6"/>
      <c r="AW13" s="6"/>
      <c r="BB13" s="6"/>
      <c r="BG13" s="6"/>
      <c r="BL13" s="6"/>
      <c r="BQ13" s="6"/>
      <c r="BV13" s="6"/>
      <c r="CA13" s="6"/>
      <c r="CF13" s="6"/>
      <c r="CK13" s="6"/>
      <c r="CP13" s="6"/>
      <c r="CU13" s="6"/>
      <c r="CZ13" s="6"/>
    </row>
    <row r="14" spans="1:104" x14ac:dyDescent="0.45">
      <c r="D14" s="6"/>
      <c r="I14" s="6"/>
      <c r="N14" s="6"/>
      <c r="S14" s="6"/>
      <c r="X14" s="6"/>
      <c r="AC14" s="6"/>
      <c r="AH14" s="6"/>
      <c r="AM14" s="6"/>
      <c r="AR14" s="6"/>
      <c r="AW14" s="6"/>
      <c r="BB14" s="6"/>
      <c r="BG14" s="6"/>
      <c r="BL14" s="6"/>
      <c r="BQ14" s="6"/>
      <c r="BV14" s="6"/>
      <c r="CA14" s="6"/>
      <c r="CF14" s="6"/>
      <c r="CK14" s="6"/>
      <c r="CP14" s="6"/>
      <c r="CU14" s="6"/>
      <c r="CZ14" s="6"/>
    </row>
    <row r="15" spans="1:104" x14ac:dyDescent="0.45">
      <c r="B15" t="s">
        <v>3347</v>
      </c>
      <c r="D15" s="53" t="s">
        <v>169</v>
      </c>
      <c r="I15" s="53" t="s">
        <v>982</v>
      </c>
      <c r="N15" s="53" t="s">
        <v>983</v>
      </c>
      <c r="S15" s="53" t="s">
        <v>664</v>
      </c>
      <c r="X15" s="53" t="s">
        <v>665</v>
      </c>
      <c r="AC15" s="53" t="s">
        <v>667</v>
      </c>
      <c r="AH15" s="53" t="s">
        <v>670</v>
      </c>
      <c r="AM15" s="53" t="s">
        <v>672</v>
      </c>
      <c r="AR15" s="53" t="s">
        <v>674</v>
      </c>
      <c r="AW15" s="53" t="s">
        <v>676</v>
      </c>
      <c r="BB15" s="53" t="s">
        <v>984</v>
      </c>
      <c r="BG15" s="53" t="s">
        <v>985</v>
      </c>
      <c r="BL15" s="53" t="s">
        <v>986</v>
      </c>
      <c r="BQ15" s="53" t="s">
        <v>987</v>
      </c>
      <c r="BV15" s="53" t="s">
        <v>988</v>
      </c>
      <c r="CA15" s="53" t="s">
        <v>989</v>
      </c>
      <c r="CF15" s="53" t="s">
        <v>990</v>
      </c>
      <c r="CK15" s="53" t="s">
        <v>991</v>
      </c>
      <c r="CP15" s="53" t="s">
        <v>992</v>
      </c>
      <c r="CU15" s="53" t="s">
        <v>993</v>
      </c>
      <c r="CX15" s="53" t="s">
        <v>994</v>
      </c>
    </row>
    <row r="16" spans="1:104" x14ac:dyDescent="0.45">
      <c r="A16" t="s">
        <v>116</v>
      </c>
      <c r="B16" s="6">
        <f>IFERROR(VLOOKUP(_xlfn.CONCAT(B15,$A$16,RegionSelect!$C$2),PopRegional2020!$E:$G,3,FALSE),VLOOKUP(_xlfn.CONCAT(B15,$A$16,"ET"),PopRegional2020!$E:$G,3,FALSE))</f>
        <v>382978.40541072498</v>
      </c>
      <c r="D16" s="6">
        <f>IFERROR(VLOOKUP(_xlfn.CONCAT(D15,$A$16,RegionSelect!$C$2),PopRegional2020!$E:$G,3,FALSE),VLOOKUP(_xlfn.CONCAT(D15,$A$16,"ET"),PopRegional2020!$E:$G,3,FALSE))</f>
        <v>1415622.60371526</v>
      </c>
      <c r="I16" s="6">
        <f>IFERROR(VLOOKUP(_xlfn.CONCAT(I15,$A$16,RegionSelect!$C$2),PopRegional2020!$E:$G,3,FALSE),VLOOKUP(_xlfn.CONCAT(I15,$A$16,"ET"),PopRegional2020!$E:$G,3,FALSE))</f>
        <v>1593042.6553251201</v>
      </c>
      <c r="N16" s="6">
        <f>IFERROR(VLOOKUP(_xlfn.CONCAT(N15,$A$16,RegionSelect!$C$2),PopRegional2020!$E:$G,3,FALSE),VLOOKUP(_xlfn.CONCAT(N15,$A$16,"ET"),PopRegional2020!$E:$G,3,FALSE))</f>
        <v>1517098.6069163301</v>
      </c>
      <c r="S16" s="6">
        <f>IFERROR(VLOOKUP(_xlfn.CONCAT(S15,$A$16,RegionSelect!$C$2),PopRegional2020!$E:$G,3,FALSE),VLOOKUP(_xlfn.CONCAT(S15,$A$16,"ET"),PopRegional2020!$E:$G,3,FALSE))</f>
        <v>1390814.44729</v>
      </c>
      <c r="X16" s="6">
        <f>IFERROR(VLOOKUP(_xlfn.CONCAT(X15,$A$16,RegionSelect!$C$2),PopRegional2020!$E:$G,3,FALSE),VLOOKUP(_xlfn.CONCAT(X15,$A$16,"ET"),PopRegional2020!$E:$G,3,FALSE))</f>
        <v>1093066.96352414</v>
      </c>
      <c r="AC16" s="6">
        <f>IFERROR(VLOOKUP(_xlfn.CONCAT(AC15,$A$16,RegionSelect!$C$2),PopRegional2020!$E:$G,3,FALSE),VLOOKUP(_xlfn.CONCAT(AC15,$A$16,"ET"),PopRegional2020!$E:$G,3,FALSE))</f>
        <v>966550.42800948699</v>
      </c>
      <c r="AH16" s="6">
        <f>IFERROR(VLOOKUP(_xlfn.CONCAT(AH15,$A$16,RegionSelect!$C$2),PopRegional2020!$E:$G,3,FALSE),VLOOKUP(_xlfn.CONCAT(AH15,$A$16,"ET"),PopRegional2020!$E:$G,3,FALSE))</f>
        <v>717071.74238235503</v>
      </c>
      <c r="AM16" s="6">
        <f>IFERROR(VLOOKUP(_xlfn.CONCAT(AM15,$A$16,RegionSelect!$C$2),PopRegional2020!$E:$G,3,FALSE),VLOOKUP(_xlfn.CONCAT(AM15,$A$16,"ET"),PopRegional2020!$E:$G,3,FALSE))</f>
        <v>662314.30004013702</v>
      </c>
      <c r="AR16" s="6">
        <f>IFERROR(VLOOKUP(_xlfn.CONCAT(AR15,$A$16,RegionSelect!$C$2),PopRegional2020!$E:$G,3,FALSE),VLOOKUP(_xlfn.CONCAT(AR15,$A$16,"ET"),PopRegional2020!$E:$G,3,FALSE))</f>
        <v>518459.44186062698</v>
      </c>
      <c r="AW16" s="6">
        <f>IFERROR(VLOOKUP(_xlfn.CONCAT(AW15,$A$16,RegionSelect!$C$2),PopRegional2020!$E:$G,3,FALSE),VLOOKUP(_xlfn.CONCAT(AW15,$A$16,"ET"),PopRegional2020!$E:$G,3,FALSE))</f>
        <v>465268.22028737498</v>
      </c>
      <c r="BB16" s="6">
        <f>IFERROR(VLOOKUP(_xlfn.CONCAT(BB15,$A$16,RegionSelect!$C$2),PopRegional2020!$E:$G,3,FALSE),VLOOKUP(_xlfn.CONCAT(BB15,$A$16,"ET"),PopRegional2020!$E:$G,3,FALSE))</f>
        <v>383314.97733415599</v>
      </c>
      <c r="BG16" s="6">
        <f>IFERROR(VLOOKUP(_xlfn.CONCAT(BG15,$A$16,RegionSelect!$C$2),PopRegional2020!$E:$G,3,FALSE),VLOOKUP(_xlfn.CONCAT(BG15,$A$16,"ET"),PopRegional2020!$E:$G,3,FALSE))</f>
        <v>355300.85223041603</v>
      </c>
      <c r="BL16" s="6">
        <f>IFERROR(VLOOKUP(_xlfn.CONCAT(BL15,$A$16,RegionSelect!$C$2),PopRegional2020!$E:$G,3,FALSE),VLOOKUP(_xlfn.CONCAT(BL15,$A$16,"ET"),PopRegional2020!$E:$G,3,FALSE))</f>
        <v>239901.193330949</v>
      </c>
      <c r="BQ16" s="6">
        <f>IFERROR(VLOOKUP(_xlfn.CONCAT(BQ15,$A$16,RegionSelect!$C$2),PopRegional2020!$E:$G,3,FALSE),VLOOKUP(_xlfn.CONCAT(BQ15,$A$16,"ET"),PopRegional2020!$E:$G,3,FALSE))</f>
        <v>196168.01519085999</v>
      </c>
      <c r="BV16" s="6">
        <f>IFERROR(VLOOKUP(_xlfn.CONCAT(BV15,$A$16,RegionSelect!$C$2),PopRegional2020!$E:$G,3,FALSE),VLOOKUP(_xlfn.CONCAT(BV15,$A$16,"ET"),PopRegional2020!$E:$G,3,FALSE))</f>
        <v>124352.279258879</v>
      </c>
      <c r="CA16" s="6">
        <f>IFERROR(VLOOKUP(_xlfn.CONCAT(CA15,$A$16,RegionSelect!$C$2),PopRegional2020!$E:$G,3,FALSE),VLOOKUP(_xlfn.CONCAT(CA15,$A$16,"ET"),PopRegional2020!$E:$G,3,FALSE))</f>
        <v>76934.839021896099</v>
      </c>
      <c r="CF16" s="6">
        <f>IFERROR(VLOOKUP(_xlfn.CONCAT(CF15,$A$16,RegionSelect!$C$2),PopRegional2020!$E:$G,3,FALSE),VLOOKUP(_xlfn.CONCAT(CF15,$A$16,"ET"),PopRegional2020!$E:$G,3,FALSE))</f>
        <v>24911.721204798549</v>
      </c>
      <c r="CK16" s="6">
        <f>IFERROR(VLOOKUP(_xlfn.CONCAT(CK15,$A$16,RegionSelect!$C$2),PopRegional2020!$E:$G,3,FALSE),VLOOKUP(_xlfn.CONCAT(CK15,$A$16,"ET"),PopRegional2020!$E:$G,3,FALSE))</f>
        <v>9942.6438861520728</v>
      </c>
      <c r="CP16" s="6">
        <f>IFERROR(VLOOKUP(_xlfn.CONCAT(CP15,$A$16,RegionSelect!$C$2),PopRegional2020!$E:$G,3,FALSE),VLOOKUP(_xlfn.CONCAT(CP15,$A$16,"ET"),PopRegional2020!$E:$G,3,FALSE))</f>
        <v>2401.4444184308354</v>
      </c>
      <c r="CU16" s="6">
        <f>IFERROR(VLOOKUP(_xlfn.CONCAT(CU15,$A$16,RegionSelect!$C$2),PopRegional2020!$E:$G,3,FALSE),VLOOKUP(_xlfn.CONCAT(CU15,$A$16,"ET"),PopRegional2020!$E:$G,3,FALSE))</f>
        <v>287.14045089194502</v>
      </c>
      <c r="CX16" s="6">
        <f>IFERROR(VLOOKUP(_xlfn.CONCAT(CX15,$A$16,RegionSelect!$C$2),PopRegional2020!$E:$G,3,FALSE),VLOOKUP(_xlfn.CONCAT(CX15,$A$16,"ET"),PopRegional2020!$E:$G,3,FALSE))</f>
        <v>26.707308125098692</v>
      </c>
      <c r="CY16" s="6">
        <f>SUM(B16:CX16)</f>
        <v>12135829.628397113</v>
      </c>
      <c r="CZ16" s="6">
        <f>'Pop M'!AC$482*1000</f>
        <v>181</v>
      </c>
    </row>
    <row r="17" spans="1:104" x14ac:dyDescent="0.45">
      <c r="A17" t="s">
        <v>995</v>
      </c>
      <c r="D17" s="6">
        <f>D16/4</f>
        <v>353905.65092881501</v>
      </c>
      <c r="I17" s="6">
        <f>I16/5</f>
        <v>318608.53106502403</v>
      </c>
      <c r="N17" s="6">
        <f>N16/5</f>
        <v>303419.72138326603</v>
      </c>
      <c r="S17" s="6">
        <f>S16/5</f>
        <v>278162.88945800002</v>
      </c>
      <c r="X17" s="6">
        <f>X16/5</f>
        <v>218613.392704828</v>
      </c>
      <c r="AC17" s="6">
        <f>AC16/5</f>
        <v>193310.08560189739</v>
      </c>
      <c r="AH17" s="6">
        <f>AH16/5</f>
        <v>143414.348476471</v>
      </c>
      <c r="AM17" s="6">
        <f>AM16/5</f>
        <v>132462.8600080274</v>
      </c>
      <c r="AR17" s="6">
        <f>AR16/5</f>
        <v>103691.8883721254</v>
      </c>
      <c r="AW17" s="6">
        <f>AW16/5</f>
        <v>93053.644057475001</v>
      </c>
      <c r="BB17" s="6">
        <f>BB16/5</f>
        <v>76662.995466831198</v>
      </c>
      <c r="BG17" s="6">
        <f>BG16/5</f>
        <v>71060.170446083212</v>
      </c>
      <c r="BL17" s="6">
        <f>BL16/5</f>
        <v>47980.238666189798</v>
      </c>
      <c r="BQ17" s="6">
        <f>BQ16/5</f>
        <v>39233.603038171997</v>
      </c>
      <c r="BV17" s="6">
        <f>BV16/5</f>
        <v>24870.455851775801</v>
      </c>
      <c r="CA17" s="6">
        <f>CA16/5</f>
        <v>15386.967804379219</v>
      </c>
      <c r="CF17" s="6">
        <f>CF16/5</f>
        <v>4982.3442409597101</v>
      </c>
      <c r="CK17" s="6">
        <f>CK16/5</f>
        <v>1988.5287772304146</v>
      </c>
      <c r="CP17" s="6">
        <f>CP16/5</f>
        <v>480.28888368616708</v>
      </c>
      <c r="CU17" s="6">
        <f>CU16/5</f>
        <v>57.428090178389006</v>
      </c>
      <c r="CX17" s="6">
        <f>CX16</f>
        <v>26.707308125098692</v>
      </c>
      <c r="CZ17" s="6">
        <f>CZ16/5</f>
        <v>36.200000000000003</v>
      </c>
    </row>
    <row r="18" spans="1:104" x14ac:dyDescent="0.45">
      <c r="B18" s="6">
        <f>B16</f>
        <v>382978.40541072498</v>
      </c>
      <c r="C18" s="6">
        <f>-(I18-D18)/5+D18</f>
        <v>360965.07490157319</v>
      </c>
      <c r="D18" s="6">
        <f>D17</f>
        <v>353905.65092881501</v>
      </c>
      <c r="E18" s="6">
        <f>(I18-D18)/5+D18</f>
        <v>346846.22695605684</v>
      </c>
      <c r="F18" s="6">
        <f>(I18-D18)/5+E18</f>
        <v>339786.80298329866</v>
      </c>
      <c r="G18" s="6">
        <f>(I18-D18)/5+F18</f>
        <v>332727.37901054049</v>
      </c>
      <c r="H18" s="6">
        <f>(I18-D18)/5+G18</f>
        <v>325667.95503778232</v>
      </c>
      <c r="I18" s="6">
        <f>I17</f>
        <v>318608.53106502403</v>
      </c>
      <c r="J18" s="6">
        <f>(N18-I18)/5+I18</f>
        <v>315570.76912867243</v>
      </c>
      <c r="K18" s="6">
        <f>(N18-I18)/5+J18</f>
        <v>312533.00719232083</v>
      </c>
      <c r="L18" s="6">
        <f>(N18-I18)/5+K18</f>
        <v>309495.24525596923</v>
      </c>
      <c r="M18" s="6">
        <f>(N18-I18)/5+L18</f>
        <v>306457.48331961763</v>
      </c>
      <c r="N18" s="6">
        <f>N17</f>
        <v>303419.72138326603</v>
      </c>
      <c r="O18" s="6">
        <f>(S18-N18)/5+N18</f>
        <v>298368.35499821283</v>
      </c>
      <c r="P18" s="6">
        <f>(S18-N18)/5+O18</f>
        <v>293316.98861315963</v>
      </c>
      <c r="Q18" s="6">
        <f>(S18-N18)/5+P18</f>
        <v>288265.62222810643</v>
      </c>
      <c r="R18" s="6">
        <f>(S18-N18)/5+Q18</f>
        <v>283214.25584305322</v>
      </c>
      <c r="S18" s="6">
        <f>S17</f>
        <v>278162.88945800002</v>
      </c>
      <c r="T18" s="6">
        <f>(X18-S18)/5+S18</f>
        <v>266252.99010736559</v>
      </c>
      <c r="U18" s="6">
        <f>(X18-S18)/5+T18</f>
        <v>254343.0907567312</v>
      </c>
      <c r="V18" s="6">
        <f>(X18-S18)/5+U18</f>
        <v>242433.1914060968</v>
      </c>
      <c r="W18" s="6">
        <f>(X18-S18)/5+V18</f>
        <v>230523.2920554624</v>
      </c>
      <c r="X18" s="6">
        <f>X17</f>
        <v>218613.392704828</v>
      </c>
      <c r="Y18" s="6">
        <f>(AC18-X18)/5+X18</f>
        <v>213552.73128424189</v>
      </c>
      <c r="Z18" s="6">
        <f>(AC18-X18)/5+Y18</f>
        <v>208492.06986365578</v>
      </c>
      <c r="AA18" s="6">
        <f>(AC18-X18)/5+Z18</f>
        <v>203431.40844306967</v>
      </c>
      <c r="AB18" s="6">
        <f>(AC18-X18)/5+AA18</f>
        <v>198370.74702248356</v>
      </c>
      <c r="AC18" s="6">
        <f>AC17</f>
        <v>193310.08560189739</v>
      </c>
      <c r="AD18" s="6">
        <f>(AH18-AC18)/5+AC18</f>
        <v>183330.93817681211</v>
      </c>
      <c r="AE18" s="6">
        <f>(AH18-AC18)/5+AD18</f>
        <v>173351.79075172683</v>
      </c>
      <c r="AF18" s="6">
        <f>(AH18-AC18)/5+AE18</f>
        <v>163372.64332664156</v>
      </c>
      <c r="AG18" s="6">
        <f>(AH18-AC18)/5+AF18</f>
        <v>153393.49590155628</v>
      </c>
      <c r="AH18" s="6">
        <f>AH17</f>
        <v>143414.348476471</v>
      </c>
      <c r="AI18" s="6">
        <f>(AM18-AH18)/5+AH18</f>
        <v>141224.05078278229</v>
      </c>
      <c r="AJ18" s="6">
        <f>(AM18-AH18)/5+AI18</f>
        <v>139033.75308909357</v>
      </c>
      <c r="AK18" s="6">
        <f>(AM18-AH18)/5+AJ18</f>
        <v>136843.45539540486</v>
      </c>
      <c r="AL18" s="6">
        <f>(AM18-AH18)/5+AK18</f>
        <v>134653.15770171615</v>
      </c>
      <c r="AM18" s="6">
        <f>AM17</f>
        <v>132462.8600080274</v>
      </c>
      <c r="AN18" s="6">
        <f>(AR18-AM18)/5+AM18</f>
        <v>126708.665680847</v>
      </c>
      <c r="AO18" s="6">
        <f>(AR18-AM18)/5+AN18</f>
        <v>120954.47135366659</v>
      </c>
      <c r="AP18" s="6">
        <f>(AR18-AM18)/5+AO18</f>
        <v>115200.27702648619</v>
      </c>
      <c r="AQ18" s="6">
        <f>(AR18-AM18)/5+AP18</f>
        <v>109446.08269930579</v>
      </c>
      <c r="AR18" s="6">
        <f>AR17</f>
        <v>103691.8883721254</v>
      </c>
      <c r="AS18" s="6">
        <f>(AW18-AR18)/5+AR18</f>
        <v>101564.23950919532</v>
      </c>
      <c r="AT18" s="6">
        <f>(AW18-AR18)/5+AS18</f>
        <v>99436.590646265249</v>
      </c>
      <c r="AU18" s="6">
        <f>(AW18-AR18)/5+AT18</f>
        <v>97308.941783335176</v>
      </c>
      <c r="AV18" s="6">
        <f>(AW18-AR18)/5+AU18</f>
        <v>95181.292920405103</v>
      </c>
      <c r="AW18" s="6">
        <f>AW17</f>
        <v>93053.644057475001</v>
      </c>
      <c r="AX18" s="6">
        <f>(BB18-AW18)/5+AW18</f>
        <v>89775.514339346235</v>
      </c>
      <c r="AY18" s="6">
        <f>(BB18-AW18)/5+AX18</f>
        <v>86497.384621217469</v>
      </c>
      <c r="AZ18" s="6">
        <f>(BB18-AW18)/5+AY18</f>
        <v>83219.254903088702</v>
      </c>
      <c r="BA18" s="6">
        <f>(BB18-AW18)/5+AZ18</f>
        <v>79941.125184959936</v>
      </c>
      <c r="BB18" s="6">
        <f>BB17</f>
        <v>76662.995466831198</v>
      </c>
      <c r="BC18" s="6">
        <f>(BG18-BB18)/5+BB18</f>
        <v>75542.430462681601</v>
      </c>
      <c r="BD18" s="6">
        <f>(BG18-BB18)/5+BC18</f>
        <v>74421.865458532004</v>
      </c>
      <c r="BE18" s="6">
        <f>(BG18-BB18)/5+BD18</f>
        <v>73301.300454382406</v>
      </c>
      <c r="BF18" s="6">
        <f>(BG18-BB18)/5+BE18</f>
        <v>72180.735450232809</v>
      </c>
      <c r="BG18" s="6">
        <f>BG17</f>
        <v>71060.170446083212</v>
      </c>
      <c r="BH18" s="6">
        <f>(BL18-BG18)/5+BG18</f>
        <v>66444.184090104536</v>
      </c>
      <c r="BI18" s="6">
        <f>(BL18-BG18)/5+BH18</f>
        <v>61828.197734125853</v>
      </c>
      <c r="BJ18" s="6">
        <f>(BL18-BG18)/5+BI18</f>
        <v>57212.211378147171</v>
      </c>
      <c r="BK18" s="6">
        <f>(BL18-BG18)/5+BJ18</f>
        <v>52596.225022168488</v>
      </c>
      <c r="BL18" s="6">
        <f>BL17</f>
        <v>47980.238666189798</v>
      </c>
      <c r="BM18" s="6">
        <f>(BQ18-BL18)/5+BL18</f>
        <v>46230.911540586239</v>
      </c>
      <c r="BN18" s="6">
        <f>(BQ18-BL18)/5+BM18</f>
        <v>44481.584414982681</v>
      </c>
      <c r="BO18" s="6">
        <f>(BQ18-BL18)/5+BN18</f>
        <v>42732.257289379122</v>
      </c>
      <c r="BP18" s="6">
        <f>(BQ18-BL18)/5+BO18</f>
        <v>40982.930163775563</v>
      </c>
      <c r="BQ18" s="6">
        <f>BQ17</f>
        <v>39233.603038171997</v>
      </c>
      <c r="BR18" s="6">
        <f>(BV18-BQ18)/5+BQ18</f>
        <v>36360.973600892758</v>
      </c>
      <c r="BS18" s="6">
        <f>(BV18-BQ18)/5+BR18</f>
        <v>33488.344163613518</v>
      </c>
      <c r="BT18" s="6">
        <f>(BV18-BQ18)/5+BS18</f>
        <v>30615.714726334278</v>
      </c>
      <c r="BU18" s="6">
        <f>(BV18-BQ18)/5+BT18</f>
        <v>27743.085289055038</v>
      </c>
      <c r="BV18" s="6">
        <f>BV17</f>
        <v>24870.455851775801</v>
      </c>
      <c r="BW18" s="6">
        <f>(CA18-BV18)/5+BV18</f>
        <v>22973.758242296484</v>
      </c>
      <c r="BX18" s="6">
        <f>(CA18-BV18)/5+BW18</f>
        <v>21077.060632817167</v>
      </c>
      <c r="BY18" s="6">
        <f>(CA18-BV18)/5+BX18</f>
        <v>19180.36302333785</v>
      </c>
      <c r="BZ18" s="6">
        <f>(CA18-BV18)/5+BY18</f>
        <v>17283.665413858533</v>
      </c>
      <c r="CA18" s="6">
        <f>CA17</f>
        <v>15386.967804379219</v>
      </c>
      <c r="CB18" s="6">
        <f>(CF18-CA18)/5+CA18</f>
        <v>13246.254960803801</v>
      </c>
      <c r="CC18" s="6">
        <f>(CF18-CA18)/5+CB18</f>
        <v>11105.542117228382</v>
      </c>
      <c r="CD18" s="6">
        <f>(CF18-CA18)/5+CC18</f>
        <v>8964.8292736529638</v>
      </c>
      <c r="CE18" s="6">
        <f>(CF18-CA18)/5+CD18</f>
        <v>6824.1164300775454</v>
      </c>
      <c r="CF18" s="6">
        <f>CF17*CF25</f>
        <v>4683.4035865021269</v>
      </c>
      <c r="CG18" s="6">
        <f>(CK18-CF18)/5+CF18</f>
        <v>4112.6121642120979</v>
      </c>
      <c r="CH18" s="6">
        <f>(CK18-CF18)/5+CG18</f>
        <v>3541.8207419220689</v>
      </c>
      <c r="CI18" s="6">
        <f>(CK18-CF18)/5+CH18</f>
        <v>2971.0293196320399</v>
      </c>
      <c r="CJ18" s="6">
        <f>(CK18-CF18)/5+CI18</f>
        <v>2400.2378973420109</v>
      </c>
      <c r="CK18" s="6">
        <f>CK17*CK25</f>
        <v>1829.4464750519815</v>
      </c>
      <c r="CL18" s="6">
        <f>(CP18-CK18)/5+CK18</f>
        <v>1531.7582015250209</v>
      </c>
      <c r="CM18" s="6">
        <f>(CP18-CK18)/5+CL18</f>
        <v>1234.0699279980604</v>
      </c>
      <c r="CN18" s="6">
        <f>(CP18-CK18)/5+CM18</f>
        <v>936.38165447109986</v>
      </c>
      <c r="CO18" s="6">
        <f>(CP18-CK18)/5+CN18</f>
        <v>638.69338094413934</v>
      </c>
      <c r="CP18" s="6">
        <f>CP17*CP25</f>
        <v>341.00510741717864</v>
      </c>
      <c r="CQ18" s="6">
        <f>(CU18-CP18)/5+CP18</f>
        <v>277.39833314801405</v>
      </c>
      <c r="CR18" s="6">
        <f>(CU18-CP18)/5+CQ18</f>
        <v>213.79155887884943</v>
      </c>
      <c r="CS18" s="6">
        <f>(CU18-CP18)/5+CR18</f>
        <v>150.18478460968481</v>
      </c>
      <c r="CT18" s="6">
        <f>(CU18-CP18)/5+CS18</f>
        <v>86.578010340520194</v>
      </c>
      <c r="CU18" s="6">
        <f>CU17*CU25</f>
        <v>22.971236071355605</v>
      </c>
      <c r="CV18" s="6">
        <f>(CX18-CU18)/3+CU18</f>
        <v>24.2165934226033</v>
      </c>
      <c r="CW18" s="6">
        <f>(CX18-CU18)/3+CV18</f>
        <v>25.461950773850994</v>
      </c>
      <c r="CX18" s="6">
        <f>CX17*CX25</f>
        <v>26.707308125098692</v>
      </c>
    </row>
    <row r="19" spans="1:104" x14ac:dyDescent="0.45">
      <c r="B19" s="47">
        <f>B18</f>
        <v>382978.40541072498</v>
      </c>
      <c r="D19" s="6">
        <f>SUM(C18:F18)</f>
        <v>1401503.7557697438</v>
      </c>
      <c r="I19" s="6">
        <f>SUM(G18:K18)</f>
        <v>1605107.64143434</v>
      </c>
      <c r="N19" s="6">
        <f>SUM(L18:P18)</f>
        <v>1511057.7935702254</v>
      </c>
      <c r="S19" s="6">
        <f>SUM(Q18:U18)</f>
        <v>1370238.8483932563</v>
      </c>
      <c r="X19" s="6">
        <f>SUM(V18:Z18)</f>
        <v>1113614.677314285</v>
      </c>
      <c r="AC19" s="6">
        <f>SUM(AA18:AE18)</f>
        <v>951794.96999598958</v>
      </c>
      <c r="AH19" s="6">
        <f>SUM(AF18:AJ18)</f>
        <v>740438.29157654475</v>
      </c>
      <c r="AM19" s="6">
        <f>SUM(AK18:AO18)</f>
        <v>651622.61013966205</v>
      </c>
      <c r="AR19" s="6">
        <f>SUM(AP18:AT18)</f>
        <v>529339.07825337793</v>
      </c>
      <c r="AW19" s="6">
        <f>SUM(AU18:AY18)</f>
        <v>461816.77772177896</v>
      </c>
      <c r="BB19" s="6">
        <f>SUM(AZ18:BD18)</f>
        <v>389787.67147609347</v>
      </c>
      <c r="BG19" s="6">
        <f>SUM(BE18:BI18)</f>
        <v>344814.58817492879</v>
      </c>
      <c r="BL19" s="6">
        <f>SUM(BJ18:BN18)</f>
        <v>248501.17102207438</v>
      </c>
      <c r="BQ19" s="6">
        <f>SUM(BO18:BS18)</f>
        <v>192798.10825583295</v>
      </c>
      <c r="BV19" s="6">
        <f>SUM(BT18:BX18)</f>
        <v>127280.07474227877</v>
      </c>
      <c r="CA19" s="6">
        <f>SUM(BY18:CC18)</f>
        <v>76202.793319607794</v>
      </c>
      <c r="CF19" s="6">
        <f>SUM(CD18:CH18)</f>
        <v>28126.782196366803</v>
      </c>
      <c r="CK19" s="6">
        <f>SUM(CI18:CM18)</f>
        <v>9966.5418215491136</v>
      </c>
      <c r="CP19" s="6">
        <f>SUM(CN18:CR18)</f>
        <v>2407.2700348592816</v>
      </c>
      <c r="CU19" s="6">
        <f>SUM(CS18:CW18)</f>
        <v>309.41257521801492</v>
      </c>
      <c r="CX19" s="6">
        <f>CX18</f>
        <v>26.707308125098692</v>
      </c>
      <c r="CY19" s="6">
        <f>SUM(B19:CX19)</f>
        <v>12139733.970506862</v>
      </c>
      <c r="CZ19" s="6"/>
    </row>
    <row r="20" spans="1:104" x14ac:dyDescent="0.45">
      <c r="D20" s="61">
        <f>(D19-D16)/D16</f>
        <v>-9.9735960053631018E-3</v>
      </c>
      <c r="I20" s="61">
        <f>(I19-I16)/I16</f>
        <v>7.5735486861509332E-3</v>
      </c>
      <c r="N20" s="61">
        <f>(N19-N16)/N16</f>
        <v>-3.9818198491285376E-3</v>
      </c>
      <c r="S20" s="61">
        <f>(S19-S16)/S16</f>
        <v>-1.4793920883432909E-2</v>
      </c>
      <c r="X20" s="61">
        <f>(X19-X16)/X16</f>
        <v>1.8798220489527416E-2</v>
      </c>
      <c r="AC20" s="61">
        <f>(AC19-AC16)/AC16</f>
        <v>-1.526610261182625E-2</v>
      </c>
      <c r="AH20" s="61">
        <f>(AH19-AH16)/AH16</f>
        <v>3.258606888699607E-2</v>
      </c>
      <c r="AM20" s="61">
        <f>(AM19-AM16)/AM16</f>
        <v>-1.6142924741058804E-2</v>
      </c>
      <c r="AR20" s="61">
        <f>(AR19-AR16)/AR16</f>
        <v>2.0984546744305665E-2</v>
      </c>
      <c r="AW20" s="61">
        <f>(AW19-AW16)/AW16</f>
        <v>-7.4181781929232634E-3</v>
      </c>
      <c r="BB20" s="61">
        <f>(BB19-BB16)/BB16</f>
        <v>1.6886097660344972E-2</v>
      </c>
      <c r="BG20" s="61">
        <f>(BG19-BG16)/BG16</f>
        <v>-2.9513759929533721E-2</v>
      </c>
      <c r="BL20" s="61">
        <f>(BL19-BL16)/BL16</f>
        <v>3.5847998801996482E-2</v>
      </c>
      <c r="BQ20" s="61">
        <f>(BQ19-BQ16)/BQ16</f>
        <v>-1.717867681817712E-2</v>
      </c>
      <c r="BV20" s="61">
        <f>(BV19-BV16)/BV16</f>
        <v>2.3544365256905526E-2</v>
      </c>
      <c r="CA20" s="61">
        <f>(CA19-CA16)/CA16</f>
        <v>-9.5151391956505068E-3</v>
      </c>
      <c r="CF20" s="61">
        <f>(CF19-CF16)/CF16</f>
        <v>0.12905816363057895</v>
      </c>
      <c r="CK20" s="61">
        <f>(CK19-CK16)/CK16</f>
        <v>2.4035795378657158E-3</v>
      </c>
      <c r="CP20" s="61">
        <f>(CP19-CP16)/CP16</f>
        <v>2.4258801843320679E-3</v>
      </c>
      <c r="CU20" s="61">
        <f>(CU19-CU16)/CU16</f>
        <v>7.7565262076053548E-2</v>
      </c>
      <c r="CX20" s="61">
        <f>(CX19-CX16)/CX16</f>
        <v>0</v>
      </c>
      <c r="CY20" s="75">
        <f>(CY19-CY16)/CY16</f>
        <v>3.2172024734206616E-4</v>
      </c>
      <c r="CZ20" s="6"/>
    </row>
    <row r="21" spans="1:104" x14ac:dyDescent="0.45">
      <c r="D21" s="6"/>
      <c r="I21" s="6"/>
      <c r="N21" s="6"/>
      <c r="S21" s="6"/>
      <c r="X21" s="6"/>
      <c r="AC21" s="6"/>
      <c r="AH21" s="6"/>
      <c r="AM21" s="6"/>
      <c r="AR21" s="6"/>
      <c r="AW21" s="6"/>
      <c r="BB21" s="6"/>
      <c r="BG21" s="6"/>
      <c r="BL21" s="6"/>
      <c r="BQ21" s="6"/>
      <c r="BV21" s="6"/>
      <c r="CA21" s="6"/>
      <c r="CF21" s="6"/>
      <c r="CK21" s="6"/>
      <c r="CP21" s="6"/>
      <c r="CU21" s="6"/>
      <c r="CZ21" s="6"/>
    </row>
    <row r="22" spans="1:104" x14ac:dyDescent="0.45">
      <c r="B22" s="6"/>
      <c r="C22" s="6"/>
      <c r="D22" s="6"/>
      <c r="E22" s="6"/>
      <c r="F22" s="6"/>
      <c r="G22" s="6"/>
      <c r="H22" s="6"/>
      <c r="I22" s="6"/>
      <c r="J22" s="6"/>
      <c r="K22" s="6"/>
      <c r="L22" s="6"/>
      <c r="M22" s="6"/>
      <c r="N22" s="6"/>
      <c r="O22" s="6"/>
      <c r="P22" s="6"/>
      <c r="Q22" s="6"/>
      <c r="R22" s="6"/>
      <c r="S22" s="6"/>
      <c r="T22" s="6"/>
      <c r="U22" s="6"/>
      <c r="V22" s="6"/>
    </row>
    <row r="24" spans="1:104" x14ac:dyDescent="0.45">
      <c r="CE24" t="s">
        <v>996</v>
      </c>
      <c r="CF24">
        <v>0.95</v>
      </c>
      <c r="CK24">
        <v>0.92</v>
      </c>
      <c r="CP24">
        <v>0.75</v>
      </c>
      <c r="CU24">
        <v>0.57999999999999996</v>
      </c>
      <c r="CX24">
        <v>1</v>
      </c>
    </row>
    <row r="25" spans="1:104" x14ac:dyDescent="0.45">
      <c r="CE25" t="s">
        <v>997</v>
      </c>
      <c r="CF25">
        <v>0.94</v>
      </c>
      <c r="CK25">
        <v>0.92</v>
      </c>
      <c r="CP25">
        <v>0.71</v>
      </c>
      <c r="CU25">
        <v>0.4</v>
      </c>
      <c r="CX25">
        <v>1</v>
      </c>
    </row>
  </sheetData>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395DF-C20A-48D8-B814-001E8F166AD3}">
  <dimension ref="A1:H575"/>
  <sheetViews>
    <sheetView topLeftCell="A60" zoomScale="85" zoomScaleNormal="85" workbookViewId="0">
      <selection activeCell="G65" sqref="G65"/>
    </sheetView>
  </sheetViews>
  <sheetFormatPr defaultRowHeight="14.25" x14ac:dyDescent="0.45"/>
  <cols>
    <col min="1" max="1" width="11.19921875" bestFit="1" customWidth="1"/>
    <col min="2" max="2" width="39.46484375" bestFit="1" customWidth="1"/>
    <col min="3" max="3" width="7.53125" bestFit="1" customWidth="1"/>
    <col min="4" max="4" width="10.265625" bestFit="1" customWidth="1"/>
    <col min="5" max="5" width="18.19921875" bestFit="1" customWidth="1"/>
    <col min="6" max="6" width="5" bestFit="1" customWidth="1"/>
    <col min="7" max="7" width="18.53125" bestFit="1" customWidth="1"/>
    <col min="8" max="8" width="25.53125" bestFit="1" customWidth="1"/>
    <col min="9" max="9" width="20.73046875" customWidth="1"/>
  </cols>
  <sheetData>
    <row r="1" spans="1:7" x14ac:dyDescent="0.45">
      <c r="A1" s="355" t="s">
        <v>2843</v>
      </c>
      <c r="B1" s="355" t="s">
        <v>2844</v>
      </c>
      <c r="C1" s="355" t="s">
        <v>3342</v>
      </c>
      <c r="D1" s="357" t="s">
        <v>3343</v>
      </c>
      <c r="E1" s="355" t="s">
        <v>2834</v>
      </c>
      <c r="F1" s="355" t="s">
        <v>3344</v>
      </c>
      <c r="G1" s="355" t="s">
        <v>3345</v>
      </c>
    </row>
    <row r="2" spans="1:7" x14ac:dyDescent="0.45">
      <c r="A2" s="384" t="s">
        <v>2849</v>
      </c>
      <c r="B2" s="384" t="s">
        <v>594</v>
      </c>
      <c r="C2" s="384" t="s">
        <v>117</v>
      </c>
      <c r="D2" s="391" t="s">
        <v>3347</v>
      </c>
      <c r="E2" s="384" t="str">
        <f>_xlfn.CONCAT(D2,C2,A2)</f>
        <v>&lt;1 yearFemaleET</v>
      </c>
      <c r="F2" s="384">
        <v>2020</v>
      </c>
      <c r="G2" s="386">
        <f>SUM(G48,G96,G144,G192,G240,G288,G336,G384,G432,G480,G528)</f>
        <v>1930423.0771741131</v>
      </c>
    </row>
    <row r="3" spans="1:7" x14ac:dyDescent="0.45">
      <c r="A3" s="384" t="s">
        <v>2849</v>
      </c>
      <c r="B3" s="384" t="s">
        <v>594</v>
      </c>
      <c r="C3" s="384" t="s">
        <v>117</v>
      </c>
      <c r="D3" s="387" t="s">
        <v>169</v>
      </c>
      <c r="E3" s="384" t="str">
        <f>_xlfn.CONCAT(D3,C3,A3)</f>
        <v>1-4FemaleET</v>
      </c>
      <c r="F3" s="384">
        <v>2020</v>
      </c>
      <c r="G3" s="386">
        <f>G4-G2</f>
        <v>6340754.9228258869</v>
      </c>
    </row>
    <row r="4" spans="1:7" x14ac:dyDescent="0.45">
      <c r="A4" t="s">
        <v>2849</v>
      </c>
      <c r="B4" t="s">
        <v>594</v>
      </c>
      <c r="C4" t="s">
        <v>117</v>
      </c>
      <c r="D4" t="str">
        <f>'Pop F'!I$17</f>
        <v>0-4</v>
      </c>
      <c r="E4" t="str">
        <f>_xlfn.CONCAT(D4,C4,A4)</f>
        <v>0-4FemaleET</v>
      </c>
      <c r="F4">
        <v>2020</v>
      </c>
      <c r="G4" s="53">
        <f>'Pop F'!I$482*1000</f>
        <v>8271178</v>
      </c>
    </row>
    <row r="5" spans="1:7" x14ac:dyDescent="0.45">
      <c r="A5" t="s">
        <v>2849</v>
      </c>
      <c r="B5" t="s">
        <v>594</v>
      </c>
      <c r="C5" t="s">
        <v>117</v>
      </c>
      <c r="D5" t="str">
        <f>'Pop F'!J$17</f>
        <v>5-9</v>
      </c>
      <c r="E5" t="str">
        <f t="shared" ref="E5:E70" si="0">_xlfn.CONCAT(D5,C5,A5)</f>
        <v>5-9FemaleET</v>
      </c>
      <c r="F5">
        <v>2020</v>
      </c>
      <c r="G5" s="53">
        <f>'Pop F'!J$482*1000</f>
        <v>7525556</v>
      </c>
    </row>
    <row r="6" spans="1:7" x14ac:dyDescent="0.45">
      <c r="A6" t="s">
        <v>2849</v>
      </c>
      <c r="B6" t="s">
        <v>594</v>
      </c>
      <c r="C6" t="s">
        <v>117</v>
      </c>
      <c r="D6" t="str">
        <f>'Pop F'!K$17</f>
        <v>10-14</v>
      </c>
      <c r="E6" t="str">
        <f t="shared" si="0"/>
        <v>10-14FemaleET</v>
      </c>
      <c r="F6">
        <v>2020</v>
      </c>
      <c r="G6" s="53">
        <f>'Pop F'!K$482*1000</f>
        <v>6854126</v>
      </c>
    </row>
    <row r="7" spans="1:7" x14ac:dyDescent="0.45">
      <c r="A7" t="s">
        <v>2849</v>
      </c>
      <c r="B7" t="s">
        <v>594</v>
      </c>
      <c r="C7" t="s">
        <v>117</v>
      </c>
      <c r="D7" t="str">
        <f>'Pop F'!L$17</f>
        <v>15-19</v>
      </c>
      <c r="E7" t="str">
        <f t="shared" si="0"/>
        <v>15-19FemaleET</v>
      </c>
      <c r="F7">
        <v>2020</v>
      </c>
      <c r="G7" s="53">
        <f>'Pop F'!L$482*1000</f>
        <v>6432598</v>
      </c>
    </row>
    <row r="8" spans="1:7" x14ac:dyDescent="0.45">
      <c r="A8" t="s">
        <v>2849</v>
      </c>
      <c r="B8" t="s">
        <v>594</v>
      </c>
      <c r="C8" t="s">
        <v>117</v>
      </c>
      <c r="D8" t="str">
        <f>'Pop F'!M$17</f>
        <v>20-24</v>
      </c>
      <c r="E8" t="str">
        <f t="shared" si="0"/>
        <v>20-24FemaleET</v>
      </c>
      <c r="F8">
        <v>2020</v>
      </c>
      <c r="G8" s="53">
        <f>'Pop F'!M$482*1000</f>
        <v>5816173</v>
      </c>
    </row>
    <row r="9" spans="1:7" x14ac:dyDescent="0.45">
      <c r="A9" t="s">
        <v>2849</v>
      </c>
      <c r="B9" t="s">
        <v>594</v>
      </c>
      <c r="C9" t="s">
        <v>117</v>
      </c>
      <c r="D9" t="str">
        <f>'Pop F'!N$17</f>
        <v>25-29</v>
      </c>
      <c r="E9" t="str">
        <f t="shared" si="0"/>
        <v>25-29FemaleET</v>
      </c>
      <c r="F9">
        <v>2020</v>
      </c>
      <c r="G9" s="53">
        <f>'Pop F'!N$482*1000</f>
        <v>4802450</v>
      </c>
    </row>
    <row r="10" spans="1:7" x14ac:dyDescent="0.45">
      <c r="A10" t="s">
        <v>2849</v>
      </c>
      <c r="B10" t="s">
        <v>594</v>
      </c>
      <c r="C10" t="s">
        <v>117</v>
      </c>
      <c r="D10" t="str">
        <f>'Pop F'!O$17</f>
        <v>30-34</v>
      </c>
      <c r="E10" t="str">
        <f t="shared" si="0"/>
        <v>30-34FemaleET</v>
      </c>
      <c r="F10">
        <v>2020</v>
      </c>
      <c r="G10" s="53">
        <f>'Pop F'!O$482*1000</f>
        <v>3757544</v>
      </c>
    </row>
    <row r="11" spans="1:7" x14ac:dyDescent="0.45">
      <c r="A11" t="s">
        <v>2849</v>
      </c>
      <c r="B11" t="s">
        <v>594</v>
      </c>
      <c r="C11" t="s">
        <v>117</v>
      </c>
      <c r="D11" t="str">
        <f>'Pop F'!P$17</f>
        <v>35-39</v>
      </c>
      <c r="E11" t="str">
        <f t="shared" si="0"/>
        <v>35-39FemaleET</v>
      </c>
      <c r="F11">
        <v>2020</v>
      </c>
      <c r="G11" s="53">
        <f>'Pop F'!P$482*1000</f>
        <v>3182837</v>
      </c>
    </row>
    <row r="12" spans="1:7" x14ac:dyDescent="0.45">
      <c r="A12" t="s">
        <v>2849</v>
      </c>
      <c r="B12" t="s">
        <v>594</v>
      </c>
      <c r="C12" t="s">
        <v>117</v>
      </c>
      <c r="D12" t="str">
        <f>'Pop F'!Q$17</f>
        <v>40-44</v>
      </c>
      <c r="E12" t="str">
        <f t="shared" si="0"/>
        <v>40-44FemaleET</v>
      </c>
      <c r="F12">
        <v>2020</v>
      </c>
      <c r="G12" s="53">
        <f>'Pop F'!Q$482*1000</f>
        <v>2488422</v>
      </c>
    </row>
    <row r="13" spans="1:7" x14ac:dyDescent="0.45">
      <c r="A13" t="s">
        <v>2849</v>
      </c>
      <c r="B13" t="s">
        <v>594</v>
      </c>
      <c r="C13" t="s">
        <v>117</v>
      </c>
      <c r="D13" t="str">
        <f>'Pop F'!R$17</f>
        <v>45-49</v>
      </c>
      <c r="E13" t="str">
        <f t="shared" si="0"/>
        <v>45-49FemaleET</v>
      </c>
      <c r="F13">
        <v>2020</v>
      </c>
      <c r="G13" s="53">
        <f>'Pop F'!R$482*1000</f>
        <v>2033228</v>
      </c>
    </row>
    <row r="14" spans="1:7" x14ac:dyDescent="0.45">
      <c r="A14" t="s">
        <v>2849</v>
      </c>
      <c r="B14" t="s">
        <v>594</v>
      </c>
      <c r="C14" t="s">
        <v>117</v>
      </c>
      <c r="D14" t="str">
        <f>'Pop F'!S$17</f>
        <v>50-54</v>
      </c>
      <c r="E14" t="str">
        <f t="shared" si="0"/>
        <v>50-54FemaleET</v>
      </c>
      <c r="F14">
        <v>2020</v>
      </c>
      <c r="G14" s="53">
        <f>'Pop F'!S$482*1000</f>
        <v>1660957</v>
      </c>
    </row>
    <row r="15" spans="1:7" x14ac:dyDescent="0.45">
      <c r="A15" t="s">
        <v>2849</v>
      </c>
      <c r="B15" t="s">
        <v>594</v>
      </c>
      <c r="C15" t="s">
        <v>117</v>
      </c>
      <c r="D15" t="str">
        <f>'Pop F'!T$17</f>
        <v>55-59</v>
      </c>
      <c r="E15" t="str">
        <f t="shared" si="0"/>
        <v>55-59FemaleET</v>
      </c>
      <c r="F15">
        <v>2020</v>
      </c>
      <c r="G15" s="53">
        <f>'Pop F'!T$482*1000</f>
        <v>1316318</v>
      </c>
    </row>
    <row r="16" spans="1:7" x14ac:dyDescent="0.45">
      <c r="A16" t="s">
        <v>2849</v>
      </c>
      <c r="B16" t="s">
        <v>594</v>
      </c>
      <c r="C16" t="s">
        <v>117</v>
      </c>
      <c r="D16" t="str">
        <f>'Pop F'!U$17</f>
        <v>60-64</v>
      </c>
      <c r="E16" t="str">
        <f t="shared" si="0"/>
        <v>60-64FemaleET</v>
      </c>
      <c r="F16">
        <v>2020</v>
      </c>
      <c r="G16" s="53">
        <f>'Pop F'!U$482*1000</f>
        <v>1109670</v>
      </c>
    </row>
    <row r="17" spans="1:8" x14ac:dyDescent="0.45">
      <c r="A17" t="s">
        <v>2849</v>
      </c>
      <c r="B17" t="s">
        <v>594</v>
      </c>
      <c r="C17" t="s">
        <v>117</v>
      </c>
      <c r="D17" t="str">
        <f>'Pop F'!V$17</f>
        <v>65-69</v>
      </c>
      <c r="E17" t="str">
        <f t="shared" si="0"/>
        <v>65-69FemaleET</v>
      </c>
      <c r="F17">
        <v>2020</v>
      </c>
      <c r="G17" s="53">
        <f>'Pop F'!V$482*1000</f>
        <v>832543</v>
      </c>
    </row>
    <row r="18" spans="1:8" x14ac:dyDescent="0.45">
      <c r="A18" t="s">
        <v>2849</v>
      </c>
      <c r="B18" t="s">
        <v>594</v>
      </c>
      <c r="C18" t="s">
        <v>117</v>
      </c>
      <c r="D18" t="str">
        <f>'Pop F'!W$17</f>
        <v>70-74</v>
      </c>
      <c r="E18" t="str">
        <f t="shared" si="0"/>
        <v>70-74FemaleET</v>
      </c>
      <c r="F18">
        <v>2020</v>
      </c>
      <c r="G18" s="53">
        <f>'Pop F'!W$482*1000</f>
        <v>648561</v>
      </c>
    </row>
    <row r="19" spans="1:8" x14ac:dyDescent="0.45">
      <c r="A19" t="s">
        <v>2849</v>
      </c>
      <c r="B19" t="s">
        <v>594</v>
      </c>
      <c r="C19" t="s">
        <v>117</v>
      </c>
      <c r="D19" t="str">
        <f>'Pop F'!X$17</f>
        <v>75-79</v>
      </c>
      <c r="E19" t="str">
        <f t="shared" si="0"/>
        <v>75-79FemaleET</v>
      </c>
      <c r="F19">
        <v>2020</v>
      </c>
      <c r="G19" s="53">
        <f>'Pop F'!X$482*1000</f>
        <v>400726</v>
      </c>
      <c r="H19" s="355" t="s">
        <v>3355</v>
      </c>
    </row>
    <row r="20" spans="1:8" x14ac:dyDescent="0.45">
      <c r="A20" t="s">
        <v>2849</v>
      </c>
      <c r="B20" t="s">
        <v>594</v>
      </c>
      <c r="C20" t="s">
        <v>117</v>
      </c>
      <c r="D20" t="str">
        <f>'Pop F'!Y$17</f>
        <v>80-84</v>
      </c>
      <c r="E20" t="str">
        <f t="shared" si="0"/>
        <v>80-84FemaleET</v>
      </c>
      <c r="F20">
        <v>2020</v>
      </c>
      <c r="G20" s="53">
        <f>'Pop F'!Y$482*1000</f>
        <v>202974</v>
      </c>
      <c r="H20" s="75">
        <f>G20/SUM($G$20:$G$24)</f>
        <v>0.64670029089310233</v>
      </c>
    </row>
    <row r="21" spans="1:8" x14ac:dyDescent="0.45">
      <c r="A21" t="s">
        <v>2849</v>
      </c>
      <c r="B21" t="s">
        <v>594</v>
      </c>
      <c r="C21" t="s">
        <v>117</v>
      </c>
      <c r="D21" t="str">
        <f>'Pop F'!Z$17</f>
        <v>85-89</v>
      </c>
      <c r="E21" t="str">
        <f t="shared" si="0"/>
        <v>85-89FemaleET</v>
      </c>
      <c r="F21">
        <v>2020</v>
      </c>
      <c r="G21" s="53">
        <f>'Pop F'!Z$482*1000</f>
        <v>84730</v>
      </c>
      <c r="H21" s="75">
        <f t="shared" ref="H21:H24" si="1">G21/SUM($G$20:$G$24)</f>
        <v>0.26996026903629311</v>
      </c>
    </row>
    <row r="22" spans="1:8" x14ac:dyDescent="0.45">
      <c r="A22" t="s">
        <v>2849</v>
      </c>
      <c r="B22" t="s">
        <v>594</v>
      </c>
      <c r="C22" t="s">
        <v>117</v>
      </c>
      <c r="D22" t="str">
        <f>'Pop F'!AA$17</f>
        <v>90-94</v>
      </c>
      <c r="E22" t="str">
        <f t="shared" si="0"/>
        <v>90-94FemaleET</v>
      </c>
      <c r="F22">
        <v>2020</v>
      </c>
      <c r="G22" s="53">
        <f>'Pop F'!AA$482*1000</f>
        <v>22462</v>
      </c>
      <c r="H22" s="75">
        <f t="shared" si="1"/>
        <v>7.1566712653053421E-2</v>
      </c>
    </row>
    <row r="23" spans="1:8" x14ac:dyDescent="0.45">
      <c r="A23" t="s">
        <v>2849</v>
      </c>
      <c r="B23" t="s">
        <v>594</v>
      </c>
      <c r="C23" t="s">
        <v>117</v>
      </c>
      <c r="D23" t="str">
        <f>'Pop F'!AB$17</f>
        <v>95-99</v>
      </c>
      <c r="E23" t="str">
        <f t="shared" si="0"/>
        <v>95-99FemaleET</v>
      </c>
      <c r="F23">
        <v>2020</v>
      </c>
      <c r="G23" s="53">
        <f>'Pop F'!AB$482*1000</f>
        <v>3432</v>
      </c>
      <c r="H23" s="75">
        <f t="shared" si="1"/>
        <v>1.0934776859820111E-2</v>
      </c>
    </row>
    <row r="24" spans="1:8" x14ac:dyDescent="0.45">
      <c r="A24" t="s">
        <v>2849</v>
      </c>
      <c r="B24" t="s">
        <v>594</v>
      </c>
      <c r="C24" t="s">
        <v>117</v>
      </c>
      <c r="D24" t="str">
        <f>'Pop F'!AC$17</f>
        <v>100+</v>
      </c>
      <c r="E24" t="str">
        <f t="shared" si="0"/>
        <v>100+FemaleET</v>
      </c>
      <c r="F24">
        <v>2020</v>
      </c>
      <c r="G24" s="53">
        <f>'Pop F'!AC$482*1000</f>
        <v>263</v>
      </c>
      <c r="H24" s="75">
        <f t="shared" si="1"/>
        <v>8.3795055773097009E-4</v>
      </c>
    </row>
    <row r="25" spans="1:8" x14ac:dyDescent="0.45">
      <c r="A25" s="384" t="s">
        <v>2849</v>
      </c>
      <c r="B25" s="384" t="s">
        <v>594</v>
      </c>
      <c r="C25" s="384" t="s">
        <v>116</v>
      </c>
      <c r="D25" s="391" t="s">
        <v>3347</v>
      </c>
      <c r="E25" s="384" t="str">
        <f t="shared" ref="E25" si="2">_xlfn.CONCAT(D25,C25,A25)</f>
        <v>&lt;1 yearMaleET</v>
      </c>
      <c r="F25" s="384">
        <v>2020</v>
      </c>
      <c r="G25" s="392">
        <f>SUM(G72,G120,G168,G216,G264,G312,G360,G408,G456,G504,G552)</f>
        <v>1955060.3654614429</v>
      </c>
      <c r="H25" s="75"/>
    </row>
    <row r="26" spans="1:8" x14ac:dyDescent="0.45">
      <c r="A26" s="384" t="s">
        <v>2849</v>
      </c>
      <c r="B26" s="384" t="s">
        <v>594</v>
      </c>
      <c r="C26" s="384" t="s">
        <v>116</v>
      </c>
      <c r="D26" s="387" t="s">
        <v>169</v>
      </c>
      <c r="E26" s="384" t="str">
        <f>_xlfn.CONCAT(D26,C26,A26)</f>
        <v>1-4MaleET</v>
      </c>
      <c r="F26" s="384">
        <v>2020</v>
      </c>
      <c r="G26" s="392">
        <f>G27-G25</f>
        <v>6565245.6345385574</v>
      </c>
      <c r="H26" s="75"/>
    </row>
    <row r="27" spans="1:8" x14ac:dyDescent="0.45">
      <c r="A27" t="s">
        <v>2849</v>
      </c>
      <c r="B27" t="s">
        <v>594</v>
      </c>
      <c r="C27" t="s">
        <v>116</v>
      </c>
      <c r="D27" t="str">
        <f>'Pop M'!I$17</f>
        <v>0-4</v>
      </c>
      <c r="E27" t="str">
        <f t="shared" si="0"/>
        <v>0-4MaleET</v>
      </c>
      <c r="F27">
        <v>2020</v>
      </c>
      <c r="G27" s="53">
        <f>'Pop M'!I$482*1000</f>
        <v>8520306</v>
      </c>
    </row>
    <row r="28" spans="1:8" x14ac:dyDescent="0.45">
      <c r="A28" t="s">
        <v>2849</v>
      </c>
      <c r="B28" t="s">
        <v>594</v>
      </c>
      <c r="C28" t="s">
        <v>116</v>
      </c>
      <c r="D28" t="str">
        <f>'Pop M'!J$17</f>
        <v>5-9</v>
      </c>
      <c r="E28" t="str">
        <f t="shared" si="0"/>
        <v>5-9MaleET</v>
      </c>
      <c r="F28">
        <v>2020</v>
      </c>
      <c r="G28" s="53">
        <f>'Pop M'!J$482*1000</f>
        <v>7720508</v>
      </c>
    </row>
    <row r="29" spans="1:8" x14ac:dyDescent="0.45">
      <c r="A29" t="s">
        <v>2849</v>
      </c>
      <c r="B29" t="s">
        <v>594</v>
      </c>
      <c r="C29" t="s">
        <v>116</v>
      </c>
      <c r="D29" t="str">
        <f>'Pop M'!K$17</f>
        <v>10-14</v>
      </c>
      <c r="E29" t="str">
        <f t="shared" si="0"/>
        <v>10-14MaleET</v>
      </c>
      <c r="F29">
        <v>2020</v>
      </c>
      <c r="G29" s="53">
        <f>'Pop M'!K$482*1000</f>
        <v>6999073</v>
      </c>
    </row>
    <row r="30" spans="1:8" x14ac:dyDescent="0.45">
      <c r="A30" t="s">
        <v>2849</v>
      </c>
      <c r="B30" t="s">
        <v>594</v>
      </c>
      <c r="C30" t="s">
        <v>116</v>
      </c>
      <c r="D30" t="str">
        <f>'Pop M'!L$17</f>
        <v>15-19</v>
      </c>
      <c r="E30" t="str">
        <f t="shared" si="0"/>
        <v>15-19MaleET</v>
      </c>
      <c r="F30">
        <v>2020</v>
      </c>
      <c r="G30" s="53">
        <f>'Pop M'!L$482*1000</f>
        <v>6543197</v>
      </c>
    </row>
    <row r="31" spans="1:8" x14ac:dyDescent="0.45">
      <c r="A31" t="s">
        <v>2849</v>
      </c>
      <c r="B31" t="s">
        <v>594</v>
      </c>
      <c r="C31" t="s">
        <v>116</v>
      </c>
      <c r="D31" t="str">
        <f>'Pop M'!M$17</f>
        <v>20-24</v>
      </c>
      <c r="E31" t="str">
        <f t="shared" si="0"/>
        <v>20-24MaleET</v>
      </c>
      <c r="F31">
        <v>2020</v>
      </c>
      <c r="G31" s="53">
        <f>'Pop M'!M$482*1000</f>
        <v>5930683</v>
      </c>
    </row>
    <row r="32" spans="1:8" x14ac:dyDescent="0.45">
      <c r="A32" t="s">
        <v>2849</v>
      </c>
      <c r="B32" t="s">
        <v>594</v>
      </c>
      <c r="C32" t="s">
        <v>116</v>
      </c>
      <c r="D32" t="str">
        <f>'Pop M'!N$17</f>
        <v>25-29</v>
      </c>
      <c r="E32" t="str">
        <f t="shared" si="0"/>
        <v>25-29MaleET</v>
      </c>
      <c r="F32">
        <v>2020</v>
      </c>
      <c r="G32" s="53">
        <f>'Pop M'!N$482*1000</f>
        <v>4889739</v>
      </c>
    </row>
    <row r="33" spans="1:8" x14ac:dyDescent="0.45">
      <c r="A33" t="s">
        <v>2849</v>
      </c>
      <c r="B33" t="s">
        <v>594</v>
      </c>
      <c r="C33" t="s">
        <v>116</v>
      </c>
      <c r="D33" t="str">
        <f>'Pop M'!O$17</f>
        <v>30-34</v>
      </c>
      <c r="E33" t="str">
        <f t="shared" si="0"/>
        <v>30-34MaleET</v>
      </c>
      <c r="F33">
        <v>2020</v>
      </c>
      <c r="G33" s="53">
        <f>'Pop M'!O$482*1000</f>
        <v>3761349</v>
      </c>
    </row>
    <row r="34" spans="1:8" x14ac:dyDescent="0.45">
      <c r="A34" t="s">
        <v>2849</v>
      </c>
      <c r="B34" t="s">
        <v>594</v>
      </c>
      <c r="C34" t="s">
        <v>116</v>
      </c>
      <c r="D34" t="str">
        <f>'Pop M'!P$17</f>
        <v>35-39</v>
      </c>
      <c r="E34" t="str">
        <f t="shared" si="0"/>
        <v>35-39MaleET</v>
      </c>
      <c r="F34">
        <v>2020</v>
      </c>
      <c r="G34" s="53">
        <f>'Pop M'!P$482*1000</f>
        <v>3091148</v>
      </c>
    </row>
    <row r="35" spans="1:8" x14ac:dyDescent="0.45">
      <c r="A35" t="s">
        <v>2849</v>
      </c>
      <c r="B35" t="s">
        <v>594</v>
      </c>
      <c r="C35" t="s">
        <v>116</v>
      </c>
      <c r="D35" t="str">
        <f>'Pop M'!Q$17</f>
        <v>40-44</v>
      </c>
      <c r="E35" t="str">
        <f t="shared" si="0"/>
        <v>40-44MaleET</v>
      </c>
      <c r="F35">
        <v>2020</v>
      </c>
      <c r="G35" s="53">
        <f>'Pop M'!Q$482*1000</f>
        <v>2445523</v>
      </c>
    </row>
    <row r="36" spans="1:8" x14ac:dyDescent="0.45">
      <c r="A36" t="s">
        <v>2849</v>
      </c>
      <c r="B36" t="s">
        <v>594</v>
      </c>
      <c r="C36" t="s">
        <v>116</v>
      </c>
      <c r="D36" t="str">
        <f>'Pop M'!R$17</f>
        <v>45-49</v>
      </c>
      <c r="E36" t="str">
        <f t="shared" si="0"/>
        <v>45-49MaleET</v>
      </c>
      <c r="F36">
        <v>2020</v>
      </c>
      <c r="G36" s="53">
        <f>'Pop M'!R$482*1000</f>
        <v>2071480</v>
      </c>
    </row>
    <row r="37" spans="1:8" x14ac:dyDescent="0.45">
      <c r="A37" t="s">
        <v>2849</v>
      </c>
      <c r="B37" t="s">
        <v>594</v>
      </c>
      <c r="C37" t="s">
        <v>116</v>
      </c>
      <c r="D37" t="str">
        <f>'Pop M'!S$17</f>
        <v>50-54</v>
      </c>
      <c r="E37" t="str">
        <f t="shared" si="0"/>
        <v>50-54MaleET</v>
      </c>
      <c r="F37">
        <v>2020</v>
      </c>
      <c r="G37" s="53">
        <f>'Pop M'!S$482*1000</f>
        <v>1567789</v>
      </c>
    </row>
    <row r="38" spans="1:8" x14ac:dyDescent="0.45">
      <c r="A38" t="s">
        <v>2849</v>
      </c>
      <c r="B38" t="s">
        <v>594</v>
      </c>
      <c r="C38" t="s">
        <v>116</v>
      </c>
      <c r="D38" t="str">
        <f>'Pop M'!T$17</f>
        <v>55-59</v>
      </c>
      <c r="E38" t="str">
        <f t="shared" si="0"/>
        <v>55-59MaleET</v>
      </c>
      <c r="F38">
        <v>2020</v>
      </c>
      <c r="G38" s="53">
        <f>'Pop M'!T$482*1000</f>
        <v>1159002</v>
      </c>
    </row>
    <row r="39" spans="1:8" x14ac:dyDescent="0.45">
      <c r="A39" t="s">
        <v>2849</v>
      </c>
      <c r="B39" t="s">
        <v>594</v>
      </c>
      <c r="C39" t="s">
        <v>116</v>
      </c>
      <c r="D39" t="str">
        <f>'Pop M'!U$17</f>
        <v>60-64</v>
      </c>
      <c r="E39" t="str">
        <f t="shared" si="0"/>
        <v>60-64MaleET</v>
      </c>
      <c r="F39">
        <v>2020</v>
      </c>
      <c r="G39" s="53">
        <f>'Pop M'!U$482*1000</f>
        <v>946594</v>
      </c>
    </row>
    <row r="40" spans="1:8" x14ac:dyDescent="0.45">
      <c r="A40" t="s">
        <v>2849</v>
      </c>
      <c r="B40" t="s">
        <v>594</v>
      </c>
      <c r="C40" t="s">
        <v>116</v>
      </c>
      <c r="D40" t="str">
        <f>'Pop M'!V$17</f>
        <v>65-69</v>
      </c>
      <c r="E40" t="str">
        <f t="shared" si="0"/>
        <v>65-69MaleET</v>
      </c>
      <c r="F40">
        <v>2020</v>
      </c>
      <c r="G40" s="53">
        <f>'Pop M'!V$482*1000</f>
        <v>735747</v>
      </c>
    </row>
    <row r="41" spans="1:8" x14ac:dyDescent="0.45">
      <c r="A41" t="s">
        <v>2849</v>
      </c>
      <c r="B41" t="s">
        <v>594</v>
      </c>
      <c r="C41" t="s">
        <v>116</v>
      </c>
      <c r="D41" t="str">
        <f>'Pop M'!W$17</f>
        <v>70-74</v>
      </c>
      <c r="E41" t="str">
        <f t="shared" si="0"/>
        <v>70-74MaleET</v>
      </c>
      <c r="F41">
        <v>2020</v>
      </c>
      <c r="G41" s="53">
        <f>'Pop M'!W$482*1000</f>
        <v>539874</v>
      </c>
    </row>
    <row r="42" spans="1:8" x14ac:dyDescent="0.45">
      <c r="A42" t="s">
        <v>2849</v>
      </c>
      <c r="B42" t="s">
        <v>594</v>
      </c>
      <c r="C42" t="s">
        <v>116</v>
      </c>
      <c r="D42" t="str">
        <f>'Pop M'!X$17</f>
        <v>75-79</v>
      </c>
      <c r="E42" t="str">
        <f t="shared" si="0"/>
        <v>75-79MaleET</v>
      </c>
      <c r="F42">
        <v>2020</v>
      </c>
      <c r="G42" s="53">
        <f>'Pop M'!X$482*1000</f>
        <v>340207</v>
      </c>
      <c r="H42" s="355" t="s">
        <v>3356</v>
      </c>
    </row>
    <row r="43" spans="1:8" x14ac:dyDescent="0.45">
      <c r="A43" t="s">
        <v>2849</v>
      </c>
      <c r="B43" t="s">
        <v>594</v>
      </c>
      <c r="C43" t="s">
        <v>116</v>
      </c>
      <c r="D43" t="str">
        <f>'Pop M'!Y$17</f>
        <v>80-84</v>
      </c>
      <c r="E43" t="str">
        <f t="shared" si="0"/>
        <v>80-84MaleET</v>
      </c>
      <c r="F43">
        <v>2020</v>
      </c>
      <c r="G43" s="53">
        <f>'Pop M'!Y$482*1000</f>
        <v>168831</v>
      </c>
      <c r="H43" s="75">
        <f>G43/SUM($G$43:$G$47)</f>
        <v>0.66308087472900368</v>
      </c>
    </row>
    <row r="44" spans="1:8" x14ac:dyDescent="0.45">
      <c r="A44" t="s">
        <v>2849</v>
      </c>
      <c r="B44" t="s">
        <v>594</v>
      </c>
      <c r="C44" t="s">
        <v>116</v>
      </c>
      <c r="D44" t="str">
        <f>'Pop M'!Z$17</f>
        <v>85-89</v>
      </c>
      <c r="E44" t="str">
        <f t="shared" si="0"/>
        <v>85-89MaleET</v>
      </c>
      <c r="F44">
        <v>2020</v>
      </c>
      <c r="G44" s="53">
        <f>'Pop M'!Z$482*1000</f>
        <v>67383</v>
      </c>
      <c r="H44" s="75">
        <f t="shared" ref="H44:H47" si="3">G44/SUM($G$43:$G$47)</f>
        <v>0.26464558393816573</v>
      </c>
    </row>
    <row r="45" spans="1:8" x14ac:dyDescent="0.45">
      <c r="A45" t="s">
        <v>2849</v>
      </c>
      <c r="B45" t="s">
        <v>594</v>
      </c>
      <c r="C45" t="s">
        <v>116</v>
      </c>
      <c r="D45" t="str">
        <f>'Pop M'!AA$17</f>
        <v>90-94</v>
      </c>
      <c r="E45" t="str">
        <f t="shared" si="0"/>
        <v>90-94MaleET</v>
      </c>
      <c r="F45">
        <v>2020</v>
      </c>
      <c r="G45" s="53">
        <f>'Pop M'!AA$482*1000</f>
        <v>16274.999999999998</v>
      </c>
      <c r="H45" s="75">
        <f t="shared" si="3"/>
        <v>6.3919785088132716E-2</v>
      </c>
    </row>
    <row r="46" spans="1:8" x14ac:dyDescent="0.45">
      <c r="A46" t="s">
        <v>2849</v>
      </c>
      <c r="B46" t="s">
        <v>594</v>
      </c>
      <c r="C46" t="s">
        <v>116</v>
      </c>
      <c r="D46" t="str">
        <f>'Pop M'!AB$17</f>
        <v>95-99</v>
      </c>
      <c r="E46" t="str">
        <f t="shared" si="0"/>
        <v>95-99MaleET</v>
      </c>
      <c r="F46">
        <v>2020</v>
      </c>
      <c r="G46" s="53">
        <f>'Pop M'!AB$482*1000</f>
        <v>1946</v>
      </c>
      <c r="H46" s="75">
        <f t="shared" si="3"/>
        <v>7.6428818298928582E-3</v>
      </c>
    </row>
    <row r="47" spans="1:8" x14ac:dyDescent="0.45">
      <c r="A47" t="s">
        <v>2849</v>
      </c>
      <c r="B47" t="s">
        <v>594</v>
      </c>
      <c r="C47" t="s">
        <v>116</v>
      </c>
      <c r="D47" t="str">
        <f>'Pop M'!AC$17</f>
        <v>100+</v>
      </c>
      <c r="E47" t="str">
        <f t="shared" si="0"/>
        <v>100+MaleET</v>
      </c>
      <c r="F47">
        <v>2020</v>
      </c>
      <c r="G47" s="53">
        <f>'Pop M'!AC$482*1000</f>
        <v>181</v>
      </c>
      <c r="H47" s="75">
        <f t="shared" si="3"/>
        <v>7.1087441480503972E-4</v>
      </c>
    </row>
    <row r="48" spans="1:8" x14ac:dyDescent="0.45">
      <c r="A48" t="s">
        <v>2868</v>
      </c>
      <c r="B48" t="s">
        <v>806</v>
      </c>
      <c r="C48" t="s">
        <v>117</v>
      </c>
      <c r="D48" s="362" t="s">
        <v>3347</v>
      </c>
      <c r="E48" t="str">
        <f t="shared" si="0"/>
        <v>&lt;1 yearFemaleET01</v>
      </c>
      <c r="F48">
        <v>2020</v>
      </c>
      <c r="G48" s="124">
        <v>110200.868684254</v>
      </c>
    </row>
    <row r="49" spans="1:8" x14ac:dyDescent="0.45">
      <c r="A49" t="s">
        <v>2868</v>
      </c>
      <c r="B49" t="s">
        <v>806</v>
      </c>
      <c r="C49" t="s">
        <v>117</v>
      </c>
      <c r="D49" s="385" t="s">
        <v>169</v>
      </c>
      <c r="E49" t="str">
        <f t="shared" si="0"/>
        <v>1-4FemaleET01</v>
      </c>
      <c r="F49">
        <v>2020</v>
      </c>
      <c r="G49" s="124">
        <v>407318.14333927602</v>
      </c>
      <c r="H49" s="75"/>
    </row>
    <row r="50" spans="1:8" x14ac:dyDescent="0.45">
      <c r="A50" s="384" t="s">
        <v>2868</v>
      </c>
      <c r="B50" s="384" t="s">
        <v>806</v>
      </c>
      <c r="C50" s="384" t="s">
        <v>117</v>
      </c>
      <c r="D50" s="387" t="s">
        <v>981</v>
      </c>
      <c r="E50" t="str">
        <f t="shared" si="0"/>
        <v>0-4FemaleET01</v>
      </c>
      <c r="F50" s="384">
        <v>2020</v>
      </c>
      <c r="G50" s="386">
        <f>G48+G49</f>
        <v>517519.01202353003</v>
      </c>
      <c r="H50" s="75"/>
    </row>
    <row r="51" spans="1:8" x14ac:dyDescent="0.45">
      <c r="A51" t="s">
        <v>2868</v>
      </c>
      <c r="B51" t="s">
        <v>806</v>
      </c>
      <c r="C51" t="s">
        <v>117</v>
      </c>
      <c r="D51" s="385" t="s">
        <v>982</v>
      </c>
      <c r="E51" t="str">
        <f t="shared" si="0"/>
        <v>5-9FemaleET01</v>
      </c>
      <c r="F51">
        <v>2020</v>
      </c>
      <c r="G51" s="124">
        <v>427644.901572167</v>
      </c>
    </row>
    <row r="52" spans="1:8" x14ac:dyDescent="0.45">
      <c r="A52" t="s">
        <v>2868</v>
      </c>
      <c r="B52" t="s">
        <v>806</v>
      </c>
      <c r="C52" t="s">
        <v>117</v>
      </c>
      <c r="D52" s="385" t="s">
        <v>983</v>
      </c>
      <c r="E52" t="str">
        <f t="shared" si="0"/>
        <v>10-14FemaleET01</v>
      </c>
      <c r="F52">
        <v>2020</v>
      </c>
      <c r="G52" s="124">
        <v>424082.84348123497</v>
      </c>
    </row>
    <row r="53" spans="1:8" x14ac:dyDescent="0.45">
      <c r="A53" t="s">
        <v>2868</v>
      </c>
      <c r="B53" t="s">
        <v>806</v>
      </c>
      <c r="C53" t="s">
        <v>117</v>
      </c>
      <c r="D53" s="385" t="s">
        <v>664</v>
      </c>
      <c r="E53" t="str">
        <f t="shared" si="0"/>
        <v>15-19FemaleET01</v>
      </c>
      <c r="F53">
        <v>2020</v>
      </c>
      <c r="G53" s="124">
        <v>361428.467351712</v>
      </c>
    </row>
    <row r="54" spans="1:8" x14ac:dyDescent="0.45">
      <c r="A54" t="s">
        <v>2868</v>
      </c>
      <c r="B54" t="s">
        <v>806</v>
      </c>
      <c r="C54" t="s">
        <v>117</v>
      </c>
      <c r="D54" s="385" t="s">
        <v>665</v>
      </c>
      <c r="E54" t="str">
        <f t="shared" si="0"/>
        <v>20-24FemaleET01</v>
      </c>
      <c r="F54">
        <v>2020</v>
      </c>
      <c r="G54" s="124">
        <v>278891.18413978</v>
      </c>
    </row>
    <row r="55" spans="1:8" x14ac:dyDescent="0.45">
      <c r="A55" t="s">
        <v>2868</v>
      </c>
      <c r="B55" t="s">
        <v>806</v>
      </c>
      <c r="C55" t="s">
        <v>117</v>
      </c>
      <c r="D55" s="385" t="s">
        <v>667</v>
      </c>
      <c r="E55" t="str">
        <f t="shared" si="0"/>
        <v>25-29FemaleET01</v>
      </c>
      <c r="F55">
        <v>2020</v>
      </c>
      <c r="G55" s="124">
        <v>234957.509442262</v>
      </c>
    </row>
    <row r="56" spans="1:8" x14ac:dyDescent="0.45">
      <c r="A56" t="s">
        <v>2868</v>
      </c>
      <c r="B56" t="s">
        <v>806</v>
      </c>
      <c r="C56" t="s">
        <v>117</v>
      </c>
      <c r="D56" s="385" t="s">
        <v>670</v>
      </c>
      <c r="E56" t="str">
        <f t="shared" si="0"/>
        <v>30-34FemaleET01</v>
      </c>
      <c r="F56">
        <v>2020</v>
      </c>
      <c r="G56" s="124">
        <v>221583.70491446901</v>
      </c>
    </row>
    <row r="57" spans="1:8" x14ac:dyDescent="0.45">
      <c r="A57" t="s">
        <v>2868</v>
      </c>
      <c r="B57" t="s">
        <v>806</v>
      </c>
      <c r="C57" t="s">
        <v>117</v>
      </c>
      <c r="D57" s="385" t="s">
        <v>672</v>
      </c>
      <c r="E57" t="str">
        <f t="shared" si="0"/>
        <v>35-39FemaleET01</v>
      </c>
      <c r="F57">
        <v>2020</v>
      </c>
      <c r="G57" s="124">
        <v>190054.479445684</v>
      </c>
    </row>
    <row r="58" spans="1:8" x14ac:dyDescent="0.45">
      <c r="A58" t="s">
        <v>2868</v>
      </c>
      <c r="B58" t="s">
        <v>806</v>
      </c>
      <c r="C58" t="s">
        <v>117</v>
      </c>
      <c r="D58" s="385" t="s">
        <v>674</v>
      </c>
      <c r="E58" t="str">
        <f t="shared" si="0"/>
        <v>40-44FemaleET01</v>
      </c>
      <c r="F58">
        <v>2020</v>
      </c>
      <c r="G58" s="124">
        <v>146125.14313444801</v>
      </c>
    </row>
    <row r="59" spans="1:8" x14ac:dyDescent="0.45">
      <c r="A59" t="s">
        <v>2868</v>
      </c>
      <c r="B59" t="s">
        <v>806</v>
      </c>
      <c r="C59" t="s">
        <v>117</v>
      </c>
      <c r="D59" s="385" t="s">
        <v>676</v>
      </c>
      <c r="E59" t="str">
        <f t="shared" si="0"/>
        <v>45-49FemaleET01</v>
      </c>
      <c r="F59">
        <v>2020</v>
      </c>
      <c r="G59" s="124">
        <v>124879.897499859</v>
      </c>
    </row>
    <row r="60" spans="1:8" x14ac:dyDescent="0.45">
      <c r="A60" t="s">
        <v>2868</v>
      </c>
      <c r="B60" t="s">
        <v>806</v>
      </c>
      <c r="C60" t="s">
        <v>117</v>
      </c>
      <c r="D60" s="385" t="s">
        <v>984</v>
      </c>
      <c r="E60" t="str">
        <f t="shared" si="0"/>
        <v>50-54FemaleET01</v>
      </c>
      <c r="F60">
        <v>2020</v>
      </c>
      <c r="G60" s="124">
        <v>114140.294986814</v>
      </c>
    </row>
    <row r="61" spans="1:8" x14ac:dyDescent="0.45">
      <c r="A61" t="s">
        <v>2868</v>
      </c>
      <c r="B61" t="s">
        <v>806</v>
      </c>
      <c r="C61" t="s">
        <v>117</v>
      </c>
      <c r="D61" s="385" t="s">
        <v>985</v>
      </c>
      <c r="E61" t="str">
        <f t="shared" si="0"/>
        <v>55-59FemaleET01</v>
      </c>
      <c r="F61">
        <v>2020</v>
      </c>
      <c r="G61" s="124">
        <v>112310.32285821</v>
      </c>
    </row>
    <row r="62" spans="1:8" x14ac:dyDescent="0.45">
      <c r="A62" t="s">
        <v>2868</v>
      </c>
      <c r="B62" t="s">
        <v>806</v>
      </c>
      <c r="C62" t="s">
        <v>117</v>
      </c>
      <c r="D62" s="385" t="s">
        <v>986</v>
      </c>
      <c r="E62" t="str">
        <f t="shared" si="0"/>
        <v>60-64FemaleET01</v>
      </c>
      <c r="F62">
        <v>2020</v>
      </c>
      <c r="G62" s="124">
        <v>84614.856798151493</v>
      </c>
    </row>
    <row r="63" spans="1:8" x14ac:dyDescent="0.45">
      <c r="A63" t="s">
        <v>2868</v>
      </c>
      <c r="B63" t="s">
        <v>806</v>
      </c>
      <c r="C63" t="s">
        <v>117</v>
      </c>
      <c r="D63" s="385" t="s">
        <v>987</v>
      </c>
      <c r="E63" t="str">
        <f t="shared" si="0"/>
        <v>65-69FemaleET01</v>
      </c>
      <c r="F63">
        <v>2020</v>
      </c>
      <c r="G63" s="124">
        <v>71954.327918605806</v>
      </c>
    </row>
    <row r="64" spans="1:8" x14ac:dyDescent="0.45">
      <c r="A64" t="s">
        <v>2868</v>
      </c>
      <c r="B64" t="s">
        <v>806</v>
      </c>
      <c r="C64" t="s">
        <v>117</v>
      </c>
      <c r="D64" s="385" t="s">
        <v>988</v>
      </c>
      <c r="E64" t="str">
        <f t="shared" si="0"/>
        <v>70-74FemaleET01</v>
      </c>
      <c r="F64">
        <v>2020</v>
      </c>
      <c r="G64" s="124">
        <v>53394.181061060102</v>
      </c>
    </row>
    <row r="65" spans="1:8" x14ac:dyDescent="0.45">
      <c r="A65" t="s">
        <v>2868</v>
      </c>
      <c r="B65" t="s">
        <v>806</v>
      </c>
      <c r="C65" t="s">
        <v>117</v>
      </c>
      <c r="D65" s="385" t="s">
        <v>989</v>
      </c>
      <c r="E65" t="str">
        <f t="shared" si="0"/>
        <v>75-79FemaleET01</v>
      </c>
      <c r="F65">
        <v>2020</v>
      </c>
      <c r="G65" s="124">
        <v>30544.489588001699</v>
      </c>
    </row>
    <row r="66" spans="1:8" x14ac:dyDescent="0.45">
      <c r="A66" t="s">
        <v>2868</v>
      </c>
      <c r="B66" t="s">
        <v>806</v>
      </c>
      <c r="C66" t="s">
        <v>117</v>
      </c>
      <c r="D66" s="385" t="s">
        <v>3346</v>
      </c>
      <c r="E66" t="str">
        <f t="shared" si="0"/>
        <v>80+FemaleET01</v>
      </c>
      <c r="F66">
        <v>2020</v>
      </c>
      <c r="G66" s="124">
        <v>16777.890095220799</v>
      </c>
    </row>
    <row r="67" spans="1:8" x14ac:dyDescent="0.45">
      <c r="A67" s="384" t="s">
        <v>2868</v>
      </c>
      <c r="B67" s="384" t="s">
        <v>806</v>
      </c>
      <c r="C67" s="384" t="s">
        <v>117</v>
      </c>
      <c r="D67" s="388" t="s">
        <v>990</v>
      </c>
      <c r="E67" t="str">
        <f t="shared" si="0"/>
        <v>80-84FemaleET01</v>
      </c>
      <c r="F67" s="384">
        <v>2020</v>
      </c>
      <c r="G67" s="386">
        <f>$G$66*$H20</f>
        <v>10850.266405151791</v>
      </c>
      <c r="H67" s="75">
        <f>G67/SUM($G$67:$G$71)</f>
        <v>0.64670029089310233</v>
      </c>
    </row>
    <row r="68" spans="1:8" x14ac:dyDescent="0.45">
      <c r="A68" s="384" t="s">
        <v>2868</v>
      </c>
      <c r="B68" s="384" t="s">
        <v>806</v>
      </c>
      <c r="C68" s="384" t="s">
        <v>117</v>
      </c>
      <c r="D68" s="388" t="s">
        <v>991</v>
      </c>
      <c r="E68" t="str">
        <f t="shared" si="0"/>
        <v>85-89FemaleET01</v>
      </c>
      <c r="F68" s="384">
        <v>2020</v>
      </c>
      <c r="G68" s="386">
        <f>$G$66*$H21</f>
        <v>4529.3637239671643</v>
      </c>
      <c r="H68" s="75">
        <f t="shared" ref="H68:H71" si="4">G68/SUM($G$67:$G$71)</f>
        <v>0.26996026903629311</v>
      </c>
    </row>
    <row r="69" spans="1:8" x14ac:dyDescent="0.45">
      <c r="A69" s="384" t="s">
        <v>2868</v>
      </c>
      <c r="B69" s="384" t="s">
        <v>806</v>
      </c>
      <c r="C69" s="384" t="s">
        <v>117</v>
      </c>
      <c r="D69" s="388" t="s">
        <v>992</v>
      </c>
      <c r="E69" t="str">
        <f t="shared" si="0"/>
        <v>90-94FemaleET01</v>
      </c>
      <c r="F69" s="384">
        <v>2020</v>
      </c>
      <c r="G69" s="386">
        <f>$G$66*$H22</f>
        <v>1200.738439369178</v>
      </c>
      <c r="H69" s="75">
        <f t="shared" si="4"/>
        <v>7.1566712653053421E-2</v>
      </c>
    </row>
    <row r="70" spans="1:8" x14ac:dyDescent="0.45">
      <c r="A70" s="384" t="s">
        <v>2868</v>
      </c>
      <c r="B70" s="384" t="s">
        <v>806</v>
      </c>
      <c r="C70" s="384" t="s">
        <v>117</v>
      </c>
      <c r="D70" s="388" t="s">
        <v>993</v>
      </c>
      <c r="E70" t="str">
        <f t="shared" si="0"/>
        <v>95-99FemaleET01</v>
      </c>
      <c r="F70" s="384">
        <v>2020</v>
      </c>
      <c r="G70" s="386">
        <f>$G$66*$H23</f>
        <v>183.46248436982543</v>
      </c>
      <c r="H70" s="75">
        <f t="shared" si="4"/>
        <v>1.0934776859820111E-2</v>
      </c>
    </row>
    <row r="71" spans="1:8" x14ac:dyDescent="0.45">
      <c r="A71" s="384" t="s">
        <v>2868</v>
      </c>
      <c r="B71" s="384" t="s">
        <v>806</v>
      </c>
      <c r="C71" s="384" t="s">
        <v>117</v>
      </c>
      <c r="D71" s="388" t="s">
        <v>994</v>
      </c>
      <c r="E71" t="str">
        <f t="shared" ref="E71:E134" si="5">_xlfn.CONCAT(D71,C71,A71)</f>
        <v>100+FemaleET01</v>
      </c>
      <c r="F71" s="384">
        <v>2020</v>
      </c>
      <c r="G71" s="386">
        <f>$G$66*$H24</f>
        <v>14.059042362839188</v>
      </c>
      <c r="H71" s="75">
        <f t="shared" si="4"/>
        <v>8.3795055773097009E-4</v>
      </c>
    </row>
    <row r="72" spans="1:8" x14ac:dyDescent="0.45">
      <c r="A72" t="s">
        <v>2868</v>
      </c>
      <c r="B72" t="s">
        <v>806</v>
      </c>
      <c r="C72" t="s">
        <v>116</v>
      </c>
      <c r="D72" s="362" t="s">
        <v>3347</v>
      </c>
      <c r="E72" t="str">
        <f t="shared" si="5"/>
        <v>&lt;1 yearMaleET01</v>
      </c>
      <c r="F72">
        <v>2020</v>
      </c>
      <c r="G72" s="124">
        <v>111522.931758616</v>
      </c>
    </row>
    <row r="73" spans="1:8" x14ac:dyDescent="0.45">
      <c r="A73" t="s">
        <v>2868</v>
      </c>
      <c r="B73" t="s">
        <v>806</v>
      </c>
      <c r="C73" t="s">
        <v>116</v>
      </c>
      <c r="D73" s="385" t="s">
        <v>169</v>
      </c>
      <c r="E73" t="str">
        <f t="shared" si="5"/>
        <v>1-4MaleET01</v>
      </c>
      <c r="F73">
        <v>2020</v>
      </c>
      <c r="G73" s="124">
        <v>412227.92923249298</v>
      </c>
    </row>
    <row r="74" spans="1:8" x14ac:dyDescent="0.45">
      <c r="A74" s="384" t="s">
        <v>2868</v>
      </c>
      <c r="B74" s="384" t="s">
        <v>806</v>
      </c>
      <c r="C74" s="384" t="s">
        <v>116</v>
      </c>
      <c r="D74" s="387" t="s">
        <v>981</v>
      </c>
      <c r="E74" t="str">
        <f t="shared" si="5"/>
        <v>0-4MaleET01</v>
      </c>
      <c r="F74" s="384">
        <v>2020</v>
      </c>
      <c r="G74" s="386">
        <f>G72+G73</f>
        <v>523750.86099110899</v>
      </c>
    </row>
    <row r="75" spans="1:8" x14ac:dyDescent="0.45">
      <c r="A75" t="s">
        <v>2868</v>
      </c>
      <c r="B75" t="s">
        <v>806</v>
      </c>
      <c r="C75" t="s">
        <v>116</v>
      </c>
      <c r="D75" s="385" t="s">
        <v>982</v>
      </c>
      <c r="E75" t="str">
        <f t="shared" si="5"/>
        <v>5-9MaleET01</v>
      </c>
      <c r="F75">
        <v>2020</v>
      </c>
      <c r="G75" s="124">
        <v>423025.44242888602</v>
      </c>
    </row>
    <row r="76" spans="1:8" x14ac:dyDescent="0.45">
      <c r="A76" t="s">
        <v>2868</v>
      </c>
      <c r="B76" t="s">
        <v>806</v>
      </c>
      <c r="C76" t="s">
        <v>116</v>
      </c>
      <c r="D76" s="385" t="s">
        <v>983</v>
      </c>
      <c r="E76" t="str">
        <f t="shared" si="5"/>
        <v>10-14MaleET01</v>
      </c>
      <c r="F76">
        <v>2020</v>
      </c>
      <c r="G76" s="124">
        <v>413140.43169786001</v>
      </c>
    </row>
    <row r="77" spans="1:8" x14ac:dyDescent="0.45">
      <c r="A77" t="s">
        <v>2868</v>
      </c>
      <c r="B77" t="s">
        <v>806</v>
      </c>
      <c r="C77" t="s">
        <v>116</v>
      </c>
      <c r="D77" s="385" t="s">
        <v>664</v>
      </c>
      <c r="E77" t="str">
        <f t="shared" si="5"/>
        <v>15-19MaleET01</v>
      </c>
      <c r="F77">
        <v>2020</v>
      </c>
      <c r="G77" s="124">
        <v>337071.246146716</v>
      </c>
    </row>
    <row r="78" spans="1:8" x14ac:dyDescent="0.45">
      <c r="A78" t="s">
        <v>2868</v>
      </c>
      <c r="B78" t="s">
        <v>806</v>
      </c>
      <c r="C78" t="s">
        <v>116</v>
      </c>
      <c r="D78" s="385" t="s">
        <v>665</v>
      </c>
      <c r="E78" t="str">
        <f t="shared" si="5"/>
        <v>20-24MaleET01</v>
      </c>
      <c r="F78">
        <v>2020</v>
      </c>
      <c r="G78" s="124">
        <v>274184.57766196103</v>
      </c>
    </row>
    <row r="79" spans="1:8" x14ac:dyDescent="0.45">
      <c r="A79" t="s">
        <v>2868</v>
      </c>
      <c r="B79" t="s">
        <v>806</v>
      </c>
      <c r="C79" t="s">
        <v>116</v>
      </c>
      <c r="D79" s="385" t="s">
        <v>667</v>
      </c>
      <c r="E79" t="str">
        <f t="shared" si="5"/>
        <v>25-29MaleET01</v>
      </c>
      <c r="F79">
        <v>2020</v>
      </c>
      <c r="G79" s="124">
        <v>212856.58680349501</v>
      </c>
    </row>
    <row r="80" spans="1:8" x14ac:dyDescent="0.45">
      <c r="A80" t="s">
        <v>2868</v>
      </c>
      <c r="B80" t="s">
        <v>806</v>
      </c>
      <c r="C80" t="s">
        <v>116</v>
      </c>
      <c r="D80" s="385" t="s">
        <v>670</v>
      </c>
      <c r="E80" t="str">
        <f t="shared" si="5"/>
        <v>30-34MaleET01</v>
      </c>
      <c r="F80">
        <v>2020</v>
      </c>
      <c r="G80" s="124">
        <v>175323.58872274999</v>
      </c>
    </row>
    <row r="81" spans="1:8" x14ac:dyDescent="0.45">
      <c r="A81" t="s">
        <v>2868</v>
      </c>
      <c r="B81" t="s">
        <v>806</v>
      </c>
      <c r="C81" t="s">
        <v>116</v>
      </c>
      <c r="D81" s="385" t="s">
        <v>672</v>
      </c>
      <c r="E81" t="str">
        <f t="shared" si="5"/>
        <v>35-39MaleET01</v>
      </c>
      <c r="F81">
        <v>2020</v>
      </c>
      <c r="G81" s="124">
        <v>167415.032495997</v>
      </c>
    </row>
    <row r="82" spans="1:8" x14ac:dyDescent="0.45">
      <c r="A82" t="s">
        <v>2868</v>
      </c>
      <c r="B82" t="s">
        <v>806</v>
      </c>
      <c r="C82" t="s">
        <v>116</v>
      </c>
      <c r="D82" s="385" t="s">
        <v>674</v>
      </c>
      <c r="E82" t="str">
        <f t="shared" si="5"/>
        <v>40-44MaleET01</v>
      </c>
      <c r="F82">
        <v>2020</v>
      </c>
      <c r="G82" s="124">
        <v>132736.273490238</v>
      </c>
    </row>
    <row r="83" spans="1:8" x14ac:dyDescent="0.45">
      <c r="A83" t="s">
        <v>2868</v>
      </c>
      <c r="B83" t="s">
        <v>806</v>
      </c>
      <c r="C83" t="s">
        <v>116</v>
      </c>
      <c r="D83" s="385" t="s">
        <v>676</v>
      </c>
      <c r="E83" t="str">
        <f t="shared" si="5"/>
        <v>45-49MaleET01</v>
      </c>
      <c r="F83">
        <v>2020</v>
      </c>
      <c r="G83" s="124">
        <v>110015.719535689</v>
      </c>
    </row>
    <row r="84" spans="1:8" x14ac:dyDescent="0.45">
      <c r="A84" t="s">
        <v>2868</v>
      </c>
      <c r="B84" t="s">
        <v>806</v>
      </c>
      <c r="C84" t="s">
        <v>116</v>
      </c>
      <c r="D84" s="385" t="s">
        <v>984</v>
      </c>
      <c r="E84" t="str">
        <f t="shared" si="5"/>
        <v>50-54MaleET01</v>
      </c>
      <c r="F84">
        <v>2020</v>
      </c>
      <c r="G84" s="124">
        <v>95210.801953749702</v>
      </c>
    </row>
    <row r="85" spans="1:8" x14ac:dyDescent="0.45">
      <c r="A85" t="s">
        <v>2868</v>
      </c>
      <c r="B85" t="s">
        <v>806</v>
      </c>
      <c r="C85" t="s">
        <v>116</v>
      </c>
      <c r="D85" s="385" t="s">
        <v>985</v>
      </c>
      <c r="E85" t="str">
        <f t="shared" si="5"/>
        <v>55-59MaleET01</v>
      </c>
      <c r="F85">
        <v>2020</v>
      </c>
      <c r="G85" s="124">
        <v>97319.955167964101</v>
      </c>
    </row>
    <row r="86" spans="1:8" x14ac:dyDescent="0.45">
      <c r="A86" t="s">
        <v>2868</v>
      </c>
      <c r="B86" t="s">
        <v>806</v>
      </c>
      <c r="C86" t="s">
        <v>116</v>
      </c>
      <c r="D86" s="385" t="s">
        <v>986</v>
      </c>
      <c r="E86" t="str">
        <f t="shared" si="5"/>
        <v>60-64MaleET01</v>
      </c>
      <c r="F86">
        <v>2020</v>
      </c>
      <c r="G86" s="124">
        <v>65496.379190393702</v>
      </c>
    </row>
    <row r="87" spans="1:8" x14ac:dyDescent="0.45">
      <c r="A87" t="s">
        <v>2868</v>
      </c>
      <c r="B87" t="s">
        <v>806</v>
      </c>
      <c r="C87" t="s">
        <v>116</v>
      </c>
      <c r="D87" s="385" t="s">
        <v>987</v>
      </c>
      <c r="E87" t="str">
        <f t="shared" si="5"/>
        <v>65-69MaleET01</v>
      </c>
      <c r="F87">
        <v>2020</v>
      </c>
      <c r="G87" s="124">
        <v>55997.217738594802</v>
      </c>
    </row>
    <row r="88" spans="1:8" x14ac:dyDescent="0.45">
      <c r="A88" t="s">
        <v>2868</v>
      </c>
      <c r="B88" t="s">
        <v>806</v>
      </c>
      <c r="C88" t="s">
        <v>116</v>
      </c>
      <c r="D88" s="385" t="s">
        <v>988</v>
      </c>
      <c r="E88" t="str">
        <f t="shared" si="5"/>
        <v>70-74MaleET01</v>
      </c>
      <c r="F88">
        <v>2020</v>
      </c>
      <c r="G88" s="124">
        <v>38454.510093029101</v>
      </c>
    </row>
    <row r="89" spans="1:8" x14ac:dyDescent="0.45">
      <c r="A89" t="s">
        <v>2868</v>
      </c>
      <c r="B89" t="s">
        <v>806</v>
      </c>
      <c r="C89" t="s">
        <v>116</v>
      </c>
      <c r="D89" s="385" t="s">
        <v>989</v>
      </c>
      <c r="E89" t="str">
        <f t="shared" si="5"/>
        <v>75-79MaleET01</v>
      </c>
      <c r="F89">
        <v>2020</v>
      </c>
      <c r="G89" s="124">
        <v>22774.8864476417</v>
      </c>
    </row>
    <row r="90" spans="1:8" x14ac:dyDescent="0.45">
      <c r="A90" t="s">
        <v>2868</v>
      </c>
      <c r="B90" t="s">
        <v>806</v>
      </c>
      <c r="C90" t="s">
        <v>116</v>
      </c>
      <c r="D90" s="385" t="s">
        <v>3346</v>
      </c>
      <c r="E90" t="str">
        <f t="shared" si="5"/>
        <v>80+MaleET01</v>
      </c>
      <c r="F90">
        <v>2020</v>
      </c>
      <c r="G90" s="124">
        <v>10522.047430883</v>
      </c>
    </row>
    <row r="91" spans="1:8" x14ac:dyDescent="0.45">
      <c r="A91" s="384" t="s">
        <v>2868</v>
      </c>
      <c r="B91" s="384" t="s">
        <v>806</v>
      </c>
      <c r="C91" s="384" t="s">
        <v>116</v>
      </c>
      <c r="D91" s="388" t="s">
        <v>990</v>
      </c>
      <c r="E91" t="str">
        <f t="shared" si="5"/>
        <v>80-84MaleET01</v>
      </c>
      <c r="F91" s="384">
        <v>2020</v>
      </c>
      <c r="G91" s="386">
        <f>$G$90*$H43</f>
        <v>6976.9684144099656</v>
      </c>
      <c r="H91" s="75">
        <f>G91/SUM($G$91:$G$95)</f>
        <v>0.66308087472900368</v>
      </c>
    </row>
    <row r="92" spans="1:8" x14ac:dyDescent="0.45">
      <c r="A92" s="384" t="s">
        <v>2868</v>
      </c>
      <c r="B92" s="384" t="s">
        <v>806</v>
      </c>
      <c r="C92" s="384" t="s">
        <v>116</v>
      </c>
      <c r="D92" s="388" t="s">
        <v>991</v>
      </c>
      <c r="E92" t="str">
        <f t="shared" si="5"/>
        <v>85-89MaleET01</v>
      </c>
      <c r="F92" s="384">
        <v>2020</v>
      </c>
      <c r="G92" s="386">
        <f>$G$90*$H44</f>
        <v>2784.6133865711081</v>
      </c>
      <c r="H92" s="75">
        <f t="shared" ref="H92:H95" si="6">G92/SUM($G$91:$G$95)</f>
        <v>0.26464558393816573</v>
      </c>
    </row>
    <row r="93" spans="1:8" x14ac:dyDescent="0.45">
      <c r="A93" s="384" t="s">
        <v>2868</v>
      </c>
      <c r="B93" s="384" t="s">
        <v>806</v>
      </c>
      <c r="C93" s="384" t="s">
        <v>116</v>
      </c>
      <c r="D93" s="388" t="s">
        <v>992</v>
      </c>
      <c r="E93" t="str">
        <f t="shared" si="5"/>
        <v>90-94MaleET01</v>
      </c>
      <c r="F93" s="384">
        <v>2020</v>
      </c>
      <c r="G93" s="386">
        <f>$G$90*$H45</f>
        <v>672.56701046918033</v>
      </c>
      <c r="H93" s="75">
        <f t="shared" si="6"/>
        <v>6.3919785088132716E-2</v>
      </c>
    </row>
    <row r="94" spans="1:8" x14ac:dyDescent="0.45">
      <c r="A94" s="384" t="s">
        <v>2868</v>
      </c>
      <c r="B94" s="384" t="s">
        <v>806</v>
      </c>
      <c r="C94" s="384" t="s">
        <v>116</v>
      </c>
      <c r="D94" s="388" t="s">
        <v>993</v>
      </c>
      <c r="E94" t="str">
        <f t="shared" si="5"/>
        <v>95-99MaleET01</v>
      </c>
      <c r="F94" s="384">
        <v>2020</v>
      </c>
      <c r="G94" s="386">
        <f>$G$90*$H46</f>
        <v>80.418765122766516</v>
      </c>
      <c r="H94" s="75">
        <f t="shared" si="6"/>
        <v>7.6428818298928591E-3</v>
      </c>
    </row>
    <row r="95" spans="1:8" x14ac:dyDescent="0.45">
      <c r="A95" s="384" t="s">
        <v>2868</v>
      </c>
      <c r="B95" s="384" t="s">
        <v>806</v>
      </c>
      <c r="C95" s="384" t="s">
        <v>116</v>
      </c>
      <c r="D95" s="388" t="s">
        <v>994</v>
      </c>
      <c r="E95" t="str">
        <f t="shared" si="5"/>
        <v>100+MaleET01</v>
      </c>
      <c r="F95" s="384">
        <v>2020</v>
      </c>
      <c r="G95" s="386">
        <f>$G$90*$H47</f>
        <v>7.4798543099798245</v>
      </c>
      <c r="H95" s="75">
        <f t="shared" si="6"/>
        <v>7.1087441480503972E-4</v>
      </c>
    </row>
    <row r="96" spans="1:8" x14ac:dyDescent="0.45">
      <c r="A96" t="s">
        <v>2869</v>
      </c>
      <c r="B96" t="s">
        <v>2870</v>
      </c>
      <c r="C96" t="s">
        <v>117</v>
      </c>
      <c r="D96" s="362" t="s">
        <v>3347</v>
      </c>
      <c r="E96" t="str">
        <f t="shared" si="5"/>
        <v>&lt;1 yearFemaleET02</v>
      </c>
      <c r="F96">
        <v>2020</v>
      </c>
      <c r="G96" s="124">
        <v>22739.822456505099</v>
      </c>
    </row>
    <row r="97" spans="1:7" x14ac:dyDescent="0.45">
      <c r="A97" t="s">
        <v>2869</v>
      </c>
      <c r="B97" t="s">
        <v>2870</v>
      </c>
      <c r="C97" t="s">
        <v>117</v>
      </c>
      <c r="D97" s="385" t="s">
        <v>169</v>
      </c>
      <c r="E97" t="str">
        <f t="shared" si="5"/>
        <v>1-4FemaleET02</v>
      </c>
      <c r="F97">
        <v>2020</v>
      </c>
      <c r="G97" s="124">
        <v>84049.816864103006</v>
      </c>
    </row>
    <row r="98" spans="1:7" x14ac:dyDescent="0.45">
      <c r="A98" s="384" t="s">
        <v>2869</v>
      </c>
      <c r="B98" s="384" t="s">
        <v>2870</v>
      </c>
      <c r="C98" s="384" t="s">
        <v>117</v>
      </c>
      <c r="D98" s="387" t="s">
        <v>981</v>
      </c>
      <c r="E98" t="str">
        <f t="shared" si="5"/>
        <v>0-4FemaleET02</v>
      </c>
      <c r="F98" s="384">
        <v>2020</v>
      </c>
      <c r="G98" s="386">
        <f>G97+G96</f>
        <v>106789.63932060811</v>
      </c>
    </row>
    <row r="99" spans="1:7" x14ac:dyDescent="0.45">
      <c r="A99" t="s">
        <v>2869</v>
      </c>
      <c r="B99" t="s">
        <v>2870</v>
      </c>
      <c r="C99" t="s">
        <v>117</v>
      </c>
      <c r="D99" s="385" t="s">
        <v>982</v>
      </c>
      <c r="E99" t="str">
        <f t="shared" si="5"/>
        <v>5-9FemaleET02</v>
      </c>
      <c r="F99">
        <v>2020</v>
      </c>
      <c r="G99" s="124">
        <v>129404.63119587299</v>
      </c>
    </row>
    <row r="100" spans="1:7" x14ac:dyDescent="0.45">
      <c r="A100" t="s">
        <v>2869</v>
      </c>
      <c r="B100" t="s">
        <v>2870</v>
      </c>
      <c r="C100" t="s">
        <v>117</v>
      </c>
      <c r="D100" s="385" t="s">
        <v>983</v>
      </c>
      <c r="E100" t="str">
        <f t="shared" si="5"/>
        <v>10-14FemaleET02</v>
      </c>
      <c r="F100">
        <v>2020</v>
      </c>
      <c r="G100" s="124">
        <v>139340.33815465801</v>
      </c>
    </row>
    <row r="101" spans="1:7" x14ac:dyDescent="0.45">
      <c r="A101" t="s">
        <v>2869</v>
      </c>
      <c r="B101" t="s">
        <v>2870</v>
      </c>
      <c r="C101" t="s">
        <v>117</v>
      </c>
      <c r="D101" s="385" t="s">
        <v>664</v>
      </c>
      <c r="E101" t="str">
        <f t="shared" si="5"/>
        <v>15-19FemaleET02</v>
      </c>
      <c r="F101">
        <v>2020</v>
      </c>
      <c r="G101" s="124">
        <v>113300.234696403</v>
      </c>
    </row>
    <row r="102" spans="1:7" x14ac:dyDescent="0.45">
      <c r="A102" t="s">
        <v>2869</v>
      </c>
      <c r="B102" t="s">
        <v>2870</v>
      </c>
      <c r="C102" t="s">
        <v>117</v>
      </c>
      <c r="D102" s="385" t="s">
        <v>665</v>
      </c>
      <c r="E102" t="str">
        <f t="shared" si="5"/>
        <v>20-24FemaleET02</v>
      </c>
      <c r="F102">
        <v>2020</v>
      </c>
      <c r="G102" s="124">
        <v>83113.185666114005</v>
      </c>
    </row>
    <row r="103" spans="1:7" x14ac:dyDescent="0.45">
      <c r="A103" t="s">
        <v>2869</v>
      </c>
      <c r="B103" t="s">
        <v>2870</v>
      </c>
      <c r="C103" t="s">
        <v>117</v>
      </c>
      <c r="D103" s="385" t="s">
        <v>667</v>
      </c>
      <c r="E103" t="str">
        <f t="shared" si="5"/>
        <v>25-29FemaleET02</v>
      </c>
      <c r="F103">
        <v>2020</v>
      </c>
      <c r="G103" s="124">
        <v>73712.580976486206</v>
      </c>
    </row>
    <row r="104" spans="1:7" x14ac:dyDescent="0.45">
      <c r="A104" t="s">
        <v>2869</v>
      </c>
      <c r="B104" t="s">
        <v>2870</v>
      </c>
      <c r="C104" t="s">
        <v>117</v>
      </c>
      <c r="D104" s="385" t="s">
        <v>670</v>
      </c>
      <c r="E104" t="str">
        <f t="shared" si="5"/>
        <v>30-34FemaleET02</v>
      </c>
      <c r="F104">
        <v>2020</v>
      </c>
      <c r="G104" s="124">
        <v>70620.429969124496</v>
      </c>
    </row>
    <row r="105" spans="1:7" x14ac:dyDescent="0.45">
      <c r="A105" t="s">
        <v>2869</v>
      </c>
      <c r="B105" t="s">
        <v>2870</v>
      </c>
      <c r="C105" t="s">
        <v>117</v>
      </c>
      <c r="D105" s="385" t="s">
        <v>672</v>
      </c>
      <c r="E105" t="str">
        <f t="shared" si="5"/>
        <v>35-39FemaleET02</v>
      </c>
      <c r="F105">
        <v>2020</v>
      </c>
      <c r="G105" s="124">
        <v>67981.275357685896</v>
      </c>
    </row>
    <row r="106" spans="1:7" x14ac:dyDescent="0.45">
      <c r="A106" t="s">
        <v>2869</v>
      </c>
      <c r="B106" t="s">
        <v>2870</v>
      </c>
      <c r="C106" t="s">
        <v>117</v>
      </c>
      <c r="D106" s="385" t="s">
        <v>674</v>
      </c>
      <c r="E106" t="str">
        <f t="shared" si="5"/>
        <v>40-44FemaleET02</v>
      </c>
      <c r="F106">
        <v>2020</v>
      </c>
      <c r="G106" s="124">
        <v>52245.996375508599</v>
      </c>
    </row>
    <row r="107" spans="1:7" x14ac:dyDescent="0.45">
      <c r="A107" t="s">
        <v>2869</v>
      </c>
      <c r="B107" t="s">
        <v>2870</v>
      </c>
      <c r="C107" t="s">
        <v>117</v>
      </c>
      <c r="D107" s="385" t="s">
        <v>676</v>
      </c>
      <c r="E107" t="str">
        <f t="shared" si="5"/>
        <v>45-49FemaleET02</v>
      </c>
      <c r="F107">
        <v>2020</v>
      </c>
      <c r="G107" s="124">
        <v>31857.126084655501</v>
      </c>
    </row>
    <row r="108" spans="1:7" x14ac:dyDescent="0.45">
      <c r="A108" t="s">
        <v>2869</v>
      </c>
      <c r="B108" t="s">
        <v>2870</v>
      </c>
      <c r="C108" t="s">
        <v>117</v>
      </c>
      <c r="D108" s="385" t="s">
        <v>984</v>
      </c>
      <c r="E108" t="str">
        <f t="shared" si="5"/>
        <v>50-54FemaleET02</v>
      </c>
      <c r="F108">
        <v>2020</v>
      </c>
      <c r="G108" s="124">
        <v>20471.850380478401</v>
      </c>
    </row>
    <row r="109" spans="1:7" x14ac:dyDescent="0.45">
      <c r="A109" t="s">
        <v>2869</v>
      </c>
      <c r="B109" t="s">
        <v>2870</v>
      </c>
      <c r="C109" t="s">
        <v>117</v>
      </c>
      <c r="D109" s="385" t="s">
        <v>985</v>
      </c>
      <c r="E109" t="str">
        <f t="shared" si="5"/>
        <v>55-59FemaleET02</v>
      </c>
      <c r="F109">
        <v>2020</v>
      </c>
      <c r="G109" s="124">
        <v>13024.273712411499</v>
      </c>
    </row>
    <row r="110" spans="1:7" x14ac:dyDescent="0.45">
      <c r="A110" t="s">
        <v>2869</v>
      </c>
      <c r="B110" t="s">
        <v>2870</v>
      </c>
      <c r="C110" t="s">
        <v>117</v>
      </c>
      <c r="D110" s="385" t="s">
        <v>986</v>
      </c>
      <c r="E110" t="str">
        <f t="shared" si="5"/>
        <v>60-64FemaleET02</v>
      </c>
      <c r="F110">
        <v>2020</v>
      </c>
      <c r="G110" s="124">
        <v>8609.0861278381199</v>
      </c>
    </row>
    <row r="111" spans="1:7" x14ac:dyDescent="0.45">
      <c r="A111" t="s">
        <v>2869</v>
      </c>
      <c r="B111" t="s">
        <v>2870</v>
      </c>
      <c r="C111" t="s">
        <v>117</v>
      </c>
      <c r="D111" s="385" t="s">
        <v>987</v>
      </c>
      <c r="E111" t="str">
        <f t="shared" si="5"/>
        <v>65-69FemaleET02</v>
      </c>
      <c r="F111">
        <v>2020</v>
      </c>
      <c r="G111" s="124">
        <v>4714.0080913007196</v>
      </c>
    </row>
    <row r="112" spans="1:7" x14ac:dyDescent="0.45">
      <c r="A112" t="s">
        <v>2869</v>
      </c>
      <c r="B112" t="s">
        <v>2870</v>
      </c>
      <c r="C112" t="s">
        <v>117</v>
      </c>
      <c r="D112" s="385" t="s">
        <v>988</v>
      </c>
      <c r="E112" t="str">
        <f t="shared" si="5"/>
        <v>70-74FemaleET02</v>
      </c>
      <c r="F112">
        <v>2020</v>
      </c>
      <c r="G112" s="124">
        <v>3109.1559399357002</v>
      </c>
    </row>
    <row r="113" spans="1:8" x14ac:dyDescent="0.45">
      <c r="A113" t="s">
        <v>2869</v>
      </c>
      <c r="B113" t="s">
        <v>2870</v>
      </c>
      <c r="C113" t="s">
        <v>117</v>
      </c>
      <c r="D113" s="385" t="s">
        <v>989</v>
      </c>
      <c r="E113" t="str">
        <f t="shared" si="5"/>
        <v>75-79FemaleET02</v>
      </c>
      <c r="F113">
        <v>2020</v>
      </c>
      <c r="G113" s="124">
        <v>1624.16252433555</v>
      </c>
    </row>
    <row r="114" spans="1:8" x14ac:dyDescent="0.45">
      <c r="A114" t="s">
        <v>2869</v>
      </c>
      <c r="B114" t="s">
        <v>2870</v>
      </c>
      <c r="C114" t="s">
        <v>117</v>
      </c>
      <c r="D114" s="385" t="s">
        <v>3346</v>
      </c>
      <c r="E114" t="str">
        <f t="shared" si="5"/>
        <v>80+FemaleET02</v>
      </c>
      <c r="F114">
        <v>2020</v>
      </c>
      <c r="G114" s="124">
        <v>1525.8679569615001</v>
      </c>
    </row>
    <row r="115" spans="1:8" x14ac:dyDescent="0.45">
      <c r="A115" s="384" t="s">
        <v>2869</v>
      </c>
      <c r="B115" s="384" t="s">
        <v>2870</v>
      </c>
      <c r="C115" s="384" t="s">
        <v>117</v>
      </c>
      <c r="D115" s="388" t="s">
        <v>990</v>
      </c>
      <c r="E115" t="str">
        <f t="shared" si="5"/>
        <v>80-84FemaleET02</v>
      </c>
      <c r="F115" s="384">
        <v>2020</v>
      </c>
      <c r="G115" s="386">
        <f>$G$114*$H20</f>
        <v>986.77925163146585</v>
      </c>
      <c r="H115" s="75">
        <f>G115/SUM($G$115:$G$119)</f>
        <v>0.64670029089310233</v>
      </c>
    </row>
    <row r="116" spans="1:8" x14ac:dyDescent="0.45">
      <c r="A116" s="384" t="s">
        <v>2869</v>
      </c>
      <c r="B116" s="384" t="s">
        <v>2870</v>
      </c>
      <c r="C116" s="384" t="s">
        <v>117</v>
      </c>
      <c r="D116" s="388" t="s">
        <v>991</v>
      </c>
      <c r="E116" t="str">
        <f t="shared" si="5"/>
        <v>85-89FemaleET02</v>
      </c>
      <c r="F116" s="384">
        <v>2020</v>
      </c>
      <c r="G116" s="386">
        <f>$G$114*$H21</f>
        <v>411.9237241751855</v>
      </c>
      <c r="H116" s="75">
        <f t="shared" ref="H116:H119" si="7">G116/SUM($G$115:$G$119)</f>
        <v>0.26996026903629311</v>
      </c>
    </row>
    <row r="117" spans="1:8" x14ac:dyDescent="0.45">
      <c r="A117" s="384" t="s">
        <v>2869</v>
      </c>
      <c r="B117" s="384" t="s">
        <v>2870</v>
      </c>
      <c r="C117" s="384" t="s">
        <v>117</v>
      </c>
      <c r="D117" s="388" t="s">
        <v>992</v>
      </c>
      <c r="E117" t="str">
        <f t="shared" si="5"/>
        <v>90-94FemaleET02</v>
      </c>
      <c r="F117" s="384">
        <v>2020</v>
      </c>
      <c r="G117" s="386">
        <f>$G$114*$H22</f>
        <v>109.20135362236536</v>
      </c>
      <c r="H117" s="75">
        <f t="shared" si="7"/>
        <v>7.1566712653053421E-2</v>
      </c>
    </row>
    <row r="118" spans="1:8" x14ac:dyDescent="0.45">
      <c r="A118" s="384" t="s">
        <v>2869</v>
      </c>
      <c r="B118" s="384" t="s">
        <v>2870</v>
      </c>
      <c r="C118" s="384" t="s">
        <v>117</v>
      </c>
      <c r="D118" s="388" t="s">
        <v>993</v>
      </c>
      <c r="E118" t="str">
        <f t="shared" si="5"/>
        <v>95-99FemaleET02</v>
      </c>
      <c r="F118" s="384">
        <v>2020</v>
      </c>
      <c r="G118" s="386">
        <f>$G$114*$H23</f>
        <v>16.685025626923601</v>
      </c>
      <c r="H118" s="75">
        <f t="shared" si="7"/>
        <v>1.0934776859820111E-2</v>
      </c>
    </row>
    <row r="119" spans="1:8" x14ac:dyDescent="0.45">
      <c r="A119" s="384" t="s">
        <v>2869</v>
      </c>
      <c r="B119" s="384" t="s">
        <v>2870</v>
      </c>
      <c r="C119" s="384" t="s">
        <v>117</v>
      </c>
      <c r="D119" s="388" t="s">
        <v>994</v>
      </c>
      <c r="E119" t="str">
        <f t="shared" si="5"/>
        <v>100+FemaleET02</v>
      </c>
      <c r="F119" s="384">
        <v>2020</v>
      </c>
      <c r="G119" s="386">
        <f>$G$114*$H24</f>
        <v>1.2786019055597049</v>
      </c>
      <c r="H119" s="75">
        <f t="shared" si="7"/>
        <v>8.3795055773097009E-4</v>
      </c>
    </row>
    <row r="120" spans="1:8" x14ac:dyDescent="0.45">
      <c r="A120" t="s">
        <v>2869</v>
      </c>
      <c r="B120" t="s">
        <v>2870</v>
      </c>
      <c r="C120" t="s">
        <v>116</v>
      </c>
      <c r="D120" s="362" t="s">
        <v>3347</v>
      </c>
      <c r="E120" t="str">
        <f t="shared" si="5"/>
        <v>&lt;1 yearMaleET02</v>
      </c>
      <c r="F120">
        <v>2020</v>
      </c>
      <c r="G120" s="124">
        <v>26068.731972824698</v>
      </c>
    </row>
    <row r="121" spans="1:8" x14ac:dyDescent="0.45">
      <c r="A121" t="s">
        <v>2869</v>
      </c>
      <c r="B121" t="s">
        <v>2870</v>
      </c>
      <c r="C121" t="s">
        <v>116</v>
      </c>
      <c r="D121" s="385" t="s">
        <v>169</v>
      </c>
      <c r="E121" t="str">
        <f t="shared" si="5"/>
        <v>1-4MaleET02</v>
      </c>
      <c r="F121">
        <v>2020</v>
      </c>
      <c r="G121" s="124">
        <v>96359.140256389903</v>
      </c>
    </row>
    <row r="122" spans="1:8" x14ac:dyDescent="0.45">
      <c r="A122" s="384" t="s">
        <v>2869</v>
      </c>
      <c r="B122" s="384" t="s">
        <v>2870</v>
      </c>
      <c r="C122" s="384" t="s">
        <v>116</v>
      </c>
      <c r="D122" s="387" t="s">
        <v>981</v>
      </c>
      <c r="E122" t="str">
        <f t="shared" si="5"/>
        <v>0-4MaleET02</v>
      </c>
      <c r="F122" s="384">
        <v>2020</v>
      </c>
      <c r="G122" s="386">
        <f>G121+G120</f>
        <v>122427.8722292146</v>
      </c>
    </row>
    <row r="123" spans="1:8" x14ac:dyDescent="0.45">
      <c r="A123" t="s">
        <v>2869</v>
      </c>
      <c r="B123" t="s">
        <v>2870</v>
      </c>
      <c r="C123" t="s">
        <v>116</v>
      </c>
      <c r="D123" s="385" t="s">
        <v>982</v>
      </c>
      <c r="E123" t="str">
        <f t="shared" si="5"/>
        <v>5-9MaleET02</v>
      </c>
      <c r="F123">
        <v>2020</v>
      </c>
      <c r="G123" s="124">
        <v>158404.45003598899</v>
      </c>
    </row>
    <row r="124" spans="1:8" x14ac:dyDescent="0.45">
      <c r="A124" t="s">
        <v>2869</v>
      </c>
      <c r="B124" t="s">
        <v>2870</v>
      </c>
      <c r="C124" t="s">
        <v>116</v>
      </c>
      <c r="D124" s="385" t="s">
        <v>983</v>
      </c>
      <c r="E124" t="str">
        <f t="shared" si="5"/>
        <v>10-14MaleET02</v>
      </c>
      <c r="F124">
        <v>2020</v>
      </c>
      <c r="G124" s="124">
        <v>185702.832515805</v>
      </c>
    </row>
    <row r="125" spans="1:8" x14ac:dyDescent="0.45">
      <c r="A125" t="s">
        <v>2869</v>
      </c>
      <c r="B125" t="s">
        <v>2870</v>
      </c>
      <c r="C125" t="s">
        <v>116</v>
      </c>
      <c r="D125" s="385" t="s">
        <v>664</v>
      </c>
      <c r="E125" t="str">
        <f t="shared" si="5"/>
        <v>15-19MaleET02</v>
      </c>
      <c r="F125">
        <v>2020</v>
      </c>
      <c r="G125" s="124">
        <v>162890.00759191799</v>
      </c>
    </row>
    <row r="126" spans="1:8" x14ac:dyDescent="0.45">
      <c r="A126" t="s">
        <v>2869</v>
      </c>
      <c r="B126" t="s">
        <v>2870</v>
      </c>
      <c r="C126" t="s">
        <v>116</v>
      </c>
      <c r="D126" s="385" t="s">
        <v>665</v>
      </c>
      <c r="E126" t="str">
        <f t="shared" si="5"/>
        <v>20-24MaleET02</v>
      </c>
      <c r="F126">
        <v>2020</v>
      </c>
      <c r="G126" s="124">
        <v>111395.63780659399</v>
      </c>
    </row>
    <row r="127" spans="1:8" x14ac:dyDescent="0.45">
      <c r="A127" t="s">
        <v>2869</v>
      </c>
      <c r="B127" t="s">
        <v>2870</v>
      </c>
      <c r="C127" t="s">
        <v>116</v>
      </c>
      <c r="D127" s="385" t="s">
        <v>667</v>
      </c>
      <c r="E127" t="str">
        <f t="shared" si="5"/>
        <v>25-29MaleET02</v>
      </c>
      <c r="F127">
        <v>2020</v>
      </c>
      <c r="G127" s="124">
        <v>79020.965972602295</v>
      </c>
    </row>
    <row r="128" spans="1:8" x14ac:dyDescent="0.45">
      <c r="A128" t="s">
        <v>2869</v>
      </c>
      <c r="B128" t="s">
        <v>2870</v>
      </c>
      <c r="C128" t="s">
        <v>116</v>
      </c>
      <c r="D128" s="385" t="s">
        <v>670</v>
      </c>
      <c r="E128" t="str">
        <f t="shared" si="5"/>
        <v>30-34MaleET02</v>
      </c>
      <c r="F128">
        <v>2020</v>
      </c>
      <c r="G128" s="124">
        <v>57078.750660404497</v>
      </c>
    </row>
    <row r="129" spans="1:8" x14ac:dyDescent="0.45">
      <c r="A129" t="s">
        <v>2869</v>
      </c>
      <c r="B129" t="s">
        <v>2870</v>
      </c>
      <c r="C129" t="s">
        <v>116</v>
      </c>
      <c r="D129" s="385" t="s">
        <v>672</v>
      </c>
      <c r="E129" t="str">
        <f t="shared" si="5"/>
        <v>35-39MaleET02</v>
      </c>
      <c r="F129">
        <v>2020</v>
      </c>
      <c r="G129" s="124">
        <v>59691.098534859702</v>
      </c>
    </row>
    <row r="130" spans="1:8" x14ac:dyDescent="0.45">
      <c r="A130" t="s">
        <v>2869</v>
      </c>
      <c r="B130" t="s">
        <v>2870</v>
      </c>
      <c r="C130" t="s">
        <v>116</v>
      </c>
      <c r="D130" s="385" t="s">
        <v>674</v>
      </c>
      <c r="E130" t="str">
        <f t="shared" si="5"/>
        <v>40-44MaleET02</v>
      </c>
      <c r="F130">
        <v>2020</v>
      </c>
      <c r="G130" s="124">
        <v>58532.692557886199</v>
      </c>
    </row>
    <row r="131" spans="1:8" x14ac:dyDescent="0.45">
      <c r="A131" t="s">
        <v>2869</v>
      </c>
      <c r="B131" t="s">
        <v>2870</v>
      </c>
      <c r="C131" t="s">
        <v>116</v>
      </c>
      <c r="D131" s="385" t="s">
        <v>676</v>
      </c>
      <c r="E131" t="str">
        <f t="shared" si="5"/>
        <v>45-49MaleET02</v>
      </c>
      <c r="F131">
        <v>2020</v>
      </c>
      <c r="G131" s="124">
        <v>43055.933678157598</v>
      </c>
    </row>
    <row r="132" spans="1:8" x14ac:dyDescent="0.45">
      <c r="A132" t="s">
        <v>2869</v>
      </c>
      <c r="B132" t="s">
        <v>2870</v>
      </c>
      <c r="C132" t="s">
        <v>116</v>
      </c>
      <c r="D132" s="385" t="s">
        <v>984</v>
      </c>
      <c r="E132" t="str">
        <f t="shared" si="5"/>
        <v>50-54MaleET02</v>
      </c>
      <c r="F132">
        <v>2020</v>
      </c>
      <c r="G132" s="124">
        <v>32894.918041594297</v>
      </c>
    </row>
    <row r="133" spans="1:8" x14ac:dyDescent="0.45">
      <c r="A133" t="s">
        <v>2869</v>
      </c>
      <c r="B133" t="s">
        <v>2870</v>
      </c>
      <c r="C133" t="s">
        <v>116</v>
      </c>
      <c r="D133" s="385" t="s">
        <v>985</v>
      </c>
      <c r="E133" t="str">
        <f t="shared" si="5"/>
        <v>55-59MaleET02</v>
      </c>
      <c r="F133">
        <v>2020</v>
      </c>
      <c r="G133" s="124">
        <v>20396.700880134402</v>
      </c>
    </row>
    <row r="134" spans="1:8" x14ac:dyDescent="0.45">
      <c r="A134" t="s">
        <v>2869</v>
      </c>
      <c r="B134" t="s">
        <v>2870</v>
      </c>
      <c r="C134" t="s">
        <v>116</v>
      </c>
      <c r="D134" s="385" t="s">
        <v>986</v>
      </c>
      <c r="E134" t="str">
        <f t="shared" si="5"/>
        <v>60-64MaleET02</v>
      </c>
      <c r="F134">
        <v>2020</v>
      </c>
      <c r="G134" s="124">
        <v>16359.184137714999</v>
      </c>
    </row>
    <row r="135" spans="1:8" x14ac:dyDescent="0.45">
      <c r="A135" t="s">
        <v>2869</v>
      </c>
      <c r="B135" t="s">
        <v>2870</v>
      </c>
      <c r="C135" t="s">
        <v>116</v>
      </c>
      <c r="D135" s="385" t="s">
        <v>987</v>
      </c>
      <c r="E135" t="str">
        <f t="shared" ref="E135:E198" si="8">_xlfn.CONCAT(D135,C135,A135)</f>
        <v>65-69MaleET02</v>
      </c>
      <c r="F135">
        <v>2020</v>
      </c>
      <c r="G135" s="124">
        <v>7242.6225660890304</v>
      </c>
    </row>
    <row r="136" spans="1:8" x14ac:dyDescent="0.45">
      <c r="A136" t="s">
        <v>2869</v>
      </c>
      <c r="B136" t="s">
        <v>2870</v>
      </c>
      <c r="C136" t="s">
        <v>116</v>
      </c>
      <c r="D136" s="385" t="s">
        <v>988</v>
      </c>
      <c r="E136" t="str">
        <f t="shared" si="8"/>
        <v>70-74MaleET02</v>
      </c>
      <c r="F136">
        <v>2020</v>
      </c>
      <c r="G136" s="124">
        <v>4655.1835446665</v>
      </c>
    </row>
    <row r="137" spans="1:8" x14ac:dyDescent="0.45">
      <c r="A137" t="s">
        <v>2869</v>
      </c>
      <c r="B137" t="s">
        <v>2870</v>
      </c>
      <c r="C137" t="s">
        <v>116</v>
      </c>
      <c r="D137" s="385" t="s">
        <v>989</v>
      </c>
      <c r="E137" t="str">
        <f t="shared" si="8"/>
        <v>75-79MaleET02</v>
      </c>
      <c r="F137">
        <v>2020</v>
      </c>
      <c r="G137" s="124">
        <v>1908.5076074998301</v>
      </c>
    </row>
    <row r="138" spans="1:8" x14ac:dyDescent="0.45">
      <c r="A138" t="s">
        <v>2869</v>
      </c>
      <c r="B138" t="s">
        <v>2870</v>
      </c>
      <c r="C138" t="s">
        <v>116</v>
      </c>
      <c r="D138" s="385" t="s">
        <v>3346</v>
      </c>
      <c r="E138" t="str">
        <f t="shared" si="8"/>
        <v>80+MaleET02</v>
      </c>
      <c r="F138">
        <v>2020</v>
      </c>
      <c r="G138" s="124">
        <v>1248.4930632440301</v>
      </c>
    </row>
    <row r="139" spans="1:8" x14ac:dyDescent="0.45">
      <c r="A139" s="384" t="s">
        <v>2869</v>
      </c>
      <c r="B139" s="384" t="s">
        <v>2870</v>
      </c>
      <c r="C139" s="384" t="s">
        <v>116</v>
      </c>
      <c r="D139" s="388" t="s">
        <v>990</v>
      </c>
      <c r="E139" t="str">
        <f t="shared" si="8"/>
        <v>80-84MaleET02</v>
      </c>
      <c r="F139" s="384">
        <v>2020</v>
      </c>
      <c r="G139" s="386">
        <f>$G$138*$H43</f>
        <v>827.85187246894475</v>
      </c>
      <c r="H139" s="75">
        <f>G139/SUM($G$139:$G$143)</f>
        <v>0.66308087472900368</v>
      </c>
    </row>
    <row r="140" spans="1:8" x14ac:dyDescent="0.45">
      <c r="A140" s="384" t="s">
        <v>2869</v>
      </c>
      <c r="B140" s="384" t="s">
        <v>2870</v>
      </c>
      <c r="C140" s="384" t="s">
        <v>116</v>
      </c>
      <c r="D140" s="388" t="s">
        <v>991</v>
      </c>
      <c r="E140" t="str">
        <f t="shared" si="8"/>
        <v>85-89MaleET02</v>
      </c>
      <c r="F140" s="384">
        <v>2020</v>
      </c>
      <c r="G140" s="386">
        <f>$G$138*$H44</f>
        <v>330.40817576496562</v>
      </c>
      <c r="H140" s="75">
        <f t="shared" ref="H140:H143" si="9">G140/SUM($G$139:$G$143)</f>
        <v>0.26464558393816573</v>
      </c>
    </row>
    <row r="141" spans="1:8" x14ac:dyDescent="0.45">
      <c r="A141" s="384" t="s">
        <v>2869</v>
      </c>
      <c r="B141" s="384" t="s">
        <v>2870</v>
      </c>
      <c r="C141" s="384" t="s">
        <v>116</v>
      </c>
      <c r="D141" s="388" t="s">
        <v>992</v>
      </c>
      <c r="E141" t="str">
        <f t="shared" si="8"/>
        <v>90-94MaleET02</v>
      </c>
      <c r="F141" s="384">
        <v>2020</v>
      </c>
      <c r="G141" s="386">
        <f>$G$138*$H45</f>
        <v>79.803408286582894</v>
      </c>
      <c r="H141" s="75">
        <f t="shared" si="9"/>
        <v>6.3919785088132716E-2</v>
      </c>
    </row>
    <row r="142" spans="1:8" x14ac:dyDescent="0.45">
      <c r="A142" s="384" t="s">
        <v>2869</v>
      </c>
      <c r="B142" s="384" t="s">
        <v>2870</v>
      </c>
      <c r="C142" s="384" t="s">
        <v>116</v>
      </c>
      <c r="D142" s="388" t="s">
        <v>993</v>
      </c>
      <c r="E142" t="str">
        <f t="shared" si="8"/>
        <v>95-99MaleET02</v>
      </c>
      <c r="F142" s="384">
        <v>2020</v>
      </c>
      <c r="G142" s="386">
        <f>$G$138*$H46</f>
        <v>9.5420849478150718</v>
      </c>
      <c r="H142" s="75">
        <f t="shared" si="9"/>
        <v>7.6428818298928574E-3</v>
      </c>
    </row>
    <row r="143" spans="1:8" x14ac:dyDescent="0.45">
      <c r="A143" s="384" t="s">
        <v>2869</v>
      </c>
      <c r="B143" s="384" t="s">
        <v>2870</v>
      </c>
      <c r="C143" s="384" t="s">
        <v>116</v>
      </c>
      <c r="D143" s="388" t="s">
        <v>994</v>
      </c>
      <c r="E143" t="str">
        <f t="shared" si="8"/>
        <v>100+MaleET02</v>
      </c>
      <c r="F143" s="384">
        <v>2020</v>
      </c>
      <c r="G143" s="386">
        <f>$G$138*$H47</f>
        <v>0.88752177572175128</v>
      </c>
      <c r="H143" s="75">
        <f t="shared" si="9"/>
        <v>7.1087441480503972E-4</v>
      </c>
    </row>
    <row r="144" spans="1:8" x14ac:dyDescent="0.45">
      <c r="A144" t="s">
        <v>2871</v>
      </c>
      <c r="B144" t="s">
        <v>805</v>
      </c>
      <c r="C144" t="s">
        <v>117</v>
      </c>
      <c r="D144" s="362" t="s">
        <v>3347</v>
      </c>
      <c r="E144" t="str">
        <f t="shared" si="8"/>
        <v>&lt;1 yearFemaleET03</v>
      </c>
      <c r="F144">
        <v>2020</v>
      </c>
      <c r="G144" s="124">
        <v>383352.08778901002</v>
      </c>
    </row>
    <row r="145" spans="1:7" x14ac:dyDescent="0.45">
      <c r="A145" t="s">
        <v>2871</v>
      </c>
      <c r="B145" t="s">
        <v>805</v>
      </c>
      <c r="C145" t="s">
        <v>117</v>
      </c>
      <c r="D145" s="385" t="s">
        <v>169</v>
      </c>
      <c r="E145" t="str">
        <f t="shared" si="8"/>
        <v>1-4FemaleET03</v>
      </c>
      <c r="F145">
        <v>2020</v>
      </c>
      <c r="G145" s="124">
        <v>1416924.3916720001</v>
      </c>
    </row>
    <row r="146" spans="1:7" x14ac:dyDescent="0.45">
      <c r="A146" s="384" t="s">
        <v>2871</v>
      </c>
      <c r="B146" s="384" t="s">
        <v>805</v>
      </c>
      <c r="C146" s="384" t="s">
        <v>117</v>
      </c>
      <c r="D146" s="387" t="s">
        <v>981</v>
      </c>
      <c r="E146" t="str">
        <f t="shared" si="8"/>
        <v>0-4FemaleET03</v>
      </c>
      <c r="F146" s="384">
        <v>2020</v>
      </c>
      <c r="G146" s="386">
        <f>G145+G144</f>
        <v>1800276.4794610101</v>
      </c>
    </row>
    <row r="147" spans="1:7" x14ac:dyDescent="0.45">
      <c r="A147" t="s">
        <v>2871</v>
      </c>
      <c r="B147" t="s">
        <v>805</v>
      </c>
      <c r="C147" t="s">
        <v>117</v>
      </c>
      <c r="D147" s="385" t="s">
        <v>982</v>
      </c>
      <c r="E147" t="str">
        <f t="shared" si="8"/>
        <v>5-9FemaleET03</v>
      </c>
      <c r="F147">
        <v>2020</v>
      </c>
      <c r="G147" s="124">
        <v>1629353.64809219</v>
      </c>
    </row>
    <row r="148" spans="1:7" x14ac:dyDescent="0.45">
      <c r="A148" t="s">
        <v>2871</v>
      </c>
      <c r="B148" t="s">
        <v>805</v>
      </c>
      <c r="C148" t="s">
        <v>117</v>
      </c>
      <c r="D148" s="385" t="s">
        <v>983</v>
      </c>
      <c r="E148" t="str">
        <f t="shared" si="8"/>
        <v>10-14FemaleET03</v>
      </c>
      <c r="F148">
        <v>2020</v>
      </c>
      <c r="G148" s="124">
        <v>1553888.4616600501</v>
      </c>
    </row>
    <row r="149" spans="1:7" x14ac:dyDescent="0.45">
      <c r="A149" t="s">
        <v>2871</v>
      </c>
      <c r="B149" t="s">
        <v>805</v>
      </c>
      <c r="C149" t="s">
        <v>117</v>
      </c>
      <c r="D149" s="385" t="s">
        <v>664</v>
      </c>
      <c r="E149" t="str">
        <f t="shared" si="8"/>
        <v>15-19FemaleET03</v>
      </c>
      <c r="F149">
        <v>2020</v>
      </c>
      <c r="G149" s="124">
        <v>1410858.23683016</v>
      </c>
    </row>
    <row r="150" spans="1:7" x14ac:dyDescent="0.45">
      <c r="A150" t="s">
        <v>2871</v>
      </c>
      <c r="B150" t="s">
        <v>805</v>
      </c>
      <c r="C150" t="s">
        <v>117</v>
      </c>
      <c r="D150" s="385" t="s">
        <v>665</v>
      </c>
      <c r="E150" t="str">
        <f t="shared" si="8"/>
        <v>20-24FemaleET03</v>
      </c>
      <c r="F150">
        <v>2020</v>
      </c>
      <c r="G150" s="124">
        <v>1097219.92111976</v>
      </c>
    </row>
    <row r="151" spans="1:7" x14ac:dyDescent="0.45">
      <c r="A151" t="s">
        <v>2871</v>
      </c>
      <c r="B151" t="s">
        <v>805</v>
      </c>
      <c r="C151" t="s">
        <v>117</v>
      </c>
      <c r="D151" s="385" t="s">
        <v>667</v>
      </c>
      <c r="E151" t="str">
        <f t="shared" si="8"/>
        <v>25-29FemaleET03</v>
      </c>
      <c r="F151">
        <v>2020</v>
      </c>
      <c r="G151" s="124">
        <v>996441.41160149104</v>
      </c>
    </row>
    <row r="152" spans="1:7" x14ac:dyDescent="0.45">
      <c r="A152" t="s">
        <v>2871</v>
      </c>
      <c r="B152" t="s">
        <v>805</v>
      </c>
      <c r="C152" t="s">
        <v>117</v>
      </c>
      <c r="D152" s="385" t="s">
        <v>670</v>
      </c>
      <c r="E152" t="str">
        <f t="shared" si="8"/>
        <v>30-34FemaleET03</v>
      </c>
      <c r="F152">
        <v>2020</v>
      </c>
      <c r="G152" s="124">
        <v>749217.00603894796</v>
      </c>
    </row>
    <row r="153" spans="1:7" x14ac:dyDescent="0.45">
      <c r="A153" t="s">
        <v>2871</v>
      </c>
      <c r="B153" t="s">
        <v>805</v>
      </c>
      <c r="C153" t="s">
        <v>117</v>
      </c>
      <c r="D153" s="385" t="s">
        <v>672</v>
      </c>
      <c r="E153" t="str">
        <f t="shared" si="8"/>
        <v>35-39FemaleET03</v>
      </c>
      <c r="F153">
        <v>2020</v>
      </c>
      <c r="G153" s="124">
        <v>679070.03274266003</v>
      </c>
    </row>
    <row r="154" spans="1:7" x14ac:dyDescent="0.45">
      <c r="A154" t="s">
        <v>2871</v>
      </c>
      <c r="B154" t="s">
        <v>805</v>
      </c>
      <c r="C154" t="s">
        <v>117</v>
      </c>
      <c r="D154" s="385" t="s">
        <v>674</v>
      </c>
      <c r="E154" t="str">
        <f t="shared" si="8"/>
        <v>40-44FemaleET03</v>
      </c>
      <c r="F154">
        <v>2020</v>
      </c>
      <c r="G154" s="124">
        <v>550818.92881278996</v>
      </c>
    </row>
    <row r="155" spans="1:7" x14ac:dyDescent="0.45">
      <c r="A155" t="s">
        <v>2871</v>
      </c>
      <c r="B155" t="s">
        <v>805</v>
      </c>
      <c r="C155" t="s">
        <v>117</v>
      </c>
      <c r="D155" s="385" t="s">
        <v>676</v>
      </c>
      <c r="E155" t="str">
        <f t="shared" si="8"/>
        <v>45-49FemaleET03</v>
      </c>
      <c r="F155">
        <v>2020</v>
      </c>
      <c r="G155" s="124">
        <v>480208.17647934298</v>
      </c>
    </row>
    <row r="156" spans="1:7" x14ac:dyDescent="0.45">
      <c r="A156" t="s">
        <v>2871</v>
      </c>
      <c r="B156" t="s">
        <v>805</v>
      </c>
      <c r="C156" t="s">
        <v>117</v>
      </c>
      <c r="D156" s="385" t="s">
        <v>984</v>
      </c>
      <c r="E156" t="str">
        <f t="shared" si="8"/>
        <v>50-54FemaleET03</v>
      </c>
      <c r="F156">
        <v>2020</v>
      </c>
      <c r="G156" s="124">
        <v>428456.33635374502</v>
      </c>
    </row>
    <row r="157" spans="1:7" x14ac:dyDescent="0.45">
      <c r="A157" t="s">
        <v>2871</v>
      </c>
      <c r="B157" t="s">
        <v>805</v>
      </c>
      <c r="C157" t="s">
        <v>117</v>
      </c>
      <c r="D157" s="385" t="s">
        <v>985</v>
      </c>
      <c r="E157" t="str">
        <f t="shared" si="8"/>
        <v>55-59FemaleET03</v>
      </c>
      <c r="F157">
        <v>2020</v>
      </c>
      <c r="G157" s="124">
        <v>365513.32875455898</v>
      </c>
    </row>
    <row r="158" spans="1:7" x14ac:dyDescent="0.45">
      <c r="A158" t="s">
        <v>2871</v>
      </c>
      <c r="B158" t="s">
        <v>805</v>
      </c>
      <c r="C158" t="s">
        <v>117</v>
      </c>
      <c r="D158" s="385" t="s">
        <v>986</v>
      </c>
      <c r="E158" t="str">
        <f t="shared" si="8"/>
        <v>60-64FemaleET03</v>
      </c>
      <c r="F158">
        <v>2020</v>
      </c>
      <c r="G158" s="124">
        <v>272791.131532598</v>
      </c>
    </row>
    <row r="159" spans="1:7" x14ac:dyDescent="0.45">
      <c r="A159" t="s">
        <v>2871</v>
      </c>
      <c r="B159" t="s">
        <v>805</v>
      </c>
      <c r="C159" t="s">
        <v>117</v>
      </c>
      <c r="D159" s="385" t="s">
        <v>987</v>
      </c>
      <c r="E159" t="str">
        <f t="shared" si="8"/>
        <v>65-69FemaleET03</v>
      </c>
      <c r="F159">
        <v>2020</v>
      </c>
      <c r="G159" s="124">
        <v>227997.106075494</v>
      </c>
    </row>
    <row r="160" spans="1:7" x14ac:dyDescent="0.45">
      <c r="A160" t="s">
        <v>2871</v>
      </c>
      <c r="B160" t="s">
        <v>805</v>
      </c>
      <c r="C160" t="s">
        <v>117</v>
      </c>
      <c r="D160" s="385" t="s">
        <v>988</v>
      </c>
      <c r="E160" t="str">
        <f t="shared" si="8"/>
        <v>70-74FemaleET03</v>
      </c>
      <c r="F160">
        <v>2020</v>
      </c>
      <c r="G160" s="124">
        <v>164409.245117677</v>
      </c>
    </row>
    <row r="161" spans="1:8" x14ac:dyDescent="0.45">
      <c r="A161" t="s">
        <v>2871</v>
      </c>
      <c r="B161" t="s">
        <v>805</v>
      </c>
      <c r="C161" t="s">
        <v>117</v>
      </c>
      <c r="D161" s="385" t="s">
        <v>989</v>
      </c>
      <c r="E161" t="str">
        <f t="shared" si="8"/>
        <v>75-79FemaleET03</v>
      </c>
      <c r="F161">
        <v>2020</v>
      </c>
      <c r="G161" s="124">
        <v>106095.375824855</v>
      </c>
    </row>
    <row r="162" spans="1:8" x14ac:dyDescent="0.45">
      <c r="A162" t="s">
        <v>2871</v>
      </c>
      <c r="B162" t="s">
        <v>805</v>
      </c>
      <c r="C162" t="s">
        <v>117</v>
      </c>
      <c r="D162" s="385" t="s">
        <v>3346</v>
      </c>
      <c r="E162" t="str">
        <f t="shared" si="8"/>
        <v>80+FemaleET03</v>
      </c>
      <c r="F162">
        <v>2020</v>
      </c>
      <c r="G162" s="124">
        <v>61963.024603296501</v>
      </c>
    </row>
    <row r="163" spans="1:8" x14ac:dyDescent="0.45">
      <c r="A163" s="384" t="s">
        <v>2871</v>
      </c>
      <c r="B163" s="384" t="s">
        <v>805</v>
      </c>
      <c r="C163" s="384" t="s">
        <v>117</v>
      </c>
      <c r="D163" s="388" t="s">
        <v>990</v>
      </c>
      <c r="E163" t="str">
        <f t="shared" si="8"/>
        <v>80-84FemaleET03</v>
      </c>
      <c r="F163" s="384">
        <v>2020</v>
      </c>
      <c r="G163" s="386">
        <f>$G$162*$H20</f>
        <v>40071.506035568302</v>
      </c>
      <c r="H163" s="75">
        <f>G163/SUM($G$163:$G$167)</f>
        <v>0.64670029089310233</v>
      </c>
    </row>
    <row r="164" spans="1:8" x14ac:dyDescent="0.45">
      <c r="A164" s="384" t="s">
        <v>2871</v>
      </c>
      <c r="B164" s="384" t="s">
        <v>805</v>
      </c>
      <c r="C164" s="384" t="s">
        <v>117</v>
      </c>
      <c r="D164" s="388" t="s">
        <v>991</v>
      </c>
      <c r="E164" t="str">
        <f t="shared" si="8"/>
        <v>85-89FemaleET03</v>
      </c>
      <c r="F164" s="384">
        <v>2020</v>
      </c>
      <c r="G164" s="386">
        <f>$G$162*$H21</f>
        <v>16727.554792208372</v>
      </c>
      <c r="H164" s="75">
        <f t="shared" ref="H164:H167" si="10">G164/SUM($G$163:$G$167)</f>
        <v>0.26996026903629311</v>
      </c>
    </row>
    <row r="165" spans="1:8" x14ac:dyDescent="0.45">
      <c r="A165" s="384" t="s">
        <v>2871</v>
      </c>
      <c r="B165" s="384" t="s">
        <v>805</v>
      </c>
      <c r="C165" s="384" t="s">
        <v>117</v>
      </c>
      <c r="D165" s="388" t="s">
        <v>992</v>
      </c>
      <c r="E165" t="str">
        <f t="shared" si="8"/>
        <v>90-94FemaleET03</v>
      </c>
      <c r="F165" s="384">
        <v>2020</v>
      </c>
      <c r="G165" s="386">
        <f>$G$162*$H22</f>
        <v>4434.4899768982004</v>
      </c>
      <c r="H165" s="75">
        <f t="shared" si="10"/>
        <v>7.1566712653053435E-2</v>
      </c>
    </row>
    <row r="166" spans="1:8" x14ac:dyDescent="0.45">
      <c r="A166" s="384" t="s">
        <v>2871</v>
      </c>
      <c r="B166" s="384" t="s">
        <v>805</v>
      </c>
      <c r="C166" s="384" t="s">
        <v>117</v>
      </c>
      <c r="D166" s="388" t="s">
        <v>993</v>
      </c>
      <c r="E166" t="str">
        <f t="shared" si="8"/>
        <v>95-99FemaleET03</v>
      </c>
      <c r="F166" s="384">
        <v>2020</v>
      </c>
      <c r="G166" s="386">
        <f>$G$162*$H23</f>
        <v>677.55184759659085</v>
      </c>
      <c r="H166" s="75">
        <f t="shared" si="10"/>
        <v>1.0934776859820113E-2</v>
      </c>
    </row>
    <row r="167" spans="1:8" x14ac:dyDescent="0.45">
      <c r="A167" s="384" t="s">
        <v>2871</v>
      </c>
      <c r="B167" s="384" t="s">
        <v>805</v>
      </c>
      <c r="C167" s="384" t="s">
        <v>117</v>
      </c>
      <c r="D167" s="388" t="s">
        <v>994</v>
      </c>
      <c r="E167" t="str">
        <f t="shared" si="8"/>
        <v>100+FemaleET03</v>
      </c>
      <c r="F167" s="384">
        <v>2020</v>
      </c>
      <c r="G167" s="386">
        <f>$G$162*$H24</f>
        <v>51.921951025030125</v>
      </c>
      <c r="H167" s="75">
        <f t="shared" si="10"/>
        <v>8.379505577309702E-4</v>
      </c>
    </row>
    <row r="168" spans="1:8" x14ac:dyDescent="0.45">
      <c r="A168" t="s">
        <v>2871</v>
      </c>
      <c r="B168" t="s">
        <v>805</v>
      </c>
      <c r="C168" t="s">
        <v>116</v>
      </c>
      <c r="D168" s="362" t="s">
        <v>3347</v>
      </c>
      <c r="E168" t="str">
        <f t="shared" si="8"/>
        <v>&lt;1 yearMaleET03</v>
      </c>
      <c r="F168">
        <v>2020</v>
      </c>
      <c r="G168" s="124">
        <v>382978.40541072498</v>
      </c>
    </row>
    <row r="169" spans="1:8" x14ac:dyDescent="0.45">
      <c r="A169" t="s">
        <v>2871</v>
      </c>
      <c r="B169" t="s">
        <v>805</v>
      </c>
      <c r="C169" t="s">
        <v>116</v>
      </c>
      <c r="D169" s="385" t="s">
        <v>169</v>
      </c>
      <c r="E169" t="str">
        <f t="shared" si="8"/>
        <v>1-4MaleET03</v>
      </c>
      <c r="F169">
        <v>2020</v>
      </c>
      <c r="G169" s="124">
        <v>1415622.60371526</v>
      </c>
    </row>
    <row r="170" spans="1:8" x14ac:dyDescent="0.45">
      <c r="A170" s="384" t="s">
        <v>2871</v>
      </c>
      <c r="B170" s="384" t="s">
        <v>805</v>
      </c>
      <c r="C170" s="384" t="s">
        <v>116</v>
      </c>
      <c r="D170" s="387" t="s">
        <v>981</v>
      </c>
      <c r="E170" t="str">
        <f t="shared" si="8"/>
        <v>0-4MaleET03</v>
      </c>
      <c r="F170" s="384">
        <v>2020</v>
      </c>
      <c r="G170" s="386">
        <f>G169+G168</f>
        <v>1798601.009125985</v>
      </c>
    </row>
    <row r="171" spans="1:8" x14ac:dyDescent="0.45">
      <c r="A171" t="s">
        <v>2871</v>
      </c>
      <c r="B171" t="s">
        <v>805</v>
      </c>
      <c r="C171" t="s">
        <v>116</v>
      </c>
      <c r="D171" s="385" t="s">
        <v>982</v>
      </c>
      <c r="E171" t="str">
        <f t="shared" si="8"/>
        <v>5-9MaleET03</v>
      </c>
      <c r="F171">
        <v>2020</v>
      </c>
      <c r="G171" s="124">
        <v>1593042.6553251201</v>
      </c>
    </row>
    <row r="172" spans="1:8" x14ac:dyDescent="0.45">
      <c r="A172" t="s">
        <v>2871</v>
      </c>
      <c r="B172" t="s">
        <v>805</v>
      </c>
      <c r="C172" t="s">
        <v>116</v>
      </c>
      <c r="D172" s="385" t="s">
        <v>983</v>
      </c>
      <c r="E172" t="str">
        <f t="shared" si="8"/>
        <v>10-14MaleET03</v>
      </c>
      <c r="F172">
        <v>2020</v>
      </c>
      <c r="G172" s="124">
        <v>1517098.6069163301</v>
      </c>
    </row>
    <row r="173" spans="1:8" x14ac:dyDescent="0.45">
      <c r="A173" t="s">
        <v>2871</v>
      </c>
      <c r="B173" t="s">
        <v>805</v>
      </c>
      <c r="C173" t="s">
        <v>116</v>
      </c>
      <c r="D173" s="385" t="s">
        <v>664</v>
      </c>
      <c r="E173" t="str">
        <f t="shared" si="8"/>
        <v>15-19MaleET03</v>
      </c>
      <c r="F173">
        <v>2020</v>
      </c>
      <c r="G173" s="124">
        <v>1390814.44729</v>
      </c>
    </row>
    <row r="174" spans="1:8" x14ac:dyDescent="0.45">
      <c r="A174" t="s">
        <v>2871</v>
      </c>
      <c r="B174" t="s">
        <v>805</v>
      </c>
      <c r="C174" t="s">
        <v>116</v>
      </c>
      <c r="D174" s="385" t="s">
        <v>665</v>
      </c>
      <c r="E174" t="str">
        <f t="shared" si="8"/>
        <v>20-24MaleET03</v>
      </c>
      <c r="F174">
        <v>2020</v>
      </c>
      <c r="G174" s="124">
        <v>1093066.96352414</v>
      </c>
    </row>
    <row r="175" spans="1:8" x14ac:dyDescent="0.45">
      <c r="A175" t="s">
        <v>2871</v>
      </c>
      <c r="B175" t="s">
        <v>805</v>
      </c>
      <c r="C175" t="s">
        <v>116</v>
      </c>
      <c r="D175" s="385" t="s">
        <v>667</v>
      </c>
      <c r="E175" t="str">
        <f t="shared" si="8"/>
        <v>25-29MaleET03</v>
      </c>
      <c r="F175">
        <v>2020</v>
      </c>
      <c r="G175" s="124">
        <v>966550.42800948699</v>
      </c>
    </row>
    <row r="176" spans="1:8" x14ac:dyDescent="0.45">
      <c r="A176" t="s">
        <v>2871</v>
      </c>
      <c r="B176" t="s">
        <v>805</v>
      </c>
      <c r="C176" t="s">
        <v>116</v>
      </c>
      <c r="D176" s="385" t="s">
        <v>670</v>
      </c>
      <c r="E176" t="str">
        <f t="shared" si="8"/>
        <v>30-34MaleET03</v>
      </c>
      <c r="F176">
        <v>2020</v>
      </c>
      <c r="G176" s="124">
        <v>717071.74238235503</v>
      </c>
    </row>
    <row r="177" spans="1:8" x14ac:dyDescent="0.45">
      <c r="A177" t="s">
        <v>2871</v>
      </c>
      <c r="B177" t="s">
        <v>805</v>
      </c>
      <c r="C177" t="s">
        <v>116</v>
      </c>
      <c r="D177" s="385" t="s">
        <v>672</v>
      </c>
      <c r="E177" t="str">
        <f t="shared" si="8"/>
        <v>35-39MaleET03</v>
      </c>
      <c r="F177">
        <v>2020</v>
      </c>
      <c r="G177" s="124">
        <v>662314.30004013702</v>
      </c>
    </row>
    <row r="178" spans="1:8" x14ac:dyDescent="0.45">
      <c r="A178" t="s">
        <v>2871</v>
      </c>
      <c r="B178" t="s">
        <v>805</v>
      </c>
      <c r="C178" t="s">
        <v>116</v>
      </c>
      <c r="D178" s="385" t="s">
        <v>674</v>
      </c>
      <c r="E178" t="str">
        <f t="shared" si="8"/>
        <v>40-44MaleET03</v>
      </c>
      <c r="F178">
        <v>2020</v>
      </c>
      <c r="G178" s="124">
        <v>518459.44186062698</v>
      </c>
    </row>
    <row r="179" spans="1:8" x14ac:dyDescent="0.45">
      <c r="A179" t="s">
        <v>2871</v>
      </c>
      <c r="B179" t="s">
        <v>805</v>
      </c>
      <c r="C179" t="s">
        <v>116</v>
      </c>
      <c r="D179" s="385" t="s">
        <v>676</v>
      </c>
      <c r="E179" t="str">
        <f t="shared" si="8"/>
        <v>45-49MaleET03</v>
      </c>
      <c r="F179">
        <v>2020</v>
      </c>
      <c r="G179" s="124">
        <v>465268.22028737498</v>
      </c>
    </row>
    <row r="180" spans="1:8" x14ac:dyDescent="0.45">
      <c r="A180" t="s">
        <v>2871</v>
      </c>
      <c r="B180" t="s">
        <v>805</v>
      </c>
      <c r="C180" t="s">
        <v>116</v>
      </c>
      <c r="D180" s="385" t="s">
        <v>984</v>
      </c>
      <c r="E180" t="str">
        <f t="shared" si="8"/>
        <v>50-54MaleET03</v>
      </c>
      <c r="F180">
        <v>2020</v>
      </c>
      <c r="G180" s="124">
        <v>383314.97733415599</v>
      </c>
    </row>
    <row r="181" spans="1:8" x14ac:dyDescent="0.45">
      <c r="A181" t="s">
        <v>2871</v>
      </c>
      <c r="B181" t="s">
        <v>805</v>
      </c>
      <c r="C181" t="s">
        <v>116</v>
      </c>
      <c r="D181" s="385" t="s">
        <v>985</v>
      </c>
      <c r="E181" t="str">
        <f t="shared" si="8"/>
        <v>55-59MaleET03</v>
      </c>
      <c r="F181">
        <v>2020</v>
      </c>
      <c r="G181" s="124">
        <v>355300.85223041603</v>
      </c>
    </row>
    <row r="182" spans="1:8" x14ac:dyDescent="0.45">
      <c r="A182" t="s">
        <v>2871</v>
      </c>
      <c r="B182" t="s">
        <v>805</v>
      </c>
      <c r="C182" t="s">
        <v>116</v>
      </c>
      <c r="D182" s="385" t="s">
        <v>986</v>
      </c>
      <c r="E182" t="str">
        <f t="shared" si="8"/>
        <v>60-64MaleET03</v>
      </c>
      <c r="F182">
        <v>2020</v>
      </c>
      <c r="G182" s="124">
        <v>239901.193330949</v>
      </c>
    </row>
    <row r="183" spans="1:8" x14ac:dyDescent="0.45">
      <c r="A183" t="s">
        <v>2871</v>
      </c>
      <c r="B183" t="s">
        <v>805</v>
      </c>
      <c r="C183" t="s">
        <v>116</v>
      </c>
      <c r="D183" s="385" t="s">
        <v>987</v>
      </c>
      <c r="E183" t="str">
        <f t="shared" si="8"/>
        <v>65-69MaleET03</v>
      </c>
      <c r="F183">
        <v>2020</v>
      </c>
      <c r="G183" s="124">
        <v>196168.01519085999</v>
      </c>
    </row>
    <row r="184" spans="1:8" x14ac:dyDescent="0.45">
      <c r="A184" t="s">
        <v>2871</v>
      </c>
      <c r="B184" t="s">
        <v>805</v>
      </c>
      <c r="C184" t="s">
        <v>116</v>
      </c>
      <c r="D184" s="385" t="s">
        <v>988</v>
      </c>
      <c r="E184" t="str">
        <f t="shared" si="8"/>
        <v>70-74MaleET03</v>
      </c>
      <c r="F184">
        <v>2020</v>
      </c>
      <c r="G184" s="124">
        <v>124352.279258879</v>
      </c>
    </row>
    <row r="185" spans="1:8" x14ac:dyDescent="0.45">
      <c r="A185" t="s">
        <v>2871</v>
      </c>
      <c r="B185" t="s">
        <v>805</v>
      </c>
      <c r="C185" t="s">
        <v>116</v>
      </c>
      <c r="D185" s="385" t="s">
        <v>989</v>
      </c>
      <c r="E185" t="str">
        <f t="shared" si="8"/>
        <v>75-79MaleET03</v>
      </c>
      <c r="F185">
        <v>2020</v>
      </c>
      <c r="G185" s="124">
        <v>76934.839021896099</v>
      </c>
    </row>
    <row r="186" spans="1:8" x14ac:dyDescent="0.45">
      <c r="A186" t="s">
        <v>2871</v>
      </c>
      <c r="B186" t="s">
        <v>805</v>
      </c>
      <c r="C186" t="s">
        <v>116</v>
      </c>
      <c r="D186" s="385" t="s">
        <v>3346</v>
      </c>
      <c r="E186" t="str">
        <f t="shared" si="8"/>
        <v>80+MaleET03</v>
      </c>
      <c r="F186">
        <v>2020</v>
      </c>
      <c r="G186" s="124">
        <v>37569.6572683985</v>
      </c>
    </row>
    <row r="187" spans="1:8" x14ac:dyDescent="0.45">
      <c r="A187" s="384" t="s">
        <v>2871</v>
      </c>
      <c r="B187" s="384" t="s">
        <v>805</v>
      </c>
      <c r="C187" s="384" t="s">
        <v>116</v>
      </c>
      <c r="D187" s="388" t="s">
        <v>990</v>
      </c>
      <c r="E187" t="str">
        <f t="shared" si="8"/>
        <v>80-84MaleET03</v>
      </c>
      <c r="F187" s="384">
        <v>2020</v>
      </c>
      <c r="G187" s="386">
        <f>$G$186*$H43</f>
        <v>24911.721204798549</v>
      </c>
      <c r="H187" s="75">
        <f>G187/SUM($G$187:$G$191)</f>
        <v>0.66308087472900357</v>
      </c>
    </row>
    <row r="188" spans="1:8" x14ac:dyDescent="0.45">
      <c r="A188" s="384" t="s">
        <v>2871</v>
      </c>
      <c r="B188" s="384" t="s">
        <v>805</v>
      </c>
      <c r="C188" s="384" t="s">
        <v>116</v>
      </c>
      <c r="D188" s="388" t="s">
        <v>991</v>
      </c>
      <c r="E188" t="str">
        <f t="shared" si="8"/>
        <v>85-89MaleET03</v>
      </c>
      <c r="F188" s="384">
        <v>2020</v>
      </c>
      <c r="G188" s="386">
        <f>$G$186*$H44</f>
        <v>9942.6438861520728</v>
      </c>
      <c r="H188" s="75">
        <f t="shared" ref="H188:H191" si="11">G188/SUM($G$187:$G$191)</f>
        <v>0.26464558393816567</v>
      </c>
    </row>
    <row r="189" spans="1:8" x14ac:dyDescent="0.45">
      <c r="A189" s="384" t="s">
        <v>2871</v>
      </c>
      <c r="B189" s="384" t="s">
        <v>805</v>
      </c>
      <c r="C189" s="384" t="s">
        <v>116</v>
      </c>
      <c r="D189" s="388" t="s">
        <v>992</v>
      </c>
      <c r="E189" t="str">
        <f t="shared" si="8"/>
        <v>90-94MaleET03</v>
      </c>
      <c r="F189" s="384">
        <v>2020</v>
      </c>
      <c r="G189" s="386">
        <f>$G$186*$H45</f>
        <v>2401.4444184308354</v>
      </c>
      <c r="H189" s="75">
        <f t="shared" si="11"/>
        <v>6.3919785088132702E-2</v>
      </c>
    </row>
    <row r="190" spans="1:8" x14ac:dyDescent="0.45">
      <c r="A190" s="384" t="s">
        <v>2871</v>
      </c>
      <c r="B190" s="384" t="s">
        <v>805</v>
      </c>
      <c r="C190" s="384" t="s">
        <v>116</v>
      </c>
      <c r="D190" s="388" t="s">
        <v>993</v>
      </c>
      <c r="E190" t="str">
        <f t="shared" si="8"/>
        <v>95-99MaleET03</v>
      </c>
      <c r="F190" s="384">
        <v>2020</v>
      </c>
      <c r="G190" s="386">
        <f>$G$186*$H46</f>
        <v>287.14045089194502</v>
      </c>
      <c r="H190" s="75">
        <f t="shared" si="11"/>
        <v>7.6428818298928565E-3</v>
      </c>
    </row>
    <row r="191" spans="1:8" x14ac:dyDescent="0.45">
      <c r="A191" s="384" t="s">
        <v>2871</v>
      </c>
      <c r="B191" s="384" t="s">
        <v>805</v>
      </c>
      <c r="C191" s="384" t="s">
        <v>116</v>
      </c>
      <c r="D191" s="388" t="s">
        <v>994</v>
      </c>
      <c r="E191" t="str">
        <f t="shared" si="8"/>
        <v>100+MaleET03</v>
      </c>
      <c r="F191" s="384">
        <v>2020</v>
      </c>
      <c r="G191" s="386">
        <f>$G$186*$H47</f>
        <v>26.707308125098692</v>
      </c>
      <c r="H191" s="75">
        <f t="shared" si="11"/>
        <v>7.1087441480503961E-4</v>
      </c>
    </row>
    <row r="192" spans="1:8" x14ac:dyDescent="0.45">
      <c r="A192" t="s">
        <v>2872</v>
      </c>
      <c r="B192" t="s">
        <v>809</v>
      </c>
      <c r="C192" t="s">
        <v>117</v>
      </c>
      <c r="D192" s="362" t="s">
        <v>3347</v>
      </c>
      <c r="E192" t="str">
        <f t="shared" si="8"/>
        <v>&lt;1 yearFemaleET04</v>
      </c>
      <c r="F192">
        <v>2020</v>
      </c>
      <c r="G192" s="124">
        <v>827183.02577680105</v>
      </c>
    </row>
    <row r="193" spans="1:7" x14ac:dyDescent="0.45">
      <c r="A193" t="s">
        <v>2872</v>
      </c>
      <c r="B193" t="s">
        <v>809</v>
      </c>
      <c r="C193" t="s">
        <v>117</v>
      </c>
      <c r="D193" s="385" t="s">
        <v>169</v>
      </c>
      <c r="E193" t="str">
        <f t="shared" si="8"/>
        <v>1-4FemaleET04</v>
      </c>
      <c r="F193">
        <v>2020</v>
      </c>
      <c r="G193" s="124">
        <v>3057387.8210231201</v>
      </c>
    </row>
    <row r="194" spans="1:7" x14ac:dyDescent="0.45">
      <c r="A194" s="384" t="s">
        <v>2872</v>
      </c>
      <c r="B194" s="384" t="s">
        <v>809</v>
      </c>
      <c r="C194" s="384" t="s">
        <v>117</v>
      </c>
      <c r="D194" s="387" t="s">
        <v>981</v>
      </c>
      <c r="E194" t="str">
        <f t="shared" si="8"/>
        <v>0-4FemaleET04</v>
      </c>
      <c r="F194" s="384">
        <v>2020</v>
      </c>
      <c r="G194" s="386">
        <f>G193+G192</f>
        <v>3884570.8467999212</v>
      </c>
    </row>
    <row r="195" spans="1:7" x14ac:dyDescent="0.45">
      <c r="A195" t="s">
        <v>2872</v>
      </c>
      <c r="B195" t="s">
        <v>809</v>
      </c>
      <c r="C195" t="s">
        <v>117</v>
      </c>
      <c r="D195" s="385" t="s">
        <v>982</v>
      </c>
      <c r="E195" t="str">
        <f t="shared" si="8"/>
        <v>5-9FemaleET04</v>
      </c>
      <c r="F195">
        <v>2020</v>
      </c>
      <c r="G195" s="124">
        <v>3298119.6356264199</v>
      </c>
    </row>
    <row r="196" spans="1:7" x14ac:dyDescent="0.45">
      <c r="A196" t="s">
        <v>2872</v>
      </c>
      <c r="B196" t="s">
        <v>809</v>
      </c>
      <c r="C196" t="s">
        <v>117</v>
      </c>
      <c r="D196" s="385" t="s">
        <v>983</v>
      </c>
      <c r="E196" t="str">
        <f t="shared" si="8"/>
        <v>10-14FemaleET04</v>
      </c>
      <c r="F196">
        <v>2020</v>
      </c>
      <c r="G196" s="124">
        <v>2761615.64069616</v>
      </c>
    </row>
    <row r="197" spans="1:7" x14ac:dyDescent="0.45">
      <c r="A197" t="s">
        <v>2872</v>
      </c>
      <c r="B197" t="s">
        <v>809</v>
      </c>
      <c r="C197" t="s">
        <v>117</v>
      </c>
      <c r="D197" s="385" t="s">
        <v>664</v>
      </c>
      <c r="E197" t="str">
        <f t="shared" si="8"/>
        <v>15-19FemaleET04</v>
      </c>
      <c r="F197">
        <v>2020</v>
      </c>
      <c r="G197" s="124">
        <v>2386430.9225020101</v>
      </c>
    </row>
    <row r="198" spans="1:7" x14ac:dyDescent="0.45">
      <c r="A198" t="s">
        <v>2872</v>
      </c>
      <c r="B198" t="s">
        <v>809</v>
      </c>
      <c r="C198" t="s">
        <v>117</v>
      </c>
      <c r="D198" s="385" t="s">
        <v>665</v>
      </c>
      <c r="E198" t="str">
        <f t="shared" si="8"/>
        <v>20-24FemaleET04</v>
      </c>
      <c r="F198">
        <v>2020</v>
      </c>
      <c r="G198" s="124">
        <v>1944102.6072875001</v>
      </c>
    </row>
    <row r="199" spans="1:7" x14ac:dyDescent="0.45">
      <c r="A199" t="s">
        <v>2872</v>
      </c>
      <c r="B199" t="s">
        <v>809</v>
      </c>
      <c r="C199" t="s">
        <v>117</v>
      </c>
      <c r="D199" s="385" t="s">
        <v>667</v>
      </c>
      <c r="E199" t="str">
        <f t="shared" ref="E199:E262" si="12">_xlfn.CONCAT(D199,C199,A199)</f>
        <v>25-29FemaleET04</v>
      </c>
      <c r="F199">
        <v>2020</v>
      </c>
      <c r="G199" s="124">
        <v>1776292.89273615</v>
      </c>
    </row>
    <row r="200" spans="1:7" x14ac:dyDescent="0.45">
      <c r="A200" t="s">
        <v>2872</v>
      </c>
      <c r="B200" t="s">
        <v>809</v>
      </c>
      <c r="C200" t="s">
        <v>117</v>
      </c>
      <c r="D200" s="385" t="s">
        <v>670</v>
      </c>
      <c r="E200" t="str">
        <f t="shared" si="12"/>
        <v>30-34FemaleET04</v>
      </c>
      <c r="F200">
        <v>2020</v>
      </c>
      <c r="G200" s="124">
        <v>1247221.8525849499</v>
      </c>
    </row>
    <row r="201" spans="1:7" x14ac:dyDescent="0.45">
      <c r="A201" t="s">
        <v>2872</v>
      </c>
      <c r="B201" t="s">
        <v>809</v>
      </c>
      <c r="C201" t="s">
        <v>117</v>
      </c>
      <c r="D201" s="385" t="s">
        <v>672</v>
      </c>
      <c r="E201" t="str">
        <f t="shared" si="12"/>
        <v>35-39FemaleET04</v>
      </c>
      <c r="F201">
        <v>2020</v>
      </c>
      <c r="G201" s="124">
        <v>1107828.16750218</v>
      </c>
    </row>
    <row r="202" spans="1:7" x14ac:dyDescent="0.45">
      <c r="A202" t="s">
        <v>2872</v>
      </c>
      <c r="B202" t="s">
        <v>809</v>
      </c>
      <c r="C202" t="s">
        <v>117</v>
      </c>
      <c r="D202" s="385" t="s">
        <v>674</v>
      </c>
      <c r="E202" t="str">
        <f t="shared" si="12"/>
        <v>40-44FemaleET04</v>
      </c>
      <c r="F202">
        <v>2020</v>
      </c>
      <c r="G202" s="124">
        <v>851909.60283734999</v>
      </c>
    </row>
    <row r="203" spans="1:7" x14ac:dyDescent="0.45">
      <c r="A203" t="s">
        <v>2872</v>
      </c>
      <c r="B203" t="s">
        <v>809</v>
      </c>
      <c r="C203" t="s">
        <v>117</v>
      </c>
      <c r="D203" s="385" t="s">
        <v>676</v>
      </c>
      <c r="E203" t="str">
        <f t="shared" si="12"/>
        <v>45-49FemaleET04</v>
      </c>
      <c r="F203">
        <v>2020</v>
      </c>
      <c r="G203" s="124">
        <v>702839.72309678001</v>
      </c>
    </row>
    <row r="204" spans="1:7" x14ac:dyDescent="0.45">
      <c r="A204" t="s">
        <v>2872</v>
      </c>
      <c r="B204" t="s">
        <v>809</v>
      </c>
      <c r="C204" t="s">
        <v>117</v>
      </c>
      <c r="D204" s="385" t="s">
        <v>984</v>
      </c>
      <c r="E204" t="str">
        <f t="shared" si="12"/>
        <v>50-54FemaleET04</v>
      </c>
      <c r="F204">
        <v>2020</v>
      </c>
      <c r="G204" s="124">
        <v>610368.64079940796</v>
      </c>
    </row>
    <row r="205" spans="1:7" x14ac:dyDescent="0.45">
      <c r="A205" t="s">
        <v>2872</v>
      </c>
      <c r="B205" t="s">
        <v>809</v>
      </c>
      <c r="C205" t="s">
        <v>117</v>
      </c>
      <c r="D205" s="385" t="s">
        <v>985</v>
      </c>
      <c r="E205" t="str">
        <f t="shared" si="12"/>
        <v>55-59FemaleET04</v>
      </c>
      <c r="F205">
        <v>2020</v>
      </c>
      <c r="G205" s="124">
        <v>477787.37975603901</v>
      </c>
    </row>
    <row r="206" spans="1:7" x14ac:dyDescent="0.45">
      <c r="A206" t="s">
        <v>2872</v>
      </c>
      <c r="B206" t="s">
        <v>809</v>
      </c>
      <c r="C206" t="s">
        <v>117</v>
      </c>
      <c r="D206" s="385" t="s">
        <v>986</v>
      </c>
      <c r="E206" t="str">
        <f t="shared" si="12"/>
        <v>60-64FemaleET04</v>
      </c>
      <c r="F206">
        <v>2020</v>
      </c>
      <c r="G206" s="124">
        <v>414411.84453900199</v>
      </c>
    </row>
    <row r="207" spans="1:7" x14ac:dyDescent="0.45">
      <c r="A207" t="s">
        <v>2872</v>
      </c>
      <c r="B207" t="s">
        <v>809</v>
      </c>
      <c r="C207" t="s">
        <v>117</v>
      </c>
      <c r="D207" s="385" t="s">
        <v>987</v>
      </c>
      <c r="E207" t="str">
        <f t="shared" si="12"/>
        <v>65-69FemaleET04</v>
      </c>
      <c r="F207">
        <v>2020</v>
      </c>
      <c r="G207" s="124">
        <v>316408.68308902998</v>
      </c>
    </row>
    <row r="208" spans="1:7" x14ac:dyDescent="0.45">
      <c r="A208" t="s">
        <v>2872</v>
      </c>
      <c r="B208" t="s">
        <v>809</v>
      </c>
      <c r="C208" t="s">
        <v>117</v>
      </c>
      <c r="D208" s="385" t="s">
        <v>988</v>
      </c>
      <c r="E208" t="str">
        <f t="shared" si="12"/>
        <v>70-74FemaleET04</v>
      </c>
      <c r="F208">
        <v>2020</v>
      </c>
      <c r="G208" s="124">
        <v>216643.487252641</v>
      </c>
    </row>
    <row r="209" spans="1:8" x14ac:dyDescent="0.45">
      <c r="A209" t="s">
        <v>2872</v>
      </c>
      <c r="B209" t="s">
        <v>809</v>
      </c>
      <c r="C209" t="s">
        <v>117</v>
      </c>
      <c r="D209" s="385" t="s">
        <v>989</v>
      </c>
      <c r="E209" t="str">
        <f t="shared" si="12"/>
        <v>75-79FemaleET04</v>
      </c>
      <c r="F209">
        <v>2020</v>
      </c>
      <c r="G209" s="124">
        <v>122768.961292629</v>
      </c>
    </row>
    <row r="210" spans="1:8" x14ac:dyDescent="0.45">
      <c r="A210" t="s">
        <v>2872</v>
      </c>
      <c r="B210" t="s">
        <v>809</v>
      </c>
      <c r="C210" t="s">
        <v>117</v>
      </c>
      <c r="D210" s="385" t="s">
        <v>3346</v>
      </c>
      <c r="E210" t="str">
        <f t="shared" si="12"/>
        <v>80+FemaleET04</v>
      </c>
      <c r="F210">
        <v>2020</v>
      </c>
      <c r="G210" s="124">
        <v>111876.370717454</v>
      </c>
    </row>
    <row r="211" spans="1:8" x14ac:dyDescent="0.45">
      <c r="A211" s="384" t="s">
        <v>2872</v>
      </c>
      <c r="B211" s="384" t="s">
        <v>809</v>
      </c>
      <c r="C211" s="384" t="s">
        <v>117</v>
      </c>
      <c r="D211" s="388" t="s">
        <v>990</v>
      </c>
      <c r="E211" t="str">
        <f t="shared" si="12"/>
        <v>80-84FemaleET04</v>
      </c>
      <c r="F211" s="384">
        <v>2020</v>
      </c>
      <c r="G211" s="386">
        <f>$G$210*$H20</f>
        <v>72350.481487042052</v>
      </c>
      <c r="H211" s="75">
        <f>G211/SUM($G$211:$G$215)</f>
        <v>0.64670029089310233</v>
      </c>
    </row>
    <row r="212" spans="1:8" x14ac:dyDescent="0.45">
      <c r="A212" s="384" t="s">
        <v>2872</v>
      </c>
      <c r="B212" s="384" t="s">
        <v>809</v>
      </c>
      <c r="C212" s="384" t="s">
        <v>117</v>
      </c>
      <c r="D212" s="388" t="s">
        <v>991</v>
      </c>
      <c r="E212" t="str">
        <f t="shared" si="12"/>
        <v>85-89FemaleET04</v>
      </c>
      <c r="F212" s="384">
        <v>2020</v>
      </c>
      <c r="G212" s="386">
        <f>$G$210*$H21</f>
        <v>30202.175137687947</v>
      </c>
      <c r="H212" s="75">
        <f t="shared" ref="H212:H215" si="13">G212/SUM($G$211:$G$215)</f>
        <v>0.26996026903629317</v>
      </c>
    </row>
    <row r="213" spans="1:8" x14ac:dyDescent="0.45">
      <c r="A213" s="384" t="s">
        <v>2872</v>
      </c>
      <c r="B213" s="384" t="s">
        <v>809</v>
      </c>
      <c r="C213" s="384" t="s">
        <v>117</v>
      </c>
      <c r="D213" s="388" t="s">
        <v>992</v>
      </c>
      <c r="E213" t="str">
        <f t="shared" si="12"/>
        <v>90-94FemaleET04</v>
      </c>
      <c r="F213" s="384">
        <v>2020</v>
      </c>
      <c r="G213" s="386">
        <f>$G$210*$H22</f>
        <v>8006.6240758025106</v>
      </c>
      <c r="H213" s="75">
        <f t="shared" si="13"/>
        <v>7.1566712653053435E-2</v>
      </c>
    </row>
    <row r="214" spans="1:8" x14ac:dyDescent="0.45">
      <c r="A214" s="384" t="s">
        <v>2872</v>
      </c>
      <c r="B214" s="384" t="s">
        <v>809</v>
      </c>
      <c r="C214" s="384" t="s">
        <v>117</v>
      </c>
      <c r="D214" s="388" t="s">
        <v>993</v>
      </c>
      <c r="E214" t="str">
        <f t="shared" si="12"/>
        <v>95-99FemaleET04</v>
      </c>
      <c r="F214" s="384">
        <v>2020</v>
      </c>
      <c r="G214" s="386">
        <f>$G$210*$H23</f>
        <v>1223.3431496818723</v>
      </c>
      <c r="H214" s="75">
        <f t="shared" si="13"/>
        <v>1.0934776859820113E-2</v>
      </c>
    </row>
    <row r="215" spans="1:8" x14ac:dyDescent="0.45">
      <c r="A215" s="384" t="s">
        <v>2872</v>
      </c>
      <c r="B215" s="384" t="s">
        <v>809</v>
      </c>
      <c r="C215" s="384" t="s">
        <v>117</v>
      </c>
      <c r="D215" s="388" t="s">
        <v>994</v>
      </c>
      <c r="E215" t="str">
        <f t="shared" si="12"/>
        <v>100+FemaleET04</v>
      </c>
      <c r="F215" s="384">
        <v>2020</v>
      </c>
      <c r="G215" s="386">
        <f>$G$210*$H24</f>
        <v>93.746867239607354</v>
      </c>
      <c r="H215" s="75">
        <f t="shared" si="13"/>
        <v>8.379505577309702E-4</v>
      </c>
    </row>
    <row r="216" spans="1:8" x14ac:dyDescent="0.45">
      <c r="A216" t="s">
        <v>2872</v>
      </c>
      <c r="B216" t="s">
        <v>809</v>
      </c>
      <c r="C216" t="s">
        <v>116</v>
      </c>
      <c r="D216" s="362" t="s">
        <v>3347</v>
      </c>
      <c r="E216" t="str">
        <f t="shared" si="12"/>
        <v>&lt;1 yearMaleET04</v>
      </c>
      <c r="F216">
        <v>2020</v>
      </c>
      <c r="G216" s="124">
        <v>834602.13844533998</v>
      </c>
    </row>
    <row r="217" spans="1:8" x14ac:dyDescent="0.45">
      <c r="A217" t="s">
        <v>2872</v>
      </c>
      <c r="B217" t="s">
        <v>809</v>
      </c>
      <c r="C217" t="s">
        <v>116</v>
      </c>
      <c r="D217" s="385" t="s">
        <v>169</v>
      </c>
      <c r="E217" t="str">
        <f t="shared" si="12"/>
        <v>1-4MaleET04</v>
      </c>
      <c r="F217">
        <v>2020</v>
      </c>
      <c r="G217" s="124">
        <v>3084982.4897911302</v>
      </c>
    </row>
    <row r="218" spans="1:8" x14ac:dyDescent="0.45">
      <c r="A218" s="384" t="s">
        <v>2872</v>
      </c>
      <c r="B218" s="384" t="s">
        <v>809</v>
      </c>
      <c r="C218" s="384" t="s">
        <v>116</v>
      </c>
      <c r="D218" s="387" t="s">
        <v>981</v>
      </c>
      <c r="E218" t="str">
        <f t="shared" si="12"/>
        <v>0-4MaleET04</v>
      </c>
      <c r="F218" s="384">
        <v>2020</v>
      </c>
      <c r="G218" s="386">
        <f>G217+G216</f>
        <v>3919584.6282364703</v>
      </c>
    </row>
    <row r="219" spans="1:8" x14ac:dyDescent="0.45">
      <c r="A219" t="s">
        <v>2872</v>
      </c>
      <c r="B219" t="s">
        <v>809</v>
      </c>
      <c r="C219" t="s">
        <v>116</v>
      </c>
      <c r="D219" s="385" t="s">
        <v>982</v>
      </c>
      <c r="E219" t="str">
        <f t="shared" si="12"/>
        <v>5-9MaleET04</v>
      </c>
      <c r="F219">
        <v>2020</v>
      </c>
      <c r="G219" s="124">
        <v>3273529.3419666099</v>
      </c>
    </row>
    <row r="220" spans="1:8" x14ac:dyDescent="0.45">
      <c r="A220" t="s">
        <v>2872</v>
      </c>
      <c r="B220" t="s">
        <v>809</v>
      </c>
      <c r="C220" t="s">
        <v>116</v>
      </c>
      <c r="D220" s="385" t="s">
        <v>983</v>
      </c>
      <c r="E220" t="str">
        <f t="shared" si="12"/>
        <v>10-14MaleET04</v>
      </c>
      <c r="F220">
        <v>2020</v>
      </c>
      <c r="G220" s="124">
        <v>2692063.6972706802</v>
      </c>
    </row>
    <row r="221" spans="1:8" x14ac:dyDescent="0.45">
      <c r="A221" t="s">
        <v>2872</v>
      </c>
      <c r="B221" t="s">
        <v>809</v>
      </c>
      <c r="C221" t="s">
        <v>116</v>
      </c>
      <c r="D221" s="385" t="s">
        <v>664</v>
      </c>
      <c r="E221" t="str">
        <f t="shared" si="12"/>
        <v>15-19MaleET04</v>
      </c>
      <c r="F221">
        <v>2020</v>
      </c>
      <c r="G221" s="124">
        <v>2339276.8375452999</v>
      </c>
    </row>
    <row r="222" spans="1:8" x14ac:dyDescent="0.45">
      <c r="A222" t="s">
        <v>2872</v>
      </c>
      <c r="B222" t="s">
        <v>809</v>
      </c>
      <c r="C222" t="s">
        <v>116</v>
      </c>
      <c r="D222" s="385" t="s">
        <v>665</v>
      </c>
      <c r="E222" t="str">
        <f t="shared" si="12"/>
        <v>20-24MaleET04</v>
      </c>
      <c r="F222">
        <v>2020</v>
      </c>
      <c r="G222" s="124">
        <v>1886556.95680669</v>
      </c>
    </row>
    <row r="223" spans="1:8" x14ac:dyDescent="0.45">
      <c r="A223" t="s">
        <v>2872</v>
      </c>
      <c r="B223" t="s">
        <v>809</v>
      </c>
      <c r="C223" t="s">
        <v>116</v>
      </c>
      <c r="D223" s="385" t="s">
        <v>667</v>
      </c>
      <c r="E223" t="str">
        <f t="shared" si="12"/>
        <v>25-29MaleET04</v>
      </c>
      <c r="F223">
        <v>2020</v>
      </c>
      <c r="G223" s="124">
        <v>1715271.3854346101</v>
      </c>
    </row>
    <row r="224" spans="1:8" x14ac:dyDescent="0.45">
      <c r="A224" t="s">
        <v>2872</v>
      </c>
      <c r="B224" t="s">
        <v>809</v>
      </c>
      <c r="C224" t="s">
        <v>116</v>
      </c>
      <c r="D224" s="385" t="s">
        <v>670</v>
      </c>
      <c r="E224" t="str">
        <f t="shared" si="12"/>
        <v>30-34MaleET04</v>
      </c>
      <c r="F224">
        <v>2020</v>
      </c>
      <c r="G224" s="124">
        <v>1303379.8060554301</v>
      </c>
    </row>
    <row r="225" spans="1:8" x14ac:dyDescent="0.45">
      <c r="A225" t="s">
        <v>2872</v>
      </c>
      <c r="B225" t="s">
        <v>809</v>
      </c>
      <c r="C225" t="s">
        <v>116</v>
      </c>
      <c r="D225" s="385" t="s">
        <v>672</v>
      </c>
      <c r="E225" t="str">
        <f t="shared" si="12"/>
        <v>35-39MaleET04</v>
      </c>
      <c r="F225">
        <v>2020</v>
      </c>
      <c r="G225" s="124">
        <v>1128274.7834707501</v>
      </c>
    </row>
    <row r="226" spans="1:8" x14ac:dyDescent="0.45">
      <c r="A226" t="s">
        <v>2872</v>
      </c>
      <c r="B226" t="s">
        <v>809</v>
      </c>
      <c r="C226" t="s">
        <v>116</v>
      </c>
      <c r="D226" s="385" t="s">
        <v>674</v>
      </c>
      <c r="E226" t="str">
        <f t="shared" si="12"/>
        <v>40-44MaleET04</v>
      </c>
      <c r="F226">
        <v>2020</v>
      </c>
      <c r="G226" s="124">
        <v>846942.45752233197</v>
      </c>
    </row>
    <row r="227" spans="1:8" x14ac:dyDescent="0.45">
      <c r="A227" t="s">
        <v>2872</v>
      </c>
      <c r="B227" t="s">
        <v>809</v>
      </c>
      <c r="C227" t="s">
        <v>116</v>
      </c>
      <c r="D227" s="385" t="s">
        <v>676</v>
      </c>
      <c r="E227" t="str">
        <f t="shared" si="12"/>
        <v>45-49MaleET04</v>
      </c>
      <c r="F227">
        <v>2020</v>
      </c>
      <c r="G227" s="124">
        <v>668156.40395940398</v>
      </c>
    </row>
    <row r="228" spans="1:8" x14ac:dyDescent="0.45">
      <c r="A228" t="s">
        <v>2872</v>
      </c>
      <c r="B228" t="s">
        <v>809</v>
      </c>
      <c r="C228" t="s">
        <v>116</v>
      </c>
      <c r="D228" s="385" t="s">
        <v>984</v>
      </c>
      <c r="E228" t="str">
        <f t="shared" si="12"/>
        <v>50-54MaleET04</v>
      </c>
      <c r="F228">
        <v>2020</v>
      </c>
      <c r="G228" s="124">
        <v>544505.48154425004</v>
      </c>
    </row>
    <row r="229" spans="1:8" x14ac:dyDescent="0.45">
      <c r="A229" t="s">
        <v>2872</v>
      </c>
      <c r="B229" t="s">
        <v>809</v>
      </c>
      <c r="C229" t="s">
        <v>116</v>
      </c>
      <c r="D229" s="385" t="s">
        <v>985</v>
      </c>
      <c r="E229" t="str">
        <f t="shared" si="12"/>
        <v>55-59MaleET04</v>
      </c>
      <c r="F229">
        <v>2020</v>
      </c>
      <c r="G229" s="124">
        <v>429157.90307411901</v>
      </c>
    </row>
    <row r="230" spans="1:8" x14ac:dyDescent="0.45">
      <c r="A230" t="s">
        <v>2872</v>
      </c>
      <c r="B230" t="s">
        <v>809</v>
      </c>
      <c r="C230" t="s">
        <v>116</v>
      </c>
      <c r="D230" s="385" t="s">
        <v>986</v>
      </c>
      <c r="E230" t="str">
        <f t="shared" si="12"/>
        <v>60-64MaleET04</v>
      </c>
      <c r="F230">
        <v>2020</v>
      </c>
      <c r="G230" s="124">
        <v>360142.95106957899</v>
      </c>
    </row>
    <row r="231" spans="1:8" x14ac:dyDescent="0.45">
      <c r="A231" t="s">
        <v>2872</v>
      </c>
      <c r="B231" t="s">
        <v>809</v>
      </c>
      <c r="C231" t="s">
        <v>116</v>
      </c>
      <c r="D231" s="385" t="s">
        <v>987</v>
      </c>
      <c r="E231" t="str">
        <f t="shared" si="12"/>
        <v>65-69MaleET04</v>
      </c>
      <c r="F231">
        <v>2020</v>
      </c>
      <c r="G231" s="124">
        <v>273926.87055477401</v>
      </c>
    </row>
    <row r="232" spans="1:8" x14ac:dyDescent="0.45">
      <c r="A232" t="s">
        <v>2872</v>
      </c>
      <c r="B232" t="s">
        <v>809</v>
      </c>
      <c r="C232" t="s">
        <v>116</v>
      </c>
      <c r="D232" s="385" t="s">
        <v>988</v>
      </c>
      <c r="E232" t="str">
        <f t="shared" si="12"/>
        <v>70-74MaleET04</v>
      </c>
      <c r="F232">
        <v>2020</v>
      </c>
      <c r="G232" s="124">
        <v>168495.71236866899</v>
      </c>
    </row>
    <row r="233" spans="1:8" x14ac:dyDescent="0.45">
      <c r="A233" t="s">
        <v>2872</v>
      </c>
      <c r="B233" t="s">
        <v>809</v>
      </c>
      <c r="C233" t="s">
        <v>116</v>
      </c>
      <c r="D233" s="385" t="s">
        <v>989</v>
      </c>
      <c r="E233" t="str">
        <f t="shared" si="12"/>
        <v>75-79MaleET04</v>
      </c>
      <c r="F233">
        <v>2020</v>
      </c>
      <c r="G233" s="124">
        <v>93030.390856949802</v>
      </c>
    </row>
    <row r="234" spans="1:8" x14ac:dyDescent="0.45">
      <c r="A234" t="s">
        <v>2872</v>
      </c>
      <c r="B234" t="s">
        <v>809</v>
      </c>
      <c r="C234" t="s">
        <v>116</v>
      </c>
      <c r="D234" s="385" t="s">
        <v>3346</v>
      </c>
      <c r="E234" t="str">
        <f t="shared" si="12"/>
        <v>80+MaleET04</v>
      </c>
      <c r="F234">
        <v>2020</v>
      </c>
      <c r="G234" s="124">
        <v>70426.095486171893</v>
      </c>
    </row>
    <row r="235" spans="1:8" x14ac:dyDescent="0.45">
      <c r="A235" s="384" t="s">
        <v>2872</v>
      </c>
      <c r="B235" s="384" t="s">
        <v>809</v>
      </c>
      <c r="C235" s="384" t="s">
        <v>116</v>
      </c>
      <c r="D235" s="388" t="s">
        <v>990</v>
      </c>
      <c r="E235" t="str">
        <f t="shared" si="12"/>
        <v>80-84MaleET04</v>
      </c>
      <c r="F235" s="384">
        <v>2020</v>
      </c>
      <c r="G235" s="386">
        <f>$G$234*$H43</f>
        <v>46698.196998719199</v>
      </c>
      <c r="H235" s="75">
        <f>G235/SUM($G$235:$G$239)</f>
        <v>0.66308087472900368</v>
      </c>
    </row>
    <row r="236" spans="1:8" x14ac:dyDescent="0.45">
      <c r="A236" s="384" t="s">
        <v>2872</v>
      </c>
      <c r="B236" s="384" t="s">
        <v>809</v>
      </c>
      <c r="C236" s="384" t="s">
        <v>116</v>
      </c>
      <c r="D236" s="388" t="s">
        <v>991</v>
      </c>
      <c r="E236" t="str">
        <f t="shared" si="12"/>
        <v>85-89MaleET04</v>
      </c>
      <c r="F236" s="384">
        <v>2020</v>
      </c>
      <c r="G236" s="386">
        <f>$G$234*$H44</f>
        <v>18637.95516442298</v>
      </c>
      <c r="H236" s="75">
        <f t="shared" ref="H236:H239" si="14">G236/SUM($G$235:$G$239)</f>
        <v>0.26464558393816573</v>
      </c>
    </row>
    <row r="237" spans="1:8" x14ac:dyDescent="0.45">
      <c r="A237" s="384" t="s">
        <v>2872</v>
      </c>
      <c r="B237" s="384" t="s">
        <v>809</v>
      </c>
      <c r="C237" s="384" t="s">
        <v>116</v>
      </c>
      <c r="D237" s="388" t="s">
        <v>992</v>
      </c>
      <c r="E237" t="str">
        <f t="shared" si="12"/>
        <v>90-94MaleET04</v>
      </c>
      <c r="F237" s="384">
        <v>2020</v>
      </c>
      <c r="G237" s="386">
        <f>$G$234*$H45</f>
        <v>4501.6208880724207</v>
      </c>
      <c r="H237" s="75">
        <f t="shared" si="14"/>
        <v>6.3919785088132716E-2</v>
      </c>
    </row>
    <row r="238" spans="1:8" x14ac:dyDescent="0.45">
      <c r="A238" s="384" t="s">
        <v>2872</v>
      </c>
      <c r="B238" s="384" t="s">
        <v>809</v>
      </c>
      <c r="C238" s="384" t="s">
        <v>116</v>
      </c>
      <c r="D238" s="388" t="s">
        <v>993</v>
      </c>
      <c r="E238" t="str">
        <f t="shared" si="12"/>
        <v>95-99MaleET04</v>
      </c>
      <c r="F238" s="384">
        <v>2020</v>
      </c>
      <c r="G238" s="386">
        <f>$G$234*$H46</f>
        <v>538.25832554156261</v>
      </c>
      <c r="H238" s="75">
        <f t="shared" si="14"/>
        <v>7.6428818298928582E-3</v>
      </c>
    </row>
    <row r="239" spans="1:8" x14ac:dyDescent="0.45">
      <c r="A239" s="384" t="s">
        <v>2872</v>
      </c>
      <c r="B239" s="384" t="s">
        <v>809</v>
      </c>
      <c r="C239" s="384" t="s">
        <v>116</v>
      </c>
      <c r="D239" s="388" t="s">
        <v>994</v>
      </c>
      <c r="E239" t="str">
        <f t="shared" si="12"/>
        <v>100+MaleET04</v>
      </c>
      <c r="F239" s="384">
        <v>2020</v>
      </c>
      <c r="G239" s="386">
        <f>$G$234*$H47</f>
        <v>50.064109415736297</v>
      </c>
      <c r="H239" s="75">
        <f t="shared" si="14"/>
        <v>7.1087441480503972E-4</v>
      </c>
    </row>
    <row r="240" spans="1:8" x14ac:dyDescent="0.45">
      <c r="A240" t="s">
        <v>2873</v>
      </c>
      <c r="B240" t="s">
        <v>2874</v>
      </c>
      <c r="C240" t="s">
        <v>117</v>
      </c>
      <c r="D240" s="362" t="s">
        <v>3347</v>
      </c>
      <c r="E240" t="str">
        <f t="shared" si="12"/>
        <v>&lt;1 yearFemaleET05</v>
      </c>
      <c r="F240">
        <v>2020</v>
      </c>
      <c r="G240" s="124">
        <v>76260.637145864705</v>
      </c>
    </row>
    <row r="241" spans="1:7" x14ac:dyDescent="0.45">
      <c r="A241" t="s">
        <v>2873</v>
      </c>
      <c r="B241" t="s">
        <v>2874</v>
      </c>
      <c r="C241" t="s">
        <v>117</v>
      </c>
      <c r="D241" s="385" t="s">
        <v>169</v>
      </c>
      <c r="E241" t="str">
        <f t="shared" si="12"/>
        <v>1-4FemaleET05</v>
      </c>
      <c r="F241">
        <v>2020</v>
      </c>
      <c r="G241" s="124">
        <v>281870.286449618</v>
      </c>
    </row>
    <row r="242" spans="1:7" x14ac:dyDescent="0.45">
      <c r="A242" s="384" t="s">
        <v>2873</v>
      </c>
      <c r="B242" s="384" t="s">
        <v>2874</v>
      </c>
      <c r="C242" s="384" t="s">
        <v>117</v>
      </c>
      <c r="D242" s="387" t="s">
        <v>981</v>
      </c>
      <c r="E242" t="str">
        <f t="shared" si="12"/>
        <v>0-4FemaleET05</v>
      </c>
      <c r="F242" s="384">
        <v>2020</v>
      </c>
      <c r="G242" s="386">
        <f>G241+G240</f>
        <v>358130.92359548272</v>
      </c>
    </row>
    <row r="243" spans="1:7" x14ac:dyDescent="0.45">
      <c r="A243" t="s">
        <v>2873</v>
      </c>
      <c r="B243" t="s">
        <v>2874</v>
      </c>
      <c r="C243" t="s">
        <v>117</v>
      </c>
      <c r="D243" s="385" t="s">
        <v>982</v>
      </c>
      <c r="E243" t="str">
        <f t="shared" si="12"/>
        <v>5-9FemaleET05</v>
      </c>
      <c r="F243">
        <v>2020</v>
      </c>
      <c r="G243" s="124">
        <v>434547.85484131402</v>
      </c>
    </row>
    <row r="244" spans="1:7" x14ac:dyDescent="0.45">
      <c r="A244" t="s">
        <v>2873</v>
      </c>
      <c r="B244" t="s">
        <v>2874</v>
      </c>
      <c r="C244" t="s">
        <v>117</v>
      </c>
      <c r="D244" s="385" t="s">
        <v>983</v>
      </c>
      <c r="E244" t="str">
        <f t="shared" si="12"/>
        <v>10-14FemaleET05</v>
      </c>
      <c r="F244">
        <v>2020</v>
      </c>
      <c r="G244" s="124">
        <v>506348.747417718</v>
      </c>
    </row>
    <row r="245" spans="1:7" x14ac:dyDescent="0.45">
      <c r="A245" t="s">
        <v>2873</v>
      </c>
      <c r="B245" t="s">
        <v>2874</v>
      </c>
      <c r="C245" t="s">
        <v>117</v>
      </c>
      <c r="D245" s="385" t="s">
        <v>664</v>
      </c>
      <c r="E245" t="str">
        <f t="shared" si="12"/>
        <v>15-19FemaleET05</v>
      </c>
      <c r="F245">
        <v>2020</v>
      </c>
      <c r="G245" s="124">
        <v>396366.61503691197</v>
      </c>
    </row>
    <row r="246" spans="1:7" x14ac:dyDescent="0.45">
      <c r="A246" t="s">
        <v>2873</v>
      </c>
      <c r="B246" t="s">
        <v>2874</v>
      </c>
      <c r="C246" t="s">
        <v>117</v>
      </c>
      <c r="D246" s="385" t="s">
        <v>665</v>
      </c>
      <c r="E246" t="str">
        <f t="shared" si="12"/>
        <v>20-24FemaleET05</v>
      </c>
      <c r="F246">
        <v>2020</v>
      </c>
      <c r="G246" s="124">
        <v>304756.14636732597</v>
      </c>
    </row>
    <row r="247" spans="1:7" x14ac:dyDescent="0.45">
      <c r="A247" t="s">
        <v>2873</v>
      </c>
      <c r="B247" t="s">
        <v>2874</v>
      </c>
      <c r="C247" t="s">
        <v>117</v>
      </c>
      <c r="D247" s="385" t="s">
        <v>667</v>
      </c>
      <c r="E247" t="str">
        <f t="shared" si="12"/>
        <v>25-29FemaleET05</v>
      </c>
      <c r="F247">
        <v>2020</v>
      </c>
      <c r="G247" s="124">
        <v>240507.58298685</v>
      </c>
    </row>
    <row r="248" spans="1:7" x14ac:dyDescent="0.45">
      <c r="A248" t="s">
        <v>2873</v>
      </c>
      <c r="B248" t="s">
        <v>2874</v>
      </c>
      <c r="C248" t="s">
        <v>117</v>
      </c>
      <c r="D248" s="385" t="s">
        <v>670</v>
      </c>
      <c r="E248" t="str">
        <f t="shared" si="12"/>
        <v>30-34FemaleET05</v>
      </c>
      <c r="F248">
        <v>2020</v>
      </c>
      <c r="G248" s="124">
        <v>239330.76906779001</v>
      </c>
    </row>
    <row r="249" spans="1:7" x14ac:dyDescent="0.45">
      <c r="A249" t="s">
        <v>2873</v>
      </c>
      <c r="B249" t="s">
        <v>2874</v>
      </c>
      <c r="C249" t="s">
        <v>117</v>
      </c>
      <c r="D249" s="385" t="s">
        <v>672</v>
      </c>
      <c r="E249" t="str">
        <f t="shared" si="12"/>
        <v>35-39FemaleET05</v>
      </c>
      <c r="F249">
        <v>2020</v>
      </c>
      <c r="G249" s="124">
        <v>210649.46011112601</v>
      </c>
    </row>
    <row r="250" spans="1:7" x14ac:dyDescent="0.45">
      <c r="A250" t="s">
        <v>2873</v>
      </c>
      <c r="B250" t="s">
        <v>2874</v>
      </c>
      <c r="C250" t="s">
        <v>117</v>
      </c>
      <c r="D250" s="385" t="s">
        <v>674</v>
      </c>
      <c r="E250" t="str">
        <f t="shared" si="12"/>
        <v>40-44FemaleET05</v>
      </c>
      <c r="F250">
        <v>2020</v>
      </c>
      <c r="G250" s="124">
        <v>180201.41343763401</v>
      </c>
    </row>
    <row r="251" spans="1:7" x14ac:dyDescent="0.45">
      <c r="A251" t="s">
        <v>2873</v>
      </c>
      <c r="B251" t="s">
        <v>2874</v>
      </c>
      <c r="C251" t="s">
        <v>117</v>
      </c>
      <c r="D251" s="385" t="s">
        <v>676</v>
      </c>
      <c r="E251" t="str">
        <f t="shared" si="12"/>
        <v>45-49FemaleET05</v>
      </c>
      <c r="F251">
        <v>2020</v>
      </c>
      <c r="G251" s="124">
        <v>108798.558721978</v>
      </c>
    </row>
    <row r="252" spans="1:7" x14ac:dyDescent="0.45">
      <c r="A252" t="s">
        <v>2873</v>
      </c>
      <c r="B252" t="s">
        <v>2874</v>
      </c>
      <c r="C252" t="s">
        <v>117</v>
      </c>
      <c r="D252" s="385" t="s">
        <v>984</v>
      </c>
      <c r="E252" t="str">
        <f t="shared" si="12"/>
        <v>50-54FemaleET05</v>
      </c>
      <c r="F252">
        <v>2020</v>
      </c>
      <c r="G252" s="124">
        <v>80521.852658871503</v>
      </c>
    </row>
    <row r="253" spans="1:7" x14ac:dyDescent="0.45">
      <c r="A253" t="s">
        <v>2873</v>
      </c>
      <c r="B253" t="s">
        <v>2874</v>
      </c>
      <c r="C253" t="s">
        <v>117</v>
      </c>
      <c r="D253" s="385" t="s">
        <v>985</v>
      </c>
      <c r="E253" t="str">
        <f t="shared" si="12"/>
        <v>55-59FemaleET05</v>
      </c>
      <c r="F253">
        <v>2020</v>
      </c>
      <c r="G253" s="124">
        <v>48484.359552839698</v>
      </c>
    </row>
    <row r="254" spans="1:7" x14ac:dyDescent="0.45">
      <c r="A254" t="s">
        <v>2873</v>
      </c>
      <c r="B254" t="s">
        <v>2874</v>
      </c>
      <c r="C254" t="s">
        <v>117</v>
      </c>
      <c r="D254" s="385" t="s">
        <v>986</v>
      </c>
      <c r="E254" t="str">
        <f t="shared" si="12"/>
        <v>60-64FemaleET05</v>
      </c>
      <c r="F254">
        <v>2020</v>
      </c>
      <c r="G254" s="124">
        <v>39133.660457485297</v>
      </c>
    </row>
    <row r="255" spans="1:7" x14ac:dyDescent="0.45">
      <c r="A255" t="s">
        <v>2873</v>
      </c>
      <c r="B255" t="s">
        <v>2874</v>
      </c>
      <c r="C255" t="s">
        <v>117</v>
      </c>
      <c r="D255" s="385" t="s">
        <v>987</v>
      </c>
      <c r="E255" t="str">
        <f t="shared" si="12"/>
        <v>65-69FemaleET05</v>
      </c>
      <c r="F255">
        <v>2020</v>
      </c>
      <c r="G255" s="124">
        <v>17533.5433048345</v>
      </c>
    </row>
    <row r="256" spans="1:7" x14ac:dyDescent="0.45">
      <c r="A256" t="s">
        <v>2873</v>
      </c>
      <c r="B256" t="s">
        <v>2874</v>
      </c>
      <c r="C256" t="s">
        <v>117</v>
      </c>
      <c r="D256" s="385" t="s">
        <v>988</v>
      </c>
      <c r="E256" t="str">
        <f t="shared" si="12"/>
        <v>70-74FemaleET05</v>
      </c>
      <c r="F256">
        <v>2020</v>
      </c>
      <c r="G256" s="124">
        <v>14142.340144311</v>
      </c>
    </row>
    <row r="257" spans="1:8" x14ac:dyDescent="0.45">
      <c r="A257" t="s">
        <v>2873</v>
      </c>
      <c r="B257" t="s">
        <v>2874</v>
      </c>
      <c r="C257" t="s">
        <v>117</v>
      </c>
      <c r="D257" s="385" t="s">
        <v>989</v>
      </c>
      <c r="E257" t="str">
        <f t="shared" si="12"/>
        <v>75-79FemaleET05</v>
      </c>
      <c r="F257">
        <v>2020</v>
      </c>
      <c r="G257" s="124">
        <v>10338.414911215799</v>
      </c>
    </row>
    <row r="258" spans="1:8" x14ac:dyDescent="0.45">
      <c r="A258" t="s">
        <v>2873</v>
      </c>
      <c r="B258" t="s">
        <v>2874</v>
      </c>
      <c r="C258" t="s">
        <v>117</v>
      </c>
      <c r="D258" s="385" t="s">
        <v>3346</v>
      </c>
      <c r="E258" t="str">
        <f t="shared" si="12"/>
        <v>80+FemaleET05</v>
      </c>
      <c r="F258">
        <v>2020</v>
      </c>
      <c r="G258" s="124">
        <v>6129.3066115095198</v>
      </c>
    </row>
    <row r="259" spans="1:8" x14ac:dyDescent="0.45">
      <c r="A259" s="384" t="s">
        <v>2873</v>
      </c>
      <c r="B259" s="384" t="s">
        <v>2874</v>
      </c>
      <c r="C259" s="384" t="s">
        <v>117</v>
      </c>
      <c r="D259" s="388" t="s">
        <v>990</v>
      </c>
      <c r="E259" t="str">
        <f t="shared" si="12"/>
        <v>80-84FemaleET05</v>
      </c>
      <c r="F259" s="384">
        <v>2020</v>
      </c>
      <c r="G259" s="386">
        <f>$G$258*$H20</f>
        <v>3963.8243686362216</v>
      </c>
      <c r="H259" s="75">
        <f>G259/SUM($G$259:$G$263)</f>
        <v>0.64670029089310244</v>
      </c>
    </row>
    <row r="260" spans="1:8" x14ac:dyDescent="0.45">
      <c r="A260" s="384" t="s">
        <v>2873</v>
      </c>
      <c r="B260" s="384" t="s">
        <v>2874</v>
      </c>
      <c r="C260" s="384" t="s">
        <v>117</v>
      </c>
      <c r="D260" s="388" t="s">
        <v>991</v>
      </c>
      <c r="E260" t="str">
        <f t="shared" si="12"/>
        <v>85-89FemaleET05</v>
      </c>
      <c r="F260" s="384">
        <v>2020</v>
      </c>
      <c r="G260" s="386">
        <f>$G$258*$H21</f>
        <v>1654.6692618490401</v>
      </c>
      <c r="H260" s="75">
        <f t="shared" ref="H260:H263" si="15">G260/SUM($G$259:$G$263)</f>
        <v>0.26996026903629317</v>
      </c>
    </row>
    <row r="261" spans="1:8" x14ac:dyDescent="0.45">
      <c r="A261" s="384" t="s">
        <v>2873</v>
      </c>
      <c r="B261" s="384" t="s">
        <v>2874</v>
      </c>
      <c r="C261" s="384" t="s">
        <v>117</v>
      </c>
      <c r="D261" s="388" t="s">
        <v>992</v>
      </c>
      <c r="E261" t="str">
        <f t="shared" si="12"/>
        <v>90-94FemaleET05</v>
      </c>
      <c r="F261" s="384">
        <v>2020</v>
      </c>
      <c r="G261" s="386">
        <f>$G$258*$H22</f>
        <v>438.65432502836234</v>
      </c>
      <c r="H261" s="75">
        <f t="shared" si="15"/>
        <v>7.1566712653053435E-2</v>
      </c>
    </row>
    <row r="262" spans="1:8" x14ac:dyDescent="0.45">
      <c r="A262" s="384" t="s">
        <v>2873</v>
      </c>
      <c r="B262" s="384" t="s">
        <v>2874</v>
      </c>
      <c r="C262" s="384" t="s">
        <v>117</v>
      </c>
      <c r="D262" s="388" t="s">
        <v>993</v>
      </c>
      <c r="E262" t="str">
        <f t="shared" si="12"/>
        <v>95-99FemaleET05</v>
      </c>
      <c r="F262" s="384">
        <v>2020</v>
      </c>
      <c r="G262" s="386">
        <f>$G$258*$H23</f>
        <v>67.022600102276712</v>
      </c>
      <c r="H262" s="75">
        <f t="shared" si="15"/>
        <v>1.0934776859820113E-2</v>
      </c>
    </row>
    <row r="263" spans="1:8" x14ac:dyDescent="0.45">
      <c r="A263" s="384" t="s">
        <v>2873</v>
      </c>
      <c r="B263" s="384" t="s">
        <v>2874</v>
      </c>
      <c r="C263" s="384" t="s">
        <v>117</v>
      </c>
      <c r="D263" s="388" t="s">
        <v>994</v>
      </c>
      <c r="E263" t="str">
        <f t="shared" ref="E263:E326" si="16">_xlfn.CONCAT(D263,C263,A263)</f>
        <v>100+FemaleET05</v>
      </c>
      <c r="F263" s="384">
        <v>2020</v>
      </c>
      <c r="G263" s="386">
        <f>$G$258*$H24</f>
        <v>5.1360558936185248</v>
      </c>
      <c r="H263" s="75">
        <f t="shared" si="15"/>
        <v>8.379505577309702E-4</v>
      </c>
    </row>
    <row r="264" spans="1:8" x14ac:dyDescent="0.45">
      <c r="A264" t="s">
        <v>2873</v>
      </c>
      <c r="B264" t="s">
        <v>2874</v>
      </c>
      <c r="C264" t="s">
        <v>116</v>
      </c>
      <c r="D264" s="362" t="s">
        <v>3347</v>
      </c>
      <c r="E264" t="str">
        <f t="shared" si="16"/>
        <v>&lt;1 yearMaleET05</v>
      </c>
      <c r="F264">
        <v>2020</v>
      </c>
      <c r="G264" s="124">
        <v>89331.089840643093</v>
      </c>
    </row>
    <row r="265" spans="1:8" x14ac:dyDescent="0.45">
      <c r="A265" t="s">
        <v>2873</v>
      </c>
      <c r="B265" t="s">
        <v>2874</v>
      </c>
      <c r="C265" t="s">
        <v>116</v>
      </c>
      <c r="D265" s="385" t="s">
        <v>169</v>
      </c>
      <c r="E265" t="str">
        <f t="shared" si="16"/>
        <v>1-4MaleET05</v>
      </c>
      <c r="F265">
        <v>2020</v>
      </c>
      <c r="G265" s="124">
        <v>330198.938667237</v>
      </c>
    </row>
    <row r="266" spans="1:8" x14ac:dyDescent="0.45">
      <c r="A266" s="384" t="s">
        <v>2873</v>
      </c>
      <c r="B266" s="384" t="s">
        <v>2874</v>
      </c>
      <c r="C266" s="384" t="s">
        <v>116</v>
      </c>
      <c r="D266" s="387" t="s">
        <v>981</v>
      </c>
      <c r="E266" t="str">
        <f t="shared" si="16"/>
        <v>0-4MaleET05</v>
      </c>
      <c r="F266" s="384">
        <v>2020</v>
      </c>
      <c r="G266" s="386">
        <f>G265+G264</f>
        <v>419530.02850788011</v>
      </c>
    </row>
    <row r="267" spans="1:8" x14ac:dyDescent="0.45">
      <c r="A267" t="s">
        <v>2873</v>
      </c>
      <c r="B267" t="s">
        <v>2874</v>
      </c>
      <c r="C267" t="s">
        <v>116</v>
      </c>
      <c r="D267" s="385" t="s">
        <v>982</v>
      </c>
      <c r="E267" t="str">
        <f t="shared" si="16"/>
        <v>5-9MaleET05</v>
      </c>
      <c r="F267">
        <v>2020</v>
      </c>
      <c r="G267" s="124">
        <v>536488.98368433805</v>
      </c>
    </row>
    <row r="268" spans="1:8" x14ac:dyDescent="0.45">
      <c r="A268" t="s">
        <v>2873</v>
      </c>
      <c r="B268" t="s">
        <v>2874</v>
      </c>
      <c r="C268" t="s">
        <v>116</v>
      </c>
      <c r="D268" s="385" t="s">
        <v>983</v>
      </c>
      <c r="E268" t="str">
        <f t="shared" si="16"/>
        <v>10-14MaleET05</v>
      </c>
      <c r="F268">
        <v>2020</v>
      </c>
      <c r="G268" s="124">
        <v>655165.99374882795</v>
      </c>
    </row>
    <row r="269" spans="1:8" x14ac:dyDescent="0.45">
      <c r="A269" t="s">
        <v>2873</v>
      </c>
      <c r="B269" t="s">
        <v>2874</v>
      </c>
      <c r="C269" t="s">
        <v>116</v>
      </c>
      <c r="D269" s="385" t="s">
        <v>664</v>
      </c>
      <c r="E269" t="str">
        <f t="shared" si="16"/>
        <v>15-19MaleET05</v>
      </c>
      <c r="F269">
        <v>2020</v>
      </c>
      <c r="G269" s="124">
        <v>554206.00076907105</v>
      </c>
    </row>
    <row r="270" spans="1:8" x14ac:dyDescent="0.45">
      <c r="A270" t="s">
        <v>2873</v>
      </c>
      <c r="B270" t="s">
        <v>2874</v>
      </c>
      <c r="C270" t="s">
        <v>116</v>
      </c>
      <c r="D270" s="385" t="s">
        <v>665</v>
      </c>
      <c r="E270" t="str">
        <f t="shared" si="16"/>
        <v>20-24MaleET05</v>
      </c>
      <c r="F270">
        <v>2020</v>
      </c>
      <c r="G270" s="124">
        <v>406106.78383336897</v>
      </c>
    </row>
    <row r="271" spans="1:8" x14ac:dyDescent="0.45">
      <c r="A271" t="s">
        <v>2873</v>
      </c>
      <c r="B271" t="s">
        <v>2874</v>
      </c>
      <c r="C271" t="s">
        <v>116</v>
      </c>
      <c r="D271" s="385" t="s">
        <v>667</v>
      </c>
      <c r="E271" t="str">
        <f t="shared" si="16"/>
        <v>25-29MaleET05</v>
      </c>
      <c r="F271">
        <v>2020</v>
      </c>
      <c r="G271" s="124">
        <v>259721.08414688701</v>
      </c>
    </row>
    <row r="272" spans="1:8" x14ac:dyDescent="0.45">
      <c r="A272" t="s">
        <v>2873</v>
      </c>
      <c r="B272" t="s">
        <v>2874</v>
      </c>
      <c r="C272" t="s">
        <v>116</v>
      </c>
      <c r="D272" s="385" t="s">
        <v>670</v>
      </c>
      <c r="E272" t="str">
        <f t="shared" si="16"/>
        <v>30-34MaleET05</v>
      </c>
      <c r="F272">
        <v>2020</v>
      </c>
      <c r="G272" s="124">
        <v>187232.476787261</v>
      </c>
    </row>
    <row r="273" spans="1:8" x14ac:dyDescent="0.45">
      <c r="A273" t="s">
        <v>2873</v>
      </c>
      <c r="B273" t="s">
        <v>2874</v>
      </c>
      <c r="C273" t="s">
        <v>116</v>
      </c>
      <c r="D273" s="385" t="s">
        <v>672</v>
      </c>
      <c r="E273" t="str">
        <f t="shared" si="16"/>
        <v>35-39MaleET05</v>
      </c>
      <c r="F273">
        <v>2020</v>
      </c>
      <c r="G273" s="124">
        <v>170507.530506782</v>
      </c>
    </row>
    <row r="274" spans="1:8" x14ac:dyDescent="0.45">
      <c r="A274" t="s">
        <v>2873</v>
      </c>
      <c r="B274" t="s">
        <v>2874</v>
      </c>
      <c r="C274" t="s">
        <v>116</v>
      </c>
      <c r="D274" s="385" t="s">
        <v>674</v>
      </c>
      <c r="E274" t="str">
        <f t="shared" si="16"/>
        <v>40-44MaleET05</v>
      </c>
      <c r="F274">
        <v>2020</v>
      </c>
      <c r="G274" s="124">
        <v>190262.64365420799</v>
      </c>
    </row>
    <row r="275" spans="1:8" x14ac:dyDescent="0.45">
      <c r="A275" t="s">
        <v>2873</v>
      </c>
      <c r="B275" t="s">
        <v>2874</v>
      </c>
      <c r="C275" t="s">
        <v>116</v>
      </c>
      <c r="D275" s="385" t="s">
        <v>676</v>
      </c>
      <c r="E275" t="str">
        <f t="shared" si="16"/>
        <v>45-49MaleET05</v>
      </c>
      <c r="F275">
        <v>2020</v>
      </c>
      <c r="G275" s="124">
        <v>131298.46196733401</v>
      </c>
    </row>
    <row r="276" spans="1:8" x14ac:dyDescent="0.45">
      <c r="A276" t="s">
        <v>2873</v>
      </c>
      <c r="B276" t="s">
        <v>2874</v>
      </c>
      <c r="C276" t="s">
        <v>116</v>
      </c>
      <c r="D276" s="385" t="s">
        <v>984</v>
      </c>
      <c r="E276" t="str">
        <f t="shared" si="16"/>
        <v>50-54MaleET05</v>
      </c>
      <c r="F276">
        <v>2020</v>
      </c>
      <c r="G276" s="124">
        <v>117765.557496447</v>
      </c>
    </row>
    <row r="277" spans="1:8" x14ac:dyDescent="0.45">
      <c r="A277" t="s">
        <v>2873</v>
      </c>
      <c r="B277" t="s">
        <v>2874</v>
      </c>
      <c r="C277" t="s">
        <v>116</v>
      </c>
      <c r="D277" s="385" t="s">
        <v>985</v>
      </c>
      <c r="E277" t="str">
        <f t="shared" si="16"/>
        <v>55-59MaleET05</v>
      </c>
      <c r="F277">
        <v>2020</v>
      </c>
      <c r="G277" s="124">
        <v>67233.373660287805</v>
      </c>
    </row>
    <row r="278" spans="1:8" x14ac:dyDescent="0.45">
      <c r="A278" t="s">
        <v>2873</v>
      </c>
      <c r="B278" t="s">
        <v>2874</v>
      </c>
      <c r="C278" t="s">
        <v>116</v>
      </c>
      <c r="D278" s="385" t="s">
        <v>986</v>
      </c>
      <c r="E278" t="str">
        <f t="shared" si="16"/>
        <v>60-64MaleET05</v>
      </c>
      <c r="F278">
        <v>2020</v>
      </c>
      <c r="G278" s="124">
        <v>71672.810378035501</v>
      </c>
    </row>
    <row r="279" spans="1:8" x14ac:dyDescent="0.45">
      <c r="A279" t="s">
        <v>2873</v>
      </c>
      <c r="B279" t="s">
        <v>2874</v>
      </c>
      <c r="C279" t="s">
        <v>116</v>
      </c>
      <c r="D279" s="385" t="s">
        <v>987</v>
      </c>
      <c r="E279" t="str">
        <f t="shared" si="16"/>
        <v>65-69MaleET05</v>
      </c>
      <c r="F279">
        <v>2020</v>
      </c>
      <c r="G279" s="124">
        <v>27323.691862708802</v>
      </c>
    </row>
    <row r="280" spans="1:8" x14ac:dyDescent="0.45">
      <c r="A280" t="s">
        <v>2873</v>
      </c>
      <c r="B280" t="s">
        <v>2874</v>
      </c>
      <c r="C280" t="s">
        <v>116</v>
      </c>
      <c r="D280" s="385" t="s">
        <v>988</v>
      </c>
      <c r="E280" t="str">
        <f t="shared" si="16"/>
        <v>70-74MaleET05</v>
      </c>
      <c r="F280">
        <v>2020</v>
      </c>
      <c r="G280" s="124">
        <v>26608.587446709102</v>
      </c>
    </row>
    <row r="281" spans="1:8" x14ac:dyDescent="0.45">
      <c r="A281" t="s">
        <v>2873</v>
      </c>
      <c r="B281" t="s">
        <v>2874</v>
      </c>
      <c r="C281" t="s">
        <v>116</v>
      </c>
      <c r="D281" s="385" t="s">
        <v>989</v>
      </c>
      <c r="E281" t="str">
        <f t="shared" si="16"/>
        <v>75-79MaleET05</v>
      </c>
      <c r="F281">
        <v>2020</v>
      </c>
      <c r="G281" s="124">
        <v>11692.1939939896</v>
      </c>
    </row>
    <row r="282" spans="1:8" x14ac:dyDescent="0.45">
      <c r="A282" t="s">
        <v>2873</v>
      </c>
      <c r="B282" t="s">
        <v>2874</v>
      </c>
      <c r="C282" t="s">
        <v>116</v>
      </c>
      <c r="D282" s="385" t="s">
        <v>3346</v>
      </c>
      <c r="E282" t="str">
        <f t="shared" si="16"/>
        <v>80+MaleET05</v>
      </c>
      <c r="F282">
        <v>2020</v>
      </c>
      <c r="G282" s="124">
        <v>7043.0515939759698</v>
      </c>
    </row>
    <row r="283" spans="1:8" x14ac:dyDescent="0.45">
      <c r="A283" s="384" t="s">
        <v>2873</v>
      </c>
      <c r="B283" s="384" t="s">
        <v>2874</v>
      </c>
      <c r="C283" s="384" t="s">
        <v>116</v>
      </c>
      <c r="D283" s="388" t="s">
        <v>990</v>
      </c>
      <c r="E283" t="str">
        <f t="shared" si="16"/>
        <v>80-84MaleET05</v>
      </c>
      <c r="F283" s="384">
        <v>2020</v>
      </c>
      <c r="G283" s="386">
        <f>$G$282*$H43</f>
        <v>4670.1128116950895</v>
      </c>
      <c r="H283" s="75">
        <f>G283/SUM($G$283:$G$287)</f>
        <v>0.66308087472900357</v>
      </c>
    </row>
    <row r="284" spans="1:8" x14ac:dyDescent="0.45">
      <c r="A284" s="384" t="s">
        <v>2873</v>
      </c>
      <c r="B284" s="384" t="s">
        <v>2874</v>
      </c>
      <c r="C284" s="384" t="s">
        <v>116</v>
      </c>
      <c r="D284" s="388" t="s">
        <v>991</v>
      </c>
      <c r="E284" t="str">
        <f t="shared" si="16"/>
        <v>85-89MaleET05</v>
      </c>
      <c r="F284" s="384">
        <v>2020</v>
      </c>
      <c r="G284" s="386">
        <f>$G$282*$H44</f>
        <v>1863.9125017943995</v>
      </c>
      <c r="H284" s="75">
        <f t="shared" ref="H284:H287" si="17">G284/SUM($G$283:$G$287)</f>
        <v>0.26464558393816573</v>
      </c>
    </row>
    <row r="285" spans="1:8" x14ac:dyDescent="0.45">
      <c r="A285" s="384" t="s">
        <v>2873</v>
      </c>
      <c r="B285" s="384" t="s">
        <v>2874</v>
      </c>
      <c r="C285" s="384" t="s">
        <v>116</v>
      </c>
      <c r="D285" s="388" t="s">
        <v>992</v>
      </c>
      <c r="E285" t="str">
        <f t="shared" si="16"/>
        <v>90-94MaleET05</v>
      </c>
      <c r="F285" s="384">
        <v>2020</v>
      </c>
      <c r="G285" s="386">
        <f>$G$282*$H45</f>
        <v>450.19034425157457</v>
      </c>
      <c r="H285" s="75">
        <f t="shared" si="17"/>
        <v>6.3919785088132716E-2</v>
      </c>
    </row>
    <row r="286" spans="1:8" x14ac:dyDescent="0.45">
      <c r="A286" s="384" t="s">
        <v>2873</v>
      </c>
      <c r="B286" s="384" t="s">
        <v>2874</v>
      </c>
      <c r="C286" s="384" t="s">
        <v>116</v>
      </c>
      <c r="D286" s="388" t="s">
        <v>993</v>
      </c>
      <c r="E286" t="str">
        <f t="shared" si="16"/>
        <v>95-99MaleET05</v>
      </c>
      <c r="F286" s="384">
        <v>2020</v>
      </c>
      <c r="G286" s="386">
        <f>$G$282*$H46</f>
        <v>53.829211054596875</v>
      </c>
      <c r="H286" s="75">
        <f t="shared" si="17"/>
        <v>7.6428818298928574E-3</v>
      </c>
    </row>
    <row r="287" spans="1:8" x14ac:dyDescent="0.45">
      <c r="A287" s="384" t="s">
        <v>2873</v>
      </c>
      <c r="B287" s="384" t="s">
        <v>2874</v>
      </c>
      <c r="C287" s="384" t="s">
        <v>116</v>
      </c>
      <c r="D287" s="388" t="s">
        <v>994</v>
      </c>
      <c r="E287" t="str">
        <f t="shared" si="16"/>
        <v>100+MaleET05</v>
      </c>
      <c r="F287" s="384">
        <v>2020</v>
      </c>
      <c r="G287" s="386">
        <f>$G$282*$H47</f>
        <v>5.0067251803093695</v>
      </c>
      <c r="H287" s="75">
        <f t="shared" si="17"/>
        <v>7.1087441480503961E-4</v>
      </c>
    </row>
    <row r="288" spans="1:8" x14ac:dyDescent="0.45">
      <c r="A288" t="s">
        <v>2876</v>
      </c>
      <c r="B288" t="s">
        <v>3349</v>
      </c>
      <c r="C288" t="s">
        <v>117</v>
      </c>
      <c r="D288" s="362" t="s">
        <v>3347</v>
      </c>
      <c r="E288" t="str">
        <f t="shared" si="16"/>
        <v>&lt;1 yearFemaleET06</v>
      </c>
      <c r="F288">
        <v>2020</v>
      </c>
      <c r="G288" s="124">
        <v>23127.1246401108</v>
      </c>
    </row>
    <row r="289" spans="1:7" x14ac:dyDescent="0.45">
      <c r="A289" t="s">
        <v>2876</v>
      </c>
      <c r="B289" t="s">
        <v>3349</v>
      </c>
      <c r="C289" t="s">
        <v>117</v>
      </c>
      <c r="D289" s="385" t="s">
        <v>169</v>
      </c>
      <c r="E289" t="str">
        <f t="shared" si="16"/>
        <v>1-4FemaleET06</v>
      </c>
      <c r="F289">
        <v>2020</v>
      </c>
      <c r="G289" s="124">
        <v>85481.164600863995</v>
      </c>
    </row>
    <row r="290" spans="1:7" x14ac:dyDescent="0.45">
      <c r="A290" s="384" t="s">
        <v>2876</v>
      </c>
      <c r="B290" s="384" t="s">
        <v>3349</v>
      </c>
      <c r="C290" s="384" t="s">
        <v>117</v>
      </c>
      <c r="D290" s="387" t="s">
        <v>981</v>
      </c>
      <c r="E290" t="str">
        <f t="shared" si="16"/>
        <v>0-4FemaleET06</v>
      </c>
      <c r="F290" s="384">
        <v>2020</v>
      </c>
      <c r="G290" s="386">
        <f>G289+G288</f>
        <v>108608.28924097479</v>
      </c>
    </row>
    <row r="291" spans="1:7" x14ac:dyDescent="0.45">
      <c r="A291" t="s">
        <v>2876</v>
      </c>
      <c r="B291" t="s">
        <v>3349</v>
      </c>
      <c r="C291" t="s">
        <v>117</v>
      </c>
      <c r="D291" s="385" t="s">
        <v>982</v>
      </c>
      <c r="E291" t="str">
        <f t="shared" si="16"/>
        <v>5-9FemaleET06</v>
      </c>
      <c r="F291">
        <v>2020</v>
      </c>
      <c r="G291" s="124">
        <v>86163.567998751998</v>
      </c>
    </row>
    <row r="292" spans="1:7" x14ac:dyDescent="0.45">
      <c r="A292" t="s">
        <v>2876</v>
      </c>
      <c r="B292" t="s">
        <v>3349</v>
      </c>
      <c r="C292" t="s">
        <v>117</v>
      </c>
      <c r="D292" s="385" t="s">
        <v>983</v>
      </c>
      <c r="E292" t="str">
        <f t="shared" si="16"/>
        <v>10-14FemaleET06</v>
      </c>
      <c r="F292">
        <v>2020</v>
      </c>
      <c r="G292" s="124">
        <v>74398.120665468203</v>
      </c>
    </row>
    <row r="293" spans="1:7" x14ac:dyDescent="0.45">
      <c r="A293" t="s">
        <v>2876</v>
      </c>
      <c r="B293" t="s">
        <v>3349</v>
      </c>
      <c r="C293" t="s">
        <v>117</v>
      </c>
      <c r="D293" s="385" t="s">
        <v>664</v>
      </c>
      <c r="E293" t="str">
        <f t="shared" si="16"/>
        <v>15-19FemaleET06</v>
      </c>
      <c r="F293">
        <v>2020</v>
      </c>
      <c r="G293" s="124">
        <v>73520.107953250394</v>
      </c>
    </row>
    <row r="294" spans="1:7" x14ac:dyDescent="0.45">
      <c r="A294" t="s">
        <v>2876</v>
      </c>
      <c r="B294" t="s">
        <v>3349</v>
      </c>
      <c r="C294" t="s">
        <v>117</v>
      </c>
      <c r="D294" s="385" t="s">
        <v>665</v>
      </c>
      <c r="E294" t="str">
        <f t="shared" si="16"/>
        <v>20-24FemaleET06</v>
      </c>
      <c r="F294">
        <v>2020</v>
      </c>
      <c r="G294" s="124">
        <v>63406.260179176898</v>
      </c>
    </row>
    <row r="295" spans="1:7" x14ac:dyDescent="0.45">
      <c r="A295" t="s">
        <v>2876</v>
      </c>
      <c r="B295" t="s">
        <v>3349</v>
      </c>
      <c r="C295" t="s">
        <v>117</v>
      </c>
      <c r="D295" s="385" t="s">
        <v>667</v>
      </c>
      <c r="E295" t="str">
        <f t="shared" si="16"/>
        <v>25-29FemaleET06</v>
      </c>
      <c r="F295">
        <v>2020</v>
      </c>
      <c r="G295" s="124">
        <v>59164.691838420898</v>
      </c>
    </row>
    <row r="296" spans="1:7" x14ac:dyDescent="0.45">
      <c r="A296" t="s">
        <v>2876</v>
      </c>
      <c r="B296" t="s">
        <v>3349</v>
      </c>
      <c r="C296" t="s">
        <v>117</v>
      </c>
      <c r="D296" s="385" t="s">
        <v>670</v>
      </c>
      <c r="E296" t="str">
        <f t="shared" si="16"/>
        <v>30-34FemaleET06</v>
      </c>
      <c r="F296">
        <v>2020</v>
      </c>
      <c r="G296" s="124">
        <v>37722.0993190109</v>
      </c>
    </row>
    <row r="297" spans="1:7" x14ac:dyDescent="0.45">
      <c r="A297" t="s">
        <v>2876</v>
      </c>
      <c r="B297" t="s">
        <v>3349</v>
      </c>
      <c r="C297" t="s">
        <v>117</v>
      </c>
      <c r="D297" s="385" t="s">
        <v>672</v>
      </c>
      <c r="E297" t="str">
        <f t="shared" si="16"/>
        <v>35-39FemaleET06</v>
      </c>
      <c r="F297">
        <v>2020</v>
      </c>
      <c r="G297" s="124">
        <v>33699.474109902898</v>
      </c>
    </row>
    <row r="298" spans="1:7" x14ac:dyDescent="0.45">
      <c r="A298" t="s">
        <v>2876</v>
      </c>
      <c r="B298" t="s">
        <v>3349</v>
      </c>
      <c r="C298" t="s">
        <v>117</v>
      </c>
      <c r="D298" s="385" t="s">
        <v>674</v>
      </c>
      <c r="E298" t="str">
        <f t="shared" si="16"/>
        <v>40-44FemaleET06</v>
      </c>
      <c r="F298">
        <v>2020</v>
      </c>
      <c r="G298" s="124">
        <v>23793.077204536599</v>
      </c>
    </row>
    <row r="299" spans="1:7" x14ac:dyDescent="0.45">
      <c r="A299" t="s">
        <v>2876</v>
      </c>
      <c r="B299" t="s">
        <v>3349</v>
      </c>
      <c r="C299" t="s">
        <v>117</v>
      </c>
      <c r="D299" s="385" t="s">
        <v>676</v>
      </c>
      <c r="E299" t="str">
        <f t="shared" si="16"/>
        <v>45-49FemaleET06</v>
      </c>
      <c r="F299">
        <v>2020</v>
      </c>
      <c r="G299" s="124">
        <v>20313.238581553102</v>
      </c>
    </row>
    <row r="300" spans="1:7" x14ac:dyDescent="0.45">
      <c r="A300" t="s">
        <v>2876</v>
      </c>
      <c r="B300" t="s">
        <v>3349</v>
      </c>
      <c r="C300" t="s">
        <v>117</v>
      </c>
      <c r="D300" s="385" t="s">
        <v>984</v>
      </c>
      <c r="E300" t="str">
        <f t="shared" si="16"/>
        <v>50-54FemaleET06</v>
      </c>
      <c r="F300">
        <v>2020</v>
      </c>
      <c r="G300" s="124">
        <v>14896.273138737301</v>
      </c>
    </row>
    <row r="301" spans="1:7" x14ac:dyDescent="0.45">
      <c r="A301" t="s">
        <v>2876</v>
      </c>
      <c r="B301" t="s">
        <v>3349</v>
      </c>
      <c r="C301" t="s">
        <v>117</v>
      </c>
      <c r="D301" s="385" t="s">
        <v>985</v>
      </c>
      <c r="E301" t="str">
        <f t="shared" si="16"/>
        <v>55-59FemaleET06</v>
      </c>
      <c r="F301">
        <v>2020</v>
      </c>
      <c r="G301" s="124">
        <v>11115.137549823099</v>
      </c>
    </row>
    <row r="302" spans="1:7" x14ac:dyDescent="0.45">
      <c r="A302" t="s">
        <v>2876</v>
      </c>
      <c r="B302" t="s">
        <v>3349</v>
      </c>
      <c r="C302" t="s">
        <v>117</v>
      </c>
      <c r="D302" s="385" t="s">
        <v>986</v>
      </c>
      <c r="E302" t="str">
        <f t="shared" si="16"/>
        <v>60-64FemaleET06</v>
      </c>
      <c r="F302">
        <v>2020</v>
      </c>
      <c r="G302" s="124">
        <v>8371.9162282180005</v>
      </c>
    </row>
    <row r="303" spans="1:7" x14ac:dyDescent="0.45">
      <c r="A303" t="s">
        <v>2876</v>
      </c>
      <c r="B303" t="s">
        <v>3349</v>
      </c>
      <c r="C303" t="s">
        <v>117</v>
      </c>
      <c r="D303" s="385" t="s">
        <v>987</v>
      </c>
      <c r="E303" t="str">
        <f t="shared" si="16"/>
        <v>65-69FemaleET06</v>
      </c>
      <c r="F303">
        <v>2020</v>
      </c>
      <c r="G303" s="124">
        <v>6234.7945941919397</v>
      </c>
    </row>
    <row r="304" spans="1:7" x14ac:dyDescent="0.45">
      <c r="A304" t="s">
        <v>2876</v>
      </c>
      <c r="B304" t="s">
        <v>3349</v>
      </c>
      <c r="C304" t="s">
        <v>117</v>
      </c>
      <c r="D304" s="385" t="s">
        <v>988</v>
      </c>
      <c r="E304" t="str">
        <f t="shared" si="16"/>
        <v>70-74FemaleET06</v>
      </c>
      <c r="F304">
        <v>2020</v>
      </c>
      <c r="G304" s="124">
        <v>4073.7766121649101</v>
      </c>
    </row>
    <row r="305" spans="1:8" x14ac:dyDescent="0.45">
      <c r="A305" t="s">
        <v>2876</v>
      </c>
      <c r="B305" t="s">
        <v>3349</v>
      </c>
      <c r="C305" t="s">
        <v>117</v>
      </c>
      <c r="D305" s="385" t="s">
        <v>989</v>
      </c>
      <c r="E305" t="str">
        <f t="shared" si="16"/>
        <v>75-79FemaleET06</v>
      </c>
      <c r="F305">
        <v>2020</v>
      </c>
      <c r="G305" s="124">
        <v>2648.2236407662199</v>
      </c>
    </row>
    <row r="306" spans="1:8" x14ac:dyDescent="0.45">
      <c r="A306" t="s">
        <v>2876</v>
      </c>
      <c r="B306" t="s">
        <v>3349</v>
      </c>
      <c r="C306" t="s">
        <v>117</v>
      </c>
      <c r="D306" s="385" t="s">
        <v>3346</v>
      </c>
      <c r="E306" t="str">
        <f t="shared" si="16"/>
        <v>80+FemaleET06</v>
      </c>
      <c r="F306">
        <v>2020</v>
      </c>
      <c r="G306" s="124">
        <v>2265.4866188384999</v>
      </c>
    </row>
    <row r="307" spans="1:8" x14ac:dyDescent="0.45">
      <c r="A307" s="384" t="s">
        <v>2876</v>
      </c>
      <c r="B307" s="384" t="s">
        <v>3349</v>
      </c>
      <c r="C307" s="384" t="s">
        <v>117</v>
      </c>
      <c r="D307" s="388" t="s">
        <v>990</v>
      </c>
      <c r="E307" t="str">
        <f t="shared" si="16"/>
        <v>80-84FemaleET06</v>
      </c>
      <c r="F307" s="384">
        <v>2020</v>
      </c>
      <c r="G307" s="386">
        <f>$G$306*$H20</f>
        <v>1465.0908554172888</v>
      </c>
      <c r="H307" s="75">
        <f>G307/SUM($G$307:$G$311)</f>
        <v>0.64670029089310255</v>
      </c>
    </row>
    <row r="308" spans="1:8" x14ac:dyDescent="0.45">
      <c r="A308" s="384" t="s">
        <v>2876</v>
      </c>
      <c r="B308" s="384" t="s">
        <v>3349</v>
      </c>
      <c r="C308" s="384" t="s">
        <v>117</v>
      </c>
      <c r="D308" s="388" t="s">
        <v>991</v>
      </c>
      <c r="E308" t="str">
        <f t="shared" si="16"/>
        <v>85-89FemaleET06</v>
      </c>
      <c r="F308" s="384">
        <v>2020</v>
      </c>
      <c r="G308" s="386">
        <f>$G$306*$H21</f>
        <v>611.59137711976348</v>
      </c>
      <c r="H308" s="75">
        <f t="shared" ref="H308:H311" si="18">G308/SUM($G$307:$G$311)</f>
        <v>0.26996026903629317</v>
      </c>
    </row>
    <row r="309" spans="1:8" x14ac:dyDescent="0.45">
      <c r="A309" s="384" t="s">
        <v>2876</v>
      </c>
      <c r="B309" s="384" t="s">
        <v>3349</v>
      </c>
      <c r="C309" s="384" t="s">
        <v>117</v>
      </c>
      <c r="D309" s="388" t="s">
        <v>992</v>
      </c>
      <c r="E309" t="str">
        <f t="shared" si="16"/>
        <v>90-94FemaleET06</v>
      </c>
      <c r="F309" s="384">
        <v>2020</v>
      </c>
      <c r="G309" s="386">
        <f>$G$306*$H22</f>
        <v>162.13342986975249</v>
      </c>
      <c r="H309" s="75">
        <f t="shared" si="18"/>
        <v>7.1566712653053435E-2</v>
      </c>
    </row>
    <row r="310" spans="1:8" x14ac:dyDescent="0.45">
      <c r="A310" s="384" t="s">
        <v>2876</v>
      </c>
      <c r="B310" s="384" t="s">
        <v>3349</v>
      </c>
      <c r="C310" s="384" t="s">
        <v>117</v>
      </c>
      <c r="D310" s="388" t="s">
        <v>993</v>
      </c>
      <c r="E310" t="str">
        <f t="shared" si="16"/>
        <v>95-99FemaleET06</v>
      </c>
      <c r="F310" s="384">
        <v>2020</v>
      </c>
      <c r="G310" s="386">
        <f>$G$306*$H23</f>
        <v>24.772590655907333</v>
      </c>
      <c r="H310" s="75">
        <f t="shared" si="18"/>
        <v>1.0934776859820113E-2</v>
      </c>
    </row>
    <row r="311" spans="1:8" x14ac:dyDescent="0.45">
      <c r="A311" s="384" t="s">
        <v>2876</v>
      </c>
      <c r="B311" s="384" t="s">
        <v>3349</v>
      </c>
      <c r="C311" s="384" t="s">
        <v>117</v>
      </c>
      <c r="D311" s="388" t="s">
        <v>994</v>
      </c>
      <c r="E311" t="str">
        <f t="shared" si="16"/>
        <v>100+FemaleET06</v>
      </c>
      <c r="F311" s="384">
        <v>2020</v>
      </c>
      <c r="G311" s="386">
        <f>$G$306*$H24</f>
        <v>1.8983657757877705</v>
      </c>
      <c r="H311" s="75">
        <f t="shared" si="18"/>
        <v>8.379505577309702E-4</v>
      </c>
    </row>
    <row r="312" spans="1:8" x14ac:dyDescent="0.45">
      <c r="A312" t="s">
        <v>2876</v>
      </c>
      <c r="B312" t="s">
        <v>3349</v>
      </c>
      <c r="C312" t="s">
        <v>116</v>
      </c>
      <c r="D312" s="362" t="s">
        <v>3347</v>
      </c>
      <c r="E312" t="str">
        <f t="shared" si="16"/>
        <v>&lt;1 yearMaleET06</v>
      </c>
      <c r="F312">
        <v>2020</v>
      </c>
      <c r="G312" s="124">
        <v>23576.052718617</v>
      </c>
    </row>
    <row r="313" spans="1:8" x14ac:dyDescent="0.45">
      <c r="A313" t="s">
        <v>2876</v>
      </c>
      <c r="B313" t="s">
        <v>3349</v>
      </c>
      <c r="C313" t="s">
        <v>116</v>
      </c>
      <c r="D313" s="385" t="s">
        <v>169</v>
      </c>
      <c r="E313" t="str">
        <f t="shared" si="16"/>
        <v>1-4MaleET06</v>
      </c>
      <c r="F313">
        <v>2020</v>
      </c>
      <c r="G313" s="124">
        <v>87145.413228869395</v>
      </c>
    </row>
    <row r="314" spans="1:8" x14ac:dyDescent="0.45">
      <c r="A314" s="384" t="s">
        <v>2876</v>
      </c>
      <c r="B314" s="384" t="s">
        <v>3349</v>
      </c>
      <c r="C314" s="384" t="s">
        <v>116</v>
      </c>
      <c r="D314" s="387" t="s">
        <v>981</v>
      </c>
      <c r="E314" t="str">
        <f t="shared" si="16"/>
        <v>0-4MaleET06</v>
      </c>
      <c r="F314" s="384">
        <v>2020</v>
      </c>
      <c r="G314" s="386">
        <f>G313+G312</f>
        <v>110721.4659474864</v>
      </c>
    </row>
    <row r="315" spans="1:8" x14ac:dyDescent="0.45">
      <c r="A315" t="s">
        <v>2876</v>
      </c>
      <c r="B315" t="s">
        <v>3349</v>
      </c>
      <c r="C315" t="s">
        <v>116</v>
      </c>
      <c r="D315" s="385" t="s">
        <v>982</v>
      </c>
      <c r="E315" t="str">
        <f t="shared" si="16"/>
        <v>5-9MaleET06</v>
      </c>
      <c r="F315">
        <v>2020</v>
      </c>
      <c r="G315" s="124">
        <v>87359.001963555798</v>
      </c>
    </row>
    <row r="316" spans="1:8" x14ac:dyDescent="0.45">
      <c r="A316" t="s">
        <v>2876</v>
      </c>
      <c r="B316" t="s">
        <v>3349</v>
      </c>
      <c r="C316" t="s">
        <v>116</v>
      </c>
      <c r="D316" s="385" t="s">
        <v>983</v>
      </c>
      <c r="E316" t="str">
        <f t="shared" si="16"/>
        <v>10-14MaleET06</v>
      </c>
      <c r="F316">
        <v>2020</v>
      </c>
      <c r="G316" s="124">
        <v>76286.009846180605</v>
      </c>
    </row>
    <row r="317" spans="1:8" x14ac:dyDescent="0.45">
      <c r="A317" t="s">
        <v>2876</v>
      </c>
      <c r="B317" t="s">
        <v>3349</v>
      </c>
      <c r="C317" t="s">
        <v>116</v>
      </c>
      <c r="D317" s="385" t="s">
        <v>664</v>
      </c>
      <c r="E317" t="str">
        <f t="shared" si="16"/>
        <v>15-19MaleET06</v>
      </c>
      <c r="F317">
        <v>2020</v>
      </c>
      <c r="G317" s="124">
        <v>66615.012037798704</v>
      </c>
    </row>
    <row r="318" spans="1:8" x14ac:dyDescent="0.45">
      <c r="A318" t="s">
        <v>2876</v>
      </c>
      <c r="B318" t="s">
        <v>3349</v>
      </c>
      <c r="C318" t="s">
        <v>116</v>
      </c>
      <c r="D318" s="385" t="s">
        <v>665</v>
      </c>
      <c r="E318" t="str">
        <f t="shared" si="16"/>
        <v>20-24MaleET06</v>
      </c>
      <c r="F318">
        <v>2020</v>
      </c>
      <c r="G318" s="124">
        <v>58678.555654615098</v>
      </c>
    </row>
    <row r="319" spans="1:8" x14ac:dyDescent="0.45">
      <c r="A319" t="s">
        <v>2876</v>
      </c>
      <c r="B319" t="s">
        <v>3349</v>
      </c>
      <c r="C319" t="s">
        <v>116</v>
      </c>
      <c r="D319" s="385" t="s">
        <v>667</v>
      </c>
      <c r="E319" t="str">
        <f t="shared" si="16"/>
        <v>25-29MaleET06</v>
      </c>
      <c r="F319">
        <v>2020</v>
      </c>
      <c r="G319" s="124">
        <v>59789.001272059897</v>
      </c>
    </row>
    <row r="320" spans="1:8" x14ac:dyDescent="0.45">
      <c r="A320" t="s">
        <v>2876</v>
      </c>
      <c r="B320" t="s">
        <v>3349</v>
      </c>
      <c r="C320" t="s">
        <v>116</v>
      </c>
      <c r="D320" s="385" t="s">
        <v>670</v>
      </c>
      <c r="E320" t="str">
        <f t="shared" si="16"/>
        <v>30-34MaleET06</v>
      </c>
      <c r="F320">
        <v>2020</v>
      </c>
      <c r="G320" s="124">
        <v>39271.270818695397</v>
      </c>
    </row>
    <row r="321" spans="1:8" x14ac:dyDescent="0.45">
      <c r="A321" t="s">
        <v>2876</v>
      </c>
      <c r="B321" t="s">
        <v>3349</v>
      </c>
      <c r="C321" t="s">
        <v>116</v>
      </c>
      <c r="D321" s="385" t="s">
        <v>672</v>
      </c>
      <c r="E321" t="str">
        <f t="shared" si="16"/>
        <v>35-39MaleET06</v>
      </c>
      <c r="F321">
        <v>2020</v>
      </c>
      <c r="G321" s="124">
        <v>35563.641745403402</v>
      </c>
    </row>
    <row r="322" spans="1:8" x14ac:dyDescent="0.45">
      <c r="A322" t="s">
        <v>2876</v>
      </c>
      <c r="B322" t="s">
        <v>3349</v>
      </c>
      <c r="C322" t="s">
        <v>116</v>
      </c>
      <c r="D322" s="385" t="s">
        <v>674</v>
      </c>
      <c r="E322" t="str">
        <f t="shared" si="16"/>
        <v>40-44MaleET06</v>
      </c>
      <c r="F322">
        <v>2020</v>
      </c>
      <c r="G322" s="124">
        <v>25369.886903993702</v>
      </c>
    </row>
    <row r="323" spans="1:8" x14ac:dyDescent="0.45">
      <c r="A323" t="s">
        <v>2876</v>
      </c>
      <c r="B323" t="s">
        <v>3349</v>
      </c>
      <c r="C323" t="s">
        <v>116</v>
      </c>
      <c r="D323" s="385" t="s">
        <v>676</v>
      </c>
      <c r="E323" t="str">
        <f t="shared" si="16"/>
        <v>45-49MaleET06</v>
      </c>
      <c r="F323">
        <v>2020</v>
      </c>
      <c r="G323" s="124">
        <v>21323.372411172801</v>
      </c>
    </row>
    <row r="324" spans="1:8" x14ac:dyDescent="0.45">
      <c r="A324" t="s">
        <v>2876</v>
      </c>
      <c r="B324" t="s">
        <v>3349</v>
      </c>
      <c r="C324" t="s">
        <v>116</v>
      </c>
      <c r="D324" s="385" t="s">
        <v>984</v>
      </c>
      <c r="E324" t="str">
        <f t="shared" si="16"/>
        <v>50-54MaleET06</v>
      </c>
      <c r="F324">
        <v>2020</v>
      </c>
      <c r="G324" s="124">
        <v>16335.899227853801</v>
      </c>
    </row>
    <row r="325" spans="1:8" x14ac:dyDescent="0.45">
      <c r="A325" t="s">
        <v>2876</v>
      </c>
      <c r="B325" t="s">
        <v>3349</v>
      </c>
      <c r="C325" t="s">
        <v>116</v>
      </c>
      <c r="D325" s="385" t="s">
        <v>985</v>
      </c>
      <c r="E325" t="str">
        <f t="shared" si="16"/>
        <v>55-59MaleET06</v>
      </c>
      <c r="F325">
        <v>2020</v>
      </c>
      <c r="G325" s="124">
        <v>12111.475527640399</v>
      </c>
    </row>
    <row r="326" spans="1:8" x14ac:dyDescent="0.45">
      <c r="A326" t="s">
        <v>2876</v>
      </c>
      <c r="B326" t="s">
        <v>3349</v>
      </c>
      <c r="C326" t="s">
        <v>116</v>
      </c>
      <c r="D326" s="385" t="s">
        <v>986</v>
      </c>
      <c r="E326" t="str">
        <f t="shared" si="16"/>
        <v>60-64MaleET06</v>
      </c>
      <c r="F326">
        <v>2020</v>
      </c>
      <c r="G326" s="124">
        <v>9198.4844813607597</v>
      </c>
    </row>
    <row r="327" spans="1:8" x14ac:dyDescent="0.45">
      <c r="A327" t="s">
        <v>2876</v>
      </c>
      <c r="B327" t="s">
        <v>3349</v>
      </c>
      <c r="C327" t="s">
        <v>116</v>
      </c>
      <c r="D327" s="385" t="s">
        <v>987</v>
      </c>
      <c r="E327" t="str">
        <f t="shared" ref="E327:E390" si="19">_xlfn.CONCAT(D327,C327,A327)</f>
        <v>65-69MaleET06</v>
      </c>
      <c r="F327">
        <v>2020</v>
      </c>
      <c r="G327" s="124">
        <v>6366.4539338266404</v>
      </c>
    </row>
    <row r="328" spans="1:8" x14ac:dyDescent="0.45">
      <c r="A328" t="s">
        <v>2876</v>
      </c>
      <c r="B328" t="s">
        <v>3349</v>
      </c>
      <c r="C328" t="s">
        <v>116</v>
      </c>
      <c r="D328" s="385" t="s">
        <v>988</v>
      </c>
      <c r="E328" t="str">
        <f t="shared" si="19"/>
        <v>70-74MaleET06</v>
      </c>
      <c r="F328">
        <v>2020</v>
      </c>
      <c r="G328" s="124">
        <v>4138.2646426456004</v>
      </c>
    </row>
    <row r="329" spans="1:8" x14ac:dyDescent="0.45">
      <c r="A329" t="s">
        <v>2876</v>
      </c>
      <c r="B329" t="s">
        <v>3349</v>
      </c>
      <c r="C329" t="s">
        <v>116</v>
      </c>
      <c r="D329" s="385" t="s">
        <v>989</v>
      </c>
      <c r="E329" t="str">
        <f t="shared" si="19"/>
        <v>75-79MaleET06</v>
      </c>
      <c r="F329">
        <v>2020</v>
      </c>
      <c r="G329" s="124">
        <v>2336.0259235142698</v>
      </c>
    </row>
    <row r="330" spans="1:8" x14ac:dyDescent="0.45">
      <c r="A330" t="s">
        <v>2876</v>
      </c>
      <c r="B330" t="s">
        <v>3349</v>
      </c>
      <c r="C330" t="s">
        <v>116</v>
      </c>
      <c r="D330" s="385" t="s">
        <v>3346</v>
      </c>
      <c r="E330" t="str">
        <f t="shared" si="19"/>
        <v>80+MaleET06</v>
      </c>
      <c r="F330">
        <v>2020</v>
      </c>
      <c r="G330" s="124">
        <v>1693.71129303425</v>
      </c>
    </row>
    <row r="331" spans="1:8" x14ac:dyDescent="0.45">
      <c r="A331" s="384" t="s">
        <v>2876</v>
      </c>
      <c r="B331" s="384" t="s">
        <v>3349</v>
      </c>
      <c r="C331" s="384" t="s">
        <v>116</v>
      </c>
      <c r="D331" s="388" t="s">
        <v>990</v>
      </c>
      <c r="E331" t="str">
        <f t="shared" si="19"/>
        <v>80-84MaleET06</v>
      </c>
      <c r="F331" s="384">
        <v>2020</v>
      </c>
      <c r="G331" s="386">
        <f>$G$330*$H43</f>
        <v>1123.0675657235424</v>
      </c>
      <c r="H331" s="75">
        <f>G331/SUM($G$331:$G$335)</f>
        <v>0.66308087472900368</v>
      </c>
    </row>
    <row r="332" spans="1:8" x14ac:dyDescent="0.45">
      <c r="A332" s="384" t="s">
        <v>2876</v>
      </c>
      <c r="B332" s="384" t="s">
        <v>3349</v>
      </c>
      <c r="C332" s="384" t="s">
        <v>116</v>
      </c>
      <c r="D332" s="388" t="s">
        <v>991</v>
      </c>
      <c r="E332" t="str">
        <f t="shared" si="19"/>
        <v>85-89MaleET06</v>
      </c>
      <c r="F332" s="384">
        <v>2020</v>
      </c>
      <c r="G332" s="386">
        <f>$G$330*$H44</f>
        <v>448.23321416771483</v>
      </c>
      <c r="H332" s="75">
        <f t="shared" ref="H332:H335" si="20">G332/SUM($G$331:$G$335)</f>
        <v>0.26464558393816573</v>
      </c>
    </row>
    <row r="333" spans="1:8" x14ac:dyDescent="0.45">
      <c r="A333" s="384" t="s">
        <v>2876</v>
      </c>
      <c r="B333" s="384" t="s">
        <v>3349</v>
      </c>
      <c r="C333" s="384" t="s">
        <v>116</v>
      </c>
      <c r="D333" s="388" t="s">
        <v>992</v>
      </c>
      <c r="E333" t="str">
        <f t="shared" si="19"/>
        <v>90-94MaleET06</v>
      </c>
      <c r="F333" s="384">
        <v>2020</v>
      </c>
      <c r="G333" s="386">
        <f>$G$330*$H45</f>
        <v>108.26166185209264</v>
      </c>
      <c r="H333" s="75">
        <f t="shared" si="20"/>
        <v>6.3919785088132716E-2</v>
      </c>
    </row>
    <row r="334" spans="1:8" x14ac:dyDescent="0.45">
      <c r="A334" s="384" t="s">
        <v>2876</v>
      </c>
      <c r="B334" s="384" t="s">
        <v>3349</v>
      </c>
      <c r="C334" s="384" t="s">
        <v>116</v>
      </c>
      <c r="D334" s="388" t="s">
        <v>993</v>
      </c>
      <c r="E334" t="str">
        <f t="shared" si="19"/>
        <v>95-99MaleET06</v>
      </c>
      <c r="F334" s="384">
        <v>2020</v>
      </c>
      <c r="G334" s="386">
        <f>$G$330*$H46</f>
        <v>12.944835266615808</v>
      </c>
      <c r="H334" s="75">
        <f t="shared" si="20"/>
        <v>7.6428818298928582E-3</v>
      </c>
    </row>
    <row r="335" spans="1:8" x14ac:dyDescent="0.45">
      <c r="A335" s="384" t="s">
        <v>2876</v>
      </c>
      <c r="B335" s="384" t="s">
        <v>3349</v>
      </c>
      <c r="C335" s="384" t="s">
        <v>116</v>
      </c>
      <c r="D335" s="388" t="s">
        <v>994</v>
      </c>
      <c r="E335" t="str">
        <f t="shared" si="19"/>
        <v>100+MaleET06</v>
      </c>
      <c r="F335" s="384">
        <v>2020</v>
      </c>
      <c r="G335" s="386">
        <f>$G$330*$H47</f>
        <v>1.2040160242844096</v>
      </c>
      <c r="H335" s="75">
        <f t="shared" si="20"/>
        <v>7.1087441480503972E-4</v>
      </c>
    </row>
    <row r="336" spans="1:8" x14ac:dyDescent="0.45">
      <c r="A336" t="s">
        <v>2878</v>
      </c>
      <c r="B336" t="s">
        <v>3353</v>
      </c>
      <c r="C336" t="s">
        <v>117</v>
      </c>
      <c r="D336" s="362" t="s">
        <v>3347</v>
      </c>
      <c r="E336" t="str">
        <f t="shared" si="19"/>
        <v>&lt;1 yearFemaleET07</v>
      </c>
      <c r="F336">
        <v>2020</v>
      </c>
      <c r="G336" s="124">
        <v>434877.50613988901</v>
      </c>
    </row>
    <row r="337" spans="1:7" x14ac:dyDescent="0.45">
      <c r="A337" t="s">
        <v>2878</v>
      </c>
      <c r="B337" t="s">
        <v>3353</v>
      </c>
      <c r="C337" t="s">
        <v>117</v>
      </c>
      <c r="D337" s="385" t="s">
        <v>169</v>
      </c>
      <c r="E337" t="str">
        <f t="shared" si="19"/>
        <v>1-4FemaleET07</v>
      </c>
      <c r="F337">
        <v>2020</v>
      </c>
      <c r="G337" s="124">
        <v>1607059.03877935</v>
      </c>
    </row>
    <row r="338" spans="1:7" x14ac:dyDescent="0.45">
      <c r="A338" s="384" t="s">
        <v>2878</v>
      </c>
      <c r="B338" s="384" t="s">
        <v>3353</v>
      </c>
      <c r="C338" s="384" t="s">
        <v>117</v>
      </c>
      <c r="D338" s="387" t="s">
        <v>981</v>
      </c>
      <c r="E338" t="str">
        <f t="shared" si="19"/>
        <v>0-4FemaleET07</v>
      </c>
      <c r="F338" s="384">
        <v>2020</v>
      </c>
      <c r="G338" s="386">
        <f>G337+G336</f>
        <v>2041936.5449192389</v>
      </c>
    </row>
    <row r="339" spans="1:7" x14ac:dyDescent="0.45">
      <c r="A339" t="s">
        <v>2878</v>
      </c>
      <c r="B339" t="s">
        <v>3353</v>
      </c>
      <c r="C339" t="s">
        <v>117</v>
      </c>
      <c r="D339" s="385" t="s">
        <v>982</v>
      </c>
      <c r="E339" t="str">
        <f t="shared" si="19"/>
        <v>5-9FemaleET07</v>
      </c>
      <c r="F339">
        <v>2020</v>
      </c>
      <c r="G339" s="124">
        <v>1880716.48228849</v>
      </c>
    </row>
    <row r="340" spans="1:7" x14ac:dyDescent="0.45">
      <c r="A340" t="s">
        <v>2878</v>
      </c>
      <c r="B340" t="s">
        <v>3353</v>
      </c>
      <c r="C340" t="s">
        <v>117</v>
      </c>
      <c r="D340" s="385" t="s">
        <v>983</v>
      </c>
      <c r="E340" t="str">
        <f t="shared" si="19"/>
        <v>10-14FemaleET07</v>
      </c>
      <c r="F340">
        <v>2020</v>
      </c>
      <c r="G340" s="124">
        <v>1562775.13509219</v>
      </c>
    </row>
    <row r="341" spans="1:7" x14ac:dyDescent="0.45">
      <c r="A341" t="s">
        <v>2878</v>
      </c>
      <c r="B341" t="s">
        <v>3353</v>
      </c>
      <c r="C341" t="s">
        <v>117</v>
      </c>
      <c r="D341" s="385" t="s">
        <v>664</v>
      </c>
      <c r="E341" t="str">
        <f t="shared" si="19"/>
        <v>15-19FemaleET07</v>
      </c>
      <c r="F341">
        <v>2020</v>
      </c>
      <c r="G341" s="124">
        <v>1292720.9310405201</v>
      </c>
    </row>
    <row r="342" spans="1:7" x14ac:dyDescent="0.45">
      <c r="A342" t="s">
        <v>2878</v>
      </c>
      <c r="B342" t="s">
        <v>3353</v>
      </c>
      <c r="C342" t="s">
        <v>117</v>
      </c>
      <c r="D342" s="385" t="s">
        <v>665</v>
      </c>
      <c r="E342" t="str">
        <f t="shared" si="19"/>
        <v>20-24FemaleET07</v>
      </c>
      <c r="F342">
        <v>2020</v>
      </c>
      <c r="G342" s="124">
        <v>1061233.73412205</v>
      </c>
    </row>
    <row r="343" spans="1:7" x14ac:dyDescent="0.45">
      <c r="A343" t="s">
        <v>2878</v>
      </c>
      <c r="B343" t="s">
        <v>3353</v>
      </c>
      <c r="C343" t="s">
        <v>117</v>
      </c>
      <c r="D343" s="385" t="s">
        <v>667</v>
      </c>
      <c r="E343" t="str">
        <f t="shared" si="19"/>
        <v>25-29FemaleET07</v>
      </c>
      <c r="F343">
        <v>2020</v>
      </c>
      <c r="G343" s="124">
        <v>1021145.013239</v>
      </c>
    </row>
    <row r="344" spans="1:7" x14ac:dyDescent="0.45">
      <c r="A344" t="s">
        <v>2878</v>
      </c>
      <c r="B344" t="s">
        <v>3353</v>
      </c>
      <c r="C344" t="s">
        <v>117</v>
      </c>
      <c r="D344" s="385" t="s">
        <v>670</v>
      </c>
      <c r="E344" t="str">
        <f t="shared" si="19"/>
        <v>30-34FemaleET07</v>
      </c>
      <c r="F344">
        <v>2020</v>
      </c>
      <c r="G344" s="124">
        <v>755296.46225772798</v>
      </c>
    </row>
    <row r="345" spans="1:7" x14ac:dyDescent="0.45">
      <c r="A345" t="s">
        <v>2878</v>
      </c>
      <c r="B345" t="s">
        <v>3353</v>
      </c>
      <c r="C345" t="s">
        <v>117</v>
      </c>
      <c r="D345" s="385" t="s">
        <v>672</v>
      </c>
      <c r="E345" t="str">
        <f t="shared" si="19"/>
        <v>35-39FemaleET07</v>
      </c>
      <c r="F345">
        <v>2020</v>
      </c>
      <c r="G345" s="124">
        <v>684851.20565916202</v>
      </c>
    </row>
    <row r="346" spans="1:7" x14ac:dyDescent="0.45">
      <c r="A346" t="s">
        <v>2878</v>
      </c>
      <c r="B346" t="s">
        <v>3353</v>
      </c>
      <c r="C346" t="s">
        <v>117</v>
      </c>
      <c r="D346" s="385" t="s">
        <v>674</v>
      </c>
      <c r="E346" t="str">
        <f t="shared" si="19"/>
        <v>40-44FemaleET07</v>
      </c>
      <c r="F346">
        <v>2020</v>
      </c>
      <c r="G346" s="124">
        <v>496551.267260294</v>
      </c>
    </row>
    <row r="347" spans="1:7" x14ac:dyDescent="0.45">
      <c r="A347" t="s">
        <v>2878</v>
      </c>
      <c r="B347" t="s">
        <v>3353</v>
      </c>
      <c r="C347" t="s">
        <v>117</v>
      </c>
      <c r="D347" s="385" t="s">
        <v>676</v>
      </c>
      <c r="E347" t="str">
        <f t="shared" si="19"/>
        <v>45-49FemaleET07</v>
      </c>
      <c r="F347">
        <v>2020</v>
      </c>
      <c r="G347" s="124">
        <v>414093.76000750001</v>
      </c>
    </row>
    <row r="348" spans="1:7" x14ac:dyDescent="0.45">
      <c r="A348" t="s">
        <v>2878</v>
      </c>
      <c r="B348" t="s">
        <v>3353</v>
      </c>
      <c r="C348" t="s">
        <v>117</v>
      </c>
      <c r="D348" s="385" t="s">
        <v>984</v>
      </c>
      <c r="E348" t="str">
        <f t="shared" si="19"/>
        <v>50-54FemaleET07</v>
      </c>
      <c r="F348">
        <v>2020</v>
      </c>
      <c r="G348" s="124">
        <v>298121.32965692802</v>
      </c>
    </row>
    <row r="349" spans="1:7" x14ac:dyDescent="0.45">
      <c r="A349" t="s">
        <v>2878</v>
      </c>
      <c r="B349" t="s">
        <v>3353</v>
      </c>
      <c r="C349" t="s">
        <v>117</v>
      </c>
      <c r="D349" s="385" t="s">
        <v>985</v>
      </c>
      <c r="E349" t="str">
        <f t="shared" si="19"/>
        <v>55-59FemaleET07</v>
      </c>
      <c r="F349">
        <v>2020</v>
      </c>
      <c r="G349" s="124">
        <v>240522.183942317</v>
      </c>
    </row>
    <row r="350" spans="1:7" x14ac:dyDescent="0.45">
      <c r="A350" t="s">
        <v>2878</v>
      </c>
      <c r="B350" t="s">
        <v>3353</v>
      </c>
      <c r="C350" t="s">
        <v>117</v>
      </c>
      <c r="D350" s="385" t="s">
        <v>986</v>
      </c>
      <c r="E350" t="str">
        <f t="shared" si="19"/>
        <v>60-64FemaleET07</v>
      </c>
      <c r="F350">
        <v>2020</v>
      </c>
      <c r="G350" s="124">
        <v>181320.04671718201</v>
      </c>
    </row>
    <row r="351" spans="1:7" x14ac:dyDescent="0.45">
      <c r="A351" t="s">
        <v>2878</v>
      </c>
      <c r="B351" t="s">
        <v>3353</v>
      </c>
      <c r="C351" t="s">
        <v>117</v>
      </c>
      <c r="D351" s="385" t="s">
        <v>987</v>
      </c>
      <c r="E351" t="str">
        <f t="shared" si="19"/>
        <v>65-69FemaleET07</v>
      </c>
      <c r="F351">
        <v>2020</v>
      </c>
      <c r="G351" s="124">
        <v>130079.534081174</v>
      </c>
    </row>
    <row r="352" spans="1:7" x14ac:dyDescent="0.45">
      <c r="A352" t="s">
        <v>2878</v>
      </c>
      <c r="B352" t="s">
        <v>3353</v>
      </c>
      <c r="C352" t="s">
        <v>117</v>
      </c>
      <c r="D352" s="385" t="s">
        <v>988</v>
      </c>
      <c r="E352" t="str">
        <f t="shared" si="19"/>
        <v>70-74FemaleET07</v>
      </c>
      <c r="F352">
        <v>2020</v>
      </c>
      <c r="G352" s="124">
        <v>81726.239602084694</v>
      </c>
    </row>
    <row r="353" spans="1:8" x14ac:dyDescent="0.45">
      <c r="A353" t="s">
        <v>2878</v>
      </c>
      <c r="B353" t="s">
        <v>3353</v>
      </c>
      <c r="C353" t="s">
        <v>117</v>
      </c>
      <c r="D353" s="385" t="s">
        <v>989</v>
      </c>
      <c r="E353" t="str">
        <f t="shared" si="19"/>
        <v>75-79FemaleET07</v>
      </c>
      <c r="F353">
        <v>2020</v>
      </c>
      <c r="G353" s="124">
        <v>55605.7938001246</v>
      </c>
    </row>
    <row r="354" spans="1:8" x14ac:dyDescent="0.45">
      <c r="A354" t="s">
        <v>2878</v>
      </c>
      <c r="B354" t="s">
        <v>3353</v>
      </c>
      <c r="C354" t="s">
        <v>117</v>
      </c>
      <c r="D354" s="385" t="s">
        <v>3346</v>
      </c>
      <c r="E354" t="str">
        <f t="shared" si="19"/>
        <v>80+FemaleET07</v>
      </c>
      <c r="F354">
        <v>2020</v>
      </c>
      <c r="G354" s="124">
        <v>43082.369122342301</v>
      </c>
    </row>
    <row r="355" spans="1:8" x14ac:dyDescent="0.45">
      <c r="A355" s="384" t="s">
        <v>2878</v>
      </c>
      <c r="B355" s="384" t="s">
        <v>3353</v>
      </c>
      <c r="C355" s="384" t="s">
        <v>117</v>
      </c>
      <c r="D355" s="388" t="s">
        <v>990</v>
      </c>
      <c r="E355" t="str">
        <f t="shared" si="19"/>
        <v>80-84FemaleET07</v>
      </c>
      <c r="F355" s="384">
        <v>2020</v>
      </c>
      <c r="G355" s="386">
        <f>$G$354*$H20</f>
        <v>27861.380643782777</v>
      </c>
      <c r="H355" s="75">
        <f>G355/SUM($G$355:$G$359)</f>
        <v>0.64670029089310233</v>
      </c>
    </row>
    <row r="356" spans="1:8" x14ac:dyDescent="0.45">
      <c r="A356" s="384" t="s">
        <v>2878</v>
      </c>
      <c r="B356" s="384" t="s">
        <v>3353</v>
      </c>
      <c r="C356" s="384" t="s">
        <v>117</v>
      </c>
      <c r="D356" s="388" t="s">
        <v>991</v>
      </c>
      <c r="E356" t="str">
        <f t="shared" si="19"/>
        <v>85-89FemaleET07</v>
      </c>
      <c r="F356" s="384">
        <v>2020</v>
      </c>
      <c r="G356" s="386">
        <f>$G$354*$H21</f>
        <v>11630.527958988414</v>
      </c>
      <c r="H356" s="75">
        <f t="shared" ref="H356:H359" si="21">G356/SUM($G$355:$G$359)</f>
        <v>0.26996026903629311</v>
      </c>
    </row>
    <row r="357" spans="1:8" x14ac:dyDescent="0.45">
      <c r="A357" s="384" t="s">
        <v>2878</v>
      </c>
      <c r="B357" s="384" t="s">
        <v>3353</v>
      </c>
      <c r="C357" s="384" t="s">
        <v>117</v>
      </c>
      <c r="D357" s="388" t="s">
        <v>992</v>
      </c>
      <c r="E357" t="str">
        <f t="shared" si="19"/>
        <v>90-94FemaleET07</v>
      </c>
      <c r="F357" s="384">
        <v>2020</v>
      </c>
      <c r="G357" s="386">
        <f>$G$354*$H22</f>
        <v>3083.2635313914529</v>
      </c>
      <c r="H357" s="75">
        <f t="shared" si="21"/>
        <v>7.1566712653053421E-2</v>
      </c>
    </row>
    <row r="358" spans="1:8" x14ac:dyDescent="0.45">
      <c r="A358" s="384" t="s">
        <v>2878</v>
      </c>
      <c r="B358" s="384" t="s">
        <v>3353</v>
      </c>
      <c r="C358" s="384" t="s">
        <v>117</v>
      </c>
      <c r="D358" s="388" t="s">
        <v>993</v>
      </c>
      <c r="E358" t="str">
        <f t="shared" si="19"/>
        <v>95-99FemaleET07</v>
      </c>
      <c r="F358" s="384">
        <v>2020</v>
      </c>
      <c r="G358" s="386">
        <f>$G$354*$H23</f>
        <v>471.09609294521704</v>
      </c>
      <c r="H358" s="75">
        <f t="shared" si="21"/>
        <v>1.0934776859820111E-2</v>
      </c>
    </row>
    <row r="359" spans="1:8" x14ac:dyDescent="0.45">
      <c r="A359" s="384" t="s">
        <v>2878</v>
      </c>
      <c r="B359" s="384" t="s">
        <v>3353</v>
      </c>
      <c r="C359" s="384" t="s">
        <v>117</v>
      </c>
      <c r="D359" s="388" t="s">
        <v>994</v>
      </c>
      <c r="E359" t="str">
        <f t="shared" si="19"/>
        <v>100+FemaleET07</v>
      </c>
      <c r="F359" s="384">
        <v>2020</v>
      </c>
      <c r="G359" s="386">
        <f>$G$354*$H24</f>
        <v>36.100895234438255</v>
      </c>
      <c r="H359" s="75">
        <f t="shared" si="21"/>
        <v>8.3795055773097009E-4</v>
      </c>
    </row>
    <row r="360" spans="1:8" x14ac:dyDescent="0.45">
      <c r="A360" t="s">
        <v>2878</v>
      </c>
      <c r="B360" t="s">
        <v>3353</v>
      </c>
      <c r="C360" t="s">
        <v>116</v>
      </c>
      <c r="D360" s="362" t="s">
        <v>3347</v>
      </c>
      <c r="E360" t="str">
        <f t="shared" si="19"/>
        <v>&lt;1 yearMaleET07</v>
      </c>
      <c r="F360">
        <v>2020</v>
      </c>
      <c r="G360" s="124">
        <v>432681.43989970098</v>
      </c>
    </row>
    <row r="361" spans="1:8" x14ac:dyDescent="0.45">
      <c r="A361" t="s">
        <v>2878</v>
      </c>
      <c r="B361" t="s">
        <v>3353</v>
      </c>
      <c r="C361" t="s">
        <v>116</v>
      </c>
      <c r="D361" s="385" t="s">
        <v>169</v>
      </c>
      <c r="E361" t="str">
        <f t="shared" si="19"/>
        <v>1-4MaleET07</v>
      </c>
      <c r="F361">
        <v>2020</v>
      </c>
      <c r="G361" s="124">
        <v>1599342.60484341</v>
      </c>
    </row>
    <row r="362" spans="1:8" x14ac:dyDescent="0.45">
      <c r="A362" s="384" t="s">
        <v>2878</v>
      </c>
      <c r="B362" s="384" t="s">
        <v>3353</v>
      </c>
      <c r="C362" s="384" t="s">
        <v>116</v>
      </c>
      <c r="D362" s="387" t="s">
        <v>981</v>
      </c>
      <c r="E362" t="str">
        <f t="shared" si="19"/>
        <v>0-4MaleET07</v>
      </c>
      <c r="F362" s="384">
        <v>2020</v>
      </c>
      <c r="G362" s="386">
        <f>G361+G360</f>
        <v>2032024.0447431109</v>
      </c>
    </row>
    <row r="363" spans="1:8" x14ac:dyDescent="0.45">
      <c r="A363" t="s">
        <v>2878</v>
      </c>
      <c r="B363" t="s">
        <v>3353</v>
      </c>
      <c r="C363" t="s">
        <v>116</v>
      </c>
      <c r="D363" s="385" t="s">
        <v>982</v>
      </c>
      <c r="E363" t="str">
        <f t="shared" si="19"/>
        <v>5-9MaleET07</v>
      </c>
      <c r="F363">
        <v>2020</v>
      </c>
      <c r="G363" s="124">
        <v>1849644.7960761101</v>
      </c>
    </row>
    <row r="364" spans="1:8" x14ac:dyDescent="0.45">
      <c r="A364" t="s">
        <v>2878</v>
      </c>
      <c r="B364" t="s">
        <v>3353</v>
      </c>
      <c r="C364" t="s">
        <v>116</v>
      </c>
      <c r="D364" s="385" t="s">
        <v>983</v>
      </c>
      <c r="E364" t="str">
        <f t="shared" si="19"/>
        <v>10-14MaleET07</v>
      </c>
      <c r="F364">
        <v>2020</v>
      </c>
      <c r="G364" s="124">
        <v>1521472.3561006601</v>
      </c>
    </row>
    <row r="365" spans="1:8" x14ac:dyDescent="0.45">
      <c r="A365" t="s">
        <v>2878</v>
      </c>
      <c r="B365" t="s">
        <v>3353</v>
      </c>
      <c r="C365" t="s">
        <v>116</v>
      </c>
      <c r="D365" s="385" t="s">
        <v>664</v>
      </c>
      <c r="E365" t="str">
        <f t="shared" si="19"/>
        <v>15-19MaleET07</v>
      </c>
      <c r="F365">
        <v>2020</v>
      </c>
      <c r="G365" s="124">
        <v>1220334.7859990799</v>
      </c>
    </row>
    <row r="366" spans="1:8" x14ac:dyDescent="0.45">
      <c r="A366" t="s">
        <v>2878</v>
      </c>
      <c r="B366" t="s">
        <v>3353</v>
      </c>
      <c r="C366" t="s">
        <v>116</v>
      </c>
      <c r="D366" s="385" t="s">
        <v>665</v>
      </c>
      <c r="E366" t="str">
        <f t="shared" si="19"/>
        <v>20-24MaleET07</v>
      </c>
      <c r="F366">
        <v>2020</v>
      </c>
      <c r="G366" s="124">
        <v>927703.41185816296</v>
      </c>
    </row>
    <row r="367" spans="1:8" x14ac:dyDescent="0.45">
      <c r="A367" t="s">
        <v>2878</v>
      </c>
      <c r="B367" t="s">
        <v>3353</v>
      </c>
      <c r="C367" t="s">
        <v>116</v>
      </c>
      <c r="D367" s="385" t="s">
        <v>667</v>
      </c>
      <c r="E367" t="str">
        <f t="shared" si="19"/>
        <v>25-29MaleET07</v>
      </c>
      <c r="F367">
        <v>2020</v>
      </c>
      <c r="G367" s="124">
        <v>956281.17210051406</v>
      </c>
    </row>
    <row r="368" spans="1:8" x14ac:dyDescent="0.45">
      <c r="A368" t="s">
        <v>2878</v>
      </c>
      <c r="B368" t="s">
        <v>3353</v>
      </c>
      <c r="C368" t="s">
        <v>116</v>
      </c>
      <c r="D368" s="385" t="s">
        <v>670</v>
      </c>
      <c r="E368" t="str">
        <f t="shared" si="19"/>
        <v>30-34MaleET07</v>
      </c>
      <c r="F368">
        <v>2020</v>
      </c>
      <c r="G368" s="124">
        <v>712535.48606166197</v>
      </c>
    </row>
    <row r="369" spans="1:8" x14ac:dyDescent="0.45">
      <c r="A369" t="s">
        <v>2878</v>
      </c>
      <c r="B369" t="s">
        <v>3353</v>
      </c>
      <c r="C369" t="s">
        <v>116</v>
      </c>
      <c r="D369" s="385" t="s">
        <v>672</v>
      </c>
      <c r="E369" t="str">
        <f t="shared" si="19"/>
        <v>35-39MaleET07</v>
      </c>
      <c r="F369">
        <v>2020</v>
      </c>
      <c r="G369" s="124">
        <v>653528.41320392105</v>
      </c>
    </row>
    <row r="370" spans="1:8" x14ac:dyDescent="0.45">
      <c r="A370" t="s">
        <v>2878</v>
      </c>
      <c r="B370" t="s">
        <v>3353</v>
      </c>
      <c r="C370" t="s">
        <v>116</v>
      </c>
      <c r="D370" s="385" t="s">
        <v>674</v>
      </c>
      <c r="E370" t="str">
        <f t="shared" si="19"/>
        <v>40-44MaleET07</v>
      </c>
      <c r="F370">
        <v>2020</v>
      </c>
      <c r="G370" s="124">
        <v>485461.352327067</v>
      </c>
    </row>
    <row r="371" spans="1:8" x14ac:dyDescent="0.45">
      <c r="A371" t="s">
        <v>2878</v>
      </c>
      <c r="B371" t="s">
        <v>3353</v>
      </c>
      <c r="C371" t="s">
        <v>116</v>
      </c>
      <c r="D371" s="385" t="s">
        <v>676</v>
      </c>
      <c r="E371" t="str">
        <f t="shared" si="19"/>
        <v>45-49MaleET07</v>
      </c>
      <c r="F371">
        <v>2020</v>
      </c>
      <c r="G371" s="124">
        <v>385253.16354481102</v>
      </c>
    </row>
    <row r="372" spans="1:8" x14ac:dyDescent="0.45">
      <c r="A372" t="s">
        <v>2878</v>
      </c>
      <c r="B372" t="s">
        <v>3353</v>
      </c>
      <c r="C372" t="s">
        <v>116</v>
      </c>
      <c r="D372" s="385" t="s">
        <v>984</v>
      </c>
      <c r="E372" t="str">
        <f t="shared" si="19"/>
        <v>50-54MaleET07</v>
      </c>
      <c r="F372">
        <v>2020</v>
      </c>
      <c r="G372" s="124">
        <v>285692.65924710198</v>
      </c>
    </row>
    <row r="373" spans="1:8" x14ac:dyDescent="0.45">
      <c r="A373" t="s">
        <v>2878</v>
      </c>
      <c r="B373" t="s">
        <v>3353</v>
      </c>
      <c r="C373" t="s">
        <v>116</v>
      </c>
      <c r="D373" s="385" t="s">
        <v>985</v>
      </c>
      <c r="E373" t="str">
        <f t="shared" si="19"/>
        <v>55-59MaleET07</v>
      </c>
      <c r="F373">
        <v>2020</v>
      </c>
      <c r="G373" s="124">
        <v>217264.81128739301</v>
      </c>
    </row>
    <row r="374" spans="1:8" x14ac:dyDescent="0.45">
      <c r="A374" t="s">
        <v>2878</v>
      </c>
      <c r="B374" t="s">
        <v>3353</v>
      </c>
      <c r="C374" t="s">
        <v>116</v>
      </c>
      <c r="D374" s="385" t="s">
        <v>986</v>
      </c>
      <c r="E374" t="str">
        <f t="shared" si="19"/>
        <v>60-64MaleET07</v>
      </c>
      <c r="F374">
        <v>2020</v>
      </c>
      <c r="G374" s="124">
        <v>168089.841653335</v>
      </c>
    </row>
    <row r="375" spans="1:8" x14ac:dyDescent="0.45">
      <c r="A375" t="s">
        <v>2878</v>
      </c>
      <c r="B375" t="s">
        <v>3353</v>
      </c>
      <c r="C375" t="s">
        <v>116</v>
      </c>
      <c r="D375" s="385" t="s">
        <v>987</v>
      </c>
      <c r="E375" t="str">
        <f t="shared" si="19"/>
        <v>65-69MaleET07</v>
      </c>
      <c r="F375">
        <v>2020</v>
      </c>
      <c r="G375" s="124">
        <v>115264.17580174901</v>
      </c>
    </row>
    <row r="376" spans="1:8" x14ac:dyDescent="0.45">
      <c r="A376" t="s">
        <v>2878</v>
      </c>
      <c r="B376" t="s">
        <v>3353</v>
      </c>
      <c r="C376" t="s">
        <v>116</v>
      </c>
      <c r="D376" s="385" t="s">
        <v>988</v>
      </c>
      <c r="E376" t="str">
        <f t="shared" si="19"/>
        <v>70-74MaleET07</v>
      </c>
      <c r="F376">
        <v>2020</v>
      </c>
      <c r="G376" s="124">
        <v>75373.451734696195</v>
      </c>
    </row>
    <row r="377" spans="1:8" x14ac:dyDescent="0.45">
      <c r="A377" t="s">
        <v>2878</v>
      </c>
      <c r="B377" t="s">
        <v>3353</v>
      </c>
      <c r="C377" t="s">
        <v>116</v>
      </c>
      <c r="D377" s="385" t="s">
        <v>989</v>
      </c>
      <c r="E377" t="str">
        <f t="shared" si="19"/>
        <v>75-79MaleET07</v>
      </c>
      <c r="F377">
        <v>2020</v>
      </c>
      <c r="G377" s="124">
        <v>44822.1963343916</v>
      </c>
    </row>
    <row r="378" spans="1:8" x14ac:dyDescent="0.45">
      <c r="A378" t="s">
        <v>2878</v>
      </c>
      <c r="B378" t="s">
        <v>3353</v>
      </c>
      <c r="C378" t="s">
        <v>116</v>
      </c>
      <c r="D378" s="385" t="s">
        <v>3346</v>
      </c>
      <c r="E378" t="str">
        <f t="shared" si="19"/>
        <v>80+MaleET07</v>
      </c>
      <c r="F378">
        <v>2020</v>
      </c>
      <c r="G378" s="124">
        <v>32756.463891406402</v>
      </c>
    </row>
    <row r="379" spans="1:8" x14ac:dyDescent="0.45">
      <c r="A379" s="384" t="s">
        <v>2878</v>
      </c>
      <c r="B379" s="384" t="s">
        <v>3353</v>
      </c>
      <c r="C379" s="384" t="s">
        <v>116</v>
      </c>
      <c r="D379" s="388" t="s">
        <v>990</v>
      </c>
      <c r="E379" t="str">
        <f t="shared" si="19"/>
        <v>80-84MaleET07</v>
      </c>
      <c r="F379" s="384">
        <v>2020</v>
      </c>
      <c r="G379" s="386">
        <f>$G$378*$H43</f>
        <v>21720.184730142781</v>
      </c>
      <c r="H379" s="75">
        <f>G379/SUM($G$379:$G$383)</f>
        <v>0.66308087472900368</v>
      </c>
    </row>
    <row r="380" spans="1:8" x14ac:dyDescent="0.45">
      <c r="A380" s="384" t="s">
        <v>2878</v>
      </c>
      <c r="B380" s="384" t="s">
        <v>3353</v>
      </c>
      <c r="C380" s="384" t="s">
        <v>116</v>
      </c>
      <c r="D380" s="388" t="s">
        <v>991</v>
      </c>
      <c r="E380" t="str">
        <f t="shared" si="19"/>
        <v>85-89MaleET07</v>
      </c>
      <c r="F380" s="384">
        <v>2020</v>
      </c>
      <c r="G380" s="386">
        <f>$G$378*$H44</f>
        <v>8668.8535142906876</v>
      </c>
      <c r="H380" s="75">
        <f t="shared" ref="H380:H383" si="22">G380/SUM($G$379:$G$383)</f>
        <v>0.26464558393816573</v>
      </c>
    </row>
    <row r="381" spans="1:8" x14ac:dyDescent="0.45">
      <c r="A381" s="384" t="s">
        <v>2878</v>
      </c>
      <c r="B381" s="384" t="s">
        <v>3353</v>
      </c>
      <c r="C381" s="384" t="s">
        <v>116</v>
      </c>
      <c r="D381" s="388" t="s">
        <v>992</v>
      </c>
      <c r="E381" t="str">
        <f t="shared" si="19"/>
        <v>90-94MaleET07</v>
      </c>
      <c r="F381" s="384">
        <v>2020</v>
      </c>
      <c r="G381" s="386">
        <f>$G$378*$H45</f>
        <v>2093.7861321858768</v>
      </c>
      <c r="H381" s="75">
        <f t="shared" si="22"/>
        <v>6.3919785088132716E-2</v>
      </c>
    </row>
    <row r="382" spans="1:8" x14ac:dyDescent="0.45">
      <c r="A382" s="384" t="s">
        <v>2878</v>
      </c>
      <c r="B382" s="384" t="s">
        <v>3353</v>
      </c>
      <c r="C382" s="384" t="s">
        <v>116</v>
      </c>
      <c r="D382" s="388" t="s">
        <v>993</v>
      </c>
      <c r="E382" t="str">
        <f t="shared" si="19"/>
        <v>95-99MaleET07</v>
      </c>
      <c r="F382" s="384">
        <v>2020</v>
      </c>
      <c r="G382" s="386">
        <f>$G$378*$H46</f>
        <v>250.3537826871715</v>
      </c>
      <c r="H382" s="75">
        <f t="shared" si="22"/>
        <v>7.6428818298928582E-3</v>
      </c>
    </row>
    <row r="383" spans="1:8" x14ac:dyDescent="0.45">
      <c r="A383" s="384" t="s">
        <v>2878</v>
      </c>
      <c r="B383" s="384" t="s">
        <v>3353</v>
      </c>
      <c r="C383" s="384" t="s">
        <v>116</v>
      </c>
      <c r="D383" s="388" t="s">
        <v>994</v>
      </c>
      <c r="E383" t="str">
        <f t="shared" si="19"/>
        <v>100+MaleET07</v>
      </c>
      <c r="F383" s="384">
        <v>2020</v>
      </c>
      <c r="G383" s="386">
        <f>$G$378*$H47</f>
        <v>23.285732099885941</v>
      </c>
      <c r="H383" s="75">
        <f t="shared" si="22"/>
        <v>7.1087441480503972E-4</v>
      </c>
    </row>
    <row r="384" spans="1:8" x14ac:dyDescent="0.45">
      <c r="A384" t="s">
        <v>2880</v>
      </c>
      <c r="B384" t="s">
        <v>3351</v>
      </c>
      <c r="C384" t="s">
        <v>117</v>
      </c>
      <c r="D384" s="362" t="s">
        <v>3347</v>
      </c>
      <c r="E384" t="str">
        <f t="shared" si="19"/>
        <v>&lt;1 yearFemaleET12</v>
      </c>
      <c r="F384">
        <v>2020</v>
      </c>
      <c r="G384" s="124">
        <v>9625.9100430514609</v>
      </c>
    </row>
    <row r="385" spans="1:7" x14ac:dyDescent="0.45">
      <c r="A385" t="s">
        <v>2880</v>
      </c>
      <c r="B385" t="s">
        <v>3351</v>
      </c>
      <c r="C385" t="s">
        <v>117</v>
      </c>
      <c r="D385" s="385" t="s">
        <v>169</v>
      </c>
      <c r="E385" t="str">
        <f t="shared" si="19"/>
        <v>1-4FemaleET12</v>
      </c>
      <c r="F385">
        <v>2020</v>
      </c>
      <c r="G385" s="124">
        <v>35578.783629797399</v>
      </c>
    </row>
    <row r="386" spans="1:7" x14ac:dyDescent="0.45">
      <c r="A386" s="384" t="s">
        <v>2880</v>
      </c>
      <c r="B386" s="384" t="s">
        <v>3351</v>
      </c>
      <c r="C386" s="384" t="s">
        <v>117</v>
      </c>
      <c r="D386" s="387" t="s">
        <v>981</v>
      </c>
      <c r="E386" t="str">
        <f t="shared" si="19"/>
        <v>0-4FemaleET12</v>
      </c>
      <c r="F386" s="384">
        <v>2020</v>
      </c>
      <c r="G386" s="386">
        <f>G385+G384</f>
        <v>45204.693672848858</v>
      </c>
    </row>
    <row r="387" spans="1:7" x14ac:dyDescent="0.45">
      <c r="A387" t="s">
        <v>2880</v>
      </c>
      <c r="B387" t="s">
        <v>3351</v>
      </c>
      <c r="C387" t="s">
        <v>117</v>
      </c>
      <c r="D387" s="385" t="s">
        <v>982</v>
      </c>
      <c r="E387" t="str">
        <f t="shared" si="19"/>
        <v>5-9FemaleET12</v>
      </c>
      <c r="F387">
        <v>2020</v>
      </c>
      <c r="G387" s="124">
        <v>40772.487666159803</v>
      </c>
    </row>
    <row r="388" spans="1:7" x14ac:dyDescent="0.45">
      <c r="A388" t="s">
        <v>2880</v>
      </c>
      <c r="B388" t="s">
        <v>3351</v>
      </c>
      <c r="C388" t="s">
        <v>117</v>
      </c>
      <c r="D388" s="385" t="s">
        <v>983</v>
      </c>
      <c r="E388" t="str">
        <f t="shared" si="19"/>
        <v>10-14FemaleET12</v>
      </c>
      <c r="F388">
        <v>2020</v>
      </c>
      <c r="G388" s="124">
        <v>34922.2681004107</v>
      </c>
    </row>
    <row r="389" spans="1:7" x14ac:dyDescent="0.45">
      <c r="A389" t="s">
        <v>2880</v>
      </c>
      <c r="B389" t="s">
        <v>3351</v>
      </c>
      <c r="C389" t="s">
        <v>117</v>
      </c>
      <c r="D389" s="385" t="s">
        <v>664</v>
      </c>
      <c r="E389" t="str">
        <f t="shared" si="19"/>
        <v>15-19FemaleET12</v>
      </c>
      <c r="F389">
        <v>2020</v>
      </c>
      <c r="G389" s="124">
        <v>36294.342233627998</v>
      </c>
    </row>
    <row r="390" spans="1:7" x14ac:dyDescent="0.45">
      <c r="A390" t="s">
        <v>2880</v>
      </c>
      <c r="B390" t="s">
        <v>3351</v>
      </c>
      <c r="C390" t="s">
        <v>117</v>
      </c>
      <c r="D390" s="385" t="s">
        <v>665</v>
      </c>
      <c r="E390" t="str">
        <f t="shared" si="19"/>
        <v>20-24FemaleET12</v>
      </c>
      <c r="F390">
        <v>2020</v>
      </c>
      <c r="G390" s="124">
        <v>34691.427554592403</v>
      </c>
    </row>
    <row r="391" spans="1:7" x14ac:dyDescent="0.45">
      <c r="A391" t="s">
        <v>2880</v>
      </c>
      <c r="B391" t="s">
        <v>3351</v>
      </c>
      <c r="C391" t="s">
        <v>117</v>
      </c>
      <c r="D391" s="385" t="s">
        <v>667</v>
      </c>
      <c r="E391" t="str">
        <f t="shared" ref="E391:E454" si="23">_xlfn.CONCAT(D391,C391,A391)</f>
        <v>25-29FemaleET12</v>
      </c>
      <c r="F391">
        <v>2020</v>
      </c>
      <c r="G391" s="124">
        <v>33661.455376900703</v>
      </c>
    </row>
    <row r="392" spans="1:7" x14ac:dyDescent="0.45">
      <c r="A392" t="s">
        <v>2880</v>
      </c>
      <c r="B392" t="s">
        <v>3351</v>
      </c>
      <c r="C392" t="s">
        <v>117</v>
      </c>
      <c r="D392" s="385" t="s">
        <v>670</v>
      </c>
      <c r="E392" t="str">
        <f t="shared" si="23"/>
        <v>30-34FemaleET12</v>
      </c>
      <c r="F392">
        <v>2020</v>
      </c>
      <c r="G392" s="124">
        <v>23962.66238527</v>
      </c>
    </row>
    <row r="393" spans="1:7" x14ac:dyDescent="0.45">
      <c r="A393" t="s">
        <v>2880</v>
      </c>
      <c r="B393" t="s">
        <v>3351</v>
      </c>
      <c r="C393" t="s">
        <v>117</v>
      </c>
      <c r="D393" s="385" t="s">
        <v>672</v>
      </c>
      <c r="E393" t="str">
        <f t="shared" si="23"/>
        <v>35-39FemaleET12</v>
      </c>
      <c r="F393">
        <v>2020</v>
      </c>
      <c r="G393" s="124">
        <v>18995.833141073501</v>
      </c>
    </row>
    <row r="394" spans="1:7" x14ac:dyDescent="0.45">
      <c r="A394" t="s">
        <v>2880</v>
      </c>
      <c r="B394" t="s">
        <v>3351</v>
      </c>
      <c r="C394" t="s">
        <v>117</v>
      </c>
      <c r="D394" s="385" t="s">
        <v>674</v>
      </c>
      <c r="E394" t="str">
        <f t="shared" si="23"/>
        <v>40-44FemaleET12</v>
      </c>
      <c r="F394">
        <v>2020</v>
      </c>
      <c r="G394" s="124">
        <v>13624.9758249633</v>
      </c>
    </row>
    <row r="395" spans="1:7" x14ac:dyDescent="0.45">
      <c r="A395" t="s">
        <v>2880</v>
      </c>
      <c r="B395" t="s">
        <v>3351</v>
      </c>
      <c r="C395" t="s">
        <v>117</v>
      </c>
      <c r="D395" s="385" t="s">
        <v>676</v>
      </c>
      <c r="E395" t="str">
        <f t="shared" si="23"/>
        <v>45-49FemaleET12</v>
      </c>
      <c r="F395">
        <v>2020</v>
      </c>
      <c r="G395" s="124">
        <v>9837.6315512768906</v>
      </c>
    </row>
    <row r="396" spans="1:7" x14ac:dyDescent="0.45">
      <c r="A396" t="s">
        <v>2880</v>
      </c>
      <c r="B396" t="s">
        <v>3351</v>
      </c>
      <c r="C396" t="s">
        <v>117</v>
      </c>
      <c r="D396" s="385" t="s">
        <v>984</v>
      </c>
      <c r="E396" t="str">
        <f t="shared" si="23"/>
        <v>50-54FemaleET12</v>
      </c>
      <c r="F396">
        <v>2020</v>
      </c>
      <c r="G396" s="124">
        <v>6873.1268913987997</v>
      </c>
    </row>
    <row r="397" spans="1:7" x14ac:dyDescent="0.45">
      <c r="A397" t="s">
        <v>2880</v>
      </c>
      <c r="B397" t="s">
        <v>3351</v>
      </c>
      <c r="C397" t="s">
        <v>117</v>
      </c>
      <c r="D397" s="385" t="s">
        <v>985</v>
      </c>
      <c r="E397" t="str">
        <f t="shared" si="23"/>
        <v>55-59FemaleET12</v>
      </c>
      <c r="F397">
        <v>2020</v>
      </c>
      <c r="G397" s="124">
        <v>4667.4902536924901</v>
      </c>
    </row>
    <row r="398" spans="1:7" x14ac:dyDescent="0.45">
      <c r="A398" t="s">
        <v>2880</v>
      </c>
      <c r="B398" t="s">
        <v>3351</v>
      </c>
      <c r="C398" t="s">
        <v>117</v>
      </c>
      <c r="D398" s="385" t="s">
        <v>986</v>
      </c>
      <c r="E398" t="str">
        <f t="shared" si="23"/>
        <v>60-64FemaleET12</v>
      </c>
      <c r="F398">
        <v>2020</v>
      </c>
      <c r="G398" s="124">
        <v>3609.3507476691102</v>
      </c>
    </row>
    <row r="399" spans="1:7" x14ac:dyDescent="0.45">
      <c r="A399" t="s">
        <v>2880</v>
      </c>
      <c r="B399" t="s">
        <v>3351</v>
      </c>
      <c r="C399" t="s">
        <v>117</v>
      </c>
      <c r="D399" s="385" t="s">
        <v>987</v>
      </c>
      <c r="E399" t="str">
        <f t="shared" si="23"/>
        <v>65-69FemaleET12</v>
      </c>
      <c r="F399">
        <v>2020</v>
      </c>
      <c r="G399" s="124">
        <v>2248.1357229219202</v>
      </c>
    </row>
    <row r="400" spans="1:7" x14ac:dyDescent="0.45">
      <c r="A400" t="s">
        <v>2880</v>
      </c>
      <c r="B400" t="s">
        <v>3351</v>
      </c>
      <c r="C400" t="s">
        <v>117</v>
      </c>
      <c r="D400" s="385" t="s">
        <v>988</v>
      </c>
      <c r="E400" t="str">
        <f t="shared" si="23"/>
        <v>70-74FemaleET12</v>
      </c>
      <c r="F400">
        <v>2020</v>
      </c>
      <c r="G400" s="124">
        <v>1056.0648813913499</v>
      </c>
    </row>
    <row r="401" spans="1:8" x14ac:dyDescent="0.45">
      <c r="A401" t="s">
        <v>2880</v>
      </c>
      <c r="B401" t="s">
        <v>3351</v>
      </c>
      <c r="C401" t="s">
        <v>117</v>
      </c>
      <c r="D401" s="385" t="s">
        <v>989</v>
      </c>
      <c r="E401" t="str">
        <f t="shared" si="23"/>
        <v>75-79FemaleET12</v>
      </c>
      <c r="F401">
        <v>2020</v>
      </c>
      <c r="G401" s="124">
        <v>604.91519859316702</v>
      </c>
    </row>
    <row r="402" spans="1:8" x14ac:dyDescent="0.45">
      <c r="A402" t="s">
        <v>2880</v>
      </c>
      <c r="B402" t="s">
        <v>3351</v>
      </c>
      <c r="C402" t="s">
        <v>117</v>
      </c>
      <c r="D402" s="385" t="s">
        <v>3346</v>
      </c>
      <c r="E402" t="str">
        <f t="shared" si="23"/>
        <v>80+FemaleET12</v>
      </c>
      <c r="F402">
        <v>2020</v>
      </c>
      <c r="G402" s="124">
        <v>473.27203031937802</v>
      </c>
    </row>
    <row r="403" spans="1:8" x14ac:dyDescent="0.45">
      <c r="A403" s="384" t="s">
        <v>2880</v>
      </c>
      <c r="B403" s="384" t="s">
        <v>3351</v>
      </c>
      <c r="C403" s="384" t="s">
        <v>117</v>
      </c>
      <c r="D403" s="388" t="s">
        <v>990</v>
      </c>
      <c r="E403" t="str">
        <f t="shared" si="23"/>
        <v>80-84FemaleET12</v>
      </c>
      <c r="F403" s="384">
        <v>2020</v>
      </c>
      <c r="G403" s="386">
        <f>$G$402*$H20</f>
        <v>306.06515967911093</v>
      </c>
      <c r="H403" s="75">
        <f>G403/SUM($G$403:$G$407)</f>
        <v>0.64670029089310244</v>
      </c>
    </row>
    <row r="404" spans="1:8" x14ac:dyDescent="0.45">
      <c r="A404" s="384" t="s">
        <v>2880</v>
      </c>
      <c r="B404" s="384" t="s">
        <v>3351</v>
      </c>
      <c r="C404" s="384" t="s">
        <v>117</v>
      </c>
      <c r="D404" s="388" t="s">
        <v>991</v>
      </c>
      <c r="E404" t="str">
        <f t="shared" si="23"/>
        <v>85-89FemaleET12</v>
      </c>
      <c r="F404" s="384">
        <v>2020</v>
      </c>
      <c r="G404" s="386">
        <f>$G$402*$H21</f>
        <v>127.76464463237195</v>
      </c>
      <c r="H404" s="75">
        <f t="shared" ref="H404:H407" si="24">G404/SUM($G$403:$G$407)</f>
        <v>0.26996026903629311</v>
      </c>
    </row>
    <row r="405" spans="1:8" x14ac:dyDescent="0.45">
      <c r="A405" s="384" t="s">
        <v>2880</v>
      </c>
      <c r="B405" s="384" t="s">
        <v>3351</v>
      </c>
      <c r="C405" s="384" t="s">
        <v>117</v>
      </c>
      <c r="D405" s="388" t="s">
        <v>992</v>
      </c>
      <c r="E405" t="str">
        <f t="shared" si="23"/>
        <v>90-94FemaleET12</v>
      </c>
      <c r="F405" s="384">
        <v>2020</v>
      </c>
      <c r="G405" s="386">
        <f>$G$402*$H22</f>
        <v>33.870523400594116</v>
      </c>
      <c r="H405" s="75">
        <f t="shared" si="24"/>
        <v>7.1566712653053421E-2</v>
      </c>
    </row>
    <row r="406" spans="1:8" x14ac:dyDescent="0.45">
      <c r="A406" s="384" t="s">
        <v>2880</v>
      </c>
      <c r="B406" s="384" t="s">
        <v>3351</v>
      </c>
      <c r="C406" s="384" t="s">
        <v>117</v>
      </c>
      <c r="D406" s="388" t="s">
        <v>993</v>
      </c>
      <c r="E406" t="str">
        <f t="shared" si="23"/>
        <v>95-99FemaleET12</v>
      </c>
      <c r="F406" s="384">
        <v>2020</v>
      </c>
      <c r="G406" s="386">
        <f>$G$402*$H23</f>
        <v>5.1751240455364167</v>
      </c>
      <c r="H406" s="75">
        <f t="shared" si="24"/>
        <v>1.0934776859820111E-2</v>
      </c>
    </row>
    <row r="407" spans="1:8" x14ac:dyDescent="0.45">
      <c r="A407" s="384" t="s">
        <v>2880</v>
      </c>
      <c r="B407" s="384" t="s">
        <v>3351</v>
      </c>
      <c r="C407" s="384" t="s">
        <v>117</v>
      </c>
      <c r="D407" s="388" t="s">
        <v>994</v>
      </c>
      <c r="E407" t="str">
        <f t="shared" si="23"/>
        <v>100+FemaleET12</v>
      </c>
      <c r="F407" s="384">
        <v>2020</v>
      </c>
      <c r="G407" s="386">
        <f>$G$402*$H24</f>
        <v>0.39657856176459139</v>
      </c>
      <c r="H407" s="75">
        <f t="shared" si="24"/>
        <v>8.3795055773097009E-4</v>
      </c>
    </row>
    <row r="408" spans="1:8" x14ac:dyDescent="0.45">
      <c r="A408" t="s">
        <v>2880</v>
      </c>
      <c r="B408" t="s">
        <v>3351</v>
      </c>
      <c r="C408" t="s">
        <v>116</v>
      </c>
      <c r="D408" s="362" t="s">
        <v>3347</v>
      </c>
      <c r="E408" t="str">
        <f t="shared" si="23"/>
        <v>&lt;1 yearMaleET12</v>
      </c>
      <c r="F408">
        <v>2020</v>
      </c>
      <c r="G408" s="124">
        <v>10498.1073175072</v>
      </c>
    </row>
    <row r="409" spans="1:8" x14ac:dyDescent="0.45">
      <c r="A409" t="s">
        <v>2880</v>
      </c>
      <c r="B409" t="s">
        <v>3351</v>
      </c>
      <c r="C409" t="s">
        <v>116</v>
      </c>
      <c r="D409" s="385" t="s">
        <v>169</v>
      </c>
      <c r="E409" t="str">
        <f t="shared" si="23"/>
        <v>1-4MaleET12</v>
      </c>
      <c r="F409">
        <v>2020</v>
      </c>
      <c r="G409" s="124">
        <v>38804.719435192601</v>
      </c>
    </row>
    <row r="410" spans="1:8" x14ac:dyDescent="0.45">
      <c r="A410" s="384" t="s">
        <v>2880</v>
      </c>
      <c r="B410" s="384" t="s">
        <v>3351</v>
      </c>
      <c r="C410" s="384" t="s">
        <v>116</v>
      </c>
      <c r="D410" s="387" t="s">
        <v>981</v>
      </c>
      <c r="E410" t="str">
        <f t="shared" si="23"/>
        <v>0-4MaleET12</v>
      </c>
      <c r="F410" s="384">
        <v>2020</v>
      </c>
      <c r="G410" s="386">
        <f>G409+G408</f>
        <v>49302.826752699802</v>
      </c>
    </row>
    <row r="411" spans="1:8" x14ac:dyDescent="0.45">
      <c r="A411" t="s">
        <v>2880</v>
      </c>
      <c r="B411" t="s">
        <v>3351</v>
      </c>
      <c r="C411" t="s">
        <v>116</v>
      </c>
      <c r="D411" s="385" t="s">
        <v>982</v>
      </c>
      <c r="E411" t="str">
        <f t="shared" si="23"/>
        <v>5-9MaleET12</v>
      </c>
      <c r="F411">
        <v>2020</v>
      </c>
      <c r="G411" s="124">
        <v>44622.500301226901</v>
      </c>
    </row>
    <row r="412" spans="1:8" x14ac:dyDescent="0.45">
      <c r="A412" t="s">
        <v>2880</v>
      </c>
      <c r="B412" t="s">
        <v>3351</v>
      </c>
      <c r="C412" t="s">
        <v>116</v>
      </c>
      <c r="D412" s="385" t="s">
        <v>983</v>
      </c>
      <c r="E412" t="str">
        <f t="shared" si="23"/>
        <v>10-14MaleET12</v>
      </c>
      <c r="F412">
        <v>2020</v>
      </c>
      <c r="G412" s="124">
        <v>39000.732676647604</v>
      </c>
    </row>
    <row r="413" spans="1:8" x14ac:dyDescent="0.45">
      <c r="A413" t="s">
        <v>2880</v>
      </c>
      <c r="B413" t="s">
        <v>3351</v>
      </c>
      <c r="C413" t="s">
        <v>116</v>
      </c>
      <c r="D413" s="385" t="s">
        <v>664</v>
      </c>
      <c r="E413" t="str">
        <f t="shared" si="23"/>
        <v>15-19MaleET12</v>
      </c>
      <c r="F413">
        <v>2020</v>
      </c>
      <c r="G413" s="124">
        <v>38810.753172106997</v>
      </c>
    </row>
    <row r="414" spans="1:8" x14ac:dyDescent="0.45">
      <c r="A414" t="s">
        <v>2880</v>
      </c>
      <c r="B414" t="s">
        <v>3351</v>
      </c>
      <c r="C414" t="s">
        <v>116</v>
      </c>
      <c r="D414" s="385" t="s">
        <v>665</v>
      </c>
      <c r="E414" t="str">
        <f t="shared" si="23"/>
        <v>20-24MaleET12</v>
      </c>
      <c r="F414">
        <v>2020</v>
      </c>
      <c r="G414" s="124">
        <v>32575.460931166999</v>
      </c>
    </row>
    <row r="415" spans="1:8" x14ac:dyDescent="0.45">
      <c r="A415" t="s">
        <v>2880</v>
      </c>
      <c r="B415" t="s">
        <v>3351</v>
      </c>
      <c r="C415" t="s">
        <v>116</v>
      </c>
      <c r="D415" s="385" t="s">
        <v>667</v>
      </c>
      <c r="E415" t="str">
        <f t="shared" si="23"/>
        <v>25-29MaleET12</v>
      </c>
      <c r="F415">
        <v>2020</v>
      </c>
      <c r="G415" s="124">
        <v>33070.445758677997</v>
      </c>
    </row>
    <row r="416" spans="1:8" x14ac:dyDescent="0.45">
      <c r="A416" t="s">
        <v>2880</v>
      </c>
      <c r="B416" t="s">
        <v>3351</v>
      </c>
      <c r="C416" t="s">
        <v>116</v>
      </c>
      <c r="D416" s="385" t="s">
        <v>670</v>
      </c>
      <c r="E416" t="str">
        <f t="shared" si="23"/>
        <v>30-34MaleET12</v>
      </c>
      <c r="F416">
        <v>2020</v>
      </c>
      <c r="G416" s="124">
        <v>22678.447577319999</v>
      </c>
    </row>
    <row r="417" spans="1:8" x14ac:dyDescent="0.45">
      <c r="A417" t="s">
        <v>2880</v>
      </c>
      <c r="B417" t="s">
        <v>3351</v>
      </c>
      <c r="C417" t="s">
        <v>116</v>
      </c>
      <c r="D417" s="385" t="s">
        <v>672</v>
      </c>
      <c r="E417" t="str">
        <f t="shared" si="23"/>
        <v>35-39MaleET12</v>
      </c>
      <c r="F417">
        <v>2020</v>
      </c>
      <c r="G417" s="124">
        <v>19901.632929824202</v>
      </c>
    </row>
    <row r="418" spans="1:8" x14ac:dyDescent="0.45">
      <c r="A418" t="s">
        <v>2880</v>
      </c>
      <c r="B418" t="s">
        <v>3351</v>
      </c>
      <c r="C418" t="s">
        <v>116</v>
      </c>
      <c r="D418" s="385" t="s">
        <v>674</v>
      </c>
      <c r="E418" t="str">
        <f t="shared" si="23"/>
        <v>40-44MaleET12</v>
      </c>
      <c r="F418">
        <v>2020</v>
      </c>
      <c r="G418" s="124">
        <v>14904.992403365601</v>
      </c>
    </row>
    <row r="419" spans="1:8" x14ac:dyDescent="0.45">
      <c r="A419" t="s">
        <v>2880</v>
      </c>
      <c r="B419" t="s">
        <v>3351</v>
      </c>
      <c r="C419" t="s">
        <v>116</v>
      </c>
      <c r="D419" s="385" t="s">
        <v>676</v>
      </c>
      <c r="E419" t="str">
        <f t="shared" si="23"/>
        <v>45-49MaleET12</v>
      </c>
      <c r="F419">
        <v>2020</v>
      </c>
      <c r="G419" s="124">
        <v>11459.8288291431</v>
      </c>
    </row>
    <row r="420" spans="1:8" x14ac:dyDescent="0.45">
      <c r="A420" t="s">
        <v>2880</v>
      </c>
      <c r="B420" t="s">
        <v>3351</v>
      </c>
      <c r="C420" t="s">
        <v>116</v>
      </c>
      <c r="D420" s="385" t="s">
        <v>984</v>
      </c>
      <c r="E420" t="str">
        <f t="shared" si="23"/>
        <v>50-54MaleET12</v>
      </c>
      <c r="F420">
        <v>2020</v>
      </c>
      <c r="G420" s="124">
        <v>8082.3195836450896</v>
      </c>
    </row>
    <row r="421" spans="1:8" x14ac:dyDescent="0.45">
      <c r="A421" t="s">
        <v>2880</v>
      </c>
      <c r="B421" t="s">
        <v>3351</v>
      </c>
      <c r="C421" t="s">
        <v>116</v>
      </c>
      <c r="D421" s="385" t="s">
        <v>985</v>
      </c>
      <c r="E421" t="str">
        <f t="shared" si="23"/>
        <v>55-59MaleET12</v>
      </c>
      <c r="F421">
        <v>2020</v>
      </c>
      <c r="G421" s="124">
        <v>4812.6425500176802</v>
      </c>
    </row>
    <row r="422" spans="1:8" x14ac:dyDescent="0.45">
      <c r="A422" t="s">
        <v>2880</v>
      </c>
      <c r="B422" t="s">
        <v>3351</v>
      </c>
      <c r="C422" t="s">
        <v>116</v>
      </c>
      <c r="D422" s="385" t="s">
        <v>986</v>
      </c>
      <c r="E422" t="str">
        <f t="shared" si="23"/>
        <v>60-64MaleET12</v>
      </c>
      <c r="F422">
        <v>2020</v>
      </c>
      <c r="G422" s="124">
        <v>4314.1933514494403</v>
      </c>
    </row>
    <row r="423" spans="1:8" x14ac:dyDescent="0.45">
      <c r="A423" t="s">
        <v>2880</v>
      </c>
      <c r="B423" t="s">
        <v>3351</v>
      </c>
      <c r="C423" t="s">
        <v>116</v>
      </c>
      <c r="D423" s="385" t="s">
        <v>987</v>
      </c>
      <c r="E423" t="str">
        <f t="shared" si="23"/>
        <v>65-69MaleET12</v>
      </c>
      <c r="F423">
        <v>2020</v>
      </c>
      <c r="G423" s="124">
        <v>3025.5632770694701</v>
      </c>
    </row>
    <row r="424" spans="1:8" x14ac:dyDescent="0.45">
      <c r="A424" t="s">
        <v>2880</v>
      </c>
      <c r="B424" t="s">
        <v>3351</v>
      </c>
      <c r="C424" t="s">
        <v>116</v>
      </c>
      <c r="D424" s="385" t="s">
        <v>988</v>
      </c>
      <c r="E424" t="str">
        <f t="shared" si="23"/>
        <v>70-74MaleET12</v>
      </c>
      <c r="F424">
        <v>2020</v>
      </c>
      <c r="G424" s="124">
        <v>1378.0729786720999</v>
      </c>
    </row>
    <row r="425" spans="1:8" x14ac:dyDescent="0.45">
      <c r="A425" t="s">
        <v>2880</v>
      </c>
      <c r="B425" t="s">
        <v>3351</v>
      </c>
      <c r="C425" t="s">
        <v>116</v>
      </c>
      <c r="D425" s="385" t="s">
        <v>989</v>
      </c>
      <c r="E425" t="str">
        <f t="shared" si="23"/>
        <v>75-79MaleET12</v>
      </c>
      <c r="F425">
        <v>2020</v>
      </c>
      <c r="G425" s="124">
        <v>657.61950725712802</v>
      </c>
    </row>
    <row r="426" spans="1:8" x14ac:dyDescent="0.45">
      <c r="A426" t="s">
        <v>2880</v>
      </c>
      <c r="B426" t="s">
        <v>3351</v>
      </c>
      <c r="C426" t="s">
        <v>116</v>
      </c>
      <c r="D426" s="385" t="s">
        <v>3346</v>
      </c>
      <c r="E426" t="str">
        <f t="shared" si="23"/>
        <v>80+MaleET12</v>
      </c>
      <c r="F426">
        <v>2020</v>
      </c>
      <c r="G426" s="124">
        <v>370.72653429914499</v>
      </c>
    </row>
    <row r="427" spans="1:8" x14ac:dyDescent="0.45">
      <c r="A427" s="384" t="s">
        <v>2880</v>
      </c>
      <c r="B427" s="384" t="s">
        <v>3351</v>
      </c>
      <c r="C427" s="384" t="s">
        <v>116</v>
      </c>
      <c r="D427" s="388" t="s">
        <v>990</v>
      </c>
      <c r="E427" t="str">
        <f t="shared" si="23"/>
        <v>80-84MaleET12</v>
      </c>
      <c r="F427" s="384">
        <v>2020</v>
      </c>
      <c r="G427" s="386">
        <f>$G$426*$H43</f>
        <v>245.82167464832904</v>
      </c>
      <c r="H427" s="75">
        <f>G427/SUM($G$427:$G$431)</f>
        <v>0.66308087472900357</v>
      </c>
    </row>
    <row r="428" spans="1:8" x14ac:dyDescent="0.45">
      <c r="A428" s="384" t="s">
        <v>2880</v>
      </c>
      <c r="B428" s="384" t="s">
        <v>3351</v>
      </c>
      <c r="C428" s="384" t="s">
        <v>116</v>
      </c>
      <c r="D428" s="388" t="s">
        <v>991</v>
      </c>
      <c r="E428" t="str">
        <f t="shared" si="23"/>
        <v>85-89MaleET12</v>
      </c>
      <c r="F428" s="384">
        <v>2020</v>
      </c>
      <c r="G428" s="386">
        <f>$G$426*$H44</f>
        <v>98.111140150969646</v>
      </c>
      <c r="H428" s="75">
        <f t="shared" ref="H428:H431" si="25">G428/SUM($G$427:$G$431)</f>
        <v>0.26464558393816567</v>
      </c>
    </row>
    <row r="429" spans="1:8" x14ac:dyDescent="0.45">
      <c r="A429" s="384" t="s">
        <v>2880</v>
      </c>
      <c r="B429" s="384" t="s">
        <v>3351</v>
      </c>
      <c r="C429" s="384" t="s">
        <v>116</v>
      </c>
      <c r="D429" s="388" t="s">
        <v>992</v>
      </c>
      <c r="E429" t="str">
        <f t="shared" si="23"/>
        <v>90-94MaleET12</v>
      </c>
      <c r="F429" s="384">
        <v>2020</v>
      </c>
      <c r="G429" s="386">
        <f>$G$426*$H45</f>
        <v>23.69676039886961</v>
      </c>
      <c r="H429" s="75">
        <f t="shared" si="25"/>
        <v>6.3919785088132702E-2</v>
      </c>
    </row>
    <row r="430" spans="1:8" x14ac:dyDescent="0.45">
      <c r="A430" s="384" t="s">
        <v>2880</v>
      </c>
      <c r="B430" s="384" t="s">
        <v>3351</v>
      </c>
      <c r="C430" s="384" t="s">
        <v>116</v>
      </c>
      <c r="D430" s="388" t="s">
        <v>993</v>
      </c>
      <c r="E430" t="str">
        <f t="shared" si="23"/>
        <v>95-99MaleET12</v>
      </c>
      <c r="F430" s="384">
        <v>2020</v>
      </c>
      <c r="G430" s="386">
        <f>$G$426*$H46</f>
        <v>2.8334190928540868</v>
      </c>
      <c r="H430" s="75">
        <f t="shared" si="25"/>
        <v>7.6428818298928574E-3</v>
      </c>
    </row>
    <row r="431" spans="1:8" x14ac:dyDescent="0.45">
      <c r="A431" s="384" t="s">
        <v>2880</v>
      </c>
      <c r="B431" s="384" t="s">
        <v>3351</v>
      </c>
      <c r="C431" s="384" t="s">
        <v>116</v>
      </c>
      <c r="D431" s="388" t="s">
        <v>994</v>
      </c>
      <c r="E431" t="str">
        <f t="shared" si="23"/>
        <v>100+MaleET12</v>
      </c>
      <c r="F431" s="384">
        <v>2020</v>
      </c>
      <c r="G431" s="386">
        <f>$G$426*$H47</f>
        <v>0.2635400081226052</v>
      </c>
      <c r="H431" s="75">
        <f t="shared" si="25"/>
        <v>7.1087441480503961E-4</v>
      </c>
    </row>
    <row r="432" spans="1:8" x14ac:dyDescent="0.45">
      <c r="A432" t="s">
        <v>2882</v>
      </c>
      <c r="B432" t="s">
        <v>3352</v>
      </c>
      <c r="C432" t="s">
        <v>117</v>
      </c>
      <c r="D432" s="362" t="s">
        <v>3347</v>
      </c>
      <c r="E432" t="str">
        <f t="shared" si="23"/>
        <v>&lt;1 yearFemaleET13</v>
      </c>
      <c r="F432">
        <v>2020</v>
      </c>
      <c r="G432" s="124">
        <v>4146.4106551483201</v>
      </c>
    </row>
    <row r="433" spans="1:7" x14ac:dyDescent="0.45">
      <c r="A433" t="s">
        <v>2882</v>
      </c>
      <c r="B433" t="s">
        <v>3352</v>
      </c>
      <c r="C433" t="s">
        <v>117</v>
      </c>
      <c r="D433" s="385" t="s">
        <v>169</v>
      </c>
      <c r="E433" t="str">
        <f t="shared" si="23"/>
        <v>1-4FemaleET13</v>
      </c>
      <c r="F433">
        <v>2020</v>
      </c>
      <c r="G433" s="124">
        <v>15325.724995434201</v>
      </c>
    </row>
    <row r="434" spans="1:7" x14ac:dyDescent="0.45">
      <c r="A434" s="384" t="s">
        <v>2882</v>
      </c>
      <c r="B434" s="384" t="s">
        <v>3352</v>
      </c>
      <c r="C434" s="384" t="s">
        <v>117</v>
      </c>
      <c r="D434" s="387" t="s">
        <v>981</v>
      </c>
      <c r="E434" t="str">
        <f t="shared" si="23"/>
        <v>0-4FemaleET13</v>
      </c>
      <c r="F434" s="384">
        <v>2020</v>
      </c>
      <c r="G434" s="386">
        <f>G433+G432</f>
        <v>19472.135650582521</v>
      </c>
    </row>
    <row r="435" spans="1:7" x14ac:dyDescent="0.45">
      <c r="A435" t="s">
        <v>2882</v>
      </c>
      <c r="B435" t="s">
        <v>3352</v>
      </c>
      <c r="C435" t="s">
        <v>117</v>
      </c>
      <c r="D435" s="385" t="s">
        <v>982</v>
      </c>
      <c r="E435" t="str">
        <f t="shared" si="23"/>
        <v>5-9FemaleET13</v>
      </c>
      <c r="F435">
        <v>2020</v>
      </c>
      <c r="G435" s="124">
        <v>16335.321852400801</v>
      </c>
    </row>
    <row r="436" spans="1:7" x14ac:dyDescent="0.45">
      <c r="A436" t="s">
        <v>2882</v>
      </c>
      <c r="B436" t="s">
        <v>3352</v>
      </c>
      <c r="C436" t="s">
        <v>117</v>
      </c>
      <c r="D436" s="385" t="s">
        <v>983</v>
      </c>
      <c r="E436" t="str">
        <f t="shared" si="23"/>
        <v>10-14FemaleET13</v>
      </c>
      <c r="F436">
        <v>2020</v>
      </c>
      <c r="G436" s="124">
        <v>14643.804396837901</v>
      </c>
    </row>
    <row r="437" spans="1:7" x14ac:dyDescent="0.45">
      <c r="A437" t="s">
        <v>2882</v>
      </c>
      <c r="B437" t="s">
        <v>3352</v>
      </c>
      <c r="C437" t="s">
        <v>117</v>
      </c>
      <c r="D437" s="385" t="s">
        <v>664</v>
      </c>
      <c r="E437" t="str">
        <f t="shared" si="23"/>
        <v>15-19FemaleET13</v>
      </c>
      <c r="F437">
        <v>2020</v>
      </c>
      <c r="G437" s="124">
        <v>16343.1361991167</v>
      </c>
    </row>
    <row r="438" spans="1:7" x14ac:dyDescent="0.45">
      <c r="A438" t="s">
        <v>2882</v>
      </c>
      <c r="B438" t="s">
        <v>3352</v>
      </c>
      <c r="C438" t="s">
        <v>117</v>
      </c>
      <c r="D438" s="385" t="s">
        <v>665</v>
      </c>
      <c r="E438" t="str">
        <f t="shared" si="23"/>
        <v>20-24FemaleET13</v>
      </c>
      <c r="F438">
        <v>2020</v>
      </c>
      <c r="G438" s="124">
        <v>15235.787466526001</v>
      </c>
    </row>
    <row r="439" spans="1:7" x14ac:dyDescent="0.45">
      <c r="A439" t="s">
        <v>2882</v>
      </c>
      <c r="B439" t="s">
        <v>3352</v>
      </c>
      <c r="C439" t="s">
        <v>117</v>
      </c>
      <c r="D439" s="385" t="s">
        <v>667</v>
      </c>
      <c r="E439" t="str">
        <f t="shared" si="23"/>
        <v>25-29FemaleET13</v>
      </c>
      <c r="F439">
        <v>2020</v>
      </c>
      <c r="G439" s="124">
        <v>14062.1647924929</v>
      </c>
    </row>
    <row r="440" spans="1:7" x14ac:dyDescent="0.45">
      <c r="A440" t="s">
        <v>2882</v>
      </c>
      <c r="B440" t="s">
        <v>3352</v>
      </c>
      <c r="C440" t="s">
        <v>117</v>
      </c>
      <c r="D440" s="385" t="s">
        <v>670</v>
      </c>
      <c r="E440" t="str">
        <f t="shared" si="23"/>
        <v>30-34FemaleET13</v>
      </c>
      <c r="F440">
        <v>2020</v>
      </c>
      <c r="G440" s="124">
        <v>10154.295596823</v>
      </c>
    </row>
    <row r="441" spans="1:7" x14ac:dyDescent="0.45">
      <c r="A441" t="s">
        <v>2882</v>
      </c>
      <c r="B441" t="s">
        <v>3352</v>
      </c>
      <c r="C441" t="s">
        <v>117</v>
      </c>
      <c r="D441" s="385" t="s">
        <v>672</v>
      </c>
      <c r="E441" t="str">
        <f t="shared" si="23"/>
        <v>35-39FemaleET13</v>
      </c>
      <c r="F441">
        <v>2020</v>
      </c>
      <c r="G441" s="124">
        <v>8415.6301844417994</v>
      </c>
    </row>
    <row r="442" spans="1:7" x14ac:dyDescent="0.45">
      <c r="A442" t="s">
        <v>2882</v>
      </c>
      <c r="B442" t="s">
        <v>3352</v>
      </c>
      <c r="C442" t="s">
        <v>117</v>
      </c>
      <c r="D442" s="385" t="s">
        <v>674</v>
      </c>
      <c r="E442" t="str">
        <f t="shared" si="23"/>
        <v>40-44FemaleET13</v>
      </c>
      <c r="F442">
        <v>2020</v>
      </c>
      <c r="G442" s="124">
        <v>6493.7397766187696</v>
      </c>
    </row>
    <row r="443" spans="1:7" x14ac:dyDescent="0.45">
      <c r="A443" t="s">
        <v>2882</v>
      </c>
      <c r="B443" t="s">
        <v>3352</v>
      </c>
      <c r="C443" t="s">
        <v>117</v>
      </c>
      <c r="D443" s="385" t="s">
        <v>676</v>
      </c>
      <c r="E443" t="str">
        <f t="shared" si="23"/>
        <v>45-49FemaleET13</v>
      </c>
      <c r="F443">
        <v>2020</v>
      </c>
      <c r="G443" s="124">
        <v>4874.42833317443</v>
      </c>
    </row>
    <row r="444" spans="1:7" x14ac:dyDescent="0.45">
      <c r="A444" t="s">
        <v>2882</v>
      </c>
      <c r="B444" t="s">
        <v>3352</v>
      </c>
      <c r="C444" t="s">
        <v>117</v>
      </c>
      <c r="D444" s="385" t="s">
        <v>984</v>
      </c>
      <c r="E444" t="str">
        <f t="shared" si="23"/>
        <v>50-54FemaleET13</v>
      </c>
      <c r="F444">
        <v>2020</v>
      </c>
      <c r="G444" s="124">
        <v>4335.2959656491803</v>
      </c>
    </row>
    <row r="445" spans="1:7" x14ac:dyDescent="0.45">
      <c r="A445" t="s">
        <v>2882</v>
      </c>
      <c r="B445" t="s">
        <v>3352</v>
      </c>
      <c r="C445" t="s">
        <v>117</v>
      </c>
      <c r="D445" s="385" t="s">
        <v>985</v>
      </c>
      <c r="E445" t="str">
        <f t="shared" si="23"/>
        <v>55-59FemaleET13</v>
      </c>
      <c r="F445">
        <v>2020</v>
      </c>
      <c r="G445" s="124">
        <v>3252.2757173255</v>
      </c>
    </row>
    <row r="446" spans="1:7" x14ac:dyDescent="0.45">
      <c r="A446" t="s">
        <v>2882</v>
      </c>
      <c r="B446" t="s">
        <v>3352</v>
      </c>
      <c r="C446" t="s">
        <v>117</v>
      </c>
      <c r="D446" s="385" t="s">
        <v>986</v>
      </c>
      <c r="E446" t="str">
        <f t="shared" si="23"/>
        <v>60-64FemaleET13</v>
      </c>
      <c r="F446">
        <v>2020</v>
      </c>
      <c r="G446" s="124">
        <v>3308.6229422762899</v>
      </c>
    </row>
    <row r="447" spans="1:7" x14ac:dyDescent="0.45">
      <c r="A447" t="s">
        <v>2882</v>
      </c>
      <c r="B447" t="s">
        <v>3352</v>
      </c>
      <c r="C447" t="s">
        <v>117</v>
      </c>
      <c r="D447" s="385" t="s">
        <v>987</v>
      </c>
      <c r="E447" t="str">
        <f t="shared" si="23"/>
        <v>65-69FemaleET13</v>
      </c>
      <c r="F447">
        <v>2020</v>
      </c>
      <c r="G447" s="124">
        <v>2407.2767875622899</v>
      </c>
    </row>
    <row r="448" spans="1:7" x14ac:dyDescent="0.45">
      <c r="A448" t="s">
        <v>2882</v>
      </c>
      <c r="B448" t="s">
        <v>3352</v>
      </c>
      <c r="C448" t="s">
        <v>117</v>
      </c>
      <c r="D448" s="385" t="s">
        <v>988</v>
      </c>
      <c r="E448" t="str">
        <f t="shared" si="23"/>
        <v>70-74FemaleET13</v>
      </c>
      <c r="F448">
        <v>2020</v>
      </c>
      <c r="G448" s="124">
        <v>1778.5924884267099</v>
      </c>
    </row>
    <row r="449" spans="1:8" x14ac:dyDescent="0.45">
      <c r="A449" t="s">
        <v>2882</v>
      </c>
      <c r="B449" t="s">
        <v>3352</v>
      </c>
      <c r="C449" t="s">
        <v>117</v>
      </c>
      <c r="D449" s="385" t="s">
        <v>989</v>
      </c>
      <c r="E449" t="str">
        <f t="shared" si="23"/>
        <v>75-79FemaleET13</v>
      </c>
      <c r="F449">
        <v>2020</v>
      </c>
      <c r="G449" s="124">
        <v>1190.0537024652499</v>
      </c>
    </row>
    <row r="450" spans="1:8" x14ac:dyDescent="0.45">
      <c r="A450" t="s">
        <v>2882</v>
      </c>
      <c r="B450" t="s">
        <v>3352</v>
      </c>
      <c r="C450" t="s">
        <v>117</v>
      </c>
      <c r="D450" s="385" t="s">
        <v>3346</v>
      </c>
      <c r="E450" t="str">
        <f t="shared" si="23"/>
        <v>80+FemaleET13</v>
      </c>
      <c r="F450">
        <v>2020</v>
      </c>
      <c r="G450" s="124">
        <v>1206.2450735028799</v>
      </c>
    </row>
    <row r="451" spans="1:8" x14ac:dyDescent="0.45">
      <c r="A451" s="384" t="s">
        <v>2882</v>
      </c>
      <c r="B451" s="384" t="s">
        <v>3352</v>
      </c>
      <c r="C451" s="384" t="s">
        <v>117</v>
      </c>
      <c r="D451" s="388" t="s">
        <v>990</v>
      </c>
      <c r="E451" t="str">
        <f t="shared" si="23"/>
        <v>80-84FemaleET13</v>
      </c>
      <c r="F451" s="384">
        <v>2020</v>
      </c>
      <c r="G451" s="386">
        <f>$G$450*$H20</f>
        <v>780.07903992268405</v>
      </c>
      <c r="H451" s="75">
        <f>G451/SUM($G$451:$G$455)</f>
        <v>0.64670029089310221</v>
      </c>
    </row>
    <row r="452" spans="1:8" x14ac:dyDescent="0.45">
      <c r="A452" s="384" t="s">
        <v>2882</v>
      </c>
      <c r="B452" s="384" t="s">
        <v>3352</v>
      </c>
      <c r="C452" s="384" t="s">
        <v>117</v>
      </c>
      <c r="D452" s="388" t="s">
        <v>991</v>
      </c>
      <c r="E452" t="str">
        <f t="shared" si="23"/>
        <v>85-89FemaleET13</v>
      </c>
      <c r="F452" s="384">
        <v>2020</v>
      </c>
      <c r="G452" s="386">
        <f>$G$450*$H21</f>
        <v>325.63824456654061</v>
      </c>
      <c r="H452" s="75">
        <f t="shared" ref="H452:H455" si="26">G452/SUM($G$451:$G$455)</f>
        <v>0.26996026903629305</v>
      </c>
    </row>
    <row r="453" spans="1:8" x14ac:dyDescent="0.45">
      <c r="A453" s="384" t="s">
        <v>2882</v>
      </c>
      <c r="B453" s="384" t="s">
        <v>3352</v>
      </c>
      <c r="C453" s="384" t="s">
        <v>117</v>
      </c>
      <c r="D453" s="388" t="s">
        <v>992</v>
      </c>
      <c r="E453" t="str">
        <f t="shared" si="23"/>
        <v>90-94FemaleET13</v>
      </c>
      <c r="F453" s="384">
        <v>2020</v>
      </c>
      <c r="G453" s="386">
        <f>$G$450*$H22</f>
        <v>86.326994564541906</v>
      </c>
      <c r="H453" s="75">
        <f t="shared" si="26"/>
        <v>7.1566712653053408E-2</v>
      </c>
    </row>
    <row r="454" spans="1:8" x14ac:dyDescent="0.45">
      <c r="A454" s="384" t="s">
        <v>2882</v>
      </c>
      <c r="B454" s="384" t="s">
        <v>3352</v>
      </c>
      <c r="C454" s="384" t="s">
        <v>117</v>
      </c>
      <c r="D454" s="388" t="s">
        <v>993</v>
      </c>
      <c r="E454" t="str">
        <f t="shared" si="23"/>
        <v>95-99FemaleET13</v>
      </c>
      <c r="F454" s="384">
        <v>2020</v>
      </c>
      <c r="G454" s="386">
        <f>$G$450*$H23</f>
        <v>13.190020717011301</v>
      </c>
      <c r="H454" s="75">
        <f t="shared" si="26"/>
        <v>1.0934776859820109E-2</v>
      </c>
    </row>
    <row r="455" spans="1:8" x14ac:dyDescent="0.45">
      <c r="A455" s="384" t="s">
        <v>2882</v>
      </c>
      <c r="B455" s="384" t="s">
        <v>3352</v>
      </c>
      <c r="C455" s="384" t="s">
        <v>117</v>
      </c>
      <c r="D455" s="388" t="s">
        <v>994</v>
      </c>
      <c r="E455" t="str">
        <f t="shared" ref="E455:E518" si="27">_xlfn.CONCAT(D455,C455,A455)</f>
        <v>100+FemaleET13</v>
      </c>
      <c r="F455" s="384">
        <v>2020</v>
      </c>
      <c r="G455" s="386">
        <f>$G$450*$H24</f>
        <v>1.0107737321019732</v>
      </c>
      <c r="H455" s="75">
        <f t="shared" si="26"/>
        <v>8.3795055773096987E-4</v>
      </c>
    </row>
    <row r="456" spans="1:8" x14ac:dyDescent="0.45">
      <c r="A456" t="s">
        <v>2882</v>
      </c>
      <c r="B456" t="s">
        <v>3352</v>
      </c>
      <c r="C456" t="s">
        <v>116</v>
      </c>
      <c r="D456" s="362" t="s">
        <v>3347</v>
      </c>
      <c r="E456" t="str">
        <f t="shared" si="27"/>
        <v>&lt;1 yearMaleET13</v>
      </c>
      <c r="F456">
        <v>2020</v>
      </c>
      <c r="G456" s="124">
        <v>4211.5403944253903</v>
      </c>
    </row>
    <row r="457" spans="1:8" x14ac:dyDescent="0.45">
      <c r="A457" t="s">
        <v>2882</v>
      </c>
      <c r="B457" t="s">
        <v>3352</v>
      </c>
      <c r="C457" t="s">
        <v>116</v>
      </c>
      <c r="D457" s="385" t="s">
        <v>169</v>
      </c>
      <c r="E457" t="str">
        <f t="shared" si="27"/>
        <v>1-4MaleET13</v>
      </c>
      <c r="F457">
        <v>2020</v>
      </c>
      <c r="G457" s="124">
        <v>15567.3258146345</v>
      </c>
    </row>
    <row r="458" spans="1:8" x14ac:dyDescent="0.45">
      <c r="A458" s="384" t="s">
        <v>2882</v>
      </c>
      <c r="B458" s="384" t="s">
        <v>3352</v>
      </c>
      <c r="C458" s="384" t="s">
        <v>116</v>
      </c>
      <c r="D458" s="387" t="s">
        <v>981</v>
      </c>
      <c r="E458" t="str">
        <f t="shared" si="27"/>
        <v>0-4MaleET13</v>
      </c>
      <c r="F458" s="384">
        <v>2020</v>
      </c>
      <c r="G458" s="386">
        <f>G457+G456</f>
        <v>19778.866209059888</v>
      </c>
    </row>
    <row r="459" spans="1:8" x14ac:dyDescent="0.45">
      <c r="A459" t="s">
        <v>2882</v>
      </c>
      <c r="B459" t="s">
        <v>3352</v>
      </c>
      <c r="C459" t="s">
        <v>116</v>
      </c>
      <c r="D459" s="385" t="s">
        <v>982</v>
      </c>
      <c r="E459" t="str">
        <f t="shared" si="27"/>
        <v>5-9MaleET13</v>
      </c>
      <c r="F459">
        <v>2020</v>
      </c>
      <c r="G459" s="124">
        <v>16518.765282869299</v>
      </c>
    </row>
    <row r="460" spans="1:8" x14ac:dyDescent="0.45">
      <c r="A460" t="s">
        <v>2882</v>
      </c>
      <c r="B460" t="s">
        <v>3352</v>
      </c>
      <c r="C460" t="s">
        <v>116</v>
      </c>
      <c r="D460" s="385" t="s">
        <v>983</v>
      </c>
      <c r="E460" t="str">
        <f t="shared" si="27"/>
        <v>10-14MaleET13</v>
      </c>
      <c r="F460">
        <v>2020</v>
      </c>
      <c r="G460" s="124">
        <v>14097.898235320999</v>
      </c>
    </row>
    <row r="461" spans="1:8" x14ac:dyDescent="0.45">
      <c r="A461" t="s">
        <v>2882</v>
      </c>
      <c r="B461" t="s">
        <v>3352</v>
      </c>
      <c r="C461" t="s">
        <v>116</v>
      </c>
      <c r="D461" s="385" t="s">
        <v>664</v>
      </c>
      <c r="E461" t="str">
        <f t="shared" si="27"/>
        <v>15-19MaleET13</v>
      </c>
      <c r="F461">
        <v>2020</v>
      </c>
      <c r="G461" s="124">
        <v>14940.483088463499</v>
      </c>
    </row>
    <row r="462" spans="1:8" x14ac:dyDescent="0.45">
      <c r="A462" t="s">
        <v>2882</v>
      </c>
      <c r="B462" t="s">
        <v>3352</v>
      </c>
      <c r="C462" t="s">
        <v>116</v>
      </c>
      <c r="D462" s="385" t="s">
        <v>665</v>
      </c>
      <c r="E462" t="str">
        <f t="shared" si="27"/>
        <v>20-24MaleET13</v>
      </c>
      <c r="F462">
        <v>2020</v>
      </c>
      <c r="G462" s="124">
        <v>14753.0439578145</v>
      </c>
    </row>
    <row r="463" spans="1:8" x14ac:dyDescent="0.45">
      <c r="A463" t="s">
        <v>2882</v>
      </c>
      <c r="B463" t="s">
        <v>3352</v>
      </c>
      <c r="C463" t="s">
        <v>116</v>
      </c>
      <c r="D463" s="385" t="s">
        <v>667</v>
      </c>
      <c r="E463" t="str">
        <f t="shared" si="27"/>
        <v>25-29MaleET13</v>
      </c>
      <c r="F463">
        <v>2020</v>
      </c>
      <c r="G463" s="124">
        <v>14977.4127140939</v>
      </c>
    </row>
    <row r="464" spans="1:8" x14ac:dyDescent="0.45">
      <c r="A464" t="s">
        <v>2882</v>
      </c>
      <c r="B464" t="s">
        <v>3352</v>
      </c>
      <c r="C464" t="s">
        <v>116</v>
      </c>
      <c r="D464" s="385" t="s">
        <v>670</v>
      </c>
      <c r="E464" t="str">
        <f t="shared" si="27"/>
        <v>30-34MaleET13</v>
      </c>
      <c r="F464">
        <v>2020</v>
      </c>
      <c r="G464" s="124">
        <v>11753.6698228567</v>
      </c>
    </row>
    <row r="465" spans="1:8" x14ac:dyDescent="0.45">
      <c r="A465" t="s">
        <v>2882</v>
      </c>
      <c r="B465" t="s">
        <v>3352</v>
      </c>
      <c r="C465" t="s">
        <v>116</v>
      </c>
      <c r="D465" s="385" t="s">
        <v>672</v>
      </c>
      <c r="E465" t="str">
        <f t="shared" si="27"/>
        <v>35-39MaleET13</v>
      </c>
      <c r="F465">
        <v>2020</v>
      </c>
      <c r="G465" s="124">
        <v>9588.7427859678792</v>
      </c>
    </row>
    <row r="466" spans="1:8" x14ac:dyDescent="0.45">
      <c r="A466" t="s">
        <v>2882</v>
      </c>
      <c r="B466" t="s">
        <v>3352</v>
      </c>
      <c r="C466" t="s">
        <v>116</v>
      </c>
      <c r="D466" s="385" t="s">
        <v>674</v>
      </c>
      <c r="E466" t="str">
        <f t="shared" si="27"/>
        <v>40-44MaleET13</v>
      </c>
      <c r="F466">
        <v>2020</v>
      </c>
      <c r="G466" s="124">
        <v>7505.16853070259</v>
      </c>
    </row>
    <row r="467" spans="1:8" x14ac:dyDescent="0.45">
      <c r="A467" t="s">
        <v>2882</v>
      </c>
      <c r="B467" t="s">
        <v>3352</v>
      </c>
      <c r="C467" t="s">
        <v>116</v>
      </c>
      <c r="D467" s="385" t="s">
        <v>676</v>
      </c>
      <c r="E467" t="str">
        <f t="shared" si="27"/>
        <v>45-49MaleET13</v>
      </c>
      <c r="F467">
        <v>2020</v>
      </c>
      <c r="G467" s="124">
        <v>5169.4310152903199</v>
      </c>
    </row>
    <row r="468" spans="1:8" x14ac:dyDescent="0.45">
      <c r="A468" t="s">
        <v>2882</v>
      </c>
      <c r="B468" t="s">
        <v>3352</v>
      </c>
      <c r="C468" t="s">
        <v>116</v>
      </c>
      <c r="D468" s="385" t="s">
        <v>984</v>
      </c>
      <c r="E468" t="str">
        <f t="shared" si="27"/>
        <v>50-54MaleET13</v>
      </c>
      <c r="F468">
        <v>2020</v>
      </c>
      <c r="G468" s="124">
        <v>4111.3431605771102</v>
      </c>
    </row>
    <row r="469" spans="1:8" x14ac:dyDescent="0.45">
      <c r="A469" t="s">
        <v>2882</v>
      </c>
      <c r="B469" t="s">
        <v>3352</v>
      </c>
      <c r="C469" t="s">
        <v>116</v>
      </c>
      <c r="D469" s="385" t="s">
        <v>985</v>
      </c>
      <c r="E469" t="str">
        <f t="shared" si="27"/>
        <v>55-59MaleET13</v>
      </c>
      <c r="F469">
        <v>2020</v>
      </c>
      <c r="G469" s="124">
        <v>2345.4354535862799</v>
      </c>
    </row>
    <row r="470" spans="1:8" x14ac:dyDescent="0.45">
      <c r="A470" t="s">
        <v>2882</v>
      </c>
      <c r="B470" t="s">
        <v>3352</v>
      </c>
      <c r="C470" t="s">
        <v>116</v>
      </c>
      <c r="D470" s="385" t="s">
        <v>986</v>
      </c>
      <c r="E470" t="str">
        <f t="shared" si="27"/>
        <v>60-64MaleET13</v>
      </c>
      <c r="F470">
        <v>2020</v>
      </c>
      <c r="G470" s="124">
        <v>2381.2312008775698</v>
      </c>
    </row>
    <row r="471" spans="1:8" x14ac:dyDescent="0.45">
      <c r="A471" t="s">
        <v>2882</v>
      </c>
      <c r="B471" t="s">
        <v>3352</v>
      </c>
      <c r="C471" t="s">
        <v>116</v>
      </c>
      <c r="D471" s="385" t="s">
        <v>987</v>
      </c>
      <c r="E471" t="str">
        <f t="shared" si="27"/>
        <v>65-69MaleET13</v>
      </c>
      <c r="F471">
        <v>2020</v>
      </c>
      <c r="G471" s="124">
        <v>1376.82649587932</v>
      </c>
    </row>
    <row r="472" spans="1:8" x14ac:dyDescent="0.45">
      <c r="A472" t="s">
        <v>2882</v>
      </c>
      <c r="B472" t="s">
        <v>3352</v>
      </c>
      <c r="C472" t="s">
        <v>116</v>
      </c>
      <c r="D472" s="385" t="s">
        <v>988</v>
      </c>
      <c r="E472" t="str">
        <f t="shared" si="27"/>
        <v>70-74MaleET13</v>
      </c>
      <c r="F472">
        <v>2020</v>
      </c>
      <c r="G472" s="124">
        <v>1071.5113578718101</v>
      </c>
    </row>
    <row r="473" spans="1:8" x14ac:dyDescent="0.45">
      <c r="A473" t="s">
        <v>2882</v>
      </c>
      <c r="B473" t="s">
        <v>3352</v>
      </c>
      <c r="C473" t="s">
        <v>116</v>
      </c>
      <c r="D473" s="385" t="s">
        <v>989</v>
      </c>
      <c r="E473" t="str">
        <f t="shared" si="27"/>
        <v>75-79MaleET13</v>
      </c>
      <c r="F473">
        <v>2020</v>
      </c>
      <c r="G473" s="124">
        <v>461.42220040690103</v>
      </c>
    </row>
    <row r="474" spans="1:8" x14ac:dyDescent="0.45">
      <c r="A474" t="s">
        <v>2882</v>
      </c>
      <c r="B474" t="s">
        <v>3352</v>
      </c>
      <c r="C474" t="s">
        <v>116</v>
      </c>
      <c r="D474" s="385" t="s">
        <v>3346</v>
      </c>
      <c r="E474" t="str">
        <f t="shared" si="27"/>
        <v>80+MaleET13</v>
      </c>
      <c r="F474">
        <v>2020</v>
      </c>
      <c r="G474" s="124">
        <v>318.041374640073</v>
      </c>
    </row>
    <row r="475" spans="1:8" x14ac:dyDescent="0.45">
      <c r="A475" s="384" t="s">
        <v>2882</v>
      </c>
      <c r="B475" s="384" t="s">
        <v>3352</v>
      </c>
      <c r="C475" s="384" t="s">
        <v>116</v>
      </c>
      <c r="D475" s="388" t="s">
        <v>990</v>
      </c>
      <c r="E475" t="str">
        <f t="shared" si="27"/>
        <v>80-84MaleET13</v>
      </c>
      <c r="F475" s="384">
        <v>2020</v>
      </c>
      <c r="G475" s="386">
        <f>$G$474*$H43</f>
        <v>210.88715289635437</v>
      </c>
      <c r="H475" s="75">
        <f>G475/SUM($G$475:$G$479)</f>
        <v>0.66308087472900379</v>
      </c>
    </row>
    <row r="476" spans="1:8" x14ac:dyDescent="0.45">
      <c r="A476" s="384" t="s">
        <v>2882</v>
      </c>
      <c r="B476" s="384" t="s">
        <v>3352</v>
      </c>
      <c r="C476" s="384" t="s">
        <v>116</v>
      </c>
      <c r="D476" s="388" t="s">
        <v>991</v>
      </c>
      <c r="E476" t="str">
        <f t="shared" si="27"/>
        <v>85-89MaleET13</v>
      </c>
      <c r="F476" s="384">
        <v>2020</v>
      </c>
      <c r="G476" s="386">
        <f>$G$474*$H44</f>
        <v>84.168245308119054</v>
      </c>
      <c r="H476" s="75">
        <f t="shared" ref="H476:H479" si="28">G476/SUM($G$475:$G$479)</f>
        <v>0.26464558393816578</v>
      </c>
    </row>
    <row r="477" spans="1:8" x14ac:dyDescent="0.45">
      <c r="A477" s="384" t="s">
        <v>2882</v>
      </c>
      <c r="B477" s="384" t="s">
        <v>3352</v>
      </c>
      <c r="C477" s="384" t="s">
        <v>116</v>
      </c>
      <c r="D477" s="388" t="s">
        <v>992</v>
      </c>
      <c r="E477" t="str">
        <f t="shared" si="27"/>
        <v>90-94MaleET13</v>
      </c>
      <c r="F477" s="384">
        <v>2020</v>
      </c>
      <c r="G477" s="386">
        <f>$G$474*$H45</f>
        <v>20.329136316127769</v>
      </c>
      <c r="H477" s="75">
        <f t="shared" si="28"/>
        <v>6.391978508813273E-2</v>
      </c>
    </row>
    <row r="478" spans="1:8" x14ac:dyDescent="0.45">
      <c r="A478" s="384" t="s">
        <v>2882</v>
      </c>
      <c r="B478" s="384" t="s">
        <v>3352</v>
      </c>
      <c r="C478" s="384" t="s">
        <v>116</v>
      </c>
      <c r="D478" s="388" t="s">
        <v>993</v>
      </c>
      <c r="E478" t="str">
        <f t="shared" si="27"/>
        <v>95-99MaleET13</v>
      </c>
      <c r="F478" s="384">
        <v>2020</v>
      </c>
      <c r="G478" s="386">
        <f>$G$474*$H46</f>
        <v>2.4307526433907611</v>
      </c>
      <c r="H478" s="75">
        <f t="shared" si="28"/>
        <v>7.6428818298928591E-3</v>
      </c>
    </row>
    <row r="479" spans="1:8" x14ac:dyDescent="0.45">
      <c r="A479" s="384" t="s">
        <v>2882</v>
      </c>
      <c r="B479" s="384" t="s">
        <v>3352</v>
      </c>
      <c r="C479" s="384" t="s">
        <v>116</v>
      </c>
      <c r="D479" s="388" t="s">
        <v>994</v>
      </c>
      <c r="E479" t="str">
        <f t="shared" si="27"/>
        <v>100+MaleET13</v>
      </c>
      <c r="F479" s="384">
        <v>2020</v>
      </c>
      <c r="G479" s="386">
        <f>$G$474*$H47</f>
        <v>0.22608747608105229</v>
      </c>
      <c r="H479" s="75">
        <f t="shared" si="28"/>
        <v>7.1087441480503983E-4</v>
      </c>
    </row>
    <row r="480" spans="1:8" x14ac:dyDescent="0.45">
      <c r="A480" t="s">
        <v>2884</v>
      </c>
      <c r="B480" t="s">
        <v>3348</v>
      </c>
      <c r="C480" t="s">
        <v>117</v>
      </c>
      <c r="D480" s="362" t="s">
        <v>3347</v>
      </c>
      <c r="E480" t="str">
        <f t="shared" si="27"/>
        <v>&lt;1 yearFemaleET14</v>
      </c>
      <c r="F480">
        <v>2020</v>
      </c>
      <c r="G480" s="124">
        <v>31779.376993618898</v>
      </c>
    </row>
    <row r="481" spans="1:7" x14ac:dyDescent="0.45">
      <c r="A481" t="s">
        <v>2884</v>
      </c>
      <c r="B481" t="s">
        <v>3348</v>
      </c>
      <c r="C481" t="s">
        <v>117</v>
      </c>
      <c r="D481" s="385" t="s">
        <v>169</v>
      </c>
      <c r="E481" t="str">
        <f t="shared" si="27"/>
        <v>1-4FemaleET14</v>
      </c>
      <c r="F481">
        <v>2020</v>
      </c>
      <c r="G481" s="124">
        <v>117461.100916132</v>
      </c>
    </row>
    <row r="482" spans="1:7" x14ac:dyDescent="0.45">
      <c r="A482" s="384" t="s">
        <v>2884</v>
      </c>
      <c r="B482" s="384" t="s">
        <v>3348</v>
      </c>
      <c r="C482" s="384" t="s">
        <v>117</v>
      </c>
      <c r="D482" s="387" t="s">
        <v>981</v>
      </c>
      <c r="E482" t="str">
        <f t="shared" si="27"/>
        <v>0-4FemaleET14</v>
      </c>
      <c r="F482" s="384">
        <v>2020</v>
      </c>
      <c r="G482" s="386">
        <f>G480+G481</f>
        <v>149240.47790975089</v>
      </c>
    </row>
    <row r="483" spans="1:7" x14ac:dyDescent="0.45">
      <c r="A483" t="s">
        <v>2884</v>
      </c>
      <c r="B483" t="s">
        <v>3348</v>
      </c>
      <c r="C483" t="s">
        <v>117</v>
      </c>
      <c r="D483" s="385" t="s">
        <v>982</v>
      </c>
      <c r="E483" t="str">
        <f t="shared" si="27"/>
        <v>5-9FemaleET14</v>
      </c>
      <c r="F483">
        <v>2020</v>
      </c>
      <c r="G483" s="124">
        <v>134016.15906792801</v>
      </c>
    </row>
    <row r="484" spans="1:7" x14ac:dyDescent="0.45">
      <c r="A484" t="s">
        <v>2884</v>
      </c>
      <c r="B484" t="s">
        <v>3348</v>
      </c>
      <c r="C484" t="s">
        <v>117</v>
      </c>
      <c r="D484" s="385" t="s">
        <v>983</v>
      </c>
      <c r="E484" t="str">
        <f t="shared" si="27"/>
        <v>10-14FemaleET14</v>
      </c>
      <c r="F484">
        <v>2020</v>
      </c>
      <c r="G484" s="124">
        <v>185498.34183208601</v>
      </c>
    </row>
    <row r="485" spans="1:7" x14ac:dyDescent="0.45">
      <c r="A485" t="s">
        <v>2884</v>
      </c>
      <c r="B485" t="s">
        <v>3348</v>
      </c>
      <c r="C485" t="s">
        <v>117</v>
      </c>
      <c r="D485" s="385" t="s">
        <v>664</v>
      </c>
      <c r="E485" t="str">
        <f t="shared" si="27"/>
        <v>15-19FemaleET14</v>
      </c>
      <c r="F485">
        <v>2020</v>
      </c>
      <c r="G485" s="124">
        <v>315689.75797306001</v>
      </c>
    </row>
    <row r="486" spans="1:7" x14ac:dyDescent="0.45">
      <c r="A486" t="s">
        <v>2884</v>
      </c>
      <c r="B486" t="s">
        <v>3348</v>
      </c>
      <c r="C486" t="s">
        <v>117</v>
      </c>
      <c r="D486" s="385" t="s">
        <v>665</v>
      </c>
      <c r="E486" t="str">
        <f t="shared" si="27"/>
        <v>20-24FemaleET14</v>
      </c>
      <c r="F486">
        <v>2020</v>
      </c>
      <c r="G486" s="124">
        <v>316354.03488570399</v>
      </c>
    </row>
    <row r="487" spans="1:7" x14ac:dyDescent="0.45">
      <c r="A487" t="s">
        <v>2884</v>
      </c>
      <c r="B487" t="s">
        <v>3348</v>
      </c>
      <c r="C487" t="s">
        <v>117</v>
      </c>
      <c r="D487" s="385" t="s">
        <v>667</v>
      </c>
      <c r="E487" t="str">
        <f t="shared" si="27"/>
        <v>25-29FemaleET14</v>
      </c>
      <c r="F487">
        <v>2020</v>
      </c>
      <c r="G487" s="124">
        <v>270401.69625729299</v>
      </c>
    </row>
    <row r="488" spans="1:7" x14ac:dyDescent="0.45">
      <c r="A488" t="s">
        <v>2884</v>
      </c>
      <c r="B488" t="s">
        <v>3348</v>
      </c>
      <c r="C488" t="s">
        <v>117</v>
      </c>
      <c r="D488" s="385" t="s">
        <v>670</v>
      </c>
      <c r="E488" t="str">
        <f t="shared" si="27"/>
        <v>30-34FemaleET14</v>
      </c>
      <c r="F488">
        <v>2020</v>
      </c>
      <c r="G488" s="124">
        <v>159953.38891936801</v>
      </c>
    </row>
    <row r="489" spans="1:7" x14ac:dyDescent="0.45">
      <c r="A489" t="s">
        <v>2884</v>
      </c>
      <c r="B489" t="s">
        <v>3348</v>
      </c>
      <c r="C489" t="s">
        <v>117</v>
      </c>
      <c r="D489" s="385" t="s">
        <v>672</v>
      </c>
      <c r="E489" t="str">
        <f t="shared" si="27"/>
        <v>35-39FemaleET14</v>
      </c>
      <c r="F489">
        <v>2020</v>
      </c>
      <c r="G489" s="124">
        <v>132795.19926964401</v>
      </c>
    </row>
    <row r="490" spans="1:7" x14ac:dyDescent="0.45">
      <c r="A490" t="s">
        <v>2884</v>
      </c>
      <c r="B490" t="s">
        <v>3348</v>
      </c>
      <c r="C490" t="s">
        <v>117</v>
      </c>
      <c r="D490" s="385" t="s">
        <v>674</v>
      </c>
      <c r="E490" t="str">
        <f t="shared" si="27"/>
        <v>40-44FemaleET14</v>
      </c>
      <c r="F490">
        <v>2020</v>
      </c>
      <c r="G490" s="124">
        <v>84076.063885848896</v>
      </c>
    </row>
    <row r="491" spans="1:7" x14ac:dyDescent="0.45">
      <c r="A491" t="s">
        <v>2884</v>
      </c>
      <c r="B491" t="s">
        <v>3348</v>
      </c>
      <c r="C491" t="s">
        <v>117</v>
      </c>
      <c r="D491" s="385" t="s">
        <v>676</v>
      </c>
      <c r="E491" t="str">
        <f t="shared" si="27"/>
        <v>45-49FemaleET14</v>
      </c>
      <c r="F491">
        <v>2020</v>
      </c>
      <c r="G491" s="124">
        <v>84054.479977764102</v>
      </c>
    </row>
    <row r="492" spans="1:7" x14ac:dyDescent="0.45">
      <c r="A492" t="s">
        <v>2884</v>
      </c>
      <c r="B492" t="s">
        <v>3348</v>
      </c>
      <c r="C492" t="s">
        <v>117</v>
      </c>
      <c r="D492" s="385" t="s">
        <v>984</v>
      </c>
      <c r="E492" t="str">
        <f t="shared" si="27"/>
        <v>50-54FemaleET14</v>
      </c>
      <c r="F492">
        <v>2020</v>
      </c>
      <c r="G492" s="124">
        <v>64807.744751676903</v>
      </c>
    </row>
    <row r="493" spans="1:7" x14ac:dyDescent="0.45">
      <c r="A493" t="s">
        <v>2884</v>
      </c>
      <c r="B493" t="s">
        <v>3348</v>
      </c>
      <c r="C493" t="s">
        <v>117</v>
      </c>
      <c r="D493" s="385" t="s">
        <v>985</v>
      </c>
      <c r="E493" t="str">
        <f t="shared" si="27"/>
        <v>55-59FemaleET14</v>
      </c>
      <c r="F493">
        <v>2020</v>
      </c>
      <c r="G493" s="124">
        <v>61338.923616431603</v>
      </c>
    </row>
    <row r="494" spans="1:7" x14ac:dyDescent="0.45">
      <c r="A494" t="s">
        <v>2884</v>
      </c>
      <c r="B494" t="s">
        <v>3348</v>
      </c>
      <c r="C494" t="s">
        <v>117</v>
      </c>
      <c r="D494" s="385" t="s">
        <v>986</v>
      </c>
      <c r="E494" t="str">
        <f t="shared" si="27"/>
        <v>60-64FemaleET14</v>
      </c>
      <c r="F494">
        <v>2020</v>
      </c>
      <c r="G494" s="124">
        <v>38348.759298803197</v>
      </c>
    </row>
    <row r="495" spans="1:7" x14ac:dyDescent="0.45">
      <c r="A495" t="s">
        <v>2884</v>
      </c>
      <c r="B495" t="s">
        <v>3348</v>
      </c>
      <c r="C495" t="s">
        <v>117</v>
      </c>
      <c r="D495" s="385" t="s">
        <v>987</v>
      </c>
      <c r="E495" t="str">
        <f t="shared" si="27"/>
        <v>65-69FemaleET14</v>
      </c>
      <c r="F495">
        <v>2020</v>
      </c>
      <c r="G495" s="124">
        <v>34974.945914139898</v>
      </c>
    </row>
    <row r="496" spans="1:7" x14ac:dyDescent="0.45">
      <c r="A496" t="s">
        <v>2884</v>
      </c>
      <c r="B496" t="s">
        <v>3348</v>
      </c>
      <c r="C496" t="s">
        <v>117</v>
      </c>
      <c r="D496" s="385" t="s">
        <v>988</v>
      </c>
      <c r="E496" t="str">
        <f t="shared" si="27"/>
        <v>70-74FemaleET14</v>
      </c>
      <c r="F496">
        <v>2020</v>
      </c>
      <c r="G496" s="124">
        <v>22398.032329914098</v>
      </c>
    </row>
    <row r="497" spans="1:8" x14ac:dyDescent="0.45">
      <c r="A497" t="s">
        <v>2884</v>
      </c>
      <c r="B497" t="s">
        <v>3348</v>
      </c>
      <c r="C497" t="s">
        <v>117</v>
      </c>
      <c r="D497" s="385" t="s">
        <v>989</v>
      </c>
      <c r="E497" t="str">
        <f t="shared" si="27"/>
        <v>75-79FemaleET14</v>
      </c>
      <c r="F497">
        <v>2020</v>
      </c>
      <c r="G497" s="124">
        <v>14726.600620747</v>
      </c>
    </row>
    <row r="498" spans="1:8" x14ac:dyDescent="0.45">
      <c r="A498" t="s">
        <v>2884</v>
      </c>
      <c r="B498" t="s">
        <v>3348</v>
      </c>
      <c r="C498" t="s">
        <v>117</v>
      </c>
      <c r="D498" s="385" t="s">
        <v>3346</v>
      </c>
      <c r="E498" t="str">
        <f t="shared" si="27"/>
        <v>80+FemaleET14</v>
      </c>
      <c r="F498">
        <v>2020</v>
      </c>
      <c r="G498" s="124">
        <v>10883.618131155101</v>
      </c>
    </row>
    <row r="499" spans="1:8" x14ac:dyDescent="0.45">
      <c r="A499" s="384" t="s">
        <v>2884</v>
      </c>
      <c r="B499" s="384" t="s">
        <v>3348</v>
      </c>
      <c r="C499" s="384" t="s">
        <v>117</v>
      </c>
      <c r="D499" s="388" t="s">
        <v>990</v>
      </c>
      <c r="E499" t="str">
        <f t="shared" si="27"/>
        <v>80-84FemaleET14</v>
      </c>
      <c r="F499" s="384">
        <v>2020</v>
      </c>
      <c r="G499" s="386">
        <f>$G$498*$H20</f>
        <v>7038.439011387446</v>
      </c>
      <c r="H499" s="75">
        <f>G499/SUM($G$499:$G$503)</f>
        <v>0.64670029089310244</v>
      </c>
    </row>
    <row r="500" spans="1:8" x14ac:dyDescent="0.45">
      <c r="A500" s="384" t="s">
        <v>2884</v>
      </c>
      <c r="B500" s="384" t="s">
        <v>3348</v>
      </c>
      <c r="C500" s="384" t="s">
        <v>117</v>
      </c>
      <c r="D500" s="388" t="s">
        <v>991</v>
      </c>
      <c r="E500" t="str">
        <f t="shared" si="27"/>
        <v>85-89FemaleET14</v>
      </c>
      <c r="F500" s="384">
        <v>2020</v>
      </c>
      <c r="G500" s="386">
        <f>$G$498*$H21</f>
        <v>2938.1444787749087</v>
      </c>
      <c r="H500" s="75">
        <f t="shared" ref="H500:H503" si="29">G500/SUM($G$499:$G$503)</f>
        <v>0.26996026903629317</v>
      </c>
    </row>
    <row r="501" spans="1:8" x14ac:dyDescent="0.45">
      <c r="A501" s="384" t="s">
        <v>2884</v>
      </c>
      <c r="B501" s="384" t="s">
        <v>3348</v>
      </c>
      <c r="C501" s="384" t="s">
        <v>117</v>
      </c>
      <c r="D501" s="388" t="s">
        <v>992</v>
      </c>
      <c r="E501" t="str">
        <f t="shared" si="27"/>
        <v>90-94FemaleET14</v>
      </c>
      <c r="F501" s="384">
        <v>2020</v>
      </c>
      <c r="G501" s="386">
        <f>$G$498*$H22</f>
        <v>778.9047714179394</v>
      </c>
      <c r="H501" s="75">
        <f t="shared" si="29"/>
        <v>7.1566712653053435E-2</v>
      </c>
    </row>
    <row r="502" spans="1:8" x14ac:dyDescent="0.45">
      <c r="A502" s="384" t="s">
        <v>2884</v>
      </c>
      <c r="B502" s="384" t="s">
        <v>3348</v>
      </c>
      <c r="C502" s="384" t="s">
        <v>117</v>
      </c>
      <c r="D502" s="388" t="s">
        <v>993</v>
      </c>
      <c r="E502" t="str">
        <f t="shared" si="27"/>
        <v>95-99FemaleET14</v>
      </c>
      <c r="F502" s="384">
        <v>2020</v>
      </c>
      <c r="G502" s="386">
        <f>$G$498*$H23</f>
        <v>119.00993569167341</v>
      </c>
      <c r="H502" s="75">
        <f t="shared" si="29"/>
        <v>1.0934776859820113E-2</v>
      </c>
    </row>
    <row r="503" spans="1:8" x14ac:dyDescent="0.45">
      <c r="A503" s="384" t="s">
        <v>2884</v>
      </c>
      <c r="B503" s="384" t="s">
        <v>3348</v>
      </c>
      <c r="C503" s="384" t="s">
        <v>117</v>
      </c>
      <c r="D503" s="388" t="s">
        <v>994</v>
      </c>
      <c r="E503" t="str">
        <f t="shared" si="27"/>
        <v>100+FemaleET14</v>
      </c>
      <c r="F503" s="384">
        <v>2020</v>
      </c>
      <c r="G503" s="386">
        <f>$G$498*$H24</f>
        <v>9.1199338831323153</v>
      </c>
      <c r="H503" s="75">
        <f t="shared" si="29"/>
        <v>8.379505577309702E-4</v>
      </c>
    </row>
    <row r="504" spans="1:8" x14ac:dyDescent="0.45">
      <c r="A504" t="s">
        <v>2884</v>
      </c>
      <c r="B504" t="s">
        <v>3348</v>
      </c>
      <c r="C504" t="s">
        <v>116</v>
      </c>
      <c r="D504" s="362" t="s">
        <v>3347</v>
      </c>
      <c r="E504" t="str">
        <f t="shared" si="27"/>
        <v>&lt;1 yearMaleET14</v>
      </c>
      <c r="F504">
        <v>2020</v>
      </c>
      <c r="G504" s="124">
        <v>32259.348363568999</v>
      </c>
    </row>
    <row r="505" spans="1:8" x14ac:dyDescent="0.45">
      <c r="A505" t="s">
        <v>2884</v>
      </c>
      <c r="B505" t="s">
        <v>3348</v>
      </c>
      <c r="C505" t="s">
        <v>116</v>
      </c>
      <c r="D505" s="385" t="s">
        <v>169</v>
      </c>
      <c r="E505" t="str">
        <f t="shared" si="27"/>
        <v>1-4MaleET14</v>
      </c>
      <c r="F505">
        <v>2020</v>
      </c>
      <c r="G505" s="124">
        <v>119241.892115853</v>
      </c>
    </row>
    <row r="506" spans="1:8" x14ac:dyDescent="0.45">
      <c r="A506" s="384" t="s">
        <v>2884</v>
      </c>
      <c r="B506" s="384" t="s">
        <v>3348</v>
      </c>
      <c r="C506" s="384" t="s">
        <v>116</v>
      </c>
      <c r="D506" s="387" t="s">
        <v>981</v>
      </c>
      <c r="E506" t="str">
        <f t="shared" si="27"/>
        <v>0-4MaleET14</v>
      </c>
      <c r="F506" s="384">
        <v>2020</v>
      </c>
      <c r="G506" s="386">
        <f>G505+G504</f>
        <v>151501.24047942201</v>
      </c>
    </row>
    <row r="507" spans="1:8" x14ac:dyDescent="0.45">
      <c r="A507" t="s">
        <v>2884</v>
      </c>
      <c r="B507" t="s">
        <v>3348</v>
      </c>
      <c r="C507" t="s">
        <v>116</v>
      </c>
      <c r="D507" s="385" t="s">
        <v>982</v>
      </c>
      <c r="E507" t="str">
        <f t="shared" si="27"/>
        <v>5-9MaleET14</v>
      </c>
      <c r="F507">
        <v>2020</v>
      </c>
      <c r="G507" s="124">
        <v>121838.72859345299</v>
      </c>
    </row>
    <row r="508" spans="1:8" x14ac:dyDescent="0.45">
      <c r="A508" t="s">
        <v>2884</v>
      </c>
      <c r="B508" t="s">
        <v>3348</v>
      </c>
      <c r="C508" t="s">
        <v>116</v>
      </c>
      <c r="D508" s="385" t="s">
        <v>983</v>
      </c>
      <c r="E508" t="str">
        <f t="shared" si="27"/>
        <v>10-14MaleET14</v>
      </c>
      <c r="F508">
        <v>2020</v>
      </c>
      <c r="G508" s="124">
        <v>131959.51331438101</v>
      </c>
    </row>
    <row r="509" spans="1:8" x14ac:dyDescent="0.45">
      <c r="A509" t="s">
        <v>2884</v>
      </c>
      <c r="B509" t="s">
        <v>3348</v>
      </c>
      <c r="C509" t="s">
        <v>116</v>
      </c>
      <c r="D509" s="385" t="s">
        <v>664</v>
      </c>
      <c r="E509" t="str">
        <f t="shared" si="27"/>
        <v>15-19MaleET14</v>
      </c>
      <c r="F509">
        <v>2020</v>
      </c>
      <c r="G509" s="124">
        <v>197272.26115372</v>
      </c>
    </row>
    <row r="510" spans="1:8" x14ac:dyDescent="0.45">
      <c r="A510" t="s">
        <v>2884</v>
      </c>
      <c r="B510" t="s">
        <v>3348</v>
      </c>
      <c r="C510" t="s">
        <v>116</v>
      </c>
      <c r="D510" s="385" t="s">
        <v>665</v>
      </c>
      <c r="E510" t="str">
        <f t="shared" si="27"/>
        <v>20-24MaleET14</v>
      </c>
      <c r="F510">
        <v>2020</v>
      </c>
      <c r="G510" s="124">
        <v>275641.196105599</v>
      </c>
    </row>
    <row r="511" spans="1:8" x14ac:dyDescent="0.45">
      <c r="A511" t="s">
        <v>2884</v>
      </c>
      <c r="B511" t="s">
        <v>3348</v>
      </c>
      <c r="C511" t="s">
        <v>116</v>
      </c>
      <c r="D511" s="385" t="s">
        <v>667</v>
      </c>
      <c r="E511" t="str">
        <f t="shared" si="27"/>
        <v>25-29MaleET14</v>
      </c>
      <c r="F511">
        <v>2020</v>
      </c>
      <c r="G511" s="124">
        <v>285683.38349141099</v>
      </c>
    </row>
    <row r="512" spans="1:8" x14ac:dyDescent="0.45">
      <c r="A512" t="s">
        <v>2884</v>
      </c>
      <c r="B512" t="s">
        <v>3348</v>
      </c>
      <c r="C512" t="s">
        <v>116</v>
      </c>
      <c r="D512" s="385" t="s">
        <v>670</v>
      </c>
      <c r="E512" t="str">
        <f t="shared" si="27"/>
        <v>30-34MaleET14</v>
      </c>
      <c r="F512">
        <v>2020</v>
      </c>
      <c r="G512" s="124">
        <v>187428.38220915099</v>
      </c>
    </row>
    <row r="513" spans="1:8" x14ac:dyDescent="0.45">
      <c r="A513" t="s">
        <v>2884</v>
      </c>
      <c r="B513" t="s">
        <v>3348</v>
      </c>
      <c r="C513" t="s">
        <v>116</v>
      </c>
      <c r="D513" s="385" t="s">
        <v>672</v>
      </c>
      <c r="E513" t="str">
        <f t="shared" si="27"/>
        <v>35-39MaleET14</v>
      </c>
      <c r="F513">
        <v>2020</v>
      </c>
      <c r="G513" s="124">
        <v>149365.37698803801</v>
      </c>
    </row>
    <row r="514" spans="1:8" x14ac:dyDescent="0.45">
      <c r="A514" t="s">
        <v>2884</v>
      </c>
      <c r="B514" t="s">
        <v>3348</v>
      </c>
      <c r="C514" t="s">
        <v>116</v>
      </c>
      <c r="D514" s="385" t="s">
        <v>674</v>
      </c>
      <c r="E514" t="str">
        <f t="shared" si="27"/>
        <v>40-44MaleET14</v>
      </c>
      <c r="F514">
        <v>2020</v>
      </c>
      <c r="G514" s="124">
        <v>97096.562155522406</v>
      </c>
    </row>
    <row r="515" spans="1:8" x14ac:dyDescent="0.45">
      <c r="A515" t="s">
        <v>2884</v>
      </c>
      <c r="B515" t="s">
        <v>3348</v>
      </c>
      <c r="C515" t="s">
        <v>116</v>
      </c>
      <c r="D515" s="385" t="s">
        <v>676</v>
      </c>
      <c r="E515" t="str">
        <f t="shared" si="27"/>
        <v>45-49MaleET14</v>
      </c>
      <c r="F515">
        <v>2020</v>
      </c>
      <c r="G515" s="124">
        <v>77531.025429610105</v>
      </c>
    </row>
    <row r="516" spans="1:8" x14ac:dyDescent="0.45">
      <c r="A516" t="s">
        <v>2884</v>
      </c>
      <c r="B516" t="s">
        <v>3348</v>
      </c>
      <c r="C516" t="s">
        <v>116</v>
      </c>
      <c r="D516" s="385" t="s">
        <v>984</v>
      </c>
      <c r="E516" t="str">
        <f t="shared" si="27"/>
        <v>50-54MaleET14</v>
      </c>
      <c r="F516">
        <v>2020</v>
      </c>
      <c r="G516" s="124">
        <v>59086.951067149603</v>
      </c>
    </row>
    <row r="517" spans="1:8" x14ac:dyDescent="0.45">
      <c r="A517" t="s">
        <v>2884</v>
      </c>
      <c r="B517" t="s">
        <v>3348</v>
      </c>
      <c r="C517" t="s">
        <v>116</v>
      </c>
      <c r="D517" s="385" t="s">
        <v>985</v>
      </c>
      <c r="E517" t="str">
        <f t="shared" si="27"/>
        <v>55-59MaleET14</v>
      </c>
      <c r="F517">
        <v>2020</v>
      </c>
      <c r="G517" s="124">
        <v>51149.866910537698</v>
      </c>
    </row>
    <row r="518" spans="1:8" x14ac:dyDescent="0.45">
      <c r="A518" t="s">
        <v>2884</v>
      </c>
      <c r="B518" t="s">
        <v>3348</v>
      </c>
      <c r="C518" t="s">
        <v>116</v>
      </c>
      <c r="D518" s="385" t="s">
        <v>986</v>
      </c>
      <c r="E518" t="str">
        <f t="shared" si="27"/>
        <v>60-64MaleET14</v>
      </c>
      <c r="F518">
        <v>2020</v>
      </c>
      <c r="G518" s="124">
        <v>32522.400325350402</v>
      </c>
    </row>
    <row r="519" spans="1:8" x14ac:dyDescent="0.45">
      <c r="A519" t="s">
        <v>2884</v>
      </c>
      <c r="B519" t="s">
        <v>3348</v>
      </c>
      <c r="C519" t="s">
        <v>116</v>
      </c>
      <c r="D519" s="385" t="s">
        <v>987</v>
      </c>
      <c r="E519" t="str">
        <f t="shared" ref="E519:E575" si="30">_xlfn.CONCAT(D519,C519,A519)</f>
        <v>65-69MaleET14</v>
      </c>
      <c r="F519">
        <v>2020</v>
      </c>
      <c r="G519" s="124">
        <v>25901.830837625999</v>
      </c>
    </row>
    <row r="520" spans="1:8" x14ac:dyDescent="0.45">
      <c r="A520" t="s">
        <v>2884</v>
      </c>
      <c r="B520" t="s">
        <v>3348</v>
      </c>
      <c r="C520" t="s">
        <v>116</v>
      </c>
      <c r="D520" s="385" t="s">
        <v>988</v>
      </c>
      <c r="E520" t="str">
        <f t="shared" si="30"/>
        <v>70-74MaleET14</v>
      </c>
      <c r="F520">
        <v>2020</v>
      </c>
      <c r="G520" s="124">
        <v>14716.8438357752</v>
      </c>
    </row>
    <row r="521" spans="1:8" x14ac:dyDescent="0.45">
      <c r="A521" t="s">
        <v>2884</v>
      </c>
      <c r="B521" t="s">
        <v>3348</v>
      </c>
      <c r="C521" t="s">
        <v>116</v>
      </c>
      <c r="D521" s="385" t="s">
        <v>989</v>
      </c>
      <c r="E521" t="str">
        <f t="shared" si="30"/>
        <v>75-79MaleET14</v>
      </c>
      <c r="F521">
        <v>2020</v>
      </c>
      <c r="G521" s="124">
        <v>7939.3034138276698</v>
      </c>
    </row>
    <row r="522" spans="1:8" x14ac:dyDescent="0.45">
      <c r="A522" t="s">
        <v>2884</v>
      </c>
      <c r="B522" t="s">
        <v>3348</v>
      </c>
      <c r="C522" t="s">
        <v>116</v>
      </c>
      <c r="D522" s="385" t="s">
        <v>3346</v>
      </c>
      <c r="E522" t="str">
        <f t="shared" si="30"/>
        <v>80+MaleET14</v>
      </c>
      <c r="F522">
        <v>2020</v>
      </c>
      <c r="G522" s="124">
        <v>3732.91509975295</v>
      </c>
    </row>
    <row r="523" spans="1:8" x14ac:dyDescent="0.45">
      <c r="A523" s="384" t="s">
        <v>2884</v>
      </c>
      <c r="B523" s="384" t="s">
        <v>3348</v>
      </c>
      <c r="C523" s="384" t="s">
        <v>116</v>
      </c>
      <c r="D523" s="388" t="s">
        <v>990</v>
      </c>
      <c r="E523" t="str">
        <f t="shared" si="30"/>
        <v>80-84MaleET14</v>
      </c>
      <c r="F523" s="384">
        <v>2020</v>
      </c>
      <c r="G523" s="386">
        <f>$G$522*$H43</f>
        <v>2475.2246096332919</v>
      </c>
      <c r="H523" s="75">
        <f>G523/SUM($G$523:$G$527)</f>
        <v>0.66308087472900368</v>
      </c>
    </row>
    <row r="524" spans="1:8" x14ac:dyDescent="0.45">
      <c r="A524" s="384" t="s">
        <v>2884</v>
      </c>
      <c r="B524" s="384" t="s">
        <v>3348</v>
      </c>
      <c r="C524" s="384" t="s">
        <v>116</v>
      </c>
      <c r="D524" s="388" t="s">
        <v>991</v>
      </c>
      <c r="E524" t="str">
        <f t="shared" si="30"/>
        <v>85-89MaleET14</v>
      </c>
      <c r="F524" s="384">
        <v>2020</v>
      </c>
      <c r="G524" s="386">
        <f>$G$522*$H44</f>
        <v>987.89949636571566</v>
      </c>
      <c r="H524" s="75">
        <f t="shared" ref="H524:H527" si="31">G524/SUM($G$523:$G$527)</f>
        <v>0.26464558393816578</v>
      </c>
    </row>
    <row r="525" spans="1:8" x14ac:dyDescent="0.45">
      <c r="A525" s="384" t="s">
        <v>2884</v>
      </c>
      <c r="B525" s="384" t="s">
        <v>3348</v>
      </c>
      <c r="C525" s="384" t="s">
        <v>116</v>
      </c>
      <c r="D525" s="388" t="s">
        <v>992</v>
      </c>
      <c r="E525" t="str">
        <f t="shared" si="30"/>
        <v>90-94MaleET14</v>
      </c>
      <c r="F525" s="384">
        <v>2020</v>
      </c>
      <c r="G525" s="386">
        <f>$G$522*$H45</f>
        <v>238.60713092845407</v>
      </c>
      <c r="H525" s="75">
        <f t="shared" si="31"/>
        <v>6.391978508813273E-2</v>
      </c>
    </row>
    <row r="526" spans="1:8" x14ac:dyDescent="0.45">
      <c r="A526" s="384" t="s">
        <v>2884</v>
      </c>
      <c r="B526" s="384" t="s">
        <v>3348</v>
      </c>
      <c r="C526" s="384" t="s">
        <v>116</v>
      </c>
      <c r="D526" s="388" t="s">
        <v>993</v>
      </c>
      <c r="E526" t="str">
        <f t="shared" si="30"/>
        <v>95-99MaleET14</v>
      </c>
      <c r="F526" s="384">
        <v>2020</v>
      </c>
      <c r="G526" s="386">
        <f>$G$522*$H46</f>
        <v>28.530228988434509</v>
      </c>
      <c r="H526" s="75">
        <f t="shared" si="31"/>
        <v>7.6428818298928591E-3</v>
      </c>
    </row>
    <row r="527" spans="1:8" x14ac:dyDescent="0.45">
      <c r="A527" s="384" t="s">
        <v>2884</v>
      </c>
      <c r="B527" s="384" t="s">
        <v>3348</v>
      </c>
      <c r="C527" s="384" t="s">
        <v>116</v>
      </c>
      <c r="D527" s="388" t="s">
        <v>994</v>
      </c>
      <c r="E527" t="str">
        <f t="shared" si="30"/>
        <v>100+MaleET14</v>
      </c>
      <c r="F527" s="384">
        <v>2020</v>
      </c>
      <c r="G527" s="386">
        <f>$G$522*$H47</f>
        <v>2.6536338370537749</v>
      </c>
      <c r="H527" s="75">
        <f t="shared" si="31"/>
        <v>7.1087441480503983E-4</v>
      </c>
    </row>
    <row r="528" spans="1:8" x14ac:dyDescent="0.45">
      <c r="A528" t="s">
        <v>2885</v>
      </c>
      <c r="B528" t="s">
        <v>3350</v>
      </c>
      <c r="C528" t="s">
        <v>117</v>
      </c>
      <c r="D528" s="362" t="s">
        <v>3347</v>
      </c>
      <c r="E528" t="str">
        <f t="shared" si="30"/>
        <v>&lt;1 yearFemaleET15</v>
      </c>
      <c r="F528">
        <v>2020</v>
      </c>
      <c r="G528" s="124">
        <v>7130.3068498596504</v>
      </c>
    </row>
    <row r="529" spans="1:7" x14ac:dyDescent="0.45">
      <c r="A529" t="s">
        <v>2885</v>
      </c>
      <c r="B529" t="s">
        <v>3350</v>
      </c>
      <c r="C529" t="s">
        <v>117</v>
      </c>
      <c r="D529" s="385" t="s">
        <v>169</v>
      </c>
      <c r="E529" t="str">
        <f t="shared" si="30"/>
        <v>1-4FemaleET15</v>
      </c>
      <c r="F529">
        <v>2020</v>
      </c>
      <c r="G529" s="124">
        <v>26354.640838265401</v>
      </c>
    </row>
    <row r="530" spans="1:7" x14ac:dyDescent="0.45">
      <c r="A530" s="384" t="s">
        <v>2885</v>
      </c>
      <c r="B530" s="384" t="s">
        <v>3350</v>
      </c>
      <c r="C530" s="384" t="s">
        <v>117</v>
      </c>
      <c r="D530" s="387" t="s">
        <v>981</v>
      </c>
      <c r="E530" t="str">
        <f t="shared" si="30"/>
        <v>0-4FemaleET15</v>
      </c>
      <c r="F530" s="384">
        <v>2020</v>
      </c>
      <c r="G530" s="386">
        <f>G529+G528</f>
        <v>33484.947688125052</v>
      </c>
    </row>
    <row r="531" spans="1:7" x14ac:dyDescent="0.45">
      <c r="A531" t="s">
        <v>2885</v>
      </c>
      <c r="B531" t="s">
        <v>3350</v>
      </c>
      <c r="C531" t="s">
        <v>117</v>
      </c>
      <c r="D531" s="385" t="s">
        <v>982</v>
      </c>
      <c r="E531" t="str">
        <f t="shared" si="30"/>
        <v>5-9FemaleET15</v>
      </c>
      <c r="F531">
        <v>2020</v>
      </c>
      <c r="G531" s="124">
        <v>28334.708789467801</v>
      </c>
    </row>
    <row r="532" spans="1:7" x14ac:dyDescent="0.45">
      <c r="A532" t="s">
        <v>2885</v>
      </c>
      <c r="B532" t="s">
        <v>3350</v>
      </c>
      <c r="C532" t="s">
        <v>117</v>
      </c>
      <c r="D532" s="385" t="s">
        <v>983</v>
      </c>
      <c r="E532" t="str">
        <f t="shared" si="30"/>
        <v>10-14FemaleET15</v>
      </c>
      <c r="F532">
        <v>2020</v>
      </c>
      <c r="G532" s="124">
        <v>26303.168444603602</v>
      </c>
    </row>
    <row r="533" spans="1:7" x14ac:dyDescent="0.45">
      <c r="A533" t="s">
        <v>2885</v>
      </c>
      <c r="B533" t="s">
        <v>3350</v>
      </c>
      <c r="C533" t="s">
        <v>117</v>
      </c>
      <c r="D533" s="385" t="s">
        <v>664</v>
      </c>
      <c r="E533" t="str">
        <f t="shared" si="30"/>
        <v>15-19FemaleET15</v>
      </c>
      <c r="F533">
        <v>2020</v>
      </c>
      <c r="G533" s="124">
        <v>31977.896270602901</v>
      </c>
    </row>
    <row r="534" spans="1:7" x14ac:dyDescent="0.45">
      <c r="A534" t="s">
        <v>2885</v>
      </c>
      <c r="B534" t="s">
        <v>3350</v>
      </c>
      <c r="C534" t="s">
        <v>117</v>
      </c>
      <c r="D534" s="385" t="s">
        <v>665</v>
      </c>
      <c r="E534" t="str">
        <f t="shared" si="30"/>
        <v>20-24FemaleET15</v>
      </c>
      <c r="F534">
        <v>2020</v>
      </c>
      <c r="G534" s="124">
        <v>30198.604066580501</v>
      </c>
    </row>
    <row r="535" spans="1:7" x14ac:dyDescent="0.45">
      <c r="A535" t="s">
        <v>2885</v>
      </c>
      <c r="B535" t="s">
        <v>3350</v>
      </c>
      <c r="C535" t="s">
        <v>117</v>
      </c>
      <c r="D535" s="385" t="s">
        <v>667</v>
      </c>
      <c r="E535" t="str">
        <f t="shared" si="30"/>
        <v>25-29FemaleET15</v>
      </c>
      <c r="F535">
        <v>2020</v>
      </c>
      <c r="G535" s="124">
        <v>26995.264577895399</v>
      </c>
    </row>
    <row r="536" spans="1:7" x14ac:dyDescent="0.45">
      <c r="A536" t="s">
        <v>2885</v>
      </c>
      <c r="B536" t="s">
        <v>3350</v>
      </c>
      <c r="C536" t="s">
        <v>117</v>
      </c>
      <c r="D536" s="385" t="s">
        <v>670</v>
      </c>
      <c r="E536" t="str">
        <f t="shared" si="30"/>
        <v>30-34FemaleET15</v>
      </c>
      <c r="F536">
        <v>2020</v>
      </c>
      <c r="G536" s="124">
        <v>19229.8733074665</v>
      </c>
    </row>
    <row r="537" spans="1:7" x14ac:dyDescent="0.45">
      <c r="A537" t="s">
        <v>2885</v>
      </c>
      <c r="B537" t="s">
        <v>3350</v>
      </c>
      <c r="C537" t="s">
        <v>117</v>
      </c>
      <c r="D537" s="385" t="s">
        <v>672</v>
      </c>
      <c r="E537" t="str">
        <f t="shared" si="30"/>
        <v>35-39FemaleET15</v>
      </c>
      <c r="F537">
        <v>2020</v>
      </c>
      <c r="G537" s="124">
        <v>16463.829566538301</v>
      </c>
    </row>
    <row r="538" spans="1:7" x14ac:dyDescent="0.45">
      <c r="A538" t="s">
        <v>2885</v>
      </c>
      <c r="B538" t="s">
        <v>3350</v>
      </c>
      <c r="C538" t="s">
        <v>117</v>
      </c>
      <c r="D538" s="385" t="s">
        <v>674</v>
      </c>
      <c r="E538" t="str">
        <f t="shared" si="30"/>
        <v>40-44FemaleET15</v>
      </c>
      <c r="F538">
        <v>2020</v>
      </c>
      <c r="G538" s="124">
        <v>12103.2193661034</v>
      </c>
    </row>
    <row r="539" spans="1:7" x14ac:dyDescent="0.45">
      <c r="A539" t="s">
        <v>2885</v>
      </c>
      <c r="B539" t="s">
        <v>3350</v>
      </c>
      <c r="C539" t="s">
        <v>117</v>
      </c>
      <c r="D539" s="385" t="s">
        <v>676</v>
      </c>
      <c r="E539" t="str">
        <f t="shared" si="30"/>
        <v>45-49FemaleET15</v>
      </c>
      <c r="F539">
        <v>2020</v>
      </c>
      <c r="G539" s="124">
        <v>9161.8579182624799</v>
      </c>
    </row>
    <row r="540" spans="1:7" x14ac:dyDescent="0.45">
      <c r="A540" t="s">
        <v>2885</v>
      </c>
      <c r="B540" t="s">
        <v>3350</v>
      </c>
      <c r="C540" t="s">
        <v>117</v>
      </c>
      <c r="D540" s="385" t="s">
        <v>984</v>
      </c>
      <c r="E540" t="str">
        <f t="shared" si="30"/>
        <v>50-54FemaleET15</v>
      </c>
      <c r="F540">
        <v>2020</v>
      </c>
      <c r="G540" s="124">
        <v>8142.5057483762503</v>
      </c>
    </row>
    <row r="541" spans="1:7" x14ac:dyDescent="0.45">
      <c r="A541" t="s">
        <v>2885</v>
      </c>
      <c r="B541" t="s">
        <v>3350</v>
      </c>
      <c r="C541" t="s">
        <v>117</v>
      </c>
      <c r="D541" s="385" t="s">
        <v>985</v>
      </c>
      <c r="E541" t="str">
        <f t="shared" si="30"/>
        <v>55-59FemaleET15</v>
      </c>
      <c r="F541">
        <v>2020</v>
      </c>
      <c r="G541" s="124">
        <v>5628.9800678342499</v>
      </c>
    </row>
    <row r="542" spans="1:7" x14ac:dyDescent="0.45">
      <c r="A542" t="s">
        <v>2885</v>
      </c>
      <c r="B542" t="s">
        <v>3350</v>
      </c>
      <c r="C542" t="s">
        <v>117</v>
      </c>
      <c r="D542" s="385" t="s">
        <v>986</v>
      </c>
      <c r="E542" t="str">
        <f t="shared" si="30"/>
        <v>60-64FemaleET15</v>
      </c>
      <c r="F542">
        <v>2020</v>
      </c>
      <c r="G542" s="124">
        <v>5436.7294100895497</v>
      </c>
    </row>
    <row r="543" spans="1:7" x14ac:dyDescent="0.45">
      <c r="A543" t="s">
        <v>2885</v>
      </c>
      <c r="B543" t="s">
        <v>3350</v>
      </c>
      <c r="C543" t="s">
        <v>117</v>
      </c>
      <c r="D543" s="385" t="s">
        <v>987</v>
      </c>
      <c r="E543" t="str">
        <f t="shared" si="30"/>
        <v>65-69FemaleET15</v>
      </c>
      <c r="F543">
        <v>2020</v>
      </c>
      <c r="G543" s="124">
        <v>3545.4335847273401</v>
      </c>
    </row>
    <row r="544" spans="1:7" x14ac:dyDescent="0.45">
      <c r="A544" t="s">
        <v>2885</v>
      </c>
      <c r="B544" t="s">
        <v>3350</v>
      </c>
      <c r="C544" t="s">
        <v>117</v>
      </c>
      <c r="D544" s="385" t="s">
        <v>988</v>
      </c>
      <c r="E544" t="str">
        <f t="shared" si="30"/>
        <v>70-74FemaleET15</v>
      </c>
      <c r="F544">
        <v>2020</v>
      </c>
      <c r="G544" s="124">
        <v>3012.4508791826602</v>
      </c>
    </row>
    <row r="545" spans="1:8" x14ac:dyDescent="0.45">
      <c r="A545" t="s">
        <v>2885</v>
      </c>
      <c r="B545" t="s">
        <v>3350</v>
      </c>
      <c r="C545" t="s">
        <v>117</v>
      </c>
      <c r="D545" s="385" t="s">
        <v>989</v>
      </c>
      <c r="E545" t="str">
        <f t="shared" si="30"/>
        <v>75-79FemaleET15</v>
      </c>
      <c r="F545">
        <v>2020</v>
      </c>
      <c r="G545" s="124">
        <v>1681.74399978667</v>
      </c>
    </row>
    <row r="546" spans="1:8" x14ac:dyDescent="0.45">
      <c r="A546" t="s">
        <v>2885</v>
      </c>
      <c r="B546" t="s">
        <v>3350</v>
      </c>
      <c r="C546" t="s">
        <v>117</v>
      </c>
      <c r="D546" s="385" t="s">
        <v>3346</v>
      </c>
      <c r="E546" t="str">
        <f t="shared" si="30"/>
        <v>80+FemaleET15</v>
      </c>
      <c r="F546">
        <v>2020</v>
      </c>
      <c r="G546" s="124">
        <v>1830.3190720211701</v>
      </c>
    </row>
    <row r="547" spans="1:8" x14ac:dyDescent="0.45">
      <c r="A547" s="384" t="s">
        <v>2885</v>
      </c>
      <c r="B547" s="384" t="s">
        <v>3350</v>
      </c>
      <c r="C547" s="384" t="s">
        <v>117</v>
      </c>
      <c r="D547" s="388" t="s">
        <v>990</v>
      </c>
      <c r="E547" t="str">
        <f t="shared" si="30"/>
        <v>80-84FemaleET15</v>
      </c>
      <c r="F547" s="384">
        <v>2020</v>
      </c>
      <c r="G547" s="386">
        <f>$G$546*$H20</f>
        <v>1183.6678763032837</v>
      </c>
      <c r="H547" s="75">
        <f>G547/SUM($G$547:$G$551)</f>
        <v>0.64670029089310233</v>
      </c>
    </row>
    <row r="548" spans="1:8" x14ac:dyDescent="0.45">
      <c r="A548" s="384" t="s">
        <v>2885</v>
      </c>
      <c r="B548" s="384" t="s">
        <v>3350</v>
      </c>
      <c r="C548" s="384" t="s">
        <v>117</v>
      </c>
      <c r="D548" s="388" t="s">
        <v>991</v>
      </c>
      <c r="E548" t="str">
        <f t="shared" si="30"/>
        <v>85-89FemaleET15</v>
      </c>
      <c r="F548" s="384">
        <v>2020</v>
      </c>
      <c r="G548" s="386">
        <f>$G$546*$H21</f>
        <v>494.11342910509342</v>
      </c>
      <c r="H548" s="75">
        <f t="shared" ref="H548:H551" si="32">G548/SUM($G$547:$G$551)</f>
        <v>0.26996026903629311</v>
      </c>
    </row>
    <row r="549" spans="1:8" x14ac:dyDescent="0.45">
      <c r="A549" s="384" t="s">
        <v>2885</v>
      </c>
      <c r="B549" s="384" t="s">
        <v>3350</v>
      </c>
      <c r="C549" s="384" t="s">
        <v>117</v>
      </c>
      <c r="D549" s="388" t="s">
        <v>992</v>
      </c>
      <c r="E549" t="str">
        <f t="shared" si="30"/>
        <v>90-94FemaleET15</v>
      </c>
      <c r="F549" s="384">
        <v>2020</v>
      </c>
      <c r="G549" s="386">
        <f>$G$546*$H22</f>
        <v>130.98991909074246</v>
      </c>
      <c r="H549" s="75">
        <f t="shared" si="32"/>
        <v>7.1566712653053421E-2</v>
      </c>
    </row>
    <row r="550" spans="1:8" x14ac:dyDescent="0.45">
      <c r="A550" s="384" t="s">
        <v>2885</v>
      </c>
      <c r="B550" s="384" t="s">
        <v>3350</v>
      </c>
      <c r="C550" s="384" t="s">
        <v>117</v>
      </c>
      <c r="D550" s="388" t="s">
        <v>993</v>
      </c>
      <c r="E550" t="str">
        <f t="shared" si="30"/>
        <v>95-99FemaleET15</v>
      </c>
      <c r="F550" s="384">
        <v>2020</v>
      </c>
      <c r="G550" s="386">
        <f>$G$546*$H23</f>
        <v>20.014130634824511</v>
      </c>
      <c r="H550" s="75">
        <f t="shared" si="32"/>
        <v>1.0934776859820111E-2</v>
      </c>
    </row>
    <row r="551" spans="1:8" x14ac:dyDescent="0.45">
      <c r="A551" s="384" t="s">
        <v>2885</v>
      </c>
      <c r="B551" s="384" t="s">
        <v>3350</v>
      </c>
      <c r="C551" s="384" t="s">
        <v>117</v>
      </c>
      <c r="D551" s="388" t="s">
        <v>994</v>
      </c>
      <c r="E551" t="str">
        <f t="shared" si="30"/>
        <v>100+FemaleET15</v>
      </c>
      <c r="F551" s="384">
        <v>2020</v>
      </c>
      <c r="G551" s="386">
        <f>$G$546*$H24</f>
        <v>1.5337168872257712</v>
      </c>
      <c r="H551" s="75">
        <f t="shared" si="32"/>
        <v>8.3795055773097009E-4</v>
      </c>
    </row>
    <row r="552" spans="1:8" x14ac:dyDescent="0.45">
      <c r="A552" t="s">
        <v>2885</v>
      </c>
      <c r="B552" t="s">
        <v>3350</v>
      </c>
      <c r="C552" t="s">
        <v>116</v>
      </c>
      <c r="D552" s="362" t="s">
        <v>3347</v>
      </c>
      <c r="E552" t="str">
        <f t="shared" si="30"/>
        <v>&lt;1 yearMaleET15</v>
      </c>
      <c r="F552">
        <v>2020</v>
      </c>
      <c r="G552" s="124">
        <v>7330.5793394744396</v>
      </c>
    </row>
    <row r="553" spans="1:8" x14ac:dyDescent="0.45">
      <c r="A553" t="s">
        <v>2885</v>
      </c>
      <c r="B553" t="s">
        <v>3350</v>
      </c>
      <c r="C553" t="s">
        <v>116</v>
      </c>
      <c r="D553" s="385" t="s">
        <v>169</v>
      </c>
      <c r="E553" t="str">
        <f t="shared" si="30"/>
        <v>1-4MaleET15</v>
      </c>
      <c r="F553">
        <v>2020</v>
      </c>
      <c r="G553" s="124">
        <v>27096.389537543</v>
      </c>
    </row>
    <row r="554" spans="1:8" x14ac:dyDescent="0.45">
      <c r="A554" s="384" t="s">
        <v>2885</v>
      </c>
      <c r="B554" s="384" t="s">
        <v>3350</v>
      </c>
      <c r="C554" s="384" t="s">
        <v>116</v>
      </c>
      <c r="D554" s="387" t="s">
        <v>981</v>
      </c>
      <c r="E554" t="str">
        <f t="shared" si="30"/>
        <v>0-4MaleET15</v>
      </c>
      <c r="F554" s="384">
        <v>2020</v>
      </c>
      <c r="G554" s="386">
        <f>G553+G552</f>
        <v>34426.96887701744</v>
      </c>
    </row>
    <row r="555" spans="1:8" x14ac:dyDescent="0.45">
      <c r="A555" t="s">
        <v>2885</v>
      </c>
      <c r="B555" t="s">
        <v>3350</v>
      </c>
      <c r="C555" t="s">
        <v>116</v>
      </c>
      <c r="D555" s="385" t="s">
        <v>982</v>
      </c>
      <c r="E555" t="str">
        <f t="shared" si="30"/>
        <v>5-9MaleET15</v>
      </c>
      <c r="F555">
        <v>2020</v>
      </c>
      <c r="G555" s="124">
        <v>28140.503436923002</v>
      </c>
    </row>
    <row r="556" spans="1:8" x14ac:dyDescent="0.45">
      <c r="A556" t="s">
        <v>2885</v>
      </c>
      <c r="B556" t="s">
        <v>3350</v>
      </c>
      <c r="C556" t="s">
        <v>116</v>
      </c>
      <c r="D556" s="385" t="s">
        <v>983</v>
      </c>
      <c r="E556" t="str">
        <f t="shared" si="30"/>
        <v>10-14MaleET15</v>
      </c>
      <c r="F556">
        <v>2020</v>
      </c>
      <c r="G556" s="124">
        <v>25358.4711790978</v>
      </c>
    </row>
    <row r="557" spans="1:8" x14ac:dyDescent="0.45">
      <c r="A557" t="s">
        <v>2885</v>
      </c>
      <c r="B557" t="s">
        <v>3350</v>
      </c>
      <c r="C557" t="s">
        <v>116</v>
      </c>
      <c r="D557" s="385" t="s">
        <v>664</v>
      </c>
      <c r="E557" t="str">
        <f t="shared" si="30"/>
        <v>15-19MaleET15</v>
      </c>
      <c r="F557">
        <v>2020</v>
      </c>
      <c r="G557" s="124">
        <v>29256.557251542799</v>
      </c>
    </row>
    <row r="558" spans="1:8" x14ac:dyDescent="0.45">
      <c r="A558" t="s">
        <v>2885</v>
      </c>
      <c r="B558" t="s">
        <v>3350</v>
      </c>
      <c r="C558" t="s">
        <v>116</v>
      </c>
      <c r="D558" s="385" t="s">
        <v>665</v>
      </c>
      <c r="E558" t="str">
        <f t="shared" si="30"/>
        <v>20-24MaleET15</v>
      </c>
      <c r="F558">
        <v>2020</v>
      </c>
      <c r="G558" s="124">
        <v>29182.383661091299</v>
      </c>
    </row>
    <row r="559" spans="1:8" x14ac:dyDescent="0.45">
      <c r="A559" t="s">
        <v>2885</v>
      </c>
      <c r="B559" t="s">
        <v>3350</v>
      </c>
      <c r="C559" t="s">
        <v>116</v>
      </c>
      <c r="D559" s="385" t="s">
        <v>667</v>
      </c>
      <c r="E559" t="str">
        <f t="shared" si="30"/>
        <v>25-29MaleET15</v>
      </c>
      <c r="F559">
        <v>2020</v>
      </c>
      <c r="G559" s="124">
        <v>27735.174449682199</v>
      </c>
    </row>
    <row r="560" spans="1:8" x14ac:dyDescent="0.45">
      <c r="A560" t="s">
        <v>2885</v>
      </c>
      <c r="B560" t="s">
        <v>3350</v>
      </c>
      <c r="C560" t="s">
        <v>116</v>
      </c>
      <c r="D560" s="385" t="s">
        <v>670</v>
      </c>
      <c r="E560" t="str">
        <f t="shared" si="30"/>
        <v>30-34MaleET15</v>
      </c>
      <c r="F560">
        <v>2020</v>
      </c>
      <c r="G560" s="124">
        <v>20806.233572870398</v>
      </c>
    </row>
    <row r="561" spans="1:8" x14ac:dyDescent="0.45">
      <c r="A561" t="s">
        <v>2885</v>
      </c>
      <c r="B561" t="s">
        <v>3350</v>
      </c>
      <c r="C561" t="s">
        <v>116</v>
      </c>
      <c r="D561" s="385" t="s">
        <v>672</v>
      </c>
      <c r="E561" t="str">
        <f t="shared" si="30"/>
        <v>35-39MaleET15</v>
      </c>
      <c r="F561">
        <v>2020</v>
      </c>
      <c r="G561" s="124">
        <v>17114.038058340499</v>
      </c>
    </row>
    <row r="562" spans="1:8" x14ac:dyDescent="0.45">
      <c r="A562" t="s">
        <v>2885</v>
      </c>
      <c r="B562" t="s">
        <v>3350</v>
      </c>
      <c r="C562" t="s">
        <v>116</v>
      </c>
      <c r="D562" s="385" t="s">
        <v>674</v>
      </c>
      <c r="E562" t="str">
        <f t="shared" si="30"/>
        <v>40-44MaleET15</v>
      </c>
      <c r="F562">
        <v>2020</v>
      </c>
      <c r="G562" s="124">
        <v>13665.9406958818</v>
      </c>
    </row>
    <row r="563" spans="1:8" x14ac:dyDescent="0.45">
      <c r="A563" t="s">
        <v>2885</v>
      </c>
      <c r="B563" t="s">
        <v>3350</v>
      </c>
      <c r="C563" t="s">
        <v>116</v>
      </c>
      <c r="D563" s="385" t="s">
        <v>676</v>
      </c>
      <c r="E563" t="str">
        <f t="shared" si="30"/>
        <v>45-49MaleET15</v>
      </c>
      <c r="F563">
        <v>2020</v>
      </c>
      <c r="G563" s="124">
        <v>9535.3536074384992</v>
      </c>
    </row>
    <row r="564" spans="1:8" x14ac:dyDescent="0.45">
      <c r="A564" t="s">
        <v>2885</v>
      </c>
      <c r="B564" t="s">
        <v>3350</v>
      </c>
      <c r="C564" t="s">
        <v>116</v>
      </c>
      <c r="D564" s="385" t="s">
        <v>984</v>
      </c>
      <c r="E564" t="str">
        <f t="shared" si="30"/>
        <v>50-54MaleET15</v>
      </c>
      <c r="F564">
        <v>2020</v>
      </c>
      <c r="G564" s="124">
        <v>7634.0647811219096</v>
      </c>
    </row>
    <row r="565" spans="1:8" x14ac:dyDescent="0.45">
      <c r="A565" t="s">
        <v>2885</v>
      </c>
      <c r="B565" t="s">
        <v>3350</v>
      </c>
      <c r="C565" t="s">
        <v>116</v>
      </c>
      <c r="D565" s="385" t="s">
        <v>985</v>
      </c>
      <c r="E565" t="str">
        <f t="shared" si="30"/>
        <v>55-59MaleET15</v>
      </c>
      <c r="F565">
        <v>2020</v>
      </c>
      <c r="G565" s="124">
        <v>4710.4894575513899</v>
      </c>
    </row>
    <row r="566" spans="1:8" x14ac:dyDescent="0.45">
      <c r="A566" t="s">
        <v>2885</v>
      </c>
      <c r="B566" t="s">
        <v>3350</v>
      </c>
      <c r="C566" t="s">
        <v>116</v>
      </c>
      <c r="D566" s="385" t="s">
        <v>986</v>
      </c>
      <c r="E566" t="str">
        <f t="shared" si="30"/>
        <v>60-64MaleET15</v>
      </c>
      <c r="F566">
        <v>2020</v>
      </c>
      <c r="G566" s="124">
        <v>4676.4170066267197</v>
      </c>
    </row>
    <row r="567" spans="1:8" x14ac:dyDescent="0.45">
      <c r="A567" t="s">
        <v>2885</v>
      </c>
      <c r="B567" t="s">
        <v>3350</v>
      </c>
      <c r="C567" t="s">
        <v>116</v>
      </c>
      <c r="D567" s="385" t="s">
        <v>987</v>
      </c>
      <c r="E567" t="str">
        <f t="shared" si="30"/>
        <v>65-69MaleET15</v>
      </c>
      <c r="F567">
        <v>2020</v>
      </c>
      <c r="G567" s="124">
        <v>2450.1296690497502</v>
      </c>
    </row>
    <row r="568" spans="1:8" x14ac:dyDescent="0.45">
      <c r="A568" t="s">
        <v>2885</v>
      </c>
      <c r="B568" t="s">
        <v>3350</v>
      </c>
      <c r="C568" t="s">
        <v>116</v>
      </c>
      <c r="D568" s="385" t="s">
        <v>988</v>
      </c>
      <c r="E568" t="str">
        <f t="shared" si="30"/>
        <v>70-74MaleET15</v>
      </c>
      <c r="F568">
        <v>2020</v>
      </c>
      <c r="G568" s="124">
        <v>1936.0008464474199</v>
      </c>
    </row>
    <row r="569" spans="1:8" x14ac:dyDescent="0.45">
      <c r="A569" t="s">
        <v>2885</v>
      </c>
      <c r="B569" t="s">
        <v>3350</v>
      </c>
      <c r="C569" t="s">
        <v>116</v>
      </c>
      <c r="D569" s="385" t="s">
        <v>989</v>
      </c>
      <c r="E569" t="str">
        <f t="shared" si="30"/>
        <v>75-79MaleET15</v>
      </c>
      <c r="F569">
        <v>2020</v>
      </c>
      <c r="G569" s="124">
        <v>795.52304063271697</v>
      </c>
    </row>
    <row r="570" spans="1:8" x14ac:dyDescent="0.45">
      <c r="A570" t="s">
        <v>2885</v>
      </c>
      <c r="B570" t="s">
        <v>3350</v>
      </c>
      <c r="C570" t="s">
        <v>116</v>
      </c>
      <c r="D570" s="385" t="s">
        <v>3346</v>
      </c>
      <c r="E570" t="str">
        <f t="shared" si="30"/>
        <v>80+MaleET15</v>
      </c>
      <c r="F570">
        <v>2020</v>
      </c>
      <c r="G570" s="124">
        <v>653.76714748423501</v>
      </c>
    </row>
    <row r="571" spans="1:8" x14ac:dyDescent="0.45">
      <c r="A571" s="384" t="s">
        <v>2885</v>
      </c>
      <c r="B571" s="384" t="s">
        <v>3350</v>
      </c>
      <c r="C571" s="384" t="s">
        <v>116</v>
      </c>
      <c r="D571" s="388" t="s">
        <v>990</v>
      </c>
      <c r="E571" t="str">
        <f t="shared" si="30"/>
        <v>80-84MaleET15</v>
      </c>
      <c r="F571" s="384">
        <v>2020</v>
      </c>
      <c r="G571" s="386">
        <f>$G$570*$H43</f>
        <v>433.50049202293212</v>
      </c>
      <c r="H571" s="75">
        <f>G571/SUM($G$571:$G$575)</f>
        <v>0.66308087472900357</v>
      </c>
    </row>
    <row r="572" spans="1:8" x14ac:dyDescent="0.45">
      <c r="A572" s="384" t="s">
        <v>2885</v>
      </c>
      <c r="B572" s="384" t="s">
        <v>3350</v>
      </c>
      <c r="C572" s="384" t="s">
        <v>116</v>
      </c>
      <c r="D572" s="388" t="s">
        <v>991</v>
      </c>
      <c r="E572" t="str">
        <f t="shared" si="30"/>
        <v>85-89MaleET15</v>
      </c>
      <c r="F572" s="384">
        <v>2020</v>
      </c>
      <c r="G572" s="386">
        <f>$G$570*$H44</f>
        <v>173.0165885055543</v>
      </c>
      <c r="H572" s="75">
        <f t="shared" ref="H572:H575" si="33">G572/SUM($G$571:$G$575)</f>
        <v>0.26464558393816567</v>
      </c>
    </row>
    <row r="573" spans="1:8" x14ac:dyDescent="0.45">
      <c r="A573" s="384" t="s">
        <v>2885</v>
      </c>
      <c r="B573" s="384" t="s">
        <v>3350</v>
      </c>
      <c r="C573" s="384" t="s">
        <v>116</v>
      </c>
      <c r="D573" s="388" t="s">
        <v>992</v>
      </c>
      <c r="E573" t="str">
        <f t="shared" si="30"/>
        <v>90-94MaleET15</v>
      </c>
      <c r="F573" s="384">
        <v>2020</v>
      </c>
      <c r="G573" s="386">
        <f>$G$570*$H45</f>
        <v>41.788655564873871</v>
      </c>
      <c r="H573" s="75">
        <f t="shared" si="33"/>
        <v>6.3919785088132716E-2</v>
      </c>
    </row>
    <row r="574" spans="1:8" x14ac:dyDescent="0.45">
      <c r="A574" s="384" t="s">
        <v>2885</v>
      </c>
      <c r="B574" s="384" t="s">
        <v>3350</v>
      </c>
      <c r="C574" s="384" t="s">
        <v>116</v>
      </c>
      <c r="D574" s="388" t="s">
        <v>993</v>
      </c>
      <c r="E574" t="str">
        <f t="shared" si="30"/>
        <v>95-99MaleET15</v>
      </c>
      <c r="F574" s="384">
        <v>2020</v>
      </c>
      <c r="G574" s="386">
        <f>$G$570*$H46</f>
        <v>4.9966650524881446</v>
      </c>
      <c r="H574" s="75">
        <f t="shared" si="33"/>
        <v>7.6428818298928574E-3</v>
      </c>
    </row>
    <row r="575" spans="1:8" x14ac:dyDescent="0.45">
      <c r="A575" s="384" t="s">
        <v>2885</v>
      </c>
      <c r="B575" s="384" t="s">
        <v>3350</v>
      </c>
      <c r="C575" s="384" t="s">
        <v>116</v>
      </c>
      <c r="D575" s="388" t="s">
        <v>994</v>
      </c>
      <c r="E575" t="str">
        <f t="shared" si="30"/>
        <v>100+MaleET15</v>
      </c>
      <c r="F575" s="384">
        <v>2020</v>
      </c>
      <c r="G575" s="386">
        <f>$G$570*$H47</f>
        <v>0.46474633838661566</v>
      </c>
      <c r="H575" s="75">
        <f t="shared" si="33"/>
        <v>7.1087441480503961E-4</v>
      </c>
    </row>
  </sheetData>
  <phoneticPr fontId="37" type="noConversion"/>
  <pageMargins left="0.7" right="0.7" top="0.75" bottom="0.75" header="0.3" footer="0.3"/>
  <pageSetup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C713E-8E8B-4571-81AD-0ED57264490F}">
  <dimension ref="A1:F1213"/>
  <sheetViews>
    <sheetView workbookViewId="0"/>
  </sheetViews>
  <sheetFormatPr defaultRowHeight="14.25" x14ac:dyDescent="0.45"/>
  <cols>
    <col min="1" max="1" width="9.53125" bestFit="1" customWidth="1"/>
    <col min="2" max="2" width="3.796875" bestFit="1" customWidth="1"/>
    <col min="3" max="3" width="11.796875" bestFit="1" customWidth="1"/>
    <col min="4" max="4" width="12.46484375" bestFit="1" customWidth="1"/>
    <col min="5" max="5" width="10.46484375" bestFit="1" customWidth="1"/>
    <col min="6" max="6" width="35.53125" customWidth="1"/>
  </cols>
  <sheetData>
    <row r="1" spans="1:6" x14ac:dyDescent="0.45">
      <c r="A1" s="355" t="s">
        <v>2834</v>
      </c>
      <c r="B1" s="355" t="s">
        <v>115</v>
      </c>
      <c r="C1" s="355" t="s">
        <v>3417</v>
      </c>
      <c r="D1" s="393" t="s">
        <v>3418</v>
      </c>
      <c r="E1" s="355" t="s">
        <v>2843</v>
      </c>
      <c r="F1" s="355" t="s">
        <v>2844</v>
      </c>
    </row>
    <row r="2" spans="1:6" x14ac:dyDescent="0.45">
      <c r="A2" t="str">
        <f>_xlfn.CONCAT(E2,",",B2)</f>
        <v>ET,&lt;1</v>
      </c>
      <c r="B2" t="s">
        <v>119</v>
      </c>
      <c r="C2">
        <v>1761330.4746166801</v>
      </c>
      <c r="D2">
        <v>1761330.4746166801</v>
      </c>
      <c r="E2" t="s">
        <v>2849</v>
      </c>
      <c r="F2" t="s">
        <v>594</v>
      </c>
    </row>
    <row r="3" spans="1:6" x14ac:dyDescent="0.45">
      <c r="A3" t="str">
        <f t="shared" ref="A3:A66" si="0">_xlfn.CONCAT(E3,",",B3)</f>
        <v>ET,1</v>
      </c>
      <c r="B3">
        <v>1</v>
      </c>
      <c r="C3">
        <v>1694396.17798126</v>
      </c>
      <c r="D3">
        <v>1689194.9905026299</v>
      </c>
      <c r="E3" t="s">
        <v>2849</v>
      </c>
      <c r="F3" t="s">
        <v>594</v>
      </c>
    </row>
    <row r="4" spans="1:6" x14ac:dyDescent="0.45">
      <c r="A4" t="str">
        <f t="shared" si="0"/>
        <v>ET,2</v>
      </c>
      <c r="B4">
        <v>2</v>
      </c>
      <c r="C4">
        <v>1627461.8813458299</v>
      </c>
      <c r="D4">
        <v>1627461.8813458299</v>
      </c>
      <c r="E4" t="s">
        <v>2849</v>
      </c>
      <c r="F4" t="s">
        <v>594</v>
      </c>
    </row>
    <row r="5" spans="1:6" x14ac:dyDescent="0.45">
      <c r="A5" t="str">
        <f t="shared" si="0"/>
        <v>ET,3</v>
      </c>
      <c r="B5">
        <v>3</v>
      </c>
      <c r="C5">
        <v>1602991.7450766601</v>
      </c>
      <c r="D5">
        <v>1583863.09103615</v>
      </c>
      <c r="E5" t="s">
        <v>2849</v>
      </c>
      <c r="F5" t="s">
        <v>594</v>
      </c>
    </row>
    <row r="6" spans="1:6" x14ac:dyDescent="0.45">
      <c r="A6" t="str">
        <f t="shared" si="0"/>
        <v>ET,4</v>
      </c>
      <c r="B6">
        <v>4</v>
      </c>
      <c r="C6">
        <v>1578521.6088075</v>
      </c>
      <c r="D6">
        <v>1555448.8391938501</v>
      </c>
      <c r="E6" t="s">
        <v>2849</v>
      </c>
      <c r="F6" t="s">
        <v>594</v>
      </c>
    </row>
    <row r="7" spans="1:6" x14ac:dyDescent="0.45">
      <c r="A7" t="str">
        <f t="shared" si="0"/>
        <v>ET,5</v>
      </c>
      <c r="B7">
        <v>5</v>
      </c>
      <c r="C7">
        <v>1554051.4725383299</v>
      </c>
      <c r="D7">
        <v>1536598.9143718099</v>
      </c>
      <c r="E7" t="s">
        <v>2849</v>
      </c>
      <c r="F7" t="s">
        <v>594</v>
      </c>
    </row>
    <row r="8" spans="1:6" x14ac:dyDescent="0.45">
      <c r="A8" t="str">
        <f t="shared" si="0"/>
        <v>ET,6</v>
      </c>
      <c r="B8">
        <v>6</v>
      </c>
      <c r="C8">
        <v>1529581.33626917</v>
      </c>
      <c r="D8">
        <v>1521693.1051229001</v>
      </c>
      <c r="E8" t="s">
        <v>2849</v>
      </c>
      <c r="F8" t="s">
        <v>594</v>
      </c>
    </row>
    <row r="9" spans="1:6" x14ac:dyDescent="0.45">
      <c r="A9" t="str">
        <f t="shared" si="0"/>
        <v>ET,7</v>
      </c>
      <c r="B9">
        <v>7</v>
      </c>
      <c r="C9">
        <v>1505111.2</v>
      </c>
      <c r="D9">
        <v>1505111.2</v>
      </c>
      <c r="E9" t="s">
        <v>2849</v>
      </c>
      <c r="F9" t="s">
        <v>594</v>
      </c>
    </row>
    <row r="10" spans="1:6" x14ac:dyDescent="0.45">
      <c r="A10" t="str">
        <f t="shared" si="0"/>
        <v>ET,8</v>
      </c>
      <c r="B10">
        <v>8</v>
      </c>
      <c r="C10">
        <v>1478254</v>
      </c>
      <c r="D10">
        <v>1482596.7664709601</v>
      </c>
      <c r="E10" t="s">
        <v>2849</v>
      </c>
      <c r="F10" t="s">
        <v>594</v>
      </c>
    </row>
    <row r="11" spans="1:6" x14ac:dyDescent="0.45">
      <c r="A11" t="str">
        <f t="shared" si="0"/>
        <v>ET,9</v>
      </c>
      <c r="B11">
        <v>9</v>
      </c>
      <c r="C11">
        <v>1451396.8</v>
      </c>
      <c r="D11">
        <v>1455348.4876636299</v>
      </c>
      <c r="E11" t="s">
        <v>2849</v>
      </c>
      <c r="F11" t="s">
        <v>594</v>
      </c>
    </row>
    <row r="12" spans="1:6" x14ac:dyDescent="0.45">
      <c r="A12" t="str">
        <f t="shared" si="0"/>
        <v>ET,10</v>
      </c>
      <c r="B12">
        <v>10</v>
      </c>
      <c r="C12">
        <v>1424539.6</v>
      </c>
      <c r="D12">
        <v>1425928.82562081</v>
      </c>
      <c r="E12" t="s">
        <v>2849</v>
      </c>
      <c r="F12" t="s">
        <v>594</v>
      </c>
    </row>
    <row r="13" spans="1:6" x14ac:dyDescent="0.45">
      <c r="A13" t="str">
        <f t="shared" si="0"/>
        <v>ET,11</v>
      </c>
      <c r="B13">
        <v>11</v>
      </c>
      <c r="C13">
        <v>1397682.4</v>
      </c>
      <c r="D13">
        <v>1396900.2423853199</v>
      </c>
      <c r="E13" t="s">
        <v>2849</v>
      </c>
      <c r="F13" t="s">
        <v>594</v>
      </c>
    </row>
    <row r="14" spans="1:6" x14ac:dyDescent="0.45">
      <c r="A14" t="str">
        <f t="shared" si="0"/>
        <v>ET,12</v>
      </c>
      <c r="B14">
        <v>12</v>
      </c>
      <c r="C14">
        <v>1370825.2</v>
      </c>
      <c r="D14">
        <v>1370825.2</v>
      </c>
      <c r="E14" t="s">
        <v>2849</v>
      </c>
      <c r="F14" t="s">
        <v>594</v>
      </c>
    </row>
    <row r="15" spans="1:6" x14ac:dyDescent="0.45">
      <c r="A15" t="str">
        <f t="shared" si="0"/>
        <v>ET,13</v>
      </c>
      <c r="B15">
        <v>13</v>
      </c>
      <c r="C15">
        <v>1353964.08</v>
      </c>
      <c r="D15">
        <v>1349562.80312906</v>
      </c>
      <c r="E15" t="s">
        <v>2849</v>
      </c>
      <c r="F15" t="s">
        <v>594</v>
      </c>
    </row>
    <row r="16" spans="1:6" x14ac:dyDescent="0.45">
      <c r="A16" t="str">
        <f t="shared" si="0"/>
        <v>ET,14</v>
      </c>
      <c r="B16">
        <v>14</v>
      </c>
      <c r="C16">
        <v>1337102.96</v>
      </c>
      <c r="D16">
        <v>1332158.72692234</v>
      </c>
      <c r="E16" t="s">
        <v>2849</v>
      </c>
      <c r="F16" t="s">
        <v>594</v>
      </c>
    </row>
    <row r="17" spans="1:6" x14ac:dyDescent="0.45">
      <c r="A17" t="str">
        <f t="shared" si="0"/>
        <v>ET,15</v>
      </c>
      <c r="B17">
        <v>15</v>
      </c>
      <c r="C17">
        <v>1320241.8400000001</v>
      </c>
      <c r="D17">
        <v>1316955.2891511</v>
      </c>
      <c r="E17" t="s">
        <v>2849</v>
      </c>
      <c r="F17" t="s">
        <v>594</v>
      </c>
    </row>
    <row r="18" spans="1:6" x14ac:dyDescent="0.45">
      <c r="A18" t="str">
        <f t="shared" si="0"/>
        <v>ET,16</v>
      </c>
      <c r="B18">
        <v>16</v>
      </c>
      <c r="C18">
        <v>1303380.72</v>
      </c>
      <c r="D18">
        <v>1302294.80758657</v>
      </c>
      <c r="E18" t="s">
        <v>2849</v>
      </c>
      <c r="F18" t="s">
        <v>594</v>
      </c>
    </row>
    <row r="19" spans="1:6" x14ac:dyDescent="0.45">
      <c r="A19" t="str">
        <f t="shared" si="0"/>
        <v>ET,17</v>
      </c>
      <c r="B19">
        <v>17</v>
      </c>
      <c r="C19">
        <v>1286519.6000000001</v>
      </c>
      <c r="D19">
        <v>1286519.6000000001</v>
      </c>
      <c r="E19" t="s">
        <v>2849</v>
      </c>
      <c r="F19" t="s">
        <v>594</v>
      </c>
    </row>
    <row r="20" spans="1:6" x14ac:dyDescent="0.45">
      <c r="A20" t="str">
        <f t="shared" si="0"/>
        <v>ET,18</v>
      </c>
      <c r="B20">
        <v>18</v>
      </c>
      <c r="C20">
        <v>1261862.6000000001</v>
      </c>
      <c r="D20">
        <v>1268214.6306127999</v>
      </c>
      <c r="E20" t="s">
        <v>2849</v>
      </c>
      <c r="F20" t="s">
        <v>594</v>
      </c>
    </row>
    <row r="21" spans="1:6" x14ac:dyDescent="0.45">
      <c r="A21" t="str">
        <f t="shared" si="0"/>
        <v>ET,19</v>
      </c>
      <c r="B21">
        <v>19</v>
      </c>
      <c r="C21">
        <v>1237205.6000000001</v>
      </c>
      <c r="D21">
        <v>1246935.4494469999</v>
      </c>
      <c r="E21" t="s">
        <v>2849</v>
      </c>
      <c r="F21" t="s">
        <v>594</v>
      </c>
    </row>
    <row r="22" spans="1:6" x14ac:dyDescent="0.45">
      <c r="A22" t="str">
        <f t="shared" si="0"/>
        <v>ET,20</v>
      </c>
      <c r="B22">
        <v>20</v>
      </c>
      <c r="C22">
        <v>1212548.6000000001</v>
      </c>
      <c r="D22">
        <v>1222480.2529748001</v>
      </c>
      <c r="E22" t="s">
        <v>2849</v>
      </c>
      <c r="F22" t="s">
        <v>594</v>
      </c>
    </row>
    <row r="23" spans="1:6" x14ac:dyDescent="0.45">
      <c r="A23" t="str">
        <f t="shared" si="0"/>
        <v>ET,21</v>
      </c>
      <c r="B23">
        <v>21</v>
      </c>
      <c r="C23">
        <v>1187891.6000000001</v>
      </c>
      <c r="D23">
        <v>1194647.2376683999</v>
      </c>
      <c r="E23" t="s">
        <v>2849</v>
      </c>
      <c r="F23" t="s">
        <v>594</v>
      </c>
    </row>
    <row r="24" spans="1:6" x14ac:dyDescent="0.45">
      <c r="A24" t="str">
        <f t="shared" si="0"/>
        <v>ET,22</v>
      </c>
      <c r="B24">
        <v>22</v>
      </c>
      <c r="C24">
        <v>1163234.6000000001</v>
      </c>
      <c r="D24">
        <v>1163234.6000000001</v>
      </c>
      <c r="E24" t="s">
        <v>2849</v>
      </c>
      <c r="F24" t="s">
        <v>594</v>
      </c>
    </row>
    <row r="25" spans="1:6" x14ac:dyDescent="0.45">
      <c r="A25" t="str">
        <f t="shared" si="0"/>
        <v>ET,23</v>
      </c>
      <c r="B25">
        <v>23</v>
      </c>
      <c r="C25">
        <v>1122685.68</v>
      </c>
      <c r="D25">
        <v>1128161.14481975</v>
      </c>
      <c r="E25" t="s">
        <v>2849</v>
      </c>
      <c r="F25" t="s">
        <v>594</v>
      </c>
    </row>
    <row r="26" spans="1:6" x14ac:dyDescent="0.45">
      <c r="A26" t="str">
        <f t="shared" si="0"/>
        <v>ET,24</v>
      </c>
      <c r="B26">
        <v>24</v>
      </c>
      <c r="C26">
        <v>1082136.76</v>
      </c>
      <c r="D26">
        <v>1089828.1104896599</v>
      </c>
      <c r="E26" t="s">
        <v>2849</v>
      </c>
      <c r="F26" t="s">
        <v>594</v>
      </c>
    </row>
    <row r="27" spans="1:6" x14ac:dyDescent="0.45">
      <c r="A27" t="str">
        <f t="shared" si="0"/>
        <v>ET,25</v>
      </c>
      <c r="B27">
        <v>25</v>
      </c>
      <c r="C27">
        <v>1041587.84</v>
      </c>
      <c r="D27">
        <v>1048757.3437496901</v>
      </c>
      <c r="E27" t="s">
        <v>2849</v>
      </c>
      <c r="F27" t="s">
        <v>594</v>
      </c>
    </row>
    <row r="28" spans="1:6" x14ac:dyDescent="0.45">
      <c r="A28" t="str">
        <f t="shared" si="0"/>
        <v>ET,26</v>
      </c>
      <c r="B28">
        <v>26</v>
      </c>
      <c r="C28">
        <v>1001038.92</v>
      </c>
      <c r="D28">
        <v>1005470.69133982</v>
      </c>
      <c r="E28" t="s">
        <v>2849</v>
      </c>
      <c r="F28" t="s">
        <v>594</v>
      </c>
    </row>
    <row r="29" spans="1:6" x14ac:dyDescent="0.45">
      <c r="A29" t="str">
        <f t="shared" si="0"/>
        <v>ET,27</v>
      </c>
      <c r="B29">
        <v>27</v>
      </c>
      <c r="C29">
        <v>960490</v>
      </c>
      <c r="D29">
        <v>960490</v>
      </c>
      <c r="E29" t="s">
        <v>2849</v>
      </c>
      <c r="F29" t="s">
        <v>594</v>
      </c>
    </row>
    <row r="30" spans="1:6" x14ac:dyDescent="0.45">
      <c r="A30" t="str">
        <f t="shared" si="0"/>
        <v>ET,28</v>
      </c>
      <c r="B30">
        <v>28</v>
      </c>
      <c r="C30">
        <v>918693.76</v>
      </c>
      <c r="D30">
        <v>914521.66210820503</v>
      </c>
      <c r="E30" t="s">
        <v>2849</v>
      </c>
      <c r="F30" t="s">
        <v>594</v>
      </c>
    </row>
    <row r="31" spans="1:6" x14ac:dyDescent="0.45">
      <c r="A31" t="str">
        <f t="shared" si="0"/>
        <v>ET,29</v>
      </c>
      <c r="B31">
        <v>29</v>
      </c>
      <c r="C31">
        <v>876897.52</v>
      </c>
      <c r="D31">
        <v>869010.25259437098</v>
      </c>
      <c r="E31" t="s">
        <v>2849</v>
      </c>
      <c r="F31" t="s">
        <v>594</v>
      </c>
    </row>
    <row r="32" spans="1:6" x14ac:dyDescent="0.45">
      <c r="A32" t="str">
        <f t="shared" si="0"/>
        <v>ET,30</v>
      </c>
      <c r="B32">
        <v>30</v>
      </c>
      <c r="C32">
        <v>835101.28</v>
      </c>
      <c r="D32">
        <v>825584.892026435</v>
      </c>
      <c r="E32" t="s">
        <v>2849</v>
      </c>
      <c r="F32" t="s">
        <v>594</v>
      </c>
    </row>
    <row r="33" spans="1:6" x14ac:dyDescent="0.45">
      <c r="A33" t="str">
        <f t="shared" si="0"/>
        <v>ET,31</v>
      </c>
      <c r="B33">
        <v>31</v>
      </c>
      <c r="C33">
        <v>793305.04</v>
      </c>
      <c r="D33">
        <v>785874.70097233297</v>
      </c>
      <c r="E33" t="s">
        <v>2849</v>
      </c>
      <c r="F33" t="s">
        <v>594</v>
      </c>
    </row>
    <row r="34" spans="1:6" x14ac:dyDescent="0.45">
      <c r="A34" t="str">
        <f t="shared" si="0"/>
        <v>ET,32</v>
      </c>
      <c r="B34">
        <v>32</v>
      </c>
      <c r="C34">
        <v>751508.8</v>
      </c>
      <c r="D34">
        <v>751508.8</v>
      </c>
      <c r="E34" t="s">
        <v>2849</v>
      </c>
      <c r="F34" t="s">
        <v>594</v>
      </c>
    </row>
    <row r="35" spans="1:6" x14ac:dyDescent="0.45">
      <c r="A35" t="str">
        <f t="shared" si="0"/>
        <v>ET,33</v>
      </c>
      <c r="B35">
        <v>33</v>
      </c>
      <c r="C35">
        <v>728520.52</v>
      </c>
      <c r="D35">
        <v>723473.94594743196</v>
      </c>
      <c r="E35" t="s">
        <v>2849</v>
      </c>
      <c r="F35" t="s">
        <v>594</v>
      </c>
    </row>
    <row r="36" spans="1:6" x14ac:dyDescent="0.45">
      <c r="A36" t="str">
        <f t="shared" si="0"/>
        <v>ET,34</v>
      </c>
      <c r="B36">
        <v>34</v>
      </c>
      <c r="C36">
        <v>705532.24</v>
      </c>
      <c r="D36">
        <v>700187.44073285896</v>
      </c>
      <c r="E36" t="s">
        <v>2849</v>
      </c>
      <c r="F36" t="s">
        <v>594</v>
      </c>
    </row>
    <row r="37" spans="1:6" x14ac:dyDescent="0.45">
      <c r="A37" t="str">
        <f t="shared" si="0"/>
        <v>ET,35</v>
      </c>
      <c r="B37">
        <v>35</v>
      </c>
      <c r="C37">
        <v>682543.96</v>
      </c>
      <c r="D37">
        <v>679424.22254456999</v>
      </c>
      <c r="E37" t="s">
        <v>2849</v>
      </c>
      <c r="F37" t="s">
        <v>594</v>
      </c>
    </row>
    <row r="38" spans="1:6" x14ac:dyDescent="0.45">
      <c r="A38" t="str">
        <f t="shared" si="0"/>
        <v>ET,36</v>
      </c>
      <c r="B38">
        <v>36</v>
      </c>
      <c r="C38">
        <v>659555.68000000005</v>
      </c>
      <c r="D38">
        <v>658959.22957085399</v>
      </c>
      <c r="E38" t="s">
        <v>2849</v>
      </c>
      <c r="F38" t="s">
        <v>594</v>
      </c>
    </row>
    <row r="39" spans="1:6" x14ac:dyDescent="0.45">
      <c r="A39" t="str">
        <f t="shared" si="0"/>
        <v>ET,37</v>
      </c>
      <c r="B39">
        <v>37</v>
      </c>
      <c r="C39">
        <v>636567.4</v>
      </c>
      <c r="D39">
        <v>636567.4</v>
      </c>
      <c r="E39" t="s">
        <v>2849</v>
      </c>
      <c r="F39" t="s">
        <v>594</v>
      </c>
    </row>
    <row r="40" spans="1:6" x14ac:dyDescent="0.45">
      <c r="A40" t="str">
        <f t="shared" si="0"/>
        <v>ET,38</v>
      </c>
      <c r="B40">
        <v>38</v>
      </c>
      <c r="C40">
        <v>608790.80000000005</v>
      </c>
      <c r="D40">
        <v>610662.51890206698</v>
      </c>
      <c r="E40" t="s">
        <v>2849</v>
      </c>
      <c r="F40" t="s">
        <v>594</v>
      </c>
    </row>
    <row r="41" spans="1:6" x14ac:dyDescent="0.45">
      <c r="A41" t="str">
        <f t="shared" si="0"/>
        <v>ET,39</v>
      </c>
      <c r="B41">
        <v>39</v>
      </c>
      <c r="C41">
        <v>581014.19999999995</v>
      </c>
      <c r="D41">
        <v>582213.758874194</v>
      </c>
      <c r="E41" t="s">
        <v>2849</v>
      </c>
      <c r="F41" t="s">
        <v>594</v>
      </c>
    </row>
    <row r="42" spans="1:6" x14ac:dyDescent="0.45">
      <c r="A42" t="str">
        <f t="shared" si="0"/>
        <v>ET,40</v>
      </c>
      <c r="B42">
        <v>40</v>
      </c>
      <c r="C42">
        <v>553237.6</v>
      </c>
      <c r="D42">
        <v>552829.13939528598</v>
      </c>
      <c r="E42" t="s">
        <v>2849</v>
      </c>
      <c r="F42" t="s">
        <v>594</v>
      </c>
    </row>
    <row r="43" spans="1:6" x14ac:dyDescent="0.45">
      <c r="A43" t="str">
        <f t="shared" si="0"/>
        <v>ET,41</v>
      </c>
      <c r="B43">
        <v>41</v>
      </c>
      <c r="C43">
        <v>525461</v>
      </c>
      <c r="D43">
        <v>524116.679944253</v>
      </c>
      <c r="E43" t="s">
        <v>2849</v>
      </c>
      <c r="F43" t="s">
        <v>594</v>
      </c>
    </row>
    <row r="44" spans="1:6" x14ac:dyDescent="0.45">
      <c r="A44" t="str">
        <f t="shared" si="0"/>
        <v>ET,42</v>
      </c>
      <c r="B44">
        <v>42</v>
      </c>
      <c r="C44">
        <v>497684.4</v>
      </c>
      <c r="D44">
        <v>497684.4</v>
      </c>
      <c r="E44" t="s">
        <v>2849</v>
      </c>
      <c r="F44" t="s">
        <v>594</v>
      </c>
    </row>
    <row r="45" spans="1:6" x14ac:dyDescent="0.45">
      <c r="A45" t="str">
        <f t="shared" si="0"/>
        <v>ET,43</v>
      </c>
      <c r="B45">
        <v>43</v>
      </c>
      <c r="C45">
        <v>479476.64</v>
      </c>
      <c r="D45">
        <v>474745.43284429802</v>
      </c>
      <c r="E45" t="s">
        <v>2849</v>
      </c>
      <c r="F45" t="s">
        <v>594</v>
      </c>
    </row>
    <row r="46" spans="1:6" x14ac:dyDescent="0.45">
      <c r="A46" t="str">
        <f t="shared" si="0"/>
        <v>ET,44</v>
      </c>
      <c r="B46">
        <v>44</v>
      </c>
      <c r="C46">
        <v>461268.88</v>
      </c>
      <c r="D46">
        <v>454933.36697036598</v>
      </c>
      <c r="E46" t="s">
        <v>2849</v>
      </c>
      <c r="F46" t="s">
        <v>594</v>
      </c>
    </row>
    <row r="47" spans="1:6" x14ac:dyDescent="0.45">
      <c r="A47" t="str">
        <f t="shared" si="0"/>
        <v>ET,45</v>
      </c>
      <c r="B47">
        <v>45</v>
      </c>
      <c r="C47">
        <v>443061.12</v>
      </c>
      <c r="D47">
        <v>437486.90467428498</v>
      </c>
      <c r="E47" t="s">
        <v>2849</v>
      </c>
      <c r="F47" t="s">
        <v>594</v>
      </c>
    </row>
    <row r="48" spans="1:6" x14ac:dyDescent="0.45">
      <c r="A48" t="str">
        <f t="shared" si="0"/>
        <v>ET,46</v>
      </c>
      <c r="B48">
        <v>46</v>
      </c>
      <c r="C48">
        <v>424853.36</v>
      </c>
      <c r="D48">
        <v>421644.74825213599</v>
      </c>
      <c r="E48" t="s">
        <v>2849</v>
      </c>
      <c r="F48" t="s">
        <v>594</v>
      </c>
    </row>
    <row r="49" spans="1:6" x14ac:dyDescent="0.45">
      <c r="A49" t="str">
        <f t="shared" si="0"/>
        <v>ET,47</v>
      </c>
      <c r="B49">
        <v>47</v>
      </c>
      <c r="C49">
        <v>406645.6</v>
      </c>
      <c r="D49">
        <v>406645.6</v>
      </c>
      <c r="E49" t="s">
        <v>2849</v>
      </c>
      <c r="F49" t="s">
        <v>594</v>
      </c>
    </row>
    <row r="50" spans="1:6" x14ac:dyDescent="0.45">
      <c r="A50" t="str">
        <f t="shared" si="0"/>
        <v>ET,48</v>
      </c>
      <c r="B50">
        <v>48</v>
      </c>
      <c r="C50">
        <v>391754.76</v>
      </c>
      <c r="D50">
        <v>391844.49692073901</v>
      </c>
      <c r="E50" t="s">
        <v>2849</v>
      </c>
      <c r="F50" t="s">
        <v>594</v>
      </c>
    </row>
    <row r="51" spans="1:6" x14ac:dyDescent="0.45">
      <c r="A51" t="str">
        <f t="shared" si="0"/>
        <v>ET,49</v>
      </c>
      <c r="B51">
        <v>49</v>
      </c>
      <c r="C51">
        <v>376863.92</v>
      </c>
      <c r="D51">
        <v>377061.81484434102</v>
      </c>
      <c r="E51" t="s">
        <v>2849</v>
      </c>
      <c r="F51" t="s">
        <v>594</v>
      </c>
    </row>
    <row r="52" spans="1:6" x14ac:dyDescent="0.45">
      <c r="A52" t="str">
        <f t="shared" si="0"/>
        <v>ET,50</v>
      </c>
      <c r="B52">
        <v>50</v>
      </c>
      <c r="C52">
        <v>361973.08</v>
      </c>
      <c r="D52">
        <v>362234.26430757297</v>
      </c>
      <c r="E52" t="s">
        <v>2849</v>
      </c>
      <c r="F52" t="s">
        <v>594</v>
      </c>
    </row>
    <row r="53" spans="1:6" x14ac:dyDescent="0.45">
      <c r="A53" t="str">
        <f t="shared" si="0"/>
        <v>ET,51</v>
      </c>
      <c r="B53">
        <v>51</v>
      </c>
      <c r="C53">
        <v>347082.23999999999</v>
      </c>
      <c r="D53">
        <v>347298.55584720301</v>
      </c>
      <c r="E53" t="s">
        <v>2849</v>
      </c>
      <c r="F53" t="s">
        <v>594</v>
      </c>
    </row>
    <row r="54" spans="1:6" x14ac:dyDescent="0.45">
      <c r="A54" t="str">
        <f t="shared" si="0"/>
        <v>ET,52</v>
      </c>
      <c r="B54">
        <v>52</v>
      </c>
      <c r="C54">
        <v>332191.40000000002</v>
      </c>
      <c r="D54">
        <v>332191.40000000002</v>
      </c>
      <c r="E54" t="s">
        <v>2849</v>
      </c>
      <c r="F54" t="s">
        <v>594</v>
      </c>
    </row>
    <row r="55" spans="1:6" x14ac:dyDescent="0.45">
      <c r="A55" t="str">
        <f t="shared" si="0"/>
        <v>ET,53</v>
      </c>
      <c r="B55">
        <v>53</v>
      </c>
      <c r="C55">
        <v>318405.84000000003</v>
      </c>
      <c r="D55">
        <v>316940.66587274399</v>
      </c>
      <c r="E55" t="s">
        <v>2849</v>
      </c>
      <c r="F55" t="s">
        <v>594</v>
      </c>
    </row>
    <row r="56" spans="1:6" x14ac:dyDescent="0.45">
      <c r="A56" t="str">
        <f t="shared" si="0"/>
        <v>ET,54</v>
      </c>
      <c r="B56">
        <v>54</v>
      </c>
      <c r="C56">
        <v>304620.28000000003</v>
      </c>
      <c r="D56">
        <v>301938.85685227002</v>
      </c>
      <c r="E56" t="s">
        <v>2849</v>
      </c>
      <c r="F56" t="s">
        <v>594</v>
      </c>
    </row>
    <row r="57" spans="1:6" x14ac:dyDescent="0.45">
      <c r="A57" t="str">
        <f t="shared" si="0"/>
        <v>ET,55</v>
      </c>
      <c r="B57">
        <v>55</v>
      </c>
      <c r="C57">
        <v>290834.71999999997</v>
      </c>
      <c r="D57">
        <v>287669.63489542302</v>
      </c>
      <c r="E57" t="s">
        <v>2849</v>
      </c>
      <c r="F57" t="s">
        <v>594</v>
      </c>
    </row>
    <row r="58" spans="1:6" x14ac:dyDescent="0.45">
      <c r="A58" t="str">
        <f t="shared" si="0"/>
        <v>ET,56</v>
      </c>
      <c r="B58">
        <v>56</v>
      </c>
      <c r="C58">
        <v>277049.15999999997</v>
      </c>
      <c r="D58">
        <v>274616.66195905098</v>
      </c>
      <c r="E58" t="s">
        <v>2849</v>
      </c>
      <c r="F58" t="s">
        <v>594</v>
      </c>
    </row>
    <row r="59" spans="1:6" x14ac:dyDescent="0.45">
      <c r="A59" t="str">
        <f t="shared" si="0"/>
        <v>ET,57</v>
      </c>
      <c r="B59">
        <v>57</v>
      </c>
      <c r="C59">
        <v>263263.59999999998</v>
      </c>
      <c r="D59">
        <v>263263.59999999998</v>
      </c>
      <c r="E59" t="s">
        <v>2849</v>
      </c>
      <c r="F59" t="s">
        <v>594</v>
      </c>
    </row>
    <row r="60" spans="1:6" x14ac:dyDescent="0.45">
      <c r="A60" t="str">
        <f t="shared" si="0"/>
        <v>ET,58</v>
      </c>
      <c r="B60">
        <v>58</v>
      </c>
      <c r="C60">
        <v>254997.68</v>
      </c>
      <c r="D60">
        <v>253878.181988283</v>
      </c>
      <c r="E60" t="s">
        <v>2849</v>
      </c>
      <c r="F60" t="s">
        <v>594</v>
      </c>
    </row>
    <row r="61" spans="1:6" x14ac:dyDescent="0.45">
      <c r="A61" t="str">
        <f t="shared" si="0"/>
        <v>ET,59</v>
      </c>
      <c r="B61">
        <v>59</v>
      </c>
      <c r="C61">
        <v>246731.76</v>
      </c>
      <c r="D61">
        <v>245864.42494657999</v>
      </c>
      <c r="E61" t="s">
        <v>2849</v>
      </c>
      <c r="F61" t="s">
        <v>594</v>
      </c>
    </row>
    <row r="62" spans="1:6" x14ac:dyDescent="0.45">
      <c r="A62" t="str">
        <f t="shared" si="0"/>
        <v>ET,60</v>
      </c>
      <c r="B62">
        <v>60</v>
      </c>
      <c r="C62">
        <v>238465.84</v>
      </c>
      <c r="D62">
        <v>238410.41691073499</v>
      </c>
      <c r="E62" t="s">
        <v>2849</v>
      </c>
      <c r="F62" t="s">
        <v>594</v>
      </c>
    </row>
    <row r="63" spans="1:6" x14ac:dyDescent="0.45">
      <c r="A63" t="str">
        <f t="shared" si="0"/>
        <v>ET,61</v>
      </c>
      <c r="B63">
        <v>61</v>
      </c>
      <c r="C63">
        <v>230199.92</v>
      </c>
      <c r="D63">
        <v>230704.245916593</v>
      </c>
      <c r="E63" t="s">
        <v>2849</v>
      </c>
      <c r="F63" t="s">
        <v>594</v>
      </c>
    </row>
    <row r="64" spans="1:6" x14ac:dyDescent="0.45">
      <c r="A64" t="str">
        <f t="shared" si="0"/>
        <v>ET,62</v>
      </c>
      <c r="B64">
        <v>62</v>
      </c>
      <c r="C64">
        <v>221934</v>
      </c>
      <c r="D64">
        <v>221934</v>
      </c>
      <c r="E64" t="s">
        <v>2849</v>
      </c>
      <c r="F64" t="s">
        <v>594</v>
      </c>
    </row>
    <row r="65" spans="1:6" x14ac:dyDescent="0.45">
      <c r="A65" t="str">
        <f t="shared" si="0"/>
        <v>ET,63</v>
      </c>
      <c r="B65">
        <v>63</v>
      </c>
      <c r="C65">
        <v>210848.92</v>
      </c>
      <c r="D65">
        <v>211550.19817412199</v>
      </c>
      <c r="E65" t="s">
        <v>2849</v>
      </c>
      <c r="F65" t="s">
        <v>594</v>
      </c>
    </row>
    <row r="66" spans="1:6" x14ac:dyDescent="0.45">
      <c r="A66" t="str">
        <f t="shared" si="0"/>
        <v>ET,64</v>
      </c>
      <c r="B66">
        <v>64</v>
      </c>
      <c r="C66">
        <v>199763.84</v>
      </c>
      <c r="D66">
        <v>200053.083361411</v>
      </c>
      <c r="E66" t="s">
        <v>2849</v>
      </c>
      <c r="F66" t="s">
        <v>594</v>
      </c>
    </row>
    <row r="67" spans="1:6" x14ac:dyDescent="0.45">
      <c r="A67" t="str">
        <f t="shared" ref="A67:A130" si="1">_xlfn.CONCAT(E67,",",B67)</f>
        <v>ET,65</v>
      </c>
      <c r="B67">
        <v>65</v>
      </c>
      <c r="C67">
        <v>188678.76</v>
      </c>
      <c r="D67">
        <v>188205.329461638</v>
      </c>
      <c r="E67" t="s">
        <v>2849</v>
      </c>
      <c r="F67" t="s">
        <v>594</v>
      </c>
    </row>
    <row r="68" spans="1:6" x14ac:dyDescent="0.45">
      <c r="A68" t="str">
        <f t="shared" si="1"/>
        <v>ET,66</v>
      </c>
      <c r="B68">
        <v>66</v>
      </c>
      <c r="C68">
        <v>177593.68</v>
      </c>
      <c r="D68">
        <v>176769.61037457699</v>
      </c>
      <c r="E68" t="s">
        <v>2849</v>
      </c>
      <c r="F68" t="s">
        <v>594</v>
      </c>
    </row>
    <row r="69" spans="1:6" x14ac:dyDescent="0.45">
      <c r="A69" t="str">
        <f t="shared" si="1"/>
        <v>ET,67</v>
      </c>
      <c r="B69">
        <v>67</v>
      </c>
      <c r="C69">
        <v>166508.6</v>
      </c>
      <c r="D69">
        <v>166508.6</v>
      </c>
      <c r="E69" t="s">
        <v>2849</v>
      </c>
      <c r="F69" t="s">
        <v>594</v>
      </c>
    </row>
    <row r="70" spans="1:6" x14ac:dyDescent="0.45">
      <c r="A70" t="str">
        <f t="shared" si="1"/>
        <v>ET,68</v>
      </c>
      <c r="B70">
        <v>68</v>
      </c>
      <c r="C70">
        <v>159149.32</v>
      </c>
      <c r="D70">
        <v>157946.527715228</v>
      </c>
      <c r="E70" t="s">
        <v>2849</v>
      </c>
      <c r="F70" t="s">
        <v>594</v>
      </c>
    </row>
    <row r="71" spans="1:6" x14ac:dyDescent="0.45">
      <c r="A71" t="str">
        <f t="shared" si="1"/>
        <v>ET,69</v>
      </c>
      <c r="B71">
        <v>69</v>
      </c>
      <c r="C71">
        <v>151790.04</v>
      </c>
      <c r="D71">
        <v>150653.84480777799</v>
      </c>
      <c r="E71" t="s">
        <v>2849</v>
      </c>
      <c r="F71" t="s">
        <v>594</v>
      </c>
    </row>
    <row r="72" spans="1:6" x14ac:dyDescent="0.45">
      <c r="A72" t="str">
        <f t="shared" si="1"/>
        <v>ET,70</v>
      </c>
      <c r="B72">
        <v>70</v>
      </c>
      <c r="C72">
        <v>144430.76</v>
      </c>
      <c r="D72">
        <v>143962.558042713</v>
      </c>
      <c r="E72" t="s">
        <v>2849</v>
      </c>
      <c r="F72" t="s">
        <v>594</v>
      </c>
    </row>
    <row r="73" spans="1:6" x14ac:dyDescent="0.45">
      <c r="A73" t="str">
        <f t="shared" si="1"/>
        <v>ET,71</v>
      </c>
      <c r="B73">
        <v>71</v>
      </c>
      <c r="C73">
        <v>137071.48000000001</v>
      </c>
      <c r="D73">
        <v>137204.67418509899</v>
      </c>
      <c r="E73" t="s">
        <v>2849</v>
      </c>
      <c r="F73" t="s">
        <v>594</v>
      </c>
    </row>
    <row r="74" spans="1:6" x14ac:dyDescent="0.45">
      <c r="A74" t="str">
        <f t="shared" si="1"/>
        <v>ET,72</v>
      </c>
      <c r="B74">
        <v>72</v>
      </c>
      <c r="C74">
        <v>129712.2</v>
      </c>
      <c r="D74">
        <v>129712.2</v>
      </c>
      <c r="E74" t="s">
        <v>2849</v>
      </c>
      <c r="F74" t="s">
        <v>594</v>
      </c>
    </row>
    <row r="75" spans="1:6" x14ac:dyDescent="0.45">
      <c r="A75" t="str">
        <f t="shared" si="1"/>
        <v>ET,73</v>
      </c>
      <c r="B75">
        <v>73</v>
      </c>
      <c r="C75">
        <v>119798.8</v>
      </c>
      <c r="D75">
        <v>120995.494164965</v>
      </c>
      <c r="E75" t="s">
        <v>2849</v>
      </c>
      <c r="F75" t="s">
        <v>594</v>
      </c>
    </row>
    <row r="76" spans="1:6" x14ac:dyDescent="0.45">
      <c r="A76" t="str">
        <f t="shared" si="1"/>
        <v>ET,74</v>
      </c>
      <c r="B76">
        <v>74</v>
      </c>
      <c r="C76">
        <v>109885.4</v>
      </c>
      <c r="D76">
        <v>111278.323007479</v>
      </c>
      <c r="E76" t="s">
        <v>2849</v>
      </c>
      <c r="F76" t="s">
        <v>594</v>
      </c>
    </row>
    <row r="77" spans="1:6" x14ac:dyDescent="0.45">
      <c r="A77" t="str">
        <f t="shared" si="1"/>
        <v>ET,75</v>
      </c>
      <c r="B77">
        <v>75</v>
      </c>
      <c r="C77">
        <v>99972</v>
      </c>
      <c r="D77">
        <v>100962.80476751</v>
      </c>
      <c r="E77" t="s">
        <v>2849</v>
      </c>
      <c r="F77" t="s">
        <v>594</v>
      </c>
    </row>
    <row r="78" spans="1:6" x14ac:dyDescent="0.45">
      <c r="A78" t="str">
        <f t="shared" si="1"/>
        <v>ET,76</v>
      </c>
      <c r="B78">
        <v>76</v>
      </c>
      <c r="C78">
        <v>90058.6</v>
      </c>
      <c r="D78">
        <v>90451.057685027394</v>
      </c>
      <c r="E78" t="s">
        <v>2849</v>
      </c>
      <c r="F78" t="s">
        <v>594</v>
      </c>
    </row>
    <row r="79" spans="1:6" x14ac:dyDescent="0.45">
      <c r="A79" t="str">
        <f t="shared" si="1"/>
        <v>ET,77</v>
      </c>
      <c r="B79">
        <v>77</v>
      </c>
      <c r="C79">
        <v>80145.2</v>
      </c>
      <c r="D79">
        <v>80145.2</v>
      </c>
      <c r="E79" t="s">
        <v>2849</v>
      </c>
      <c r="F79" t="s">
        <v>594</v>
      </c>
    </row>
    <row r="80" spans="1:6" x14ac:dyDescent="0.45">
      <c r="A80" t="str">
        <f t="shared" si="1"/>
        <v>ET,78</v>
      </c>
      <c r="B80">
        <v>78</v>
      </c>
      <c r="C80">
        <v>71829.172000000006</v>
      </c>
      <c r="D80">
        <v>70389.643304911806</v>
      </c>
      <c r="E80" t="s">
        <v>2849</v>
      </c>
      <c r="F80" t="s">
        <v>594</v>
      </c>
    </row>
    <row r="81" spans="1:6" x14ac:dyDescent="0.45">
      <c r="A81" t="str">
        <f t="shared" si="1"/>
        <v>ET,79</v>
      </c>
      <c r="B81">
        <v>79</v>
      </c>
      <c r="C81">
        <v>63513.144</v>
      </c>
      <c r="D81">
        <v>61297.972602307498</v>
      </c>
      <c r="E81" t="s">
        <v>2849</v>
      </c>
      <c r="F81" t="s">
        <v>594</v>
      </c>
    </row>
    <row r="82" spans="1:6" x14ac:dyDescent="0.45">
      <c r="A82" t="str">
        <f t="shared" si="1"/>
        <v>ET,80</v>
      </c>
      <c r="B82">
        <v>80</v>
      </c>
      <c r="C82">
        <v>55197.116000000002</v>
      </c>
      <c r="D82">
        <v>52926.066247247501</v>
      </c>
      <c r="E82" t="s">
        <v>2849</v>
      </c>
      <c r="F82" t="s">
        <v>594</v>
      </c>
    </row>
    <row r="83" spans="1:6" x14ac:dyDescent="0.45">
      <c r="A83" t="str">
        <f t="shared" si="1"/>
        <v>ET,81</v>
      </c>
      <c r="B83">
        <v>81</v>
      </c>
      <c r="C83">
        <v>46881.088000000003</v>
      </c>
      <c r="D83">
        <v>45329.802594791603</v>
      </c>
      <c r="E83" t="s">
        <v>2849</v>
      </c>
      <c r="F83" t="s">
        <v>594</v>
      </c>
    </row>
    <row r="84" spans="1:6" x14ac:dyDescent="0.45">
      <c r="A84" t="str">
        <f t="shared" si="1"/>
        <v>ET,82</v>
      </c>
      <c r="B84">
        <v>82</v>
      </c>
      <c r="C84">
        <v>38565.06</v>
      </c>
      <c r="D84">
        <v>38565.06</v>
      </c>
      <c r="E84" t="s">
        <v>2849</v>
      </c>
      <c r="F84" t="s">
        <v>594</v>
      </c>
    </row>
    <row r="85" spans="1:6" x14ac:dyDescent="0.45">
      <c r="A85" t="str">
        <f t="shared" si="1"/>
        <v>ET,83</v>
      </c>
      <c r="B85">
        <v>83</v>
      </c>
      <c r="C85">
        <v>33970.112000000001</v>
      </c>
      <c r="D85">
        <v>32659.080135388002</v>
      </c>
      <c r="E85" t="s">
        <v>2849</v>
      </c>
      <c r="F85" t="s">
        <v>594</v>
      </c>
    </row>
    <row r="86" spans="1:6" x14ac:dyDescent="0.45">
      <c r="A86" t="str">
        <f t="shared" si="1"/>
        <v>ET,84</v>
      </c>
      <c r="B86">
        <v>84</v>
      </c>
      <c r="C86">
        <v>29375.164000000001</v>
      </c>
      <c r="D86">
        <v>27524.5579432911</v>
      </c>
      <c r="E86" t="s">
        <v>2849</v>
      </c>
      <c r="F86" t="s">
        <v>594</v>
      </c>
    </row>
    <row r="87" spans="1:6" x14ac:dyDescent="0.45">
      <c r="A87" t="str">
        <f t="shared" si="1"/>
        <v>ET,85</v>
      </c>
      <c r="B87">
        <v>85</v>
      </c>
      <c r="C87">
        <v>24780.216</v>
      </c>
      <c r="D87">
        <v>23045.5516835003</v>
      </c>
      <c r="E87" t="s">
        <v>2849</v>
      </c>
      <c r="F87" t="s">
        <v>594</v>
      </c>
    </row>
    <row r="88" spans="1:6" x14ac:dyDescent="0.45">
      <c r="A88" t="str">
        <f t="shared" si="1"/>
        <v>ET,86</v>
      </c>
      <c r="B88">
        <v>86</v>
      </c>
      <c r="C88">
        <v>20185.268</v>
      </c>
      <c r="D88">
        <v>19106.119615806299</v>
      </c>
      <c r="E88" t="s">
        <v>2849</v>
      </c>
      <c r="F88" t="s">
        <v>594</v>
      </c>
    </row>
    <row r="89" spans="1:6" x14ac:dyDescent="0.45">
      <c r="A89" t="str">
        <f t="shared" si="1"/>
        <v>ET,87</v>
      </c>
      <c r="B89">
        <v>87</v>
      </c>
      <c r="C89">
        <v>15590.32</v>
      </c>
      <c r="D89">
        <v>15590.32</v>
      </c>
      <c r="E89" t="s">
        <v>2849</v>
      </c>
      <c r="F89" t="s">
        <v>594</v>
      </c>
    </row>
    <row r="90" spans="1:6" x14ac:dyDescent="0.45">
      <c r="A90" t="str">
        <f t="shared" si="1"/>
        <v>ET,88</v>
      </c>
      <c r="B90">
        <v>88</v>
      </c>
      <c r="C90">
        <v>13146.116</v>
      </c>
      <c r="D90">
        <v>12406.702713536401</v>
      </c>
      <c r="E90" t="s">
        <v>2849</v>
      </c>
      <c r="F90" t="s">
        <v>594</v>
      </c>
    </row>
    <row r="91" spans="1:6" x14ac:dyDescent="0.45">
      <c r="A91" t="str">
        <f t="shared" si="1"/>
        <v>ET,89</v>
      </c>
      <c r="B91">
        <v>89</v>
      </c>
      <c r="C91">
        <v>10701.912</v>
      </c>
      <c r="D91">
        <v>9561.7841045279893</v>
      </c>
      <c r="E91" t="s">
        <v>2849</v>
      </c>
      <c r="F91" t="s">
        <v>594</v>
      </c>
    </row>
    <row r="92" spans="1:6" x14ac:dyDescent="0.45">
      <c r="A92" t="str">
        <f t="shared" si="1"/>
        <v>ET,90</v>
      </c>
      <c r="B92">
        <v>90</v>
      </c>
      <c r="C92">
        <v>8257.7080000000005</v>
      </c>
      <c r="D92">
        <v>7086.5721387513204</v>
      </c>
      <c r="E92" t="s">
        <v>2849</v>
      </c>
      <c r="F92" t="s">
        <v>594</v>
      </c>
    </row>
    <row r="93" spans="1:6" x14ac:dyDescent="0.45">
      <c r="A93" t="str">
        <f t="shared" si="1"/>
        <v>ET,91</v>
      </c>
      <c r="B93">
        <v>91</v>
      </c>
      <c r="C93">
        <v>5813.5039999999999</v>
      </c>
      <c r="D93">
        <v>5012.0747819831004</v>
      </c>
      <c r="E93" t="s">
        <v>2849</v>
      </c>
      <c r="F93" t="s">
        <v>594</v>
      </c>
    </row>
    <row r="94" spans="1:6" x14ac:dyDescent="0.45">
      <c r="A94" t="str">
        <f t="shared" si="1"/>
        <v>ET,92</v>
      </c>
      <c r="B94">
        <v>92</v>
      </c>
      <c r="C94">
        <v>3369.3</v>
      </c>
      <c r="D94">
        <v>3369.3</v>
      </c>
      <c r="E94" t="s">
        <v>2849</v>
      </c>
      <c r="F94" t="s">
        <v>594</v>
      </c>
    </row>
    <row r="95" spans="1:6" x14ac:dyDescent="0.45">
      <c r="A95" t="str">
        <f t="shared" si="1"/>
        <v>ET,93</v>
      </c>
      <c r="B95">
        <v>93</v>
      </c>
      <c r="C95">
        <v>2775.0623999999998</v>
      </c>
      <c r="D95">
        <v>2170.7083064663102</v>
      </c>
      <c r="E95" t="s">
        <v>2849</v>
      </c>
      <c r="F95" t="s">
        <v>594</v>
      </c>
    </row>
    <row r="96" spans="1:6" x14ac:dyDescent="0.45">
      <c r="A96" t="str">
        <f t="shared" si="1"/>
        <v>ET,94</v>
      </c>
      <c r="B96">
        <v>94</v>
      </c>
      <c r="C96">
        <v>2180.8247999999999</v>
      </c>
      <c r="D96">
        <v>1354.5704065969401</v>
      </c>
      <c r="E96" t="s">
        <v>2849</v>
      </c>
      <c r="F96" t="s">
        <v>594</v>
      </c>
    </row>
    <row r="97" spans="1:6" x14ac:dyDescent="0.45">
      <c r="A97" t="str">
        <f t="shared" si="1"/>
        <v>ET,95</v>
      </c>
      <c r="B97">
        <v>95</v>
      </c>
      <c r="C97">
        <v>1586.5871999999999</v>
      </c>
      <c r="D97">
        <v>840.60955349440201</v>
      </c>
      <c r="E97" t="s">
        <v>2849</v>
      </c>
      <c r="F97" t="s">
        <v>594</v>
      </c>
    </row>
    <row r="98" spans="1:6" x14ac:dyDescent="0.45">
      <c r="A98" t="str">
        <f t="shared" si="1"/>
        <v>ET,96</v>
      </c>
      <c r="B98">
        <v>96</v>
      </c>
      <c r="C98">
        <v>992.34960000000001</v>
      </c>
      <c r="D98">
        <v>548.54900026124506</v>
      </c>
      <c r="E98" t="s">
        <v>2849</v>
      </c>
      <c r="F98" t="s">
        <v>594</v>
      </c>
    </row>
    <row r="99" spans="1:6" x14ac:dyDescent="0.45">
      <c r="A99" t="str">
        <f t="shared" si="1"/>
        <v>ET,97</v>
      </c>
      <c r="B99">
        <v>97</v>
      </c>
      <c r="C99">
        <v>398.11200000000002</v>
      </c>
      <c r="D99">
        <v>398.111999999999</v>
      </c>
      <c r="E99" t="s">
        <v>2849</v>
      </c>
      <c r="F99" t="s">
        <v>594</v>
      </c>
    </row>
    <row r="100" spans="1:6" x14ac:dyDescent="0.45">
      <c r="A100" t="str">
        <f t="shared" si="1"/>
        <v>ET,98</v>
      </c>
      <c r="B100">
        <v>98</v>
      </c>
      <c r="C100">
        <v>353.07466666666699</v>
      </c>
      <c r="D100">
        <v>318.99310773641901</v>
      </c>
      <c r="E100" t="s">
        <v>2849</v>
      </c>
      <c r="F100" t="s">
        <v>594</v>
      </c>
    </row>
    <row r="101" spans="1:6" x14ac:dyDescent="0.45">
      <c r="A101" t="str">
        <f t="shared" si="1"/>
        <v>ET,99</v>
      </c>
      <c r="B101">
        <v>99</v>
      </c>
      <c r="C101">
        <v>308.03733333333298</v>
      </c>
      <c r="D101">
        <v>280.772086189135</v>
      </c>
      <c r="E101" t="s">
        <v>2849</v>
      </c>
      <c r="F101" t="s">
        <v>594</v>
      </c>
    </row>
    <row r="102" spans="1:6" x14ac:dyDescent="0.45">
      <c r="A102" t="str">
        <f t="shared" si="1"/>
        <v>ET,100</v>
      </c>
      <c r="B102">
        <v>100</v>
      </c>
      <c r="C102">
        <v>263</v>
      </c>
      <c r="D102">
        <v>263</v>
      </c>
      <c r="E102" t="s">
        <v>2849</v>
      </c>
      <c r="F102" t="s">
        <v>594</v>
      </c>
    </row>
    <row r="103" spans="1:6" x14ac:dyDescent="0.45">
      <c r="A103" t="str">
        <f t="shared" si="1"/>
        <v>ET01,&lt;1</v>
      </c>
      <c r="B103" t="s">
        <v>119</v>
      </c>
      <c r="C103">
        <v>110200.868684254</v>
      </c>
      <c r="D103">
        <v>110200.868684254</v>
      </c>
      <c r="E103" t="s">
        <v>2868</v>
      </c>
      <c r="F103" t="s">
        <v>806</v>
      </c>
    </row>
    <row r="104" spans="1:6" x14ac:dyDescent="0.45">
      <c r="A104" t="str">
        <f t="shared" si="1"/>
        <v>ET01,1</v>
      </c>
      <c r="B104">
        <v>1</v>
      </c>
      <c r="C104">
        <v>106015.20225953701</v>
      </c>
      <c r="D104">
        <v>106022.09097591101</v>
      </c>
      <c r="E104" t="s">
        <v>2868</v>
      </c>
      <c r="F104" t="s">
        <v>806</v>
      </c>
    </row>
    <row r="105" spans="1:6" x14ac:dyDescent="0.45">
      <c r="A105" t="str">
        <f t="shared" si="1"/>
        <v>ET01,2</v>
      </c>
      <c r="B105">
        <v>2</v>
      </c>
      <c r="C105">
        <v>101829.53583481901</v>
      </c>
      <c r="D105">
        <v>101829.53583481901</v>
      </c>
      <c r="E105" t="s">
        <v>2868</v>
      </c>
      <c r="F105" t="s">
        <v>806</v>
      </c>
    </row>
    <row r="106" spans="1:6" x14ac:dyDescent="0.45">
      <c r="A106" t="str">
        <f t="shared" si="1"/>
        <v>ET01,3</v>
      </c>
      <c r="B106">
        <v>3</v>
      </c>
      <c r="C106">
        <v>98569.424730741899</v>
      </c>
      <c r="D106">
        <v>97652.234562811107</v>
      </c>
      <c r="E106" t="s">
        <v>2868</v>
      </c>
      <c r="F106" t="s">
        <v>806</v>
      </c>
    </row>
    <row r="107" spans="1:6" x14ac:dyDescent="0.45">
      <c r="A107" t="str">
        <f t="shared" si="1"/>
        <v>ET01,4</v>
      </c>
      <c r="B107">
        <v>4</v>
      </c>
      <c r="C107">
        <v>95309.313626664807</v>
      </c>
      <c r="D107">
        <v>93690.453400037906</v>
      </c>
      <c r="E107" t="s">
        <v>2868</v>
      </c>
      <c r="F107" t="s">
        <v>806</v>
      </c>
    </row>
    <row r="108" spans="1:6" x14ac:dyDescent="0.45">
      <c r="A108" t="str">
        <f t="shared" si="1"/>
        <v>ET01,5</v>
      </c>
      <c r="B108">
        <v>5</v>
      </c>
      <c r="C108">
        <v>92049.202522587599</v>
      </c>
      <c r="D108">
        <v>90187.26732123</v>
      </c>
      <c r="E108" t="s">
        <v>2868</v>
      </c>
      <c r="F108" t="s">
        <v>806</v>
      </c>
    </row>
    <row r="109" spans="1:6" x14ac:dyDescent="0.45">
      <c r="A109" t="str">
        <f t="shared" si="1"/>
        <v>ET01,6</v>
      </c>
      <c r="B109">
        <v>6</v>
      </c>
      <c r="C109">
        <v>88789.091418510507</v>
      </c>
      <c r="D109">
        <v>87385.751301118202</v>
      </c>
      <c r="E109" t="s">
        <v>2868</v>
      </c>
      <c r="F109" t="s">
        <v>806</v>
      </c>
    </row>
    <row r="110" spans="1:6" x14ac:dyDescent="0.45">
      <c r="A110" t="str">
        <f t="shared" si="1"/>
        <v>ET01,7</v>
      </c>
      <c r="B110">
        <v>7</v>
      </c>
      <c r="C110">
        <v>85528.9803144334</v>
      </c>
      <c r="D110">
        <v>85528.9803144334</v>
      </c>
      <c r="E110" t="s">
        <v>2868</v>
      </c>
      <c r="F110" t="s">
        <v>806</v>
      </c>
    </row>
    <row r="111" spans="1:6" x14ac:dyDescent="0.45">
      <c r="A111" t="str">
        <f t="shared" si="1"/>
        <v>ET01,8</v>
      </c>
      <c r="B111">
        <v>8</v>
      </c>
      <c r="C111">
        <v>85386.497990796095</v>
      </c>
      <c r="D111">
        <v>84747.170485492301</v>
      </c>
      <c r="E111" t="s">
        <v>2868</v>
      </c>
      <c r="F111" t="s">
        <v>806</v>
      </c>
    </row>
    <row r="112" spans="1:6" x14ac:dyDescent="0.45">
      <c r="A112" t="str">
        <f t="shared" si="1"/>
        <v>ET01,9</v>
      </c>
      <c r="B112">
        <v>9</v>
      </c>
      <c r="C112">
        <v>85244.015667158805</v>
      </c>
      <c r="D112">
        <v>84719.102536955907</v>
      </c>
      <c r="E112" t="s">
        <v>2868</v>
      </c>
      <c r="F112" t="s">
        <v>806</v>
      </c>
    </row>
    <row r="113" spans="1:6" x14ac:dyDescent="0.45">
      <c r="A113" t="str">
        <f t="shared" si="1"/>
        <v>ET01,10</v>
      </c>
      <c r="B113">
        <v>10</v>
      </c>
      <c r="C113">
        <v>85101.533343521602</v>
      </c>
      <c r="D113">
        <v>85010.698341071504</v>
      </c>
      <c r="E113" t="s">
        <v>2868</v>
      </c>
      <c r="F113" t="s">
        <v>806</v>
      </c>
    </row>
    <row r="114" spans="1:6" x14ac:dyDescent="0.45">
      <c r="A114" t="str">
        <f t="shared" si="1"/>
        <v>ET01,11</v>
      </c>
      <c r="B114">
        <v>11</v>
      </c>
      <c r="C114">
        <v>84959.051019884297</v>
      </c>
      <c r="D114">
        <v>85187.879770086103</v>
      </c>
      <c r="E114" t="s">
        <v>2868</v>
      </c>
      <c r="F114" t="s">
        <v>806</v>
      </c>
    </row>
    <row r="115" spans="1:6" x14ac:dyDescent="0.45">
      <c r="A115" t="str">
        <f t="shared" si="1"/>
        <v>ET01,12</v>
      </c>
      <c r="B115">
        <v>12</v>
      </c>
      <c r="C115">
        <v>84816.568696247006</v>
      </c>
      <c r="D115">
        <v>84816.568696247006</v>
      </c>
      <c r="E115" t="s">
        <v>2868</v>
      </c>
      <c r="F115" t="s">
        <v>806</v>
      </c>
    </row>
    <row r="116" spans="1:6" x14ac:dyDescent="0.45">
      <c r="A116" t="str">
        <f t="shared" si="1"/>
        <v>ET01,13</v>
      </c>
      <c r="B116">
        <v>13</v>
      </c>
      <c r="C116">
        <v>82310.393651066101</v>
      </c>
      <c r="D116">
        <v>83564.653409060804</v>
      </c>
      <c r="E116" t="s">
        <v>2868</v>
      </c>
      <c r="F116" t="s">
        <v>806</v>
      </c>
    </row>
    <row r="117" spans="1:6" x14ac:dyDescent="0.45">
      <c r="A117" t="str">
        <f t="shared" si="1"/>
        <v>ET01,14</v>
      </c>
      <c r="B117">
        <v>14</v>
      </c>
      <c r="C117">
        <v>79804.218605885195</v>
      </c>
      <c r="D117">
        <v>81507.887867072597</v>
      </c>
      <c r="E117" t="s">
        <v>2868</v>
      </c>
      <c r="F117" t="s">
        <v>806</v>
      </c>
    </row>
    <row r="118" spans="1:6" x14ac:dyDescent="0.45">
      <c r="A118" t="str">
        <f t="shared" si="1"/>
        <v>ET01,15</v>
      </c>
      <c r="B118">
        <v>15</v>
      </c>
      <c r="C118">
        <v>77298.043560704202</v>
      </c>
      <c r="D118">
        <v>78823.992446086995</v>
      </c>
      <c r="E118" t="s">
        <v>2868</v>
      </c>
      <c r="F118" t="s">
        <v>806</v>
      </c>
    </row>
    <row r="119" spans="1:6" x14ac:dyDescent="0.45">
      <c r="A119" t="str">
        <f t="shared" si="1"/>
        <v>ET01,16</v>
      </c>
      <c r="B119">
        <v>16</v>
      </c>
      <c r="C119">
        <v>74791.868515523296</v>
      </c>
      <c r="D119">
        <v>75690.687521908796</v>
      </c>
      <c r="E119" t="s">
        <v>2868</v>
      </c>
      <c r="F119" t="s">
        <v>806</v>
      </c>
    </row>
    <row r="120" spans="1:6" x14ac:dyDescent="0.45">
      <c r="A120" t="str">
        <f t="shared" si="1"/>
        <v>ET01,17</v>
      </c>
      <c r="B120">
        <v>17</v>
      </c>
      <c r="C120">
        <v>72285.693470342405</v>
      </c>
      <c r="D120">
        <v>72285.693470342405</v>
      </c>
      <c r="E120" t="s">
        <v>2868</v>
      </c>
      <c r="F120" t="s">
        <v>806</v>
      </c>
    </row>
    <row r="121" spans="1:6" x14ac:dyDescent="0.45">
      <c r="A121" t="str">
        <f t="shared" si="1"/>
        <v>ET01,18</v>
      </c>
      <c r="B121">
        <v>18</v>
      </c>
      <c r="C121">
        <v>68984.202141865098</v>
      </c>
      <c r="D121">
        <v>68773.711766177497</v>
      </c>
      <c r="E121" t="s">
        <v>2868</v>
      </c>
      <c r="F121" t="s">
        <v>806</v>
      </c>
    </row>
    <row r="122" spans="1:6" x14ac:dyDescent="0.45">
      <c r="A122" t="str">
        <f t="shared" si="1"/>
        <v>ET01,19</v>
      </c>
      <c r="B122">
        <v>19</v>
      </c>
      <c r="C122">
        <v>65682.710813387894</v>
      </c>
      <c r="D122">
        <v>65267.368280142698</v>
      </c>
      <c r="E122" t="s">
        <v>2868</v>
      </c>
      <c r="F122" t="s">
        <v>806</v>
      </c>
    </row>
    <row r="123" spans="1:6" x14ac:dyDescent="0.45">
      <c r="A123" t="str">
        <f t="shared" si="1"/>
        <v>ET01,20</v>
      </c>
      <c r="B123">
        <v>20</v>
      </c>
      <c r="C123">
        <v>62381.219484910602</v>
      </c>
      <c r="D123">
        <v>61866.269981951802</v>
      </c>
      <c r="E123" t="s">
        <v>2868</v>
      </c>
      <c r="F123" t="s">
        <v>806</v>
      </c>
    </row>
    <row r="124" spans="1:6" x14ac:dyDescent="0.45">
      <c r="A124" t="str">
        <f t="shared" si="1"/>
        <v>ET01,21</v>
      </c>
      <c r="B124">
        <v>21</v>
      </c>
      <c r="C124">
        <v>59079.728156433303</v>
      </c>
      <c r="D124">
        <v>58670.023841318303</v>
      </c>
      <c r="E124" t="s">
        <v>2868</v>
      </c>
      <c r="F124" t="s">
        <v>806</v>
      </c>
    </row>
    <row r="125" spans="1:6" x14ac:dyDescent="0.45">
      <c r="A125" t="str">
        <f t="shared" si="1"/>
        <v>ET01,22</v>
      </c>
      <c r="B125">
        <v>22</v>
      </c>
      <c r="C125">
        <v>55778.236827956003</v>
      </c>
      <c r="D125">
        <v>55778.236827956003</v>
      </c>
      <c r="E125" t="s">
        <v>2868</v>
      </c>
      <c r="F125" t="s">
        <v>806</v>
      </c>
    </row>
    <row r="126" spans="1:6" x14ac:dyDescent="0.45">
      <c r="A126" t="str">
        <f t="shared" si="1"/>
        <v>ET01,23</v>
      </c>
      <c r="B126">
        <v>23</v>
      </c>
      <c r="C126">
        <v>54020.889840055301</v>
      </c>
      <c r="D126">
        <v>53271.468465804501</v>
      </c>
      <c r="E126" t="s">
        <v>2868</v>
      </c>
      <c r="F126" t="s">
        <v>806</v>
      </c>
    </row>
    <row r="127" spans="1:6" x14ac:dyDescent="0.45">
      <c r="A127" t="str">
        <f t="shared" si="1"/>
        <v>ET01,24</v>
      </c>
      <c r="B127">
        <v>24</v>
      </c>
      <c r="C127">
        <v>52263.542852154598</v>
      </c>
      <c r="D127">
        <v>51154.0884957081</v>
      </c>
      <c r="E127" t="s">
        <v>2868</v>
      </c>
      <c r="F127" t="s">
        <v>806</v>
      </c>
    </row>
    <row r="128" spans="1:6" x14ac:dyDescent="0.45">
      <c r="A128" t="str">
        <f t="shared" si="1"/>
        <v>ET01,25</v>
      </c>
      <c r="B128">
        <v>25</v>
      </c>
      <c r="C128">
        <v>50506.195864253801</v>
      </c>
      <c r="D128">
        <v>49411.419212736997</v>
      </c>
      <c r="E128" t="s">
        <v>2868</v>
      </c>
      <c r="F128" t="s">
        <v>806</v>
      </c>
    </row>
    <row r="129" spans="1:6" x14ac:dyDescent="0.45">
      <c r="A129" t="str">
        <f t="shared" si="1"/>
        <v>ET01,26</v>
      </c>
      <c r="B129">
        <v>26</v>
      </c>
      <c r="C129">
        <v>48748.848876353099</v>
      </c>
      <c r="D129">
        <v>48028.782911961702</v>
      </c>
      <c r="E129" t="s">
        <v>2868</v>
      </c>
      <c r="F129" t="s">
        <v>806</v>
      </c>
    </row>
    <row r="130" spans="1:6" x14ac:dyDescent="0.45">
      <c r="A130" t="str">
        <f t="shared" si="1"/>
        <v>ET01,27</v>
      </c>
      <c r="B130">
        <v>27</v>
      </c>
      <c r="C130">
        <v>46991.501888452403</v>
      </c>
      <c r="D130">
        <v>46991.501888452403</v>
      </c>
      <c r="E130" t="s">
        <v>2868</v>
      </c>
      <c r="F130" t="s">
        <v>806</v>
      </c>
    </row>
    <row r="131" spans="1:6" x14ac:dyDescent="0.45">
      <c r="A131" t="str">
        <f t="shared" ref="A131:A194" si="2">_xlfn.CONCAT(E131,",",B131)</f>
        <v>ET01,28</v>
      </c>
      <c r="B131">
        <v>28</v>
      </c>
      <c r="C131">
        <v>46456.549707340702</v>
      </c>
      <c r="D131">
        <v>46267.658715083802</v>
      </c>
      <c r="E131" t="s">
        <v>2868</v>
      </c>
      <c r="F131" t="s">
        <v>806</v>
      </c>
    </row>
    <row r="132" spans="1:6" x14ac:dyDescent="0.45">
      <c r="A132" t="str">
        <f t="shared" si="2"/>
        <v>ET01,29</v>
      </c>
      <c r="B132">
        <v>29</v>
      </c>
      <c r="C132">
        <v>45921.597526229001</v>
      </c>
      <c r="D132">
        <v>45756.377075947603</v>
      </c>
      <c r="E132" t="s">
        <v>2868</v>
      </c>
      <c r="F132" t="s">
        <v>806</v>
      </c>
    </row>
    <row r="133" spans="1:6" x14ac:dyDescent="0.45">
      <c r="A133" t="str">
        <f t="shared" si="2"/>
        <v>ET01,30</v>
      </c>
      <c r="B133">
        <v>30</v>
      </c>
      <c r="C133">
        <v>45386.645345117198</v>
      </c>
      <c r="D133">
        <v>45339.540932939803</v>
      </c>
      <c r="E133" t="s">
        <v>2868</v>
      </c>
      <c r="F133" t="s">
        <v>806</v>
      </c>
    </row>
    <row r="134" spans="1:6" x14ac:dyDescent="0.45">
      <c r="A134" t="str">
        <f t="shared" si="2"/>
        <v>ET01,31</v>
      </c>
      <c r="B134">
        <v>31</v>
      </c>
      <c r="C134">
        <v>44851.693164005497</v>
      </c>
      <c r="D134">
        <v>44899.034247956501</v>
      </c>
      <c r="E134" t="s">
        <v>2868</v>
      </c>
      <c r="F134" t="s">
        <v>806</v>
      </c>
    </row>
    <row r="135" spans="1:6" x14ac:dyDescent="0.45">
      <c r="A135" t="str">
        <f t="shared" si="2"/>
        <v>ET01,32</v>
      </c>
      <c r="B135">
        <v>32</v>
      </c>
      <c r="C135">
        <v>44316.740982893803</v>
      </c>
      <c r="D135">
        <v>44316.740982893803</v>
      </c>
      <c r="E135" t="s">
        <v>2868</v>
      </c>
      <c r="F135" t="s">
        <v>806</v>
      </c>
    </row>
    <row r="136" spans="1:6" x14ac:dyDescent="0.45">
      <c r="A136" t="str">
        <f t="shared" si="2"/>
        <v>ET01,33</v>
      </c>
      <c r="B136">
        <v>33</v>
      </c>
      <c r="C136">
        <v>43055.5719641424</v>
      </c>
      <c r="D136">
        <v>43497.4769497788</v>
      </c>
      <c r="E136" t="s">
        <v>2868</v>
      </c>
      <c r="F136" t="s">
        <v>806</v>
      </c>
    </row>
    <row r="137" spans="1:6" x14ac:dyDescent="0.45">
      <c r="A137" t="str">
        <f t="shared" si="2"/>
        <v>ET01,34</v>
      </c>
      <c r="B137">
        <v>34</v>
      </c>
      <c r="C137">
        <v>41794.402945390997</v>
      </c>
      <c r="D137">
        <v>42437.785361162903</v>
      </c>
      <c r="E137" t="s">
        <v>2868</v>
      </c>
      <c r="F137" t="s">
        <v>806</v>
      </c>
    </row>
    <row r="138" spans="1:6" x14ac:dyDescent="0.45">
      <c r="A138" t="str">
        <f t="shared" si="2"/>
        <v>ET01,35</v>
      </c>
      <c r="B138">
        <v>35</v>
      </c>
      <c r="C138">
        <v>40533.233926639601</v>
      </c>
      <c r="D138">
        <v>41157.141279728901</v>
      </c>
      <c r="E138" t="s">
        <v>2868</v>
      </c>
      <c r="F138" t="s">
        <v>806</v>
      </c>
    </row>
    <row r="139" spans="1:6" x14ac:dyDescent="0.45">
      <c r="A139" t="str">
        <f t="shared" si="2"/>
        <v>ET01,36</v>
      </c>
      <c r="B139">
        <v>36</v>
      </c>
      <c r="C139">
        <v>39272.064907888198</v>
      </c>
      <c r="D139">
        <v>39675.019768159298</v>
      </c>
      <c r="E139" t="s">
        <v>2868</v>
      </c>
      <c r="F139" t="s">
        <v>806</v>
      </c>
    </row>
    <row r="140" spans="1:6" x14ac:dyDescent="0.45">
      <c r="A140" t="str">
        <f t="shared" si="2"/>
        <v>ET01,37</v>
      </c>
      <c r="B140">
        <v>37</v>
      </c>
      <c r="C140">
        <v>38010.895889136802</v>
      </c>
      <c r="D140">
        <v>38010.895889136802</v>
      </c>
      <c r="E140" t="s">
        <v>2868</v>
      </c>
      <c r="F140" t="s">
        <v>806</v>
      </c>
    </row>
    <row r="141" spans="1:6" x14ac:dyDescent="0.45">
      <c r="A141" t="str">
        <f t="shared" si="2"/>
        <v>ET01,38</v>
      </c>
      <c r="B141">
        <v>38</v>
      </c>
      <c r="C141">
        <v>36253.7224366874</v>
      </c>
      <c r="D141">
        <v>36196.909988950101</v>
      </c>
      <c r="E141" t="s">
        <v>2868</v>
      </c>
      <c r="F141" t="s">
        <v>806</v>
      </c>
    </row>
    <row r="142" spans="1:6" x14ac:dyDescent="0.45">
      <c r="A142" t="str">
        <f t="shared" si="2"/>
        <v>ET01,39</v>
      </c>
      <c r="B142">
        <v>39</v>
      </c>
      <c r="C142">
        <v>34496.548984237903</v>
      </c>
      <c r="D142">
        <v>34315.863548312598</v>
      </c>
      <c r="E142" t="s">
        <v>2868</v>
      </c>
      <c r="F142" t="s">
        <v>806</v>
      </c>
    </row>
    <row r="143" spans="1:6" x14ac:dyDescent="0.45">
      <c r="A143" t="str">
        <f t="shared" si="2"/>
        <v>ET01,40</v>
      </c>
      <c r="B143">
        <v>40</v>
      </c>
      <c r="C143">
        <v>32739.375531788501</v>
      </c>
      <c r="D143">
        <v>32463.223331543599</v>
      </c>
      <c r="E143" t="s">
        <v>2868</v>
      </c>
      <c r="F143" t="s">
        <v>806</v>
      </c>
    </row>
    <row r="144" spans="1:6" x14ac:dyDescent="0.45">
      <c r="A144" t="str">
        <f t="shared" si="2"/>
        <v>ET01,41</v>
      </c>
      <c r="B144">
        <v>41</v>
      </c>
      <c r="C144">
        <v>30982.202079339</v>
      </c>
      <c r="D144">
        <v>30734.456102962798</v>
      </c>
      <c r="E144" t="s">
        <v>2868</v>
      </c>
      <c r="F144" t="s">
        <v>806</v>
      </c>
    </row>
    <row r="145" spans="1:6" x14ac:dyDescent="0.45">
      <c r="A145" t="str">
        <f t="shared" si="2"/>
        <v>ET01,42</v>
      </c>
      <c r="B145">
        <v>42</v>
      </c>
      <c r="C145">
        <v>29225.028626889602</v>
      </c>
      <c r="D145">
        <v>29225.028626889602</v>
      </c>
      <c r="E145" t="s">
        <v>2868</v>
      </c>
      <c r="F145" t="s">
        <v>806</v>
      </c>
    </row>
    <row r="146" spans="1:6" x14ac:dyDescent="0.45">
      <c r="A146" t="str">
        <f t="shared" si="2"/>
        <v>ET01,43</v>
      </c>
      <c r="B146">
        <v>43</v>
      </c>
      <c r="C146">
        <v>28375.218801505998</v>
      </c>
      <c r="D146">
        <v>28003.740909360698</v>
      </c>
      <c r="E146" t="s">
        <v>2868</v>
      </c>
      <c r="F146" t="s">
        <v>806</v>
      </c>
    </row>
    <row r="147" spans="1:6" x14ac:dyDescent="0.45">
      <c r="A147" t="str">
        <f t="shared" si="2"/>
        <v>ET01,44</v>
      </c>
      <c r="B147">
        <v>44</v>
      </c>
      <c r="C147">
        <v>27525.4089761225</v>
      </c>
      <c r="D147">
        <v>27032.7259232816</v>
      </c>
      <c r="E147" t="s">
        <v>2868</v>
      </c>
      <c r="F147" t="s">
        <v>806</v>
      </c>
    </row>
    <row r="148" spans="1:6" x14ac:dyDescent="0.45">
      <c r="A148" t="str">
        <f t="shared" si="2"/>
        <v>ET01,45</v>
      </c>
      <c r="B148">
        <v>45</v>
      </c>
      <c r="C148">
        <v>26675.599150738901</v>
      </c>
      <c r="D148">
        <v>26247.4498832752</v>
      </c>
      <c r="E148" t="s">
        <v>2868</v>
      </c>
      <c r="F148" t="s">
        <v>806</v>
      </c>
    </row>
    <row r="149" spans="1:6" x14ac:dyDescent="0.45">
      <c r="A149" t="str">
        <f t="shared" si="2"/>
        <v>ET01,46</v>
      </c>
      <c r="B149">
        <v>46</v>
      </c>
      <c r="C149">
        <v>25825.789325355399</v>
      </c>
      <c r="D149">
        <v>25583.379003964299</v>
      </c>
      <c r="E149" t="s">
        <v>2868</v>
      </c>
      <c r="F149" t="s">
        <v>806</v>
      </c>
    </row>
    <row r="150" spans="1:6" x14ac:dyDescent="0.45">
      <c r="A150" t="str">
        <f t="shared" si="2"/>
        <v>ET01,47</v>
      </c>
      <c r="B150">
        <v>47</v>
      </c>
      <c r="C150">
        <v>24975.9794999718</v>
      </c>
      <c r="D150">
        <v>24975.9794999718</v>
      </c>
      <c r="E150" t="s">
        <v>2868</v>
      </c>
      <c r="F150" t="s">
        <v>806</v>
      </c>
    </row>
    <row r="151" spans="1:6" x14ac:dyDescent="0.45">
      <c r="A151" t="str">
        <f t="shared" si="2"/>
        <v>ET01,48</v>
      </c>
      <c r="B151">
        <v>48</v>
      </c>
      <c r="C151">
        <v>24546.395399450001</v>
      </c>
      <c r="D151">
        <v>24379.0990969267</v>
      </c>
      <c r="E151" t="s">
        <v>2868</v>
      </c>
      <c r="F151" t="s">
        <v>806</v>
      </c>
    </row>
    <row r="152" spans="1:6" x14ac:dyDescent="0.45">
      <c r="A152" t="str">
        <f t="shared" si="2"/>
        <v>ET01,49</v>
      </c>
      <c r="B152">
        <v>49</v>
      </c>
      <c r="C152">
        <v>24116.811298928202</v>
      </c>
      <c r="D152">
        <v>23820.111564482901</v>
      </c>
      <c r="E152" t="s">
        <v>2868</v>
      </c>
      <c r="F152" t="s">
        <v>806</v>
      </c>
    </row>
    <row r="153" spans="1:6" x14ac:dyDescent="0.45">
      <c r="A153" t="str">
        <f t="shared" si="2"/>
        <v>ET01,50</v>
      </c>
      <c r="B153">
        <v>50</v>
      </c>
      <c r="C153">
        <v>23687.227198406399</v>
      </c>
      <c r="D153">
        <v>23344.772183300902</v>
      </c>
      <c r="E153" t="s">
        <v>2868</v>
      </c>
      <c r="F153" t="s">
        <v>806</v>
      </c>
    </row>
    <row r="154" spans="1:6" x14ac:dyDescent="0.45">
      <c r="A154" t="str">
        <f t="shared" si="2"/>
        <v>ET01,51</v>
      </c>
      <c r="B154">
        <v>51</v>
      </c>
      <c r="C154">
        <v>23257.6430978846</v>
      </c>
      <c r="D154">
        <v>22998.8362340407</v>
      </c>
      <c r="E154" t="s">
        <v>2868</v>
      </c>
      <c r="F154" t="s">
        <v>806</v>
      </c>
    </row>
    <row r="155" spans="1:6" x14ac:dyDescent="0.45">
      <c r="A155" t="str">
        <f t="shared" si="2"/>
        <v>ET01,52</v>
      </c>
      <c r="B155">
        <v>52</v>
      </c>
      <c r="C155">
        <v>22828.058997362801</v>
      </c>
      <c r="D155">
        <v>22828.058997362801</v>
      </c>
      <c r="E155" t="s">
        <v>2868</v>
      </c>
      <c r="F155" t="s">
        <v>806</v>
      </c>
    </row>
    <row r="156" spans="1:6" x14ac:dyDescent="0.45">
      <c r="A156" t="str">
        <f t="shared" si="2"/>
        <v>ET01,53</v>
      </c>
      <c r="B156">
        <v>53</v>
      </c>
      <c r="C156">
        <v>22754.860112218601</v>
      </c>
      <c r="D156">
        <v>22848.268363893902</v>
      </c>
      <c r="E156" t="s">
        <v>2868</v>
      </c>
      <c r="F156" t="s">
        <v>806</v>
      </c>
    </row>
    <row r="157" spans="1:6" x14ac:dyDescent="0.45">
      <c r="A157" t="str">
        <f t="shared" si="2"/>
        <v>ET01,54</v>
      </c>
      <c r="B157">
        <v>54</v>
      </c>
      <c r="C157">
        <v>22681.661227074499</v>
      </c>
      <c r="D157">
        <v>22955.5826641274</v>
      </c>
      <c r="E157" t="s">
        <v>2868</v>
      </c>
      <c r="F157" t="s">
        <v>806</v>
      </c>
    </row>
    <row r="158" spans="1:6" x14ac:dyDescent="0.45">
      <c r="A158" t="str">
        <f t="shared" si="2"/>
        <v>ET01,55</v>
      </c>
      <c r="B158">
        <v>55</v>
      </c>
      <c r="C158">
        <v>22608.462341930299</v>
      </c>
      <c r="D158">
        <v>23016.1928385233</v>
      </c>
      <c r="E158" t="s">
        <v>2868</v>
      </c>
      <c r="F158" t="s">
        <v>806</v>
      </c>
    </row>
    <row r="159" spans="1:6" x14ac:dyDescent="0.45">
      <c r="A159" t="str">
        <f t="shared" si="2"/>
        <v>ET01,56</v>
      </c>
      <c r="B159">
        <v>56</v>
      </c>
      <c r="C159">
        <v>22535.263456786201</v>
      </c>
      <c r="D159">
        <v>22896.289827541499</v>
      </c>
      <c r="E159" t="s">
        <v>2868</v>
      </c>
      <c r="F159" t="s">
        <v>806</v>
      </c>
    </row>
    <row r="160" spans="1:6" x14ac:dyDescent="0.45">
      <c r="A160" t="str">
        <f t="shared" si="2"/>
        <v>ET01,57</v>
      </c>
      <c r="B160">
        <v>57</v>
      </c>
      <c r="C160">
        <v>22462.064571642</v>
      </c>
      <c r="D160">
        <v>22462.064571642</v>
      </c>
      <c r="E160" t="s">
        <v>2868</v>
      </c>
      <c r="F160" t="s">
        <v>806</v>
      </c>
    </row>
    <row r="161" spans="1:6" x14ac:dyDescent="0.45">
      <c r="A161" t="str">
        <f t="shared" si="2"/>
        <v>ET01,58</v>
      </c>
      <c r="B161">
        <v>58</v>
      </c>
      <c r="C161">
        <v>21354.2459292397</v>
      </c>
      <c r="D161">
        <v>21627.949481885898</v>
      </c>
      <c r="E161" t="s">
        <v>2868</v>
      </c>
      <c r="F161" t="s">
        <v>806</v>
      </c>
    </row>
    <row r="162" spans="1:6" x14ac:dyDescent="0.45">
      <c r="A162" t="str">
        <f t="shared" si="2"/>
        <v>ET01,59</v>
      </c>
      <c r="B162">
        <v>59</v>
      </c>
      <c r="C162">
        <v>20246.427286837301</v>
      </c>
      <c r="D162">
        <v>20501.342851739399</v>
      </c>
      <c r="E162" t="s">
        <v>2868</v>
      </c>
      <c r="F162" t="s">
        <v>806</v>
      </c>
    </row>
    <row r="163" spans="1:6" x14ac:dyDescent="0.45">
      <c r="A163" t="str">
        <f t="shared" si="2"/>
        <v>ET01,60</v>
      </c>
      <c r="B163">
        <v>60</v>
      </c>
      <c r="C163">
        <v>19138.608644435</v>
      </c>
      <c r="D163">
        <v>19237.884445269799</v>
      </c>
      <c r="E163" t="s">
        <v>2868</v>
      </c>
      <c r="F163" t="s">
        <v>806</v>
      </c>
    </row>
    <row r="164" spans="1:6" x14ac:dyDescent="0.45">
      <c r="A164" t="str">
        <f t="shared" si="2"/>
        <v>ET01,61</v>
      </c>
      <c r="B164">
        <v>61</v>
      </c>
      <c r="C164">
        <v>18030.790002032601</v>
      </c>
      <c r="D164">
        <v>17993.214026544301</v>
      </c>
      <c r="E164" t="s">
        <v>2868</v>
      </c>
      <c r="F164" t="s">
        <v>806</v>
      </c>
    </row>
    <row r="165" spans="1:6" x14ac:dyDescent="0.45">
      <c r="A165" t="str">
        <f t="shared" si="2"/>
        <v>ET01,62</v>
      </c>
      <c r="B165">
        <v>62</v>
      </c>
      <c r="C165">
        <v>16922.971359630301</v>
      </c>
      <c r="D165">
        <v>16922.971359630301</v>
      </c>
      <c r="E165" t="s">
        <v>2868</v>
      </c>
      <c r="F165" t="s">
        <v>806</v>
      </c>
    </row>
    <row r="166" spans="1:6" x14ac:dyDescent="0.45">
      <c r="A166" t="str">
        <f t="shared" si="2"/>
        <v>ET01,63</v>
      </c>
      <c r="B166">
        <v>63</v>
      </c>
      <c r="C166">
        <v>16416.5502044485</v>
      </c>
      <c r="D166">
        <v>16140.8386049082</v>
      </c>
      <c r="E166" t="s">
        <v>2868</v>
      </c>
      <c r="F166" t="s">
        <v>806</v>
      </c>
    </row>
    <row r="167" spans="1:6" x14ac:dyDescent="0.45">
      <c r="A167" t="str">
        <f t="shared" si="2"/>
        <v>ET01,64</v>
      </c>
      <c r="B167">
        <v>64</v>
      </c>
      <c r="C167">
        <v>15910.129049266599</v>
      </c>
      <c r="D167">
        <v>15592.6675080105</v>
      </c>
      <c r="E167" t="s">
        <v>2868</v>
      </c>
      <c r="F167" t="s">
        <v>806</v>
      </c>
    </row>
    <row r="168" spans="1:6" x14ac:dyDescent="0.45">
      <c r="A168" t="str">
        <f t="shared" si="2"/>
        <v>ET01,65</v>
      </c>
      <c r="B168">
        <v>65</v>
      </c>
      <c r="C168">
        <v>15403.707894084801</v>
      </c>
      <c r="D168">
        <v>15182.352210883</v>
      </c>
      <c r="E168" t="s">
        <v>2868</v>
      </c>
      <c r="F168" t="s">
        <v>806</v>
      </c>
    </row>
    <row r="169" spans="1:6" x14ac:dyDescent="0.45">
      <c r="A169" t="str">
        <f t="shared" si="2"/>
        <v>ET01,66</v>
      </c>
      <c r="B169">
        <v>66</v>
      </c>
      <c r="C169">
        <v>14897.286738903</v>
      </c>
      <c r="D169">
        <v>14813.7868554714</v>
      </c>
      <c r="E169" t="s">
        <v>2868</v>
      </c>
      <c r="F169" t="s">
        <v>806</v>
      </c>
    </row>
    <row r="170" spans="1:6" x14ac:dyDescent="0.45">
      <c r="A170" t="str">
        <f t="shared" si="2"/>
        <v>ET01,67</v>
      </c>
      <c r="B170">
        <v>67</v>
      </c>
      <c r="C170">
        <v>14390.865583721201</v>
      </c>
      <c r="D170">
        <v>14390.865583721201</v>
      </c>
      <c r="E170" t="s">
        <v>2868</v>
      </c>
      <c r="F170" t="s">
        <v>806</v>
      </c>
    </row>
    <row r="171" spans="1:6" x14ac:dyDescent="0.45">
      <c r="A171" t="str">
        <f t="shared" si="2"/>
        <v>ET01,68</v>
      </c>
      <c r="B171">
        <v>68</v>
      </c>
      <c r="C171">
        <v>13648.4597094193</v>
      </c>
      <c r="D171">
        <v>13838.135503691899</v>
      </c>
      <c r="E171" t="s">
        <v>2868</v>
      </c>
      <c r="F171" t="s">
        <v>806</v>
      </c>
    </row>
    <row r="172" spans="1:6" x14ac:dyDescent="0.45">
      <c r="A172" t="str">
        <f t="shared" si="2"/>
        <v>ET01,69</v>
      </c>
      <c r="B172">
        <v>69</v>
      </c>
      <c r="C172">
        <v>12906.0538351175</v>
      </c>
      <c r="D172">
        <v>13162.7555878981</v>
      </c>
      <c r="E172" t="s">
        <v>2868</v>
      </c>
      <c r="F172" t="s">
        <v>806</v>
      </c>
    </row>
    <row r="173" spans="1:6" x14ac:dyDescent="0.45">
      <c r="A173" t="str">
        <f t="shared" si="2"/>
        <v>ET01,70</v>
      </c>
      <c r="B173">
        <v>70</v>
      </c>
      <c r="C173">
        <v>12163.647960815701</v>
      </c>
      <c r="D173">
        <v>12392.537774967899</v>
      </c>
      <c r="E173" t="s">
        <v>2868</v>
      </c>
      <c r="F173" t="s">
        <v>806</v>
      </c>
    </row>
    <row r="174" spans="1:6" x14ac:dyDescent="0.45">
      <c r="A174" t="str">
        <f t="shared" si="2"/>
        <v>ET01,71</v>
      </c>
      <c r="B174">
        <v>71</v>
      </c>
      <c r="C174">
        <v>11421.242086513799</v>
      </c>
      <c r="D174">
        <v>11555.2940035298</v>
      </c>
      <c r="E174" t="s">
        <v>2868</v>
      </c>
      <c r="F174" t="s">
        <v>806</v>
      </c>
    </row>
    <row r="175" spans="1:6" x14ac:dyDescent="0.45">
      <c r="A175" t="str">
        <f t="shared" si="2"/>
        <v>ET01,72</v>
      </c>
      <c r="B175">
        <v>72</v>
      </c>
      <c r="C175">
        <v>10678.836212212</v>
      </c>
      <c r="D175">
        <v>10678.836212212</v>
      </c>
      <c r="E175" t="s">
        <v>2868</v>
      </c>
      <c r="F175" t="s">
        <v>806</v>
      </c>
    </row>
    <row r="176" spans="1:6" x14ac:dyDescent="0.45">
      <c r="A176" t="str">
        <f t="shared" si="2"/>
        <v>ET01,73</v>
      </c>
      <c r="B176">
        <v>73</v>
      </c>
      <c r="C176">
        <v>9764.8485532896793</v>
      </c>
      <c r="D176">
        <v>9786.3934845082495</v>
      </c>
      <c r="E176" t="s">
        <v>2868</v>
      </c>
      <c r="F176" t="s">
        <v>806</v>
      </c>
    </row>
    <row r="177" spans="1:6" x14ac:dyDescent="0.45">
      <c r="A177" t="str">
        <f t="shared" si="2"/>
        <v>ET01,74</v>
      </c>
      <c r="B177">
        <v>74</v>
      </c>
      <c r="C177">
        <v>8850.8608943673498</v>
      </c>
      <c r="D177">
        <v>8882.8634833741307</v>
      </c>
      <c r="E177" t="s">
        <v>2868</v>
      </c>
      <c r="F177" t="s">
        <v>806</v>
      </c>
    </row>
    <row r="178" spans="1:6" x14ac:dyDescent="0.45">
      <c r="A178" t="str">
        <f t="shared" si="2"/>
        <v>ET01,75</v>
      </c>
      <c r="B178">
        <v>75</v>
      </c>
      <c r="C178">
        <v>7936.8732354450103</v>
      </c>
      <c r="D178">
        <v>7968.5610166307197</v>
      </c>
      <c r="E178" t="s">
        <v>2868</v>
      </c>
      <c r="F178" t="s">
        <v>806</v>
      </c>
    </row>
    <row r="179" spans="1:6" x14ac:dyDescent="0.45">
      <c r="A179" t="str">
        <f t="shared" si="2"/>
        <v>ET01,76</v>
      </c>
      <c r="B179">
        <v>76</v>
      </c>
      <c r="C179">
        <v>7022.8855765226799</v>
      </c>
      <c r="D179">
        <v>7043.8008920990997</v>
      </c>
      <c r="E179" t="s">
        <v>2868</v>
      </c>
      <c r="F179" t="s">
        <v>806</v>
      </c>
    </row>
    <row r="180" spans="1:6" x14ac:dyDescent="0.45">
      <c r="A180" t="str">
        <f t="shared" si="2"/>
        <v>ET01,77</v>
      </c>
      <c r="B180">
        <v>77</v>
      </c>
      <c r="C180">
        <v>6108.8979176003404</v>
      </c>
      <c r="D180">
        <v>6108.8979176003404</v>
      </c>
      <c r="E180" t="s">
        <v>2868</v>
      </c>
      <c r="F180" t="s">
        <v>806</v>
      </c>
    </row>
    <row r="181" spans="1:6" x14ac:dyDescent="0.45">
      <c r="A181" t="str">
        <f t="shared" si="2"/>
        <v>ET01,78</v>
      </c>
      <c r="B181">
        <v>78</v>
      </c>
      <c r="C181">
        <v>5299.4183340802701</v>
      </c>
      <c r="D181">
        <v>5170.3128324008103</v>
      </c>
      <c r="E181" t="s">
        <v>2868</v>
      </c>
      <c r="F181" t="s">
        <v>806</v>
      </c>
    </row>
    <row r="182" spans="1:6" x14ac:dyDescent="0.45">
      <c r="A182" t="str">
        <f t="shared" si="2"/>
        <v>ET01,79</v>
      </c>
      <c r="B182">
        <v>79</v>
      </c>
      <c r="C182">
        <v>4489.9387505601999</v>
      </c>
      <c r="D182">
        <v>4259.0901015481104</v>
      </c>
      <c r="E182" t="s">
        <v>2868</v>
      </c>
      <c r="F182" t="s">
        <v>806</v>
      </c>
    </row>
    <row r="183" spans="1:6" x14ac:dyDescent="0.45">
      <c r="A183" t="str">
        <f t="shared" si="2"/>
        <v>ET01,80</v>
      </c>
      <c r="B183">
        <v>80</v>
      </c>
      <c r="C183">
        <v>3680.4591670401401</v>
      </c>
      <c r="D183">
        <v>3412.42012153514</v>
      </c>
      <c r="E183" t="s">
        <v>2868</v>
      </c>
      <c r="F183" t="s">
        <v>806</v>
      </c>
    </row>
    <row r="184" spans="1:6" x14ac:dyDescent="0.45">
      <c r="A184" t="str">
        <f t="shared" si="2"/>
        <v>ET01,81</v>
      </c>
      <c r="B184">
        <v>81</v>
      </c>
      <c r="C184">
        <v>2870.9795835200698</v>
      </c>
      <c r="D184">
        <v>2667.4932888548101</v>
      </c>
      <c r="E184" t="s">
        <v>2868</v>
      </c>
      <c r="F184" t="s">
        <v>806</v>
      </c>
    </row>
    <row r="185" spans="1:6" x14ac:dyDescent="0.45">
      <c r="A185" t="str">
        <f t="shared" si="2"/>
        <v>ET01,82</v>
      </c>
      <c r="B185">
        <v>82</v>
      </c>
      <c r="C185">
        <v>2061.5</v>
      </c>
      <c r="D185">
        <v>2061.5</v>
      </c>
      <c r="E185" t="s">
        <v>2868</v>
      </c>
      <c r="F185" t="s">
        <v>806</v>
      </c>
    </row>
    <row r="186" spans="1:6" x14ac:dyDescent="0.45">
      <c r="A186" t="str">
        <f t="shared" si="2"/>
        <v>ET01,83</v>
      </c>
      <c r="B186">
        <v>83</v>
      </c>
      <c r="C186">
        <v>1815.8671999999999</v>
      </c>
      <c r="D186">
        <v>1618.95973474074</v>
      </c>
      <c r="E186" t="s">
        <v>2868</v>
      </c>
      <c r="F186" t="s">
        <v>806</v>
      </c>
    </row>
    <row r="187" spans="1:6" x14ac:dyDescent="0.45">
      <c r="A187" t="str">
        <f t="shared" si="2"/>
        <v>ET01,84</v>
      </c>
      <c r="B187">
        <v>84</v>
      </c>
      <c r="C187">
        <v>1570.2344000000001</v>
      </c>
      <c r="D187">
        <v>1313.70830595552</v>
      </c>
      <c r="E187" t="s">
        <v>2868</v>
      </c>
      <c r="F187" t="s">
        <v>806</v>
      </c>
    </row>
    <row r="188" spans="1:6" x14ac:dyDescent="0.45">
      <c r="A188" t="str">
        <f t="shared" si="2"/>
        <v>ET01,85</v>
      </c>
      <c r="B188">
        <v>85</v>
      </c>
      <c r="C188">
        <v>1324.6016</v>
      </c>
      <c r="D188">
        <v>1106.9106097999199</v>
      </c>
      <c r="E188" t="s">
        <v>2868</v>
      </c>
      <c r="F188" t="s">
        <v>806</v>
      </c>
    </row>
    <row r="189" spans="1:6" x14ac:dyDescent="0.45">
      <c r="A189" t="str">
        <f t="shared" si="2"/>
        <v>ET01,86</v>
      </c>
      <c r="B189">
        <v>86</v>
      </c>
      <c r="C189">
        <v>1078.9688000000001</v>
      </c>
      <c r="D189">
        <v>959.73154242954899</v>
      </c>
      <c r="E189" t="s">
        <v>2868</v>
      </c>
      <c r="F189" t="s">
        <v>806</v>
      </c>
    </row>
    <row r="190" spans="1:6" x14ac:dyDescent="0.45">
      <c r="A190" t="str">
        <f t="shared" si="2"/>
        <v>ET01,87</v>
      </c>
      <c r="B190">
        <v>87</v>
      </c>
      <c r="C190">
        <v>833.33600000000001</v>
      </c>
      <c r="D190">
        <v>833.33600000000001</v>
      </c>
      <c r="E190" t="s">
        <v>2868</v>
      </c>
      <c r="F190" t="s">
        <v>806</v>
      </c>
    </row>
    <row r="191" spans="1:6" x14ac:dyDescent="0.45">
      <c r="A191" t="str">
        <f t="shared" si="2"/>
        <v>ET01,88</v>
      </c>
      <c r="B191">
        <v>88</v>
      </c>
      <c r="C191">
        <v>702.69880000000001</v>
      </c>
      <c r="D191">
        <v>697.09901844758701</v>
      </c>
      <c r="E191" t="s">
        <v>2868</v>
      </c>
      <c r="F191" t="s">
        <v>806</v>
      </c>
    </row>
    <row r="192" spans="1:6" x14ac:dyDescent="0.45">
      <c r="A192" t="str">
        <f t="shared" si="2"/>
        <v>ET01,89</v>
      </c>
      <c r="B192">
        <v>89</v>
      </c>
      <c r="C192">
        <v>572.0616</v>
      </c>
      <c r="D192">
        <v>553.23619283148696</v>
      </c>
      <c r="E192" t="s">
        <v>2868</v>
      </c>
      <c r="F192" t="s">
        <v>806</v>
      </c>
    </row>
    <row r="193" spans="1:6" x14ac:dyDescent="0.45">
      <c r="A193" t="str">
        <f t="shared" si="2"/>
        <v>ET01,90</v>
      </c>
      <c r="B193">
        <v>90</v>
      </c>
      <c r="C193">
        <v>441.42439999999999</v>
      </c>
      <c r="D193">
        <v>412.17325799159403</v>
      </c>
      <c r="E193" t="s">
        <v>2868</v>
      </c>
      <c r="F193" t="s">
        <v>806</v>
      </c>
    </row>
    <row r="194" spans="1:6" x14ac:dyDescent="0.45">
      <c r="A194" t="str">
        <f t="shared" si="2"/>
        <v>ET01,91</v>
      </c>
      <c r="B194">
        <v>91</v>
      </c>
      <c r="C194">
        <v>310.78719999999998</v>
      </c>
      <c r="D194">
        <v>284.33594876780001</v>
      </c>
      <c r="E194" t="s">
        <v>2868</v>
      </c>
      <c r="F194" t="s">
        <v>806</v>
      </c>
    </row>
    <row r="195" spans="1:6" x14ac:dyDescent="0.45">
      <c r="A195" t="str">
        <f t="shared" ref="A195:A258" si="3">_xlfn.CONCAT(E195,",",B195)</f>
        <v>ET01,92</v>
      </c>
      <c r="B195">
        <v>92</v>
      </c>
      <c r="C195">
        <v>180.15</v>
      </c>
      <c r="D195">
        <v>180.15</v>
      </c>
      <c r="E195" t="s">
        <v>2868</v>
      </c>
      <c r="F195" t="s">
        <v>806</v>
      </c>
    </row>
    <row r="196" spans="1:6" x14ac:dyDescent="0.45">
      <c r="A196" t="str">
        <f t="shared" si="3"/>
        <v>ET01,93</v>
      </c>
      <c r="B196">
        <v>93</v>
      </c>
      <c r="C196">
        <v>148.3656</v>
      </c>
      <c r="D196">
        <v>107.179839468908</v>
      </c>
      <c r="E196" t="s">
        <v>2868</v>
      </c>
      <c r="F196" t="s">
        <v>806</v>
      </c>
    </row>
    <row r="197" spans="1:6" x14ac:dyDescent="0.45">
      <c r="A197" t="str">
        <f t="shared" si="3"/>
        <v>ET01,94</v>
      </c>
      <c r="B197">
        <v>94</v>
      </c>
      <c r="C197">
        <v>116.5812</v>
      </c>
      <c r="D197">
        <v>61.544666718532397</v>
      </c>
      <c r="E197" t="s">
        <v>2868</v>
      </c>
      <c r="F197" t="s">
        <v>806</v>
      </c>
    </row>
    <row r="198" spans="1:6" x14ac:dyDescent="0.45">
      <c r="A198" t="str">
        <f t="shared" si="3"/>
        <v>ET01,95</v>
      </c>
      <c r="B198">
        <v>95</v>
      </c>
      <c r="C198">
        <v>84.796800000000005</v>
      </c>
      <c r="D198">
        <v>36.502374233702497</v>
      </c>
      <c r="E198" t="s">
        <v>2868</v>
      </c>
      <c r="F198" t="s">
        <v>806</v>
      </c>
    </row>
    <row r="199" spans="1:6" x14ac:dyDescent="0.45">
      <c r="A199" t="str">
        <f t="shared" si="3"/>
        <v>ET01,96</v>
      </c>
      <c r="B199">
        <v>96</v>
      </c>
      <c r="C199">
        <v>53.0124</v>
      </c>
      <c r="D199">
        <v>25.3108544992484</v>
      </c>
      <c r="E199" t="s">
        <v>2868</v>
      </c>
      <c r="F199" t="s">
        <v>806</v>
      </c>
    </row>
    <row r="200" spans="1:6" x14ac:dyDescent="0.45">
      <c r="A200" t="str">
        <f t="shared" si="3"/>
        <v>ET01,97</v>
      </c>
      <c r="B200">
        <v>97</v>
      </c>
      <c r="C200">
        <v>21.228000000000002</v>
      </c>
      <c r="D200">
        <v>21.228000000000002</v>
      </c>
      <c r="E200" t="s">
        <v>2868</v>
      </c>
      <c r="F200" t="s">
        <v>806</v>
      </c>
    </row>
    <row r="201" spans="1:6" x14ac:dyDescent="0.45">
      <c r="A201" t="str">
        <f t="shared" si="3"/>
        <v>ET01,98</v>
      </c>
      <c r="B201">
        <v>98</v>
      </c>
      <c r="C201">
        <v>18.818666666666701</v>
      </c>
      <c r="D201">
        <v>18.615023488869099</v>
      </c>
      <c r="E201" t="s">
        <v>2868</v>
      </c>
      <c r="F201" t="s">
        <v>806</v>
      </c>
    </row>
    <row r="202" spans="1:6" x14ac:dyDescent="0.45">
      <c r="A202" t="str">
        <f t="shared" si="3"/>
        <v>ET01,99</v>
      </c>
      <c r="B202">
        <v>99</v>
      </c>
      <c r="C202">
        <v>16.409333333333301</v>
      </c>
      <c r="D202">
        <v>16.246418791095302</v>
      </c>
      <c r="E202" t="s">
        <v>2868</v>
      </c>
      <c r="F202" t="s">
        <v>806</v>
      </c>
    </row>
    <row r="203" spans="1:6" x14ac:dyDescent="0.45">
      <c r="A203" t="str">
        <f t="shared" si="3"/>
        <v>ET01,100</v>
      </c>
      <c r="B203">
        <v>100</v>
      </c>
      <c r="C203">
        <v>14</v>
      </c>
      <c r="D203">
        <v>14</v>
      </c>
      <c r="E203" t="s">
        <v>2868</v>
      </c>
      <c r="F203" t="s">
        <v>806</v>
      </c>
    </row>
    <row r="204" spans="1:6" x14ac:dyDescent="0.45">
      <c r="A204" t="str">
        <f t="shared" si="3"/>
        <v>ET02,&lt;1</v>
      </c>
      <c r="B204" t="s">
        <v>119</v>
      </c>
      <c r="C204">
        <v>22739.822456505099</v>
      </c>
      <c r="D204">
        <v>22739.822456505099</v>
      </c>
      <c r="E204" t="s">
        <v>2869</v>
      </c>
      <c r="F204" t="s">
        <v>2870</v>
      </c>
    </row>
    <row r="205" spans="1:6" x14ac:dyDescent="0.45">
      <c r="A205" t="str">
        <f t="shared" si="3"/>
        <v>ET02,1</v>
      </c>
      <c r="B205">
        <v>1</v>
      </c>
      <c r="C205">
        <v>21876.138336265401</v>
      </c>
      <c r="D205">
        <v>21651.5396850203</v>
      </c>
      <c r="E205" t="s">
        <v>2869</v>
      </c>
      <c r="F205" t="s">
        <v>2870</v>
      </c>
    </row>
    <row r="206" spans="1:6" x14ac:dyDescent="0.45">
      <c r="A206" t="str">
        <f t="shared" si="3"/>
        <v>ET02,2</v>
      </c>
      <c r="B206">
        <v>2</v>
      </c>
      <c r="C206">
        <v>21012.454216025799</v>
      </c>
      <c r="D206">
        <v>21012.454216025799</v>
      </c>
      <c r="E206" t="s">
        <v>2869</v>
      </c>
      <c r="F206" t="s">
        <v>2870</v>
      </c>
    </row>
    <row r="207" spans="1:6" x14ac:dyDescent="0.45">
      <c r="A207" t="str">
        <f t="shared" si="3"/>
        <v>ET02,3</v>
      </c>
      <c r="B207">
        <v>3</v>
      </c>
      <c r="C207">
        <v>21986.148620655498</v>
      </c>
      <c r="D207">
        <v>21156.595625960599</v>
      </c>
      <c r="E207" t="s">
        <v>2869</v>
      </c>
      <c r="F207" t="s">
        <v>2870</v>
      </c>
    </row>
    <row r="208" spans="1:6" x14ac:dyDescent="0.45">
      <c r="A208" t="str">
        <f t="shared" si="3"/>
        <v>ET02,4</v>
      </c>
      <c r="B208">
        <v>4</v>
      </c>
      <c r="C208">
        <v>22959.8430252853</v>
      </c>
      <c r="D208">
        <v>21957.322587059502</v>
      </c>
      <c r="E208" t="s">
        <v>2869</v>
      </c>
      <c r="F208" t="s">
        <v>2870</v>
      </c>
    </row>
    <row r="209" spans="1:6" x14ac:dyDescent="0.45">
      <c r="A209" t="str">
        <f t="shared" si="3"/>
        <v>ET02,5</v>
      </c>
      <c r="B209">
        <v>5</v>
      </c>
      <c r="C209">
        <v>23933.537429915101</v>
      </c>
      <c r="D209">
        <v>23172.826045505899</v>
      </c>
      <c r="E209" t="s">
        <v>2869</v>
      </c>
      <c r="F209" t="s">
        <v>2870</v>
      </c>
    </row>
    <row r="210" spans="1:6" x14ac:dyDescent="0.45">
      <c r="A210" t="str">
        <f t="shared" si="3"/>
        <v>ET02,6</v>
      </c>
      <c r="B210">
        <v>6</v>
      </c>
      <c r="C210">
        <v>24907.2318345448</v>
      </c>
      <c r="D210">
        <v>24561.296947483101</v>
      </c>
      <c r="E210" t="s">
        <v>2869</v>
      </c>
      <c r="F210" t="s">
        <v>2870</v>
      </c>
    </row>
    <row r="211" spans="1:6" x14ac:dyDescent="0.45">
      <c r="A211" t="str">
        <f t="shared" si="3"/>
        <v>ET02,7</v>
      </c>
      <c r="B211">
        <v>7</v>
      </c>
      <c r="C211">
        <v>25880.926239174602</v>
      </c>
      <c r="D211">
        <v>25880.926239174602</v>
      </c>
      <c r="E211" t="s">
        <v>2869</v>
      </c>
      <c r="F211" t="s">
        <v>2870</v>
      </c>
    </row>
    <row r="212" spans="1:6" x14ac:dyDescent="0.45">
      <c r="A212" t="str">
        <f t="shared" si="3"/>
        <v>ET02,8</v>
      </c>
      <c r="B212">
        <v>8</v>
      </c>
      <c r="C212">
        <v>26278.354517526001</v>
      </c>
      <c r="D212">
        <v>26928.984354533201</v>
      </c>
      <c r="E212" t="s">
        <v>2869</v>
      </c>
      <c r="F212" t="s">
        <v>2870</v>
      </c>
    </row>
    <row r="213" spans="1:6" x14ac:dyDescent="0.45">
      <c r="A213" t="str">
        <f t="shared" si="3"/>
        <v>ET02,9</v>
      </c>
      <c r="B213">
        <v>9</v>
      </c>
      <c r="C213">
        <v>26675.7827958774</v>
      </c>
      <c r="D213">
        <v>27659.059678588899</v>
      </c>
      <c r="E213" t="s">
        <v>2869</v>
      </c>
      <c r="F213" t="s">
        <v>2870</v>
      </c>
    </row>
    <row r="214" spans="1:6" x14ac:dyDescent="0.45">
      <c r="A214" t="str">
        <f t="shared" si="3"/>
        <v>ET02,10</v>
      </c>
      <c r="B214">
        <v>10</v>
      </c>
      <c r="C214">
        <v>27073.211074228799</v>
      </c>
      <c r="D214">
        <v>28063.820084141</v>
      </c>
      <c r="E214" t="s">
        <v>2869</v>
      </c>
      <c r="F214" t="s">
        <v>2870</v>
      </c>
    </row>
    <row r="215" spans="1:6" x14ac:dyDescent="0.45">
      <c r="A215" t="str">
        <f t="shared" si="3"/>
        <v>ET02,11</v>
      </c>
      <c r="B215">
        <v>11</v>
      </c>
      <c r="C215">
        <v>27470.639352580201</v>
      </c>
      <c r="D215">
        <v>28135.933443988801</v>
      </c>
      <c r="E215" t="s">
        <v>2869</v>
      </c>
      <c r="F215" t="s">
        <v>2870</v>
      </c>
    </row>
    <row r="216" spans="1:6" x14ac:dyDescent="0.45">
      <c r="A216" t="str">
        <f t="shared" si="3"/>
        <v>ET02,12</v>
      </c>
      <c r="B216">
        <v>12</v>
      </c>
      <c r="C216">
        <v>27868.0676309316</v>
      </c>
      <c r="D216">
        <v>27868.0676309316</v>
      </c>
      <c r="E216" t="s">
        <v>2869</v>
      </c>
      <c r="F216" t="s">
        <v>2870</v>
      </c>
    </row>
    <row r="217" spans="1:6" x14ac:dyDescent="0.45">
      <c r="A217" t="str">
        <f t="shared" si="3"/>
        <v>ET02,13</v>
      </c>
      <c r="B217">
        <v>13</v>
      </c>
      <c r="C217">
        <v>26826.463492601401</v>
      </c>
      <c r="D217">
        <v>27264.7914811226</v>
      </c>
      <c r="E217" t="s">
        <v>2869</v>
      </c>
      <c r="F217" t="s">
        <v>2870</v>
      </c>
    </row>
    <row r="218" spans="1:6" x14ac:dyDescent="0.45">
      <c r="A218" t="str">
        <f t="shared" si="3"/>
        <v>ET02,14</v>
      </c>
      <c r="B218">
        <v>14</v>
      </c>
      <c r="C218">
        <v>25784.859354271201</v>
      </c>
      <c r="D218">
        <v>26378.277684130499</v>
      </c>
      <c r="E218" t="s">
        <v>2869</v>
      </c>
      <c r="F218" t="s">
        <v>2870</v>
      </c>
    </row>
    <row r="219" spans="1:6" x14ac:dyDescent="0.45">
      <c r="A219" t="str">
        <f t="shared" si="3"/>
        <v>ET02,15</v>
      </c>
      <c r="B219">
        <v>15</v>
      </c>
      <c r="C219">
        <v>24743.255215941001</v>
      </c>
      <c r="D219">
        <v>25272.599892877799</v>
      </c>
      <c r="E219" t="s">
        <v>2869</v>
      </c>
      <c r="F219" t="s">
        <v>2870</v>
      </c>
    </row>
    <row r="220" spans="1:6" x14ac:dyDescent="0.45">
      <c r="A220" t="str">
        <f t="shared" si="3"/>
        <v>ET02,16</v>
      </c>
      <c r="B220">
        <v>16</v>
      </c>
      <c r="C220">
        <v>23701.651077610801</v>
      </c>
      <c r="D220">
        <v>24011.831760287001</v>
      </c>
      <c r="E220" t="s">
        <v>2869</v>
      </c>
      <c r="F220" t="s">
        <v>2870</v>
      </c>
    </row>
    <row r="221" spans="1:6" x14ac:dyDescent="0.45">
      <c r="A221" t="str">
        <f t="shared" si="3"/>
        <v>ET02,17</v>
      </c>
      <c r="B221">
        <v>17</v>
      </c>
      <c r="C221">
        <v>22660.046939280601</v>
      </c>
      <c r="D221">
        <v>22660.046939280601</v>
      </c>
      <c r="E221" t="s">
        <v>2869</v>
      </c>
      <c r="F221" t="s">
        <v>2870</v>
      </c>
    </row>
    <row r="222" spans="1:6" x14ac:dyDescent="0.45">
      <c r="A222" t="str">
        <f t="shared" si="3"/>
        <v>ET02,18</v>
      </c>
      <c r="B222">
        <v>18</v>
      </c>
      <c r="C222">
        <v>21452.564978069</v>
      </c>
      <c r="D222">
        <v>21280.0725769645</v>
      </c>
      <c r="E222" t="s">
        <v>2869</v>
      </c>
      <c r="F222" t="s">
        <v>2870</v>
      </c>
    </row>
    <row r="223" spans="1:6" x14ac:dyDescent="0.45">
      <c r="A223" t="str">
        <f t="shared" si="3"/>
        <v>ET02,19</v>
      </c>
      <c r="B223">
        <v>19</v>
      </c>
      <c r="C223">
        <v>20245.083016857501</v>
      </c>
      <c r="D223">
        <v>19929.749797177999</v>
      </c>
      <c r="E223" t="s">
        <v>2869</v>
      </c>
      <c r="F223" t="s">
        <v>2870</v>
      </c>
    </row>
    <row r="224" spans="1:6" x14ac:dyDescent="0.45">
      <c r="A224" t="str">
        <f t="shared" si="3"/>
        <v>ET02,20</v>
      </c>
      <c r="B224">
        <v>20</v>
      </c>
      <c r="C224">
        <v>19037.6010556459</v>
      </c>
      <c r="D224">
        <v>18665.6732179438</v>
      </c>
      <c r="E224" t="s">
        <v>2869</v>
      </c>
      <c r="F224" t="s">
        <v>2870</v>
      </c>
    </row>
    <row r="225" spans="1:6" x14ac:dyDescent="0.45">
      <c r="A225" t="str">
        <f t="shared" si="3"/>
        <v>ET02,21</v>
      </c>
      <c r="B225">
        <v>21</v>
      </c>
      <c r="C225">
        <v>17830.119094434402</v>
      </c>
      <c r="D225">
        <v>17544.437457284501</v>
      </c>
      <c r="E225" t="s">
        <v>2869</v>
      </c>
      <c r="F225" t="s">
        <v>2870</v>
      </c>
    </row>
    <row r="226" spans="1:6" x14ac:dyDescent="0.45">
      <c r="A226" t="str">
        <f t="shared" si="3"/>
        <v>ET02,22</v>
      </c>
      <c r="B226">
        <v>22</v>
      </c>
      <c r="C226">
        <v>16622.637133222801</v>
      </c>
      <c r="D226">
        <v>16622.637133222801</v>
      </c>
      <c r="E226" t="s">
        <v>2869</v>
      </c>
      <c r="F226" t="s">
        <v>2870</v>
      </c>
    </row>
    <row r="227" spans="1:6" x14ac:dyDescent="0.45">
      <c r="A227" t="str">
        <f t="shared" si="3"/>
        <v>ET02,23</v>
      </c>
      <c r="B227">
        <v>23</v>
      </c>
      <c r="C227">
        <v>16246.6129456377</v>
      </c>
      <c r="D227">
        <v>15938.9191638024</v>
      </c>
      <c r="E227" t="s">
        <v>2869</v>
      </c>
      <c r="F227" t="s">
        <v>2870</v>
      </c>
    </row>
    <row r="228" spans="1:6" x14ac:dyDescent="0.45">
      <c r="A228" t="str">
        <f t="shared" si="3"/>
        <v>ET02,24</v>
      </c>
      <c r="B228">
        <v>24</v>
      </c>
      <c r="C228">
        <v>15870.5887580526</v>
      </c>
      <c r="D228">
        <v>15460.139667150999</v>
      </c>
      <c r="E228" t="s">
        <v>2869</v>
      </c>
      <c r="F228" t="s">
        <v>2870</v>
      </c>
    </row>
    <row r="229" spans="1:6" x14ac:dyDescent="0.45">
      <c r="A229" t="str">
        <f t="shared" si="3"/>
        <v>ET02,25</v>
      </c>
      <c r="B229">
        <v>25</v>
      </c>
      <c r="C229">
        <v>15494.564570467501</v>
      </c>
      <c r="D229">
        <v>15135.207061417201</v>
      </c>
      <c r="E229" t="s">
        <v>2869</v>
      </c>
      <c r="F229" t="s">
        <v>2870</v>
      </c>
    </row>
    <row r="230" spans="1:6" x14ac:dyDescent="0.45">
      <c r="A230" t="str">
        <f t="shared" si="3"/>
        <v>ET02,26</v>
      </c>
      <c r="B230">
        <v>26</v>
      </c>
      <c r="C230">
        <v>15118.5403828824</v>
      </c>
      <c r="D230">
        <v>14913.029764749699</v>
      </c>
      <c r="E230" t="s">
        <v>2869</v>
      </c>
      <c r="F230" t="s">
        <v>2870</v>
      </c>
    </row>
    <row r="231" spans="1:6" x14ac:dyDescent="0.45">
      <c r="A231" t="str">
        <f t="shared" si="3"/>
        <v>ET02,27</v>
      </c>
      <c r="B231">
        <v>27</v>
      </c>
      <c r="C231">
        <v>14742.516195297199</v>
      </c>
      <c r="D231">
        <v>14742.516195297199</v>
      </c>
      <c r="E231" t="s">
        <v>2869</v>
      </c>
      <c r="F231" t="s">
        <v>2870</v>
      </c>
    </row>
    <row r="232" spans="1:6" x14ac:dyDescent="0.45">
      <c r="A232" t="str">
        <f t="shared" si="3"/>
        <v>ET02,28</v>
      </c>
      <c r="B232">
        <v>28</v>
      </c>
      <c r="C232">
        <v>14618.830155002801</v>
      </c>
      <c r="D232">
        <v>14582.5538680273</v>
      </c>
      <c r="E232" t="s">
        <v>2869</v>
      </c>
      <c r="F232" t="s">
        <v>2870</v>
      </c>
    </row>
    <row r="233" spans="1:6" x14ac:dyDescent="0.45">
      <c r="A233" t="str">
        <f t="shared" si="3"/>
        <v>ET02,29</v>
      </c>
      <c r="B233">
        <v>29</v>
      </c>
      <c r="C233">
        <v>14495.144114708301</v>
      </c>
      <c r="D233">
        <v>14431.9466851831</v>
      </c>
      <c r="E233" t="s">
        <v>2869</v>
      </c>
      <c r="F233" t="s">
        <v>2870</v>
      </c>
    </row>
    <row r="234" spans="1:6" x14ac:dyDescent="0.45">
      <c r="A234" t="str">
        <f t="shared" si="3"/>
        <v>ET02,30</v>
      </c>
      <c r="B234">
        <v>30</v>
      </c>
      <c r="C234">
        <v>14371.4580744138</v>
      </c>
      <c r="D234">
        <v>14299.477645826701</v>
      </c>
      <c r="E234" t="s">
        <v>2869</v>
      </c>
      <c r="F234" t="s">
        <v>2870</v>
      </c>
    </row>
    <row r="235" spans="1:6" x14ac:dyDescent="0.45">
      <c r="A235" t="str">
        <f t="shared" si="3"/>
        <v>ET02,31</v>
      </c>
      <c r="B235">
        <v>31</v>
      </c>
      <c r="C235">
        <v>14247.7720341194</v>
      </c>
      <c r="D235">
        <v>14193.929749019901</v>
      </c>
      <c r="E235" t="s">
        <v>2869</v>
      </c>
      <c r="F235" t="s">
        <v>2870</v>
      </c>
    </row>
    <row r="236" spans="1:6" x14ac:dyDescent="0.45">
      <c r="A236" t="str">
        <f t="shared" si="3"/>
        <v>ET02,32</v>
      </c>
      <c r="B236">
        <v>32</v>
      </c>
      <c r="C236">
        <v>14124.0859938249</v>
      </c>
      <c r="D236">
        <v>14124.0859938249</v>
      </c>
      <c r="E236" t="s">
        <v>2869</v>
      </c>
      <c r="F236" t="s">
        <v>2870</v>
      </c>
    </row>
    <row r="237" spans="1:6" x14ac:dyDescent="0.45">
      <c r="A237" t="str">
        <f t="shared" si="3"/>
        <v>ET02,33</v>
      </c>
      <c r="B237">
        <v>33</v>
      </c>
      <c r="C237">
        <v>14018.519809367401</v>
      </c>
      <c r="D237">
        <v>14090.5567454024</v>
      </c>
      <c r="E237" t="s">
        <v>2869</v>
      </c>
      <c r="F237" t="s">
        <v>2870</v>
      </c>
    </row>
    <row r="238" spans="1:6" x14ac:dyDescent="0.45">
      <c r="A238" t="str">
        <f t="shared" si="3"/>
        <v>ET02,34</v>
      </c>
      <c r="B238">
        <v>34</v>
      </c>
      <c r="C238">
        <v>13912.9536249098</v>
      </c>
      <c r="D238">
        <v>14061.261833308001</v>
      </c>
      <c r="E238" t="s">
        <v>2869</v>
      </c>
      <c r="F238" t="s">
        <v>2870</v>
      </c>
    </row>
    <row r="239" spans="1:6" x14ac:dyDescent="0.45">
      <c r="A239" t="str">
        <f t="shared" si="3"/>
        <v>ET02,35</v>
      </c>
      <c r="B239">
        <v>35</v>
      </c>
      <c r="C239">
        <v>13807.387440452299</v>
      </c>
      <c r="D239">
        <v>13995.948453196101</v>
      </c>
      <c r="E239" t="s">
        <v>2869</v>
      </c>
      <c r="F239" t="s">
        <v>2870</v>
      </c>
    </row>
    <row r="240" spans="1:6" x14ac:dyDescent="0.45">
      <c r="A240" t="str">
        <f t="shared" si="3"/>
        <v>ET02,36</v>
      </c>
      <c r="B240">
        <v>36</v>
      </c>
      <c r="C240">
        <v>13701.821255994701</v>
      </c>
      <c r="D240">
        <v>13854.363800720999</v>
      </c>
      <c r="E240" t="s">
        <v>2869</v>
      </c>
      <c r="F240" t="s">
        <v>2870</v>
      </c>
    </row>
    <row r="241" spans="1:6" x14ac:dyDescent="0.45">
      <c r="A241" t="str">
        <f t="shared" si="3"/>
        <v>ET02,37</v>
      </c>
      <c r="B241">
        <v>37</v>
      </c>
      <c r="C241">
        <v>13596.2550715372</v>
      </c>
      <c r="D241">
        <v>13596.2550715372</v>
      </c>
      <c r="E241" t="s">
        <v>2869</v>
      </c>
      <c r="F241" t="s">
        <v>2870</v>
      </c>
    </row>
    <row r="242" spans="1:6" x14ac:dyDescent="0.45">
      <c r="A242" t="str">
        <f t="shared" si="3"/>
        <v>ET02,38</v>
      </c>
      <c r="B242">
        <v>38</v>
      </c>
      <c r="C242">
        <v>12966.8439122501</v>
      </c>
      <c r="D242">
        <v>13191.771038516599</v>
      </c>
      <c r="E242" t="s">
        <v>2869</v>
      </c>
      <c r="F242" t="s">
        <v>2870</v>
      </c>
    </row>
    <row r="243" spans="1:6" x14ac:dyDescent="0.45">
      <c r="A243" t="str">
        <f t="shared" si="3"/>
        <v>ET02,39</v>
      </c>
      <c r="B243">
        <v>39</v>
      </c>
      <c r="C243">
        <v>12337.432752963001</v>
      </c>
      <c r="D243">
        <v>12652.666783402199</v>
      </c>
      <c r="E243" t="s">
        <v>2869</v>
      </c>
      <c r="F243" t="s">
        <v>2870</v>
      </c>
    </row>
    <row r="244" spans="1:6" x14ac:dyDescent="0.45">
      <c r="A244" t="str">
        <f t="shared" si="3"/>
        <v>ET02,40</v>
      </c>
      <c r="B244">
        <v>40</v>
      </c>
      <c r="C244">
        <v>11708.0215936759</v>
      </c>
      <c r="D244">
        <v>12001.098965154501</v>
      </c>
      <c r="E244" t="s">
        <v>2869</v>
      </c>
      <c r="F244" t="s">
        <v>2870</v>
      </c>
    </row>
    <row r="245" spans="1:6" x14ac:dyDescent="0.45">
      <c r="A245" t="str">
        <f t="shared" si="3"/>
        <v>ET02,41</v>
      </c>
      <c r="B245">
        <v>41</v>
      </c>
      <c r="C245">
        <v>11078.6104343888</v>
      </c>
      <c r="D245">
        <v>11259.224242734201</v>
      </c>
      <c r="E245" t="s">
        <v>2869</v>
      </c>
      <c r="F245" t="s">
        <v>2870</v>
      </c>
    </row>
    <row r="246" spans="1:6" x14ac:dyDescent="0.45">
      <c r="A246" t="str">
        <f t="shared" si="3"/>
        <v>ET02,42</v>
      </c>
      <c r="B246">
        <v>42</v>
      </c>
      <c r="C246">
        <v>10449.199275101701</v>
      </c>
      <c r="D246">
        <v>10449.199275101701</v>
      </c>
      <c r="E246" t="s">
        <v>2869</v>
      </c>
      <c r="F246" t="s">
        <v>2870</v>
      </c>
    </row>
    <row r="247" spans="1:6" x14ac:dyDescent="0.45">
      <c r="A247" t="str">
        <f t="shared" si="3"/>
        <v>ET02,43</v>
      </c>
      <c r="B247">
        <v>43</v>
      </c>
      <c r="C247">
        <v>9633.6444634676009</v>
      </c>
      <c r="D247">
        <v>9594.9336923741994</v>
      </c>
      <c r="E247" t="s">
        <v>2869</v>
      </c>
      <c r="F247" t="s">
        <v>2870</v>
      </c>
    </row>
    <row r="248" spans="1:6" x14ac:dyDescent="0.45">
      <c r="A248" t="str">
        <f t="shared" si="3"/>
        <v>ET02,44</v>
      </c>
      <c r="B248">
        <v>44</v>
      </c>
      <c r="C248">
        <v>8818.0896518334703</v>
      </c>
      <c r="D248">
        <v>8727.3490092942902</v>
      </c>
      <c r="E248" t="s">
        <v>2869</v>
      </c>
      <c r="F248" t="s">
        <v>2870</v>
      </c>
    </row>
    <row r="249" spans="1:6" x14ac:dyDescent="0.45">
      <c r="A249" t="str">
        <f t="shared" si="3"/>
        <v>ET02,45</v>
      </c>
      <c r="B249">
        <v>45</v>
      </c>
      <c r="C249">
        <v>8002.5348401993497</v>
      </c>
      <c r="D249">
        <v>7879.11971176106</v>
      </c>
      <c r="E249" t="s">
        <v>2869</v>
      </c>
      <c r="F249" t="s">
        <v>2870</v>
      </c>
    </row>
    <row r="250" spans="1:6" x14ac:dyDescent="0.45">
      <c r="A250" t="str">
        <f t="shared" si="3"/>
        <v>ET02,46</v>
      </c>
      <c r="B250">
        <v>46</v>
      </c>
      <c r="C250">
        <v>7186.98002856522</v>
      </c>
      <c r="D250">
        <v>7082.9202856736401</v>
      </c>
      <c r="E250" t="s">
        <v>2869</v>
      </c>
      <c r="F250" t="s">
        <v>2870</v>
      </c>
    </row>
    <row r="251" spans="1:6" x14ac:dyDescent="0.45">
      <c r="A251" t="str">
        <f t="shared" si="3"/>
        <v>ET02,47</v>
      </c>
      <c r="B251">
        <v>47</v>
      </c>
      <c r="C251">
        <v>6371.4252169311003</v>
      </c>
      <c r="D251">
        <v>6371.4252169311003</v>
      </c>
      <c r="E251" t="s">
        <v>2869</v>
      </c>
      <c r="F251" t="s">
        <v>2870</v>
      </c>
    </row>
    <row r="252" spans="1:6" x14ac:dyDescent="0.45">
      <c r="A252" t="str">
        <f t="shared" si="3"/>
        <v>ET02,48</v>
      </c>
      <c r="B252">
        <v>48</v>
      </c>
      <c r="C252">
        <v>5916.0141887640202</v>
      </c>
      <c r="D252">
        <v>5768.2389741224397</v>
      </c>
      <c r="E252" t="s">
        <v>2869</v>
      </c>
      <c r="F252" t="s">
        <v>2870</v>
      </c>
    </row>
    <row r="253" spans="1:6" x14ac:dyDescent="0.45">
      <c r="A253" t="str">
        <f t="shared" si="3"/>
        <v>ET02,49</v>
      </c>
      <c r="B253">
        <v>49</v>
      </c>
      <c r="C253">
        <v>5460.6031605969301</v>
      </c>
      <c r="D253">
        <v>5260.6859565961604</v>
      </c>
      <c r="E253" t="s">
        <v>2869</v>
      </c>
      <c r="F253" t="s">
        <v>2870</v>
      </c>
    </row>
    <row r="254" spans="1:6" x14ac:dyDescent="0.45">
      <c r="A254" t="str">
        <f t="shared" si="3"/>
        <v>ET02,50</v>
      </c>
      <c r="B254">
        <v>50</v>
      </c>
      <c r="C254">
        <v>5005.1921324298501</v>
      </c>
      <c r="D254">
        <v>4827.0205463906796</v>
      </c>
      <c r="E254" t="s">
        <v>2869</v>
      </c>
      <c r="F254" t="s">
        <v>2870</v>
      </c>
    </row>
    <row r="255" spans="1:6" x14ac:dyDescent="0.45">
      <c r="A255" t="str">
        <f t="shared" si="3"/>
        <v>ET02,51</v>
      </c>
      <c r="B255">
        <v>51</v>
      </c>
      <c r="C255">
        <v>4549.78110426276</v>
      </c>
      <c r="D255">
        <v>4445.4971255443797</v>
      </c>
      <c r="E255" t="s">
        <v>2869</v>
      </c>
      <c r="F255" t="s">
        <v>2870</v>
      </c>
    </row>
    <row r="256" spans="1:6" x14ac:dyDescent="0.45">
      <c r="A256" t="str">
        <f t="shared" si="3"/>
        <v>ET02,52</v>
      </c>
      <c r="B256">
        <v>52</v>
      </c>
      <c r="C256">
        <v>4094.3700760956799</v>
      </c>
      <c r="D256">
        <v>4094.3700760956799</v>
      </c>
      <c r="E256" t="s">
        <v>2869</v>
      </c>
      <c r="F256" t="s">
        <v>2870</v>
      </c>
    </row>
    <row r="257" spans="1:6" x14ac:dyDescent="0.45">
      <c r="A257" t="str">
        <f t="shared" si="3"/>
        <v>ET02,53</v>
      </c>
      <c r="B257">
        <v>53</v>
      </c>
      <c r="C257">
        <v>3796.4670093730001</v>
      </c>
      <c r="D257">
        <v>3756.46394785354</v>
      </c>
      <c r="E257" t="s">
        <v>2869</v>
      </c>
      <c r="F257" t="s">
        <v>2870</v>
      </c>
    </row>
    <row r="258" spans="1:6" x14ac:dyDescent="0.45">
      <c r="A258" t="str">
        <f t="shared" si="3"/>
        <v>ET02,54</v>
      </c>
      <c r="B258">
        <v>54</v>
      </c>
      <c r="C258">
        <v>3498.5639426503299</v>
      </c>
      <c r="D258">
        <v>3432.8839617092699</v>
      </c>
      <c r="E258" t="s">
        <v>2869</v>
      </c>
      <c r="F258" t="s">
        <v>2870</v>
      </c>
    </row>
    <row r="259" spans="1:6" x14ac:dyDescent="0.45">
      <c r="A259" t="str">
        <f t="shared" ref="A259:A322" si="4">_xlfn.CONCAT(E259,",",B259)</f>
        <v>ET02,55</v>
      </c>
      <c r="B259">
        <v>55</v>
      </c>
      <c r="C259">
        <v>3200.6608759276501</v>
      </c>
      <c r="D259">
        <v>3129.3055063247202</v>
      </c>
      <c r="E259" t="s">
        <v>2869</v>
      </c>
      <c r="F259" t="s">
        <v>2870</v>
      </c>
    </row>
    <row r="260" spans="1:6" x14ac:dyDescent="0.45">
      <c r="A260" t="str">
        <f t="shared" si="4"/>
        <v>ET02,56</v>
      </c>
      <c r="B260">
        <v>56</v>
      </c>
      <c r="C260">
        <v>2902.7578092049798</v>
      </c>
      <c r="D260">
        <v>2851.40397036178</v>
      </c>
      <c r="E260" t="s">
        <v>2869</v>
      </c>
      <c r="F260" t="s">
        <v>2870</v>
      </c>
    </row>
    <row r="261" spans="1:6" x14ac:dyDescent="0.45">
      <c r="A261" t="str">
        <f t="shared" si="4"/>
        <v>ET02,57</v>
      </c>
      <c r="B261">
        <v>57</v>
      </c>
      <c r="C261">
        <v>2604.8547424823</v>
      </c>
      <c r="D261">
        <v>2604.8547424823</v>
      </c>
      <c r="E261" t="s">
        <v>2869</v>
      </c>
      <c r="F261" t="s">
        <v>2870</v>
      </c>
    </row>
    <row r="262" spans="1:6" x14ac:dyDescent="0.45">
      <c r="A262" t="str">
        <f t="shared" si="4"/>
        <v>ET02,58</v>
      </c>
      <c r="B262">
        <v>58</v>
      </c>
      <c r="C262">
        <v>2428.2472390993598</v>
      </c>
      <c r="D262">
        <v>2392.77949453268</v>
      </c>
      <c r="E262" t="s">
        <v>2869</v>
      </c>
      <c r="F262" t="s">
        <v>2870</v>
      </c>
    </row>
    <row r="263" spans="1:6" x14ac:dyDescent="0.45">
      <c r="A263" t="str">
        <f t="shared" si="4"/>
        <v>ET02,59</v>
      </c>
      <c r="B263">
        <v>59</v>
      </c>
      <c r="C263">
        <v>2251.6397357164301</v>
      </c>
      <c r="D263">
        <v>2208.0850310974101</v>
      </c>
      <c r="E263" t="s">
        <v>2869</v>
      </c>
      <c r="F263" t="s">
        <v>2870</v>
      </c>
    </row>
    <row r="264" spans="1:6" x14ac:dyDescent="0.45">
      <c r="A264" t="str">
        <f t="shared" si="4"/>
        <v>ET02,60</v>
      </c>
      <c r="B264">
        <v>60</v>
      </c>
      <c r="C264">
        <v>2075.0322323334899</v>
      </c>
      <c r="D264">
        <v>2041.1244399454699</v>
      </c>
      <c r="E264" t="s">
        <v>2869</v>
      </c>
      <c r="F264" t="s">
        <v>2870</v>
      </c>
    </row>
    <row r="265" spans="1:6" x14ac:dyDescent="0.45">
      <c r="A265" t="str">
        <f t="shared" si="4"/>
        <v>ET02,61</v>
      </c>
      <c r="B265">
        <v>61</v>
      </c>
      <c r="C265">
        <v>1898.4247289505599</v>
      </c>
      <c r="D265">
        <v>1882.2508088458801</v>
      </c>
      <c r="E265" t="s">
        <v>2869</v>
      </c>
      <c r="F265" t="s">
        <v>2870</v>
      </c>
    </row>
    <row r="266" spans="1:6" x14ac:dyDescent="0.45">
      <c r="A266" t="str">
        <f t="shared" si="4"/>
        <v>ET02,62</v>
      </c>
      <c r="B266">
        <v>62</v>
      </c>
      <c r="C266">
        <v>1721.81722556762</v>
      </c>
      <c r="D266">
        <v>1721.81722556762</v>
      </c>
      <c r="E266" t="s">
        <v>2869</v>
      </c>
      <c r="F266" t="s">
        <v>2870</v>
      </c>
    </row>
    <row r="267" spans="1:6" x14ac:dyDescent="0.45">
      <c r="A267" t="str">
        <f t="shared" si="4"/>
        <v>ET02,63</v>
      </c>
      <c r="B267">
        <v>63</v>
      </c>
      <c r="C267">
        <v>1566.0141041061299</v>
      </c>
      <c r="D267">
        <v>1553.2503260384999</v>
      </c>
      <c r="E267" t="s">
        <v>2869</v>
      </c>
      <c r="F267" t="s">
        <v>2870</v>
      </c>
    </row>
    <row r="268" spans="1:6" x14ac:dyDescent="0.45">
      <c r="A268" t="str">
        <f t="shared" si="4"/>
        <v>ET02,64</v>
      </c>
      <c r="B268">
        <v>64</v>
      </c>
      <c r="C268">
        <v>1410.2109826446299</v>
      </c>
      <c r="D268">
        <v>1382.27093882146</v>
      </c>
      <c r="E268" t="s">
        <v>2869</v>
      </c>
      <c r="F268" t="s">
        <v>2870</v>
      </c>
    </row>
    <row r="269" spans="1:6" x14ac:dyDescent="0.45">
      <c r="A269" t="str">
        <f t="shared" si="4"/>
        <v>ET02,65</v>
      </c>
      <c r="B269">
        <v>65</v>
      </c>
      <c r="C269">
        <v>1254.4078611831401</v>
      </c>
      <c r="D269">
        <v>1217.67344063822</v>
      </c>
      <c r="E269" t="s">
        <v>2869</v>
      </c>
      <c r="F269" t="s">
        <v>2870</v>
      </c>
    </row>
    <row r="270" spans="1:6" x14ac:dyDescent="0.45">
      <c r="A270" t="str">
        <f t="shared" si="4"/>
        <v>ET02,66</v>
      </c>
      <c r="B270">
        <v>66</v>
      </c>
      <c r="C270">
        <v>1098.60473972164</v>
      </c>
      <c r="D270">
        <v>1068.2522082105399</v>
      </c>
      <c r="E270" t="s">
        <v>2869</v>
      </c>
      <c r="F270" t="s">
        <v>2870</v>
      </c>
    </row>
    <row r="271" spans="1:6" x14ac:dyDescent="0.45">
      <c r="A271" t="str">
        <f t="shared" si="4"/>
        <v>ET02,67</v>
      </c>
      <c r="B271">
        <v>67</v>
      </c>
      <c r="C271">
        <v>942.80161826014398</v>
      </c>
      <c r="D271">
        <v>942.80161826014398</v>
      </c>
      <c r="E271" t="s">
        <v>2869</v>
      </c>
      <c r="F271" t="s">
        <v>2870</v>
      </c>
    </row>
    <row r="272" spans="1:6" x14ac:dyDescent="0.45">
      <c r="A272" t="str">
        <f t="shared" si="4"/>
        <v>ET02,68</v>
      </c>
      <c r="B272">
        <v>68</v>
      </c>
      <c r="C272">
        <v>878.60753220554295</v>
      </c>
      <c r="D272">
        <v>847.22740508523896</v>
      </c>
      <c r="E272" t="s">
        <v>2869</v>
      </c>
      <c r="F272" t="s">
        <v>2870</v>
      </c>
    </row>
    <row r="273" spans="1:6" x14ac:dyDescent="0.45">
      <c r="A273" t="str">
        <f t="shared" si="4"/>
        <v>ET02,69</v>
      </c>
      <c r="B273">
        <v>69</v>
      </c>
      <c r="C273">
        <v>814.41344615094204</v>
      </c>
      <c r="D273">
        <v>775.88073328992095</v>
      </c>
      <c r="E273" t="s">
        <v>2869</v>
      </c>
      <c r="F273" t="s">
        <v>2870</v>
      </c>
    </row>
    <row r="274" spans="1:6" x14ac:dyDescent="0.45">
      <c r="A274" t="str">
        <f t="shared" si="4"/>
        <v>ET02,70</v>
      </c>
      <c r="B274">
        <v>70</v>
      </c>
      <c r="C274">
        <v>750.21936009634203</v>
      </c>
      <c r="D274">
        <v>720.22412505475404</v>
      </c>
      <c r="E274" t="s">
        <v>2869</v>
      </c>
      <c r="F274" t="s">
        <v>2870</v>
      </c>
    </row>
    <row r="275" spans="1:6" x14ac:dyDescent="0.45">
      <c r="A275" t="str">
        <f t="shared" si="4"/>
        <v>ET02,71</v>
      </c>
      <c r="B275">
        <v>71</v>
      </c>
      <c r="C275">
        <v>686.025274041741</v>
      </c>
      <c r="D275">
        <v>671.72010256030603</v>
      </c>
      <c r="E275" t="s">
        <v>2869</v>
      </c>
      <c r="F275" t="s">
        <v>2870</v>
      </c>
    </row>
    <row r="276" spans="1:6" x14ac:dyDescent="0.45">
      <c r="A276" t="str">
        <f t="shared" si="4"/>
        <v>ET02,72</v>
      </c>
      <c r="B276">
        <v>72</v>
      </c>
      <c r="C276">
        <v>621.83118798713997</v>
      </c>
      <c r="D276">
        <v>621.83118798713997</v>
      </c>
      <c r="E276" t="s">
        <v>2869</v>
      </c>
      <c r="F276" t="s">
        <v>2870</v>
      </c>
    </row>
    <row r="277" spans="1:6" x14ac:dyDescent="0.45">
      <c r="A277" t="str">
        <f t="shared" si="4"/>
        <v>ET02,73</v>
      </c>
      <c r="B277">
        <v>73</v>
      </c>
      <c r="C277">
        <v>562.43145136313399</v>
      </c>
      <c r="D277">
        <v>564.196151472677</v>
      </c>
      <c r="E277" t="s">
        <v>2869</v>
      </c>
      <c r="F277" t="s">
        <v>2870</v>
      </c>
    </row>
    <row r="278" spans="1:6" x14ac:dyDescent="0.45">
      <c r="A278" t="str">
        <f t="shared" si="4"/>
        <v>ET02,74</v>
      </c>
      <c r="B278">
        <v>74</v>
      </c>
      <c r="C278">
        <v>503.03171473912801</v>
      </c>
      <c r="D278">
        <v>501.15875498175302</v>
      </c>
      <c r="E278" t="s">
        <v>2869</v>
      </c>
      <c r="F278" t="s">
        <v>2870</v>
      </c>
    </row>
    <row r="279" spans="1:6" x14ac:dyDescent="0.45">
      <c r="A279" t="str">
        <f t="shared" si="4"/>
        <v>ET02,75</v>
      </c>
      <c r="B279">
        <v>75</v>
      </c>
      <c r="C279">
        <v>443.63197811512202</v>
      </c>
      <c r="D279">
        <v>437.23900843605702</v>
      </c>
      <c r="E279" t="s">
        <v>2869</v>
      </c>
      <c r="F279" t="s">
        <v>2870</v>
      </c>
    </row>
    <row r="280" spans="1:6" x14ac:dyDescent="0.45">
      <c r="A280" t="str">
        <f t="shared" si="4"/>
        <v>ET02,76</v>
      </c>
      <c r="B280">
        <v>76</v>
      </c>
      <c r="C280">
        <v>384.23224149111599</v>
      </c>
      <c r="D280">
        <v>376.95692175727902</v>
      </c>
      <c r="E280" t="s">
        <v>2869</v>
      </c>
      <c r="F280" t="s">
        <v>2870</v>
      </c>
    </row>
    <row r="281" spans="1:6" x14ac:dyDescent="0.45">
      <c r="A281" t="str">
        <f t="shared" si="4"/>
        <v>ET02,77</v>
      </c>
      <c r="B281">
        <v>77</v>
      </c>
      <c r="C281">
        <v>324.83250486711</v>
      </c>
      <c r="D281">
        <v>324.83250486711</v>
      </c>
      <c r="E281" t="s">
        <v>2869</v>
      </c>
      <c r="F281" t="s">
        <v>2870</v>
      </c>
    </row>
    <row r="282" spans="1:6" x14ac:dyDescent="0.45">
      <c r="A282" t="str">
        <f t="shared" si="4"/>
        <v>ET02,78</v>
      </c>
      <c r="B282">
        <v>78</v>
      </c>
      <c r="C282">
        <v>297.37200389368797</v>
      </c>
      <c r="D282">
        <v>284.12780117120298</v>
      </c>
      <c r="E282" t="s">
        <v>2869</v>
      </c>
      <c r="F282" t="s">
        <v>2870</v>
      </c>
    </row>
    <row r="283" spans="1:6" x14ac:dyDescent="0.45">
      <c r="A283" t="str">
        <f t="shared" si="4"/>
        <v>ET02,79</v>
      </c>
      <c r="B283">
        <v>79</v>
      </c>
      <c r="C283">
        <v>269.911502920266</v>
      </c>
      <c r="D283">
        <v>253.072988011066</v>
      </c>
      <c r="E283" t="s">
        <v>2869</v>
      </c>
      <c r="F283" t="s">
        <v>2870</v>
      </c>
    </row>
    <row r="284" spans="1:6" x14ac:dyDescent="0.45">
      <c r="A284" t="str">
        <f t="shared" si="4"/>
        <v>ET02,80</v>
      </c>
      <c r="B284">
        <v>80</v>
      </c>
      <c r="C284">
        <v>242.451001946844</v>
      </c>
      <c r="D284">
        <v>228.64027621217201</v>
      </c>
      <c r="E284" t="s">
        <v>2869</v>
      </c>
      <c r="F284" t="s">
        <v>2870</v>
      </c>
    </row>
    <row r="285" spans="1:6" x14ac:dyDescent="0.45">
      <c r="A285" t="str">
        <f t="shared" si="4"/>
        <v>ET02,81</v>
      </c>
      <c r="B285">
        <v>81</v>
      </c>
      <c r="C285">
        <v>214.990500973422</v>
      </c>
      <c r="D285">
        <v>207.80187659999299</v>
      </c>
      <c r="E285" t="s">
        <v>2869</v>
      </c>
      <c r="F285" t="s">
        <v>2870</v>
      </c>
    </row>
    <row r="286" spans="1:6" x14ac:dyDescent="0.45">
      <c r="A286" t="str">
        <f t="shared" si="4"/>
        <v>ET02,82</v>
      </c>
      <c r="B286">
        <v>82</v>
      </c>
      <c r="C286">
        <v>187.53</v>
      </c>
      <c r="D286">
        <v>187.53</v>
      </c>
      <c r="E286" t="s">
        <v>2869</v>
      </c>
      <c r="F286" t="s">
        <v>2870</v>
      </c>
    </row>
    <row r="287" spans="1:6" x14ac:dyDescent="0.45">
      <c r="A287" t="str">
        <f t="shared" si="4"/>
        <v>ET02,83</v>
      </c>
      <c r="B287">
        <v>83</v>
      </c>
      <c r="C287">
        <v>165.18559999999999</v>
      </c>
      <c r="D287">
        <v>165.49375450907101</v>
      </c>
      <c r="E287" t="s">
        <v>2869</v>
      </c>
      <c r="F287" t="s">
        <v>2870</v>
      </c>
    </row>
    <row r="288" spans="1:6" x14ac:dyDescent="0.45">
      <c r="A288" t="str">
        <f t="shared" si="4"/>
        <v>ET02,84</v>
      </c>
      <c r="B288">
        <v>84</v>
      </c>
      <c r="C288">
        <v>142.84119999999999</v>
      </c>
      <c r="D288">
        <v>142.149837309703</v>
      </c>
      <c r="E288" t="s">
        <v>2869</v>
      </c>
      <c r="F288" t="s">
        <v>2870</v>
      </c>
    </row>
    <row r="289" spans="1:6" x14ac:dyDescent="0.45">
      <c r="A289" t="str">
        <f t="shared" si="4"/>
        <v>ET02,85</v>
      </c>
      <c r="B289">
        <v>85</v>
      </c>
      <c r="C289">
        <v>120.49679999999999</v>
      </c>
      <c r="D289">
        <v>118.6518428558</v>
      </c>
      <c r="E289" t="s">
        <v>2869</v>
      </c>
      <c r="F289" t="s">
        <v>2870</v>
      </c>
    </row>
    <row r="290" spans="1:6" x14ac:dyDescent="0.45">
      <c r="A290" t="str">
        <f t="shared" si="4"/>
        <v>ET02,86</v>
      </c>
      <c r="B290">
        <v>86</v>
      </c>
      <c r="C290">
        <v>98.1524</v>
      </c>
      <c r="D290">
        <v>96.153365601264994</v>
      </c>
      <c r="E290" t="s">
        <v>2869</v>
      </c>
      <c r="F290" t="s">
        <v>2870</v>
      </c>
    </row>
    <row r="291" spans="1:6" x14ac:dyDescent="0.45">
      <c r="A291" t="str">
        <f t="shared" si="4"/>
        <v>ET02,87</v>
      </c>
      <c r="B291">
        <v>87</v>
      </c>
      <c r="C291">
        <v>75.808000000000007</v>
      </c>
      <c r="D291">
        <v>75.808000000000007</v>
      </c>
      <c r="E291" t="s">
        <v>2869</v>
      </c>
      <c r="F291" t="s">
        <v>2870</v>
      </c>
    </row>
    <row r="292" spans="1:6" x14ac:dyDescent="0.45">
      <c r="A292" t="str">
        <f t="shared" si="4"/>
        <v>ET02,88</v>
      </c>
      <c r="B292">
        <v>88</v>
      </c>
      <c r="C292">
        <v>63.916400000000003</v>
      </c>
      <c r="D292">
        <v>58.5261112844736</v>
      </c>
      <c r="E292" t="s">
        <v>2869</v>
      </c>
      <c r="F292" t="s">
        <v>2870</v>
      </c>
    </row>
    <row r="293" spans="1:6" x14ac:dyDescent="0.45">
      <c r="A293" t="str">
        <f t="shared" si="4"/>
        <v>ET02,89</v>
      </c>
      <c r="B293">
        <v>89</v>
      </c>
      <c r="C293">
        <v>52.024799999999999</v>
      </c>
      <c r="D293">
        <v>44.245147801415598</v>
      </c>
      <c r="E293" t="s">
        <v>2869</v>
      </c>
      <c r="F293" t="s">
        <v>2870</v>
      </c>
    </row>
    <row r="294" spans="1:6" x14ac:dyDescent="0.45">
      <c r="A294" t="str">
        <f t="shared" si="4"/>
        <v>ET02,90</v>
      </c>
      <c r="B294">
        <v>90</v>
      </c>
      <c r="C294">
        <v>40.133200000000002</v>
      </c>
      <c r="D294">
        <v>32.659328676120602</v>
      </c>
      <c r="E294" t="s">
        <v>2869</v>
      </c>
      <c r="F294" t="s">
        <v>2870</v>
      </c>
    </row>
    <row r="295" spans="1:6" x14ac:dyDescent="0.45">
      <c r="A295" t="str">
        <f t="shared" si="4"/>
        <v>ET02,91</v>
      </c>
      <c r="B295">
        <v>91</v>
      </c>
      <c r="C295">
        <v>28.241599999999998</v>
      </c>
      <c r="D295">
        <v>23.462873033883799</v>
      </c>
      <c r="E295" t="s">
        <v>2869</v>
      </c>
      <c r="F295" t="s">
        <v>2870</v>
      </c>
    </row>
    <row r="296" spans="1:6" x14ac:dyDescent="0.45">
      <c r="A296" t="str">
        <f t="shared" si="4"/>
        <v>ET02,92</v>
      </c>
      <c r="B296">
        <v>92</v>
      </c>
      <c r="C296">
        <v>16.350000000000001</v>
      </c>
      <c r="D296">
        <v>16.350000000000001</v>
      </c>
      <c r="E296" t="s">
        <v>2869</v>
      </c>
      <c r="F296" t="s">
        <v>2870</v>
      </c>
    </row>
    <row r="297" spans="1:6" x14ac:dyDescent="0.45">
      <c r="A297" t="str">
        <f t="shared" si="4"/>
        <v>ET02,93</v>
      </c>
      <c r="B297">
        <v>93</v>
      </c>
      <c r="C297">
        <v>13.474399999999999</v>
      </c>
      <c r="D297">
        <v>11.0200083530345</v>
      </c>
      <c r="E297" t="s">
        <v>2869</v>
      </c>
      <c r="F297" t="s">
        <v>2870</v>
      </c>
    </row>
    <row r="298" spans="1:6" x14ac:dyDescent="0.45">
      <c r="A298" t="str">
        <f t="shared" si="4"/>
        <v>ET02,94</v>
      </c>
      <c r="B298">
        <v>94</v>
      </c>
      <c r="C298">
        <v>10.598800000000001</v>
      </c>
      <c r="D298">
        <v>7.1925154846343098</v>
      </c>
      <c r="E298" t="s">
        <v>2869</v>
      </c>
      <c r="F298" t="s">
        <v>2870</v>
      </c>
    </row>
    <row r="299" spans="1:6" x14ac:dyDescent="0.45">
      <c r="A299" t="str">
        <f t="shared" si="4"/>
        <v>ET02,95</v>
      </c>
      <c r="B299">
        <v>95</v>
      </c>
      <c r="C299">
        <v>7.7232000000000003</v>
      </c>
      <c r="D299">
        <v>4.5922184397168797</v>
      </c>
      <c r="E299" t="s">
        <v>2869</v>
      </c>
      <c r="F299" t="s">
        <v>2870</v>
      </c>
    </row>
    <row r="300" spans="1:6" x14ac:dyDescent="0.45">
      <c r="A300" t="str">
        <f t="shared" si="4"/>
        <v>ET02,96</v>
      </c>
      <c r="B300">
        <v>96</v>
      </c>
      <c r="C300">
        <v>4.8475999999999999</v>
      </c>
      <c r="D300">
        <v>2.94381426319964</v>
      </c>
      <c r="E300" t="s">
        <v>2869</v>
      </c>
      <c r="F300" t="s">
        <v>2870</v>
      </c>
    </row>
    <row r="301" spans="1:6" x14ac:dyDescent="0.45">
      <c r="A301" t="str">
        <f t="shared" si="4"/>
        <v>ET02,97</v>
      </c>
      <c r="B301">
        <v>97</v>
      </c>
      <c r="C301">
        <v>1.972</v>
      </c>
      <c r="D301">
        <v>1.972</v>
      </c>
      <c r="E301" t="s">
        <v>2869</v>
      </c>
      <c r="F301" t="s">
        <v>2870</v>
      </c>
    </row>
    <row r="302" spans="1:6" x14ac:dyDescent="0.45">
      <c r="A302" t="str">
        <f t="shared" si="4"/>
        <v>ET02,98</v>
      </c>
      <c r="B302">
        <v>98</v>
      </c>
      <c r="C302">
        <v>1.6479999999999999</v>
      </c>
      <c r="D302">
        <v>1.4250628009805399</v>
      </c>
      <c r="E302" t="s">
        <v>2869</v>
      </c>
      <c r="F302" t="s">
        <v>2870</v>
      </c>
    </row>
    <row r="303" spans="1:6" x14ac:dyDescent="0.45">
      <c r="A303" t="str">
        <f t="shared" si="4"/>
        <v>ET02,99</v>
      </c>
      <c r="B303">
        <v>99</v>
      </c>
      <c r="C303">
        <v>1.3240000000000001</v>
      </c>
      <c r="D303">
        <v>1.14565024078443</v>
      </c>
      <c r="E303" t="s">
        <v>2869</v>
      </c>
      <c r="F303" t="s">
        <v>2870</v>
      </c>
    </row>
    <row r="304" spans="1:6" x14ac:dyDescent="0.45">
      <c r="A304" t="str">
        <f t="shared" si="4"/>
        <v>ET02,100</v>
      </c>
      <c r="B304">
        <v>100</v>
      </c>
      <c r="C304">
        <v>1</v>
      </c>
      <c r="D304">
        <v>1</v>
      </c>
      <c r="E304" t="s">
        <v>2869</v>
      </c>
      <c r="F304" t="s">
        <v>2870</v>
      </c>
    </row>
    <row r="305" spans="1:6" x14ac:dyDescent="0.45">
      <c r="A305" t="str">
        <f t="shared" si="4"/>
        <v>ET03,&lt;1</v>
      </c>
      <c r="B305" t="s">
        <v>119</v>
      </c>
      <c r="C305">
        <v>383352.08778901002</v>
      </c>
      <c r="D305">
        <v>383352.08778901002</v>
      </c>
      <c r="E305" t="s">
        <v>2871</v>
      </c>
      <c r="F305" t="s">
        <v>805</v>
      </c>
    </row>
    <row r="306" spans="1:6" x14ac:dyDescent="0.45">
      <c r="A306" t="str">
        <f t="shared" si="4"/>
        <v>ET03,1</v>
      </c>
      <c r="B306">
        <v>1</v>
      </c>
      <c r="C306">
        <v>368791.59285350499</v>
      </c>
      <c r="D306">
        <v>367823.65454663802</v>
      </c>
      <c r="E306" t="s">
        <v>2871</v>
      </c>
      <c r="F306" t="s">
        <v>805</v>
      </c>
    </row>
    <row r="307" spans="1:6" x14ac:dyDescent="0.45">
      <c r="A307" t="str">
        <f t="shared" si="4"/>
        <v>ET03,2</v>
      </c>
      <c r="B307">
        <v>2</v>
      </c>
      <c r="C307">
        <v>354231.09791800001</v>
      </c>
      <c r="D307">
        <v>354231.09791800001</v>
      </c>
      <c r="E307" t="s">
        <v>2871</v>
      </c>
      <c r="F307" t="s">
        <v>805</v>
      </c>
    </row>
    <row r="308" spans="1:6" x14ac:dyDescent="0.45">
      <c r="A308" t="str">
        <f t="shared" si="4"/>
        <v>ET03,3</v>
      </c>
      <c r="B308">
        <v>3</v>
      </c>
      <c r="C308">
        <v>348559.02425808797</v>
      </c>
      <c r="D308">
        <v>344052.763190086</v>
      </c>
      <c r="E308" t="s">
        <v>2871</v>
      </c>
      <c r="F308" t="s">
        <v>805</v>
      </c>
    </row>
    <row r="309" spans="1:6" x14ac:dyDescent="0.45">
      <c r="A309" t="str">
        <f t="shared" si="4"/>
        <v>ET03,4</v>
      </c>
      <c r="B309">
        <v>4</v>
      </c>
      <c r="C309">
        <v>342886.950598175</v>
      </c>
      <c r="D309">
        <v>336936.87034290697</v>
      </c>
      <c r="E309" t="s">
        <v>2871</v>
      </c>
      <c r="F309" t="s">
        <v>805</v>
      </c>
    </row>
    <row r="310" spans="1:6" x14ac:dyDescent="0.45">
      <c r="A310" t="str">
        <f t="shared" si="4"/>
        <v>ET03,5</v>
      </c>
      <c r="B310">
        <v>5</v>
      </c>
      <c r="C310">
        <v>337214.87693826301</v>
      </c>
      <c r="D310">
        <v>332074.10802972899</v>
      </c>
      <c r="E310" t="s">
        <v>2871</v>
      </c>
      <c r="F310" t="s">
        <v>805</v>
      </c>
    </row>
    <row r="311" spans="1:6" x14ac:dyDescent="0.45">
      <c r="A311" t="str">
        <f t="shared" si="4"/>
        <v>ET03,6</v>
      </c>
      <c r="B311">
        <v>6</v>
      </c>
      <c r="C311">
        <v>331542.80327834998</v>
      </c>
      <c r="D311">
        <v>328655.164903817</v>
      </c>
      <c r="E311" t="s">
        <v>2871</v>
      </c>
      <c r="F311" t="s">
        <v>805</v>
      </c>
    </row>
    <row r="312" spans="1:6" x14ac:dyDescent="0.45">
      <c r="A312" t="str">
        <f t="shared" si="4"/>
        <v>ET03,7</v>
      </c>
      <c r="B312">
        <v>7</v>
      </c>
      <c r="C312">
        <v>325870.729618438</v>
      </c>
      <c r="D312">
        <v>325870.729618438</v>
      </c>
      <c r="E312" t="s">
        <v>2871</v>
      </c>
      <c r="F312" t="s">
        <v>805</v>
      </c>
    </row>
    <row r="313" spans="1:6" x14ac:dyDescent="0.45">
      <c r="A313" t="str">
        <f t="shared" si="4"/>
        <v>ET03,8</v>
      </c>
      <c r="B313">
        <v>8</v>
      </c>
      <c r="C313">
        <v>322852.12216115202</v>
      </c>
      <c r="D313">
        <v>323052.590176203</v>
      </c>
      <c r="E313" t="s">
        <v>2871</v>
      </c>
      <c r="F313" t="s">
        <v>805</v>
      </c>
    </row>
    <row r="314" spans="1:6" x14ac:dyDescent="0.45">
      <c r="A314" t="str">
        <f t="shared" si="4"/>
        <v>ET03,9</v>
      </c>
      <c r="B314">
        <v>9</v>
      </c>
      <c r="C314">
        <v>319833.51470386703</v>
      </c>
      <c r="D314">
        <v>320096.93197710399</v>
      </c>
      <c r="E314" t="s">
        <v>2871</v>
      </c>
      <c r="F314" t="s">
        <v>805</v>
      </c>
    </row>
    <row r="315" spans="1:6" x14ac:dyDescent="0.45">
      <c r="A315" t="str">
        <f t="shared" si="4"/>
        <v>ET03,10</v>
      </c>
      <c r="B315">
        <v>10</v>
      </c>
      <c r="C315">
        <v>316814.90724658099</v>
      </c>
      <c r="D315">
        <v>317041.03977048001</v>
      </c>
      <c r="E315" t="s">
        <v>2871</v>
      </c>
      <c r="F315" t="s">
        <v>805</v>
      </c>
    </row>
    <row r="316" spans="1:6" x14ac:dyDescent="0.45">
      <c r="A316" t="str">
        <f t="shared" si="4"/>
        <v>ET03,11</v>
      </c>
      <c r="B316">
        <v>11</v>
      </c>
      <c r="C316">
        <v>313796.299789296</v>
      </c>
      <c r="D316">
        <v>313922.19830566901</v>
      </c>
      <c r="E316" t="s">
        <v>2871</v>
      </c>
      <c r="F316" t="s">
        <v>805</v>
      </c>
    </row>
    <row r="317" spans="1:6" x14ac:dyDescent="0.45">
      <c r="A317" t="str">
        <f t="shared" si="4"/>
        <v>ET03,12</v>
      </c>
      <c r="B317">
        <v>12</v>
      </c>
      <c r="C317">
        <v>310777.69233201002</v>
      </c>
      <c r="D317">
        <v>310777.69233201002</v>
      </c>
      <c r="E317" t="s">
        <v>2871</v>
      </c>
      <c r="F317" t="s">
        <v>805</v>
      </c>
    </row>
    <row r="318" spans="1:6" x14ac:dyDescent="0.45">
      <c r="A318" t="str">
        <f t="shared" si="4"/>
        <v>ET03,13</v>
      </c>
      <c r="B318">
        <v>13</v>
      </c>
      <c r="C318">
        <v>305056.483338814</v>
      </c>
      <c r="D318">
        <v>307534.37848930602</v>
      </c>
      <c r="E318" t="s">
        <v>2871</v>
      </c>
      <c r="F318" t="s">
        <v>805</v>
      </c>
    </row>
    <row r="319" spans="1:6" x14ac:dyDescent="0.45">
      <c r="A319" t="str">
        <f t="shared" si="4"/>
        <v>ET03,14</v>
      </c>
      <c r="B319">
        <v>14</v>
      </c>
      <c r="C319">
        <v>299335.27434561902</v>
      </c>
      <c r="D319">
        <v>303677.40097922401</v>
      </c>
      <c r="E319" t="s">
        <v>2871</v>
      </c>
      <c r="F319" t="s">
        <v>805</v>
      </c>
    </row>
    <row r="320" spans="1:6" x14ac:dyDescent="0.45">
      <c r="A320" t="str">
        <f t="shared" si="4"/>
        <v>ET03,15</v>
      </c>
      <c r="B320">
        <v>15</v>
      </c>
      <c r="C320">
        <v>293614.065352423</v>
      </c>
      <c r="D320">
        <v>298581.47589389601</v>
      </c>
      <c r="E320" t="s">
        <v>2871</v>
      </c>
      <c r="F320" t="s">
        <v>805</v>
      </c>
    </row>
    <row r="321" spans="1:6" x14ac:dyDescent="0.45">
      <c r="A321" t="str">
        <f t="shared" si="4"/>
        <v>ET03,16</v>
      </c>
      <c r="B321">
        <v>16</v>
      </c>
      <c r="C321">
        <v>287892.85635922803</v>
      </c>
      <c r="D321">
        <v>291621.319325455</v>
      </c>
      <c r="E321" t="s">
        <v>2871</v>
      </c>
      <c r="F321" t="s">
        <v>805</v>
      </c>
    </row>
    <row r="322" spans="1:6" x14ac:dyDescent="0.45">
      <c r="A322" t="str">
        <f t="shared" si="4"/>
        <v>ET03,17</v>
      </c>
      <c r="B322">
        <v>17</v>
      </c>
      <c r="C322">
        <v>282171.647366032</v>
      </c>
      <c r="D322">
        <v>282171.647366032</v>
      </c>
      <c r="E322" t="s">
        <v>2871</v>
      </c>
      <c r="F322" t="s">
        <v>805</v>
      </c>
    </row>
    <row r="323" spans="1:6" x14ac:dyDescent="0.45">
      <c r="A323" t="str">
        <f t="shared" ref="A323:A386" si="5">_xlfn.CONCAT(E323,",",B323)</f>
        <v>ET03,18</v>
      </c>
      <c r="B323">
        <v>18</v>
      </c>
      <c r="C323">
        <v>269626.11473761598</v>
      </c>
      <c r="D323">
        <v>269957.16302212101</v>
      </c>
      <c r="E323" t="s">
        <v>2871</v>
      </c>
      <c r="F323" t="s">
        <v>805</v>
      </c>
    </row>
    <row r="324" spans="1:6" x14ac:dyDescent="0.45">
      <c r="A324" t="str">
        <f t="shared" si="5"/>
        <v>ET03,19</v>
      </c>
      <c r="B324">
        <v>19</v>
      </c>
      <c r="C324">
        <v>257080.58210920001</v>
      </c>
      <c r="D324">
        <v>256102.51695765901</v>
      </c>
      <c r="E324" t="s">
        <v>2871</v>
      </c>
      <c r="F324" t="s">
        <v>805</v>
      </c>
    </row>
    <row r="325" spans="1:6" x14ac:dyDescent="0.45">
      <c r="A325" t="str">
        <f t="shared" si="5"/>
        <v>ET03,20</v>
      </c>
      <c r="B325">
        <v>20</v>
      </c>
      <c r="C325">
        <v>244535.04948078399</v>
      </c>
      <c r="D325">
        <v>242082.346750945</v>
      </c>
      <c r="E325" t="s">
        <v>2871</v>
      </c>
      <c r="F325" t="s">
        <v>805</v>
      </c>
    </row>
    <row r="326" spans="1:6" x14ac:dyDescent="0.45">
      <c r="A326" t="str">
        <f t="shared" si="5"/>
        <v>ET03,21</v>
      </c>
      <c r="B326">
        <v>21</v>
      </c>
      <c r="C326">
        <v>231989.51685236799</v>
      </c>
      <c r="D326">
        <v>229371.28998027599</v>
      </c>
      <c r="E326" t="s">
        <v>2871</v>
      </c>
      <c r="F326" t="s">
        <v>805</v>
      </c>
    </row>
    <row r="327" spans="1:6" x14ac:dyDescent="0.45">
      <c r="A327" t="str">
        <f t="shared" si="5"/>
        <v>ET03,22</v>
      </c>
      <c r="B327">
        <v>22</v>
      </c>
      <c r="C327">
        <v>219443.98422395199</v>
      </c>
      <c r="D327">
        <v>219443.98422395199</v>
      </c>
      <c r="E327" t="s">
        <v>2871</v>
      </c>
      <c r="F327" t="s">
        <v>805</v>
      </c>
    </row>
    <row r="328" spans="1:6" x14ac:dyDescent="0.45">
      <c r="A328" t="str">
        <f t="shared" si="5"/>
        <v>ET03,23</v>
      </c>
      <c r="B328">
        <v>23</v>
      </c>
      <c r="C328">
        <v>215412.843843221</v>
      </c>
      <c r="D328">
        <v>213263.96503164899</v>
      </c>
      <c r="E328" t="s">
        <v>2871</v>
      </c>
      <c r="F328" t="s">
        <v>805</v>
      </c>
    </row>
    <row r="329" spans="1:6" x14ac:dyDescent="0.45">
      <c r="A329" t="str">
        <f t="shared" si="5"/>
        <v>ET03,24</v>
      </c>
      <c r="B329">
        <v>24</v>
      </c>
      <c r="C329">
        <v>211381.70346249</v>
      </c>
      <c r="D329">
        <v>209750.35983855999</v>
      </c>
      <c r="E329" t="s">
        <v>2871</v>
      </c>
      <c r="F329" t="s">
        <v>805</v>
      </c>
    </row>
    <row r="330" spans="1:6" x14ac:dyDescent="0.45">
      <c r="A330" t="str">
        <f t="shared" si="5"/>
        <v>ET03,25</v>
      </c>
      <c r="B330">
        <v>25</v>
      </c>
      <c r="C330">
        <v>207350.56308175999</v>
      </c>
      <c r="D330">
        <v>207311.194051258</v>
      </c>
      <c r="E330" t="s">
        <v>2871</v>
      </c>
      <c r="F330" t="s">
        <v>805</v>
      </c>
    </row>
    <row r="331" spans="1:6" x14ac:dyDescent="0.45">
      <c r="A331" t="str">
        <f t="shared" si="5"/>
        <v>ET03,26</v>
      </c>
      <c r="B331">
        <v>26</v>
      </c>
      <c r="C331">
        <v>203319.42270102899</v>
      </c>
      <c r="D331">
        <v>204354.493076313</v>
      </c>
      <c r="E331" t="s">
        <v>2871</v>
      </c>
      <c r="F331" t="s">
        <v>805</v>
      </c>
    </row>
    <row r="332" spans="1:6" x14ac:dyDescent="0.45">
      <c r="A332" t="str">
        <f t="shared" si="5"/>
        <v>ET03,27</v>
      </c>
      <c r="B332">
        <v>27</v>
      </c>
      <c r="C332">
        <v>199288.28232029799</v>
      </c>
      <c r="D332">
        <v>199288.28232029799</v>
      </c>
      <c r="E332" t="s">
        <v>2871</v>
      </c>
      <c r="F332" t="s">
        <v>805</v>
      </c>
    </row>
    <row r="333" spans="1:6" x14ac:dyDescent="0.45">
      <c r="A333" t="str">
        <f t="shared" si="5"/>
        <v>ET03,28</v>
      </c>
      <c r="B333">
        <v>28</v>
      </c>
      <c r="C333">
        <v>189399.30609779601</v>
      </c>
      <c r="D333">
        <v>191026.57063101401</v>
      </c>
      <c r="E333" t="s">
        <v>2871</v>
      </c>
      <c r="F333" t="s">
        <v>805</v>
      </c>
    </row>
    <row r="334" spans="1:6" x14ac:dyDescent="0.45">
      <c r="A334" t="str">
        <f t="shared" si="5"/>
        <v>ET03,29</v>
      </c>
      <c r="B334">
        <v>29</v>
      </c>
      <c r="C334">
        <v>179510.32987529499</v>
      </c>
      <c r="D334">
        <v>180507.300621175</v>
      </c>
      <c r="E334" t="s">
        <v>2871</v>
      </c>
      <c r="F334" t="s">
        <v>805</v>
      </c>
    </row>
    <row r="335" spans="1:6" x14ac:dyDescent="0.45">
      <c r="A335" t="str">
        <f t="shared" si="5"/>
        <v>ET03,30</v>
      </c>
      <c r="B335">
        <v>30</v>
      </c>
      <c r="C335">
        <v>169621.35365279301</v>
      </c>
      <c r="D335">
        <v>169174.39834472901</v>
      </c>
      <c r="E335" t="s">
        <v>2871</v>
      </c>
      <c r="F335" t="s">
        <v>805</v>
      </c>
    </row>
    <row r="336" spans="1:6" x14ac:dyDescent="0.45">
      <c r="A336" t="str">
        <f t="shared" si="5"/>
        <v>ET03,31</v>
      </c>
      <c r="B336">
        <v>31</v>
      </c>
      <c r="C336">
        <v>159732.377430291</v>
      </c>
      <c r="D336">
        <v>158471.789855618</v>
      </c>
      <c r="E336" t="s">
        <v>2871</v>
      </c>
      <c r="F336" t="s">
        <v>805</v>
      </c>
    </row>
    <row r="337" spans="1:6" x14ac:dyDescent="0.45">
      <c r="A337" t="str">
        <f t="shared" si="5"/>
        <v>ET03,32</v>
      </c>
      <c r="B337">
        <v>32</v>
      </c>
      <c r="C337">
        <v>149843.40120779001</v>
      </c>
      <c r="D337">
        <v>149843.40120779001</v>
      </c>
      <c r="E337" t="s">
        <v>2871</v>
      </c>
      <c r="F337" t="s">
        <v>805</v>
      </c>
    </row>
    <row r="338" spans="1:6" x14ac:dyDescent="0.45">
      <c r="A338" t="str">
        <f t="shared" si="5"/>
        <v>ET03,33</v>
      </c>
      <c r="B338">
        <v>33</v>
      </c>
      <c r="C338">
        <v>147037.52227593801</v>
      </c>
      <c r="D338">
        <v>144312.85316776799</v>
      </c>
      <c r="E338" t="s">
        <v>2871</v>
      </c>
      <c r="F338" t="s">
        <v>805</v>
      </c>
    </row>
    <row r="339" spans="1:6" x14ac:dyDescent="0.45">
      <c r="A339" t="str">
        <f t="shared" si="5"/>
        <v>ET03,34</v>
      </c>
      <c r="B339">
        <v>34</v>
      </c>
      <c r="C339">
        <v>144231.643344087</v>
      </c>
      <c r="D339">
        <v>141222.545352402</v>
      </c>
      <c r="E339" t="s">
        <v>2871</v>
      </c>
      <c r="F339" t="s">
        <v>805</v>
      </c>
    </row>
    <row r="340" spans="1:6" x14ac:dyDescent="0.45">
      <c r="A340" t="str">
        <f t="shared" si="5"/>
        <v>ET03,35</v>
      </c>
      <c r="B340">
        <v>35</v>
      </c>
      <c r="C340">
        <v>141425.764412235</v>
      </c>
      <c r="D340">
        <v>139494.57209112201</v>
      </c>
      <c r="E340" t="s">
        <v>2871</v>
      </c>
      <c r="F340" t="s">
        <v>805</v>
      </c>
    </row>
    <row r="341" spans="1:6" x14ac:dyDescent="0.45">
      <c r="A341" t="str">
        <f t="shared" si="5"/>
        <v>ET03,36</v>
      </c>
      <c r="B341">
        <v>36</v>
      </c>
      <c r="C341">
        <v>138619.88548038399</v>
      </c>
      <c r="D341">
        <v>138051.027713355</v>
      </c>
      <c r="E341" t="s">
        <v>2871</v>
      </c>
      <c r="F341" t="s">
        <v>805</v>
      </c>
    </row>
    <row r="342" spans="1:6" x14ac:dyDescent="0.45">
      <c r="A342" t="str">
        <f t="shared" si="5"/>
        <v>ET03,37</v>
      </c>
      <c r="B342">
        <v>37</v>
      </c>
      <c r="C342">
        <v>135814.00654853199</v>
      </c>
      <c r="D342">
        <v>135814.00654853199</v>
      </c>
      <c r="E342" t="s">
        <v>2871</v>
      </c>
      <c r="F342" t="s">
        <v>805</v>
      </c>
    </row>
    <row r="343" spans="1:6" x14ac:dyDescent="0.45">
      <c r="A343" t="str">
        <f t="shared" si="5"/>
        <v>ET03,38</v>
      </c>
      <c r="B343">
        <v>38</v>
      </c>
      <c r="C343">
        <v>130683.962391337</v>
      </c>
      <c r="D343">
        <v>131986.91280859301</v>
      </c>
      <c r="E343" t="s">
        <v>2871</v>
      </c>
      <c r="F343" t="s">
        <v>805</v>
      </c>
    </row>
    <row r="344" spans="1:6" x14ac:dyDescent="0.45">
      <c r="A344" t="str">
        <f t="shared" si="5"/>
        <v>ET03,39</v>
      </c>
      <c r="B344">
        <v>39</v>
      </c>
      <c r="C344">
        <v>125553.91823414199</v>
      </c>
      <c r="D344">
        <v>126898.390235527</v>
      </c>
      <c r="E344" t="s">
        <v>2871</v>
      </c>
      <c r="F344" t="s">
        <v>805</v>
      </c>
    </row>
    <row r="345" spans="1:6" x14ac:dyDescent="0.45">
      <c r="A345" t="str">
        <f t="shared" si="5"/>
        <v>ET03,40</v>
      </c>
      <c r="B345">
        <v>40</v>
      </c>
      <c r="C345">
        <v>120423.87407694801</v>
      </c>
      <c r="D345">
        <v>121158.392453833</v>
      </c>
      <c r="E345" t="s">
        <v>2871</v>
      </c>
      <c r="F345" t="s">
        <v>805</v>
      </c>
    </row>
    <row r="346" spans="1:6" x14ac:dyDescent="0.45">
      <c r="A346" t="str">
        <f t="shared" si="5"/>
        <v>ET03,41</v>
      </c>
      <c r="B346">
        <v>41</v>
      </c>
      <c r="C346">
        <v>115293.829919753</v>
      </c>
      <c r="D346">
        <v>115376.87308801</v>
      </c>
      <c r="E346" t="s">
        <v>2871</v>
      </c>
      <c r="F346" t="s">
        <v>805</v>
      </c>
    </row>
    <row r="347" spans="1:6" x14ac:dyDescent="0.45">
      <c r="A347" t="str">
        <f t="shared" si="5"/>
        <v>ET03,42</v>
      </c>
      <c r="B347">
        <v>42</v>
      </c>
      <c r="C347">
        <v>110163.78576255801</v>
      </c>
      <c r="D347">
        <v>110163.78576255801</v>
      </c>
      <c r="E347" t="s">
        <v>2871</v>
      </c>
      <c r="F347" t="s">
        <v>805</v>
      </c>
    </row>
    <row r="348" spans="1:6" x14ac:dyDescent="0.45">
      <c r="A348" t="str">
        <f t="shared" si="5"/>
        <v>ET03,43</v>
      </c>
      <c r="B348">
        <v>43</v>
      </c>
      <c r="C348">
        <v>107339.35566922001</v>
      </c>
      <c r="D348">
        <v>105985.631531557</v>
      </c>
      <c r="E348" t="s">
        <v>2871</v>
      </c>
      <c r="F348" t="s">
        <v>805</v>
      </c>
    </row>
    <row r="349" spans="1:6" x14ac:dyDescent="0.45">
      <c r="A349" t="str">
        <f t="shared" si="5"/>
        <v>ET03,44</v>
      </c>
      <c r="B349">
        <v>44</v>
      </c>
      <c r="C349">
        <v>104514.92557588201</v>
      </c>
      <c r="D349">
        <v>102735.101167407</v>
      </c>
      <c r="E349" t="s">
        <v>2871</v>
      </c>
      <c r="F349" t="s">
        <v>805</v>
      </c>
    </row>
    <row r="350" spans="1:6" x14ac:dyDescent="0.45">
      <c r="A350" t="str">
        <f t="shared" si="5"/>
        <v>ET03,45</v>
      </c>
      <c r="B350">
        <v>45</v>
      </c>
      <c r="C350">
        <v>101690.49548254401</v>
      </c>
      <c r="D350">
        <v>100161.432872089</v>
      </c>
      <c r="E350" t="s">
        <v>2871</v>
      </c>
      <c r="F350" t="s">
        <v>805</v>
      </c>
    </row>
    <row r="351" spans="1:6" x14ac:dyDescent="0.45">
      <c r="A351" t="str">
        <f t="shared" si="5"/>
        <v>ET03,46</v>
      </c>
      <c r="B351">
        <v>46</v>
      </c>
      <c r="C351">
        <v>98866.065389206502</v>
      </c>
      <c r="D351">
        <v>98013.864847582197</v>
      </c>
      <c r="E351" t="s">
        <v>2871</v>
      </c>
      <c r="F351" t="s">
        <v>805</v>
      </c>
    </row>
    <row r="352" spans="1:6" x14ac:dyDescent="0.45">
      <c r="A352" t="str">
        <f t="shared" si="5"/>
        <v>ET03,47</v>
      </c>
      <c r="B352">
        <v>47</v>
      </c>
      <c r="C352">
        <v>96041.635295868604</v>
      </c>
      <c r="D352">
        <v>96041.635295868604</v>
      </c>
      <c r="E352" t="s">
        <v>2871</v>
      </c>
      <c r="F352" t="s">
        <v>805</v>
      </c>
    </row>
    <row r="353" spans="1:6" x14ac:dyDescent="0.45">
      <c r="A353" t="str">
        <f t="shared" si="5"/>
        <v>ET03,48</v>
      </c>
      <c r="B353">
        <v>48</v>
      </c>
      <c r="C353">
        <v>93971.561690844697</v>
      </c>
      <c r="D353">
        <v>94039.241343506001</v>
      </c>
      <c r="E353" t="s">
        <v>2871</v>
      </c>
      <c r="F353" t="s">
        <v>805</v>
      </c>
    </row>
    <row r="354" spans="1:6" x14ac:dyDescent="0.45">
      <c r="A354" t="str">
        <f t="shared" si="5"/>
        <v>ET03,49</v>
      </c>
      <c r="B354">
        <v>49</v>
      </c>
      <c r="C354">
        <v>91901.488085820703</v>
      </c>
      <c r="D354">
        <v>91982.215815364601</v>
      </c>
      <c r="E354" t="s">
        <v>2871</v>
      </c>
      <c r="F354" t="s">
        <v>805</v>
      </c>
    </row>
    <row r="355" spans="1:6" x14ac:dyDescent="0.45">
      <c r="A355" t="str">
        <f t="shared" si="5"/>
        <v>ET03,50</v>
      </c>
      <c r="B355">
        <v>50</v>
      </c>
      <c r="C355">
        <v>89831.414480796797</v>
      </c>
      <c r="D355">
        <v>89891.350460892601</v>
      </c>
      <c r="E355" t="s">
        <v>2871</v>
      </c>
      <c r="F355" t="s">
        <v>805</v>
      </c>
    </row>
    <row r="356" spans="1:6" x14ac:dyDescent="0.45">
      <c r="A356" t="str">
        <f t="shared" si="5"/>
        <v>ET03,51</v>
      </c>
      <c r="B356">
        <v>51</v>
      </c>
      <c r="C356">
        <v>87761.340875772905</v>
      </c>
      <c r="D356">
        <v>87787.437029538007</v>
      </c>
      <c r="E356" t="s">
        <v>2871</v>
      </c>
      <c r="F356" t="s">
        <v>805</v>
      </c>
    </row>
    <row r="357" spans="1:6" x14ac:dyDescent="0.45">
      <c r="A357" t="str">
        <f t="shared" si="5"/>
        <v>ET03,52</v>
      </c>
      <c r="B357">
        <v>52</v>
      </c>
      <c r="C357">
        <v>85691.267270748998</v>
      </c>
      <c r="D357">
        <v>85691.267270748998</v>
      </c>
      <c r="E357" t="s">
        <v>2871</v>
      </c>
      <c r="F357" t="s">
        <v>805</v>
      </c>
    </row>
    <row r="358" spans="1:6" x14ac:dyDescent="0.45">
      <c r="A358" t="str">
        <f t="shared" si="5"/>
        <v>ET03,53</v>
      </c>
      <c r="B358">
        <v>53</v>
      </c>
      <c r="C358">
        <v>83173.546966781607</v>
      </c>
      <c r="D358">
        <v>83600.019981613106</v>
      </c>
      <c r="E358" t="s">
        <v>2871</v>
      </c>
      <c r="F358" t="s">
        <v>805</v>
      </c>
    </row>
    <row r="359" spans="1:6" x14ac:dyDescent="0.45">
      <c r="A359" t="str">
        <f t="shared" si="5"/>
        <v>ET03,54</v>
      </c>
      <c r="B359">
        <v>54</v>
      </c>
      <c r="C359">
        <v>80655.826662814099</v>
      </c>
      <c r="D359">
        <v>81416.422149776205</v>
      </c>
      <c r="E359" t="s">
        <v>2871</v>
      </c>
      <c r="F359" t="s">
        <v>805</v>
      </c>
    </row>
    <row r="360" spans="1:6" x14ac:dyDescent="0.45">
      <c r="A360" t="str">
        <f t="shared" si="5"/>
        <v>ET03,55</v>
      </c>
      <c r="B360">
        <v>55</v>
      </c>
      <c r="C360">
        <v>78138.106358846693</v>
      </c>
      <c r="D360">
        <v>79019.587810523502</v>
      </c>
      <c r="E360" t="s">
        <v>2871</v>
      </c>
      <c r="F360" t="s">
        <v>805</v>
      </c>
    </row>
    <row r="361" spans="1:6" x14ac:dyDescent="0.45">
      <c r="A361" t="str">
        <f t="shared" si="5"/>
        <v>ET03,56</v>
      </c>
      <c r="B361">
        <v>56</v>
      </c>
      <c r="C361">
        <v>75620.3860548792</v>
      </c>
      <c r="D361">
        <v>76288.630999140296</v>
      </c>
      <c r="E361" t="s">
        <v>2871</v>
      </c>
      <c r="F361" t="s">
        <v>805</v>
      </c>
    </row>
    <row r="362" spans="1:6" x14ac:dyDescent="0.45">
      <c r="A362" t="str">
        <f t="shared" si="5"/>
        <v>ET03,57</v>
      </c>
      <c r="B362">
        <v>57</v>
      </c>
      <c r="C362">
        <v>73102.665750911794</v>
      </c>
      <c r="D362">
        <v>73102.665750911794</v>
      </c>
      <c r="E362" t="s">
        <v>2871</v>
      </c>
      <c r="F362" t="s">
        <v>805</v>
      </c>
    </row>
    <row r="363" spans="1:6" x14ac:dyDescent="0.45">
      <c r="A363" t="str">
        <f t="shared" si="5"/>
        <v>ET03,58</v>
      </c>
      <c r="B363">
        <v>58</v>
      </c>
      <c r="C363">
        <v>69393.777862033399</v>
      </c>
      <c r="D363">
        <v>69408.338278038893</v>
      </c>
      <c r="E363" t="s">
        <v>2871</v>
      </c>
      <c r="F363" t="s">
        <v>805</v>
      </c>
    </row>
    <row r="364" spans="1:6" x14ac:dyDescent="0.45">
      <c r="A364" t="str">
        <f t="shared" si="5"/>
        <v>ET03,59</v>
      </c>
      <c r="B364">
        <v>59</v>
      </c>
      <c r="C364">
        <v>65684.889973154903</v>
      </c>
      <c r="D364">
        <v>65422.423500384597</v>
      </c>
      <c r="E364" t="s">
        <v>2871</v>
      </c>
      <c r="F364" t="s">
        <v>805</v>
      </c>
    </row>
    <row r="365" spans="1:6" x14ac:dyDescent="0.45">
      <c r="A365" t="str">
        <f t="shared" si="5"/>
        <v>ET03,60</v>
      </c>
      <c r="B365">
        <v>60</v>
      </c>
      <c r="C365">
        <v>61976.002084276501</v>
      </c>
      <c r="D365">
        <v>61429.228514727598</v>
      </c>
      <c r="E365" t="s">
        <v>2871</v>
      </c>
      <c r="F365" t="s">
        <v>805</v>
      </c>
    </row>
    <row r="366" spans="1:6" x14ac:dyDescent="0.45">
      <c r="A366" t="str">
        <f t="shared" si="5"/>
        <v>ET03,61</v>
      </c>
      <c r="B366">
        <v>61</v>
      </c>
      <c r="C366">
        <v>58267.114195397997</v>
      </c>
      <c r="D366">
        <v>57713.060417846398</v>
      </c>
      <c r="E366" t="s">
        <v>2871</v>
      </c>
      <c r="F366" t="s">
        <v>805</v>
      </c>
    </row>
    <row r="367" spans="1:6" x14ac:dyDescent="0.45">
      <c r="A367" t="str">
        <f t="shared" si="5"/>
        <v>ET03,62</v>
      </c>
      <c r="B367">
        <v>62</v>
      </c>
      <c r="C367">
        <v>54558.226306519602</v>
      </c>
      <c r="D367">
        <v>54558.226306519602</v>
      </c>
      <c r="E367" t="s">
        <v>2871</v>
      </c>
      <c r="F367" t="s">
        <v>805</v>
      </c>
    </row>
    <row r="368" spans="1:6" x14ac:dyDescent="0.45">
      <c r="A368" t="str">
        <f t="shared" si="5"/>
        <v>ET03,63</v>
      </c>
      <c r="B368">
        <v>63</v>
      </c>
      <c r="C368">
        <v>52766.465288235398</v>
      </c>
      <c r="D368">
        <v>52156.590135883001</v>
      </c>
      <c r="E368" t="s">
        <v>2871</v>
      </c>
      <c r="F368" t="s">
        <v>805</v>
      </c>
    </row>
    <row r="369" spans="1:6" x14ac:dyDescent="0.45">
      <c r="A369" t="str">
        <f t="shared" si="5"/>
        <v>ET03,64</v>
      </c>
      <c r="B369">
        <v>64</v>
      </c>
      <c r="C369">
        <v>50974.704269951297</v>
      </c>
      <c r="D369">
        <v>50330.243294501102</v>
      </c>
      <c r="E369" t="s">
        <v>2871</v>
      </c>
      <c r="F369" t="s">
        <v>805</v>
      </c>
    </row>
    <row r="370" spans="1:6" x14ac:dyDescent="0.45">
      <c r="A370" t="str">
        <f t="shared" si="5"/>
        <v>ET03,65</v>
      </c>
      <c r="B370">
        <v>65</v>
      </c>
      <c r="C370">
        <v>49182.9432516671</v>
      </c>
      <c r="D370">
        <v>48808.834029295402</v>
      </c>
      <c r="E370" t="s">
        <v>2871</v>
      </c>
      <c r="F370" t="s">
        <v>805</v>
      </c>
    </row>
    <row r="371" spans="1:6" x14ac:dyDescent="0.45">
      <c r="A371" t="str">
        <f t="shared" si="5"/>
        <v>ET03,66</v>
      </c>
      <c r="B371">
        <v>66</v>
      </c>
      <c r="C371">
        <v>47391.182233382999</v>
      </c>
      <c r="D371">
        <v>47322.010587187397</v>
      </c>
      <c r="E371" t="s">
        <v>2871</v>
      </c>
      <c r="F371" t="s">
        <v>805</v>
      </c>
    </row>
    <row r="372" spans="1:6" x14ac:dyDescent="0.45">
      <c r="A372" t="str">
        <f t="shared" si="5"/>
        <v>ET03,67</v>
      </c>
      <c r="B372">
        <v>67</v>
      </c>
      <c r="C372">
        <v>45599.421215098802</v>
      </c>
      <c r="D372">
        <v>45599.421215098802</v>
      </c>
      <c r="E372" t="s">
        <v>2871</v>
      </c>
      <c r="F372" t="s">
        <v>805</v>
      </c>
    </row>
    <row r="373" spans="1:6" x14ac:dyDescent="0.45">
      <c r="A373" t="str">
        <f t="shared" si="5"/>
        <v>ET03,68</v>
      </c>
      <c r="B373">
        <v>68</v>
      </c>
      <c r="C373">
        <v>43055.906776786098</v>
      </c>
      <c r="D373">
        <v>43441.867559761798</v>
      </c>
      <c r="E373" t="s">
        <v>2871</v>
      </c>
      <c r="F373" t="s">
        <v>805</v>
      </c>
    </row>
    <row r="374" spans="1:6" x14ac:dyDescent="0.45">
      <c r="A374" t="str">
        <f t="shared" si="5"/>
        <v>ET03,69</v>
      </c>
      <c r="B374">
        <v>69</v>
      </c>
      <c r="C374">
        <v>40512.392338473401</v>
      </c>
      <c r="D374">
        <v>40934.764867151403</v>
      </c>
      <c r="E374" t="s">
        <v>2871</v>
      </c>
      <c r="F374" t="s">
        <v>805</v>
      </c>
    </row>
    <row r="375" spans="1:6" x14ac:dyDescent="0.45">
      <c r="A375" t="str">
        <f t="shared" si="5"/>
        <v>ET03,70</v>
      </c>
      <c r="B375">
        <v>70</v>
      </c>
      <c r="C375">
        <v>37968.877900160798</v>
      </c>
      <c r="D375">
        <v>38234.6817830531</v>
      </c>
      <c r="E375" t="s">
        <v>2871</v>
      </c>
      <c r="F375" t="s">
        <v>805</v>
      </c>
    </row>
    <row r="376" spans="1:6" x14ac:dyDescent="0.45">
      <c r="A376" t="str">
        <f t="shared" si="5"/>
        <v>ET03,71</v>
      </c>
      <c r="B376">
        <v>71</v>
      </c>
      <c r="C376">
        <v>35425.363461848101</v>
      </c>
      <c r="D376">
        <v>35498.186953252502</v>
      </c>
      <c r="E376" t="s">
        <v>2871</v>
      </c>
      <c r="F376" t="s">
        <v>805</v>
      </c>
    </row>
    <row r="377" spans="1:6" x14ac:dyDescent="0.45">
      <c r="A377" t="str">
        <f t="shared" si="5"/>
        <v>ET03,72</v>
      </c>
      <c r="B377">
        <v>72</v>
      </c>
      <c r="C377">
        <v>32881.849023535397</v>
      </c>
      <c r="D377">
        <v>32881.849023535397</v>
      </c>
      <c r="E377" t="s">
        <v>2871</v>
      </c>
      <c r="F377" t="s">
        <v>805</v>
      </c>
    </row>
    <row r="378" spans="1:6" x14ac:dyDescent="0.45">
      <c r="A378" t="str">
        <f t="shared" si="5"/>
        <v>ET03,73</v>
      </c>
      <c r="B378">
        <v>73</v>
      </c>
      <c r="C378">
        <v>30549.294251822499</v>
      </c>
      <c r="D378">
        <v>30495.329917177402</v>
      </c>
      <c r="E378" t="s">
        <v>2871</v>
      </c>
      <c r="F378" t="s">
        <v>805</v>
      </c>
    </row>
    <row r="379" spans="1:6" x14ac:dyDescent="0.45">
      <c r="A379" t="str">
        <f t="shared" si="5"/>
        <v>ET03,74</v>
      </c>
      <c r="B379">
        <v>74</v>
      </c>
      <c r="C379">
        <v>28216.739480109602</v>
      </c>
      <c r="D379">
        <v>28260.664667415302</v>
      </c>
      <c r="E379" t="s">
        <v>2871</v>
      </c>
      <c r="F379" t="s">
        <v>805</v>
      </c>
    </row>
    <row r="380" spans="1:6" x14ac:dyDescent="0.45">
      <c r="A380" t="str">
        <f t="shared" si="5"/>
        <v>ET03,75</v>
      </c>
      <c r="B380">
        <v>75</v>
      </c>
      <c r="C380">
        <v>25884.184708396799</v>
      </c>
      <c r="D380">
        <v>26052.981584975601</v>
      </c>
      <c r="E380" t="s">
        <v>2871</v>
      </c>
      <c r="F380" t="s">
        <v>805</v>
      </c>
    </row>
    <row r="381" spans="1:6" x14ac:dyDescent="0.45">
      <c r="A381" t="str">
        <f t="shared" si="5"/>
        <v>ET03,76</v>
      </c>
      <c r="B381">
        <v>76</v>
      </c>
      <c r="C381">
        <v>23551.629936683901</v>
      </c>
      <c r="D381">
        <v>23747.4089805853</v>
      </c>
      <c r="E381" t="s">
        <v>2871</v>
      </c>
      <c r="F381" t="s">
        <v>805</v>
      </c>
    </row>
    <row r="382" spans="1:6" x14ac:dyDescent="0.45">
      <c r="A382" t="str">
        <f t="shared" si="5"/>
        <v>ET03,77</v>
      </c>
      <c r="B382">
        <v>77</v>
      </c>
      <c r="C382">
        <v>21219.075164971</v>
      </c>
      <c r="D382">
        <v>21219.075164971</v>
      </c>
      <c r="E382" t="s">
        <v>2871</v>
      </c>
      <c r="F382" t="s">
        <v>805</v>
      </c>
    </row>
    <row r="383" spans="1:6" x14ac:dyDescent="0.45">
      <c r="A383" t="str">
        <f t="shared" si="5"/>
        <v>ET03,78</v>
      </c>
      <c r="B383">
        <v>78</v>
      </c>
      <c r="C383">
        <v>18497.996131976801</v>
      </c>
      <c r="D383">
        <v>18397.094058507799</v>
      </c>
      <c r="E383" t="s">
        <v>2871</v>
      </c>
      <c r="F383" t="s">
        <v>805</v>
      </c>
    </row>
    <row r="384" spans="1:6" x14ac:dyDescent="0.45">
      <c r="A384" t="str">
        <f t="shared" si="5"/>
        <v>ET03,79</v>
      </c>
      <c r="B384">
        <v>79</v>
      </c>
      <c r="C384">
        <v>15776.9170989826</v>
      </c>
      <c r="D384">
        <v>15426.5220201632</v>
      </c>
      <c r="E384" t="s">
        <v>2871</v>
      </c>
      <c r="F384" t="s">
        <v>805</v>
      </c>
    </row>
    <row r="385" spans="1:6" x14ac:dyDescent="0.45">
      <c r="A385" t="str">
        <f t="shared" si="5"/>
        <v>ET03,80</v>
      </c>
      <c r="B385">
        <v>80</v>
      </c>
      <c r="C385">
        <v>13055.838065988401</v>
      </c>
      <c r="D385">
        <v>12506.401018553201</v>
      </c>
      <c r="E385" t="s">
        <v>2871</v>
      </c>
      <c r="F385" t="s">
        <v>805</v>
      </c>
    </row>
    <row r="386" spans="1:6" x14ac:dyDescent="0.45">
      <c r="A386" t="str">
        <f t="shared" si="5"/>
        <v>ET03,81</v>
      </c>
      <c r="B386">
        <v>81</v>
      </c>
      <c r="C386">
        <v>10334.7590329942</v>
      </c>
      <c r="D386">
        <v>9835.7730222934897</v>
      </c>
      <c r="E386" t="s">
        <v>2871</v>
      </c>
      <c r="F386" t="s">
        <v>805</v>
      </c>
    </row>
    <row r="387" spans="1:6" x14ac:dyDescent="0.45">
      <c r="A387" t="str">
        <f t="shared" ref="A387:A450" si="6">_xlfn.CONCAT(E387,",",B387)</f>
        <v>ET03,82</v>
      </c>
      <c r="B387">
        <v>82</v>
      </c>
      <c r="C387">
        <v>7613.68</v>
      </c>
      <c r="D387">
        <v>7613.68</v>
      </c>
      <c r="E387" t="s">
        <v>2871</v>
      </c>
      <c r="F387" t="s">
        <v>805</v>
      </c>
    </row>
    <row r="388" spans="1:6" x14ac:dyDescent="0.45">
      <c r="A388" t="str">
        <f t="shared" si="6"/>
        <v>ET03,83</v>
      </c>
      <c r="B388">
        <v>83</v>
      </c>
      <c r="C388">
        <v>6706.5343999999996</v>
      </c>
      <c r="D388">
        <v>5982.2058690918902</v>
      </c>
      <c r="E388" t="s">
        <v>2871</v>
      </c>
      <c r="F388" t="s">
        <v>805</v>
      </c>
    </row>
    <row r="389" spans="1:6" x14ac:dyDescent="0.45">
      <c r="A389" t="str">
        <f t="shared" si="6"/>
        <v>ET03,84</v>
      </c>
      <c r="B389">
        <v>84</v>
      </c>
      <c r="C389">
        <v>5799.3887999999997</v>
      </c>
      <c r="D389">
        <v>4855.6023422018297</v>
      </c>
      <c r="E389" t="s">
        <v>2871</v>
      </c>
      <c r="F389" t="s">
        <v>805</v>
      </c>
    </row>
    <row r="390" spans="1:6" x14ac:dyDescent="0.45">
      <c r="A390" t="str">
        <f t="shared" si="6"/>
        <v>ET03,85</v>
      </c>
      <c r="B390">
        <v>85</v>
      </c>
      <c r="C390">
        <v>4892.2431999999999</v>
      </c>
      <c r="D390">
        <v>4091.1630807658198</v>
      </c>
      <c r="E390" t="s">
        <v>2871</v>
      </c>
      <c r="F390" t="s">
        <v>805</v>
      </c>
    </row>
    <row r="391" spans="1:6" x14ac:dyDescent="0.45">
      <c r="A391" t="str">
        <f t="shared" si="6"/>
        <v>ET03,86</v>
      </c>
      <c r="B391">
        <v>86</v>
      </c>
      <c r="C391">
        <v>3985.0976000000001</v>
      </c>
      <c r="D391">
        <v>3546.1817462198701</v>
      </c>
      <c r="E391" t="s">
        <v>2871</v>
      </c>
      <c r="F391" t="s">
        <v>805</v>
      </c>
    </row>
    <row r="392" spans="1:6" x14ac:dyDescent="0.45">
      <c r="A392" t="str">
        <f t="shared" si="6"/>
        <v>ET03,87</v>
      </c>
      <c r="B392">
        <v>87</v>
      </c>
      <c r="C392">
        <v>3077.9520000000002</v>
      </c>
      <c r="D392">
        <v>3077.9520000000002</v>
      </c>
      <c r="E392" t="s">
        <v>2871</v>
      </c>
      <c r="F392" t="s">
        <v>805</v>
      </c>
    </row>
    <row r="393" spans="1:6" x14ac:dyDescent="0.45">
      <c r="A393" t="str">
        <f t="shared" si="6"/>
        <v>ET03,88</v>
      </c>
      <c r="B393">
        <v>88</v>
      </c>
      <c r="C393">
        <v>2595.3816000000002</v>
      </c>
      <c r="D393">
        <v>2573.9414615898099</v>
      </c>
      <c r="E393" t="s">
        <v>2871</v>
      </c>
      <c r="F393" t="s">
        <v>805</v>
      </c>
    </row>
    <row r="394" spans="1:6" x14ac:dyDescent="0.45">
      <c r="A394" t="str">
        <f t="shared" si="6"/>
        <v>ET03,89</v>
      </c>
      <c r="B394">
        <v>89</v>
      </c>
      <c r="C394">
        <v>2112.8112000000001</v>
      </c>
      <c r="D394">
        <v>2042.3135826632099</v>
      </c>
      <c r="E394" t="s">
        <v>2871</v>
      </c>
      <c r="F394" t="s">
        <v>805</v>
      </c>
    </row>
    <row r="395" spans="1:6" x14ac:dyDescent="0.45">
      <c r="A395" t="str">
        <f t="shared" si="6"/>
        <v>ET03,90</v>
      </c>
      <c r="B395">
        <v>90</v>
      </c>
      <c r="C395">
        <v>1630.2408</v>
      </c>
      <c r="D395">
        <v>1521.40577294171</v>
      </c>
      <c r="E395" t="s">
        <v>2871</v>
      </c>
      <c r="F395" t="s">
        <v>805</v>
      </c>
    </row>
    <row r="396" spans="1:6" x14ac:dyDescent="0.45">
      <c r="A396" t="str">
        <f t="shared" si="6"/>
        <v>ET03,91</v>
      </c>
      <c r="B396">
        <v>91</v>
      </c>
      <c r="C396">
        <v>1147.6704</v>
      </c>
      <c r="D396">
        <v>1049.5554421468</v>
      </c>
      <c r="E396" t="s">
        <v>2871</v>
      </c>
      <c r="F396" t="s">
        <v>805</v>
      </c>
    </row>
    <row r="397" spans="1:6" x14ac:dyDescent="0.45">
      <c r="A397" t="str">
        <f t="shared" si="6"/>
        <v>ET03,92</v>
      </c>
      <c r="B397">
        <v>92</v>
      </c>
      <c r="C397">
        <v>665.1</v>
      </c>
      <c r="D397">
        <v>665.099999999999</v>
      </c>
      <c r="E397" t="s">
        <v>2871</v>
      </c>
      <c r="F397" t="s">
        <v>805</v>
      </c>
    </row>
    <row r="398" spans="1:6" x14ac:dyDescent="0.45">
      <c r="A398" t="str">
        <f t="shared" si="6"/>
        <v>ET03,93</v>
      </c>
      <c r="B398">
        <v>93</v>
      </c>
      <c r="C398">
        <v>547.80960000000005</v>
      </c>
      <c r="D398">
        <v>395.84159654887799</v>
      </c>
      <c r="E398" t="s">
        <v>2871</v>
      </c>
      <c r="F398" t="s">
        <v>805</v>
      </c>
    </row>
    <row r="399" spans="1:6" x14ac:dyDescent="0.45">
      <c r="A399" t="str">
        <f t="shared" si="6"/>
        <v>ET03,94</v>
      </c>
      <c r="B399">
        <v>94</v>
      </c>
      <c r="C399">
        <v>430.51920000000001</v>
      </c>
      <c r="D399">
        <v>227.44134314533801</v>
      </c>
      <c r="E399" t="s">
        <v>2871</v>
      </c>
      <c r="F399" t="s">
        <v>805</v>
      </c>
    </row>
    <row r="400" spans="1:6" x14ac:dyDescent="0.45">
      <c r="A400" t="str">
        <f t="shared" si="6"/>
        <v>ET03,95</v>
      </c>
      <c r="B400">
        <v>95</v>
      </c>
      <c r="C400">
        <v>313.22879999999998</v>
      </c>
      <c r="D400">
        <v>135.02509146735801</v>
      </c>
      <c r="E400" t="s">
        <v>2871</v>
      </c>
      <c r="F400" t="s">
        <v>805</v>
      </c>
    </row>
    <row r="401" spans="1:6" x14ac:dyDescent="0.45">
      <c r="A401" t="str">
        <f t="shared" si="6"/>
        <v>ET03,96</v>
      </c>
      <c r="B401">
        <v>96</v>
      </c>
      <c r="C401">
        <v>195.9384</v>
      </c>
      <c r="D401">
        <v>93.718693192919105</v>
      </c>
      <c r="E401" t="s">
        <v>2871</v>
      </c>
      <c r="F401" t="s">
        <v>805</v>
      </c>
    </row>
    <row r="402" spans="1:6" x14ac:dyDescent="0.45">
      <c r="A402" t="str">
        <f t="shared" si="6"/>
        <v>ET03,97</v>
      </c>
      <c r="B402">
        <v>97</v>
      </c>
      <c r="C402">
        <v>78.647999999999996</v>
      </c>
      <c r="D402">
        <v>78.647999999999897</v>
      </c>
      <c r="E402" t="s">
        <v>2871</v>
      </c>
      <c r="F402" t="s">
        <v>805</v>
      </c>
    </row>
    <row r="403" spans="1:6" x14ac:dyDescent="0.45">
      <c r="A403" t="str">
        <f t="shared" si="6"/>
        <v>ET03,98</v>
      </c>
      <c r="B403">
        <v>98</v>
      </c>
      <c r="C403">
        <v>69.765333333333302</v>
      </c>
      <c r="D403">
        <v>69.008912911389203</v>
      </c>
      <c r="E403" t="s">
        <v>2871</v>
      </c>
      <c r="F403" t="s">
        <v>805</v>
      </c>
    </row>
    <row r="404" spans="1:6" x14ac:dyDescent="0.45">
      <c r="A404" t="str">
        <f t="shared" si="6"/>
        <v>ET03,99</v>
      </c>
      <c r="B404">
        <v>99</v>
      </c>
      <c r="C404">
        <v>60.882666666666701</v>
      </c>
      <c r="D404">
        <v>60.2775303291114</v>
      </c>
      <c r="E404" t="s">
        <v>2871</v>
      </c>
      <c r="F404" t="s">
        <v>805</v>
      </c>
    </row>
    <row r="405" spans="1:6" x14ac:dyDescent="0.45">
      <c r="A405" t="str">
        <f t="shared" si="6"/>
        <v>ET03,100</v>
      </c>
      <c r="B405">
        <v>100</v>
      </c>
      <c r="C405">
        <v>52</v>
      </c>
      <c r="D405">
        <v>52</v>
      </c>
      <c r="E405" t="s">
        <v>2871</v>
      </c>
      <c r="F405" t="s">
        <v>805</v>
      </c>
    </row>
    <row r="406" spans="1:6" x14ac:dyDescent="0.45">
      <c r="A406" t="str">
        <f t="shared" si="6"/>
        <v>ET04,&lt;1</v>
      </c>
      <c r="B406" t="s">
        <v>119</v>
      </c>
      <c r="C406">
        <v>827183.02577680105</v>
      </c>
      <c r="D406">
        <v>827183.02577680105</v>
      </c>
      <c r="E406" t="s">
        <v>2872</v>
      </c>
      <c r="F406" t="s">
        <v>809</v>
      </c>
    </row>
    <row r="407" spans="1:6" x14ac:dyDescent="0.45">
      <c r="A407" t="str">
        <f t="shared" si="6"/>
        <v>ET04,1</v>
      </c>
      <c r="B407">
        <v>1</v>
      </c>
      <c r="C407">
        <v>795764.990516291</v>
      </c>
      <c r="D407">
        <v>794436.88750485505</v>
      </c>
      <c r="E407" t="s">
        <v>2872</v>
      </c>
      <c r="F407" t="s">
        <v>809</v>
      </c>
    </row>
    <row r="408" spans="1:6" x14ac:dyDescent="0.45">
      <c r="A408" t="str">
        <f t="shared" si="6"/>
        <v>ET04,2</v>
      </c>
      <c r="B408">
        <v>2</v>
      </c>
      <c r="C408">
        <v>764346.95525578002</v>
      </c>
      <c r="D408">
        <v>764346.95525578002</v>
      </c>
      <c r="E408" t="s">
        <v>2872</v>
      </c>
      <c r="F408" t="s">
        <v>809</v>
      </c>
    </row>
    <row r="409" spans="1:6" x14ac:dyDescent="0.45">
      <c r="A409" t="str">
        <f t="shared" si="6"/>
        <v>ET04,3</v>
      </c>
      <c r="B409">
        <v>3</v>
      </c>
      <c r="C409">
        <v>743402.34962968098</v>
      </c>
      <c r="D409">
        <v>738872.76570821903</v>
      </c>
      <c r="E409" t="s">
        <v>2872</v>
      </c>
      <c r="F409" t="s">
        <v>809</v>
      </c>
    </row>
    <row r="410" spans="1:6" x14ac:dyDescent="0.45">
      <c r="A410" t="str">
        <f t="shared" si="6"/>
        <v>ET04,4</v>
      </c>
      <c r="B410">
        <v>4</v>
      </c>
      <c r="C410">
        <v>722457.74400358205</v>
      </c>
      <c r="D410">
        <v>717187.17816389597</v>
      </c>
      <c r="E410" t="s">
        <v>2872</v>
      </c>
      <c r="F410" t="s">
        <v>809</v>
      </c>
    </row>
    <row r="411" spans="1:6" x14ac:dyDescent="0.45">
      <c r="A411" t="str">
        <f t="shared" si="6"/>
        <v>ET04,5</v>
      </c>
      <c r="B411">
        <v>5</v>
      </c>
      <c r="C411">
        <v>701513.13837748196</v>
      </c>
      <c r="D411">
        <v>697766.382580303</v>
      </c>
      <c r="E411" t="s">
        <v>2872</v>
      </c>
      <c r="F411" t="s">
        <v>809</v>
      </c>
    </row>
    <row r="412" spans="1:6" x14ac:dyDescent="0.45">
      <c r="A412" t="str">
        <f t="shared" si="6"/>
        <v>ET04,6</v>
      </c>
      <c r="B412">
        <v>6</v>
      </c>
      <c r="C412">
        <v>680568.53275138303</v>
      </c>
      <c r="D412">
        <v>679086.56891493499</v>
      </c>
      <c r="E412" t="s">
        <v>2872</v>
      </c>
      <c r="F412" t="s">
        <v>809</v>
      </c>
    </row>
    <row r="413" spans="1:6" x14ac:dyDescent="0.45">
      <c r="A413" t="str">
        <f t="shared" si="6"/>
        <v>ET04,7</v>
      </c>
      <c r="B413">
        <v>7</v>
      </c>
      <c r="C413">
        <v>659623.92712528398</v>
      </c>
      <c r="D413">
        <v>659623.92712528398</v>
      </c>
      <c r="E413" t="s">
        <v>2872</v>
      </c>
      <c r="F413" t="s">
        <v>809</v>
      </c>
    </row>
    <row r="414" spans="1:6" x14ac:dyDescent="0.45">
      <c r="A414" t="str">
        <f t="shared" si="6"/>
        <v>ET04,8</v>
      </c>
      <c r="B414">
        <v>8</v>
      </c>
      <c r="C414">
        <v>638163.76732807397</v>
      </c>
      <c r="D414">
        <v>638295.35263535695</v>
      </c>
      <c r="E414" t="s">
        <v>2872</v>
      </c>
      <c r="F414" t="s">
        <v>809</v>
      </c>
    </row>
    <row r="415" spans="1:6" x14ac:dyDescent="0.45">
      <c r="A415" t="str">
        <f t="shared" si="6"/>
        <v>ET04,9</v>
      </c>
      <c r="B415">
        <v>9</v>
      </c>
      <c r="C415">
        <v>616703.60753086302</v>
      </c>
      <c r="D415">
        <v>615780.56273521495</v>
      </c>
      <c r="E415" t="s">
        <v>2872</v>
      </c>
      <c r="F415" t="s">
        <v>809</v>
      </c>
    </row>
    <row r="416" spans="1:6" x14ac:dyDescent="0.45">
      <c r="A416" t="str">
        <f t="shared" si="6"/>
        <v>ET04,10</v>
      </c>
      <c r="B416">
        <v>10</v>
      </c>
      <c r="C416">
        <v>595243.44773365301</v>
      </c>
      <c r="D416">
        <v>593199.98018143105</v>
      </c>
      <c r="E416" t="s">
        <v>2872</v>
      </c>
      <c r="F416" t="s">
        <v>809</v>
      </c>
    </row>
    <row r="417" spans="1:6" x14ac:dyDescent="0.45">
      <c r="A417" t="str">
        <f t="shared" si="6"/>
        <v>ET04,11</v>
      </c>
      <c r="B417">
        <v>11</v>
      </c>
      <c r="C417">
        <v>573783.28793644195</v>
      </c>
      <c r="D417">
        <v>571674.02773057902</v>
      </c>
      <c r="E417" t="s">
        <v>2872</v>
      </c>
      <c r="F417" t="s">
        <v>809</v>
      </c>
    </row>
    <row r="418" spans="1:6" x14ac:dyDescent="0.45">
      <c r="A418" t="str">
        <f t="shared" si="6"/>
        <v>ET04,12</v>
      </c>
      <c r="B418">
        <v>12</v>
      </c>
      <c r="C418">
        <v>552323.12813923205</v>
      </c>
      <c r="D418">
        <v>552323.12813923205</v>
      </c>
      <c r="E418" t="s">
        <v>2872</v>
      </c>
      <c r="F418" t="s">
        <v>809</v>
      </c>
    </row>
    <row r="419" spans="1:6" x14ac:dyDescent="0.45">
      <c r="A419" t="str">
        <f t="shared" si="6"/>
        <v>ET04,13</v>
      </c>
      <c r="B419">
        <v>13</v>
      </c>
      <c r="C419">
        <v>537315.73941146606</v>
      </c>
      <c r="D419">
        <v>535866.71988352598</v>
      </c>
      <c r="E419" t="s">
        <v>2872</v>
      </c>
      <c r="F419" t="s">
        <v>809</v>
      </c>
    </row>
    <row r="420" spans="1:6" x14ac:dyDescent="0.45">
      <c r="A420" t="str">
        <f t="shared" si="6"/>
        <v>ET04,14</v>
      </c>
      <c r="B420">
        <v>14</v>
      </c>
      <c r="C420">
        <v>522308.3506837</v>
      </c>
      <c r="D420">
        <v>521420.30431784398</v>
      </c>
      <c r="E420" t="s">
        <v>2872</v>
      </c>
      <c r="F420" t="s">
        <v>809</v>
      </c>
    </row>
    <row r="421" spans="1:6" x14ac:dyDescent="0.45">
      <c r="A421" t="str">
        <f t="shared" si="6"/>
        <v>ET04,15</v>
      </c>
      <c r="B421">
        <v>15</v>
      </c>
      <c r="C421">
        <v>507300.96195593401</v>
      </c>
      <c r="D421">
        <v>507698.39851613197</v>
      </c>
      <c r="E421" t="s">
        <v>2872</v>
      </c>
      <c r="F421" t="s">
        <v>809</v>
      </c>
    </row>
    <row r="422" spans="1:6" x14ac:dyDescent="0.45">
      <c r="A422" t="str">
        <f t="shared" si="6"/>
        <v>ET04,16</v>
      </c>
      <c r="B422">
        <v>16</v>
      </c>
      <c r="C422">
        <v>492293.57322816801</v>
      </c>
      <c r="D422">
        <v>493415.51955233602</v>
      </c>
      <c r="E422" t="s">
        <v>2872</v>
      </c>
      <c r="F422" t="s">
        <v>809</v>
      </c>
    </row>
    <row r="423" spans="1:6" x14ac:dyDescent="0.45">
      <c r="A423" t="str">
        <f t="shared" si="6"/>
        <v>ET04,17</v>
      </c>
      <c r="B423">
        <v>17</v>
      </c>
      <c r="C423">
        <v>477286.18450040201</v>
      </c>
      <c r="D423">
        <v>477286.18450040201</v>
      </c>
      <c r="E423" t="s">
        <v>2872</v>
      </c>
      <c r="F423" t="s">
        <v>809</v>
      </c>
    </row>
    <row r="424" spans="1:6" x14ac:dyDescent="0.45">
      <c r="A424" t="str">
        <f t="shared" si="6"/>
        <v>ET04,18</v>
      </c>
      <c r="B424">
        <v>18</v>
      </c>
      <c r="C424">
        <v>459593.05189182202</v>
      </c>
      <c r="D424">
        <v>458543.86848188099</v>
      </c>
      <c r="E424" t="s">
        <v>2872</v>
      </c>
      <c r="F424" t="s">
        <v>809</v>
      </c>
    </row>
    <row r="425" spans="1:6" x14ac:dyDescent="0.45">
      <c r="A425" t="str">
        <f t="shared" si="6"/>
        <v>ET04,19</v>
      </c>
      <c r="B425">
        <v>19</v>
      </c>
      <c r="C425">
        <v>441899.91928324098</v>
      </c>
      <c r="D425">
        <v>438497.87880874798</v>
      </c>
      <c r="E425" t="s">
        <v>2872</v>
      </c>
      <c r="F425" t="s">
        <v>809</v>
      </c>
    </row>
    <row r="426" spans="1:6" x14ac:dyDescent="0.45">
      <c r="A426" t="str">
        <f t="shared" si="6"/>
        <v>ET04,20</v>
      </c>
      <c r="B426">
        <v>20</v>
      </c>
      <c r="C426">
        <v>424206.78667466098</v>
      </c>
      <c r="D426">
        <v>418976.48084058601</v>
      </c>
      <c r="E426" t="s">
        <v>2872</v>
      </c>
      <c r="F426" t="s">
        <v>809</v>
      </c>
    </row>
    <row r="427" spans="1:6" x14ac:dyDescent="0.45">
      <c r="A427" t="str">
        <f t="shared" si="6"/>
        <v>ET04,21</v>
      </c>
      <c r="B427">
        <v>21</v>
      </c>
      <c r="C427">
        <v>406513.65406607999</v>
      </c>
      <c r="D427">
        <v>401807.93993697601</v>
      </c>
      <c r="E427" t="s">
        <v>2872</v>
      </c>
      <c r="F427" t="s">
        <v>809</v>
      </c>
    </row>
    <row r="428" spans="1:6" x14ac:dyDescent="0.45">
      <c r="A428" t="str">
        <f t="shared" si="6"/>
        <v>ET04,22</v>
      </c>
      <c r="B428">
        <v>22</v>
      </c>
      <c r="C428">
        <v>388820.5214575</v>
      </c>
      <c r="D428">
        <v>388820.5214575</v>
      </c>
      <c r="E428" t="s">
        <v>2872</v>
      </c>
      <c r="F428" t="s">
        <v>809</v>
      </c>
    </row>
    <row r="429" spans="1:6" x14ac:dyDescent="0.45">
      <c r="A429" t="str">
        <f t="shared" si="6"/>
        <v>ET04,23</v>
      </c>
      <c r="B429">
        <v>23</v>
      </c>
      <c r="C429">
        <v>382108.132875446</v>
      </c>
      <c r="D429">
        <v>381079.84296605701</v>
      </c>
      <c r="E429" t="s">
        <v>2872</v>
      </c>
      <c r="F429" t="s">
        <v>809</v>
      </c>
    </row>
    <row r="430" spans="1:6" x14ac:dyDescent="0.45">
      <c r="A430" t="str">
        <f t="shared" si="6"/>
        <v>ET04,24</v>
      </c>
      <c r="B430">
        <v>24</v>
      </c>
      <c r="C430">
        <v>375395.744293392</v>
      </c>
      <c r="D430">
        <v>376600.93084381899</v>
      </c>
      <c r="E430" t="s">
        <v>2872</v>
      </c>
      <c r="F430" t="s">
        <v>809</v>
      </c>
    </row>
    <row r="431" spans="1:6" x14ac:dyDescent="0.45">
      <c r="A431" t="str">
        <f t="shared" si="6"/>
        <v>ET04,25</v>
      </c>
      <c r="B431">
        <v>25</v>
      </c>
      <c r="C431">
        <v>368683.35571133799</v>
      </c>
      <c r="D431">
        <v>372636.163676275</v>
      </c>
      <c r="E431" t="s">
        <v>2872</v>
      </c>
      <c r="F431" t="s">
        <v>809</v>
      </c>
    </row>
    <row r="432" spans="1:6" x14ac:dyDescent="0.45">
      <c r="A432" t="str">
        <f t="shared" si="6"/>
        <v>ET04,26</v>
      </c>
      <c r="B432">
        <v>26</v>
      </c>
      <c r="C432">
        <v>361970.96712928399</v>
      </c>
      <c r="D432">
        <v>366437.92004891601</v>
      </c>
      <c r="E432" t="s">
        <v>2872</v>
      </c>
      <c r="F432" t="s">
        <v>809</v>
      </c>
    </row>
    <row r="433" spans="1:6" x14ac:dyDescent="0.45">
      <c r="A433" t="str">
        <f t="shared" si="6"/>
        <v>ET04,27</v>
      </c>
      <c r="B433">
        <v>27</v>
      </c>
      <c r="C433">
        <v>355258.57854722999</v>
      </c>
      <c r="D433">
        <v>355258.57854722999</v>
      </c>
      <c r="E433" t="s">
        <v>2872</v>
      </c>
      <c r="F433" t="s">
        <v>809</v>
      </c>
    </row>
    <row r="434" spans="1:6" x14ac:dyDescent="0.45">
      <c r="A434" t="str">
        <f t="shared" si="6"/>
        <v>ET04,28</v>
      </c>
      <c r="B434">
        <v>28</v>
      </c>
      <c r="C434">
        <v>334095.736941182</v>
      </c>
      <c r="D434">
        <v>337318.24349351501</v>
      </c>
      <c r="E434" t="s">
        <v>2872</v>
      </c>
      <c r="F434" t="s">
        <v>809</v>
      </c>
    </row>
    <row r="435" spans="1:6" x14ac:dyDescent="0.45">
      <c r="A435" t="str">
        <f t="shared" si="6"/>
        <v>ET04,29</v>
      </c>
      <c r="B435">
        <v>29</v>
      </c>
      <c r="C435">
        <v>312932.895335134</v>
      </c>
      <c r="D435">
        <v>314707.92215729901</v>
      </c>
      <c r="E435" t="s">
        <v>2872</v>
      </c>
      <c r="F435" t="s">
        <v>809</v>
      </c>
    </row>
    <row r="436" spans="1:6" x14ac:dyDescent="0.45">
      <c r="A436" t="str">
        <f t="shared" si="6"/>
        <v>ET04,30</v>
      </c>
      <c r="B436">
        <v>30</v>
      </c>
      <c r="C436">
        <v>291770.05372908601</v>
      </c>
      <c r="D436">
        <v>290486.34754491597</v>
      </c>
      <c r="E436" t="s">
        <v>2872</v>
      </c>
      <c r="F436" t="s">
        <v>809</v>
      </c>
    </row>
    <row r="437" spans="1:6" x14ac:dyDescent="0.45">
      <c r="A437" t="str">
        <f t="shared" si="6"/>
        <v>ET04,31</v>
      </c>
      <c r="B437">
        <v>31</v>
      </c>
      <c r="C437">
        <v>270607.21212303801</v>
      </c>
      <c r="D437">
        <v>267712.252662702</v>
      </c>
      <c r="E437" t="s">
        <v>2872</v>
      </c>
      <c r="F437" t="s">
        <v>809</v>
      </c>
    </row>
    <row r="438" spans="1:6" x14ac:dyDescent="0.45">
      <c r="A438" t="str">
        <f t="shared" si="6"/>
        <v>ET04,32</v>
      </c>
      <c r="B438">
        <v>32</v>
      </c>
      <c r="C438">
        <v>249444.37051698999</v>
      </c>
      <c r="D438">
        <v>249444.37051698999</v>
      </c>
      <c r="E438" t="s">
        <v>2872</v>
      </c>
      <c r="F438" t="s">
        <v>809</v>
      </c>
    </row>
    <row r="439" spans="1:6" x14ac:dyDescent="0.45">
      <c r="A439" t="str">
        <f t="shared" si="6"/>
        <v>ET04,33</v>
      </c>
      <c r="B439">
        <v>33</v>
      </c>
      <c r="C439">
        <v>243868.623113679</v>
      </c>
      <c r="D439">
        <v>237851.92873365799</v>
      </c>
      <c r="E439" t="s">
        <v>2872</v>
      </c>
      <c r="F439" t="s">
        <v>809</v>
      </c>
    </row>
    <row r="440" spans="1:6" x14ac:dyDescent="0.45">
      <c r="A440" t="str">
        <f t="shared" si="6"/>
        <v>ET04,34</v>
      </c>
      <c r="B440">
        <v>34</v>
      </c>
      <c r="C440">
        <v>238292.87571036801</v>
      </c>
      <c r="D440">
        <v>231546.13341675099</v>
      </c>
      <c r="E440" t="s">
        <v>2872</v>
      </c>
      <c r="F440" t="s">
        <v>809</v>
      </c>
    </row>
    <row r="441" spans="1:6" x14ac:dyDescent="0.45">
      <c r="A441" t="str">
        <f t="shared" si="6"/>
        <v>ET04,35</v>
      </c>
      <c r="B441">
        <v>35</v>
      </c>
      <c r="C441">
        <v>232717.12830705801</v>
      </c>
      <c r="D441">
        <v>228248.68528985401</v>
      </c>
      <c r="E441" t="s">
        <v>2872</v>
      </c>
      <c r="F441" t="s">
        <v>809</v>
      </c>
    </row>
    <row r="442" spans="1:6" x14ac:dyDescent="0.45">
      <c r="A442" t="str">
        <f t="shared" si="6"/>
        <v>ET04,36</v>
      </c>
      <c r="B442">
        <v>36</v>
      </c>
      <c r="C442">
        <v>227141.38090374699</v>
      </c>
      <c r="D442">
        <v>225681.28507655399</v>
      </c>
      <c r="E442" t="s">
        <v>2872</v>
      </c>
      <c r="F442" t="s">
        <v>809</v>
      </c>
    </row>
    <row r="443" spans="1:6" x14ac:dyDescent="0.45">
      <c r="A443" t="str">
        <f t="shared" si="6"/>
        <v>ET04,37</v>
      </c>
      <c r="B443">
        <v>37</v>
      </c>
      <c r="C443">
        <v>221565.633500436</v>
      </c>
      <c r="D443">
        <v>221565.633500436</v>
      </c>
      <c r="E443" t="s">
        <v>2872</v>
      </c>
      <c r="F443" t="s">
        <v>809</v>
      </c>
    </row>
    <row r="444" spans="1:6" x14ac:dyDescent="0.45">
      <c r="A444" t="str">
        <f t="shared" si="6"/>
        <v>ET04,38</v>
      </c>
      <c r="B444">
        <v>38</v>
      </c>
      <c r="C444">
        <v>211328.890913843</v>
      </c>
      <c r="D444">
        <v>214202.301605602</v>
      </c>
      <c r="E444" t="s">
        <v>2872</v>
      </c>
      <c r="F444" t="s">
        <v>809</v>
      </c>
    </row>
    <row r="445" spans="1:6" x14ac:dyDescent="0.45">
      <c r="A445" t="str">
        <f t="shared" si="6"/>
        <v>ET04,39</v>
      </c>
      <c r="B445">
        <v>39</v>
      </c>
      <c r="C445">
        <v>201092.14832725</v>
      </c>
      <c r="D445">
        <v>204207.34171821299</v>
      </c>
      <c r="E445" t="s">
        <v>2872</v>
      </c>
      <c r="F445" t="s">
        <v>809</v>
      </c>
    </row>
    <row r="446" spans="1:6" x14ac:dyDescent="0.45">
      <c r="A446" t="str">
        <f t="shared" si="6"/>
        <v>ET04,40</v>
      </c>
      <c r="B446">
        <v>40</v>
      </c>
      <c r="C446">
        <v>190855.40574065599</v>
      </c>
      <c r="D446">
        <v>192775.67648494401</v>
      </c>
      <c r="E446" t="s">
        <v>2872</v>
      </c>
      <c r="F446" t="s">
        <v>809</v>
      </c>
    </row>
    <row r="447" spans="1:6" x14ac:dyDescent="0.45">
      <c r="A447" t="str">
        <f t="shared" si="6"/>
        <v>ET04,41</v>
      </c>
      <c r="B447">
        <v>41</v>
      </c>
      <c r="C447">
        <v>180618.66315406299</v>
      </c>
      <c r="D447">
        <v>181102.228552471</v>
      </c>
      <c r="E447" t="s">
        <v>2872</v>
      </c>
      <c r="F447" t="s">
        <v>809</v>
      </c>
    </row>
    <row r="448" spans="1:6" x14ac:dyDescent="0.45">
      <c r="A448" t="str">
        <f t="shared" si="6"/>
        <v>ET04,42</v>
      </c>
      <c r="B448">
        <v>42</v>
      </c>
      <c r="C448">
        <v>170381.92056746999</v>
      </c>
      <c r="D448">
        <v>170381.92056746999</v>
      </c>
      <c r="E448" t="s">
        <v>2872</v>
      </c>
      <c r="F448" t="s">
        <v>809</v>
      </c>
    </row>
    <row r="449" spans="1:6" x14ac:dyDescent="0.45">
      <c r="A449" t="str">
        <f t="shared" si="6"/>
        <v>ET04,43</v>
      </c>
      <c r="B449">
        <v>43</v>
      </c>
      <c r="C449">
        <v>164419.125377847</v>
      </c>
      <c r="D449">
        <v>161551.02055366599</v>
      </c>
      <c r="E449" t="s">
        <v>2872</v>
      </c>
      <c r="F449" t="s">
        <v>809</v>
      </c>
    </row>
    <row r="450" spans="1:6" x14ac:dyDescent="0.45">
      <c r="A450" t="str">
        <f t="shared" si="6"/>
        <v>ET04,44</v>
      </c>
      <c r="B450">
        <v>44</v>
      </c>
      <c r="C450">
        <v>158456.330188224</v>
      </c>
      <c r="D450">
        <v>154511.17804298099</v>
      </c>
      <c r="E450" t="s">
        <v>2872</v>
      </c>
      <c r="F450" t="s">
        <v>809</v>
      </c>
    </row>
    <row r="451" spans="1:6" x14ac:dyDescent="0.45">
      <c r="A451" t="str">
        <f t="shared" ref="A451:A514" si="7">_xlfn.CONCAT(E451,",",B451)</f>
        <v>ET04,45</v>
      </c>
      <c r="B451">
        <v>45</v>
      </c>
      <c r="C451">
        <v>152493.534998602</v>
      </c>
      <c r="D451">
        <v>148905.38794438701</v>
      </c>
      <c r="E451" t="s">
        <v>2872</v>
      </c>
      <c r="F451" t="s">
        <v>809</v>
      </c>
    </row>
    <row r="452" spans="1:6" x14ac:dyDescent="0.45">
      <c r="A452" t="str">
        <f t="shared" si="7"/>
        <v>ET04,46</v>
      </c>
      <c r="B452">
        <v>46</v>
      </c>
      <c r="C452">
        <v>146530.73980897901</v>
      </c>
      <c r="D452">
        <v>144376.64516685501</v>
      </c>
      <c r="E452" t="s">
        <v>2872</v>
      </c>
      <c r="F452" t="s">
        <v>809</v>
      </c>
    </row>
    <row r="453" spans="1:6" x14ac:dyDescent="0.45">
      <c r="A453" t="str">
        <f t="shared" si="7"/>
        <v>ET04,47</v>
      </c>
      <c r="B453">
        <v>47</v>
      </c>
      <c r="C453">
        <v>140567.94461935601</v>
      </c>
      <c r="D453">
        <v>140567.94461935601</v>
      </c>
      <c r="E453" t="s">
        <v>2872</v>
      </c>
      <c r="F453" t="s">
        <v>809</v>
      </c>
    </row>
    <row r="454" spans="1:6" x14ac:dyDescent="0.45">
      <c r="A454" t="str">
        <f t="shared" si="7"/>
        <v>ET04,48</v>
      </c>
      <c r="B454">
        <v>48</v>
      </c>
      <c r="C454">
        <v>136869.10132746099</v>
      </c>
      <c r="D454">
        <v>137140.231858971</v>
      </c>
      <c r="E454" t="s">
        <v>2872</v>
      </c>
      <c r="F454" t="s">
        <v>809</v>
      </c>
    </row>
    <row r="455" spans="1:6" x14ac:dyDescent="0.45">
      <c r="A455" t="str">
        <f t="shared" si="7"/>
        <v>ET04,49</v>
      </c>
      <c r="B455">
        <v>49</v>
      </c>
      <c r="C455">
        <v>133170.25803556599</v>
      </c>
      <c r="D455">
        <v>133826.25503521101</v>
      </c>
      <c r="E455" t="s">
        <v>2872</v>
      </c>
      <c r="F455" t="s">
        <v>809</v>
      </c>
    </row>
    <row r="456" spans="1:6" x14ac:dyDescent="0.45">
      <c r="A456" t="str">
        <f t="shared" si="7"/>
        <v>ET04,50</v>
      </c>
      <c r="B456">
        <v>50</v>
      </c>
      <c r="C456">
        <v>129471.414743671</v>
      </c>
      <c r="D456">
        <v>130376.712945696</v>
      </c>
      <c r="E456" t="s">
        <v>2872</v>
      </c>
      <c r="F456" t="s">
        <v>809</v>
      </c>
    </row>
    <row r="457" spans="1:6" x14ac:dyDescent="0.45">
      <c r="A457" t="str">
        <f t="shared" si="7"/>
        <v>ET04,51</v>
      </c>
      <c r="B457">
        <v>51</v>
      </c>
      <c r="C457">
        <v>125772.57145177601</v>
      </c>
      <c r="D457">
        <v>126542.304388046</v>
      </c>
      <c r="E457" t="s">
        <v>2872</v>
      </c>
      <c r="F457" t="s">
        <v>809</v>
      </c>
    </row>
    <row r="458" spans="1:6" x14ac:dyDescent="0.45">
      <c r="A458" t="str">
        <f t="shared" si="7"/>
        <v>ET04,52</v>
      </c>
      <c r="B458">
        <v>52</v>
      </c>
      <c r="C458">
        <v>122073.728159882</v>
      </c>
      <c r="D458">
        <v>122073.728159882</v>
      </c>
      <c r="E458" t="s">
        <v>2872</v>
      </c>
      <c r="F458" t="s">
        <v>809</v>
      </c>
    </row>
    <row r="459" spans="1:6" x14ac:dyDescent="0.45">
      <c r="A459" t="str">
        <f t="shared" si="7"/>
        <v>ET04,53</v>
      </c>
      <c r="B459">
        <v>53</v>
      </c>
      <c r="C459">
        <v>116770.477718147</v>
      </c>
      <c r="D459">
        <v>116834.20054740801</v>
      </c>
      <c r="E459" t="s">
        <v>2872</v>
      </c>
      <c r="F459" t="s">
        <v>809</v>
      </c>
    </row>
    <row r="460" spans="1:6" x14ac:dyDescent="0.45">
      <c r="A460" t="str">
        <f t="shared" si="7"/>
        <v>ET04,54</v>
      </c>
      <c r="B460">
        <v>54</v>
      </c>
      <c r="C460">
        <v>111467.227276412</v>
      </c>
      <c r="D460">
        <v>111137.007791171</v>
      </c>
      <c r="E460" t="s">
        <v>2872</v>
      </c>
      <c r="F460" t="s">
        <v>809</v>
      </c>
    </row>
    <row r="461" spans="1:6" x14ac:dyDescent="0.45">
      <c r="A461" t="str">
        <f t="shared" si="7"/>
        <v>ET04,55</v>
      </c>
      <c r="B461">
        <v>55</v>
      </c>
      <c r="C461">
        <v>106163.976834677</v>
      </c>
      <c r="D461">
        <v>105407.953620304</v>
      </c>
      <c r="E461" t="s">
        <v>2872</v>
      </c>
      <c r="F461" t="s">
        <v>809</v>
      </c>
    </row>
    <row r="462" spans="1:6" x14ac:dyDescent="0.45">
      <c r="A462" t="str">
        <f t="shared" si="7"/>
        <v>ET04,56</v>
      </c>
      <c r="B462">
        <v>56</v>
      </c>
      <c r="C462">
        <v>100860.726392943</v>
      </c>
      <c r="D462">
        <v>100072.841763939</v>
      </c>
      <c r="E462" t="s">
        <v>2872</v>
      </c>
      <c r="F462" t="s">
        <v>809</v>
      </c>
    </row>
    <row r="463" spans="1:6" x14ac:dyDescent="0.45">
      <c r="A463" t="str">
        <f t="shared" si="7"/>
        <v>ET04,57</v>
      </c>
      <c r="B463">
        <v>57</v>
      </c>
      <c r="C463">
        <v>95557.475951207802</v>
      </c>
      <c r="D463">
        <v>95557.475951207802</v>
      </c>
      <c r="E463" t="s">
        <v>2872</v>
      </c>
      <c r="F463" t="s">
        <v>809</v>
      </c>
    </row>
    <row r="464" spans="1:6" x14ac:dyDescent="0.45">
      <c r="A464" t="str">
        <f t="shared" si="7"/>
        <v>ET04,58</v>
      </c>
      <c r="B464">
        <v>58</v>
      </c>
      <c r="C464">
        <v>93022.454542526306</v>
      </c>
      <c r="D464">
        <v>92149.279118011706</v>
      </c>
      <c r="E464" t="s">
        <v>2872</v>
      </c>
      <c r="F464" t="s">
        <v>809</v>
      </c>
    </row>
    <row r="465" spans="1:6" x14ac:dyDescent="0.45">
      <c r="A465" t="str">
        <f t="shared" si="7"/>
        <v>ET04,59</v>
      </c>
      <c r="B465">
        <v>59</v>
      </c>
      <c r="C465">
        <v>90487.433133844796</v>
      </c>
      <c r="D465">
        <v>89582.151027327302</v>
      </c>
      <c r="E465" t="s">
        <v>2872</v>
      </c>
      <c r="F465" t="s">
        <v>809</v>
      </c>
    </row>
    <row r="466" spans="1:6" x14ac:dyDescent="0.45">
      <c r="A466" t="str">
        <f t="shared" si="7"/>
        <v>ET04,60</v>
      </c>
      <c r="B466">
        <v>60</v>
      </c>
      <c r="C466">
        <v>87952.411725163402</v>
      </c>
      <c r="D466">
        <v>87451.610648900198</v>
      </c>
      <c r="E466" t="s">
        <v>2872</v>
      </c>
      <c r="F466" t="s">
        <v>809</v>
      </c>
    </row>
    <row r="467" spans="1:6" x14ac:dyDescent="0.45">
      <c r="A467" t="str">
        <f t="shared" si="7"/>
        <v>ET04,61</v>
      </c>
      <c r="B467">
        <v>61</v>
      </c>
      <c r="C467">
        <v>85417.390316481906</v>
      </c>
      <c r="D467">
        <v>85353.176952476104</v>
      </c>
      <c r="E467" t="s">
        <v>2872</v>
      </c>
      <c r="F467" t="s">
        <v>809</v>
      </c>
    </row>
    <row r="468" spans="1:6" x14ac:dyDescent="0.45">
      <c r="A468" t="str">
        <f t="shared" si="7"/>
        <v>ET04,62</v>
      </c>
      <c r="B468">
        <v>62</v>
      </c>
      <c r="C468">
        <v>82882.368907800395</v>
      </c>
      <c r="D468">
        <v>82882.368907800395</v>
      </c>
      <c r="E468" t="s">
        <v>2872</v>
      </c>
      <c r="F468" t="s">
        <v>809</v>
      </c>
    </row>
    <row r="469" spans="1:6" x14ac:dyDescent="0.45">
      <c r="A469" t="str">
        <f t="shared" si="7"/>
        <v>ET04,63</v>
      </c>
      <c r="B469">
        <v>63</v>
      </c>
      <c r="C469">
        <v>78962.242449801503</v>
      </c>
      <c r="D469">
        <v>79734.672358347307</v>
      </c>
      <c r="E469" t="s">
        <v>2872</v>
      </c>
      <c r="F469" t="s">
        <v>809</v>
      </c>
    </row>
    <row r="470" spans="1:6" x14ac:dyDescent="0.45">
      <c r="A470" t="str">
        <f t="shared" si="7"/>
        <v>ET04,64</v>
      </c>
      <c r="B470">
        <v>64</v>
      </c>
      <c r="C470">
        <v>75042.115991802595</v>
      </c>
      <c r="D470">
        <v>76005.440642504793</v>
      </c>
      <c r="E470" t="s">
        <v>2872</v>
      </c>
      <c r="F470" t="s">
        <v>809</v>
      </c>
    </row>
    <row r="471" spans="1:6" x14ac:dyDescent="0.45">
      <c r="A471" t="str">
        <f t="shared" si="7"/>
        <v>ET04,65</v>
      </c>
      <c r="B471">
        <v>65</v>
      </c>
      <c r="C471">
        <v>71121.989533803804</v>
      </c>
      <c r="D471">
        <v>71889.993972389406</v>
      </c>
      <c r="E471" t="s">
        <v>2872</v>
      </c>
      <c r="F471" t="s">
        <v>809</v>
      </c>
    </row>
    <row r="472" spans="1:6" x14ac:dyDescent="0.45">
      <c r="A472" t="str">
        <f t="shared" si="7"/>
        <v>ET04,66</v>
      </c>
      <c r="B472">
        <v>66</v>
      </c>
      <c r="C472">
        <v>67201.863075804897</v>
      </c>
      <c r="D472">
        <v>67583.652560117698</v>
      </c>
      <c r="E472" t="s">
        <v>2872</v>
      </c>
      <c r="F472" t="s">
        <v>809</v>
      </c>
    </row>
    <row r="473" spans="1:6" x14ac:dyDescent="0.45">
      <c r="A473" t="str">
        <f t="shared" si="7"/>
        <v>ET04,67</v>
      </c>
      <c r="B473">
        <v>67</v>
      </c>
      <c r="C473">
        <v>63281.736617805997</v>
      </c>
      <c r="D473">
        <v>63281.736617805997</v>
      </c>
      <c r="E473" t="s">
        <v>2872</v>
      </c>
      <c r="F473" t="s">
        <v>809</v>
      </c>
    </row>
    <row r="474" spans="1:6" x14ac:dyDescent="0.45">
      <c r="A474" t="str">
        <f t="shared" si="7"/>
        <v>ET04,68</v>
      </c>
      <c r="B474">
        <v>68</v>
      </c>
      <c r="C474">
        <v>59291.128784350403</v>
      </c>
      <c r="D474">
        <v>59136.797966137397</v>
      </c>
      <c r="E474" t="s">
        <v>2872</v>
      </c>
      <c r="F474" t="s">
        <v>809</v>
      </c>
    </row>
    <row r="475" spans="1:6" x14ac:dyDescent="0.45">
      <c r="A475" t="str">
        <f t="shared" si="7"/>
        <v>ET04,69</v>
      </c>
      <c r="B475">
        <v>69</v>
      </c>
      <c r="C475">
        <v>55300.520950894897</v>
      </c>
      <c r="D475">
        <v>55130.314860060302</v>
      </c>
      <c r="E475" t="s">
        <v>2872</v>
      </c>
      <c r="F475" t="s">
        <v>809</v>
      </c>
    </row>
    <row r="476" spans="1:6" x14ac:dyDescent="0.45">
      <c r="A476" t="str">
        <f t="shared" si="7"/>
        <v>ET04,70</v>
      </c>
      <c r="B476">
        <v>70</v>
      </c>
      <c r="C476">
        <v>51309.913117439297</v>
      </c>
      <c r="D476">
        <v>51200.9971630898</v>
      </c>
      <c r="E476" t="s">
        <v>2872</v>
      </c>
      <c r="F476" t="s">
        <v>809</v>
      </c>
    </row>
    <row r="477" spans="1:6" x14ac:dyDescent="0.45">
      <c r="A477" t="str">
        <f t="shared" si="7"/>
        <v>ET04,71</v>
      </c>
      <c r="B477">
        <v>71</v>
      </c>
      <c r="C477">
        <v>47319.305283983798</v>
      </c>
      <c r="D477">
        <v>47287.554738740801</v>
      </c>
      <c r="E477" t="s">
        <v>2872</v>
      </c>
      <c r="F477" t="s">
        <v>809</v>
      </c>
    </row>
    <row r="478" spans="1:6" x14ac:dyDescent="0.45">
      <c r="A478" t="str">
        <f t="shared" si="7"/>
        <v>ET04,72</v>
      </c>
      <c r="B478">
        <v>72</v>
      </c>
      <c r="C478">
        <v>43328.697450528198</v>
      </c>
      <c r="D478">
        <v>43328.697450528198</v>
      </c>
      <c r="E478" t="s">
        <v>2872</v>
      </c>
      <c r="F478" t="s">
        <v>809</v>
      </c>
    </row>
    <row r="479" spans="1:6" x14ac:dyDescent="0.45">
      <c r="A479" t="str">
        <f t="shared" si="7"/>
        <v>ET04,73</v>
      </c>
      <c r="B479">
        <v>73</v>
      </c>
      <c r="C479">
        <v>39573.716412127702</v>
      </c>
      <c r="D479">
        <v>39293.9012338389</v>
      </c>
      <c r="E479" t="s">
        <v>2872</v>
      </c>
      <c r="F479" t="s">
        <v>809</v>
      </c>
    </row>
    <row r="480" spans="1:6" x14ac:dyDescent="0.45">
      <c r="A480" t="str">
        <f t="shared" si="7"/>
        <v>ET04,74</v>
      </c>
      <c r="B480">
        <v>74</v>
      </c>
      <c r="C480">
        <v>35818.735373727199</v>
      </c>
      <c r="D480">
        <v>35275.706311547503</v>
      </c>
      <c r="E480" t="s">
        <v>2872</v>
      </c>
      <c r="F480" t="s">
        <v>809</v>
      </c>
    </row>
    <row r="481" spans="1:6" x14ac:dyDescent="0.45">
      <c r="A481" t="str">
        <f t="shared" si="7"/>
        <v>ET04,75</v>
      </c>
      <c r="B481">
        <v>75</v>
      </c>
      <c r="C481">
        <v>32063.754335326801</v>
      </c>
      <c r="D481">
        <v>31397.418978400601</v>
      </c>
      <c r="E481" t="s">
        <v>2872</v>
      </c>
      <c r="F481" t="s">
        <v>809</v>
      </c>
    </row>
    <row r="482" spans="1:6" x14ac:dyDescent="0.45">
      <c r="A482" t="str">
        <f t="shared" si="7"/>
        <v>ET04,76</v>
      </c>
      <c r="B482">
        <v>76</v>
      </c>
      <c r="C482">
        <v>28308.773296926302</v>
      </c>
      <c r="D482">
        <v>27782.345529144499</v>
      </c>
      <c r="E482" t="s">
        <v>2872</v>
      </c>
      <c r="F482" t="s">
        <v>809</v>
      </c>
    </row>
    <row r="483" spans="1:6" x14ac:dyDescent="0.45">
      <c r="A483" t="str">
        <f t="shared" si="7"/>
        <v>ET04,77</v>
      </c>
      <c r="B483">
        <v>77</v>
      </c>
      <c r="C483">
        <v>24553.792258525798</v>
      </c>
      <c r="D483">
        <v>24553.792258525798</v>
      </c>
      <c r="E483" t="s">
        <v>2872</v>
      </c>
      <c r="F483" t="s">
        <v>809</v>
      </c>
    </row>
    <row r="484" spans="1:6" x14ac:dyDescent="0.45">
      <c r="A484" t="str">
        <f t="shared" si="7"/>
        <v>ET04,78</v>
      </c>
      <c r="B484">
        <v>78</v>
      </c>
      <c r="C484">
        <v>22392.333806820599</v>
      </c>
      <c r="D484">
        <v>21796.841070081999</v>
      </c>
      <c r="E484" t="s">
        <v>2872</v>
      </c>
      <c r="F484" t="s">
        <v>809</v>
      </c>
    </row>
    <row r="485" spans="1:6" x14ac:dyDescent="0.45">
      <c r="A485" t="str">
        <f t="shared" si="7"/>
        <v>ET04,79</v>
      </c>
      <c r="B485">
        <v>79</v>
      </c>
      <c r="C485">
        <v>20230.875355115499</v>
      </c>
      <c r="D485">
        <v>19443.676302514901</v>
      </c>
      <c r="E485" t="s">
        <v>2872</v>
      </c>
      <c r="F485" t="s">
        <v>809</v>
      </c>
    </row>
    <row r="486" spans="1:6" x14ac:dyDescent="0.45">
      <c r="A486" t="str">
        <f t="shared" si="7"/>
        <v>ET04,80</v>
      </c>
      <c r="B486">
        <v>80</v>
      </c>
      <c r="C486">
        <v>18069.4169034103</v>
      </c>
      <c r="D486">
        <v>17388.257903317</v>
      </c>
      <c r="E486" t="s">
        <v>2872</v>
      </c>
      <c r="F486" t="s">
        <v>809</v>
      </c>
    </row>
    <row r="487" spans="1:6" x14ac:dyDescent="0.45">
      <c r="A487" t="str">
        <f t="shared" si="7"/>
        <v>ET04,81</v>
      </c>
      <c r="B487">
        <v>81</v>
      </c>
      <c r="C487">
        <v>15907.958451705201</v>
      </c>
      <c r="D487">
        <v>15524.5458199812</v>
      </c>
      <c r="E487" t="s">
        <v>2872</v>
      </c>
      <c r="F487" t="s">
        <v>809</v>
      </c>
    </row>
    <row r="488" spans="1:6" x14ac:dyDescent="0.45">
      <c r="A488" t="str">
        <f t="shared" si="7"/>
        <v>ET04,82</v>
      </c>
      <c r="B488">
        <v>82</v>
      </c>
      <c r="C488">
        <v>13746.5</v>
      </c>
      <c r="D488">
        <v>13746.5</v>
      </c>
      <c r="E488" t="s">
        <v>2872</v>
      </c>
      <c r="F488" t="s">
        <v>809</v>
      </c>
    </row>
    <row r="489" spans="1:6" x14ac:dyDescent="0.45">
      <c r="A489" t="str">
        <f t="shared" si="7"/>
        <v>ET04,83</v>
      </c>
      <c r="B489">
        <v>83</v>
      </c>
      <c r="C489">
        <v>12108.633599999999</v>
      </c>
      <c r="D489">
        <v>11973.0988307649</v>
      </c>
      <c r="E489" t="s">
        <v>2872</v>
      </c>
      <c r="F489" t="s">
        <v>809</v>
      </c>
    </row>
    <row r="490" spans="1:6" x14ac:dyDescent="0.45">
      <c r="A490" t="str">
        <f t="shared" si="7"/>
        <v>ET04,84</v>
      </c>
      <c r="B490">
        <v>84</v>
      </c>
      <c r="C490">
        <v>10470.7672</v>
      </c>
      <c r="D490">
        <v>10223.394459262299</v>
      </c>
      <c r="E490" t="s">
        <v>2872</v>
      </c>
      <c r="F490" t="s">
        <v>809</v>
      </c>
    </row>
    <row r="491" spans="1:6" x14ac:dyDescent="0.45">
      <c r="A491" t="str">
        <f t="shared" si="7"/>
        <v>ET04,85</v>
      </c>
      <c r="B491">
        <v>85</v>
      </c>
      <c r="C491">
        <v>8832.9007999999994</v>
      </c>
      <c r="D491">
        <v>8541.4574723772603</v>
      </c>
      <c r="E491" t="s">
        <v>2872</v>
      </c>
      <c r="F491" t="s">
        <v>809</v>
      </c>
    </row>
    <row r="492" spans="1:6" x14ac:dyDescent="0.45">
      <c r="A492" t="str">
        <f t="shared" si="7"/>
        <v>ET04,86</v>
      </c>
      <c r="B492">
        <v>86</v>
      </c>
      <c r="C492">
        <v>7195.0343999999996</v>
      </c>
      <c r="D492">
        <v>6971.3584569947998</v>
      </c>
      <c r="E492" t="s">
        <v>2872</v>
      </c>
      <c r="F492" t="s">
        <v>809</v>
      </c>
    </row>
    <row r="493" spans="1:6" x14ac:dyDescent="0.45">
      <c r="A493" t="str">
        <f t="shared" si="7"/>
        <v>ET04,87</v>
      </c>
      <c r="B493">
        <v>87</v>
      </c>
      <c r="C493">
        <v>5557.1679999999997</v>
      </c>
      <c r="D493">
        <v>5557.1679999999997</v>
      </c>
      <c r="E493" t="s">
        <v>2872</v>
      </c>
      <c r="F493" t="s">
        <v>809</v>
      </c>
    </row>
    <row r="494" spans="1:6" x14ac:dyDescent="0.45">
      <c r="A494" t="str">
        <f t="shared" si="7"/>
        <v>ET04,88</v>
      </c>
      <c r="B494">
        <v>88</v>
      </c>
      <c r="C494">
        <v>4685.9444000000003</v>
      </c>
      <c r="D494">
        <v>4333.6265712233999</v>
      </c>
      <c r="E494" t="s">
        <v>2872</v>
      </c>
      <c r="F494" t="s">
        <v>809</v>
      </c>
    </row>
    <row r="495" spans="1:6" x14ac:dyDescent="0.45">
      <c r="A495" t="str">
        <f t="shared" si="7"/>
        <v>ET04,89</v>
      </c>
      <c r="B495">
        <v>89</v>
      </c>
      <c r="C495">
        <v>3814.7208000000001</v>
      </c>
      <c r="D495">
        <v>3298.15417227733</v>
      </c>
      <c r="E495" t="s">
        <v>2872</v>
      </c>
      <c r="F495" t="s">
        <v>809</v>
      </c>
    </row>
    <row r="496" spans="1:6" x14ac:dyDescent="0.45">
      <c r="A496" t="str">
        <f t="shared" si="7"/>
        <v>ET04,90</v>
      </c>
      <c r="B496">
        <v>90</v>
      </c>
      <c r="C496">
        <v>2943.4971999999998</v>
      </c>
      <c r="D496">
        <v>2438.8406877195498</v>
      </c>
      <c r="E496" t="s">
        <v>2872</v>
      </c>
      <c r="F496" t="s">
        <v>809</v>
      </c>
    </row>
    <row r="497" spans="1:6" x14ac:dyDescent="0.45">
      <c r="A497" t="str">
        <f t="shared" si="7"/>
        <v>ET04,91</v>
      </c>
      <c r="B497">
        <v>91</v>
      </c>
      <c r="C497">
        <v>2072.2736</v>
      </c>
      <c r="D497">
        <v>1743.77600210785</v>
      </c>
      <c r="E497" t="s">
        <v>2872</v>
      </c>
      <c r="F497" t="s">
        <v>809</v>
      </c>
    </row>
    <row r="498" spans="1:6" x14ac:dyDescent="0.45">
      <c r="A498" t="str">
        <f t="shared" si="7"/>
        <v>ET04,92</v>
      </c>
      <c r="B498">
        <v>92</v>
      </c>
      <c r="C498">
        <v>1201.05</v>
      </c>
      <c r="D498">
        <v>1201.05</v>
      </c>
      <c r="E498" t="s">
        <v>2872</v>
      </c>
      <c r="F498" t="s">
        <v>809</v>
      </c>
    </row>
    <row r="499" spans="1:6" x14ac:dyDescent="0.45">
      <c r="A499" t="str">
        <f t="shared" si="7"/>
        <v>ET04,93</v>
      </c>
      <c r="B499">
        <v>93</v>
      </c>
      <c r="C499">
        <v>989.21360000000004</v>
      </c>
      <c r="D499">
        <v>797.04234034145304</v>
      </c>
      <c r="E499" t="s">
        <v>2872</v>
      </c>
      <c r="F499" t="s">
        <v>809</v>
      </c>
    </row>
    <row r="500" spans="1:6" x14ac:dyDescent="0.45">
      <c r="A500" t="str">
        <f t="shared" si="7"/>
        <v>ET04,94</v>
      </c>
      <c r="B500">
        <v>94</v>
      </c>
      <c r="C500">
        <v>777.37720000000002</v>
      </c>
      <c r="D500">
        <v>511.29177962835701</v>
      </c>
      <c r="E500" t="s">
        <v>2872</v>
      </c>
      <c r="F500" t="s">
        <v>809</v>
      </c>
    </row>
    <row r="501" spans="1:6" x14ac:dyDescent="0.45">
      <c r="A501" t="str">
        <f t="shared" si="7"/>
        <v>ET04,95</v>
      </c>
      <c r="B501">
        <v>95</v>
      </c>
      <c r="C501">
        <v>565.54079999999999</v>
      </c>
      <c r="D501">
        <v>321.62684874453498</v>
      </c>
      <c r="E501" t="s">
        <v>2872</v>
      </c>
      <c r="F501" t="s">
        <v>809</v>
      </c>
    </row>
    <row r="502" spans="1:6" x14ac:dyDescent="0.45">
      <c r="A502" t="str">
        <f t="shared" si="7"/>
        <v>ET04,96</v>
      </c>
      <c r="B502">
        <v>96</v>
      </c>
      <c r="C502">
        <v>353.70440000000002</v>
      </c>
      <c r="D502">
        <v>205.876078573808</v>
      </c>
      <c r="E502" t="s">
        <v>2872</v>
      </c>
      <c r="F502" t="s">
        <v>809</v>
      </c>
    </row>
    <row r="503" spans="1:6" x14ac:dyDescent="0.45">
      <c r="A503" t="str">
        <f t="shared" si="7"/>
        <v>ET04,97</v>
      </c>
      <c r="B503">
        <v>97</v>
      </c>
      <c r="C503">
        <v>141.86799999999999</v>
      </c>
      <c r="D503">
        <v>141.86799999999999</v>
      </c>
      <c r="E503" t="s">
        <v>2872</v>
      </c>
      <c r="F503" t="s">
        <v>809</v>
      </c>
    </row>
    <row r="504" spans="1:6" x14ac:dyDescent="0.45">
      <c r="A504" t="str">
        <f t="shared" si="7"/>
        <v>ET04,98</v>
      </c>
      <c r="B504">
        <v>98</v>
      </c>
      <c r="C504">
        <v>125.91200000000001</v>
      </c>
      <c r="D504">
        <v>109.483543066255</v>
      </c>
      <c r="E504" t="s">
        <v>2872</v>
      </c>
      <c r="F504" t="s">
        <v>809</v>
      </c>
    </row>
    <row r="505" spans="1:6" x14ac:dyDescent="0.45">
      <c r="A505" t="str">
        <f t="shared" si="7"/>
        <v>ET04,99</v>
      </c>
      <c r="B505">
        <v>99</v>
      </c>
      <c r="C505">
        <v>109.956</v>
      </c>
      <c r="D505">
        <v>96.813234453003901</v>
      </c>
      <c r="E505" t="s">
        <v>2872</v>
      </c>
      <c r="F505" t="s">
        <v>809</v>
      </c>
    </row>
    <row r="506" spans="1:6" x14ac:dyDescent="0.45">
      <c r="A506" t="str">
        <f t="shared" si="7"/>
        <v>ET04,100</v>
      </c>
      <c r="B506">
        <v>100</v>
      </c>
      <c r="C506">
        <v>94</v>
      </c>
      <c r="D506">
        <v>94</v>
      </c>
      <c r="E506" t="s">
        <v>2872</v>
      </c>
      <c r="F506" t="s">
        <v>809</v>
      </c>
    </row>
    <row r="507" spans="1:6" x14ac:dyDescent="0.45">
      <c r="A507" t="str">
        <f t="shared" si="7"/>
        <v>ET05,&lt;1</v>
      </c>
      <c r="B507" t="s">
        <v>119</v>
      </c>
      <c r="C507">
        <v>76260.637145864705</v>
      </c>
      <c r="D507">
        <v>76260.637145864705</v>
      </c>
      <c r="E507" t="s">
        <v>2873</v>
      </c>
      <c r="F507" t="s">
        <v>2874</v>
      </c>
    </row>
    <row r="508" spans="1:6" x14ac:dyDescent="0.45">
      <c r="A508" t="str">
        <f t="shared" si="7"/>
        <v>ET05,1</v>
      </c>
      <c r="B508">
        <v>1</v>
      </c>
      <c r="C508">
        <v>73364.104379134602</v>
      </c>
      <c r="D508">
        <v>72681.416328357707</v>
      </c>
      <c r="E508" t="s">
        <v>2873</v>
      </c>
      <c r="F508" t="s">
        <v>2874</v>
      </c>
    </row>
    <row r="509" spans="1:6" x14ac:dyDescent="0.45">
      <c r="A509" t="str">
        <f t="shared" si="7"/>
        <v>ET05,2</v>
      </c>
      <c r="B509">
        <v>2</v>
      </c>
      <c r="C509">
        <v>70467.571612404499</v>
      </c>
      <c r="D509">
        <v>70467.571612404499</v>
      </c>
      <c r="E509" t="s">
        <v>2873</v>
      </c>
      <c r="F509" t="s">
        <v>2874</v>
      </c>
    </row>
    <row r="510" spans="1:6" x14ac:dyDescent="0.45">
      <c r="A510" t="str">
        <f t="shared" si="7"/>
        <v>ET05,3</v>
      </c>
      <c r="B510">
        <v>3</v>
      </c>
      <c r="C510">
        <v>73755.971483576199</v>
      </c>
      <c r="D510">
        <v>70658.418442422393</v>
      </c>
      <c r="E510" t="s">
        <v>2873</v>
      </c>
      <c r="F510" t="s">
        <v>2874</v>
      </c>
    </row>
    <row r="511" spans="1:6" x14ac:dyDescent="0.45">
      <c r="A511" t="str">
        <f t="shared" si="7"/>
        <v>ET05,4</v>
      </c>
      <c r="B511">
        <v>4</v>
      </c>
      <c r="C511">
        <v>77044.371354747796</v>
      </c>
      <c r="D511">
        <v>72989.029634282502</v>
      </c>
      <c r="E511" t="s">
        <v>2873</v>
      </c>
      <c r="F511" t="s">
        <v>2874</v>
      </c>
    </row>
    <row r="512" spans="1:6" x14ac:dyDescent="0.45">
      <c r="A512" t="str">
        <f t="shared" si="7"/>
        <v>ET05,5</v>
      </c>
      <c r="B512">
        <v>5</v>
      </c>
      <c r="C512">
        <v>80332.771225919496</v>
      </c>
      <c r="D512">
        <v>76868.417346719507</v>
      </c>
      <c r="E512" t="s">
        <v>2873</v>
      </c>
      <c r="F512" t="s">
        <v>2874</v>
      </c>
    </row>
    <row r="513" spans="1:6" x14ac:dyDescent="0.45">
      <c r="A513" t="str">
        <f t="shared" si="7"/>
        <v>ET05,6</v>
      </c>
      <c r="B513">
        <v>6</v>
      </c>
      <c r="C513">
        <v>83621.171097091195</v>
      </c>
      <c r="D513">
        <v>81705.593738468</v>
      </c>
      <c r="E513" t="s">
        <v>2873</v>
      </c>
      <c r="F513" t="s">
        <v>2874</v>
      </c>
    </row>
    <row r="514" spans="1:6" x14ac:dyDescent="0.45">
      <c r="A514" t="str">
        <f t="shared" si="7"/>
        <v>ET05,7</v>
      </c>
      <c r="B514">
        <v>7</v>
      </c>
      <c r="C514">
        <v>86909.570968262793</v>
      </c>
      <c r="D514">
        <v>86909.570968262793</v>
      </c>
      <c r="E514" t="s">
        <v>2873</v>
      </c>
      <c r="F514" t="s">
        <v>2874</v>
      </c>
    </row>
    <row r="515" spans="1:6" x14ac:dyDescent="0.45">
      <c r="A515" t="str">
        <f t="shared" ref="A515:A578" si="8">_xlfn.CONCAT(E515,",",B515)</f>
        <v>ET05,8</v>
      </c>
      <c r="B515">
        <v>8</v>
      </c>
      <c r="C515">
        <v>89781.606671318994</v>
      </c>
      <c r="D515">
        <v>91917.544028757693</v>
      </c>
      <c r="E515" t="s">
        <v>2873</v>
      </c>
      <c r="F515" t="s">
        <v>2874</v>
      </c>
    </row>
    <row r="516" spans="1:6" x14ac:dyDescent="0.45">
      <c r="A516" t="str">
        <f t="shared" si="8"/>
        <v>ET05,9</v>
      </c>
      <c r="B516">
        <v>9</v>
      </c>
      <c r="C516">
        <v>92653.642374375093</v>
      </c>
      <c r="D516">
        <v>96279.439248283306</v>
      </c>
      <c r="E516" t="s">
        <v>2873</v>
      </c>
      <c r="F516" t="s">
        <v>2874</v>
      </c>
    </row>
    <row r="517" spans="1:6" x14ac:dyDescent="0.45">
      <c r="A517" t="str">
        <f t="shared" si="8"/>
        <v>ET05,10</v>
      </c>
      <c r="B517">
        <v>10</v>
      </c>
      <c r="C517">
        <v>95525.678077431294</v>
      </c>
      <c r="D517">
        <v>99573.365789089497</v>
      </c>
      <c r="E517" t="s">
        <v>2873</v>
      </c>
      <c r="F517" t="s">
        <v>2874</v>
      </c>
    </row>
    <row r="518" spans="1:6" x14ac:dyDescent="0.45">
      <c r="A518" t="str">
        <f t="shared" si="8"/>
        <v>ET05,11</v>
      </c>
      <c r="B518">
        <v>11</v>
      </c>
      <c r="C518">
        <v>98397.713780487393</v>
      </c>
      <c r="D518">
        <v>101377.432813426</v>
      </c>
      <c r="E518" t="s">
        <v>2873</v>
      </c>
      <c r="F518" t="s">
        <v>2874</v>
      </c>
    </row>
    <row r="519" spans="1:6" x14ac:dyDescent="0.45">
      <c r="A519" t="str">
        <f t="shared" si="8"/>
        <v>ET05,12</v>
      </c>
      <c r="B519">
        <v>12</v>
      </c>
      <c r="C519">
        <v>101269.749483544</v>
      </c>
      <c r="D519">
        <v>101269.749483544</v>
      </c>
      <c r="E519" t="s">
        <v>2873</v>
      </c>
      <c r="F519" t="s">
        <v>2874</v>
      </c>
    </row>
    <row r="520" spans="1:6" x14ac:dyDescent="0.45">
      <c r="A520" t="str">
        <f t="shared" si="8"/>
        <v>ET05,13</v>
      </c>
      <c r="B520">
        <v>13</v>
      </c>
      <c r="C520">
        <v>96870.464188311395</v>
      </c>
      <c r="D520">
        <v>99004.300360153502</v>
      </c>
      <c r="E520" t="s">
        <v>2873</v>
      </c>
      <c r="F520" t="s">
        <v>2874</v>
      </c>
    </row>
    <row r="521" spans="1:6" x14ac:dyDescent="0.45">
      <c r="A521" t="str">
        <f t="shared" si="8"/>
        <v>ET05,14</v>
      </c>
      <c r="B521">
        <v>14</v>
      </c>
      <c r="C521">
        <v>92471.178893079094</v>
      </c>
      <c r="D521">
        <v>95038.571597818096</v>
      </c>
      <c r="E521" t="s">
        <v>2873</v>
      </c>
      <c r="F521" t="s">
        <v>2874</v>
      </c>
    </row>
    <row r="522" spans="1:6" x14ac:dyDescent="0.45">
      <c r="A522" t="str">
        <f t="shared" si="8"/>
        <v>ET05,15</v>
      </c>
      <c r="B522">
        <v>15</v>
      </c>
      <c r="C522">
        <v>88071.893597846894</v>
      </c>
      <c r="D522">
        <v>90005.9247495616</v>
      </c>
      <c r="E522" t="s">
        <v>2873</v>
      </c>
      <c r="F522" t="s">
        <v>2874</v>
      </c>
    </row>
    <row r="523" spans="1:6" x14ac:dyDescent="0.45">
      <c r="A523" t="str">
        <f t="shared" si="8"/>
        <v>ET05,16</v>
      </c>
      <c r="B523">
        <v>16</v>
      </c>
      <c r="C523">
        <v>83672.608302614593</v>
      </c>
      <c r="D523">
        <v>84539.721368408296</v>
      </c>
      <c r="E523" t="s">
        <v>2873</v>
      </c>
      <c r="F523" t="s">
        <v>2874</v>
      </c>
    </row>
    <row r="524" spans="1:6" x14ac:dyDescent="0.45">
      <c r="A524" t="str">
        <f t="shared" si="8"/>
        <v>ET05,17</v>
      </c>
      <c r="B524">
        <v>17</v>
      </c>
      <c r="C524">
        <v>79273.323007382394</v>
      </c>
      <c r="D524">
        <v>79273.323007382394</v>
      </c>
      <c r="E524" t="s">
        <v>2873</v>
      </c>
      <c r="F524" t="s">
        <v>2874</v>
      </c>
    </row>
    <row r="525" spans="1:6" x14ac:dyDescent="0.45">
      <c r="A525" t="str">
        <f t="shared" si="8"/>
        <v>ET05,18</v>
      </c>
      <c r="B525">
        <v>18</v>
      </c>
      <c r="C525">
        <v>75608.904260598996</v>
      </c>
      <c r="D525">
        <v>74702.852566815898</v>
      </c>
      <c r="E525" t="s">
        <v>2873</v>
      </c>
      <c r="F525" t="s">
        <v>2874</v>
      </c>
    </row>
    <row r="526" spans="1:6" x14ac:dyDescent="0.45">
      <c r="A526" t="str">
        <f t="shared" si="8"/>
        <v>ET05,19</v>
      </c>
      <c r="B526">
        <v>19</v>
      </c>
      <c r="C526">
        <v>71944.485513815496</v>
      </c>
      <c r="D526">
        <v>70775.478336271102</v>
      </c>
      <c r="E526" t="s">
        <v>2873</v>
      </c>
      <c r="F526" t="s">
        <v>2874</v>
      </c>
    </row>
    <row r="527" spans="1:6" x14ac:dyDescent="0.45">
      <c r="A527" t="str">
        <f t="shared" si="8"/>
        <v>ET05,20</v>
      </c>
      <c r="B527">
        <v>20</v>
      </c>
      <c r="C527">
        <v>68280.066767032098</v>
      </c>
      <c r="D527">
        <v>67301.129952617805</v>
      </c>
      <c r="E527" t="s">
        <v>2873</v>
      </c>
      <c r="F527" t="s">
        <v>2874</v>
      </c>
    </row>
    <row r="528" spans="1:6" x14ac:dyDescent="0.45">
      <c r="A528" t="str">
        <f t="shared" si="8"/>
        <v>ET05,21</v>
      </c>
      <c r="B528">
        <v>21</v>
      </c>
      <c r="C528">
        <v>64615.648020248598</v>
      </c>
      <c r="D528">
        <v>64089.737052725897</v>
      </c>
      <c r="E528" t="s">
        <v>2873</v>
      </c>
      <c r="F528" t="s">
        <v>2874</v>
      </c>
    </row>
    <row r="529" spans="1:6" x14ac:dyDescent="0.45">
      <c r="A529" t="str">
        <f t="shared" si="8"/>
        <v>ET05,22</v>
      </c>
      <c r="B529">
        <v>22</v>
      </c>
      <c r="C529">
        <v>60951.2292734652</v>
      </c>
      <c r="D529">
        <v>60951.2292734652</v>
      </c>
      <c r="E529" t="s">
        <v>2873</v>
      </c>
      <c r="F529" t="s">
        <v>2874</v>
      </c>
    </row>
    <row r="530" spans="1:6" x14ac:dyDescent="0.45">
      <c r="A530" t="str">
        <f t="shared" si="8"/>
        <v>ET05,23</v>
      </c>
      <c r="B530">
        <v>23</v>
      </c>
      <c r="C530">
        <v>58381.286738246199</v>
      </c>
      <c r="D530">
        <v>57762.752348667898</v>
      </c>
      <c r="E530" t="s">
        <v>2873</v>
      </c>
      <c r="F530" t="s">
        <v>2874</v>
      </c>
    </row>
    <row r="531" spans="1:6" x14ac:dyDescent="0.45">
      <c r="A531" t="str">
        <f t="shared" si="8"/>
        <v>ET05,24</v>
      </c>
      <c r="B531">
        <v>24</v>
      </c>
      <c r="C531">
        <v>55811.344203027104</v>
      </c>
      <c r="D531">
        <v>54670.316400015799</v>
      </c>
      <c r="E531" t="s">
        <v>2873</v>
      </c>
      <c r="F531" t="s">
        <v>2874</v>
      </c>
    </row>
    <row r="532" spans="1:6" x14ac:dyDescent="0.45">
      <c r="A532" t="str">
        <f t="shared" si="8"/>
        <v>ET05,25</v>
      </c>
      <c r="B532">
        <v>25</v>
      </c>
      <c r="C532">
        <v>53241.401667808103</v>
      </c>
      <c r="D532">
        <v>51887.147646152698</v>
      </c>
      <c r="E532" t="s">
        <v>2873</v>
      </c>
      <c r="F532" t="s">
        <v>2874</v>
      </c>
    </row>
    <row r="533" spans="1:6" x14ac:dyDescent="0.45">
      <c r="A533" t="str">
        <f t="shared" si="8"/>
        <v>ET05,26</v>
      </c>
      <c r="B533">
        <v>26</v>
      </c>
      <c r="C533">
        <v>50671.459132589</v>
      </c>
      <c r="D533">
        <v>49626.472305722797</v>
      </c>
      <c r="E533" t="s">
        <v>2873</v>
      </c>
      <c r="F533" t="s">
        <v>2874</v>
      </c>
    </row>
    <row r="534" spans="1:6" x14ac:dyDescent="0.45">
      <c r="A534" t="str">
        <f t="shared" si="8"/>
        <v>ET05,27</v>
      </c>
      <c r="B534">
        <v>27</v>
      </c>
      <c r="C534">
        <v>48101.516597369999</v>
      </c>
      <c r="D534">
        <v>48101.516597369999</v>
      </c>
      <c r="E534" t="s">
        <v>2873</v>
      </c>
      <c r="F534" t="s">
        <v>2874</v>
      </c>
    </row>
    <row r="535" spans="1:6" x14ac:dyDescent="0.45">
      <c r="A535" t="str">
        <f t="shared" si="8"/>
        <v>ET05,28</v>
      </c>
      <c r="B535">
        <v>28</v>
      </c>
      <c r="C535">
        <v>48054.444040607603</v>
      </c>
      <c r="D535">
        <v>47436.632368732397</v>
      </c>
      <c r="E535" t="s">
        <v>2873</v>
      </c>
      <c r="F535" t="s">
        <v>2874</v>
      </c>
    </row>
    <row r="536" spans="1:6" x14ac:dyDescent="0.45">
      <c r="A536" t="str">
        <f t="shared" si="8"/>
        <v>ET05,29</v>
      </c>
      <c r="B536">
        <v>29</v>
      </c>
      <c r="C536">
        <v>48007.3714838452</v>
      </c>
      <c r="D536">
        <v>47400.673983424203</v>
      </c>
      <c r="E536" t="s">
        <v>2873</v>
      </c>
      <c r="F536" t="s">
        <v>2874</v>
      </c>
    </row>
    <row r="537" spans="1:6" x14ac:dyDescent="0.45">
      <c r="A537" t="str">
        <f t="shared" si="8"/>
        <v>ET05,30</v>
      </c>
      <c r="B537">
        <v>30</v>
      </c>
      <c r="C537">
        <v>47960.298927082797</v>
      </c>
      <c r="D537">
        <v>47673.621434053603</v>
      </c>
      <c r="E537" t="s">
        <v>2873</v>
      </c>
      <c r="F537" t="s">
        <v>2874</v>
      </c>
    </row>
    <row r="538" spans="1:6" x14ac:dyDescent="0.45">
      <c r="A538" t="str">
        <f t="shared" si="8"/>
        <v>ET05,31</v>
      </c>
      <c r="B538">
        <v>31</v>
      </c>
      <c r="C538">
        <v>47913.226370320401</v>
      </c>
      <c r="D538">
        <v>47935.454713228799</v>
      </c>
      <c r="E538" t="s">
        <v>2873</v>
      </c>
      <c r="F538" t="s">
        <v>2874</v>
      </c>
    </row>
    <row r="539" spans="1:6" x14ac:dyDescent="0.45">
      <c r="A539" t="str">
        <f t="shared" si="8"/>
        <v>ET05,32</v>
      </c>
      <c r="B539">
        <v>32</v>
      </c>
      <c r="C539">
        <v>47866.153813557998</v>
      </c>
      <c r="D539">
        <v>47866.153813557998</v>
      </c>
      <c r="E539" t="s">
        <v>2873</v>
      </c>
      <c r="F539" t="s">
        <v>2874</v>
      </c>
    </row>
    <row r="540" spans="1:6" x14ac:dyDescent="0.45">
      <c r="A540" t="str">
        <f t="shared" si="8"/>
        <v>ET05,33</v>
      </c>
      <c r="B540">
        <v>33</v>
      </c>
      <c r="C540">
        <v>46718.901455291401</v>
      </c>
      <c r="D540">
        <v>47231.922372836903</v>
      </c>
      <c r="E540" t="s">
        <v>2873</v>
      </c>
      <c r="F540" t="s">
        <v>2874</v>
      </c>
    </row>
    <row r="541" spans="1:6" x14ac:dyDescent="0.45">
      <c r="A541" t="str">
        <f t="shared" si="8"/>
        <v>ET05,34</v>
      </c>
      <c r="B541">
        <v>34</v>
      </c>
      <c r="C541">
        <v>45571.6490970249</v>
      </c>
      <c r="D541">
        <v>46143.858609610601</v>
      </c>
      <c r="E541" t="s">
        <v>2873</v>
      </c>
      <c r="F541" t="s">
        <v>2874</v>
      </c>
    </row>
    <row r="542" spans="1:6" x14ac:dyDescent="0.45">
      <c r="A542" t="str">
        <f t="shared" si="8"/>
        <v>ET05,35</v>
      </c>
      <c r="B542">
        <v>35</v>
      </c>
      <c r="C542">
        <v>44424.396738758303</v>
      </c>
      <c r="D542">
        <v>44799.2843876115</v>
      </c>
      <c r="E542" t="s">
        <v>2873</v>
      </c>
      <c r="F542" t="s">
        <v>2874</v>
      </c>
    </row>
    <row r="543" spans="1:6" x14ac:dyDescent="0.45">
      <c r="A543" t="str">
        <f t="shared" si="8"/>
        <v>ET05,36</v>
      </c>
      <c r="B543">
        <v>36</v>
      </c>
      <c r="C543">
        <v>43277.144380491802</v>
      </c>
      <c r="D543">
        <v>43395.5215705722</v>
      </c>
      <c r="E543" t="s">
        <v>2873</v>
      </c>
      <c r="F543" t="s">
        <v>2874</v>
      </c>
    </row>
    <row r="544" spans="1:6" x14ac:dyDescent="0.45">
      <c r="A544" t="str">
        <f t="shared" si="8"/>
        <v>ET05,37</v>
      </c>
      <c r="B544">
        <v>37</v>
      </c>
      <c r="C544">
        <v>42129.892022225198</v>
      </c>
      <c r="D544">
        <v>42129.892022225198</v>
      </c>
      <c r="E544" t="s">
        <v>2873</v>
      </c>
      <c r="F544" t="s">
        <v>2874</v>
      </c>
    </row>
    <row r="545" spans="1:6" x14ac:dyDescent="0.45">
      <c r="A545" t="str">
        <f t="shared" si="8"/>
        <v>ET05,38</v>
      </c>
      <c r="B545">
        <v>38</v>
      </c>
      <c r="C545">
        <v>40911.970155285497</v>
      </c>
      <c r="D545">
        <v>41129.799799471097</v>
      </c>
      <c r="E545" t="s">
        <v>2873</v>
      </c>
      <c r="F545" t="s">
        <v>2874</v>
      </c>
    </row>
    <row r="546" spans="1:6" x14ac:dyDescent="0.45">
      <c r="A546" t="str">
        <f t="shared" si="8"/>
        <v>ET05,39</v>
      </c>
      <c r="B546">
        <v>39</v>
      </c>
      <c r="C546">
        <v>39694.048288345803</v>
      </c>
      <c r="D546">
        <v>40242.977731883002</v>
      </c>
      <c r="E546" t="s">
        <v>2873</v>
      </c>
      <c r="F546" t="s">
        <v>2874</v>
      </c>
    </row>
    <row r="547" spans="1:6" x14ac:dyDescent="0.45">
      <c r="A547" t="str">
        <f t="shared" si="8"/>
        <v>ET05,40</v>
      </c>
      <c r="B547">
        <v>40</v>
      </c>
      <c r="C547">
        <v>38476.126421406203</v>
      </c>
      <c r="D547">
        <v>39247.240842202104</v>
      </c>
      <c r="E547" t="s">
        <v>2873</v>
      </c>
      <c r="F547" t="s">
        <v>2874</v>
      </c>
    </row>
    <row r="548" spans="1:6" x14ac:dyDescent="0.45">
      <c r="A548" t="str">
        <f t="shared" si="8"/>
        <v>ET05,41</v>
      </c>
      <c r="B548">
        <v>41</v>
      </c>
      <c r="C548">
        <v>37258.204554466502</v>
      </c>
      <c r="D548">
        <v>37920.404153169598</v>
      </c>
      <c r="E548" t="s">
        <v>2873</v>
      </c>
      <c r="F548" t="s">
        <v>2874</v>
      </c>
    </row>
    <row r="549" spans="1:6" x14ac:dyDescent="0.45">
      <c r="A549" t="str">
        <f t="shared" si="8"/>
        <v>ET05,42</v>
      </c>
      <c r="B549">
        <v>42</v>
      </c>
      <c r="C549">
        <v>36040.2826875268</v>
      </c>
      <c r="D549">
        <v>36040.2826875268</v>
      </c>
      <c r="E549" t="s">
        <v>2873</v>
      </c>
      <c r="F549" t="s">
        <v>2874</v>
      </c>
    </row>
    <row r="550" spans="1:6" x14ac:dyDescent="0.45">
      <c r="A550" t="str">
        <f t="shared" si="8"/>
        <v>ET05,43</v>
      </c>
      <c r="B550">
        <v>43</v>
      </c>
      <c r="C550">
        <v>33184.168498900603</v>
      </c>
      <c r="D550">
        <v>33474.257725921198</v>
      </c>
      <c r="E550" t="s">
        <v>2873</v>
      </c>
      <c r="F550" t="s">
        <v>2874</v>
      </c>
    </row>
    <row r="551" spans="1:6" x14ac:dyDescent="0.45">
      <c r="A551" t="str">
        <f t="shared" si="8"/>
        <v>ET05,44</v>
      </c>
      <c r="B551">
        <v>44</v>
      </c>
      <c r="C551">
        <v>30328.054310274299</v>
      </c>
      <c r="D551">
        <v>30447.975580625902</v>
      </c>
      <c r="E551" t="s">
        <v>2873</v>
      </c>
      <c r="F551" t="s">
        <v>2874</v>
      </c>
    </row>
    <row r="552" spans="1:6" x14ac:dyDescent="0.45">
      <c r="A552" t="str">
        <f t="shared" si="8"/>
        <v>ET05,45</v>
      </c>
      <c r="B552">
        <v>45</v>
      </c>
      <c r="C552">
        <v>27471.940121648098</v>
      </c>
      <c r="D552">
        <v>27276.648821820301</v>
      </c>
      <c r="E552" t="s">
        <v>2873</v>
      </c>
      <c r="F552" t="s">
        <v>2874</v>
      </c>
    </row>
    <row r="553" spans="1:6" x14ac:dyDescent="0.45">
      <c r="A553" t="str">
        <f t="shared" si="8"/>
        <v>ET05,46</v>
      </c>
      <c r="B553">
        <v>46</v>
      </c>
      <c r="C553">
        <v>24615.825933021799</v>
      </c>
      <c r="D553">
        <v>24275.490019683701</v>
      </c>
      <c r="E553" t="s">
        <v>2873</v>
      </c>
      <c r="F553" t="s">
        <v>2874</v>
      </c>
    </row>
    <row r="554" spans="1:6" x14ac:dyDescent="0.45">
      <c r="A554" t="str">
        <f t="shared" si="8"/>
        <v>ET05,47</v>
      </c>
      <c r="B554">
        <v>47</v>
      </c>
      <c r="C554">
        <v>21759.711744395601</v>
      </c>
      <c r="D554">
        <v>21759.711744395601</v>
      </c>
      <c r="E554" t="s">
        <v>2873</v>
      </c>
      <c r="F554" t="s">
        <v>2874</v>
      </c>
    </row>
    <row r="555" spans="1:6" x14ac:dyDescent="0.45">
      <c r="A555" t="str">
        <f t="shared" si="8"/>
        <v>ET05,48</v>
      </c>
      <c r="B555">
        <v>48</v>
      </c>
      <c r="C555">
        <v>20628.643501871298</v>
      </c>
      <c r="D555">
        <v>19953.409784573902</v>
      </c>
      <c r="E555" t="s">
        <v>2873</v>
      </c>
      <c r="F555" t="s">
        <v>2874</v>
      </c>
    </row>
    <row r="556" spans="1:6" x14ac:dyDescent="0.45">
      <c r="A556" t="str">
        <f t="shared" si="8"/>
        <v>ET05,49</v>
      </c>
      <c r="B556">
        <v>49</v>
      </c>
      <c r="C556">
        <v>19497.575259347101</v>
      </c>
      <c r="D556">
        <v>18716.2128025905</v>
      </c>
      <c r="E556" t="s">
        <v>2873</v>
      </c>
      <c r="F556" t="s">
        <v>2874</v>
      </c>
    </row>
    <row r="557" spans="1:6" x14ac:dyDescent="0.45">
      <c r="A557" t="str">
        <f t="shared" si="8"/>
        <v>ET05,50</v>
      </c>
      <c r="B557">
        <v>50</v>
      </c>
      <c r="C557">
        <v>18366.507016822801</v>
      </c>
      <c r="D557">
        <v>17816.632679255799</v>
      </c>
      <c r="E557" t="s">
        <v>2873</v>
      </c>
      <c r="F557" t="s">
        <v>2874</v>
      </c>
    </row>
    <row r="558" spans="1:6" x14ac:dyDescent="0.45">
      <c r="A558" t="str">
        <f t="shared" si="8"/>
        <v>ET05,51</v>
      </c>
      <c r="B558">
        <v>51</v>
      </c>
      <c r="C558">
        <v>17235.4387742986</v>
      </c>
      <c r="D558">
        <v>17023.181295380298</v>
      </c>
      <c r="E558" t="s">
        <v>2873</v>
      </c>
      <c r="F558" t="s">
        <v>2874</v>
      </c>
    </row>
    <row r="559" spans="1:6" x14ac:dyDescent="0.45">
      <c r="A559" t="str">
        <f t="shared" si="8"/>
        <v>ET05,52</v>
      </c>
      <c r="B559">
        <v>52</v>
      </c>
      <c r="C559">
        <v>16104.370531774301</v>
      </c>
      <c r="D559">
        <v>16104.370531774301</v>
      </c>
      <c r="E559" t="s">
        <v>2873</v>
      </c>
      <c r="F559" t="s">
        <v>2874</v>
      </c>
    </row>
    <row r="560" spans="1:6" x14ac:dyDescent="0.45">
      <c r="A560" t="str">
        <f t="shared" si="8"/>
        <v>ET05,53</v>
      </c>
      <c r="B560">
        <v>53</v>
      </c>
      <c r="C560">
        <v>14822.870807533</v>
      </c>
      <c r="D560">
        <v>14894.064509763601</v>
      </c>
      <c r="E560" t="s">
        <v>2873</v>
      </c>
      <c r="F560" t="s">
        <v>2874</v>
      </c>
    </row>
    <row r="561" spans="1:6" x14ac:dyDescent="0.45">
      <c r="A561" t="str">
        <f t="shared" si="8"/>
        <v>ET05,54</v>
      </c>
      <c r="B561">
        <v>54</v>
      </c>
      <c r="C561">
        <v>13541.3710832918</v>
      </c>
      <c r="D561">
        <v>13487.536312735299</v>
      </c>
      <c r="E561" t="s">
        <v>2873</v>
      </c>
      <c r="F561" t="s">
        <v>2874</v>
      </c>
    </row>
    <row r="562" spans="1:6" x14ac:dyDescent="0.45">
      <c r="A562" t="str">
        <f t="shared" si="8"/>
        <v>ET05,55</v>
      </c>
      <c r="B562">
        <v>55</v>
      </c>
      <c r="C562">
        <v>12259.871359050499</v>
      </c>
      <c r="D562">
        <v>12045.411264591699</v>
      </c>
      <c r="E562" t="s">
        <v>2873</v>
      </c>
      <c r="F562" t="s">
        <v>2874</v>
      </c>
    </row>
    <row r="563" spans="1:6" x14ac:dyDescent="0.45">
      <c r="A563" t="str">
        <f t="shared" si="8"/>
        <v>ET05,56</v>
      </c>
      <c r="B563">
        <v>56</v>
      </c>
      <c r="C563">
        <v>10978.3716348092</v>
      </c>
      <c r="D563">
        <v>10728.3146892351</v>
      </c>
      <c r="E563" t="s">
        <v>2873</v>
      </c>
      <c r="F563" t="s">
        <v>2874</v>
      </c>
    </row>
    <row r="564" spans="1:6" x14ac:dyDescent="0.45">
      <c r="A564" t="str">
        <f t="shared" si="8"/>
        <v>ET05,57</v>
      </c>
      <c r="B564">
        <v>57</v>
      </c>
      <c r="C564">
        <v>9696.8719105679393</v>
      </c>
      <c r="D564">
        <v>9696.8719105679393</v>
      </c>
      <c r="E564" t="s">
        <v>2873</v>
      </c>
      <c r="F564" t="s">
        <v>2874</v>
      </c>
    </row>
    <row r="565" spans="1:6" x14ac:dyDescent="0.45">
      <c r="A565" t="str">
        <f t="shared" si="8"/>
        <v>ET05,58</v>
      </c>
      <c r="B565">
        <v>58</v>
      </c>
      <c r="C565">
        <v>9322.8439467537592</v>
      </c>
      <c r="D565">
        <v>9058.7512987913105</v>
      </c>
      <c r="E565" t="s">
        <v>2873</v>
      </c>
      <c r="F565" t="s">
        <v>2874</v>
      </c>
    </row>
    <row r="566" spans="1:6" x14ac:dyDescent="0.45">
      <c r="A566" t="str">
        <f t="shared" si="8"/>
        <v>ET05,59</v>
      </c>
      <c r="B566">
        <v>59</v>
      </c>
      <c r="C566">
        <v>8948.81598293959</v>
      </c>
      <c r="D566">
        <v>8709.79340930119</v>
      </c>
      <c r="E566" t="s">
        <v>2873</v>
      </c>
      <c r="F566" t="s">
        <v>2874</v>
      </c>
    </row>
    <row r="567" spans="1:6" x14ac:dyDescent="0.45">
      <c r="A567" t="str">
        <f t="shared" si="8"/>
        <v>ET05,60</v>
      </c>
      <c r="B567">
        <v>60</v>
      </c>
      <c r="C567">
        <v>8574.7880191254098</v>
      </c>
      <c r="D567">
        <v>8492.8818437923001</v>
      </c>
      <c r="E567" t="s">
        <v>2873</v>
      </c>
      <c r="F567" t="s">
        <v>2874</v>
      </c>
    </row>
    <row r="568" spans="1:6" x14ac:dyDescent="0.45">
      <c r="A568" t="str">
        <f t="shared" si="8"/>
        <v>ET05,61</v>
      </c>
      <c r="B568">
        <v>61</v>
      </c>
      <c r="C568">
        <v>8200.7600553112406</v>
      </c>
      <c r="D568">
        <v>8250.9002039593506</v>
      </c>
      <c r="E568" t="s">
        <v>2873</v>
      </c>
      <c r="F568" t="s">
        <v>2874</v>
      </c>
    </row>
    <row r="569" spans="1:6" x14ac:dyDescent="0.45">
      <c r="A569" t="str">
        <f t="shared" si="8"/>
        <v>ET05,62</v>
      </c>
      <c r="B569">
        <v>62</v>
      </c>
      <c r="C569">
        <v>7826.7320914970596</v>
      </c>
      <c r="D569">
        <v>7826.7320914970596</v>
      </c>
      <c r="E569" t="s">
        <v>2873</v>
      </c>
      <c r="F569" t="s">
        <v>2874</v>
      </c>
    </row>
    <row r="570" spans="1:6" x14ac:dyDescent="0.45">
      <c r="A570" t="str">
        <f t="shared" si="8"/>
        <v>ET05,63</v>
      </c>
      <c r="B570">
        <v>63</v>
      </c>
      <c r="C570">
        <v>6962.7274053910296</v>
      </c>
      <c r="D570">
        <v>7111.5226133954002</v>
      </c>
      <c r="E570" t="s">
        <v>2873</v>
      </c>
      <c r="F570" t="s">
        <v>2874</v>
      </c>
    </row>
    <row r="571" spans="1:6" x14ac:dyDescent="0.45">
      <c r="A571" t="str">
        <f t="shared" si="8"/>
        <v>ET05,64</v>
      </c>
      <c r="B571">
        <v>64</v>
      </c>
      <c r="C571">
        <v>6098.7227192849996</v>
      </c>
      <c r="D571">
        <v>6189.4628978253304</v>
      </c>
      <c r="E571" t="s">
        <v>2873</v>
      </c>
      <c r="F571" t="s">
        <v>2874</v>
      </c>
    </row>
    <row r="572" spans="1:6" x14ac:dyDescent="0.45">
      <c r="A572" t="str">
        <f t="shared" si="8"/>
        <v>ET05,65</v>
      </c>
      <c r="B572">
        <v>65</v>
      </c>
      <c r="C572">
        <v>5234.7180331789596</v>
      </c>
      <c r="D572">
        <v>5193.0055782530799</v>
      </c>
      <c r="E572" t="s">
        <v>2873</v>
      </c>
      <c r="F572" t="s">
        <v>2874</v>
      </c>
    </row>
    <row r="573" spans="1:6" x14ac:dyDescent="0.45">
      <c r="A573" t="str">
        <f t="shared" si="8"/>
        <v>ET05,66</v>
      </c>
      <c r="B573">
        <v>66</v>
      </c>
      <c r="C573">
        <v>4370.7133470729304</v>
      </c>
      <c r="D573">
        <v>4254.60328814487</v>
      </c>
      <c r="E573" t="s">
        <v>2873</v>
      </c>
      <c r="F573" t="s">
        <v>2874</v>
      </c>
    </row>
    <row r="574" spans="1:6" x14ac:dyDescent="0.45">
      <c r="A574" t="str">
        <f t="shared" si="8"/>
        <v>ET05,67</v>
      </c>
      <c r="B574">
        <v>67</v>
      </c>
      <c r="C574">
        <v>3506.7086609669</v>
      </c>
      <c r="D574">
        <v>3506.7086609669</v>
      </c>
      <c r="E574" t="s">
        <v>2873</v>
      </c>
      <c r="F574" t="s">
        <v>2874</v>
      </c>
    </row>
    <row r="575" spans="1:6" x14ac:dyDescent="0.45">
      <c r="A575" t="str">
        <f t="shared" si="8"/>
        <v>ET05,68</v>
      </c>
      <c r="B575">
        <v>68</v>
      </c>
      <c r="C575">
        <v>3371.0605345459599</v>
      </c>
      <c r="D575">
        <v>3046.31653329351</v>
      </c>
      <c r="E575" t="s">
        <v>2873</v>
      </c>
      <c r="F575" t="s">
        <v>2874</v>
      </c>
    </row>
    <row r="576" spans="1:6" x14ac:dyDescent="0.45">
      <c r="A576" t="str">
        <f t="shared" si="8"/>
        <v>ET05,69</v>
      </c>
      <c r="B576">
        <v>69</v>
      </c>
      <c r="C576">
        <v>3235.4124081250202</v>
      </c>
      <c r="D576">
        <v>2828.5905541314701</v>
      </c>
      <c r="E576" t="s">
        <v>2873</v>
      </c>
      <c r="F576" t="s">
        <v>2874</v>
      </c>
    </row>
    <row r="577" spans="1:6" x14ac:dyDescent="0.45">
      <c r="A577" t="str">
        <f t="shared" si="8"/>
        <v>ET05,70</v>
      </c>
      <c r="B577">
        <v>70</v>
      </c>
      <c r="C577">
        <v>3099.7642817040801</v>
      </c>
      <c r="D577">
        <v>2773.2365755956498</v>
      </c>
      <c r="E577" t="s">
        <v>2873</v>
      </c>
      <c r="F577" t="s">
        <v>2874</v>
      </c>
    </row>
    <row r="578" spans="1:6" x14ac:dyDescent="0.45">
      <c r="A578" t="str">
        <f t="shared" si="8"/>
        <v>ET05,71</v>
      </c>
      <c r="B578">
        <v>71</v>
      </c>
      <c r="C578">
        <v>2964.11615528314</v>
      </c>
      <c r="D578">
        <v>2799.9604498009298</v>
      </c>
      <c r="E578" t="s">
        <v>2873</v>
      </c>
      <c r="F578" t="s">
        <v>2874</v>
      </c>
    </row>
    <row r="579" spans="1:6" x14ac:dyDescent="0.45">
      <c r="A579" t="str">
        <f t="shared" ref="A579:A642" si="9">_xlfn.CONCAT(E579,",",B579)</f>
        <v>ET05,72</v>
      </c>
      <c r="B579">
        <v>72</v>
      </c>
      <c r="C579">
        <v>2828.4680288621998</v>
      </c>
      <c r="D579">
        <v>2828.4680288621998</v>
      </c>
      <c r="E579" t="s">
        <v>2873</v>
      </c>
      <c r="F579" t="s">
        <v>2874</v>
      </c>
    </row>
    <row r="580" spans="1:6" x14ac:dyDescent="0.45">
      <c r="A580" t="str">
        <f t="shared" si="9"/>
        <v>ET05,73</v>
      </c>
      <c r="B580">
        <v>73</v>
      </c>
      <c r="C580">
        <v>2676.3110195383902</v>
      </c>
      <c r="D580">
        <v>2793.50689818404</v>
      </c>
      <c r="E580" t="s">
        <v>2873</v>
      </c>
      <c r="F580" t="s">
        <v>2874</v>
      </c>
    </row>
    <row r="581" spans="1:6" x14ac:dyDescent="0.45">
      <c r="A581" t="str">
        <f t="shared" si="9"/>
        <v>ET05,74</v>
      </c>
      <c r="B581">
        <v>74</v>
      </c>
      <c r="C581">
        <v>2524.15401021458</v>
      </c>
      <c r="D581">
        <v>2689.99157632989</v>
      </c>
      <c r="E581" t="s">
        <v>2873</v>
      </c>
      <c r="F581" t="s">
        <v>2874</v>
      </c>
    </row>
    <row r="582" spans="1:6" x14ac:dyDescent="0.45">
      <c r="A582" t="str">
        <f t="shared" si="9"/>
        <v>ET05,75</v>
      </c>
      <c r="B582">
        <v>75</v>
      </c>
      <c r="C582">
        <v>2371.9970008907799</v>
      </c>
      <c r="D582">
        <v>2527.8783151529301</v>
      </c>
      <c r="E582" t="s">
        <v>2873</v>
      </c>
      <c r="F582" t="s">
        <v>2874</v>
      </c>
    </row>
    <row r="583" spans="1:6" x14ac:dyDescent="0.45">
      <c r="A583" t="str">
        <f t="shared" si="9"/>
        <v>ET05,76</v>
      </c>
      <c r="B583">
        <v>76</v>
      </c>
      <c r="C583">
        <v>2219.8399915669702</v>
      </c>
      <c r="D583">
        <v>2317.1233665063</v>
      </c>
      <c r="E583" t="s">
        <v>2873</v>
      </c>
      <c r="F583" t="s">
        <v>2874</v>
      </c>
    </row>
    <row r="584" spans="1:6" x14ac:dyDescent="0.45">
      <c r="A584" t="str">
        <f t="shared" si="9"/>
        <v>ET05,77</v>
      </c>
      <c r="B584">
        <v>77</v>
      </c>
      <c r="C584">
        <v>2067.68298224316</v>
      </c>
      <c r="D584">
        <v>2067.68298224316</v>
      </c>
      <c r="E584" t="s">
        <v>2873</v>
      </c>
      <c r="F584" t="s">
        <v>2874</v>
      </c>
    </row>
    <row r="585" spans="1:6" x14ac:dyDescent="0.45">
      <c r="A585" t="str">
        <f t="shared" si="9"/>
        <v>ET05,78</v>
      </c>
      <c r="B585">
        <v>78</v>
      </c>
      <c r="C585">
        <v>1804.7783857945301</v>
      </c>
      <c r="D585">
        <v>1790.8293474843599</v>
      </c>
      <c r="E585" t="s">
        <v>2873</v>
      </c>
      <c r="F585" t="s">
        <v>2874</v>
      </c>
    </row>
    <row r="586" spans="1:6" x14ac:dyDescent="0.45">
      <c r="A586" t="str">
        <f t="shared" si="9"/>
        <v>ET05,79</v>
      </c>
      <c r="B586">
        <v>79</v>
      </c>
      <c r="C586">
        <v>1541.8737893458999</v>
      </c>
      <c r="D586">
        <v>1503.09838042142</v>
      </c>
      <c r="E586" t="s">
        <v>2873</v>
      </c>
      <c r="F586" t="s">
        <v>2874</v>
      </c>
    </row>
    <row r="587" spans="1:6" x14ac:dyDescent="0.45">
      <c r="A587" t="str">
        <f t="shared" si="9"/>
        <v>ET05,80</v>
      </c>
      <c r="B587">
        <v>80</v>
      </c>
      <c r="C587">
        <v>1278.96919289726</v>
      </c>
      <c r="D587">
        <v>1222.3419325135701</v>
      </c>
      <c r="E587" t="s">
        <v>2873</v>
      </c>
      <c r="F587" t="s">
        <v>2874</v>
      </c>
    </row>
    <row r="588" spans="1:6" x14ac:dyDescent="0.45">
      <c r="A588" t="str">
        <f t="shared" si="9"/>
        <v>ET05,81</v>
      </c>
      <c r="B588">
        <v>81</v>
      </c>
      <c r="C588">
        <v>1016.06459644863</v>
      </c>
      <c r="D588">
        <v>966.41185522002797</v>
      </c>
      <c r="E588" t="s">
        <v>2873</v>
      </c>
      <c r="F588" t="s">
        <v>2874</v>
      </c>
    </row>
    <row r="589" spans="1:6" x14ac:dyDescent="0.45">
      <c r="A589" t="str">
        <f t="shared" si="9"/>
        <v>ET05,82</v>
      </c>
      <c r="B589">
        <v>82</v>
      </c>
      <c r="C589">
        <v>753.16</v>
      </c>
      <c r="D589">
        <v>753.16</v>
      </c>
      <c r="E589" t="s">
        <v>2873</v>
      </c>
      <c r="F589" t="s">
        <v>2874</v>
      </c>
    </row>
    <row r="590" spans="1:6" x14ac:dyDescent="0.45">
      <c r="A590" t="str">
        <f t="shared" si="9"/>
        <v>ET05,83</v>
      </c>
      <c r="B590">
        <v>83</v>
      </c>
      <c r="C590">
        <v>663.43200000000002</v>
      </c>
      <c r="D590">
        <v>595.25926746410596</v>
      </c>
      <c r="E590" t="s">
        <v>2873</v>
      </c>
      <c r="F590" t="s">
        <v>2874</v>
      </c>
    </row>
    <row r="591" spans="1:6" x14ac:dyDescent="0.45">
      <c r="A591" t="str">
        <f t="shared" si="9"/>
        <v>ET05,84</v>
      </c>
      <c r="B591">
        <v>84</v>
      </c>
      <c r="C591">
        <v>573.70399999999995</v>
      </c>
      <c r="D591">
        <v>484.66675482855197</v>
      </c>
      <c r="E591" t="s">
        <v>2873</v>
      </c>
      <c r="F591" t="s">
        <v>2874</v>
      </c>
    </row>
    <row r="592" spans="1:6" x14ac:dyDescent="0.45">
      <c r="A592" t="str">
        <f t="shared" si="9"/>
        <v>ET05,85</v>
      </c>
      <c r="B592">
        <v>85</v>
      </c>
      <c r="C592">
        <v>483.976</v>
      </c>
      <c r="D592">
        <v>408.16060846094501</v>
      </c>
      <c r="E592" t="s">
        <v>2873</v>
      </c>
      <c r="F592" t="s">
        <v>2874</v>
      </c>
    </row>
    <row r="593" spans="1:6" x14ac:dyDescent="0.45">
      <c r="A593" t="str">
        <f t="shared" si="9"/>
        <v>ET05,86</v>
      </c>
      <c r="B593">
        <v>86</v>
      </c>
      <c r="C593">
        <v>394.24799999999999</v>
      </c>
      <c r="D593">
        <v>352.518974728893</v>
      </c>
      <c r="E593" t="s">
        <v>2873</v>
      </c>
      <c r="F593" t="s">
        <v>2874</v>
      </c>
    </row>
    <row r="594" spans="1:6" x14ac:dyDescent="0.45">
      <c r="A594" t="str">
        <f t="shared" si="9"/>
        <v>ET05,87</v>
      </c>
      <c r="B594">
        <v>87</v>
      </c>
      <c r="C594">
        <v>304.52</v>
      </c>
      <c r="D594">
        <v>304.52</v>
      </c>
      <c r="E594" t="s">
        <v>2873</v>
      </c>
      <c r="F594" t="s">
        <v>2874</v>
      </c>
    </row>
    <row r="595" spans="1:6" x14ac:dyDescent="0.45">
      <c r="A595" t="str">
        <f t="shared" si="9"/>
        <v>ET05,88</v>
      </c>
      <c r="B595">
        <v>88</v>
      </c>
      <c r="C595">
        <v>256.786</v>
      </c>
      <c r="D595">
        <v>253.73742956772099</v>
      </c>
      <c r="E595" t="s">
        <v>2873</v>
      </c>
      <c r="F595" t="s">
        <v>2874</v>
      </c>
    </row>
    <row r="596" spans="1:6" x14ac:dyDescent="0.45">
      <c r="A596" t="str">
        <f t="shared" si="9"/>
        <v>ET05,89</v>
      </c>
      <c r="B596">
        <v>89</v>
      </c>
      <c r="C596">
        <v>209.05199999999999</v>
      </c>
      <c r="D596">
        <v>200.92740442889499</v>
      </c>
      <c r="E596" t="s">
        <v>2873</v>
      </c>
      <c r="F596" t="s">
        <v>2874</v>
      </c>
    </row>
    <row r="597" spans="1:6" x14ac:dyDescent="0.45">
      <c r="A597" t="str">
        <f t="shared" si="9"/>
        <v>ET05,90</v>
      </c>
      <c r="B597">
        <v>90</v>
      </c>
      <c r="C597">
        <v>161.31800000000001</v>
      </c>
      <c r="D597">
        <v>149.641664506208</v>
      </c>
      <c r="E597" t="s">
        <v>2873</v>
      </c>
      <c r="F597" t="s">
        <v>2874</v>
      </c>
    </row>
    <row r="598" spans="1:6" x14ac:dyDescent="0.45">
      <c r="A598" t="str">
        <f t="shared" si="9"/>
        <v>ET05,91</v>
      </c>
      <c r="B598">
        <v>91</v>
      </c>
      <c r="C598">
        <v>113.584</v>
      </c>
      <c r="D598">
        <v>103.43194972234799</v>
      </c>
      <c r="E598" t="s">
        <v>2873</v>
      </c>
      <c r="F598" t="s">
        <v>2874</v>
      </c>
    </row>
    <row r="599" spans="1:6" x14ac:dyDescent="0.45">
      <c r="A599" t="str">
        <f t="shared" si="9"/>
        <v>ET05,92</v>
      </c>
      <c r="B599">
        <v>92</v>
      </c>
      <c r="C599">
        <v>65.849999999999994</v>
      </c>
      <c r="D599">
        <v>65.849999999999994</v>
      </c>
      <c r="E599" t="s">
        <v>2873</v>
      </c>
      <c r="F599" t="s">
        <v>2874</v>
      </c>
    </row>
    <row r="600" spans="1:6" x14ac:dyDescent="0.45">
      <c r="A600" t="str">
        <f t="shared" si="9"/>
        <v>ET05,93</v>
      </c>
      <c r="B600">
        <v>93</v>
      </c>
      <c r="C600">
        <v>54.234400000000001</v>
      </c>
      <c r="D600">
        <v>39.456390265011102</v>
      </c>
      <c r="E600" t="s">
        <v>2873</v>
      </c>
      <c r="F600" t="s">
        <v>2874</v>
      </c>
    </row>
    <row r="601" spans="1:6" x14ac:dyDescent="0.45">
      <c r="A601" t="str">
        <f t="shared" si="9"/>
        <v>ET05,94</v>
      </c>
      <c r="B601">
        <v>94</v>
      </c>
      <c r="C601">
        <v>42.6188</v>
      </c>
      <c r="D601">
        <v>22.847035455868799</v>
      </c>
      <c r="E601" t="s">
        <v>2873</v>
      </c>
      <c r="F601" t="s">
        <v>2874</v>
      </c>
    </row>
    <row r="602" spans="1:6" x14ac:dyDescent="0.45">
      <c r="A602" t="str">
        <f t="shared" si="9"/>
        <v>ET05,95</v>
      </c>
      <c r="B602">
        <v>95</v>
      </c>
      <c r="C602">
        <v>31.0032</v>
      </c>
      <c r="D602">
        <v>13.626685514221</v>
      </c>
      <c r="E602" t="s">
        <v>2873</v>
      </c>
      <c r="F602" t="s">
        <v>2874</v>
      </c>
    </row>
    <row r="603" spans="1:6" x14ac:dyDescent="0.45">
      <c r="A603" t="str">
        <f t="shared" si="9"/>
        <v>ET05,96</v>
      </c>
      <c r="B603">
        <v>96</v>
      </c>
      <c r="C603">
        <v>19.387599999999999</v>
      </c>
      <c r="D603">
        <v>9.4000903817154899</v>
      </c>
      <c r="E603" t="s">
        <v>2873</v>
      </c>
      <c r="F603" t="s">
        <v>2874</v>
      </c>
    </row>
    <row r="604" spans="1:6" x14ac:dyDescent="0.45">
      <c r="A604" t="str">
        <f t="shared" si="9"/>
        <v>ET05,97</v>
      </c>
      <c r="B604">
        <v>97</v>
      </c>
      <c r="C604">
        <v>7.7720000000000002</v>
      </c>
      <c r="D604">
        <v>7.77200000000001</v>
      </c>
      <c r="E604" t="s">
        <v>2873</v>
      </c>
      <c r="F604" t="s">
        <v>2874</v>
      </c>
    </row>
    <row r="605" spans="1:6" x14ac:dyDescent="0.45">
      <c r="A605" t="str">
        <f t="shared" si="9"/>
        <v>ET05,98</v>
      </c>
      <c r="B605">
        <v>98</v>
      </c>
      <c r="C605">
        <v>6.8479999999999999</v>
      </c>
      <c r="D605">
        <v>6.7350807264234103</v>
      </c>
      <c r="E605" t="s">
        <v>2873</v>
      </c>
      <c r="F605" t="s">
        <v>2874</v>
      </c>
    </row>
    <row r="606" spans="1:6" x14ac:dyDescent="0.45">
      <c r="A606" t="str">
        <f t="shared" si="9"/>
        <v>ET05,99</v>
      </c>
      <c r="B606">
        <v>99</v>
      </c>
      <c r="C606">
        <v>5.9240000000000004</v>
      </c>
      <c r="D606">
        <v>5.8336645811387298</v>
      </c>
      <c r="E606" t="s">
        <v>2873</v>
      </c>
      <c r="F606" t="s">
        <v>2874</v>
      </c>
    </row>
    <row r="607" spans="1:6" x14ac:dyDescent="0.45">
      <c r="A607" t="str">
        <f t="shared" si="9"/>
        <v>ET05,100</v>
      </c>
      <c r="B607">
        <v>100</v>
      </c>
      <c r="C607">
        <v>5</v>
      </c>
      <c r="D607">
        <v>5</v>
      </c>
      <c r="E607" t="s">
        <v>2873</v>
      </c>
      <c r="F607" t="s">
        <v>2874</v>
      </c>
    </row>
    <row r="608" spans="1:6" x14ac:dyDescent="0.45">
      <c r="A608" t="str">
        <f t="shared" si="9"/>
        <v>ET06,&lt;1</v>
      </c>
      <c r="B608" t="s">
        <v>119</v>
      </c>
      <c r="C608">
        <v>23127.1246401108</v>
      </c>
      <c r="D608">
        <v>23127.1246401108</v>
      </c>
      <c r="E608" t="s">
        <v>2876</v>
      </c>
      <c r="F608" t="s">
        <v>3349</v>
      </c>
    </row>
    <row r="609" spans="1:6" x14ac:dyDescent="0.45">
      <c r="A609" t="str">
        <f t="shared" si="9"/>
        <v>ET06,1</v>
      </c>
      <c r="B609">
        <v>1</v>
      </c>
      <c r="C609">
        <v>22248.707895163399</v>
      </c>
      <c r="D609">
        <v>22249.170553272299</v>
      </c>
      <c r="E609" t="s">
        <v>2876</v>
      </c>
      <c r="F609" t="s">
        <v>3349</v>
      </c>
    </row>
    <row r="610" spans="1:6" x14ac:dyDescent="0.45">
      <c r="A610" t="str">
        <f t="shared" si="9"/>
        <v>ET06,2</v>
      </c>
      <c r="B610">
        <v>2</v>
      </c>
      <c r="C610">
        <v>21370.291150215999</v>
      </c>
      <c r="D610">
        <v>21370.291150215999</v>
      </c>
      <c r="E610" t="s">
        <v>2876</v>
      </c>
      <c r="F610" t="s">
        <v>3349</v>
      </c>
    </row>
    <row r="611" spans="1:6" x14ac:dyDescent="0.45">
      <c r="A611" t="str">
        <f t="shared" si="9"/>
        <v>ET06,3</v>
      </c>
      <c r="B611">
        <v>3</v>
      </c>
      <c r="C611">
        <v>20542.775640122902</v>
      </c>
      <c r="D611">
        <v>20491.985796929799</v>
      </c>
      <c r="E611" t="s">
        <v>2876</v>
      </c>
      <c r="F611" t="s">
        <v>3349</v>
      </c>
    </row>
    <row r="612" spans="1:6" x14ac:dyDescent="0.45">
      <c r="A612" t="str">
        <f t="shared" si="9"/>
        <v>ET06,4</v>
      </c>
      <c r="B612">
        <v>4</v>
      </c>
      <c r="C612">
        <v>19715.260130029801</v>
      </c>
      <c r="D612">
        <v>19625.452588224001</v>
      </c>
      <c r="E612" t="s">
        <v>2876</v>
      </c>
      <c r="F612" t="s">
        <v>3349</v>
      </c>
    </row>
    <row r="613" spans="1:6" x14ac:dyDescent="0.45">
      <c r="A613" t="str">
        <f t="shared" si="9"/>
        <v>ET06,5</v>
      </c>
      <c r="B613">
        <v>5</v>
      </c>
      <c r="C613">
        <v>18887.744619936599</v>
      </c>
      <c r="D613">
        <v>18784.3143011149</v>
      </c>
      <c r="E613" t="s">
        <v>2876</v>
      </c>
      <c r="F613" t="s">
        <v>3349</v>
      </c>
    </row>
    <row r="614" spans="1:6" x14ac:dyDescent="0.45">
      <c r="A614" t="str">
        <f t="shared" si="9"/>
        <v>ET06,6</v>
      </c>
      <c r="B614">
        <v>6</v>
      </c>
      <c r="C614">
        <v>18060.229109843502</v>
      </c>
      <c r="D614">
        <v>17982.1937126183</v>
      </c>
      <c r="E614" t="s">
        <v>2876</v>
      </c>
      <c r="F614" t="s">
        <v>3349</v>
      </c>
    </row>
    <row r="615" spans="1:6" x14ac:dyDescent="0.45">
      <c r="A615" t="str">
        <f t="shared" si="9"/>
        <v>ET06,7</v>
      </c>
      <c r="B615">
        <v>7</v>
      </c>
      <c r="C615">
        <v>17232.713599750401</v>
      </c>
      <c r="D615">
        <v>17232.713599750401</v>
      </c>
      <c r="E615" t="s">
        <v>2876</v>
      </c>
      <c r="F615" t="s">
        <v>3349</v>
      </c>
    </row>
    <row r="616" spans="1:6" x14ac:dyDescent="0.45">
      <c r="A616" t="str">
        <f t="shared" si="9"/>
        <v>ET06,8</v>
      </c>
      <c r="B616">
        <v>8</v>
      </c>
      <c r="C616">
        <v>16762.095706419001</v>
      </c>
      <c r="D616">
        <v>16550.5199936688</v>
      </c>
      <c r="E616" t="s">
        <v>2876</v>
      </c>
      <c r="F616" t="s">
        <v>3349</v>
      </c>
    </row>
    <row r="617" spans="1:6" x14ac:dyDescent="0.45">
      <c r="A617" t="str">
        <f t="shared" si="9"/>
        <v>ET06,9</v>
      </c>
      <c r="B617">
        <v>9</v>
      </c>
      <c r="C617">
        <v>16291.4778130877</v>
      </c>
      <c r="D617">
        <v>15954.351942097001</v>
      </c>
      <c r="E617" t="s">
        <v>2876</v>
      </c>
      <c r="F617" t="s">
        <v>3349</v>
      </c>
    </row>
    <row r="618" spans="1:6" x14ac:dyDescent="0.45">
      <c r="A618" t="str">
        <f t="shared" si="9"/>
        <v>ET06,10</v>
      </c>
      <c r="B618">
        <v>10</v>
      </c>
      <c r="C618">
        <v>15820.8599197563</v>
      </c>
      <c r="D618">
        <v>15463.971746900501</v>
      </c>
      <c r="E618" t="s">
        <v>2876</v>
      </c>
      <c r="F618" t="s">
        <v>3349</v>
      </c>
    </row>
    <row r="619" spans="1:6" x14ac:dyDescent="0.45">
      <c r="A619" t="str">
        <f t="shared" si="9"/>
        <v>ET06,11</v>
      </c>
      <c r="B619">
        <v>11</v>
      </c>
      <c r="C619">
        <v>15350.242026424999</v>
      </c>
      <c r="D619">
        <v>15099.141709944301</v>
      </c>
      <c r="E619" t="s">
        <v>2876</v>
      </c>
      <c r="F619" t="s">
        <v>3349</v>
      </c>
    </row>
    <row r="620" spans="1:6" x14ac:dyDescent="0.45">
      <c r="A620" t="str">
        <f t="shared" si="9"/>
        <v>ET06,12</v>
      </c>
      <c r="B620">
        <v>12</v>
      </c>
      <c r="C620">
        <v>14879.624133093601</v>
      </c>
      <c r="D620">
        <v>14879.624133093601</v>
      </c>
      <c r="E620" t="s">
        <v>2876</v>
      </c>
      <c r="F620" t="s">
        <v>3349</v>
      </c>
    </row>
    <row r="621" spans="1:6" x14ac:dyDescent="0.45">
      <c r="A621" t="str">
        <f t="shared" si="9"/>
        <v>ET06,13</v>
      </c>
      <c r="B621">
        <v>13</v>
      </c>
      <c r="C621">
        <v>14844.5036246049</v>
      </c>
      <c r="D621">
        <v>14809.586261213301</v>
      </c>
      <c r="E621" t="s">
        <v>2876</v>
      </c>
      <c r="F621" t="s">
        <v>3349</v>
      </c>
    </row>
    <row r="622" spans="1:6" x14ac:dyDescent="0.45">
      <c r="A622" t="str">
        <f t="shared" si="9"/>
        <v>ET06,14</v>
      </c>
      <c r="B622">
        <v>14</v>
      </c>
      <c r="C622">
        <v>14809.3831161162</v>
      </c>
      <c r="D622">
        <v>14830.815111166299</v>
      </c>
      <c r="E622" t="s">
        <v>2876</v>
      </c>
      <c r="F622" t="s">
        <v>3349</v>
      </c>
    </row>
    <row r="623" spans="1:6" x14ac:dyDescent="0.45">
      <c r="A623" t="str">
        <f t="shared" si="9"/>
        <v>ET06,15</v>
      </c>
      <c r="B623">
        <v>15</v>
      </c>
      <c r="C623">
        <v>14774.262607627499</v>
      </c>
      <c r="D623">
        <v>14869.5026428151</v>
      </c>
      <c r="E623" t="s">
        <v>2876</v>
      </c>
      <c r="F623" t="s">
        <v>3349</v>
      </c>
    </row>
    <row r="624" spans="1:6" x14ac:dyDescent="0.45">
      <c r="A624" t="str">
        <f t="shared" si="9"/>
        <v>ET06,16</v>
      </c>
      <c r="B624">
        <v>16</v>
      </c>
      <c r="C624">
        <v>14739.1420991388</v>
      </c>
      <c r="D624">
        <v>14851.840816022201</v>
      </c>
      <c r="E624" t="s">
        <v>2876</v>
      </c>
      <c r="F624" t="s">
        <v>3349</v>
      </c>
    </row>
    <row r="625" spans="1:6" x14ac:dyDescent="0.45">
      <c r="A625" t="str">
        <f t="shared" si="9"/>
        <v>ET06,17</v>
      </c>
      <c r="B625">
        <v>17</v>
      </c>
      <c r="C625">
        <v>14704.0215906501</v>
      </c>
      <c r="D625">
        <v>14704.0215906501</v>
      </c>
      <c r="E625" t="s">
        <v>2876</v>
      </c>
      <c r="F625" t="s">
        <v>3349</v>
      </c>
    </row>
    <row r="626" spans="1:6" x14ac:dyDescent="0.45">
      <c r="A626" t="str">
        <f t="shared" si="9"/>
        <v>ET06,18</v>
      </c>
      <c r="B626">
        <v>18</v>
      </c>
      <c r="C626">
        <v>14299.467679687101</v>
      </c>
      <c r="D626">
        <v>14378.252678205699</v>
      </c>
      <c r="E626" t="s">
        <v>2876</v>
      </c>
      <c r="F626" t="s">
        <v>3349</v>
      </c>
    </row>
    <row r="627" spans="1:6" x14ac:dyDescent="0.45">
      <c r="A627" t="str">
        <f t="shared" si="9"/>
        <v>ET06,19</v>
      </c>
      <c r="B627">
        <v>19</v>
      </c>
      <c r="C627">
        <v>13894.9137687242</v>
      </c>
      <c r="D627">
        <v>13930.8047967734</v>
      </c>
      <c r="E627" t="s">
        <v>2876</v>
      </c>
      <c r="F627" t="s">
        <v>3349</v>
      </c>
    </row>
    <row r="628" spans="1:6" x14ac:dyDescent="0.45">
      <c r="A628" t="str">
        <f t="shared" si="9"/>
        <v>ET06,20</v>
      </c>
      <c r="B628">
        <v>20</v>
      </c>
      <c r="C628">
        <v>13490.359857761299</v>
      </c>
      <c r="D628">
        <v>13443.964416081801</v>
      </c>
      <c r="E628" t="s">
        <v>2876</v>
      </c>
      <c r="F628" t="s">
        <v>3349</v>
      </c>
    </row>
    <row r="629" spans="1:6" x14ac:dyDescent="0.45">
      <c r="A629" t="str">
        <f t="shared" si="9"/>
        <v>ET06,21</v>
      </c>
      <c r="B629">
        <v>21</v>
      </c>
      <c r="C629">
        <v>13085.8059467983</v>
      </c>
      <c r="D629">
        <v>13000.0180058595</v>
      </c>
      <c r="E629" t="s">
        <v>2876</v>
      </c>
      <c r="F629" t="s">
        <v>3349</v>
      </c>
    </row>
    <row r="630" spans="1:6" x14ac:dyDescent="0.45">
      <c r="A630" t="str">
        <f t="shared" si="9"/>
        <v>ET06,22</v>
      </c>
      <c r="B630">
        <v>22</v>
      </c>
      <c r="C630">
        <v>12681.2520358354</v>
      </c>
      <c r="D630">
        <v>12681.2520358354</v>
      </c>
      <c r="E630" t="s">
        <v>2876</v>
      </c>
      <c r="F630" t="s">
        <v>3349</v>
      </c>
    </row>
    <row r="631" spans="1:6" x14ac:dyDescent="0.45">
      <c r="A631" t="str">
        <f t="shared" si="9"/>
        <v>ET06,23</v>
      </c>
      <c r="B631">
        <v>23</v>
      </c>
      <c r="C631">
        <v>12511.5893022051</v>
      </c>
      <c r="D631">
        <v>12537.8552408459</v>
      </c>
      <c r="E631" t="s">
        <v>2876</v>
      </c>
      <c r="F631" t="s">
        <v>3349</v>
      </c>
    </row>
    <row r="632" spans="1:6" x14ac:dyDescent="0.45">
      <c r="A632" t="str">
        <f t="shared" si="9"/>
        <v>ET06,24</v>
      </c>
      <c r="B632">
        <v>24</v>
      </c>
      <c r="C632">
        <v>12341.9265685749</v>
      </c>
      <c r="D632">
        <v>12491.625416159601</v>
      </c>
      <c r="E632" t="s">
        <v>2876</v>
      </c>
      <c r="F632" t="s">
        <v>3349</v>
      </c>
    </row>
    <row r="633" spans="1:6" x14ac:dyDescent="0.45">
      <c r="A633" t="str">
        <f t="shared" si="9"/>
        <v>ET06,25</v>
      </c>
      <c r="B633">
        <v>25</v>
      </c>
      <c r="C633">
        <v>12172.263834944701</v>
      </c>
      <c r="D633">
        <v>12432.262622153001</v>
      </c>
      <c r="E633" t="s">
        <v>2876</v>
      </c>
      <c r="F633" t="s">
        <v>3349</v>
      </c>
    </row>
    <row r="634" spans="1:6" x14ac:dyDescent="0.45">
      <c r="A634" t="str">
        <f t="shared" si="9"/>
        <v>ET06,26</v>
      </c>
      <c r="B634">
        <v>26</v>
      </c>
      <c r="C634">
        <v>12002.6011013144</v>
      </c>
      <c r="D634">
        <v>12249.466919202299</v>
      </c>
      <c r="E634" t="s">
        <v>2876</v>
      </c>
      <c r="F634" t="s">
        <v>3349</v>
      </c>
    </row>
    <row r="635" spans="1:6" x14ac:dyDescent="0.45">
      <c r="A635" t="str">
        <f t="shared" si="9"/>
        <v>ET06,27</v>
      </c>
      <c r="B635">
        <v>27</v>
      </c>
      <c r="C635">
        <v>11832.938367684201</v>
      </c>
      <c r="D635">
        <v>11832.938367684201</v>
      </c>
      <c r="E635" t="s">
        <v>2876</v>
      </c>
      <c r="F635" t="s">
        <v>3349</v>
      </c>
    </row>
    <row r="636" spans="1:6" x14ac:dyDescent="0.45">
      <c r="A636" t="str">
        <f t="shared" si="9"/>
        <v>ET06,28</v>
      </c>
      <c r="B636">
        <v>28</v>
      </c>
      <c r="C636">
        <v>10975.2346669078</v>
      </c>
      <c r="D636">
        <v>11113.661946927299</v>
      </c>
      <c r="E636" t="s">
        <v>2876</v>
      </c>
      <c r="F636" t="s">
        <v>3349</v>
      </c>
    </row>
    <row r="637" spans="1:6" x14ac:dyDescent="0.45">
      <c r="A637" t="str">
        <f t="shared" si="9"/>
        <v>ET06,29</v>
      </c>
      <c r="B637">
        <v>29</v>
      </c>
      <c r="C637">
        <v>10117.5309661314</v>
      </c>
      <c r="D637">
        <v>10187.762312069999</v>
      </c>
      <c r="E637" t="s">
        <v>2876</v>
      </c>
      <c r="F637" t="s">
        <v>3349</v>
      </c>
    </row>
    <row r="638" spans="1:6" x14ac:dyDescent="0.45">
      <c r="A638" t="str">
        <f t="shared" si="9"/>
        <v>ET06,30</v>
      </c>
      <c r="B638">
        <v>30</v>
      </c>
      <c r="C638">
        <v>9259.8272653549793</v>
      </c>
      <c r="D638">
        <v>9192.6490372029803</v>
      </c>
      <c r="E638" t="s">
        <v>2876</v>
      </c>
      <c r="F638" t="s">
        <v>3349</v>
      </c>
    </row>
    <row r="639" spans="1:6" x14ac:dyDescent="0.45">
      <c r="A639" t="str">
        <f t="shared" si="9"/>
        <v>ET06,31</v>
      </c>
      <c r="B639">
        <v>31</v>
      </c>
      <c r="C639">
        <v>8402.12356457858</v>
      </c>
      <c r="D639">
        <v>8265.7316964168094</v>
      </c>
      <c r="E639" t="s">
        <v>2876</v>
      </c>
      <c r="F639" t="s">
        <v>3349</v>
      </c>
    </row>
    <row r="640" spans="1:6" x14ac:dyDescent="0.45">
      <c r="A640" t="str">
        <f t="shared" si="9"/>
        <v>ET06,32</v>
      </c>
      <c r="B640">
        <v>32</v>
      </c>
      <c r="C640">
        <v>7544.4198638021799</v>
      </c>
      <c r="D640">
        <v>7544.4198638021799</v>
      </c>
      <c r="E640" t="s">
        <v>2876</v>
      </c>
      <c r="F640" t="s">
        <v>3349</v>
      </c>
    </row>
    <row r="641" spans="1:6" x14ac:dyDescent="0.45">
      <c r="A641" t="str">
        <f t="shared" si="9"/>
        <v>ET06,33</v>
      </c>
      <c r="B641">
        <v>33</v>
      </c>
      <c r="C641">
        <v>7383.5148554378602</v>
      </c>
      <c r="D641">
        <v>7125.39204469379</v>
      </c>
      <c r="E641" t="s">
        <v>2876</v>
      </c>
      <c r="F641" t="s">
        <v>3349</v>
      </c>
    </row>
    <row r="642" spans="1:6" x14ac:dyDescent="0.45">
      <c r="A642" t="str">
        <f t="shared" si="9"/>
        <v>ET06,34</v>
      </c>
      <c r="B642">
        <v>34</v>
      </c>
      <c r="C642">
        <v>7222.6098470735396</v>
      </c>
      <c r="D642">
        <v>6942.4024694025102</v>
      </c>
      <c r="E642" t="s">
        <v>2876</v>
      </c>
      <c r="F642" t="s">
        <v>3349</v>
      </c>
    </row>
    <row r="643" spans="1:6" x14ac:dyDescent="0.45">
      <c r="A643" t="str">
        <f t="shared" ref="A643:A706" si="10">_xlfn.CONCAT(E643,",",B643)</f>
        <v>ET06,35</v>
      </c>
      <c r="B643">
        <v>35</v>
      </c>
      <c r="C643">
        <v>7061.70483870922</v>
      </c>
      <c r="D643">
        <v>6888.4742994832704</v>
      </c>
      <c r="E643" t="s">
        <v>2876</v>
      </c>
      <c r="F643" t="s">
        <v>3349</v>
      </c>
    </row>
    <row r="644" spans="1:6" x14ac:dyDescent="0.45">
      <c r="A644" t="str">
        <f t="shared" si="10"/>
        <v>ET06,36</v>
      </c>
      <c r="B644">
        <v>36</v>
      </c>
      <c r="C644">
        <v>6900.7998303449003</v>
      </c>
      <c r="D644">
        <v>6856.63069649099</v>
      </c>
      <c r="E644" t="s">
        <v>2876</v>
      </c>
      <c r="F644" t="s">
        <v>3349</v>
      </c>
    </row>
    <row r="645" spans="1:6" x14ac:dyDescent="0.45">
      <c r="A645" t="str">
        <f t="shared" si="10"/>
        <v>ET06,37</v>
      </c>
      <c r="B645">
        <v>37</v>
      </c>
      <c r="C645">
        <v>6739.8948219805798</v>
      </c>
      <c r="D645">
        <v>6739.8948219805798</v>
      </c>
      <c r="E645" t="s">
        <v>2876</v>
      </c>
      <c r="F645" t="s">
        <v>3349</v>
      </c>
    </row>
    <row r="646" spans="1:6" x14ac:dyDescent="0.45">
      <c r="A646" t="str">
        <f t="shared" si="10"/>
        <v>ET06,38</v>
      </c>
      <c r="B646">
        <v>38</v>
      </c>
      <c r="C646">
        <v>6343.6389457659297</v>
      </c>
      <c r="D646">
        <v>6460.2496247855997</v>
      </c>
      <c r="E646" t="s">
        <v>2876</v>
      </c>
      <c r="F646" t="s">
        <v>3349</v>
      </c>
    </row>
    <row r="647" spans="1:6" x14ac:dyDescent="0.45">
      <c r="A647" t="str">
        <f t="shared" si="10"/>
        <v>ET06,39</v>
      </c>
      <c r="B647">
        <v>39</v>
      </c>
      <c r="C647">
        <v>5947.3830695512797</v>
      </c>
      <c r="D647">
        <v>6055.5172028541001</v>
      </c>
      <c r="E647" t="s">
        <v>2876</v>
      </c>
      <c r="F647" t="s">
        <v>3349</v>
      </c>
    </row>
    <row r="648" spans="1:6" x14ac:dyDescent="0.45">
      <c r="A648" t="str">
        <f t="shared" si="10"/>
        <v>ET06,40</v>
      </c>
      <c r="B648">
        <v>40</v>
      </c>
      <c r="C648">
        <v>5551.1271933366197</v>
      </c>
      <c r="D648">
        <v>5592.47944141276</v>
      </c>
      <c r="E648" t="s">
        <v>2876</v>
      </c>
      <c r="F648" t="s">
        <v>3349</v>
      </c>
    </row>
    <row r="649" spans="1:6" x14ac:dyDescent="0.45">
      <c r="A649" t="str">
        <f t="shared" si="10"/>
        <v>ET06,41</v>
      </c>
      <c r="B649">
        <v>41</v>
      </c>
      <c r="C649">
        <v>5154.8713171219697</v>
      </c>
      <c r="D649">
        <v>5137.9182256882796</v>
      </c>
      <c r="E649" t="s">
        <v>2876</v>
      </c>
      <c r="F649" t="s">
        <v>3349</v>
      </c>
    </row>
    <row r="650" spans="1:6" x14ac:dyDescent="0.45">
      <c r="A650" t="str">
        <f t="shared" si="10"/>
        <v>ET06,42</v>
      </c>
      <c r="B650">
        <v>42</v>
      </c>
      <c r="C650">
        <v>4758.6154409073197</v>
      </c>
      <c r="D650">
        <v>4758.6154409073197</v>
      </c>
      <c r="E650" t="s">
        <v>2876</v>
      </c>
      <c r="F650" t="s">
        <v>3349</v>
      </c>
    </row>
    <row r="651" spans="1:6" x14ac:dyDescent="0.45">
      <c r="A651" t="str">
        <f t="shared" si="10"/>
        <v>ET06,43</v>
      </c>
      <c r="B651">
        <v>43</v>
      </c>
      <c r="C651">
        <v>4619.42189598798</v>
      </c>
      <c r="D651">
        <v>4503.22740231435</v>
      </c>
      <c r="E651" t="s">
        <v>2876</v>
      </c>
      <c r="F651" t="s">
        <v>3349</v>
      </c>
    </row>
    <row r="652" spans="1:6" x14ac:dyDescent="0.45">
      <c r="A652" t="str">
        <f t="shared" si="10"/>
        <v>ET06,44</v>
      </c>
      <c r="B652">
        <v>44</v>
      </c>
      <c r="C652">
        <v>4480.2283510686402</v>
      </c>
      <c r="D652">
        <v>4347.9081452248902</v>
      </c>
      <c r="E652" t="s">
        <v>2876</v>
      </c>
      <c r="F652" t="s">
        <v>3349</v>
      </c>
    </row>
    <row r="653" spans="1:6" x14ac:dyDescent="0.45">
      <c r="A653" t="str">
        <f t="shared" si="10"/>
        <v>ET06,45</v>
      </c>
      <c r="B653">
        <v>45</v>
      </c>
      <c r="C653">
        <v>4341.0348061492996</v>
      </c>
      <c r="D653">
        <v>4250.6861349722503</v>
      </c>
      <c r="E653" t="s">
        <v>2876</v>
      </c>
      <c r="F653" t="s">
        <v>3349</v>
      </c>
    </row>
    <row r="654" spans="1:6" x14ac:dyDescent="0.45">
      <c r="A654" t="str">
        <f t="shared" si="10"/>
        <v>ET06,46</v>
      </c>
      <c r="B654">
        <v>46</v>
      </c>
      <c r="C654">
        <v>4201.8412612299599</v>
      </c>
      <c r="D654">
        <v>4169.5898368897297</v>
      </c>
      <c r="E654" t="s">
        <v>2876</v>
      </c>
      <c r="F654" t="s">
        <v>3349</v>
      </c>
    </row>
    <row r="655" spans="1:6" x14ac:dyDescent="0.45">
      <c r="A655" t="str">
        <f t="shared" si="10"/>
        <v>ET06,47</v>
      </c>
      <c r="B655">
        <v>47</v>
      </c>
      <c r="C655">
        <v>4062.6477163106201</v>
      </c>
      <c r="D655">
        <v>4062.6477163106201</v>
      </c>
      <c r="E655" t="s">
        <v>2876</v>
      </c>
      <c r="F655" t="s">
        <v>3349</v>
      </c>
    </row>
    <row r="656" spans="1:6" x14ac:dyDescent="0.45">
      <c r="A656" t="str">
        <f t="shared" si="10"/>
        <v>ET06,48</v>
      </c>
      <c r="B656">
        <v>48</v>
      </c>
      <c r="C656">
        <v>3845.9690985979901</v>
      </c>
      <c r="D656">
        <v>3898.3523070891601</v>
      </c>
      <c r="E656" t="s">
        <v>2876</v>
      </c>
      <c r="F656" t="s">
        <v>3349</v>
      </c>
    </row>
    <row r="657" spans="1:6" x14ac:dyDescent="0.45">
      <c r="A657" t="str">
        <f t="shared" si="10"/>
        <v>ET06,49</v>
      </c>
      <c r="B657">
        <v>49</v>
      </c>
      <c r="C657">
        <v>3629.29048088536</v>
      </c>
      <c r="D657">
        <v>3687.0524171632601</v>
      </c>
      <c r="E657" t="s">
        <v>2876</v>
      </c>
      <c r="F657" t="s">
        <v>3349</v>
      </c>
    </row>
    <row r="658" spans="1:6" x14ac:dyDescent="0.45">
      <c r="A658" t="str">
        <f t="shared" si="10"/>
        <v>ET06,50</v>
      </c>
      <c r="B658">
        <v>50</v>
      </c>
      <c r="C658">
        <v>3412.6118631727199</v>
      </c>
      <c r="D658">
        <v>3449.56092299178</v>
      </c>
      <c r="E658" t="s">
        <v>2876</v>
      </c>
      <c r="F658" t="s">
        <v>3349</v>
      </c>
    </row>
    <row r="659" spans="1:6" x14ac:dyDescent="0.45">
      <c r="A659" t="str">
        <f t="shared" si="10"/>
        <v>ET06,51</v>
      </c>
      <c r="B659">
        <v>51</v>
      </c>
      <c r="C659">
        <v>3195.9332454600899</v>
      </c>
      <c r="D659">
        <v>3206.6907010335599</v>
      </c>
      <c r="E659" t="s">
        <v>2876</v>
      </c>
      <c r="F659" t="s">
        <v>3349</v>
      </c>
    </row>
    <row r="660" spans="1:6" x14ac:dyDescent="0.45">
      <c r="A660" t="str">
        <f t="shared" si="10"/>
        <v>ET06,52</v>
      </c>
      <c r="B660">
        <v>52</v>
      </c>
      <c r="C660">
        <v>2979.2546277474598</v>
      </c>
      <c r="D660">
        <v>2979.2546277474598</v>
      </c>
      <c r="E660" t="s">
        <v>2876</v>
      </c>
      <c r="F660" t="s">
        <v>3349</v>
      </c>
    </row>
    <row r="661" spans="1:6" x14ac:dyDescent="0.45">
      <c r="A661" t="str">
        <f t="shared" si="10"/>
        <v>ET06,53</v>
      </c>
      <c r="B661">
        <v>53</v>
      </c>
      <c r="C661">
        <v>2828.0092041908902</v>
      </c>
      <c r="D661">
        <v>2783.4335023323702</v>
      </c>
      <c r="E661" t="s">
        <v>2876</v>
      </c>
      <c r="F661" t="s">
        <v>3349</v>
      </c>
    </row>
    <row r="662" spans="1:6" x14ac:dyDescent="0.45">
      <c r="A662" t="str">
        <f t="shared" si="10"/>
        <v>ET06,54</v>
      </c>
      <c r="B662">
        <v>54</v>
      </c>
      <c r="C662">
        <v>2676.76378063432</v>
      </c>
      <c r="D662">
        <v>2616.8798149473901</v>
      </c>
      <c r="E662" t="s">
        <v>2876</v>
      </c>
      <c r="F662" t="s">
        <v>3349</v>
      </c>
    </row>
    <row r="663" spans="1:6" x14ac:dyDescent="0.45">
      <c r="A663" t="str">
        <f t="shared" si="10"/>
        <v>ET06,55</v>
      </c>
      <c r="B663">
        <v>55</v>
      </c>
      <c r="C663">
        <v>2525.5183570777599</v>
      </c>
      <c r="D663">
        <v>2472.61397849167</v>
      </c>
      <c r="E663" t="s">
        <v>2876</v>
      </c>
      <c r="F663" t="s">
        <v>3349</v>
      </c>
    </row>
    <row r="664" spans="1:6" x14ac:dyDescent="0.45">
      <c r="A664" t="str">
        <f t="shared" si="10"/>
        <v>ET06,56</v>
      </c>
      <c r="B664">
        <v>56</v>
      </c>
      <c r="C664">
        <v>2374.2729335211902</v>
      </c>
      <c r="D664">
        <v>2343.6564058643598</v>
      </c>
      <c r="E664" t="s">
        <v>2876</v>
      </c>
      <c r="F664" t="s">
        <v>3349</v>
      </c>
    </row>
    <row r="665" spans="1:6" x14ac:dyDescent="0.45">
      <c r="A665" t="str">
        <f t="shared" si="10"/>
        <v>ET06,57</v>
      </c>
      <c r="B665">
        <v>57</v>
      </c>
      <c r="C665">
        <v>2223.0275099646201</v>
      </c>
      <c r="D665">
        <v>2223.0275099646201</v>
      </c>
      <c r="E665" t="s">
        <v>2876</v>
      </c>
      <c r="F665" t="s">
        <v>3349</v>
      </c>
    </row>
    <row r="666" spans="1:6" x14ac:dyDescent="0.45">
      <c r="A666" t="str">
        <f t="shared" si="10"/>
        <v>ET06,58</v>
      </c>
      <c r="B666">
        <v>58</v>
      </c>
      <c r="C666">
        <v>2113.2986571004199</v>
      </c>
      <c r="D666">
        <v>2105.13854859394</v>
      </c>
      <c r="E666" t="s">
        <v>2876</v>
      </c>
      <c r="F666" t="s">
        <v>3349</v>
      </c>
    </row>
    <row r="667" spans="1:6" x14ac:dyDescent="0.45">
      <c r="A667" t="str">
        <f t="shared" si="10"/>
        <v>ET06,59</v>
      </c>
      <c r="B667">
        <v>59</v>
      </c>
      <c r="C667">
        <v>2003.5698042362101</v>
      </c>
      <c r="D667">
        <v>1989.9641591632401</v>
      </c>
      <c r="E667" t="s">
        <v>2876</v>
      </c>
      <c r="F667" t="s">
        <v>3349</v>
      </c>
    </row>
    <row r="668" spans="1:6" x14ac:dyDescent="0.45">
      <c r="A668" t="str">
        <f t="shared" si="10"/>
        <v>ET06,60</v>
      </c>
      <c r="B668">
        <v>60</v>
      </c>
      <c r="C668">
        <v>1893.8409513720101</v>
      </c>
      <c r="D668">
        <v>1878.8698239857799</v>
      </c>
      <c r="E668" t="s">
        <v>2876</v>
      </c>
      <c r="F668" t="s">
        <v>3349</v>
      </c>
    </row>
    <row r="669" spans="1:6" x14ac:dyDescent="0.45">
      <c r="A669" t="str">
        <f t="shared" si="10"/>
        <v>ET06,61</v>
      </c>
      <c r="B669">
        <v>61</v>
      </c>
      <c r="C669">
        <v>1784.1120985078001</v>
      </c>
      <c r="D669">
        <v>1773.2210253748101</v>
      </c>
      <c r="E669" t="s">
        <v>2876</v>
      </c>
      <c r="F669" t="s">
        <v>3349</v>
      </c>
    </row>
    <row r="670" spans="1:6" x14ac:dyDescent="0.45">
      <c r="A670" t="str">
        <f t="shared" si="10"/>
        <v>ET06,62</v>
      </c>
      <c r="B670">
        <v>62</v>
      </c>
      <c r="C670">
        <v>1674.3832456436</v>
      </c>
      <c r="D670">
        <v>1674.3832456436</v>
      </c>
      <c r="E670" t="s">
        <v>2876</v>
      </c>
      <c r="F670" t="s">
        <v>3349</v>
      </c>
    </row>
    <row r="671" spans="1:6" x14ac:dyDescent="0.45">
      <c r="A671" t="str">
        <f t="shared" si="10"/>
        <v>ET06,63</v>
      </c>
      <c r="B671">
        <v>63</v>
      </c>
      <c r="C671">
        <v>1588.8983802825601</v>
      </c>
      <c r="D671">
        <v>1583.0564263669301</v>
      </c>
      <c r="E671" t="s">
        <v>2876</v>
      </c>
      <c r="F671" t="s">
        <v>3349</v>
      </c>
    </row>
    <row r="672" spans="1:6" x14ac:dyDescent="0.45">
      <c r="A672" t="str">
        <f t="shared" si="10"/>
        <v>ET06,64</v>
      </c>
      <c r="B672">
        <v>64</v>
      </c>
      <c r="C672">
        <v>1503.4135149215199</v>
      </c>
      <c r="D672">
        <v>1497.27834616568</v>
      </c>
      <c r="E672" t="s">
        <v>2876</v>
      </c>
      <c r="F672" t="s">
        <v>3349</v>
      </c>
    </row>
    <row r="673" spans="1:6" x14ac:dyDescent="0.45">
      <c r="A673" t="str">
        <f t="shared" si="10"/>
        <v>ET06,65</v>
      </c>
      <c r="B673">
        <v>65</v>
      </c>
      <c r="C673">
        <v>1417.9286495604699</v>
      </c>
      <c r="D673">
        <v>1414.42124292224</v>
      </c>
      <c r="E673" t="s">
        <v>2876</v>
      </c>
      <c r="F673" t="s">
        <v>3349</v>
      </c>
    </row>
    <row r="674" spans="1:6" x14ac:dyDescent="0.45">
      <c r="A674" t="str">
        <f t="shared" si="10"/>
        <v>ET06,66</v>
      </c>
      <c r="B674">
        <v>66</v>
      </c>
      <c r="C674">
        <v>1332.44378419943</v>
      </c>
      <c r="D674">
        <v>1331.85735451901</v>
      </c>
      <c r="E674" t="s">
        <v>2876</v>
      </c>
      <c r="F674" t="s">
        <v>3349</v>
      </c>
    </row>
    <row r="675" spans="1:6" x14ac:dyDescent="0.45">
      <c r="A675" t="str">
        <f t="shared" si="10"/>
        <v>ET06,67</v>
      </c>
      <c r="B675">
        <v>67</v>
      </c>
      <c r="C675">
        <v>1246.95891883839</v>
      </c>
      <c r="D675">
        <v>1246.95891883839</v>
      </c>
      <c r="E675" t="s">
        <v>2876</v>
      </c>
      <c r="F675" t="s">
        <v>3349</v>
      </c>
    </row>
    <row r="676" spans="1:6" x14ac:dyDescent="0.45">
      <c r="A676" t="str">
        <f t="shared" si="10"/>
        <v>ET06,68</v>
      </c>
      <c r="B676">
        <v>68</v>
      </c>
      <c r="C676">
        <v>1160.51819955731</v>
      </c>
      <c r="D676">
        <v>1158.05240148496</v>
      </c>
      <c r="E676" t="s">
        <v>2876</v>
      </c>
      <c r="F676" t="s">
        <v>3349</v>
      </c>
    </row>
    <row r="677" spans="1:6" x14ac:dyDescent="0.45">
      <c r="A677" t="str">
        <f t="shared" si="10"/>
        <v>ET06,69</v>
      </c>
      <c r="B677">
        <v>69</v>
      </c>
      <c r="C677">
        <v>1074.0774802762301</v>
      </c>
      <c r="D677">
        <v>1067.2811789521199</v>
      </c>
      <c r="E677" t="s">
        <v>2876</v>
      </c>
      <c r="F677" t="s">
        <v>3349</v>
      </c>
    </row>
    <row r="678" spans="1:6" x14ac:dyDescent="0.45">
      <c r="A678" t="str">
        <f t="shared" si="10"/>
        <v>ET06,70</v>
      </c>
      <c r="B678">
        <v>70</v>
      </c>
      <c r="C678">
        <v>987.63676099514396</v>
      </c>
      <c r="D678">
        <v>977.74285545545104</v>
      </c>
      <c r="E678" t="s">
        <v>2876</v>
      </c>
      <c r="F678" t="s">
        <v>3349</v>
      </c>
    </row>
    <row r="679" spans="1:6" x14ac:dyDescent="0.45">
      <c r="A679" t="str">
        <f t="shared" si="10"/>
        <v>ET06,71</v>
      </c>
      <c r="B679">
        <v>71</v>
      </c>
      <c r="C679">
        <v>901.19604171406297</v>
      </c>
      <c r="D679">
        <v>892.53503521054404</v>
      </c>
      <c r="E679" t="s">
        <v>2876</v>
      </c>
      <c r="F679" t="s">
        <v>3349</v>
      </c>
    </row>
    <row r="680" spans="1:6" x14ac:dyDescent="0.45">
      <c r="A680" t="str">
        <f t="shared" si="10"/>
        <v>ET06,72</v>
      </c>
      <c r="B680">
        <v>72</v>
      </c>
      <c r="C680">
        <v>814.75532243298198</v>
      </c>
      <c r="D680">
        <v>814.75532243298198</v>
      </c>
      <c r="E680" t="s">
        <v>2876</v>
      </c>
      <c r="F680" t="s">
        <v>3349</v>
      </c>
    </row>
    <row r="681" spans="1:6" x14ac:dyDescent="0.45">
      <c r="A681" t="str">
        <f t="shared" si="10"/>
        <v>ET06,73</v>
      </c>
      <c r="B681">
        <v>73</v>
      </c>
      <c r="C681">
        <v>757.73320357703403</v>
      </c>
      <c r="D681">
        <v>746.57292301877203</v>
      </c>
      <c r="E681" t="s">
        <v>2876</v>
      </c>
      <c r="F681" t="s">
        <v>3349</v>
      </c>
    </row>
    <row r="682" spans="1:6" x14ac:dyDescent="0.45">
      <c r="A682" t="str">
        <f t="shared" si="10"/>
        <v>ET06,74</v>
      </c>
      <c r="B682">
        <v>74</v>
      </c>
      <c r="C682">
        <v>700.71108472108699</v>
      </c>
      <c r="D682">
        <v>686.44344958559395</v>
      </c>
      <c r="E682" t="s">
        <v>2876</v>
      </c>
      <c r="F682" t="s">
        <v>3349</v>
      </c>
    </row>
    <row r="683" spans="1:6" x14ac:dyDescent="0.45">
      <c r="A683" t="str">
        <f t="shared" si="10"/>
        <v>ET06,75</v>
      </c>
      <c r="B683">
        <v>75</v>
      </c>
      <c r="C683">
        <v>643.68896586513904</v>
      </c>
      <c r="D683">
        <v>631.89411643154699</v>
      </c>
      <c r="E683" t="s">
        <v>2876</v>
      </c>
      <c r="F683" t="s">
        <v>3349</v>
      </c>
    </row>
    <row r="684" spans="1:6" x14ac:dyDescent="0.45">
      <c r="A684" t="str">
        <f t="shared" si="10"/>
        <v>ET06,76</v>
      </c>
      <c r="B684">
        <v>76</v>
      </c>
      <c r="C684">
        <v>586.666847009192</v>
      </c>
      <c r="D684">
        <v>580.45213785473095</v>
      </c>
      <c r="E684" t="s">
        <v>2876</v>
      </c>
      <c r="F684" t="s">
        <v>3349</v>
      </c>
    </row>
    <row r="685" spans="1:6" x14ac:dyDescent="0.45">
      <c r="A685" t="str">
        <f t="shared" si="10"/>
        <v>ET06,77</v>
      </c>
      <c r="B685">
        <v>77</v>
      </c>
      <c r="C685">
        <v>529.64472815324405</v>
      </c>
      <c r="D685">
        <v>529.64472815324405</v>
      </c>
      <c r="E685" t="s">
        <v>2876</v>
      </c>
      <c r="F685" t="s">
        <v>3349</v>
      </c>
    </row>
    <row r="686" spans="1:6" x14ac:dyDescent="0.45">
      <c r="A686" t="str">
        <f t="shared" si="10"/>
        <v>ET06,78</v>
      </c>
      <c r="B686">
        <v>78</v>
      </c>
      <c r="C686">
        <v>479.38578252259498</v>
      </c>
      <c r="D686">
        <v>477.63727191951199</v>
      </c>
      <c r="E686" t="s">
        <v>2876</v>
      </c>
      <c r="F686" t="s">
        <v>3349</v>
      </c>
    </row>
    <row r="687" spans="1:6" x14ac:dyDescent="0.45">
      <c r="A687" t="str">
        <f t="shared" si="10"/>
        <v>ET06,79</v>
      </c>
      <c r="B687">
        <v>79</v>
      </c>
      <c r="C687">
        <v>429.12683689194603</v>
      </c>
      <c r="D687">
        <v>425.14783492326501</v>
      </c>
      <c r="E687" t="s">
        <v>2876</v>
      </c>
      <c r="F687" t="s">
        <v>3349</v>
      </c>
    </row>
    <row r="688" spans="1:6" x14ac:dyDescent="0.45">
      <c r="A688" t="str">
        <f t="shared" si="10"/>
        <v>ET06,80</v>
      </c>
      <c r="B688">
        <v>80</v>
      </c>
      <c r="C688">
        <v>378.86789126129798</v>
      </c>
      <c r="D688">
        <v>373.53265322855901</v>
      </c>
      <c r="E688" t="s">
        <v>2876</v>
      </c>
      <c r="F688" t="s">
        <v>3349</v>
      </c>
    </row>
    <row r="689" spans="1:6" x14ac:dyDescent="0.45">
      <c r="A689" t="str">
        <f t="shared" si="10"/>
        <v>ET06,81</v>
      </c>
      <c r="B689">
        <v>81</v>
      </c>
      <c r="C689">
        <v>328.60894563064898</v>
      </c>
      <c r="D689">
        <v>324.14796289945201</v>
      </c>
      <c r="E689" t="s">
        <v>2876</v>
      </c>
      <c r="F689" t="s">
        <v>3349</v>
      </c>
    </row>
    <row r="690" spans="1:6" x14ac:dyDescent="0.45">
      <c r="A690" t="str">
        <f t="shared" si="10"/>
        <v>ET06,82</v>
      </c>
      <c r="B690">
        <v>82</v>
      </c>
      <c r="C690">
        <v>278.35000000000002</v>
      </c>
      <c r="D690">
        <v>278.35000000000002</v>
      </c>
      <c r="E690" t="s">
        <v>2876</v>
      </c>
      <c r="F690" t="s">
        <v>3349</v>
      </c>
    </row>
    <row r="691" spans="1:6" x14ac:dyDescent="0.45">
      <c r="A691" t="str">
        <f t="shared" si="10"/>
        <v>ET06,83</v>
      </c>
      <c r="B691">
        <v>83</v>
      </c>
      <c r="C691">
        <v>245.20160000000001</v>
      </c>
      <c r="D691">
        <v>237.19082972074301</v>
      </c>
      <c r="E691" t="s">
        <v>2876</v>
      </c>
      <c r="F691" t="s">
        <v>3349</v>
      </c>
    </row>
    <row r="692" spans="1:6" x14ac:dyDescent="0.45">
      <c r="A692" t="str">
        <f t="shared" si="10"/>
        <v>ET06,84</v>
      </c>
      <c r="B692">
        <v>84</v>
      </c>
      <c r="C692">
        <v>212.0532</v>
      </c>
      <c r="D692">
        <v>200.50583375815501</v>
      </c>
      <c r="E692" t="s">
        <v>2876</v>
      </c>
      <c r="F692" t="s">
        <v>3349</v>
      </c>
    </row>
    <row r="693" spans="1:6" x14ac:dyDescent="0.45">
      <c r="A693" t="str">
        <f t="shared" si="10"/>
        <v>ET06,85</v>
      </c>
      <c r="B693">
        <v>85</v>
      </c>
      <c r="C693">
        <v>178.90479999999999</v>
      </c>
      <c r="D693">
        <v>167.82622293519699</v>
      </c>
      <c r="E693" t="s">
        <v>2876</v>
      </c>
      <c r="F693" t="s">
        <v>3349</v>
      </c>
    </row>
    <row r="694" spans="1:6" x14ac:dyDescent="0.45">
      <c r="A694" t="str">
        <f t="shared" si="10"/>
        <v>ET06,86</v>
      </c>
      <c r="B694">
        <v>86</v>
      </c>
      <c r="C694">
        <v>145.75640000000001</v>
      </c>
      <c r="D694">
        <v>138.68320807482499</v>
      </c>
      <c r="E694" t="s">
        <v>2876</v>
      </c>
      <c r="F694" t="s">
        <v>3349</v>
      </c>
    </row>
    <row r="695" spans="1:6" x14ac:dyDescent="0.45">
      <c r="A695" t="str">
        <f t="shared" si="10"/>
        <v>ET06,87</v>
      </c>
      <c r="B695">
        <v>87</v>
      </c>
      <c r="C695">
        <v>112.608</v>
      </c>
      <c r="D695">
        <v>112.608</v>
      </c>
      <c r="E695" t="s">
        <v>2876</v>
      </c>
      <c r="F695" t="s">
        <v>3349</v>
      </c>
    </row>
    <row r="696" spans="1:6" x14ac:dyDescent="0.45">
      <c r="A696" t="str">
        <f t="shared" si="10"/>
        <v>ET06,88</v>
      </c>
      <c r="B696">
        <v>88</v>
      </c>
      <c r="C696">
        <v>94.946399999999997</v>
      </c>
      <c r="D696">
        <v>89.231478011978396</v>
      </c>
      <c r="E696" t="s">
        <v>2876</v>
      </c>
      <c r="F696" t="s">
        <v>3349</v>
      </c>
    </row>
    <row r="697" spans="1:6" x14ac:dyDescent="0.45">
      <c r="A697" t="str">
        <f t="shared" si="10"/>
        <v>ET06,89</v>
      </c>
      <c r="B697">
        <v>89</v>
      </c>
      <c r="C697">
        <v>77.284800000000004</v>
      </c>
      <c r="D697">
        <v>68.583195325214604</v>
      </c>
      <c r="E697" t="s">
        <v>2876</v>
      </c>
      <c r="F697" t="s">
        <v>3349</v>
      </c>
    </row>
    <row r="698" spans="1:6" x14ac:dyDescent="0.45">
      <c r="A698" t="str">
        <f t="shared" si="10"/>
        <v>ET06,90</v>
      </c>
      <c r="B698">
        <v>90</v>
      </c>
      <c r="C698">
        <v>59.623199999999997</v>
      </c>
      <c r="D698">
        <v>50.792373632461498</v>
      </c>
      <c r="E698" t="s">
        <v>2876</v>
      </c>
      <c r="F698" t="s">
        <v>3349</v>
      </c>
    </row>
    <row r="699" spans="1:6" x14ac:dyDescent="0.45">
      <c r="A699" t="str">
        <f t="shared" si="10"/>
        <v>ET06,91</v>
      </c>
      <c r="B699">
        <v>91</v>
      </c>
      <c r="C699">
        <v>41.961599999999997</v>
      </c>
      <c r="D699">
        <v>35.988234626472298</v>
      </c>
      <c r="E699" t="s">
        <v>2876</v>
      </c>
      <c r="F699" t="s">
        <v>3349</v>
      </c>
    </row>
    <row r="700" spans="1:6" x14ac:dyDescent="0.45">
      <c r="A700" t="str">
        <f t="shared" si="10"/>
        <v>ET06,92</v>
      </c>
      <c r="B700">
        <v>92</v>
      </c>
      <c r="C700">
        <v>24.3</v>
      </c>
      <c r="D700">
        <v>24.3</v>
      </c>
      <c r="E700" t="s">
        <v>2876</v>
      </c>
      <c r="F700" t="s">
        <v>3349</v>
      </c>
    </row>
    <row r="701" spans="1:6" x14ac:dyDescent="0.45">
      <c r="A701" t="str">
        <f t="shared" si="10"/>
        <v>ET06,93</v>
      </c>
      <c r="B701">
        <v>93</v>
      </c>
      <c r="C701">
        <v>20.02</v>
      </c>
      <c r="D701">
        <v>15.743130231343599</v>
      </c>
      <c r="E701" t="s">
        <v>2876</v>
      </c>
      <c r="F701" t="s">
        <v>3349</v>
      </c>
    </row>
    <row r="702" spans="1:6" x14ac:dyDescent="0.45">
      <c r="A702" t="str">
        <f t="shared" si="10"/>
        <v>ET06,94</v>
      </c>
      <c r="B702">
        <v>94</v>
      </c>
      <c r="C702">
        <v>15.74</v>
      </c>
      <c r="D702">
        <v>9.8780409409862209</v>
      </c>
      <c r="E702" t="s">
        <v>2876</v>
      </c>
      <c r="F702" t="s">
        <v>3349</v>
      </c>
    </row>
    <row r="703" spans="1:6" x14ac:dyDescent="0.45">
      <c r="A703" t="str">
        <f t="shared" si="10"/>
        <v>ET06,95</v>
      </c>
      <c r="B703">
        <v>95</v>
      </c>
      <c r="C703">
        <v>11.46</v>
      </c>
      <c r="D703">
        <v>6.15138653495708</v>
      </c>
      <c r="E703" t="s">
        <v>2876</v>
      </c>
      <c r="F703" t="s">
        <v>3349</v>
      </c>
    </row>
    <row r="704" spans="1:6" x14ac:dyDescent="0.45">
      <c r="A704" t="str">
        <f t="shared" si="10"/>
        <v>ET06,96</v>
      </c>
      <c r="B704">
        <v>96</v>
      </c>
      <c r="C704">
        <v>7.18</v>
      </c>
      <c r="D704">
        <v>4.0098214192852799</v>
      </c>
      <c r="E704" t="s">
        <v>2876</v>
      </c>
      <c r="F704" t="s">
        <v>3349</v>
      </c>
    </row>
    <row r="705" spans="1:6" x14ac:dyDescent="0.45">
      <c r="A705" t="str">
        <f t="shared" si="10"/>
        <v>ET06,97</v>
      </c>
      <c r="B705">
        <v>97</v>
      </c>
      <c r="C705">
        <v>2.9</v>
      </c>
      <c r="D705">
        <v>2.9</v>
      </c>
      <c r="E705" t="s">
        <v>2876</v>
      </c>
      <c r="F705" t="s">
        <v>3349</v>
      </c>
    </row>
    <row r="706" spans="1:6" x14ac:dyDescent="0.45">
      <c r="A706" t="str">
        <f t="shared" si="10"/>
        <v>ET06,98</v>
      </c>
      <c r="B706">
        <v>98</v>
      </c>
      <c r="C706">
        <v>2.6</v>
      </c>
      <c r="D706">
        <v>2.33422327643575</v>
      </c>
      <c r="E706" t="s">
        <v>2876</v>
      </c>
      <c r="F706" t="s">
        <v>3349</v>
      </c>
    </row>
    <row r="707" spans="1:6" x14ac:dyDescent="0.45">
      <c r="A707" t="str">
        <f t="shared" ref="A707:A770" si="11">_xlfn.CONCAT(E707,",",B707)</f>
        <v>ET06,99</v>
      </c>
      <c r="B707">
        <v>99</v>
      </c>
      <c r="C707">
        <v>2.2999999999999998</v>
      </c>
      <c r="D707">
        <v>2.0873786211485998</v>
      </c>
      <c r="E707" t="s">
        <v>2876</v>
      </c>
      <c r="F707" t="s">
        <v>3349</v>
      </c>
    </row>
    <row r="708" spans="1:6" x14ac:dyDescent="0.45">
      <c r="A708" t="str">
        <f t="shared" si="11"/>
        <v>ET06,100</v>
      </c>
      <c r="B708">
        <v>100</v>
      </c>
      <c r="C708">
        <v>2</v>
      </c>
      <c r="D708">
        <v>2</v>
      </c>
      <c r="E708" t="s">
        <v>2876</v>
      </c>
      <c r="F708" t="s">
        <v>3349</v>
      </c>
    </row>
    <row r="709" spans="1:6" x14ac:dyDescent="0.45">
      <c r="A709" t="str">
        <f t="shared" si="11"/>
        <v>ET07,&lt;1</v>
      </c>
      <c r="B709" t="s">
        <v>119</v>
      </c>
      <c r="C709">
        <v>434877.50613988901</v>
      </c>
      <c r="D709">
        <v>434877.50613988901</v>
      </c>
      <c r="E709" t="s">
        <v>2878</v>
      </c>
      <c r="F709" t="s">
        <v>3353</v>
      </c>
    </row>
    <row r="710" spans="1:6" x14ac:dyDescent="0.45">
      <c r="A710" t="str">
        <f t="shared" si="11"/>
        <v>ET07,1</v>
      </c>
      <c r="B710">
        <v>1</v>
      </c>
      <c r="C710">
        <v>418321.13291736302</v>
      </c>
      <c r="D710">
        <v>416706.237863396</v>
      </c>
      <c r="E710" t="s">
        <v>2878</v>
      </c>
      <c r="F710" t="s">
        <v>3353</v>
      </c>
    </row>
    <row r="711" spans="1:6" x14ac:dyDescent="0.45">
      <c r="A711" t="str">
        <f t="shared" si="11"/>
        <v>ET07,2</v>
      </c>
      <c r="B711">
        <v>2</v>
      </c>
      <c r="C711">
        <v>401764.75969483698</v>
      </c>
      <c r="D711">
        <v>401764.75969483698</v>
      </c>
      <c r="E711" t="s">
        <v>2878</v>
      </c>
      <c r="F711" t="s">
        <v>3353</v>
      </c>
    </row>
    <row r="712" spans="1:6" x14ac:dyDescent="0.45">
      <c r="A712" t="str">
        <f t="shared" si="11"/>
        <v>ET07,3</v>
      </c>
      <c r="B712">
        <v>3</v>
      </c>
      <c r="C712">
        <v>396640.46704741003</v>
      </c>
      <c r="D712">
        <v>392383.63311981998</v>
      </c>
      <c r="E712" t="s">
        <v>2878</v>
      </c>
      <c r="F712" t="s">
        <v>3353</v>
      </c>
    </row>
    <row r="713" spans="1:6" x14ac:dyDescent="0.45">
      <c r="A713" t="str">
        <f t="shared" si="11"/>
        <v>ET07,4</v>
      </c>
      <c r="B713">
        <v>4</v>
      </c>
      <c r="C713">
        <v>391516.17439998197</v>
      </c>
      <c r="D713">
        <v>387296.50513463502</v>
      </c>
      <c r="E713" t="s">
        <v>2878</v>
      </c>
      <c r="F713" t="s">
        <v>3353</v>
      </c>
    </row>
    <row r="714" spans="1:6" x14ac:dyDescent="0.45">
      <c r="A714" t="str">
        <f t="shared" si="11"/>
        <v>ET07,5</v>
      </c>
      <c r="B714">
        <v>5</v>
      </c>
      <c r="C714">
        <v>386391.88175255398</v>
      </c>
      <c r="D714">
        <v>384337.79411324498</v>
      </c>
      <c r="E714" t="s">
        <v>2878</v>
      </c>
      <c r="F714" t="s">
        <v>3353</v>
      </c>
    </row>
    <row r="715" spans="1:6" x14ac:dyDescent="0.45">
      <c r="A715" t="str">
        <f t="shared" si="11"/>
        <v>ET07,6</v>
      </c>
      <c r="B715">
        <v>6</v>
      </c>
      <c r="C715">
        <v>381267.58910512598</v>
      </c>
      <c r="D715">
        <v>381341.91842961201</v>
      </c>
      <c r="E715" t="s">
        <v>2878</v>
      </c>
      <c r="F715" t="s">
        <v>3353</v>
      </c>
    </row>
    <row r="716" spans="1:6" x14ac:dyDescent="0.45">
      <c r="A716" t="str">
        <f t="shared" si="11"/>
        <v>ET07,7</v>
      </c>
      <c r="B716">
        <v>7</v>
      </c>
      <c r="C716">
        <v>376143.29645769799</v>
      </c>
      <c r="D716">
        <v>376143.29645769799</v>
      </c>
      <c r="E716" t="s">
        <v>2878</v>
      </c>
      <c r="F716" t="s">
        <v>3353</v>
      </c>
    </row>
    <row r="717" spans="1:6" x14ac:dyDescent="0.45">
      <c r="A717" t="str">
        <f t="shared" si="11"/>
        <v>ET07,8</v>
      </c>
      <c r="B717">
        <v>8</v>
      </c>
      <c r="C717">
        <v>363425.64256984601</v>
      </c>
      <c r="D717">
        <v>367146.277704712</v>
      </c>
      <c r="E717" t="s">
        <v>2878</v>
      </c>
      <c r="F717" t="s">
        <v>3353</v>
      </c>
    </row>
    <row r="718" spans="1:6" x14ac:dyDescent="0.45">
      <c r="A718" t="str">
        <f t="shared" si="11"/>
        <v>ET07,9</v>
      </c>
      <c r="B718">
        <v>9</v>
      </c>
      <c r="C718">
        <v>350707.98868199397</v>
      </c>
      <c r="D718">
        <v>355034.93621085101</v>
      </c>
      <c r="E718" t="s">
        <v>2878</v>
      </c>
      <c r="F718" t="s">
        <v>3353</v>
      </c>
    </row>
    <row r="719" spans="1:6" x14ac:dyDescent="0.45">
      <c r="A719" t="str">
        <f t="shared" si="11"/>
        <v>ET07,10</v>
      </c>
      <c r="B719">
        <v>10</v>
      </c>
      <c r="C719">
        <v>337990.33479414199</v>
      </c>
      <c r="D719">
        <v>341063.27714955702</v>
      </c>
      <c r="E719" t="s">
        <v>2878</v>
      </c>
      <c r="F719" t="s">
        <v>3353</v>
      </c>
    </row>
    <row r="720" spans="1:6" x14ac:dyDescent="0.45">
      <c r="A720" t="str">
        <f t="shared" si="11"/>
        <v>ET07,11</v>
      </c>
      <c r="B720">
        <v>11</v>
      </c>
      <c r="C720">
        <v>325272.68090629001</v>
      </c>
      <c r="D720">
        <v>326485.305694271</v>
      </c>
      <c r="E720" t="s">
        <v>2878</v>
      </c>
      <c r="F720" t="s">
        <v>3353</v>
      </c>
    </row>
    <row r="721" spans="1:6" x14ac:dyDescent="0.45">
      <c r="A721" t="str">
        <f t="shared" si="11"/>
        <v>ET07,12</v>
      </c>
      <c r="B721">
        <v>12</v>
      </c>
      <c r="C721">
        <v>312555.02701843798</v>
      </c>
      <c r="D721">
        <v>312555.02701843798</v>
      </c>
      <c r="E721" t="s">
        <v>2878</v>
      </c>
      <c r="F721" t="s">
        <v>3353</v>
      </c>
    </row>
    <row r="722" spans="1:6" x14ac:dyDescent="0.45">
      <c r="A722" t="str">
        <f t="shared" si="11"/>
        <v>ET07,13</v>
      </c>
      <c r="B722">
        <v>13</v>
      </c>
      <c r="C722">
        <v>301752.85885637102</v>
      </c>
      <c r="D722">
        <v>300222.72613395099</v>
      </c>
      <c r="E722" t="s">
        <v>2878</v>
      </c>
      <c r="F722" t="s">
        <v>3353</v>
      </c>
    </row>
    <row r="723" spans="1:6" x14ac:dyDescent="0.45">
      <c r="A723" t="str">
        <f t="shared" si="11"/>
        <v>ET07,14</v>
      </c>
      <c r="B723">
        <v>14</v>
      </c>
      <c r="C723">
        <v>290950.69069430401</v>
      </c>
      <c r="D723">
        <v>289223.80740651698</v>
      </c>
      <c r="E723" t="s">
        <v>2878</v>
      </c>
      <c r="F723" t="s">
        <v>3353</v>
      </c>
    </row>
    <row r="724" spans="1:6" x14ac:dyDescent="0.45">
      <c r="A724" t="str">
        <f t="shared" si="11"/>
        <v>ET07,15</v>
      </c>
      <c r="B724">
        <v>15</v>
      </c>
      <c r="C724">
        <v>280148.52253223798</v>
      </c>
      <c r="D724">
        <v>278989.955040292</v>
      </c>
      <c r="E724" t="s">
        <v>2878</v>
      </c>
      <c r="F724" t="s">
        <v>3353</v>
      </c>
    </row>
    <row r="725" spans="1:6" x14ac:dyDescent="0.45">
      <c r="A725" t="str">
        <f t="shared" si="11"/>
        <v>ET07,16</v>
      </c>
      <c r="B725">
        <v>16</v>
      </c>
      <c r="C725">
        <v>269346.35437017097</v>
      </c>
      <c r="D725">
        <v>268952.853239435</v>
      </c>
      <c r="E725" t="s">
        <v>2878</v>
      </c>
      <c r="F725" t="s">
        <v>3353</v>
      </c>
    </row>
    <row r="726" spans="1:6" x14ac:dyDescent="0.45">
      <c r="A726" t="str">
        <f t="shared" si="11"/>
        <v>ET07,17</v>
      </c>
      <c r="B726">
        <v>17</v>
      </c>
      <c r="C726">
        <v>258544.18620810399</v>
      </c>
      <c r="D726">
        <v>258544.18620810399</v>
      </c>
      <c r="E726" t="s">
        <v>2878</v>
      </c>
      <c r="F726" t="s">
        <v>3353</v>
      </c>
    </row>
    <row r="727" spans="1:6" x14ac:dyDescent="0.45">
      <c r="A727" t="str">
        <f t="shared" si="11"/>
        <v>ET07,18</v>
      </c>
      <c r="B727">
        <v>18</v>
      </c>
      <c r="C727">
        <v>249284.69833136501</v>
      </c>
      <c r="D727">
        <v>247445.32156713301</v>
      </c>
      <c r="E727" t="s">
        <v>2878</v>
      </c>
      <c r="F727" t="s">
        <v>3353</v>
      </c>
    </row>
    <row r="728" spans="1:6" x14ac:dyDescent="0.45">
      <c r="A728" t="str">
        <f t="shared" si="11"/>
        <v>ET07,19</v>
      </c>
      <c r="B728">
        <v>19</v>
      </c>
      <c r="C728">
        <v>240025.21045462601</v>
      </c>
      <c r="D728">
        <v>236336.36060406201</v>
      </c>
      <c r="E728" t="s">
        <v>2878</v>
      </c>
      <c r="F728" t="s">
        <v>3353</v>
      </c>
    </row>
    <row r="729" spans="1:6" x14ac:dyDescent="0.45">
      <c r="A729" t="str">
        <f t="shared" si="11"/>
        <v>ET07,20</v>
      </c>
      <c r="B729">
        <v>20</v>
      </c>
      <c r="C729">
        <v>230765.72257788799</v>
      </c>
      <c r="D729">
        <v>226147.088023107</v>
      </c>
      <c r="E729" t="s">
        <v>2878</v>
      </c>
      <c r="F729" t="s">
        <v>3353</v>
      </c>
    </row>
    <row r="730" spans="1:6" x14ac:dyDescent="0.45">
      <c r="A730" t="str">
        <f t="shared" si="11"/>
        <v>ET07,21</v>
      </c>
      <c r="B730">
        <v>21</v>
      </c>
      <c r="C730">
        <v>221506.23470114899</v>
      </c>
      <c r="D730">
        <v>217807.288528484</v>
      </c>
      <c r="E730" t="s">
        <v>2878</v>
      </c>
      <c r="F730" t="s">
        <v>3353</v>
      </c>
    </row>
    <row r="731" spans="1:6" x14ac:dyDescent="0.45">
      <c r="A731" t="str">
        <f t="shared" si="11"/>
        <v>ET07,22</v>
      </c>
      <c r="B731">
        <v>22</v>
      </c>
      <c r="C731">
        <v>212246.74682440999</v>
      </c>
      <c r="D731">
        <v>212246.74682440999</v>
      </c>
      <c r="E731" t="s">
        <v>2878</v>
      </c>
      <c r="F731" t="s">
        <v>3353</v>
      </c>
    </row>
    <row r="732" spans="1:6" x14ac:dyDescent="0.45">
      <c r="A732" t="str">
        <f t="shared" si="11"/>
        <v>ET07,23</v>
      </c>
      <c r="B732">
        <v>23</v>
      </c>
      <c r="C732">
        <v>210643.19798908799</v>
      </c>
      <c r="D732">
        <v>209959.67667780499</v>
      </c>
      <c r="E732" t="s">
        <v>2878</v>
      </c>
      <c r="F732" t="s">
        <v>3353</v>
      </c>
    </row>
    <row r="733" spans="1:6" x14ac:dyDescent="0.45">
      <c r="A733" t="str">
        <f t="shared" si="11"/>
        <v>ET07,24</v>
      </c>
      <c r="B733">
        <v>24</v>
      </c>
      <c r="C733">
        <v>209039.64915376599</v>
      </c>
      <c r="D733">
        <v>209698.00810640299</v>
      </c>
      <c r="E733" t="s">
        <v>2878</v>
      </c>
      <c r="F733" t="s">
        <v>3353</v>
      </c>
    </row>
    <row r="734" spans="1:6" x14ac:dyDescent="0.45">
      <c r="A734" t="str">
        <f t="shared" si="11"/>
        <v>ET07,25</v>
      </c>
      <c r="B734">
        <v>25</v>
      </c>
      <c r="C734">
        <v>207436.10031844399</v>
      </c>
      <c r="D734">
        <v>209778.100190642</v>
      </c>
      <c r="E734" t="s">
        <v>2878</v>
      </c>
      <c r="F734" t="s">
        <v>3353</v>
      </c>
    </row>
    <row r="735" spans="1:6" x14ac:dyDescent="0.45">
      <c r="A735" t="str">
        <f t="shared" si="11"/>
        <v>ET07,26</v>
      </c>
      <c r="B735">
        <v>26</v>
      </c>
      <c r="C735">
        <v>205832.55148312199</v>
      </c>
      <c r="D735">
        <v>208516.31201096199</v>
      </c>
      <c r="E735" t="s">
        <v>2878</v>
      </c>
      <c r="F735" t="s">
        <v>3353</v>
      </c>
    </row>
    <row r="736" spans="1:6" x14ac:dyDescent="0.45">
      <c r="A736" t="str">
        <f t="shared" si="11"/>
        <v>ET07,27</v>
      </c>
      <c r="B736">
        <v>27</v>
      </c>
      <c r="C736">
        <v>204229.00264779999</v>
      </c>
      <c r="D736">
        <v>204229.00264779999</v>
      </c>
      <c r="E736" t="s">
        <v>2878</v>
      </c>
      <c r="F736" t="s">
        <v>3353</v>
      </c>
    </row>
    <row r="737" spans="1:6" x14ac:dyDescent="0.45">
      <c r="A737" t="str">
        <f t="shared" si="11"/>
        <v>ET07,28</v>
      </c>
      <c r="B737">
        <v>28</v>
      </c>
      <c r="C737">
        <v>193595.06060854901</v>
      </c>
      <c r="D737">
        <v>195813.147874046</v>
      </c>
      <c r="E737" t="s">
        <v>2878</v>
      </c>
      <c r="F737" t="s">
        <v>3353</v>
      </c>
    </row>
    <row r="738" spans="1:6" x14ac:dyDescent="0.45">
      <c r="A738" t="str">
        <f t="shared" si="11"/>
        <v>ET07,29</v>
      </c>
      <c r="B738">
        <v>29</v>
      </c>
      <c r="C738">
        <v>182961.11856929801</v>
      </c>
      <c r="D738">
        <v>184488.190232397</v>
      </c>
      <c r="E738" t="s">
        <v>2878</v>
      </c>
      <c r="F738" t="s">
        <v>3353</v>
      </c>
    </row>
    <row r="739" spans="1:6" x14ac:dyDescent="0.45">
      <c r="A739" t="str">
        <f t="shared" si="11"/>
        <v>ET07,30</v>
      </c>
      <c r="B739">
        <v>30</v>
      </c>
      <c r="C739">
        <v>172327.176530047</v>
      </c>
      <c r="D739">
        <v>172054.18895799801</v>
      </c>
      <c r="E739" t="s">
        <v>2878</v>
      </c>
      <c r="F739" t="s">
        <v>3353</v>
      </c>
    </row>
    <row r="740" spans="1:6" x14ac:dyDescent="0.45">
      <c r="A740" t="str">
        <f t="shared" si="11"/>
        <v>ET07,31</v>
      </c>
      <c r="B740">
        <v>31</v>
      </c>
      <c r="C740">
        <v>161693.23449079599</v>
      </c>
      <c r="D740">
        <v>160311.20328599901</v>
      </c>
      <c r="E740" t="s">
        <v>2878</v>
      </c>
      <c r="F740" t="s">
        <v>3353</v>
      </c>
    </row>
    <row r="741" spans="1:6" x14ac:dyDescent="0.45">
      <c r="A741" t="str">
        <f t="shared" si="11"/>
        <v>ET07,32</v>
      </c>
      <c r="B741">
        <v>32</v>
      </c>
      <c r="C741">
        <v>151059.292451546</v>
      </c>
      <c r="D741">
        <v>151059.292451546</v>
      </c>
      <c r="E741" t="s">
        <v>2878</v>
      </c>
      <c r="F741" t="s">
        <v>3353</v>
      </c>
    </row>
    <row r="742" spans="1:6" x14ac:dyDescent="0.45">
      <c r="A742" t="str">
        <f t="shared" si="11"/>
        <v>ET07,33</v>
      </c>
      <c r="B742">
        <v>33</v>
      </c>
      <c r="C742">
        <v>148241.48218760299</v>
      </c>
      <c r="D742">
        <v>145552.93414626</v>
      </c>
      <c r="E742" t="s">
        <v>2878</v>
      </c>
      <c r="F742" t="s">
        <v>3353</v>
      </c>
    </row>
    <row r="743" spans="1:6" x14ac:dyDescent="0.45">
      <c r="A743" t="str">
        <f t="shared" si="11"/>
        <v>ET07,34</v>
      </c>
      <c r="B743">
        <v>34</v>
      </c>
      <c r="C743">
        <v>145423.67192366</v>
      </c>
      <c r="D743">
        <v>142864.27988765601</v>
      </c>
      <c r="E743" t="s">
        <v>2878</v>
      </c>
      <c r="F743" t="s">
        <v>3353</v>
      </c>
    </row>
    <row r="744" spans="1:6" x14ac:dyDescent="0.45">
      <c r="A744" t="str">
        <f t="shared" si="11"/>
        <v>ET07,35</v>
      </c>
      <c r="B744">
        <v>35</v>
      </c>
      <c r="C744">
        <v>142605.86165971801</v>
      </c>
      <c r="D744">
        <v>141519.89964972399</v>
      </c>
      <c r="E744" t="s">
        <v>2878</v>
      </c>
      <c r="F744" t="s">
        <v>3353</v>
      </c>
    </row>
    <row r="745" spans="1:6" x14ac:dyDescent="0.45">
      <c r="A745" t="str">
        <f t="shared" si="11"/>
        <v>ET07,36</v>
      </c>
      <c r="B745">
        <v>36</v>
      </c>
      <c r="C745">
        <v>139788.05139577499</v>
      </c>
      <c r="D745">
        <v>140046.36340645299</v>
      </c>
      <c r="E745" t="s">
        <v>2878</v>
      </c>
      <c r="F745" t="s">
        <v>3353</v>
      </c>
    </row>
    <row r="746" spans="1:6" x14ac:dyDescent="0.45">
      <c r="A746" t="str">
        <f t="shared" si="11"/>
        <v>ET07,37</v>
      </c>
      <c r="B746">
        <v>37</v>
      </c>
      <c r="C746">
        <v>136970.24113183201</v>
      </c>
      <c r="D746">
        <v>136970.24113183201</v>
      </c>
      <c r="E746" t="s">
        <v>2878</v>
      </c>
      <c r="F746" t="s">
        <v>3353</v>
      </c>
    </row>
    <row r="747" spans="1:6" x14ac:dyDescent="0.45">
      <c r="A747" t="str">
        <f t="shared" si="11"/>
        <v>ET07,38</v>
      </c>
      <c r="B747">
        <v>38</v>
      </c>
      <c r="C747">
        <v>129438.243595878</v>
      </c>
      <c r="D747">
        <v>131244.73852044201</v>
      </c>
      <c r="E747" t="s">
        <v>2878</v>
      </c>
      <c r="F747" t="s">
        <v>3353</v>
      </c>
    </row>
    <row r="748" spans="1:6" x14ac:dyDescent="0.45">
      <c r="A748" t="str">
        <f t="shared" si="11"/>
        <v>ET07,39</v>
      </c>
      <c r="B748">
        <v>39</v>
      </c>
      <c r="C748">
        <v>121906.246059923</v>
      </c>
      <c r="D748">
        <v>123529.60414923</v>
      </c>
      <c r="E748" t="s">
        <v>2878</v>
      </c>
      <c r="F748" t="s">
        <v>3353</v>
      </c>
    </row>
    <row r="749" spans="1:6" x14ac:dyDescent="0.45">
      <c r="A749" t="str">
        <f t="shared" si="11"/>
        <v>ET07,40</v>
      </c>
      <c r="B749">
        <v>40</v>
      </c>
      <c r="C749">
        <v>114374.248523968</v>
      </c>
      <c r="D749">
        <v>114911.222315736</v>
      </c>
      <c r="E749" t="s">
        <v>2878</v>
      </c>
      <c r="F749" t="s">
        <v>3353</v>
      </c>
    </row>
    <row r="750" spans="1:6" x14ac:dyDescent="0.45">
      <c r="A750" t="str">
        <f t="shared" si="11"/>
        <v>ET07,41</v>
      </c>
      <c r="B750">
        <v>41</v>
      </c>
      <c r="C750">
        <v>106842.250988014</v>
      </c>
      <c r="D750">
        <v>106475.977317499</v>
      </c>
      <c r="E750" t="s">
        <v>2878</v>
      </c>
      <c r="F750" t="s">
        <v>3353</v>
      </c>
    </row>
    <row r="751" spans="1:6" x14ac:dyDescent="0.45">
      <c r="A751" t="str">
        <f t="shared" si="11"/>
        <v>ET07,42</v>
      </c>
      <c r="B751">
        <v>42</v>
      </c>
      <c r="C751">
        <v>99310.253452058794</v>
      </c>
      <c r="D751">
        <v>99310.253452058794</v>
      </c>
      <c r="E751" t="s">
        <v>2878</v>
      </c>
      <c r="F751" t="s">
        <v>3353</v>
      </c>
    </row>
    <row r="752" spans="1:6" x14ac:dyDescent="0.45">
      <c r="A752" t="str">
        <f t="shared" si="11"/>
        <v>ET07,43</v>
      </c>
      <c r="B752">
        <v>43</v>
      </c>
      <c r="C752">
        <v>96011.953161947007</v>
      </c>
      <c r="D752">
        <v>94198.601820721306</v>
      </c>
      <c r="E752" t="s">
        <v>2878</v>
      </c>
      <c r="F752" t="s">
        <v>3353</v>
      </c>
    </row>
    <row r="753" spans="1:6" x14ac:dyDescent="0.45">
      <c r="A753" t="str">
        <f t="shared" si="11"/>
        <v>ET07,44</v>
      </c>
      <c r="B753">
        <v>44</v>
      </c>
      <c r="C753">
        <v>92713.652871835293</v>
      </c>
      <c r="D753">
        <v>90718.240739858302</v>
      </c>
      <c r="E753" t="s">
        <v>2878</v>
      </c>
      <c r="F753" t="s">
        <v>3353</v>
      </c>
    </row>
    <row r="754" spans="1:6" x14ac:dyDescent="0.45">
      <c r="A754" t="str">
        <f t="shared" si="11"/>
        <v>ET07,45</v>
      </c>
      <c r="B754">
        <v>45</v>
      </c>
      <c r="C754">
        <v>89415.352581723506</v>
      </c>
      <c r="D754">
        <v>88144.555329608207</v>
      </c>
      <c r="E754" t="s">
        <v>2878</v>
      </c>
      <c r="F754" t="s">
        <v>3353</v>
      </c>
    </row>
    <row r="755" spans="1:6" x14ac:dyDescent="0.45">
      <c r="A755" t="str">
        <f t="shared" si="11"/>
        <v>ET07,46</v>
      </c>
      <c r="B755">
        <v>46</v>
      </c>
      <c r="C755">
        <v>86117.052291611806</v>
      </c>
      <c r="D755">
        <v>85752.9307101093</v>
      </c>
      <c r="E755" t="s">
        <v>2878</v>
      </c>
      <c r="F755" t="s">
        <v>3353</v>
      </c>
    </row>
    <row r="756" spans="1:6" x14ac:dyDescent="0.45">
      <c r="A756" t="str">
        <f t="shared" si="11"/>
        <v>ET07,47</v>
      </c>
      <c r="B756">
        <v>47</v>
      </c>
      <c r="C756">
        <v>82818.752001500005</v>
      </c>
      <c r="D756">
        <v>82818.752001500005</v>
      </c>
      <c r="E756" t="s">
        <v>2878</v>
      </c>
      <c r="F756" t="s">
        <v>3353</v>
      </c>
    </row>
    <row r="757" spans="1:6" x14ac:dyDescent="0.45">
      <c r="A757" t="str">
        <f t="shared" si="11"/>
        <v>ET07,48</v>
      </c>
      <c r="B757">
        <v>48</v>
      </c>
      <c r="C757">
        <v>78179.854787477103</v>
      </c>
      <c r="D757">
        <v>78817.214240756599</v>
      </c>
      <c r="E757" t="s">
        <v>2878</v>
      </c>
      <c r="F757" t="s">
        <v>3353</v>
      </c>
    </row>
    <row r="758" spans="1:6" x14ac:dyDescent="0.45">
      <c r="A758" t="str">
        <f t="shared" si="11"/>
        <v>ET07,49</v>
      </c>
      <c r="B758">
        <v>49</v>
      </c>
      <c r="C758">
        <v>73540.957573454201</v>
      </c>
      <c r="D758">
        <v>74022.752132207301</v>
      </c>
      <c r="E758" t="s">
        <v>2878</v>
      </c>
      <c r="F758" t="s">
        <v>3353</v>
      </c>
    </row>
    <row r="759" spans="1:6" x14ac:dyDescent="0.45">
      <c r="A759" t="str">
        <f t="shared" si="11"/>
        <v>ET07,50</v>
      </c>
      <c r="B759">
        <v>50</v>
      </c>
      <c r="C759">
        <v>68902.060359431402</v>
      </c>
      <c r="D759">
        <v>68909.610297018298</v>
      </c>
      <c r="E759" t="s">
        <v>2878</v>
      </c>
      <c r="F759" t="s">
        <v>3353</v>
      </c>
    </row>
    <row r="760" spans="1:6" x14ac:dyDescent="0.45">
      <c r="A760" t="str">
        <f t="shared" si="11"/>
        <v>ET07,51</v>
      </c>
      <c r="B760">
        <v>51</v>
      </c>
      <c r="C760">
        <v>64263.1631454085</v>
      </c>
      <c r="D760">
        <v>63952.033356355598</v>
      </c>
      <c r="E760" t="s">
        <v>2878</v>
      </c>
      <c r="F760" t="s">
        <v>3353</v>
      </c>
    </row>
    <row r="761" spans="1:6" x14ac:dyDescent="0.45">
      <c r="A761" t="str">
        <f t="shared" si="11"/>
        <v>ET07,52</v>
      </c>
      <c r="B761">
        <v>52</v>
      </c>
      <c r="C761">
        <v>59624.265931385598</v>
      </c>
      <c r="D761">
        <v>59624.265931385598</v>
      </c>
      <c r="E761" t="s">
        <v>2878</v>
      </c>
      <c r="F761" t="s">
        <v>3353</v>
      </c>
    </row>
    <row r="762" spans="1:6" x14ac:dyDescent="0.45">
      <c r="A762" t="str">
        <f t="shared" si="11"/>
        <v>ET07,53</v>
      </c>
      <c r="B762">
        <v>53</v>
      </c>
      <c r="C762">
        <v>57320.3001028012</v>
      </c>
      <c r="D762">
        <v>56273.139071320104</v>
      </c>
      <c r="E762" t="s">
        <v>2878</v>
      </c>
      <c r="F762" t="s">
        <v>3353</v>
      </c>
    </row>
    <row r="763" spans="1:6" x14ac:dyDescent="0.45">
      <c r="A763" t="str">
        <f t="shared" si="11"/>
        <v>ET07,54</v>
      </c>
      <c r="B763">
        <v>54</v>
      </c>
      <c r="C763">
        <v>55016.334274216701</v>
      </c>
      <c r="D763">
        <v>53735.8295375542</v>
      </c>
      <c r="E763" t="s">
        <v>2878</v>
      </c>
      <c r="F763" t="s">
        <v>3353</v>
      </c>
    </row>
    <row r="764" spans="1:6" x14ac:dyDescent="0.45">
      <c r="A764" t="str">
        <f t="shared" si="11"/>
        <v>ET07,55</v>
      </c>
      <c r="B764">
        <v>55</v>
      </c>
      <c r="C764">
        <v>52712.368445632303</v>
      </c>
      <c r="D764">
        <v>51722.100519528802</v>
      </c>
      <c r="E764" t="s">
        <v>2878</v>
      </c>
      <c r="F764" t="s">
        <v>3353</v>
      </c>
    </row>
    <row r="765" spans="1:6" x14ac:dyDescent="0.45">
      <c r="A765" t="str">
        <f t="shared" si="11"/>
        <v>ET07,56</v>
      </c>
      <c r="B765">
        <v>56</v>
      </c>
      <c r="C765">
        <v>50408.402617047803</v>
      </c>
      <c r="D765">
        <v>49941.715206684901</v>
      </c>
      <c r="E765" t="s">
        <v>2878</v>
      </c>
      <c r="F765" t="s">
        <v>3353</v>
      </c>
    </row>
    <row r="766" spans="1:6" x14ac:dyDescent="0.45">
      <c r="A766" t="str">
        <f t="shared" si="11"/>
        <v>ET07,57</v>
      </c>
      <c r="B766">
        <v>57</v>
      </c>
      <c r="C766">
        <v>48104.436788463398</v>
      </c>
      <c r="D766">
        <v>48104.436788463398</v>
      </c>
      <c r="E766" t="s">
        <v>2878</v>
      </c>
      <c r="F766" t="s">
        <v>3353</v>
      </c>
    </row>
    <row r="767" spans="1:6" x14ac:dyDescent="0.45">
      <c r="A767" t="str">
        <f t="shared" si="11"/>
        <v>ET07,58</v>
      </c>
      <c r="B767">
        <v>58</v>
      </c>
      <c r="C767">
        <v>45736.351299458001</v>
      </c>
      <c r="D767">
        <v>45986.889651075602</v>
      </c>
      <c r="E767" t="s">
        <v>2878</v>
      </c>
      <c r="F767" t="s">
        <v>3353</v>
      </c>
    </row>
    <row r="768" spans="1:6" x14ac:dyDescent="0.45">
      <c r="A768" t="str">
        <f t="shared" si="11"/>
        <v>ET07,59</v>
      </c>
      <c r="B768">
        <v>59</v>
      </c>
      <c r="C768">
        <v>43368.265810452598</v>
      </c>
      <c r="D768">
        <v>43633.142967815103</v>
      </c>
      <c r="E768" t="s">
        <v>2878</v>
      </c>
      <c r="F768" t="s">
        <v>3353</v>
      </c>
    </row>
    <row r="769" spans="1:6" x14ac:dyDescent="0.45">
      <c r="A769" t="str">
        <f t="shared" si="11"/>
        <v>ET07,60</v>
      </c>
      <c r="B769">
        <v>60</v>
      </c>
      <c r="C769">
        <v>41000.180321447202</v>
      </c>
      <c r="D769">
        <v>41154.127108745699</v>
      </c>
      <c r="E769" t="s">
        <v>2878</v>
      </c>
      <c r="F769" t="s">
        <v>3353</v>
      </c>
    </row>
    <row r="770" spans="1:6" x14ac:dyDescent="0.45">
      <c r="A770" t="str">
        <f t="shared" si="11"/>
        <v>ET07,61</v>
      </c>
      <c r="B770">
        <v>61</v>
      </c>
      <c r="C770">
        <v>38632.094832441799</v>
      </c>
      <c r="D770">
        <v>38660.772443931499</v>
      </c>
      <c r="E770" t="s">
        <v>2878</v>
      </c>
      <c r="F770" t="s">
        <v>3353</v>
      </c>
    </row>
    <row r="771" spans="1:6" x14ac:dyDescent="0.45">
      <c r="A771" t="str">
        <f t="shared" ref="A771:A834" si="12">_xlfn.CONCAT(E771,",",B771)</f>
        <v>ET07,62</v>
      </c>
      <c r="B771">
        <v>62</v>
      </c>
      <c r="C771">
        <v>36264.009343436403</v>
      </c>
      <c r="D771">
        <v>36264.009343436403</v>
      </c>
      <c r="E771" t="s">
        <v>2878</v>
      </c>
      <c r="F771" t="s">
        <v>3353</v>
      </c>
    </row>
    <row r="772" spans="1:6" x14ac:dyDescent="0.45">
      <c r="A772" t="str">
        <f t="shared" si="12"/>
        <v>ET07,63</v>
      </c>
      <c r="B772">
        <v>63</v>
      </c>
      <c r="C772">
        <v>34214.388837996099</v>
      </c>
      <c r="D772">
        <v>34046.002389790403</v>
      </c>
      <c r="E772" t="s">
        <v>2878</v>
      </c>
      <c r="F772" t="s">
        <v>3353</v>
      </c>
    </row>
    <row r="773" spans="1:6" x14ac:dyDescent="0.45">
      <c r="A773" t="str">
        <f t="shared" si="12"/>
        <v>ET07,64</v>
      </c>
      <c r="B773">
        <v>64</v>
      </c>
      <c r="C773">
        <v>32164.768332555799</v>
      </c>
      <c r="D773">
        <v>31973.8530153873</v>
      </c>
      <c r="E773" t="s">
        <v>2878</v>
      </c>
      <c r="F773" t="s">
        <v>3353</v>
      </c>
    </row>
    <row r="774" spans="1:6" x14ac:dyDescent="0.45">
      <c r="A774" t="str">
        <f t="shared" si="12"/>
        <v>ET07,65</v>
      </c>
      <c r="B774">
        <v>65</v>
      </c>
      <c r="C774">
        <v>30115.147827115401</v>
      </c>
      <c r="D774">
        <v>29985.896865087099</v>
      </c>
      <c r="E774" t="s">
        <v>2878</v>
      </c>
      <c r="F774" t="s">
        <v>3353</v>
      </c>
    </row>
    <row r="775" spans="1:6" x14ac:dyDescent="0.45">
      <c r="A775" t="str">
        <f t="shared" si="12"/>
        <v>ET07,66</v>
      </c>
      <c r="B775">
        <v>66</v>
      </c>
      <c r="C775">
        <v>28065.527321675101</v>
      </c>
      <c r="D775">
        <v>28020.4695837496</v>
      </c>
      <c r="E775" t="s">
        <v>2878</v>
      </c>
      <c r="F775" t="s">
        <v>3353</v>
      </c>
    </row>
    <row r="776" spans="1:6" x14ac:dyDescent="0.45">
      <c r="A776" t="str">
        <f t="shared" si="12"/>
        <v>ET07,67</v>
      </c>
      <c r="B776">
        <v>67</v>
      </c>
      <c r="C776">
        <v>26015.906816234801</v>
      </c>
      <c r="D776">
        <v>26015.906816234801</v>
      </c>
      <c r="E776" t="s">
        <v>2878</v>
      </c>
      <c r="F776" t="s">
        <v>3353</v>
      </c>
    </row>
    <row r="777" spans="1:6" x14ac:dyDescent="0.45">
      <c r="A777" t="str">
        <f t="shared" si="12"/>
        <v>ET07,68</v>
      </c>
      <c r="B777">
        <v>68</v>
      </c>
      <c r="C777">
        <v>24081.775037071198</v>
      </c>
      <c r="D777">
        <v>23935.323724717098</v>
      </c>
      <c r="E777" t="s">
        <v>2878</v>
      </c>
      <c r="F777" t="s">
        <v>3353</v>
      </c>
    </row>
    <row r="778" spans="1:6" x14ac:dyDescent="0.45">
      <c r="A778" t="str">
        <f t="shared" si="12"/>
        <v>ET07,69</v>
      </c>
      <c r="B778">
        <v>69</v>
      </c>
      <c r="C778">
        <v>22147.643257907701</v>
      </c>
      <c r="D778">
        <v>21840.9535406291</v>
      </c>
      <c r="E778" t="s">
        <v>2878</v>
      </c>
      <c r="F778" t="s">
        <v>3353</v>
      </c>
    </row>
    <row r="779" spans="1:6" x14ac:dyDescent="0.45">
      <c r="A779" t="str">
        <f t="shared" si="12"/>
        <v>ET07,70</v>
      </c>
      <c r="B779">
        <v>70</v>
      </c>
      <c r="C779">
        <v>20213.511478744102</v>
      </c>
      <c r="D779">
        <v>19819.809012718299</v>
      </c>
      <c r="E779" t="s">
        <v>2878</v>
      </c>
      <c r="F779" t="s">
        <v>3353</v>
      </c>
    </row>
    <row r="780" spans="1:6" x14ac:dyDescent="0.45">
      <c r="A780" t="str">
        <f t="shared" si="12"/>
        <v>ET07,71</v>
      </c>
      <c r="B780">
        <v>71</v>
      </c>
      <c r="C780">
        <v>18279.379699580499</v>
      </c>
      <c r="D780">
        <v>17958.902889731798</v>
      </c>
      <c r="E780" t="s">
        <v>2878</v>
      </c>
      <c r="F780" t="s">
        <v>3353</v>
      </c>
    </row>
    <row r="781" spans="1:6" x14ac:dyDescent="0.45">
      <c r="A781" t="str">
        <f t="shared" si="12"/>
        <v>ET07,72</v>
      </c>
      <c r="B781">
        <v>72</v>
      </c>
      <c r="C781">
        <v>16345.247920416899</v>
      </c>
      <c r="D781">
        <v>16345.247920416899</v>
      </c>
      <c r="E781" t="s">
        <v>2878</v>
      </c>
      <c r="F781" t="s">
        <v>3353</v>
      </c>
    </row>
    <row r="782" spans="1:6" x14ac:dyDescent="0.45">
      <c r="A782" t="str">
        <f t="shared" si="12"/>
        <v>ET07,73</v>
      </c>
      <c r="B782">
        <v>73</v>
      </c>
      <c r="C782">
        <v>15300.4300883385</v>
      </c>
      <c r="D782">
        <v>15034.576630920699</v>
      </c>
      <c r="E782" t="s">
        <v>2878</v>
      </c>
      <c r="F782" t="s">
        <v>3353</v>
      </c>
    </row>
    <row r="783" spans="1:6" x14ac:dyDescent="0.45">
      <c r="A783" t="str">
        <f t="shared" si="12"/>
        <v>ET07,74</v>
      </c>
      <c r="B783">
        <v>74</v>
      </c>
      <c r="C783">
        <v>14255.612256260099</v>
      </c>
      <c r="D783">
        <v>13957.500656988301</v>
      </c>
      <c r="E783" t="s">
        <v>2878</v>
      </c>
      <c r="F783" t="s">
        <v>3353</v>
      </c>
    </row>
    <row r="784" spans="1:6" x14ac:dyDescent="0.45">
      <c r="A784" t="str">
        <f t="shared" si="12"/>
        <v>ET07,75</v>
      </c>
      <c r="B784">
        <v>75</v>
      </c>
      <c r="C784">
        <v>13210.7944241817</v>
      </c>
      <c r="D784">
        <v>13013.351411764899</v>
      </c>
      <c r="E784" t="s">
        <v>2878</v>
      </c>
      <c r="F784" t="s">
        <v>3353</v>
      </c>
    </row>
    <row r="785" spans="1:6" x14ac:dyDescent="0.45">
      <c r="A785" t="str">
        <f t="shared" si="12"/>
        <v>ET07,76</v>
      </c>
      <c r="B785">
        <v>76</v>
      </c>
      <c r="C785">
        <v>12165.976592103299</v>
      </c>
      <c r="D785">
        <v>12101.460308395401</v>
      </c>
      <c r="E785" t="s">
        <v>2878</v>
      </c>
      <c r="F785" t="s">
        <v>3353</v>
      </c>
    </row>
    <row r="786" spans="1:6" x14ac:dyDescent="0.45">
      <c r="A786" t="str">
        <f t="shared" si="12"/>
        <v>ET07,77</v>
      </c>
      <c r="B786">
        <v>77</v>
      </c>
      <c r="C786">
        <v>11121.1587600249</v>
      </c>
      <c r="D786">
        <v>11121.1587600249</v>
      </c>
      <c r="E786" t="s">
        <v>2878</v>
      </c>
      <c r="F786" t="s">
        <v>3353</v>
      </c>
    </row>
    <row r="787" spans="1:6" x14ac:dyDescent="0.45">
      <c r="A787" t="str">
        <f t="shared" si="12"/>
        <v>ET07,78</v>
      </c>
      <c r="B787">
        <v>78</v>
      </c>
      <c r="C787">
        <v>9955.6450080199393</v>
      </c>
      <c r="D787">
        <v>10000.766149372501</v>
      </c>
      <c r="E787" t="s">
        <v>2878</v>
      </c>
      <c r="F787" t="s">
        <v>3353</v>
      </c>
    </row>
    <row r="788" spans="1:6" x14ac:dyDescent="0.45">
      <c r="A788" t="str">
        <f t="shared" si="12"/>
        <v>ET07,79</v>
      </c>
      <c r="B788">
        <v>79</v>
      </c>
      <c r="C788">
        <v>8790.1312560149508</v>
      </c>
      <c r="D788">
        <v>8784.5537374539308</v>
      </c>
      <c r="E788" t="s">
        <v>2878</v>
      </c>
      <c r="F788" t="s">
        <v>3353</v>
      </c>
    </row>
    <row r="789" spans="1:6" x14ac:dyDescent="0.45">
      <c r="A789" t="str">
        <f t="shared" si="12"/>
        <v>ET07,80</v>
      </c>
      <c r="B789">
        <v>80</v>
      </c>
      <c r="C789">
        <v>7624.6175040099697</v>
      </c>
      <c r="D789">
        <v>7545.7807548590599</v>
      </c>
      <c r="E789" t="s">
        <v>2878</v>
      </c>
      <c r="F789" t="s">
        <v>3353</v>
      </c>
    </row>
    <row r="790" spans="1:6" x14ac:dyDescent="0.45">
      <c r="A790" t="str">
        <f t="shared" si="12"/>
        <v>ET07,81</v>
      </c>
      <c r="B790">
        <v>81</v>
      </c>
      <c r="C790">
        <v>6459.1037520049804</v>
      </c>
      <c r="D790">
        <v>6357.7064321777898</v>
      </c>
      <c r="E790" t="s">
        <v>2878</v>
      </c>
      <c r="F790" t="s">
        <v>3353</v>
      </c>
    </row>
    <row r="791" spans="1:6" x14ac:dyDescent="0.45">
      <c r="A791" t="str">
        <f t="shared" si="12"/>
        <v>ET07,82</v>
      </c>
      <c r="B791">
        <v>82</v>
      </c>
      <c r="C791">
        <v>5293.59</v>
      </c>
      <c r="D791">
        <v>5293.59</v>
      </c>
      <c r="E791" t="s">
        <v>2878</v>
      </c>
      <c r="F791" t="s">
        <v>3353</v>
      </c>
    </row>
    <row r="792" spans="1:6" x14ac:dyDescent="0.45">
      <c r="A792" t="str">
        <f t="shared" si="12"/>
        <v>ET07,83</v>
      </c>
      <c r="B792">
        <v>83</v>
      </c>
      <c r="C792">
        <v>4662.8927999999996</v>
      </c>
      <c r="D792">
        <v>4408.6399267770903</v>
      </c>
      <c r="E792" t="s">
        <v>2878</v>
      </c>
      <c r="F792" t="s">
        <v>3353</v>
      </c>
    </row>
    <row r="793" spans="1:6" x14ac:dyDescent="0.45">
      <c r="A793" t="str">
        <f t="shared" si="12"/>
        <v>ET07,84</v>
      </c>
      <c r="B793">
        <v>84</v>
      </c>
      <c r="C793">
        <v>4032.1956</v>
      </c>
      <c r="D793">
        <v>3685.8616324065902</v>
      </c>
      <c r="E793" t="s">
        <v>2878</v>
      </c>
      <c r="F793" t="s">
        <v>3353</v>
      </c>
    </row>
    <row r="794" spans="1:6" x14ac:dyDescent="0.45">
      <c r="A794" t="str">
        <f t="shared" si="12"/>
        <v>ET07,85</v>
      </c>
      <c r="B794">
        <v>85</v>
      </c>
      <c r="C794">
        <v>3401.4983999999999</v>
      </c>
      <c r="D794">
        <v>3090.2097746475401</v>
      </c>
      <c r="E794" t="s">
        <v>2878</v>
      </c>
      <c r="F794" t="s">
        <v>3353</v>
      </c>
    </row>
    <row r="795" spans="1:6" x14ac:dyDescent="0.45">
      <c r="A795" t="str">
        <f t="shared" si="12"/>
        <v>ET07,86</v>
      </c>
      <c r="B795">
        <v>86</v>
      </c>
      <c r="C795">
        <v>2770.8011999999999</v>
      </c>
      <c r="D795">
        <v>2586.6390112589902</v>
      </c>
      <c r="E795" t="s">
        <v>2878</v>
      </c>
      <c r="F795" t="s">
        <v>3353</v>
      </c>
    </row>
    <row r="796" spans="1:6" x14ac:dyDescent="0.45">
      <c r="A796" t="str">
        <f t="shared" si="12"/>
        <v>ET07,87</v>
      </c>
      <c r="B796">
        <v>87</v>
      </c>
      <c r="C796">
        <v>2140.1039999999998</v>
      </c>
      <c r="D796">
        <v>2140.1039999999998</v>
      </c>
      <c r="E796" t="s">
        <v>2878</v>
      </c>
      <c r="F796" t="s">
        <v>3353</v>
      </c>
    </row>
    <row r="797" spans="1:6" x14ac:dyDescent="0.45">
      <c r="A797" t="str">
        <f t="shared" si="12"/>
        <v>ET07,88</v>
      </c>
      <c r="B797">
        <v>88</v>
      </c>
      <c r="C797">
        <v>1804.5732</v>
      </c>
      <c r="D797">
        <v>1722.96797265188</v>
      </c>
      <c r="E797" t="s">
        <v>2878</v>
      </c>
      <c r="F797" t="s">
        <v>3353</v>
      </c>
    </row>
    <row r="798" spans="1:6" x14ac:dyDescent="0.45">
      <c r="A798" t="str">
        <f t="shared" si="12"/>
        <v>ET07,89</v>
      </c>
      <c r="B798">
        <v>89</v>
      </c>
      <c r="C798">
        <v>1469.0424</v>
      </c>
      <c r="D798">
        <v>1337.2284570851</v>
      </c>
      <c r="E798" t="s">
        <v>2878</v>
      </c>
      <c r="F798" t="s">
        <v>3353</v>
      </c>
    </row>
    <row r="799" spans="1:6" x14ac:dyDescent="0.45">
      <c r="A799" t="str">
        <f t="shared" si="12"/>
        <v>ET07,90</v>
      </c>
      <c r="B799">
        <v>90</v>
      </c>
      <c r="C799">
        <v>1133.5116</v>
      </c>
      <c r="D799">
        <v>992.29155519236997</v>
      </c>
      <c r="E799" t="s">
        <v>2878</v>
      </c>
      <c r="F799" t="s">
        <v>3353</v>
      </c>
    </row>
    <row r="800" spans="1:6" x14ac:dyDescent="0.45">
      <c r="A800" t="str">
        <f t="shared" si="12"/>
        <v>ET07,91</v>
      </c>
      <c r="B800">
        <v>91</v>
      </c>
      <c r="C800">
        <v>797.98080000000004</v>
      </c>
      <c r="D800">
        <v>697.56336886642703</v>
      </c>
      <c r="E800" t="s">
        <v>2878</v>
      </c>
      <c r="F800" t="s">
        <v>3353</v>
      </c>
    </row>
    <row r="801" spans="1:6" x14ac:dyDescent="0.45">
      <c r="A801" t="str">
        <f t="shared" si="12"/>
        <v>ET07,92</v>
      </c>
      <c r="B801">
        <v>92</v>
      </c>
      <c r="C801">
        <v>462.45</v>
      </c>
      <c r="D801">
        <v>462.45</v>
      </c>
      <c r="E801" t="s">
        <v>2878</v>
      </c>
      <c r="F801" t="s">
        <v>3353</v>
      </c>
    </row>
    <row r="802" spans="1:6" x14ac:dyDescent="0.45">
      <c r="A802" t="str">
        <f t="shared" si="12"/>
        <v>ET07,93</v>
      </c>
      <c r="B802">
        <v>93</v>
      </c>
      <c r="C802">
        <v>380.88720000000001</v>
      </c>
      <c r="D802">
        <v>292.71208661536798</v>
      </c>
      <c r="E802" t="s">
        <v>2878</v>
      </c>
      <c r="F802" t="s">
        <v>3353</v>
      </c>
    </row>
    <row r="803" spans="1:6" x14ac:dyDescent="0.45">
      <c r="A803" t="str">
        <f t="shared" si="12"/>
        <v>ET07,94</v>
      </c>
      <c r="B803">
        <v>94</v>
      </c>
      <c r="C803">
        <v>299.32440000000003</v>
      </c>
      <c r="D803">
        <v>179.528411253016</v>
      </c>
      <c r="E803" t="s">
        <v>2878</v>
      </c>
      <c r="F803" t="s">
        <v>3353</v>
      </c>
    </row>
    <row r="804" spans="1:6" x14ac:dyDescent="0.45">
      <c r="A804" t="str">
        <f t="shared" si="12"/>
        <v>ET07,95</v>
      </c>
      <c r="B804">
        <v>95</v>
      </c>
      <c r="C804">
        <v>217.76159999999999</v>
      </c>
      <c r="D804">
        <v>110.43229258298</v>
      </c>
      <c r="E804" t="s">
        <v>2878</v>
      </c>
      <c r="F804" t="s">
        <v>3353</v>
      </c>
    </row>
    <row r="805" spans="1:6" x14ac:dyDescent="0.45">
      <c r="A805" t="str">
        <f t="shared" si="12"/>
        <v>ET07,96</v>
      </c>
      <c r="B805">
        <v>96</v>
      </c>
      <c r="C805">
        <v>136.19880000000001</v>
      </c>
      <c r="D805">
        <v>72.957049275296299</v>
      </c>
      <c r="E805" t="s">
        <v>2878</v>
      </c>
      <c r="F805" t="s">
        <v>3353</v>
      </c>
    </row>
    <row r="806" spans="1:6" x14ac:dyDescent="0.45">
      <c r="A806" t="str">
        <f t="shared" si="12"/>
        <v>ET07,97</v>
      </c>
      <c r="B806">
        <v>97</v>
      </c>
      <c r="C806">
        <v>54.636000000000003</v>
      </c>
      <c r="D806">
        <v>54.636000000000003</v>
      </c>
      <c r="E806" t="s">
        <v>2878</v>
      </c>
      <c r="F806" t="s">
        <v>3353</v>
      </c>
    </row>
    <row r="807" spans="1:6" x14ac:dyDescent="0.45">
      <c r="A807" t="str">
        <f t="shared" si="12"/>
        <v>ET07,98</v>
      </c>
      <c r="B807">
        <v>98</v>
      </c>
      <c r="C807">
        <v>48.423999999999999</v>
      </c>
      <c r="D807">
        <v>44.7087151653202</v>
      </c>
      <c r="E807" t="s">
        <v>2878</v>
      </c>
      <c r="F807" t="s">
        <v>3353</v>
      </c>
    </row>
    <row r="808" spans="1:6" x14ac:dyDescent="0.45">
      <c r="A808" t="str">
        <f t="shared" si="12"/>
        <v>ET07,99</v>
      </c>
      <c r="B808">
        <v>99</v>
      </c>
      <c r="C808">
        <v>42.212000000000003</v>
      </c>
      <c r="D808">
        <v>39.2397721322561</v>
      </c>
      <c r="E808" t="s">
        <v>2878</v>
      </c>
      <c r="F808" t="s">
        <v>3353</v>
      </c>
    </row>
    <row r="809" spans="1:6" x14ac:dyDescent="0.45">
      <c r="A809" t="str">
        <f t="shared" si="12"/>
        <v>ET07,100</v>
      </c>
      <c r="B809">
        <v>100</v>
      </c>
      <c r="C809">
        <v>36</v>
      </c>
      <c r="D809">
        <v>36</v>
      </c>
      <c r="E809" t="s">
        <v>2878</v>
      </c>
      <c r="F809" t="s">
        <v>3353</v>
      </c>
    </row>
    <row r="810" spans="1:6" x14ac:dyDescent="0.45">
      <c r="A810" t="str">
        <f t="shared" si="12"/>
        <v>ET12,&lt;1</v>
      </c>
      <c r="B810" t="s">
        <v>119</v>
      </c>
      <c r="C810">
        <v>9625.9100430514609</v>
      </c>
      <c r="D810">
        <v>9625.9100430514609</v>
      </c>
      <c r="E810" t="s">
        <v>2880</v>
      </c>
      <c r="F810" t="s">
        <v>3351</v>
      </c>
    </row>
    <row r="811" spans="1:6" x14ac:dyDescent="0.45">
      <c r="A811" t="str">
        <f t="shared" si="12"/>
        <v>ET12,1</v>
      </c>
      <c r="B811">
        <v>1</v>
      </c>
      <c r="C811">
        <v>9260.3029752504008</v>
      </c>
      <c r="D811">
        <v>9228.9879931330306</v>
      </c>
      <c r="E811" t="s">
        <v>2880</v>
      </c>
      <c r="F811" t="s">
        <v>3351</v>
      </c>
    </row>
    <row r="812" spans="1:6" x14ac:dyDescent="0.45">
      <c r="A812" t="str">
        <f t="shared" si="12"/>
        <v>ET12,2</v>
      </c>
      <c r="B812">
        <v>2</v>
      </c>
      <c r="C812">
        <v>8894.6959074493498</v>
      </c>
      <c r="D812">
        <v>8894.6959074493498</v>
      </c>
      <c r="E812" t="s">
        <v>2880</v>
      </c>
      <c r="F812" t="s">
        <v>3351</v>
      </c>
    </row>
    <row r="813" spans="1:6" x14ac:dyDescent="0.45">
      <c r="A813" t="str">
        <f t="shared" si="12"/>
        <v>ET12,3</v>
      </c>
      <c r="B813">
        <v>3</v>
      </c>
      <c r="C813">
        <v>8746.6562326058702</v>
      </c>
      <c r="D813">
        <v>8668.0618609748799</v>
      </c>
      <c r="E813" t="s">
        <v>2880</v>
      </c>
      <c r="F813" t="s">
        <v>3351</v>
      </c>
    </row>
    <row r="814" spans="1:6" x14ac:dyDescent="0.45">
      <c r="A814" t="str">
        <f t="shared" si="12"/>
        <v>ET12,4</v>
      </c>
      <c r="B814">
        <v>4</v>
      </c>
      <c r="C814">
        <v>8598.6165577623906</v>
      </c>
      <c r="D814">
        <v>8523.7063716429093</v>
      </c>
      <c r="E814" t="s">
        <v>2880</v>
      </c>
      <c r="F814" t="s">
        <v>3351</v>
      </c>
    </row>
    <row r="815" spans="1:6" x14ac:dyDescent="0.45">
      <c r="A815" t="str">
        <f t="shared" si="12"/>
        <v>ET12,5</v>
      </c>
      <c r="B815">
        <v>5</v>
      </c>
      <c r="C815">
        <v>8450.5768829189201</v>
      </c>
      <c r="D815">
        <v>8418.6480681264293</v>
      </c>
      <c r="E815" t="s">
        <v>2880</v>
      </c>
      <c r="F815" t="s">
        <v>3351</v>
      </c>
    </row>
    <row r="816" spans="1:6" x14ac:dyDescent="0.45">
      <c r="A816" t="str">
        <f t="shared" si="12"/>
        <v>ET12,6</v>
      </c>
      <c r="B816">
        <v>6</v>
      </c>
      <c r="C816">
        <v>8302.5372080754405</v>
      </c>
      <c r="D816">
        <v>8309.9055790984494</v>
      </c>
      <c r="E816" t="s">
        <v>2880</v>
      </c>
      <c r="F816" t="s">
        <v>3351</v>
      </c>
    </row>
    <row r="817" spans="1:6" x14ac:dyDescent="0.45">
      <c r="A817" t="str">
        <f t="shared" si="12"/>
        <v>ET12,7</v>
      </c>
      <c r="B817">
        <v>7</v>
      </c>
      <c r="C817">
        <v>8154.49753323196</v>
      </c>
      <c r="D817">
        <v>8154.49753323196</v>
      </c>
      <c r="E817" t="s">
        <v>2880</v>
      </c>
      <c r="F817" t="s">
        <v>3351</v>
      </c>
    </row>
    <row r="818" spans="1:6" x14ac:dyDescent="0.45">
      <c r="A818" t="str">
        <f t="shared" si="12"/>
        <v>ET12,8</v>
      </c>
      <c r="B818">
        <v>8</v>
      </c>
      <c r="C818">
        <v>7920.4887506020004</v>
      </c>
      <c r="D818">
        <v>7923.9331805215998</v>
      </c>
      <c r="E818" t="s">
        <v>2880</v>
      </c>
      <c r="F818" t="s">
        <v>3351</v>
      </c>
    </row>
    <row r="819" spans="1:6" x14ac:dyDescent="0.45">
      <c r="A819" t="str">
        <f t="shared" si="12"/>
        <v>ET12,9</v>
      </c>
      <c r="B819">
        <v>9</v>
      </c>
      <c r="C819">
        <v>7686.47996797203</v>
      </c>
      <c r="D819">
        <v>7647.6842562485799</v>
      </c>
      <c r="E819" t="s">
        <v>2880</v>
      </c>
      <c r="F819" t="s">
        <v>3351</v>
      </c>
    </row>
    <row r="820" spans="1:6" x14ac:dyDescent="0.45">
      <c r="A820" t="str">
        <f t="shared" si="12"/>
        <v>ET12,10</v>
      </c>
      <c r="B820">
        <v>10</v>
      </c>
      <c r="C820">
        <v>7452.4711853420704</v>
      </c>
      <c r="D820">
        <v>7369.71311701576</v>
      </c>
      <c r="E820" t="s">
        <v>2880</v>
      </c>
      <c r="F820" t="s">
        <v>3351</v>
      </c>
    </row>
    <row r="821" spans="1:6" x14ac:dyDescent="0.45">
      <c r="A821" t="str">
        <f t="shared" si="12"/>
        <v>ET12,11</v>
      </c>
      <c r="B821">
        <v>11</v>
      </c>
      <c r="C821">
        <v>7218.4624027120999</v>
      </c>
      <c r="D821">
        <v>7133.9821194259903</v>
      </c>
      <c r="E821" t="s">
        <v>2880</v>
      </c>
      <c r="F821" t="s">
        <v>3351</v>
      </c>
    </row>
    <row r="822" spans="1:6" x14ac:dyDescent="0.45">
      <c r="A822" t="str">
        <f t="shared" si="12"/>
        <v>ET12,12</v>
      </c>
      <c r="B822">
        <v>12</v>
      </c>
      <c r="C822">
        <v>6984.4536200821403</v>
      </c>
      <c r="D822">
        <v>6984.4536200821403</v>
      </c>
      <c r="E822" t="s">
        <v>2880</v>
      </c>
      <c r="F822" t="s">
        <v>3351</v>
      </c>
    </row>
    <row r="823" spans="1:6" x14ac:dyDescent="0.45">
      <c r="A823" t="str">
        <f t="shared" si="12"/>
        <v>ET12,13</v>
      </c>
      <c r="B823">
        <v>13</v>
      </c>
      <c r="C823">
        <v>7039.3365854108297</v>
      </c>
      <c r="D823">
        <v>6950.6126745356496</v>
      </c>
      <c r="E823" t="s">
        <v>2880</v>
      </c>
      <c r="F823" t="s">
        <v>3351</v>
      </c>
    </row>
    <row r="824" spans="1:6" x14ac:dyDescent="0.45">
      <c r="A824" t="str">
        <f t="shared" si="12"/>
        <v>ET12,14</v>
      </c>
      <c r="B824">
        <v>14</v>
      </c>
      <c r="C824">
        <v>7094.2195507395199</v>
      </c>
      <c r="D824">
        <v>7004.0351341323303</v>
      </c>
      <c r="E824" t="s">
        <v>2880</v>
      </c>
      <c r="F824" t="s">
        <v>3351</v>
      </c>
    </row>
    <row r="825" spans="1:6" x14ac:dyDescent="0.45">
      <c r="A825" t="str">
        <f t="shared" si="12"/>
        <v>ET12,15</v>
      </c>
      <c r="B825">
        <v>15</v>
      </c>
      <c r="C825">
        <v>7149.1025160682202</v>
      </c>
      <c r="D825">
        <v>7101.8195491666102</v>
      </c>
      <c r="E825" t="s">
        <v>2880</v>
      </c>
      <c r="F825" t="s">
        <v>3351</v>
      </c>
    </row>
    <row r="826" spans="1:6" x14ac:dyDescent="0.45">
      <c r="A826" t="str">
        <f t="shared" si="12"/>
        <v>ET12,16</v>
      </c>
      <c r="B826">
        <v>16</v>
      </c>
      <c r="C826">
        <v>7203.9854813969096</v>
      </c>
      <c r="D826">
        <v>7201.0644699328896</v>
      </c>
      <c r="E826" t="s">
        <v>2880</v>
      </c>
      <c r="F826" t="s">
        <v>3351</v>
      </c>
    </row>
    <row r="827" spans="1:6" x14ac:dyDescent="0.45">
      <c r="A827" t="str">
        <f t="shared" si="12"/>
        <v>ET12,17</v>
      </c>
      <c r="B827">
        <v>17</v>
      </c>
      <c r="C827">
        <v>7258.8684467255998</v>
      </c>
      <c r="D827">
        <v>7258.8684467255998</v>
      </c>
      <c r="E827" t="s">
        <v>2880</v>
      </c>
      <c r="F827" t="s">
        <v>3351</v>
      </c>
    </row>
    <row r="828" spans="1:6" x14ac:dyDescent="0.45">
      <c r="A828" t="str">
        <f t="shared" si="12"/>
        <v>ET12,18</v>
      </c>
      <c r="B828">
        <v>18</v>
      </c>
      <c r="C828">
        <v>7194.7518595641804</v>
      </c>
      <c r="D828">
        <v>7244.4385264753701</v>
      </c>
      <c r="E828" t="s">
        <v>2880</v>
      </c>
      <c r="F828" t="s">
        <v>3351</v>
      </c>
    </row>
    <row r="829" spans="1:6" x14ac:dyDescent="0.45">
      <c r="A829" t="str">
        <f t="shared" si="12"/>
        <v>ET12,19</v>
      </c>
      <c r="B829">
        <v>19</v>
      </c>
      <c r="C829">
        <v>7130.6352724027502</v>
      </c>
      <c r="D829">
        <v>7175.4157426577503</v>
      </c>
      <c r="E829" t="s">
        <v>2880</v>
      </c>
      <c r="F829" t="s">
        <v>3351</v>
      </c>
    </row>
    <row r="830" spans="1:6" x14ac:dyDescent="0.45">
      <c r="A830" t="str">
        <f t="shared" si="12"/>
        <v>ET12,20</v>
      </c>
      <c r="B830">
        <v>20</v>
      </c>
      <c r="C830">
        <v>7066.5186852413299</v>
      </c>
      <c r="D830">
        <v>7081.5496253845504</v>
      </c>
      <c r="E830" t="s">
        <v>2880</v>
      </c>
      <c r="F830" t="s">
        <v>3351</v>
      </c>
    </row>
    <row r="831" spans="1:6" x14ac:dyDescent="0.45">
      <c r="A831" t="str">
        <f t="shared" si="12"/>
        <v>ET12,21</v>
      </c>
      <c r="B831">
        <v>21</v>
      </c>
      <c r="C831">
        <v>7002.4020980798996</v>
      </c>
      <c r="D831">
        <v>6992.5897047675298</v>
      </c>
      <c r="E831" t="s">
        <v>2880</v>
      </c>
      <c r="F831" t="s">
        <v>3351</v>
      </c>
    </row>
    <row r="832" spans="1:6" x14ac:dyDescent="0.45">
      <c r="A832" t="str">
        <f t="shared" si="12"/>
        <v>ET12,22</v>
      </c>
      <c r="B832">
        <v>22</v>
      </c>
      <c r="C832">
        <v>6938.2855109184802</v>
      </c>
      <c r="D832">
        <v>6938.2855109184802</v>
      </c>
      <c r="E832" t="s">
        <v>2880</v>
      </c>
      <c r="F832" t="s">
        <v>3351</v>
      </c>
    </row>
    <row r="833" spans="1:6" x14ac:dyDescent="0.45">
      <c r="A833" t="str">
        <f t="shared" si="12"/>
        <v>ET12,23</v>
      </c>
      <c r="B833">
        <v>23</v>
      </c>
      <c r="C833">
        <v>6897.0866238108101</v>
      </c>
      <c r="D833">
        <v>6936.4222305753901</v>
      </c>
      <c r="E833" t="s">
        <v>2880</v>
      </c>
      <c r="F833" t="s">
        <v>3351</v>
      </c>
    </row>
    <row r="834" spans="1:6" x14ac:dyDescent="0.45">
      <c r="A834" t="str">
        <f t="shared" si="12"/>
        <v>ET12,24</v>
      </c>
      <c r="B834">
        <v>24</v>
      </c>
      <c r="C834">
        <v>6855.88773670314</v>
      </c>
      <c r="D834">
        <v>6956.9276769810403</v>
      </c>
      <c r="E834" t="s">
        <v>2880</v>
      </c>
      <c r="F834" t="s">
        <v>3351</v>
      </c>
    </row>
    <row r="835" spans="1:6" x14ac:dyDescent="0.45">
      <c r="A835" t="str">
        <f t="shared" ref="A835:A898" si="13">_xlfn.CONCAT(E835,",",B835)</f>
        <v>ET12,25</v>
      </c>
      <c r="B835">
        <v>25</v>
      </c>
      <c r="C835">
        <v>6814.68884959548</v>
      </c>
      <c r="D835">
        <v>6957.7653200043997</v>
      </c>
      <c r="E835" t="s">
        <v>2880</v>
      </c>
      <c r="F835" t="s">
        <v>3351</v>
      </c>
    </row>
    <row r="836" spans="1:6" x14ac:dyDescent="0.45">
      <c r="A836" t="str">
        <f t="shared" si="13"/>
        <v>ET12,26</v>
      </c>
      <c r="B836">
        <v>26</v>
      </c>
      <c r="C836">
        <v>6773.4899624878099</v>
      </c>
      <c r="D836">
        <v>6896.8986295144396</v>
      </c>
      <c r="E836" t="s">
        <v>2880</v>
      </c>
      <c r="F836" t="s">
        <v>3351</v>
      </c>
    </row>
    <row r="837" spans="1:6" x14ac:dyDescent="0.45">
      <c r="A837" t="str">
        <f t="shared" si="13"/>
        <v>ET12,27</v>
      </c>
      <c r="B837">
        <v>27</v>
      </c>
      <c r="C837">
        <v>6732.2910753801398</v>
      </c>
      <c r="D837">
        <v>6732.2910753801398</v>
      </c>
      <c r="E837" t="s">
        <v>2880</v>
      </c>
      <c r="F837" t="s">
        <v>3351</v>
      </c>
    </row>
    <row r="838" spans="1:6" x14ac:dyDescent="0.45">
      <c r="A838" t="str">
        <f t="shared" si="13"/>
        <v>ET12,28</v>
      </c>
      <c r="B838">
        <v>28</v>
      </c>
      <c r="C838">
        <v>6344.3393557149102</v>
      </c>
      <c r="D838">
        <v>6437.1914929232498</v>
      </c>
      <c r="E838" t="s">
        <v>2880</v>
      </c>
      <c r="F838" t="s">
        <v>3351</v>
      </c>
    </row>
    <row r="839" spans="1:6" x14ac:dyDescent="0.45">
      <c r="A839" t="str">
        <f t="shared" si="13"/>
        <v>ET12,29</v>
      </c>
      <c r="B839">
        <v>29</v>
      </c>
      <c r="C839">
        <v>5956.3876360496797</v>
      </c>
      <c r="D839">
        <v>6045.9901792765904</v>
      </c>
      <c r="E839" t="s">
        <v>2880</v>
      </c>
      <c r="F839" t="s">
        <v>3351</v>
      </c>
    </row>
    <row r="840" spans="1:6" x14ac:dyDescent="0.45">
      <c r="A840" t="str">
        <f t="shared" si="13"/>
        <v>ET12,30</v>
      </c>
      <c r="B840">
        <v>30</v>
      </c>
      <c r="C840">
        <v>5568.4359163844601</v>
      </c>
      <c r="D840">
        <v>5608.3627970257603</v>
      </c>
      <c r="E840" t="s">
        <v>2880</v>
      </c>
      <c r="F840" t="s">
        <v>3351</v>
      </c>
    </row>
    <row r="841" spans="1:6" x14ac:dyDescent="0.45">
      <c r="A841" t="str">
        <f t="shared" si="13"/>
        <v>ET12,31</v>
      </c>
      <c r="B841">
        <v>31</v>
      </c>
      <c r="C841">
        <v>5180.4841967192297</v>
      </c>
      <c r="D841">
        <v>5173.98500875637</v>
      </c>
      <c r="E841" t="s">
        <v>2880</v>
      </c>
      <c r="F841" t="s">
        <v>3351</v>
      </c>
    </row>
    <row r="842" spans="1:6" x14ac:dyDescent="0.45">
      <c r="A842" t="str">
        <f t="shared" si="13"/>
        <v>ET12,32</v>
      </c>
      <c r="B842">
        <v>32</v>
      </c>
      <c r="C842">
        <v>4792.5324770540001</v>
      </c>
      <c r="D842">
        <v>4792.5324770540001</v>
      </c>
      <c r="E842" t="s">
        <v>2880</v>
      </c>
      <c r="F842" t="s">
        <v>3351</v>
      </c>
    </row>
    <row r="843" spans="1:6" x14ac:dyDescent="0.45">
      <c r="A843" t="str">
        <f t="shared" si="13"/>
        <v>ET12,33</v>
      </c>
      <c r="B843">
        <v>33</v>
      </c>
      <c r="C843">
        <v>4593.8593072861404</v>
      </c>
      <c r="D843">
        <v>4500.7318226696298</v>
      </c>
      <c r="E843" t="s">
        <v>2880</v>
      </c>
      <c r="F843" t="s">
        <v>3351</v>
      </c>
    </row>
    <row r="844" spans="1:6" x14ac:dyDescent="0.45">
      <c r="A844" t="str">
        <f t="shared" si="13"/>
        <v>ET12,34</v>
      </c>
      <c r="B844">
        <v>34</v>
      </c>
      <c r="C844">
        <v>4395.1861375182798</v>
      </c>
      <c r="D844">
        <v>4283.5134990156903</v>
      </c>
      <c r="E844" t="s">
        <v>2880</v>
      </c>
      <c r="F844" t="s">
        <v>3351</v>
      </c>
    </row>
    <row r="845" spans="1:6" x14ac:dyDescent="0.45">
      <c r="A845" t="str">
        <f t="shared" si="13"/>
        <v>ET12,35</v>
      </c>
      <c r="B845">
        <v>35</v>
      </c>
      <c r="C845">
        <v>4196.5129677504201</v>
      </c>
      <c r="D845">
        <v>4112.8589176700198</v>
      </c>
      <c r="E845" t="s">
        <v>2880</v>
      </c>
      <c r="F845" t="s">
        <v>3351</v>
      </c>
    </row>
    <row r="846" spans="1:6" x14ac:dyDescent="0.45">
      <c r="A846" t="str">
        <f t="shared" si="13"/>
        <v>ET12,36</v>
      </c>
      <c r="B846">
        <v>36</v>
      </c>
      <c r="C846">
        <v>3997.83979798256</v>
      </c>
      <c r="D846">
        <v>3960.7494902104199</v>
      </c>
      <c r="E846" t="s">
        <v>2880</v>
      </c>
      <c r="F846" t="s">
        <v>3351</v>
      </c>
    </row>
    <row r="847" spans="1:6" x14ac:dyDescent="0.45">
      <c r="A847" t="str">
        <f t="shared" si="13"/>
        <v>ET12,37</v>
      </c>
      <c r="B847">
        <v>37</v>
      </c>
      <c r="C847">
        <v>3799.1666282146998</v>
      </c>
      <c r="D847">
        <v>3799.1666282146998</v>
      </c>
      <c r="E847" t="s">
        <v>2880</v>
      </c>
      <c r="F847" t="s">
        <v>3351</v>
      </c>
    </row>
    <row r="848" spans="1:6" x14ac:dyDescent="0.45">
      <c r="A848" t="str">
        <f t="shared" si="13"/>
        <v>ET12,38</v>
      </c>
      <c r="B848">
        <v>38</v>
      </c>
      <c r="C848">
        <v>3584.3323355702901</v>
      </c>
      <c r="D848">
        <v>3606.9437029372798</v>
      </c>
      <c r="E848" t="s">
        <v>2880</v>
      </c>
      <c r="F848" t="s">
        <v>3351</v>
      </c>
    </row>
    <row r="849" spans="1:6" x14ac:dyDescent="0.45">
      <c r="A849" t="str">
        <f t="shared" si="13"/>
        <v>ET12,39</v>
      </c>
      <c r="B849">
        <v>39</v>
      </c>
      <c r="C849">
        <v>3369.4980429258799</v>
      </c>
      <c r="D849">
        <v>3390.3219243389699</v>
      </c>
      <c r="E849" t="s">
        <v>2880</v>
      </c>
      <c r="F849" t="s">
        <v>3351</v>
      </c>
    </row>
    <row r="850" spans="1:6" x14ac:dyDescent="0.45">
      <c r="A850" t="str">
        <f t="shared" si="13"/>
        <v>ET12,40</v>
      </c>
      <c r="B850">
        <v>40</v>
      </c>
      <c r="C850">
        <v>3154.6637502814801</v>
      </c>
      <c r="D850">
        <v>3162.3944620571601</v>
      </c>
      <c r="E850" t="s">
        <v>2880</v>
      </c>
      <c r="F850" t="s">
        <v>3351</v>
      </c>
    </row>
    <row r="851" spans="1:6" x14ac:dyDescent="0.45">
      <c r="A851" t="str">
        <f t="shared" si="13"/>
        <v>ET12,41</v>
      </c>
      <c r="B851">
        <v>41</v>
      </c>
      <c r="C851">
        <v>2939.8294576370699</v>
      </c>
      <c r="D851">
        <v>2936.2544857292601</v>
      </c>
      <c r="E851" t="s">
        <v>2880</v>
      </c>
      <c r="F851" t="s">
        <v>3351</v>
      </c>
    </row>
    <row r="852" spans="1:6" x14ac:dyDescent="0.45">
      <c r="A852" t="str">
        <f t="shared" si="13"/>
        <v>ET12,42</v>
      </c>
      <c r="B852">
        <v>42</v>
      </c>
      <c r="C852">
        <v>2724.9951649926602</v>
      </c>
      <c r="D852">
        <v>2724.9951649926602</v>
      </c>
      <c r="E852" t="s">
        <v>2880</v>
      </c>
      <c r="F852" t="s">
        <v>3351</v>
      </c>
    </row>
    <row r="853" spans="1:6" x14ac:dyDescent="0.45">
      <c r="A853" t="str">
        <f t="shared" si="13"/>
        <v>ET12,43</v>
      </c>
      <c r="B853">
        <v>43</v>
      </c>
      <c r="C853">
        <v>2573.5013940452</v>
      </c>
      <c r="D853">
        <v>2538.6485253069</v>
      </c>
      <c r="E853" t="s">
        <v>2880</v>
      </c>
      <c r="F853" t="s">
        <v>3351</v>
      </c>
    </row>
    <row r="854" spans="1:6" x14ac:dyDescent="0.45">
      <c r="A854" t="str">
        <f t="shared" si="13"/>
        <v>ET12,44</v>
      </c>
      <c r="B854">
        <v>44</v>
      </c>
      <c r="C854">
        <v>2422.0076230977502</v>
      </c>
      <c r="D854">
        <v>2375.0020154200702</v>
      </c>
      <c r="E854" t="s">
        <v>2880</v>
      </c>
      <c r="F854" t="s">
        <v>3351</v>
      </c>
    </row>
    <row r="855" spans="1:6" x14ac:dyDescent="0.45">
      <c r="A855" t="str">
        <f t="shared" si="13"/>
        <v>ET12,45</v>
      </c>
      <c r="B855">
        <v>45</v>
      </c>
      <c r="C855">
        <v>2270.5138521502899</v>
      </c>
      <c r="D855">
        <v>2228.7819399023901</v>
      </c>
      <c r="E855" t="s">
        <v>2880</v>
      </c>
      <c r="F855" t="s">
        <v>3351</v>
      </c>
    </row>
    <row r="856" spans="1:6" x14ac:dyDescent="0.45">
      <c r="A856" t="str">
        <f t="shared" si="13"/>
        <v>ET12,46</v>
      </c>
      <c r="B856">
        <v>46</v>
      </c>
      <c r="C856">
        <v>2119.0200812028302</v>
      </c>
      <c r="D856">
        <v>2094.7146033240901</v>
      </c>
      <c r="E856" t="s">
        <v>2880</v>
      </c>
      <c r="F856" t="s">
        <v>3351</v>
      </c>
    </row>
    <row r="857" spans="1:6" x14ac:dyDescent="0.45">
      <c r="A857" t="str">
        <f t="shared" si="13"/>
        <v>ET12,47</v>
      </c>
      <c r="B857">
        <v>47</v>
      </c>
      <c r="C857">
        <v>1967.5263102553799</v>
      </c>
      <c r="D857">
        <v>1967.5263102553799</v>
      </c>
      <c r="E857" t="s">
        <v>2880</v>
      </c>
      <c r="F857" t="s">
        <v>3351</v>
      </c>
    </row>
    <row r="858" spans="1:6" x14ac:dyDescent="0.45">
      <c r="A858" t="str">
        <f t="shared" si="13"/>
        <v>ET12,48</v>
      </c>
      <c r="B858">
        <v>48</v>
      </c>
      <c r="C858">
        <v>1848.9461238602501</v>
      </c>
      <c r="D858">
        <v>1842.9388390326201</v>
      </c>
      <c r="E858" t="s">
        <v>2880</v>
      </c>
      <c r="F858" t="s">
        <v>3351</v>
      </c>
    </row>
    <row r="859" spans="1:6" x14ac:dyDescent="0.45">
      <c r="A859" t="str">
        <f t="shared" si="13"/>
        <v>ET12,49</v>
      </c>
      <c r="B859">
        <v>49</v>
      </c>
      <c r="C859">
        <v>1730.3659374651299</v>
      </c>
      <c r="D859">
        <v>1720.6558630566799</v>
      </c>
      <c r="E859" t="s">
        <v>2880</v>
      </c>
      <c r="F859" t="s">
        <v>3351</v>
      </c>
    </row>
    <row r="860" spans="1:6" x14ac:dyDescent="0.45">
      <c r="A860" t="str">
        <f t="shared" si="13"/>
        <v>ET12,50</v>
      </c>
      <c r="B860">
        <v>50</v>
      </c>
      <c r="C860">
        <v>1611.7857510700101</v>
      </c>
      <c r="D860">
        <v>1601.3765294945599</v>
      </c>
      <c r="E860" t="s">
        <v>2880</v>
      </c>
      <c r="F860" t="s">
        <v>3351</v>
      </c>
    </row>
    <row r="861" spans="1:6" x14ac:dyDescent="0.45">
      <c r="A861" t="str">
        <f t="shared" si="13"/>
        <v>ET12,51</v>
      </c>
      <c r="B861">
        <v>51</v>
      </c>
      <c r="C861">
        <v>1493.20556467488</v>
      </c>
      <c r="D861">
        <v>1485.79998551325</v>
      </c>
      <c r="E861" t="s">
        <v>2880</v>
      </c>
      <c r="F861" t="s">
        <v>3351</v>
      </c>
    </row>
    <row r="862" spans="1:6" x14ac:dyDescent="0.45">
      <c r="A862" t="str">
        <f t="shared" si="13"/>
        <v>ET12,52</v>
      </c>
      <c r="B862">
        <v>52</v>
      </c>
      <c r="C862">
        <v>1374.6253782797601</v>
      </c>
      <c r="D862">
        <v>1374.6253782797601</v>
      </c>
      <c r="E862" t="s">
        <v>2880</v>
      </c>
      <c r="F862" t="s">
        <v>3351</v>
      </c>
    </row>
    <row r="863" spans="1:6" x14ac:dyDescent="0.45">
      <c r="A863" t="str">
        <f t="shared" si="13"/>
        <v>ET12,53</v>
      </c>
      <c r="B863">
        <v>53</v>
      </c>
      <c r="C863">
        <v>1286.3999127715099</v>
      </c>
      <c r="D863">
        <v>1268.7458270135901</v>
      </c>
      <c r="E863" t="s">
        <v>2880</v>
      </c>
      <c r="F863" t="s">
        <v>3351</v>
      </c>
    </row>
    <row r="864" spans="1:6" x14ac:dyDescent="0.45">
      <c r="A864" t="str">
        <f t="shared" si="13"/>
        <v>ET12,54</v>
      </c>
      <c r="B864">
        <v>54</v>
      </c>
      <c r="C864">
        <v>1198.1744472632599</v>
      </c>
      <c r="D864">
        <v>1169.8303391443101</v>
      </c>
      <c r="E864" t="s">
        <v>2880</v>
      </c>
      <c r="F864" t="s">
        <v>3351</v>
      </c>
    </row>
    <row r="865" spans="1:6" x14ac:dyDescent="0.45">
      <c r="A865" t="str">
        <f t="shared" si="13"/>
        <v>ET12,55</v>
      </c>
      <c r="B865">
        <v>55</v>
      </c>
      <c r="C865">
        <v>1109.948981755</v>
      </c>
      <c r="D865">
        <v>1079.74189415399</v>
      </c>
      <c r="E865" t="s">
        <v>2880</v>
      </c>
      <c r="F865" t="s">
        <v>3351</v>
      </c>
    </row>
    <row r="866" spans="1:6" x14ac:dyDescent="0.45">
      <c r="A866" t="str">
        <f t="shared" si="13"/>
        <v>ET12,56</v>
      </c>
      <c r="B866">
        <v>56</v>
      </c>
      <c r="C866">
        <v>1021.72351624675</v>
      </c>
      <c r="D866">
        <v>1000.34347152469</v>
      </c>
      <c r="E866" t="s">
        <v>2880</v>
      </c>
      <c r="F866" t="s">
        <v>3351</v>
      </c>
    </row>
    <row r="867" spans="1:6" x14ac:dyDescent="0.45">
      <c r="A867" t="str">
        <f t="shared" si="13"/>
        <v>ET12,57</v>
      </c>
      <c r="B867">
        <v>57</v>
      </c>
      <c r="C867">
        <v>933.49805073849802</v>
      </c>
      <c r="D867">
        <v>933.49805073849802</v>
      </c>
      <c r="E867" t="s">
        <v>2880</v>
      </c>
      <c r="F867" t="s">
        <v>3351</v>
      </c>
    </row>
    <row r="868" spans="1:6" x14ac:dyDescent="0.45">
      <c r="A868" t="str">
        <f t="shared" si="13"/>
        <v>ET12,58</v>
      </c>
      <c r="B868">
        <v>58</v>
      </c>
      <c r="C868">
        <v>891.17247049756304</v>
      </c>
      <c r="D868">
        <v>880.02141042313201</v>
      </c>
      <c r="E868" t="s">
        <v>2880</v>
      </c>
      <c r="F868" t="s">
        <v>3351</v>
      </c>
    </row>
    <row r="869" spans="1:6" x14ac:dyDescent="0.45">
      <c r="A869" t="str">
        <f t="shared" si="13"/>
        <v>ET12,59</v>
      </c>
      <c r="B869">
        <v>59</v>
      </c>
      <c r="C869">
        <v>848.84689025662794</v>
      </c>
      <c r="D869">
        <v>836.54052578896005</v>
      </c>
      <c r="E869" t="s">
        <v>2880</v>
      </c>
      <c r="F869" t="s">
        <v>3351</v>
      </c>
    </row>
    <row r="870" spans="1:6" x14ac:dyDescent="0.45">
      <c r="A870" t="str">
        <f t="shared" si="13"/>
        <v>ET12,60</v>
      </c>
      <c r="B870">
        <v>60</v>
      </c>
      <c r="C870">
        <v>806.52131001569296</v>
      </c>
      <c r="D870">
        <v>798.63517119200299</v>
      </c>
      <c r="E870" t="s">
        <v>2880</v>
      </c>
      <c r="F870" t="s">
        <v>3351</v>
      </c>
    </row>
    <row r="871" spans="1:6" x14ac:dyDescent="0.45">
      <c r="A871" t="str">
        <f t="shared" si="13"/>
        <v>ET12,61</v>
      </c>
      <c r="B871">
        <v>61</v>
      </c>
      <c r="C871">
        <v>764.19572977475696</v>
      </c>
      <c r="D871">
        <v>761.88512098828301</v>
      </c>
      <c r="E871" t="s">
        <v>2880</v>
      </c>
      <c r="F871" t="s">
        <v>3351</v>
      </c>
    </row>
    <row r="872" spans="1:6" x14ac:dyDescent="0.45">
      <c r="A872" t="str">
        <f t="shared" si="13"/>
        <v>ET12,62</v>
      </c>
      <c r="B872">
        <v>62</v>
      </c>
      <c r="C872">
        <v>721.87014953382197</v>
      </c>
      <c r="D872">
        <v>721.87014953382197</v>
      </c>
      <c r="E872" t="s">
        <v>2880</v>
      </c>
      <c r="F872" t="s">
        <v>3351</v>
      </c>
    </row>
    <row r="873" spans="1:6" x14ac:dyDescent="0.45">
      <c r="A873" t="str">
        <f t="shared" si="13"/>
        <v>ET12,63</v>
      </c>
      <c r="B873">
        <v>63</v>
      </c>
      <c r="C873">
        <v>667.42154854393402</v>
      </c>
      <c r="D873">
        <v>675.22213973362796</v>
      </c>
      <c r="E873" t="s">
        <v>2880</v>
      </c>
      <c r="F873" t="s">
        <v>3351</v>
      </c>
    </row>
    <row r="874" spans="1:6" x14ac:dyDescent="0.45">
      <c r="A874" t="str">
        <f t="shared" si="13"/>
        <v>ET12,64</v>
      </c>
      <c r="B874">
        <v>64</v>
      </c>
      <c r="C874">
        <v>612.97294755404698</v>
      </c>
      <c r="D874">
        <v>622.78140868865</v>
      </c>
      <c r="E874" t="s">
        <v>2880</v>
      </c>
      <c r="F874" t="s">
        <v>3351</v>
      </c>
    </row>
    <row r="875" spans="1:6" x14ac:dyDescent="0.45">
      <c r="A875" t="str">
        <f t="shared" si="13"/>
        <v>ET12,65</v>
      </c>
      <c r="B875">
        <v>65</v>
      </c>
      <c r="C875">
        <v>558.52434656415903</v>
      </c>
      <c r="D875">
        <v>566.440382048826</v>
      </c>
      <c r="E875" t="s">
        <v>2880</v>
      </c>
      <c r="F875" t="s">
        <v>3351</v>
      </c>
    </row>
    <row r="876" spans="1:6" x14ac:dyDescent="0.45">
      <c r="A876" t="str">
        <f t="shared" si="13"/>
        <v>ET12,66</v>
      </c>
      <c r="B876">
        <v>66</v>
      </c>
      <c r="C876">
        <v>504.07574557427199</v>
      </c>
      <c r="D876">
        <v>508.09148546409199</v>
      </c>
      <c r="E876" t="s">
        <v>2880</v>
      </c>
      <c r="F876" t="s">
        <v>3351</v>
      </c>
    </row>
    <row r="877" spans="1:6" x14ac:dyDescent="0.45">
      <c r="A877" t="str">
        <f t="shared" si="13"/>
        <v>ET12,67</v>
      </c>
      <c r="B877">
        <v>67</v>
      </c>
      <c r="C877">
        <v>449.62714458438398</v>
      </c>
      <c r="D877">
        <v>449.62714458438398</v>
      </c>
      <c r="E877" t="s">
        <v>2880</v>
      </c>
      <c r="F877" t="s">
        <v>3351</v>
      </c>
    </row>
    <row r="878" spans="1:6" x14ac:dyDescent="0.45">
      <c r="A878" t="str">
        <f t="shared" si="13"/>
        <v>ET12,68</v>
      </c>
      <c r="B878">
        <v>68</v>
      </c>
      <c r="C878">
        <v>401.94431092316103</v>
      </c>
      <c r="D878">
        <v>392.855019481792</v>
      </c>
      <c r="E878" t="s">
        <v>2880</v>
      </c>
      <c r="F878" t="s">
        <v>3351</v>
      </c>
    </row>
    <row r="879" spans="1:6" x14ac:dyDescent="0.45">
      <c r="A879" t="str">
        <f t="shared" si="13"/>
        <v>ET12,69</v>
      </c>
      <c r="B879">
        <v>69</v>
      </c>
      <c r="C879">
        <v>354.26147726193801</v>
      </c>
      <c r="D879">
        <v>339.24370791702398</v>
      </c>
      <c r="E879" t="s">
        <v>2880</v>
      </c>
      <c r="F879" t="s">
        <v>3351</v>
      </c>
    </row>
    <row r="880" spans="1:6" x14ac:dyDescent="0.45">
      <c r="A880" t="str">
        <f t="shared" si="13"/>
        <v>ET12,70</v>
      </c>
      <c r="B880">
        <v>70</v>
      </c>
      <c r="C880">
        <v>306.57864360071602</v>
      </c>
      <c r="D880">
        <v>290.17704207294003</v>
      </c>
      <c r="E880" t="s">
        <v>2880</v>
      </c>
      <c r="F880" t="s">
        <v>3351</v>
      </c>
    </row>
    <row r="881" spans="1:6" x14ac:dyDescent="0.45">
      <c r="A881" t="str">
        <f t="shared" si="13"/>
        <v>ET12,71</v>
      </c>
      <c r="B881">
        <v>71</v>
      </c>
      <c r="C881">
        <v>258.89580993949301</v>
      </c>
      <c r="D881">
        <v>247.03885413240201</v>
      </c>
      <c r="E881" t="s">
        <v>2880</v>
      </c>
      <c r="F881" t="s">
        <v>3351</v>
      </c>
    </row>
    <row r="882" spans="1:6" x14ac:dyDescent="0.45">
      <c r="A882" t="str">
        <f t="shared" si="13"/>
        <v>ET12,72</v>
      </c>
      <c r="B882">
        <v>72</v>
      </c>
      <c r="C882">
        <v>211.21297627826999</v>
      </c>
      <c r="D882">
        <v>211.21297627826999</v>
      </c>
      <c r="E882" t="s">
        <v>2880</v>
      </c>
      <c r="F882" t="s">
        <v>3351</v>
      </c>
    </row>
    <row r="883" spans="1:6" x14ac:dyDescent="0.45">
      <c r="A883" t="str">
        <f t="shared" si="13"/>
        <v>ET12,73</v>
      </c>
      <c r="B883">
        <v>73</v>
      </c>
      <c r="C883">
        <v>193.16698896634301</v>
      </c>
      <c r="D883">
        <v>183.52948609352501</v>
      </c>
      <c r="E883" t="s">
        <v>2880</v>
      </c>
      <c r="F883" t="s">
        <v>3351</v>
      </c>
    </row>
    <row r="884" spans="1:6" x14ac:dyDescent="0.45">
      <c r="A884" t="str">
        <f t="shared" si="13"/>
        <v>ET12,74</v>
      </c>
      <c r="B884">
        <v>74</v>
      </c>
      <c r="C884">
        <v>175.12100165441501</v>
      </c>
      <c r="D884">
        <v>162.603442761618</v>
      </c>
      <c r="E884" t="s">
        <v>2880</v>
      </c>
      <c r="F884" t="s">
        <v>3351</v>
      </c>
    </row>
    <row r="885" spans="1:6" x14ac:dyDescent="0.45">
      <c r="A885" t="str">
        <f t="shared" si="13"/>
        <v>ET12,75</v>
      </c>
      <c r="B885">
        <v>75</v>
      </c>
      <c r="C885">
        <v>157.075014342488</v>
      </c>
      <c r="D885">
        <v>146.49615086611999</v>
      </c>
      <c r="E885" t="s">
        <v>2880</v>
      </c>
      <c r="F885" t="s">
        <v>3351</v>
      </c>
    </row>
    <row r="886" spans="1:6" x14ac:dyDescent="0.45">
      <c r="A886" t="str">
        <f t="shared" si="13"/>
        <v>ET12,76</v>
      </c>
      <c r="B886">
        <v>76</v>
      </c>
      <c r="C886">
        <v>139.029027030561</v>
      </c>
      <c r="D886">
        <v>133.26891499060099</v>
      </c>
      <c r="E886" t="s">
        <v>2880</v>
      </c>
      <c r="F886" t="s">
        <v>3351</v>
      </c>
    </row>
    <row r="887" spans="1:6" x14ac:dyDescent="0.45">
      <c r="A887" t="str">
        <f t="shared" si="13"/>
        <v>ET12,77</v>
      </c>
      <c r="B887">
        <v>77</v>
      </c>
      <c r="C887">
        <v>120.98303971863299</v>
      </c>
      <c r="D887">
        <v>120.98303971863299</v>
      </c>
      <c r="E887" t="s">
        <v>2880</v>
      </c>
      <c r="F887" t="s">
        <v>3351</v>
      </c>
    </row>
    <row r="888" spans="1:6" x14ac:dyDescent="0.45">
      <c r="A888" t="str">
        <f t="shared" si="13"/>
        <v>ET12,78</v>
      </c>
      <c r="B888">
        <v>78</v>
      </c>
      <c r="C888">
        <v>108.414431774907</v>
      </c>
      <c r="D888">
        <v>108.11839177109</v>
      </c>
      <c r="E888" t="s">
        <v>2880</v>
      </c>
      <c r="F888" t="s">
        <v>3351</v>
      </c>
    </row>
    <row r="889" spans="1:6" x14ac:dyDescent="0.45">
      <c r="A889" t="str">
        <f t="shared" si="13"/>
        <v>ET12,79</v>
      </c>
      <c r="B889">
        <v>79</v>
      </c>
      <c r="C889">
        <v>95.845823831179999</v>
      </c>
      <c r="D889">
        <v>94.829086418061706</v>
      </c>
      <c r="E889" t="s">
        <v>2880</v>
      </c>
      <c r="F889" t="s">
        <v>3351</v>
      </c>
    </row>
    <row r="890" spans="1:6" x14ac:dyDescent="0.45">
      <c r="A890" t="str">
        <f t="shared" si="13"/>
        <v>ET12,80</v>
      </c>
      <c r="B890">
        <v>80</v>
      </c>
      <c r="C890">
        <v>83.277215887453394</v>
      </c>
      <c r="D890">
        <v>81.687801066941304</v>
      </c>
      <c r="E890" t="s">
        <v>2880</v>
      </c>
      <c r="F890" t="s">
        <v>3351</v>
      </c>
    </row>
    <row r="891" spans="1:6" x14ac:dyDescent="0.45">
      <c r="A891" t="str">
        <f t="shared" si="13"/>
        <v>ET12,81</v>
      </c>
      <c r="B891">
        <v>81</v>
      </c>
      <c r="C891">
        <v>70.708607943726705</v>
      </c>
      <c r="D891">
        <v>69.267213125122893</v>
      </c>
      <c r="E891" t="s">
        <v>2880</v>
      </c>
      <c r="F891" t="s">
        <v>3351</v>
      </c>
    </row>
    <row r="892" spans="1:6" x14ac:dyDescent="0.45">
      <c r="A892" t="str">
        <f t="shared" si="13"/>
        <v>ET12,82</v>
      </c>
      <c r="B892">
        <v>82</v>
      </c>
      <c r="C892">
        <v>58.14</v>
      </c>
      <c r="D892">
        <v>58.14</v>
      </c>
      <c r="E892" t="s">
        <v>2880</v>
      </c>
      <c r="F892" t="s">
        <v>3351</v>
      </c>
    </row>
    <row r="893" spans="1:6" x14ac:dyDescent="0.45">
      <c r="A893" t="str">
        <f t="shared" si="13"/>
        <v>ET12,83</v>
      </c>
      <c r="B893">
        <v>83</v>
      </c>
      <c r="C893">
        <v>51.2224</v>
      </c>
      <c r="D893">
        <v>48.731668971897498</v>
      </c>
      <c r="E893" t="s">
        <v>2880</v>
      </c>
      <c r="F893" t="s">
        <v>3351</v>
      </c>
    </row>
    <row r="894" spans="1:6" x14ac:dyDescent="0.45">
      <c r="A894" t="str">
        <f t="shared" si="13"/>
        <v>ET12,84</v>
      </c>
      <c r="B894">
        <v>84</v>
      </c>
      <c r="C894">
        <v>44.3048</v>
      </c>
      <c r="D894">
        <v>40.879046812865298</v>
      </c>
      <c r="E894" t="s">
        <v>2880</v>
      </c>
      <c r="F894" t="s">
        <v>3351</v>
      </c>
    </row>
    <row r="895" spans="1:6" x14ac:dyDescent="0.45">
      <c r="A895" t="str">
        <f t="shared" si="13"/>
        <v>ET12,85</v>
      </c>
      <c r="B895">
        <v>85</v>
      </c>
      <c r="C895">
        <v>37.3872</v>
      </c>
      <c r="D895">
        <v>34.271790167884298</v>
      </c>
      <c r="E895" t="s">
        <v>2880</v>
      </c>
      <c r="F895" t="s">
        <v>3351</v>
      </c>
    </row>
    <row r="896" spans="1:6" x14ac:dyDescent="0.45">
      <c r="A896" t="str">
        <f t="shared" si="13"/>
        <v>ET12,86</v>
      </c>
      <c r="B896">
        <v>86</v>
      </c>
      <c r="C896">
        <v>30.4696</v>
      </c>
      <c r="D896">
        <v>28.599555681935499</v>
      </c>
      <c r="E896" t="s">
        <v>2880</v>
      </c>
      <c r="F896" t="s">
        <v>3351</v>
      </c>
    </row>
    <row r="897" spans="1:6" x14ac:dyDescent="0.45">
      <c r="A897" t="str">
        <f t="shared" si="13"/>
        <v>ET12,87</v>
      </c>
      <c r="B897">
        <v>87</v>
      </c>
      <c r="C897">
        <v>23.552</v>
      </c>
      <c r="D897">
        <v>23.552</v>
      </c>
      <c r="E897" t="s">
        <v>2880</v>
      </c>
      <c r="F897" t="s">
        <v>3351</v>
      </c>
    </row>
    <row r="898" spans="1:6" x14ac:dyDescent="0.45">
      <c r="A898" t="str">
        <f t="shared" si="13"/>
        <v>ET12,88</v>
      </c>
      <c r="B898">
        <v>88</v>
      </c>
      <c r="C898">
        <v>19.861599999999999</v>
      </c>
      <c r="D898">
        <v>18.8850006772599</v>
      </c>
      <c r="E898" t="s">
        <v>2880</v>
      </c>
      <c r="F898" t="s">
        <v>3351</v>
      </c>
    </row>
    <row r="899" spans="1:6" x14ac:dyDescent="0.45">
      <c r="A899" t="str">
        <f t="shared" ref="A899:A962" si="14">_xlfn.CONCAT(E899,",",B899)</f>
        <v>ET12,89</v>
      </c>
      <c r="B899">
        <v>89</v>
      </c>
      <c r="C899">
        <v>16.171199999999999</v>
      </c>
      <c r="D899">
        <v>14.619318909701899</v>
      </c>
      <c r="E899" t="s">
        <v>2880</v>
      </c>
      <c r="F899" t="s">
        <v>3351</v>
      </c>
    </row>
    <row r="900" spans="1:6" x14ac:dyDescent="0.45">
      <c r="A900" t="str">
        <f t="shared" si="14"/>
        <v>ET12,90</v>
      </c>
      <c r="B900">
        <v>90</v>
      </c>
      <c r="C900">
        <v>12.4808</v>
      </c>
      <c r="D900">
        <v>10.841936803514001</v>
      </c>
      <c r="E900" t="s">
        <v>2880</v>
      </c>
      <c r="F900" t="s">
        <v>3351</v>
      </c>
    </row>
    <row r="901" spans="1:6" x14ac:dyDescent="0.45">
      <c r="A901" t="str">
        <f t="shared" si="14"/>
        <v>ET12,91</v>
      </c>
      <c r="B901">
        <v>91</v>
      </c>
      <c r="C901">
        <v>8.7904</v>
      </c>
      <c r="D901">
        <v>7.6398364648840804</v>
      </c>
      <c r="E901" t="s">
        <v>2880</v>
      </c>
      <c r="F901" t="s">
        <v>3351</v>
      </c>
    </row>
    <row r="902" spans="1:6" x14ac:dyDescent="0.45">
      <c r="A902" t="str">
        <f t="shared" si="14"/>
        <v>ET12,92</v>
      </c>
      <c r="B902">
        <v>92</v>
      </c>
      <c r="C902">
        <v>5.0999999999999996</v>
      </c>
      <c r="D902">
        <v>5.0999999999999899</v>
      </c>
      <c r="E902" t="s">
        <v>2880</v>
      </c>
      <c r="F902" t="s">
        <v>3351</v>
      </c>
    </row>
    <row r="903" spans="1:6" x14ac:dyDescent="0.45">
      <c r="A903" t="str">
        <f t="shared" si="14"/>
        <v>ET12,93</v>
      </c>
      <c r="B903">
        <v>93</v>
      </c>
      <c r="C903">
        <v>4.1959999999999997</v>
      </c>
      <c r="D903">
        <v>3.2710163190629298</v>
      </c>
      <c r="E903" t="s">
        <v>2880</v>
      </c>
      <c r="F903" t="s">
        <v>3351</v>
      </c>
    </row>
    <row r="904" spans="1:6" x14ac:dyDescent="0.45">
      <c r="A904" t="str">
        <f t="shared" si="14"/>
        <v>ET12,94</v>
      </c>
      <c r="B904">
        <v>94</v>
      </c>
      <c r="C904">
        <v>3.2919999999999998</v>
      </c>
      <c r="D904">
        <v>2.0479015483270002</v>
      </c>
      <c r="E904" t="s">
        <v>2880</v>
      </c>
      <c r="F904" t="s">
        <v>3351</v>
      </c>
    </row>
    <row r="905" spans="1:6" x14ac:dyDescent="0.45">
      <c r="A905" t="str">
        <f t="shared" si="14"/>
        <v>ET12,95</v>
      </c>
      <c r="B905">
        <v>95</v>
      </c>
      <c r="C905">
        <v>2.3879999999999999</v>
      </c>
      <c r="D905">
        <v>1.2872786180596101</v>
      </c>
      <c r="E905" t="s">
        <v>2880</v>
      </c>
      <c r="F905" t="s">
        <v>3351</v>
      </c>
    </row>
    <row r="906" spans="1:6" x14ac:dyDescent="0.45">
      <c r="A906" t="str">
        <f t="shared" si="14"/>
        <v>ET12,96</v>
      </c>
      <c r="B906">
        <v>96</v>
      </c>
      <c r="C906">
        <v>1.484</v>
      </c>
      <c r="D906">
        <v>0.84577045852815003</v>
      </c>
      <c r="E906" t="s">
        <v>2880</v>
      </c>
      <c r="F906" t="s">
        <v>3351</v>
      </c>
    </row>
    <row r="907" spans="1:6" x14ac:dyDescent="0.45">
      <c r="A907" t="str">
        <f t="shared" si="14"/>
        <v>ET12,97</v>
      </c>
      <c r="B907">
        <v>97</v>
      </c>
      <c r="C907">
        <v>0.57999999999999996</v>
      </c>
      <c r="D907">
        <v>0.57999999999999896</v>
      </c>
      <c r="E907" t="s">
        <v>2880</v>
      </c>
      <c r="F907" t="s">
        <v>3351</v>
      </c>
    </row>
    <row r="908" spans="1:6" x14ac:dyDescent="0.45">
      <c r="A908" t="str">
        <f t="shared" si="14"/>
        <v>ET12,98</v>
      </c>
      <c r="B908">
        <v>98</v>
      </c>
      <c r="C908">
        <v>0.38666666666666699</v>
      </c>
      <c r="D908">
        <v>0.368688538182945</v>
      </c>
      <c r="E908" t="s">
        <v>2880</v>
      </c>
      <c r="F908" t="s">
        <v>3351</v>
      </c>
    </row>
    <row r="909" spans="1:6" x14ac:dyDescent="0.45">
      <c r="A909" t="str">
        <f t="shared" si="14"/>
        <v>ET12,99</v>
      </c>
      <c r="B909">
        <v>99</v>
      </c>
      <c r="C909">
        <v>0.193333333333333</v>
      </c>
      <c r="D909">
        <v>0.17895083054635599</v>
      </c>
      <c r="E909" t="s">
        <v>2880</v>
      </c>
      <c r="F909" t="s">
        <v>3351</v>
      </c>
    </row>
    <row r="910" spans="1:6" x14ac:dyDescent="0.45">
      <c r="A910" t="str">
        <f t="shared" si="14"/>
        <v>ET12,100</v>
      </c>
      <c r="B910">
        <v>100</v>
      </c>
      <c r="C910">
        <v>0</v>
      </c>
      <c r="D910">
        <v>-1.11022302462516E-16</v>
      </c>
      <c r="E910" t="s">
        <v>2880</v>
      </c>
      <c r="F910" t="s">
        <v>3351</v>
      </c>
    </row>
    <row r="911" spans="1:6" x14ac:dyDescent="0.45">
      <c r="A911" t="str">
        <f t="shared" si="14"/>
        <v>ET13,&lt;1</v>
      </c>
      <c r="B911" t="s">
        <v>119</v>
      </c>
      <c r="C911">
        <v>4146.4106551483201</v>
      </c>
      <c r="D911">
        <v>4146.4106551483201</v>
      </c>
      <c r="E911" t="s">
        <v>2882</v>
      </c>
      <c r="F911" t="s">
        <v>3352</v>
      </c>
    </row>
    <row r="912" spans="1:6" x14ac:dyDescent="0.45">
      <c r="A912" t="str">
        <f t="shared" si="14"/>
        <v>ET13,1</v>
      </c>
      <c r="B912">
        <v>1</v>
      </c>
      <c r="C912">
        <v>3988.9209520034401</v>
      </c>
      <c r="D912">
        <v>3983.6402909664398</v>
      </c>
      <c r="E912" t="s">
        <v>2882</v>
      </c>
      <c r="F912" t="s">
        <v>3352</v>
      </c>
    </row>
    <row r="913" spans="1:6" x14ac:dyDescent="0.45">
      <c r="A913" t="str">
        <f t="shared" si="14"/>
        <v>ET13,2</v>
      </c>
      <c r="B913">
        <v>2</v>
      </c>
      <c r="C913">
        <v>3831.4312488585501</v>
      </c>
      <c r="D913">
        <v>3831.4312488585501</v>
      </c>
      <c r="E913" t="s">
        <v>2882</v>
      </c>
      <c r="F913" t="s">
        <v>3352</v>
      </c>
    </row>
    <row r="914" spans="1:6" x14ac:dyDescent="0.45">
      <c r="A914" t="str">
        <f t="shared" si="14"/>
        <v>ET13,3</v>
      </c>
      <c r="B914">
        <v>3</v>
      </c>
      <c r="C914">
        <v>3718.55787318287</v>
      </c>
      <c r="D914">
        <v>3697.6937487263399</v>
      </c>
      <c r="E914" t="s">
        <v>2882</v>
      </c>
      <c r="F914" t="s">
        <v>3352</v>
      </c>
    </row>
    <row r="915" spans="1:6" x14ac:dyDescent="0.45">
      <c r="A915" t="str">
        <f t="shared" si="14"/>
        <v>ET13,4</v>
      </c>
      <c r="B915">
        <v>4</v>
      </c>
      <c r="C915">
        <v>3605.6844975071899</v>
      </c>
      <c r="D915">
        <v>3579.7336017822499</v>
      </c>
      <c r="E915" t="s">
        <v>2882</v>
      </c>
      <c r="F915" t="s">
        <v>3352</v>
      </c>
    </row>
    <row r="916" spans="1:6" x14ac:dyDescent="0.45">
      <c r="A916" t="str">
        <f t="shared" si="14"/>
        <v>ET13,5</v>
      </c>
      <c r="B916">
        <v>5</v>
      </c>
      <c r="C916">
        <v>3492.8111218315198</v>
      </c>
      <c r="D916">
        <v>3472.2055170664298</v>
      </c>
      <c r="E916" t="s">
        <v>2882</v>
      </c>
      <c r="F916" t="s">
        <v>3352</v>
      </c>
    </row>
    <row r="917" spans="1:6" x14ac:dyDescent="0.45">
      <c r="A917" t="str">
        <f t="shared" si="14"/>
        <v>ET13,6</v>
      </c>
      <c r="B917">
        <v>6</v>
      </c>
      <c r="C917">
        <v>3379.9377461558402</v>
      </c>
      <c r="D917">
        <v>3369.76420361902</v>
      </c>
      <c r="E917" t="s">
        <v>2882</v>
      </c>
      <c r="F917" t="s">
        <v>3352</v>
      </c>
    </row>
    <row r="918" spans="1:6" x14ac:dyDescent="0.45">
      <c r="A918" t="str">
        <f t="shared" si="14"/>
        <v>ET13,7</v>
      </c>
      <c r="B918">
        <v>7</v>
      </c>
      <c r="C918">
        <v>3267.0643704801601</v>
      </c>
      <c r="D918">
        <v>3267.0643704801601</v>
      </c>
      <c r="E918" t="s">
        <v>2882</v>
      </c>
      <c r="F918" t="s">
        <v>3352</v>
      </c>
    </row>
    <row r="919" spans="1:6" x14ac:dyDescent="0.45">
      <c r="A919" t="str">
        <f t="shared" si="14"/>
        <v>ET13,8</v>
      </c>
      <c r="B919">
        <v>8</v>
      </c>
      <c r="C919">
        <v>3199.4036722576402</v>
      </c>
      <c r="D919">
        <v>3161.6899959183902</v>
      </c>
      <c r="E919" t="s">
        <v>2882</v>
      </c>
      <c r="F919" t="s">
        <v>3352</v>
      </c>
    </row>
    <row r="920" spans="1:6" x14ac:dyDescent="0.45">
      <c r="A920" t="str">
        <f t="shared" si="14"/>
        <v>ET13,9</v>
      </c>
      <c r="B920">
        <v>9</v>
      </c>
      <c r="C920">
        <v>3131.7429740351299</v>
      </c>
      <c r="D920">
        <v>3062.9421351157698</v>
      </c>
      <c r="E920" t="s">
        <v>2882</v>
      </c>
      <c r="F920" t="s">
        <v>3352</v>
      </c>
    </row>
    <row r="921" spans="1:6" x14ac:dyDescent="0.45">
      <c r="A921" t="str">
        <f t="shared" si="14"/>
        <v>ET13,10</v>
      </c>
      <c r="B921">
        <v>10</v>
      </c>
      <c r="C921">
        <v>3064.0822758126101</v>
      </c>
      <c r="D921">
        <v>2983.0511124827899</v>
      </c>
      <c r="E921" t="s">
        <v>2882</v>
      </c>
      <c r="F921" t="s">
        <v>3352</v>
      </c>
    </row>
    <row r="922" spans="1:6" x14ac:dyDescent="0.45">
      <c r="A922" t="str">
        <f t="shared" si="14"/>
        <v>ET13,11</v>
      </c>
      <c r="B922">
        <v>11</v>
      </c>
      <c r="C922">
        <v>2996.4215775900998</v>
      </c>
      <c r="D922">
        <v>2934.2472524299101</v>
      </c>
      <c r="E922" t="s">
        <v>2882</v>
      </c>
      <c r="F922" t="s">
        <v>3352</v>
      </c>
    </row>
    <row r="923" spans="1:6" x14ac:dyDescent="0.45">
      <c r="A923" t="str">
        <f t="shared" si="14"/>
        <v>ET13,12</v>
      </c>
      <c r="B923">
        <v>12</v>
      </c>
      <c r="C923">
        <v>2928.7608793675799</v>
      </c>
      <c r="D923">
        <v>2928.7608793675799</v>
      </c>
      <c r="E923" t="s">
        <v>2882</v>
      </c>
      <c r="F923" t="s">
        <v>3352</v>
      </c>
    </row>
    <row r="924" spans="1:6" x14ac:dyDescent="0.45">
      <c r="A924" t="str">
        <f t="shared" si="14"/>
        <v>ET13,13</v>
      </c>
      <c r="B924">
        <v>13</v>
      </c>
      <c r="C924">
        <v>2996.7341514587301</v>
      </c>
      <c r="D924">
        <v>2973.1381142386199</v>
      </c>
      <c r="E924" t="s">
        <v>2882</v>
      </c>
      <c r="F924" t="s">
        <v>3352</v>
      </c>
    </row>
    <row r="925" spans="1:6" x14ac:dyDescent="0.45">
      <c r="A925" t="str">
        <f t="shared" si="14"/>
        <v>ET13,14</v>
      </c>
      <c r="B925">
        <v>14</v>
      </c>
      <c r="C925">
        <v>3064.7074235498799</v>
      </c>
      <c r="D925">
        <v>3051.1882641152101</v>
      </c>
      <c r="E925" t="s">
        <v>2882</v>
      </c>
      <c r="F925" t="s">
        <v>3352</v>
      </c>
    </row>
    <row r="926" spans="1:6" x14ac:dyDescent="0.45">
      <c r="A926" t="str">
        <f t="shared" si="14"/>
        <v>ET13,15</v>
      </c>
      <c r="B926">
        <v>15</v>
      </c>
      <c r="C926">
        <v>3132.6806956410401</v>
      </c>
      <c r="D926">
        <v>3141.0364326018498</v>
      </c>
      <c r="E926" t="s">
        <v>2882</v>
      </c>
      <c r="F926" t="s">
        <v>3352</v>
      </c>
    </row>
    <row r="927" spans="1:6" x14ac:dyDescent="0.45">
      <c r="A927" t="str">
        <f t="shared" si="14"/>
        <v>ET13,16</v>
      </c>
      <c r="B927">
        <v>16</v>
      </c>
      <c r="C927">
        <v>3200.6539677321898</v>
      </c>
      <c r="D927">
        <v>3220.8077233030599</v>
      </c>
      <c r="E927" t="s">
        <v>2882</v>
      </c>
      <c r="F927" t="s">
        <v>3352</v>
      </c>
    </row>
    <row r="928" spans="1:6" x14ac:dyDescent="0.45">
      <c r="A928" t="str">
        <f t="shared" si="14"/>
        <v>ET13,17</v>
      </c>
      <c r="B928">
        <v>17</v>
      </c>
      <c r="C928">
        <v>3268.62723982334</v>
      </c>
      <c r="D928">
        <v>3268.62723982334</v>
      </c>
      <c r="E928" t="s">
        <v>2882</v>
      </c>
      <c r="F928" t="s">
        <v>3352</v>
      </c>
    </row>
    <row r="929" spans="1:6" x14ac:dyDescent="0.45">
      <c r="A929" t="str">
        <f t="shared" si="14"/>
        <v>ET13,18</v>
      </c>
      <c r="B929">
        <v>18</v>
      </c>
      <c r="C929">
        <v>3224.3332905197099</v>
      </c>
      <c r="D929">
        <v>3268.8947310267099</v>
      </c>
      <c r="E929" t="s">
        <v>2882</v>
      </c>
      <c r="F929" t="s">
        <v>3352</v>
      </c>
    </row>
    <row r="930" spans="1:6" x14ac:dyDescent="0.45">
      <c r="A930" t="str">
        <f t="shared" si="14"/>
        <v>ET13,19</v>
      </c>
      <c r="B930">
        <v>19</v>
      </c>
      <c r="C930">
        <v>3180.0393412160802</v>
      </c>
      <c r="D930">
        <v>3231.1085268151201</v>
      </c>
      <c r="E930" t="s">
        <v>2882</v>
      </c>
      <c r="F930" t="s">
        <v>3352</v>
      </c>
    </row>
    <row r="931" spans="1:6" x14ac:dyDescent="0.45">
      <c r="A931" t="str">
        <f t="shared" si="14"/>
        <v>ET13,20</v>
      </c>
      <c r="B931">
        <v>20</v>
      </c>
      <c r="C931">
        <v>3135.74539191246</v>
      </c>
      <c r="D931">
        <v>3171.0416023500402</v>
      </c>
      <c r="E931" t="s">
        <v>2882</v>
      </c>
      <c r="F931" t="s">
        <v>3352</v>
      </c>
    </row>
    <row r="932" spans="1:6" x14ac:dyDescent="0.45">
      <c r="A932" t="str">
        <f t="shared" si="14"/>
        <v>ET13,21</v>
      </c>
      <c r="B932">
        <v>21</v>
      </c>
      <c r="C932">
        <v>3091.4514426088299</v>
      </c>
      <c r="D932">
        <v>3104.46693279291</v>
      </c>
      <c r="E932" t="s">
        <v>2882</v>
      </c>
      <c r="F932" t="s">
        <v>3352</v>
      </c>
    </row>
    <row r="933" spans="1:6" x14ac:dyDescent="0.45">
      <c r="A933" t="str">
        <f t="shared" si="14"/>
        <v>ET13,22</v>
      </c>
      <c r="B933">
        <v>22</v>
      </c>
      <c r="C933">
        <v>3047.1574933052002</v>
      </c>
      <c r="D933">
        <v>3047.1574933052002</v>
      </c>
      <c r="E933" t="s">
        <v>2882</v>
      </c>
      <c r="F933" t="s">
        <v>3352</v>
      </c>
    </row>
    <row r="934" spans="1:6" x14ac:dyDescent="0.45">
      <c r="A934" t="str">
        <f t="shared" si="14"/>
        <v>ET13,23</v>
      </c>
      <c r="B934">
        <v>23</v>
      </c>
      <c r="C934">
        <v>3000.21258634388</v>
      </c>
      <c r="D934">
        <v>3009.7725796958798</v>
      </c>
      <c r="E934" t="s">
        <v>2882</v>
      </c>
      <c r="F934" t="s">
        <v>3352</v>
      </c>
    </row>
    <row r="935" spans="1:6" x14ac:dyDescent="0.45">
      <c r="A935" t="str">
        <f t="shared" si="14"/>
        <v>ET13,24</v>
      </c>
      <c r="B935">
        <v>24</v>
      </c>
      <c r="C935">
        <v>2953.2676793825499</v>
      </c>
      <c r="D935">
        <v>2982.51677036399</v>
      </c>
      <c r="E935" t="s">
        <v>2882</v>
      </c>
      <c r="F935" t="s">
        <v>3352</v>
      </c>
    </row>
    <row r="936" spans="1:6" x14ac:dyDescent="0.45">
      <c r="A936" t="str">
        <f t="shared" si="14"/>
        <v>ET13,25</v>
      </c>
      <c r="B936">
        <v>25</v>
      </c>
      <c r="C936">
        <v>2906.3227724212302</v>
      </c>
      <c r="D936">
        <v>2950.4809643560998</v>
      </c>
      <c r="E936" t="s">
        <v>2882</v>
      </c>
      <c r="F936" t="s">
        <v>3352</v>
      </c>
    </row>
    <row r="937" spans="1:6" x14ac:dyDescent="0.45">
      <c r="A937" t="str">
        <f t="shared" si="14"/>
        <v>ET13,26</v>
      </c>
      <c r="B937">
        <v>26</v>
      </c>
      <c r="C937">
        <v>2859.3778654599</v>
      </c>
      <c r="D937">
        <v>2898.7560607187702</v>
      </c>
      <c r="E937" t="s">
        <v>2882</v>
      </c>
      <c r="F937" t="s">
        <v>3352</v>
      </c>
    </row>
    <row r="938" spans="1:6" x14ac:dyDescent="0.45">
      <c r="A938" t="str">
        <f t="shared" si="14"/>
        <v>ET13,27</v>
      </c>
      <c r="B938">
        <v>27</v>
      </c>
      <c r="C938">
        <v>2812.4329584985799</v>
      </c>
      <c r="D938">
        <v>2812.4329584985799</v>
      </c>
      <c r="E938" t="s">
        <v>2882</v>
      </c>
      <c r="F938" t="s">
        <v>3352</v>
      </c>
    </row>
    <row r="939" spans="1:6" x14ac:dyDescent="0.45">
      <c r="A939" t="str">
        <f t="shared" si="14"/>
        <v>ET13,28</v>
      </c>
      <c r="B939">
        <v>28</v>
      </c>
      <c r="C939">
        <v>2656.1181906717802</v>
      </c>
      <c r="D939">
        <v>2682.1292222147299</v>
      </c>
      <c r="E939" t="s">
        <v>2882</v>
      </c>
      <c r="F939" t="s">
        <v>3352</v>
      </c>
    </row>
    <row r="940" spans="1:6" x14ac:dyDescent="0.45">
      <c r="A940" t="str">
        <f t="shared" si="14"/>
        <v>ET13,29</v>
      </c>
      <c r="B940">
        <v>29</v>
      </c>
      <c r="C940">
        <v>2499.8034228449901</v>
      </c>
      <c r="D940">
        <v>2520.5690782769898</v>
      </c>
      <c r="E940" t="s">
        <v>2882</v>
      </c>
      <c r="F940" t="s">
        <v>3352</v>
      </c>
    </row>
    <row r="941" spans="1:6" x14ac:dyDescent="0.45">
      <c r="A941" t="str">
        <f t="shared" si="14"/>
        <v>ET13,30</v>
      </c>
      <c r="B941">
        <v>30</v>
      </c>
      <c r="C941">
        <v>2343.48865501819</v>
      </c>
      <c r="D941">
        <v>2346.00341856778</v>
      </c>
      <c r="E941" t="s">
        <v>2882</v>
      </c>
      <c r="F941" t="s">
        <v>3352</v>
      </c>
    </row>
    <row r="942" spans="1:6" x14ac:dyDescent="0.45">
      <c r="A942" t="str">
        <f t="shared" si="14"/>
        <v>ET13,31</v>
      </c>
      <c r="B942">
        <v>31</v>
      </c>
      <c r="C942">
        <v>2187.1738871913999</v>
      </c>
      <c r="D942">
        <v>2176.6831349695099</v>
      </c>
      <c r="E942" t="s">
        <v>2882</v>
      </c>
      <c r="F942" t="s">
        <v>3352</v>
      </c>
    </row>
    <row r="943" spans="1:6" x14ac:dyDescent="0.45">
      <c r="A943" t="str">
        <f t="shared" si="14"/>
        <v>ET13,32</v>
      </c>
      <c r="B943">
        <v>32</v>
      </c>
      <c r="C943">
        <v>2030.8591193646</v>
      </c>
      <c r="D943">
        <v>2030.8591193646</v>
      </c>
      <c r="E943" t="s">
        <v>2882</v>
      </c>
      <c r="F943" t="s">
        <v>3352</v>
      </c>
    </row>
    <row r="944" spans="1:6" x14ac:dyDescent="0.45">
      <c r="A944" t="str">
        <f t="shared" si="14"/>
        <v>ET13,33</v>
      </c>
      <c r="B944">
        <v>33</v>
      </c>
      <c r="C944">
        <v>1961.3125028693501</v>
      </c>
      <c r="D944">
        <v>1921.9035577135701</v>
      </c>
      <c r="E944" t="s">
        <v>2882</v>
      </c>
      <c r="F944" t="s">
        <v>3352</v>
      </c>
    </row>
    <row r="945" spans="1:6" x14ac:dyDescent="0.45">
      <c r="A945" t="str">
        <f t="shared" si="14"/>
        <v>ET13,34</v>
      </c>
      <c r="B945">
        <v>34</v>
      </c>
      <c r="C945">
        <v>1891.7658863741001</v>
      </c>
      <c r="D945">
        <v>1843.6738122893801</v>
      </c>
      <c r="E945" t="s">
        <v>2882</v>
      </c>
      <c r="F945" t="s">
        <v>3352</v>
      </c>
    </row>
    <row r="946" spans="1:6" x14ac:dyDescent="0.45">
      <c r="A946" t="str">
        <f t="shared" si="14"/>
        <v>ET13,35</v>
      </c>
      <c r="B946">
        <v>35</v>
      </c>
      <c r="C946">
        <v>1822.2192698788599</v>
      </c>
      <c r="D946">
        <v>1785.1485394430699</v>
      </c>
      <c r="E946" t="s">
        <v>2882</v>
      </c>
      <c r="F946" t="s">
        <v>3352</v>
      </c>
    </row>
    <row r="947" spans="1:6" x14ac:dyDescent="0.45">
      <c r="A947" t="str">
        <f t="shared" si="14"/>
        <v>ET13,36</v>
      </c>
      <c r="B947">
        <v>36</v>
      </c>
      <c r="C947">
        <v>1752.6726533836099</v>
      </c>
      <c r="D947">
        <v>1735.3063955257101</v>
      </c>
      <c r="E947" t="s">
        <v>2882</v>
      </c>
      <c r="F947" t="s">
        <v>3352</v>
      </c>
    </row>
    <row r="948" spans="1:6" x14ac:dyDescent="0.45">
      <c r="A948" t="str">
        <f t="shared" si="14"/>
        <v>ET13,37</v>
      </c>
      <c r="B948">
        <v>37</v>
      </c>
      <c r="C948">
        <v>1683.12603688836</v>
      </c>
      <c r="D948">
        <v>1683.12603688836</v>
      </c>
      <c r="E948" t="s">
        <v>2882</v>
      </c>
      <c r="F948" t="s">
        <v>3352</v>
      </c>
    </row>
    <row r="949" spans="1:6" x14ac:dyDescent="0.45">
      <c r="A949" t="str">
        <f t="shared" si="14"/>
        <v>ET13,38</v>
      </c>
      <c r="B949">
        <v>38</v>
      </c>
      <c r="C949">
        <v>1606.2504205754401</v>
      </c>
      <c r="D949">
        <v>1619.9648715631499</v>
      </c>
      <c r="E949" t="s">
        <v>2882</v>
      </c>
      <c r="F949" t="s">
        <v>3352</v>
      </c>
    </row>
    <row r="950" spans="1:6" x14ac:dyDescent="0.45">
      <c r="A950" t="str">
        <f t="shared" si="14"/>
        <v>ET13,39</v>
      </c>
      <c r="B950">
        <v>39</v>
      </c>
      <c r="C950">
        <v>1529.37480426252</v>
      </c>
      <c r="D950">
        <v>1546.69531430655</v>
      </c>
      <c r="E950" t="s">
        <v>2882</v>
      </c>
      <c r="F950" t="s">
        <v>3352</v>
      </c>
    </row>
    <row r="951" spans="1:6" x14ac:dyDescent="0.45">
      <c r="A951" t="str">
        <f t="shared" si="14"/>
        <v>ET13,40</v>
      </c>
      <c r="B951">
        <v>40</v>
      </c>
      <c r="C951">
        <v>1452.4991879495999</v>
      </c>
      <c r="D951">
        <v>1466.56853155608</v>
      </c>
      <c r="E951" t="s">
        <v>2882</v>
      </c>
      <c r="F951" t="s">
        <v>3352</v>
      </c>
    </row>
    <row r="952" spans="1:6" x14ac:dyDescent="0.45">
      <c r="A952" t="str">
        <f t="shared" si="14"/>
        <v>ET13,41</v>
      </c>
      <c r="B952">
        <v>41</v>
      </c>
      <c r="C952">
        <v>1375.62357163668</v>
      </c>
      <c r="D952">
        <v>1382.8356897493099</v>
      </c>
      <c r="E952" t="s">
        <v>2882</v>
      </c>
      <c r="F952" t="s">
        <v>3352</v>
      </c>
    </row>
    <row r="953" spans="1:6" x14ac:dyDescent="0.45">
      <c r="A953" t="str">
        <f t="shared" si="14"/>
        <v>ET13,42</v>
      </c>
      <c r="B953">
        <v>42</v>
      </c>
      <c r="C953">
        <v>1298.7479553237499</v>
      </c>
      <c r="D953">
        <v>1298.7479553237499</v>
      </c>
      <c r="E953" t="s">
        <v>2882</v>
      </c>
      <c r="F953" t="s">
        <v>3352</v>
      </c>
    </row>
    <row r="954" spans="1:6" x14ac:dyDescent="0.45">
      <c r="A954" t="str">
        <f t="shared" si="14"/>
        <v>ET13,43</v>
      </c>
      <c r="B954">
        <v>43</v>
      </c>
      <c r="C954">
        <v>1233.9754975859801</v>
      </c>
      <c r="D954">
        <v>1217.4613662962199</v>
      </c>
      <c r="E954" t="s">
        <v>2882</v>
      </c>
      <c r="F954" t="s">
        <v>3352</v>
      </c>
    </row>
    <row r="955" spans="1:6" x14ac:dyDescent="0.45">
      <c r="A955" t="str">
        <f t="shared" si="14"/>
        <v>ET13,44</v>
      </c>
      <c r="B955">
        <v>44</v>
      </c>
      <c r="C955">
        <v>1169.20303984821</v>
      </c>
      <c r="D955">
        <v>1141.7514470005101</v>
      </c>
      <c r="E955" t="s">
        <v>2882</v>
      </c>
      <c r="F955" t="s">
        <v>3352</v>
      </c>
    </row>
    <row r="956" spans="1:6" x14ac:dyDescent="0.45">
      <c r="A956" t="str">
        <f t="shared" si="14"/>
        <v>ET13,45</v>
      </c>
      <c r="B956">
        <v>45</v>
      </c>
      <c r="C956">
        <v>1104.4305821104299</v>
      </c>
      <c r="D956">
        <v>1074.29859334968</v>
      </c>
      <c r="E956" t="s">
        <v>2882</v>
      </c>
      <c r="F956" t="s">
        <v>3352</v>
      </c>
    </row>
    <row r="957" spans="1:6" x14ac:dyDescent="0.45">
      <c r="A957" t="str">
        <f t="shared" si="14"/>
        <v>ET13,46</v>
      </c>
      <c r="B957">
        <v>46</v>
      </c>
      <c r="C957">
        <v>1039.65812437266</v>
      </c>
      <c r="D957">
        <v>1017.78320125678</v>
      </c>
      <c r="E957" t="s">
        <v>2882</v>
      </c>
      <c r="F957" t="s">
        <v>3352</v>
      </c>
    </row>
    <row r="958" spans="1:6" x14ac:dyDescent="0.45">
      <c r="A958" t="str">
        <f t="shared" si="14"/>
        <v>ET13,47</v>
      </c>
      <c r="B958">
        <v>47</v>
      </c>
      <c r="C958">
        <v>974.88566663488598</v>
      </c>
      <c r="D958">
        <v>974.88566663488598</v>
      </c>
      <c r="E958" t="s">
        <v>2882</v>
      </c>
      <c r="F958" t="s">
        <v>3352</v>
      </c>
    </row>
    <row r="959" spans="1:6" x14ac:dyDescent="0.45">
      <c r="A959" t="str">
        <f t="shared" si="14"/>
        <v>ET13,48</v>
      </c>
      <c r="B959">
        <v>48</v>
      </c>
      <c r="C959">
        <v>953.320371933876</v>
      </c>
      <c r="D959">
        <v>946.75502124169998</v>
      </c>
      <c r="E959" t="s">
        <v>2882</v>
      </c>
      <c r="F959" t="s">
        <v>3352</v>
      </c>
    </row>
    <row r="960" spans="1:6" x14ac:dyDescent="0.45">
      <c r="A960" t="str">
        <f t="shared" si="14"/>
        <v>ET13,49</v>
      </c>
      <c r="B960">
        <v>49</v>
      </c>
      <c r="C960">
        <v>931.75507723286603</v>
      </c>
      <c r="D960">
        <v>928.41484021358303</v>
      </c>
      <c r="E960" t="s">
        <v>2882</v>
      </c>
      <c r="F960" t="s">
        <v>3352</v>
      </c>
    </row>
    <row r="961" spans="1:6" x14ac:dyDescent="0.45">
      <c r="A961" t="str">
        <f t="shared" si="14"/>
        <v>ET13,50</v>
      </c>
      <c r="B961">
        <v>50</v>
      </c>
      <c r="C961">
        <v>910.18978253185605</v>
      </c>
      <c r="D961">
        <v>913.35733453155501</v>
      </c>
      <c r="E961" t="s">
        <v>2882</v>
      </c>
      <c r="F961" t="s">
        <v>3352</v>
      </c>
    </row>
    <row r="962" spans="1:6" x14ac:dyDescent="0.45">
      <c r="A962" t="str">
        <f t="shared" si="14"/>
        <v>ET13,51</v>
      </c>
      <c r="B962">
        <v>51</v>
      </c>
      <c r="C962">
        <v>888.62448783084596</v>
      </c>
      <c r="D962">
        <v>895.07471517663396</v>
      </c>
      <c r="E962" t="s">
        <v>2882</v>
      </c>
      <c r="F962" t="s">
        <v>3352</v>
      </c>
    </row>
    <row r="963" spans="1:6" x14ac:dyDescent="0.45">
      <c r="A963" t="str">
        <f t="shared" ref="A963:A1026" si="15">_xlfn.CONCAT(E963,",",B963)</f>
        <v>ET13,52</v>
      </c>
      <c r="B963">
        <v>52</v>
      </c>
      <c r="C963">
        <v>867.05919312983599</v>
      </c>
      <c r="D963">
        <v>867.05919312983599</v>
      </c>
      <c r="E963" t="s">
        <v>2882</v>
      </c>
      <c r="F963" t="s">
        <v>3352</v>
      </c>
    </row>
    <row r="964" spans="1:6" x14ac:dyDescent="0.45">
      <c r="A964" t="str">
        <f t="shared" si="15"/>
        <v>ET13,53</v>
      </c>
      <c r="B964">
        <v>53</v>
      </c>
      <c r="C964">
        <v>823.738383196889</v>
      </c>
      <c r="D964">
        <v>825.18089710507502</v>
      </c>
      <c r="E964" t="s">
        <v>2882</v>
      </c>
      <c r="F964" t="s">
        <v>3352</v>
      </c>
    </row>
    <row r="965" spans="1:6" x14ac:dyDescent="0.45">
      <c r="A965" t="str">
        <f t="shared" si="15"/>
        <v>ET13,54</v>
      </c>
      <c r="B965">
        <v>54</v>
      </c>
      <c r="C965">
        <v>780.41757326394202</v>
      </c>
      <c r="D965">
        <v>774.82162674783797</v>
      </c>
      <c r="E965" t="s">
        <v>2882</v>
      </c>
      <c r="F965" t="s">
        <v>3352</v>
      </c>
    </row>
    <row r="966" spans="1:6" x14ac:dyDescent="0.45">
      <c r="A966" t="str">
        <f t="shared" si="15"/>
        <v>ET13,55</v>
      </c>
      <c r="B966">
        <v>55</v>
      </c>
      <c r="C966">
        <v>737.09676333099401</v>
      </c>
      <c r="D966">
        <v>723.74109943650899</v>
      </c>
      <c r="E966" t="s">
        <v>2882</v>
      </c>
      <c r="F966" t="s">
        <v>3352</v>
      </c>
    </row>
    <row r="967" spans="1:6" x14ac:dyDescent="0.45">
      <c r="A967" t="str">
        <f t="shared" si="15"/>
        <v>ET13,56</v>
      </c>
      <c r="B967">
        <v>56</v>
      </c>
      <c r="C967">
        <v>693.77595339804702</v>
      </c>
      <c r="D967">
        <v>679.69903254946803</v>
      </c>
      <c r="E967" t="s">
        <v>2882</v>
      </c>
      <c r="F967" t="s">
        <v>3352</v>
      </c>
    </row>
    <row r="968" spans="1:6" x14ac:dyDescent="0.45">
      <c r="A968" t="str">
        <f t="shared" si="15"/>
        <v>ET13,57</v>
      </c>
      <c r="B968">
        <v>57</v>
      </c>
      <c r="C968">
        <v>650.45514346510004</v>
      </c>
      <c r="D968">
        <v>650.45514346510004</v>
      </c>
      <c r="E968" t="s">
        <v>2882</v>
      </c>
      <c r="F968" t="s">
        <v>3352</v>
      </c>
    </row>
    <row r="969" spans="1:6" x14ac:dyDescent="0.45">
      <c r="A969" t="str">
        <f t="shared" si="15"/>
        <v>ET13,58</v>
      </c>
      <c r="B969">
        <v>58</v>
      </c>
      <c r="C969">
        <v>652.70903246313196</v>
      </c>
      <c r="D969">
        <v>641.08055848281401</v>
      </c>
      <c r="E969" t="s">
        <v>2882</v>
      </c>
      <c r="F969" t="s">
        <v>3352</v>
      </c>
    </row>
    <row r="970" spans="1:6" x14ac:dyDescent="0.45">
      <c r="A970" t="str">
        <f t="shared" si="15"/>
        <v>ET13,59</v>
      </c>
      <c r="B970">
        <v>59</v>
      </c>
      <c r="C970">
        <v>654.96292146116298</v>
      </c>
      <c r="D970">
        <v>645.89203958613496</v>
      </c>
      <c r="E970" t="s">
        <v>2882</v>
      </c>
      <c r="F970" t="s">
        <v>3352</v>
      </c>
    </row>
    <row r="971" spans="1:6" x14ac:dyDescent="0.45">
      <c r="A971" t="str">
        <f t="shared" si="15"/>
        <v>ET13,60</v>
      </c>
      <c r="B971">
        <v>60</v>
      </c>
      <c r="C971">
        <v>657.21681045919502</v>
      </c>
      <c r="D971">
        <v>656.51775767961396</v>
      </c>
      <c r="E971" t="s">
        <v>2882</v>
      </c>
      <c r="F971" t="s">
        <v>3352</v>
      </c>
    </row>
    <row r="972" spans="1:6" x14ac:dyDescent="0.45">
      <c r="A972" t="str">
        <f t="shared" si="15"/>
        <v>ET13,61</v>
      </c>
      <c r="B972">
        <v>61</v>
      </c>
      <c r="C972">
        <v>659.47069945722603</v>
      </c>
      <c r="D972">
        <v>664.58588366780396</v>
      </c>
      <c r="E972" t="s">
        <v>2882</v>
      </c>
      <c r="F972" t="s">
        <v>3352</v>
      </c>
    </row>
    <row r="973" spans="1:6" x14ac:dyDescent="0.45">
      <c r="A973" t="str">
        <f t="shared" si="15"/>
        <v>ET13,62</v>
      </c>
      <c r="B973">
        <v>62</v>
      </c>
      <c r="C973">
        <v>661.72458845525796</v>
      </c>
      <c r="D973">
        <v>661.72458845525796</v>
      </c>
      <c r="E973" t="s">
        <v>2882</v>
      </c>
      <c r="F973" t="s">
        <v>3352</v>
      </c>
    </row>
    <row r="974" spans="1:6" x14ac:dyDescent="0.45">
      <c r="A974" t="str">
        <f t="shared" si="15"/>
        <v>ET13,63</v>
      </c>
      <c r="B974">
        <v>63</v>
      </c>
      <c r="C974">
        <v>625.67074226669797</v>
      </c>
      <c r="D974">
        <v>641.889983598301</v>
      </c>
      <c r="E974" t="s">
        <v>2882</v>
      </c>
      <c r="F974" t="s">
        <v>3352</v>
      </c>
    </row>
    <row r="975" spans="1:6" x14ac:dyDescent="0.45">
      <c r="A975" t="str">
        <f t="shared" si="15"/>
        <v>ET13,64</v>
      </c>
      <c r="B975">
        <v>64</v>
      </c>
      <c r="C975">
        <v>589.61689607813798</v>
      </c>
      <c r="D975">
        <v>608.34994326035098</v>
      </c>
      <c r="E975" t="s">
        <v>2882</v>
      </c>
      <c r="F975" t="s">
        <v>3352</v>
      </c>
    </row>
    <row r="976" spans="1:6" x14ac:dyDescent="0.45">
      <c r="A976" t="str">
        <f t="shared" si="15"/>
        <v>ET13,65</v>
      </c>
      <c r="B976">
        <v>65</v>
      </c>
      <c r="C976">
        <v>553.563049889578</v>
      </c>
      <c r="D976">
        <v>566.70028225659905</v>
      </c>
      <c r="E976" t="s">
        <v>2882</v>
      </c>
      <c r="F976" t="s">
        <v>3352</v>
      </c>
    </row>
    <row r="977" spans="1:6" x14ac:dyDescent="0.45">
      <c r="A977" t="str">
        <f t="shared" si="15"/>
        <v>ET13,66</v>
      </c>
      <c r="B977">
        <v>66</v>
      </c>
      <c r="C977">
        <v>517.50920370101801</v>
      </c>
      <c r="D977">
        <v>522.53681540223795</v>
      </c>
      <c r="E977" t="s">
        <v>2882</v>
      </c>
      <c r="F977" t="s">
        <v>3352</v>
      </c>
    </row>
    <row r="978" spans="1:6" x14ac:dyDescent="0.45">
      <c r="A978" t="str">
        <f t="shared" si="15"/>
        <v>ET13,67</v>
      </c>
      <c r="B978">
        <v>67</v>
      </c>
      <c r="C978">
        <v>481.45535751245802</v>
      </c>
      <c r="D978">
        <v>481.45535751245802</v>
      </c>
      <c r="E978" t="s">
        <v>2882</v>
      </c>
      <c r="F978" t="s">
        <v>3352</v>
      </c>
    </row>
    <row r="979" spans="1:6" x14ac:dyDescent="0.45">
      <c r="A979" t="str">
        <f t="shared" si="15"/>
        <v>ET13,68</v>
      </c>
      <c r="B979">
        <v>68</v>
      </c>
      <c r="C979">
        <v>456.307985547035</v>
      </c>
      <c r="D979">
        <v>447.75241761542202</v>
      </c>
      <c r="E979" t="s">
        <v>2882</v>
      </c>
      <c r="F979" t="s">
        <v>3352</v>
      </c>
    </row>
    <row r="980" spans="1:6" x14ac:dyDescent="0.45">
      <c r="A980" t="str">
        <f t="shared" si="15"/>
        <v>ET13,69</v>
      </c>
      <c r="B980">
        <v>69</v>
      </c>
      <c r="C980">
        <v>431.16061358161198</v>
      </c>
      <c r="D980">
        <v>420.52728159117601</v>
      </c>
      <c r="E980" t="s">
        <v>2882</v>
      </c>
      <c r="F980" t="s">
        <v>3352</v>
      </c>
    </row>
    <row r="981" spans="1:6" x14ac:dyDescent="0.45">
      <c r="A981" t="str">
        <f t="shared" si="15"/>
        <v>ET13,70</v>
      </c>
      <c r="B981">
        <v>70</v>
      </c>
      <c r="C981">
        <v>406.013241616188</v>
      </c>
      <c r="D981">
        <v>397.579929532736</v>
      </c>
      <c r="E981" t="s">
        <v>2882</v>
      </c>
      <c r="F981" t="s">
        <v>3352</v>
      </c>
    </row>
    <row r="982" spans="1:6" x14ac:dyDescent="0.45">
      <c r="A982" t="str">
        <f t="shared" si="15"/>
        <v>ET13,71</v>
      </c>
      <c r="B982">
        <v>71</v>
      </c>
      <c r="C982">
        <v>380.86586965076498</v>
      </c>
      <c r="D982">
        <v>376.71034153311899</v>
      </c>
      <c r="E982" t="s">
        <v>2882</v>
      </c>
      <c r="F982" t="s">
        <v>3352</v>
      </c>
    </row>
    <row r="983" spans="1:6" x14ac:dyDescent="0.45">
      <c r="A983" t="str">
        <f t="shared" si="15"/>
        <v>ET13,72</v>
      </c>
      <c r="B983">
        <v>72</v>
      </c>
      <c r="C983">
        <v>355.71849768534202</v>
      </c>
      <c r="D983">
        <v>355.71849768534202</v>
      </c>
      <c r="E983" t="s">
        <v>2882</v>
      </c>
      <c r="F983" t="s">
        <v>3352</v>
      </c>
    </row>
    <row r="984" spans="1:6" x14ac:dyDescent="0.45">
      <c r="A984" t="str">
        <f t="shared" si="15"/>
        <v>ET13,73</v>
      </c>
      <c r="B984">
        <v>73</v>
      </c>
      <c r="C984">
        <v>332.17694624688397</v>
      </c>
      <c r="D984">
        <v>332.93306605452898</v>
      </c>
      <c r="E984" t="s">
        <v>2882</v>
      </c>
      <c r="F984" t="s">
        <v>3352</v>
      </c>
    </row>
    <row r="985" spans="1:6" x14ac:dyDescent="0.45">
      <c r="A985" t="str">
        <f t="shared" si="15"/>
        <v>ET13,74</v>
      </c>
      <c r="B985">
        <v>74</v>
      </c>
      <c r="C985">
        <v>308.63539480842502</v>
      </c>
      <c r="D985">
        <v>308.79746659423301</v>
      </c>
      <c r="E985" t="s">
        <v>2882</v>
      </c>
      <c r="F985" t="s">
        <v>3352</v>
      </c>
    </row>
    <row r="986" spans="1:6" x14ac:dyDescent="0.45">
      <c r="A986" t="str">
        <f t="shared" si="15"/>
        <v>ET13,75</v>
      </c>
      <c r="B986">
        <v>75</v>
      </c>
      <c r="C986">
        <v>285.09384336996698</v>
      </c>
      <c r="D986">
        <v>284.28380723011401</v>
      </c>
      <c r="E986" t="s">
        <v>2882</v>
      </c>
      <c r="F986" t="s">
        <v>3352</v>
      </c>
    </row>
    <row r="987" spans="1:6" x14ac:dyDescent="0.45">
      <c r="A987" t="str">
        <f t="shared" si="15"/>
        <v>ET13,76</v>
      </c>
      <c r="B987">
        <v>76</v>
      </c>
      <c r="C987">
        <v>261.55229193150802</v>
      </c>
      <c r="D987">
        <v>260.36419588783298</v>
      </c>
      <c r="E987" t="s">
        <v>2882</v>
      </c>
      <c r="F987" t="s">
        <v>3352</v>
      </c>
    </row>
    <row r="988" spans="1:6" x14ac:dyDescent="0.45">
      <c r="A988" t="str">
        <f t="shared" si="15"/>
        <v>ET13,77</v>
      </c>
      <c r="B988">
        <v>77</v>
      </c>
      <c r="C988">
        <v>238.01074049305001</v>
      </c>
      <c r="D988">
        <v>238.01074049305001</v>
      </c>
      <c r="E988" t="s">
        <v>2882</v>
      </c>
      <c r="F988" t="s">
        <v>3352</v>
      </c>
    </row>
    <row r="989" spans="1:6" x14ac:dyDescent="0.45">
      <c r="A989" t="str">
        <f t="shared" si="15"/>
        <v>ET13,78</v>
      </c>
      <c r="B989">
        <v>78</v>
      </c>
      <c r="C989">
        <v>220.04859239443999</v>
      </c>
      <c r="D989">
        <v>217.91107233038801</v>
      </c>
      <c r="E989" t="s">
        <v>2882</v>
      </c>
      <c r="F989" t="s">
        <v>3352</v>
      </c>
    </row>
    <row r="990" spans="1:6" x14ac:dyDescent="0.45">
      <c r="A990" t="str">
        <f t="shared" si="15"/>
        <v>ET13,79</v>
      </c>
      <c r="B990">
        <v>79</v>
      </c>
      <c r="C990">
        <v>202.08644429583001</v>
      </c>
      <c r="D990">
        <v>199.61491612031901</v>
      </c>
      <c r="E990" t="s">
        <v>2882</v>
      </c>
      <c r="F990" t="s">
        <v>3352</v>
      </c>
    </row>
    <row r="991" spans="1:6" x14ac:dyDescent="0.45">
      <c r="A991" t="str">
        <f t="shared" si="15"/>
        <v>ET13,80</v>
      </c>
      <c r="B991">
        <v>80</v>
      </c>
      <c r="C991">
        <v>184.12429619721999</v>
      </c>
      <c r="D991">
        <v>182.38751994227499</v>
      </c>
      <c r="E991" t="s">
        <v>2882</v>
      </c>
      <c r="F991" t="s">
        <v>3352</v>
      </c>
    </row>
    <row r="992" spans="1:6" x14ac:dyDescent="0.45">
      <c r="A992" t="str">
        <f t="shared" si="15"/>
        <v>ET13,81</v>
      </c>
      <c r="B992">
        <v>81</v>
      </c>
      <c r="C992">
        <v>166.16214809861</v>
      </c>
      <c r="D992">
        <v>165.49413187569101</v>
      </c>
      <c r="E992" t="s">
        <v>2882</v>
      </c>
      <c r="F992" t="s">
        <v>3352</v>
      </c>
    </row>
    <row r="993" spans="1:6" x14ac:dyDescent="0.45">
      <c r="A993" t="str">
        <f t="shared" si="15"/>
        <v>ET13,82</v>
      </c>
      <c r="B993">
        <v>82</v>
      </c>
      <c r="C993">
        <v>148.19999999999999</v>
      </c>
      <c r="D993">
        <v>148.19999999999999</v>
      </c>
      <c r="E993" t="s">
        <v>2882</v>
      </c>
      <c r="F993" t="s">
        <v>3352</v>
      </c>
    </row>
    <row r="994" spans="1:6" x14ac:dyDescent="0.45">
      <c r="A994" t="str">
        <f t="shared" si="15"/>
        <v>ET13,83</v>
      </c>
      <c r="B994">
        <v>83</v>
      </c>
      <c r="C994">
        <v>130.55680000000001</v>
      </c>
      <c r="D994">
        <v>130.01022946451499</v>
      </c>
      <c r="E994" t="s">
        <v>2882</v>
      </c>
      <c r="F994" t="s">
        <v>3352</v>
      </c>
    </row>
    <row r="995" spans="1:6" x14ac:dyDescent="0.45">
      <c r="A995" t="str">
        <f t="shared" si="15"/>
        <v>ET13,84</v>
      </c>
      <c r="B995">
        <v>84</v>
      </c>
      <c r="C995">
        <v>112.9136</v>
      </c>
      <c r="D995">
        <v>111.389353698064</v>
      </c>
      <c r="E995" t="s">
        <v>2882</v>
      </c>
      <c r="F995" t="s">
        <v>3352</v>
      </c>
    </row>
    <row r="996" spans="1:6" x14ac:dyDescent="0.45">
      <c r="A996" t="str">
        <f t="shared" si="15"/>
        <v>ET13,85</v>
      </c>
      <c r="B996">
        <v>85</v>
      </c>
      <c r="C996">
        <v>95.270399999999995</v>
      </c>
      <c r="D996">
        <v>93.0417631993556</v>
      </c>
      <c r="E996" t="s">
        <v>2882</v>
      </c>
      <c r="F996" t="s">
        <v>3352</v>
      </c>
    </row>
    <row r="997" spans="1:6" x14ac:dyDescent="0.45">
      <c r="A997" t="str">
        <f t="shared" si="15"/>
        <v>ET13,86</v>
      </c>
      <c r="B997">
        <v>86</v>
      </c>
      <c r="C997">
        <v>77.627200000000002</v>
      </c>
      <c r="D997">
        <v>75.6718484670984</v>
      </c>
      <c r="E997" t="s">
        <v>2882</v>
      </c>
      <c r="F997" t="s">
        <v>3352</v>
      </c>
    </row>
    <row r="998" spans="1:6" x14ac:dyDescent="0.45">
      <c r="A998" t="str">
        <f t="shared" si="15"/>
        <v>ET13,87</v>
      </c>
      <c r="B998">
        <v>87</v>
      </c>
      <c r="C998">
        <v>59.984000000000002</v>
      </c>
      <c r="D998">
        <v>59.984000000000002</v>
      </c>
      <c r="E998" t="s">
        <v>2882</v>
      </c>
      <c r="F998" t="s">
        <v>3352</v>
      </c>
    </row>
    <row r="999" spans="1:6" x14ac:dyDescent="0.45">
      <c r="A999" t="str">
        <f t="shared" si="15"/>
        <v>ET13,88</v>
      </c>
      <c r="B999">
        <v>88</v>
      </c>
      <c r="C999">
        <v>50.5672</v>
      </c>
      <c r="D999">
        <v>46.534372943995201</v>
      </c>
      <c r="E999" t="s">
        <v>2882</v>
      </c>
      <c r="F999" t="s">
        <v>3352</v>
      </c>
    </row>
    <row r="1000" spans="1:6" x14ac:dyDescent="0.45">
      <c r="A1000" t="str">
        <f t="shared" si="15"/>
        <v>ET13,89</v>
      </c>
      <c r="B1000">
        <v>89</v>
      </c>
      <c r="C1000">
        <v>41.150399999999998</v>
      </c>
      <c r="D1000">
        <v>35.286181033925097</v>
      </c>
      <c r="E1000" t="s">
        <v>2882</v>
      </c>
      <c r="F1000" t="s">
        <v>3352</v>
      </c>
    </row>
    <row r="1001" spans="1:6" x14ac:dyDescent="0.45">
      <c r="A1001" t="str">
        <f t="shared" si="15"/>
        <v>ET13,90</v>
      </c>
      <c r="B1001">
        <v>90</v>
      </c>
      <c r="C1001">
        <v>31.733599999999999</v>
      </c>
      <c r="D1001">
        <v>26.054402651857298</v>
      </c>
      <c r="E1001" t="s">
        <v>2882</v>
      </c>
      <c r="F1001" t="s">
        <v>3352</v>
      </c>
    </row>
    <row r="1002" spans="1:6" x14ac:dyDescent="0.45">
      <c r="A1002" t="str">
        <f t="shared" si="15"/>
        <v>ET13,91</v>
      </c>
      <c r="B1002">
        <v>91</v>
      </c>
      <c r="C1002">
        <v>22.316800000000001</v>
      </c>
      <c r="D1002">
        <v>18.654016179859699</v>
      </c>
      <c r="E1002" t="s">
        <v>2882</v>
      </c>
      <c r="F1002" t="s">
        <v>3352</v>
      </c>
    </row>
    <row r="1003" spans="1:6" x14ac:dyDescent="0.45">
      <c r="A1003" t="str">
        <f t="shared" si="15"/>
        <v>ET13,92</v>
      </c>
      <c r="B1003">
        <v>92</v>
      </c>
      <c r="C1003">
        <v>12.9</v>
      </c>
      <c r="D1003">
        <v>12.9</v>
      </c>
      <c r="E1003" t="s">
        <v>2882</v>
      </c>
      <c r="F1003" t="s">
        <v>3352</v>
      </c>
    </row>
    <row r="1004" spans="1:6" x14ac:dyDescent="0.45">
      <c r="A1004" t="str">
        <f t="shared" si="15"/>
        <v>ET13,93</v>
      </c>
      <c r="B1004">
        <v>93</v>
      </c>
      <c r="C1004">
        <v>10.621600000000001</v>
      </c>
      <c r="D1004">
        <v>8.6005987595047095</v>
      </c>
      <c r="E1004" t="s">
        <v>2882</v>
      </c>
      <c r="F1004" t="s">
        <v>3352</v>
      </c>
    </row>
    <row r="1005" spans="1:6" x14ac:dyDescent="0.45">
      <c r="A1005" t="str">
        <f t="shared" si="15"/>
        <v>ET13,94</v>
      </c>
      <c r="B1005">
        <v>94</v>
      </c>
      <c r="C1005">
        <v>8.3431999999999995</v>
      </c>
      <c r="D1005">
        <v>5.5371221662360197</v>
      </c>
      <c r="E1005" t="s">
        <v>2882</v>
      </c>
      <c r="F1005" t="s">
        <v>3352</v>
      </c>
    </row>
    <row r="1006" spans="1:6" x14ac:dyDescent="0.45">
      <c r="A1006" t="str">
        <f t="shared" si="15"/>
        <v>ET13,95</v>
      </c>
      <c r="B1006">
        <v>95</v>
      </c>
      <c r="C1006">
        <v>6.0648</v>
      </c>
      <c r="D1006">
        <v>3.4841461932149902</v>
      </c>
      <c r="E1006" t="s">
        <v>2882</v>
      </c>
      <c r="F1006" t="s">
        <v>3352</v>
      </c>
    </row>
    <row r="1007" spans="1:6" x14ac:dyDescent="0.45">
      <c r="A1007" t="str">
        <f t="shared" si="15"/>
        <v>ET13,96</v>
      </c>
      <c r="B1007">
        <v>96</v>
      </c>
      <c r="C1007">
        <v>3.7864</v>
      </c>
      <c r="D1007">
        <v>2.2162468134626301</v>
      </c>
      <c r="E1007" t="s">
        <v>2882</v>
      </c>
      <c r="F1007" t="s">
        <v>3352</v>
      </c>
    </row>
    <row r="1008" spans="1:6" x14ac:dyDescent="0.45">
      <c r="A1008" t="str">
        <f t="shared" si="15"/>
        <v>ET13,97</v>
      </c>
      <c r="B1008">
        <v>97</v>
      </c>
      <c r="C1008">
        <v>1.508</v>
      </c>
      <c r="D1008">
        <v>1.508</v>
      </c>
      <c r="E1008" t="s">
        <v>2882</v>
      </c>
      <c r="F1008" t="s">
        <v>3352</v>
      </c>
    </row>
    <row r="1009" spans="1:6" x14ac:dyDescent="0.45">
      <c r="A1009" t="str">
        <f t="shared" si="15"/>
        <v>ET13,98</v>
      </c>
      <c r="B1009">
        <v>98</v>
      </c>
      <c r="C1009">
        <v>1.33866666666667</v>
      </c>
      <c r="D1009">
        <v>1.1529841448273599</v>
      </c>
      <c r="E1009" t="s">
        <v>2882</v>
      </c>
      <c r="F1009" t="s">
        <v>3352</v>
      </c>
    </row>
    <row r="1010" spans="1:6" x14ac:dyDescent="0.45">
      <c r="A1010" t="str">
        <f t="shared" si="15"/>
        <v>ET13,99</v>
      </c>
      <c r="B1010">
        <v>99</v>
      </c>
      <c r="C1010">
        <v>1.16933333333333</v>
      </c>
      <c r="D1010">
        <v>1.0207873158618801</v>
      </c>
      <c r="E1010" t="s">
        <v>2882</v>
      </c>
      <c r="F1010" t="s">
        <v>3352</v>
      </c>
    </row>
    <row r="1011" spans="1:6" x14ac:dyDescent="0.45">
      <c r="A1011" t="str">
        <f t="shared" si="15"/>
        <v>ET13,100</v>
      </c>
      <c r="B1011">
        <v>100</v>
      </c>
      <c r="C1011">
        <v>1</v>
      </c>
      <c r="D1011">
        <v>1</v>
      </c>
      <c r="E1011" t="s">
        <v>2882</v>
      </c>
      <c r="F1011" t="s">
        <v>3352</v>
      </c>
    </row>
    <row r="1012" spans="1:6" x14ac:dyDescent="0.45">
      <c r="A1012" t="str">
        <f t="shared" si="15"/>
        <v>ET14,&lt;1</v>
      </c>
      <c r="B1012" t="s">
        <v>119</v>
      </c>
      <c r="C1012">
        <v>31779.376993618898</v>
      </c>
      <c r="D1012">
        <v>31779.376993618898</v>
      </c>
      <c r="E1012" t="s">
        <v>2884</v>
      </c>
      <c r="F1012" t="s">
        <v>3348</v>
      </c>
    </row>
    <row r="1013" spans="1:6" x14ac:dyDescent="0.45">
      <c r="A1013" t="str">
        <f t="shared" si="15"/>
        <v>ET14,1</v>
      </c>
      <c r="B1013">
        <v>1</v>
      </c>
      <c r="C1013">
        <v>30572.326111326001</v>
      </c>
      <c r="D1013">
        <v>30533.6298368235</v>
      </c>
      <c r="E1013" t="s">
        <v>2884</v>
      </c>
      <c r="F1013" t="s">
        <v>3348</v>
      </c>
    </row>
    <row r="1014" spans="1:6" x14ac:dyDescent="0.45">
      <c r="A1014" t="str">
        <f t="shared" si="15"/>
        <v>ET14,2</v>
      </c>
      <c r="B1014">
        <v>2</v>
      </c>
      <c r="C1014">
        <v>29365.275229032999</v>
      </c>
      <c r="D1014">
        <v>29365.275229032999</v>
      </c>
      <c r="E1014" t="s">
        <v>2884</v>
      </c>
      <c r="F1014" t="s">
        <v>3348</v>
      </c>
    </row>
    <row r="1015" spans="1:6" x14ac:dyDescent="0.45">
      <c r="A1015" t="str">
        <f t="shared" si="15"/>
        <v>ET14,3</v>
      </c>
      <c r="B1015">
        <v>3</v>
      </c>
      <c r="C1015">
        <v>28852.8665459435</v>
      </c>
      <c r="D1015">
        <v>28346.986536638498</v>
      </c>
      <c r="E1015" t="s">
        <v>2884</v>
      </c>
      <c r="F1015" t="s">
        <v>3348</v>
      </c>
    </row>
    <row r="1016" spans="1:6" x14ac:dyDescent="0.45">
      <c r="A1016" t="str">
        <f t="shared" si="15"/>
        <v>ET14,4</v>
      </c>
      <c r="B1016">
        <v>4</v>
      </c>
      <c r="C1016">
        <v>28340.457862854</v>
      </c>
      <c r="D1016">
        <v>27532.560395575201</v>
      </c>
      <c r="E1016" t="s">
        <v>2884</v>
      </c>
      <c r="F1016" t="s">
        <v>3348</v>
      </c>
    </row>
    <row r="1017" spans="1:6" x14ac:dyDescent="0.45">
      <c r="A1017" t="str">
        <f t="shared" si="15"/>
        <v>ET14,5</v>
      </c>
      <c r="B1017">
        <v>5</v>
      </c>
      <c r="C1017">
        <v>27828.049179764599</v>
      </c>
      <c r="D1017">
        <v>26971.074259164401</v>
      </c>
      <c r="E1017" t="s">
        <v>2884</v>
      </c>
      <c r="F1017" t="s">
        <v>3348</v>
      </c>
    </row>
    <row r="1018" spans="1:6" x14ac:dyDescent="0.45">
      <c r="A1018" t="str">
        <f t="shared" si="15"/>
        <v>ET14,6</v>
      </c>
      <c r="B1018">
        <v>6</v>
      </c>
      <c r="C1018">
        <v>27315.6404966751</v>
      </c>
      <c r="D1018">
        <v>26711.605580727399</v>
      </c>
      <c r="E1018" t="s">
        <v>2884</v>
      </c>
      <c r="F1018" t="s">
        <v>3348</v>
      </c>
    </row>
    <row r="1019" spans="1:6" x14ac:dyDescent="0.45">
      <c r="A1019" t="str">
        <f t="shared" si="15"/>
        <v>ET14,7</v>
      </c>
      <c r="B1019">
        <v>7</v>
      </c>
      <c r="C1019">
        <v>26803.2318135856</v>
      </c>
      <c r="D1019">
        <v>26803.2318135856</v>
      </c>
      <c r="E1019" t="s">
        <v>2884</v>
      </c>
      <c r="F1019" t="s">
        <v>3348</v>
      </c>
    </row>
    <row r="1020" spans="1:6" x14ac:dyDescent="0.45">
      <c r="A1020" t="str">
        <f t="shared" si="15"/>
        <v>ET14,8</v>
      </c>
      <c r="B1020">
        <v>8</v>
      </c>
      <c r="C1020">
        <v>28862.519124151899</v>
      </c>
      <c r="D1020">
        <v>27317.863777883202</v>
      </c>
      <c r="E1020" t="s">
        <v>2884</v>
      </c>
      <c r="F1020" t="s">
        <v>3348</v>
      </c>
    </row>
    <row r="1021" spans="1:6" x14ac:dyDescent="0.45">
      <c r="A1021" t="str">
        <f t="shared" si="15"/>
        <v>ET14,9</v>
      </c>
      <c r="B1021">
        <v>9</v>
      </c>
      <c r="C1021">
        <v>30921.806434718201</v>
      </c>
      <c r="D1021">
        <v>28418.745761056201</v>
      </c>
      <c r="E1021" t="s">
        <v>2884</v>
      </c>
      <c r="F1021" t="s">
        <v>3348</v>
      </c>
    </row>
    <row r="1022" spans="1:6" x14ac:dyDescent="0.45">
      <c r="A1022" t="str">
        <f t="shared" si="15"/>
        <v>ET14,10</v>
      </c>
      <c r="B1022">
        <v>10</v>
      </c>
      <c r="C1022">
        <v>32981.093745284597</v>
      </c>
      <c r="D1022">
        <v>30291.955417363599</v>
      </c>
      <c r="E1022" t="s">
        <v>2884</v>
      </c>
      <c r="F1022" t="s">
        <v>3348</v>
      </c>
    </row>
    <row r="1023" spans="1:6" x14ac:dyDescent="0.45">
      <c r="A1023" t="str">
        <f t="shared" si="15"/>
        <v>ET14,11</v>
      </c>
      <c r="B1023">
        <v>11</v>
      </c>
      <c r="C1023">
        <v>35040.381055850899</v>
      </c>
      <c r="D1023">
        <v>33123.570401064302</v>
      </c>
      <c r="E1023" t="s">
        <v>2884</v>
      </c>
      <c r="F1023" t="s">
        <v>3348</v>
      </c>
    </row>
    <row r="1024" spans="1:6" x14ac:dyDescent="0.45">
      <c r="A1024" t="str">
        <f t="shared" si="15"/>
        <v>ET14,12</v>
      </c>
      <c r="B1024">
        <v>12</v>
      </c>
      <c r="C1024">
        <v>37099.668366417201</v>
      </c>
      <c r="D1024">
        <v>37099.668366417201</v>
      </c>
      <c r="E1024" t="s">
        <v>2884</v>
      </c>
      <c r="F1024" t="s">
        <v>3348</v>
      </c>
    </row>
    <row r="1025" spans="1:6" x14ac:dyDescent="0.45">
      <c r="A1025" t="str">
        <f t="shared" si="15"/>
        <v>ET14,13</v>
      </c>
      <c r="B1025">
        <v>13</v>
      </c>
      <c r="C1025">
        <v>42307.325012056201</v>
      </c>
      <c r="D1025">
        <v>42266.149613902002</v>
      </c>
      <c r="E1025" t="s">
        <v>2884</v>
      </c>
      <c r="F1025" t="s">
        <v>3348</v>
      </c>
    </row>
    <row r="1026" spans="1:6" x14ac:dyDescent="0.45">
      <c r="A1026" t="str">
        <f t="shared" si="15"/>
        <v>ET14,14</v>
      </c>
      <c r="B1026">
        <v>14</v>
      </c>
      <c r="C1026">
        <v>47514.981657695098</v>
      </c>
      <c r="D1026">
        <v>48108.205028880897</v>
      </c>
      <c r="E1026" t="s">
        <v>2884</v>
      </c>
      <c r="F1026" t="s">
        <v>3348</v>
      </c>
    </row>
    <row r="1027" spans="1:6" x14ac:dyDescent="0.45">
      <c r="A1027" t="str">
        <f t="shared" ref="A1027:A1090" si="16">_xlfn.CONCAT(E1027,",",B1027)</f>
        <v>ET14,15</v>
      </c>
      <c r="B1027">
        <v>15</v>
      </c>
      <c r="C1027">
        <v>52722.638303334097</v>
      </c>
      <c r="D1027">
        <v>53970.848142936899</v>
      </c>
      <c r="E1027" t="s">
        <v>2884</v>
      </c>
      <c r="F1027" t="s">
        <v>3348</v>
      </c>
    </row>
    <row r="1028" spans="1:6" x14ac:dyDescent="0.45">
      <c r="A1028" t="str">
        <f t="shared" si="16"/>
        <v>ET14,16</v>
      </c>
      <c r="B1028">
        <v>16</v>
      </c>
      <c r="C1028">
        <v>57930.294948973002</v>
      </c>
      <c r="D1028">
        <v>59199.092487652902</v>
      </c>
      <c r="E1028" t="s">
        <v>2884</v>
      </c>
      <c r="F1028" t="s">
        <v>3348</v>
      </c>
    </row>
    <row r="1029" spans="1:6" x14ac:dyDescent="0.45">
      <c r="A1029" t="str">
        <f t="shared" si="16"/>
        <v>ET14,17</v>
      </c>
      <c r="B1029">
        <v>17</v>
      </c>
      <c r="C1029">
        <v>63137.951594612001</v>
      </c>
      <c r="D1029">
        <v>63137.951594612001</v>
      </c>
      <c r="E1029" t="s">
        <v>2884</v>
      </c>
      <c r="F1029" t="s">
        <v>3348</v>
      </c>
    </row>
    <row r="1030" spans="1:6" x14ac:dyDescent="0.45">
      <c r="A1030" t="str">
        <f t="shared" si="16"/>
        <v>ET14,18</v>
      </c>
      <c r="B1030">
        <v>18</v>
      </c>
      <c r="C1030">
        <v>63164.522671117797</v>
      </c>
      <c r="D1030">
        <v>65314.0699138665</v>
      </c>
      <c r="E1030" t="s">
        <v>2884</v>
      </c>
      <c r="F1030" t="s">
        <v>3348</v>
      </c>
    </row>
    <row r="1031" spans="1:6" x14ac:dyDescent="0.45">
      <c r="A1031" t="str">
        <f t="shared" si="16"/>
        <v>ET14,19</v>
      </c>
      <c r="B1031">
        <v>19</v>
      </c>
      <c r="C1031">
        <v>63191.093747623498</v>
      </c>
      <c r="D1031">
        <v>65980.615569346905</v>
      </c>
      <c r="E1031" t="s">
        <v>2884</v>
      </c>
      <c r="F1031" t="s">
        <v>3348</v>
      </c>
    </row>
    <row r="1032" spans="1:6" x14ac:dyDescent="0.45">
      <c r="A1032" t="str">
        <f t="shared" si="16"/>
        <v>ET14,20</v>
      </c>
      <c r="B1032">
        <v>20</v>
      </c>
      <c r="C1032">
        <v>63217.664824129301</v>
      </c>
      <c r="D1032">
        <v>65572.387603452793</v>
      </c>
      <c r="E1032" t="s">
        <v>2884</v>
      </c>
      <c r="F1032" t="s">
        <v>3348</v>
      </c>
    </row>
    <row r="1033" spans="1:6" x14ac:dyDescent="0.45">
      <c r="A1033" t="str">
        <f t="shared" si="16"/>
        <v>ET14,21</v>
      </c>
      <c r="B1033">
        <v>21</v>
      </c>
      <c r="C1033">
        <v>63244.235900635002</v>
      </c>
      <c r="D1033">
        <v>64524.185058584197</v>
      </c>
      <c r="E1033" t="s">
        <v>2884</v>
      </c>
      <c r="F1033" t="s">
        <v>3348</v>
      </c>
    </row>
    <row r="1034" spans="1:6" x14ac:dyDescent="0.45">
      <c r="A1034" t="str">
        <f t="shared" si="16"/>
        <v>ET14,22</v>
      </c>
      <c r="B1034">
        <v>22</v>
      </c>
      <c r="C1034">
        <v>63270.806977140797</v>
      </c>
      <c r="D1034">
        <v>63270.806977140797</v>
      </c>
      <c r="E1034" t="s">
        <v>2884</v>
      </c>
      <c r="F1034" t="s">
        <v>3348</v>
      </c>
    </row>
    <row r="1035" spans="1:6" x14ac:dyDescent="0.45">
      <c r="A1035" t="str">
        <f t="shared" si="16"/>
        <v>ET14,23</v>
      </c>
      <c r="B1035">
        <v>23</v>
      </c>
      <c r="C1035">
        <v>61432.713432004399</v>
      </c>
      <c r="D1035">
        <v>62126.541115491702</v>
      </c>
      <c r="E1035" t="s">
        <v>2884</v>
      </c>
      <c r="F1035" t="s">
        <v>3348</v>
      </c>
    </row>
    <row r="1036" spans="1:6" x14ac:dyDescent="0.45">
      <c r="A1036" t="str">
        <f t="shared" si="16"/>
        <v>ET14,24</v>
      </c>
      <c r="B1036">
        <v>24</v>
      </c>
      <c r="C1036">
        <v>59594.619886867898</v>
      </c>
      <c r="D1036">
        <v>60923.630085883298</v>
      </c>
      <c r="E1036" t="s">
        <v>2884</v>
      </c>
      <c r="F1036" t="s">
        <v>3348</v>
      </c>
    </row>
    <row r="1037" spans="1:6" x14ac:dyDescent="0.45">
      <c r="A1037" t="str">
        <f t="shared" si="16"/>
        <v>ET14,25</v>
      </c>
      <c r="B1037">
        <v>25</v>
      </c>
      <c r="C1037">
        <v>57756.5263417315</v>
      </c>
      <c r="D1037">
        <v>59373.805214531298</v>
      </c>
      <c r="E1037" t="s">
        <v>2884</v>
      </c>
      <c r="F1037" t="s">
        <v>3348</v>
      </c>
    </row>
    <row r="1038" spans="1:6" x14ac:dyDescent="0.45">
      <c r="A1038" t="str">
        <f t="shared" si="16"/>
        <v>ET14,26</v>
      </c>
      <c r="B1038">
        <v>26</v>
      </c>
      <c r="C1038">
        <v>55918.432796595</v>
      </c>
      <c r="D1038">
        <v>57188.797827651098</v>
      </c>
      <c r="E1038" t="s">
        <v>2884</v>
      </c>
      <c r="F1038" t="s">
        <v>3348</v>
      </c>
    </row>
    <row r="1039" spans="1:6" x14ac:dyDescent="0.45">
      <c r="A1039" t="str">
        <f t="shared" si="16"/>
        <v>ET14,27</v>
      </c>
      <c r="B1039">
        <v>27</v>
      </c>
      <c r="C1039">
        <v>54080.339251458601</v>
      </c>
      <c r="D1039">
        <v>54080.339251458601</v>
      </c>
      <c r="E1039" t="s">
        <v>2884</v>
      </c>
      <c r="F1039" t="s">
        <v>3348</v>
      </c>
    </row>
    <row r="1040" spans="1:6" x14ac:dyDescent="0.45">
      <c r="A1040" t="str">
        <f t="shared" si="16"/>
        <v>ET14,28</v>
      </c>
      <c r="B1040">
        <v>28</v>
      </c>
      <c r="C1040">
        <v>49662.406957941603</v>
      </c>
      <c r="D1040">
        <v>49899.311234853398</v>
      </c>
      <c r="E1040" t="s">
        <v>2884</v>
      </c>
      <c r="F1040" t="s">
        <v>3348</v>
      </c>
    </row>
    <row r="1041" spans="1:6" x14ac:dyDescent="0.45">
      <c r="A1041" t="str">
        <f t="shared" si="16"/>
        <v>ET14,29</v>
      </c>
      <c r="B1041">
        <v>29</v>
      </c>
      <c r="C1041">
        <v>45244.474664424597</v>
      </c>
      <c r="D1041">
        <v>45053.197217471898</v>
      </c>
      <c r="E1041" t="s">
        <v>2884</v>
      </c>
      <c r="F1041" t="s">
        <v>3348</v>
      </c>
    </row>
    <row r="1042" spans="1:6" x14ac:dyDescent="0.45">
      <c r="A1042" t="str">
        <f t="shared" si="16"/>
        <v>ET14,30</v>
      </c>
      <c r="B1042">
        <v>30</v>
      </c>
      <c r="C1042">
        <v>40826.542370907599</v>
      </c>
      <c r="D1042">
        <v>40088.6310616345</v>
      </c>
      <c r="E1042" t="s">
        <v>2884</v>
      </c>
      <c r="F1042" t="s">
        <v>3348</v>
      </c>
    </row>
    <row r="1043" spans="1:6" x14ac:dyDescent="0.45">
      <c r="A1043" t="str">
        <f t="shared" si="16"/>
        <v>ET14,31</v>
      </c>
      <c r="B1043">
        <v>31</v>
      </c>
      <c r="C1043">
        <v>36408.6100773906</v>
      </c>
      <c r="D1043">
        <v>35552.246629661502</v>
      </c>
      <c r="E1043" t="s">
        <v>2884</v>
      </c>
      <c r="F1043" t="s">
        <v>3348</v>
      </c>
    </row>
    <row r="1044" spans="1:6" x14ac:dyDescent="0.45">
      <c r="A1044" t="str">
        <f t="shared" si="16"/>
        <v>ET14,32</v>
      </c>
      <c r="B1044">
        <v>32</v>
      </c>
      <c r="C1044">
        <v>31990.677783873602</v>
      </c>
      <c r="D1044">
        <v>31990.677783873602</v>
      </c>
      <c r="E1044" t="s">
        <v>2884</v>
      </c>
      <c r="F1044" t="s">
        <v>3348</v>
      </c>
    </row>
    <row r="1045" spans="1:6" x14ac:dyDescent="0.45">
      <c r="A1045" t="str">
        <f t="shared" si="16"/>
        <v>ET14,33</v>
      </c>
      <c r="B1045">
        <v>33</v>
      </c>
      <c r="C1045">
        <v>30904.3501978846</v>
      </c>
      <c r="D1045">
        <v>29779.532685191101</v>
      </c>
      <c r="E1045" t="s">
        <v>2884</v>
      </c>
      <c r="F1045" t="s">
        <v>3348</v>
      </c>
    </row>
    <row r="1046" spans="1:6" x14ac:dyDescent="0.45">
      <c r="A1046" t="str">
        <f t="shared" si="16"/>
        <v>ET14,34</v>
      </c>
      <c r="B1046">
        <v>34</v>
      </c>
      <c r="C1046">
        <v>29818.0226118957</v>
      </c>
      <c r="D1046">
        <v>28610.316688934599</v>
      </c>
      <c r="E1046" t="s">
        <v>2884</v>
      </c>
      <c r="F1046" t="s">
        <v>3348</v>
      </c>
    </row>
    <row r="1047" spans="1:6" x14ac:dyDescent="0.45">
      <c r="A1047" t="str">
        <f t="shared" si="16"/>
        <v>ET14,35</v>
      </c>
      <c r="B1047">
        <v>35</v>
      </c>
      <c r="C1047">
        <v>28731.695025906702</v>
      </c>
      <c r="D1047">
        <v>28003.509449025001</v>
      </c>
      <c r="E1047" t="s">
        <v>2884</v>
      </c>
      <c r="F1047" t="s">
        <v>3348</v>
      </c>
    </row>
    <row r="1048" spans="1:6" x14ac:dyDescent="0.45">
      <c r="A1048" t="str">
        <f t="shared" si="16"/>
        <v>ET14,36</v>
      </c>
      <c r="B1048">
        <v>36</v>
      </c>
      <c r="C1048">
        <v>27645.367439917802</v>
      </c>
      <c r="D1048">
        <v>27479.590619382801</v>
      </c>
      <c r="E1048" t="s">
        <v>2884</v>
      </c>
      <c r="F1048" t="s">
        <v>3348</v>
      </c>
    </row>
    <row r="1049" spans="1:6" x14ac:dyDescent="0.45">
      <c r="A1049" t="str">
        <f t="shared" si="16"/>
        <v>ET14,37</v>
      </c>
      <c r="B1049">
        <v>37</v>
      </c>
      <c r="C1049">
        <v>26559.0398539288</v>
      </c>
      <c r="D1049">
        <v>26559.0398539288</v>
      </c>
      <c r="E1049" t="s">
        <v>2884</v>
      </c>
      <c r="F1049" t="s">
        <v>3348</v>
      </c>
    </row>
    <row r="1050" spans="1:6" x14ac:dyDescent="0.45">
      <c r="A1050" t="str">
        <f t="shared" si="16"/>
        <v>ET14,38</v>
      </c>
      <c r="B1050">
        <v>38</v>
      </c>
      <c r="C1050">
        <v>24610.274438576998</v>
      </c>
      <c r="D1050">
        <v>24903.069749787399</v>
      </c>
      <c r="E1050" t="s">
        <v>2884</v>
      </c>
      <c r="F1050" t="s">
        <v>3348</v>
      </c>
    </row>
    <row r="1051" spans="1:6" x14ac:dyDescent="0.45">
      <c r="A1051" t="str">
        <f t="shared" si="16"/>
        <v>ET14,39</v>
      </c>
      <c r="B1051">
        <v>39</v>
      </c>
      <c r="C1051">
        <v>22661.509023225201</v>
      </c>
      <c r="D1051">
        <v>22735.824676897799</v>
      </c>
      <c r="E1051" t="s">
        <v>2884</v>
      </c>
      <c r="F1051" t="s">
        <v>3348</v>
      </c>
    </row>
    <row r="1052" spans="1:6" x14ac:dyDescent="0.45">
      <c r="A1052" t="str">
        <f t="shared" si="16"/>
        <v>ET14,40</v>
      </c>
      <c r="B1052">
        <v>40</v>
      </c>
      <c r="C1052">
        <v>20712.743607873399</v>
      </c>
      <c r="D1052">
        <v>20422.1819484031</v>
      </c>
      <c r="E1052" t="s">
        <v>2884</v>
      </c>
      <c r="F1052" t="s">
        <v>3348</v>
      </c>
    </row>
    <row r="1053" spans="1:6" x14ac:dyDescent="0.45">
      <c r="A1053" t="str">
        <f t="shared" si="16"/>
        <v>ET14,41</v>
      </c>
      <c r="B1053">
        <v>41</v>
      </c>
      <c r="C1053">
        <v>18763.978192521601</v>
      </c>
      <c r="D1053">
        <v>18327.018877446098</v>
      </c>
      <c r="E1053" t="s">
        <v>2884</v>
      </c>
      <c r="F1053" t="s">
        <v>3348</v>
      </c>
    </row>
    <row r="1054" spans="1:6" x14ac:dyDescent="0.45">
      <c r="A1054" t="str">
        <f t="shared" si="16"/>
        <v>ET14,42</v>
      </c>
      <c r="B1054">
        <v>42</v>
      </c>
      <c r="C1054">
        <v>16815.2127771698</v>
      </c>
      <c r="D1054">
        <v>16815.2127771698</v>
      </c>
      <c r="E1054" t="s">
        <v>2884</v>
      </c>
      <c r="F1054" t="s">
        <v>3348</v>
      </c>
    </row>
    <row r="1055" spans="1:6" x14ac:dyDescent="0.45">
      <c r="A1055" t="str">
        <f t="shared" si="16"/>
        <v>ET14,43</v>
      </c>
      <c r="B1055">
        <v>43</v>
      </c>
      <c r="C1055">
        <v>16814.3494208464</v>
      </c>
      <c r="D1055">
        <v>16139.9101863136</v>
      </c>
      <c r="E1055" t="s">
        <v>2884</v>
      </c>
      <c r="F1055" t="s">
        <v>3348</v>
      </c>
    </row>
    <row r="1056" spans="1:6" x14ac:dyDescent="0.45">
      <c r="A1056" t="str">
        <f t="shared" si="16"/>
        <v>ET14,44</v>
      </c>
      <c r="B1056">
        <v>44</v>
      </c>
      <c r="C1056">
        <v>16813.486064523</v>
      </c>
      <c r="D1056">
        <v>16107.334546002399</v>
      </c>
      <c r="E1056" t="s">
        <v>2884</v>
      </c>
      <c r="F1056" t="s">
        <v>3348</v>
      </c>
    </row>
    <row r="1057" spans="1:6" x14ac:dyDescent="0.45">
      <c r="A1057" t="str">
        <f t="shared" si="16"/>
        <v>ET14,45</v>
      </c>
      <c r="B1057">
        <v>45</v>
      </c>
      <c r="C1057">
        <v>16812.6227081996</v>
      </c>
      <c r="D1057">
        <v>16411.978522957699</v>
      </c>
      <c r="E1057" t="s">
        <v>2884</v>
      </c>
      <c r="F1057" t="s">
        <v>3348</v>
      </c>
    </row>
    <row r="1058" spans="1:6" x14ac:dyDescent="0.45">
      <c r="A1058" t="str">
        <f t="shared" si="16"/>
        <v>ET14,46</v>
      </c>
      <c r="B1058">
        <v>46</v>
      </c>
      <c r="C1058">
        <v>16811.759351876201</v>
      </c>
      <c r="D1058">
        <v>16748.3347839007</v>
      </c>
      <c r="E1058" t="s">
        <v>2884</v>
      </c>
      <c r="F1058" t="s">
        <v>3348</v>
      </c>
    </row>
    <row r="1059" spans="1:6" x14ac:dyDescent="0.45">
      <c r="A1059" t="str">
        <f t="shared" si="16"/>
        <v>ET14,47</v>
      </c>
      <c r="B1059">
        <v>47</v>
      </c>
      <c r="C1059">
        <v>16810.895995552801</v>
      </c>
      <c r="D1059">
        <v>16810.895995552801</v>
      </c>
      <c r="E1059" t="s">
        <v>2884</v>
      </c>
      <c r="F1059" t="s">
        <v>3348</v>
      </c>
    </row>
    <row r="1060" spans="1:6" x14ac:dyDescent="0.45">
      <c r="A1060" t="str">
        <f t="shared" si="16"/>
        <v>ET14,48</v>
      </c>
      <c r="B1060">
        <v>48</v>
      </c>
      <c r="C1060">
        <v>16041.026586509301</v>
      </c>
      <c r="D1060">
        <v>16379.255059040601</v>
      </c>
      <c r="E1060" t="s">
        <v>2884</v>
      </c>
      <c r="F1060" t="s">
        <v>3348</v>
      </c>
    </row>
    <row r="1061" spans="1:6" x14ac:dyDescent="0.45">
      <c r="A1061" t="str">
        <f t="shared" si="16"/>
        <v>ET14,49</v>
      </c>
      <c r="B1061">
        <v>49</v>
      </c>
      <c r="C1061">
        <v>15271.1571774658</v>
      </c>
      <c r="D1061">
        <v>15573.405813110699</v>
      </c>
      <c r="E1061" t="s">
        <v>2884</v>
      </c>
      <c r="F1061" t="s">
        <v>3348</v>
      </c>
    </row>
    <row r="1062" spans="1:6" x14ac:dyDescent="0.45">
      <c r="A1062" t="str">
        <f t="shared" si="16"/>
        <v>ET14,50</v>
      </c>
      <c r="B1062">
        <v>50</v>
      </c>
      <c r="C1062">
        <v>14501.2877684224</v>
      </c>
      <c r="D1062">
        <v>14598.442330915301</v>
      </c>
      <c r="E1062" t="s">
        <v>2884</v>
      </c>
      <c r="F1062" t="s">
        <v>3348</v>
      </c>
    </row>
    <row r="1063" spans="1:6" x14ac:dyDescent="0.45">
      <c r="A1063" t="str">
        <f t="shared" si="16"/>
        <v>ET14,51</v>
      </c>
      <c r="B1063">
        <v>51</v>
      </c>
      <c r="C1063">
        <v>13731.4183593789</v>
      </c>
      <c r="D1063">
        <v>13659.4586856062</v>
      </c>
      <c r="E1063" t="s">
        <v>2884</v>
      </c>
      <c r="F1063" t="s">
        <v>3348</v>
      </c>
    </row>
    <row r="1064" spans="1:6" x14ac:dyDescent="0.45">
      <c r="A1064" t="str">
        <f t="shared" si="16"/>
        <v>ET14,52</v>
      </c>
      <c r="B1064">
        <v>52</v>
      </c>
      <c r="C1064">
        <v>12961.5489503354</v>
      </c>
      <c r="D1064">
        <v>12961.5489503354</v>
      </c>
      <c r="E1064" t="s">
        <v>2884</v>
      </c>
      <c r="F1064" t="s">
        <v>3348</v>
      </c>
    </row>
    <row r="1065" spans="1:6" x14ac:dyDescent="0.45">
      <c r="A1065" t="str">
        <f t="shared" si="16"/>
        <v>ET14,53</v>
      </c>
      <c r="B1065">
        <v>53</v>
      </c>
      <c r="C1065">
        <v>12822.796104925599</v>
      </c>
      <c r="D1065">
        <v>12645.818264162101</v>
      </c>
      <c r="E1065" t="s">
        <v>2884</v>
      </c>
      <c r="F1065" t="s">
        <v>3348</v>
      </c>
    </row>
    <row r="1066" spans="1:6" x14ac:dyDescent="0.45">
      <c r="A1066" t="str">
        <f t="shared" si="16"/>
        <v>ET14,54</v>
      </c>
      <c r="B1066">
        <v>54</v>
      </c>
      <c r="C1066">
        <v>12684.0432595158</v>
      </c>
      <c r="D1066">
        <v>12597.4160297748</v>
      </c>
      <c r="E1066" t="s">
        <v>2884</v>
      </c>
      <c r="F1066" t="s">
        <v>3348</v>
      </c>
    </row>
    <row r="1067" spans="1:6" x14ac:dyDescent="0.45">
      <c r="A1067" t="str">
        <f t="shared" si="16"/>
        <v>ET14,55</v>
      </c>
      <c r="B1067">
        <v>55</v>
      </c>
      <c r="C1067">
        <v>12545.290414105901</v>
      </c>
      <c r="D1067">
        <v>12637.5027157692</v>
      </c>
      <c r="E1067" t="s">
        <v>2884</v>
      </c>
      <c r="F1067" t="s">
        <v>3348</v>
      </c>
    </row>
    <row r="1068" spans="1:6" x14ac:dyDescent="0.45">
      <c r="A1068" t="str">
        <f t="shared" si="16"/>
        <v>ET14,56</v>
      </c>
      <c r="B1068">
        <v>56</v>
      </c>
      <c r="C1068">
        <v>12406.5375686961</v>
      </c>
      <c r="D1068">
        <v>12587.238790741099</v>
      </c>
      <c r="E1068" t="s">
        <v>2884</v>
      </c>
      <c r="F1068" t="s">
        <v>3348</v>
      </c>
    </row>
    <row r="1069" spans="1:6" x14ac:dyDescent="0.45">
      <c r="A1069" t="str">
        <f t="shared" si="16"/>
        <v>ET14,57</v>
      </c>
      <c r="B1069">
        <v>57</v>
      </c>
      <c r="C1069">
        <v>12267.784723286301</v>
      </c>
      <c r="D1069">
        <v>12267.784723286301</v>
      </c>
      <c r="E1069" t="s">
        <v>2884</v>
      </c>
      <c r="F1069" t="s">
        <v>3348</v>
      </c>
    </row>
    <row r="1070" spans="1:6" x14ac:dyDescent="0.45">
      <c r="A1070" t="str">
        <f t="shared" si="16"/>
        <v>ET14,58</v>
      </c>
      <c r="B1070">
        <v>58</v>
      </c>
      <c r="C1070">
        <v>11348.1781505812</v>
      </c>
      <c r="D1070">
        <v>11558.6727676749</v>
      </c>
      <c r="E1070" t="s">
        <v>2884</v>
      </c>
      <c r="F1070" t="s">
        <v>3348</v>
      </c>
    </row>
    <row r="1071" spans="1:6" x14ac:dyDescent="0.45">
      <c r="A1071" t="str">
        <f t="shared" si="16"/>
        <v>ET14,59</v>
      </c>
      <c r="B1071">
        <v>59</v>
      </c>
      <c r="C1071">
        <v>10428.571577876</v>
      </c>
      <c r="D1071">
        <v>10572.922320874501</v>
      </c>
      <c r="E1071" t="s">
        <v>2884</v>
      </c>
      <c r="F1071" t="s">
        <v>3348</v>
      </c>
    </row>
    <row r="1072" spans="1:6" x14ac:dyDescent="0.45">
      <c r="A1072" t="str">
        <f t="shared" si="16"/>
        <v>ET14,60</v>
      </c>
      <c r="B1072">
        <v>60</v>
      </c>
      <c r="C1072">
        <v>9508.9650051709104</v>
      </c>
      <c r="D1072">
        <v>9481.9245655273498</v>
      </c>
      <c r="E1072" t="s">
        <v>2884</v>
      </c>
      <c r="F1072" t="s">
        <v>3348</v>
      </c>
    </row>
    <row r="1073" spans="1:6" x14ac:dyDescent="0.45">
      <c r="A1073" t="str">
        <f t="shared" si="16"/>
        <v>ET14,61</v>
      </c>
      <c r="B1073">
        <v>61</v>
      </c>
      <c r="C1073">
        <v>8589.3584324657695</v>
      </c>
      <c r="D1073">
        <v>8457.0706842753498</v>
      </c>
      <c r="E1073" t="s">
        <v>2884</v>
      </c>
      <c r="F1073" t="s">
        <v>3348</v>
      </c>
    </row>
    <row r="1074" spans="1:6" x14ac:dyDescent="0.45">
      <c r="A1074" t="str">
        <f t="shared" si="16"/>
        <v>ET14,62</v>
      </c>
      <c r="B1074">
        <v>62</v>
      </c>
      <c r="C1074">
        <v>7669.7518597606404</v>
      </c>
      <c r="D1074">
        <v>7669.7518597606404</v>
      </c>
      <c r="E1074" t="s">
        <v>2884</v>
      </c>
      <c r="F1074" t="s">
        <v>3348</v>
      </c>
    </row>
    <row r="1075" spans="1:6" x14ac:dyDescent="0.45">
      <c r="A1075" t="str">
        <f t="shared" si="16"/>
        <v>ET14,63</v>
      </c>
      <c r="B1075">
        <v>63</v>
      </c>
      <c r="C1075">
        <v>7534.7993243741103</v>
      </c>
      <c r="D1075">
        <v>7240.9601882421503</v>
      </c>
      <c r="E1075" t="s">
        <v>2884</v>
      </c>
      <c r="F1075" t="s">
        <v>3348</v>
      </c>
    </row>
    <row r="1076" spans="1:6" x14ac:dyDescent="0.45">
      <c r="A1076" t="str">
        <f t="shared" si="16"/>
        <v>ET14,64</v>
      </c>
      <c r="B1076">
        <v>64</v>
      </c>
      <c r="C1076">
        <v>7399.8467889875801</v>
      </c>
      <c r="D1076">
        <v>7090.0914204463197</v>
      </c>
      <c r="E1076" t="s">
        <v>2884</v>
      </c>
      <c r="F1076" t="s">
        <v>3348</v>
      </c>
    </row>
    <row r="1077" spans="1:6" x14ac:dyDescent="0.45">
      <c r="A1077" t="str">
        <f t="shared" si="16"/>
        <v>ET14,65</v>
      </c>
      <c r="B1077">
        <v>65</v>
      </c>
      <c r="C1077">
        <v>7264.89425360104</v>
      </c>
      <c r="D1077">
        <v>7086.1422207164696</v>
      </c>
      <c r="E1077" t="s">
        <v>2884</v>
      </c>
      <c r="F1077" t="s">
        <v>3348</v>
      </c>
    </row>
    <row r="1078" spans="1:6" x14ac:dyDescent="0.45">
      <c r="A1078" t="str">
        <f t="shared" si="16"/>
        <v>ET14,66</v>
      </c>
      <c r="B1078">
        <v>66</v>
      </c>
      <c r="C1078">
        <v>7129.9417182145098</v>
      </c>
      <c r="D1078">
        <v>7098.1092533959199</v>
      </c>
      <c r="E1078" t="s">
        <v>2884</v>
      </c>
      <c r="F1078" t="s">
        <v>3348</v>
      </c>
    </row>
    <row r="1079" spans="1:6" x14ac:dyDescent="0.45">
      <c r="A1079" t="str">
        <f t="shared" si="16"/>
        <v>ET14,67</v>
      </c>
      <c r="B1079">
        <v>67</v>
      </c>
      <c r="C1079">
        <v>6994.9891828279797</v>
      </c>
      <c r="D1079">
        <v>6994.9891828279797</v>
      </c>
      <c r="E1079" t="s">
        <v>2884</v>
      </c>
      <c r="F1079" t="s">
        <v>3348</v>
      </c>
    </row>
    <row r="1080" spans="1:6" x14ac:dyDescent="0.45">
      <c r="A1080" t="str">
        <f t="shared" si="16"/>
        <v>ET14,68</v>
      </c>
      <c r="B1080">
        <v>68</v>
      </c>
      <c r="C1080">
        <v>6491.9126394589503</v>
      </c>
      <c r="D1080">
        <v>6680.2718008174897</v>
      </c>
      <c r="E1080" t="s">
        <v>2884</v>
      </c>
      <c r="F1080" t="s">
        <v>3348</v>
      </c>
    </row>
    <row r="1081" spans="1:6" x14ac:dyDescent="0.45">
      <c r="A1081" t="str">
        <f t="shared" si="16"/>
        <v>ET14,69</v>
      </c>
      <c r="B1081">
        <v>69</v>
      </c>
      <c r="C1081">
        <v>5988.8360960899199</v>
      </c>
      <c r="D1081">
        <v>6195.4194090153296</v>
      </c>
      <c r="E1081" t="s">
        <v>2884</v>
      </c>
      <c r="F1081" t="s">
        <v>3348</v>
      </c>
    </row>
    <row r="1082" spans="1:6" x14ac:dyDescent="0.45">
      <c r="A1082" t="str">
        <f t="shared" si="16"/>
        <v>ET14,70</v>
      </c>
      <c r="B1082">
        <v>70</v>
      </c>
      <c r="C1082">
        <v>5485.7595527208796</v>
      </c>
      <c r="D1082">
        <v>5616.3874365338997</v>
      </c>
      <c r="E1082" t="s">
        <v>2884</v>
      </c>
      <c r="F1082" t="s">
        <v>3348</v>
      </c>
    </row>
    <row r="1083" spans="1:6" x14ac:dyDescent="0.45">
      <c r="A1083" t="str">
        <f t="shared" si="16"/>
        <v>ET14,71</v>
      </c>
      <c r="B1083">
        <v>71</v>
      </c>
      <c r="C1083">
        <v>4982.6830093518502</v>
      </c>
      <c r="D1083">
        <v>5019.1313124855997</v>
      </c>
      <c r="E1083" t="s">
        <v>2884</v>
      </c>
      <c r="F1083" t="s">
        <v>3348</v>
      </c>
    </row>
    <row r="1084" spans="1:6" x14ac:dyDescent="0.45">
      <c r="A1084" t="str">
        <f t="shared" si="16"/>
        <v>ET14,72</v>
      </c>
      <c r="B1084">
        <v>72</v>
      </c>
      <c r="C1084">
        <v>4479.6064659828198</v>
      </c>
      <c r="D1084">
        <v>4479.6064659828198</v>
      </c>
      <c r="E1084" t="s">
        <v>2884</v>
      </c>
      <c r="F1084" t="s">
        <v>3348</v>
      </c>
    </row>
    <row r="1085" spans="1:6" x14ac:dyDescent="0.45">
      <c r="A1085" t="str">
        <f t="shared" si="16"/>
        <v>ET14,73</v>
      </c>
      <c r="B1085">
        <v>73</v>
      </c>
      <c r="C1085">
        <v>4172.74919761614</v>
      </c>
      <c r="D1085">
        <v>4054.8797558064698</v>
      </c>
      <c r="E1085" t="s">
        <v>2884</v>
      </c>
      <c r="F1085" t="s">
        <v>3348</v>
      </c>
    </row>
    <row r="1086" spans="1:6" x14ac:dyDescent="0.45">
      <c r="A1086" t="str">
        <f t="shared" si="16"/>
        <v>ET14,74</v>
      </c>
      <c r="B1086">
        <v>74</v>
      </c>
      <c r="C1086">
        <v>3865.8919292494502</v>
      </c>
      <c r="D1086">
        <v>3726.4637594115002</v>
      </c>
      <c r="E1086" t="s">
        <v>2884</v>
      </c>
      <c r="F1086" t="s">
        <v>3348</v>
      </c>
    </row>
    <row r="1087" spans="1:6" x14ac:dyDescent="0.45">
      <c r="A1087" t="str">
        <f t="shared" si="16"/>
        <v>ET14,75</v>
      </c>
      <c r="B1087">
        <v>75</v>
      </c>
      <c r="C1087">
        <v>3559.0346608827699</v>
      </c>
      <c r="D1087">
        <v>3456.9824839213602</v>
      </c>
      <c r="E1087" t="s">
        <v>2884</v>
      </c>
      <c r="F1087" t="s">
        <v>3348</v>
      </c>
    </row>
    <row r="1088" spans="1:6" x14ac:dyDescent="0.45">
      <c r="A1088" t="str">
        <f t="shared" si="16"/>
        <v>ET14,76</v>
      </c>
      <c r="B1088">
        <v>76</v>
      </c>
      <c r="C1088">
        <v>3252.1773925160801</v>
      </c>
      <c r="D1088">
        <v>3209.05993645951</v>
      </c>
      <c r="E1088" t="s">
        <v>2884</v>
      </c>
      <c r="F1088" t="s">
        <v>3348</v>
      </c>
    </row>
    <row r="1089" spans="1:6" x14ac:dyDescent="0.45">
      <c r="A1089" t="str">
        <f t="shared" si="16"/>
        <v>ET14,77</v>
      </c>
      <c r="B1089">
        <v>77</v>
      </c>
      <c r="C1089">
        <v>2945.3201241493998</v>
      </c>
      <c r="D1089">
        <v>2945.3201241493998</v>
      </c>
      <c r="E1089" t="s">
        <v>2884</v>
      </c>
      <c r="F1089" t="s">
        <v>3348</v>
      </c>
    </row>
    <row r="1090" spans="1:6" x14ac:dyDescent="0.45">
      <c r="A1090" t="str">
        <f t="shared" si="16"/>
        <v>ET14,78</v>
      </c>
      <c r="B1090">
        <v>78</v>
      </c>
      <c r="C1090">
        <v>2623.7000993195202</v>
      </c>
      <c r="D1090">
        <v>2638.4351954009298</v>
      </c>
      <c r="E1090" t="s">
        <v>2884</v>
      </c>
      <c r="F1090" t="s">
        <v>3348</v>
      </c>
    </row>
    <row r="1091" spans="1:6" x14ac:dyDescent="0.45">
      <c r="A1091" t="str">
        <f t="shared" ref="A1091:A1154" si="17">_xlfn.CONCAT(E1091,",",B1091)</f>
        <v>ET14,79</v>
      </c>
      <c r="B1091">
        <v>79</v>
      </c>
      <c r="C1091">
        <v>2302.0800744896401</v>
      </c>
      <c r="D1091">
        <v>2301.2698637696999</v>
      </c>
      <c r="E1091" t="s">
        <v>2884</v>
      </c>
      <c r="F1091" t="s">
        <v>3348</v>
      </c>
    </row>
    <row r="1092" spans="1:6" x14ac:dyDescent="0.45">
      <c r="A1092" t="str">
        <f t="shared" si="17"/>
        <v>ET14,80</v>
      </c>
      <c r="B1092">
        <v>80</v>
      </c>
      <c r="C1092">
        <v>1980.46004965976</v>
      </c>
      <c r="D1092">
        <v>1956.7369840977799</v>
      </c>
      <c r="E1092" t="s">
        <v>2884</v>
      </c>
      <c r="F1092" t="s">
        <v>3348</v>
      </c>
    </row>
    <row r="1093" spans="1:6" x14ac:dyDescent="0.45">
      <c r="A1093" t="str">
        <f t="shared" si="17"/>
        <v>ET14,81</v>
      </c>
      <c r="B1093">
        <v>81</v>
      </c>
      <c r="C1093">
        <v>1658.8400248298799</v>
      </c>
      <c r="D1093">
        <v>1627.74941122719</v>
      </c>
      <c r="E1093" t="s">
        <v>2884</v>
      </c>
      <c r="F1093" t="s">
        <v>3348</v>
      </c>
    </row>
    <row r="1094" spans="1:6" x14ac:dyDescent="0.45">
      <c r="A1094" t="str">
        <f t="shared" si="17"/>
        <v>ET14,82</v>
      </c>
      <c r="B1094">
        <v>82</v>
      </c>
      <c r="C1094">
        <v>1337.22</v>
      </c>
      <c r="D1094">
        <v>1337.22</v>
      </c>
      <c r="E1094" t="s">
        <v>2884</v>
      </c>
      <c r="F1094" t="s">
        <v>3348</v>
      </c>
    </row>
    <row r="1095" spans="1:6" x14ac:dyDescent="0.45">
      <c r="A1095" t="str">
        <f t="shared" si="17"/>
        <v>ET14,83</v>
      </c>
      <c r="B1095">
        <v>83</v>
      </c>
      <c r="C1095">
        <v>1177.8943999999999</v>
      </c>
      <c r="D1095">
        <v>1102.2791789543501</v>
      </c>
      <c r="E1095" t="s">
        <v>2884</v>
      </c>
      <c r="F1095" t="s">
        <v>3348</v>
      </c>
    </row>
    <row r="1096" spans="1:6" x14ac:dyDescent="0.45">
      <c r="A1096" t="str">
        <f t="shared" si="17"/>
        <v>ET14,84</v>
      </c>
      <c r="B1096">
        <v>84</v>
      </c>
      <c r="C1096">
        <v>1018.5688</v>
      </c>
      <c r="D1096">
        <v>916.92767141283298</v>
      </c>
      <c r="E1096" t="s">
        <v>2884</v>
      </c>
      <c r="F1096" t="s">
        <v>3348</v>
      </c>
    </row>
    <row r="1097" spans="1:6" x14ac:dyDescent="0.45">
      <c r="A1097" t="str">
        <f t="shared" si="17"/>
        <v>ET14,85</v>
      </c>
      <c r="B1097">
        <v>85</v>
      </c>
      <c r="C1097">
        <v>859.2432</v>
      </c>
      <c r="D1097">
        <v>769.38377439413898</v>
      </c>
      <c r="E1097" t="s">
        <v>2884</v>
      </c>
      <c r="F1097" t="s">
        <v>3348</v>
      </c>
    </row>
    <row r="1098" spans="1:6" x14ac:dyDescent="0.45">
      <c r="A1098" t="str">
        <f t="shared" si="17"/>
        <v>ET14,86</v>
      </c>
      <c r="B1098">
        <v>86</v>
      </c>
      <c r="C1098">
        <v>699.91759999999999</v>
      </c>
      <c r="D1098">
        <v>647.865784916964</v>
      </c>
      <c r="E1098" t="s">
        <v>2884</v>
      </c>
      <c r="F1098" t="s">
        <v>3348</v>
      </c>
    </row>
    <row r="1099" spans="1:6" x14ac:dyDescent="0.45">
      <c r="A1099" t="str">
        <f t="shared" si="17"/>
        <v>ET14,87</v>
      </c>
      <c r="B1099">
        <v>87</v>
      </c>
      <c r="C1099">
        <v>540.59199999999998</v>
      </c>
      <c r="D1099">
        <v>540.59199999999998</v>
      </c>
      <c r="E1099" t="s">
        <v>2884</v>
      </c>
      <c r="F1099" t="s">
        <v>3348</v>
      </c>
    </row>
    <row r="1100" spans="1:6" x14ac:dyDescent="0.45">
      <c r="A1100" t="str">
        <f t="shared" si="17"/>
        <v>ET14,88</v>
      </c>
      <c r="B1100">
        <v>88</v>
      </c>
      <c r="C1100">
        <v>455.84359999999998</v>
      </c>
      <c r="D1100">
        <v>438.271304346161</v>
      </c>
      <c r="E1100" t="s">
        <v>2884</v>
      </c>
      <c r="F1100" t="s">
        <v>3348</v>
      </c>
    </row>
    <row r="1101" spans="1:6" x14ac:dyDescent="0.45">
      <c r="A1101" t="str">
        <f t="shared" si="17"/>
        <v>ET14,89</v>
      </c>
      <c r="B1101">
        <v>89</v>
      </c>
      <c r="C1101">
        <v>371.09519999999998</v>
      </c>
      <c r="D1101">
        <v>341.57493339523398</v>
      </c>
      <c r="E1101" t="s">
        <v>2884</v>
      </c>
      <c r="F1101" t="s">
        <v>3348</v>
      </c>
    </row>
    <row r="1102" spans="1:6" x14ac:dyDescent="0.45">
      <c r="A1102" t="str">
        <f t="shared" si="17"/>
        <v>ET14,90</v>
      </c>
      <c r="B1102">
        <v>90</v>
      </c>
      <c r="C1102">
        <v>286.34679999999997</v>
      </c>
      <c r="D1102">
        <v>253.66471027122699</v>
      </c>
      <c r="E1102" t="s">
        <v>2884</v>
      </c>
      <c r="F1102" t="s">
        <v>3348</v>
      </c>
    </row>
    <row r="1103" spans="1:6" x14ac:dyDescent="0.45">
      <c r="A1103" t="str">
        <f t="shared" si="17"/>
        <v>ET14,91</v>
      </c>
      <c r="B1103">
        <v>91</v>
      </c>
      <c r="C1103">
        <v>201.5984</v>
      </c>
      <c r="D1103">
        <v>177.702458098146</v>
      </c>
      <c r="E1103" t="s">
        <v>2884</v>
      </c>
      <c r="F1103" t="s">
        <v>3348</v>
      </c>
    </row>
    <row r="1104" spans="1:6" x14ac:dyDescent="0.45">
      <c r="A1104" t="str">
        <f t="shared" si="17"/>
        <v>ET14,92</v>
      </c>
      <c r="B1104">
        <v>92</v>
      </c>
      <c r="C1104">
        <v>116.85</v>
      </c>
      <c r="D1104">
        <v>116.85</v>
      </c>
      <c r="E1104" t="s">
        <v>2884</v>
      </c>
      <c r="F1104" t="s">
        <v>3348</v>
      </c>
    </row>
    <row r="1105" spans="1:6" x14ac:dyDescent="0.45">
      <c r="A1105" t="str">
        <f t="shared" si="17"/>
        <v>ET14,93</v>
      </c>
      <c r="B1105">
        <v>93</v>
      </c>
      <c r="C1105">
        <v>96.240799999999993</v>
      </c>
      <c r="D1105">
        <v>73.180403661006096</v>
      </c>
      <c r="E1105" t="s">
        <v>2884</v>
      </c>
      <c r="F1105" t="s">
        <v>3348</v>
      </c>
    </row>
    <row r="1106" spans="1:6" x14ac:dyDescent="0.45">
      <c r="A1106" t="str">
        <f t="shared" si="17"/>
        <v>ET14,94</v>
      </c>
      <c r="B1106">
        <v>94</v>
      </c>
      <c r="C1106">
        <v>75.631600000000006</v>
      </c>
      <c r="D1106">
        <v>44.411715006231198</v>
      </c>
      <c r="E1106" t="s">
        <v>2884</v>
      </c>
      <c r="F1106" t="s">
        <v>3348</v>
      </c>
    </row>
    <row r="1107" spans="1:6" x14ac:dyDescent="0.45">
      <c r="A1107" t="str">
        <f t="shared" si="17"/>
        <v>ET14,95</v>
      </c>
      <c r="B1107">
        <v>95</v>
      </c>
      <c r="C1107">
        <v>55.022399999999998</v>
      </c>
      <c r="D1107">
        <v>27.173224520953202</v>
      </c>
      <c r="E1107" t="s">
        <v>2884</v>
      </c>
      <c r="F1107" t="s">
        <v>3348</v>
      </c>
    </row>
    <row r="1108" spans="1:6" x14ac:dyDescent="0.45">
      <c r="A1108" t="str">
        <f t="shared" si="17"/>
        <v>ET14,96</v>
      </c>
      <c r="B1108">
        <v>96</v>
      </c>
      <c r="C1108">
        <v>34.413200000000003</v>
      </c>
      <c r="D1108">
        <v>18.094222690450099</v>
      </c>
      <c r="E1108" t="s">
        <v>2884</v>
      </c>
      <c r="F1108" t="s">
        <v>3348</v>
      </c>
    </row>
    <row r="1109" spans="1:6" x14ac:dyDescent="0.45">
      <c r="A1109" t="str">
        <f t="shared" si="17"/>
        <v>ET14,97</v>
      </c>
      <c r="B1109">
        <v>97</v>
      </c>
      <c r="C1109">
        <v>13.804</v>
      </c>
      <c r="D1109">
        <v>13.804</v>
      </c>
      <c r="E1109" t="s">
        <v>2884</v>
      </c>
      <c r="F1109" t="s">
        <v>3348</v>
      </c>
    </row>
    <row r="1110" spans="1:6" x14ac:dyDescent="0.45">
      <c r="A1110" t="str">
        <f t="shared" si="17"/>
        <v>ET14,98</v>
      </c>
      <c r="B1110">
        <v>98</v>
      </c>
      <c r="C1110">
        <v>12.202666666666699</v>
      </c>
      <c r="D1110">
        <v>11.414850208149501</v>
      </c>
      <c r="E1110" t="s">
        <v>2884</v>
      </c>
      <c r="F1110" t="s">
        <v>3348</v>
      </c>
    </row>
    <row r="1111" spans="1:6" x14ac:dyDescent="0.45">
      <c r="A1111" t="str">
        <f t="shared" si="17"/>
        <v>ET14,99</v>
      </c>
      <c r="B1111">
        <v>99</v>
      </c>
      <c r="C1111">
        <v>10.601333333333301</v>
      </c>
      <c r="D1111">
        <v>9.9710801665195703</v>
      </c>
      <c r="E1111" t="s">
        <v>2884</v>
      </c>
      <c r="F1111" t="s">
        <v>3348</v>
      </c>
    </row>
    <row r="1112" spans="1:6" x14ac:dyDescent="0.45">
      <c r="A1112" t="str">
        <f t="shared" si="17"/>
        <v>ET14,100</v>
      </c>
      <c r="B1112">
        <v>100</v>
      </c>
      <c r="C1112">
        <v>9</v>
      </c>
      <c r="D1112">
        <v>9</v>
      </c>
      <c r="E1112" t="s">
        <v>2884</v>
      </c>
      <c r="F1112" t="s">
        <v>3348</v>
      </c>
    </row>
    <row r="1113" spans="1:6" x14ac:dyDescent="0.45">
      <c r="A1113" t="str">
        <f t="shared" si="17"/>
        <v>ET15,&lt;1</v>
      </c>
      <c r="B1113" t="s">
        <v>119</v>
      </c>
      <c r="C1113">
        <v>7130.3068498596504</v>
      </c>
      <c r="D1113">
        <v>7130.3068498596504</v>
      </c>
      <c r="E1113" t="s">
        <v>2885</v>
      </c>
      <c r="F1113" t="s">
        <v>3350</v>
      </c>
    </row>
    <row r="1114" spans="1:6" x14ac:dyDescent="0.45">
      <c r="A1114" t="str">
        <f t="shared" si="17"/>
        <v>ET15,1</v>
      </c>
      <c r="B1114">
        <v>1</v>
      </c>
      <c r="C1114">
        <v>6859.4835297130003</v>
      </c>
      <c r="D1114">
        <v>6849.2034273313602</v>
      </c>
      <c r="E1114" t="s">
        <v>2885</v>
      </c>
      <c r="F1114" t="s">
        <v>3350</v>
      </c>
    </row>
    <row r="1115" spans="1:6" x14ac:dyDescent="0.45">
      <c r="A1115" t="str">
        <f t="shared" si="17"/>
        <v>ET15,2</v>
      </c>
      <c r="B1115">
        <v>2</v>
      </c>
      <c r="C1115">
        <v>6588.6602095663502</v>
      </c>
      <c r="D1115">
        <v>6588.6602095663502</v>
      </c>
      <c r="E1115" t="s">
        <v>2885</v>
      </c>
      <c r="F1115" t="s">
        <v>3350</v>
      </c>
    </row>
    <row r="1116" spans="1:6" x14ac:dyDescent="0.45">
      <c r="A1116" t="str">
        <f t="shared" si="17"/>
        <v>ET15,3</v>
      </c>
      <c r="B1116">
        <v>3</v>
      </c>
      <c r="C1116">
        <v>6404.3165192317902</v>
      </c>
      <c r="D1116">
        <v>6364.0613005198202</v>
      </c>
      <c r="E1116" t="s">
        <v>2885</v>
      </c>
      <c r="F1116" t="s">
        <v>3350</v>
      </c>
    </row>
    <row r="1117" spans="1:6" x14ac:dyDescent="0.45">
      <c r="A1117" t="str">
        <f t="shared" si="17"/>
        <v>ET15,4</v>
      </c>
      <c r="B1117">
        <v>4</v>
      </c>
      <c r="C1117">
        <v>6219.9728288972301</v>
      </c>
      <c r="D1117">
        <v>6170.0864009145698</v>
      </c>
      <c r="E1117" t="s">
        <v>2885</v>
      </c>
      <c r="F1117" t="s">
        <v>3350</v>
      </c>
    </row>
    <row r="1118" spans="1:6" x14ac:dyDescent="0.45">
      <c r="A1118" t="str">
        <f t="shared" si="17"/>
        <v>ET15,5</v>
      </c>
      <c r="B1118">
        <v>5</v>
      </c>
      <c r="C1118">
        <v>6035.6291385626801</v>
      </c>
      <c r="D1118">
        <v>5996.2391106653004</v>
      </c>
      <c r="E1118" t="s">
        <v>2885</v>
      </c>
      <c r="F1118" t="s">
        <v>3350</v>
      </c>
    </row>
    <row r="1119" spans="1:6" x14ac:dyDescent="0.45">
      <c r="A1119" t="str">
        <f t="shared" si="17"/>
        <v>ET15,6</v>
      </c>
      <c r="B1119">
        <v>6</v>
      </c>
      <c r="C1119">
        <v>5851.28544822812</v>
      </c>
      <c r="D1119">
        <v>5832.0230296867303</v>
      </c>
      <c r="E1119" t="s">
        <v>2885</v>
      </c>
      <c r="F1119" t="s">
        <v>3350</v>
      </c>
    </row>
    <row r="1120" spans="1:6" x14ac:dyDescent="0.45">
      <c r="A1120" t="str">
        <f t="shared" si="17"/>
        <v>ET15,7</v>
      </c>
      <c r="B1120">
        <v>7</v>
      </c>
      <c r="C1120">
        <v>5666.94175789356</v>
      </c>
      <c r="D1120">
        <v>5666.94175789356</v>
      </c>
      <c r="E1120" t="s">
        <v>2885</v>
      </c>
      <c r="F1120" t="s">
        <v>3350</v>
      </c>
    </row>
    <row r="1121" spans="1:6" x14ac:dyDescent="0.45">
      <c r="A1121" t="str">
        <f t="shared" si="17"/>
        <v>ET15,8</v>
      </c>
      <c r="B1121">
        <v>8</v>
      </c>
      <c r="C1121">
        <v>5585.6801440989902</v>
      </c>
      <c r="D1121">
        <v>5496.8944964420798</v>
      </c>
      <c r="E1121" t="s">
        <v>2885</v>
      </c>
      <c r="F1121" t="s">
        <v>3350</v>
      </c>
    </row>
    <row r="1122" spans="1:6" x14ac:dyDescent="0.45">
      <c r="A1122" t="str">
        <f t="shared" si="17"/>
        <v>ET15,9</v>
      </c>
      <c r="B1122">
        <v>9</v>
      </c>
      <c r="C1122">
        <v>5504.4185303044196</v>
      </c>
      <c r="D1122">
        <v>5343.36285145487</v>
      </c>
      <c r="E1122" t="s">
        <v>2885</v>
      </c>
      <c r="F1122" t="s">
        <v>3350</v>
      </c>
    </row>
    <row r="1123" spans="1:6" x14ac:dyDescent="0.45">
      <c r="A1123" t="str">
        <f t="shared" si="17"/>
        <v>ET15,10</v>
      </c>
      <c r="B1123">
        <v>10</v>
      </c>
      <c r="C1123">
        <v>5423.1569165098599</v>
      </c>
      <c r="D1123">
        <v>5234.22403029613</v>
      </c>
      <c r="E1123" t="s">
        <v>2885</v>
      </c>
      <c r="F1123" t="s">
        <v>3350</v>
      </c>
    </row>
    <row r="1124" spans="1:6" x14ac:dyDescent="0.45">
      <c r="A1124" t="str">
        <f t="shared" si="17"/>
        <v>ET15,11</v>
      </c>
      <c r="B1124">
        <v>11</v>
      </c>
      <c r="C1124">
        <v>5341.8953027152902</v>
      </c>
      <c r="D1124">
        <v>5197.35524033002</v>
      </c>
      <c r="E1124" t="s">
        <v>2885</v>
      </c>
      <c r="F1124" t="s">
        <v>3350</v>
      </c>
    </row>
    <row r="1125" spans="1:6" x14ac:dyDescent="0.45">
      <c r="A1125" t="str">
        <f t="shared" si="17"/>
        <v>ET15,12</v>
      </c>
      <c r="B1125">
        <v>12</v>
      </c>
      <c r="C1125">
        <v>5260.6336889207196</v>
      </c>
      <c r="D1125">
        <v>5260.6336889207196</v>
      </c>
      <c r="E1125" t="s">
        <v>2885</v>
      </c>
      <c r="F1125" t="s">
        <v>3350</v>
      </c>
    </row>
    <row r="1126" spans="1:6" x14ac:dyDescent="0.45">
      <c r="A1126" t="str">
        <f t="shared" si="17"/>
        <v>ET15,13</v>
      </c>
      <c r="B1126">
        <v>13</v>
      </c>
      <c r="C1126">
        <v>5487.6228019606897</v>
      </c>
      <c r="D1126">
        <v>5438.6617233215902</v>
      </c>
      <c r="E1126" t="s">
        <v>2885</v>
      </c>
      <c r="F1126" t="s">
        <v>3350</v>
      </c>
    </row>
    <row r="1127" spans="1:6" x14ac:dyDescent="0.45">
      <c r="A1127" t="str">
        <f t="shared" si="17"/>
        <v>ET15,14</v>
      </c>
      <c r="B1127">
        <v>14</v>
      </c>
      <c r="C1127">
        <v>5714.6119150006598</v>
      </c>
      <c r="D1127">
        <v>5692.9422503427204</v>
      </c>
      <c r="E1127" t="s">
        <v>2885</v>
      </c>
      <c r="F1127" t="s">
        <v>3350</v>
      </c>
    </row>
    <row r="1128" spans="1:6" x14ac:dyDescent="0.45">
      <c r="A1128" t="str">
        <f t="shared" si="17"/>
        <v>ET15,15</v>
      </c>
      <c r="B1128">
        <v>15</v>
      </c>
      <c r="C1128">
        <v>5941.6010280406399</v>
      </c>
      <c r="D1128">
        <v>5971.7033166834099</v>
      </c>
      <c r="E1128" t="s">
        <v>2885</v>
      </c>
      <c r="F1128" t="s">
        <v>3350</v>
      </c>
    </row>
    <row r="1129" spans="1:6" x14ac:dyDescent="0.45">
      <c r="A1129" t="str">
        <f t="shared" si="17"/>
        <v>ET15,16</v>
      </c>
      <c r="B1129">
        <v>16</v>
      </c>
      <c r="C1129">
        <v>6168.59014108061</v>
      </c>
      <c r="D1129">
        <v>6223.1729690429402</v>
      </c>
      <c r="E1129" t="s">
        <v>2885</v>
      </c>
      <c r="F1129" t="s">
        <v>3350</v>
      </c>
    </row>
    <row r="1130" spans="1:6" x14ac:dyDescent="0.45">
      <c r="A1130" t="str">
        <f t="shared" si="17"/>
        <v>ET15,17</v>
      </c>
      <c r="B1130">
        <v>17</v>
      </c>
      <c r="C1130">
        <v>6395.5792541205801</v>
      </c>
      <c r="D1130">
        <v>6395.5792541205801</v>
      </c>
      <c r="E1130" t="s">
        <v>2885</v>
      </c>
      <c r="F1130" t="s">
        <v>3350</v>
      </c>
    </row>
    <row r="1131" spans="1:6" x14ac:dyDescent="0.45">
      <c r="A1131" t="str">
        <f t="shared" si="17"/>
        <v>ET15,18</v>
      </c>
      <c r="B1131">
        <v>18</v>
      </c>
      <c r="C1131">
        <v>6324.4075659596801</v>
      </c>
      <c r="D1131">
        <v>6451.3908506841099</v>
      </c>
      <c r="E1131" t="s">
        <v>2885</v>
      </c>
      <c r="F1131" t="s">
        <v>3350</v>
      </c>
    </row>
    <row r="1132" spans="1:6" x14ac:dyDescent="0.45">
      <c r="A1132" t="str">
        <f t="shared" si="17"/>
        <v>ET15,19</v>
      </c>
      <c r="B1132">
        <v>19</v>
      </c>
      <c r="C1132">
        <v>6253.2358777987902</v>
      </c>
      <c r="D1132">
        <v>6410.0389657752403</v>
      </c>
      <c r="E1132" t="s">
        <v>2885</v>
      </c>
      <c r="F1132" t="s">
        <v>3350</v>
      </c>
    </row>
    <row r="1133" spans="1:6" x14ac:dyDescent="0.45">
      <c r="A1133" t="str">
        <f t="shared" si="17"/>
        <v>ET15,20</v>
      </c>
      <c r="B1133">
        <v>20</v>
      </c>
      <c r="C1133">
        <v>6182.0641896378902</v>
      </c>
      <c r="D1133">
        <v>6305.1954385041499</v>
      </c>
      <c r="E1133" t="s">
        <v>2885</v>
      </c>
      <c r="F1133" t="s">
        <v>3350</v>
      </c>
    </row>
    <row r="1134" spans="1:6" x14ac:dyDescent="0.45">
      <c r="A1134" t="str">
        <f t="shared" si="17"/>
        <v>ET15,21</v>
      </c>
      <c r="B1134">
        <v>21</v>
      </c>
      <c r="C1134">
        <v>6110.8925014770002</v>
      </c>
      <c r="D1134">
        <v>6170.5321079810401</v>
      </c>
      <c r="E1134" t="s">
        <v>2885</v>
      </c>
      <c r="F1134" t="s">
        <v>3350</v>
      </c>
    </row>
    <row r="1135" spans="1:6" x14ac:dyDescent="0.45">
      <c r="A1135" t="str">
        <f t="shared" si="17"/>
        <v>ET15,22</v>
      </c>
      <c r="B1135">
        <v>22</v>
      </c>
      <c r="C1135">
        <v>6039.7208133161002</v>
      </c>
      <c r="D1135">
        <v>6039.7208133161002</v>
      </c>
      <c r="E1135" t="s">
        <v>2885</v>
      </c>
      <c r="F1135" t="s">
        <v>3350</v>
      </c>
    </row>
    <row r="1136" spans="1:6" x14ac:dyDescent="0.45">
      <c r="A1136" t="str">
        <f t="shared" si="17"/>
        <v>ET15,23</v>
      </c>
      <c r="B1136">
        <v>23</v>
      </c>
      <c r="C1136">
        <v>5911.5872337686997</v>
      </c>
      <c r="D1136">
        <v>5936.6501429703903</v>
      </c>
      <c r="E1136" t="s">
        <v>2885</v>
      </c>
      <c r="F1136" t="s">
        <v>3350</v>
      </c>
    </row>
    <row r="1137" spans="1:6" x14ac:dyDescent="0.45">
      <c r="A1137" t="str">
        <f t="shared" si="17"/>
        <v>ET15,24</v>
      </c>
      <c r="B1137">
        <v>24</v>
      </c>
      <c r="C1137">
        <v>5783.45365422129</v>
      </c>
      <c r="D1137">
        <v>5846.0756828084404</v>
      </c>
      <c r="E1137" t="s">
        <v>2885</v>
      </c>
      <c r="F1137" t="s">
        <v>3350</v>
      </c>
    </row>
    <row r="1138" spans="1:6" x14ac:dyDescent="0.45">
      <c r="A1138" t="str">
        <f t="shared" si="17"/>
        <v>ET15,25</v>
      </c>
      <c r="B1138">
        <v>25</v>
      </c>
      <c r="C1138">
        <v>5655.3200746738903</v>
      </c>
      <c r="D1138">
        <v>5742.9697680456402</v>
      </c>
      <c r="E1138" t="s">
        <v>2885</v>
      </c>
      <c r="F1138" t="s">
        <v>3350</v>
      </c>
    </row>
    <row r="1139" spans="1:6" x14ac:dyDescent="0.45">
      <c r="A1139" t="str">
        <f t="shared" si="17"/>
        <v>ET15,26</v>
      </c>
      <c r="B1139">
        <v>26</v>
      </c>
      <c r="C1139">
        <v>5527.1864951264797</v>
      </c>
      <c r="D1139">
        <v>5602.3047338973902</v>
      </c>
      <c r="E1139" t="s">
        <v>2885</v>
      </c>
      <c r="F1139" t="s">
        <v>3350</v>
      </c>
    </row>
    <row r="1140" spans="1:6" x14ac:dyDescent="0.45">
      <c r="A1140" t="str">
        <f t="shared" si="17"/>
        <v>ET15,27</v>
      </c>
      <c r="B1140">
        <v>27</v>
      </c>
      <c r="C1140">
        <v>5399.05291557908</v>
      </c>
      <c r="D1140">
        <v>5399.05291557908</v>
      </c>
      <c r="E1140" t="s">
        <v>2885</v>
      </c>
      <c r="F1140" t="s">
        <v>3350</v>
      </c>
    </row>
    <row r="1141" spans="1:6" x14ac:dyDescent="0.45">
      <c r="A1141" t="str">
        <f t="shared" si="17"/>
        <v>ET15,28</v>
      </c>
      <c r="B1141">
        <v>28</v>
      </c>
      <c r="C1141">
        <v>5088.4372647619202</v>
      </c>
      <c r="D1141">
        <v>5118.41025524626</v>
      </c>
      <c r="E1141" t="s">
        <v>2885</v>
      </c>
      <c r="F1141" t="s">
        <v>3350</v>
      </c>
    </row>
    <row r="1142" spans="1:6" x14ac:dyDescent="0.45">
      <c r="A1142" t="str">
        <f t="shared" si="17"/>
        <v>ET15,29</v>
      </c>
      <c r="B1142">
        <v>29</v>
      </c>
      <c r="C1142">
        <v>4777.8216139447704</v>
      </c>
      <c r="D1142">
        <v>4786.46712281502</v>
      </c>
      <c r="E1142" t="s">
        <v>2885</v>
      </c>
      <c r="F1142" t="s">
        <v>3350</v>
      </c>
    </row>
    <row r="1143" spans="1:6" x14ac:dyDescent="0.45">
      <c r="A1143" t="str">
        <f t="shared" si="17"/>
        <v>ET15,30</v>
      </c>
      <c r="B1143">
        <v>30</v>
      </c>
      <c r="C1143">
        <v>4467.2059631276097</v>
      </c>
      <c r="D1143">
        <v>4439.5374951416197</v>
      </c>
      <c r="E1143" t="s">
        <v>2885</v>
      </c>
      <c r="F1143" t="s">
        <v>3350</v>
      </c>
    </row>
    <row r="1144" spans="1:6" x14ac:dyDescent="0.45">
      <c r="A1144" t="str">
        <f t="shared" si="17"/>
        <v>ET15,31</v>
      </c>
      <c r="B1144">
        <v>31</v>
      </c>
      <c r="C1144">
        <v>4156.5903123104599</v>
      </c>
      <c r="D1144">
        <v>4113.9353490822996</v>
      </c>
      <c r="E1144" t="s">
        <v>2885</v>
      </c>
      <c r="F1144" t="s">
        <v>3350</v>
      </c>
    </row>
    <row r="1145" spans="1:6" x14ac:dyDescent="0.45">
      <c r="A1145" t="str">
        <f t="shared" si="17"/>
        <v>ET15,32</v>
      </c>
      <c r="B1145">
        <v>32</v>
      </c>
      <c r="C1145">
        <v>3845.9746614933001</v>
      </c>
      <c r="D1145">
        <v>3845.9746614933001</v>
      </c>
      <c r="E1145" t="s">
        <v>2885</v>
      </c>
      <c r="F1145" t="s">
        <v>3350</v>
      </c>
    </row>
    <row r="1146" spans="1:6" x14ac:dyDescent="0.45">
      <c r="A1146" t="str">
        <f t="shared" si="17"/>
        <v>ET15,33</v>
      </c>
      <c r="B1146">
        <v>33</v>
      </c>
      <c r="C1146">
        <v>3735.3329118561701</v>
      </c>
      <c r="D1146">
        <v>3661.17727821276</v>
      </c>
      <c r="E1146" t="s">
        <v>2885</v>
      </c>
      <c r="F1146" t="s">
        <v>3350</v>
      </c>
    </row>
    <row r="1147" spans="1:6" x14ac:dyDescent="0.45">
      <c r="A1147" t="str">
        <f t="shared" si="17"/>
        <v>ET15,34</v>
      </c>
      <c r="B1147">
        <v>34</v>
      </c>
      <c r="C1147">
        <v>3624.6911622190401</v>
      </c>
      <c r="D1147">
        <v>3541.8965210063602</v>
      </c>
      <c r="E1147" t="s">
        <v>2885</v>
      </c>
      <c r="F1147" t="s">
        <v>3350</v>
      </c>
    </row>
    <row r="1148" spans="1:6" x14ac:dyDescent="0.45">
      <c r="A1148" t="str">
        <f t="shared" si="17"/>
        <v>ET15,35</v>
      </c>
      <c r="B1148">
        <v>35</v>
      </c>
      <c r="C1148">
        <v>3514.04941258192</v>
      </c>
      <c r="D1148">
        <v>3459.6935806216702</v>
      </c>
      <c r="E1148" t="s">
        <v>2885</v>
      </c>
      <c r="F1148" t="s">
        <v>3350</v>
      </c>
    </row>
    <row r="1149" spans="1:6" x14ac:dyDescent="0.45">
      <c r="A1149" t="str">
        <f t="shared" si="17"/>
        <v>ET15,36</v>
      </c>
      <c r="B1149">
        <v>36</v>
      </c>
      <c r="C1149">
        <v>3403.40766294479</v>
      </c>
      <c r="D1149">
        <v>3386.12964780625</v>
      </c>
      <c r="E1149" t="s">
        <v>2885</v>
      </c>
      <c r="F1149" t="s">
        <v>3350</v>
      </c>
    </row>
    <row r="1150" spans="1:6" x14ac:dyDescent="0.45">
      <c r="A1150" t="str">
        <f t="shared" si="17"/>
        <v>ET15,37</v>
      </c>
      <c r="B1150">
        <v>37</v>
      </c>
      <c r="C1150">
        <v>3292.76591330766</v>
      </c>
      <c r="D1150">
        <v>3292.76591330766</v>
      </c>
      <c r="E1150" t="s">
        <v>2885</v>
      </c>
      <c r="F1150" t="s">
        <v>3350</v>
      </c>
    </row>
    <row r="1151" spans="1:6" x14ac:dyDescent="0.45">
      <c r="A1151" t="str">
        <f t="shared" si="17"/>
        <v>ET15,38</v>
      </c>
      <c r="B1151">
        <v>38</v>
      </c>
      <c r="C1151">
        <v>3118.3415052902601</v>
      </c>
      <c r="D1151">
        <v>3158.2599837253902</v>
      </c>
      <c r="E1151" t="s">
        <v>2885</v>
      </c>
      <c r="F1151" t="s">
        <v>3350</v>
      </c>
    </row>
    <row r="1152" spans="1:6" x14ac:dyDescent="0.45">
      <c r="A1152" t="str">
        <f t="shared" si="17"/>
        <v>ET15,39</v>
      </c>
      <c r="B1152">
        <v>39</v>
      </c>
      <c r="C1152">
        <v>2943.9170972728698</v>
      </c>
      <c r="D1152">
        <v>2989.6551290665302</v>
      </c>
      <c r="E1152" t="s">
        <v>2885</v>
      </c>
      <c r="F1152" t="s">
        <v>3350</v>
      </c>
    </row>
    <row r="1153" spans="1:6" x14ac:dyDescent="0.45">
      <c r="A1153" t="str">
        <f t="shared" si="17"/>
        <v>ET15,40</v>
      </c>
      <c r="B1153">
        <v>40</v>
      </c>
      <c r="C1153">
        <v>2769.4926892554699</v>
      </c>
      <c r="D1153">
        <v>2801.0910351901198</v>
      </c>
      <c r="E1153" t="s">
        <v>2885</v>
      </c>
      <c r="F1153" t="s">
        <v>3350</v>
      </c>
    </row>
    <row r="1154" spans="1:6" x14ac:dyDescent="0.45">
      <c r="A1154" t="str">
        <f t="shared" si="17"/>
        <v>ET15,41</v>
      </c>
      <c r="B1154">
        <v>41</v>
      </c>
      <c r="C1154">
        <v>2595.0682812380801</v>
      </c>
      <c r="D1154">
        <v>2606.7073879551599</v>
      </c>
      <c r="E1154" t="s">
        <v>2885</v>
      </c>
      <c r="F1154" t="s">
        <v>3350</v>
      </c>
    </row>
    <row r="1155" spans="1:6" x14ac:dyDescent="0.45">
      <c r="A1155" t="str">
        <f t="shared" ref="A1155:A1213" si="18">_xlfn.CONCAT(E1155,",",B1155)</f>
        <v>ET15,42</v>
      </c>
      <c r="B1155">
        <v>42</v>
      </c>
      <c r="C1155">
        <v>2420.6438732206798</v>
      </c>
      <c r="D1155">
        <v>2420.6438732206798</v>
      </c>
      <c r="E1155" t="s">
        <v>2885</v>
      </c>
      <c r="F1155" t="s">
        <v>3350</v>
      </c>
    </row>
    <row r="1156" spans="1:6" x14ac:dyDescent="0.45">
      <c r="A1156" t="str">
        <f t="shared" si="18"/>
        <v>ET15,43</v>
      </c>
      <c r="B1156">
        <v>43</v>
      </c>
      <c r="C1156">
        <v>2302.98941530704</v>
      </c>
      <c r="D1156">
        <v>2254.81901117794</v>
      </c>
      <c r="E1156" t="s">
        <v>2885</v>
      </c>
      <c r="F1156" t="s">
        <v>3350</v>
      </c>
    </row>
    <row r="1157" spans="1:6" x14ac:dyDescent="0.45">
      <c r="A1157" t="str">
        <f t="shared" si="18"/>
        <v>ET15,44</v>
      </c>
      <c r="B1157">
        <v>44</v>
      </c>
      <c r="C1157">
        <v>2185.3349573934101</v>
      </c>
      <c r="D1157">
        <v>2112.26665934722</v>
      </c>
      <c r="E1157" t="s">
        <v>2885</v>
      </c>
      <c r="F1157" t="s">
        <v>3350</v>
      </c>
    </row>
    <row r="1158" spans="1:6" x14ac:dyDescent="0.45">
      <c r="A1158" t="str">
        <f t="shared" si="18"/>
        <v>ET15,45</v>
      </c>
      <c r="B1158">
        <v>45</v>
      </c>
      <c r="C1158">
        <v>2067.6804994797699</v>
      </c>
      <c r="D1158">
        <v>1993.79950958105</v>
      </c>
      <c r="E1158" t="s">
        <v>2885</v>
      </c>
      <c r="F1158" t="s">
        <v>3350</v>
      </c>
    </row>
    <row r="1159" spans="1:6" x14ac:dyDescent="0.45">
      <c r="A1159" t="str">
        <f t="shared" si="18"/>
        <v>ET15,46</v>
      </c>
      <c r="B1159">
        <v>46</v>
      </c>
      <c r="C1159">
        <v>1950.0260415661301</v>
      </c>
      <c r="D1159">
        <v>1900.2302537319699</v>
      </c>
      <c r="E1159" t="s">
        <v>2885</v>
      </c>
      <c r="F1159" t="s">
        <v>3350</v>
      </c>
    </row>
    <row r="1160" spans="1:6" x14ac:dyDescent="0.45">
      <c r="A1160" t="str">
        <f t="shared" si="18"/>
        <v>ET15,47</v>
      </c>
      <c r="B1160">
        <v>47</v>
      </c>
      <c r="C1160">
        <v>1832.3715836525</v>
      </c>
      <c r="D1160">
        <v>1832.3715836525</v>
      </c>
      <c r="E1160" t="s">
        <v>2885</v>
      </c>
      <c r="F1160" t="s">
        <v>3350</v>
      </c>
    </row>
    <row r="1161" spans="1:6" x14ac:dyDescent="0.45">
      <c r="A1161" t="str">
        <f t="shared" si="18"/>
        <v>ET15,48</v>
      </c>
      <c r="B1161">
        <v>48</v>
      </c>
      <c r="C1161">
        <v>1791.5974968570499</v>
      </c>
      <c r="D1161">
        <v>1788.80675051547</v>
      </c>
      <c r="E1161" t="s">
        <v>2885</v>
      </c>
      <c r="F1161" t="s">
        <v>3350</v>
      </c>
    </row>
    <row r="1162" spans="1:6" x14ac:dyDescent="0.45">
      <c r="A1162" t="str">
        <f t="shared" si="18"/>
        <v>ET15,49</v>
      </c>
      <c r="B1162">
        <v>49</v>
      </c>
      <c r="C1162">
        <v>1750.8234100616</v>
      </c>
      <c r="D1162">
        <v>1759.20124277491</v>
      </c>
      <c r="E1162" t="s">
        <v>2885</v>
      </c>
      <c r="F1162" t="s">
        <v>3350</v>
      </c>
    </row>
    <row r="1163" spans="1:6" x14ac:dyDescent="0.45">
      <c r="A1163" t="str">
        <f t="shared" si="18"/>
        <v>ET15,50</v>
      </c>
      <c r="B1163">
        <v>50</v>
      </c>
      <c r="C1163">
        <v>1710.0493232661499</v>
      </c>
      <c r="D1163">
        <v>1730.9911082051301</v>
      </c>
      <c r="E1163" t="s">
        <v>2885</v>
      </c>
      <c r="F1163" t="s">
        <v>3350</v>
      </c>
    </row>
    <row r="1164" spans="1:6" x14ac:dyDescent="0.45">
      <c r="A1164" t="str">
        <f t="shared" si="18"/>
        <v>ET15,51</v>
      </c>
      <c r="B1164">
        <v>51</v>
      </c>
      <c r="C1164">
        <v>1669.2752364707001</v>
      </c>
      <c r="D1164">
        <v>1691.61239458047</v>
      </c>
      <c r="E1164" t="s">
        <v>2885</v>
      </c>
      <c r="F1164" t="s">
        <v>3350</v>
      </c>
    </row>
    <row r="1165" spans="1:6" x14ac:dyDescent="0.45">
      <c r="A1165" t="str">
        <f t="shared" si="18"/>
        <v>ET15,52</v>
      </c>
      <c r="B1165">
        <v>52</v>
      </c>
      <c r="C1165">
        <v>1628.50114967525</v>
      </c>
      <c r="D1165">
        <v>1628.50114967525</v>
      </c>
      <c r="E1165" t="s">
        <v>2885</v>
      </c>
      <c r="F1165" t="s">
        <v>3350</v>
      </c>
    </row>
    <row r="1166" spans="1:6" x14ac:dyDescent="0.45">
      <c r="A1166" t="str">
        <f t="shared" si="18"/>
        <v>ET15,53</v>
      </c>
      <c r="B1166">
        <v>53</v>
      </c>
      <c r="C1166">
        <v>1527.96012245357</v>
      </c>
      <c r="D1166">
        <v>1533.9620403479801</v>
      </c>
      <c r="E1166" t="s">
        <v>2885</v>
      </c>
      <c r="F1166" t="s">
        <v>3350</v>
      </c>
    </row>
    <row r="1167" spans="1:6" x14ac:dyDescent="0.45">
      <c r="A1167" t="str">
        <f t="shared" si="18"/>
        <v>ET15,54</v>
      </c>
      <c r="B1167">
        <v>54</v>
      </c>
      <c r="C1167">
        <v>1427.41909523189</v>
      </c>
      <c r="D1167">
        <v>1419.7742097939899</v>
      </c>
      <c r="E1167" t="s">
        <v>2885</v>
      </c>
      <c r="F1167" t="s">
        <v>3350</v>
      </c>
    </row>
    <row r="1168" spans="1:6" x14ac:dyDescent="0.45">
      <c r="A1168" t="str">
        <f t="shared" si="18"/>
        <v>ET15,55</v>
      </c>
      <c r="B1168">
        <v>55</v>
      </c>
      <c r="C1168">
        <v>1326.87806801021</v>
      </c>
      <c r="D1168">
        <v>1302.5854202927901</v>
      </c>
      <c r="E1168" t="s">
        <v>2885</v>
      </c>
      <c r="F1168" t="s">
        <v>3350</v>
      </c>
    </row>
    <row r="1169" spans="1:6" x14ac:dyDescent="0.45">
      <c r="A1169" t="str">
        <f t="shared" si="18"/>
        <v>ET15,56</v>
      </c>
      <c r="B1169">
        <v>56</v>
      </c>
      <c r="C1169">
        <v>1226.33704078853</v>
      </c>
      <c r="D1169">
        <v>1199.0434341238999</v>
      </c>
      <c r="E1169" t="s">
        <v>2885</v>
      </c>
      <c r="F1169" t="s">
        <v>3350</v>
      </c>
    </row>
    <row r="1170" spans="1:6" x14ac:dyDescent="0.45">
      <c r="A1170" t="str">
        <f t="shared" si="18"/>
        <v>ET15,57</v>
      </c>
      <c r="B1170">
        <v>57</v>
      </c>
      <c r="C1170">
        <v>1125.79601356685</v>
      </c>
      <c r="D1170">
        <v>1125.79601356685</v>
      </c>
      <c r="E1170" t="s">
        <v>2885</v>
      </c>
      <c r="F1170" t="s">
        <v>3350</v>
      </c>
    </row>
    <row r="1171" spans="1:6" x14ac:dyDescent="0.45">
      <c r="A1171" t="str">
        <f t="shared" si="18"/>
        <v>ET15,58</v>
      </c>
      <c r="B1171">
        <v>58</v>
      </c>
      <c r="C1171">
        <v>1118.10598725706</v>
      </c>
      <c r="D1171">
        <v>1093.81649535935</v>
      </c>
      <c r="E1171" t="s">
        <v>2885</v>
      </c>
      <c r="F1171" t="s">
        <v>3350</v>
      </c>
    </row>
    <row r="1172" spans="1:6" x14ac:dyDescent="0.45">
      <c r="A1172" t="str">
        <f t="shared" si="18"/>
        <v>ET15,59</v>
      </c>
      <c r="B1172">
        <v>59</v>
      </c>
      <c r="C1172">
        <v>1110.4159609472699</v>
      </c>
      <c r="D1172">
        <v>1091.3805140719601</v>
      </c>
      <c r="E1172" t="s">
        <v>2885</v>
      </c>
      <c r="F1172" t="s">
        <v>3350</v>
      </c>
    </row>
    <row r="1173" spans="1:6" x14ac:dyDescent="0.45">
      <c r="A1173" t="str">
        <f t="shared" si="18"/>
        <v>ET15,60</v>
      </c>
      <c r="B1173">
        <v>60</v>
      </c>
      <c r="C1173">
        <v>1102.7259346374899</v>
      </c>
      <c r="D1173">
        <v>1101.0892787334201</v>
      </c>
      <c r="E1173" t="s">
        <v>2885</v>
      </c>
      <c r="F1173" t="s">
        <v>3350</v>
      </c>
    </row>
    <row r="1174" spans="1:6" x14ac:dyDescent="0.45">
      <c r="A1174" t="str">
        <f t="shared" si="18"/>
        <v>ET15,61</v>
      </c>
      <c r="B1174">
        <v>61</v>
      </c>
      <c r="C1174">
        <v>1095.0359083277001</v>
      </c>
      <c r="D1174">
        <v>1105.54399837249</v>
      </c>
      <c r="E1174" t="s">
        <v>2885</v>
      </c>
      <c r="F1174" t="s">
        <v>3350</v>
      </c>
    </row>
    <row r="1175" spans="1:6" x14ac:dyDescent="0.45">
      <c r="A1175" t="str">
        <f t="shared" si="18"/>
        <v>ET15,62</v>
      </c>
      <c r="B1175">
        <v>62</v>
      </c>
      <c r="C1175">
        <v>1087.3458820179101</v>
      </c>
      <c r="D1175">
        <v>1087.3458820179101</v>
      </c>
      <c r="E1175" t="s">
        <v>2885</v>
      </c>
      <c r="F1175" t="s">
        <v>3350</v>
      </c>
    </row>
    <row r="1176" spans="1:6" x14ac:dyDescent="0.45">
      <c r="A1176" t="str">
        <f t="shared" si="18"/>
        <v>ET15,63</v>
      </c>
      <c r="B1176">
        <v>63</v>
      </c>
      <c r="C1176">
        <v>1011.69404900342</v>
      </c>
      <c r="D1176">
        <v>1034.3879918232301</v>
      </c>
      <c r="E1176" t="s">
        <v>2885</v>
      </c>
      <c r="F1176" t="s">
        <v>3350</v>
      </c>
    </row>
    <row r="1177" spans="1:6" x14ac:dyDescent="0.45">
      <c r="A1177" t="str">
        <f t="shared" si="18"/>
        <v>ET15,64</v>
      </c>
      <c r="B1177">
        <v>64</v>
      </c>
      <c r="C1177">
        <v>936.04221598893298</v>
      </c>
      <c r="D1177">
        <v>955.73080244116102</v>
      </c>
      <c r="E1177" t="s">
        <v>2885</v>
      </c>
      <c r="F1177" t="s">
        <v>3350</v>
      </c>
    </row>
    <row r="1178" spans="1:6" x14ac:dyDescent="0.45">
      <c r="A1178" t="str">
        <f t="shared" si="18"/>
        <v>ET15,65</v>
      </c>
      <c r="B1178">
        <v>65</v>
      </c>
      <c r="C1178">
        <v>860.39038297444495</v>
      </c>
      <c r="D1178">
        <v>865.72664164918103</v>
      </c>
      <c r="E1178" t="s">
        <v>2885</v>
      </c>
      <c r="F1178" t="s">
        <v>3350</v>
      </c>
    </row>
    <row r="1179" spans="1:6" x14ac:dyDescent="0.45">
      <c r="A1179" t="str">
        <f t="shared" si="18"/>
        <v>ET15,66</v>
      </c>
      <c r="B1179">
        <v>66</v>
      </c>
      <c r="C1179">
        <v>784.738549959956</v>
      </c>
      <c r="D1179">
        <v>778.72783722478596</v>
      </c>
      <c r="E1179" t="s">
        <v>2885</v>
      </c>
      <c r="F1179" t="s">
        <v>3350</v>
      </c>
    </row>
    <row r="1180" spans="1:6" x14ac:dyDescent="0.45">
      <c r="A1180" t="str">
        <f t="shared" si="18"/>
        <v>ET15,67</v>
      </c>
      <c r="B1180">
        <v>67</v>
      </c>
      <c r="C1180">
        <v>709.08671694546797</v>
      </c>
      <c r="D1180">
        <v>709.08671694546797</v>
      </c>
      <c r="E1180" t="s">
        <v>2885</v>
      </c>
      <c r="F1180" t="s">
        <v>3350</v>
      </c>
    </row>
    <row r="1181" spans="1:6" x14ac:dyDescent="0.45">
      <c r="A1181" t="str">
        <f t="shared" si="18"/>
        <v>ET15,68</v>
      </c>
      <c r="B1181">
        <v>68</v>
      </c>
      <c r="C1181">
        <v>687.767408723681</v>
      </c>
      <c r="D1181">
        <v>666.98690719591195</v>
      </c>
      <c r="E1181" t="s">
        <v>2885</v>
      </c>
      <c r="F1181" t="s">
        <v>3350</v>
      </c>
    </row>
    <row r="1182" spans="1:6" x14ac:dyDescent="0.45">
      <c r="A1182" t="str">
        <f t="shared" si="18"/>
        <v>ET15,69</v>
      </c>
      <c r="B1182">
        <v>69</v>
      </c>
      <c r="C1182">
        <v>666.44810050189403</v>
      </c>
      <c r="D1182">
        <v>645.93722878958204</v>
      </c>
      <c r="E1182" t="s">
        <v>2885</v>
      </c>
      <c r="F1182" t="s">
        <v>3350</v>
      </c>
    </row>
    <row r="1183" spans="1:6" x14ac:dyDescent="0.45">
      <c r="A1183" t="str">
        <f t="shared" si="18"/>
        <v>ET15,70</v>
      </c>
      <c r="B1183">
        <v>70</v>
      </c>
      <c r="C1183">
        <v>645.12879228010604</v>
      </c>
      <c r="D1183">
        <v>635.27780114713698</v>
      </c>
      <c r="E1183" t="s">
        <v>2885</v>
      </c>
      <c r="F1183" t="s">
        <v>3350</v>
      </c>
    </row>
    <row r="1184" spans="1:6" x14ac:dyDescent="0.45">
      <c r="A1184" t="str">
        <f t="shared" si="18"/>
        <v>ET15,71</v>
      </c>
      <c r="B1184">
        <v>71</v>
      </c>
      <c r="C1184">
        <v>623.80948405831896</v>
      </c>
      <c r="D1184">
        <v>624.34874368923397</v>
      </c>
      <c r="E1184" t="s">
        <v>2885</v>
      </c>
      <c r="F1184" t="s">
        <v>3350</v>
      </c>
    </row>
    <row r="1185" spans="1:6" x14ac:dyDescent="0.45">
      <c r="A1185" t="str">
        <f t="shared" si="18"/>
        <v>ET15,72</v>
      </c>
      <c r="B1185">
        <v>72</v>
      </c>
      <c r="C1185">
        <v>602.49017583653199</v>
      </c>
      <c r="D1185">
        <v>602.49017583653199</v>
      </c>
      <c r="E1185" t="s">
        <v>2885</v>
      </c>
      <c r="F1185" t="s">
        <v>3350</v>
      </c>
    </row>
    <row r="1186" spans="1:6" x14ac:dyDescent="0.45">
      <c r="A1186" t="str">
        <f t="shared" si="18"/>
        <v>ET15,73</v>
      </c>
      <c r="B1186">
        <v>73</v>
      </c>
      <c r="C1186">
        <v>549.26190066069205</v>
      </c>
      <c r="D1186">
        <v>562.08373652635498</v>
      </c>
      <c r="E1186" t="s">
        <v>2885</v>
      </c>
      <c r="F1186" t="s">
        <v>3350</v>
      </c>
    </row>
    <row r="1187" spans="1:6" x14ac:dyDescent="0.45">
      <c r="A1187" t="str">
        <f t="shared" si="18"/>
        <v>ET15,74</v>
      </c>
      <c r="B1187">
        <v>74</v>
      </c>
      <c r="C1187">
        <v>496.03362548485302</v>
      </c>
      <c r="D1187">
        <v>507.67714276269101</v>
      </c>
      <c r="E1187" t="s">
        <v>2885</v>
      </c>
      <c r="F1187" t="s">
        <v>3350</v>
      </c>
    </row>
    <row r="1188" spans="1:6" x14ac:dyDescent="0.45">
      <c r="A1188" t="str">
        <f t="shared" si="18"/>
        <v>ET15,75</v>
      </c>
      <c r="B1188">
        <v>75</v>
      </c>
      <c r="C1188">
        <v>442.80535030901302</v>
      </c>
      <c r="D1188">
        <v>446.85963106619602</v>
      </c>
      <c r="E1188" t="s">
        <v>2885</v>
      </c>
      <c r="F1188" t="s">
        <v>3350</v>
      </c>
    </row>
    <row r="1189" spans="1:6" x14ac:dyDescent="0.45">
      <c r="A1189" t="str">
        <f t="shared" si="18"/>
        <v>ET15,76</v>
      </c>
      <c r="B1189">
        <v>76</v>
      </c>
      <c r="C1189">
        <v>389.57707513317399</v>
      </c>
      <c r="D1189">
        <v>387.22043795752597</v>
      </c>
      <c r="E1189" t="s">
        <v>2885</v>
      </c>
      <c r="F1189" t="s">
        <v>3350</v>
      </c>
    </row>
    <row r="1190" spans="1:6" x14ac:dyDescent="0.45">
      <c r="A1190" t="str">
        <f t="shared" si="18"/>
        <v>ET15,77</v>
      </c>
      <c r="B1190">
        <v>77</v>
      </c>
      <c r="C1190">
        <v>336.34879995733399</v>
      </c>
      <c r="D1190">
        <v>336.34879995733399</v>
      </c>
      <c r="E1190" t="s">
        <v>2885</v>
      </c>
      <c r="F1190" t="s">
        <v>3350</v>
      </c>
    </row>
    <row r="1191" spans="1:6" x14ac:dyDescent="0.45">
      <c r="A1191" t="str">
        <f t="shared" si="18"/>
        <v>ET15,78</v>
      </c>
      <c r="B1191">
        <v>78</v>
      </c>
      <c r="C1191">
        <v>314.07103996586699</v>
      </c>
      <c r="D1191">
        <v>299.80061586782398</v>
      </c>
      <c r="E1191" t="s">
        <v>2885</v>
      </c>
      <c r="F1191" t="s">
        <v>3350</v>
      </c>
    </row>
    <row r="1192" spans="1:6" x14ac:dyDescent="0.45">
      <c r="A1192" t="str">
        <f t="shared" si="18"/>
        <v>ET15,79</v>
      </c>
      <c r="B1192">
        <v>79</v>
      </c>
      <c r="C1192">
        <v>291.79327997439998</v>
      </c>
      <c r="D1192">
        <v>274.998433617393</v>
      </c>
      <c r="E1192" t="s">
        <v>2885</v>
      </c>
      <c r="F1192" t="s">
        <v>3350</v>
      </c>
    </row>
    <row r="1193" spans="1:6" x14ac:dyDescent="0.45">
      <c r="A1193" t="str">
        <f t="shared" si="18"/>
        <v>ET15,80</v>
      </c>
      <c r="B1193">
        <v>80</v>
      </c>
      <c r="C1193">
        <v>269.51551998293399</v>
      </c>
      <c r="D1193">
        <v>257.331463415982</v>
      </c>
      <c r="E1193" t="s">
        <v>2885</v>
      </c>
      <c r="F1193" t="s">
        <v>3350</v>
      </c>
    </row>
    <row r="1194" spans="1:6" x14ac:dyDescent="0.45">
      <c r="A1194" t="str">
        <f t="shared" si="18"/>
        <v>ET15,81</v>
      </c>
      <c r="B1194">
        <v>81</v>
      </c>
      <c r="C1194">
        <v>247.23775999146699</v>
      </c>
      <c r="D1194">
        <v>242.18891547353701</v>
      </c>
      <c r="E1194" t="s">
        <v>2885</v>
      </c>
      <c r="F1194" t="s">
        <v>3350</v>
      </c>
    </row>
    <row r="1195" spans="1:6" x14ac:dyDescent="0.45">
      <c r="A1195" t="str">
        <f t="shared" si="18"/>
        <v>ET15,82</v>
      </c>
      <c r="B1195">
        <v>82</v>
      </c>
      <c r="C1195">
        <v>224.96</v>
      </c>
      <c r="D1195">
        <v>224.96</v>
      </c>
      <c r="E1195" t="s">
        <v>2885</v>
      </c>
      <c r="F1195" t="s">
        <v>3350</v>
      </c>
    </row>
    <row r="1196" spans="1:6" x14ac:dyDescent="0.45">
      <c r="A1196" t="str">
        <f t="shared" si="18"/>
        <v>ET15,83</v>
      </c>
      <c r="B1196">
        <v>83</v>
      </c>
      <c r="C1196">
        <v>198.1472</v>
      </c>
      <c r="D1196">
        <v>202.19195706920399</v>
      </c>
      <c r="E1196" t="s">
        <v>2885</v>
      </c>
      <c r="F1196" t="s">
        <v>3350</v>
      </c>
    </row>
    <row r="1197" spans="1:6" x14ac:dyDescent="0.45">
      <c r="A1197" t="str">
        <f t="shared" si="18"/>
        <v>ET15,84</v>
      </c>
      <c r="B1197">
        <v>84</v>
      </c>
      <c r="C1197">
        <v>171.33439999999999</v>
      </c>
      <c r="D1197">
        <v>175.06414621053301</v>
      </c>
      <c r="E1197" t="s">
        <v>2885</v>
      </c>
      <c r="F1197" t="s">
        <v>3350</v>
      </c>
    </row>
    <row r="1198" spans="1:6" x14ac:dyDescent="0.45">
      <c r="A1198" t="str">
        <f t="shared" si="18"/>
        <v>ET15,85</v>
      </c>
      <c r="B1198">
        <v>85</v>
      </c>
      <c r="C1198">
        <v>144.52160000000001</v>
      </c>
      <c r="D1198">
        <v>145.91395681725999</v>
      </c>
      <c r="E1198" t="s">
        <v>2885</v>
      </c>
      <c r="F1198" t="s">
        <v>3350</v>
      </c>
    </row>
    <row r="1199" spans="1:6" x14ac:dyDescent="0.45">
      <c r="A1199" t="str">
        <f t="shared" si="18"/>
        <v>ET15,86</v>
      </c>
      <c r="B1199">
        <v>86</v>
      </c>
      <c r="C1199">
        <v>117.7088</v>
      </c>
      <c r="D1199">
        <v>117.07877828265801</v>
      </c>
      <c r="E1199" t="s">
        <v>2885</v>
      </c>
      <c r="F1199" t="s">
        <v>3350</v>
      </c>
    </row>
    <row r="1200" spans="1:6" x14ac:dyDescent="0.45">
      <c r="A1200" t="str">
        <f t="shared" si="18"/>
        <v>ET15,87</v>
      </c>
      <c r="B1200">
        <v>87</v>
      </c>
      <c r="C1200">
        <v>90.896000000000001</v>
      </c>
      <c r="D1200">
        <v>90.896000000000001</v>
      </c>
      <c r="E1200" t="s">
        <v>2885</v>
      </c>
      <c r="F1200" t="s">
        <v>3350</v>
      </c>
    </row>
    <row r="1201" spans="1:6" x14ac:dyDescent="0.45">
      <c r="A1201" t="str">
        <f t="shared" si="18"/>
        <v>ET15,88</v>
      </c>
      <c r="B1201">
        <v>88</v>
      </c>
      <c r="C1201">
        <v>76.646799999999999</v>
      </c>
      <c r="D1201">
        <v>69.207597433515602</v>
      </c>
      <c r="E1201" t="s">
        <v>2885</v>
      </c>
      <c r="F1201" t="s">
        <v>3350</v>
      </c>
    </row>
    <row r="1202" spans="1:6" x14ac:dyDescent="0.45">
      <c r="A1202" t="str">
        <f t="shared" si="18"/>
        <v>ET15,89</v>
      </c>
      <c r="B1202">
        <v>89</v>
      </c>
      <c r="C1202">
        <v>62.397599999999997</v>
      </c>
      <c r="D1202">
        <v>51.873890331260696</v>
      </c>
      <c r="E1202" t="s">
        <v>2885</v>
      </c>
      <c r="F1202" t="s">
        <v>3350</v>
      </c>
    </row>
    <row r="1203" spans="1:6" x14ac:dyDescent="0.45">
      <c r="A1203" t="str">
        <f t="shared" si="18"/>
        <v>ET15,90</v>
      </c>
      <c r="B1203">
        <v>90</v>
      </c>
      <c r="C1203">
        <v>48.148400000000002</v>
      </c>
      <c r="D1203">
        <v>38.259784512248103</v>
      </c>
      <c r="E1203" t="s">
        <v>2885</v>
      </c>
      <c r="F1203" t="s">
        <v>3350</v>
      </c>
    </row>
    <row r="1204" spans="1:6" x14ac:dyDescent="0.45">
      <c r="A1204" t="str">
        <f t="shared" si="18"/>
        <v>ET15,91</v>
      </c>
      <c r="B1204">
        <v>91</v>
      </c>
      <c r="C1204">
        <v>33.8992</v>
      </c>
      <c r="D1204">
        <v>27.7301857954903</v>
      </c>
      <c r="E1204" t="s">
        <v>2885</v>
      </c>
      <c r="F1204" t="s">
        <v>3350</v>
      </c>
    </row>
    <row r="1205" spans="1:6" x14ac:dyDescent="0.45">
      <c r="A1205" t="str">
        <f t="shared" si="18"/>
        <v>ET15,92</v>
      </c>
      <c r="B1205">
        <v>92</v>
      </c>
      <c r="C1205">
        <v>19.649999999999999</v>
      </c>
      <c r="D1205">
        <v>19.649999999999999</v>
      </c>
      <c r="E1205" t="s">
        <v>2885</v>
      </c>
      <c r="F1205" t="s">
        <v>3350</v>
      </c>
    </row>
    <row r="1206" spans="1:6" x14ac:dyDescent="0.45">
      <c r="A1206" t="str">
        <f t="shared" si="18"/>
        <v>ET15,93</v>
      </c>
      <c r="B1206">
        <v>93</v>
      </c>
      <c r="C1206">
        <v>16.184000000000001</v>
      </c>
      <c r="D1206">
        <v>13.4525971967338</v>
      </c>
      <c r="E1206" t="s">
        <v>2885</v>
      </c>
      <c r="F1206" t="s">
        <v>3350</v>
      </c>
    </row>
    <row r="1207" spans="1:6" x14ac:dyDescent="0.45">
      <c r="A1207" t="str">
        <f t="shared" si="18"/>
        <v>ET15,94</v>
      </c>
      <c r="B1207">
        <v>94</v>
      </c>
      <c r="C1207">
        <v>12.718</v>
      </c>
      <c r="D1207">
        <v>8.8452044644243006</v>
      </c>
      <c r="E1207" t="s">
        <v>2885</v>
      </c>
      <c r="F1207" t="s">
        <v>3350</v>
      </c>
    </row>
    <row r="1208" spans="1:6" x14ac:dyDescent="0.45">
      <c r="A1208" t="str">
        <f t="shared" si="18"/>
        <v>ET15,95</v>
      </c>
      <c r="B1208">
        <v>95</v>
      </c>
      <c r="C1208">
        <v>9.2520000000000007</v>
      </c>
      <c r="D1208">
        <v>5.6035131337478399</v>
      </c>
      <c r="E1208" t="s">
        <v>2885</v>
      </c>
      <c r="F1208" t="s">
        <v>3350</v>
      </c>
    </row>
    <row r="1209" spans="1:6" x14ac:dyDescent="0.45">
      <c r="A1209" t="str">
        <f t="shared" si="18"/>
        <v>ET15,96</v>
      </c>
      <c r="B1209">
        <v>96</v>
      </c>
      <c r="C1209">
        <v>5.7859999999999996</v>
      </c>
      <c r="D1209">
        <v>3.5032145353809199</v>
      </c>
      <c r="E1209" t="s">
        <v>2885</v>
      </c>
      <c r="F1209" t="s">
        <v>3350</v>
      </c>
    </row>
    <row r="1210" spans="1:6" x14ac:dyDescent="0.45">
      <c r="A1210" t="str">
        <f t="shared" si="18"/>
        <v>ET15,97</v>
      </c>
      <c r="B1210">
        <v>97</v>
      </c>
      <c r="C1210">
        <v>2.3199999999999998</v>
      </c>
      <c r="D1210">
        <v>2.3199999999999901</v>
      </c>
      <c r="E1210" t="s">
        <v>2885</v>
      </c>
      <c r="F1210" t="s">
        <v>3350</v>
      </c>
    </row>
    <row r="1211" spans="1:6" x14ac:dyDescent="0.45">
      <c r="A1211" t="str">
        <f t="shared" si="18"/>
        <v>ET15,98</v>
      </c>
      <c r="B1211">
        <v>98</v>
      </c>
      <c r="C1211">
        <v>2.2133333333333298</v>
      </c>
      <c r="D1211">
        <v>1.8284581146319701</v>
      </c>
      <c r="E1211" t="s">
        <v>2885</v>
      </c>
      <c r="F1211" t="s">
        <v>3350</v>
      </c>
    </row>
    <row r="1212" spans="1:6" x14ac:dyDescent="0.45">
      <c r="A1212" t="str">
        <f t="shared" si="18"/>
        <v>ET15,99</v>
      </c>
      <c r="B1212">
        <v>99</v>
      </c>
      <c r="C1212">
        <v>2.10666666666667</v>
      </c>
      <c r="D1212">
        <v>1.7987664917055799</v>
      </c>
      <c r="E1212" t="s">
        <v>2885</v>
      </c>
      <c r="F1212" t="s">
        <v>3350</v>
      </c>
    </row>
    <row r="1213" spans="1:6" x14ac:dyDescent="0.45">
      <c r="A1213" t="str">
        <f t="shared" si="18"/>
        <v>ET15,100</v>
      </c>
      <c r="B1213">
        <v>100</v>
      </c>
      <c r="C1213">
        <v>2</v>
      </c>
      <c r="D1213">
        <v>2</v>
      </c>
      <c r="E1213" t="s">
        <v>2885</v>
      </c>
      <c r="F1213" t="s">
        <v>3350</v>
      </c>
    </row>
  </sheetData>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F8ED1-FB4E-4C6D-874F-DB415552ADF0}">
  <dimension ref="A1:F1213"/>
  <sheetViews>
    <sheetView workbookViewId="0">
      <selection activeCell="A2" sqref="A2:A1213"/>
    </sheetView>
  </sheetViews>
  <sheetFormatPr defaultRowHeight="14.25" x14ac:dyDescent="0.45"/>
  <cols>
    <col min="1" max="1" width="9.53125" bestFit="1" customWidth="1"/>
    <col min="2" max="2" width="3.796875" bestFit="1" customWidth="1"/>
    <col min="3" max="4" width="11.796875" bestFit="1" customWidth="1"/>
    <col min="5" max="5" width="10.46484375" bestFit="1" customWidth="1"/>
    <col min="6" max="6" width="35.796875" bestFit="1" customWidth="1"/>
  </cols>
  <sheetData>
    <row r="1" spans="1:6" x14ac:dyDescent="0.45">
      <c r="A1" s="355" t="s">
        <v>2834</v>
      </c>
      <c r="B1" s="355" t="s">
        <v>115</v>
      </c>
      <c r="C1" s="355" t="s">
        <v>3417</v>
      </c>
      <c r="D1" s="355" t="s">
        <v>3418</v>
      </c>
      <c r="E1" s="355" t="s">
        <v>2843</v>
      </c>
      <c r="F1" s="355" t="s">
        <v>2844</v>
      </c>
    </row>
    <row r="2" spans="1:6" x14ac:dyDescent="0.45">
      <c r="A2" t="str">
        <f>_xlfn.CONCAT(E2,",",B2)</f>
        <v>ET,&lt;1</v>
      </c>
      <c r="B2" t="s">
        <v>119</v>
      </c>
      <c r="C2">
        <v>1814239.5869043099</v>
      </c>
      <c r="D2">
        <v>1814239.5869043099</v>
      </c>
      <c r="E2" t="s">
        <v>2849</v>
      </c>
      <c r="F2" t="s">
        <v>594</v>
      </c>
    </row>
    <row r="3" spans="1:6" x14ac:dyDescent="0.45">
      <c r="A3" t="str">
        <f t="shared" ref="A3:A66" si="0">_xlfn.CONCAT(E3,",",B3)</f>
        <v>ET,1</v>
      </c>
      <c r="B3">
        <v>1</v>
      </c>
      <c r="C3">
        <v>1745378.0950891201</v>
      </c>
      <c r="D3">
        <v>1740186.0898933699</v>
      </c>
      <c r="E3" t="s">
        <v>2849</v>
      </c>
      <c r="F3" t="s">
        <v>594</v>
      </c>
    </row>
    <row r="4" spans="1:6" x14ac:dyDescent="0.45">
      <c r="A4" t="str">
        <f t="shared" si="0"/>
        <v>ET,2</v>
      </c>
      <c r="B4">
        <v>2</v>
      </c>
      <c r="C4">
        <v>1676516.60327392</v>
      </c>
      <c r="D4">
        <v>1676516.60327392</v>
      </c>
      <c r="E4" t="s">
        <v>2849</v>
      </c>
      <c r="F4" t="s">
        <v>594</v>
      </c>
    </row>
    <row r="5" spans="1:6" x14ac:dyDescent="0.45">
      <c r="A5" t="str">
        <f t="shared" si="0"/>
        <v>ET,3</v>
      </c>
      <c r="B5">
        <v>3</v>
      </c>
      <c r="C5">
        <v>1650033.6026191399</v>
      </c>
      <c r="D5">
        <v>1630948.99271945</v>
      </c>
      <c r="E5" t="s">
        <v>2849</v>
      </c>
      <c r="F5" t="s">
        <v>594</v>
      </c>
    </row>
    <row r="6" spans="1:6" x14ac:dyDescent="0.45">
      <c r="A6" t="str">
        <f t="shared" si="0"/>
        <v>ET,4</v>
      </c>
      <c r="B6">
        <v>4</v>
      </c>
      <c r="C6">
        <v>1623550.6019643501</v>
      </c>
      <c r="D6">
        <v>1600536.5450313899</v>
      </c>
      <c r="E6" t="s">
        <v>2849</v>
      </c>
      <c r="F6" t="s">
        <v>594</v>
      </c>
    </row>
    <row r="7" spans="1:6" x14ac:dyDescent="0.45">
      <c r="A7" t="str">
        <f t="shared" si="0"/>
        <v>ET,5</v>
      </c>
      <c r="B7">
        <v>5</v>
      </c>
      <c r="C7">
        <v>1597067.60130957</v>
      </c>
      <c r="D7">
        <v>1579666.4022931801</v>
      </c>
      <c r="E7" t="s">
        <v>2849</v>
      </c>
      <c r="F7" t="s">
        <v>594</v>
      </c>
    </row>
    <row r="8" spans="1:6" x14ac:dyDescent="0.45">
      <c r="A8" t="str">
        <f t="shared" si="0"/>
        <v>ET,6</v>
      </c>
      <c r="B8">
        <v>6</v>
      </c>
      <c r="C8">
        <v>1570584.6006547799</v>
      </c>
      <c r="D8">
        <v>1562725.7065882301</v>
      </c>
      <c r="E8" t="s">
        <v>2849</v>
      </c>
      <c r="F8" t="s">
        <v>594</v>
      </c>
    </row>
    <row r="9" spans="1:6" x14ac:dyDescent="0.45">
      <c r="A9" t="str">
        <f t="shared" si="0"/>
        <v>ET,7</v>
      </c>
      <c r="B9">
        <v>7</v>
      </c>
      <c r="C9">
        <v>1544101.6</v>
      </c>
      <c r="D9">
        <v>1544101.6</v>
      </c>
      <c r="E9" t="s">
        <v>2849</v>
      </c>
      <c r="F9" t="s">
        <v>594</v>
      </c>
    </row>
    <row r="10" spans="1:6" x14ac:dyDescent="0.45">
      <c r="A10" t="str">
        <f t="shared" si="0"/>
        <v>ET,8</v>
      </c>
      <c r="B10">
        <v>8</v>
      </c>
      <c r="C10">
        <v>1515244.2</v>
      </c>
      <c r="D10">
        <v>1519545.5023980699</v>
      </c>
      <c r="E10" t="s">
        <v>2849</v>
      </c>
      <c r="F10" t="s">
        <v>594</v>
      </c>
    </row>
    <row r="11" spans="1:6" x14ac:dyDescent="0.45">
      <c r="A11" t="str">
        <f t="shared" si="0"/>
        <v>ET,9</v>
      </c>
      <c r="B11">
        <v>9</v>
      </c>
      <c r="C11">
        <v>1486386.8</v>
      </c>
      <c r="D11">
        <v>1490265.94479668</v>
      </c>
      <c r="E11" t="s">
        <v>2849</v>
      </c>
      <c r="F11" t="s">
        <v>594</v>
      </c>
    </row>
    <row r="12" spans="1:6" x14ac:dyDescent="0.45">
      <c r="A12" t="str">
        <f t="shared" si="0"/>
        <v>ET,10</v>
      </c>
      <c r="B12">
        <v>10</v>
      </c>
      <c r="C12">
        <v>1457529.4</v>
      </c>
      <c r="D12">
        <v>1458835.7359962701</v>
      </c>
      <c r="E12" t="s">
        <v>2849</v>
      </c>
      <c r="F12" t="s">
        <v>594</v>
      </c>
    </row>
    <row r="13" spans="1:6" x14ac:dyDescent="0.45">
      <c r="A13" t="str">
        <f t="shared" si="0"/>
        <v>ET,11</v>
      </c>
      <c r="B13">
        <v>11</v>
      </c>
      <c r="C13">
        <v>1428672</v>
      </c>
      <c r="D13">
        <v>1427827.6847972299</v>
      </c>
      <c r="E13" t="s">
        <v>2849</v>
      </c>
      <c r="F13" t="s">
        <v>594</v>
      </c>
    </row>
    <row r="14" spans="1:6" x14ac:dyDescent="0.45">
      <c r="A14" t="str">
        <f t="shared" si="0"/>
        <v>ET,12</v>
      </c>
      <c r="B14">
        <v>12</v>
      </c>
      <c r="C14">
        <v>1399814.6</v>
      </c>
      <c r="D14">
        <v>1399814.6</v>
      </c>
      <c r="E14" t="s">
        <v>2849</v>
      </c>
      <c r="F14" t="s">
        <v>594</v>
      </c>
    </row>
    <row r="15" spans="1:6" x14ac:dyDescent="0.45">
      <c r="A15" t="str">
        <f t="shared" si="0"/>
        <v>ET,13</v>
      </c>
      <c r="B15">
        <v>13</v>
      </c>
      <c r="C15">
        <v>1381579.56</v>
      </c>
      <c r="D15">
        <v>1376680.6297645399</v>
      </c>
      <c r="E15" t="s">
        <v>2849</v>
      </c>
      <c r="F15" t="s">
        <v>594</v>
      </c>
    </row>
    <row r="16" spans="1:6" x14ac:dyDescent="0.45">
      <c r="A16" t="str">
        <f t="shared" si="0"/>
        <v>ET,14</v>
      </c>
      <c r="B16">
        <v>14</v>
      </c>
      <c r="C16">
        <v>1363344.52</v>
      </c>
      <c r="D16">
        <v>1357555.27968905</v>
      </c>
      <c r="E16" t="s">
        <v>2849</v>
      </c>
      <c r="F16" t="s">
        <v>594</v>
      </c>
    </row>
    <row r="17" spans="1:6" x14ac:dyDescent="0.45">
      <c r="A17" t="str">
        <f t="shared" si="0"/>
        <v>ET,15</v>
      </c>
      <c r="B17">
        <v>15</v>
      </c>
      <c r="C17">
        <v>1345109.48</v>
      </c>
      <c r="D17">
        <v>1340879.3947312899</v>
      </c>
      <c r="E17" t="s">
        <v>2849</v>
      </c>
      <c r="F17" t="s">
        <v>594</v>
      </c>
    </row>
    <row r="18" spans="1:6" x14ac:dyDescent="0.45">
      <c r="A18" t="str">
        <f t="shared" si="0"/>
        <v>ET,16</v>
      </c>
      <c r="B18">
        <v>16</v>
      </c>
      <c r="C18">
        <v>1326874.44</v>
      </c>
      <c r="D18">
        <v>1325093.8198490201</v>
      </c>
      <c r="E18" t="s">
        <v>2849</v>
      </c>
      <c r="F18" t="s">
        <v>594</v>
      </c>
    </row>
    <row r="19" spans="1:6" x14ac:dyDescent="0.45">
      <c r="A19" t="str">
        <f t="shared" si="0"/>
        <v>ET,17</v>
      </c>
      <c r="B19">
        <v>17</v>
      </c>
      <c r="C19">
        <v>1308639.3999999999</v>
      </c>
      <c r="D19">
        <v>1308639.3999999999</v>
      </c>
      <c r="E19" t="s">
        <v>2849</v>
      </c>
      <c r="F19" t="s">
        <v>594</v>
      </c>
    </row>
    <row r="20" spans="1:6" x14ac:dyDescent="0.45">
      <c r="A20" t="str">
        <f t="shared" si="0"/>
        <v>ET,18</v>
      </c>
      <c r="B20">
        <v>18</v>
      </c>
      <c r="C20">
        <v>1284138.8400000001</v>
      </c>
      <c r="D20">
        <v>1290151.9593437801</v>
      </c>
      <c r="E20" t="s">
        <v>2849</v>
      </c>
      <c r="F20" t="s">
        <v>594</v>
      </c>
    </row>
    <row r="21" spans="1:6" x14ac:dyDescent="0.45">
      <c r="A21" t="str">
        <f t="shared" si="0"/>
        <v>ET,19</v>
      </c>
      <c r="B21">
        <v>19</v>
      </c>
      <c r="C21">
        <v>1259638.28</v>
      </c>
      <c r="D21">
        <v>1269047.23884712</v>
      </c>
      <c r="E21" t="s">
        <v>2849</v>
      </c>
      <c r="F21" t="s">
        <v>594</v>
      </c>
    </row>
    <row r="22" spans="1:6" x14ac:dyDescent="0.45">
      <c r="A22" t="str">
        <f t="shared" si="0"/>
        <v>ET,20</v>
      </c>
      <c r="B22">
        <v>20</v>
      </c>
      <c r="C22">
        <v>1235137.72</v>
      </c>
      <c r="D22">
        <v>1244935.9586785601</v>
      </c>
      <c r="E22" t="s">
        <v>2849</v>
      </c>
      <c r="F22" t="s">
        <v>594</v>
      </c>
    </row>
    <row r="23" spans="1:6" x14ac:dyDescent="0.45">
      <c r="A23" t="str">
        <f t="shared" si="0"/>
        <v>ET,21</v>
      </c>
      <c r="B23">
        <v>21</v>
      </c>
      <c r="C23">
        <v>1210637.1599999999</v>
      </c>
      <c r="D23">
        <v>1217428.8390066701</v>
      </c>
      <c r="E23" t="s">
        <v>2849</v>
      </c>
      <c r="F23" t="s">
        <v>594</v>
      </c>
    </row>
    <row r="24" spans="1:6" x14ac:dyDescent="0.45">
      <c r="A24" t="str">
        <f t="shared" si="0"/>
        <v>ET,22</v>
      </c>
      <c r="B24">
        <v>22</v>
      </c>
      <c r="C24">
        <v>1186136.6000000001</v>
      </c>
      <c r="D24">
        <v>1186136.6000000001</v>
      </c>
      <c r="E24" t="s">
        <v>2849</v>
      </c>
      <c r="F24" t="s">
        <v>594</v>
      </c>
    </row>
    <row r="25" spans="1:6" x14ac:dyDescent="0.45">
      <c r="A25" t="str">
        <f t="shared" si="0"/>
        <v>ET,23</v>
      </c>
      <c r="B25">
        <v>23</v>
      </c>
      <c r="C25">
        <v>1144498.8400000001</v>
      </c>
      <c r="D25">
        <v>1150819.35366034</v>
      </c>
      <c r="E25" t="s">
        <v>2849</v>
      </c>
      <c r="F25" t="s">
        <v>594</v>
      </c>
    </row>
    <row r="26" spans="1:6" x14ac:dyDescent="0.45">
      <c r="A26" t="str">
        <f t="shared" si="0"/>
        <v>ET,24</v>
      </c>
      <c r="B26">
        <v>24</v>
      </c>
      <c r="C26">
        <v>1102861.08</v>
      </c>
      <c r="D26">
        <v>1111834.7793224801</v>
      </c>
      <c r="E26" t="s">
        <v>2849</v>
      </c>
      <c r="F26" t="s">
        <v>594</v>
      </c>
    </row>
    <row r="27" spans="1:6" x14ac:dyDescent="0.45">
      <c r="A27" t="str">
        <f t="shared" si="0"/>
        <v>ET,25</v>
      </c>
      <c r="B27">
        <v>25</v>
      </c>
      <c r="C27">
        <v>1061223.32</v>
      </c>
      <c r="D27">
        <v>1069689.9481544499</v>
      </c>
      <c r="E27" t="s">
        <v>2849</v>
      </c>
      <c r="F27" t="s">
        <v>594</v>
      </c>
    </row>
    <row r="28" spans="1:6" x14ac:dyDescent="0.45">
      <c r="A28" t="str">
        <f t="shared" si="0"/>
        <v>ET,26</v>
      </c>
      <c r="B28">
        <v>26</v>
      </c>
      <c r="C28">
        <v>1019585.56</v>
      </c>
      <c r="D28">
        <v>1024891.93132428</v>
      </c>
      <c r="E28" t="s">
        <v>2849</v>
      </c>
      <c r="F28" t="s">
        <v>594</v>
      </c>
    </row>
    <row r="29" spans="1:6" x14ac:dyDescent="0.45">
      <c r="A29" t="str">
        <f t="shared" si="0"/>
        <v>ET,27</v>
      </c>
      <c r="B29">
        <v>27</v>
      </c>
      <c r="C29">
        <v>977947.8</v>
      </c>
      <c r="D29">
        <v>977947.8</v>
      </c>
      <c r="E29" t="s">
        <v>2849</v>
      </c>
      <c r="F29" t="s">
        <v>594</v>
      </c>
    </row>
    <row r="30" spans="1:6" x14ac:dyDescent="0.45">
      <c r="A30" t="str">
        <f t="shared" si="0"/>
        <v>ET,28</v>
      </c>
      <c r="B30">
        <v>28</v>
      </c>
      <c r="C30">
        <v>932812.2</v>
      </c>
      <c r="D30">
        <v>929552.52041485405</v>
      </c>
      <c r="E30" t="s">
        <v>2849</v>
      </c>
      <c r="F30" t="s">
        <v>594</v>
      </c>
    </row>
    <row r="31" spans="1:6" x14ac:dyDescent="0.45">
      <c r="A31" t="str">
        <f t="shared" si="0"/>
        <v>ET,29</v>
      </c>
      <c r="B31">
        <v>29</v>
      </c>
      <c r="C31">
        <v>887676.6</v>
      </c>
      <c r="D31">
        <v>881152.63906295504</v>
      </c>
      <c r="E31" t="s">
        <v>2849</v>
      </c>
      <c r="F31" t="s">
        <v>594</v>
      </c>
    </row>
    <row r="32" spans="1:6" x14ac:dyDescent="0.45">
      <c r="A32" t="str">
        <f t="shared" si="0"/>
        <v>ET,30</v>
      </c>
      <c r="B32">
        <v>30</v>
      </c>
      <c r="C32">
        <v>842541</v>
      </c>
      <c r="D32">
        <v>834382.597503628</v>
      </c>
      <c r="E32" t="s">
        <v>2849</v>
      </c>
      <c r="F32" t="s">
        <v>594</v>
      </c>
    </row>
    <row r="33" spans="1:6" x14ac:dyDescent="0.45">
      <c r="A33" t="str">
        <f t="shared" si="0"/>
        <v>ET,31</v>
      </c>
      <c r="B33">
        <v>31</v>
      </c>
      <c r="C33">
        <v>797405.4</v>
      </c>
      <c r="D33">
        <v>790876.83729620103</v>
      </c>
      <c r="E33" t="s">
        <v>2849</v>
      </c>
      <c r="F33" t="s">
        <v>594</v>
      </c>
    </row>
    <row r="34" spans="1:6" x14ac:dyDescent="0.45">
      <c r="A34" t="str">
        <f t="shared" si="0"/>
        <v>ET,32</v>
      </c>
      <c r="B34">
        <v>32</v>
      </c>
      <c r="C34">
        <v>752269.8</v>
      </c>
      <c r="D34">
        <v>752269.8</v>
      </c>
      <c r="E34" t="s">
        <v>2849</v>
      </c>
      <c r="F34" t="s">
        <v>594</v>
      </c>
    </row>
    <row r="35" spans="1:6" x14ac:dyDescent="0.45">
      <c r="A35" t="str">
        <f t="shared" si="0"/>
        <v>ET,33</v>
      </c>
      <c r="B35">
        <v>33</v>
      </c>
      <c r="C35">
        <v>725461.76</v>
      </c>
      <c r="D35">
        <v>719622.39668024099</v>
      </c>
      <c r="E35" t="s">
        <v>2849</v>
      </c>
      <c r="F35" t="s">
        <v>594</v>
      </c>
    </row>
    <row r="36" spans="1:6" x14ac:dyDescent="0.45">
      <c r="A36" t="str">
        <f t="shared" si="0"/>
        <v>ET,34</v>
      </c>
      <c r="B36">
        <v>34</v>
      </c>
      <c r="C36">
        <v>698653.72</v>
      </c>
      <c r="D36">
        <v>691701.41642569902</v>
      </c>
      <c r="E36" t="s">
        <v>2849</v>
      </c>
      <c r="F36" t="s">
        <v>594</v>
      </c>
    </row>
    <row r="37" spans="1:6" x14ac:dyDescent="0.45">
      <c r="A37" t="str">
        <f t="shared" si="0"/>
        <v>ET,35</v>
      </c>
      <c r="B37">
        <v>35</v>
      </c>
      <c r="C37">
        <v>671845.68</v>
      </c>
      <c r="D37">
        <v>666700.11783103505</v>
      </c>
      <c r="E37" t="s">
        <v>2849</v>
      </c>
      <c r="F37" t="s">
        <v>594</v>
      </c>
    </row>
    <row r="38" spans="1:6" x14ac:dyDescent="0.45">
      <c r="A38" t="str">
        <f t="shared" si="0"/>
        <v>ET,36</v>
      </c>
      <c r="B38">
        <v>36</v>
      </c>
      <c r="C38">
        <v>645037.64</v>
      </c>
      <c r="D38">
        <v>642811.75949091499</v>
      </c>
      <c r="E38" t="s">
        <v>2849</v>
      </c>
      <c r="F38" t="s">
        <v>594</v>
      </c>
    </row>
    <row r="39" spans="1:6" x14ac:dyDescent="0.45">
      <c r="A39" t="str">
        <f t="shared" si="0"/>
        <v>ET,37</v>
      </c>
      <c r="B39">
        <v>37</v>
      </c>
      <c r="C39">
        <v>618229.6</v>
      </c>
      <c r="D39">
        <v>618229.6</v>
      </c>
      <c r="E39" t="s">
        <v>2849</v>
      </c>
      <c r="F39" t="s">
        <v>594</v>
      </c>
    </row>
    <row r="40" spans="1:6" x14ac:dyDescent="0.45">
      <c r="A40" t="str">
        <f t="shared" si="0"/>
        <v>ET,38</v>
      </c>
      <c r="B40">
        <v>38</v>
      </c>
      <c r="C40">
        <v>592404.6</v>
      </c>
      <c r="D40">
        <v>591686.32806418103</v>
      </c>
      <c r="E40" t="s">
        <v>2849</v>
      </c>
      <c r="F40" t="s">
        <v>594</v>
      </c>
    </row>
    <row r="41" spans="1:6" x14ac:dyDescent="0.45">
      <c r="A41" t="str">
        <f t="shared" si="0"/>
        <v>ET,39</v>
      </c>
      <c r="B41">
        <v>39</v>
      </c>
      <c r="C41">
        <v>566579.6</v>
      </c>
      <c r="D41">
        <v>564072.35283425101</v>
      </c>
      <c r="E41" t="s">
        <v>2849</v>
      </c>
      <c r="F41" t="s">
        <v>594</v>
      </c>
    </row>
    <row r="42" spans="1:6" x14ac:dyDescent="0.45">
      <c r="A42" t="str">
        <f t="shared" si="0"/>
        <v>ET,40</v>
      </c>
      <c r="B42">
        <v>40</v>
      </c>
      <c r="C42">
        <v>540754.6</v>
      </c>
      <c r="D42">
        <v>536817.51357223105</v>
      </c>
      <c r="E42" t="s">
        <v>2849</v>
      </c>
      <c r="F42" t="s">
        <v>594</v>
      </c>
    </row>
    <row r="43" spans="1:6" x14ac:dyDescent="0.45">
      <c r="A43" t="str">
        <f t="shared" si="0"/>
        <v>ET,41</v>
      </c>
      <c r="B43">
        <v>41</v>
      </c>
      <c r="C43">
        <v>514929.6</v>
      </c>
      <c r="D43">
        <v>511351.64954014</v>
      </c>
      <c r="E43" t="s">
        <v>2849</v>
      </c>
      <c r="F43" t="s">
        <v>594</v>
      </c>
    </row>
    <row r="44" spans="1:6" x14ac:dyDescent="0.45">
      <c r="A44" t="str">
        <f t="shared" si="0"/>
        <v>ET,42</v>
      </c>
      <c r="B44">
        <v>42</v>
      </c>
      <c r="C44">
        <v>489104.6</v>
      </c>
      <c r="D44">
        <v>489104.6</v>
      </c>
      <c r="E44" t="s">
        <v>2849</v>
      </c>
      <c r="F44" t="s">
        <v>594</v>
      </c>
    </row>
    <row r="45" spans="1:6" x14ac:dyDescent="0.45">
      <c r="A45" t="str">
        <f t="shared" si="0"/>
        <v>ET,43</v>
      </c>
      <c r="B45">
        <v>43</v>
      </c>
      <c r="C45">
        <v>474142.88</v>
      </c>
      <c r="D45">
        <v>471011.00466303597</v>
      </c>
      <c r="E45" t="s">
        <v>2849</v>
      </c>
      <c r="F45" t="s">
        <v>594</v>
      </c>
    </row>
    <row r="46" spans="1:6" x14ac:dyDescent="0.45">
      <c r="A46" t="str">
        <f t="shared" si="0"/>
        <v>ET,44</v>
      </c>
      <c r="B46">
        <v>44</v>
      </c>
      <c r="C46">
        <v>459181.16</v>
      </c>
      <c r="D46">
        <v>456024.70503729797</v>
      </c>
      <c r="E46" t="s">
        <v>2849</v>
      </c>
      <c r="F46" t="s">
        <v>594</v>
      </c>
    </row>
    <row r="47" spans="1:6" x14ac:dyDescent="0.45">
      <c r="A47" t="str">
        <f t="shared" si="0"/>
        <v>ET,45</v>
      </c>
      <c r="B47">
        <v>45</v>
      </c>
      <c r="C47">
        <v>444219.44</v>
      </c>
      <c r="D47">
        <v>442604.34308004199</v>
      </c>
      <c r="E47" t="s">
        <v>2849</v>
      </c>
      <c r="F47" t="s">
        <v>594</v>
      </c>
    </row>
    <row r="48" spans="1:6" x14ac:dyDescent="0.45">
      <c r="A48" t="str">
        <f t="shared" si="0"/>
        <v>ET,46</v>
      </c>
      <c r="B48">
        <v>46</v>
      </c>
      <c r="C48">
        <v>429257.72</v>
      </c>
      <c r="D48">
        <v>429208.56074852397</v>
      </c>
      <c r="E48" t="s">
        <v>2849</v>
      </c>
      <c r="F48" t="s">
        <v>594</v>
      </c>
    </row>
    <row r="49" spans="1:6" x14ac:dyDescent="0.45">
      <c r="A49" t="str">
        <f t="shared" si="0"/>
        <v>ET,47</v>
      </c>
      <c r="B49">
        <v>47</v>
      </c>
      <c r="C49">
        <v>414296</v>
      </c>
      <c r="D49">
        <v>414296</v>
      </c>
      <c r="E49" t="s">
        <v>2849</v>
      </c>
      <c r="F49" t="s">
        <v>594</v>
      </c>
    </row>
    <row r="50" spans="1:6" x14ac:dyDescent="0.45">
      <c r="A50" t="str">
        <f t="shared" si="0"/>
        <v>ET,48</v>
      </c>
      <c r="B50">
        <v>48</v>
      </c>
      <c r="C50">
        <v>394148.36</v>
      </c>
      <c r="D50">
        <v>396729.49328367598</v>
      </c>
      <c r="E50" t="s">
        <v>2849</v>
      </c>
      <c r="F50" t="s">
        <v>594</v>
      </c>
    </row>
    <row r="51" spans="1:6" x14ac:dyDescent="0.45">
      <c r="A51" t="str">
        <f t="shared" si="0"/>
        <v>ET,49</v>
      </c>
      <c r="B51">
        <v>49</v>
      </c>
      <c r="C51">
        <v>374000.72</v>
      </c>
      <c r="D51">
        <v>376988.63501655799</v>
      </c>
      <c r="E51" t="s">
        <v>2849</v>
      </c>
      <c r="F51" t="s">
        <v>594</v>
      </c>
    </row>
    <row r="52" spans="1:6" x14ac:dyDescent="0.45">
      <c r="A52" t="str">
        <f t="shared" si="0"/>
        <v>ET,50</v>
      </c>
      <c r="B52">
        <v>50</v>
      </c>
      <c r="C52">
        <v>353853.08</v>
      </c>
      <c r="D52">
        <v>355957.210107602</v>
      </c>
      <c r="E52" t="s">
        <v>2849</v>
      </c>
      <c r="F52" t="s">
        <v>594</v>
      </c>
    </row>
    <row r="53" spans="1:6" x14ac:dyDescent="0.45">
      <c r="A53" t="str">
        <f t="shared" si="0"/>
        <v>ET,51</v>
      </c>
      <c r="B53">
        <v>51</v>
      </c>
      <c r="C53">
        <v>333705.44</v>
      </c>
      <c r="D53">
        <v>334519.00346576399</v>
      </c>
      <c r="E53" t="s">
        <v>2849</v>
      </c>
      <c r="F53" t="s">
        <v>594</v>
      </c>
    </row>
    <row r="54" spans="1:6" x14ac:dyDescent="0.45">
      <c r="A54" t="str">
        <f t="shared" si="0"/>
        <v>ET,52</v>
      </c>
      <c r="B54">
        <v>52</v>
      </c>
      <c r="C54">
        <v>313557.8</v>
      </c>
      <c r="D54">
        <v>313557.8</v>
      </c>
      <c r="E54" t="s">
        <v>2849</v>
      </c>
      <c r="F54" t="s">
        <v>594</v>
      </c>
    </row>
    <row r="55" spans="1:6" x14ac:dyDescent="0.45">
      <c r="A55" t="str">
        <f t="shared" si="0"/>
        <v>ET,53</v>
      </c>
      <c r="B55">
        <v>53</v>
      </c>
      <c r="C55">
        <v>297206.32</v>
      </c>
      <c r="D55">
        <v>293837.07340226101</v>
      </c>
      <c r="E55" t="s">
        <v>2849</v>
      </c>
      <c r="F55" t="s">
        <v>594</v>
      </c>
    </row>
    <row r="56" spans="1:6" x14ac:dyDescent="0.45">
      <c r="A56" t="str">
        <f t="shared" si="0"/>
        <v>ET,54</v>
      </c>
      <c r="B56">
        <v>54</v>
      </c>
      <c r="C56">
        <v>280854.84000000003</v>
      </c>
      <c r="D56">
        <v>275639.05249647098</v>
      </c>
      <c r="E56" t="s">
        <v>2849</v>
      </c>
      <c r="F56" t="s">
        <v>594</v>
      </c>
    </row>
    <row r="57" spans="1:6" x14ac:dyDescent="0.45">
      <c r="A57" t="str">
        <f t="shared" si="0"/>
        <v>ET,55</v>
      </c>
      <c r="B57">
        <v>55</v>
      </c>
      <c r="C57">
        <v>264503.36</v>
      </c>
      <c r="D57">
        <v>259125.65488955099</v>
      </c>
      <c r="E57" t="s">
        <v>2849</v>
      </c>
      <c r="F57" t="s">
        <v>594</v>
      </c>
    </row>
    <row r="58" spans="1:6" x14ac:dyDescent="0.45">
      <c r="A58" t="str">
        <f t="shared" si="0"/>
        <v>ET,56</v>
      </c>
      <c r="B58">
        <v>56</v>
      </c>
      <c r="C58">
        <v>248151.88</v>
      </c>
      <c r="D58">
        <v>244458.798188421</v>
      </c>
      <c r="E58" t="s">
        <v>2849</v>
      </c>
      <c r="F58" t="s">
        <v>594</v>
      </c>
    </row>
    <row r="59" spans="1:6" x14ac:dyDescent="0.45">
      <c r="A59" t="str">
        <f t="shared" si="0"/>
        <v>ET,57</v>
      </c>
      <c r="B59">
        <v>57</v>
      </c>
      <c r="C59">
        <v>231800.4</v>
      </c>
      <c r="D59">
        <v>231800.4</v>
      </c>
      <c r="E59" t="s">
        <v>2849</v>
      </c>
      <c r="F59" t="s">
        <v>594</v>
      </c>
    </row>
    <row r="60" spans="1:6" x14ac:dyDescent="0.45">
      <c r="A60" t="str">
        <f t="shared" si="0"/>
        <v>ET,58</v>
      </c>
      <c r="B60">
        <v>58</v>
      </c>
      <c r="C60">
        <v>223304.08</v>
      </c>
      <c r="D60">
        <v>221192.50910728201</v>
      </c>
      <c r="E60" t="s">
        <v>2849</v>
      </c>
      <c r="F60" t="s">
        <v>594</v>
      </c>
    </row>
    <row r="61" spans="1:6" x14ac:dyDescent="0.45">
      <c r="A61" t="str">
        <f t="shared" si="0"/>
        <v>ET,59</v>
      </c>
      <c r="B61">
        <v>59</v>
      </c>
      <c r="C61">
        <v>214807.76</v>
      </c>
      <c r="D61">
        <v>212197.69899755801</v>
      </c>
      <c r="E61" t="s">
        <v>2849</v>
      </c>
      <c r="F61" t="s">
        <v>594</v>
      </c>
    </row>
    <row r="62" spans="1:6" x14ac:dyDescent="0.45">
      <c r="A62" t="str">
        <f t="shared" si="0"/>
        <v>ET,60</v>
      </c>
      <c r="B62">
        <v>60</v>
      </c>
      <c r="C62">
        <v>206311.44</v>
      </c>
      <c r="D62">
        <v>204258.674334193</v>
      </c>
      <c r="E62" t="s">
        <v>2849</v>
      </c>
      <c r="F62" t="s">
        <v>594</v>
      </c>
    </row>
    <row r="63" spans="1:6" x14ac:dyDescent="0.45">
      <c r="A63" t="str">
        <f t="shared" si="0"/>
        <v>ET,61</v>
      </c>
      <c r="B63">
        <v>61</v>
      </c>
      <c r="C63">
        <v>197815.12</v>
      </c>
      <c r="D63">
        <v>196818.13978055201</v>
      </c>
      <c r="E63" t="s">
        <v>2849</v>
      </c>
      <c r="F63" t="s">
        <v>594</v>
      </c>
    </row>
    <row r="64" spans="1:6" x14ac:dyDescent="0.45">
      <c r="A64" t="str">
        <f t="shared" si="0"/>
        <v>ET,62</v>
      </c>
      <c r="B64">
        <v>62</v>
      </c>
      <c r="C64">
        <v>189318.8</v>
      </c>
      <c r="D64">
        <v>189318.8</v>
      </c>
      <c r="E64" t="s">
        <v>2849</v>
      </c>
      <c r="F64" t="s">
        <v>594</v>
      </c>
    </row>
    <row r="65" spans="1:6" x14ac:dyDescent="0.45">
      <c r="A65" t="str">
        <f t="shared" si="0"/>
        <v>ET,63</v>
      </c>
      <c r="B65">
        <v>63</v>
      </c>
      <c r="C65">
        <v>180884.92</v>
      </c>
      <c r="D65">
        <v>181329.07736861199</v>
      </c>
      <c r="E65" t="s">
        <v>2849</v>
      </c>
      <c r="F65" t="s">
        <v>594</v>
      </c>
    </row>
    <row r="66" spans="1:6" x14ac:dyDescent="0.45">
      <c r="A66" t="str">
        <f t="shared" si="0"/>
        <v>ET,64</v>
      </c>
      <c r="B66">
        <v>64</v>
      </c>
      <c r="C66">
        <v>172451.04</v>
      </c>
      <c r="D66">
        <v>172920.265113298</v>
      </c>
      <c r="E66" t="s">
        <v>2849</v>
      </c>
      <c r="F66" t="s">
        <v>594</v>
      </c>
    </row>
    <row r="67" spans="1:6" x14ac:dyDescent="0.45">
      <c r="A67" t="str">
        <f t="shared" ref="A67:A130" si="1">_xlfn.CONCAT(E67,",",B67)</f>
        <v>ET,65</v>
      </c>
      <c r="B67">
        <v>65</v>
      </c>
      <c r="C67">
        <v>164017.16</v>
      </c>
      <c r="D67">
        <v>164289.37417367799</v>
      </c>
      <c r="E67" t="s">
        <v>2849</v>
      </c>
      <c r="F67" t="s">
        <v>594</v>
      </c>
    </row>
    <row r="68" spans="1:6" x14ac:dyDescent="0.45">
      <c r="A68" t="str">
        <f t="shared" si="1"/>
        <v>ET,66</v>
      </c>
      <c r="B68">
        <v>66</v>
      </c>
      <c r="C68">
        <v>155583.28</v>
      </c>
      <c r="D68">
        <v>155633.41548937201</v>
      </c>
      <c r="E68" t="s">
        <v>2849</v>
      </c>
      <c r="F68" t="s">
        <v>594</v>
      </c>
    </row>
    <row r="69" spans="1:6" x14ac:dyDescent="0.45">
      <c r="A69" t="str">
        <f t="shared" si="1"/>
        <v>ET,67</v>
      </c>
      <c r="B69">
        <v>67</v>
      </c>
      <c r="C69">
        <v>147149.4</v>
      </c>
      <c r="D69">
        <v>147149.4</v>
      </c>
      <c r="E69" t="s">
        <v>2849</v>
      </c>
      <c r="F69" t="s">
        <v>594</v>
      </c>
    </row>
    <row r="70" spans="1:6" x14ac:dyDescent="0.45">
      <c r="A70" t="str">
        <f t="shared" si="1"/>
        <v>ET,68</v>
      </c>
      <c r="B70">
        <v>68</v>
      </c>
      <c r="C70">
        <v>139314.48000000001</v>
      </c>
      <c r="D70">
        <v>138984.50621827101</v>
      </c>
      <c r="E70" t="s">
        <v>2849</v>
      </c>
      <c r="F70" t="s">
        <v>594</v>
      </c>
    </row>
    <row r="71" spans="1:6" x14ac:dyDescent="0.45">
      <c r="A71" t="str">
        <f t="shared" si="1"/>
        <v>ET,69</v>
      </c>
      <c r="B71">
        <v>69</v>
      </c>
      <c r="C71">
        <v>131479.56</v>
      </c>
      <c r="D71">
        <v>131086.58294925201</v>
      </c>
      <c r="E71" t="s">
        <v>2849</v>
      </c>
      <c r="F71" t="s">
        <v>594</v>
      </c>
    </row>
    <row r="72" spans="1:6" x14ac:dyDescent="0.45">
      <c r="A72" t="str">
        <f t="shared" si="1"/>
        <v>ET,70</v>
      </c>
      <c r="B72">
        <v>70</v>
      </c>
      <c r="C72">
        <v>123644.64</v>
      </c>
      <c r="D72">
        <v>123353.64657109699</v>
      </c>
      <c r="E72" t="s">
        <v>2849</v>
      </c>
      <c r="F72" t="s">
        <v>594</v>
      </c>
    </row>
    <row r="73" spans="1:6" x14ac:dyDescent="0.45">
      <c r="A73" t="str">
        <f t="shared" si="1"/>
        <v>ET,71</v>
      </c>
      <c r="B73">
        <v>71</v>
      </c>
      <c r="C73">
        <v>115809.72</v>
      </c>
      <c r="D73">
        <v>115683.713461961</v>
      </c>
      <c r="E73" t="s">
        <v>2849</v>
      </c>
      <c r="F73" t="s">
        <v>594</v>
      </c>
    </row>
    <row r="74" spans="1:6" x14ac:dyDescent="0.45">
      <c r="A74" t="str">
        <f t="shared" si="1"/>
        <v>ET,72</v>
      </c>
      <c r="B74">
        <v>72</v>
      </c>
      <c r="C74">
        <v>107974.8</v>
      </c>
      <c r="D74">
        <v>107974.8</v>
      </c>
      <c r="E74" t="s">
        <v>2849</v>
      </c>
      <c r="F74" t="s">
        <v>594</v>
      </c>
    </row>
    <row r="75" spans="1:6" x14ac:dyDescent="0.45">
      <c r="A75" t="str">
        <f t="shared" si="1"/>
        <v>ET,73</v>
      </c>
      <c r="B75">
        <v>73</v>
      </c>
      <c r="C75">
        <v>99988.12</v>
      </c>
      <c r="D75">
        <v>100147.044958303</v>
      </c>
      <c r="E75" t="s">
        <v>2849</v>
      </c>
      <c r="F75" t="s">
        <v>594</v>
      </c>
    </row>
    <row r="76" spans="1:6" x14ac:dyDescent="0.45">
      <c r="A76" t="str">
        <f t="shared" si="1"/>
        <v>ET,74</v>
      </c>
      <c r="B76">
        <v>74</v>
      </c>
      <c r="C76">
        <v>92001.44</v>
      </c>
      <c r="D76">
        <v>92209.076689694906</v>
      </c>
      <c r="E76" t="s">
        <v>2849</v>
      </c>
      <c r="F76" t="s">
        <v>594</v>
      </c>
    </row>
    <row r="77" spans="1:6" x14ac:dyDescent="0.45">
      <c r="A77" t="str">
        <f t="shared" si="1"/>
        <v>ET,75</v>
      </c>
      <c r="B77">
        <v>75</v>
      </c>
      <c r="C77">
        <v>84014.76</v>
      </c>
      <c r="D77">
        <v>84191.645941935494</v>
      </c>
      <c r="E77" t="s">
        <v>2849</v>
      </c>
      <c r="F77" t="s">
        <v>594</v>
      </c>
    </row>
    <row r="78" spans="1:6" x14ac:dyDescent="0.45">
      <c r="A78" t="str">
        <f t="shared" si="1"/>
        <v>ET,76</v>
      </c>
      <c r="B78">
        <v>76</v>
      </c>
      <c r="C78">
        <v>76028.08</v>
      </c>
      <c r="D78">
        <v>76125.503462784094</v>
      </c>
      <c r="E78" t="s">
        <v>2849</v>
      </c>
      <c r="F78" t="s">
        <v>594</v>
      </c>
    </row>
    <row r="79" spans="1:6" x14ac:dyDescent="0.45">
      <c r="A79" t="str">
        <f t="shared" si="1"/>
        <v>ET,77</v>
      </c>
      <c r="B79">
        <v>77</v>
      </c>
      <c r="C79">
        <v>68041.399999999994</v>
      </c>
      <c r="D79">
        <v>68041.399999999994</v>
      </c>
      <c r="E79" t="s">
        <v>2849</v>
      </c>
      <c r="F79" t="s">
        <v>594</v>
      </c>
    </row>
    <row r="80" spans="1:6" x14ac:dyDescent="0.45">
      <c r="A80" t="str">
        <f t="shared" si="1"/>
        <v>ET,78</v>
      </c>
      <c r="B80">
        <v>78</v>
      </c>
      <c r="C80">
        <v>60781.1656</v>
      </c>
      <c r="D80">
        <v>59996.586172517302</v>
      </c>
      <c r="E80" t="s">
        <v>2849</v>
      </c>
      <c r="F80" t="s">
        <v>594</v>
      </c>
    </row>
    <row r="81" spans="1:6" x14ac:dyDescent="0.45">
      <c r="A81" t="str">
        <f t="shared" si="1"/>
        <v>ET,79</v>
      </c>
      <c r="B81">
        <v>79</v>
      </c>
      <c r="C81">
        <v>53520.931199999999</v>
      </c>
      <c r="D81">
        <v>52154.312083968602</v>
      </c>
      <c r="E81" t="s">
        <v>2849</v>
      </c>
      <c r="F81" t="s">
        <v>594</v>
      </c>
    </row>
    <row r="82" spans="1:6" x14ac:dyDescent="0.45">
      <c r="A82" t="str">
        <f t="shared" si="1"/>
        <v>ET,80</v>
      </c>
      <c r="B82">
        <v>80</v>
      </c>
      <c r="C82">
        <v>46260.696799999998</v>
      </c>
      <c r="D82">
        <v>44704.327709161204</v>
      </c>
      <c r="E82" t="s">
        <v>2849</v>
      </c>
      <c r="F82" t="s">
        <v>594</v>
      </c>
    </row>
    <row r="83" spans="1:6" x14ac:dyDescent="0.45">
      <c r="A83" t="str">
        <f t="shared" si="1"/>
        <v>ET,81</v>
      </c>
      <c r="B83">
        <v>81</v>
      </c>
      <c r="C83">
        <v>39000.462399999997</v>
      </c>
      <c r="D83">
        <v>37836.383022902599</v>
      </c>
      <c r="E83" t="s">
        <v>2849</v>
      </c>
      <c r="F83" t="s">
        <v>594</v>
      </c>
    </row>
    <row r="84" spans="1:6" x14ac:dyDescent="0.45">
      <c r="A84" t="str">
        <f t="shared" si="1"/>
        <v>ET,82</v>
      </c>
      <c r="B84">
        <v>82</v>
      </c>
      <c r="C84">
        <v>31740.227999999999</v>
      </c>
      <c r="D84">
        <v>31740.227999999999</v>
      </c>
      <c r="E84" t="s">
        <v>2849</v>
      </c>
      <c r="F84" t="s">
        <v>594</v>
      </c>
    </row>
    <row r="85" spans="1:6" x14ac:dyDescent="0.45">
      <c r="A85" t="str">
        <f t="shared" si="1"/>
        <v>ET,83</v>
      </c>
      <c r="B85">
        <v>83</v>
      </c>
      <c r="C85">
        <v>27871.876799999998</v>
      </c>
      <c r="D85">
        <v>26548.980015628102</v>
      </c>
      <c r="E85" t="s">
        <v>2849</v>
      </c>
      <c r="F85" t="s">
        <v>594</v>
      </c>
    </row>
    <row r="86" spans="1:6" x14ac:dyDescent="0.45">
      <c r="A86" t="str">
        <f t="shared" si="1"/>
        <v>ET,84</v>
      </c>
      <c r="B86">
        <v>84</v>
      </c>
      <c r="C86">
        <v>24003.525600000001</v>
      </c>
      <c r="D86">
        <v>22169.2260464309</v>
      </c>
      <c r="E86" t="s">
        <v>2849</v>
      </c>
      <c r="F86" t="s">
        <v>594</v>
      </c>
    </row>
    <row r="87" spans="1:6" x14ac:dyDescent="0.45">
      <c r="A87" t="str">
        <f t="shared" si="1"/>
        <v>ET,85</v>
      </c>
      <c r="B87">
        <v>85</v>
      </c>
      <c r="C87">
        <v>20135.1744</v>
      </c>
      <c r="D87">
        <v>18450.920469419601</v>
      </c>
      <c r="E87" t="s">
        <v>2849</v>
      </c>
      <c r="F87" t="s">
        <v>594</v>
      </c>
    </row>
    <row r="88" spans="1:6" x14ac:dyDescent="0.45">
      <c r="A88" t="str">
        <f t="shared" si="1"/>
        <v>ET,86</v>
      </c>
      <c r="B88">
        <v>86</v>
      </c>
      <c r="C88">
        <v>16266.823200000001</v>
      </c>
      <c r="D88">
        <v>15244.0176616055</v>
      </c>
      <c r="E88" t="s">
        <v>2849</v>
      </c>
      <c r="F88" t="s">
        <v>594</v>
      </c>
    </row>
    <row r="89" spans="1:6" x14ac:dyDescent="0.45">
      <c r="A89" t="str">
        <f t="shared" si="1"/>
        <v>ET,87</v>
      </c>
      <c r="B89">
        <v>87</v>
      </c>
      <c r="C89">
        <v>12398.472</v>
      </c>
      <c r="D89">
        <v>12398.472</v>
      </c>
      <c r="E89" t="s">
        <v>2849</v>
      </c>
      <c r="F89" t="s">
        <v>594</v>
      </c>
    </row>
    <row r="90" spans="1:6" x14ac:dyDescent="0.45">
      <c r="A90" t="str">
        <f t="shared" si="1"/>
        <v>ET,88</v>
      </c>
      <c r="B90">
        <v>88</v>
      </c>
      <c r="C90">
        <v>10380.9876</v>
      </c>
      <c r="D90">
        <v>9796.0102289703409</v>
      </c>
      <c r="E90" t="s">
        <v>2849</v>
      </c>
      <c r="F90" t="s">
        <v>594</v>
      </c>
    </row>
    <row r="91" spans="1:6" x14ac:dyDescent="0.45">
      <c r="A91" t="str">
        <f t="shared" si="1"/>
        <v>ET,89</v>
      </c>
      <c r="B91">
        <v>89</v>
      </c>
      <c r="C91">
        <v>8363.5031999999992</v>
      </c>
      <c r="D91">
        <v>7445.44856230801</v>
      </c>
      <c r="E91" t="s">
        <v>2849</v>
      </c>
      <c r="F91" t="s">
        <v>594</v>
      </c>
    </row>
    <row r="92" spans="1:6" x14ac:dyDescent="0.45">
      <c r="A92" t="str">
        <f t="shared" si="1"/>
        <v>ET,90</v>
      </c>
      <c r="B92">
        <v>90</v>
      </c>
      <c r="C92">
        <v>6346.0187999999998</v>
      </c>
      <c r="D92">
        <v>5387.3755811605097</v>
      </c>
      <c r="E92" t="s">
        <v>2849</v>
      </c>
      <c r="F92" t="s">
        <v>594</v>
      </c>
    </row>
    <row r="93" spans="1:6" x14ac:dyDescent="0.45">
      <c r="A93" t="str">
        <f t="shared" si="1"/>
        <v>ET,91</v>
      </c>
      <c r="B93">
        <v>91</v>
      </c>
      <c r="C93">
        <v>4328.5343999999996</v>
      </c>
      <c r="D93">
        <v>3662.3798666753401</v>
      </c>
      <c r="E93" t="s">
        <v>2849</v>
      </c>
      <c r="F93" t="s">
        <v>594</v>
      </c>
    </row>
    <row r="94" spans="1:6" x14ac:dyDescent="0.45">
      <c r="A94" t="str">
        <f t="shared" si="1"/>
        <v>ET,92</v>
      </c>
      <c r="B94">
        <v>92</v>
      </c>
      <c r="C94">
        <v>2311.0500000000002</v>
      </c>
      <c r="D94">
        <v>2311.0500000000002</v>
      </c>
      <c r="E94" t="s">
        <v>2849</v>
      </c>
      <c r="F94" t="s">
        <v>594</v>
      </c>
    </row>
    <row r="95" spans="1:6" x14ac:dyDescent="0.45">
      <c r="A95" t="str">
        <f t="shared" si="1"/>
        <v>ET,93</v>
      </c>
      <c r="B95">
        <v>93</v>
      </c>
      <c r="C95">
        <v>1879.9760000000001</v>
      </c>
      <c r="D95">
        <v>1354.58009249053</v>
      </c>
      <c r="E95" t="s">
        <v>2849</v>
      </c>
      <c r="F95" t="s">
        <v>594</v>
      </c>
    </row>
    <row r="96" spans="1:6" x14ac:dyDescent="0.45">
      <c r="A96" t="str">
        <f t="shared" si="1"/>
        <v>ET,94</v>
      </c>
      <c r="B96">
        <v>94</v>
      </c>
      <c r="C96">
        <v>1448.902</v>
      </c>
      <c r="D96">
        <v>736.586376337096</v>
      </c>
      <c r="E96" t="s">
        <v>2849</v>
      </c>
      <c r="F96" t="s">
        <v>594</v>
      </c>
    </row>
    <row r="97" spans="1:6" x14ac:dyDescent="0.45">
      <c r="A97" t="str">
        <f t="shared" si="1"/>
        <v>ET,95</v>
      </c>
      <c r="B97">
        <v>95</v>
      </c>
      <c r="C97">
        <v>1017.828</v>
      </c>
      <c r="D97">
        <v>381.29061393839697</v>
      </c>
      <c r="E97" t="s">
        <v>2849</v>
      </c>
      <c r="F97" t="s">
        <v>594</v>
      </c>
    </row>
    <row r="98" spans="1:6" x14ac:dyDescent="0.45">
      <c r="A98" t="str">
        <f t="shared" si="1"/>
        <v>ET,96</v>
      </c>
      <c r="B98">
        <v>96</v>
      </c>
      <c r="C98">
        <v>586.75400000000002</v>
      </c>
      <c r="D98">
        <v>212.914567693131</v>
      </c>
      <c r="E98" t="s">
        <v>2849</v>
      </c>
      <c r="F98" t="s">
        <v>594</v>
      </c>
    </row>
    <row r="99" spans="1:6" x14ac:dyDescent="0.45">
      <c r="A99" t="str">
        <f t="shared" si="1"/>
        <v>ET,97</v>
      </c>
      <c r="B99">
        <v>97</v>
      </c>
      <c r="C99">
        <v>155.68</v>
      </c>
      <c r="D99">
        <v>155.67999999999799</v>
      </c>
      <c r="E99" t="s">
        <v>2849</v>
      </c>
      <c r="F99" t="s">
        <v>594</v>
      </c>
    </row>
    <row r="100" spans="1:6" x14ac:dyDescent="0.45">
      <c r="A100" t="str">
        <f t="shared" si="1"/>
        <v>ET,98</v>
      </c>
      <c r="B100">
        <v>98</v>
      </c>
      <c r="C100">
        <v>164.12</v>
      </c>
      <c r="D100">
        <v>144.47375502731501</v>
      </c>
      <c r="E100" t="s">
        <v>2849</v>
      </c>
      <c r="F100" t="s">
        <v>594</v>
      </c>
    </row>
    <row r="101" spans="1:6" x14ac:dyDescent="0.45">
      <c r="A101" t="str">
        <f t="shared" si="1"/>
        <v>ET,99</v>
      </c>
      <c r="B101">
        <v>99</v>
      </c>
      <c r="C101">
        <v>172.56</v>
      </c>
      <c r="D101">
        <v>156.84300402185201</v>
      </c>
      <c r="E101" t="s">
        <v>2849</v>
      </c>
      <c r="F101" t="s">
        <v>594</v>
      </c>
    </row>
    <row r="102" spans="1:6" x14ac:dyDescent="0.45">
      <c r="A102" t="str">
        <f t="shared" si="1"/>
        <v>ET,100</v>
      </c>
      <c r="B102">
        <v>100</v>
      </c>
      <c r="C102">
        <v>181</v>
      </c>
      <c r="D102">
        <v>181</v>
      </c>
      <c r="E102" t="s">
        <v>2849</v>
      </c>
      <c r="F102" t="s">
        <v>594</v>
      </c>
    </row>
    <row r="103" spans="1:6" x14ac:dyDescent="0.45">
      <c r="A103" t="str">
        <f t="shared" si="1"/>
        <v>ET01,&lt;1</v>
      </c>
      <c r="B103" t="s">
        <v>119</v>
      </c>
      <c r="C103">
        <v>111522.931758616</v>
      </c>
      <c r="D103">
        <v>111522.931758616</v>
      </c>
      <c r="E103" t="s">
        <v>2868</v>
      </c>
      <c r="F103" t="s">
        <v>806</v>
      </c>
    </row>
    <row r="104" spans="1:6" x14ac:dyDescent="0.45">
      <c r="A104" t="str">
        <f t="shared" si="1"/>
        <v>ET01,1</v>
      </c>
      <c r="B104">
        <v>1</v>
      </c>
      <c r="C104">
        <v>107289.95703337</v>
      </c>
      <c r="D104">
        <v>107354.04855651</v>
      </c>
      <c r="E104" t="s">
        <v>2868</v>
      </c>
      <c r="F104" t="s">
        <v>806</v>
      </c>
    </row>
    <row r="105" spans="1:6" x14ac:dyDescent="0.45">
      <c r="A105" t="str">
        <f t="shared" si="1"/>
        <v>ET01,2</v>
      </c>
      <c r="B105">
        <v>2</v>
      </c>
      <c r="C105">
        <v>103056.982308123</v>
      </c>
      <c r="D105">
        <v>103056.982308123</v>
      </c>
      <c r="E105" t="s">
        <v>2868</v>
      </c>
      <c r="F105" t="s">
        <v>806</v>
      </c>
    </row>
    <row r="106" spans="1:6" x14ac:dyDescent="0.45">
      <c r="A106" t="str">
        <f t="shared" si="1"/>
        <v>ET01,3</v>
      </c>
      <c r="B106">
        <v>3</v>
      </c>
      <c r="C106">
        <v>99366.603543653997</v>
      </c>
      <c r="D106">
        <v>98579.090685043193</v>
      </c>
      <c r="E106" t="s">
        <v>2868</v>
      </c>
      <c r="F106" t="s">
        <v>806</v>
      </c>
    </row>
    <row r="107" spans="1:6" x14ac:dyDescent="0.45">
      <c r="A107" t="str">
        <f t="shared" si="1"/>
        <v>ET01,4</v>
      </c>
      <c r="B107">
        <v>4</v>
      </c>
      <c r="C107">
        <v>95676.224779184806</v>
      </c>
      <c r="D107">
        <v>94169.894230334801</v>
      </c>
      <c r="E107" t="s">
        <v>2868</v>
      </c>
      <c r="F107" t="s">
        <v>806</v>
      </c>
    </row>
    <row r="108" spans="1:6" x14ac:dyDescent="0.45">
      <c r="A108" t="str">
        <f t="shared" si="1"/>
        <v>ET01,5</v>
      </c>
      <c r="B108">
        <v>5</v>
      </c>
      <c r="C108">
        <v>91985.8460147156</v>
      </c>
      <c r="D108">
        <v>90154.454204931695</v>
      </c>
      <c r="E108" t="s">
        <v>2868</v>
      </c>
      <c r="F108" t="s">
        <v>806</v>
      </c>
    </row>
    <row r="109" spans="1:6" x14ac:dyDescent="0.45">
      <c r="A109" t="str">
        <f t="shared" si="1"/>
        <v>ET01,6</v>
      </c>
      <c r="B109">
        <v>6</v>
      </c>
      <c r="C109">
        <v>88295.467250246395</v>
      </c>
      <c r="D109">
        <v>86857.831869767906</v>
      </c>
      <c r="E109" t="s">
        <v>2868</v>
      </c>
      <c r="F109" t="s">
        <v>806</v>
      </c>
    </row>
    <row r="110" spans="1:6" x14ac:dyDescent="0.45">
      <c r="A110" t="str">
        <f t="shared" si="1"/>
        <v>ET01,7</v>
      </c>
      <c r="B110">
        <v>7</v>
      </c>
      <c r="C110">
        <v>84605.088485777203</v>
      </c>
      <c r="D110">
        <v>84605.088485777203</v>
      </c>
      <c r="E110" t="s">
        <v>2868</v>
      </c>
      <c r="F110" t="s">
        <v>806</v>
      </c>
    </row>
    <row r="111" spans="1:6" x14ac:dyDescent="0.45">
      <c r="A111" t="str">
        <f t="shared" si="1"/>
        <v>ET01,8</v>
      </c>
      <c r="B111">
        <v>8</v>
      </c>
      <c r="C111">
        <v>84209.688056536193</v>
      </c>
      <c r="D111">
        <v>83579.296404881097</v>
      </c>
      <c r="E111" t="s">
        <v>2868</v>
      </c>
      <c r="F111" t="s">
        <v>806</v>
      </c>
    </row>
    <row r="112" spans="1:6" x14ac:dyDescent="0.45">
      <c r="A112" t="str">
        <f t="shared" si="1"/>
        <v>ET01,9</v>
      </c>
      <c r="B112">
        <v>9</v>
      </c>
      <c r="C112">
        <v>83814.287627295096</v>
      </c>
      <c r="D112">
        <v>83395.572342952204</v>
      </c>
      <c r="E112" t="s">
        <v>2868</v>
      </c>
      <c r="F112" t="s">
        <v>806</v>
      </c>
    </row>
    <row r="113" spans="1:6" x14ac:dyDescent="0.45">
      <c r="A113" t="str">
        <f t="shared" si="1"/>
        <v>ET01,10</v>
      </c>
      <c r="B113">
        <v>10</v>
      </c>
      <c r="C113">
        <v>83418.887198054101</v>
      </c>
      <c r="D113">
        <v>83527.044106850793</v>
      </c>
      <c r="E113" t="s">
        <v>2868</v>
      </c>
      <c r="F113" t="s">
        <v>806</v>
      </c>
    </row>
    <row r="114" spans="1:6" x14ac:dyDescent="0.45">
      <c r="A114" t="str">
        <f t="shared" si="1"/>
        <v>ET01,11</v>
      </c>
      <c r="B114">
        <v>11</v>
      </c>
      <c r="C114">
        <v>83023.486768813003</v>
      </c>
      <c r="D114">
        <v>83446.839503437295</v>
      </c>
      <c r="E114" t="s">
        <v>2868</v>
      </c>
      <c r="F114" t="s">
        <v>806</v>
      </c>
    </row>
    <row r="115" spans="1:6" x14ac:dyDescent="0.45">
      <c r="A115" t="str">
        <f t="shared" si="1"/>
        <v>ET01,12</v>
      </c>
      <c r="B115">
        <v>12</v>
      </c>
      <c r="C115">
        <v>82628.086339571993</v>
      </c>
      <c r="D115">
        <v>82628.086339571993</v>
      </c>
      <c r="E115" t="s">
        <v>2868</v>
      </c>
      <c r="F115" t="s">
        <v>806</v>
      </c>
    </row>
    <row r="116" spans="1:6" x14ac:dyDescent="0.45">
      <c r="A116" t="str">
        <f t="shared" si="1"/>
        <v>ET01,13</v>
      </c>
      <c r="B116">
        <v>13</v>
      </c>
      <c r="C116">
        <v>79585.318917526296</v>
      </c>
      <c r="D116">
        <v>80691.101893121304</v>
      </c>
      <c r="E116" t="s">
        <v>2868</v>
      </c>
      <c r="F116" t="s">
        <v>806</v>
      </c>
    </row>
    <row r="117" spans="1:6" x14ac:dyDescent="0.45">
      <c r="A117" t="str">
        <f t="shared" si="1"/>
        <v>ET01,14</v>
      </c>
      <c r="B117">
        <v>14</v>
      </c>
      <c r="C117">
        <v>76542.551495480497</v>
      </c>
      <c r="D117">
        <v>77844.961325976095</v>
      </c>
      <c r="E117" t="s">
        <v>2868</v>
      </c>
      <c r="F117" t="s">
        <v>806</v>
      </c>
    </row>
    <row r="118" spans="1:6" x14ac:dyDescent="0.45">
      <c r="A118" t="str">
        <f t="shared" si="1"/>
        <v>ET01,15</v>
      </c>
      <c r="B118">
        <v>15</v>
      </c>
      <c r="C118">
        <v>73499.784073434697</v>
      </c>
      <c r="D118">
        <v>74445.929271033398</v>
      </c>
      <c r="E118" t="s">
        <v>2868</v>
      </c>
      <c r="F118" t="s">
        <v>806</v>
      </c>
    </row>
    <row r="119" spans="1:6" x14ac:dyDescent="0.45">
      <c r="A119" t="str">
        <f t="shared" si="1"/>
        <v>ET01,16</v>
      </c>
      <c r="B119">
        <v>16</v>
      </c>
      <c r="C119">
        <v>70457.016651389</v>
      </c>
      <c r="D119">
        <v>70850.270361190094</v>
      </c>
      <c r="E119" t="s">
        <v>2868</v>
      </c>
      <c r="F119" t="s">
        <v>806</v>
      </c>
    </row>
    <row r="120" spans="1:6" x14ac:dyDescent="0.45">
      <c r="A120" t="str">
        <f t="shared" si="1"/>
        <v>ET01,17</v>
      </c>
      <c r="B120">
        <v>17</v>
      </c>
      <c r="C120">
        <v>67414.249229343201</v>
      </c>
      <c r="D120">
        <v>67414.249229343201</v>
      </c>
      <c r="E120" t="s">
        <v>2868</v>
      </c>
      <c r="F120" t="s">
        <v>806</v>
      </c>
    </row>
    <row r="121" spans="1:6" x14ac:dyDescent="0.45">
      <c r="A121" t="str">
        <f t="shared" si="1"/>
        <v>ET01,18</v>
      </c>
      <c r="B121">
        <v>18</v>
      </c>
      <c r="C121">
        <v>64898.782489953002</v>
      </c>
      <c r="D121">
        <v>64412.042053517202</v>
      </c>
      <c r="E121" t="s">
        <v>2868</v>
      </c>
      <c r="F121" t="s">
        <v>806</v>
      </c>
    </row>
    <row r="122" spans="1:6" x14ac:dyDescent="0.45">
      <c r="A122" t="str">
        <f t="shared" si="1"/>
        <v>ET01,19</v>
      </c>
      <c r="B122">
        <v>19</v>
      </c>
      <c r="C122">
        <v>62383.315750562797</v>
      </c>
      <c r="D122">
        <v>61789.4711922469</v>
      </c>
      <c r="E122" t="s">
        <v>2868</v>
      </c>
      <c r="F122" t="s">
        <v>806</v>
      </c>
    </row>
    <row r="123" spans="1:6" x14ac:dyDescent="0.45">
      <c r="A123" t="str">
        <f t="shared" si="1"/>
        <v>ET01,20</v>
      </c>
      <c r="B123">
        <v>20</v>
      </c>
      <c r="C123">
        <v>59867.849011172599</v>
      </c>
      <c r="D123">
        <v>59410.270549194502</v>
      </c>
      <c r="E123" t="s">
        <v>2868</v>
      </c>
      <c r="F123" t="s">
        <v>806</v>
      </c>
    </row>
    <row r="124" spans="1:6" x14ac:dyDescent="0.45">
      <c r="A124" t="str">
        <f t="shared" si="1"/>
        <v>ET01,21</v>
      </c>
      <c r="B124">
        <v>21</v>
      </c>
      <c r="C124">
        <v>57352.3822717824</v>
      </c>
      <c r="D124">
        <v>57138.1740280222</v>
      </c>
      <c r="E124" t="s">
        <v>2868</v>
      </c>
      <c r="F124" t="s">
        <v>806</v>
      </c>
    </row>
    <row r="125" spans="1:6" x14ac:dyDescent="0.45">
      <c r="A125" t="str">
        <f t="shared" si="1"/>
        <v>ET01,22</v>
      </c>
      <c r="B125">
        <v>22</v>
      </c>
      <c r="C125">
        <v>54836.915532392202</v>
      </c>
      <c r="D125">
        <v>54836.915532392202</v>
      </c>
      <c r="E125" t="s">
        <v>2868</v>
      </c>
      <c r="F125" t="s">
        <v>806</v>
      </c>
    </row>
    <row r="126" spans="1:6" x14ac:dyDescent="0.45">
      <c r="A126" t="str">
        <f t="shared" si="1"/>
        <v>ET01,23</v>
      </c>
      <c r="B126">
        <v>23</v>
      </c>
      <c r="C126">
        <v>52383.795898053599</v>
      </c>
      <c r="D126">
        <v>52405.808464328002</v>
      </c>
      <c r="E126" t="s">
        <v>2868</v>
      </c>
      <c r="F126" t="s">
        <v>806</v>
      </c>
    </row>
    <row r="127" spans="1:6" x14ac:dyDescent="0.45">
      <c r="A127" t="str">
        <f t="shared" si="1"/>
        <v>ET01,24</v>
      </c>
      <c r="B127">
        <v>24</v>
      </c>
      <c r="C127">
        <v>49930.6762637149</v>
      </c>
      <c r="D127">
        <v>49886.484219297497</v>
      </c>
      <c r="E127" t="s">
        <v>2868</v>
      </c>
      <c r="F127" t="s">
        <v>806</v>
      </c>
    </row>
    <row r="128" spans="1:6" x14ac:dyDescent="0.45">
      <c r="A128" t="str">
        <f t="shared" si="1"/>
        <v>ET01,25</v>
      </c>
      <c r="B128">
        <v>25</v>
      </c>
      <c r="C128">
        <v>47477.556629376297</v>
      </c>
      <c r="D128">
        <v>47356.153691129803</v>
      </c>
      <c r="E128" t="s">
        <v>2868</v>
      </c>
      <c r="F128" t="s">
        <v>806</v>
      </c>
    </row>
    <row r="129" spans="1:6" x14ac:dyDescent="0.45">
      <c r="A129" t="str">
        <f t="shared" si="1"/>
        <v>ET01,26</v>
      </c>
      <c r="B129">
        <v>26</v>
      </c>
      <c r="C129">
        <v>45024.436995037599</v>
      </c>
      <c r="D129">
        <v>44892.027773653899</v>
      </c>
      <c r="E129" t="s">
        <v>2868</v>
      </c>
      <c r="F129" t="s">
        <v>806</v>
      </c>
    </row>
    <row r="130" spans="1:6" x14ac:dyDescent="0.45">
      <c r="A130" t="str">
        <f t="shared" si="1"/>
        <v>ET01,27</v>
      </c>
      <c r="B130">
        <v>27</v>
      </c>
      <c r="C130">
        <v>42571.317360699002</v>
      </c>
      <c r="D130">
        <v>42571.317360699002</v>
      </c>
      <c r="E130" t="s">
        <v>2868</v>
      </c>
      <c r="F130" t="s">
        <v>806</v>
      </c>
    </row>
    <row r="131" spans="1:6" x14ac:dyDescent="0.45">
      <c r="A131" t="str">
        <f t="shared" ref="A131:A194" si="2">_xlfn.CONCAT(E131,",",B131)</f>
        <v>ET01,28</v>
      </c>
      <c r="B131">
        <v>28</v>
      </c>
      <c r="C131">
        <v>41069.997437469203</v>
      </c>
      <c r="D131">
        <v>40465.180054868397</v>
      </c>
      <c r="E131" t="s">
        <v>2868</v>
      </c>
      <c r="F131" t="s">
        <v>806</v>
      </c>
    </row>
    <row r="132" spans="1:6" x14ac:dyDescent="0.45">
      <c r="A132" t="str">
        <f t="shared" si="2"/>
        <v>ET01,29</v>
      </c>
      <c r="B132">
        <v>29</v>
      </c>
      <c r="C132">
        <v>39568.677514239404</v>
      </c>
      <c r="D132">
        <v>38620.560293863098</v>
      </c>
      <c r="E132" t="s">
        <v>2868</v>
      </c>
      <c r="F132" t="s">
        <v>806</v>
      </c>
    </row>
    <row r="133" spans="1:6" x14ac:dyDescent="0.45">
      <c r="A133" t="str">
        <f t="shared" si="2"/>
        <v>ET01,30</v>
      </c>
      <c r="B133">
        <v>30</v>
      </c>
      <c r="C133">
        <v>38067.357591009597</v>
      </c>
      <c r="D133">
        <v>37078.349224158097</v>
      </c>
      <c r="E133" t="s">
        <v>2868</v>
      </c>
      <c r="F133" t="s">
        <v>806</v>
      </c>
    </row>
    <row r="134" spans="1:6" x14ac:dyDescent="0.45">
      <c r="A134" t="str">
        <f t="shared" si="2"/>
        <v>ET01,31</v>
      </c>
      <c r="B134">
        <v>31</v>
      </c>
      <c r="C134">
        <v>36566.037667779798</v>
      </c>
      <c r="D134">
        <v>35879.437992228697</v>
      </c>
      <c r="E134" t="s">
        <v>2868</v>
      </c>
      <c r="F134" t="s">
        <v>806</v>
      </c>
    </row>
    <row r="135" spans="1:6" x14ac:dyDescent="0.45">
      <c r="A135" t="str">
        <f t="shared" si="2"/>
        <v>ET01,32</v>
      </c>
      <c r="B135">
        <v>32</v>
      </c>
      <c r="C135">
        <v>35064.717744549998</v>
      </c>
      <c r="D135">
        <v>35064.717744549998</v>
      </c>
      <c r="E135" t="s">
        <v>2868</v>
      </c>
      <c r="F135" t="s">
        <v>806</v>
      </c>
    </row>
    <row r="136" spans="1:6" x14ac:dyDescent="0.45">
      <c r="A136" t="str">
        <f t="shared" si="2"/>
        <v>ET01,33</v>
      </c>
      <c r="B136">
        <v>33</v>
      </c>
      <c r="C136">
        <v>34748.375495479901</v>
      </c>
      <c r="D136">
        <v>34637.4623084185</v>
      </c>
      <c r="E136" t="s">
        <v>2868</v>
      </c>
      <c r="F136" t="s">
        <v>806</v>
      </c>
    </row>
    <row r="137" spans="1:6" x14ac:dyDescent="0.45">
      <c r="A137" t="str">
        <f t="shared" si="2"/>
        <v>ET01,34</v>
      </c>
      <c r="B137">
        <v>34</v>
      </c>
      <c r="C137">
        <v>34432.033246409803</v>
      </c>
      <c r="D137">
        <v>34450.476234415299</v>
      </c>
      <c r="E137" t="s">
        <v>2868</v>
      </c>
      <c r="F137" t="s">
        <v>806</v>
      </c>
    </row>
    <row r="138" spans="1:6" x14ac:dyDescent="0.45">
      <c r="A138" t="str">
        <f t="shared" si="2"/>
        <v>ET01,35</v>
      </c>
      <c r="B138">
        <v>35</v>
      </c>
      <c r="C138">
        <v>34115.690997339603</v>
      </c>
      <c r="D138">
        <v>34318.946753942801</v>
      </c>
      <c r="E138" t="s">
        <v>2868</v>
      </c>
      <c r="F138" t="s">
        <v>806</v>
      </c>
    </row>
    <row r="139" spans="1:6" x14ac:dyDescent="0.45">
      <c r="A139" t="str">
        <f t="shared" si="2"/>
        <v>ET01,36</v>
      </c>
      <c r="B139">
        <v>36</v>
      </c>
      <c r="C139">
        <v>33799.348748269498</v>
      </c>
      <c r="D139">
        <v>34058.061098403297</v>
      </c>
      <c r="E139" t="s">
        <v>2868</v>
      </c>
      <c r="F139" t="s">
        <v>806</v>
      </c>
    </row>
    <row r="140" spans="1:6" x14ac:dyDescent="0.45">
      <c r="A140" t="str">
        <f t="shared" si="2"/>
        <v>ET01,37</v>
      </c>
      <c r="B140">
        <v>37</v>
      </c>
      <c r="C140">
        <v>33483.0064991994</v>
      </c>
      <c r="D140">
        <v>33483.0064991994</v>
      </c>
      <c r="E140" t="s">
        <v>2868</v>
      </c>
      <c r="F140" t="s">
        <v>806</v>
      </c>
    </row>
    <row r="141" spans="1:6" x14ac:dyDescent="0.45">
      <c r="A141" t="str">
        <f t="shared" si="2"/>
        <v>ET01,38</v>
      </c>
      <c r="B141">
        <v>38</v>
      </c>
      <c r="C141">
        <v>32095.856138969</v>
      </c>
      <c r="D141">
        <v>32465.934205739301</v>
      </c>
      <c r="E141" t="s">
        <v>2868</v>
      </c>
      <c r="F141" t="s">
        <v>806</v>
      </c>
    </row>
    <row r="142" spans="1:6" x14ac:dyDescent="0.45">
      <c r="A142" t="str">
        <f t="shared" si="2"/>
        <v>ET01,39</v>
      </c>
      <c r="B142">
        <v>39</v>
      </c>
      <c r="C142">
        <v>30708.705778738698</v>
      </c>
      <c r="D142">
        <v>31106.851539455602</v>
      </c>
      <c r="E142" t="s">
        <v>2868</v>
      </c>
      <c r="F142" t="s">
        <v>806</v>
      </c>
    </row>
    <row r="143" spans="1:6" x14ac:dyDescent="0.45">
      <c r="A143" t="str">
        <f t="shared" si="2"/>
        <v>ET01,40</v>
      </c>
      <c r="B143">
        <v>40</v>
      </c>
      <c r="C143">
        <v>29321.555418508298</v>
      </c>
      <c r="D143">
        <v>29562.7298397868</v>
      </c>
      <c r="E143" t="s">
        <v>2868</v>
      </c>
      <c r="F143" t="s">
        <v>806</v>
      </c>
    </row>
    <row r="144" spans="1:6" x14ac:dyDescent="0.45">
      <c r="A144" t="str">
        <f t="shared" si="2"/>
        <v>ET01,41</v>
      </c>
      <c r="B144">
        <v>41</v>
      </c>
      <c r="C144">
        <v>27934.405058278</v>
      </c>
      <c r="D144">
        <v>27990.540446171301</v>
      </c>
      <c r="E144" t="s">
        <v>2868</v>
      </c>
      <c r="F144" t="s">
        <v>806</v>
      </c>
    </row>
    <row r="145" spans="1:6" x14ac:dyDescent="0.45">
      <c r="A145" t="str">
        <f t="shared" si="2"/>
        <v>ET01,42</v>
      </c>
      <c r="B145">
        <v>42</v>
      </c>
      <c r="C145">
        <v>26547.2546980476</v>
      </c>
      <c r="D145">
        <v>26547.2546980476</v>
      </c>
      <c r="E145" t="s">
        <v>2868</v>
      </c>
      <c r="F145" t="s">
        <v>806</v>
      </c>
    </row>
    <row r="146" spans="1:6" x14ac:dyDescent="0.45">
      <c r="A146" t="str">
        <f t="shared" si="2"/>
        <v>ET01,43</v>
      </c>
      <c r="B146">
        <v>43</v>
      </c>
      <c r="C146">
        <v>25638.4325398656</v>
      </c>
      <c r="D146">
        <v>25351.8020659502</v>
      </c>
      <c r="E146" t="s">
        <v>2868</v>
      </c>
      <c r="F146" t="s">
        <v>806</v>
      </c>
    </row>
    <row r="147" spans="1:6" x14ac:dyDescent="0.45">
      <c r="A147" t="str">
        <f t="shared" si="2"/>
        <v>ET01,44</v>
      </c>
      <c r="B147">
        <v>44</v>
      </c>
      <c r="C147">
        <v>24729.610381683699</v>
      </c>
      <c r="D147">
        <v>24370.944544796701</v>
      </c>
      <c r="E147" t="s">
        <v>2868</v>
      </c>
      <c r="F147" t="s">
        <v>806</v>
      </c>
    </row>
    <row r="148" spans="1:6" x14ac:dyDescent="0.45">
      <c r="A148" t="str">
        <f t="shared" si="2"/>
        <v>ET01,45</v>
      </c>
      <c r="B148">
        <v>45</v>
      </c>
      <c r="C148">
        <v>23820.788223501699</v>
      </c>
      <c r="D148">
        <v>23533.402260601099</v>
      </c>
      <c r="E148" t="s">
        <v>2868</v>
      </c>
      <c r="F148" t="s">
        <v>806</v>
      </c>
    </row>
    <row r="149" spans="1:6" x14ac:dyDescent="0.45">
      <c r="A149" t="str">
        <f t="shared" si="2"/>
        <v>ET01,46</v>
      </c>
      <c r="B149">
        <v>46</v>
      </c>
      <c r="C149">
        <v>22911.966065319801</v>
      </c>
      <c r="D149">
        <v>22767.895339376901</v>
      </c>
      <c r="E149" t="s">
        <v>2868</v>
      </c>
      <c r="F149" t="s">
        <v>806</v>
      </c>
    </row>
    <row r="150" spans="1:6" x14ac:dyDescent="0.45">
      <c r="A150" t="str">
        <f t="shared" si="2"/>
        <v>ET01,47</v>
      </c>
      <c r="B150">
        <v>47</v>
      </c>
      <c r="C150">
        <v>22003.143907137801</v>
      </c>
      <c r="D150">
        <v>22003.143907137801</v>
      </c>
      <c r="E150" t="s">
        <v>2868</v>
      </c>
      <c r="F150" t="s">
        <v>806</v>
      </c>
    </row>
    <row r="151" spans="1:6" x14ac:dyDescent="0.45">
      <c r="A151" t="str">
        <f t="shared" si="2"/>
        <v>ET01,48</v>
      </c>
      <c r="B151">
        <v>48</v>
      </c>
      <c r="C151">
        <v>21410.9472038602</v>
      </c>
      <c r="D151">
        <v>21194.637985093999</v>
      </c>
      <c r="E151" t="s">
        <v>2868</v>
      </c>
      <c r="F151" t="s">
        <v>806</v>
      </c>
    </row>
    <row r="152" spans="1:6" x14ac:dyDescent="0.45">
      <c r="A152" t="str">
        <f t="shared" si="2"/>
        <v>ET01,49</v>
      </c>
      <c r="B152">
        <v>49</v>
      </c>
      <c r="C152">
        <v>20818.750500582701</v>
      </c>
      <c r="D152">
        <v>20404.947175241101</v>
      </c>
      <c r="E152" t="s">
        <v>2868</v>
      </c>
      <c r="F152" t="s">
        <v>806</v>
      </c>
    </row>
    <row r="153" spans="1:6" x14ac:dyDescent="0.45">
      <c r="A153" t="str">
        <f t="shared" si="2"/>
        <v>ET01,50</v>
      </c>
      <c r="B153">
        <v>50</v>
      </c>
      <c r="C153">
        <v>20226.5537973051</v>
      </c>
      <c r="D153">
        <v>19723.410974771399</v>
      </c>
      <c r="E153" t="s">
        <v>2868</v>
      </c>
      <c r="F153" t="s">
        <v>806</v>
      </c>
    </row>
    <row r="154" spans="1:6" x14ac:dyDescent="0.45">
      <c r="A154" t="str">
        <f t="shared" si="2"/>
        <v>ET01,51</v>
      </c>
      <c r="B154">
        <v>51</v>
      </c>
      <c r="C154">
        <v>19634.357094027499</v>
      </c>
      <c r="D154">
        <v>19239.368880876998</v>
      </c>
      <c r="E154" t="s">
        <v>2868</v>
      </c>
      <c r="F154" t="s">
        <v>806</v>
      </c>
    </row>
    <row r="155" spans="1:6" x14ac:dyDescent="0.45">
      <c r="A155" t="str">
        <f t="shared" si="2"/>
        <v>ET01,52</v>
      </c>
      <c r="B155">
        <v>52</v>
      </c>
      <c r="C155">
        <v>19042.160390749901</v>
      </c>
      <c r="D155">
        <v>19042.160390749901</v>
      </c>
      <c r="E155" t="s">
        <v>2868</v>
      </c>
      <c r="F155" t="s">
        <v>806</v>
      </c>
    </row>
    <row r="156" spans="1:6" x14ac:dyDescent="0.45">
      <c r="A156" t="str">
        <f t="shared" si="2"/>
        <v>ET01,53</v>
      </c>
      <c r="B156">
        <v>53</v>
      </c>
      <c r="C156">
        <v>19126.526519318501</v>
      </c>
      <c r="D156">
        <v>19172.952894664399</v>
      </c>
      <c r="E156" t="s">
        <v>2868</v>
      </c>
      <c r="F156" t="s">
        <v>806</v>
      </c>
    </row>
    <row r="157" spans="1:6" x14ac:dyDescent="0.45">
      <c r="A157" t="str">
        <f t="shared" si="2"/>
        <v>ET01,54</v>
      </c>
      <c r="B157">
        <v>54</v>
      </c>
      <c r="C157">
        <v>19210.8926478871</v>
      </c>
      <c r="D157">
        <v>19480.225355222101</v>
      </c>
      <c r="E157" t="s">
        <v>2868</v>
      </c>
      <c r="F157" t="s">
        <v>806</v>
      </c>
    </row>
    <row r="158" spans="1:6" x14ac:dyDescent="0.45">
      <c r="A158" t="str">
        <f t="shared" si="2"/>
        <v>ET01,55</v>
      </c>
      <c r="B158">
        <v>55</v>
      </c>
      <c r="C158">
        <v>19295.258776455699</v>
      </c>
      <c r="D158">
        <v>19764.2846281069</v>
      </c>
      <c r="E158" t="s">
        <v>2868</v>
      </c>
      <c r="F158" t="s">
        <v>806</v>
      </c>
    </row>
    <row r="159" spans="1:6" x14ac:dyDescent="0.45">
      <c r="A159" t="str">
        <f t="shared" si="2"/>
        <v>ET01,56</v>
      </c>
      <c r="B159">
        <v>56</v>
      </c>
      <c r="C159">
        <v>19379.6249050242</v>
      </c>
      <c r="D159">
        <v>19825.437569002599</v>
      </c>
      <c r="E159" t="s">
        <v>2868</v>
      </c>
      <c r="F159" t="s">
        <v>806</v>
      </c>
    </row>
    <row r="160" spans="1:6" x14ac:dyDescent="0.45">
      <c r="A160" t="str">
        <f t="shared" si="2"/>
        <v>ET01,57</v>
      </c>
      <c r="B160">
        <v>57</v>
      </c>
      <c r="C160">
        <v>19463.9910335928</v>
      </c>
      <c r="D160">
        <v>19463.9910335928</v>
      </c>
      <c r="E160" t="s">
        <v>2868</v>
      </c>
      <c r="F160" t="s">
        <v>806</v>
      </c>
    </row>
    <row r="161" spans="1:6" x14ac:dyDescent="0.45">
      <c r="A161" t="str">
        <f t="shared" si="2"/>
        <v>ET01,58</v>
      </c>
      <c r="B161">
        <v>58</v>
      </c>
      <c r="C161">
        <v>18191.04799449</v>
      </c>
      <c r="D161">
        <v>18550.418034978899</v>
      </c>
      <c r="E161" t="s">
        <v>2868</v>
      </c>
      <c r="F161" t="s">
        <v>806</v>
      </c>
    </row>
    <row r="162" spans="1:6" x14ac:dyDescent="0.45">
      <c r="A162" t="str">
        <f t="shared" si="2"/>
        <v>ET01,59</v>
      </c>
      <c r="B162">
        <v>59</v>
      </c>
      <c r="C162">
        <v>16918.1049553872</v>
      </c>
      <c r="D162">
        <v>17235.856215931901</v>
      </c>
      <c r="E162" t="s">
        <v>2868</v>
      </c>
      <c r="F162" t="s">
        <v>806</v>
      </c>
    </row>
    <row r="163" spans="1:6" x14ac:dyDescent="0.45">
      <c r="A163" t="str">
        <f t="shared" si="2"/>
        <v>ET01,60</v>
      </c>
      <c r="B163">
        <v>60</v>
      </c>
      <c r="C163">
        <v>15645.1619162844</v>
      </c>
      <c r="D163">
        <v>15741.609376640499</v>
      </c>
      <c r="E163" t="s">
        <v>2868</v>
      </c>
      <c r="F163" t="s">
        <v>806</v>
      </c>
    </row>
    <row r="164" spans="1:6" x14ac:dyDescent="0.45">
      <c r="A164" t="str">
        <f t="shared" si="2"/>
        <v>ET01,61</v>
      </c>
      <c r="B164">
        <v>61</v>
      </c>
      <c r="C164">
        <v>14372.2188771816</v>
      </c>
      <c r="D164">
        <v>14288.981317293201</v>
      </c>
      <c r="E164" t="s">
        <v>2868</v>
      </c>
      <c r="F164" t="s">
        <v>806</v>
      </c>
    </row>
    <row r="165" spans="1:6" x14ac:dyDescent="0.45">
      <c r="A165" t="str">
        <f t="shared" si="2"/>
        <v>ET01,62</v>
      </c>
      <c r="B165">
        <v>62</v>
      </c>
      <c r="C165">
        <v>13099.2758380787</v>
      </c>
      <c r="D165">
        <v>13099.2758380787</v>
      </c>
      <c r="E165" t="s">
        <v>2868</v>
      </c>
      <c r="F165" t="s">
        <v>806</v>
      </c>
    </row>
    <row r="166" spans="1:6" x14ac:dyDescent="0.45">
      <c r="A166" t="str">
        <f t="shared" si="2"/>
        <v>ET01,63</v>
      </c>
      <c r="B166">
        <v>63</v>
      </c>
      <c r="C166">
        <v>12719.3093800068</v>
      </c>
      <c r="D166">
        <v>12332.670526362601</v>
      </c>
      <c r="E166" t="s">
        <v>2868</v>
      </c>
      <c r="F166" t="s">
        <v>806</v>
      </c>
    </row>
    <row r="167" spans="1:6" x14ac:dyDescent="0.45">
      <c r="A167" t="str">
        <f t="shared" si="2"/>
        <v>ET01,64</v>
      </c>
      <c r="B167">
        <v>64</v>
      </c>
      <c r="C167">
        <v>12339.3429219348</v>
      </c>
      <c r="D167">
        <v>11904.8381182182</v>
      </c>
      <c r="E167" t="s">
        <v>2868</v>
      </c>
      <c r="F167" t="s">
        <v>806</v>
      </c>
    </row>
    <row r="168" spans="1:6" x14ac:dyDescent="0.45">
      <c r="A168" t="str">
        <f t="shared" si="2"/>
        <v>ET01,65</v>
      </c>
      <c r="B168">
        <v>65</v>
      </c>
      <c r="C168">
        <v>11959.3764638629</v>
      </c>
      <c r="D168">
        <v>11670.325136895801</v>
      </c>
      <c r="E168" t="s">
        <v>2868</v>
      </c>
      <c r="F168" t="s">
        <v>806</v>
      </c>
    </row>
    <row r="169" spans="1:6" x14ac:dyDescent="0.45">
      <c r="A169" t="str">
        <f t="shared" si="2"/>
        <v>ET01,66</v>
      </c>
      <c r="B169">
        <v>66</v>
      </c>
      <c r="C169">
        <v>11579.4100057909</v>
      </c>
      <c r="D169">
        <v>11483.678105646</v>
      </c>
      <c r="E169" t="s">
        <v>2868</v>
      </c>
      <c r="F169" t="s">
        <v>806</v>
      </c>
    </row>
    <row r="170" spans="1:6" x14ac:dyDescent="0.45">
      <c r="A170" t="str">
        <f t="shared" si="2"/>
        <v>ET01,67</v>
      </c>
      <c r="B170">
        <v>67</v>
      </c>
      <c r="C170">
        <v>11199.443547719</v>
      </c>
      <c r="D170">
        <v>11199.443547719</v>
      </c>
      <c r="E170" t="s">
        <v>2868</v>
      </c>
      <c r="F170" t="s">
        <v>806</v>
      </c>
    </row>
    <row r="171" spans="1:6" x14ac:dyDescent="0.45">
      <c r="A171" t="str">
        <f t="shared" si="2"/>
        <v>ET01,68</v>
      </c>
      <c r="B171">
        <v>68</v>
      </c>
      <c r="C171">
        <v>10497.7352418963</v>
      </c>
      <c r="D171">
        <v>10707.9065131405</v>
      </c>
      <c r="E171" t="s">
        <v>2868</v>
      </c>
      <c r="F171" t="s">
        <v>806</v>
      </c>
    </row>
    <row r="172" spans="1:6" x14ac:dyDescent="0.45">
      <c r="A172" t="str">
        <f t="shared" si="2"/>
        <v>ET01,69</v>
      </c>
      <c r="B172">
        <v>69</v>
      </c>
      <c r="C172">
        <v>9796.0269360737002</v>
      </c>
      <c r="D172">
        <v>10042.3061590375</v>
      </c>
      <c r="E172" t="s">
        <v>2868</v>
      </c>
      <c r="F172" t="s">
        <v>806</v>
      </c>
    </row>
    <row r="173" spans="1:6" x14ac:dyDescent="0.45">
      <c r="A173" t="str">
        <f t="shared" si="2"/>
        <v>ET01,70</v>
      </c>
      <c r="B173">
        <v>70</v>
      </c>
      <c r="C173">
        <v>9094.3186302510803</v>
      </c>
      <c r="D173">
        <v>9271.6201693125495</v>
      </c>
      <c r="E173" t="s">
        <v>2868</v>
      </c>
      <c r="F173" t="s">
        <v>806</v>
      </c>
    </row>
    <row r="174" spans="1:6" x14ac:dyDescent="0.45">
      <c r="A174" t="str">
        <f t="shared" si="2"/>
        <v>ET01,71</v>
      </c>
      <c r="B174">
        <v>71</v>
      </c>
      <c r="C174">
        <v>8392.6103244284495</v>
      </c>
      <c r="D174">
        <v>8464.8262278678594</v>
      </c>
      <c r="E174" t="s">
        <v>2868</v>
      </c>
      <c r="F174" t="s">
        <v>806</v>
      </c>
    </row>
    <row r="175" spans="1:6" x14ac:dyDescent="0.45">
      <c r="A175" t="str">
        <f t="shared" si="2"/>
        <v>ET01,72</v>
      </c>
      <c r="B175">
        <v>72</v>
      </c>
      <c r="C175">
        <v>7690.9020186058196</v>
      </c>
      <c r="D175">
        <v>7690.9020186058196</v>
      </c>
      <c r="E175" t="s">
        <v>2868</v>
      </c>
      <c r="F175" t="s">
        <v>806</v>
      </c>
    </row>
    <row r="176" spans="1:6" x14ac:dyDescent="0.45">
      <c r="A176" t="str">
        <f t="shared" si="2"/>
        <v>ET01,73</v>
      </c>
      <c r="B176">
        <v>73</v>
      </c>
      <c r="C176">
        <v>7063.7170727903203</v>
      </c>
      <c r="D176">
        <v>7001.4366766120902</v>
      </c>
      <c r="E176" t="s">
        <v>2868</v>
      </c>
      <c r="F176" t="s">
        <v>806</v>
      </c>
    </row>
    <row r="177" spans="1:6" x14ac:dyDescent="0.45">
      <c r="A177" t="str">
        <f t="shared" si="2"/>
        <v>ET01,74</v>
      </c>
      <c r="B177">
        <v>74</v>
      </c>
      <c r="C177">
        <v>6436.5321269748301</v>
      </c>
      <c r="D177">
        <v>6378.4651417054301</v>
      </c>
      <c r="E177" t="s">
        <v>2868</v>
      </c>
      <c r="F177" t="s">
        <v>806</v>
      </c>
    </row>
    <row r="178" spans="1:6" x14ac:dyDescent="0.45">
      <c r="A178" t="str">
        <f t="shared" si="2"/>
        <v>ET01,75</v>
      </c>
      <c r="B178">
        <v>75</v>
      </c>
      <c r="C178">
        <v>5809.3471811593299</v>
      </c>
      <c r="D178">
        <v>5786.6338048878897</v>
      </c>
      <c r="E178" t="s">
        <v>2868</v>
      </c>
      <c r="F178" t="s">
        <v>806</v>
      </c>
    </row>
    <row r="179" spans="1:6" x14ac:dyDescent="0.45">
      <c r="A179" t="str">
        <f t="shared" si="2"/>
        <v>ET01,76</v>
      </c>
      <c r="B179">
        <v>76</v>
      </c>
      <c r="C179">
        <v>5182.1622353438397</v>
      </c>
      <c r="D179">
        <v>5190.58905716151</v>
      </c>
      <c r="E179" t="s">
        <v>2868</v>
      </c>
      <c r="F179" t="s">
        <v>806</v>
      </c>
    </row>
    <row r="180" spans="1:6" x14ac:dyDescent="0.45">
      <c r="A180" t="str">
        <f t="shared" si="2"/>
        <v>ET01,77</v>
      </c>
      <c r="B180">
        <v>77</v>
      </c>
      <c r="C180">
        <v>4554.9772895283404</v>
      </c>
      <c r="D180">
        <v>4554.9772895283404</v>
      </c>
      <c r="E180" t="s">
        <v>2868</v>
      </c>
      <c r="F180" t="s">
        <v>806</v>
      </c>
    </row>
    <row r="181" spans="1:6" x14ac:dyDescent="0.45">
      <c r="A181" t="str">
        <f t="shared" si="2"/>
        <v>ET01,78</v>
      </c>
      <c r="B181">
        <v>78</v>
      </c>
      <c r="C181">
        <v>3906.3170316226701</v>
      </c>
      <c r="D181">
        <v>3858.57000628777</v>
      </c>
      <c r="E181" t="s">
        <v>2868</v>
      </c>
      <c r="F181" t="s">
        <v>806</v>
      </c>
    </row>
    <row r="182" spans="1:6" x14ac:dyDescent="0.45">
      <c r="A182" t="str">
        <f t="shared" si="2"/>
        <v>ET01,79</v>
      </c>
      <c r="B182">
        <v>79</v>
      </c>
      <c r="C182">
        <v>3257.6567737169999</v>
      </c>
      <c r="D182">
        <v>3136.6391649285501</v>
      </c>
      <c r="E182" t="s">
        <v>2868</v>
      </c>
      <c r="F182" t="s">
        <v>806</v>
      </c>
    </row>
    <row r="183" spans="1:6" x14ac:dyDescent="0.45">
      <c r="A183" t="str">
        <f t="shared" si="2"/>
        <v>ET01,80</v>
      </c>
      <c r="B183">
        <v>80</v>
      </c>
      <c r="C183">
        <v>2608.99651581134</v>
      </c>
      <c r="D183">
        <v>2438.58183623678</v>
      </c>
      <c r="E183" t="s">
        <v>2868</v>
      </c>
      <c r="F183" t="s">
        <v>806</v>
      </c>
    </row>
    <row r="184" spans="1:6" x14ac:dyDescent="0.45">
      <c r="A184" t="str">
        <f t="shared" si="2"/>
        <v>ET01,81</v>
      </c>
      <c r="B184">
        <v>81</v>
      </c>
      <c r="C184">
        <v>1960.33625790567</v>
      </c>
      <c r="D184">
        <v>1813.79509099856</v>
      </c>
      <c r="E184" t="s">
        <v>2868</v>
      </c>
      <c r="F184" t="s">
        <v>806</v>
      </c>
    </row>
    <row r="185" spans="1:6" x14ac:dyDescent="0.45">
      <c r="A185" t="str">
        <f t="shared" si="2"/>
        <v>ET01,82</v>
      </c>
      <c r="B185">
        <v>82</v>
      </c>
      <c r="C185">
        <v>1311.6759999999999</v>
      </c>
      <c r="D185">
        <v>1311.6759999999999</v>
      </c>
      <c r="E185" t="s">
        <v>2868</v>
      </c>
      <c r="F185" t="s">
        <v>806</v>
      </c>
    </row>
    <row r="186" spans="1:6" x14ac:dyDescent="0.45">
      <c r="A186" t="str">
        <f t="shared" si="2"/>
        <v>ET01,83</v>
      </c>
      <c r="B186">
        <v>83</v>
      </c>
      <c r="C186">
        <v>1151.8288</v>
      </c>
      <c r="D186">
        <v>966.76121133826098</v>
      </c>
      <c r="E186" t="s">
        <v>2868</v>
      </c>
      <c r="F186" t="s">
        <v>806</v>
      </c>
    </row>
    <row r="187" spans="1:6" x14ac:dyDescent="0.45">
      <c r="A187" t="str">
        <f t="shared" si="2"/>
        <v>ET01,84</v>
      </c>
      <c r="B187">
        <v>84</v>
      </c>
      <c r="C187">
        <v>991.98159999999996</v>
      </c>
      <c r="D187">
        <v>754.14568235483205</v>
      </c>
      <c r="E187" t="s">
        <v>2868</v>
      </c>
      <c r="F187" t="s">
        <v>806</v>
      </c>
    </row>
    <row r="188" spans="1:6" x14ac:dyDescent="0.45">
      <c r="A188" t="str">
        <f t="shared" si="2"/>
        <v>ET01,85</v>
      </c>
      <c r="B188">
        <v>85</v>
      </c>
      <c r="C188">
        <v>832.13440000000003</v>
      </c>
      <c r="D188">
        <v>634.063947702272</v>
      </c>
      <c r="E188" t="s">
        <v>2868</v>
      </c>
      <c r="F188" t="s">
        <v>806</v>
      </c>
    </row>
    <row r="189" spans="1:6" x14ac:dyDescent="0.45">
      <c r="A189" t="str">
        <f t="shared" si="2"/>
        <v>ET01,86</v>
      </c>
      <c r="B189">
        <v>86</v>
      </c>
      <c r="C189">
        <v>672.28719999999998</v>
      </c>
      <c r="D189">
        <v>566.75054203314198</v>
      </c>
      <c r="E189" t="s">
        <v>2868</v>
      </c>
      <c r="F189" t="s">
        <v>806</v>
      </c>
    </row>
    <row r="190" spans="1:6" x14ac:dyDescent="0.45">
      <c r="A190" t="str">
        <f t="shared" si="2"/>
        <v>ET01,87</v>
      </c>
      <c r="B190">
        <v>87</v>
      </c>
      <c r="C190">
        <v>512.44000000000005</v>
      </c>
      <c r="D190">
        <v>512.44000000000005</v>
      </c>
      <c r="E190" t="s">
        <v>2868</v>
      </c>
      <c r="F190" t="s">
        <v>806</v>
      </c>
    </row>
    <row r="191" spans="1:6" x14ac:dyDescent="0.45">
      <c r="A191" t="str">
        <f t="shared" si="2"/>
        <v>ET01,88</v>
      </c>
      <c r="B191">
        <v>88</v>
      </c>
      <c r="C191">
        <v>429.0652</v>
      </c>
      <c r="D191">
        <v>439.77827259769799</v>
      </c>
      <c r="E191" t="s">
        <v>2868</v>
      </c>
      <c r="F191" t="s">
        <v>806</v>
      </c>
    </row>
    <row r="192" spans="1:6" x14ac:dyDescent="0.45">
      <c r="A192" t="str">
        <f t="shared" si="2"/>
        <v>ET01,89</v>
      </c>
      <c r="B192">
        <v>89</v>
      </c>
      <c r="C192">
        <v>345.69040000000001</v>
      </c>
      <c r="D192">
        <v>351.056976190245</v>
      </c>
      <c r="E192" t="s">
        <v>2868</v>
      </c>
      <c r="F192" t="s">
        <v>806</v>
      </c>
    </row>
    <row r="193" spans="1:6" x14ac:dyDescent="0.45">
      <c r="A193" t="str">
        <f t="shared" si="2"/>
        <v>ET01,90</v>
      </c>
      <c r="B193">
        <v>90</v>
      </c>
      <c r="C193">
        <v>262.31560000000002</v>
      </c>
      <c r="D193">
        <v>256.97914348394397</v>
      </c>
      <c r="E193" t="s">
        <v>2868</v>
      </c>
      <c r="F193" t="s">
        <v>806</v>
      </c>
    </row>
    <row r="194" spans="1:6" x14ac:dyDescent="0.45">
      <c r="A194" t="str">
        <f t="shared" si="2"/>
        <v>ET01,91</v>
      </c>
      <c r="B194">
        <v>91</v>
      </c>
      <c r="C194">
        <v>178.9408</v>
      </c>
      <c r="D194">
        <v>168.24780718509501</v>
      </c>
      <c r="E194" t="s">
        <v>2868</v>
      </c>
      <c r="F194" t="s">
        <v>806</v>
      </c>
    </row>
    <row r="195" spans="1:6" x14ac:dyDescent="0.45">
      <c r="A195" t="str">
        <f t="shared" ref="A195:A258" si="3">_xlfn.CONCAT(E195,",",B195)</f>
        <v>ET01,92</v>
      </c>
      <c r="B195">
        <v>92</v>
      </c>
      <c r="C195">
        <v>95.566000000000003</v>
      </c>
      <c r="D195">
        <v>95.565999999999903</v>
      </c>
      <c r="E195" t="s">
        <v>2868</v>
      </c>
      <c r="F195" t="s">
        <v>806</v>
      </c>
    </row>
    <row r="196" spans="1:6" x14ac:dyDescent="0.45">
      <c r="A196" t="str">
        <f t="shared" si="3"/>
        <v>ET01,93</v>
      </c>
      <c r="B196">
        <v>93</v>
      </c>
      <c r="C196">
        <v>77.732799999999997</v>
      </c>
      <c r="D196">
        <v>46.907906270948203</v>
      </c>
      <c r="E196" t="s">
        <v>2868</v>
      </c>
      <c r="F196" t="s">
        <v>806</v>
      </c>
    </row>
    <row r="197" spans="1:6" x14ac:dyDescent="0.45">
      <c r="A197" t="str">
        <f t="shared" si="3"/>
        <v>ET01,94</v>
      </c>
      <c r="B197">
        <v>94</v>
      </c>
      <c r="C197">
        <v>59.8996</v>
      </c>
      <c r="D197">
        <v>19.3323168841866</v>
      </c>
      <c r="E197" t="s">
        <v>2868</v>
      </c>
      <c r="F197" t="s">
        <v>806</v>
      </c>
    </row>
    <row r="198" spans="1:6" x14ac:dyDescent="0.45">
      <c r="A198" t="str">
        <f t="shared" si="3"/>
        <v>ET01,95</v>
      </c>
      <c r="B198">
        <v>95</v>
      </c>
      <c r="C198">
        <v>42.066400000000002</v>
      </c>
      <c r="D198">
        <v>7.1691743619509403</v>
      </c>
      <c r="E198" t="s">
        <v>2868</v>
      </c>
      <c r="F198" t="s">
        <v>806</v>
      </c>
    </row>
    <row r="199" spans="1:6" x14ac:dyDescent="0.45">
      <c r="A199" t="str">
        <f t="shared" si="3"/>
        <v>ET01,96</v>
      </c>
      <c r="B199">
        <v>96</v>
      </c>
      <c r="C199">
        <v>24.2332</v>
      </c>
      <c r="D199">
        <v>4.7484212264768502</v>
      </c>
      <c r="E199" t="s">
        <v>2868</v>
      </c>
      <c r="F199" t="s">
        <v>806</v>
      </c>
    </row>
    <row r="200" spans="1:6" x14ac:dyDescent="0.45">
      <c r="A200" t="str">
        <f t="shared" si="3"/>
        <v>ET01,97</v>
      </c>
      <c r="B200">
        <v>97</v>
      </c>
      <c r="C200">
        <v>6.4</v>
      </c>
      <c r="D200">
        <v>6.4000000000000297</v>
      </c>
      <c r="E200" t="s">
        <v>2868</v>
      </c>
      <c r="F200" t="s">
        <v>806</v>
      </c>
    </row>
    <row r="201" spans="1:6" x14ac:dyDescent="0.45">
      <c r="A201" t="str">
        <f t="shared" si="3"/>
        <v>ET01,98</v>
      </c>
      <c r="B201">
        <v>98</v>
      </c>
      <c r="C201">
        <v>6.6</v>
      </c>
      <c r="D201">
        <v>7.4876253159816901</v>
      </c>
      <c r="E201" t="s">
        <v>2868</v>
      </c>
      <c r="F201" t="s">
        <v>806</v>
      </c>
    </row>
    <row r="202" spans="1:6" x14ac:dyDescent="0.45">
      <c r="A202" t="str">
        <f t="shared" si="3"/>
        <v>ET01,99</v>
      </c>
      <c r="B202">
        <v>99</v>
      </c>
      <c r="C202">
        <v>6.8</v>
      </c>
      <c r="D202">
        <v>7.5101002527853504</v>
      </c>
      <c r="E202" t="s">
        <v>2868</v>
      </c>
      <c r="F202" t="s">
        <v>806</v>
      </c>
    </row>
    <row r="203" spans="1:6" x14ac:dyDescent="0.45">
      <c r="A203" t="str">
        <f t="shared" si="3"/>
        <v>ET01,100</v>
      </c>
      <c r="B203">
        <v>100</v>
      </c>
      <c r="C203">
        <v>7</v>
      </c>
      <c r="D203">
        <v>7</v>
      </c>
      <c r="E203" t="s">
        <v>2868</v>
      </c>
      <c r="F203" t="s">
        <v>806</v>
      </c>
    </row>
    <row r="204" spans="1:6" x14ac:dyDescent="0.45">
      <c r="A204" t="str">
        <f t="shared" si="3"/>
        <v>ET02,&lt;1</v>
      </c>
      <c r="B204" t="s">
        <v>119</v>
      </c>
      <c r="C204">
        <v>26068.731972824698</v>
      </c>
      <c r="D204">
        <v>26068.731972824698</v>
      </c>
      <c r="E204" t="s">
        <v>2869</v>
      </c>
      <c r="F204" t="s">
        <v>2870</v>
      </c>
    </row>
    <row r="205" spans="1:6" x14ac:dyDescent="0.45">
      <c r="A205" t="str">
        <f t="shared" si="3"/>
        <v>ET02,1</v>
      </c>
      <c r="B205">
        <v>1</v>
      </c>
      <c r="C205">
        <v>25079.258518461102</v>
      </c>
      <c r="D205">
        <v>24782.605395648799</v>
      </c>
      <c r="E205" t="s">
        <v>2869</v>
      </c>
      <c r="F205" t="s">
        <v>2870</v>
      </c>
    </row>
    <row r="206" spans="1:6" x14ac:dyDescent="0.45">
      <c r="A206" t="str">
        <f t="shared" si="3"/>
        <v>ET02,2</v>
      </c>
      <c r="B206">
        <v>2</v>
      </c>
      <c r="C206">
        <v>24089.785064097501</v>
      </c>
      <c r="D206">
        <v>24089.785064097501</v>
      </c>
      <c r="E206" t="s">
        <v>2869</v>
      </c>
      <c r="F206" t="s">
        <v>2870</v>
      </c>
    </row>
    <row r="207" spans="1:6" x14ac:dyDescent="0.45">
      <c r="A207" t="str">
        <f t="shared" si="3"/>
        <v>ET02,3</v>
      </c>
      <c r="B207">
        <v>3</v>
      </c>
      <c r="C207">
        <v>25608.006052717501</v>
      </c>
      <c r="D207">
        <v>24434.696378352299</v>
      </c>
      <c r="E207" t="s">
        <v>2869</v>
      </c>
      <c r="F207" t="s">
        <v>2870</v>
      </c>
    </row>
    <row r="208" spans="1:6" x14ac:dyDescent="0.45">
      <c r="A208" t="str">
        <f t="shared" si="3"/>
        <v>ET02,4</v>
      </c>
      <c r="B208">
        <v>4</v>
      </c>
      <c r="C208">
        <v>27126.227041337599</v>
      </c>
      <c r="D208">
        <v>25666.241356823</v>
      </c>
      <c r="E208" t="s">
        <v>2869</v>
      </c>
      <c r="F208" t="s">
        <v>2870</v>
      </c>
    </row>
    <row r="209" spans="1:6" x14ac:dyDescent="0.45">
      <c r="A209" t="str">
        <f t="shared" si="3"/>
        <v>ET02,5</v>
      </c>
      <c r="B209">
        <v>5</v>
      </c>
      <c r="C209">
        <v>28644.448029957701</v>
      </c>
      <c r="D209">
        <v>27484.4411724764</v>
      </c>
      <c r="E209" t="s">
        <v>2869</v>
      </c>
      <c r="F209" t="s">
        <v>2870</v>
      </c>
    </row>
    <row r="210" spans="1:6" x14ac:dyDescent="0.45">
      <c r="A210" t="str">
        <f t="shared" si="3"/>
        <v>ET02,6</v>
      </c>
      <c r="B210">
        <v>6</v>
      </c>
      <c r="C210">
        <v>30162.669018577701</v>
      </c>
      <c r="D210">
        <v>29589.316998278999</v>
      </c>
      <c r="E210" t="s">
        <v>2869</v>
      </c>
      <c r="F210" t="s">
        <v>2870</v>
      </c>
    </row>
    <row r="211" spans="1:6" x14ac:dyDescent="0.45">
      <c r="A211" t="str">
        <f t="shared" si="3"/>
        <v>ET02,7</v>
      </c>
      <c r="B211">
        <v>7</v>
      </c>
      <c r="C211">
        <v>31680.890007197799</v>
      </c>
      <c r="D211">
        <v>31680.890007197799</v>
      </c>
      <c r="E211" t="s">
        <v>2869</v>
      </c>
      <c r="F211" t="s">
        <v>2870</v>
      </c>
    </row>
    <row r="212" spans="1:6" x14ac:dyDescent="0.45">
      <c r="A212" t="str">
        <f t="shared" si="3"/>
        <v>ET02,8</v>
      </c>
      <c r="B212">
        <v>8</v>
      </c>
      <c r="C212">
        <v>32772.825306390398</v>
      </c>
      <c r="D212">
        <v>33504.786273405698</v>
      </c>
      <c r="E212" t="s">
        <v>2869</v>
      </c>
      <c r="F212" t="s">
        <v>2870</v>
      </c>
    </row>
    <row r="213" spans="1:6" x14ac:dyDescent="0.45">
      <c r="A213" t="str">
        <f t="shared" si="3"/>
        <v>ET02,9</v>
      </c>
      <c r="B213">
        <v>9</v>
      </c>
      <c r="C213">
        <v>33864.760605583098</v>
      </c>
      <c r="D213">
        <v>34989.0514759012</v>
      </c>
      <c r="E213" t="s">
        <v>2869</v>
      </c>
      <c r="F213" t="s">
        <v>2870</v>
      </c>
    </row>
    <row r="214" spans="1:6" x14ac:dyDescent="0.45">
      <c r="A214" t="str">
        <f t="shared" si="3"/>
        <v>ET02,10</v>
      </c>
      <c r="B214">
        <v>10</v>
      </c>
      <c r="C214">
        <v>34956.695904775697</v>
      </c>
      <c r="D214">
        <v>36107.336194889001</v>
      </c>
      <c r="E214" t="s">
        <v>2869</v>
      </c>
      <c r="F214" t="s">
        <v>2870</v>
      </c>
    </row>
    <row r="215" spans="1:6" x14ac:dyDescent="0.45">
      <c r="A215" t="str">
        <f t="shared" si="3"/>
        <v>ET02,11</v>
      </c>
      <c r="B215">
        <v>11</v>
      </c>
      <c r="C215">
        <v>36048.631203968398</v>
      </c>
      <c r="D215">
        <v>36833.291010574001</v>
      </c>
      <c r="E215" t="s">
        <v>2869</v>
      </c>
      <c r="F215" t="s">
        <v>2870</v>
      </c>
    </row>
    <row r="216" spans="1:6" x14ac:dyDescent="0.45">
      <c r="A216" t="str">
        <f t="shared" si="3"/>
        <v>ET02,12</v>
      </c>
      <c r="B216">
        <v>12</v>
      </c>
      <c r="C216">
        <v>37140.566503160997</v>
      </c>
      <c r="D216">
        <v>37140.566503160997</v>
      </c>
      <c r="E216" t="s">
        <v>2869</v>
      </c>
      <c r="F216" t="s">
        <v>2870</v>
      </c>
    </row>
    <row r="217" spans="1:6" x14ac:dyDescent="0.45">
      <c r="A217" t="str">
        <f t="shared" si="3"/>
        <v>ET02,13</v>
      </c>
      <c r="B217">
        <v>13</v>
      </c>
      <c r="C217">
        <v>36228.053506205499</v>
      </c>
      <c r="D217">
        <v>37011.6410695874</v>
      </c>
      <c r="E217" t="s">
        <v>2869</v>
      </c>
      <c r="F217" t="s">
        <v>2870</v>
      </c>
    </row>
    <row r="218" spans="1:6" x14ac:dyDescent="0.45">
      <c r="A218" t="str">
        <f t="shared" si="3"/>
        <v>ET02,14</v>
      </c>
      <c r="B218">
        <v>14</v>
      </c>
      <c r="C218">
        <v>35315.54050925</v>
      </c>
      <c r="D218">
        <v>36464.304373721803</v>
      </c>
      <c r="E218" t="s">
        <v>2869</v>
      </c>
      <c r="F218" t="s">
        <v>2870</v>
      </c>
    </row>
    <row r="219" spans="1:6" x14ac:dyDescent="0.45">
      <c r="A219" t="str">
        <f t="shared" si="3"/>
        <v>ET02,15</v>
      </c>
      <c r="B219">
        <v>15</v>
      </c>
      <c r="C219">
        <v>34403.027512294597</v>
      </c>
      <c r="D219">
        <v>35525.173896165099</v>
      </c>
      <c r="E219" t="s">
        <v>2869</v>
      </c>
      <c r="F219" t="s">
        <v>2870</v>
      </c>
    </row>
    <row r="220" spans="1:6" x14ac:dyDescent="0.45">
      <c r="A220" t="str">
        <f t="shared" si="3"/>
        <v>ET02,16</v>
      </c>
      <c r="B220">
        <v>16</v>
      </c>
      <c r="C220">
        <v>33490.514515339099</v>
      </c>
      <c r="D220">
        <v>34220.867117518697</v>
      </c>
      <c r="E220" t="s">
        <v>2869</v>
      </c>
      <c r="F220" t="s">
        <v>2870</v>
      </c>
    </row>
    <row r="221" spans="1:6" x14ac:dyDescent="0.45">
      <c r="A221" t="str">
        <f t="shared" si="3"/>
        <v>ET02,17</v>
      </c>
      <c r="B221">
        <v>17</v>
      </c>
      <c r="C221">
        <v>32578.0015183836</v>
      </c>
      <c r="D221">
        <v>32578.0015183836</v>
      </c>
      <c r="E221" t="s">
        <v>2869</v>
      </c>
      <c r="F221" t="s">
        <v>2870</v>
      </c>
    </row>
    <row r="222" spans="1:6" x14ac:dyDescent="0.45">
      <c r="A222" t="str">
        <f t="shared" si="3"/>
        <v>ET02,18</v>
      </c>
      <c r="B222">
        <v>18</v>
      </c>
      <c r="C222">
        <v>30518.226726970599</v>
      </c>
      <c r="D222">
        <v>30639.6923755602</v>
      </c>
      <c r="E222" t="s">
        <v>2869</v>
      </c>
      <c r="F222" t="s">
        <v>2870</v>
      </c>
    </row>
    <row r="223" spans="1:6" x14ac:dyDescent="0.45">
      <c r="A223" t="str">
        <f t="shared" si="3"/>
        <v>ET02,19</v>
      </c>
      <c r="B223">
        <v>19</v>
      </c>
      <c r="C223">
        <v>28458.451935557699</v>
      </c>
      <c r="D223">
        <v>28515.046150645601</v>
      </c>
      <c r="E223" t="s">
        <v>2869</v>
      </c>
      <c r="F223" t="s">
        <v>2870</v>
      </c>
    </row>
    <row r="224" spans="1:6" x14ac:dyDescent="0.45">
      <c r="A224" t="str">
        <f t="shared" si="3"/>
        <v>ET02,20</v>
      </c>
      <c r="B224">
        <v>20</v>
      </c>
      <c r="C224">
        <v>26398.677144144702</v>
      </c>
      <c r="D224">
        <v>26329.667101436298</v>
      </c>
      <c r="E224" t="s">
        <v>2869</v>
      </c>
      <c r="F224" t="s">
        <v>2870</v>
      </c>
    </row>
    <row r="225" spans="1:6" x14ac:dyDescent="0.45">
      <c r="A225" t="str">
        <f t="shared" si="3"/>
        <v>ET02,21</v>
      </c>
      <c r="B225">
        <v>21</v>
      </c>
      <c r="C225">
        <v>24338.902352731799</v>
      </c>
      <c r="D225">
        <v>24209.1594857286</v>
      </c>
      <c r="E225" t="s">
        <v>2869</v>
      </c>
      <c r="F225" t="s">
        <v>2870</v>
      </c>
    </row>
    <row r="226" spans="1:6" x14ac:dyDescent="0.45">
      <c r="A226" t="str">
        <f t="shared" si="3"/>
        <v>ET02,22</v>
      </c>
      <c r="B226">
        <v>22</v>
      </c>
      <c r="C226">
        <v>22279.127561318801</v>
      </c>
      <c r="D226">
        <v>22279.127561318801</v>
      </c>
      <c r="E226" t="s">
        <v>2869</v>
      </c>
      <c r="F226" t="s">
        <v>2870</v>
      </c>
    </row>
    <row r="227" spans="1:6" x14ac:dyDescent="0.45">
      <c r="A227" t="str">
        <f t="shared" si="3"/>
        <v>ET02,23</v>
      </c>
      <c r="B227">
        <v>23</v>
      </c>
      <c r="C227">
        <v>20984.140687959101</v>
      </c>
      <c r="D227">
        <v>20632.5511129066</v>
      </c>
      <c r="E227" t="s">
        <v>2869</v>
      </c>
      <c r="F227" t="s">
        <v>2870</v>
      </c>
    </row>
    <row r="228" spans="1:6" x14ac:dyDescent="0.45">
      <c r="A228" t="str">
        <f t="shared" si="3"/>
        <v>ET02,24</v>
      </c>
      <c r="B228">
        <v>24</v>
      </c>
      <c r="C228">
        <v>19689.1538145995</v>
      </c>
      <c r="D228">
        <v>19231.912032804699</v>
      </c>
      <c r="E228" t="s">
        <v>2869</v>
      </c>
      <c r="F228" t="s">
        <v>2870</v>
      </c>
    </row>
    <row r="229" spans="1:6" x14ac:dyDescent="0.45">
      <c r="A229" t="str">
        <f t="shared" si="3"/>
        <v>ET02,25</v>
      </c>
      <c r="B229">
        <v>25</v>
      </c>
      <c r="C229">
        <v>18394.166941239801</v>
      </c>
      <c r="D229">
        <v>18007.067740228998</v>
      </c>
      <c r="E229" t="s">
        <v>2869</v>
      </c>
      <c r="F229" t="s">
        <v>2870</v>
      </c>
    </row>
    <row r="230" spans="1:6" x14ac:dyDescent="0.45">
      <c r="A230" t="str">
        <f t="shared" si="3"/>
        <v>ET02,26</v>
      </c>
      <c r="B230">
        <v>26</v>
      </c>
      <c r="C230">
        <v>17099.180067880101</v>
      </c>
      <c r="D230">
        <v>16887.875654395601</v>
      </c>
      <c r="E230" t="s">
        <v>2869</v>
      </c>
      <c r="F230" t="s">
        <v>2870</v>
      </c>
    </row>
    <row r="231" spans="1:6" x14ac:dyDescent="0.45">
      <c r="A231" t="str">
        <f t="shared" si="3"/>
        <v>ET02,27</v>
      </c>
      <c r="B231">
        <v>27</v>
      </c>
      <c r="C231">
        <v>15804.1931945205</v>
      </c>
      <c r="D231">
        <v>15804.1931945205</v>
      </c>
      <c r="E231" t="s">
        <v>2869</v>
      </c>
      <c r="F231" t="s">
        <v>2870</v>
      </c>
    </row>
    <row r="232" spans="1:6" x14ac:dyDescent="0.45">
      <c r="A232" t="str">
        <f t="shared" si="3"/>
        <v>ET02,28</v>
      </c>
      <c r="B232">
        <v>28</v>
      </c>
      <c r="C232">
        <v>14926.504582032499</v>
      </c>
      <c r="D232">
        <v>14709.4963012195</v>
      </c>
      <c r="E232" t="s">
        <v>2869</v>
      </c>
      <c r="F232" t="s">
        <v>2870</v>
      </c>
    </row>
    <row r="233" spans="1:6" x14ac:dyDescent="0.45">
      <c r="A233" t="str">
        <f t="shared" si="3"/>
        <v>ET02,29</v>
      </c>
      <c r="B233">
        <v>29</v>
      </c>
      <c r="C233">
        <v>14048.815969544599</v>
      </c>
      <c r="D233">
        <v>13651.735000708901</v>
      </c>
      <c r="E233" t="s">
        <v>2869</v>
      </c>
      <c r="F233" t="s">
        <v>2870</v>
      </c>
    </row>
    <row r="234" spans="1:6" x14ac:dyDescent="0.45">
      <c r="A234" t="str">
        <f t="shared" si="3"/>
        <v>ET02,30</v>
      </c>
      <c r="B234">
        <v>30</v>
      </c>
      <c r="C234">
        <v>13171.127357056699</v>
      </c>
      <c r="D234">
        <v>12702.477840604801</v>
      </c>
      <c r="E234" t="s">
        <v>2869</v>
      </c>
      <c r="F234" t="s">
        <v>2870</v>
      </c>
    </row>
    <row r="235" spans="1:6" x14ac:dyDescent="0.45">
      <c r="A235" t="str">
        <f t="shared" si="3"/>
        <v>ET02,31</v>
      </c>
      <c r="B235">
        <v>31</v>
      </c>
      <c r="C235">
        <v>12293.438744568801</v>
      </c>
      <c r="D235">
        <v>11933.2933685234</v>
      </c>
      <c r="E235" t="s">
        <v>2869</v>
      </c>
      <c r="F235" t="s">
        <v>2870</v>
      </c>
    </row>
    <row r="236" spans="1:6" x14ac:dyDescent="0.45">
      <c r="A236" t="str">
        <f t="shared" si="3"/>
        <v>ET02,32</v>
      </c>
      <c r="B236">
        <v>32</v>
      </c>
      <c r="C236">
        <v>11415.750132080901</v>
      </c>
      <c r="D236">
        <v>11415.750132080901</v>
      </c>
      <c r="E236" t="s">
        <v>2869</v>
      </c>
      <c r="F236" t="s">
        <v>2870</v>
      </c>
    </row>
    <row r="237" spans="1:6" x14ac:dyDescent="0.45">
      <c r="A237" t="str">
        <f t="shared" si="3"/>
        <v>ET02,33</v>
      </c>
      <c r="B237">
        <v>33</v>
      </c>
      <c r="C237">
        <v>11520.244047059099</v>
      </c>
      <c r="D237">
        <v>11196.062023341001</v>
      </c>
      <c r="E237" t="s">
        <v>2869</v>
      </c>
      <c r="F237" t="s">
        <v>2870</v>
      </c>
    </row>
    <row r="238" spans="1:6" x14ac:dyDescent="0.45">
      <c r="A238" t="str">
        <f t="shared" si="3"/>
        <v>ET02,34</v>
      </c>
      <c r="B238">
        <v>34</v>
      </c>
      <c r="C238">
        <v>11624.737962037299</v>
      </c>
      <c r="D238">
        <v>11219.024312158201</v>
      </c>
      <c r="E238" t="s">
        <v>2869</v>
      </c>
      <c r="F238" t="s">
        <v>2870</v>
      </c>
    </row>
    <row r="239" spans="1:6" x14ac:dyDescent="0.45">
      <c r="A239" t="str">
        <f t="shared" si="3"/>
        <v>ET02,35</v>
      </c>
      <c r="B239">
        <v>35</v>
      </c>
      <c r="C239">
        <v>11729.2318770155</v>
      </c>
      <c r="D239">
        <v>11404.0776128344</v>
      </c>
      <c r="E239" t="s">
        <v>2869</v>
      </c>
      <c r="F239" t="s">
        <v>2870</v>
      </c>
    </row>
    <row r="240" spans="1:6" x14ac:dyDescent="0.45">
      <c r="A240" t="str">
        <f t="shared" si="3"/>
        <v>ET02,36</v>
      </c>
      <c r="B240">
        <v>36</v>
      </c>
      <c r="C240">
        <v>11833.7257919937</v>
      </c>
      <c r="D240">
        <v>11670.662539671701</v>
      </c>
      <c r="E240" t="s">
        <v>2869</v>
      </c>
      <c r="F240" t="s">
        <v>2870</v>
      </c>
    </row>
    <row r="241" spans="1:6" x14ac:dyDescent="0.45">
      <c r="A241" t="str">
        <f t="shared" si="3"/>
        <v>ET02,37</v>
      </c>
      <c r="B241">
        <v>37</v>
      </c>
      <c r="C241">
        <v>11938.2197069719</v>
      </c>
      <c r="D241">
        <v>11938.2197069719</v>
      </c>
      <c r="E241" t="s">
        <v>2869</v>
      </c>
      <c r="F241" t="s">
        <v>2870</v>
      </c>
    </row>
    <row r="242" spans="1:6" x14ac:dyDescent="0.45">
      <c r="A242" t="str">
        <f t="shared" si="3"/>
        <v>ET02,38</v>
      </c>
      <c r="B242">
        <v>38</v>
      </c>
      <c r="C242">
        <v>11891.883467893</v>
      </c>
      <c r="D242">
        <v>12136.073951922001</v>
      </c>
      <c r="E242" t="s">
        <v>2869</v>
      </c>
      <c r="F242" t="s">
        <v>2870</v>
      </c>
    </row>
    <row r="243" spans="1:6" x14ac:dyDescent="0.45">
      <c r="A243" t="str">
        <f t="shared" si="3"/>
        <v>ET02,39</v>
      </c>
      <c r="B243">
        <v>39</v>
      </c>
      <c r="C243">
        <v>11845.547228814101</v>
      </c>
      <c r="D243">
        <v>12233.087003247299</v>
      </c>
      <c r="E243" t="s">
        <v>2869</v>
      </c>
      <c r="F243" t="s">
        <v>2870</v>
      </c>
    </row>
    <row r="244" spans="1:6" x14ac:dyDescent="0.45">
      <c r="A244" t="str">
        <f t="shared" si="3"/>
        <v>ET02,40</v>
      </c>
      <c r="B244">
        <v>40</v>
      </c>
      <c r="C244">
        <v>11799.2109897351</v>
      </c>
      <c r="D244">
        <v>12208.0048125581</v>
      </c>
      <c r="E244" t="s">
        <v>2869</v>
      </c>
      <c r="F244" t="s">
        <v>2870</v>
      </c>
    </row>
    <row r="245" spans="1:6" x14ac:dyDescent="0.45">
      <c r="A245" t="str">
        <f t="shared" si="3"/>
        <v>ET02,41</v>
      </c>
      <c r="B245">
        <v>41</v>
      </c>
      <c r="C245">
        <v>11752.874750656199</v>
      </c>
      <c r="D245">
        <v>12039.5733314647</v>
      </c>
      <c r="E245" t="s">
        <v>2869</v>
      </c>
      <c r="F245" t="s">
        <v>2870</v>
      </c>
    </row>
    <row r="246" spans="1:6" x14ac:dyDescent="0.45">
      <c r="A246" t="str">
        <f t="shared" si="3"/>
        <v>ET02,42</v>
      </c>
      <c r="B246">
        <v>42</v>
      </c>
      <c r="C246">
        <v>11706.538511577201</v>
      </c>
      <c r="D246">
        <v>11706.538511577201</v>
      </c>
      <c r="E246" t="s">
        <v>2869</v>
      </c>
      <c r="F246" t="s">
        <v>2870</v>
      </c>
    </row>
    <row r="247" spans="1:6" x14ac:dyDescent="0.45">
      <c r="A247" t="str">
        <f t="shared" si="3"/>
        <v>ET02,43</v>
      </c>
      <c r="B247">
        <v>43</v>
      </c>
      <c r="C247">
        <v>11087.4681563881</v>
      </c>
      <c r="D247">
        <v>11201.9084172983</v>
      </c>
      <c r="E247" t="s">
        <v>2869</v>
      </c>
      <c r="F247" t="s">
        <v>2870</v>
      </c>
    </row>
    <row r="248" spans="1:6" x14ac:dyDescent="0.45">
      <c r="A248" t="str">
        <f t="shared" si="3"/>
        <v>ET02,44</v>
      </c>
      <c r="B248">
        <v>44</v>
      </c>
      <c r="C248">
        <v>10468.397801199</v>
      </c>
      <c r="D248">
        <v>10575.739564199999</v>
      </c>
      <c r="E248" t="s">
        <v>2869</v>
      </c>
      <c r="F248" t="s">
        <v>2870</v>
      </c>
    </row>
    <row r="249" spans="1:6" x14ac:dyDescent="0.45">
      <c r="A249" t="str">
        <f t="shared" si="3"/>
        <v>ET02,45</v>
      </c>
      <c r="B249">
        <v>45</v>
      </c>
      <c r="C249">
        <v>9849.3274460098091</v>
      </c>
      <c r="D249">
        <v>9892.3505806464891</v>
      </c>
      <c r="E249" t="s">
        <v>2869</v>
      </c>
      <c r="F249" t="s">
        <v>2870</v>
      </c>
    </row>
    <row r="250" spans="1:6" x14ac:dyDescent="0.45">
      <c r="A250" t="str">
        <f t="shared" si="3"/>
        <v>ET02,46</v>
      </c>
      <c r="B250">
        <v>46</v>
      </c>
      <c r="C250">
        <v>9230.2570908206599</v>
      </c>
      <c r="D250">
        <v>9216.0600950022308</v>
      </c>
      <c r="E250" t="s">
        <v>2869</v>
      </c>
      <c r="F250" t="s">
        <v>2870</v>
      </c>
    </row>
    <row r="251" spans="1:6" x14ac:dyDescent="0.45">
      <c r="A251" t="str">
        <f t="shared" si="3"/>
        <v>ET02,47</v>
      </c>
      <c r="B251">
        <v>47</v>
      </c>
      <c r="C251">
        <v>8611.1867356315197</v>
      </c>
      <c r="D251">
        <v>8611.1867356315197</v>
      </c>
      <c r="E251" t="s">
        <v>2869</v>
      </c>
      <c r="F251" t="s">
        <v>2870</v>
      </c>
    </row>
    <row r="252" spans="1:6" x14ac:dyDescent="0.45">
      <c r="A252" t="str">
        <f t="shared" si="3"/>
        <v>ET02,48</v>
      </c>
      <c r="B252">
        <v>48</v>
      </c>
      <c r="C252">
        <v>8204.7461101689896</v>
      </c>
      <c r="D252">
        <v>8123.4071691602003</v>
      </c>
      <c r="E252" t="s">
        <v>2869</v>
      </c>
      <c r="F252" t="s">
        <v>2870</v>
      </c>
    </row>
    <row r="253" spans="1:6" x14ac:dyDescent="0.45">
      <c r="A253" t="str">
        <f t="shared" si="3"/>
        <v>ET02,49</v>
      </c>
      <c r="B253">
        <v>49</v>
      </c>
      <c r="C253">
        <v>7798.3054847064604</v>
      </c>
      <c r="D253">
        <v>7723.8302152600199</v>
      </c>
      <c r="E253" t="s">
        <v>2869</v>
      </c>
      <c r="F253" t="s">
        <v>2870</v>
      </c>
    </row>
    <row r="254" spans="1:6" x14ac:dyDescent="0.45">
      <c r="A254" t="str">
        <f t="shared" si="3"/>
        <v>ET02,50</v>
      </c>
      <c r="B254">
        <v>50</v>
      </c>
      <c r="C254">
        <v>7391.8648592439204</v>
      </c>
      <c r="D254">
        <v>7364.9227318642397</v>
      </c>
      <c r="E254" t="s">
        <v>2869</v>
      </c>
      <c r="F254" t="s">
        <v>2870</v>
      </c>
    </row>
    <row r="255" spans="1:6" x14ac:dyDescent="0.45">
      <c r="A255" t="str">
        <f t="shared" si="3"/>
        <v>ET02,51</v>
      </c>
      <c r="B255">
        <v>51</v>
      </c>
      <c r="C255">
        <v>6985.4242337813903</v>
      </c>
      <c r="D255">
        <v>6999.1515769060998</v>
      </c>
      <c r="E255" t="s">
        <v>2869</v>
      </c>
      <c r="F255" t="s">
        <v>2870</v>
      </c>
    </row>
    <row r="256" spans="1:6" x14ac:dyDescent="0.45">
      <c r="A256" t="str">
        <f t="shared" si="3"/>
        <v>ET02,52</v>
      </c>
      <c r="B256">
        <v>52</v>
      </c>
      <c r="C256">
        <v>6578.9836083188602</v>
      </c>
      <c r="D256">
        <v>6578.9836083188602</v>
      </c>
      <c r="E256" t="s">
        <v>2869</v>
      </c>
      <c r="F256" t="s">
        <v>2870</v>
      </c>
    </row>
    <row r="257" spans="1:6" x14ac:dyDescent="0.45">
      <c r="A257" t="str">
        <f t="shared" si="3"/>
        <v>ET02,53</v>
      </c>
      <c r="B257">
        <v>53</v>
      </c>
      <c r="C257">
        <v>6079.0549218604601</v>
      </c>
      <c r="D257">
        <v>6073.5321527350898</v>
      </c>
      <c r="E257" t="s">
        <v>2869</v>
      </c>
      <c r="F257" t="s">
        <v>2870</v>
      </c>
    </row>
    <row r="258" spans="1:6" x14ac:dyDescent="0.45">
      <c r="A258" t="str">
        <f t="shared" si="3"/>
        <v>ET02,54</v>
      </c>
      <c r="B258">
        <v>54</v>
      </c>
      <c r="C258">
        <v>5579.1262354020701</v>
      </c>
      <c r="D258">
        <v>5518.4964115847397</v>
      </c>
      <c r="E258" t="s">
        <v>2869</v>
      </c>
      <c r="F258" t="s">
        <v>2870</v>
      </c>
    </row>
    <row r="259" spans="1:6" x14ac:dyDescent="0.45">
      <c r="A259" t="str">
        <f t="shared" ref="A259:A322" si="4">_xlfn.CONCAT(E259,",",B259)</f>
        <v>ET02,55</v>
      </c>
      <c r="B259">
        <v>55</v>
      </c>
      <c r="C259">
        <v>5079.19754894367</v>
      </c>
      <c r="D259">
        <v>4966.2220549970698</v>
      </c>
      <c r="E259" t="s">
        <v>2869</v>
      </c>
      <c r="F259" t="s">
        <v>2870</v>
      </c>
    </row>
    <row r="260" spans="1:6" x14ac:dyDescent="0.45">
      <c r="A260" t="str">
        <f t="shared" si="4"/>
        <v>ET02,56</v>
      </c>
      <c r="B260">
        <v>56</v>
      </c>
      <c r="C260">
        <v>4579.2688624852799</v>
      </c>
      <c r="D260">
        <v>4469.0547531013599</v>
      </c>
      <c r="E260" t="s">
        <v>2869</v>
      </c>
      <c r="F260" t="s">
        <v>2870</v>
      </c>
    </row>
    <row r="261" spans="1:6" x14ac:dyDescent="0.45">
      <c r="A261" t="str">
        <f t="shared" si="4"/>
        <v>ET02,57</v>
      </c>
      <c r="B261">
        <v>57</v>
      </c>
      <c r="C261">
        <v>4079.3401760268798</v>
      </c>
      <c r="D261">
        <v>4079.3401760268798</v>
      </c>
      <c r="E261" t="s">
        <v>2869</v>
      </c>
      <c r="F261" t="s">
        <v>2870</v>
      </c>
    </row>
    <row r="262" spans="1:6" x14ac:dyDescent="0.45">
      <c r="A262" t="str">
        <f t="shared" si="4"/>
        <v>ET02,58</v>
      </c>
      <c r="B262">
        <v>58</v>
      </c>
      <c r="C262">
        <v>3917.8395063301</v>
      </c>
      <c r="D262">
        <v>3831.00143558327</v>
      </c>
      <c r="E262" t="s">
        <v>2869</v>
      </c>
      <c r="F262" t="s">
        <v>2870</v>
      </c>
    </row>
    <row r="263" spans="1:6" x14ac:dyDescent="0.45">
      <c r="A263" t="str">
        <f t="shared" si="4"/>
        <v>ET02,59</v>
      </c>
      <c r="B263">
        <v>59</v>
      </c>
      <c r="C263">
        <v>3756.3388366333302</v>
      </c>
      <c r="D263">
        <v>3684.2714103016101</v>
      </c>
      <c r="E263" t="s">
        <v>2869</v>
      </c>
      <c r="F263" t="s">
        <v>2870</v>
      </c>
    </row>
    <row r="264" spans="1:6" x14ac:dyDescent="0.45">
      <c r="A264" t="str">
        <f t="shared" si="4"/>
        <v>ET02,60</v>
      </c>
      <c r="B264">
        <v>60</v>
      </c>
      <c r="C264">
        <v>3594.8381669365499</v>
      </c>
      <c r="D264">
        <v>3580.96042039338</v>
      </c>
      <c r="E264" t="s">
        <v>2869</v>
      </c>
      <c r="F264" t="s">
        <v>2870</v>
      </c>
    </row>
    <row r="265" spans="1:6" x14ac:dyDescent="0.45">
      <c r="A265" t="str">
        <f t="shared" si="4"/>
        <v>ET02,61</v>
      </c>
      <c r="B265">
        <v>61</v>
      </c>
      <c r="C265">
        <v>3433.3374972397801</v>
      </c>
      <c r="D265">
        <v>3462.8787860700199</v>
      </c>
      <c r="E265" t="s">
        <v>2869</v>
      </c>
      <c r="F265" t="s">
        <v>2870</v>
      </c>
    </row>
    <row r="266" spans="1:6" x14ac:dyDescent="0.45">
      <c r="A266" t="str">
        <f t="shared" si="4"/>
        <v>ET02,62</v>
      </c>
      <c r="B266">
        <v>62</v>
      </c>
      <c r="C266">
        <v>3271.8368275429998</v>
      </c>
      <c r="D266">
        <v>3271.8368275429998</v>
      </c>
      <c r="E266" t="s">
        <v>2869</v>
      </c>
      <c r="F266" t="s">
        <v>2870</v>
      </c>
    </row>
    <row r="267" spans="1:6" x14ac:dyDescent="0.45">
      <c r="A267" t="str">
        <f t="shared" si="4"/>
        <v>ET02,63</v>
      </c>
      <c r="B267">
        <v>63</v>
      </c>
      <c r="C267">
        <v>2907.1743646779601</v>
      </c>
      <c r="D267">
        <v>2967.7483940954899</v>
      </c>
      <c r="E267" t="s">
        <v>2869</v>
      </c>
      <c r="F267" t="s">
        <v>2870</v>
      </c>
    </row>
    <row r="268" spans="1:6" x14ac:dyDescent="0.45">
      <c r="A268" t="str">
        <f t="shared" si="4"/>
        <v>ET02,64</v>
      </c>
      <c r="B268">
        <v>64</v>
      </c>
      <c r="C268">
        <v>2542.5119018129199</v>
      </c>
      <c r="D268">
        <v>2582.9414512974899</v>
      </c>
      <c r="E268" t="s">
        <v>2869</v>
      </c>
      <c r="F268" t="s">
        <v>2870</v>
      </c>
    </row>
    <row r="269" spans="1:6" x14ac:dyDescent="0.45">
      <c r="A269" t="str">
        <f t="shared" si="4"/>
        <v>ET02,65</v>
      </c>
      <c r="B269">
        <v>65</v>
      </c>
      <c r="C269">
        <v>2177.8494389478801</v>
      </c>
      <c r="D269">
        <v>2167.8474937907299</v>
      </c>
      <c r="E269" t="s">
        <v>2869</v>
      </c>
      <c r="F269" t="s">
        <v>2870</v>
      </c>
    </row>
    <row r="270" spans="1:6" x14ac:dyDescent="0.45">
      <c r="A270" t="str">
        <f t="shared" si="4"/>
        <v>ET02,66</v>
      </c>
      <c r="B270">
        <v>66</v>
      </c>
      <c r="C270">
        <v>1813.1869760828399</v>
      </c>
      <c r="D270">
        <v>1772.89801621693</v>
      </c>
      <c r="E270" t="s">
        <v>2869</v>
      </c>
      <c r="F270" t="s">
        <v>2870</v>
      </c>
    </row>
    <row r="271" spans="1:6" x14ac:dyDescent="0.45">
      <c r="A271" t="str">
        <f t="shared" si="4"/>
        <v>ET02,67</v>
      </c>
      <c r="B271">
        <v>67</v>
      </c>
      <c r="C271">
        <v>1448.52451321781</v>
      </c>
      <c r="D271">
        <v>1448.52451321781</v>
      </c>
      <c r="E271" t="s">
        <v>2869</v>
      </c>
      <c r="F271" t="s">
        <v>2870</v>
      </c>
    </row>
    <row r="272" spans="1:6" x14ac:dyDescent="0.45">
      <c r="A272" t="str">
        <f t="shared" si="4"/>
        <v>ET02,68</v>
      </c>
      <c r="B272">
        <v>68</v>
      </c>
      <c r="C272">
        <v>1345.0269523608999</v>
      </c>
      <c r="D272">
        <v>1231.40358167213</v>
      </c>
      <c r="E272" t="s">
        <v>2869</v>
      </c>
      <c r="F272" t="s">
        <v>2870</v>
      </c>
    </row>
    <row r="273" spans="1:6" x14ac:dyDescent="0.45">
      <c r="A273" t="str">
        <f t="shared" si="4"/>
        <v>ET02,69</v>
      </c>
      <c r="B273">
        <v>69</v>
      </c>
      <c r="C273">
        <v>1241.5293915039999</v>
      </c>
      <c r="D273">
        <v>1103.19222740685</v>
      </c>
      <c r="E273" t="s">
        <v>2869</v>
      </c>
      <c r="F273" t="s">
        <v>2870</v>
      </c>
    </row>
    <row r="274" spans="1:6" x14ac:dyDescent="0.45">
      <c r="A274" t="str">
        <f t="shared" si="4"/>
        <v>ET02,70</v>
      </c>
      <c r="B274">
        <v>70</v>
      </c>
      <c r="C274">
        <v>1138.0318306470999</v>
      </c>
      <c r="D274">
        <v>1031.7925584859599</v>
      </c>
      <c r="E274" t="s">
        <v>2869</v>
      </c>
      <c r="F274" t="s">
        <v>2870</v>
      </c>
    </row>
    <row r="275" spans="1:6" x14ac:dyDescent="0.45">
      <c r="A275" t="str">
        <f t="shared" si="4"/>
        <v>ET02,71</v>
      </c>
      <c r="B275">
        <v>71</v>
      </c>
      <c r="C275">
        <v>1034.5342697901999</v>
      </c>
      <c r="D275">
        <v>985.106682973445</v>
      </c>
      <c r="E275" t="s">
        <v>2869</v>
      </c>
      <c r="F275" t="s">
        <v>2870</v>
      </c>
    </row>
    <row r="276" spans="1:6" x14ac:dyDescent="0.45">
      <c r="A276" t="str">
        <f t="shared" si="4"/>
        <v>ET02,72</v>
      </c>
      <c r="B276">
        <v>72</v>
      </c>
      <c r="C276">
        <v>931.03670893330002</v>
      </c>
      <c r="D276">
        <v>931.03670893330002</v>
      </c>
      <c r="E276" t="s">
        <v>2869</v>
      </c>
      <c r="F276" t="s">
        <v>2870</v>
      </c>
    </row>
    <row r="277" spans="1:6" x14ac:dyDescent="0.45">
      <c r="A277" t="str">
        <f t="shared" si="4"/>
        <v>ET02,73</v>
      </c>
      <c r="B277">
        <v>73</v>
      </c>
      <c r="C277">
        <v>821.16967144663295</v>
      </c>
      <c r="D277">
        <v>845.12636345705596</v>
      </c>
      <c r="E277" t="s">
        <v>2869</v>
      </c>
      <c r="F277" t="s">
        <v>2870</v>
      </c>
    </row>
    <row r="278" spans="1:6" x14ac:dyDescent="0.45">
      <c r="A278" t="str">
        <f t="shared" si="4"/>
        <v>ET02,74</v>
      </c>
      <c r="B278">
        <v>74</v>
      </c>
      <c r="C278">
        <v>711.30263395996599</v>
      </c>
      <c r="D278">
        <v>733.48584974638698</v>
      </c>
      <c r="E278" t="s">
        <v>2869</v>
      </c>
      <c r="F278" t="s">
        <v>2870</v>
      </c>
    </row>
    <row r="279" spans="1:6" x14ac:dyDescent="0.45">
      <c r="A279" t="str">
        <f t="shared" si="4"/>
        <v>ET02,75</v>
      </c>
      <c r="B279">
        <v>75</v>
      </c>
      <c r="C279">
        <v>601.43559647330005</v>
      </c>
      <c r="D279">
        <v>609.86699003050705</v>
      </c>
      <c r="E279" t="s">
        <v>2869</v>
      </c>
      <c r="F279" t="s">
        <v>2870</v>
      </c>
    </row>
    <row r="280" spans="1:6" x14ac:dyDescent="0.45">
      <c r="A280" t="str">
        <f t="shared" si="4"/>
        <v>ET02,76</v>
      </c>
      <c r="B280">
        <v>76</v>
      </c>
      <c r="C280">
        <v>491.56855898663298</v>
      </c>
      <c r="D280">
        <v>488.02160653862899</v>
      </c>
      <c r="E280" t="s">
        <v>2869</v>
      </c>
      <c r="F280" t="s">
        <v>2870</v>
      </c>
    </row>
    <row r="281" spans="1:6" x14ac:dyDescent="0.45">
      <c r="A281" t="str">
        <f t="shared" si="4"/>
        <v>ET02,77</v>
      </c>
      <c r="B281">
        <v>77</v>
      </c>
      <c r="C281">
        <v>381.70152149996602</v>
      </c>
      <c r="D281">
        <v>381.70152149996602</v>
      </c>
      <c r="E281" t="s">
        <v>2869</v>
      </c>
      <c r="F281" t="s">
        <v>2870</v>
      </c>
    </row>
    <row r="282" spans="1:6" x14ac:dyDescent="0.45">
      <c r="A282" t="str">
        <f t="shared" si="4"/>
        <v>ET02,78</v>
      </c>
      <c r="B282">
        <v>78</v>
      </c>
      <c r="C282">
        <v>336.49401719997297</v>
      </c>
      <c r="D282">
        <v>301.38951433471198</v>
      </c>
      <c r="E282" t="s">
        <v>2869</v>
      </c>
      <c r="F282" t="s">
        <v>2870</v>
      </c>
    </row>
    <row r="283" spans="1:6" x14ac:dyDescent="0.45">
      <c r="A283" t="str">
        <f t="shared" si="4"/>
        <v>ET02,79</v>
      </c>
      <c r="B283">
        <v>79</v>
      </c>
      <c r="C283">
        <v>291.28651289997998</v>
      </c>
      <c r="D283">
        <v>244.49219322698701</v>
      </c>
      <c r="E283" t="s">
        <v>2869</v>
      </c>
      <c r="F283" t="s">
        <v>2870</v>
      </c>
    </row>
    <row r="284" spans="1:6" x14ac:dyDescent="0.45">
      <c r="A284" t="str">
        <f t="shared" si="4"/>
        <v>ET02,80</v>
      </c>
      <c r="B284">
        <v>80</v>
      </c>
      <c r="C284">
        <v>246.079008599986</v>
      </c>
      <c r="D284">
        <v>205.147123551893</v>
      </c>
      <c r="E284" t="s">
        <v>2869</v>
      </c>
      <c r="F284" t="s">
        <v>2870</v>
      </c>
    </row>
    <row r="285" spans="1:6" x14ac:dyDescent="0.45">
      <c r="A285" t="str">
        <f t="shared" si="4"/>
        <v>ET02,81</v>
      </c>
      <c r="B285">
        <v>81</v>
      </c>
      <c r="C285">
        <v>200.87150429999301</v>
      </c>
      <c r="D285">
        <v>177.49187068453</v>
      </c>
      <c r="E285" t="s">
        <v>2869</v>
      </c>
      <c r="F285" t="s">
        <v>2870</v>
      </c>
    </row>
    <row r="286" spans="1:6" x14ac:dyDescent="0.45">
      <c r="A286" t="str">
        <f t="shared" si="4"/>
        <v>ET02,82</v>
      </c>
      <c r="B286">
        <v>82</v>
      </c>
      <c r="C286">
        <v>155.66399999999999</v>
      </c>
      <c r="D286">
        <v>155.66399999999999</v>
      </c>
      <c r="E286" t="s">
        <v>2869</v>
      </c>
      <c r="F286" t="s">
        <v>2870</v>
      </c>
    </row>
    <row r="287" spans="1:6" x14ac:dyDescent="0.45">
      <c r="A287" t="str">
        <f t="shared" si="4"/>
        <v>ET02,83</v>
      </c>
      <c r="B287">
        <v>83</v>
      </c>
      <c r="C287">
        <v>136.67519999999999</v>
      </c>
      <c r="D287">
        <v>134.85683553381699</v>
      </c>
      <c r="E287" t="s">
        <v>2869</v>
      </c>
      <c r="F287" t="s">
        <v>2870</v>
      </c>
    </row>
    <row r="288" spans="1:6" x14ac:dyDescent="0.45">
      <c r="A288" t="str">
        <f t="shared" si="4"/>
        <v>ET02,84</v>
      </c>
      <c r="B288">
        <v>84</v>
      </c>
      <c r="C288">
        <v>117.68640000000001</v>
      </c>
      <c r="D288">
        <v>114.48673596314801</v>
      </c>
      <c r="E288" t="s">
        <v>2869</v>
      </c>
      <c r="F288" t="s">
        <v>2870</v>
      </c>
    </row>
    <row r="289" spans="1:6" x14ac:dyDescent="0.45">
      <c r="A289" t="str">
        <f t="shared" si="4"/>
        <v>ET02,85</v>
      </c>
      <c r="B289">
        <v>85</v>
      </c>
      <c r="C289">
        <v>98.697599999999994</v>
      </c>
      <c r="D289">
        <v>95.025818625569201</v>
      </c>
      <c r="E289" t="s">
        <v>2869</v>
      </c>
      <c r="F289" t="s">
        <v>2870</v>
      </c>
    </row>
    <row r="290" spans="1:6" x14ac:dyDescent="0.45">
      <c r="A290" t="str">
        <f t="shared" si="4"/>
        <v>ET02,86</v>
      </c>
      <c r="B290">
        <v>86</v>
      </c>
      <c r="C290">
        <v>79.708799999999997</v>
      </c>
      <c r="D290">
        <v>76.946200858660504</v>
      </c>
      <c r="E290" t="s">
        <v>2869</v>
      </c>
      <c r="F290" t="s">
        <v>2870</v>
      </c>
    </row>
    <row r="291" spans="1:6" x14ac:dyDescent="0.45">
      <c r="A291" t="str">
        <f t="shared" si="4"/>
        <v>ET02,87</v>
      </c>
      <c r="B291">
        <v>87</v>
      </c>
      <c r="C291">
        <v>60.72</v>
      </c>
      <c r="D291">
        <v>60.72</v>
      </c>
      <c r="E291" t="s">
        <v>2869</v>
      </c>
      <c r="F291" t="s">
        <v>2870</v>
      </c>
    </row>
    <row r="292" spans="1:6" x14ac:dyDescent="0.45">
      <c r="A292" t="str">
        <f t="shared" si="4"/>
        <v>ET02,88</v>
      </c>
      <c r="B292">
        <v>88</v>
      </c>
      <c r="C292">
        <v>50.847999999999999</v>
      </c>
      <c r="D292">
        <v>46.7188985380009</v>
      </c>
      <c r="E292" t="s">
        <v>2869</v>
      </c>
      <c r="F292" t="s">
        <v>2870</v>
      </c>
    </row>
    <row r="293" spans="1:6" x14ac:dyDescent="0.45">
      <c r="A293" t="str">
        <f t="shared" si="4"/>
        <v>ET02,89</v>
      </c>
      <c r="B293">
        <v>89</v>
      </c>
      <c r="C293">
        <v>40.975999999999999</v>
      </c>
      <c r="D293">
        <v>34.912839564414902</v>
      </c>
      <c r="E293" t="s">
        <v>2869</v>
      </c>
      <c r="F293" t="s">
        <v>2870</v>
      </c>
    </row>
    <row r="294" spans="1:6" x14ac:dyDescent="0.45">
      <c r="A294" t="str">
        <f t="shared" si="4"/>
        <v>ET02,90</v>
      </c>
      <c r="B294">
        <v>90</v>
      </c>
      <c r="C294">
        <v>31.103999999999999</v>
      </c>
      <c r="D294">
        <v>25.171331321828401</v>
      </c>
      <c r="E294" t="s">
        <v>2869</v>
      </c>
      <c r="F294" t="s">
        <v>2870</v>
      </c>
    </row>
    <row r="295" spans="1:6" x14ac:dyDescent="0.45">
      <c r="A295" t="str">
        <f t="shared" si="4"/>
        <v>ET02,91</v>
      </c>
      <c r="B295">
        <v>91</v>
      </c>
      <c r="C295">
        <v>21.231999999999999</v>
      </c>
      <c r="D295">
        <v>17.363882052828</v>
      </c>
      <c r="E295" t="s">
        <v>2869</v>
      </c>
      <c r="F295" t="s">
        <v>2870</v>
      </c>
    </row>
    <row r="296" spans="1:6" x14ac:dyDescent="0.45">
      <c r="A296" t="str">
        <f t="shared" si="4"/>
        <v>ET02,92</v>
      </c>
      <c r="B296">
        <v>92</v>
      </c>
      <c r="C296">
        <v>11.36</v>
      </c>
      <c r="D296">
        <v>11.36</v>
      </c>
      <c r="E296" t="s">
        <v>2869</v>
      </c>
      <c r="F296" t="s">
        <v>2870</v>
      </c>
    </row>
    <row r="297" spans="1:6" x14ac:dyDescent="0.45">
      <c r="A297" t="str">
        <f t="shared" si="4"/>
        <v>ET02,93</v>
      </c>
      <c r="B297">
        <v>93</v>
      </c>
      <c r="C297">
        <v>9.2479999999999993</v>
      </c>
      <c r="D297">
        <v>7.0049783141790796</v>
      </c>
      <c r="E297" t="s">
        <v>2869</v>
      </c>
      <c r="F297" t="s">
        <v>2870</v>
      </c>
    </row>
    <row r="298" spans="1:6" x14ac:dyDescent="0.45">
      <c r="A298" t="str">
        <f t="shared" si="4"/>
        <v>ET02,94</v>
      </c>
      <c r="B298">
        <v>94</v>
      </c>
      <c r="C298">
        <v>7.1360000000000001</v>
      </c>
      <c r="D298">
        <v>4.0472497791928204</v>
      </c>
      <c r="E298" t="s">
        <v>2869</v>
      </c>
      <c r="F298" t="s">
        <v>2870</v>
      </c>
    </row>
    <row r="299" spans="1:6" x14ac:dyDescent="0.45">
      <c r="A299" t="str">
        <f t="shared" si="4"/>
        <v>ET02,95</v>
      </c>
      <c r="B299">
        <v>95</v>
      </c>
      <c r="C299">
        <v>5.024</v>
      </c>
      <c r="D299">
        <v>2.2110320871170202</v>
      </c>
      <c r="E299" t="s">
        <v>2869</v>
      </c>
      <c r="F299" t="s">
        <v>2870</v>
      </c>
    </row>
    <row r="300" spans="1:6" x14ac:dyDescent="0.45">
      <c r="A300" t="str">
        <f t="shared" si="4"/>
        <v>ET02,96</v>
      </c>
      <c r="B300">
        <v>96</v>
      </c>
      <c r="C300">
        <v>2.9119999999999999</v>
      </c>
      <c r="D300">
        <v>1.2205429300274799</v>
      </c>
      <c r="E300" t="s">
        <v>2869</v>
      </c>
      <c r="F300" t="s">
        <v>2870</v>
      </c>
    </row>
    <row r="301" spans="1:6" x14ac:dyDescent="0.45">
      <c r="A301" t="str">
        <f t="shared" si="4"/>
        <v>ET02,97</v>
      </c>
      <c r="B301">
        <v>97</v>
      </c>
      <c r="C301">
        <v>0.8</v>
      </c>
      <c r="D301">
        <v>0.80000000000000404</v>
      </c>
      <c r="E301" t="s">
        <v>2869</v>
      </c>
      <c r="F301" t="s">
        <v>2870</v>
      </c>
    </row>
    <row r="302" spans="1:6" x14ac:dyDescent="0.45">
      <c r="A302" t="str">
        <f t="shared" si="4"/>
        <v>ET02,98</v>
      </c>
      <c r="B302">
        <v>98</v>
      </c>
      <c r="C302">
        <v>0.86666666666666703</v>
      </c>
      <c r="D302">
        <v>0.70324226714563598</v>
      </c>
      <c r="E302" t="s">
        <v>2869</v>
      </c>
      <c r="F302" t="s">
        <v>2870</v>
      </c>
    </row>
    <row r="303" spans="1:6" x14ac:dyDescent="0.45">
      <c r="A303" t="str">
        <f t="shared" si="4"/>
        <v>ET02,99</v>
      </c>
      <c r="B303">
        <v>99</v>
      </c>
      <c r="C303">
        <v>0.93333333333333302</v>
      </c>
      <c r="D303">
        <v>0.80259381371650895</v>
      </c>
      <c r="E303" t="s">
        <v>2869</v>
      </c>
      <c r="F303" t="s">
        <v>2870</v>
      </c>
    </row>
    <row r="304" spans="1:6" x14ac:dyDescent="0.45">
      <c r="A304" t="str">
        <f t="shared" si="4"/>
        <v>ET02,100</v>
      </c>
      <c r="B304">
        <v>100</v>
      </c>
      <c r="C304">
        <v>1</v>
      </c>
      <c r="D304">
        <v>1</v>
      </c>
      <c r="E304" t="s">
        <v>2869</v>
      </c>
      <c r="F304" t="s">
        <v>2870</v>
      </c>
    </row>
    <row r="305" spans="1:6" x14ac:dyDescent="0.45">
      <c r="A305" t="str">
        <f t="shared" si="4"/>
        <v>ET03,&lt;1</v>
      </c>
      <c r="B305" t="s">
        <v>119</v>
      </c>
      <c r="C305">
        <v>382978.40541072498</v>
      </c>
      <c r="D305">
        <v>382978.40541072498</v>
      </c>
      <c r="E305" t="s">
        <v>2871</v>
      </c>
      <c r="F305" t="s">
        <v>805</v>
      </c>
    </row>
    <row r="306" spans="1:6" x14ac:dyDescent="0.45">
      <c r="A306" t="str">
        <f t="shared" si="4"/>
        <v>ET03,1</v>
      </c>
      <c r="B306">
        <v>1</v>
      </c>
      <c r="C306">
        <v>368442.02816977003</v>
      </c>
      <c r="D306">
        <v>367679.93773982901</v>
      </c>
      <c r="E306" t="s">
        <v>2871</v>
      </c>
      <c r="F306" t="s">
        <v>805</v>
      </c>
    </row>
    <row r="307" spans="1:6" x14ac:dyDescent="0.45">
      <c r="A307" t="str">
        <f t="shared" si="4"/>
        <v>ET03,2</v>
      </c>
      <c r="B307">
        <v>2</v>
      </c>
      <c r="C307">
        <v>353905.65092881501</v>
      </c>
      <c r="D307">
        <v>353905.65092881501</v>
      </c>
      <c r="E307" t="s">
        <v>2871</v>
      </c>
      <c r="F307" t="s">
        <v>805</v>
      </c>
    </row>
    <row r="308" spans="1:6" x14ac:dyDescent="0.45">
      <c r="A308" t="str">
        <f t="shared" si="4"/>
        <v>ET03,3</v>
      </c>
      <c r="B308">
        <v>3</v>
      </c>
      <c r="C308">
        <v>346846.22695605701</v>
      </c>
      <c r="D308">
        <v>342838.64800714201</v>
      </c>
      <c r="E308" t="s">
        <v>2871</v>
      </c>
      <c r="F308" t="s">
        <v>805</v>
      </c>
    </row>
    <row r="309" spans="1:6" x14ac:dyDescent="0.45">
      <c r="A309" t="str">
        <f t="shared" si="4"/>
        <v>ET03,4</v>
      </c>
      <c r="B309">
        <v>4</v>
      </c>
      <c r="C309">
        <v>339786.80298329901</v>
      </c>
      <c r="D309">
        <v>334297.72068257898</v>
      </c>
      <c r="E309" t="s">
        <v>2871</v>
      </c>
      <c r="F309" t="s">
        <v>805</v>
      </c>
    </row>
    <row r="310" spans="1:6" x14ac:dyDescent="0.45">
      <c r="A310" t="str">
        <f t="shared" si="4"/>
        <v>ET03,5</v>
      </c>
      <c r="B310">
        <v>5</v>
      </c>
      <c r="C310">
        <v>332727.37901054003</v>
      </c>
      <c r="D310">
        <v>327760.58283247403</v>
      </c>
      <c r="E310" t="s">
        <v>2871</v>
      </c>
      <c r="F310" t="s">
        <v>805</v>
      </c>
    </row>
    <row r="311" spans="1:6" x14ac:dyDescent="0.45">
      <c r="A311" t="str">
        <f t="shared" si="4"/>
        <v>ET03,6</v>
      </c>
      <c r="B311">
        <v>6</v>
      </c>
      <c r="C311">
        <v>325667.95503778203</v>
      </c>
      <c r="D311">
        <v>322704.94833417301</v>
      </c>
      <c r="E311" t="s">
        <v>2871</v>
      </c>
      <c r="F311" t="s">
        <v>805</v>
      </c>
    </row>
    <row r="312" spans="1:6" x14ac:dyDescent="0.45">
      <c r="A312" t="str">
        <f t="shared" si="4"/>
        <v>ET03,7</v>
      </c>
      <c r="B312">
        <v>7</v>
      </c>
      <c r="C312">
        <v>318608.53106502403</v>
      </c>
      <c r="D312">
        <v>318608.53106502403</v>
      </c>
      <c r="E312" t="s">
        <v>2871</v>
      </c>
      <c r="F312" t="s">
        <v>805</v>
      </c>
    </row>
    <row r="313" spans="1:6" x14ac:dyDescent="0.45">
      <c r="A313" t="str">
        <f t="shared" si="4"/>
        <v>ET03,8</v>
      </c>
      <c r="B313">
        <v>8</v>
      </c>
      <c r="C313">
        <v>315570.76912867202</v>
      </c>
      <c r="D313">
        <v>315022.52516253002</v>
      </c>
      <c r="E313" t="s">
        <v>2871</v>
      </c>
      <c r="F313" t="s">
        <v>805</v>
      </c>
    </row>
    <row r="314" spans="1:6" x14ac:dyDescent="0.45">
      <c r="A314" t="str">
        <f t="shared" si="4"/>
        <v>ET03,9</v>
      </c>
      <c r="B314">
        <v>9</v>
      </c>
      <c r="C314">
        <v>312533.00719232101</v>
      </c>
      <c r="D314">
        <v>311792.04580482101</v>
      </c>
      <c r="E314" t="s">
        <v>2871</v>
      </c>
      <c r="F314" t="s">
        <v>805</v>
      </c>
    </row>
    <row r="315" spans="1:6" x14ac:dyDescent="0.45">
      <c r="A315" t="str">
        <f t="shared" si="4"/>
        <v>ET03,10</v>
      </c>
      <c r="B315">
        <v>10</v>
      </c>
      <c r="C315">
        <v>309495.245255969</v>
      </c>
      <c r="D315">
        <v>308835.68843018299</v>
      </c>
      <c r="E315" t="s">
        <v>2871</v>
      </c>
      <c r="F315" t="s">
        <v>805</v>
      </c>
    </row>
    <row r="316" spans="1:6" x14ac:dyDescent="0.45">
      <c r="A316" t="str">
        <f t="shared" si="4"/>
        <v>ET03,11</v>
      </c>
      <c r="B316">
        <v>11</v>
      </c>
      <c r="C316">
        <v>306457.48331961798</v>
      </c>
      <c r="D316">
        <v>306072.048476903</v>
      </c>
      <c r="E316" t="s">
        <v>2871</v>
      </c>
      <c r="F316" t="s">
        <v>805</v>
      </c>
    </row>
    <row r="317" spans="1:6" x14ac:dyDescent="0.45">
      <c r="A317" t="str">
        <f t="shared" si="4"/>
        <v>ET03,12</v>
      </c>
      <c r="B317">
        <v>12</v>
      </c>
      <c r="C317">
        <v>303419.72138326598</v>
      </c>
      <c r="D317">
        <v>303419.72138326598</v>
      </c>
      <c r="E317" t="s">
        <v>2871</v>
      </c>
      <c r="F317" t="s">
        <v>805</v>
      </c>
    </row>
    <row r="318" spans="1:6" x14ac:dyDescent="0.45">
      <c r="A318" t="str">
        <f t="shared" si="4"/>
        <v>ET03,13</v>
      </c>
      <c r="B318">
        <v>13</v>
      </c>
      <c r="C318">
        <v>298368.35499821301</v>
      </c>
      <c r="D318">
        <v>300710.77675002499</v>
      </c>
      <c r="E318" t="s">
        <v>2871</v>
      </c>
      <c r="F318" t="s">
        <v>805</v>
      </c>
    </row>
    <row r="319" spans="1:6" x14ac:dyDescent="0.45">
      <c r="A319" t="str">
        <f t="shared" si="4"/>
        <v>ET03,14</v>
      </c>
      <c r="B319">
        <v>14</v>
      </c>
      <c r="C319">
        <v>293316.98861315998</v>
      </c>
      <c r="D319">
        <v>297431.18082779698</v>
      </c>
      <c r="E319" t="s">
        <v>2871</v>
      </c>
      <c r="F319" t="s">
        <v>805</v>
      </c>
    </row>
    <row r="320" spans="1:6" x14ac:dyDescent="0.45">
      <c r="A320" t="str">
        <f t="shared" si="4"/>
        <v>ET03,15</v>
      </c>
      <c r="B320">
        <v>15</v>
      </c>
      <c r="C320">
        <v>288265.62222810602</v>
      </c>
      <c r="D320">
        <v>292980.37402966199</v>
      </c>
      <c r="E320" t="s">
        <v>2871</v>
      </c>
      <c r="F320" t="s">
        <v>805</v>
      </c>
    </row>
    <row r="321" spans="1:6" x14ac:dyDescent="0.45">
      <c r="A321" t="str">
        <f t="shared" si="4"/>
        <v>ET03,16</v>
      </c>
      <c r="B321">
        <v>16</v>
      </c>
      <c r="C321">
        <v>283214.25584305299</v>
      </c>
      <c r="D321">
        <v>286757.79676870198</v>
      </c>
      <c r="E321" t="s">
        <v>2871</v>
      </c>
      <c r="F321" t="s">
        <v>805</v>
      </c>
    </row>
    <row r="322" spans="1:6" x14ac:dyDescent="0.45">
      <c r="A322" t="str">
        <f t="shared" si="4"/>
        <v>ET03,17</v>
      </c>
      <c r="B322">
        <v>17</v>
      </c>
      <c r="C322">
        <v>278162.88945800002</v>
      </c>
      <c r="D322">
        <v>278162.88945800002</v>
      </c>
      <c r="E322" t="s">
        <v>2871</v>
      </c>
      <c r="F322" t="s">
        <v>805</v>
      </c>
    </row>
    <row r="323" spans="1:6" x14ac:dyDescent="0.45">
      <c r="A323" t="str">
        <f t="shared" ref="A323:A386" si="5">_xlfn.CONCAT(E323,",",B323)</f>
        <v>ET03,18</v>
      </c>
      <c r="B323">
        <v>18</v>
      </c>
      <c r="C323">
        <v>266252.990107366</v>
      </c>
      <c r="D323">
        <v>266915.32911934599</v>
      </c>
      <c r="E323" t="s">
        <v>2871</v>
      </c>
      <c r="F323" t="s">
        <v>805</v>
      </c>
    </row>
    <row r="324" spans="1:6" x14ac:dyDescent="0.45">
      <c r="A324" t="str">
        <f t="shared" si="5"/>
        <v>ET03,19</v>
      </c>
      <c r="B324">
        <v>19</v>
      </c>
      <c r="C324">
        <v>254343.09075673099</v>
      </c>
      <c r="D324">
        <v>254015.73920936699</v>
      </c>
      <c r="E324" t="s">
        <v>2871</v>
      </c>
      <c r="F324" t="s">
        <v>805</v>
      </c>
    </row>
    <row r="325" spans="1:6" x14ac:dyDescent="0.45">
      <c r="A325" t="str">
        <f t="shared" si="5"/>
        <v>ET03,20</v>
      </c>
      <c r="B325">
        <v>20</v>
      </c>
      <c r="C325">
        <v>242433.191406097</v>
      </c>
      <c r="D325">
        <v>240784.97979339701</v>
      </c>
      <c r="E325" t="s">
        <v>2871</v>
      </c>
      <c r="F325" t="s">
        <v>805</v>
      </c>
    </row>
    <row r="326" spans="1:6" x14ac:dyDescent="0.45">
      <c r="A326" t="str">
        <f t="shared" si="5"/>
        <v>ET03,21</v>
      </c>
      <c r="B326">
        <v>21</v>
      </c>
      <c r="C326">
        <v>230523.29205546199</v>
      </c>
      <c r="D326">
        <v>228543.910936773</v>
      </c>
      <c r="E326" t="s">
        <v>2871</v>
      </c>
      <c r="F326" t="s">
        <v>805</v>
      </c>
    </row>
    <row r="327" spans="1:6" x14ac:dyDescent="0.45">
      <c r="A327" t="str">
        <f t="shared" si="5"/>
        <v>ET03,22</v>
      </c>
      <c r="B327">
        <v>22</v>
      </c>
      <c r="C327">
        <v>218613.392704828</v>
      </c>
      <c r="D327">
        <v>218613.392704828</v>
      </c>
      <c r="E327" t="s">
        <v>2871</v>
      </c>
      <c r="F327" t="s">
        <v>805</v>
      </c>
    </row>
    <row r="328" spans="1:6" x14ac:dyDescent="0.45">
      <c r="A328" t="str">
        <f t="shared" si="5"/>
        <v>ET03,23</v>
      </c>
      <c r="B328">
        <v>23</v>
      </c>
      <c r="C328">
        <v>213552.73128424201</v>
      </c>
      <c r="D328">
        <v>211861.972542098</v>
      </c>
      <c r="E328" t="s">
        <v>2871</v>
      </c>
      <c r="F328" t="s">
        <v>805</v>
      </c>
    </row>
    <row r="329" spans="1:6" x14ac:dyDescent="0.45">
      <c r="A329" t="str">
        <f t="shared" si="5"/>
        <v>ET03,24</v>
      </c>
      <c r="B329">
        <v>24</v>
      </c>
      <c r="C329">
        <v>208492.06986365601</v>
      </c>
      <c r="D329">
        <v>207348.94740991099</v>
      </c>
      <c r="E329" t="s">
        <v>2871</v>
      </c>
      <c r="F329" t="s">
        <v>805</v>
      </c>
    </row>
    <row r="330" spans="1:6" x14ac:dyDescent="0.45">
      <c r="A330" t="str">
        <f t="shared" si="5"/>
        <v>ET03,25</v>
      </c>
      <c r="B330">
        <v>25</v>
      </c>
      <c r="C330">
        <v>203431.40844306999</v>
      </c>
      <c r="D330">
        <v>203681.301648797</v>
      </c>
      <c r="E330" t="s">
        <v>2871</v>
      </c>
      <c r="F330" t="s">
        <v>805</v>
      </c>
    </row>
    <row r="331" spans="1:6" x14ac:dyDescent="0.45">
      <c r="A331" t="str">
        <f t="shared" si="5"/>
        <v>ET03,26</v>
      </c>
      <c r="B331">
        <v>26</v>
      </c>
      <c r="C331">
        <v>198370.747022483</v>
      </c>
      <c r="D331">
        <v>199466.019599283</v>
      </c>
      <c r="E331" t="s">
        <v>2871</v>
      </c>
      <c r="F331" t="s">
        <v>805</v>
      </c>
    </row>
    <row r="332" spans="1:6" x14ac:dyDescent="0.45">
      <c r="A332" t="str">
        <f t="shared" si="5"/>
        <v>ET03,27</v>
      </c>
      <c r="B332">
        <v>27</v>
      </c>
      <c r="C332">
        <v>193310.08560189701</v>
      </c>
      <c r="D332">
        <v>193310.08560189701</v>
      </c>
      <c r="E332" t="s">
        <v>2871</v>
      </c>
      <c r="F332" t="s">
        <v>805</v>
      </c>
    </row>
    <row r="333" spans="1:6" x14ac:dyDescent="0.45">
      <c r="A333" t="str">
        <f t="shared" si="5"/>
        <v>ET03,28</v>
      </c>
      <c r="B333">
        <v>28</v>
      </c>
      <c r="C333">
        <v>183330.93817681199</v>
      </c>
      <c r="D333">
        <v>184290.47807845799</v>
      </c>
      <c r="E333" t="s">
        <v>2871</v>
      </c>
      <c r="F333" t="s">
        <v>805</v>
      </c>
    </row>
    <row r="334" spans="1:6" x14ac:dyDescent="0.45">
      <c r="A334" t="str">
        <f t="shared" si="5"/>
        <v>ET03,29</v>
      </c>
      <c r="B334">
        <v>29</v>
      </c>
      <c r="C334">
        <v>173351.79075172701</v>
      </c>
      <c r="D334">
        <v>173364.15177593601</v>
      </c>
      <c r="E334" t="s">
        <v>2871</v>
      </c>
      <c r="F334" t="s">
        <v>805</v>
      </c>
    </row>
    <row r="335" spans="1:6" x14ac:dyDescent="0.45">
      <c r="A335" t="str">
        <f t="shared" si="5"/>
        <v>ET03,30</v>
      </c>
      <c r="B335">
        <v>30</v>
      </c>
      <c r="C335">
        <v>163372.64332664199</v>
      </c>
      <c r="D335">
        <v>161958.05552259</v>
      </c>
      <c r="E335" t="s">
        <v>2871</v>
      </c>
      <c r="F335" t="s">
        <v>805</v>
      </c>
    </row>
    <row r="336" spans="1:6" x14ac:dyDescent="0.45">
      <c r="A336" t="str">
        <f t="shared" si="5"/>
        <v>ET03,31</v>
      </c>
      <c r="B336">
        <v>31</v>
      </c>
      <c r="C336">
        <v>153393.49590155599</v>
      </c>
      <c r="D336">
        <v>151499.138146682</v>
      </c>
      <c r="E336" t="s">
        <v>2871</v>
      </c>
      <c r="F336" t="s">
        <v>805</v>
      </c>
    </row>
    <row r="337" spans="1:6" x14ac:dyDescent="0.45">
      <c r="A337" t="str">
        <f t="shared" si="5"/>
        <v>ET03,32</v>
      </c>
      <c r="B337">
        <v>32</v>
      </c>
      <c r="C337">
        <v>143414.348476471</v>
      </c>
      <c r="D337">
        <v>143414.348476471</v>
      </c>
      <c r="E337" t="s">
        <v>2871</v>
      </c>
      <c r="F337" t="s">
        <v>805</v>
      </c>
    </row>
    <row r="338" spans="1:6" x14ac:dyDescent="0.45">
      <c r="A338" t="str">
        <f t="shared" si="5"/>
        <v>ET03,33</v>
      </c>
      <c r="B338">
        <v>33</v>
      </c>
      <c r="C338">
        <v>141224.050782782</v>
      </c>
      <c r="D338">
        <v>138681.97402268101</v>
      </c>
      <c r="E338" t="s">
        <v>2871</v>
      </c>
      <c r="F338" t="s">
        <v>805</v>
      </c>
    </row>
    <row r="339" spans="1:6" x14ac:dyDescent="0.45">
      <c r="A339" t="str">
        <f t="shared" si="5"/>
        <v>ET03,34</v>
      </c>
      <c r="B339">
        <v>34</v>
      </c>
      <c r="C339">
        <v>139033.75308909401</v>
      </c>
      <c r="D339">
        <v>136485.65702589601</v>
      </c>
      <c r="E339" t="s">
        <v>2871</v>
      </c>
      <c r="F339" t="s">
        <v>805</v>
      </c>
    </row>
    <row r="340" spans="1:6" x14ac:dyDescent="0.45">
      <c r="A340" t="str">
        <f t="shared" si="5"/>
        <v>ET03,35</v>
      </c>
      <c r="B340">
        <v>35</v>
      </c>
      <c r="C340">
        <v>136843.45539540501</v>
      </c>
      <c r="D340">
        <v>135560.37840916001</v>
      </c>
      <c r="E340" t="s">
        <v>2871</v>
      </c>
      <c r="F340" t="s">
        <v>805</v>
      </c>
    </row>
    <row r="341" spans="1:6" x14ac:dyDescent="0.45">
      <c r="A341" t="str">
        <f t="shared" si="5"/>
        <v>ET03,36</v>
      </c>
      <c r="B341">
        <v>36</v>
      </c>
      <c r="C341">
        <v>134653.157701716</v>
      </c>
      <c r="D341">
        <v>134641.11909552201</v>
      </c>
      <c r="E341" t="s">
        <v>2871</v>
      </c>
      <c r="F341" t="s">
        <v>805</v>
      </c>
    </row>
    <row r="342" spans="1:6" x14ac:dyDescent="0.45">
      <c r="A342" t="str">
        <f t="shared" si="5"/>
        <v>ET03,37</v>
      </c>
      <c r="B342">
        <v>37</v>
      </c>
      <c r="C342">
        <v>132462.860008027</v>
      </c>
      <c r="D342">
        <v>132462.860008027</v>
      </c>
      <c r="E342" t="s">
        <v>2871</v>
      </c>
      <c r="F342" t="s">
        <v>805</v>
      </c>
    </row>
    <row r="343" spans="1:6" x14ac:dyDescent="0.45">
      <c r="A343" t="str">
        <f t="shared" si="5"/>
        <v>ET03,38</v>
      </c>
      <c r="B343">
        <v>38</v>
      </c>
      <c r="C343">
        <v>126708.665680847</v>
      </c>
      <c r="D343">
        <v>128122.829974546</v>
      </c>
      <c r="E343" t="s">
        <v>2871</v>
      </c>
      <c r="F343" t="s">
        <v>805</v>
      </c>
    </row>
    <row r="344" spans="1:6" x14ac:dyDescent="0.45">
      <c r="A344" t="str">
        <f t="shared" si="5"/>
        <v>ET03,39</v>
      </c>
      <c r="B344">
        <v>39</v>
      </c>
      <c r="C344">
        <v>120954.471353667</v>
      </c>
      <c r="D344">
        <v>122167.249442235</v>
      </c>
      <c r="E344" t="s">
        <v>2871</v>
      </c>
      <c r="F344" t="s">
        <v>805</v>
      </c>
    </row>
    <row r="345" spans="1:6" x14ac:dyDescent="0.45">
      <c r="A345" t="str">
        <f t="shared" si="5"/>
        <v>ET03,40</v>
      </c>
      <c r="B345">
        <v>40</v>
      </c>
      <c r="C345">
        <v>115200.277026486</v>
      </c>
      <c r="D345">
        <v>115504.586763074</v>
      </c>
      <c r="E345" t="s">
        <v>2871</v>
      </c>
      <c r="F345" t="s">
        <v>805</v>
      </c>
    </row>
    <row r="346" spans="1:6" x14ac:dyDescent="0.45">
      <c r="A346" t="str">
        <f t="shared" si="5"/>
        <v>ET03,41</v>
      </c>
      <c r="B346">
        <v>41</v>
      </c>
      <c r="C346">
        <v>109446.082699306</v>
      </c>
      <c r="D346">
        <v>109043.310289045</v>
      </c>
      <c r="E346" t="s">
        <v>2871</v>
      </c>
      <c r="F346" t="s">
        <v>805</v>
      </c>
    </row>
    <row r="347" spans="1:6" x14ac:dyDescent="0.45">
      <c r="A347" t="str">
        <f t="shared" si="5"/>
        <v>ET03,42</v>
      </c>
      <c r="B347">
        <v>42</v>
      </c>
      <c r="C347">
        <v>103691.888372125</v>
      </c>
      <c r="D347">
        <v>103691.888372125</v>
      </c>
      <c r="E347" t="s">
        <v>2871</v>
      </c>
      <c r="F347" t="s">
        <v>805</v>
      </c>
    </row>
    <row r="348" spans="1:6" x14ac:dyDescent="0.45">
      <c r="A348" t="str">
        <f t="shared" si="5"/>
        <v>ET03,43</v>
      </c>
      <c r="B348">
        <v>43</v>
      </c>
      <c r="C348">
        <v>101564.239509195</v>
      </c>
      <c r="D348">
        <v>100100.186601049</v>
      </c>
      <c r="E348" t="s">
        <v>2871</v>
      </c>
      <c r="F348" t="s">
        <v>805</v>
      </c>
    </row>
    <row r="349" spans="1:6" x14ac:dyDescent="0.45">
      <c r="A349" t="str">
        <f t="shared" si="5"/>
        <v>ET03,44</v>
      </c>
      <c r="B349">
        <v>44</v>
      </c>
      <c r="C349">
        <v>99436.590646265206</v>
      </c>
      <c r="D349">
        <v>97883.659511554099</v>
      </c>
      <c r="E349" t="s">
        <v>2871</v>
      </c>
      <c r="F349" t="s">
        <v>805</v>
      </c>
    </row>
    <row r="350" spans="1:6" x14ac:dyDescent="0.45">
      <c r="A350" t="str">
        <f t="shared" si="5"/>
        <v>ET03,45</v>
      </c>
      <c r="B350">
        <v>45</v>
      </c>
      <c r="C350">
        <v>97308.941783335205</v>
      </c>
      <c r="D350">
        <v>96399.158876132802</v>
      </c>
      <c r="E350" t="s">
        <v>2871</v>
      </c>
      <c r="F350" t="s">
        <v>805</v>
      </c>
    </row>
    <row r="351" spans="1:6" x14ac:dyDescent="0.45">
      <c r="A351" t="str">
        <f t="shared" si="5"/>
        <v>ET03,46</v>
      </c>
      <c r="B351">
        <v>46</v>
      </c>
      <c r="C351">
        <v>95181.292920405103</v>
      </c>
      <c r="D351">
        <v>95003.536467275902</v>
      </c>
      <c r="E351" t="s">
        <v>2871</v>
      </c>
      <c r="F351" t="s">
        <v>805</v>
      </c>
    </row>
    <row r="352" spans="1:6" x14ac:dyDescent="0.45">
      <c r="A352" t="str">
        <f t="shared" si="5"/>
        <v>ET03,47</v>
      </c>
      <c r="B352">
        <v>47</v>
      </c>
      <c r="C352">
        <v>93053.644057475001</v>
      </c>
      <c r="D352">
        <v>93053.644057475001</v>
      </c>
      <c r="E352" t="s">
        <v>2871</v>
      </c>
      <c r="F352" t="s">
        <v>805</v>
      </c>
    </row>
    <row r="353" spans="1:6" x14ac:dyDescent="0.45">
      <c r="A353" t="str">
        <f t="shared" si="5"/>
        <v>ET03,48</v>
      </c>
      <c r="B353">
        <v>48</v>
      </c>
      <c r="C353">
        <v>89775.514339346206</v>
      </c>
      <c r="D353">
        <v>90099.797830703799</v>
      </c>
      <c r="E353" t="s">
        <v>2871</v>
      </c>
      <c r="F353" t="s">
        <v>805</v>
      </c>
    </row>
    <row r="354" spans="1:6" x14ac:dyDescent="0.45">
      <c r="A354" t="str">
        <f t="shared" si="5"/>
        <v>ET03,49</v>
      </c>
      <c r="B354">
        <v>49</v>
      </c>
      <c r="C354">
        <v>86497.384621217498</v>
      </c>
      <c r="D354">
        <v>86466.171616866894</v>
      </c>
      <c r="E354" t="s">
        <v>2871</v>
      </c>
      <c r="F354" t="s">
        <v>805</v>
      </c>
    </row>
    <row r="355" spans="1:6" x14ac:dyDescent="0.45">
      <c r="A355" t="str">
        <f t="shared" si="5"/>
        <v>ET03,50</v>
      </c>
      <c r="B355">
        <v>50</v>
      </c>
      <c r="C355">
        <v>83219.254903088702</v>
      </c>
      <c r="D355">
        <v>82670.403657351097</v>
      </c>
      <c r="E355" t="s">
        <v>2871</v>
      </c>
      <c r="F355" t="s">
        <v>805</v>
      </c>
    </row>
    <row r="356" spans="1:6" x14ac:dyDescent="0.45">
      <c r="A356" t="str">
        <f t="shared" si="5"/>
        <v>ET03,51</v>
      </c>
      <c r="B356">
        <v>51</v>
      </c>
      <c r="C356">
        <v>79941.125184959994</v>
      </c>
      <c r="D356">
        <v>79230.132193543497</v>
      </c>
      <c r="E356" t="s">
        <v>2871</v>
      </c>
      <c r="F356" t="s">
        <v>805</v>
      </c>
    </row>
    <row r="357" spans="1:6" x14ac:dyDescent="0.45">
      <c r="A357" t="str">
        <f t="shared" si="5"/>
        <v>ET03,52</v>
      </c>
      <c r="B357">
        <v>52</v>
      </c>
      <c r="C357">
        <v>76662.995466831198</v>
      </c>
      <c r="D357">
        <v>76662.995466831198</v>
      </c>
      <c r="E357" t="s">
        <v>2871</v>
      </c>
      <c r="F357" t="s">
        <v>805</v>
      </c>
    </row>
    <row r="358" spans="1:6" x14ac:dyDescent="0.45">
      <c r="A358" t="str">
        <f t="shared" si="5"/>
        <v>ET03,53</v>
      </c>
      <c r="B358">
        <v>53</v>
      </c>
      <c r="C358">
        <v>75542.430462681601</v>
      </c>
      <c r="D358">
        <v>75294.779711463794</v>
      </c>
      <c r="E358" t="s">
        <v>2871</v>
      </c>
      <c r="F358" t="s">
        <v>805</v>
      </c>
    </row>
    <row r="359" spans="1:6" x14ac:dyDescent="0.45">
      <c r="A359" t="str">
        <f t="shared" si="5"/>
        <v>ET03,54</v>
      </c>
      <c r="B359">
        <v>54</v>
      </c>
      <c r="C359">
        <v>74421.865458532004</v>
      </c>
      <c r="D359">
        <v>74683.863133142004</v>
      </c>
      <c r="E359" t="s">
        <v>2871</v>
      </c>
      <c r="F359" t="s">
        <v>805</v>
      </c>
    </row>
    <row r="360" spans="1:6" x14ac:dyDescent="0.45">
      <c r="A360" t="str">
        <f t="shared" si="5"/>
        <v>ET03,55</v>
      </c>
      <c r="B360">
        <v>55</v>
      </c>
      <c r="C360">
        <v>73301.300454382406</v>
      </c>
      <c r="D360">
        <v>74196.771930428993</v>
      </c>
      <c r="E360" t="s">
        <v>2871</v>
      </c>
      <c r="F360" t="s">
        <v>805</v>
      </c>
    </row>
    <row r="361" spans="1:6" x14ac:dyDescent="0.45">
      <c r="A361" t="str">
        <f t="shared" si="5"/>
        <v>ET03,56</v>
      </c>
      <c r="B361">
        <v>56</v>
      </c>
      <c r="C361">
        <v>72180.735450232794</v>
      </c>
      <c r="D361">
        <v>73200.032301888306</v>
      </c>
      <c r="E361" t="s">
        <v>2871</v>
      </c>
      <c r="F361" t="s">
        <v>805</v>
      </c>
    </row>
    <row r="362" spans="1:6" x14ac:dyDescent="0.45">
      <c r="A362" t="str">
        <f t="shared" si="5"/>
        <v>ET03,57</v>
      </c>
      <c r="B362">
        <v>57</v>
      </c>
      <c r="C362">
        <v>71060.170446083197</v>
      </c>
      <c r="D362">
        <v>71060.170446083197</v>
      </c>
      <c r="E362" t="s">
        <v>2871</v>
      </c>
      <c r="F362" t="s">
        <v>805</v>
      </c>
    </row>
    <row r="363" spans="1:6" x14ac:dyDescent="0.45">
      <c r="A363" t="str">
        <f t="shared" si="5"/>
        <v>ET03,58</v>
      </c>
      <c r="B363">
        <v>58</v>
      </c>
      <c r="C363">
        <v>66444.184090104507</v>
      </c>
      <c r="D363">
        <v>67359.214913244097</v>
      </c>
      <c r="E363" t="s">
        <v>2871</v>
      </c>
      <c r="F363" t="s">
        <v>805</v>
      </c>
    </row>
    <row r="364" spans="1:6" x14ac:dyDescent="0.45">
      <c r="A364" t="str">
        <f t="shared" si="5"/>
        <v>ET03,59</v>
      </c>
      <c r="B364">
        <v>59</v>
      </c>
      <c r="C364">
        <v>61828.197734125803</v>
      </c>
      <c r="D364">
        <v>62541.203660269501</v>
      </c>
      <c r="E364" t="s">
        <v>2871</v>
      </c>
      <c r="F364" t="s">
        <v>805</v>
      </c>
    </row>
    <row r="365" spans="1:6" x14ac:dyDescent="0.45">
      <c r="A365" t="str">
        <f t="shared" si="5"/>
        <v>ET03,60</v>
      </c>
      <c r="B365">
        <v>60</v>
      </c>
      <c r="C365">
        <v>57212.2113781472</v>
      </c>
      <c r="D365">
        <v>57265.676995725102</v>
      </c>
      <c r="E365" t="s">
        <v>2871</v>
      </c>
      <c r="F365" t="s">
        <v>805</v>
      </c>
    </row>
    <row r="366" spans="1:6" x14ac:dyDescent="0.45">
      <c r="A366" t="str">
        <f t="shared" si="5"/>
        <v>ET03,61</v>
      </c>
      <c r="B366">
        <v>61</v>
      </c>
      <c r="C366">
        <v>52596.225022168503</v>
      </c>
      <c r="D366">
        <v>52192.175228176697</v>
      </c>
      <c r="E366" t="s">
        <v>2871</v>
      </c>
      <c r="F366" t="s">
        <v>805</v>
      </c>
    </row>
    <row r="367" spans="1:6" x14ac:dyDescent="0.45">
      <c r="A367" t="str">
        <f t="shared" si="5"/>
        <v>ET03,62</v>
      </c>
      <c r="B367">
        <v>62</v>
      </c>
      <c r="C367">
        <v>47980.238666189798</v>
      </c>
      <c r="D367">
        <v>47980.238666189798</v>
      </c>
      <c r="E367" t="s">
        <v>2871</v>
      </c>
      <c r="F367" t="s">
        <v>805</v>
      </c>
    </row>
    <row r="368" spans="1:6" x14ac:dyDescent="0.45">
      <c r="A368" t="str">
        <f t="shared" si="5"/>
        <v>ET03,63</v>
      </c>
      <c r="B368">
        <v>63</v>
      </c>
      <c r="C368">
        <v>46230.911540586203</v>
      </c>
      <c r="D368">
        <v>45099.852884719701</v>
      </c>
      <c r="E368" t="s">
        <v>2871</v>
      </c>
      <c r="F368" t="s">
        <v>805</v>
      </c>
    </row>
    <row r="369" spans="1:6" x14ac:dyDescent="0.45">
      <c r="A369" t="str">
        <f t="shared" si="5"/>
        <v>ET03,64</v>
      </c>
      <c r="B369">
        <v>64</v>
      </c>
      <c r="C369">
        <v>44481.584414982703</v>
      </c>
      <c r="D369">
        <v>43262.784524279901</v>
      </c>
      <c r="E369" t="s">
        <v>2871</v>
      </c>
      <c r="F369" t="s">
        <v>805</v>
      </c>
    </row>
    <row r="370" spans="1:6" x14ac:dyDescent="0.45">
      <c r="A370" t="str">
        <f t="shared" si="5"/>
        <v>ET03,65</v>
      </c>
      <c r="B370">
        <v>65</v>
      </c>
      <c r="C370">
        <v>42732.2572893791</v>
      </c>
      <c r="D370">
        <v>41991.245491773298</v>
      </c>
      <c r="E370" t="s">
        <v>2871</v>
      </c>
      <c r="F370" t="s">
        <v>805</v>
      </c>
    </row>
    <row r="371" spans="1:6" x14ac:dyDescent="0.45">
      <c r="A371" t="str">
        <f t="shared" si="5"/>
        <v>ET03,66</v>
      </c>
      <c r="B371">
        <v>66</v>
      </c>
      <c r="C371">
        <v>40982.9301637756</v>
      </c>
      <c r="D371">
        <v>40807.447694103001</v>
      </c>
      <c r="E371" t="s">
        <v>2871</v>
      </c>
      <c r="F371" t="s">
        <v>805</v>
      </c>
    </row>
    <row r="372" spans="1:6" x14ac:dyDescent="0.45">
      <c r="A372" t="str">
        <f t="shared" si="5"/>
        <v>ET03,67</v>
      </c>
      <c r="B372">
        <v>67</v>
      </c>
      <c r="C372">
        <v>39233.603038171997</v>
      </c>
      <c r="D372">
        <v>39233.603038171997</v>
      </c>
      <c r="E372" t="s">
        <v>2871</v>
      </c>
      <c r="F372" t="s">
        <v>805</v>
      </c>
    </row>
    <row r="373" spans="1:6" x14ac:dyDescent="0.45">
      <c r="A373" t="str">
        <f t="shared" si="5"/>
        <v>ET03,68</v>
      </c>
      <c r="B373">
        <v>68</v>
      </c>
      <c r="C373">
        <v>36360.973600892801</v>
      </c>
      <c r="D373">
        <v>36920.558328687803</v>
      </c>
      <c r="E373" t="s">
        <v>2871</v>
      </c>
      <c r="F373" t="s">
        <v>805</v>
      </c>
    </row>
    <row r="374" spans="1:6" x14ac:dyDescent="0.45">
      <c r="A374" t="str">
        <f t="shared" si="5"/>
        <v>ET03,69</v>
      </c>
      <c r="B374">
        <v>69</v>
      </c>
      <c r="C374">
        <v>33488.344163613503</v>
      </c>
      <c r="D374">
        <v>34033.699961576101</v>
      </c>
      <c r="E374" t="s">
        <v>2871</v>
      </c>
      <c r="F374" t="s">
        <v>805</v>
      </c>
    </row>
    <row r="375" spans="1:6" x14ac:dyDescent="0.45">
      <c r="A375" t="str">
        <f t="shared" si="5"/>
        <v>ET03,70</v>
      </c>
      <c r="B375">
        <v>70</v>
      </c>
      <c r="C375">
        <v>30615.714726334299</v>
      </c>
      <c r="D375">
        <v>30867.049230566699</v>
      </c>
      <c r="E375" t="s">
        <v>2871</v>
      </c>
      <c r="F375" t="s">
        <v>805</v>
      </c>
    </row>
    <row r="376" spans="1:6" x14ac:dyDescent="0.45">
      <c r="A376" t="str">
        <f t="shared" si="5"/>
        <v>ET03,71</v>
      </c>
      <c r="B376">
        <v>71</v>
      </c>
      <c r="C376">
        <v>27743.085289055001</v>
      </c>
      <c r="D376">
        <v>27714.627429389999</v>
      </c>
      <c r="E376" t="s">
        <v>2871</v>
      </c>
      <c r="F376" t="s">
        <v>805</v>
      </c>
    </row>
    <row r="377" spans="1:6" x14ac:dyDescent="0.45">
      <c r="A377" t="str">
        <f t="shared" si="5"/>
        <v>ET03,72</v>
      </c>
      <c r="B377">
        <v>72</v>
      </c>
      <c r="C377">
        <v>24870.455851775801</v>
      </c>
      <c r="D377">
        <v>24870.455851775801</v>
      </c>
      <c r="E377" t="s">
        <v>2871</v>
      </c>
      <c r="F377" t="s">
        <v>805</v>
      </c>
    </row>
    <row r="378" spans="1:6" x14ac:dyDescent="0.45">
      <c r="A378" t="str">
        <f t="shared" si="5"/>
        <v>ET03,73</v>
      </c>
      <c r="B378">
        <v>73</v>
      </c>
      <c r="C378">
        <v>22973.758242296499</v>
      </c>
      <c r="D378">
        <v>22547.138761107799</v>
      </c>
      <c r="E378" t="s">
        <v>2871</v>
      </c>
      <c r="F378" t="s">
        <v>805</v>
      </c>
    </row>
    <row r="379" spans="1:6" x14ac:dyDescent="0.45">
      <c r="A379" t="str">
        <f t="shared" si="5"/>
        <v>ET03,74</v>
      </c>
      <c r="B379">
        <v>74</v>
      </c>
      <c r="C379">
        <v>21077.0606328172</v>
      </c>
      <c r="D379">
        <v>20631.612299383301</v>
      </c>
      <c r="E379" t="s">
        <v>2871</v>
      </c>
      <c r="F379" t="s">
        <v>805</v>
      </c>
    </row>
    <row r="380" spans="1:6" x14ac:dyDescent="0.45">
      <c r="A380" t="str">
        <f t="shared" si="5"/>
        <v>ET03,75</v>
      </c>
      <c r="B380">
        <v>75</v>
      </c>
      <c r="C380">
        <v>19180.363023337901</v>
      </c>
      <c r="D380">
        <v>18929.395578253101</v>
      </c>
      <c r="E380" t="s">
        <v>2871</v>
      </c>
      <c r="F380" t="s">
        <v>805</v>
      </c>
    </row>
    <row r="381" spans="1:6" x14ac:dyDescent="0.45">
      <c r="A381" t="str">
        <f t="shared" si="5"/>
        <v>ET03,76</v>
      </c>
      <c r="B381">
        <v>76</v>
      </c>
      <c r="C381">
        <v>17283.6654138585</v>
      </c>
      <c r="D381">
        <v>17246.007709368099</v>
      </c>
      <c r="E381" t="s">
        <v>2871</v>
      </c>
      <c r="F381" t="s">
        <v>805</v>
      </c>
    </row>
    <row r="382" spans="1:6" x14ac:dyDescent="0.45">
      <c r="A382" t="str">
        <f t="shared" si="5"/>
        <v>ET03,77</v>
      </c>
      <c r="B382">
        <v>77</v>
      </c>
      <c r="C382">
        <v>15386.967804379199</v>
      </c>
      <c r="D382">
        <v>15386.967804379199</v>
      </c>
      <c r="E382" t="s">
        <v>2871</v>
      </c>
      <c r="F382" t="s">
        <v>805</v>
      </c>
    </row>
    <row r="383" spans="1:6" x14ac:dyDescent="0.45">
      <c r="A383" t="str">
        <f t="shared" si="5"/>
        <v>ET03,78</v>
      </c>
      <c r="B383">
        <v>78</v>
      </c>
      <c r="C383">
        <v>13246.2654435034</v>
      </c>
      <c r="D383">
        <v>13222.0613697719</v>
      </c>
      <c r="E383" t="s">
        <v>2871</v>
      </c>
      <c r="F383" t="s">
        <v>805</v>
      </c>
    </row>
    <row r="384" spans="1:6" x14ac:dyDescent="0.45">
      <c r="A384" t="str">
        <f t="shared" si="5"/>
        <v>ET03,79</v>
      </c>
      <c r="B384">
        <v>79</v>
      </c>
      <c r="C384">
        <v>11105.563082627499</v>
      </c>
      <c r="D384">
        <v>10878.139491370999</v>
      </c>
      <c r="E384" t="s">
        <v>2871</v>
      </c>
      <c r="F384" t="s">
        <v>805</v>
      </c>
    </row>
    <row r="385" spans="1:6" x14ac:dyDescent="0.45">
      <c r="A385" t="str">
        <f t="shared" si="5"/>
        <v>ET03,80</v>
      </c>
      <c r="B385">
        <v>80</v>
      </c>
      <c r="C385">
        <v>8964.8607217516892</v>
      </c>
      <c r="D385">
        <v>8546.3196498356901</v>
      </c>
      <c r="E385" t="s">
        <v>2871</v>
      </c>
      <c r="F385" t="s">
        <v>805</v>
      </c>
    </row>
    <row r="386" spans="1:6" x14ac:dyDescent="0.45">
      <c r="A386" t="str">
        <f t="shared" si="5"/>
        <v>ET03,81</v>
      </c>
      <c r="B386">
        <v>81</v>
      </c>
      <c r="C386">
        <v>6824.1583608758401</v>
      </c>
      <c r="D386">
        <v>6417.7193258255602</v>
      </c>
      <c r="E386" t="s">
        <v>2871</v>
      </c>
      <c r="F386" t="s">
        <v>805</v>
      </c>
    </row>
    <row r="387" spans="1:6" x14ac:dyDescent="0.45">
      <c r="A387" t="str">
        <f t="shared" ref="A387:A450" si="6">_xlfn.CONCAT(E387,",",B387)</f>
        <v>ET03,82</v>
      </c>
      <c r="B387">
        <v>82</v>
      </c>
      <c r="C387">
        <v>4683.4560000000001</v>
      </c>
      <c r="D387">
        <v>4683.4560000000001</v>
      </c>
      <c r="E387" t="s">
        <v>2871</v>
      </c>
      <c r="F387" t="s">
        <v>805</v>
      </c>
    </row>
    <row r="388" spans="1:6" x14ac:dyDescent="0.45">
      <c r="A388" t="str">
        <f t="shared" si="6"/>
        <v>ET03,83</v>
      </c>
      <c r="B388">
        <v>83</v>
      </c>
      <c r="C388">
        <v>4112.6671999999999</v>
      </c>
      <c r="D388">
        <v>3480.3527996846601</v>
      </c>
      <c r="E388" t="s">
        <v>2871</v>
      </c>
      <c r="F388" t="s">
        <v>805</v>
      </c>
    </row>
    <row r="389" spans="1:6" x14ac:dyDescent="0.45">
      <c r="A389" t="str">
        <f t="shared" si="6"/>
        <v>ET03,84</v>
      </c>
      <c r="B389">
        <v>84</v>
      </c>
      <c r="C389">
        <v>3541.8784000000001</v>
      </c>
      <c r="D389">
        <v>2728.0554388701398</v>
      </c>
      <c r="E389" t="s">
        <v>2871</v>
      </c>
      <c r="F389" t="s">
        <v>805</v>
      </c>
    </row>
    <row r="390" spans="1:6" x14ac:dyDescent="0.45">
      <c r="A390" t="str">
        <f t="shared" si="6"/>
        <v>ET03,85</v>
      </c>
      <c r="B390">
        <v>85</v>
      </c>
      <c r="C390">
        <v>2971.0895999999998</v>
      </c>
      <c r="D390">
        <v>2291.9152782133001</v>
      </c>
      <c r="E390" t="s">
        <v>2871</v>
      </c>
      <c r="F390" t="s">
        <v>805</v>
      </c>
    </row>
    <row r="391" spans="1:6" x14ac:dyDescent="0.45">
      <c r="A391" t="str">
        <f t="shared" si="6"/>
        <v>ET03,86</v>
      </c>
      <c r="B391">
        <v>86</v>
      </c>
      <c r="C391">
        <v>2400.3008</v>
      </c>
      <c r="D391">
        <v>2037.2836783709699</v>
      </c>
      <c r="E391" t="s">
        <v>2871</v>
      </c>
      <c r="F391" t="s">
        <v>805</v>
      </c>
    </row>
    <row r="392" spans="1:6" x14ac:dyDescent="0.45">
      <c r="A392" t="str">
        <f t="shared" si="6"/>
        <v>ET03,87</v>
      </c>
      <c r="B392">
        <v>87</v>
      </c>
      <c r="C392">
        <v>1829.5119999999999</v>
      </c>
      <c r="D392">
        <v>1829.5119999999999</v>
      </c>
      <c r="E392" t="s">
        <v>2871</v>
      </c>
      <c r="F392" t="s">
        <v>805</v>
      </c>
    </row>
    <row r="393" spans="1:6" x14ac:dyDescent="0.45">
      <c r="A393" t="str">
        <f t="shared" si="6"/>
        <v>ET03,88</v>
      </c>
      <c r="B393">
        <v>88</v>
      </c>
      <c r="C393">
        <v>1531.798</v>
      </c>
      <c r="D393">
        <v>1562.4323393315999</v>
      </c>
      <c r="E393" t="s">
        <v>2871</v>
      </c>
      <c r="F393" t="s">
        <v>805</v>
      </c>
    </row>
    <row r="394" spans="1:6" x14ac:dyDescent="0.45">
      <c r="A394" t="str">
        <f t="shared" si="6"/>
        <v>ET03,89</v>
      </c>
      <c r="B394">
        <v>89</v>
      </c>
      <c r="C394">
        <v>1234.0840000000001</v>
      </c>
      <c r="D394">
        <v>1243.79973489439</v>
      </c>
      <c r="E394" t="s">
        <v>2871</v>
      </c>
      <c r="F394" t="s">
        <v>805</v>
      </c>
    </row>
    <row r="395" spans="1:6" x14ac:dyDescent="0.45">
      <c r="A395" t="str">
        <f t="shared" si="6"/>
        <v>ET03,90</v>
      </c>
      <c r="B395">
        <v>90</v>
      </c>
      <c r="C395">
        <v>936.37</v>
      </c>
      <c r="D395">
        <v>909.84996079139603</v>
      </c>
      <c r="E395" t="s">
        <v>2871</v>
      </c>
      <c r="F395" t="s">
        <v>805</v>
      </c>
    </row>
    <row r="396" spans="1:6" x14ac:dyDescent="0.45">
      <c r="A396" t="str">
        <f t="shared" si="6"/>
        <v>ET03,91</v>
      </c>
      <c r="B396">
        <v>91</v>
      </c>
      <c r="C396">
        <v>638.65599999999995</v>
      </c>
      <c r="D396">
        <v>596.81879112559795</v>
      </c>
      <c r="E396" t="s">
        <v>2871</v>
      </c>
      <c r="F396" t="s">
        <v>805</v>
      </c>
    </row>
    <row r="397" spans="1:6" x14ac:dyDescent="0.45">
      <c r="A397" t="str">
        <f t="shared" si="6"/>
        <v>ET03,92</v>
      </c>
      <c r="B397">
        <v>92</v>
      </c>
      <c r="C397">
        <v>340.94200000000001</v>
      </c>
      <c r="D397">
        <v>340.94200000000001</v>
      </c>
      <c r="E397" t="s">
        <v>2871</v>
      </c>
      <c r="F397" t="s">
        <v>805</v>
      </c>
    </row>
    <row r="398" spans="1:6" x14ac:dyDescent="0.45">
      <c r="A398" t="str">
        <f t="shared" si="6"/>
        <v>ET03,93</v>
      </c>
      <c r="B398">
        <v>93</v>
      </c>
      <c r="C398">
        <v>277.34559999999999</v>
      </c>
      <c r="D398">
        <v>169.142034988961</v>
      </c>
      <c r="E398" t="s">
        <v>2871</v>
      </c>
      <c r="F398" t="s">
        <v>805</v>
      </c>
    </row>
    <row r="399" spans="1:6" x14ac:dyDescent="0.45">
      <c r="A399" t="str">
        <f t="shared" si="6"/>
        <v>ET03,94</v>
      </c>
      <c r="B399">
        <v>94</v>
      </c>
      <c r="C399">
        <v>213.7492</v>
      </c>
      <c r="D399">
        <v>71.088037552281406</v>
      </c>
      <c r="E399" t="s">
        <v>2871</v>
      </c>
      <c r="F399" t="s">
        <v>805</v>
      </c>
    </row>
    <row r="400" spans="1:6" x14ac:dyDescent="0.45">
      <c r="A400" t="str">
        <f t="shared" si="6"/>
        <v>ET03,95</v>
      </c>
      <c r="B400">
        <v>95</v>
      </c>
      <c r="C400">
        <v>150.15280000000001</v>
      </c>
      <c r="D400">
        <v>27.1358226211211</v>
      </c>
      <c r="E400" t="s">
        <v>2871</v>
      </c>
      <c r="F400" t="s">
        <v>805</v>
      </c>
    </row>
    <row r="401" spans="1:6" x14ac:dyDescent="0.45">
      <c r="A401" t="str">
        <f t="shared" si="6"/>
        <v>ET03,96</v>
      </c>
      <c r="B401">
        <v>96</v>
      </c>
      <c r="C401">
        <v>86.556399999999996</v>
      </c>
      <c r="D401">
        <v>17.6412051266405</v>
      </c>
      <c r="E401" t="s">
        <v>2871</v>
      </c>
      <c r="F401" t="s">
        <v>805</v>
      </c>
    </row>
    <row r="402" spans="1:6" x14ac:dyDescent="0.45">
      <c r="A402" t="str">
        <f t="shared" si="6"/>
        <v>ET03,97</v>
      </c>
      <c r="B402">
        <v>97</v>
      </c>
      <c r="C402">
        <v>22.96</v>
      </c>
      <c r="D402">
        <v>22.96</v>
      </c>
      <c r="E402" t="s">
        <v>2871</v>
      </c>
      <c r="F402" t="s">
        <v>805</v>
      </c>
    </row>
    <row r="403" spans="1:6" x14ac:dyDescent="0.45">
      <c r="A403" t="str">
        <f t="shared" si="6"/>
        <v>ET03,98</v>
      </c>
      <c r="B403">
        <v>98</v>
      </c>
      <c r="C403">
        <v>24.3066666666667</v>
      </c>
      <c r="D403">
        <v>26.990429278333099</v>
      </c>
      <c r="E403" t="s">
        <v>2871</v>
      </c>
      <c r="F403" t="s">
        <v>805</v>
      </c>
    </row>
    <row r="404" spans="1:6" x14ac:dyDescent="0.45">
      <c r="A404" t="str">
        <f t="shared" si="6"/>
        <v>ET03,99</v>
      </c>
      <c r="B404">
        <v>99</v>
      </c>
      <c r="C404">
        <v>25.6533333333333</v>
      </c>
      <c r="D404">
        <v>27.800343422666501</v>
      </c>
      <c r="E404" t="s">
        <v>2871</v>
      </c>
      <c r="F404" t="s">
        <v>805</v>
      </c>
    </row>
    <row r="405" spans="1:6" x14ac:dyDescent="0.45">
      <c r="A405" t="str">
        <f t="shared" si="6"/>
        <v>ET03,100</v>
      </c>
      <c r="B405">
        <v>100</v>
      </c>
      <c r="C405">
        <v>27</v>
      </c>
      <c r="D405">
        <v>27</v>
      </c>
      <c r="E405" t="s">
        <v>2871</v>
      </c>
      <c r="F405" t="s">
        <v>805</v>
      </c>
    </row>
    <row r="406" spans="1:6" x14ac:dyDescent="0.45">
      <c r="A406" t="str">
        <f t="shared" si="6"/>
        <v>ET04,&lt;1</v>
      </c>
      <c r="B406" t="s">
        <v>119</v>
      </c>
      <c r="C406">
        <v>834602.13844533998</v>
      </c>
      <c r="D406">
        <v>834602.13844533998</v>
      </c>
      <c r="E406" t="s">
        <v>2872</v>
      </c>
      <c r="F406" t="s">
        <v>809</v>
      </c>
    </row>
    <row r="407" spans="1:6" x14ac:dyDescent="0.45">
      <c r="A407" t="str">
        <f t="shared" si="6"/>
        <v>ET04,1</v>
      </c>
      <c r="B407">
        <v>1</v>
      </c>
      <c r="C407">
        <v>802923.88044656103</v>
      </c>
      <c r="D407">
        <v>801837.87515703903</v>
      </c>
      <c r="E407" t="s">
        <v>2872</v>
      </c>
      <c r="F407" t="s">
        <v>809</v>
      </c>
    </row>
    <row r="408" spans="1:6" x14ac:dyDescent="0.45">
      <c r="A408" t="str">
        <f t="shared" si="6"/>
        <v>ET04,2</v>
      </c>
      <c r="B408">
        <v>2</v>
      </c>
      <c r="C408">
        <v>771245.62244778301</v>
      </c>
      <c r="D408">
        <v>771245.62244778301</v>
      </c>
      <c r="E408" t="s">
        <v>2872</v>
      </c>
      <c r="F408" t="s">
        <v>809</v>
      </c>
    </row>
    <row r="409" spans="1:6" x14ac:dyDescent="0.45">
      <c r="A409" t="str">
        <f t="shared" si="6"/>
        <v>ET04,3</v>
      </c>
      <c r="B409">
        <v>3</v>
      </c>
      <c r="C409">
        <v>747937.67163689004</v>
      </c>
      <c r="D409">
        <v>744419.95874093403</v>
      </c>
      <c r="E409" t="s">
        <v>2872</v>
      </c>
      <c r="F409" t="s">
        <v>809</v>
      </c>
    </row>
    <row r="410" spans="1:6" x14ac:dyDescent="0.45">
      <c r="A410" t="str">
        <f t="shared" si="6"/>
        <v>ET04,4</v>
      </c>
      <c r="B410">
        <v>4</v>
      </c>
      <c r="C410">
        <v>724629.720825998</v>
      </c>
      <c r="D410">
        <v>720645.73383712</v>
      </c>
      <c r="E410" t="s">
        <v>2872</v>
      </c>
      <c r="F410" t="s">
        <v>809</v>
      </c>
    </row>
    <row r="411" spans="1:6" x14ac:dyDescent="0.45">
      <c r="A411" t="str">
        <f t="shared" si="6"/>
        <v>ET04,5</v>
      </c>
      <c r="B411">
        <v>5</v>
      </c>
      <c r="C411">
        <v>701321.77001510595</v>
      </c>
      <c r="D411">
        <v>698630.36538128403</v>
      </c>
      <c r="E411" t="s">
        <v>2872</v>
      </c>
      <c r="F411" t="s">
        <v>809</v>
      </c>
    </row>
    <row r="412" spans="1:6" x14ac:dyDescent="0.45">
      <c r="A412" t="str">
        <f t="shared" si="6"/>
        <v>ET04,6</v>
      </c>
      <c r="B412">
        <v>6</v>
      </c>
      <c r="C412">
        <v>678013.81920421403</v>
      </c>
      <c r="D412">
        <v>677081.27101837005</v>
      </c>
      <c r="E412" t="s">
        <v>2872</v>
      </c>
      <c r="F412" t="s">
        <v>809</v>
      </c>
    </row>
    <row r="413" spans="1:6" x14ac:dyDescent="0.45">
      <c r="A413" t="str">
        <f t="shared" si="6"/>
        <v>ET04,7</v>
      </c>
      <c r="B413">
        <v>7</v>
      </c>
      <c r="C413">
        <v>654705.86839332199</v>
      </c>
      <c r="D413">
        <v>654705.86839332199</v>
      </c>
      <c r="E413" t="s">
        <v>2872</v>
      </c>
      <c r="F413" t="s">
        <v>809</v>
      </c>
    </row>
    <row r="414" spans="1:6" x14ac:dyDescent="0.45">
      <c r="A414" t="str">
        <f t="shared" si="6"/>
        <v>ET04,8</v>
      </c>
      <c r="B414">
        <v>8</v>
      </c>
      <c r="C414">
        <v>631447.24260548502</v>
      </c>
      <c r="D414">
        <v>630637.32627544296</v>
      </c>
      <c r="E414" t="s">
        <v>2872</v>
      </c>
      <c r="F414" t="s">
        <v>809</v>
      </c>
    </row>
    <row r="415" spans="1:6" x14ac:dyDescent="0.45">
      <c r="A415" t="str">
        <f t="shared" si="6"/>
        <v>ET04,9</v>
      </c>
      <c r="B415">
        <v>9</v>
      </c>
      <c r="C415">
        <v>608188.61681764806</v>
      </c>
      <c r="D415">
        <v>605711.81793147896</v>
      </c>
      <c r="E415" t="s">
        <v>2872</v>
      </c>
      <c r="F415" t="s">
        <v>809</v>
      </c>
    </row>
    <row r="416" spans="1:6" x14ac:dyDescent="0.45">
      <c r="A416" t="str">
        <f t="shared" si="6"/>
        <v>ET04,10</v>
      </c>
      <c r="B416">
        <v>10</v>
      </c>
      <c r="C416">
        <v>584929.99102981004</v>
      </c>
      <c r="D416">
        <v>581191.26775253599</v>
      </c>
      <c r="E416" t="s">
        <v>2872</v>
      </c>
      <c r="F416" t="s">
        <v>809</v>
      </c>
    </row>
    <row r="417" spans="1:6" x14ac:dyDescent="0.45">
      <c r="A417" t="str">
        <f t="shared" si="6"/>
        <v>ET04,11</v>
      </c>
      <c r="B417">
        <v>11</v>
      </c>
      <c r="C417">
        <v>561671.36524197296</v>
      </c>
      <c r="D417">
        <v>558337.60012972006</v>
      </c>
      <c r="E417" t="s">
        <v>2872</v>
      </c>
      <c r="F417" t="s">
        <v>809</v>
      </c>
    </row>
    <row r="418" spans="1:6" x14ac:dyDescent="0.45">
      <c r="A418" t="str">
        <f t="shared" si="6"/>
        <v>ET04,12</v>
      </c>
      <c r="B418">
        <v>12</v>
      </c>
      <c r="C418">
        <v>538412.739454136</v>
      </c>
      <c r="D418">
        <v>538412.739454136</v>
      </c>
      <c r="E418" t="s">
        <v>2872</v>
      </c>
      <c r="F418" t="s">
        <v>809</v>
      </c>
    </row>
    <row r="419" spans="1:6" x14ac:dyDescent="0.45">
      <c r="A419" t="str">
        <f t="shared" si="6"/>
        <v>ET04,13</v>
      </c>
      <c r="B419">
        <v>13</v>
      </c>
      <c r="C419">
        <v>524301.265065121</v>
      </c>
      <c r="D419">
        <v>522206.34990517498</v>
      </c>
      <c r="E419" t="s">
        <v>2872</v>
      </c>
      <c r="F419" t="s">
        <v>809</v>
      </c>
    </row>
    <row r="420" spans="1:6" x14ac:dyDescent="0.45">
      <c r="A420" t="str">
        <f t="shared" si="6"/>
        <v>ET04,14</v>
      </c>
      <c r="B420">
        <v>14</v>
      </c>
      <c r="C420">
        <v>510189.790676106</v>
      </c>
      <c r="D420">
        <v>508619.05481537001</v>
      </c>
      <c r="E420" t="s">
        <v>2872</v>
      </c>
      <c r="F420" t="s">
        <v>809</v>
      </c>
    </row>
    <row r="421" spans="1:6" x14ac:dyDescent="0.45">
      <c r="A421" t="str">
        <f t="shared" si="6"/>
        <v>ET04,15</v>
      </c>
      <c r="B421">
        <v>15</v>
      </c>
      <c r="C421">
        <v>496078.31628709001</v>
      </c>
      <c r="D421">
        <v>496079.21730553801</v>
      </c>
      <c r="E421" t="s">
        <v>2872</v>
      </c>
      <c r="F421" t="s">
        <v>809</v>
      </c>
    </row>
    <row r="422" spans="1:6" x14ac:dyDescent="0.45">
      <c r="A422" t="str">
        <f t="shared" si="6"/>
        <v>ET04,16</v>
      </c>
      <c r="B422">
        <v>16</v>
      </c>
      <c r="C422">
        <v>481966.84189807501</v>
      </c>
      <c r="D422">
        <v>483015.200496495</v>
      </c>
      <c r="E422" t="s">
        <v>2872</v>
      </c>
      <c r="F422" t="s">
        <v>809</v>
      </c>
    </row>
    <row r="423" spans="1:6" x14ac:dyDescent="0.45">
      <c r="A423" t="str">
        <f t="shared" si="6"/>
        <v>ET04,17</v>
      </c>
      <c r="B423">
        <v>17</v>
      </c>
      <c r="C423">
        <v>467855.36750906002</v>
      </c>
      <c r="D423">
        <v>467855.36750906002</v>
      </c>
      <c r="E423" t="s">
        <v>2872</v>
      </c>
      <c r="F423" t="s">
        <v>809</v>
      </c>
    </row>
    <row r="424" spans="1:6" x14ac:dyDescent="0.45">
      <c r="A424" t="str">
        <f t="shared" si="6"/>
        <v>ET04,18</v>
      </c>
      <c r="B424">
        <v>18</v>
      </c>
      <c r="C424">
        <v>449746.57227951603</v>
      </c>
      <c r="D424">
        <v>449601.679241943</v>
      </c>
      <c r="E424" t="s">
        <v>2872</v>
      </c>
      <c r="F424" t="s">
        <v>809</v>
      </c>
    </row>
    <row r="425" spans="1:6" x14ac:dyDescent="0.45">
      <c r="A425" t="str">
        <f t="shared" si="6"/>
        <v>ET04,19</v>
      </c>
      <c r="B425">
        <v>19</v>
      </c>
      <c r="C425">
        <v>431637.77704997099</v>
      </c>
      <c r="D425">
        <v>429550.48770543101</v>
      </c>
      <c r="E425" t="s">
        <v>2872</v>
      </c>
      <c r="F425" t="s">
        <v>809</v>
      </c>
    </row>
    <row r="426" spans="1:6" x14ac:dyDescent="0.45">
      <c r="A426" t="str">
        <f t="shared" si="6"/>
        <v>ET04,20</v>
      </c>
      <c r="B426">
        <v>20</v>
      </c>
      <c r="C426">
        <v>413528.981820427</v>
      </c>
      <c r="D426">
        <v>409571.74268770497</v>
      </c>
      <c r="E426" t="s">
        <v>2872</v>
      </c>
      <c r="F426" t="s">
        <v>809</v>
      </c>
    </row>
    <row r="427" spans="1:6" x14ac:dyDescent="0.45">
      <c r="A427" t="str">
        <f t="shared" si="6"/>
        <v>ET04,21</v>
      </c>
      <c r="B427">
        <v>21</v>
      </c>
      <c r="C427">
        <v>395420.18659088202</v>
      </c>
      <c r="D427">
        <v>391535.393976947</v>
      </c>
      <c r="E427" t="s">
        <v>2872</v>
      </c>
      <c r="F427" t="s">
        <v>809</v>
      </c>
    </row>
    <row r="428" spans="1:6" x14ac:dyDescent="0.45">
      <c r="A428" t="str">
        <f t="shared" si="6"/>
        <v>ET04,22</v>
      </c>
      <c r="B428">
        <v>22</v>
      </c>
      <c r="C428">
        <v>377311.39136133803</v>
      </c>
      <c r="D428">
        <v>377311.39136133803</v>
      </c>
      <c r="E428" t="s">
        <v>2872</v>
      </c>
      <c r="F428" t="s">
        <v>809</v>
      </c>
    </row>
    <row r="429" spans="1:6" x14ac:dyDescent="0.45">
      <c r="A429" t="str">
        <f t="shared" si="6"/>
        <v>ET04,23</v>
      </c>
      <c r="B429">
        <v>23</v>
      </c>
      <c r="C429">
        <v>370459.96850645501</v>
      </c>
      <c r="D429">
        <v>368083.52034737798</v>
      </c>
      <c r="E429" t="s">
        <v>2872</v>
      </c>
      <c r="F429" t="s">
        <v>809</v>
      </c>
    </row>
    <row r="430" spans="1:6" x14ac:dyDescent="0.45">
      <c r="A430" t="str">
        <f t="shared" si="6"/>
        <v>ET04,24</v>
      </c>
      <c r="B430">
        <v>24</v>
      </c>
      <c r="C430">
        <v>363608.545651572</v>
      </c>
      <c r="D430">
        <v>362290.90931485302</v>
      </c>
      <c r="E430" t="s">
        <v>2872</v>
      </c>
      <c r="F430" t="s">
        <v>809</v>
      </c>
    </row>
    <row r="431" spans="1:6" x14ac:dyDescent="0.45">
      <c r="A431" t="str">
        <f t="shared" si="6"/>
        <v>ET04,25</v>
      </c>
      <c r="B431">
        <v>25</v>
      </c>
      <c r="C431">
        <v>356757.122796688</v>
      </c>
      <c r="D431">
        <v>357686.52236186498</v>
      </c>
      <c r="E431" t="s">
        <v>2872</v>
      </c>
      <c r="F431" t="s">
        <v>809</v>
      </c>
    </row>
    <row r="432" spans="1:6" x14ac:dyDescent="0.45">
      <c r="A432" t="str">
        <f t="shared" si="6"/>
        <v>ET04,26</v>
      </c>
      <c r="B432">
        <v>26</v>
      </c>
      <c r="C432">
        <v>349905.69994180498</v>
      </c>
      <c r="D432">
        <v>352023.32358651998</v>
      </c>
      <c r="E432" t="s">
        <v>2872</v>
      </c>
      <c r="F432" t="s">
        <v>809</v>
      </c>
    </row>
    <row r="433" spans="1:6" x14ac:dyDescent="0.45">
      <c r="A433" t="str">
        <f t="shared" si="6"/>
        <v>ET04,27</v>
      </c>
      <c r="B433">
        <v>27</v>
      </c>
      <c r="C433">
        <v>343054.27708692203</v>
      </c>
      <c r="D433">
        <v>343054.27708692203</v>
      </c>
      <c r="E433" t="s">
        <v>2872</v>
      </c>
      <c r="F433" t="s">
        <v>809</v>
      </c>
    </row>
    <row r="434" spans="1:6" x14ac:dyDescent="0.45">
      <c r="A434" t="str">
        <f t="shared" si="6"/>
        <v>ET04,28</v>
      </c>
      <c r="B434">
        <v>28</v>
      </c>
      <c r="C434">
        <v>326578.61391175498</v>
      </c>
      <c r="D434">
        <v>329257.95407359302</v>
      </c>
      <c r="E434" t="s">
        <v>2872</v>
      </c>
      <c r="F434" t="s">
        <v>809</v>
      </c>
    </row>
    <row r="435" spans="1:6" x14ac:dyDescent="0.45">
      <c r="A435" t="str">
        <f t="shared" si="6"/>
        <v>ET04,29</v>
      </c>
      <c r="B435">
        <v>29</v>
      </c>
      <c r="C435">
        <v>310102.95073658798</v>
      </c>
      <c r="D435">
        <v>312015.35420673102</v>
      </c>
      <c r="E435" t="s">
        <v>2872</v>
      </c>
      <c r="F435" t="s">
        <v>809</v>
      </c>
    </row>
    <row r="436" spans="1:6" x14ac:dyDescent="0.45">
      <c r="A436" t="str">
        <f t="shared" si="6"/>
        <v>ET04,30</v>
      </c>
      <c r="B436">
        <v>30</v>
      </c>
      <c r="C436">
        <v>293627.28756142</v>
      </c>
      <c r="D436">
        <v>293433.08425894898</v>
      </c>
      <c r="E436" t="s">
        <v>2872</v>
      </c>
      <c r="F436" t="s">
        <v>809</v>
      </c>
    </row>
    <row r="437" spans="1:6" x14ac:dyDescent="0.45">
      <c r="A437" t="str">
        <f t="shared" si="6"/>
        <v>ET04,31</v>
      </c>
      <c r="B437">
        <v>31</v>
      </c>
      <c r="C437">
        <v>277151.62438625301</v>
      </c>
      <c r="D437">
        <v>275617.751002862</v>
      </c>
      <c r="E437" t="s">
        <v>2872</v>
      </c>
      <c r="F437" t="s">
        <v>809</v>
      </c>
    </row>
    <row r="438" spans="1:6" x14ac:dyDescent="0.45">
      <c r="A438" t="str">
        <f t="shared" si="6"/>
        <v>ET04,32</v>
      </c>
      <c r="B438">
        <v>32</v>
      </c>
      <c r="C438">
        <v>260675.96121108599</v>
      </c>
      <c r="D438">
        <v>260675.96121108599</v>
      </c>
      <c r="E438" t="s">
        <v>2872</v>
      </c>
      <c r="F438" t="s">
        <v>809</v>
      </c>
    </row>
    <row r="439" spans="1:6" x14ac:dyDescent="0.45">
      <c r="A439" t="str">
        <f t="shared" si="6"/>
        <v>ET04,33</v>
      </c>
      <c r="B439">
        <v>33</v>
      </c>
      <c r="C439">
        <v>253671.76030769901</v>
      </c>
      <c r="D439">
        <v>250097.15009972101</v>
      </c>
      <c r="E439" t="s">
        <v>2872</v>
      </c>
      <c r="F439" t="s">
        <v>809</v>
      </c>
    </row>
    <row r="440" spans="1:6" x14ac:dyDescent="0.45">
      <c r="A440" t="str">
        <f t="shared" si="6"/>
        <v>ET04,34</v>
      </c>
      <c r="B440">
        <v>34</v>
      </c>
      <c r="C440">
        <v>246667.55940431199</v>
      </c>
      <c r="D440">
        <v>242902.06665881301</v>
      </c>
      <c r="E440" t="s">
        <v>2872</v>
      </c>
      <c r="F440" t="s">
        <v>809</v>
      </c>
    </row>
    <row r="441" spans="1:6" x14ac:dyDescent="0.45">
      <c r="A441" t="str">
        <f t="shared" si="6"/>
        <v>ET04,35</v>
      </c>
      <c r="B441">
        <v>35</v>
      </c>
      <c r="C441">
        <v>239663.35850092399</v>
      </c>
      <c r="D441">
        <v>237494.28832189299</v>
      </c>
      <c r="E441" t="s">
        <v>2872</v>
      </c>
      <c r="F441" t="s">
        <v>809</v>
      </c>
    </row>
    <row r="442" spans="1:6" x14ac:dyDescent="0.45">
      <c r="A442" t="str">
        <f t="shared" si="6"/>
        <v>ET04,36</v>
      </c>
      <c r="B442">
        <v>36</v>
      </c>
      <c r="C442">
        <v>232659.15759753701</v>
      </c>
      <c r="D442">
        <v>232277.39252249501</v>
      </c>
      <c r="E442" t="s">
        <v>2872</v>
      </c>
      <c r="F442" t="s">
        <v>809</v>
      </c>
    </row>
    <row r="443" spans="1:6" x14ac:dyDescent="0.45">
      <c r="A443" t="str">
        <f t="shared" si="6"/>
        <v>ET04,37</v>
      </c>
      <c r="B443">
        <v>37</v>
      </c>
      <c r="C443">
        <v>225654.95669414999</v>
      </c>
      <c r="D443">
        <v>225654.95669414999</v>
      </c>
      <c r="E443" t="s">
        <v>2872</v>
      </c>
      <c r="F443" t="s">
        <v>809</v>
      </c>
    </row>
    <row r="444" spans="1:6" x14ac:dyDescent="0.45">
      <c r="A444" t="str">
        <f t="shared" si="6"/>
        <v>ET04,38</v>
      </c>
      <c r="B444">
        <v>38</v>
      </c>
      <c r="C444">
        <v>214401.663656213</v>
      </c>
      <c r="D444">
        <v>216460.98710409101</v>
      </c>
      <c r="E444" t="s">
        <v>2872</v>
      </c>
      <c r="F444" t="s">
        <v>809</v>
      </c>
    </row>
    <row r="445" spans="1:6" x14ac:dyDescent="0.45">
      <c r="A445" t="str">
        <f t="shared" si="6"/>
        <v>ET04,39</v>
      </c>
      <c r="B445">
        <v>39</v>
      </c>
      <c r="C445">
        <v>203148.370618277</v>
      </c>
      <c r="D445">
        <v>205251.20535435501</v>
      </c>
      <c r="E445" t="s">
        <v>2872</v>
      </c>
      <c r="F445" t="s">
        <v>809</v>
      </c>
    </row>
    <row r="446" spans="1:6" x14ac:dyDescent="0.45">
      <c r="A446" t="str">
        <f t="shared" si="6"/>
        <v>ET04,40</v>
      </c>
      <c r="B446">
        <v>40</v>
      </c>
      <c r="C446">
        <v>191895.07758034</v>
      </c>
      <c r="D446">
        <v>193011.76188067999</v>
      </c>
      <c r="E446" t="s">
        <v>2872</v>
      </c>
      <c r="F446" t="s">
        <v>809</v>
      </c>
    </row>
    <row r="447" spans="1:6" x14ac:dyDescent="0.45">
      <c r="A447" t="str">
        <f t="shared" si="6"/>
        <v>ET04,41</v>
      </c>
      <c r="B447">
        <v>41</v>
      </c>
      <c r="C447">
        <v>180641.78454240301</v>
      </c>
      <c r="D447">
        <v>180728.80711880501</v>
      </c>
      <c r="E447" t="s">
        <v>2872</v>
      </c>
      <c r="F447" t="s">
        <v>809</v>
      </c>
    </row>
    <row r="448" spans="1:6" x14ac:dyDescent="0.45">
      <c r="A448" t="str">
        <f t="shared" si="6"/>
        <v>ET04,42</v>
      </c>
      <c r="B448">
        <v>42</v>
      </c>
      <c r="C448">
        <v>169388.49150446599</v>
      </c>
      <c r="D448">
        <v>169388.49150446599</v>
      </c>
      <c r="E448" t="s">
        <v>2872</v>
      </c>
      <c r="F448" t="s">
        <v>809</v>
      </c>
    </row>
    <row r="449" spans="1:6" x14ac:dyDescent="0.45">
      <c r="A449" t="str">
        <f t="shared" si="6"/>
        <v>ET04,43</v>
      </c>
      <c r="B449">
        <v>43</v>
      </c>
      <c r="C449">
        <v>162237.049361949</v>
      </c>
      <c r="D449">
        <v>159755.28159256501</v>
      </c>
      <c r="E449" t="s">
        <v>2872</v>
      </c>
      <c r="F449" t="s">
        <v>809</v>
      </c>
    </row>
    <row r="450" spans="1:6" x14ac:dyDescent="0.45">
      <c r="A450" t="str">
        <f t="shared" si="6"/>
        <v>ET04,44</v>
      </c>
      <c r="B450">
        <v>44</v>
      </c>
      <c r="C450">
        <v>155085.60721943199</v>
      </c>
      <c r="D450">
        <v>151706.90841464701</v>
      </c>
      <c r="E450" t="s">
        <v>2872</v>
      </c>
      <c r="F450" t="s">
        <v>809</v>
      </c>
    </row>
    <row r="451" spans="1:6" x14ac:dyDescent="0.45">
      <c r="A451" t="str">
        <f t="shared" ref="A451:A514" si="7">_xlfn.CONCAT(E451,",",B451)</f>
        <v>ET04,45</v>
      </c>
      <c r="B451">
        <v>45</v>
      </c>
      <c r="C451">
        <v>147934.165076915</v>
      </c>
      <c r="D451">
        <v>144899.419121421</v>
      </c>
      <c r="E451" t="s">
        <v>2872</v>
      </c>
      <c r="F451" t="s">
        <v>809</v>
      </c>
    </row>
    <row r="452" spans="1:6" x14ac:dyDescent="0.45">
      <c r="A452" t="str">
        <f t="shared" si="7"/>
        <v>ET04,46</v>
      </c>
      <c r="B452">
        <v>46</v>
      </c>
      <c r="C452">
        <v>140782.72293439801</v>
      </c>
      <c r="D452">
        <v>138988.860863596</v>
      </c>
      <c r="E452" t="s">
        <v>2872</v>
      </c>
      <c r="F452" t="s">
        <v>809</v>
      </c>
    </row>
    <row r="453" spans="1:6" x14ac:dyDescent="0.45">
      <c r="A453" t="str">
        <f t="shared" si="7"/>
        <v>ET04,47</v>
      </c>
      <c r="B453">
        <v>47</v>
      </c>
      <c r="C453">
        <v>133631.280791881</v>
      </c>
      <c r="D453">
        <v>133631.280791881</v>
      </c>
      <c r="E453" t="s">
        <v>2872</v>
      </c>
      <c r="F453" t="s">
        <v>809</v>
      </c>
    </row>
    <row r="454" spans="1:6" x14ac:dyDescent="0.45">
      <c r="A454" t="str">
        <f t="shared" si="7"/>
        <v>ET04,48</v>
      </c>
      <c r="B454">
        <v>48</v>
      </c>
      <c r="C454">
        <v>128685.24389527499</v>
      </c>
      <c r="D454">
        <v>128529.137199456</v>
      </c>
      <c r="E454" t="s">
        <v>2872</v>
      </c>
      <c r="F454" t="s">
        <v>809</v>
      </c>
    </row>
    <row r="455" spans="1:6" x14ac:dyDescent="0.45">
      <c r="A455" t="str">
        <f t="shared" si="7"/>
        <v>ET04,49</v>
      </c>
      <c r="B455">
        <v>49</v>
      </c>
      <c r="C455">
        <v>123739.206998668</v>
      </c>
      <c r="D455">
        <v>123570.532949395</v>
      </c>
      <c r="E455" t="s">
        <v>2872</v>
      </c>
      <c r="F455" t="s">
        <v>809</v>
      </c>
    </row>
    <row r="456" spans="1:6" x14ac:dyDescent="0.45">
      <c r="A456" t="str">
        <f t="shared" si="7"/>
        <v>ET04,50</v>
      </c>
      <c r="B456">
        <v>50</v>
      </c>
      <c r="C456">
        <v>118793.17010206199</v>
      </c>
      <c r="D456">
        <v>118689.982047243</v>
      </c>
      <c r="E456" t="s">
        <v>2872</v>
      </c>
      <c r="F456" t="s">
        <v>809</v>
      </c>
    </row>
    <row r="457" spans="1:6" x14ac:dyDescent="0.45">
      <c r="A457" t="str">
        <f t="shared" si="7"/>
        <v>ET04,51</v>
      </c>
      <c r="B457">
        <v>51</v>
      </c>
      <c r="C457">
        <v>113847.133205456</v>
      </c>
      <c r="D457">
        <v>113821.998498546</v>
      </c>
      <c r="E457" t="s">
        <v>2872</v>
      </c>
      <c r="F457" t="s">
        <v>809</v>
      </c>
    </row>
    <row r="458" spans="1:6" x14ac:dyDescent="0.45">
      <c r="A458" t="str">
        <f t="shared" si="7"/>
        <v>ET04,52</v>
      </c>
      <c r="B458">
        <v>52</v>
      </c>
      <c r="C458">
        <v>108901.09630885</v>
      </c>
      <c r="D458">
        <v>108901.09630885</v>
      </c>
      <c r="E458" t="s">
        <v>2872</v>
      </c>
      <c r="F458" t="s">
        <v>809</v>
      </c>
    </row>
    <row r="459" spans="1:6" x14ac:dyDescent="0.45">
      <c r="A459" t="str">
        <f t="shared" si="7"/>
        <v>ET04,53</v>
      </c>
      <c r="B459">
        <v>53</v>
      </c>
      <c r="C459">
        <v>104287.19317004499</v>
      </c>
      <c r="D459">
        <v>103898.75576110301</v>
      </c>
      <c r="E459" t="s">
        <v>2872</v>
      </c>
      <c r="F459" t="s">
        <v>809</v>
      </c>
    </row>
    <row r="460" spans="1:6" x14ac:dyDescent="0.45">
      <c r="A460" t="str">
        <f t="shared" si="7"/>
        <v>ET04,54</v>
      </c>
      <c r="B460">
        <v>54</v>
      </c>
      <c r="C460">
        <v>99673.290031239507</v>
      </c>
      <c r="D460">
        <v>98934.322247865304</v>
      </c>
      <c r="E460" t="s">
        <v>2872</v>
      </c>
      <c r="F460" t="s">
        <v>809</v>
      </c>
    </row>
    <row r="461" spans="1:6" x14ac:dyDescent="0.45">
      <c r="A461" t="str">
        <f t="shared" si="7"/>
        <v>ET04,55</v>
      </c>
      <c r="B461">
        <v>55</v>
      </c>
      <c r="C461">
        <v>95059.386892434297</v>
      </c>
      <c r="D461">
        <v>94164.107439097905</v>
      </c>
      <c r="E461" t="s">
        <v>2872</v>
      </c>
      <c r="F461" t="s">
        <v>809</v>
      </c>
    </row>
    <row r="462" spans="1:6" x14ac:dyDescent="0.45">
      <c r="A462" t="str">
        <f t="shared" si="7"/>
        <v>ET04,56</v>
      </c>
      <c r="B462">
        <v>56</v>
      </c>
      <c r="C462">
        <v>90445.483753629</v>
      </c>
      <c r="D462">
        <v>89744.423004763405</v>
      </c>
      <c r="E462" t="s">
        <v>2872</v>
      </c>
      <c r="F462" t="s">
        <v>809</v>
      </c>
    </row>
    <row r="463" spans="1:6" x14ac:dyDescent="0.45">
      <c r="A463" t="str">
        <f t="shared" si="7"/>
        <v>ET04,57</v>
      </c>
      <c r="B463">
        <v>57</v>
      </c>
      <c r="C463">
        <v>85831.580614823804</v>
      </c>
      <c r="D463">
        <v>85831.580614823804</v>
      </c>
      <c r="E463" t="s">
        <v>2872</v>
      </c>
      <c r="F463" t="s">
        <v>809</v>
      </c>
    </row>
    <row r="464" spans="1:6" x14ac:dyDescent="0.45">
      <c r="A464" t="str">
        <f t="shared" si="7"/>
        <v>ET04,58</v>
      </c>
      <c r="B464">
        <v>58</v>
      </c>
      <c r="C464">
        <v>83070.9825346422</v>
      </c>
      <c r="D464">
        <v>82523.393398714703</v>
      </c>
      <c r="E464" t="s">
        <v>2872</v>
      </c>
      <c r="F464" t="s">
        <v>809</v>
      </c>
    </row>
    <row r="465" spans="1:6" x14ac:dyDescent="0.45">
      <c r="A465" t="str">
        <f t="shared" si="7"/>
        <v>ET04,59</v>
      </c>
      <c r="B465">
        <v>59</v>
      </c>
      <c r="C465">
        <v>80310.384454460596</v>
      </c>
      <c r="D465">
        <v>79683.680323765904</v>
      </c>
      <c r="E465" t="s">
        <v>2872</v>
      </c>
      <c r="F465" t="s">
        <v>809</v>
      </c>
    </row>
    <row r="466" spans="1:6" x14ac:dyDescent="0.45">
      <c r="A466" t="str">
        <f t="shared" si="7"/>
        <v>ET04,60</v>
      </c>
      <c r="B466">
        <v>60</v>
      </c>
      <c r="C466">
        <v>77549.786374279007</v>
      </c>
      <c r="D466">
        <v>77117.761816780898</v>
      </c>
      <c r="E466" t="s">
        <v>2872</v>
      </c>
      <c r="F466" t="s">
        <v>809</v>
      </c>
    </row>
    <row r="467" spans="1:6" x14ac:dyDescent="0.45">
      <c r="A467" t="str">
        <f t="shared" si="7"/>
        <v>ET04,61</v>
      </c>
      <c r="B467">
        <v>61</v>
      </c>
      <c r="C467">
        <v>74789.188294097403</v>
      </c>
      <c r="D467">
        <v>74630.958304563101</v>
      </c>
      <c r="E467" t="s">
        <v>2872</v>
      </c>
      <c r="F467" t="s">
        <v>809</v>
      </c>
    </row>
    <row r="468" spans="1:6" x14ac:dyDescent="0.45">
      <c r="A468" t="str">
        <f t="shared" si="7"/>
        <v>ET04,62</v>
      </c>
      <c r="B468">
        <v>62</v>
      </c>
      <c r="C468">
        <v>72028.590213915799</v>
      </c>
      <c r="D468">
        <v>72028.590213915799</v>
      </c>
      <c r="E468" t="s">
        <v>2872</v>
      </c>
      <c r="F468" t="s">
        <v>809</v>
      </c>
    </row>
    <row r="469" spans="1:6" x14ac:dyDescent="0.45">
      <c r="A469" t="str">
        <f t="shared" si="7"/>
        <v>ET04,63</v>
      </c>
      <c r="B469">
        <v>63</v>
      </c>
      <c r="C469">
        <v>68579.946993323596</v>
      </c>
      <c r="D469">
        <v>69150.504996351301</v>
      </c>
      <c r="E469" t="s">
        <v>2872</v>
      </c>
      <c r="F469" t="s">
        <v>809</v>
      </c>
    </row>
    <row r="470" spans="1:6" x14ac:dyDescent="0.45">
      <c r="A470" t="str">
        <f t="shared" si="7"/>
        <v>ET04,64</v>
      </c>
      <c r="B470">
        <v>64</v>
      </c>
      <c r="C470">
        <v>65131.3037727314</v>
      </c>
      <c r="D470">
        <v>65974.6582022168</v>
      </c>
      <c r="E470" t="s">
        <v>2872</v>
      </c>
      <c r="F470" t="s">
        <v>809</v>
      </c>
    </row>
    <row r="471" spans="1:6" x14ac:dyDescent="0.45">
      <c r="A471" t="str">
        <f t="shared" si="7"/>
        <v>ET04,65</v>
      </c>
      <c r="B471">
        <v>65</v>
      </c>
      <c r="C471">
        <v>61682.660552139198</v>
      </c>
      <c r="D471">
        <v>62513.532406568498</v>
      </c>
      <c r="E471" t="s">
        <v>2872</v>
      </c>
      <c r="F471" t="s">
        <v>809</v>
      </c>
    </row>
    <row r="472" spans="1:6" x14ac:dyDescent="0.45">
      <c r="A472" t="str">
        <f t="shared" si="7"/>
        <v>ET04,66</v>
      </c>
      <c r="B472">
        <v>66</v>
      </c>
      <c r="C472">
        <v>58234.017331547002</v>
      </c>
      <c r="D472">
        <v>58779.610184462399</v>
      </c>
      <c r="E472" t="s">
        <v>2872</v>
      </c>
      <c r="F472" t="s">
        <v>809</v>
      </c>
    </row>
    <row r="473" spans="1:6" x14ac:dyDescent="0.45">
      <c r="A473" t="str">
        <f t="shared" si="7"/>
        <v>ET04,67</v>
      </c>
      <c r="B473">
        <v>67</v>
      </c>
      <c r="C473">
        <v>54785.374110954799</v>
      </c>
      <c r="D473">
        <v>54785.374110954799</v>
      </c>
      <c r="E473" t="s">
        <v>2872</v>
      </c>
      <c r="F473" t="s">
        <v>809</v>
      </c>
    </row>
    <row r="474" spans="1:6" x14ac:dyDescent="0.45">
      <c r="A474" t="str">
        <f t="shared" si="7"/>
        <v>ET04,68</v>
      </c>
      <c r="B474">
        <v>68</v>
      </c>
      <c r="C474">
        <v>50568.127783510601</v>
      </c>
      <c r="D474">
        <v>50562.128892096698</v>
      </c>
      <c r="E474" t="s">
        <v>2872</v>
      </c>
      <c r="F474" t="s">
        <v>809</v>
      </c>
    </row>
    <row r="475" spans="1:6" x14ac:dyDescent="0.45">
      <c r="A475" t="str">
        <f t="shared" si="7"/>
        <v>ET04,69</v>
      </c>
      <c r="B475">
        <v>69</v>
      </c>
      <c r="C475">
        <v>46350.881456066403</v>
      </c>
      <c r="D475">
        <v>46216.467757919301</v>
      </c>
      <c r="E475" t="s">
        <v>2872</v>
      </c>
      <c r="F475" t="s">
        <v>809</v>
      </c>
    </row>
    <row r="476" spans="1:6" x14ac:dyDescent="0.45">
      <c r="A476" t="str">
        <f t="shared" si="7"/>
        <v>ET04,70</v>
      </c>
      <c r="B476">
        <v>70</v>
      </c>
      <c r="C476">
        <v>42133.635128622198</v>
      </c>
      <c r="D476">
        <v>41873.806069448801</v>
      </c>
      <c r="E476" t="s">
        <v>2872</v>
      </c>
      <c r="F476" t="s">
        <v>809</v>
      </c>
    </row>
    <row r="477" spans="1:6" x14ac:dyDescent="0.45">
      <c r="A477" t="str">
        <f t="shared" si="7"/>
        <v>ET04,71</v>
      </c>
      <c r="B477">
        <v>71</v>
      </c>
      <c r="C477">
        <v>37916.388801178</v>
      </c>
      <c r="D477">
        <v>37659.559187711602</v>
      </c>
      <c r="E477" t="s">
        <v>2872</v>
      </c>
      <c r="F477" t="s">
        <v>809</v>
      </c>
    </row>
    <row r="478" spans="1:6" x14ac:dyDescent="0.45">
      <c r="A478" t="str">
        <f t="shared" si="7"/>
        <v>ET04,72</v>
      </c>
      <c r="B478">
        <v>72</v>
      </c>
      <c r="C478">
        <v>33699.142473733802</v>
      </c>
      <c r="D478">
        <v>33699.142473733802</v>
      </c>
      <c r="E478" t="s">
        <v>2872</v>
      </c>
      <c r="F478" t="s">
        <v>809</v>
      </c>
    </row>
    <row r="479" spans="1:6" x14ac:dyDescent="0.45">
      <c r="A479" t="str">
        <f t="shared" si="7"/>
        <v>ET04,73</v>
      </c>
      <c r="B479">
        <v>73</v>
      </c>
      <c r="C479">
        <v>30680.529613265</v>
      </c>
      <c r="D479">
        <v>30090.067521463501</v>
      </c>
      <c r="E479" t="s">
        <v>2872</v>
      </c>
      <c r="F479" t="s">
        <v>809</v>
      </c>
    </row>
    <row r="480" spans="1:6" x14ac:dyDescent="0.45">
      <c r="A480" t="str">
        <f t="shared" si="7"/>
        <v>ET04,74</v>
      </c>
      <c r="B480">
        <v>74</v>
      </c>
      <c r="C480">
        <v>27661.9167527963</v>
      </c>
      <c r="D480">
        <v>26818.230856536498</v>
      </c>
      <c r="E480" t="s">
        <v>2872</v>
      </c>
      <c r="F480" t="s">
        <v>809</v>
      </c>
    </row>
    <row r="481" spans="1:6" x14ac:dyDescent="0.45">
      <c r="A481" t="str">
        <f t="shared" si="7"/>
        <v>ET04,75</v>
      </c>
      <c r="B481">
        <v>75</v>
      </c>
      <c r="C481">
        <v>24643.303892327502</v>
      </c>
      <c r="D481">
        <v>23841.625237510201</v>
      </c>
      <c r="E481" t="s">
        <v>2872</v>
      </c>
      <c r="F481" t="s">
        <v>809</v>
      </c>
    </row>
    <row r="482" spans="1:6" x14ac:dyDescent="0.45">
      <c r="A482" t="str">
        <f t="shared" si="7"/>
        <v>ET04,76</v>
      </c>
      <c r="B482">
        <v>76</v>
      </c>
      <c r="C482">
        <v>21624.6910318587</v>
      </c>
      <c r="D482">
        <v>21118.2434229422</v>
      </c>
      <c r="E482" t="s">
        <v>2872</v>
      </c>
      <c r="F482" t="s">
        <v>809</v>
      </c>
    </row>
    <row r="483" spans="1:6" x14ac:dyDescent="0.45">
      <c r="A483" t="str">
        <f t="shared" si="7"/>
        <v>ET04,77</v>
      </c>
      <c r="B483">
        <v>77</v>
      </c>
      <c r="C483">
        <v>18606.07817139</v>
      </c>
      <c r="D483">
        <v>18606.07817139</v>
      </c>
      <c r="E483" t="s">
        <v>2872</v>
      </c>
      <c r="F483" t="s">
        <v>809</v>
      </c>
    </row>
    <row r="484" spans="1:6" x14ac:dyDescent="0.45">
      <c r="A484" t="str">
        <f t="shared" si="7"/>
        <v>ET04,78</v>
      </c>
      <c r="B484">
        <v>78</v>
      </c>
      <c r="C484">
        <v>16640.707337111999</v>
      </c>
      <c r="D484">
        <v>16271.410058144</v>
      </c>
      <c r="E484" t="s">
        <v>2872</v>
      </c>
      <c r="F484" t="s">
        <v>809</v>
      </c>
    </row>
    <row r="485" spans="1:6" x14ac:dyDescent="0.45">
      <c r="A485" t="str">
        <f t="shared" si="7"/>
        <v>ET04,79</v>
      </c>
      <c r="B485">
        <v>79</v>
      </c>
      <c r="C485">
        <v>14675.336502833999</v>
      </c>
      <c r="D485">
        <v>14113.670925426801</v>
      </c>
      <c r="E485" t="s">
        <v>2872</v>
      </c>
      <c r="F485" t="s">
        <v>809</v>
      </c>
    </row>
    <row r="486" spans="1:6" x14ac:dyDescent="0.45">
      <c r="A486" t="str">
        <f t="shared" si="7"/>
        <v>ET04,80</v>
      </c>
      <c r="B486">
        <v>80</v>
      </c>
      <c r="C486">
        <v>12709.965668556</v>
      </c>
      <c r="D486">
        <v>12140.580432193499</v>
      </c>
      <c r="E486" t="s">
        <v>2872</v>
      </c>
      <c r="F486" t="s">
        <v>809</v>
      </c>
    </row>
    <row r="487" spans="1:6" x14ac:dyDescent="0.45">
      <c r="A487" t="str">
        <f t="shared" si="7"/>
        <v>ET04,81</v>
      </c>
      <c r="B487">
        <v>81</v>
      </c>
      <c r="C487">
        <v>10744.594834277999</v>
      </c>
      <c r="D487">
        <v>10359.8582373995</v>
      </c>
      <c r="E487" t="s">
        <v>2872</v>
      </c>
      <c r="F487" t="s">
        <v>809</v>
      </c>
    </row>
    <row r="488" spans="1:6" x14ac:dyDescent="0.45">
      <c r="A488" t="str">
        <f t="shared" si="7"/>
        <v>ET04,82</v>
      </c>
      <c r="B488">
        <v>82</v>
      </c>
      <c r="C488">
        <v>8779.2240000000002</v>
      </c>
      <c r="D488">
        <v>8779.2240000000002</v>
      </c>
      <c r="E488" t="s">
        <v>2872</v>
      </c>
      <c r="F488" t="s">
        <v>809</v>
      </c>
    </row>
    <row r="489" spans="1:6" x14ac:dyDescent="0.45">
      <c r="A489" t="str">
        <f t="shared" si="7"/>
        <v>ET04,83</v>
      </c>
      <c r="B489">
        <v>83</v>
      </c>
      <c r="C489">
        <v>7709.2575999999999</v>
      </c>
      <c r="D489">
        <v>7400.6520330515696</v>
      </c>
      <c r="E489" t="s">
        <v>2872</v>
      </c>
      <c r="F489" t="s">
        <v>809</v>
      </c>
    </row>
    <row r="490" spans="1:6" x14ac:dyDescent="0.45">
      <c r="A490" t="str">
        <f t="shared" si="7"/>
        <v>ET04,84</v>
      </c>
      <c r="B490">
        <v>84</v>
      </c>
      <c r="C490">
        <v>6639.2911999999997</v>
      </c>
      <c r="D490">
        <v>6203.1352660151897</v>
      </c>
      <c r="E490" t="s">
        <v>2872</v>
      </c>
      <c r="F490" t="s">
        <v>809</v>
      </c>
    </row>
    <row r="491" spans="1:6" x14ac:dyDescent="0.45">
      <c r="A491" t="str">
        <f t="shared" si="7"/>
        <v>ET04,85</v>
      </c>
      <c r="B491">
        <v>85</v>
      </c>
      <c r="C491">
        <v>5569.3248000000003</v>
      </c>
      <c r="D491">
        <v>5159.9212824530196</v>
      </c>
      <c r="E491" t="s">
        <v>2872</v>
      </c>
      <c r="F491" t="s">
        <v>809</v>
      </c>
    </row>
    <row r="492" spans="1:6" x14ac:dyDescent="0.45">
      <c r="A492" t="str">
        <f t="shared" si="7"/>
        <v>ET04,86</v>
      </c>
      <c r="B492">
        <v>86</v>
      </c>
      <c r="C492">
        <v>4499.3584000000001</v>
      </c>
      <c r="D492">
        <v>4244.2576659272399</v>
      </c>
      <c r="E492" t="s">
        <v>2872</v>
      </c>
      <c r="F492" t="s">
        <v>809</v>
      </c>
    </row>
    <row r="493" spans="1:6" x14ac:dyDescent="0.45">
      <c r="A493" t="str">
        <f t="shared" si="7"/>
        <v>ET04,87</v>
      </c>
      <c r="B493">
        <v>87</v>
      </c>
      <c r="C493">
        <v>3429.3919999999998</v>
      </c>
      <c r="D493">
        <v>3429.3919999999998</v>
      </c>
      <c r="E493" t="s">
        <v>2872</v>
      </c>
      <c r="F493" t="s">
        <v>809</v>
      </c>
    </row>
    <row r="494" spans="1:6" x14ac:dyDescent="0.45">
      <c r="A494" t="str">
        <f t="shared" si="7"/>
        <v>ET04,88</v>
      </c>
      <c r="B494">
        <v>88</v>
      </c>
      <c r="C494">
        <v>2871.3703999999998</v>
      </c>
      <c r="D494">
        <v>2694.2405534013301</v>
      </c>
      <c r="E494" t="s">
        <v>2872</v>
      </c>
      <c r="F494" t="s">
        <v>809</v>
      </c>
    </row>
    <row r="495" spans="1:6" x14ac:dyDescent="0.45">
      <c r="A495" t="str">
        <f t="shared" si="7"/>
        <v>ET04,89</v>
      </c>
      <c r="B495">
        <v>89</v>
      </c>
      <c r="C495">
        <v>2313.3488000000002</v>
      </c>
      <c r="D495">
        <v>2040.3943355326901</v>
      </c>
      <c r="E495" t="s">
        <v>2872</v>
      </c>
      <c r="F495" t="s">
        <v>809</v>
      </c>
    </row>
    <row r="496" spans="1:6" x14ac:dyDescent="0.45">
      <c r="A496" t="str">
        <f t="shared" si="7"/>
        <v>ET04,90</v>
      </c>
      <c r="B496">
        <v>90</v>
      </c>
      <c r="C496">
        <v>1755.3271999999999</v>
      </c>
      <c r="D496">
        <v>1475.1130409633799</v>
      </c>
      <c r="E496" t="s">
        <v>2872</v>
      </c>
      <c r="F496" t="s">
        <v>809</v>
      </c>
    </row>
    <row r="497" spans="1:6" x14ac:dyDescent="0.45">
      <c r="A497" t="str">
        <f t="shared" si="7"/>
        <v>ET04,91</v>
      </c>
      <c r="B497">
        <v>91</v>
      </c>
      <c r="C497">
        <v>1197.3055999999999</v>
      </c>
      <c r="D497">
        <v>1005.65636426271</v>
      </c>
      <c r="E497" t="s">
        <v>2872</v>
      </c>
      <c r="F497" t="s">
        <v>809</v>
      </c>
    </row>
    <row r="498" spans="1:6" x14ac:dyDescent="0.45">
      <c r="A498" t="str">
        <f t="shared" si="7"/>
        <v>ET04,92</v>
      </c>
      <c r="B498">
        <v>92</v>
      </c>
      <c r="C498">
        <v>639.28399999999999</v>
      </c>
      <c r="D498">
        <v>639.28399999999999</v>
      </c>
      <c r="E498" t="s">
        <v>2872</v>
      </c>
      <c r="F498" t="s">
        <v>809</v>
      </c>
    </row>
    <row r="499" spans="1:6" x14ac:dyDescent="0.45">
      <c r="A499" t="str">
        <f t="shared" si="7"/>
        <v>ET04,93</v>
      </c>
      <c r="B499">
        <v>93</v>
      </c>
      <c r="C499">
        <v>520.03520000000003</v>
      </c>
      <c r="D499">
        <v>378.73775334309897</v>
      </c>
      <c r="E499" t="s">
        <v>2872</v>
      </c>
      <c r="F499" t="s">
        <v>809</v>
      </c>
    </row>
    <row r="500" spans="1:6" x14ac:dyDescent="0.45">
      <c r="A500" t="str">
        <f t="shared" si="7"/>
        <v>ET04,94</v>
      </c>
      <c r="B500">
        <v>94</v>
      </c>
      <c r="C500">
        <v>400.78640000000001</v>
      </c>
      <c r="D500">
        <v>208.687871854055</v>
      </c>
      <c r="E500" t="s">
        <v>2872</v>
      </c>
      <c r="F500" t="s">
        <v>809</v>
      </c>
    </row>
    <row r="501" spans="1:6" x14ac:dyDescent="0.45">
      <c r="A501" t="str">
        <f t="shared" si="7"/>
        <v>ET04,95</v>
      </c>
      <c r="B501">
        <v>95</v>
      </c>
      <c r="C501">
        <v>281.5376</v>
      </c>
      <c r="D501">
        <v>109.286713693462</v>
      </c>
      <c r="E501" t="s">
        <v>2872</v>
      </c>
      <c r="F501" t="s">
        <v>809</v>
      </c>
    </row>
    <row r="502" spans="1:6" x14ac:dyDescent="0.45">
      <c r="A502" t="str">
        <f t="shared" si="7"/>
        <v>ET04,96</v>
      </c>
      <c r="B502">
        <v>96</v>
      </c>
      <c r="C502">
        <v>162.28880000000001</v>
      </c>
      <c r="D502">
        <v>60.686637021912603</v>
      </c>
      <c r="E502" t="s">
        <v>2872</v>
      </c>
      <c r="F502" t="s">
        <v>809</v>
      </c>
    </row>
    <row r="503" spans="1:6" x14ac:dyDescent="0.45">
      <c r="A503" t="str">
        <f t="shared" si="7"/>
        <v>ET04,97</v>
      </c>
      <c r="B503">
        <v>97</v>
      </c>
      <c r="C503">
        <v>43.04</v>
      </c>
      <c r="D503">
        <v>43.0399999999998</v>
      </c>
      <c r="E503" t="s">
        <v>2872</v>
      </c>
      <c r="F503" t="s">
        <v>809</v>
      </c>
    </row>
    <row r="504" spans="1:6" x14ac:dyDescent="0.45">
      <c r="A504" t="str">
        <f t="shared" si="7"/>
        <v>ET04,98</v>
      </c>
      <c r="B504">
        <v>98</v>
      </c>
      <c r="C504">
        <v>45.36</v>
      </c>
      <c r="D504">
        <v>39.190112327649999</v>
      </c>
      <c r="E504" t="s">
        <v>2872</v>
      </c>
      <c r="F504" t="s">
        <v>809</v>
      </c>
    </row>
    <row r="505" spans="1:6" x14ac:dyDescent="0.45">
      <c r="A505" t="str">
        <f t="shared" si="7"/>
        <v>ET04,99</v>
      </c>
      <c r="B505">
        <v>99</v>
      </c>
      <c r="C505">
        <v>47.68</v>
      </c>
      <c r="D505">
        <v>42.744089862119999</v>
      </c>
      <c r="E505" t="s">
        <v>2872</v>
      </c>
      <c r="F505" t="s">
        <v>809</v>
      </c>
    </row>
    <row r="506" spans="1:6" x14ac:dyDescent="0.45">
      <c r="A506" t="str">
        <f t="shared" si="7"/>
        <v>ET04,100</v>
      </c>
      <c r="B506">
        <v>100</v>
      </c>
      <c r="C506">
        <v>50</v>
      </c>
      <c r="D506">
        <v>50</v>
      </c>
      <c r="E506" t="s">
        <v>2872</v>
      </c>
      <c r="F506" t="s">
        <v>809</v>
      </c>
    </row>
    <row r="507" spans="1:6" x14ac:dyDescent="0.45">
      <c r="A507" t="str">
        <f t="shared" si="7"/>
        <v>ET05,&lt;1</v>
      </c>
      <c r="B507" t="s">
        <v>119</v>
      </c>
      <c r="C507">
        <v>89331.089840643093</v>
      </c>
      <c r="D507">
        <v>89331.089840643093</v>
      </c>
      <c r="E507" t="s">
        <v>2873</v>
      </c>
      <c r="F507" t="s">
        <v>2874</v>
      </c>
    </row>
    <row r="508" spans="1:6" x14ac:dyDescent="0.45">
      <c r="A508" t="str">
        <f t="shared" si="7"/>
        <v>ET05,1</v>
      </c>
      <c r="B508">
        <v>1</v>
      </c>
      <c r="C508">
        <v>85940.412253726201</v>
      </c>
      <c r="D508">
        <v>85016.625805964097</v>
      </c>
      <c r="E508" t="s">
        <v>2873</v>
      </c>
      <c r="F508" t="s">
        <v>2874</v>
      </c>
    </row>
    <row r="509" spans="1:6" x14ac:dyDescent="0.45">
      <c r="A509" t="str">
        <f t="shared" si="7"/>
        <v>ET05,2</v>
      </c>
      <c r="B509">
        <v>2</v>
      </c>
      <c r="C509">
        <v>82549.734666809294</v>
      </c>
      <c r="D509">
        <v>82549.734666809294</v>
      </c>
      <c r="E509" t="s">
        <v>2873</v>
      </c>
      <c r="F509" t="s">
        <v>2874</v>
      </c>
    </row>
    <row r="510" spans="1:6" x14ac:dyDescent="0.45">
      <c r="A510" t="str">
        <f t="shared" si="7"/>
        <v>ET05,3</v>
      </c>
      <c r="B510">
        <v>3</v>
      </c>
      <c r="C510">
        <v>87499.347080820895</v>
      </c>
      <c r="D510">
        <v>83335.620302619602</v>
      </c>
      <c r="E510" t="s">
        <v>2873</v>
      </c>
      <c r="F510" t="s">
        <v>2874</v>
      </c>
    </row>
    <row r="511" spans="1:6" x14ac:dyDescent="0.45">
      <c r="A511" t="str">
        <f t="shared" si="7"/>
        <v>ET05,4</v>
      </c>
      <c r="B511">
        <v>4</v>
      </c>
      <c r="C511">
        <v>92448.959494832598</v>
      </c>
      <c r="D511">
        <v>87010.010528504499</v>
      </c>
      <c r="E511" t="s">
        <v>2873</v>
      </c>
      <c r="F511" t="s">
        <v>2874</v>
      </c>
    </row>
    <row r="512" spans="1:6" x14ac:dyDescent="0.45">
      <c r="A512" t="str">
        <f t="shared" si="7"/>
        <v>ET05,5</v>
      </c>
      <c r="B512">
        <v>5</v>
      </c>
      <c r="C512">
        <v>97398.5719088443</v>
      </c>
      <c r="D512">
        <v>92766.264143489898</v>
      </c>
      <c r="E512" t="s">
        <v>2873</v>
      </c>
      <c r="F512" t="s">
        <v>2874</v>
      </c>
    </row>
    <row r="513" spans="1:6" x14ac:dyDescent="0.45">
      <c r="A513" t="str">
        <f t="shared" si="7"/>
        <v>ET05,6</v>
      </c>
      <c r="B513">
        <v>6</v>
      </c>
      <c r="C513">
        <v>102348.184322856</v>
      </c>
      <c r="D513">
        <v>99797.739946602203</v>
      </c>
      <c r="E513" t="s">
        <v>2873</v>
      </c>
      <c r="F513" t="s">
        <v>2874</v>
      </c>
    </row>
    <row r="514" spans="1:6" x14ac:dyDescent="0.45">
      <c r="A514" t="str">
        <f t="shared" si="7"/>
        <v>ET05,7</v>
      </c>
      <c r="B514">
        <v>7</v>
      </c>
      <c r="C514">
        <v>107297.796736868</v>
      </c>
      <c r="D514">
        <v>107297.796736868</v>
      </c>
      <c r="E514" t="s">
        <v>2873</v>
      </c>
      <c r="F514" t="s">
        <v>2874</v>
      </c>
    </row>
    <row r="515" spans="1:6" x14ac:dyDescent="0.45">
      <c r="A515" t="str">
        <f t="shared" ref="A515:A578" si="8">_xlfn.CONCAT(E515,",",B515)</f>
        <v>ET05,8</v>
      </c>
      <c r="B515">
        <v>8</v>
      </c>
      <c r="C515">
        <v>112044.87713944699</v>
      </c>
      <c r="D515">
        <v>114519.304075619</v>
      </c>
      <c r="E515" t="s">
        <v>2873</v>
      </c>
      <c r="F515" t="s">
        <v>2874</v>
      </c>
    </row>
    <row r="516" spans="1:6" x14ac:dyDescent="0.45">
      <c r="A516" t="str">
        <f t="shared" si="8"/>
        <v>ET05,9</v>
      </c>
      <c r="B516">
        <v>9</v>
      </c>
      <c r="C516">
        <v>116791.957542027</v>
      </c>
      <c r="D516">
        <v>120953.174573417</v>
      </c>
      <c r="E516" t="s">
        <v>2873</v>
      </c>
      <c r="F516" t="s">
        <v>2874</v>
      </c>
    </row>
    <row r="517" spans="1:6" x14ac:dyDescent="0.45">
      <c r="A517" t="str">
        <f t="shared" si="8"/>
        <v>ET05,10</v>
      </c>
      <c r="B517">
        <v>10</v>
      </c>
      <c r="C517">
        <v>121539.037944606</v>
      </c>
      <c r="D517">
        <v>126149.831603129</v>
      </c>
      <c r="E517" t="s">
        <v>2873</v>
      </c>
      <c r="F517" t="s">
        <v>2874</v>
      </c>
    </row>
    <row r="518" spans="1:6" x14ac:dyDescent="0.45">
      <c r="A518" t="str">
        <f t="shared" si="8"/>
        <v>ET05,11</v>
      </c>
      <c r="B518">
        <v>11</v>
      </c>
      <c r="C518">
        <v>126286.118347186</v>
      </c>
      <c r="D518">
        <v>129659.698537623</v>
      </c>
      <c r="E518" t="s">
        <v>2873</v>
      </c>
      <c r="F518" t="s">
        <v>2874</v>
      </c>
    </row>
    <row r="519" spans="1:6" x14ac:dyDescent="0.45">
      <c r="A519" t="str">
        <f t="shared" si="8"/>
        <v>ET05,12</v>
      </c>
      <c r="B519">
        <v>12</v>
      </c>
      <c r="C519">
        <v>131033.198749766</v>
      </c>
      <c r="D519">
        <v>131033.198749766</v>
      </c>
      <c r="E519" t="s">
        <v>2873</v>
      </c>
      <c r="F519" t="s">
        <v>2874</v>
      </c>
    </row>
    <row r="520" spans="1:6" x14ac:dyDescent="0.45">
      <c r="A520" t="str">
        <f t="shared" si="8"/>
        <v>ET05,13</v>
      </c>
      <c r="B520">
        <v>13</v>
      </c>
      <c r="C520">
        <v>126994.799030575</v>
      </c>
      <c r="D520">
        <v>129986.52507745</v>
      </c>
      <c r="E520" t="s">
        <v>2873</v>
      </c>
      <c r="F520" t="s">
        <v>2874</v>
      </c>
    </row>
    <row r="521" spans="1:6" x14ac:dyDescent="0.45">
      <c r="A521" t="str">
        <f t="shared" si="8"/>
        <v>ET05,14</v>
      </c>
      <c r="B521">
        <v>14</v>
      </c>
      <c r="C521">
        <v>122956.399311385</v>
      </c>
      <c r="D521">
        <v>126898.94821867401</v>
      </c>
      <c r="E521" t="s">
        <v>2873</v>
      </c>
      <c r="F521" t="s">
        <v>2874</v>
      </c>
    </row>
    <row r="522" spans="1:6" x14ac:dyDescent="0.45">
      <c r="A522" t="str">
        <f t="shared" si="8"/>
        <v>ET05,15</v>
      </c>
      <c r="B522">
        <v>15</v>
      </c>
      <c r="C522">
        <v>118917.999592195</v>
      </c>
      <c r="D522">
        <v>122315.508336461</v>
      </c>
      <c r="E522" t="s">
        <v>2873</v>
      </c>
      <c r="F522" t="s">
        <v>2874</v>
      </c>
    </row>
    <row r="523" spans="1:6" x14ac:dyDescent="0.45">
      <c r="A523" t="str">
        <f t="shared" si="8"/>
        <v>ET05,16</v>
      </c>
      <c r="B523">
        <v>16</v>
      </c>
      <c r="C523">
        <v>114879.599873004</v>
      </c>
      <c r="D523">
        <v>116781.24559383299</v>
      </c>
      <c r="E523" t="s">
        <v>2873</v>
      </c>
      <c r="F523" t="s">
        <v>2874</v>
      </c>
    </row>
    <row r="524" spans="1:6" x14ac:dyDescent="0.45">
      <c r="A524" t="str">
        <f t="shared" si="8"/>
        <v>ET05,17</v>
      </c>
      <c r="B524">
        <v>17</v>
      </c>
      <c r="C524">
        <v>110841.200153814</v>
      </c>
      <c r="D524">
        <v>110841.200153814</v>
      </c>
      <c r="E524" t="s">
        <v>2873</v>
      </c>
      <c r="F524" t="s">
        <v>2874</v>
      </c>
    </row>
    <row r="525" spans="1:6" x14ac:dyDescent="0.45">
      <c r="A525" t="str">
        <f t="shared" si="8"/>
        <v>ET05,18</v>
      </c>
      <c r="B525">
        <v>18</v>
      </c>
      <c r="C525">
        <v>104917.231476386</v>
      </c>
      <c r="D525">
        <v>104937.13792797099</v>
      </c>
      <c r="E525" t="s">
        <v>2873</v>
      </c>
      <c r="F525" t="s">
        <v>2874</v>
      </c>
    </row>
    <row r="526" spans="1:6" x14ac:dyDescent="0.45">
      <c r="A526" t="str">
        <f t="shared" si="8"/>
        <v>ET05,19</v>
      </c>
      <c r="B526">
        <v>19</v>
      </c>
      <c r="C526">
        <v>98993.262798958007</v>
      </c>
      <c r="D526">
        <v>99097.7278220484</v>
      </c>
      <c r="E526" t="s">
        <v>2873</v>
      </c>
      <c r="F526" t="s">
        <v>2874</v>
      </c>
    </row>
    <row r="527" spans="1:6" x14ac:dyDescent="0.45">
      <c r="A527" t="str">
        <f t="shared" si="8"/>
        <v>ET05,20</v>
      </c>
      <c r="B527">
        <v>20</v>
      </c>
      <c r="C527">
        <v>93069.294121529994</v>
      </c>
      <c r="D527">
        <v>93248.364490332693</v>
      </c>
      <c r="E527" t="s">
        <v>2873</v>
      </c>
      <c r="F527" t="s">
        <v>2874</v>
      </c>
    </row>
    <row r="528" spans="1:6" x14ac:dyDescent="0.45">
      <c r="A528" t="str">
        <f t="shared" si="8"/>
        <v>ET05,21</v>
      </c>
      <c r="B528">
        <v>21</v>
      </c>
      <c r="C528">
        <v>87145.325444101894</v>
      </c>
      <c r="D528">
        <v>87314.442587111902</v>
      </c>
      <c r="E528" t="s">
        <v>2873</v>
      </c>
      <c r="F528" t="s">
        <v>2874</v>
      </c>
    </row>
    <row r="529" spans="1:6" x14ac:dyDescent="0.45">
      <c r="A529" t="str">
        <f t="shared" si="8"/>
        <v>ET05,22</v>
      </c>
      <c r="B529">
        <v>22</v>
      </c>
      <c r="C529">
        <v>81221.356766673794</v>
      </c>
      <c r="D529">
        <v>81221.356766673794</v>
      </c>
      <c r="E529" t="s">
        <v>2873</v>
      </c>
      <c r="F529" t="s">
        <v>2874</v>
      </c>
    </row>
    <row r="530" spans="1:6" x14ac:dyDescent="0.45">
      <c r="A530" t="str">
        <f t="shared" si="8"/>
        <v>ET05,23</v>
      </c>
      <c r="B530">
        <v>23</v>
      </c>
      <c r="C530">
        <v>75365.928779214504</v>
      </c>
      <c r="D530">
        <v>74943.997163490596</v>
      </c>
      <c r="E530" t="s">
        <v>2873</v>
      </c>
      <c r="F530" t="s">
        <v>2874</v>
      </c>
    </row>
    <row r="531" spans="1:6" x14ac:dyDescent="0.45">
      <c r="A531" t="str">
        <f t="shared" si="8"/>
        <v>ET05,24</v>
      </c>
      <c r="B531">
        <v>24</v>
      </c>
      <c r="C531">
        <v>69510.500791755199</v>
      </c>
      <c r="D531">
        <v>68655.2358327736</v>
      </c>
      <c r="E531" t="s">
        <v>2873</v>
      </c>
      <c r="F531" t="s">
        <v>2874</v>
      </c>
    </row>
    <row r="532" spans="1:6" x14ac:dyDescent="0.45">
      <c r="A532" t="str">
        <f t="shared" si="8"/>
        <v>ET05,25</v>
      </c>
      <c r="B532">
        <v>25</v>
      </c>
      <c r="C532">
        <v>63655.072804296004</v>
      </c>
      <c r="D532">
        <v>62577.4403099185</v>
      </c>
      <c r="E532" t="s">
        <v>2873</v>
      </c>
      <c r="F532" t="s">
        <v>2874</v>
      </c>
    </row>
    <row r="533" spans="1:6" x14ac:dyDescent="0.45">
      <c r="A533" t="str">
        <f t="shared" si="8"/>
        <v>ET05,26</v>
      </c>
      <c r="B533">
        <v>26</v>
      </c>
      <c r="C533">
        <v>57799.644816836699</v>
      </c>
      <c r="D533">
        <v>56932.978130321098</v>
      </c>
      <c r="E533" t="s">
        <v>2873</v>
      </c>
      <c r="F533" t="s">
        <v>2874</v>
      </c>
    </row>
    <row r="534" spans="1:6" x14ac:dyDescent="0.45">
      <c r="A534" t="str">
        <f t="shared" si="8"/>
        <v>ET05,27</v>
      </c>
      <c r="B534">
        <v>27</v>
      </c>
      <c r="C534">
        <v>51944.216829377401</v>
      </c>
      <c r="D534">
        <v>51944.216829377401</v>
      </c>
      <c r="E534" t="s">
        <v>2873</v>
      </c>
      <c r="F534" t="s">
        <v>2874</v>
      </c>
    </row>
    <row r="535" spans="1:6" x14ac:dyDescent="0.45">
      <c r="A535" t="str">
        <f t="shared" si="8"/>
        <v>ET05,28</v>
      </c>
      <c r="B535">
        <v>28</v>
      </c>
      <c r="C535">
        <v>49044.672534992402</v>
      </c>
      <c r="D535">
        <v>47776.145607396204</v>
      </c>
      <c r="E535" t="s">
        <v>2873</v>
      </c>
      <c r="F535" t="s">
        <v>2874</v>
      </c>
    </row>
    <row r="536" spans="1:6" x14ac:dyDescent="0.45">
      <c r="A536" t="str">
        <f t="shared" si="8"/>
        <v>ET05,29</v>
      </c>
      <c r="B536">
        <v>29</v>
      </c>
      <c r="C536">
        <v>46145.128240607301</v>
      </c>
      <c r="D536">
        <v>44364.240324338803</v>
      </c>
      <c r="E536" t="s">
        <v>2873</v>
      </c>
      <c r="F536" t="s">
        <v>2874</v>
      </c>
    </row>
    <row r="537" spans="1:6" x14ac:dyDescent="0.45">
      <c r="A537" t="str">
        <f t="shared" si="8"/>
        <v>ET05,30</v>
      </c>
      <c r="B537">
        <v>30</v>
      </c>
      <c r="C537">
        <v>43245.583946222301</v>
      </c>
      <c r="D537">
        <v>41586.598505079499</v>
      </c>
      <c r="E537" t="s">
        <v>2873</v>
      </c>
      <c r="F537" t="s">
        <v>2874</v>
      </c>
    </row>
    <row r="538" spans="1:6" x14ac:dyDescent="0.45">
      <c r="A538" t="str">
        <f t="shared" si="8"/>
        <v>ET05,31</v>
      </c>
      <c r="B538">
        <v>31</v>
      </c>
      <c r="C538">
        <v>40346.0396518372</v>
      </c>
      <c r="D538">
        <v>39321.3176744925</v>
      </c>
      <c r="E538" t="s">
        <v>2873</v>
      </c>
      <c r="F538" t="s">
        <v>2874</v>
      </c>
    </row>
    <row r="539" spans="1:6" x14ac:dyDescent="0.45">
      <c r="A539" t="str">
        <f t="shared" si="8"/>
        <v>ET05,32</v>
      </c>
      <c r="B539">
        <v>32</v>
      </c>
      <c r="C539">
        <v>37446.495357452201</v>
      </c>
      <c r="D539">
        <v>37446.495357452201</v>
      </c>
      <c r="E539" t="s">
        <v>2873</v>
      </c>
      <c r="F539" t="s">
        <v>2874</v>
      </c>
    </row>
    <row r="540" spans="1:6" x14ac:dyDescent="0.45">
      <c r="A540" t="str">
        <f t="shared" si="8"/>
        <v>ET05,33</v>
      </c>
      <c r="B540">
        <v>33</v>
      </c>
      <c r="C540">
        <v>36777.497506232998</v>
      </c>
      <c r="D540">
        <v>35875.739728875298</v>
      </c>
      <c r="E540" t="s">
        <v>2873</v>
      </c>
      <c r="F540" t="s">
        <v>2874</v>
      </c>
    </row>
    <row r="541" spans="1:6" x14ac:dyDescent="0.45">
      <c r="A541" t="str">
        <f t="shared" si="8"/>
        <v>ET05,34</v>
      </c>
      <c r="B541">
        <v>34</v>
      </c>
      <c r="C541">
        <v>36108.499655013897</v>
      </c>
      <c r="D541">
        <v>34664.701563848401</v>
      </c>
      <c r="E541" t="s">
        <v>2873</v>
      </c>
      <c r="F541" t="s">
        <v>2874</v>
      </c>
    </row>
    <row r="542" spans="1:6" x14ac:dyDescent="0.45">
      <c r="A542" t="str">
        <f t="shared" si="8"/>
        <v>ET05,35</v>
      </c>
      <c r="B542">
        <v>35</v>
      </c>
      <c r="C542">
        <v>35439.501803794701</v>
      </c>
      <c r="D542">
        <v>33904.542287500299</v>
      </c>
      <c r="E542" t="s">
        <v>2873</v>
      </c>
      <c r="F542" t="s">
        <v>2874</v>
      </c>
    </row>
    <row r="543" spans="1:6" x14ac:dyDescent="0.45">
      <c r="A543" t="str">
        <f t="shared" si="8"/>
        <v>ET05,36</v>
      </c>
      <c r="B543">
        <v>36</v>
      </c>
      <c r="C543">
        <v>34770.5039525756</v>
      </c>
      <c r="D543">
        <v>33686.42332496</v>
      </c>
      <c r="E543" t="s">
        <v>2873</v>
      </c>
      <c r="F543" t="s">
        <v>2874</v>
      </c>
    </row>
    <row r="544" spans="1:6" x14ac:dyDescent="0.45">
      <c r="A544" t="str">
        <f t="shared" si="8"/>
        <v>ET05,37</v>
      </c>
      <c r="B544">
        <v>37</v>
      </c>
      <c r="C544">
        <v>34101.506101356397</v>
      </c>
      <c r="D544">
        <v>34101.506101356397</v>
      </c>
      <c r="E544" t="s">
        <v>2873</v>
      </c>
      <c r="F544" t="s">
        <v>2874</v>
      </c>
    </row>
    <row r="545" spans="1:6" x14ac:dyDescent="0.45">
      <c r="A545" t="str">
        <f t="shared" si="8"/>
        <v>ET05,38</v>
      </c>
      <c r="B545">
        <v>38</v>
      </c>
      <c r="C545">
        <v>34891.7106272534</v>
      </c>
      <c r="D545">
        <v>35154.44750409</v>
      </c>
      <c r="E545" t="s">
        <v>2873</v>
      </c>
      <c r="F545" t="s">
        <v>2874</v>
      </c>
    </row>
    <row r="546" spans="1:6" x14ac:dyDescent="0.45">
      <c r="A546" t="str">
        <f t="shared" si="8"/>
        <v>ET05,39</v>
      </c>
      <c r="B546">
        <v>39</v>
      </c>
      <c r="C546">
        <v>35681.915153150498</v>
      </c>
      <c r="D546">
        <v>36503.886269647301</v>
      </c>
      <c r="E546" t="s">
        <v>2873</v>
      </c>
      <c r="F546" t="s">
        <v>2874</v>
      </c>
    </row>
    <row r="547" spans="1:6" x14ac:dyDescent="0.45">
      <c r="A547" t="str">
        <f t="shared" si="8"/>
        <v>ET05,40</v>
      </c>
      <c r="B547">
        <v>40</v>
      </c>
      <c r="C547">
        <v>36472.119679047501</v>
      </c>
      <c r="D547">
        <v>37721.956596786302</v>
      </c>
      <c r="E547" t="s">
        <v>2873</v>
      </c>
      <c r="F547" t="s">
        <v>2874</v>
      </c>
    </row>
    <row r="548" spans="1:6" x14ac:dyDescent="0.45">
      <c r="A548" t="str">
        <f t="shared" si="8"/>
        <v>ET05,41</v>
      </c>
      <c r="B548">
        <v>41</v>
      </c>
      <c r="C548">
        <v>37262.324204944598</v>
      </c>
      <c r="D548">
        <v>38380.7926842651</v>
      </c>
      <c r="E548" t="s">
        <v>2873</v>
      </c>
      <c r="F548" t="s">
        <v>2874</v>
      </c>
    </row>
    <row r="549" spans="1:6" x14ac:dyDescent="0.45">
      <c r="A549" t="str">
        <f t="shared" si="8"/>
        <v>ET05,42</v>
      </c>
      <c r="B549">
        <v>42</v>
      </c>
      <c r="C549">
        <v>38052.528730841601</v>
      </c>
      <c r="D549">
        <v>38052.528730841601</v>
      </c>
      <c r="E549" t="s">
        <v>2873</v>
      </c>
      <c r="F549" t="s">
        <v>2874</v>
      </c>
    </row>
    <row r="550" spans="1:6" x14ac:dyDescent="0.45">
      <c r="A550" t="str">
        <f t="shared" si="8"/>
        <v>ET05,43</v>
      </c>
      <c r="B550">
        <v>43</v>
      </c>
      <c r="C550">
        <v>35693.961463366599</v>
      </c>
      <c r="D550">
        <v>36466.341231967897</v>
      </c>
      <c r="E550" t="s">
        <v>2873</v>
      </c>
      <c r="F550" t="s">
        <v>2874</v>
      </c>
    </row>
    <row r="551" spans="1:6" x14ac:dyDescent="0.45">
      <c r="A551" t="str">
        <f t="shared" si="8"/>
        <v>ET05,44</v>
      </c>
      <c r="B551">
        <v>44</v>
      </c>
      <c r="C551">
        <v>33335.394195891698</v>
      </c>
      <c r="D551">
        <v>33979.575869871798</v>
      </c>
      <c r="E551" t="s">
        <v>2873</v>
      </c>
      <c r="F551" t="s">
        <v>2874</v>
      </c>
    </row>
    <row r="552" spans="1:6" x14ac:dyDescent="0.45">
      <c r="A552" t="str">
        <f t="shared" si="8"/>
        <v>ET05,45</v>
      </c>
      <c r="B552">
        <v>45</v>
      </c>
      <c r="C552">
        <v>30976.8269284167</v>
      </c>
      <c r="D552">
        <v>31106.620623475101</v>
      </c>
      <c r="E552" t="s">
        <v>2873</v>
      </c>
      <c r="F552" t="s">
        <v>2874</v>
      </c>
    </row>
    <row r="553" spans="1:6" x14ac:dyDescent="0.45">
      <c r="A553" t="str">
        <f t="shared" si="8"/>
        <v>ET05,46</v>
      </c>
      <c r="B553">
        <v>46</v>
      </c>
      <c r="C553">
        <v>28618.2596609418</v>
      </c>
      <c r="D553">
        <v>28361.8634716995</v>
      </c>
      <c r="E553" t="s">
        <v>2873</v>
      </c>
      <c r="F553" t="s">
        <v>2874</v>
      </c>
    </row>
    <row r="554" spans="1:6" x14ac:dyDescent="0.45">
      <c r="A554" t="str">
        <f t="shared" si="8"/>
        <v>ET05,47</v>
      </c>
      <c r="B554">
        <v>47</v>
      </c>
      <c r="C554">
        <v>26259.692393466801</v>
      </c>
      <c r="D554">
        <v>26259.692393466801</v>
      </c>
      <c r="E554" t="s">
        <v>2873</v>
      </c>
      <c r="F554" t="s">
        <v>2874</v>
      </c>
    </row>
    <row r="555" spans="1:6" x14ac:dyDescent="0.45">
      <c r="A555" t="str">
        <f t="shared" si="8"/>
        <v>ET05,48</v>
      </c>
      <c r="B555">
        <v>48</v>
      </c>
      <c r="C555">
        <v>25718.376214631298</v>
      </c>
      <c r="D555">
        <v>25155.790600751501</v>
      </c>
      <c r="E555" t="s">
        <v>2873</v>
      </c>
      <c r="F555" t="s">
        <v>2874</v>
      </c>
    </row>
    <row r="556" spans="1:6" x14ac:dyDescent="0.45">
      <c r="A556" t="str">
        <f t="shared" si="8"/>
        <v>ET05,49</v>
      </c>
      <c r="B556">
        <v>49</v>
      </c>
      <c r="C556">
        <v>25177.060035795799</v>
      </c>
      <c r="D556">
        <v>24771.0222377385</v>
      </c>
      <c r="E556" t="s">
        <v>2873</v>
      </c>
      <c r="F556" t="s">
        <v>2874</v>
      </c>
    </row>
    <row r="557" spans="1:6" x14ac:dyDescent="0.45">
      <c r="A557" t="str">
        <f t="shared" si="8"/>
        <v>ET05,50</v>
      </c>
      <c r="B557">
        <v>50</v>
      </c>
      <c r="C557">
        <v>24635.743856960398</v>
      </c>
      <c r="D557">
        <v>24667.546681665401</v>
      </c>
      <c r="E557" t="s">
        <v>2873</v>
      </c>
      <c r="F557" t="s">
        <v>2874</v>
      </c>
    </row>
    <row r="558" spans="1:6" x14ac:dyDescent="0.45">
      <c r="A558" t="str">
        <f t="shared" si="8"/>
        <v>ET05,51</v>
      </c>
      <c r="B558">
        <v>51</v>
      </c>
      <c r="C558">
        <v>24094.427678124899</v>
      </c>
      <c r="D558">
        <v>24407.5233097698</v>
      </c>
      <c r="E558" t="s">
        <v>2873</v>
      </c>
      <c r="F558" t="s">
        <v>2874</v>
      </c>
    </row>
    <row r="559" spans="1:6" x14ac:dyDescent="0.45">
      <c r="A559" t="str">
        <f t="shared" si="8"/>
        <v>ET05,52</v>
      </c>
      <c r="B559">
        <v>52</v>
      </c>
      <c r="C559">
        <v>23553.1114992894</v>
      </c>
      <c r="D559">
        <v>23553.1114992894</v>
      </c>
      <c r="E559" t="s">
        <v>2873</v>
      </c>
      <c r="F559" t="s">
        <v>2874</v>
      </c>
    </row>
    <row r="560" spans="1:6" x14ac:dyDescent="0.45">
      <c r="A560" t="str">
        <f t="shared" si="8"/>
        <v>ET05,53</v>
      </c>
      <c r="B560">
        <v>53</v>
      </c>
      <c r="C560">
        <v>21531.824145842998</v>
      </c>
      <c r="D560">
        <v>21813.7175927467</v>
      </c>
      <c r="E560" t="s">
        <v>2873</v>
      </c>
      <c r="F560" t="s">
        <v>2874</v>
      </c>
    </row>
    <row r="561" spans="1:6" x14ac:dyDescent="0.45">
      <c r="A561" t="str">
        <f t="shared" si="8"/>
        <v>ET05,54</v>
      </c>
      <c r="B561">
        <v>54</v>
      </c>
      <c r="C561">
        <v>19510.536792396699</v>
      </c>
      <c r="D561">
        <v>19487.735793804499</v>
      </c>
      <c r="E561" t="s">
        <v>2873</v>
      </c>
      <c r="F561" t="s">
        <v>2874</v>
      </c>
    </row>
    <row r="562" spans="1:6" x14ac:dyDescent="0.45">
      <c r="A562" t="str">
        <f t="shared" si="8"/>
        <v>ET05,55</v>
      </c>
      <c r="B562">
        <v>55</v>
      </c>
      <c r="C562">
        <v>17489.249438950301</v>
      </c>
      <c r="D562">
        <v>17020.807271410398</v>
      </c>
      <c r="E562" t="s">
        <v>2873</v>
      </c>
      <c r="F562" t="s">
        <v>2874</v>
      </c>
    </row>
    <row r="563" spans="1:6" x14ac:dyDescent="0.45">
      <c r="A563" t="str">
        <f t="shared" si="8"/>
        <v>ET05,56</v>
      </c>
      <c r="B563">
        <v>56</v>
      </c>
      <c r="C563">
        <v>15467.962085503899</v>
      </c>
      <c r="D563">
        <v>14858.573194512201</v>
      </c>
      <c r="E563" t="s">
        <v>2873</v>
      </c>
      <c r="F563" t="s">
        <v>2874</v>
      </c>
    </row>
    <row r="564" spans="1:6" x14ac:dyDescent="0.45">
      <c r="A564" t="str">
        <f t="shared" si="8"/>
        <v>ET05,57</v>
      </c>
      <c r="B564">
        <v>57</v>
      </c>
      <c r="C564">
        <v>13446.6747320576</v>
      </c>
      <c r="D564">
        <v>13446.6747320576</v>
      </c>
      <c r="E564" t="s">
        <v>2873</v>
      </c>
      <c r="F564" t="s">
        <v>2874</v>
      </c>
    </row>
    <row r="565" spans="1:6" x14ac:dyDescent="0.45">
      <c r="A565" t="str">
        <f t="shared" si="8"/>
        <v>ET05,58</v>
      </c>
      <c r="B565">
        <v>58</v>
      </c>
      <c r="C565">
        <v>13624.2522007675</v>
      </c>
      <c r="D565">
        <v>13079.512289202199</v>
      </c>
      <c r="E565" t="s">
        <v>2873</v>
      </c>
      <c r="F565" t="s">
        <v>2874</v>
      </c>
    </row>
    <row r="566" spans="1:6" x14ac:dyDescent="0.45">
      <c r="A566" t="str">
        <f t="shared" si="8"/>
        <v>ET05,59</v>
      </c>
      <c r="B566">
        <v>59</v>
      </c>
      <c r="C566">
        <v>13801.8296694774</v>
      </c>
      <c r="D566">
        <v>13446.523215933899</v>
      </c>
      <c r="E566" t="s">
        <v>2873</v>
      </c>
      <c r="F566" t="s">
        <v>2874</v>
      </c>
    </row>
    <row r="567" spans="1:6" x14ac:dyDescent="0.45">
      <c r="A567" t="str">
        <f t="shared" si="8"/>
        <v>ET05,60</v>
      </c>
      <c r="B567">
        <v>60</v>
      </c>
      <c r="C567">
        <v>13979.4071381873</v>
      </c>
      <c r="D567">
        <v>14085.9040984481</v>
      </c>
      <c r="E567" t="s">
        <v>2873</v>
      </c>
      <c r="F567" t="s">
        <v>2874</v>
      </c>
    </row>
    <row r="568" spans="1:6" x14ac:dyDescent="0.45">
      <c r="A568" t="str">
        <f t="shared" si="8"/>
        <v>ET05,61</v>
      </c>
      <c r="B568">
        <v>61</v>
      </c>
      <c r="C568">
        <v>14156.9846068972</v>
      </c>
      <c r="D568">
        <v>14535.8515229406</v>
      </c>
      <c r="E568" t="s">
        <v>2873</v>
      </c>
      <c r="F568" t="s">
        <v>2874</v>
      </c>
    </row>
    <row r="569" spans="1:6" x14ac:dyDescent="0.45">
      <c r="A569" t="str">
        <f t="shared" si="8"/>
        <v>ET05,62</v>
      </c>
      <c r="B569">
        <v>62</v>
      </c>
      <c r="C569">
        <v>14334.5620756071</v>
      </c>
      <c r="D569">
        <v>14334.5620756071</v>
      </c>
      <c r="E569" t="s">
        <v>2873</v>
      </c>
      <c r="F569" t="s">
        <v>2874</v>
      </c>
    </row>
    <row r="570" spans="1:6" x14ac:dyDescent="0.45">
      <c r="A570" t="str">
        <f t="shared" si="8"/>
        <v>ET05,63</v>
      </c>
      <c r="B570">
        <v>63</v>
      </c>
      <c r="C570">
        <v>12560.597334994</v>
      </c>
      <c r="D570">
        <v>13164.7787113963</v>
      </c>
      <c r="E570" t="s">
        <v>2873</v>
      </c>
      <c r="F570" t="s">
        <v>2874</v>
      </c>
    </row>
    <row r="571" spans="1:6" x14ac:dyDescent="0.45">
      <c r="A571" t="str">
        <f t="shared" si="8"/>
        <v>ET05,64</v>
      </c>
      <c r="B571">
        <v>64</v>
      </c>
      <c r="C571">
        <v>10786.632594381001</v>
      </c>
      <c r="D571">
        <v>11287.4298602698</v>
      </c>
      <c r="E571" t="s">
        <v>2873</v>
      </c>
      <c r="F571" t="s">
        <v>2874</v>
      </c>
    </row>
    <row r="572" spans="1:6" x14ac:dyDescent="0.45">
      <c r="A572" t="str">
        <f t="shared" si="8"/>
        <v>ET05,65</v>
      </c>
      <c r="B572">
        <v>65</v>
      </c>
      <c r="C572">
        <v>9012.6678537678999</v>
      </c>
      <c r="D572">
        <v>9107.99032094209</v>
      </c>
      <c r="E572" t="s">
        <v>2873</v>
      </c>
      <c r="F572" t="s">
        <v>2874</v>
      </c>
    </row>
    <row r="573" spans="1:6" x14ac:dyDescent="0.45">
      <c r="A573" t="str">
        <f t="shared" si="8"/>
        <v>ET05,66</v>
      </c>
      <c r="B573">
        <v>66</v>
      </c>
      <c r="C573">
        <v>7238.7031131548301</v>
      </c>
      <c r="D573">
        <v>7031.9348921278797</v>
      </c>
      <c r="E573" t="s">
        <v>2873</v>
      </c>
      <c r="F573" t="s">
        <v>2874</v>
      </c>
    </row>
    <row r="574" spans="1:6" x14ac:dyDescent="0.45">
      <c r="A574" t="str">
        <f t="shared" si="8"/>
        <v>ET05,67</v>
      </c>
      <c r="B574">
        <v>67</v>
      </c>
      <c r="C574">
        <v>5464.7383725417603</v>
      </c>
      <c r="D574">
        <v>5464.7383725417603</v>
      </c>
      <c r="E574" t="s">
        <v>2873</v>
      </c>
      <c r="F574" t="s">
        <v>2874</v>
      </c>
    </row>
    <row r="575" spans="1:6" x14ac:dyDescent="0.45">
      <c r="A575" t="str">
        <f t="shared" si="8"/>
        <v>ET05,68</v>
      </c>
      <c r="B575">
        <v>68</v>
      </c>
      <c r="C575">
        <v>5436.13419590177</v>
      </c>
      <c r="D575">
        <v>4698.8232418687503</v>
      </c>
      <c r="E575" t="s">
        <v>2873</v>
      </c>
      <c r="F575" t="s">
        <v>2874</v>
      </c>
    </row>
    <row r="576" spans="1:6" x14ac:dyDescent="0.45">
      <c r="A576" t="str">
        <f t="shared" si="8"/>
        <v>ET05,69</v>
      </c>
      <c r="B576">
        <v>69</v>
      </c>
      <c r="C576">
        <v>5407.5300192617797</v>
      </c>
      <c r="D576">
        <v>4574.4027036753596</v>
      </c>
      <c r="E576" t="s">
        <v>2873</v>
      </c>
      <c r="F576" t="s">
        <v>2874</v>
      </c>
    </row>
    <row r="577" spans="1:6" x14ac:dyDescent="0.45">
      <c r="A577" t="str">
        <f t="shared" si="8"/>
        <v>ET05,70</v>
      </c>
      <c r="B577">
        <v>70</v>
      </c>
      <c r="C577">
        <v>5378.9258426218003</v>
      </c>
      <c r="D577">
        <v>4818.6376424984701</v>
      </c>
      <c r="E577" t="s">
        <v>2873</v>
      </c>
      <c r="F577" t="s">
        <v>2874</v>
      </c>
    </row>
    <row r="578" spans="1:6" x14ac:dyDescent="0.45">
      <c r="A578" t="str">
        <f t="shared" si="8"/>
        <v>ET05,71</v>
      </c>
      <c r="B578">
        <v>71</v>
      </c>
      <c r="C578">
        <v>5350.3216659818099</v>
      </c>
      <c r="D578">
        <v>5158.6889428750001</v>
      </c>
      <c r="E578" t="s">
        <v>2873</v>
      </c>
      <c r="F578" t="s">
        <v>2874</v>
      </c>
    </row>
    <row r="579" spans="1:6" x14ac:dyDescent="0.45">
      <c r="A579" t="str">
        <f t="shared" ref="A579:A642" si="9">_xlfn.CONCAT(E579,",",B579)</f>
        <v>ET05,72</v>
      </c>
      <c r="B579">
        <v>72</v>
      </c>
      <c r="C579">
        <v>5321.7174893418196</v>
      </c>
      <c r="D579">
        <v>5321.7174893418196</v>
      </c>
      <c r="E579" t="s">
        <v>2873</v>
      </c>
      <c r="F579" t="s">
        <v>2874</v>
      </c>
    </row>
    <row r="580" spans="1:6" x14ac:dyDescent="0.45">
      <c r="A580" t="str">
        <f t="shared" si="9"/>
        <v>ET05,73</v>
      </c>
      <c r="B580">
        <v>73</v>
      </c>
      <c r="C580">
        <v>4725.06175123304</v>
      </c>
      <c r="D580">
        <v>5102.1344778516404</v>
      </c>
      <c r="E580" t="s">
        <v>2873</v>
      </c>
      <c r="F580" t="s">
        <v>2874</v>
      </c>
    </row>
    <row r="581" spans="1:6" x14ac:dyDescent="0.45">
      <c r="A581" t="str">
        <f t="shared" si="9"/>
        <v>ET05,74</v>
      </c>
      <c r="B581">
        <v>74</v>
      </c>
      <c r="C581">
        <v>4128.4060131242604</v>
      </c>
      <c r="D581">
        <v>4563.3523500204101</v>
      </c>
      <c r="E581" t="s">
        <v>2873</v>
      </c>
      <c r="F581" t="s">
        <v>2874</v>
      </c>
    </row>
    <row r="582" spans="1:6" x14ac:dyDescent="0.45">
      <c r="A582" t="str">
        <f t="shared" si="9"/>
        <v>ET05,75</v>
      </c>
      <c r="B582">
        <v>75</v>
      </c>
      <c r="C582">
        <v>3531.7502750154799</v>
      </c>
      <c r="D582">
        <v>3836.03385887988</v>
      </c>
      <c r="E582" t="s">
        <v>2873</v>
      </c>
      <c r="F582" t="s">
        <v>2874</v>
      </c>
    </row>
    <row r="583" spans="1:6" x14ac:dyDescent="0.45">
      <c r="A583" t="str">
        <f t="shared" si="9"/>
        <v>ET05,76</v>
      </c>
      <c r="B583">
        <v>76</v>
      </c>
      <c r="C583">
        <v>2935.0945369066999</v>
      </c>
      <c r="D583">
        <v>3050.8417574618002</v>
      </c>
      <c r="E583" t="s">
        <v>2873</v>
      </c>
      <c r="F583" t="s">
        <v>2874</v>
      </c>
    </row>
    <row r="584" spans="1:6" x14ac:dyDescent="0.45">
      <c r="A584" t="str">
        <f t="shared" si="9"/>
        <v>ET05,77</v>
      </c>
      <c r="B584">
        <v>77</v>
      </c>
      <c r="C584">
        <v>2338.4387987979198</v>
      </c>
      <c r="D584">
        <v>2338.4387987979198</v>
      </c>
      <c r="E584" t="s">
        <v>2873</v>
      </c>
      <c r="F584" t="s">
        <v>2874</v>
      </c>
    </row>
    <row r="585" spans="1:6" x14ac:dyDescent="0.45">
      <c r="A585" t="str">
        <f t="shared" si="9"/>
        <v>ET05,78</v>
      </c>
      <c r="B585">
        <v>78</v>
      </c>
      <c r="C585">
        <v>2046.3430390383401</v>
      </c>
      <c r="D585">
        <v>1800.97975589678</v>
      </c>
      <c r="E585" t="s">
        <v>2873</v>
      </c>
      <c r="F585" t="s">
        <v>2874</v>
      </c>
    </row>
    <row r="586" spans="1:6" x14ac:dyDescent="0.45">
      <c r="A586" t="str">
        <f t="shared" si="9"/>
        <v>ET05,79</v>
      </c>
      <c r="B586">
        <v>79</v>
      </c>
      <c r="C586">
        <v>1754.2472792787501</v>
      </c>
      <c r="D586">
        <v>1426.5874816739999</v>
      </c>
      <c r="E586" t="s">
        <v>2873</v>
      </c>
      <c r="F586" t="s">
        <v>2874</v>
      </c>
    </row>
    <row r="587" spans="1:6" x14ac:dyDescent="0.45">
      <c r="A587" t="str">
        <f t="shared" si="9"/>
        <v>ET05,80</v>
      </c>
      <c r="B587">
        <v>80</v>
      </c>
      <c r="C587">
        <v>1462.1515195191701</v>
      </c>
      <c r="D587">
        <v>1174.876849022</v>
      </c>
      <c r="E587" t="s">
        <v>2873</v>
      </c>
      <c r="F587" t="s">
        <v>2874</v>
      </c>
    </row>
    <row r="588" spans="1:6" x14ac:dyDescent="0.45">
      <c r="A588" t="str">
        <f t="shared" si="9"/>
        <v>ET05,81</v>
      </c>
      <c r="B588">
        <v>81</v>
      </c>
      <c r="C588">
        <v>1170.05575975958</v>
      </c>
      <c r="D588">
        <v>1005.4627308332</v>
      </c>
      <c r="E588" t="s">
        <v>2873</v>
      </c>
      <c r="F588" t="s">
        <v>2874</v>
      </c>
    </row>
    <row r="589" spans="1:6" x14ac:dyDescent="0.45">
      <c r="A589" t="str">
        <f t="shared" si="9"/>
        <v>ET05,82</v>
      </c>
      <c r="B589">
        <v>82</v>
      </c>
      <c r="C589">
        <v>877.96</v>
      </c>
      <c r="D589">
        <v>877.95999999999901</v>
      </c>
      <c r="E589" t="s">
        <v>2873</v>
      </c>
      <c r="F589" t="s">
        <v>2874</v>
      </c>
    </row>
    <row r="590" spans="1:6" x14ac:dyDescent="0.45">
      <c r="A590" t="str">
        <f t="shared" si="9"/>
        <v>ET05,83</v>
      </c>
      <c r="B590">
        <v>83</v>
      </c>
      <c r="C590">
        <v>770.96320000000003</v>
      </c>
      <c r="D590">
        <v>759.08223575559305</v>
      </c>
      <c r="E590" t="s">
        <v>2873</v>
      </c>
      <c r="F590" t="s">
        <v>2874</v>
      </c>
    </row>
    <row r="591" spans="1:6" x14ac:dyDescent="0.45">
      <c r="A591" t="str">
        <f t="shared" si="9"/>
        <v>ET05,84</v>
      </c>
      <c r="B591">
        <v>84</v>
      </c>
      <c r="C591">
        <v>663.96640000000002</v>
      </c>
      <c r="D591">
        <v>643.93784269629498</v>
      </c>
      <c r="E591" t="s">
        <v>2873</v>
      </c>
      <c r="F591" t="s">
        <v>2874</v>
      </c>
    </row>
    <row r="592" spans="1:6" x14ac:dyDescent="0.45">
      <c r="A592" t="str">
        <f t="shared" si="9"/>
        <v>ET05,85</v>
      </c>
      <c r="B592">
        <v>85</v>
      </c>
      <c r="C592">
        <v>556.96960000000001</v>
      </c>
      <c r="D592">
        <v>534.73393175920103</v>
      </c>
      <c r="E592" t="s">
        <v>2873</v>
      </c>
      <c r="F592" t="s">
        <v>2874</v>
      </c>
    </row>
    <row r="593" spans="1:6" x14ac:dyDescent="0.45">
      <c r="A593" t="str">
        <f t="shared" si="9"/>
        <v>ET05,86</v>
      </c>
      <c r="B593">
        <v>86</v>
      </c>
      <c r="C593">
        <v>449.97280000000001</v>
      </c>
      <c r="D593">
        <v>433.677613881404</v>
      </c>
      <c r="E593" t="s">
        <v>2873</v>
      </c>
      <c r="F593" t="s">
        <v>2874</v>
      </c>
    </row>
    <row r="594" spans="1:6" x14ac:dyDescent="0.45">
      <c r="A594" t="str">
        <f t="shared" si="9"/>
        <v>ET05,87</v>
      </c>
      <c r="B594">
        <v>87</v>
      </c>
      <c r="C594">
        <v>342.976</v>
      </c>
      <c r="D594">
        <v>342.976</v>
      </c>
      <c r="E594" t="s">
        <v>2873</v>
      </c>
      <c r="F594" t="s">
        <v>2874</v>
      </c>
    </row>
    <row r="595" spans="1:6" x14ac:dyDescent="0.45">
      <c r="A595" t="str">
        <f t="shared" si="9"/>
        <v>ET05,88</v>
      </c>
      <c r="B595">
        <v>88</v>
      </c>
      <c r="C595">
        <v>287.16079999999999</v>
      </c>
      <c r="D595">
        <v>264.37110206538603</v>
      </c>
      <c r="E595" t="s">
        <v>2873</v>
      </c>
      <c r="F595" t="s">
        <v>2874</v>
      </c>
    </row>
    <row r="596" spans="1:6" x14ac:dyDescent="0.45">
      <c r="A596" t="str">
        <f t="shared" si="9"/>
        <v>ET05,89</v>
      </c>
      <c r="B596">
        <v>89</v>
      </c>
      <c r="C596">
        <v>231.34559999999999</v>
      </c>
      <c r="D596">
        <v>197.74453608116801</v>
      </c>
      <c r="E596" t="s">
        <v>2873</v>
      </c>
      <c r="F596" t="s">
        <v>2874</v>
      </c>
    </row>
    <row r="597" spans="1:6" x14ac:dyDescent="0.45">
      <c r="A597" t="str">
        <f t="shared" si="9"/>
        <v>ET05,90</v>
      </c>
      <c r="B597">
        <v>90</v>
      </c>
      <c r="C597">
        <v>175.53039999999999</v>
      </c>
      <c r="D597">
        <v>142.512819064258</v>
      </c>
      <c r="E597" t="s">
        <v>2873</v>
      </c>
      <c r="F597" t="s">
        <v>2874</v>
      </c>
    </row>
    <row r="598" spans="1:6" x14ac:dyDescent="0.45">
      <c r="A598" t="str">
        <f t="shared" si="9"/>
        <v>ET05,91</v>
      </c>
      <c r="B598">
        <v>91</v>
      </c>
      <c r="C598">
        <v>119.7152</v>
      </c>
      <c r="D598">
        <v>98.092468031565303</v>
      </c>
      <c r="E598" t="s">
        <v>2873</v>
      </c>
      <c r="F598" t="s">
        <v>2874</v>
      </c>
    </row>
    <row r="599" spans="1:6" x14ac:dyDescent="0.45">
      <c r="A599" t="str">
        <f t="shared" si="9"/>
        <v>ET05,92</v>
      </c>
      <c r="B599">
        <v>92</v>
      </c>
      <c r="C599">
        <v>63.9</v>
      </c>
      <c r="D599">
        <v>63.899999999999899</v>
      </c>
      <c r="E599" t="s">
        <v>2873</v>
      </c>
      <c r="F599" t="s">
        <v>2874</v>
      </c>
    </row>
    <row r="600" spans="1:6" x14ac:dyDescent="0.45">
      <c r="A600" t="str">
        <f t="shared" si="9"/>
        <v>ET05,93</v>
      </c>
      <c r="B600">
        <v>93</v>
      </c>
      <c r="C600">
        <v>51.984000000000002</v>
      </c>
      <c r="D600">
        <v>39.179019982864503</v>
      </c>
      <c r="E600" t="s">
        <v>2873</v>
      </c>
      <c r="F600" t="s">
        <v>2874</v>
      </c>
    </row>
    <row r="601" spans="1:6" x14ac:dyDescent="0.45">
      <c r="A601" t="str">
        <f t="shared" si="9"/>
        <v>ET05,94</v>
      </c>
      <c r="B601">
        <v>94</v>
      </c>
      <c r="C601">
        <v>40.067999999999998</v>
      </c>
      <c r="D601">
        <v>22.481484979031499</v>
      </c>
      <c r="E601" t="s">
        <v>2873</v>
      </c>
      <c r="F601" t="s">
        <v>2874</v>
      </c>
    </row>
    <row r="602" spans="1:6" x14ac:dyDescent="0.45">
      <c r="A602" t="str">
        <f t="shared" si="9"/>
        <v>ET05,95</v>
      </c>
      <c r="B602">
        <v>95</v>
      </c>
      <c r="C602">
        <v>28.152000000000001</v>
      </c>
      <c r="D602">
        <v>12.1864399837663</v>
      </c>
      <c r="E602" t="s">
        <v>2873</v>
      </c>
      <c r="F602" t="s">
        <v>2874</v>
      </c>
    </row>
    <row r="603" spans="1:6" x14ac:dyDescent="0.45">
      <c r="A603" t="str">
        <f t="shared" si="9"/>
        <v>ET05,96</v>
      </c>
      <c r="B603">
        <v>96</v>
      </c>
      <c r="C603">
        <v>16.236000000000001</v>
      </c>
      <c r="D603">
        <v>6.6729299923341099</v>
      </c>
      <c r="E603" t="s">
        <v>2873</v>
      </c>
      <c r="F603" t="s">
        <v>2874</v>
      </c>
    </row>
    <row r="604" spans="1:6" x14ac:dyDescent="0.45">
      <c r="A604" t="str">
        <f t="shared" si="9"/>
        <v>ET05,97</v>
      </c>
      <c r="B604">
        <v>97</v>
      </c>
      <c r="C604">
        <v>4.32</v>
      </c>
      <c r="D604">
        <v>4.32</v>
      </c>
      <c r="E604" t="s">
        <v>2873</v>
      </c>
      <c r="F604" t="s">
        <v>2874</v>
      </c>
    </row>
    <row r="605" spans="1:6" x14ac:dyDescent="0.45">
      <c r="A605" t="str">
        <f t="shared" si="9"/>
        <v>ET05,98</v>
      </c>
      <c r="B605">
        <v>98</v>
      </c>
      <c r="C605">
        <v>4.5466666666666704</v>
      </c>
      <c r="D605">
        <v>3.6913194475759399</v>
      </c>
      <c r="E605" t="s">
        <v>2873</v>
      </c>
      <c r="F605" t="s">
        <v>2874</v>
      </c>
    </row>
    <row r="606" spans="1:6" x14ac:dyDescent="0.45">
      <c r="A606" t="str">
        <f t="shared" si="9"/>
        <v>ET05,99</v>
      </c>
      <c r="B606">
        <v>99</v>
      </c>
      <c r="C606">
        <v>4.7733333333333299</v>
      </c>
      <c r="D606">
        <v>4.0890555580607497</v>
      </c>
      <c r="E606" t="s">
        <v>2873</v>
      </c>
      <c r="F606" t="s">
        <v>2874</v>
      </c>
    </row>
    <row r="607" spans="1:6" x14ac:dyDescent="0.45">
      <c r="A607" t="str">
        <f t="shared" si="9"/>
        <v>ET05,100</v>
      </c>
      <c r="B607">
        <v>100</v>
      </c>
      <c r="C607">
        <v>5</v>
      </c>
      <c r="D607">
        <v>5</v>
      </c>
      <c r="E607" t="s">
        <v>2873</v>
      </c>
      <c r="F607" t="s">
        <v>2874</v>
      </c>
    </row>
    <row r="608" spans="1:6" x14ac:dyDescent="0.45">
      <c r="A608" t="str">
        <f t="shared" si="9"/>
        <v>ET06,&lt;1</v>
      </c>
      <c r="B608" t="s">
        <v>119</v>
      </c>
      <c r="C608">
        <v>23576.052718617</v>
      </c>
      <c r="D608">
        <v>23576.052718617</v>
      </c>
      <c r="E608" t="s">
        <v>2876</v>
      </c>
      <c r="F608" t="s">
        <v>3349</v>
      </c>
    </row>
    <row r="609" spans="1:6" x14ac:dyDescent="0.45">
      <c r="A609" t="str">
        <f t="shared" si="9"/>
        <v>ET06,1</v>
      </c>
      <c r="B609">
        <v>1</v>
      </c>
      <c r="C609">
        <v>22681.203012917202</v>
      </c>
      <c r="D609">
        <v>22690.037406072799</v>
      </c>
      <c r="E609" t="s">
        <v>2876</v>
      </c>
      <c r="F609" t="s">
        <v>3349</v>
      </c>
    </row>
    <row r="610" spans="1:6" x14ac:dyDescent="0.45">
      <c r="A610" t="str">
        <f t="shared" si="9"/>
        <v>ET06,2</v>
      </c>
      <c r="B610">
        <v>2</v>
      </c>
      <c r="C610">
        <v>21786.353307217301</v>
      </c>
      <c r="D610">
        <v>21786.353307217301</v>
      </c>
      <c r="E610" t="s">
        <v>2876</v>
      </c>
      <c r="F610" t="s">
        <v>3349</v>
      </c>
    </row>
    <row r="611" spans="1:6" x14ac:dyDescent="0.45">
      <c r="A611" t="str">
        <f t="shared" si="9"/>
        <v>ET06,3</v>
      </c>
      <c r="B611">
        <v>3</v>
      </c>
      <c r="C611">
        <v>20923.442724316101</v>
      </c>
      <c r="D611">
        <v>20856.030090902001</v>
      </c>
      <c r="E611" t="s">
        <v>2876</v>
      </c>
      <c r="F611" t="s">
        <v>3349</v>
      </c>
    </row>
    <row r="612" spans="1:6" x14ac:dyDescent="0.45">
      <c r="A612" t="str">
        <f t="shared" si="9"/>
        <v>ET06,4</v>
      </c>
      <c r="B612">
        <v>4</v>
      </c>
      <c r="C612">
        <v>20060.5321414149</v>
      </c>
      <c r="D612">
        <v>19924.891246628798</v>
      </c>
      <c r="E612" t="s">
        <v>2876</v>
      </c>
      <c r="F612" t="s">
        <v>3349</v>
      </c>
    </row>
    <row r="613" spans="1:6" x14ac:dyDescent="0.45">
      <c r="A613" t="str">
        <f t="shared" si="9"/>
        <v>ET06,5</v>
      </c>
      <c r="B613">
        <v>5</v>
      </c>
      <c r="C613">
        <v>19197.621558513601</v>
      </c>
      <c r="D613">
        <v>19027.458719062699</v>
      </c>
      <c r="E613" t="s">
        <v>2876</v>
      </c>
      <c r="F613" t="s">
        <v>3349</v>
      </c>
    </row>
    <row r="614" spans="1:6" x14ac:dyDescent="0.45">
      <c r="A614" t="str">
        <f t="shared" si="9"/>
        <v>ET06,6</v>
      </c>
      <c r="B614">
        <v>6</v>
      </c>
      <c r="C614">
        <v>18334.710975612401</v>
      </c>
      <c r="D614">
        <v>18198.254452868601</v>
      </c>
      <c r="E614" t="s">
        <v>2876</v>
      </c>
      <c r="F614" t="s">
        <v>3349</v>
      </c>
    </row>
    <row r="615" spans="1:6" x14ac:dyDescent="0.45">
      <c r="A615" t="str">
        <f t="shared" si="9"/>
        <v>ET06,7</v>
      </c>
      <c r="B615">
        <v>7</v>
      </c>
      <c r="C615">
        <v>17471.8003927112</v>
      </c>
      <c r="D615">
        <v>17471.8003927112</v>
      </c>
      <c r="E615" t="s">
        <v>2876</v>
      </c>
      <c r="F615" t="s">
        <v>3349</v>
      </c>
    </row>
    <row r="616" spans="1:6" x14ac:dyDescent="0.45">
      <c r="A616" t="str">
        <f t="shared" si="9"/>
        <v>ET06,8</v>
      </c>
      <c r="B616">
        <v>8</v>
      </c>
      <c r="C616">
        <v>17028.880708016201</v>
      </c>
      <c r="D616">
        <v>16871.963689043201</v>
      </c>
      <c r="E616" t="s">
        <v>2876</v>
      </c>
      <c r="F616" t="s">
        <v>3349</v>
      </c>
    </row>
    <row r="617" spans="1:6" x14ac:dyDescent="0.45">
      <c r="A617" t="str">
        <f t="shared" si="9"/>
        <v>ET06,9</v>
      </c>
      <c r="B617">
        <v>9</v>
      </c>
      <c r="C617">
        <v>16585.961023321099</v>
      </c>
      <c r="D617">
        <v>16379.992315469301</v>
      </c>
      <c r="E617" t="s">
        <v>2876</v>
      </c>
      <c r="F617" t="s">
        <v>3349</v>
      </c>
    </row>
    <row r="618" spans="1:6" x14ac:dyDescent="0.45">
      <c r="A618" t="str">
        <f t="shared" si="9"/>
        <v>ET06,10</v>
      </c>
      <c r="B618">
        <v>10</v>
      </c>
      <c r="C618">
        <v>16143.041338626101</v>
      </c>
      <c r="D618">
        <v>15966.4794513819</v>
      </c>
      <c r="E618" t="s">
        <v>2876</v>
      </c>
      <c r="F618" t="s">
        <v>3349</v>
      </c>
    </row>
    <row r="619" spans="1:6" x14ac:dyDescent="0.45">
      <c r="A619" t="str">
        <f t="shared" si="9"/>
        <v>ET06,11</v>
      </c>
      <c r="B619">
        <v>11</v>
      </c>
      <c r="C619">
        <v>15700.121653931101</v>
      </c>
      <c r="D619">
        <v>15602.018276173299</v>
      </c>
      <c r="E619" t="s">
        <v>2876</v>
      </c>
      <c r="F619" t="s">
        <v>3349</v>
      </c>
    </row>
    <row r="620" spans="1:6" x14ac:dyDescent="0.45">
      <c r="A620" t="str">
        <f t="shared" si="9"/>
        <v>ET06,12</v>
      </c>
      <c r="B620">
        <v>12</v>
      </c>
      <c r="C620">
        <v>15257.201969236099</v>
      </c>
      <c r="D620">
        <v>15257.201969236099</v>
      </c>
      <c r="E620" t="s">
        <v>2876</v>
      </c>
      <c r="F620" t="s">
        <v>3349</v>
      </c>
    </row>
    <row r="621" spans="1:6" x14ac:dyDescent="0.45">
      <c r="A621" t="str">
        <f t="shared" si="9"/>
        <v>ET06,13</v>
      </c>
      <c r="B621">
        <v>13</v>
      </c>
      <c r="C621">
        <v>14870.3620569008</v>
      </c>
      <c r="D621">
        <v>14906.8192913243</v>
      </c>
      <c r="E621" t="s">
        <v>2876</v>
      </c>
      <c r="F621" t="s">
        <v>3349</v>
      </c>
    </row>
    <row r="622" spans="1:6" x14ac:dyDescent="0.45">
      <c r="A622" t="str">
        <f t="shared" si="9"/>
        <v>ET06,14</v>
      </c>
      <c r="B622">
        <v>14</v>
      </c>
      <c r="C622">
        <v>14483.522144565601</v>
      </c>
      <c r="D622">
        <v>14542.441328638501</v>
      </c>
      <c r="E622" t="s">
        <v>2876</v>
      </c>
      <c r="F622" t="s">
        <v>3349</v>
      </c>
    </row>
    <row r="623" spans="1:6" x14ac:dyDescent="0.45">
      <c r="A623" t="str">
        <f t="shared" si="9"/>
        <v>ET06,15</v>
      </c>
      <c r="B623">
        <v>15</v>
      </c>
      <c r="C623">
        <v>14096.6822322303</v>
      </c>
      <c r="D623">
        <v>14159.834748740999</v>
      </c>
      <c r="E623" t="s">
        <v>2876</v>
      </c>
      <c r="F623" t="s">
        <v>3349</v>
      </c>
    </row>
    <row r="624" spans="1:6" x14ac:dyDescent="0.45">
      <c r="A624" t="str">
        <f t="shared" si="9"/>
        <v>ET06,16</v>
      </c>
      <c r="B624">
        <v>16</v>
      </c>
      <c r="C624">
        <v>13709.842319895</v>
      </c>
      <c r="D624">
        <v>13754.766219194</v>
      </c>
      <c r="E624" t="s">
        <v>2876</v>
      </c>
      <c r="F624" t="s">
        <v>3349</v>
      </c>
    </row>
    <row r="625" spans="1:6" x14ac:dyDescent="0.45">
      <c r="A625" t="str">
        <f t="shared" si="9"/>
        <v>ET06,17</v>
      </c>
      <c r="B625">
        <v>17</v>
      </c>
      <c r="C625">
        <v>13323.002407559699</v>
      </c>
      <c r="D625">
        <v>13323.002407559699</v>
      </c>
      <c r="E625" t="s">
        <v>2876</v>
      </c>
      <c r="F625" t="s">
        <v>3349</v>
      </c>
    </row>
    <row r="626" spans="1:6" x14ac:dyDescent="0.45">
      <c r="A626" t="str">
        <f t="shared" si="9"/>
        <v>ET06,18</v>
      </c>
      <c r="B626">
        <v>18</v>
      </c>
      <c r="C626">
        <v>13005.5441522324</v>
      </c>
      <c r="D626">
        <v>12869.2709705859</v>
      </c>
      <c r="E626" t="s">
        <v>2876</v>
      </c>
      <c r="F626" t="s">
        <v>3349</v>
      </c>
    </row>
    <row r="627" spans="1:6" x14ac:dyDescent="0.45">
      <c r="A627" t="str">
        <f t="shared" si="9"/>
        <v>ET06,19</v>
      </c>
      <c r="B627">
        <v>19</v>
      </c>
      <c r="C627">
        <v>12688.085896905101</v>
      </c>
      <c r="D627">
        <v>12434.1435217612</v>
      </c>
      <c r="E627" t="s">
        <v>2876</v>
      </c>
      <c r="F627" t="s">
        <v>3349</v>
      </c>
    </row>
    <row r="628" spans="1:6" x14ac:dyDescent="0.45">
      <c r="A628" t="str">
        <f t="shared" si="9"/>
        <v>ET06,20</v>
      </c>
      <c r="B628">
        <v>20</v>
      </c>
      <c r="C628">
        <v>12370.627641577699</v>
      </c>
      <c r="D628">
        <v>12067.1526637597</v>
      </c>
      <c r="E628" t="s">
        <v>2876</v>
      </c>
      <c r="F628" t="s">
        <v>3349</v>
      </c>
    </row>
    <row r="629" spans="1:6" x14ac:dyDescent="0.45">
      <c r="A629" t="str">
        <f t="shared" si="9"/>
        <v>ET06,21</v>
      </c>
      <c r="B629">
        <v>21</v>
      </c>
      <c r="C629">
        <v>12053.1693862504</v>
      </c>
      <c r="D629">
        <v>11817.830999255601</v>
      </c>
      <c r="E629" t="s">
        <v>2876</v>
      </c>
      <c r="F629" t="s">
        <v>3349</v>
      </c>
    </row>
    <row r="630" spans="1:6" x14ac:dyDescent="0.45">
      <c r="A630" t="str">
        <f t="shared" si="9"/>
        <v>ET06,22</v>
      </c>
      <c r="B630">
        <v>22</v>
      </c>
      <c r="C630">
        <v>11735.711130923</v>
      </c>
      <c r="D630">
        <v>11735.711130923</v>
      </c>
      <c r="E630" t="s">
        <v>2876</v>
      </c>
      <c r="F630" t="s">
        <v>3349</v>
      </c>
    </row>
    <row r="631" spans="1:6" x14ac:dyDescent="0.45">
      <c r="A631" t="str">
        <f t="shared" si="9"/>
        <v>ET06,23</v>
      </c>
      <c r="B631">
        <v>23</v>
      </c>
      <c r="C631">
        <v>11780.128955620799</v>
      </c>
      <c r="D631">
        <v>11841.4538248679</v>
      </c>
      <c r="E631" t="s">
        <v>2876</v>
      </c>
      <c r="F631" t="s">
        <v>3349</v>
      </c>
    </row>
    <row r="632" spans="1:6" x14ac:dyDescent="0.45">
      <c r="A632" t="str">
        <f t="shared" si="9"/>
        <v>ET06,24</v>
      </c>
      <c r="B632">
        <v>24</v>
      </c>
      <c r="C632">
        <v>11824.5467803186</v>
      </c>
      <c r="D632">
        <v>12040.232500923799</v>
      </c>
      <c r="E632" t="s">
        <v>2876</v>
      </c>
      <c r="F632" t="s">
        <v>3349</v>
      </c>
    </row>
    <row r="633" spans="1:6" x14ac:dyDescent="0.45">
      <c r="A633" t="str">
        <f t="shared" si="9"/>
        <v>ET06,25</v>
      </c>
      <c r="B633">
        <v>25</v>
      </c>
      <c r="C633">
        <v>11868.964605016399</v>
      </c>
      <c r="D633">
        <v>12208.3487423562</v>
      </c>
      <c r="E633" t="s">
        <v>2876</v>
      </c>
      <c r="F633" t="s">
        <v>3349</v>
      </c>
    </row>
    <row r="634" spans="1:6" x14ac:dyDescent="0.45">
      <c r="A634" t="str">
        <f t="shared" si="9"/>
        <v>ET06,26</v>
      </c>
      <c r="B634">
        <v>26</v>
      </c>
      <c r="C634">
        <v>11913.3824297142</v>
      </c>
      <c r="D634">
        <v>12222.104132430401</v>
      </c>
      <c r="E634" t="s">
        <v>2876</v>
      </c>
      <c r="F634" t="s">
        <v>3349</v>
      </c>
    </row>
    <row r="635" spans="1:6" x14ac:dyDescent="0.45">
      <c r="A635" t="str">
        <f t="shared" si="9"/>
        <v>ET06,27</v>
      </c>
      <c r="B635">
        <v>27</v>
      </c>
      <c r="C635">
        <v>11957.800254412001</v>
      </c>
      <c r="D635">
        <v>11957.800254412001</v>
      </c>
      <c r="E635" t="s">
        <v>2876</v>
      </c>
      <c r="F635" t="s">
        <v>3349</v>
      </c>
    </row>
    <row r="636" spans="1:6" x14ac:dyDescent="0.45">
      <c r="A636" t="str">
        <f t="shared" si="9"/>
        <v>ET06,28</v>
      </c>
      <c r="B636">
        <v>28</v>
      </c>
      <c r="C636">
        <v>11137.091036277399</v>
      </c>
      <c r="D636">
        <v>11337.485146818401</v>
      </c>
      <c r="E636" t="s">
        <v>2876</v>
      </c>
      <c r="F636" t="s">
        <v>3349</v>
      </c>
    </row>
    <row r="637" spans="1:6" x14ac:dyDescent="0.45">
      <c r="A637" t="str">
        <f t="shared" si="9"/>
        <v>ET06,29</v>
      </c>
      <c r="B637">
        <v>29</v>
      </c>
      <c r="C637">
        <v>10316.3818181428</v>
      </c>
      <c r="D637">
        <v>10466.192669176</v>
      </c>
      <c r="E637" t="s">
        <v>2876</v>
      </c>
      <c r="F637" t="s">
        <v>3349</v>
      </c>
    </row>
    <row r="638" spans="1:6" x14ac:dyDescent="0.45">
      <c r="A638" t="str">
        <f t="shared" si="9"/>
        <v>ET06,30</v>
      </c>
      <c r="B638">
        <v>30</v>
      </c>
      <c r="C638">
        <v>9495.6726000082399</v>
      </c>
      <c r="D638">
        <v>9494.7031362630205</v>
      </c>
      <c r="E638" t="s">
        <v>2876</v>
      </c>
      <c r="F638" t="s">
        <v>3349</v>
      </c>
    </row>
    <row r="639" spans="1:6" x14ac:dyDescent="0.45">
      <c r="A639" t="str">
        <f t="shared" si="9"/>
        <v>ET06,31</v>
      </c>
      <c r="B639">
        <v>31</v>
      </c>
      <c r="C639">
        <v>8674.9633818736602</v>
      </c>
      <c r="D639">
        <v>8573.7968628579292</v>
      </c>
      <c r="E639" t="s">
        <v>2876</v>
      </c>
      <c r="F639" t="s">
        <v>3349</v>
      </c>
    </row>
    <row r="640" spans="1:6" x14ac:dyDescent="0.45">
      <c r="A640" t="str">
        <f t="shared" si="9"/>
        <v>ET06,32</v>
      </c>
      <c r="B640">
        <v>32</v>
      </c>
      <c r="C640">
        <v>7854.2541637390796</v>
      </c>
      <c r="D640">
        <v>7854.2541637390796</v>
      </c>
      <c r="E640" t="s">
        <v>2876</v>
      </c>
      <c r="F640" t="s">
        <v>3349</v>
      </c>
    </row>
    <row r="641" spans="1:6" x14ac:dyDescent="0.45">
      <c r="A641" t="str">
        <f t="shared" si="9"/>
        <v>ET06,33</v>
      </c>
      <c r="B641">
        <v>33</v>
      </c>
      <c r="C641">
        <v>7705.9490008073999</v>
      </c>
      <c r="D641">
        <v>7443.3227380800399</v>
      </c>
      <c r="E641" t="s">
        <v>2876</v>
      </c>
      <c r="F641" t="s">
        <v>3349</v>
      </c>
    </row>
    <row r="642" spans="1:6" x14ac:dyDescent="0.45">
      <c r="A642" t="str">
        <f t="shared" si="9"/>
        <v>ET06,34</v>
      </c>
      <c r="B642">
        <v>34</v>
      </c>
      <c r="C642">
        <v>7557.6438378757202</v>
      </c>
      <c r="D642">
        <v>7274.1198226351598</v>
      </c>
      <c r="E642" t="s">
        <v>2876</v>
      </c>
      <c r="F642" t="s">
        <v>3349</v>
      </c>
    </row>
    <row r="643" spans="1:6" x14ac:dyDescent="0.45">
      <c r="A643" t="str">
        <f t="shared" ref="A643:A706" si="10">_xlfn.CONCAT(E643,",",B643)</f>
        <v>ET06,35</v>
      </c>
      <c r="B643">
        <v>35</v>
      </c>
      <c r="C643">
        <v>7409.3386749440397</v>
      </c>
      <c r="D643">
        <v>7236.2300385539502</v>
      </c>
      <c r="E643" t="s">
        <v>2876</v>
      </c>
      <c r="F643" t="s">
        <v>3349</v>
      </c>
    </row>
    <row r="644" spans="1:6" x14ac:dyDescent="0.45">
      <c r="A644" t="str">
        <f t="shared" si="10"/>
        <v>ET06,36</v>
      </c>
      <c r="B644">
        <v>36</v>
      </c>
      <c r="C644">
        <v>7261.03351201236</v>
      </c>
      <c r="D644">
        <v>7219.2380069859501</v>
      </c>
      <c r="E644" t="s">
        <v>2876</v>
      </c>
      <c r="F644" t="s">
        <v>3349</v>
      </c>
    </row>
    <row r="645" spans="1:6" x14ac:dyDescent="0.45">
      <c r="A645" t="str">
        <f t="shared" si="10"/>
        <v>ET06,37</v>
      </c>
      <c r="B645">
        <v>37</v>
      </c>
      <c r="C645">
        <v>7112.7283490806803</v>
      </c>
      <c r="D645">
        <v>7112.7283490806803</v>
      </c>
      <c r="E645" t="s">
        <v>2876</v>
      </c>
      <c r="F645" t="s">
        <v>3349</v>
      </c>
    </row>
    <row r="646" spans="1:6" x14ac:dyDescent="0.45">
      <c r="A646" t="str">
        <f t="shared" si="10"/>
        <v>ET06,38</v>
      </c>
      <c r="B646">
        <v>38</v>
      </c>
      <c r="C646">
        <v>6704.97815542429</v>
      </c>
      <c r="D646">
        <v>6835.8944857962297</v>
      </c>
      <c r="E646" t="s">
        <v>2876</v>
      </c>
      <c r="F646" t="s">
        <v>3349</v>
      </c>
    </row>
    <row r="647" spans="1:6" x14ac:dyDescent="0.45">
      <c r="A647" t="str">
        <f t="shared" si="10"/>
        <v>ET06,39</v>
      </c>
      <c r="B647">
        <v>39</v>
      </c>
      <c r="C647">
        <v>6297.2279617678996</v>
      </c>
      <c r="D647">
        <v>6426.3650373249302</v>
      </c>
      <c r="E647" t="s">
        <v>2876</v>
      </c>
      <c r="F647" t="s">
        <v>3349</v>
      </c>
    </row>
    <row r="648" spans="1:6" x14ac:dyDescent="0.45">
      <c r="A648" t="str">
        <f t="shared" si="10"/>
        <v>ET06,40</v>
      </c>
      <c r="B648">
        <v>40</v>
      </c>
      <c r="C648">
        <v>5889.4777681115202</v>
      </c>
      <c r="D648">
        <v>5951.37742366766</v>
      </c>
      <c r="E648" t="s">
        <v>2876</v>
      </c>
      <c r="F648" t="s">
        <v>3349</v>
      </c>
    </row>
    <row r="649" spans="1:6" x14ac:dyDescent="0.45">
      <c r="A649" t="str">
        <f t="shared" si="10"/>
        <v>ET06,41</v>
      </c>
      <c r="B649">
        <v>41</v>
      </c>
      <c r="C649">
        <v>5481.7275744551298</v>
      </c>
      <c r="D649">
        <v>5478.1690648252998</v>
      </c>
      <c r="E649" t="s">
        <v>2876</v>
      </c>
      <c r="F649" t="s">
        <v>3349</v>
      </c>
    </row>
    <row r="650" spans="1:6" x14ac:dyDescent="0.45">
      <c r="A650" t="str">
        <f t="shared" si="10"/>
        <v>ET06,42</v>
      </c>
      <c r="B650">
        <v>42</v>
      </c>
      <c r="C650">
        <v>5073.9773807987403</v>
      </c>
      <c r="D650">
        <v>5073.9773807987403</v>
      </c>
      <c r="E650" t="s">
        <v>2876</v>
      </c>
      <c r="F650" t="s">
        <v>3349</v>
      </c>
    </row>
    <row r="651" spans="1:6" x14ac:dyDescent="0.45">
      <c r="A651" t="str">
        <f t="shared" si="10"/>
        <v>ET06,43</v>
      </c>
      <c r="B651">
        <v>43</v>
      </c>
      <c r="C651">
        <v>4912.1168010859001</v>
      </c>
      <c r="D651">
        <v>4788.6245571832596</v>
      </c>
      <c r="E651" t="s">
        <v>2876</v>
      </c>
      <c r="F651" t="s">
        <v>3349</v>
      </c>
    </row>
    <row r="652" spans="1:6" x14ac:dyDescent="0.45">
      <c r="A652" t="str">
        <f t="shared" si="10"/>
        <v>ET06,44</v>
      </c>
      <c r="B652">
        <v>44</v>
      </c>
      <c r="C652">
        <v>4750.2562213730698</v>
      </c>
      <c r="D652">
        <v>4602.2718419517896</v>
      </c>
      <c r="E652" t="s">
        <v>2876</v>
      </c>
      <c r="F652" t="s">
        <v>3349</v>
      </c>
    </row>
    <row r="653" spans="1:6" x14ac:dyDescent="0.45">
      <c r="A653" t="str">
        <f t="shared" si="10"/>
        <v>ET06,45</v>
      </c>
      <c r="B653">
        <v>45</v>
      </c>
      <c r="C653">
        <v>4588.3956416602296</v>
      </c>
      <c r="D653">
        <v>4477.6652486716303</v>
      </c>
      <c r="E653" t="s">
        <v>2876</v>
      </c>
      <c r="F653" t="s">
        <v>3349</v>
      </c>
    </row>
    <row r="654" spans="1:6" x14ac:dyDescent="0.45">
      <c r="A654" t="str">
        <f t="shared" si="10"/>
        <v>ET06,46</v>
      </c>
      <c r="B654">
        <v>46</v>
      </c>
      <c r="C654">
        <v>4426.5350619474002</v>
      </c>
      <c r="D654">
        <v>4377.5507909101098</v>
      </c>
      <c r="E654" t="s">
        <v>2876</v>
      </c>
      <c r="F654" t="s">
        <v>3349</v>
      </c>
    </row>
    <row r="655" spans="1:6" x14ac:dyDescent="0.45">
      <c r="A655" t="str">
        <f t="shared" si="10"/>
        <v>ET06,47</v>
      </c>
      <c r="B655">
        <v>47</v>
      </c>
      <c r="C655">
        <v>4264.6744822345599</v>
      </c>
      <c r="D655">
        <v>4264.6744822345599</v>
      </c>
      <c r="E655" t="s">
        <v>2876</v>
      </c>
      <c r="F655" t="s">
        <v>3349</v>
      </c>
    </row>
    <row r="656" spans="1:6" x14ac:dyDescent="0.45">
      <c r="A656" t="str">
        <f t="shared" si="10"/>
        <v>ET06,48</v>
      </c>
      <c r="B656">
        <v>48</v>
      </c>
      <c r="C656">
        <v>4065.1755549017998</v>
      </c>
      <c r="D656">
        <v>4110.2799697768396</v>
      </c>
      <c r="E656" t="s">
        <v>2876</v>
      </c>
      <c r="F656" t="s">
        <v>3349</v>
      </c>
    </row>
    <row r="657" spans="1:6" x14ac:dyDescent="0.45">
      <c r="A657" t="str">
        <f t="shared" si="10"/>
        <v>ET06,49</v>
      </c>
      <c r="B657">
        <v>49</v>
      </c>
      <c r="C657">
        <v>3865.6766275690402</v>
      </c>
      <c r="D657">
        <v>3919.6014349269899</v>
      </c>
      <c r="E657" t="s">
        <v>2876</v>
      </c>
      <c r="F657" t="s">
        <v>3349</v>
      </c>
    </row>
    <row r="658" spans="1:6" x14ac:dyDescent="0.45">
      <c r="A658" t="str">
        <f t="shared" si="10"/>
        <v>ET06,50</v>
      </c>
      <c r="B658">
        <v>50</v>
      </c>
      <c r="C658">
        <v>3666.1777002362801</v>
      </c>
      <c r="D658">
        <v>3706.3706926396299</v>
      </c>
      <c r="E658" t="s">
        <v>2876</v>
      </c>
      <c r="F658" t="s">
        <v>3349</v>
      </c>
    </row>
    <row r="659" spans="1:6" x14ac:dyDescent="0.45">
      <c r="A659" t="str">
        <f t="shared" si="10"/>
        <v>ET06,51</v>
      </c>
      <c r="B659">
        <v>51</v>
      </c>
      <c r="C659">
        <v>3466.67877290352</v>
      </c>
      <c r="D659">
        <v>3484.3195578693499</v>
      </c>
      <c r="E659" t="s">
        <v>2876</v>
      </c>
      <c r="F659" t="s">
        <v>3349</v>
      </c>
    </row>
    <row r="660" spans="1:6" x14ac:dyDescent="0.45">
      <c r="A660" t="str">
        <f t="shared" si="10"/>
        <v>ET06,52</v>
      </c>
      <c r="B660">
        <v>52</v>
      </c>
      <c r="C660">
        <v>3267.1798455707599</v>
      </c>
      <c r="D660">
        <v>3267.1798455707599</v>
      </c>
      <c r="E660" t="s">
        <v>2876</v>
      </c>
      <c r="F660" t="s">
        <v>3349</v>
      </c>
    </row>
    <row r="661" spans="1:6" x14ac:dyDescent="0.45">
      <c r="A661" t="str">
        <f t="shared" si="10"/>
        <v>ET06,53</v>
      </c>
      <c r="B661">
        <v>53</v>
      </c>
      <c r="C661">
        <v>3098.2028975622202</v>
      </c>
      <c r="D661">
        <v>3066.1756023861599</v>
      </c>
      <c r="E661" t="s">
        <v>2876</v>
      </c>
      <c r="F661" t="s">
        <v>3349</v>
      </c>
    </row>
    <row r="662" spans="1:6" x14ac:dyDescent="0.45">
      <c r="A662" t="str">
        <f t="shared" si="10"/>
        <v>ET06,54</v>
      </c>
      <c r="B662">
        <v>54</v>
      </c>
      <c r="C662">
        <v>2929.22594955369</v>
      </c>
      <c r="D662">
        <v>2882.49980170872</v>
      </c>
      <c r="E662" t="s">
        <v>2876</v>
      </c>
      <c r="F662" t="s">
        <v>3349</v>
      </c>
    </row>
    <row r="663" spans="1:6" x14ac:dyDescent="0.45">
      <c r="A663" t="str">
        <f t="shared" si="10"/>
        <v>ET06,55</v>
      </c>
      <c r="B663">
        <v>55</v>
      </c>
      <c r="C663">
        <v>2760.2490015451499</v>
      </c>
      <c r="D663">
        <v>2714.8376486193101</v>
      </c>
      <c r="E663" t="s">
        <v>2876</v>
      </c>
      <c r="F663" t="s">
        <v>3349</v>
      </c>
    </row>
    <row r="664" spans="1:6" x14ac:dyDescent="0.45">
      <c r="A664" t="str">
        <f t="shared" si="10"/>
        <v>ET06,56</v>
      </c>
      <c r="B664">
        <v>56</v>
      </c>
      <c r="C664">
        <v>2591.2720535366202</v>
      </c>
      <c r="D664">
        <v>2561.8743481987999</v>
      </c>
      <c r="E664" t="s">
        <v>2876</v>
      </c>
      <c r="F664" t="s">
        <v>3349</v>
      </c>
    </row>
    <row r="665" spans="1:6" x14ac:dyDescent="0.45">
      <c r="A665" t="str">
        <f t="shared" si="10"/>
        <v>ET06,57</v>
      </c>
      <c r="B665">
        <v>57</v>
      </c>
      <c r="C665">
        <v>2422.2951055280801</v>
      </c>
      <c r="D665">
        <v>2422.2951055280801</v>
      </c>
      <c r="E665" t="s">
        <v>2876</v>
      </c>
      <c r="F665" t="s">
        <v>3349</v>
      </c>
    </row>
    <row r="666" spans="1:6" x14ac:dyDescent="0.45">
      <c r="A666" t="str">
        <f t="shared" si="10"/>
        <v>ET06,58</v>
      </c>
      <c r="B666">
        <v>58</v>
      </c>
      <c r="C666">
        <v>2305.77546367689</v>
      </c>
      <c r="D666">
        <v>2294.4695653681702</v>
      </c>
      <c r="E666" t="s">
        <v>2876</v>
      </c>
      <c r="F666" t="s">
        <v>3349</v>
      </c>
    </row>
    <row r="667" spans="1:6" x14ac:dyDescent="0.45">
      <c r="A667" t="str">
        <f t="shared" si="10"/>
        <v>ET06,59</v>
      </c>
      <c r="B667">
        <v>59</v>
      </c>
      <c r="C667">
        <v>2189.25582182571</v>
      </c>
      <c r="D667">
        <v>2175.5051312007699</v>
      </c>
      <c r="E667" t="s">
        <v>2876</v>
      </c>
      <c r="F667" t="s">
        <v>3349</v>
      </c>
    </row>
    <row r="668" spans="1:6" x14ac:dyDescent="0.45">
      <c r="A668" t="str">
        <f t="shared" si="10"/>
        <v>ET06,60</v>
      </c>
      <c r="B668">
        <v>60</v>
      </c>
      <c r="C668">
        <v>2072.7361799745199</v>
      </c>
      <c r="D668">
        <v>2062.1936461877399</v>
      </c>
      <c r="E668" t="s">
        <v>2876</v>
      </c>
      <c r="F668" t="s">
        <v>3349</v>
      </c>
    </row>
    <row r="669" spans="1:6" x14ac:dyDescent="0.45">
      <c r="A669" t="str">
        <f t="shared" si="10"/>
        <v>ET06,61</v>
      </c>
      <c r="B669">
        <v>61</v>
      </c>
      <c r="C669">
        <v>1956.2165381233399</v>
      </c>
      <c r="D669">
        <v>1951.32695349091</v>
      </c>
      <c r="E669" t="s">
        <v>2876</v>
      </c>
      <c r="F669" t="s">
        <v>3349</v>
      </c>
    </row>
    <row r="670" spans="1:6" x14ac:dyDescent="0.45">
      <c r="A670" t="str">
        <f t="shared" si="10"/>
        <v>ET06,62</v>
      </c>
      <c r="B670">
        <v>62</v>
      </c>
      <c r="C670">
        <v>1839.6968962721501</v>
      </c>
      <c r="D670">
        <v>1839.6968962721501</v>
      </c>
      <c r="E670" t="s">
        <v>2876</v>
      </c>
      <c r="F670" t="s">
        <v>3349</v>
      </c>
    </row>
    <row r="671" spans="1:6" x14ac:dyDescent="0.45">
      <c r="A671" t="str">
        <f t="shared" si="10"/>
        <v>ET06,63</v>
      </c>
      <c r="B671">
        <v>63</v>
      </c>
      <c r="C671">
        <v>1726.4156743707899</v>
      </c>
      <c r="D671">
        <v>1725.0191587633201</v>
      </c>
      <c r="E671" t="s">
        <v>2876</v>
      </c>
      <c r="F671" t="s">
        <v>3349</v>
      </c>
    </row>
    <row r="672" spans="1:6" x14ac:dyDescent="0.45">
      <c r="A672" t="str">
        <f t="shared" si="10"/>
        <v>ET06,64</v>
      </c>
      <c r="B672">
        <v>64</v>
      </c>
      <c r="C672">
        <v>1613.13445246942</v>
      </c>
      <c r="D672">
        <v>1608.70478947632</v>
      </c>
      <c r="E672" t="s">
        <v>2876</v>
      </c>
      <c r="F672" t="s">
        <v>3349</v>
      </c>
    </row>
    <row r="673" spans="1:6" x14ac:dyDescent="0.45">
      <c r="A673" t="str">
        <f t="shared" si="10"/>
        <v>ET06,65</v>
      </c>
      <c r="B673">
        <v>65</v>
      </c>
      <c r="C673">
        <v>1499.8532305680601</v>
      </c>
      <c r="D673">
        <v>1493.0886779930499</v>
      </c>
      <c r="E673" t="s">
        <v>2876</v>
      </c>
      <c r="F673" t="s">
        <v>3349</v>
      </c>
    </row>
    <row r="674" spans="1:6" x14ac:dyDescent="0.45">
      <c r="A674" t="str">
        <f t="shared" si="10"/>
        <v>ET06,66</v>
      </c>
      <c r="B674">
        <v>66</v>
      </c>
      <c r="C674">
        <v>1386.57200866669</v>
      </c>
      <c r="D674">
        <v>1380.5057138954101</v>
      </c>
      <c r="E674" t="s">
        <v>2876</v>
      </c>
      <c r="F674" t="s">
        <v>3349</v>
      </c>
    </row>
    <row r="675" spans="1:6" x14ac:dyDescent="0.45">
      <c r="A675" t="str">
        <f t="shared" si="10"/>
        <v>ET06,67</v>
      </c>
      <c r="B675">
        <v>67</v>
      </c>
      <c r="C675">
        <v>1273.29078676533</v>
      </c>
      <c r="D675">
        <v>1273.29078676533</v>
      </c>
      <c r="E675" t="s">
        <v>2876</v>
      </c>
      <c r="F675" t="s">
        <v>3349</v>
      </c>
    </row>
    <row r="676" spans="1:6" x14ac:dyDescent="0.45">
      <c r="A676" t="str">
        <f t="shared" si="10"/>
        <v>ET06,68</v>
      </c>
      <c r="B676">
        <v>68</v>
      </c>
      <c r="C676">
        <v>1184.16321511809</v>
      </c>
      <c r="D676">
        <v>1173.2043468849699</v>
      </c>
      <c r="E676" t="s">
        <v>2876</v>
      </c>
      <c r="F676" t="s">
        <v>3349</v>
      </c>
    </row>
    <row r="677" spans="1:6" x14ac:dyDescent="0.45">
      <c r="A677" t="str">
        <f t="shared" si="10"/>
        <v>ET06,69</v>
      </c>
      <c r="B677">
        <v>69</v>
      </c>
      <c r="C677">
        <v>1095.0356434708399</v>
      </c>
      <c r="D677">
        <v>1079.7090873376201</v>
      </c>
      <c r="E677" t="s">
        <v>2876</v>
      </c>
      <c r="F677" t="s">
        <v>3349</v>
      </c>
    </row>
    <row r="678" spans="1:6" x14ac:dyDescent="0.45">
      <c r="A678" t="str">
        <f t="shared" si="10"/>
        <v>ET06,70</v>
      </c>
      <c r="B678">
        <v>70</v>
      </c>
      <c r="C678">
        <v>1005.9080718236</v>
      </c>
      <c r="D678">
        <v>991.693261906825</v>
      </c>
      <c r="E678" t="s">
        <v>2876</v>
      </c>
      <c r="F678" t="s">
        <v>3349</v>
      </c>
    </row>
    <row r="679" spans="1:6" x14ac:dyDescent="0.45">
      <c r="A679" t="str">
        <f t="shared" si="10"/>
        <v>ET06,71</v>
      </c>
      <c r="B679">
        <v>71</v>
      </c>
      <c r="C679">
        <v>916.78050017636201</v>
      </c>
      <c r="D679">
        <v>908.04512437614096</v>
      </c>
      <c r="E679" t="s">
        <v>2876</v>
      </c>
      <c r="F679" t="s">
        <v>3349</v>
      </c>
    </row>
    <row r="680" spans="1:6" x14ac:dyDescent="0.45">
      <c r="A680" t="str">
        <f t="shared" si="10"/>
        <v>ET06,72</v>
      </c>
      <c r="B680">
        <v>72</v>
      </c>
      <c r="C680">
        <v>827.65292852912</v>
      </c>
      <c r="D680">
        <v>827.65292852912</v>
      </c>
      <c r="E680" t="s">
        <v>2876</v>
      </c>
      <c r="F680" t="s">
        <v>3349</v>
      </c>
    </row>
    <row r="681" spans="1:6" x14ac:dyDescent="0.45">
      <c r="A681" t="str">
        <f t="shared" si="10"/>
        <v>ET06,73</v>
      </c>
      <c r="B681">
        <v>73</v>
      </c>
      <c r="C681">
        <v>755.56337976386703</v>
      </c>
      <c r="D681">
        <v>749.65760997115103</v>
      </c>
      <c r="E681" t="s">
        <v>2876</v>
      </c>
      <c r="F681" t="s">
        <v>3349</v>
      </c>
    </row>
    <row r="682" spans="1:6" x14ac:dyDescent="0.45">
      <c r="A682" t="str">
        <f t="shared" si="10"/>
        <v>ET06,74</v>
      </c>
      <c r="B682">
        <v>74</v>
      </c>
      <c r="C682">
        <v>683.47383099861395</v>
      </c>
      <c r="D682">
        <v>674.210831594968</v>
      </c>
      <c r="E682" t="s">
        <v>2876</v>
      </c>
      <c r="F682" t="s">
        <v>3349</v>
      </c>
    </row>
    <row r="683" spans="1:6" x14ac:dyDescent="0.45">
      <c r="A683" t="str">
        <f t="shared" si="10"/>
        <v>ET06,75</v>
      </c>
      <c r="B683">
        <v>75</v>
      </c>
      <c r="C683">
        <v>611.38428223335995</v>
      </c>
      <c r="D683">
        <v>601.71693811514297</v>
      </c>
      <c r="E683" t="s">
        <v>2876</v>
      </c>
      <c r="F683" t="s">
        <v>3349</v>
      </c>
    </row>
    <row r="684" spans="1:6" x14ac:dyDescent="0.45">
      <c r="A684" t="str">
        <f t="shared" si="10"/>
        <v>ET06,76</v>
      </c>
      <c r="B684">
        <v>76</v>
      </c>
      <c r="C684">
        <v>539.29473346810698</v>
      </c>
      <c r="D684">
        <v>532.580274246248</v>
      </c>
      <c r="E684" t="s">
        <v>2876</v>
      </c>
      <c r="F684" t="s">
        <v>3349</v>
      </c>
    </row>
    <row r="685" spans="1:6" x14ac:dyDescent="0.45">
      <c r="A685" t="str">
        <f t="shared" si="10"/>
        <v>ET06,77</v>
      </c>
      <c r="B685">
        <v>77</v>
      </c>
      <c r="C685">
        <v>467.20518470285401</v>
      </c>
      <c r="D685">
        <v>467.20518470285401</v>
      </c>
      <c r="E685" t="s">
        <v>2876</v>
      </c>
      <c r="F685" t="s">
        <v>3349</v>
      </c>
    </row>
    <row r="686" spans="1:6" x14ac:dyDescent="0.45">
      <c r="A686" t="str">
        <f t="shared" si="10"/>
        <v>ET06,78</v>
      </c>
      <c r="B686">
        <v>78</v>
      </c>
      <c r="C686">
        <v>415.98894776228298</v>
      </c>
      <c r="D686">
        <v>405.997762864506</v>
      </c>
      <c r="E686" t="s">
        <v>2876</v>
      </c>
      <c r="F686" t="s">
        <v>3349</v>
      </c>
    </row>
    <row r="687" spans="1:6" x14ac:dyDescent="0.45">
      <c r="A687" t="str">
        <f t="shared" si="10"/>
        <v>ET06,79</v>
      </c>
      <c r="B687">
        <v>79</v>
      </c>
      <c r="C687">
        <v>364.772710821712</v>
      </c>
      <c r="D687">
        <v>349.37109677063802</v>
      </c>
      <c r="E687" t="s">
        <v>2876</v>
      </c>
      <c r="F687" t="s">
        <v>3349</v>
      </c>
    </row>
    <row r="688" spans="1:6" x14ac:dyDescent="0.45">
      <c r="A688" t="str">
        <f t="shared" si="10"/>
        <v>ET06,80</v>
      </c>
      <c r="B688">
        <v>80</v>
      </c>
      <c r="C688">
        <v>313.55647388114198</v>
      </c>
      <c r="D688">
        <v>297.74002312565898</v>
      </c>
      <c r="E688" t="s">
        <v>2876</v>
      </c>
      <c r="F688" t="s">
        <v>3349</v>
      </c>
    </row>
    <row r="689" spans="1:6" x14ac:dyDescent="0.45">
      <c r="A689" t="str">
        <f t="shared" si="10"/>
        <v>ET06,81</v>
      </c>
      <c r="B689">
        <v>81</v>
      </c>
      <c r="C689">
        <v>262.340236940571</v>
      </c>
      <c r="D689">
        <v>251.519378633977</v>
      </c>
      <c r="E689" t="s">
        <v>2876</v>
      </c>
      <c r="F689" t="s">
        <v>3349</v>
      </c>
    </row>
    <row r="690" spans="1:6" x14ac:dyDescent="0.45">
      <c r="A690" t="str">
        <f t="shared" si="10"/>
        <v>ET06,82</v>
      </c>
      <c r="B690">
        <v>82</v>
      </c>
      <c r="C690">
        <v>211.124</v>
      </c>
      <c r="D690">
        <v>211.124</v>
      </c>
      <c r="E690" t="s">
        <v>2876</v>
      </c>
      <c r="F690" t="s">
        <v>3349</v>
      </c>
    </row>
    <row r="691" spans="1:6" x14ac:dyDescent="0.45">
      <c r="A691" t="str">
        <f t="shared" si="10"/>
        <v>ET06,83</v>
      </c>
      <c r="B691">
        <v>83</v>
      </c>
      <c r="C691">
        <v>185.38560000000001</v>
      </c>
      <c r="D691">
        <v>176.73981689333601</v>
      </c>
      <c r="E691" t="s">
        <v>2876</v>
      </c>
      <c r="F691" t="s">
        <v>3349</v>
      </c>
    </row>
    <row r="692" spans="1:6" x14ac:dyDescent="0.45">
      <c r="A692" t="str">
        <f t="shared" si="10"/>
        <v>ET06,84</v>
      </c>
      <c r="B692">
        <v>84</v>
      </c>
      <c r="C692">
        <v>159.6472</v>
      </c>
      <c r="D692">
        <v>147.63713084439399</v>
      </c>
      <c r="E692" t="s">
        <v>2876</v>
      </c>
      <c r="F692" t="s">
        <v>3349</v>
      </c>
    </row>
    <row r="693" spans="1:6" x14ac:dyDescent="0.45">
      <c r="A693" t="str">
        <f t="shared" si="10"/>
        <v>ET06,85</v>
      </c>
      <c r="B693">
        <v>85</v>
      </c>
      <c r="C693">
        <v>133.90880000000001</v>
      </c>
      <c r="D693">
        <v>122.857336348785</v>
      </c>
      <c r="E693" t="s">
        <v>2876</v>
      </c>
      <c r="F693" t="s">
        <v>3349</v>
      </c>
    </row>
    <row r="694" spans="1:6" x14ac:dyDescent="0.45">
      <c r="A694" t="str">
        <f t="shared" si="10"/>
        <v>ET06,86</v>
      </c>
      <c r="B694">
        <v>86</v>
      </c>
      <c r="C694">
        <v>108.1704</v>
      </c>
      <c r="D694">
        <v>101.441827902117</v>
      </c>
      <c r="E694" t="s">
        <v>2876</v>
      </c>
      <c r="F694" t="s">
        <v>3349</v>
      </c>
    </row>
    <row r="695" spans="1:6" x14ac:dyDescent="0.45">
      <c r="A695" t="str">
        <f t="shared" si="10"/>
        <v>ET06,87</v>
      </c>
      <c r="B695">
        <v>87</v>
      </c>
      <c r="C695">
        <v>82.432000000000002</v>
      </c>
      <c r="D695">
        <v>82.432000000000002</v>
      </c>
      <c r="E695" t="s">
        <v>2876</v>
      </c>
      <c r="F695" t="s">
        <v>3349</v>
      </c>
    </row>
    <row r="696" spans="1:6" x14ac:dyDescent="0.45">
      <c r="A696" t="str">
        <f t="shared" si="10"/>
        <v>ET06,88</v>
      </c>
      <c r="B696">
        <v>88</v>
      </c>
      <c r="C696">
        <v>69.012799999999999</v>
      </c>
      <c r="D696">
        <v>65.072600130011594</v>
      </c>
      <c r="E696" t="s">
        <v>2876</v>
      </c>
      <c r="F696" t="s">
        <v>3349</v>
      </c>
    </row>
    <row r="697" spans="1:6" x14ac:dyDescent="0.45">
      <c r="A697" t="str">
        <f t="shared" si="10"/>
        <v>ET06,89</v>
      </c>
      <c r="B697">
        <v>89</v>
      </c>
      <c r="C697">
        <v>55.593600000000002</v>
      </c>
      <c r="D697">
        <v>49.421787747600597</v>
      </c>
      <c r="E697" t="s">
        <v>2876</v>
      </c>
      <c r="F697" t="s">
        <v>3349</v>
      </c>
    </row>
    <row r="698" spans="1:6" x14ac:dyDescent="0.45">
      <c r="A698" t="str">
        <f t="shared" si="10"/>
        <v>ET06,90</v>
      </c>
      <c r="B698">
        <v>90</v>
      </c>
      <c r="C698">
        <v>42.174399999999999</v>
      </c>
      <c r="D698">
        <v>35.741075300183802</v>
      </c>
      <c r="E698" t="s">
        <v>2876</v>
      </c>
      <c r="F698" t="s">
        <v>3349</v>
      </c>
    </row>
    <row r="699" spans="1:6" x14ac:dyDescent="0.45">
      <c r="A699" t="str">
        <f t="shared" si="10"/>
        <v>ET06,91</v>
      </c>
      <c r="B699">
        <v>91</v>
      </c>
      <c r="C699">
        <v>28.755199999999999</v>
      </c>
      <c r="D699">
        <v>24.291975235178001</v>
      </c>
      <c r="E699" t="s">
        <v>2876</v>
      </c>
      <c r="F699" t="s">
        <v>3349</v>
      </c>
    </row>
    <row r="700" spans="1:6" x14ac:dyDescent="0.45">
      <c r="A700" t="str">
        <f t="shared" si="10"/>
        <v>ET06,92</v>
      </c>
      <c r="B700">
        <v>92</v>
      </c>
      <c r="C700">
        <v>15.336</v>
      </c>
      <c r="D700">
        <v>15.336</v>
      </c>
      <c r="E700" t="s">
        <v>2876</v>
      </c>
      <c r="F700" t="s">
        <v>3349</v>
      </c>
    </row>
    <row r="701" spans="1:6" x14ac:dyDescent="0.45">
      <c r="A701" t="str">
        <f t="shared" si="10"/>
        <v>ET06,93</v>
      </c>
      <c r="B701">
        <v>93</v>
      </c>
      <c r="C701">
        <v>12.476800000000001</v>
      </c>
      <c r="D701">
        <v>9.0061345866176605</v>
      </c>
      <c r="E701" t="s">
        <v>2876</v>
      </c>
      <c r="F701" t="s">
        <v>3349</v>
      </c>
    </row>
    <row r="702" spans="1:6" x14ac:dyDescent="0.45">
      <c r="A702" t="str">
        <f t="shared" si="10"/>
        <v>ET06,94</v>
      </c>
      <c r="B702">
        <v>94</v>
      </c>
      <c r="C702">
        <v>9.6175999999999995</v>
      </c>
      <c r="D702">
        <v>4.9212541652031803</v>
      </c>
      <c r="E702" t="s">
        <v>2876</v>
      </c>
      <c r="F702" t="s">
        <v>3349</v>
      </c>
    </row>
    <row r="703" spans="1:6" x14ac:dyDescent="0.45">
      <c r="A703" t="str">
        <f t="shared" si="10"/>
        <v>ET06,95</v>
      </c>
      <c r="B703">
        <v>95</v>
      </c>
      <c r="C703">
        <v>6.7584</v>
      </c>
      <c r="D703">
        <v>2.5717064504798799</v>
      </c>
      <c r="E703" t="s">
        <v>2876</v>
      </c>
      <c r="F703" t="s">
        <v>3349</v>
      </c>
    </row>
    <row r="704" spans="1:6" x14ac:dyDescent="0.45">
      <c r="A704" t="str">
        <f t="shared" si="10"/>
        <v>ET06,96</v>
      </c>
      <c r="B704">
        <v>96</v>
      </c>
      <c r="C704">
        <v>3.8992</v>
      </c>
      <c r="D704">
        <v>1.4478391571710501</v>
      </c>
      <c r="E704" t="s">
        <v>2876</v>
      </c>
      <c r="F704" t="s">
        <v>3349</v>
      </c>
    </row>
    <row r="705" spans="1:6" x14ac:dyDescent="0.45">
      <c r="A705" t="str">
        <f t="shared" si="10"/>
        <v>ET06,97</v>
      </c>
      <c r="B705">
        <v>97</v>
      </c>
      <c r="C705">
        <v>1.04</v>
      </c>
      <c r="D705">
        <v>1.04</v>
      </c>
      <c r="E705" t="s">
        <v>2876</v>
      </c>
      <c r="F705" t="s">
        <v>3349</v>
      </c>
    </row>
    <row r="706" spans="1:6" x14ac:dyDescent="0.45">
      <c r="A706" t="str">
        <f t="shared" si="10"/>
        <v>ET06,98</v>
      </c>
      <c r="B706">
        <v>98</v>
      </c>
      <c r="C706">
        <v>1.0266666666666699</v>
      </c>
      <c r="D706">
        <v>0.91201341618829401</v>
      </c>
      <c r="E706" t="s">
        <v>2876</v>
      </c>
      <c r="F706" t="s">
        <v>3349</v>
      </c>
    </row>
    <row r="707" spans="1:6" x14ac:dyDescent="0.45">
      <c r="A707" t="str">
        <f t="shared" ref="A707:A770" si="11">_xlfn.CONCAT(E707,",",B707)</f>
        <v>ET06,99</v>
      </c>
      <c r="B707">
        <v>99</v>
      </c>
      <c r="C707">
        <v>1.0133333333333301</v>
      </c>
      <c r="D707">
        <v>0.921610732950635</v>
      </c>
      <c r="E707" t="s">
        <v>2876</v>
      </c>
      <c r="F707" t="s">
        <v>3349</v>
      </c>
    </row>
    <row r="708" spans="1:6" x14ac:dyDescent="0.45">
      <c r="A708" t="str">
        <f t="shared" si="11"/>
        <v>ET06,100</v>
      </c>
      <c r="B708">
        <v>100</v>
      </c>
      <c r="C708">
        <v>1</v>
      </c>
      <c r="D708">
        <v>1</v>
      </c>
      <c r="E708" t="s">
        <v>2876</v>
      </c>
      <c r="F708" t="s">
        <v>3349</v>
      </c>
    </row>
    <row r="709" spans="1:6" x14ac:dyDescent="0.45">
      <c r="A709" t="str">
        <f t="shared" si="11"/>
        <v>ET07,&lt;1</v>
      </c>
      <c r="B709" t="s">
        <v>119</v>
      </c>
      <c r="C709">
        <v>432681.43989970098</v>
      </c>
      <c r="D709">
        <v>432681.43989970098</v>
      </c>
      <c r="E709" t="s">
        <v>2878</v>
      </c>
      <c r="F709" t="s">
        <v>3353</v>
      </c>
    </row>
    <row r="710" spans="1:6" x14ac:dyDescent="0.45">
      <c r="A710" t="str">
        <f t="shared" si="11"/>
        <v>ET07,1</v>
      </c>
      <c r="B710">
        <v>1</v>
      </c>
      <c r="C710">
        <v>416258.54555527703</v>
      </c>
      <c r="D710">
        <v>414776.13275751</v>
      </c>
      <c r="E710" t="s">
        <v>2878</v>
      </c>
      <c r="F710" t="s">
        <v>3353</v>
      </c>
    </row>
    <row r="711" spans="1:6" x14ac:dyDescent="0.45">
      <c r="A711" t="str">
        <f t="shared" si="11"/>
        <v>ET07,2</v>
      </c>
      <c r="B711">
        <v>2</v>
      </c>
      <c r="C711">
        <v>399835.65121085203</v>
      </c>
      <c r="D711">
        <v>399835.65121085302</v>
      </c>
      <c r="E711" t="s">
        <v>2878</v>
      </c>
      <c r="F711" t="s">
        <v>3353</v>
      </c>
    </row>
    <row r="712" spans="1:6" x14ac:dyDescent="0.45">
      <c r="A712" t="str">
        <f t="shared" si="11"/>
        <v>ET07,3</v>
      </c>
      <c r="B712">
        <v>3</v>
      </c>
      <c r="C712">
        <v>393854.31281172601</v>
      </c>
      <c r="D712">
        <v>389997.25634295098</v>
      </c>
      <c r="E712" t="s">
        <v>2878</v>
      </c>
      <c r="F712" t="s">
        <v>3353</v>
      </c>
    </row>
    <row r="713" spans="1:6" x14ac:dyDescent="0.45">
      <c r="A713" t="str">
        <f t="shared" si="11"/>
        <v>ET07,4</v>
      </c>
      <c r="B713">
        <v>4</v>
      </c>
      <c r="C713">
        <v>387872.97441259999</v>
      </c>
      <c r="D713">
        <v>384087.95118777797</v>
      </c>
      <c r="E713" t="s">
        <v>2878</v>
      </c>
      <c r="F713" t="s">
        <v>3353</v>
      </c>
    </row>
    <row r="714" spans="1:6" x14ac:dyDescent="0.45">
      <c r="A714" t="str">
        <f t="shared" si="11"/>
        <v>ET07,5</v>
      </c>
      <c r="B714">
        <v>5</v>
      </c>
      <c r="C714">
        <v>381891.63601347402</v>
      </c>
      <c r="D714">
        <v>380107.17426699202</v>
      </c>
      <c r="E714" t="s">
        <v>2878</v>
      </c>
      <c r="F714" t="s">
        <v>3353</v>
      </c>
    </row>
    <row r="715" spans="1:6" x14ac:dyDescent="0.45">
      <c r="A715" t="str">
        <f t="shared" si="11"/>
        <v>ET07,6</v>
      </c>
      <c r="B715">
        <v>6</v>
      </c>
      <c r="C715">
        <v>375910.297614348</v>
      </c>
      <c r="D715">
        <v>376054.36410225299</v>
      </c>
      <c r="E715" t="s">
        <v>2878</v>
      </c>
      <c r="F715" t="s">
        <v>3353</v>
      </c>
    </row>
    <row r="716" spans="1:6" x14ac:dyDescent="0.45">
      <c r="A716" t="str">
        <f t="shared" si="11"/>
        <v>ET07,7</v>
      </c>
      <c r="B716">
        <v>7</v>
      </c>
      <c r="C716">
        <v>369928.95921522198</v>
      </c>
      <c r="D716">
        <v>369928.95921522198</v>
      </c>
      <c r="E716" t="s">
        <v>2878</v>
      </c>
      <c r="F716" t="s">
        <v>3353</v>
      </c>
    </row>
    <row r="717" spans="1:6" x14ac:dyDescent="0.45">
      <c r="A717" t="str">
        <f t="shared" si="11"/>
        <v>ET07,8</v>
      </c>
      <c r="B717">
        <v>8</v>
      </c>
      <c r="C717">
        <v>356802.06161620398</v>
      </c>
      <c r="D717">
        <v>360259.206999688</v>
      </c>
      <c r="E717" t="s">
        <v>2878</v>
      </c>
      <c r="F717" t="s">
        <v>3353</v>
      </c>
    </row>
    <row r="718" spans="1:6" x14ac:dyDescent="0.45">
      <c r="A718" t="str">
        <f t="shared" si="11"/>
        <v>ET07,9</v>
      </c>
      <c r="B718">
        <v>9</v>
      </c>
      <c r="C718">
        <v>343675.16401718598</v>
      </c>
      <c r="D718">
        <v>347688.59033796698</v>
      </c>
      <c r="E718" t="s">
        <v>2878</v>
      </c>
      <c r="F718" t="s">
        <v>3353</v>
      </c>
    </row>
    <row r="719" spans="1:6" x14ac:dyDescent="0.45">
      <c r="A719" t="str">
        <f t="shared" si="11"/>
        <v>ET07,10</v>
      </c>
      <c r="B719">
        <v>10</v>
      </c>
      <c r="C719">
        <v>330548.26641816797</v>
      </c>
      <c r="D719">
        <v>333389.40098450298</v>
      </c>
      <c r="E719" t="s">
        <v>2878</v>
      </c>
      <c r="F719" t="s">
        <v>3353</v>
      </c>
    </row>
    <row r="720" spans="1:6" x14ac:dyDescent="0.45">
      <c r="A720" t="str">
        <f t="shared" si="11"/>
        <v>ET07,11</v>
      </c>
      <c r="B720">
        <v>11</v>
      </c>
      <c r="C720">
        <v>317421.36881915003</v>
      </c>
      <c r="D720">
        <v>318533.93069374299</v>
      </c>
      <c r="E720" t="s">
        <v>2878</v>
      </c>
      <c r="F720" t="s">
        <v>3353</v>
      </c>
    </row>
    <row r="721" spans="1:6" x14ac:dyDescent="0.45">
      <c r="A721" t="str">
        <f t="shared" si="11"/>
        <v>ET07,12</v>
      </c>
      <c r="B721">
        <v>12</v>
      </c>
      <c r="C721">
        <v>304294.47122013202</v>
      </c>
      <c r="D721">
        <v>304294.47122013202</v>
      </c>
      <c r="E721" t="s">
        <v>2878</v>
      </c>
      <c r="F721" t="s">
        <v>3353</v>
      </c>
    </row>
    <row r="722" spans="1:6" x14ac:dyDescent="0.45">
      <c r="A722" t="str">
        <f t="shared" si="11"/>
        <v>ET07,13</v>
      </c>
      <c r="B722">
        <v>13</v>
      </c>
      <c r="C722">
        <v>292248.96841606899</v>
      </c>
      <c r="D722">
        <v>291528.90959559497</v>
      </c>
      <c r="E722" t="s">
        <v>2878</v>
      </c>
      <c r="F722" t="s">
        <v>3353</v>
      </c>
    </row>
    <row r="723" spans="1:6" x14ac:dyDescent="0.45">
      <c r="A723" t="str">
        <f t="shared" si="11"/>
        <v>ET07,14</v>
      </c>
      <c r="B723">
        <v>14</v>
      </c>
      <c r="C723">
        <v>280203.46561200602</v>
      </c>
      <c r="D723">
        <v>279837.51396197302</v>
      </c>
      <c r="E723" t="s">
        <v>2878</v>
      </c>
      <c r="F723" t="s">
        <v>3353</v>
      </c>
    </row>
    <row r="724" spans="1:6" x14ac:dyDescent="0.45">
      <c r="A724" t="str">
        <f t="shared" si="11"/>
        <v>ET07,15</v>
      </c>
      <c r="B724">
        <v>15</v>
      </c>
      <c r="C724">
        <v>268157.96280794201</v>
      </c>
      <c r="D724">
        <v>268506.14773858798</v>
      </c>
      <c r="E724" t="s">
        <v>2878</v>
      </c>
      <c r="F724" t="s">
        <v>3353</v>
      </c>
    </row>
    <row r="725" spans="1:6" x14ac:dyDescent="0.45">
      <c r="A725" t="str">
        <f t="shared" si="11"/>
        <v>ET07,16</v>
      </c>
      <c r="B725">
        <v>16</v>
      </c>
      <c r="C725">
        <v>256112.46000387901</v>
      </c>
      <c r="D725">
        <v>256820.674344762</v>
      </c>
      <c r="E725" t="s">
        <v>2878</v>
      </c>
      <c r="F725" t="s">
        <v>3353</v>
      </c>
    </row>
    <row r="726" spans="1:6" x14ac:dyDescent="0.45">
      <c r="A726" t="str">
        <f t="shared" si="11"/>
        <v>ET07,17</v>
      </c>
      <c r="B726">
        <v>17</v>
      </c>
      <c r="C726">
        <v>244066.95719981601</v>
      </c>
      <c r="D726">
        <v>244066.95719981601</v>
      </c>
      <c r="E726" t="s">
        <v>2878</v>
      </c>
      <c r="F726" t="s">
        <v>3353</v>
      </c>
    </row>
    <row r="727" spans="1:6" x14ac:dyDescent="0.45">
      <c r="A727" t="str">
        <f t="shared" si="11"/>
        <v>ET07,18</v>
      </c>
      <c r="B727">
        <v>18</v>
      </c>
      <c r="C727">
        <v>232361.70223417901</v>
      </c>
      <c r="D727">
        <v>229900.94570296799</v>
      </c>
      <c r="E727" t="s">
        <v>2878</v>
      </c>
      <c r="F727" t="s">
        <v>3353</v>
      </c>
    </row>
    <row r="728" spans="1:6" x14ac:dyDescent="0.45">
      <c r="A728" t="str">
        <f t="shared" si="11"/>
        <v>ET07,19</v>
      </c>
      <c r="B728">
        <v>19</v>
      </c>
      <c r="C728">
        <v>220656.44726854301</v>
      </c>
      <c r="D728">
        <v>215458.93317302299</v>
      </c>
      <c r="E728" t="s">
        <v>2878</v>
      </c>
      <c r="F728" t="s">
        <v>3353</v>
      </c>
    </row>
    <row r="729" spans="1:6" x14ac:dyDescent="0.45">
      <c r="A729" t="str">
        <f t="shared" si="11"/>
        <v>ET07,20</v>
      </c>
      <c r="B729">
        <v>20</v>
      </c>
      <c r="C729">
        <v>208951.19230290601</v>
      </c>
      <c r="D729">
        <v>202247.298908684</v>
      </c>
      <c r="E729" t="s">
        <v>2878</v>
      </c>
      <c r="F729" t="s">
        <v>3353</v>
      </c>
    </row>
    <row r="730" spans="1:6" x14ac:dyDescent="0.45">
      <c r="A730" t="str">
        <f t="shared" si="11"/>
        <v>ET07,21</v>
      </c>
      <c r="B730">
        <v>21</v>
      </c>
      <c r="C730">
        <v>197245.93733726899</v>
      </c>
      <c r="D730">
        <v>191772.42220865301</v>
      </c>
      <c r="E730" t="s">
        <v>2878</v>
      </c>
      <c r="F730" t="s">
        <v>3353</v>
      </c>
    </row>
    <row r="731" spans="1:6" x14ac:dyDescent="0.45">
      <c r="A731" t="str">
        <f t="shared" si="11"/>
        <v>ET07,22</v>
      </c>
      <c r="B731">
        <v>22</v>
      </c>
      <c r="C731">
        <v>185540.68237163301</v>
      </c>
      <c r="D731">
        <v>185540.68237163301</v>
      </c>
      <c r="E731" t="s">
        <v>2878</v>
      </c>
      <c r="F731" t="s">
        <v>3353</v>
      </c>
    </row>
    <row r="732" spans="1:6" x14ac:dyDescent="0.45">
      <c r="A732" t="str">
        <f t="shared" si="11"/>
        <v>ET07,23</v>
      </c>
      <c r="B732">
        <v>23</v>
      </c>
      <c r="C732">
        <v>186683.79278132701</v>
      </c>
      <c r="D732">
        <v>184422.490078995</v>
      </c>
      <c r="E732" t="s">
        <v>2878</v>
      </c>
      <c r="F732" t="s">
        <v>3353</v>
      </c>
    </row>
    <row r="733" spans="1:6" x14ac:dyDescent="0.45">
      <c r="A733" t="str">
        <f t="shared" si="11"/>
        <v>ET07,24</v>
      </c>
      <c r="B733">
        <v>24</v>
      </c>
      <c r="C733">
        <v>187826.903191021</v>
      </c>
      <c r="D733">
        <v>186744.38154279799</v>
      </c>
      <c r="E733" t="s">
        <v>2878</v>
      </c>
      <c r="F733" t="s">
        <v>3353</v>
      </c>
    </row>
    <row r="734" spans="1:6" x14ac:dyDescent="0.45">
      <c r="A734" t="str">
        <f t="shared" si="11"/>
        <v>ET07,25</v>
      </c>
      <c r="B734">
        <v>25</v>
      </c>
      <c r="C734">
        <v>188970.013600715</v>
      </c>
      <c r="D734">
        <v>190196.924357765</v>
      </c>
      <c r="E734" t="s">
        <v>2878</v>
      </c>
      <c r="F734" t="s">
        <v>3353</v>
      </c>
    </row>
    <row r="735" spans="1:6" x14ac:dyDescent="0.45">
      <c r="A735" t="str">
        <f t="shared" si="11"/>
        <v>ET07,26</v>
      </c>
      <c r="B735">
        <v>26</v>
      </c>
      <c r="C735">
        <v>190113.124010409</v>
      </c>
      <c r="D735">
        <v>192470.68611862499</v>
      </c>
      <c r="E735" t="s">
        <v>2878</v>
      </c>
      <c r="F735" t="s">
        <v>3353</v>
      </c>
    </row>
    <row r="736" spans="1:6" x14ac:dyDescent="0.45">
      <c r="A736" t="str">
        <f t="shared" si="11"/>
        <v>ET07,27</v>
      </c>
      <c r="B736">
        <v>27</v>
      </c>
      <c r="C736">
        <v>191256.23442010299</v>
      </c>
      <c r="D736">
        <v>191256.23442010299</v>
      </c>
      <c r="E736" t="s">
        <v>2878</v>
      </c>
      <c r="F736" t="s">
        <v>3353</v>
      </c>
    </row>
    <row r="737" spans="1:6" x14ac:dyDescent="0.45">
      <c r="A737" t="str">
        <f t="shared" si="11"/>
        <v>ET07,28</v>
      </c>
      <c r="B737">
        <v>28</v>
      </c>
      <c r="C737">
        <v>181506.406978549</v>
      </c>
      <c r="D737">
        <v>184967.94851580699</v>
      </c>
      <c r="E737" t="s">
        <v>2878</v>
      </c>
      <c r="F737" t="s">
        <v>3353</v>
      </c>
    </row>
    <row r="738" spans="1:6" x14ac:dyDescent="0.45">
      <c r="A738" t="str">
        <f t="shared" si="11"/>
        <v>ET07,29</v>
      </c>
      <c r="B738">
        <v>29</v>
      </c>
      <c r="C738">
        <v>171756.57953699501</v>
      </c>
      <c r="D738">
        <v>174915.45429486901</v>
      </c>
      <c r="E738" t="s">
        <v>2878</v>
      </c>
      <c r="F738" t="s">
        <v>3353</v>
      </c>
    </row>
    <row r="739" spans="1:6" x14ac:dyDescent="0.45">
      <c r="A739" t="str">
        <f t="shared" si="11"/>
        <v>ET07,30</v>
      </c>
      <c r="B739">
        <v>30</v>
      </c>
      <c r="C739">
        <v>162006.75209544101</v>
      </c>
      <c r="D739">
        <v>163132.18930530199</v>
      </c>
      <c r="E739" t="s">
        <v>2878</v>
      </c>
      <c r="F739" t="s">
        <v>3353</v>
      </c>
    </row>
    <row r="740" spans="1:6" x14ac:dyDescent="0.45">
      <c r="A740" t="str">
        <f t="shared" si="11"/>
        <v>ET07,31</v>
      </c>
      <c r="B740">
        <v>31</v>
      </c>
      <c r="C740">
        <v>152256.924653886</v>
      </c>
      <c r="D740">
        <v>151651.59109511899</v>
      </c>
      <c r="E740" t="s">
        <v>2878</v>
      </c>
      <c r="F740" t="s">
        <v>3353</v>
      </c>
    </row>
    <row r="741" spans="1:6" x14ac:dyDescent="0.45">
      <c r="A741" t="str">
        <f t="shared" si="11"/>
        <v>ET07,32</v>
      </c>
      <c r="B741">
        <v>32</v>
      </c>
      <c r="C741">
        <v>142507.09721233201</v>
      </c>
      <c r="D741">
        <v>142507.09721233201</v>
      </c>
      <c r="E741" t="s">
        <v>2878</v>
      </c>
      <c r="F741" t="s">
        <v>3353</v>
      </c>
    </row>
    <row r="742" spans="1:6" x14ac:dyDescent="0.45">
      <c r="A742" t="str">
        <f t="shared" si="11"/>
        <v>ET07,33</v>
      </c>
      <c r="B742">
        <v>33</v>
      </c>
      <c r="C742">
        <v>140146.814298023</v>
      </c>
      <c r="D742">
        <v>137153.81861096399</v>
      </c>
      <c r="E742" t="s">
        <v>2878</v>
      </c>
      <c r="F742" t="s">
        <v>3353</v>
      </c>
    </row>
    <row r="743" spans="1:6" x14ac:dyDescent="0.45">
      <c r="A743" t="str">
        <f t="shared" si="11"/>
        <v>ET07,34</v>
      </c>
      <c r="B743">
        <v>34</v>
      </c>
      <c r="C743">
        <v>137786.53138371301</v>
      </c>
      <c r="D743">
        <v>134733.55986906501</v>
      </c>
      <c r="E743" t="s">
        <v>2878</v>
      </c>
      <c r="F743" t="s">
        <v>3353</v>
      </c>
    </row>
    <row r="744" spans="1:6" x14ac:dyDescent="0.45">
      <c r="A744" t="str">
        <f t="shared" si="11"/>
        <v>ET07,35</v>
      </c>
      <c r="B744">
        <v>35</v>
      </c>
      <c r="C744">
        <v>135426.24846940301</v>
      </c>
      <c r="D744">
        <v>133809.79897069599</v>
      </c>
      <c r="E744" t="s">
        <v>2878</v>
      </c>
      <c r="F744" t="s">
        <v>3353</v>
      </c>
    </row>
    <row r="745" spans="1:6" x14ac:dyDescent="0.45">
      <c r="A745" t="str">
        <f t="shared" si="11"/>
        <v>ET07,36</v>
      </c>
      <c r="B745">
        <v>36</v>
      </c>
      <c r="C745">
        <v>133065.96555509401</v>
      </c>
      <c r="D745">
        <v>132946.013899916</v>
      </c>
      <c r="E745" t="s">
        <v>2878</v>
      </c>
      <c r="F745" t="s">
        <v>3353</v>
      </c>
    </row>
    <row r="746" spans="1:6" x14ac:dyDescent="0.45">
      <c r="A746" t="str">
        <f t="shared" si="11"/>
        <v>ET07,37</v>
      </c>
      <c r="B746">
        <v>37</v>
      </c>
      <c r="C746">
        <v>130705.682640784</v>
      </c>
      <c r="D746">
        <v>130705.682640784</v>
      </c>
      <c r="E746" t="s">
        <v>2878</v>
      </c>
      <c r="F746" t="s">
        <v>3353</v>
      </c>
    </row>
    <row r="747" spans="1:6" x14ac:dyDescent="0.45">
      <c r="A747" t="str">
        <f t="shared" si="11"/>
        <v>ET07,38</v>
      </c>
      <c r="B747">
        <v>38</v>
      </c>
      <c r="C747">
        <v>123983.00020571001</v>
      </c>
      <c r="D747">
        <v>126040.400837389</v>
      </c>
      <c r="E747" t="s">
        <v>2878</v>
      </c>
      <c r="F747" t="s">
        <v>3353</v>
      </c>
    </row>
    <row r="748" spans="1:6" x14ac:dyDescent="0.45">
      <c r="A748" t="str">
        <f t="shared" si="11"/>
        <v>ET07,39</v>
      </c>
      <c r="B748">
        <v>39</v>
      </c>
      <c r="C748">
        <v>117260.317770636</v>
      </c>
      <c r="D748">
        <v>119454.234773929</v>
      </c>
      <c r="E748" t="s">
        <v>2878</v>
      </c>
      <c r="F748" t="s">
        <v>3353</v>
      </c>
    </row>
    <row r="749" spans="1:6" x14ac:dyDescent="0.45">
      <c r="A749" t="str">
        <f t="shared" si="11"/>
        <v>ET07,40</v>
      </c>
      <c r="B749">
        <v>40</v>
      </c>
      <c r="C749">
        <v>110537.63533556199</v>
      </c>
      <c r="D749">
        <v>111839.368394629</v>
      </c>
      <c r="E749" t="s">
        <v>2878</v>
      </c>
      <c r="F749" t="s">
        <v>3353</v>
      </c>
    </row>
    <row r="750" spans="1:6" x14ac:dyDescent="0.45">
      <c r="A750" t="str">
        <f t="shared" si="11"/>
        <v>ET07,41</v>
      </c>
      <c r="B750">
        <v>41</v>
      </c>
      <c r="C750">
        <v>103814.952900488</v>
      </c>
      <c r="D750">
        <v>104087.985643715</v>
      </c>
      <c r="E750" t="s">
        <v>2878</v>
      </c>
      <c r="F750" t="s">
        <v>3353</v>
      </c>
    </row>
    <row r="751" spans="1:6" x14ac:dyDescent="0.45">
      <c r="A751" t="str">
        <f t="shared" si="11"/>
        <v>ET07,42</v>
      </c>
      <c r="B751">
        <v>42</v>
      </c>
      <c r="C751">
        <v>97092.2704654134</v>
      </c>
      <c r="D751">
        <v>97092.2704654134</v>
      </c>
      <c r="E751" t="s">
        <v>2878</v>
      </c>
      <c r="F751" t="s">
        <v>3353</v>
      </c>
    </row>
    <row r="752" spans="1:6" x14ac:dyDescent="0.45">
      <c r="A752" t="str">
        <f t="shared" si="11"/>
        <v>ET07,43</v>
      </c>
      <c r="B752">
        <v>43</v>
      </c>
      <c r="C752">
        <v>93083.942914123196</v>
      </c>
      <c r="D752">
        <v>91523.410695933897</v>
      </c>
      <c r="E752" t="s">
        <v>2878</v>
      </c>
      <c r="F752" t="s">
        <v>3353</v>
      </c>
    </row>
    <row r="753" spans="1:6" x14ac:dyDescent="0.45">
      <c r="A753" t="str">
        <f t="shared" si="11"/>
        <v>ET07,44</v>
      </c>
      <c r="B753">
        <v>44</v>
      </c>
      <c r="C753">
        <v>89075.615362832905</v>
      </c>
      <c r="D753">
        <v>87168.609739420805</v>
      </c>
      <c r="E753" t="s">
        <v>2878</v>
      </c>
      <c r="F753" t="s">
        <v>3353</v>
      </c>
    </row>
    <row r="754" spans="1:6" x14ac:dyDescent="0.45">
      <c r="A754" t="str">
        <f t="shared" si="11"/>
        <v>ET07,45</v>
      </c>
      <c r="B754">
        <v>45</v>
      </c>
      <c r="C754">
        <v>85067.287811542701</v>
      </c>
      <c r="D754">
        <v>83594.074892002405</v>
      </c>
      <c r="E754" t="s">
        <v>2878</v>
      </c>
      <c r="F754" t="s">
        <v>3353</v>
      </c>
    </row>
    <row r="755" spans="1:6" x14ac:dyDescent="0.45">
      <c r="A755" t="str">
        <f t="shared" si="11"/>
        <v>ET07,46</v>
      </c>
      <c r="B755">
        <v>46</v>
      </c>
      <c r="C755">
        <v>81058.960260252396</v>
      </c>
      <c r="D755">
        <v>80366.013449806793</v>
      </c>
      <c r="E755" t="s">
        <v>2878</v>
      </c>
      <c r="F755" t="s">
        <v>3353</v>
      </c>
    </row>
    <row r="756" spans="1:6" x14ac:dyDescent="0.45">
      <c r="A756" t="str">
        <f t="shared" si="11"/>
        <v>ET07,47</v>
      </c>
      <c r="B756">
        <v>47</v>
      </c>
      <c r="C756">
        <v>77050.632708962206</v>
      </c>
      <c r="D756">
        <v>77050.632708962206</v>
      </c>
      <c r="E756" t="s">
        <v>2878</v>
      </c>
      <c r="F756" t="s">
        <v>3353</v>
      </c>
    </row>
    <row r="757" spans="1:6" x14ac:dyDescent="0.45">
      <c r="A757" t="str">
        <f t="shared" si="11"/>
        <v>ET07,48</v>
      </c>
      <c r="B757">
        <v>48</v>
      </c>
      <c r="C757">
        <v>73068.212537053798</v>
      </c>
      <c r="D757">
        <v>73319.398661276296</v>
      </c>
      <c r="E757" t="s">
        <v>2878</v>
      </c>
      <c r="F757" t="s">
        <v>3353</v>
      </c>
    </row>
    <row r="758" spans="1:6" x14ac:dyDescent="0.45">
      <c r="A758" t="str">
        <f t="shared" si="11"/>
        <v>ET07,49</v>
      </c>
      <c r="B758">
        <v>49</v>
      </c>
      <c r="C758">
        <v>69085.792365145506</v>
      </c>
      <c r="D758">
        <v>69264.8120812743</v>
      </c>
      <c r="E758" t="s">
        <v>2878</v>
      </c>
      <c r="F758" t="s">
        <v>3353</v>
      </c>
    </row>
    <row r="759" spans="1:6" x14ac:dyDescent="0.45">
      <c r="A759" t="str">
        <f t="shared" si="11"/>
        <v>ET07,50</v>
      </c>
      <c r="B759">
        <v>50</v>
      </c>
      <c r="C759">
        <v>65103.372193237097</v>
      </c>
      <c r="D759">
        <v>65084.6324391612</v>
      </c>
      <c r="E759" t="s">
        <v>2878</v>
      </c>
      <c r="F759" t="s">
        <v>3353</v>
      </c>
    </row>
    <row r="760" spans="1:6" x14ac:dyDescent="0.45">
      <c r="A760" t="str">
        <f t="shared" si="11"/>
        <v>ET07,51</v>
      </c>
      <c r="B760">
        <v>51</v>
      </c>
      <c r="C760">
        <v>61120.952021328798</v>
      </c>
      <c r="D760">
        <v>60976.6192051416</v>
      </c>
      <c r="E760" t="s">
        <v>2878</v>
      </c>
      <c r="F760" t="s">
        <v>3353</v>
      </c>
    </row>
    <row r="761" spans="1:6" x14ac:dyDescent="0.45">
      <c r="A761" t="str">
        <f t="shared" si="11"/>
        <v>ET07,52</v>
      </c>
      <c r="B761">
        <v>52</v>
      </c>
      <c r="C761">
        <v>57138.531849420397</v>
      </c>
      <c r="D761">
        <v>57138.531849420397</v>
      </c>
      <c r="E761" t="s">
        <v>2878</v>
      </c>
      <c r="F761" t="s">
        <v>3353</v>
      </c>
    </row>
    <row r="762" spans="1:6" x14ac:dyDescent="0.45">
      <c r="A762" t="str">
        <f t="shared" si="11"/>
        <v>ET07,53</v>
      </c>
      <c r="B762">
        <v>53</v>
      </c>
      <c r="C762">
        <v>54401.417931032003</v>
      </c>
      <c r="D762">
        <v>53724.405022642502</v>
      </c>
      <c r="E762" t="s">
        <v>2878</v>
      </c>
      <c r="F762" t="s">
        <v>3353</v>
      </c>
    </row>
    <row r="763" spans="1:6" x14ac:dyDescent="0.45">
      <c r="A763" t="str">
        <f t="shared" si="11"/>
        <v>ET07,54</v>
      </c>
      <c r="B763">
        <v>54</v>
      </c>
      <c r="C763">
        <v>51664.304012643697</v>
      </c>
      <c r="D763">
        <v>50713.374097213498</v>
      </c>
      <c r="E763" t="s">
        <v>2878</v>
      </c>
      <c r="F763" t="s">
        <v>3353</v>
      </c>
    </row>
    <row r="764" spans="1:6" x14ac:dyDescent="0.45">
      <c r="A764" t="str">
        <f t="shared" si="11"/>
        <v>ET07,55</v>
      </c>
      <c r="B764">
        <v>55</v>
      </c>
      <c r="C764">
        <v>48927.190094255297</v>
      </c>
      <c r="D764">
        <v>48040.849625979397</v>
      </c>
      <c r="E764" t="s">
        <v>2878</v>
      </c>
      <c r="F764" t="s">
        <v>3353</v>
      </c>
    </row>
    <row r="765" spans="1:6" x14ac:dyDescent="0.45">
      <c r="A765" t="str">
        <f t="shared" si="11"/>
        <v>ET07,56</v>
      </c>
      <c r="B765">
        <v>56</v>
      </c>
      <c r="C765">
        <v>46190.076175866998</v>
      </c>
      <c r="D765">
        <v>45642.242161785798</v>
      </c>
      <c r="E765" t="s">
        <v>2878</v>
      </c>
      <c r="F765" t="s">
        <v>3353</v>
      </c>
    </row>
    <row r="766" spans="1:6" x14ac:dyDescent="0.45">
      <c r="A766" t="str">
        <f t="shared" si="11"/>
        <v>ET07,57</v>
      </c>
      <c r="B766">
        <v>57</v>
      </c>
      <c r="C766">
        <v>43452.962257478597</v>
      </c>
      <c r="D766">
        <v>43452.962257478597</v>
      </c>
      <c r="E766" t="s">
        <v>2878</v>
      </c>
      <c r="F766" t="s">
        <v>3353</v>
      </c>
    </row>
    <row r="767" spans="1:6" x14ac:dyDescent="0.45">
      <c r="A767" t="str">
        <f t="shared" si="11"/>
        <v>ET07,58</v>
      </c>
      <c r="B767">
        <v>58</v>
      </c>
      <c r="C767">
        <v>41485.963472116302</v>
      </c>
      <c r="D767">
        <v>41410.277448678302</v>
      </c>
      <c r="E767" t="s">
        <v>2878</v>
      </c>
      <c r="F767" t="s">
        <v>3353</v>
      </c>
    </row>
    <row r="768" spans="1:6" x14ac:dyDescent="0.45">
      <c r="A768" t="str">
        <f t="shared" si="11"/>
        <v>ET07,59</v>
      </c>
      <c r="B768">
        <v>59</v>
      </c>
      <c r="C768">
        <v>39518.964686754</v>
      </c>
      <c r="D768">
        <v>39458.8832021036</v>
      </c>
      <c r="E768" t="s">
        <v>2878</v>
      </c>
      <c r="F768" t="s">
        <v>3353</v>
      </c>
    </row>
    <row r="769" spans="1:6" x14ac:dyDescent="0.45">
      <c r="A769" t="str">
        <f t="shared" si="11"/>
        <v>ET07,60</v>
      </c>
      <c r="B769">
        <v>60</v>
      </c>
      <c r="C769">
        <v>37551.965901391603</v>
      </c>
      <c r="D769">
        <v>37545.331967247897</v>
      </c>
      <c r="E769" t="s">
        <v>2878</v>
      </c>
      <c r="F769" t="s">
        <v>3353</v>
      </c>
    </row>
    <row r="770" spans="1:6" x14ac:dyDescent="0.45">
      <c r="A770" t="str">
        <f t="shared" si="11"/>
        <v>ET07,61</v>
      </c>
      <c r="B770">
        <v>61</v>
      </c>
      <c r="C770">
        <v>35584.9671160293</v>
      </c>
      <c r="D770">
        <v>35616.1761936045</v>
      </c>
      <c r="E770" t="s">
        <v>2878</v>
      </c>
      <c r="F770" t="s">
        <v>3353</v>
      </c>
    </row>
    <row r="771" spans="1:6" x14ac:dyDescent="0.45">
      <c r="A771" t="str">
        <f t="shared" ref="A771:A834" si="12">_xlfn.CONCAT(E771,",",B771)</f>
        <v>ET07,62</v>
      </c>
      <c r="B771">
        <v>62</v>
      </c>
      <c r="C771">
        <v>33617.968330666998</v>
      </c>
      <c r="D771">
        <v>33617.968330666998</v>
      </c>
      <c r="E771" t="s">
        <v>2878</v>
      </c>
      <c r="F771" t="s">
        <v>3353</v>
      </c>
    </row>
    <row r="772" spans="1:6" x14ac:dyDescent="0.45">
      <c r="A772" t="str">
        <f t="shared" si="12"/>
        <v>ET07,63</v>
      </c>
      <c r="B772">
        <v>63</v>
      </c>
      <c r="C772">
        <v>31504.941696603601</v>
      </c>
      <c r="D772">
        <v>31515.919641940702</v>
      </c>
      <c r="E772" t="s">
        <v>2878</v>
      </c>
      <c r="F772" t="s">
        <v>3353</v>
      </c>
    </row>
    <row r="773" spans="1:6" x14ac:dyDescent="0.45">
      <c r="A773" t="str">
        <f t="shared" si="12"/>
        <v>ET07,64</v>
      </c>
      <c r="B773">
        <v>64</v>
      </c>
      <c r="C773">
        <v>29391.915062540102</v>
      </c>
      <c r="D773">
        <v>29349.876646979799</v>
      </c>
      <c r="E773" t="s">
        <v>2878</v>
      </c>
      <c r="F773" t="s">
        <v>3353</v>
      </c>
    </row>
    <row r="774" spans="1:6" x14ac:dyDescent="0.45">
      <c r="A774" t="str">
        <f t="shared" si="12"/>
        <v>ET07,65</v>
      </c>
      <c r="B774">
        <v>65</v>
      </c>
      <c r="C774">
        <v>27278.888428476701</v>
      </c>
      <c r="D774">
        <v>27178.344679350201</v>
      </c>
      <c r="E774" t="s">
        <v>2878</v>
      </c>
      <c r="F774" t="s">
        <v>3353</v>
      </c>
    </row>
    <row r="775" spans="1:6" x14ac:dyDescent="0.45">
      <c r="A775" t="str">
        <f t="shared" si="12"/>
        <v>ET07,66</v>
      </c>
      <c r="B775">
        <v>66</v>
      </c>
      <c r="C775">
        <v>25165.861794413198</v>
      </c>
      <c r="D775">
        <v>25059.829072618199</v>
      </c>
      <c r="E775" t="s">
        <v>2878</v>
      </c>
      <c r="F775" t="s">
        <v>3353</v>
      </c>
    </row>
    <row r="776" spans="1:6" x14ac:dyDescent="0.45">
      <c r="A776" t="str">
        <f t="shared" si="12"/>
        <v>ET07,67</v>
      </c>
      <c r="B776">
        <v>67</v>
      </c>
      <c r="C776">
        <v>23052.835160349801</v>
      </c>
      <c r="D776">
        <v>23052.835160349801</v>
      </c>
      <c r="E776" t="s">
        <v>2878</v>
      </c>
      <c r="F776" t="s">
        <v>3353</v>
      </c>
    </row>
    <row r="777" spans="1:6" x14ac:dyDescent="0.45">
      <c r="A777" t="str">
        <f t="shared" si="12"/>
        <v>ET07,68</v>
      </c>
      <c r="B777">
        <v>68</v>
      </c>
      <c r="C777">
        <v>21457.2061976677</v>
      </c>
      <c r="D777">
        <v>21202.5587773605</v>
      </c>
      <c r="E777" t="s">
        <v>2878</v>
      </c>
      <c r="F777" t="s">
        <v>3353</v>
      </c>
    </row>
    <row r="778" spans="1:6" x14ac:dyDescent="0.45">
      <c r="A778" t="str">
        <f t="shared" si="12"/>
        <v>ET07,69</v>
      </c>
      <c r="B778">
        <v>69</v>
      </c>
      <c r="C778">
        <v>19861.577234985602</v>
      </c>
      <c r="D778">
        <v>19500.957763462899</v>
      </c>
      <c r="E778" t="s">
        <v>2878</v>
      </c>
      <c r="F778" t="s">
        <v>3353</v>
      </c>
    </row>
    <row r="779" spans="1:6" x14ac:dyDescent="0.45">
      <c r="A779" t="str">
        <f t="shared" si="12"/>
        <v>ET07,70</v>
      </c>
      <c r="B779">
        <v>70</v>
      </c>
      <c r="C779">
        <v>18265.9482723035</v>
      </c>
      <c r="D779">
        <v>17926.6804597189</v>
      </c>
      <c r="E779" t="s">
        <v>2878</v>
      </c>
      <c r="F779" t="s">
        <v>3353</v>
      </c>
    </row>
    <row r="780" spans="1:6" x14ac:dyDescent="0.45">
      <c r="A780" t="str">
        <f t="shared" si="12"/>
        <v>ET07,71</v>
      </c>
      <c r="B780">
        <v>71</v>
      </c>
      <c r="C780">
        <v>16670.319309621402</v>
      </c>
      <c r="D780">
        <v>16458.375207190398</v>
      </c>
      <c r="E780" t="s">
        <v>2878</v>
      </c>
      <c r="F780" t="s">
        <v>3353</v>
      </c>
    </row>
    <row r="781" spans="1:6" x14ac:dyDescent="0.45">
      <c r="A781" t="str">
        <f t="shared" si="12"/>
        <v>ET07,72</v>
      </c>
      <c r="B781">
        <v>72</v>
      </c>
      <c r="C781">
        <v>15074.6903469392</v>
      </c>
      <c r="D781">
        <v>15074.6903469392</v>
      </c>
      <c r="E781" t="s">
        <v>2878</v>
      </c>
      <c r="F781" t="s">
        <v>3353</v>
      </c>
    </row>
    <row r="782" spans="1:6" x14ac:dyDescent="0.45">
      <c r="A782" t="str">
        <f t="shared" si="12"/>
        <v>ET07,73</v>
      </c>
      <c r="B782">
        <v>73</v>
      </c>
      <c r="C782">
        <v>13852.6401309271</v>
      </c>
      <c r="D782">
        <v>13756.5636232263</v>
      </c>
      <c r="E782" t="s">
        <v>2878</v>
      </c>
      <c r="F782" t="s">
        <v>3353</v>
      </c>
    </row>
    <row r="783" spans="1:6" x14ac:dyDescent="0.45">
      <c r="A783" t="str">
        <f t="shared" si="12"/>
        <v>ET07,74</v>
      </c>
      <c r="B783">
        <v>74</v>
      </c>
      <c r="C783">
        <v>12630.589914914901</v>
      </c>
      <c r="D783">
        <v>12494.090393108099</v>
      </c>
      <c r="E783" t="s">
        <v>2878</v>
      </c>
      <c r="F783" t="s">
        <v>3353</v>
      </c>
    </row>
    <row r="784" spans="1:6" x14ac:dyDescent="0.45">
      <c r="A784" t="str">
        <f t="shared" si="12"/>
        <v>ET07,75</v>
      </c>
      <c r="B784">
        <v>75</v>
      </c>
      <c r="C784">
        <v>11408.539698902699</v>
      </c>
      <c r="D784">
        <v>11279.6554168404</v>
      </c>
      <c r="E784" t="s">
        <v>2878</v>
      </c>
      <c r="F784" t="s">
        <v>3353</v>
      </c>
    </row>
    <row r="785" spans="1:6" x14ac:dyDescent="0.45">
      <c r="A785" t="str">
        <f t="shared" si="12"/>
        <v>ET07,76</v>
      </c>
      <c r="B785">
        <v>76</v>
      </c>
      <c r="C785">
        <v>10186.4894828905</v>
      </c>
      <c r="D785">
        <v>10105.6434546786</v>
      </c>
      <c r="E785" t="s">
        <v>2878</v>
      </c>
      <c r="F785" t="s">
        <v>3353</v>
      </c>
    </row>
    <row r="786" spans="1:6" x14ac:dyDescent="0.45">
      <c r="A786" t="str">
        <f t="shared" si="12"/>
        <v>ET07,77</v>
      </c>
      <c r="B786">
        <v>77</v>
      </c>
      <c r="C786">
        <v>8964.4392668783203</v>
      </c>
      <c r="D786">
        <v>8964.4392668783203</v>
      </c>
      <c r="E786" t="s">
        <v>2878</v>
      </c>
      <c r="F786" t="s">
        <v>3353</v>
      </c>
    </row>
    <row r="787" spans="1:6" x14ac:dyDescent="0.45">
      <c r="A787" t="str">
        <f t="shared" si="12"/>
        <v>ET07,78</v>
      </c>
      <c r="B787">
        <v>78</v>
      </c>
      <c r="C787">
        <v>7988.2234135026602</v>
      </c>
      <c r="D787">
        <v>7853.2224812772001</v>
      </c>
      <c r="E787" t="s">
        <v>2878</v>
      </c>
      <c r="F787" t="s">
        <v>3353</v>
      </c>
    </row>
    <row r="788" spans="1:6" x14ac:dyDescent="0.45">
      <c r="A788" t="str">
        <f t="shared" si="12"/>
        <v>ET07,79</v>
      </c>
      <c r="B788">
        <v>79</v>
      </c>
      <c r="C788">
        <v>7012.00756012699</v>
      </c>
      <c r="D788">
        <v>6788.3521960409998</v>
      </c>
      <c r="E788" t="s">
        <v>2878</v>
      </c>
      <c r="F788" t="s">
        <v>3353</v>
      </c>
    </row>
    <row r="789" spans="1:6" x14ac:dyDescent="0.45">
      <c r="A789" t="str">
        <f t="shared" si="12"/>
        <v>ET07,80</v>
      </c>
      <c r="B789">
        <v>80</v>
      </c>
      <c r="C789">
        <v>6035.7917067513299</v>
      </c>
      <c r="D789">
        <v>5790.98237691752</v>
      </c>
      <c r="E789" t="s">
        <v>2878</v>
      </c>
      <c r="F789" t="s">
        <v>3353</v>
      </c>
    </row>
    <row r="790" spans="1:6" x14ac:dyDescent="0.45">
      <c r="A790" t="str">
        <f t="shared" si="12"/>
        <v>ET07,81</v>
      </c>
      <c r="B790">
        <v>81</v>
      </c>
      <c r="C790">
        <v>5059.5758533756598</v>
      </c>
      <c r="D790">
        <v>4882.2669896545804</v>
      </c>
      <c r="E790" t="s">
        <v>2878</v>
      </c>
      <c r="F790" t="s">
        <v>3353</v>
      </c>
    </row>
    <row r="791" spans="1:6" x14ac:dyDescent="0.45">
      <c r="A791" t="str">
        <f t="shared" si="12"/>
        <v>ET07,82</v>
      </c>
      <c r="B791">
        <v>82</v>
      </c>
      <c r="C791">
        <v>4083.36</v>
      </c>
      <c r="D791">
        <v>4083.36</v>
      </c>
      <c r="E791" t="s">
        <v>2878</v>
      </c>
      <c r="F791" t="s">
        <v>3353</v>
      </c>
    </row>
    <row r="792" spans="1:6" x14ac:dyDescent="0.45">
      <c r="A792" t="str">
        <f t="shared" si="12"/>
        <v>ET07,83</v>
      </c>
      <c r="B792">
        <v>83</v>
      </c>
      <c r="C792">
        <v>3585.7071999999998</v>
      </c>
      <c r="D792">
        <v>3408.36542316538</v>
      </c>
      <c r="E792" t="s">
        <v>2878</v>
      </c>
      <c r="F792" t="s">
        <v>3353</v>
      </c>
    </row>
    <row r="793" spans="1:6" x14ac:dyDescent="0.45">
      <c r="A793" t="str">
        <f t="shared" si="12"/>
        <v>ET07,84</v>
      </c>
      <c r="B793">
        <v>84</v>
      </c>
      <c r="C793">
        <v>3088.0544</v>
      </c>
      <c r="D793">
        <v>2843.1874722174898</v>
      </c>
      <c r="E793" t="s">
        <v>2878</v>
      </c>
      <c r="F793" t="s">
        <v>3353</v>
      </c>
    </row>
    <row r="794" spans="1:6" x14ac:dyDescent="0.45">
      <c r="A794" t="str">
        <f t="shared" si="12"/>
        <v>ET07,85</v>
      </c>
      <c r="B794">
        <v>85</v>
      </c>
      <c r="C794">
        <v>2590.4016000000001</v>
      </c>
      <c r="D794">
        <v>2366.68040968692</v>
      </c>
      <c r="E794" t="s">
        <v>2878</v>
      </c>
      <c r="F794" t="s">
        <v>3353</v>
      </c>
    </row>
    <row r="795" spans="1:6" x14ac:dyDescent="0.45">
      <c r="A795" t="str">
        <f t="shared" si="12"/>
        <v>ET07,86</v>
      </c>
      <c r="B795">
        <v>86</v>
      </c>
      <c r="C795">
        <v>2092.7487999999998</v>
      </c>
      <c r="D795">
        <v>1957.6984981042301</v>
      </c>
      <c r="E795" t="s">
        <v>2878</v>
      </c>
      <c r="F795" t="s">
        <v>3353</v>
      </c>
    </row>
    <row r="796" spans="1:6" x14ac:dyDescent="0.45">
      <c r="A796" t="str">
        <f t="shared" si="12"/>
        <v>ET07,87</v>
      </c>
      <c r="B796">
        <v>87</v>
      </c>
      <c r="C796">
        <v>1595.096</v>
      </c>
      <c r="D796">
        <v>1595.096</v>
      </c>
      <c r="E796" t="s">
        <v>2878</v>
      </c>
      <c r="F796" t="s">
        <v>3353</v>
      </c>
    </row>
    <row r="797" spans="1:6" x14ac:dyDescent="0.45">
      <c r="A797" t="str">
        <f t="shared" si="12"/>
        <v>ET07,88</v>
      </c>
      <c r="B797">
        <v>88</v>
      </c>
      <c r="C797">
        <v>1335.5463999999999</v>
      </c>
      <c r="D797">
        <v>1262.2045707029899</v>
      </c>
      <c r="E797" t="s">
        <v>2878</v>
      </c>
      <c r="F797" t="s">
        <v>3353</v>
      </c>
    </row>
    <row r="798" spans="1:6" x14ac:dyDescent="0.45">
      <c r="A798" t="str">
        <f t="shared" si="12"/>
        <v>ET07,89</v>
      </c>
      <c r="B798">
        <v>89</v>
      </c>
      <c r="C798">
        <v>1075.9967999999999</v>
      </c>
      <c r="D798">
        <v>960.265436734746</v>
      </c>
      <c r="E798" t="s">
        <v>2878</v>
      </c>
      <c r="F798" t="s">
        <v>3353</v>
      </c>
    </row>
    <row r="799" spans="1:6" x14ac:dyDescent="0.45">
      <c r="A799" t="str">
        <f t="shared" si="12"/>
        <v>ET07,90</v>
      </c>
      <c r="B799">
        <v>90</v>
      </c>
      <c r="C799">
        <v>816.44719999999995</v>
      </c>
      <c r="D799">
        <v>694.99721741500696</v>
      </c>
      <c r="E799" t="s">
        <v>2878</v>
      </c>
      <c r="F799" t="s">
        <v>3353</v>
      </c>
    </row>
    <row r="800" spans="1:6" x14ac:dyDescent="0.45">
      <c r="A800" t="str">
        <f t="shared" si="12"/>
        <v>ET07,91</v>
      </c>
      <c r="B800">
        <v>91</v>
      </c>
      <c r="C800">
        <v>556.89760000000001</v>
      </c>
      <c r="D800">
        <v>472.11853206351202</v>
      </c>
      <c r="E800" t="s">
        <v>2878</v>
      </c>
      <c r="F800" t="s">
        <v>3353</v>
      </c>
    </row>
    <row r="801" spans="1:6" x14ac:dyDescent="0.45">
      <c r="A801" t="str">
        <f t="shared" si="12"/>
        <v>ET07,92</v>
      </c>
      <c r="B801">
        <v>92</v>
      </c>
      <c r="C801">
        <v>297.34800000000001</v>
      </c>
      <c r="D801">
        <v>297.34800000000001</v>
      </c>
      <c r="E801" t="s">
        <v>2878</v>
      </c>
      <c r="F801" t="s">
        <v>3353</v>
      </c>
    </row>
    <row r="802" spans="1:6" x14ac:dyDescent="0.45">
      <c r="A802" t="str">
        <f t="shared" si="12"/>
        <v>ET07,93</v>
      </c>
      <c r="B802">
        <v>93</v>
      </c>
      <c r="C802">
        <v>241.8784</v>
      </c>
      <c r="D802">
        <v>173.80208602266501</v>
      </c>
      <c r="E802" t="s">
        <v>2878</v>
      </c>
      <c r="F802" t="s">
        <v>3353</v>
      </c>
    </row>
    <row r="803" spans="1:6" x14ac:dyDescent="0.45">
      <c r="A803" t="str">
        <f t="shared" si="12"/>
        <v>ET07,94</v>
      </c>
      <c r="B803">
        <v>94</v>
      </c>
      <c r="C803">
        <v>186.40880000000001</v>
      </c>
      <c r="D803">
        <v>94.188636843523994</v>
      </c>
      <c r="E803" t="s">
        <v>2878</v>
      </c>
      <c r="F803" t="s">
        <v>3353</v>
      </c>
    </row>
    <row r="804" spans="1:6" x14ac:dyDescent="0.45">
      <c r="A804" t="str">
        <f t="shared" si="12"/>
        <v>ET07,95</v>
      </c>
      <c r="B804">
        <v>95</v>
      </c>
      <c r="C804">
        <v>130.9392</v>
      </c>
      <c r="D804">
        <v>48.613344653050902</v>
      </c>
      <c r="E804" t="s">
        <v>2878</v>
      </c>
      <c r="F804" t="s">
        <v>3353</v>
      </c>
    </row>
    <row r="805" spans="1:6" x14ac:dyDescent="0.45">
      <c r="A805" t="str">
        <f t="shared" si="12"/>
        <v>ET07,96</v>
      </c>
      <c r="B805">
        <v>96</v>
      </c>
      <c r="C805">
        <v>75.4696</v>
      </c>
      <c r="D805">
        <v>27.1819016417185</v>
      </c>
      <c r="E805" t="s">
        <v>2878</v>
      </c>
      <c r="F805" t="s">
        <v>3353</v>
      </c>
    </row>
    <row r="806" spans="1:6" x14ac:dyDescent="0.45">
      <c r="A806" t="str">
        <f t="shared" si="12"/>
        <v>ET07,97</v>
      </c>
      <c r="B806">
        <v>97</v>
      </c>
      <c r="C806">
        <v>20</v>
      </c>
      <c r="D806">
        <v>19.999999999999901</v>
      </c>
      <c r="E806" t="s">
        <v>2878</v>
      </c>
      <c r="F806" t="s">
        <v>3353</v>
      </c>
    </row>
    <row r="807" spans="1:6" x14ac:dyDescent="0.45">
      <c r="A807" t="str">
        <f t="shared" si="12"/>
        <v>ET07,98</v>
      </c>
      <c r="B807">
        <v>98</v>
      </c>
      <c r="C807">
        <v>21</v>
      </c>
      <c r="D807">
        <v>18.580425799951598</v>
      </c>
      <c r="E807" t="s">
        <v>2878</v>
      </c>
      <c r="F807" t="s">
        <v>3353</v>
      </c>
    </row>
    <row r="808" spans="1:6" x14ac:dyDescent="0.45">
      <c r="A808" t="str">
        <f t="shared" si="12"/>
        <v>ET07,99</v>
      </c>
      <c r="B808">
        <v>99</v>
      </c>
      <c r="C808">
        <v>22</v>
      </c>
      <c r="D808">
        <v>20.064340639961301</v>
      </c>
      <c r="E808" t="s">
        <v>2878</v>
      </c>
      <c r="F808" t="s">
        <v>3353</v>
      </c>
    </row>
    <row r="809" spans="1:6" x14ac:dyDescent="0.45">
      <c r="A809" t="str">
        <f t="shared" si="12"/>
        <v>ET07,100</v>
      </c>
      <c r="B809">
        <v>100</v>
      </c>
      <c r="C809">
        <v>23</v>
      </c>
      <c r="D809">
        <v>23</v>
      </c>
      <c r="E809" t="s">
        <v>2878</v>
      </c>
      <c r="F809" t="s">
        <v>3353</v>
      </c>
    </row>
    <row r="810" spans="1:6" x14ac:dyDescent="0.45">
      <c r="A810" t="str">
        <f t="shared" si="12"/>
        <v>ET12,&lt;1</v>
      </c>
      <c r="B810" t="s">
        <v>119</v>
      </c>
      <c r="C810">
        <v>10498.1073175072</v>
      </c>
      <c r="D810">
        <v>10498.1073175072</v>
      </c>
      <c r="E810" t="s">
        <v>2880</v>
      </c>
      <c r="F810" t="s">
        <v>3351</v>
      </c>
    </row>
    <row r="811" spans="1:6" x14ac:dyDescent="0.45">
      <c r="A811" t="str">
        <f t="shared" si="12"/>
        <v>ET12,1</v>
      </c>
      <c r="B811">
        <v>1</v>
      </c>
      <c r="C811">
        <v>10099.6435881527</v>
      </c>
      <c r="D811">
        <v>10065.9803731538</v>
      </c>
      <c r="E811" t="s">
        <v>2880</v>
      </c>
      <c r="F811" t="s">
        <v>3351</v>
      </c>
    </row>
    <row r="812" spans="1:6" x14ac:dyDescent="0.45">
      <c r="A812" t="str">
        <f t="shared" si="12"/>
        <v>ET12,2</v>
      </c>
      <c r="B812">
        <v>2</v>
      </c>
      <c r="C812">
        <v>9701.1798587981502</v>
      </c>
      <c r="D812">
        <v>9701.1798587981502</v>
      </c>
      <c r="E812" t="s">
        <v>2880</v>
      </c>
      <c r="F812" t="s">
        <v>3351</v>
      </c>
    </row>
    <row r="813" spans="1:6" x14ac:dyDescent="0.45">
      <c r="A813" t="str">
        <f t="shared" si="12"/>
        <v>ET12,3</v>
      </c>
      <c r="B813">
        <v>3</v>
      </c>
      <c r="C813">
        <v>9545.8438990876002</v>
      </c>
      <c r="D813">
        <v>9452.4802146247093</v>
      </c>
      <c r="E813" t="s">
        <v>2880</v>
      </c>
      <c r="F813" t="s">
        <v>3351</v>
      </c>
    </row>
    <row r="814" spans="1:6" x14ac:dyDescent="0.45">
      <c r="A814" t="str">
        <f t="shared" si="12"/>
        <v>ET12,4</v>
      </c>
      <c r="B814">
        <v>4</v>
      </c>
      <c r="C814">
        <v>9390.5079393770393</v>
      </c>
      <c r="D814">
        <v>9294.4479215647407</v>
      </c>
      <c r="E814" t="s">
        <v>2880</v>
      </c>
      <c r="F814" t="s">
        <v>3351</v>
      </c>
    </row>
    <row r="815" spans="1:6" x14ac:dyDescent="0.45">
      <c r="A815" t="str">
        <f t="shared" si="12"/>
        <v>ET12,5</v>
      </c>
      <c r="B815">
        <v>5</v>
      </c>
      <c r="C815">
        <v>9235.1719796664893</v>
      </c>
      <c r="D815">
        <v>9183.0974707362202</v>
      </c>
      <c r="E815" t="s">
        <v>2880</v>
      </c>
      <c r="F815" t="s">
        <v>3351</v>
      </c>
    </row>
    <row r="816" spans="1:6" x14ac:dyDescent="0.45">
      <c r="A816" t="str">
        <f t="shared" si="12"/>
        <v>ET12,6</v>
      </c>
      <c r="B816">
        <v>6</v>
      </c>
      <c r="C816">
        <v>9079.8360199559302</v>
      </c>
      <c r="D816">
        <v>9074.4433532571093</v>
      </c>
      <c r="E816" t="s">
        <v>2880</v>
      </c>
      <c r="F816" t="s">
        <v>3351</v>
      </c>
    </row>
    <row r="817" spans="1:6" x14ac:dyDescent="0.45">
      <c r="A817" t="str">
        <f t="shared" si="12"/>
        <v>ET12,7</v>
      </c>
      <c r="B817">
        <v>7</v>
      </c>
      <c r="C817">
        <v>8924.5000602453802</v>
      </c>
      <c r="D817">
        <v>8924.5000602453802</v>
      </c>
      <c r="E817" t="s">
        <v>2880</v>
      </c>
      <c r="F817" t="s">
        <v>3351</v>
      </c>
    </row>
    <row r="818" spans="1:6" x14ac:dyDescent="0.45">
      <c r="A818" t="str">
        <f t="shared" si="12"/>
        <v>ET12,8</v>
      </c>
      <c r="B818">
        <v>8</v>
      </c>
      <c r="C818">
        <v>8699.6293552622101</v>
      </c>
      <c r="D818">
        <v>8703.5556298910305</v>
      </c>
      <c r="E818" t="s">
        <v>2880</v>
      </c>
      <c r="F818" t="s">
        <v>3351</v>
      </c>
    </row>
    <row r="819" spans="1:6" x14ac:dyDescent="0.45">
      <c r="A819" t="str">
        <f t="shared" si="12"/>
        <v>ET12,9</v>
      </c>
      <c r="B819">
        <v>9</v>
      </c>
      <c r="C819">
        <v>8474.75865027904</v>
      </c>
      <c r="D819">
        <v>8438.9922886721397</v>
      </c>
      <c r="E819" t="s">
        <v>2880</v>
      </c>
      <c r="F819" t="s">
        <v>3351</v>
      </c>
    </row>
    <row r="820" spans="1:6" x14ac:dyDescent="0.45">
      <c r="A820" t="str">
        <f t="shared" si="12"/>
        <v>ET12,10</v>
      </c>
      <c r="B820">
        <v>10</v>
      </c>
      <c r="C820">
        <v>8249.8879452958608</v>
      </c>
      <c r="D820">
        <v>8172.4658101388504</v>
      </c>
      <c r="E820" t="s">
        <v>2880</v>
      </c>
      <c r="F820" t="s">
        <v>3351</v>
      </c>
    </row>
    <row r="821" spans="1:6" x14ac:dyDescent="0.45">
      <c r="A821" t="str">
        <f t="shared" si="12"/>
        <v>ET12,11</v>
      </c>
      <c r="B821">
        <v>11</v>
      </c>
      <c r="C821">
        <v>8025.0172403126899</v>
      </c>
      <c r="D821">
        <v>7945.6319678412701</v>
      </c>
      <c r="E821" t="s">
        <v>2880</v>
      </c>
      <c r="F821" t="s">
        <v>3351</v>
      </c>
    </row>
    <row r="822" spans="1:6" x14ac:dyDescent="0.45">
      <c r="A822" t="str">
        <f t="shared" si="12"/>
        <v>ET12,12</v>
      </c>
      <c r="B822">
        <v>12</v>
      </c>
      <c r="C822">
        <v>7800.1465353295198</v>
      </c>
      <c r="D822">
        <v>7800.1465353295198</v>
      </c>
      <c r="E822" t="s">
        <v>2880</v>
      </c>
      <c r="F822" t="s">
        <v>3351</v>
      </c>
    </row>
    <row r="823" spans="1:6" x14ac:dyDescent="0.45">
      <c r="A823" t="str">
        <f t="shared" si="12"/>
        <v>ET12,13</v>
      </c>
      <c r="B823">
        <v>13</v>
      </c>
      <c r="C823">
        <v>7792.5473551478999</v>
      </c>
      <c r="D823">
        <v>7761.7553104786002</v>
      </c>
      <c r="E823" t="s">
        <v>2880</v>
      </c>
      <c r="F823" t="s">
        <v>3351</v>
      </c>
    </row>
    <row r="824" spans="1:6" x14ac:dyDescent="0.45">
      <c r="A824" t="str">
        <f t="shared" si="12"/>
        <v>ET12,14</v>
      </c>
      <c r="B824">
        <v>14</v>
      </c>
      <c r="C824">
        <v>7784.94817496627</v>
      </c>
      <c r="D824">
        <v>7792.5641884629704</v>
      </c>
      <c r="E824" t="s">
        <v>2880</v>
      </c>
      <c r="F824" t="s">
        <v>3351</v>
      </c>
    </row>
    <row r="825" spans="1:6" x14ac:dyDescent="0.45">
      <c r="A825" t="str">
        <f t="shared" si="12"/>
        <v>ET12,15</v>
      </c>
      <c r="B825">
        <v>15</v>
      </c>
      <c r="C825">
        <v>7777.3489947846501</v>
      </c>
      <c r="D825">
        <v>7838.7690887819999</v>
      </c>
      <c r="E825" t="s">
        <v>2880</v>
      </c>
      <c r="F825" t="s">
        <v>3351</v>
      </c>
    </row>
    <row r="826" spans="1:6" x14ac:dyDescent="0.45">
      <c r="A826" t="str">
        <f t="shared" si="12"/>
        <v>ET12,16</v>
      </c>
      <c r="B826">
        <v>16</v>
      </c>
      <c r="C826">
        <v>7769.7498146030202</v>
      </c>
      <c r="D826">
        <v>7846.5659309350303</v>
      </c>
      <c r="E826" t="s">
        <v>2880</v>
      </c>
      <c r="F826" t="s">
        <v>3351</v>
      </c>
    </row>
    <row r="827" spans="1:6" x14ac:dyDescent="0.45">
      <c r="A827" t="str">
        <f t="shared" si="12"/>
        <v>ET12,17</v>
      </c>
      <c r="B827">
        <v>17</v>
      </c>
      <c r="C827">
        <v>7762.1506344214004</v>
      </c>
      <c r="D827">
        <v>7762.1506344214004</v>
      </c>
      <c r="E827" t="s">
        <v>2880</v>
      </c>
      <c r="F827" t="s">
        <v>3351</v>
      </c>
    </row>
    <row r="828" spans="1:6" x14ac:dyDescent="0.45">
      <c r="A828" t="str">
        <f t="shared" si="12"/>
        <v>ET12,18</v>
      </c>
      <c r="B828">
        <v>18</v>
      </c>
      <c r="C828">
        <v>7512.7389447838004</v>
      </c>
      <c r="D828">
        <v>7551.2498621956902</v>
      </c>
      <c r="E828" t="s">
        <v>2880</v>
      </c>
      <c r="F828" t="s">
        <v>3351</v>
      </c>
    </row>
    <row r="829" spans="1:6" x14ac:dyDescent="0.45">
      <c r="A829" t="str">
        <f t="shared" si="12"/>
        <v>ET12,19</v>
      </c>
      <c r="B829">
        <v>19</v>
      </c>
      <c r="C829">
        <v>7263.3272551461996</v>
      </c>
      <c r="D829">
        <v>7257.7132510333504</v>
      </c>
      <c r="E829" t="s">
        <v>2880</v>
      </c>
      <c r="F829" t="s">
        <v>3351</v>
      </c>
    </row>
    <row r="830" spans="1:6" x14ac:dyDescent="0.45">
      <c r="A830" t="str">
        <f t="shared" si="12"/>
        <v>ET12,20</v>
      </c>
      <c r="B830">
        <v>20</v>
      </c>
      <c r="C830">
        <v>7013.9155655085997</v>
      </c>
      <c r="D830">
        <v>6944.9211811650703</v>
      </c>
      <c r="E830" t="s">
        <v>2880</v>
      </c>
      <c r="F830" t="s">
        <v>3351</v>
      </c>
    </row>
    <row r="831" spans="1:6" x14ac:dyDescent="0.45">
      <c r="A831" t="str">
        <f t="shared" si="12"/>
        <v>ET12,21</v>
      </c>
      <c r="B831">
        <v>21</v>
      </c>
      <c r="C831">
        <v>6764.5038758709998</v>
      </c>
      <c r="D831">
        <v>6676.25403282153</v>
      </c>
      <c r="E831" t="s">
        <v>2880</v>
      </c>
      <c r="F831" t="s">
        <v>3351</v>
      </c>
    </row>
    <row r="832" spans="1:6" x14ac:dyDescent="0.45">
      <c r="A832" t="str">
        <f t="shared" si="12"/>
        <v>ET12,22</v>
      </c>
      <c r="B832">
        <v>22</v>
      </c>
      <c r="C832">
        <v>6515.0921862333998</v>
      </c>
      <c r="D832">
        <v>6515.0921862333998</v>
      </c>
      <c r="E832" t="s">
        <v>2880</v>
      </c>
      <c r="F832" t="s">
        <v>3351</v>
      </c>
    </row>
    <row r="833" spans="1:6" x14ac:dyDescent="0.45">
      <c r="A833" t="str">
        <f t="shared" si="12"/>
        <v>ET12,23</v>
      </c>
      <c r="B833">
        <v>23</v>
      </c>
      <c r="C833">
        <v>6534.8915793338401</v>
      </c>
      <c r="D833">
        <v>6501.4073285436698</v>
      </c>
      <c r="E833" t="s">
        <v>2880</v>
      </c>
      <c r="F833" t="s">
        <v>3351</v>
      </c>
    </row>
    <row r="834" spans="1:6" x14ac:dyDescent="0.45">
      <c r="A834" t="str">
        <f t="shared" si="12"/>
        <v>ET12,24</v>
      </c>
      <c r="B834">
        <v>24</v>
      </c>
      <c r="C834">
        <v>6554.6909724342804</v>
      </c>
      <c r="D834">
        <v>6581.5363745445302</v>
      </c>
      <c r="E834" t="s">
        <v>2880</v>
      </c>
      <c r="F834" t="s">
        <v>3351</v>
      </c>
    </row>
    <row r="835" spans="1:6" x14ac:dyDescent="0.45">
      <c r="A835" t="str">
        <f t="shared" ref="A835:A898" si="13">_xlfn.CONCAT(E835,",",B835)</f>
        <v>ET12,25</v>
      </c>
      <c r="B835">
        <v>25</v>
      </c>
      <c r="C835">
        <v>6574.4903655347198</v>
      </c>
      <c r="D835">
        <v>6678.4075459404803</v>
      </c>
      <c r="E835" t="s">
        <v>2880</v>
      </c>
      <c r="F835" t="s">
        <v>3351</v>
      </c>
    </row>
    <row r="836" spans="1:6" x14ac:dyDescent="0.45">
      <c r="A836" t="str">
        <f t="shared" si="13"/>
        <v>ET12,26</v>
      </c>
      <c r="B836">
        <v>26</v>
      </c>
      <c r="C836">
        <v>6594.2897586351601</v>
      </c>
      <c r="D836">
        <v>6714.9490644360103</v>
      </c>
      <c r="E836" t="s">
        <v>2880</v>
      </c>
      <c r="F836" t="s">
        <v>3351</v>
      </c>
    </row>
    <row r="837" spans="1:6" x14ac:dyDescent="0.45">
      <c r="A837" t="str">
        <f t="shared" si="13"/>
        <v>ET12,27</v>
      </c>
      <c r="B837">
        <v>27</v>
      </c>
      <c r="C837">
        <v>6614.0891517356004</v>
      </c>
      <c r="D837">
        <v>6614.0891517356004</v>
      </c>
      <c r="E837" t="s">
        <v>2880</v>
      </c>
      <c r="F837" t="s">
        <v>3351</v>
      </c>
    </row>
    <row r="838" spans="1:6" x14ac:dyDescent="0.45">
      <c r="A838" t="str">
        <f t="shared" si="13"/>
        <v>ET12,28</v>
      </c>
      <c r="B838">
        <v>28</v>
      </c>
      <c r="C838">
        <v>6198.40922448128</v>
      </c>
      <c r="D838">
        <v>6324.2314986278498</v>
      </c>
      <c r="E838" t="s">
        <v>2880</v>
      </c>
      <c r="F838" t="s">
        <v>3351</v>
      </c>
    </row>
    <row r="839" spans="1:6" x14ac:dyDescent="0.45">
      <c r="A839" t="str">
        <f t="shared" si="13"/>
        <v>ET12,29</v>
      </c>
      <c r="B839">
        <v>29</v>
      </c>
      <c r="C839">
        <v>5782.7292972269597</v>
      </c>
      <c r="D839">
        <v>5895.6816722377498</v>
      </c>
      <c r="E839" t="s">
        <v>2880</v>
      </c>
      <c r="F839" t="s">
        <v>3351</v>
      </c>
    </row>
    <row r="840" spans="1:6" x14ac:dyDescent="0.45">
      <c r="A840" t="str">
        <f t="shared" si="13"/>
        <v>ET12,30</v>
      </c>
      <c r="B840">
        <v>30</v>
      </c>
      <c r="C840">
        <v>5367.0493699726403</v>
      </c>
      <c r="D840">
        <v>5404.22070877435</v>
      </c>
      <c r="E840" t="s">
        <v>2880</v>
      </c>
      <c r="F840" t="s">
        <v>3351</v>
      </c>
    </row>
    <row r="841" spans="1:6" x14ac:dyDescent="0.45">
      <c r="A841" t="str">
        <f t="shared" si="13"/>
        <v>ET12,31</v>
      </c>
      <c r="B841">
        <v>31</v>
      </c>
      <c r="C841">
        <v>4951.36944271832</v>
      </c>
      <c r="D841">
        <v>4925.6296444467398</v>
      </c>
      <c r="E841" t="s">
        <v>2880</v>
      </c>
      <c r="F841" t="s">
        <v>3351</v>
      </c>
    </row>
    <row r="842" spans="1:6" x14ac:dyDescent="0.45">
      <c r="A842" t="str">
        <f t="shared" si="13"/>
        <v>ET12,32</v>
      </c>
      <c r="B842">
        <v>32</v>
      </c>
      <c r="C842">
        <v>4535.6895154639997</v>
      </c>
      <c r="D842">
        <v>4535.6895154639997</v>
      </c>
      <c r="E842" t="s">
        <v>2880</v>
      </c>
      <c r="F842" t="s">
        <v>3351</v>
      </c>
    </row>
    <row r="843" spans="1:6" x14ac:dyDescent="0.45">
      <c r="A843" t="str">
        <f t="shared" si="13"/>
        <v>ET12,33</v>
      </c>
      <c r="B843">
        <v>33</v>
      </c>
      <c r="C843">
        <v>4424.6169295641703</v>
      </c>
      <c r="D843">
        <v>4289.4792573785899</v>
      </c>
      <c r="E843" t="s">
        <v>2880</v>
      </c>
      <c r="F843" t="s">
        <v>3351</v>
      </c>
    </row>
    <row r="844" spans="1:6" x14ac:dyDescent="0.45">
      <c r="A844" t="str">
        <f t="shared" si="13"/>
        <v>ET12,34</v>
      </c>
      <c r="B844">
        <v>34</v>
      </c>
      <c r="C844">
        <v>4313.54434366434</v>
      </c>
      <c r="D844">
        <v>4159.2694031165402</v>
      </c>
      <c r="E844" t="s">
        <v>2880</v>
      </c>
      <c r="F844" t="s">
        <v>3351</v>
      </c>
    </row>
    <row r="845" spans="1:6" x14ac:dyDescent="0.45">
      <c r="A845" t="str">
        <f t="shared" si="13"/>
        <v>ET12,35</v>
      </c>
      <c r="B845">
        <v>35</v>
      </c>
      <c r="C845">
        <v>4202.4717577644997</v>
      </c>
      <c r="D845">
        <v>4096.6283849472802</v>
      </c>
      <c r="E845" t="s">
        <v>2880</v>
      </c>
      <c r="F845" t="s">
        <v>3351</v>
      </c>
    </row>
    <row r="846" spans="1:6" x14ac:dyDescent="0.45">
      <c r="A846" t="str">
        <f t="shared" si="13"/>
        <v>ET12,36</v>
      </c>
      <c r="B846">
        <v>36</v>
      </c>
      <c r="C846">
        <v>4091.3991718646698</v>
      </c>
      <c r="D846">
        <v>4053.1246351402401</v>
      </c>
      <c r="E846" t="s">
        <v>2880</v>
      </c>
      <c r="F846" t="s">
        <v>3351</v>
      </c>
    </row>
    <row r="847" spans="1:6" x14ac:dyDescent="0.45">
      <c r="A847" t="str">
        <f t="shared" si="13"/>
        <v>ET12,37</v>
      </c>
      <c r="B847">
        <v>37</v>
      </c>
      <c r="C847">
        <v>3980.32658596484</v>
      </c>
      <c r="D847">
        <v>3980.32658596484</v>
      </c>
      <c r="E847" t="s">
        <v>2880</v>
      </c>
      <c r="F847" t="s">
        <v>3351</v>
      </c>
    </row>
    <row r="848" spans="1:6" x14ac:dyDescent="0.45">
      <c r="A848" t="str">
        <f t="shared" si="13"/>
        <v>ET12,38</v>
      </c>
      <c r="B848">
        <v>38</v>
      </c>
      <c r="C848">
        <v>3780.4609649065001</v>
      </c>
      <c r="D848">
        <v>3841.7961217039601</v>
      </c>
      <c r="E848" t="s">
        <v>2880</v>
      </c>
      <c r="F848" t="s">
        <v>3351</v>
      </c>
    </row>
    <row r="849" spans="1:6" x14ac:dyDescent="0.45">
      <c r="A849" t="str">
        <f t="shared" si="13"/>
        <v>ET12,39</v>
      </c>
      <c r="B849">
        <v>39</v>
      </c>
      <c r="C849">
        <v>3580.5953438481502</v>
      </c>
      <c r="D849">
        <v>3649.0689346942499</v>
      </c>
      <c r="E849" t="s">
        <v>2880</v>
      </c>
      <c r="F849" t="s">
        <v>3351</v>
      </c>
    </row>
    <row r="850" spans="1:6" x14ac:dyDescent="0.45">
      <c r="A850" t="str">
        <f t="shared" si="13"/>
        <v>ET12,40</v>
      </c>
      <c r="B850">
        <v>40</v>
      </c>
      <c r="C850">
        <v>3380.7297227898098</v>
      </c>
      <c r="D850">
        <v>3425.67416928581</v>
      </c>
      <c r="E850" t="s">
        <v>2880</v>
      </c>
      <c r="F850" t="s">
        <v>3351</v>
      </c>
    </row>
    <row r="851" spans="1:6" x14ac:dyDescent="0.45">
      <c r="A851" t="str">
        <f t="shared" si="13"/>
        <v>ET12,41</v>
      </c>
      <c r="B851">
        <v>41</v>
      </c>
      <c r="C851">
        <v>3180.8641017314599</v>
      </c>
      <c r="D851">
        <v>3195.1409698287298</v>
      </c>
      <c r="E851" t="s">
        <v>2880</v>
      </c>
      <c r="F851" t="s">
        <v>3351</v>
      </c>
    </row>
    <row r="852" spans="1:6" x14ac:dyDescent="0.45">
      <c r="A852" t="str">
        <f t="shared" si="13"/>
        <v>ET12,42</v>
      </c>
      <c r="B852">
        <v>42</v>
      </c>
      <c r="C852">
        <v>2980.99848067312</v>
      </c>
      <c r="D852">
        <v>2980.99848067312</v>
      </c>
      <c r="E852" t="s">
        <v>2880</v>
      </c>
      <c r="F852" t="s">
        <v>3351</v>
      </c>
    </row>
    <row r="853" spans="1:6" x14ac:dyDescent="0.45">
      <c r="A853" t="str">
        <f t="shared" si="13"/>
        <v>ET12,43</v>
      </c>
      <c r="B853">
        <v>43</v>
      </c>
      <c r="C853">
        <v>2843.19193770422</v>
      </c>
      <c r="D853">
        <v>2801.2742383623399</v>
      </c>
      <c r="E853" t="s">
        <v>2880</v>
      </c>
      <c r="F853" t="s">
        <v>3351</v>
      </c>
    </row>
    <row r="854" spans="1:6" x14ac:dyDescent="0.45">
      <c r="A854" t="str">
        <f t="shared" si="13"/>
        <v>ET12,44</v>
      </c>
      <c r="B854">
        <v>44</v>
      </c>
      <c r="C854">
        <v>2705.38539473532</v>
      </c>
      <c r="D854">
        <v>2651.9893482128</v>
      </c>
      <c r="E854" t="s">
        <v>2880</v>
      </c>
      <c r="F854" t="s">
        <v>3351</v>
      </c>
    </row>
    <row r="855" spans="1:6" x14ac:dyDescent="0.45">
      <c r="A855" t="str">
        <f t="shared" si="13"/>
        <v>ET12,45</v>
      </c>
      <c r="B855">
        <v>45</v>
      </c>
      <c r="C855">
        <v>2567.57885176642</v>
      </c>
      <c r="D855">
        <v>2523.6633077342199</v>
      </c>
      <c r="E855" t="s">
        <v>2880</v>
      </c>
      <c r="F855" t="s">
        <v>3351</v>
      </c>
    </row>
    <row r="856" spans="1:6" x14ac:dyDescent="0.45">
      <c r="A856" t="str">
        <f t="shared" si="13"/>
        <v>ET12,46</v>
      </c>
      <c r="B856">
        <v>46</v>
      </c>
      <c r="C856">
        <v>2429.7723087975201</v>
      </c>
      <c r="D856">
        <v>2406.8156144362601</v>
      </c>
      <c r="E856" t="s">
        <v>2880</v>
      </c>
      <c r="F856" t="s">
        <v>3351</v>
      </c>
    </row>
    <row r="857" spans="1:6" x14ac:dyDescent="0.45">
      <c r="A857" t="str">
        <f t="shared" si="13"/>
        <v>ET12,47</v>
      </c>
      <c r="B857">
        <v>47</v>
      </c>
      <c r="C857">
        <v>2291.9657658286201</v>
      </c>
      <c r="D857">
        <v>2291.9657658286201</v>
      </c>
      <c r="E857" t="s">
        <v>2880</v>
      </c>
      <c r="F857" t="s">
        <v>3351</v>
      </c>
    </row>
    <row r="858" spans="1:6" x14ac:dyDescent="0.45">
      <c r="A858" t="str">
        <f t="shared" si="13"/>
        <v>ET12,48</v>
      </c>
      <c r="B858">
        <v>48</v>
      </c>
      <c r="C858">
        <v>2156.8653960086999</v>
      </c>
      <c r="D858">
        <v>2171.23803790695</v>
      </c>
      <c r="E858" t="s">
        <v>2880</v>
      </c>
      <c r="F858" t="s">
        <v>3351</v>
      </c>
    </row>
    <row r="859" spans="1:6" x14ac:dyDescent="0.45">
      <c r="A859" t="str">
        <f t="shared" si="13"/>
        <v>ET12,49</v>
      </c>
      <c r="B859">
        <v>49</v>
      </c>
      <c r="C859">
        <v>2021.76502618878</v>
      </c>
      <c r="D859">
        <v>2043.1758206107199</v>
      </c>
      <c r="E859" t="s">
        <v>2880</v>
      </c>
      <c r="F859" t="s">
        <v>3351</v>
      </c>
    </row>
    <row r="860" spans="1:6" x14ac:dyDescent="0.45">
      <c r="A860" t="str">
        <f t="shared" si="13"/>
        <v>ET12,50</v>
      </c>
      <c r="B860">
        <v>50</v>
      </c>
      <c r="C860">
        <v>1886.6646563688601</v>
      </c>
      <c r="D860">
        <v>1907.92728236537</v>
      </c>
      <c r="E860" t="s">
        <v>2880</v>
      </c>
      <c r="F860" t="s">
        <v>3351</v>
      </c>
    </row>
    <row r="861" spans="1:6" x14ac:dyDescent="0.45">
      <c r="A861" t="str">
        <f t="shared" si="13"/>
        <v>ET12,51</v>
      </c>
      <c r="B861">
        <v>51</v>
      </c>
      <c r="C861">
        <v>1751.5642865489399</v>
      </c>
      <c r="D861">
        <v>1765.6405915963201</v>
      </c>
      <c r="E861" t="s">
        <v>2880</v>
      </c>
      <c r="F861" t="s">
        <v>3351</v>
      </c>
    </row>
    <row r="862" spans="1:6" x14ac:dyDescent="0.45">
      <c r="A862" t="str">
        <f t="shared" si="13"/>
        <v>ET12,52</v>
      </c>
      <c r="B862">
        <v>52</v>
      </c>
      <c r="C862">
        <v>1616.46391672902</v>
      </c>
      <c r="D862">
        <v>1616.46391672902</v>
      </c>
      <c r="E862" t="s">
        <v>2880</v>
      </c>
      <c r="F862" t="s">
        <v>3351</v>
      </c>
    </row>
    <row r="863" spans="1:6" x14ac:dyDescent="0.45">
      <c r="A863" t="str">
        <f t="shared" si="13"/>
        <v>ET12,53</v>
      </c>
      <c r="B863">
        <v>53</v>
      </c>
      <c r="C863">
        <v>1485.67683538392</v>
      </c>
      <c r="D863">
        <v>1462.0663208624401</v>
      </c>
      <c r="E863" t="s">
        <v>2880</v>
      </c>
      <c r="F863" t="s">
        <v>3351</v>
      </c>
    </row>
    <row r="864" spans="1:6" x14ac:dyDescent="0.45">
      <c r="A864" t="str">
        <f t="shared" si="13"/>
        <v>ET12,54</v>
      </c>
      <c r="B864">
        <v>54</v>
      </c>
      <c r="C864">
        <v>1354.88975403883</v>
      </c>
      <c r="D864">
        <v>1310.2004457898199</v>
      </c>
      <c r="E864" t="s">
        <v>2880</v>
      </c>
      <c r="F864" t="s">
        <v>3351</v>
      </c>
    </row>
    <row r="865" spans="1:6" x14ac:dyDescent="0.45">
      <c r="A865" t="str">
        <f t="shared" si="13"/>
        <v>ET12,55</v>
      </c>
      <c r="B865">
        <v>55</v>
      </c>
      <c r="C865">
        <v>1224.10267269373</v>
      </c>
      <c r="D865">
        <v>1170.1398279779401</v>
      </c>
      <c r="E865" t="s">
        <v>2880</v>
      </c>
      <c r="F865" t="s">
        <v>3351</v>
      </c>
    </row>
    <row r="866" spans="1:6" x14ac:dyDescent="0.45">
      <c r="A866" t="str">
        <f t="shared" si="13"/>
        <v>ET12,56</v>
      </c>
      <c r="B866">
        <v>56</v>
      </c>
      <c r="C866">
        <v>1093.3155913486301</v>
      </c>
      <c r="D866">
        <v>1051.1580038935799</v>
      </c>
      <c r="E866" t="s">
        <v>2880</v>
      </c>
      <c r="F866" t="s">
        <v>3351</v>
      </c>
    </row>
    <row r="867" spans="1:6" x14ac:dyDescent="0.45">
      <c r="A867" t="str">
        <f t="shared" si="13"/>
        <v>ET12,57</v>
      </c>
      <c r="B867">
        <v>57</v>
      </c>
      <c r="C867">
        <v>962.52851000353598</v>
      </c>
      <c r="D867">
        <v>962.52851000353598</v>
      </c>
      <c r="E867" t="s">
        <v>2880</v>
      </c>
      <c r="F867" t="s">
        <v>3351</v>
      </c>
    </row>
    <row r="868" spans="1:6" x14ac:dyDescent="0.45">
      <c r="A868" t="str">
        <f t="shared" si="13"/>
        <v>ET12,58</v>
      </c>
      <c r="B868">
        <v>58</v>
      </c>
      <c r="C868">
        <v>942.590542060806</v>
      </c>
      <c r="D868">
        <v>910.03367397846102</v>
      </c>
      <c r="E868" t="s">
        <v>2880</v>
      </c>
      <c r="F868" t="s">
        <v>3351</v>
      </c>
    </row>
    <row r="869" spans="1:6" x14ac:dyDescent="0.45">
      <c r="A869" t="str">
        <f t="shared" si="13"/>
        <v>ET12,59</v>
      </c>
      <c r="B869">
        <v>59</v>
      </c>
      <c r="C869">
        <v>922.65257411807704</v>
      </c>
      <c r="D869">
        <v>885.49098830451896</v>
      </c>
      <c r="E869" t="s">
        <v>2880</v>
      </c>
      <c r="F869" t="s">
        <v>3351</v>
      </c>
    </row>
    <row r="870" spans="1:6" x14ac:dyDescent="0.45">
      <c r="A870" t="str">
        <f t="shared" si="13"/>
        <v>ET12,60</v>
      </c>
      <c r="B870">
        <v>60</v>
      </c>
      <c r="C870">
        <v>902.71460617534694</v>
      </c>
      <c r="D870">
        <v>877.22673667175002</v>
      </c>
      <c r="E870" t="s">
        <v>2880</v>
      </c>
      <c r="F870" t="s">
        <v>3351</v>
      </c>
    </row>
    <row r="871" spans="1:6" x14ac:dyDescent="0.45">
      <c r="A871" t="str">
        <f t="shared" si="13"/>
        <v>ET12,61</v>
      </c>
      <c r="B871">
        <v>61</v>
      </c>
      <c r="C871">
        <v>882.77663823261798</v>
      </c>
      <c r="D871">
        <v>873.56720277019394</v>
      </c>
      <c r="E871" t="s">
        <v>2880</v>
      </c>
      <c r="F871" t="s">
        <v>3351</v>
      </c>
    </row>
    <row r="872" spans="1:6" x14ac:dyDescent="0.45">
      <c r="A872" t="str">
        <f t="shared" si="13"/>
        <v>ET12,62</v>
      </c>
      <c r="B872">
        <v>62</v>
      </c>
      <c r="C872">
        <v>862.838670289888</v>
      </c>
      <c r="D872">
        <v>862.838670289888</v>
      </c>
      <c r="E872" t="s">
        <v>2880</v>
      </c>
      <c r="F872" t="s">
        <v>3351</v>
      </c>
    </row>
    <row r="873" spans="1:6" x14ac:dyDescent="0.45">
      <c r="A873" t="str">
        <f t="shared" si="13"/>
        <v>ET12,63</v>
      </c>
      <c r="B873">
        <v>63</v>
      </c>
      <c r="C873">
        <v>811.293467314689</v>
      </c>
      <c r="D873">
        <v>835.85167649731602</v>
      </c>
      <c r="E873" t="s">
        <v>2880</v>
      </c>
      <c r="F873" t="s">
        <v>3351</v>
      </c>
    </row>
    <row r="874" spans="1:6" x14ac:dyDescent="0.45">
      <c r="A874" t="str">
        <f t="shared" si="13"/>
        <v>ET12,64</v>
      </c>
      <c r="B874">
        <v>64</v>
      </c>
      <c r="C874">
        <v>759.74826433948999</v>
      </c>
      <c r="D874">
        <v>793.353772964732</v>
      </c>
      <c r="E874" t="s">
        <v>2880</v>
      </c>
      <c r="F874" t="s">
        <v>3351</v>
      </c>
    </row>
    <row r="875" spans="1:6" x14ac:dyDescent="0.45">
      <c r="A875" t="str">
        <f t="shared" si="13"/>
        <v>ET12,65</v>
      </c>
      <c r="B875">
        <v>65</v>
      </c>
      <c r="C875">
        <v>708.20306136429201</v>
      </c>
      <c r="D875">
        <v>738.57676484083504</v>
      </c>
      <c r="E875" t="s">
        <v>2880</v>
      </c>
      <c r="F875" t="s">
        <v>3351</v>
      </c>
    </row>
    <row r="876" spans="1:6" x14ac:dyDescent="0.45">
      <c r="A876" t="str">
        <f t="shared" si="13"/>
        <v>ET12,66</v>
      </c>
      <c r="B876">
        <v>66</v>
      </c>
      <c r="C876">
        <v>656.65785838909301</v>
      </c>
      <c r="D876">
        <v>674.75245727432298</v>
      </c>
      <c r="E876" t="s">
        <v>2880</v>
      </c>
      <c r="F876" t="s">
        <v>3351</v>
      </c>
    </row>
    <row r="877" spans="1:6" x14ac:dyDescent="0.45">
      <c r="A877" t="str">
        <f t="shared" si="13"/>
        <v>ET12,67</v>
      </c>
      <c r="B877">
        <v>67</v>
      </c>
      <c r="C877">
        <v>605.112655413894</v>
      </c>
      <c r="D877">
        <v>605.112655413894</v>
      </c>
      <c r="E877" t="s">
        <v>2880</v>
      </c>
      <c r="F877" t="s">
        <v>3351</v>
      </c>
    </row>
    <row r="878" spans="1:6" x14ac:dyDescent="0.45">
      <c r="A878" t="str">
        <f t="shared" si="13"/>
        <v>ET12,68</v>
      </c>
      <c r="B878">
        <v>68</v>
      </c>
      <c r="C878">
        <v>539.21304347799901</v>
      </c>
      <c r="D878">
        <v>532.83172587886304</v>
      </c>
      <c r="E878" t="s">
        <v>2880</v>
      </c>
      <c r="F878" t="s">
        <v>3351</v>
      </c>
    </row>
    <row r="879" spans="1:6" x14ac:dyDescent="0.45">
      <c r="A879" t="str">
        <f t="shared" si="13"/>
        <v>ET12,69</v>
      </c>
      <c r="B879">
        <v>69</v>
      </c>
      <c r="C879">
        <v>473.31343154210401</v>
      </c>
      <c r="D879">
        <v>460.85428117100702</v>
      </c>
      <c r="E879" t="s">
        <v>2880</v>
      </c>
      <c r="F879" t="s">
        <v>3351</v>
      </c>
    </row>
    <row r="880" spans="1:6" x14ac:dyDescent="0.45">
      <c r="A880" t="str">
        <f t="shared" si="13"/>
        <v>ET12,70</v>
      </c>
      <c r="B880">
        <v>70</v>
      </c>
      <c r="C880">
        <v>407.41381960620998</v>
      </c>
      <c r="D880">
        <v>392.06749526271898</v>
      </c>
      <c r="E880" t="s">
        <v>2880</v>
      </c>
      <c r="F880" t="s">
        <v>3351</v>
      </c>
    </row>
    <row r="881" spans="1:6" x14ac:dyDescent="0.45">
      <c r="A881" t="str">
        <f t="shared" si="13"/>
        <v>ET12,71</v>
      </c>
      <c r="B881">
        <v>71</v>
      </c>
      <c r="C881">
        <v>341.51420767031499</v>
      </c>
      <c r="D881">
        <v>329.35854212639202</v>
      </c>
      <c r="E881" t="s">
        <v>2880</v>
      </c>
      <c r="F881" t="s">
        <v>3351</v>
      </c>
    </row>
    <row r="882" spans="1:6" x14ac:dyDescent="0.45">
      <c r="A882" t="str">
        <f t="shared" si="13"/>
        <v>ET12,72</v>
      </c>
      <c r="B882">
        <v>72</v>
      </c>
      <c r="C882">
        <v>275.61459573441999</v>
      </c>
      <c r="D882">
        <v>275.61459573441999</v>
      </c>
      <c r="E882" t="s">
        <v>2880</v>
      </c>
      <c r="F882" t="s">
        <v>3351</v>
      </c>
    </row>
    <row r="883" spans="1:6" x14ac:dyDescent="0.45">
      <c r="A883" t="str">
        <f t="shared" si="13"/>
        <v>ET12,73</v>
      </c>
      <c r="B883">
        <v>73</v>
      </c>
      <c r="C883">
        <v>246.79645687782099</v>
      </c>
      <c r="D883">
        <v>232.835652839017</v>
      </c>
      <c r="E883" t="s">
        <v>2880</v>
      </c>
      <c r="F883" t="s">
        <v>3351</v>
      </c>
    </row>
    <row r="884" spans="1:6" x14ac:dyDescent="0.45">
      <c r="A884" t="str">
        <f t="shared" si="13"/>
        <v>ET12,74</v>
      </c>
      <c r="B884">
        <v>74</v>
      </c>
      <c r="C884">
        <v>217.97831802122201</v>
      </c>
      <c r="D884">
        <v>199.47300131168899</v>
      </c>
      <c r="E884" t="s">
        <v>2880</v>
      </c>
      <c r="F884" t="s">
        <v>3351</v>
      </c>
    </row>
    <row r="885" spans="1:6" x14ac:dyDescent="0.45">
      <c r="A885" t="str">
        <f t="shared" si="13"/>
        <v>ET12,75</v>
      </c>
      <c r="B885">
        <v>75</v>
      </c>
      <c r="C885">
        <v>189.160179164623</v>
      </c>
      <c r="D885">
        <v>173.090751803763</v>
      </c>
      <c r="E885" t="s">
        <v>2880</v>
      </c>
      <c r="F885" t="s">
        <v>3351</v>
      </c>
    </row>
    <row r="886" spans="1:6" x14ac:dyDescent="0.45">
      <c r="A886" t="str">
        <f t="shared" si="13"/>
        <v>ET12,76</v>
      </c>
      <c r="B886">
        <v>76</v>
      </c>
      <c r="C886">
        <v>160.342040308024</v>
      </c>
      <c r="D886">
        <v>151.25301496656601</v>
      </c>
      <c r="E886" t="s">
        <v>2880</v>
      </c>
      <c r="F886" t="s">
        <v>3351</v>
      </c>
    </row>
    <row r="887" spans="1:6" x14ac:dyDescent="0.45">
      <c r="A887" t="str">
        <f t="shared" si="13"/>
        <v>ET12,77</v>
      </c>
      <c r="B887">
        <v>77</v>
      </c>
      <c r="C887">
        <v>131.52390145142601</v>
      </c>
      <c r="D887">
        <v>131.52390145142601</v>
      </c>
      <c r="E887" t="s">
        <v>2880</v>
      </c>
      <c r="F887" t="s">
        <v>3351</v>
      </c>
    </row>
    <row r="888" spans="1:6" x14ac:dyDescent="0.45">
      <c r="A888" t="str">
        <f t="shared" si="13"/>
        <v>ET12,78</v>
      </c>
      <c r="B888">
        <v>78</v>
      </c>
      <c r="C888">
        <v>114.46872116114</v>
      </c>
      <c r="D888">
        <v>112.003493457644</v>
      </c>
      <c r="E888" t="s">
        <v>2880</v>
      </c>
      <c r="F888" t="s">
        <v>3351</v>
      </c>
    </row>
    <row r="889" spans="1:6" x14ac:dyDescent="0.45">
      <c r="A889" t="str">
        <f t="shared" si="13"/>
        <v>ET12,79</v>
      </c>
      <c r="B889">
        <v>79</v>
      </c>
      <c r="C889">
        <v>97.4135408708554</v>
      </c>
      <c r="D889">
        <v>92.935759376429104</v>
      </c>
      <c r="E889" t="s">
        <v>2880</v>
      </c>
      <c r="F889" t="s">
        <v>3351</v>
      </c>
    </row>
    <row r="890" spans="1:6" x14ac:dyDescent="0.45">
      <c r="A890" t="str">
        <f t="shared" si="13"/>
        <v>ET12,80</v>
      </c>
      <c r="B890">
        <v>80</v>
      </c>
      <c r="C890">
        <v>80.358360580570206</v>
      </c>
      <c r="D890">
        <v>75.100639146961797</v>
      </c>
      <c r="E890" t="s">
        <v>2880</v>
      </c>
      <c r="F890" t="s">
        <v>3351</v>
      </c>
    </row>
    <row r="891" spans="1:6" x14ac:dyDescent="0.45">
      <c r="A891" t="str">
        <f t="shared" si="13"/>
        <v>ET12,81</v>
      </c>
      <c r="B891">
        <v>81</v>
      </c>
      <c r="C891">
        <v>63.303180290285098</v>
      </c>
      <c r="D891">
        <v>59.278072708424702</v>
      </c>
      <c r="E891" t="s">
        <v>2880</v>
      </c>
      <c r="F891" t="s">
        <v>3351</v>
      </c>
    </row>
    <row r="892" spans="1:6" x14ac:dyDescent="0.45">
      <c r="A892" t="str">
        <f t="shared" si="13"/>
        <v>ET12,82</v>
      </c>
      <c r="B892">
        <v>82</v>
      </c>
      <c r="C892">
        <v>46.247999999999998</v>
      </c>
      <c r="D892">
        <v>46.247999999999998</v>
      </c>
      <c r="E892" t="s">
        <v>2880</v>
      </c>
      <c r="F892" t="s">
        <v>3351</v>
      </c>
    </row>
    <row r="893" spans="1:6" x14ac:dyDescent="0.45">
      <c r="A893" t="str">
        <f t="shared" si="13"/>
        <v>ET12,83</v>
      </c>
      <c r="B893">
        <v>83</v>
      </c>
      <c r="C893">
        <v>40.604799999999997</v>
      </c>
      <c r="D893">
        <v>36.532353438622401</v>
      </c>
      <c r="E893" t="s">
        <v>2880</v>
      </c>
      <c r="F893" t="s">
        <v>3351</v>
      </c>
    </row>
    <row r="894" spans="1:6" x14ac:dyDescent="0.45">
      <c r="A894" t="str">
        <f t="shared" si="13"/>
        <v>ET12,84</v>
      </c>
      <c r="B894">
        <v>84</v>
      </c>
      <c r="C894">
        <v>34.961599999999997</v>
      </c>
      <c r="D894">
        <v>29.6210353522365</v>
      </c>
      <c r="E894" t="s">
        <v>2880</v>
      </c>
      <c r="F894" t="s">
        <v>3351</v>
      </c>
    </row>
    <row r="895" spans="1:6" x14ac:dyDescent="0.45">
      <c r="A895" t="str">
        <f t="shared" si="13"/>
        <v>ET12,85</v>
      </c>
      <c r="B895">
        <v>85</v>
      </c>
      <c r="C895">
        <v>29.3184</v>
      </c>
      <c r="D895">
        <v>24.745940546539401</v>
      </c>
      <c r="E895" t="s">
        <v>2880</v>
      </c>
      <c r="F895" t="s">
        <v>3351</v>
      </c>
    </row>
    <row r="896" spans="1:6" x14ac:dyDescent="0.45">
      <c r="A896" t="str">
        <f t="shared" si="13"/>
        <v>ET12,86</v>
      </c>
      <c r="B896">
        <v>86</v>
      </c>
      <c r="C896">
        <v>23.6752</v>
      </c>
      <c r="D896">
        <v>21.138963827228199</v>
      </c>
      <c r="E896" t="s">
        <v>2880</v>
      </c>
      <c r="F896" t="s">
        <v>3351</v>
      </c>
    </row>
    <row r="897" spans="1:6" x14ac:dyDescent="0.45">
      <c r="A897" t="str">
        <f t="shared" si="13"/>
        <v>ET12,87</v>
      </c>
      <c r="B897">
        <v>87</v>
      </c>
      <c r="C897">
        <v>18.032</v>
      </c>
      <c r="D897">
        <v>18.032</v>
      </c>
      <c r="E897" t="s">
        <v>2880</v>
      </c>
      <c r="F897" t="s">
        <v>3351</v>
      </c>
    </row>
    <row r="898" spans="1:6" x14ac:dyDescent="0.45">
      <c r="A898" t="str">
        <f t="shared" si="13"/>
        <v>ET12,88</v>
      </c>
      <c r="B898">
        <v>88</v>
      </c>
      <c r="C898">
        <v>15.107200000000001</v>
      </c>
      <c r="D898">
        <v>14.819298330995901</v>
      </c>
      <c r="E898" t="s">
        <v>2880</v>
      </c>
      <c r="F898" t="s">
        <v>3351</v>
      </c>
    </row>
    <row r="899" spans="1:6" x14ac:dyDescent="0.45">
      <c r="A899" t="str">
        <f t="shared" ref="A899:A962" si="14">_xlfn.CONCAT(E899,",",B899)</f>
        <v>ET12,89</v>
      </c>
      <c r="B899">
        <v>89</v>
      </c>
      <c r="C899">
        <v>12.182399999999999</v>
      </c>
      <c r="D899">
        <v>11.544525928132799</v>
      </c>
      <c r="E899" t="s">
        <v>2880</v>
      </c>
      <c r="F899" t="s">
        <v>3351</v>
      </c>
    </row>
    <row r="900" spans="1:6" x14ac:dyDescent="0.45">
      <c r="A900" t="str">
        <f t="shared" si="14"/>
        <v>ET12,90</v>
      </c>
      <c r="B900">
        <v>90</v>
      </c>
      <c r="C900">
        <v>9.2576000000000001</v>
      </c>
      <c r="D900">
        <v>8.4137043597717902</v>
      </c>
      <c r="E900" t="s">
        <v>2880</v>
      </c>
      <c r="F900" t="s">
        <v>3351</v>
      </c>
    </row>
    <row r="901" spans="1:6" x14ac:dyDescent="0.45">
      <c r="A901" t="str">
        <f t="shared" si="14"/>
        <v>ET12,91</v>
      </c>
      <c r="B901">
        <v>91</v>
      </c>
      <c r="C901">
        <v>6.3327999999999998</v>
      </c>
      <c r="D901">
        <v>5.6328551942738603</v>
      </c>
      <c r="E901" t="s">
        <v>2880</v>
      </c>
      <c r="F901" t="s">
        <v>3351</v>
      </c>
    </row>
    <row r="902" spans="1:6" x14ac:dyDescent="0.45">
      <c r="A902" t="str">
        <f t="shared" si="14"/>
        <v>ET12,92</v>
      </c>
      <c r="B902">
        <v>92</v>
      </c>
      <c r="C902">
        <v>3.4079999999999999</v>
      </c>
      <c r="D902">
        <v>3.4079999999999999</v>
      </c>
      <c r="E902" t="s">
        <v>2880</v>
      </c>
      <c r="F902" t="s">
        <v>3351</v>
      </c>
    </row>
    <row r="903" spans="1:6" x14ac:dyDescent="0.45">
      <c r="A903" t="str">
        <f t="shared" si="14"/>
        <v>ET12,93</v>
      </c>
      <c r="B903">
        <v>93</v>
      </c>
      <c r="C903">
        <v>2.7744</v>
      </c>
      <c r="D903">
        <v>1.88440523739419</v>
      </c>
      <c r="E903" t="s">
        <v>2880</v>
      </c>
      <c r="F903" t="s">
        <v>3351</v>
      </c>
    </row>
    <row r="904" spans="1:6" x14ac:dyDescent="0.45">
      <c r="A904" t="str">
        <f t="shared" si="14"/>
        <v>ET12,94</v>
      </c>
      <c r="B904">
        <v>94</v>
      </c>
      <c r="C904">
        <v>2.1408</v>
      </c>
      <c r="D904">
        <v>0.96431693523236395</v>
      </c>
      <c r="E904" t="s">
        <v>2880</v>
      </c>
      <c r="F904" t="s">
        <v>3351</v>
      </c>
    </row>
    <row r="905" spans="1:6" x14ac:dyDescent="0.45">
      <c r="A905" t="str">
        <f t="shared" si="14"/>
        <v>ET12,95</v>
      </c>
      <c r="B905">
        <v>95</v>
      </c>
      <c r="C905">
        <v>1.5072000000000001</v>
      </c>
      <c r="D905">
        <v>0.48922601437344299</v>
      </c>
      <c r="E905" t="s">
        <v>2880</v>
      </c>
      <c r="F905" t="s">
        <v>3351</v>
      </c>
    </row>
    <row r="906" spans="1:6" x14ac:dyDescent="0.45">
      <c r="A906" t="str">
        <f t="shared" si="14"/>
        <v>ET12,96</v>
      </c>
      <c r="B906">
        <v>96</v>
      </c>
      <c r="C906">
        <v>0.87360000000000004</v>
      </c>
      <c r="D906">
        <v>0.30062339567634799</v>
      </c>
      <c r="E906" t="s">
        <v>2880</v>
      </c>
      <c r="F906" t="s">
        <v>3351</v>
      </c>
    </row>
    <row r="907" spans="1:6" x14ac:dyDescent="0.45">
      <c r="A907" t="str">
        <f t="shared" si="14"/>
        <v>ET12,97</v>
      </c>
      <c r="B907">
        <v>97</v>
      </c>
      <c r="C907">
        <v>0.24</v>
      </c>
      <c r="D907">
        <v>0.23999999999999899</v>
      </c>
      <c r="E907" t="s">
        <v>2880</v>
      </c>
      <c r="F907" t="s">
        <v>3351</v>
      </c>
    </row>
    <row r="908" spans="1:6" x14ac:dyDescent="0.45">
      <c r="A908" t="str">
        <f t="shared" si="14"/>
        <v>ET12,98</v>
      </c>
      <c r="B908">
        <v>98</v>
      </c>
      <c r="C908">
        <v>0.16</v>
      </c>
      <c r="D908">
        <v>0.176961031177962</v>
      </c>
      <c r="E908" t="s">
        <v>2880</v>
      </c>
      <c r="F908" t="s">
        <v>3351</v>
      </c>
    </row>
    <row r="909" spans="1:6" x14ac:dyDescent="0.45">
      <c r="A909" t="str">
        <f t="shared" si="14"/>
        <v>ET12,99</v>
      </c>
      <c r="B909">
        <v>99</v>
      </c>
      <c r="C909">
        <v>0.08</v>
      </c>
      <c r="D909">
        <v>9.3568824942369899E-2</v>
      </c>
      <c r="E909" t="s">
        <v>2880</v>
      </c>
      <c r="F909" t="s">
        <v>3351</v>
      </c>
    </row>
    <row r="910" spans="1:6" x14ac:dyDescent="0.45">
      <c r="A910" t="str">
        <f t="shared" si="14"/>
        <v>ET12,100</v>
      </c>
      <c r="B910">
        <v>100</v>
      </c>
      <c r="C910">
        <v>0</v>
      </c>
      <c r="D910">
        <v>2.7755575615628901E-17</v>
      </c>
      <c r="E910" t="s">
        <v>2880</v>
      </c>
      <c r="F910" t="s">
        <v>3351</v>
      </c>
    </row>
    <row r="911" spans="1:6" x14ac:dyDescent="0.45">
      <c r="A911" t="str">
        <f t="shared" si="14"/>
        <v>ET13,&lt;1</v>
      </c>
      <c r="B911" t="s">
        <v>119</v>
      </c>
      <c r="C911">
        <v>4211.5403944253903</v>
      </c>
      <c r="D911">
        <v>4211.5403944253903</v>
      </c>
      <c r="E911" t="s">
        <v>2882</v>
      </c>
      <c r="F911" t="s">
        <v>3352</v>
      </c>
    </row>
    <row r="912" spans="1:6" x14ac:dyDescent="0.45">
      <c r="A912" t="str">
        <f t="shared" si="14"/>
        <v>ET13,1</v>
      </c>
      <c r="B912">
        <v>1</v>
      </c>
      <c r="C912">
        <v>4051.6859240420099</v>
      </c>
      <c r="D912">
        <v>4046.1024569184601</v>
      </c>
      <c r="E912" t="s">
        <v>2882</v>
      </c>
      <c r="F912" t="s">
        <v>3352</v>
      </c>
    </row>
    <row r="913" spans="1:6" x14ac:dyDescent="0.45">
      <c r="A913" t="str">
        <f t="shared" si="14"/>
        <v>ET13,2</v>
      </c>
      <c r="B913">
        <v>2</v>
      </c>
      <c r="C913">
        <v>3891.8314536586199</v>
      </c>
      <c r="D913">
        <v>3891.8314536586199</v>
      </c>
      <c r="E913" t="s">
        <v>2882</v>
      </c>
      <c r="F913" t="s">
        <v>3352</v>
      </c>
    </row>
    <row r="914" spans="1:6" x14ac:dyDescent="0.45">
      <c r="A914" t="str">
        <f t="shared" si="14"/>
        <v>ET13,3</v>
      </c>
      <c r="B914">
        <v>3</v>
      </c>
      <c r="C914">
        <v>3774.2157742416698</v>
      </c>
      <c r="D914">
        <v>3756.8937581478499</v>
      </c>
      <c r="E914" t="s">
        <v>2882</v>
      </c>
      <c r="F914" t="s">
        <v>3352</v>
      </c>
    </row>
    <row r="915" spans="1:6" x14ac:dyDescent="0.45">
      <c r="A915" t="str">
        <f t="shared" si="14"/>
        <v>ET13,4</v>
      </c>
      <c r="B915">
        <v>4</v>
      </c>
      <c r="C915">
        <v>3656.6000948247201</v>
      </c>
      <c r="D915">
        <v>3637.4535009076199</v>
      </c>
      <c r="E915" t="s">
        <v>2882</v>
      </c>
      <c r="F915" t="s">
        <v>3352</v>
      </c>
    </row>
    <row r="916" spans="1:6" x14ac:dyDescent="0.45">
      <c r="A916" t="str">
        <f t="shared" si="14"/>
        <v>ET13,5</v>
      </c>
      <c r="B916">
        <v>5</v>
      </c>
      <c r="C916">
        <v>3538.98441540777</v>
      </c>
      <c r="D916">
        <v>3526.6742517143002</v>
      </c>
      <c r="E916" t="s">
        <v>2882</v>
      </c>
      <c r="F916" t="s">
        <v>3352</v>
      </c>
    </row>
    <row r="917" spans="1:6" x14ac:dyDescent="0.45">
      <c r="A917" t="str">
        <f t="shared" si="14"/>
        <v>ET13,6</v>
      </c>
      <c r="B917">
        <v>6</v>
      </c>
      <c r="C917">
        <v>3421.3687359908099</v>
      </c>
      <c r="D917">
        <v>3417.7195803442601</v>
      </c>
      <c r="E917" t="s">
        <v>2882</v>
      </c>
      <c r="F917" t="s">
        <v>3352</v>
      </c>
    </row>
    <row r="918" spans="1:6" x14ac:dyDescent="0.45">
      <c r="A918" t="str">
        <f t="shared" si="14"/>
        <v>ET13,7</v>
      </c>
      <c r="B918">
        <v>7</v>
      </c>
      <c r="C918">
        <v>3303.7530565738598</v>
      </c>
      <c r="D918">
        <v>3303.7530565738598</v>
      </c>
      <c r="E918" t="s">
        <v>2882</v>
      </c>
      <c r="F918" t="s">
        <v>3352</v>
      </c>
    </row>
    <row r="919" spans="1:6" x14ac:dyDescent="0.45">
      <c r="A919" t="str">
        <f t="shared" si="14"/>
        <v>ET13,8</v>
      </c>
      <c r="B919">
        <v>8</v>
      </c>
      <c r="C919">
        <v>3206.91837467193</v>
      </c>
      <c r="D919">
        <v>3181.1391466048699</v>
      </c>
      <c r="E919" t="s">
        <v>2882</v>
      </c>
      <c r="F919" t="s">
        <v>3352</v>
      </c>
    </row>
    <row r="920" spans="1:6" x14ac:dyDescent="0.45">
      <c r="A920" t="str">
        <f t="shared" si="14"/>
        <v>ET13,9</v>
      </c>
      <c r="B920">
        <v>9</v>
      </c>
      <c r="C920">
        <v>3110.0836927700002</v>
      </c>
      <c r="D920">
        <v>3059.0459023406602</v>
      </c>
      <c r="E920" t="s">
        <v>2882</v>
      </c>
      <c r="F920" t="s">
        <v>3352</v>
      </c>
    </row>
    <row r="921" spans="1:6" x14ac:dyDescent="0.45">
      <c r="A921" t="str">
        <f t="shared" si="14"/>
        <v>ET13,10</v>
      </c>
      <c r="B921">
        <v>10</v>
      </c>
      <c r="C921">
        <v>3013.2490108680599</v>
      </c>
      <c r="D921">
        <v>2949.8422721099701</v>
      </c>
      <c r="E921" t="s">
        <v>2882</v>
      </c>
      <c r="F921" t="s">
        <v>3352</v>
      </c>
    </row>
    <row r="922" spans="1:6" x14ac:dyDescent="0.45">
      <c r="A922" t="str">
        <f t="shared" si="14"/>
        <v>ET13,11</v>
      </c>
      <c r="B922">
        <v>11</v>
      </c>
      <c r="C922">
        <v>2916.4143289661301</v>
      </c>
      <c r="D922">
        <v>2865.8972042415598</v>
      </c>
      <c r="E922" t="s">
        <v>2882</v>
      </c>
      <c r="F922" t="s">
        <v>3352</v>
      </c>
    </row>
    <row r="923" spans="1:6" x14ac:dyDescent="0.45">
      <c r="A923" t="str">
        <f t="shared" si="14"/>
        <v>ET13,12</v>
      </c>
      <c r="B923">
        <v>12</v>
      </c>
      <c r="C923">
        <v>2819.5796470641999</v>
      </c>
      <c r="D923">
        <v>2819.5796470641999</v>
      </c>
      <c r="E923" t="s">
        <v>2882</v>
      </c>
      <c r="F923" t="s">
        <v>3352</v>
      </c>
    </row>
    <row r="924" spans="1:6" x14ac:dyDescent="0.45">
      <c r="A924" t="str">
        <f t="shared" si="14"/>
        <v>ET13,13</v>
      </c>
      <c r="B924">
        <v>13</v>
      </c>
      <c r="C924">
        <v>2853.2830411898999</v>
      </c>
      <c r="D924">
        <v>2818.4807801437901</v>
      </c>
      <c r="E924" t="s">
        <v>2882</v>
      </c>
      <c r="F924" t="s">
        <v>3352</v>
      </c>
    </row>
    <row r="925" spans="1:6" x14ac:dyDescent="0.45">
      <c r="A925" t="str">
        <f t="shared" si="14"/>
        <v>ET13,14</v>
      </c>
      <c r="B925">
        <v>14</v>
      </c>
      <c r="C925">
        <v>2886.9864353155999</v>
      </c>
      <c r="D925">
        <v>2851.0807079947999</v>
      </c>
      <c r="E925" t="s">
        <v>2882</v>
      </c>
      <c r="F925" t="s">
        <v>3352</v>
      </c>
    </row>
    <row r="926" spans="1:6" x14ac:dyDescent="0.45">
      <c r="A926" t="str">
        <f t="shared" si="14"/>
        <v>ET13,15</v>
      </c>
      <c r="B926">
        <v>15</v>
      </c>
      <c r="C926">
        <v>2920.6898294412999</v>
      </c>
      <c r="D926">
        <v>2901.0817663688699</v>
      </c>
      <c r="E926" t="s">
        <v>2882</v>
      </c>
      <c r="F926" t="s">
        <v>3352</v>
      </c>
    </row>
    <row r="927" spans="1:6" x14ac:dyDescent="0.45">
      <c r="A927" t="str">
        <f t="shared" si="14"/>
        <v>ET13,16</v>
      </c>
      <c r="B927">
        <v>16</v>
      </c>
      <c r="C927">
        <v>2954.3932235669999</v>
      </c>
      <c r="D927">
        <v>2952.1862910176301</v>
      </c>
      <c r="E927" t="s">
        <v>2882</v>
      </c>
      <c r="F927" t="s">
        <v>3352</v>
      </c>
    </row>
    <row r="928" spans="1:6" x14ac:dyDescent="0.45">
      <c r="A928" t="str">
        <f t="shared" si="14"/>
        <v>ET13,17</v>
      </c>
      <c r="B928">
        <v>17</v>
      </c>
      <c r="C928">
        <v>2988.0966176927</v>
      </c>
      <c r="D928">
        <v>2988.0966176927</v>
      </c>
      <c r="E928" t="s">
        <v>2882</v>
      </c>
      <c r="F928" t="s">
        <v>3352</v>
      </c>
    </row>
    <row r="929" spans="1:6" x14ac:dyDescent="0.45">
      <c r="A929" t="str">
        <f t="shared" si="14"/>
        <v>ET13,18</v>
      </c>
      <c r="B929">
        <v>18</v>
      </c>
      <c r="C929">
        <v>2980.59905246674</v>
      </c>
      <c r="D929">
        <v>2997.1654162160598</v>
      </c>
      <c r="E929" t="s">
        <v>2882</v>
      </c>
      <c r="F929" t="s">
        <v>3352</v>
      </c>
    </row>
    <row r="930" spans="1:6" x14ac:dyDescent="0.45">
      <c r="A930" t="str">
        <f t="shared" si="14"/>
        <v>ET13,19</v>
      </c>
      <c r="B930">
        <v>19</v>
      </c>
      <c r="C930">
        <v>2973.10148724078</v>
      </c>
      <c r="D930">
        <v>2986.3466926910601</v>
      </c>
      <c r="E930" t="s">
        <v>2882</v>
      </c>
      <c r="F930" t="s">
        <v>3352</v>
      </c>
    </row>
    <row r="931" spans="1:6" x14ac:dyDescent="0.45">
      <c r="A931" t="str">
        <f t="shared" si="14"/>
        <v>ET13,20</v>
      </c>
      <c r="B931">
        <v>20</v>
      </c>
      <c r="C931">
        <v>2965.60392201482</v>
      </c>
      <c r="D931">
        <v>2967.2447872913999</v>
      </c>
      <c r="E931" t="s">
        <v>2882</v>
      </c>
      <c r="F931" t="s">
        <v>3352</v>
      </c>
    </row>
    <row r="932" spans="1:6" x14ac:dyDescent="0.45">
      <c r="A932" t="str">
        <f t="shared" si="14"/>
        <v>ET13,21</v>
      </c>
      <c r="B932">
        <v>21</v>
      </c>
      <c r="C932">
        <v>2958.10635678886</v>
      </c>
      <c r="D932">
        <v>2951.46404019078</v>
      </c>
      <c r="E932" t="s">
        <v>2882</v>
      </c>
      <c r="F932" t="s">
        <v>3352</v>
      </c>
    </row>
    <row r="933" spans="1:6" x14ac:dyDescent="0.45">
      <c r="A933" t="str">
        <f t="shared" si="14"/>
        <v>ET13,22</v>
      </c>
      <c r="B933">
        <v>22</v>
      </c>
      <c r="C933">
        <v>2950.6087915629</v>
      </c>
      <c r="D933">
        <v>2950.6087915629</v>
      </c>
      <c r="E933" t="s">
        <v>2882</v>
      </c>
      <c r="F933" t="s">
        <v>3352</v>
      </c>
    </row>
    <row r="934" spans="1:6" x14ac:dyDescent="0.45">
      <c r="A934" t="str">
        <f t="shared" si="14"/>
        <v>ET13,23</v>
      </c>
      <c r="B934">
        <v>23</v>
      </c>
      <c r="C934">
        <v>2959.58354181408</v>
      </c>
      <c r="D934">
        <v>2971.63630647126</v>
      </c>
      <c r="E934" t="s">
        <v>2882</v>
      </c>
      <c r="F934" t="s">
        <v>3352</v>
      </c>
    </row>
    <row r="935" spans="1:6" x14ac:dyDescent="0.45">
      <c r="A935" t="str">
        <f t="shared" si="14"/>
        <v>ET13,24</v>
      </c>
      <c r="B935">
        <v>24</v>
      </c>
      <c r="C935">
        <v>2968.55829206525</v>
      </c>
      <c r="D935">
        <v>3002.9155495385498</v>
      </c>
      <c r="E935" t="s">
        <v>2882</v>
      </c>
      <c r="F935" t="s">
        <v>3352</v>
      </c>
    </row>
    <row r="936" spans="1:6" x14ac:dyDescent="0.45">
      <c r="A936" t="str">
        <f t="shared" si="14"/>
        <v>ET13,25</v>
      </c>
      <c r="B936">
        <v>25</v>
      </c>
      <c r="C936">
        <v>2977.5330423164301</v>
      </c>
      <c r="D936">
        <v>3028.1684102772401</v>
      </c>
      <c r="E936" t="s">
        <v>2882</v>
      </c>
      <c r="F936" t="s">
        <v>3352</v>
      </c>
    </row>
    <row r="937" spans="1:6" x14ac:dyDescent="0.45">
      <c r="A937" t="str">
        <f t="shared" si="14"/>
        <v>ET13,26</v>
      </c>
      <c r="B937">
        <v>26</v>
      </c>
      <c r="C937">
        <v>2986.5077925676001</v>
      </c>
      <c r="D937">
        <v>3031.1167781998201</v>
      </c>
      <c r="E937" t="s">
        <v>2882</v>
      </c>
      <c r="F937" t="s">
        <v>3352</v>
      </c>
    </row>
    <row r="938" spans="1:6" x14ac:dyDescent="0.45">
      <c r="A938" t="str">
        <f t="shared" si="14"/>
        <v>ET13,27</v>
      </c>
      <c r="B938">
        <v>27</v>
      </c>
      <c r="C938">
        <v>2995.4825428187801</v>
      </c>
      <c r="D938">
        <v>2995.4825428187801</v>
      </c>
      <c r="E938" t="s">
        <v>2882</v>
      </c>
      <c r="F938" t="s">
        <v>3352</v>
      </c>
    </row>
    <row r="939" spans="1:6" x14ac:dyDescent="0.45">
      <c r="A939" t="str">
        <f t="shared" si="14"/>
        <v>ET13,28</v>
      </c>
      <c r="B939">
        <v>28</v>
      </c>
      <c r="C939">
        <v>2866.5328271692902</v>
      </c>
      <c r="D939">
        <v>2910.4427577688002</v>
      </c>
      <c r="E939" t="s">
        <v>2882</v>
      </c>
      <c r="F939" t="s">
        <v>3352</v>
      </c>
    </row>
    <row r="940" spans="1:6" x14ac:dyDescent="0.45">
      <c r="A940" t="str">
        <f t="shared" si="14"/>
        <v>ET13,29</v>
      </c>
      <c r="B940">
        <v>29</v>
      </c>
      <c r="C940">
        <v>2737.5831115197998</v>
      </c>
      <c r="D940">
        <v>2786.99513317337</v>
      </c>
      <c r="E940" t="s">
        <v>2882</v>
      </c>
      <c r="F940" t="s">
        <v>3352</v>
      </c>
    </row>
    <row r="941" spans="1:6" x14ac:dyDescent="0.45">
      <c r="A941" t="str">
        <f t="shared" si="14"/>
        <v>ET13,30</v>
      </c>
      <c r="B941">
        <v>30</v>
      </c>
      <c r="C941">
        <v>2608.6333958703199</v>
      </c>
      <c r="D941">
        <v>2641.5925432781901</v>
      </c>
      <c r="E941" t="s">
        <v>2882</v>
      </c>
      <c r="F941" t="s">
        <v>3352</v>
      </c>
    </row>
    <row r="942" spans="1:6" x14ac:dyDescent="0.45">
      <c r="A942" t="str">
        <f t="shared" si="14"/>
        <v>ET13,31</v>
      </c>
      <c r="B942">
        <v>31</v>
      </c>
      <c r="C942">
        <v>2479.68368022083</v>
      </c>
      <c r="D942">
        <v>2490.6878623289499</v>
      </c>
      <c r="E942" t="s">
        <v>2882</v>
      </c>
      <c r="F942" t="s">
        <v>3352</v>
      </c>
    </row>
    <row r="943" spans="1:6" x14ac:dyDescent="0.45">
      <c r="A943" t="str">
        <f t="shared" si="14"/>
        <v>ET13,32</v>
      </c>
      <c r="B943">
        <v>32</v>
      </c>
      <c r="C943">
        <v>2350.73396457134</v>
      </c>
      <c r="D943">
        <v>2350.73396457134</v>
      </c>
      <c r="E943" t="s">
        <v>2882</v>
      </c>
      <c r="F943" t="s">
        <v>3352</v>
      </c>
    </row>
    <row r="944" spans="1:6" x14ac:dyDescent="0.45">
      <c r="A944" t="str">
        <f t="shared" si="14"/>
        <v>ET13,33</v>
      </c>
      <c r="B944">
        <v>33</v>
      </c>
      <c r="C944">
        <v>2264.1368830957899</v>
      </c>
      <c r="D944">
        <v>2234.3970981305602</v>
      </c>
      <c r="E944" t="s">
        <v>2882</v>
      </c>
      <c r="F944" t="s">
        <v>3352</v>
      </c>
    </row>
    <row r="945" spans="1:6" x14ac:dyDescent="0.45">
      <c r="A945" t="str">
        <f t="shared" si="14"/>
        <v>ET13,34</v>
      </c>
      <c r="B945">
        <v>34</v>
      </c>
      <c r="C945">
        <v>2177.5398016202298</v>
      </c>
      <c r="D945">
        <v>2139.1970066497402</v>
      </c>
      <c r="E945" t="s">
        <v>2882</v>
      </c>
      <c r="F945" t="s">
        <v>3352</v>
      </c>
    </row>
    <row r="946" spans="1:6" x14ac:dyDescent="0.45">
      <c r="A946" t="str">
        <f t="shared" si="14"/>
        <v>ET13,35</v>
      </c>
      <c r="B946">
        <v>35</v>
      </c>
      <c r="C946">
        <v>2090.9427201446802</v>
      </c>
      <c r="D946">
        <v>2058.8668076515501</v>
      </c>
      <c r="E946" t="s">
        <v>2882</v>
      </c>
      <c r="F946" t="s">
        <v>3352</v>
      </c>
    </row>
    <row r="947" spans="1:6" x14ac:dyDescent="0.45">
      <c r="A947" t="str">
        <f t="shared" si="14"/>
        <v>ET13,36</v>
      </c>
      <c r="B947">
        <v>36</v>
      </c>
      <c r="C947">
        <v>2004.34563866913</v>
      </c>
      <c r="D947">
        <v>1987.1396186586101</v>
      </c>
      <c r="E947" t="s">
        <v>2882</v>
      </c>
      <c r="F947" t="s">
        <v>3352</v>
      </c>
    </row>
    <row r="948" spans="1:6" x14ac:dyDescent="0.45">
      <c r="A948" t="str">
        <f t="shared" si="14"/>
        <v>ET13,37</v>
      </c>
      <c r="B948">
        <v>37</v>
      </c>
      <c r="C948">
        <v>1917.7485571935799</v>
      </c>
      <c r="D948">
        <v>1917.7485571935799</v>
      </c>
      <c r="E948" t="s">
        <v>2882</v>
      </c>
      <c r="F948" t="s">
        <v>3352</v>
      </c>
    </row>
    <row r="949" spans="1:6" x14ac:dyDescent="0.45">
      <c r="A949" t="str">
        <f t="shared" si="14"/>
        <v>ET13,38</v>
      </c>
      <c r="B949">
        <v>38</v>
      </c>
      <c r="C949">
        <v>1834.4055869829599</v>
      </c>
      <c r="D949">
        <v>1845.3430562195799</v>
      </c>
      <c r="E949" t="s">
        <v>2882</v>
      </c>
      <c r="F949" t="s">
        <v>3352</v>
      </c>
    </row>
    <row r="950" spans="1:6" x14ac:dyDescent="0.45">
      <c r="A950" t="str">
        <f t="shared" si="14"/>
        <v>ET13,39</v>
      </c>
      <c r="B950">
        <v>39</v>
      </c>
      <c r="C950">
        <v>1751.0626167723501</v>
      </c>
      <c r="D950">
        <v>1768.2378104616901</v>
      </c>
      <c r="E950" t="s">
        <v>2882</v>
      </c>
      <c r="F950" t="s">
        <v>3352</v>
      </c>
    </row>
    <row r="951" spans="1:6" x14ac:dyDescent="0.45">
      <c r="A951" t="str">
        <f t="shared" si="14"/>
        <v>ET13,40</v>
      </c>
      <c r="B951">
        <v>40</v>
      </c>
      <c r="C951">
        <v>1667.7196465617401</v>
      </c>
      <c r="D951">
        <v>1685.66383008551</v>
      </c>
      <c r="E951" t="s">
        <v>2882</v>
      </c>
      <c r="F951" t="s">
        <v>3352</v>
      </c>
    </row>
    <row r="952" spans="1:6" x14ac:dyDescent="0.45">
      <c r="A952" t="str">
        <f t="shared" si="14"/>
        <v>ET13,41</v>
      </c>
      <c r="B952">
        <v>41</v>
      </c>
      <c r="C952">
        <v>1584.3766763511301</v>
      </c>
      <c r="D952">
        <v>1596.8521252565899</v>
      </c>
      <c r="E952" t="s">
        <v>2882</v>
      </c>
      <c r="F952" t="s">
        <v>3352</v>
      </c>
    </row>
    <row r="953" spans="1:6" x14ac:dyDescent="0.45">
      <c r="A953" t="str">
        <f t="shared" si="14"/>
        <v>ET13,42</v>
      </c>
      <c r="B953">
        <v>42</v>
      </c>
      <c r="C953">
        <v>1501.0337061405201</v>
      </c>
      <c r="D953">
        <v>1501.0337061405201</v>
      </c>
      <c r="E953" t="s">
        <v>2882</v>
      </c>
      <c r="F953" t="s">
        <v>3352</v>
      </c>
    </row>
    <row r="954" spans="1:6" x14ac:dyDescent="0.45">
      <c r="A954" t="str">
        <f t="shared" si="14"/>
        <v>ET13,43</v>
      </c>
      <c r="B954">
        <v>43</v>
      </c>
      <c r="C954">
        <v>1407.60420552403</v>
      </c>
      <c r="D954">
        <v>1398.5912625109399</v>
      </c>
      <c r="E954" t="s">
        <v>2882</v>
      </c>
      <c r="F954" t="s">
        <v>3352</v>
      </c>
    </row>
    <row r="955" spans="1:6" x14ac:dyDescent="0.45">
      <c r="A955" t="str">
        <f t="shared" si="14"/>
        <v>ET13,44</v>
      </c>
      <c r="B955">
        <v>44</v>
      </c>
      <c r="C955">
        <v>1314.17470490754</v>
      </c>
      <c r="D955">
        <v>1294.5142025738501</v>
      </c>
      <c r="E955" t="s">
        <v>2882</v>
      </c>
      <c r="F955" t="s">
        <v>3352</v>
      </c>
    </row>
    <row r="956" spans="1:6" x14ac:dyDescent="0.45">
      <c r="A956" t="str">
        <f t="shared" si="14"/>
        <v>ET13,45</v>
      </c>
      <c r="B956">
        <v>45</v>
      </c>
      <c r="C956">
        <v>1220.74520429105</v>
      </c>
      <c r="D956">
        <v>1194.9436141433</v>
      </c>
      <c r="E956" t="s">
        <v>2882</v>
      </c>
      <c r="F956" t="s">
        <v>3352</v>
      </c>
    </row>
    <row r="957" spans="1:6" x14ac:dyDescent="0.45">
      <c r="A957" t="str">
        <f t="shared" si="14"/>
        <v>ET13,46</v>
      </c>
      <c r="B957">
        <v>46</v>
      </c>
      <c r="C957">
        <v>1127.3157036745499</v>
      </c>
      <c r="D957">
        <v>1106.02058503335</v>
      </c>
      <c r="E957" t="s">
        <v>2882</v>
      </c>
      <c r="F957" t="s">
        <v>3352</v>
      </c>
    </row>
    <row r="958" spans="1:6" x14ac:dyDescent="0.45">
      <c r="A958" t="str">
        <f t="shared" si="14"/>
        <v>ET13,47</v>
      </c>
      <c r="B958">
        <v>47</v>
      </c>
      <c r="C958">
        <v>1033.8862030580599</v>
      </c>
      <c r="D958">
        <v>1033.8862030580599</v>
      </c>
      <c r="E958" t="s">
        <v>2882</v>
      </c>
      <c r="F958" t="s">
        <v>3352</v>
      </c>
    </row>
    <row r="959" spans="1:6" x14ac:dyDescent="0.45">
      <c r="A959" t="str">
        <f t="shared" si="14"/>
        <v>ET13,48</v>
      </c>
      <c r="B959">
        <v>48</v>
      </c>
      <c r="C959">
        <v>991.56268886953603</v>
      </c>
      <c r="D959">
        <v>982.13984849887902</v>
      </c>
      <c r="E959" t="s">
        <v>2882</v>
      </c>
      <c r="F959" t="s">
        <v>3352</v>
      </c>
    </row>
    <row r="960" spans="1:6" x14ac:dyDescent="0.45">
      <c r="A960" t="str">
        <f t="shared" si="14"/>
        <v>ET13,49</v>
      </c>
      <c r="B960">
        <v>49</v>
      </c>
      <c r="C960">
        <v>949.23917468100694</v>
      </c>
      <c r="D960">
        <v>944.21407150672201</v>
      </c>
      <c r="E960" t="s">
        <v>2882</v>
      </c>
      <c r="F960" t="s">
        <v>3352</v>
      </c>
    </row>
    <row r="961" spans="1:6" x14ac:dyDescent="0.45">
      <c r="A961" t="str">
        <f t="shared" si="14"/>
        <v>ET13,50</v>
      </c>
      <c r="B961">
        <v>50</v>
      </c>
      <c r="C961">
        <v>906.91566049247899</v>
      </c>
      <c r="D961">
        <v>910.99971469989305</v>
      </c>
      <c r="E961" t="s">
        <v>2882</v>
      </c>
      <c r="F961" t="s">
        <v>3352</v>
      </c>
    </row>
    <row r="962" spans="1:6" x14ac:dyDescent="0.45">
      <c r="A962" t="str">
        <f t="shared" si="14"/>
        <v>ET13,51</v>
      </c>
      <c r="B962">
        <v>51</v>
      </c>
      <c r="C962">
        <v>864.59214630395002</v>
      </c>
      <c r="D962">
        <v>873.38762069669303</v>
      </c>
      <c r="E962" t="s">
        <v>2882</v>
      </c>
      <c r="F962" t="s">
        <v>3352</v>
      </c>
    </row>
    <row r="963" spans="1:6" x14ac:dyDescent="0.45">
      <c r="A963" t="str">
        <f t="shared" ref="A963:A1026" si="15">_xlfn.CONCAT(E963,",",B963)</f>
        <v>ET13,52</v>
      </c>
      <c r="B963">
        <v>52</v>
      </c>
      <c r="C963">
        <v>822.26863211542195</v>
      </c>
      <c r="D963">
        <v>822.26863211542195</v>
      </c>
      <c r="E963" t="s">
        <v>2882</v>
      </c>
      <c r="F963" t="s">
        <v>3352</v>
      </c>
    </row>
    <row r="964" spans="1:6" x14ac:dyDescent="0.45">
      <c r="A964" t="str">
        <f t="shared" si="15"/>
        <v>ET13,53</v>
      </c>
      <c r="B964">
        <v>53</v>
      </c>
      <c r="C964">
        <v>751.63232383578895</v>
      </c>
      <c r="D964">
        <v>751.92429020269196</v>
      </c>
      <c r="E964" t="s">
        <v>2882</v>
      </c>
      <c r="F964" t="s">
        <v>3352</v>
      </c>
    </row>
    <row r="965" spans="1:6" x14ac:dyDescent="0.45">
      <c r="A965" t="str">
        <f t="shared" si="15"/>
        <v>ET13,54</v>
      </c>
      <c r="B965">
        <v>54</v>
      </c>
      <c r="C965">
        <v>680.99601555615595</v>
      </c>
      <c r="D965">
        <v>670.19893071835099</v>
      </c>
      <c r="E965" t="s">
        <v>2882</v>
      </c>
      <c r="F965" t="s">
        <v>3352</v>
      </c>
    </row>
    <row r="966" spans="1:6" x14ac:dyDescent="0.45">
      <c r="A966" t="str">
        <f t="shared" si="15"/>
        <v>ET13,55</v>
      </c>
      <c r="B966">
        <v>55</v>
      </c>
      <c r="C966">
        <v>610.35970727652204</v>
      </c>
      <c r="D966">
        <v>588.32758805055801</v>
      </c>
      <c r="E966" t="s">
        <v>2882</v>
      </c>
      <c r="F966" t="s">
        <v>3352</v>
      </c>
    </row>
    <row r="967" spans="1:6" x14ac:dyDescent="0.45">
      <c r="A967" t="str">
        <f t="shared" si="15"/>
        <v>ET13,56</v>
      </c>
      <c r="B967">
        <v>56</v>
      </c>
      <c r="C967">
        <v>539.72339899688905</v>
      </c>
      <c r="D967">
        <v>517.54529658747401</v>
      </c>
      <c r="E967" t="s">
        <v>2882</v>
      </c>
      <c r="F967" t="s">
        <v>3352</v>
      </c>
    </row>
    <row r="968" spans="1:6" x14ac:dyDescent="0.45">
      <c r="A968" t="str">
        <f t="shared" si="15"/>
        <v>ET13,57</v>
      </c>
      <c r="B968">
        <v>57</v>
      </c>
      <c r="C968">
        <v>469.08709071725599</v>
      </c>
      <c r="D968">
        <v>469.08709071725599</v>
      </c>
      <c r="E968" t="s">
        <v>2882</v>
      </c>
      <c r="F968" t="s">
        <v>3352</v>
      </c>
    </row>
    <row r="969" spans="1:6" x14ac:dyDescent="0.45">
      <c r="A969" t="str">
        <f t="shared" si="15"/>
        <v>ET13,58</v>
      </c>
      <c r="B969">
        <v>58</v>
      </c>
      <c r="C969">
        <v>470.51892060890799</v>
      </c>
      <c r="D969">
        <v>450.35890635871101</v>
      </c>
      <c r="E969" t="s">
        <v>2882</v>
      </c>
      <c r="F969" t="s">
        <v>3352</v>
      </c>
    </row>
    <row r="970" spans="1:6" x14ac:dyDescent="0.45">
      <c r="A970" t="str">
        <f t="shared" si="15"/>
        <v>ET13,59</v>
      </c>
      <c r="B970">
        <v>59</v>
      </c>
      <c r="C970">
        <v>471.95075050055902</v>
      </c>
      <c r="D970">
        <v>453.45028555322801</v>
      </c>
      <c r="E970" t="s">
        <v>2882</v>
      </c>
      <c r="F970" t="s">
        <v>3352</v>
      </c>
    </row>
    <row r="971" spans="1:6" x14ac:dyDescent="0.45">
      <c r="A971" t="str">
        <f t="shared" si="15"/>
        <v>ET13,60</v>
      </c>
      <c r="B971">
        <v>60</v>
      </c>
      <c r="C971">
        <v>473.38258039221103</v>
      </c>
      <c r="D971">
        <v>466.62167187284302</v>
      </c>
      <c r="E971" t="s">
        <v>2882</v>
      </c>
      <c r="F971" t="s">
        <v>3352</v>
      </c>
    </row>
    <row r="972" spans="1:6" x14ac:dyDescent="0.45">
      <c r="A972" t="str">
        <f t="shared" si="15"/>
        <v>ET13,61</v>
      </c>
      <c r="B972">
        <v>61</v>
      </c>
      <c r="C972">
        <v>474.814410283862</v>
      </c>
      <c r="D972">
        <v>478.13350888959297</v>
      </c>
      <c r="E972" t="s">
        <v>2882</v>
      </c>
      <c r="F972" t="s">
        <v>3352</v>
      </c>
    </row>
    <row r="973" spans="1:6" x14ac:dyDescent="0.45">
      <c r="A973" t="str">
        <f t="shared" si="15"/>
        <v>ET13,62</v>
      </c>
      <c r="B973">
        <v>62</v>
      </c>
      <c r="C973">
        <v>476.246240175514</v>
      </c>
      <c r="D973">
        <v>476.246240175514</v>
      </c>
      <c r="E973" t="s">
        <v>2882</v>
      </c>
      <c r="F973" t="s">
        <v>3352</v>
      </c>
    </row>
    <row r="974" spans="1:6" x14ac:dyDescent="0.45">
      <c r="A974" t="str">
        <f t="shared" si="15"/>
        <v>ET13,63</v>
      </c>
      <c r="B974">
        <v>63</v>
      </c>
      <c r="C974">
        <v>436.07005197558402</v>
      </c>
      <c r="D974">
        <v>452.58372101073701</v>
      </c>
      <c r="E974" t="s">
        <v>2882</v>
      </c>
      <c r="F974" t="s">
        <v>3352</v>
      </c>
    </row>
    <row r="975" spans="1:6" x14ac:dyDescent="0.45">
      <c r="A975" t="str">
        <f t="shared" si="15"/>
        <v>ET13,64</v>
      </c>
      <c r="B975">
        <v>64</v>
      </c>
      <c r="C975">
        <v>395.89386377565398</v>
      </c>
      <c r="D975">
        <v>412.22345350777499</v>
      </c>
      <c r="E975" t="s">
        <v>2882</v>
      </c>
      <c r="F975" t="s">
        <v>3352</v>
      </c>
    </row>
    <row r="976" spans="1:6" x14ac:dyDescent="0.45">
      <c r="A976" t="str">
        <f t="shared" si="15"/>
        <v>ET13,65</v>
      </c>
      <c r="B976">
        <v>65</v>
      </c>
      <c r="C976">
        <v>355.717675575724</v>
      </c>
      <c r="D976">
        <v>363.606351487236</v>
      </c>
      <c r="E976" t="s">
        <v>2882</v>
      </c>
      <c r="F976" t="s">
        <v>3352</v>
      </c>
    </row>
    <row r="977" spans="1:6" x14ac:dyDescent="0.45">
      <c r="A977" t="str">
        <f t="shared" si="15"/>
        <v>ET13,66</v>
      </c>
      <c r="B977">
        <v>66</v>
      </c>
      <c r="C977">
        <v>315.54148737579402</v>
      </c>
      <c r="D977">
        <v>315.17332876973001</v>
      </c>
      <c r="E977" t="s">
        <v>2882</v>
      </c>
      <c r="F977" t="s">
        <v>3352</v>
      </c>
    </row>
    <row r="978" spans="1:6" x14ac:dyDescent="0.45">
      <c r="A978" t="str">
        <f t="shared" si="15"/>
        <v>ET13,67</v>
      </c>
      <c r="B978">
        <v>67</v>
      </c>
      <c r="C978">
        <v>275.36529917586398</v>
      </c>
      <c r="D978">
        <v>275.36529917586398</v>
      </c>
      <c r="E978" t="s">
        <v>2882</v>
      </c>
      <c r="F978" t="s">
        <v>3352</v>
      </c>
    </row>
    <row r="979" spans="1:6" x14ac:dyDescent="0.45">
      <c r="A979" t="str">
        <f t="shared" si="15"/>
        <v>ET13,68</v>
      </c>
      <c r="B979">
        <v>68</v>
      </c>
      <c r="C979">
        <v>263.15269365556401</v>
      </c>
      <c r="D979">
        <v>250.32853844458199</v>
      </c>
      <c r="E979" t="s">
        <v>2882</v>
      </c>
      <c r="F979" t="s">
        <v>3352</v>
      </c>
    </row>
    <row r="980" spans="1:6" x14ac:dyDescent="0.45">
      <c r="A980" t="str">
        <f t="shared" si="15"/>
        <v>ET13,69</v>
      </c>
      <c r="B980">
        <v>69</v>
      </c>
      <c r="C980">
        <v>250.94008813526301</v>
      </c>
      <c r="D980">
        <v>237.03076998816999</v>
      </c>
      <c r="E980" t="s">
        <v>2882</v>
      </c>
      <c r="F980" t="s">
        <v>3352</v>
      </c>
    </row>
    <row r="981" spans="1:6" x14ac:dyDescent="0.45">
      <c r="A981" t="str">
        <f t="shared" si="15"/>
        <v>ET13,70</v>
      </c>
      <c r="B981">
        <v>70</v>
      </c>
      <c r="C981">
        <v>238.72748261496301</v>
      </c>
      <c r="D981">
        <v>230.14507913724901</v>
      </c>
      <c r="E981" t="s">
        <v>2882</v>
      </c>
      <c r="F981" t="s">
        <v>3352</v>
      </c>
    </row>
    <row r="982" spans="1:6" x14ac:dyDescent="0.45">
      <c r="A982" t="str">
        <f t="shared" si="15"/>
        <v>ET13,71</v>
      </c>
      <c r="B982">
        <v>71</v>
      </c>
      <c r="C982">
        <v>226.51487709466201</v>
      </c>
      <c r="D982">
        <v>224.34455122243901</v>
      </c>
      <c r="E982" t="s">
        <v>2882</v>
      </c>
      <c r="F982" t="s">
        <v>3352</v>
      </c>
    </row>
    <row r="983" spans="1:6" x14ac:dyDescent="0.45">
      <c r="A983" t="str">
        <f t="shared" si="15"/>
        <v>ET13,72</v>
      </c>
      <c r="B983">
        <v>72</v>
      </c>
      <c r="C983">
        <v>214.30227157436201</v>
      </c>
      <c r="D983">
        <v>214.30227157436201</v>
      </c>
      <c r="E983" t="s">
        <v>2882</v>
      </c>
      <c r="F983" t="s">
        <v>3352</v>
      </c>
    </row>
    <row r="984" spans="1:6" x14ac:dyDescent="0.45">
      <c r="A984" t="str">
        <f t="shared" si="15"/>
        <v>ET13,73</v>
      </c>
      <c r="B984">
        <v>73</v>
      </c>
      <c r="C984">
        <v>189.89870527576599</v>
      </c>
      <c r="D984">
        <v>196.117420373036</v>
      </c>
      <c r="E984" t="s">
        <v>2882</v>
      </c>
      <c r="F984" t="s">
        <v>3352</v>
      </c>
    </row>
    <row r="985" spans="1:6" x14ac:dyDescent="0.45">
      <c r="A985" t="str">
        <f t="shared" si="15"/>
        <v>ET13,74</v>
      </c>
      <c r="B985">
        <v>74</v>
      </c>
      <c r="C985">
        <v>165.49513897716901</v>
      </c>
      <c r="D985">
        <v>171.59355719606901</v>
      </c>
      <c r="E985" t="s">
        <v>2882</v>
      </c>
      <c r="F985" t="s">
        <v>3352</v>
      </c>
    </row>
    <row r="986" spans="1:6" x14ac:dyDescent="0.45">
      <c r="A986" t="str">
        <f t="shared" si="15"/>
        <v>ET13,75</v>
      </c>
      <c r="B986">
        <v>75</v>
      </c>
      <c r="C986">
        <v>141.09157267857299</v>
      </c>
      <c r="D986">
        <v>143.96033647046701</v>
      </c>
      <c r="E986" t="s">
        <v>2882</v>
      </c>
      <c r="F986" t="s">
        <v>3352</v>
      </c>
    </row>
    <row r="987" spans="1:6" x14ac:dyDescent="0.45">
      <c r="A987" t="str">
        <f t="shared" si="15"/>
        <v>ET13,76</v>
      </c>
      <c r="B987">
        <v>76</v>
      </c>
      <c r="C987">
        <v>116.688006379977</v>
      </c>
      <c r="D987">
        <v>116.447412623236</v>
      </c>
      <c r="E987" t="s">
        <v>2882</v>
      </c>
      <c r="F987" t="s">
        <v>3352</v>
      </c>
    </row>
    <row r="988" spans="1:6" x14ac:dyDescent="0.45">
      <c r="A988" t="str">
        <f t="shared" si="15"/>
        <v>ET13,77</v>
      </c>
      <c r="B988">
        <v>77</v>
      </c>
      <c r="C988">
        <v>92.284440081380197</v>
      </c>
      <c r="D988">
        <v>92.284440081380197</v>
      </c>
      <c r="E988" t="s">
        <v>2882</v>
      </c>
      <c r="F988" t="s">
        <v>3352</v>
      </c>
    </row>
    <row r="989" spans="1:6" x14ac:dyDescent="0.45">
      <c r="A989" t="str">
        <f t="shared" si="15"/>
        <v>ET13,78</v>
      </c>
      <c r="B989">
        <v>78</v>
      </c>
      <c r="C989">
        <v>81.761152065104199</v>
      </c>
      <c r="D989">
        <v>73.940363256723103</v>
      </c>
      <c r="E989" t="s">
        <v>2882</v>
      </c>
      <c r="F989" t="s">
        <v>3352</v>
      </c>
    </row>
    <row r="990" spans="1:6" x14ac:dyDescent="0.45">
      <c r="A990" t="str">
        <f t="shared" si="15"/>
        <v>ET13,79</v>
      </c>
      <c r="B990">
        <v>79</v>
      </c>
      <c r="C990">
        <v>71.237864048828101</v>
      </c>
      <c r="D990">
        <v>60.841286500352197</v>
      </c>
      <c r="E990" t="s">
        <v>2882</v>
      </c>
      <c r="F990" t="s">
        <v>3352</v>
      </c>
    </row>
    <row r="991" spans="1:6" x14ac:dyDescent="0.45">
      <c r="A991" t="str">
        <f t="shared" si="15"/>
        <v>ET13,80</v>
      </c>
      <c r="B991">
        <v>80</v>
      </c>
      <c r="C991">
        <v>60.714576032552102</v>
      </c>
      <c r="D991">
        <v>51.652604148171797</v>
      </c>
      <c r="E991" t="s">
        <v>2882</v>
      </c>
      <c r="F991" t="s">
        <v>3352</v>
      </c>
    </row>
    <row r="992" spans="1:6" x14ac:dyDescent="0.45">
      <c r="A992" t="str">
        <f t="shared" si="15"/>
        <v>ET13,81</v>
      </c>
      <c r="B992">
        <v>81</v>
      </c>
      <c r="C992">
        <v>50.191288016275998</v>
      </c>
      <c r="D992">
        <v>45.039710536086197</v>
      </c>
      <c r="E992" t="s">
        <v>2882</v>
      </c>
      <c r="F992" t="s">
        <v>3352</v>
      </c>
    </row>
    <row r="993" spans="1:6" x14ac:dyDescent="0.45">
      <c r="A993" t="str">
        <f t="shared" si="15"/>
        <v>ET13,82</v>
      </c>
      <c r="B993">
        <v>82</v>
      </c>
      <c r="C993">
        <v>39.667999999999999</v>
      </c>
      <c r="D993">
        <v>39.667999999999999</v>
      </c>
      <c r="E993" t="s">
        <v>2882</v>
      </c>
      <c r="F993" t="s">
        <v>3352</v>
      </c>
    </row>
    <row r="994" spans="1:6" x14ac:dyDescent="0.45">
      <c r="A994" t="str">
        <f t="shared" si="15"/>
        <v>ET13,83</v>
      </c>
      <c r="B994">
        <v>83</v>
      </c>
      <c r="C994">
        <v>34.825600000000001</v>
      </c>
      <c r="D994">
        <v>34.448786914087698</v>
      </c>
      <c r="E994" t="s">
        <v>2882</v>
      </c>
      <c r="F994" t="s">
        <v>3352</v>
      </c>
    </row>
    <row r="995" spans="1:6" x14ac:dyDescent="0.45">
      <c r="A995" t="str">
        <f t="shared" si="15"/>
        <v>ET13,84</v>
      </c>
      <c r="B995">
        <v>84</v>
      </c>
      <c r="C995">
        <v>29.9832</v>
      </c>
      <c r="D995">
        <v>29.2770658056053</v>
      </c>
      <c r="E995" t="s">
        <v>2882</v>
      </c>
      <c r="F995" t="s">
        <v>3352</v>
      </c>
    </row>
    <row r="996" spans="1:6" x14ac:dyDescent="0.45">
      <c r="A996" t="str">
        <f t="shared" si="15"/>
        <v>ET13,85</v>
      </c>
      <c r="B996">
        <v>85</v>
      </c>
      <c r="C996">
        <v>25.140799999999999</v>
      </c>
      <c r="D996">
        <v>24.293751240079001</v>
      </c>
      <c r="E996" t="s">
        <v>2882</v>
      </c>
      <c r="F996" t="s">
        <v>3352</v>
      </c>
    </row>
    <row r="997" spans="1:6" x14ac:dyDescent="0.45">
      <c r="A997" t="str">
        <f t="shared" si="15"/>
        <v>ET13,86</v>
      </c>
      <c r="B997">
        <v>86</v>
      </c>
      <c r="C997">
        <v>20.298400000000001</v>
      </c>
      <c r="D997">
        <v>19.639757783035201</v>
      </c>
      <c r="E997" t="s">
        <v>2882</v>
      </c>
      <c r="F997" t="s">
        <v>3352</v>
      </c>
    </row>
    <row r="998" spans="1:6" x14ac:dyDescent="0.45">
      <c r="A998" t="str">
        <f t="shared" si="15"/>
        <v>ET13,87</v>
      </c>
      <c r="B998">
        <v>87</v>
      </c>
      <c r="C998">
        <v>15.456</v>
      </c>
      <c r="D998">
        <v>15.456</v>
      </c>
      <c r="E998" t="s">
        <v>2882</v>
      </c>
      <c r="F998" t="s">
        <v>3352</v>
      </c>
    </row>
    <row r="999" spans="1:6" x14ac:dyDescent="0.45">
      <c r="A999" t="str">
        <f t="shared" si="15"/>
        <v>ET13,88</v>
      </c>
      <c r="B999">
        <v>88</v>
      </c>
      <c r="C999">
        <v>12.9328</v>
      </c>
      <c r="D999">
        <v>11.853930408592801</v>
      </c>
      <c r="E999" t="s">
        <v>2882</v>
      </c>
      <c r="F999" t="s">
        <v>3352</v>
      </c>
    </row>
    <row r="1000" spans="1:6" x14ac:dyDescent="0.45">
      <c r="A1000" t="str">
        <f t="shared" si="15"/>
        <v>ET13,89</v>
      </c>
      <c r="B1000">
        <v>89</v>
      </c>
      <c r="C1000">
        <v>10.409599999999999</v>
      </c>
      <c r="D1000">
        <v>8.8271533348048195</v>
      </c>
      <c r="E1000" t="s">
        <v>2882</v>
      </c>
      <c r="F1000" t="s">
        <v>3352</v>
      </c>
    </row>
    <row r="1001" spans="1:6" x14ac:dyDescent="0.45">
      <c r="A1001" t="str">
        <f t="shared" si="15"/>
        <v>ET13,90</v>
      </c>
      <c r="B1001">
        <v>90</v>
      </c>
      <c r="C1001">
        <v>7.8864000000000001</v>
      </c>
      <c r="D1001">
        <v>6.3398110567204897</v>
      </c>
      <c r="E1001" t="s">
        <v>2882</v>
      </c>
      <c r="F1001" t="s">
        <v>3352</v>
      </c>
    </row>
    <row r="1002" spans="1:6" x14ac:dyDescent="0.45">
      <c r="A1002" t="str">
        <f t="shared" si="15"/>
        <v>ET13,91</v>
      </c>
      <c r="B1002">
        <v>91</v>
      </c>
      <c r="C1002">
        <v>5.3632</v>
      </c>
      <c r="D1002">
        <v>4.3560458524241001</v>
      </c>
      <c r="E1002" t="s">
        <v>2882</v>
      </c>
      <c r="F1002" t="s">
        <v>3352</v>
      </c>
    </row>
    <row r="1003" spans="1:6" x14ac:dyDescent="0.45">
      <c r="A1003" t="str">
        <f t="shared" si="15"/>
        <v>ET13,92</v>
      </c>
      <c r="B1003">
        <v>92</v>
      </c>
      <c r="C1003">
        <v>2.84</v>
      </c>
      <c r="D1003">
        <v>2.84</v>
      </c>
      <c r="E1003" t="s">
        <v>2882</v>
      </c>
      <c r="F1003" t="s">
        <v>3352</v>
      </c>
    </row>
    <row r="1004" spans="1:6" x14ac:dyDescent="0.45">
      <c r="A1004" t="str">
        <f t="shared" si="15"/>
        <v>ET13,93</v>
      </c>
      <c r="B1004">
        <v>93</v>
      </c>
      <c r="C1004">
        <v>2.3039999999999998</v>
      </c>
      <c r="D1004">
        <v>1.7489314515412</v>
      </c>
      <c r="E1004" t="s">
        <v>2882</v>
      </c>
      <c r="F1004" t="s">
        <v>3352</v>
      </c>
    </row>
    <row r="1005" spans="1:6" x14ac:dyDescent="0.45">
      <c r="A1005" t="str">
        <f t="shared" si="15"/>
        <v>ET13,94</v>
      </c>
      <c r="B1005">
        <v>94</v>
      </c>
      <c r="C1005">
        <v>1.768</v>
      </c>
      <c r="D1005">
        <v>1.0125608551754199</v>
      </c>
      <c r="E1005" t="s">
        <v>2882</v>
      </c>
      <c r="F1005" t="s">
        <v>3352</v>
      </c>
    </row>
    <row r="1006" spans="1:6" x14ac:dyDescent="0.45">
      <c r="A1006" t="str">
        <f t="shared" si="15"/>
        <v>ET13,95</v>
      </c>
      <c r="B1006">
        <v>95</v>
      </c>
      <c r="C1006">
        <v>1.232</v>
      </c>
      <c r="D1006">
        <v>0.55372453303903402</v>
      </c>
      <c r="E1006" t="s">
        <v>2882</v>
      </c>
      <c r="F1006" t="s">
        <v>3352</v>
      </c>
    </row>
    <row r="1007" spans="1:6" x14ac:dyDescent="0.45">
      <c r="A1007" t="str">
        <f t="shared" si="15"/>
        <v>ET13,96</v>
      </c>
      <c r="B1007">
        <v>96</v>
      </c>
      <c r="C1007">
        <v>0.69599999999999995</v>
      </c>
      <c r="D1007">
        <v>0.29525880726843201</v>
      </c>
      <c r="E1007" t="s">
        <v>2882</v>
      </c>
      <c r="F1007" t="s">
        <v>3352</v>
      </c>
    </row>
    <row r="1008" spans="1:6" x14ac:dyDescent="0.45">
      <c r="A1008" t="str">
        <f t="shared" si="15"/>
        <v>ET13,97</v>
      </c>
      <c r="B1008">
        <v>97</v>
      </c>
      <c r="C1008">
        <v>0.16</v>
      </c>
      <c r="D1008">
        <v>0.159999999999998</v>
      </c>
      <c r="E1008" t="s">
        <v>2882</v>
      </c>
      <c r="F1008" t="s">
        <v>3352</v>
      </c>
    </row>
    <row r="1009" spans="1:6" x14ac:dyDescent="0.45">
      <c r="A1009" t="str">
        <f t="shared" si="15"/>
        <v>ET13,98</v>
      </c>
      <c r="B1009">
        <v>98</v>
      </c>
      <c r="C1009">
        <v>0.10666666666666701</v>
      </c>
      <c r="D1009">
        <v>8.1087088534136806E-2</v>
      </c>
      <c r="E1009" t="s">
        <v>2882</v>
      </c>
      <c r="F1009" t="s">
        <v>3352</v>
      </c>
    </row>
    <row r="1010" spans="1:6" x14ac:dyDescent="0.45">
      <c r="A1010" t="str">
        <f t="shared" si="15"/>
        <v>ET13,99</v>
      </c>
      <c r="B1010">
        <v>99</v>
      </c>
      <c r="C1010">
        <v>5.3333333333333302E-2</v>
      </c>
      <c r="D1010">
        <v>3.2869670827309398E-2</v>
      </c>
      <c r="E1010" t="s">
        <v>2882</v>
      </c>
      <c r="F1010" t="s">
        <v>3352</v>
      </c>
    </row>
    <row r="1011" spans="1:6" x14ac:dyDescent="0.45">
      <c r="A1011" t="str">
        <f t="shared" si="15"/>
        <v>ET13,100</v>
      </c>
      <c r="B1011">
        <v>100</v>
      </c>
      <c r="C1011">
        <v>0</v>
      </c>
      <c r="D1011">
        <v>2.7755575615628901E-17</v>
      </c>
      <c r="E1011" t="s">
        <v>2882</v>
      </c>
      <c r="F1011" t="s">
        <v>3352</v>
      </c>
    </row>
    <row r="1012" spans="1:6" x14ac:dyDescent="0.45">
      <c r="A1012" t="str">
        <f t="shared" si="15"/>
        <v>ET14,&lt;1</v>
      </c>
      <c r="B1012" t="s">
        <v>119</v>
      </c>
      <c r="C1012">
        <v>32259.348363568999</v>
      </c>
      <c r="D1012">
        <v>32259.348363568999</v>
      </c>
      <c r="E1012" t="s">
        <v>2884</v>
      </c>
      <c r="F1012" t="s">
        <v>3348</v>
      </c>
    </row>
    <row r="1013" spans="1:6" x14ac:dyDescent="0.45">
      <c r="A1013" t="str">
        <f t="shared" si="15"/>
        <v>ET14,1</v>
      </c>
      <c r="B1013">
        <v>1</v>
      </c>
      <c r="C1013">
        <v>31034.910696266099</v>
      </c>
      <c r="D1013">
        <v>31049.474597315198</v>
      </c>
      <c r="E1013" t="s">
        <v>2884</v>
      </c>
      <c r="F1013" t="s">
        <v>3348</v>
      </c>
    </row>
    <row r="1014" spans="1:6" x14ac:dyDescent="0.45">
      <c r="A1014" t="str">
        <f t="shared" si="15"/>
        <v>ET14,2</v>
      </c>
      <c r="B1014">
        <v>2</v>
      </c>
      <c r="C1014">
        <v>29810.473028963199</v>
      </c>
      <c r="D1014">
        <v>29810.473028963301</v>
      </c>
      <c r="E1014" t="s">
        <v>2884</v>
      </c>
      <c r="F1014" t="s">
        <v>3348</v>
      </c>
    </row>
    <row r="1015" spans="1:6" x14ac:dyDescent="0.45">
      <c r="A1015" t="str">
        <f t="shared" si="15"/>
        <v>ET14,3</v>
      </c>
      <c r="B1015">
        <v>3</v>
      </c>
      <c r="C1015">
        <v>28721.9275669087</v>
      </c>
      <c r="D1015">
        <v>28530.8852215062</v>
      </c>
      <c r="E1015" t="s">
        <v>2884</v>
      </c>
      <c r="F1015" t="s">
        <v>3348</v>
      </c>
    </row>
    <row r="1016" spans="1:6" x14ac:dyDescent="0.45">
      <c r="A1016" t="str">
        <f t="shared" si="15"/>
        <v>ET14,4</v>
      </c>
      <c r="B1016">
        <v>4</v>
      </c>
      <c r="C1016">
        <v>27633.382104854201</v>
      </c>
      <c r="D1016">
        <v>27269.930198301699</v>
      </c>
      <c r="E1016" t="s">
        <v>2884</v>
      </c>
      <c r="F1016" t="s">
        <v>3348</v>
      </c>
    </row>
    <row r="1017" spans="1:6" x14ac:dyDescent="0.45">
      <c r="A1017" t="str">
        <f t="shared" si="15"/>
        <v>ET14,5</v>
      </c>
      <c r="B1017">
        <v>5</v>
      </c>
      <c r="C1017">
        <v>26544.836642799699</v>
      </c>
      <c r="D1017">
        <v>26104.4963477985</v>
      </c>
      <c r="E1017" t="s">
        <v>2884</v>
      </c>
      <c r="F1017" t="s">
        <v>3348</v>
      </c>
    </row>
    <row r="1018" spans="1:6" x14ac:dyDescent="0.45">
      <c r="A1018" t="str">
        <f t="shared" si="15"/>
        <v>ET14,6</v>
      </c>
      <c r="B1018">
        <v>6</v>
      </c>
      <c r="C1018">
        <v>25456.291180745098</v>
      </c>
      <c r="D1018">
        <v>25111.472058445201</v>
      </c>
      <c r="E1018" t="s">
        <v>2884</v>
      </c>
      <c r="F1018" t="s">
        <v>3348</v>
      </c>
    </row>
    <row r="1019" spans="1:6" x14ac:dyDescent="0.45">
      <c r="A1019" t="str">
        <f t="shared" si="15"/>
        <v>ET14,7</v>
      </c>
      <c r="B1019">
        <v>7</v>
      </c>
      <c r="C1019">
        <v>24367.745718690599</v>
      </c>
      <c r="D1019">
        <v>24367.745718690599</v>
      </c>
      <c r="E1019" t="s">
        <v>2884</v>
      </c>
      <c r="F1019" t="s">
        <v>3348</v>
      </c>
    </row>
    <row r="1020" spans="1:6" x14ac:dyDescent="0.45">
      <c r="A1020" t="str">
        <f t="shared" si="15"/>
        <v>ET14,8</v>
      </c>
      <c r="B1020">
        <v>8</v>
      </c>
      <c r="C1020">
        <v>24772.577107527701</v>
      </c>
      <c r="D1020">
        <v>23944.7035234096</v>
      </c>
      <c r="E1020" t="s">
        <v>2884</v>
      </c>
      <c r="F1020" t="s">
        <v>3348</v>
      </c>
    </row>
    <row r="1021" spans="1:6" x14ac:dyDescent="0.45">
      <c r="A1021" t="str">
        <f t="shared" si="15"/>
        <v>ET14,9</v>
      </c>
      <c r="B1021">
        <v>9</v>
      </c>
      <c r="C1021">
        <v>25177.408496364798</v>
      </c>
      <c r="D1021">
        <v>23891.722893181901</v>
      </c>
      <c r="E1021" t="s">
        <v>2884</v>
      </c>
      <c r="F1021" t="s">
        <v>3348</v>
      </c>
    </row>
    <row r="1022" spans="1:6" x14ac:dyDescent="0.45">
      <c r="A1022" t="str">
        <f t="shared" si="15"/>
        <v>ET14,10</v>
      </c>
      <c r="B1022">
        <v>10</v>
      </c>
      <c r="C1022">
        <v>25582.239885202001</v>
      </c>
      <c r="D1022">
        <v>24252.679055013199</v>
      </c>
      <c r="E1022" t="s">
        <v>2884</v>
      </c>
      <c r="F1022" t="s">
        <v>3348</v>
      </c>
    </row>
    <row r="1023" spans="1:6" x14ac:dyDescent="0.45">
      <c r="A1023" t="str">
        <f t="shared" si="15"/>
        <v>ET14,11</v>
      </c>
      <c r="B1023">
        <v>11</v>
      </c>
      <c r="C1023">
        <v>25987.071274039099</v>
      </c>
      <c r="D1023">
        <v>25071.4472359094</v>
      </c>
      <c r="E1023" t="s">
        <v>2884</v>
      </c>
      <c r="F1023" t="s">
        <v>3348</v>
      </c>
    </row>
    <row r="1024" spans="1:6" x14ac:dyDescent="0.45">
      <c r="A1024" t="str">
        <f t="shared" si="15"/>
        <v>ET14,12</v>
      </c>
      <c r="B1024">
        <v>12</v>
      </c>
      <c r="C1024">
        <v>26391.9026628762</v>
      </c>
      <c r="D1024">
        <v>26391.9026628762</v>
      </c>
      <c r="E1024" t="s">
        <v>2884</v>
      </c>
      <c r="F1024" t="s">
        <v>3348</v>
      </c>
    </row>
    <row r="1025" spans="1:6" x14ac:dyDescent="0.45">
      <c r="A1025" t="str">
        <f t="shared" si="15"/>
        <v>ET14,13</v>
      </c>
      <c r="B1025">
        <v>13</v>
      </c>
      <c r="C1025">
        <v>29004.412576449799</v>
      </c>
      <c r="D1025">
        <v>28237.115209293599</v>
      </c>
      <c r="E1025" t="s">
        <v>2884</v>
      </c>
      <c r="F1025" t="s">
        <v>3348</v>
      </c>
    </row>
    <row r="1026" spans="1:6" x14ac:dyDescent="0.45">
      <c r="A1026" t="str">
        <f t="shared" si="15"/>
        <v>ET14,14</v>
      </c>
      <c r="B1026">
        <v>14</v>
      </c>
      <c r="C1026">
        <v>31616.922490023298</v>
      </c>
      <c r="D1026">
        <v>30546.9333340382</v>
      </c>
      <c r="E1026" t="s">
        <v>2884</v>
      </c>
      <c r="F1026" t="s">
        <v>3348</v>
      </c>
    </row>
    <row r="1027" spans="1:6" x14ac:dyDescent="0.45">
      <c r="A1027" t="str">
        <f t="shared" ref="A1027:A1090" si="16">_xlfn.CONCAT(E1027,",",B1027)</f>
        <v>ET14,15</v>
      </c>
      <c r="B1027">
        <v>15</v>
      </c>
      <c r="C1027">
        <v>34229.432403596897</v>
      </c>
      <c r="D1027">
        <v>33240.400142361003</v>
      </c>
      <c r="E1027" t="s">
        <v>2884</v>
      </c>
      <c r="F1027" t="s">
        <v>3348</v>
      </c>
    </row>
    <row r="1028" spans="1:6" x14ac:dyDescent="0.45">
      <c r="A1028" t="str">
        <f t="shared" si="16"/>
        <v>ET14,16</v>
      </c>
      <c r="B1028">
        <v>16</v>
      </c>
      <c r="C1028">
        <v>36841.942317170397</v>
      </c>
      <c r="D1028">
        <v>36236.558739512599</v>
      </c>
      <c r="E1028" t="s">
        <v>2884</v>
      </c>
      <c r="F1028" t="s">
        <v>3348</v>
      </c>
    </row>
    <row r="1029" spans="1:6" x14ac:dyDescent="0.45">
      <c r="A1029" t="str">
        <f t="shared" si="16"/>
        <v>ET14,17</v>
      </c>
      <c r="B1029">
        <v>17</v>
      </c>
      <c r="C1029">
        <v>39454.452230743998</v>
      </c>
      <c r="D1029">
        <v>39454.452230743998</v>
      </c>
      <c r="E1029" t="s">
        <v>2884</v>
      </c>
      <c r="F1029" t="s">
        <v>3348</v>
      </c>
    </row>
    <row r="1030" spans="1:6" x14ac:dyDescent="0.45">
      <c r="A1030" t="str">
        <f t="shared" si="16"/>
        <v>ET14,18</v>
      </c>
      <c r="B1030">
        <v>18</v>
      </c>
      <c r="C1030">
        <v>42589.209628819197</v>
      </c>
      <c r="D1030">
        <v>42805.858020819898</v>
      </c>
      <c r="E1030" t="s">
        <v>2884</v>
      </c>
      <c r="F1030" t="s">
        <v>3348</v>
      </c>
    </row>
    <row r="1031" spans="1:6" x14ac:dyDescent="0.45">
      <c r="A1031" t="str">
        <f t="shared" si="16"/>
        <v>ET14,19</v>
      </c>
      <c r="B1031">
        <v>19</v>
      </c>
      <c r="C1031">
        <v>45723.967026894301</v>
      </c>
      <c r="D1031">
        <v>46173.490712560902</v>
      </c>
      <c r="E1031" t="s">
        <v>2884</v>
      </c>
      <c r="F1031" t="s">
        <v>3348</v>
      </c>
    </row>
    <row r="1032" spans="1:6" x14ac:dyDescent="0.45">
      <c r="A1032" t="str">
        <f t="shared" si="16"/>
        <v>ET14,20</v>
      </c>
      <c r="B1032">
        <v>20</v>
      </c>
      <c r="C1032">
        <v>48858.7244249695</v>
      </c>
      <c r="D1032">
        <v>49432.799208301498</v>
      </c>
      <c r="E1032" t="s">
        <v>2884</v>
      </c>
      <c r="F1032" t="s">
        <v>3348</v>
      </c>
    </row>
    <row r="1033" spans="1:6" x14ac:dyDescent="0.45">
      <c r="A1033" t="str">
        <f t="shared" si="16"/>
        <v>ET14,21</v>
      </c>
      <c r="B1033">
        <v>21</v>
      </c>
      <c r="C1033">
        <v>51993.481823044604</v>
      </c>
      <c r="D1033">
        <v>52459.232410376302</v>
      </c>
      <c r="E1033" t="s">
        <v>2884</v>
      </c>
      <c r="F1033" t="s">
        <v>3348</v>
      </c>
    </row>
    <row r="1034" spans="1:6" x14ac:dyDescent="0.45">
      <c r="A1034" t="str">
        <f t="shared" si="16"/>
        <v>ET14,22</v>
      </c>
      <c r="B1034">
        <v>22</v>
      </c>
      <c r="C1034">
        <v>55128.239221119802</v>
      </c>
      <c r="D1034">
        <v>55128.239221119802</v>
      </c>
      <c r="E1034" t="s">
        <v>2884</v>
      </c>
      <c r="F1034" t="s">
        <v>3348</v>
      </c>
    </row>
    <row r="1035" spans="1:6" x14ac:dyDescent="0.45">
      <c r="A1035" t="str">
        <f t="shared" si="16"/>
        <v>ET14,23</v>
      </c>
      <c r="B1035">
        <v>23</v>
      </c>
      <c r="C1035">
        <v>55529.926716552298</v>
      </c>
      <c r="D1035">
        <v>57302.341244560201</v>
      </c>
      <c r="E1035" t="s">
        <v>2884</v>
      </c>
      <c r="F1035" t="s">
        <v>3348</v>
      </c>
    </row>
    <row r="1036" spans="1:6" x14ac:dyDescent="0.45">
      <c r="A1036" t="str">
        <f t="shared" si="16"/>
        <v>ET14,24</v>
      </c>
      <c r="B1036">
        <v>24</v>
      </c>
      <c r="C1036">
        <v>55931.614211984801</v>
      </c>
      <c r="D1036">
        <v>58792.350891500202</v>
      </c>
      <c r="E1036" t="s">
        <v>2884</v>
      </c>
      <c r="F1036" t="s">
        <v>3348</v>
      </c>
    </row>
    <row r="1037" spans="1:6" x14ac:dyDescent="0.45">
      <c r="A1037" t="str">
        <f t="shared" si="16"/>
        <v>ET14,25</v>
      </c>
      <c r="B1037">
        <v>25</v>
      </c>
      <c r="C1037">
        <v>56333.301707417202</v>
      </c>
      <c r="D1037">
        <v>59396.153274436198</v>
      </c>
      <c r="E1037" t="s">
        <v>2884</v>
      </c>
      <c r="F1037" t="s">
        <v>3348</v>
      </c>
    </row>
    <row r="1038" spans="1:6" x14ac:dyDescent="0.45">
      <c r="A1038" t="str">
        <f t="shared" si="16"/>
        <v>ET14,26</v>
      </c>
      <c r="B1038">
        <v>26</v>
      </c>
      <c r="C1038">
        <v>56734.989202849698</v>
      </c>
      <c r="D1038">
        <v>58911.633505864796</v>
      </c>
      <c r="E1038" t="s">
        <v>2884</v>
      </c>
      <c r="F1038" t="s">
        <v>3348</v>
      </c>
    </row>
    <row r="1039" spans="1:6" x14ac:dyDescent="0.45">
      <c r="A1039" t="str">
        <f t="shared" si="16"/>
        <v>ET14,27</v>
      </c>
      <c r="B1039">
        <v>27</v>
      </c>
      <c r="C1039">
        <v>57136.676698282201</v>
      </c>
      <c r="D1039">
        <v>57136.676698282201</v>
      </c>
      <c r="E1039" t="s">
        <v>2884</v>
      </c>
      <c r="F1039" t="s">
        <v>3348</v>
      </c>
    </row>
    <row r="1040" spans="1:6" x14ac:dyDescent="0.45">
      <c r="A1040" t="str">
        <f t="shared" si="16"/>
        <v>ET14,28</v>
      </c>
      <c r="B1040">
        <v>28</v>
      </c>
      <c r="C1040">
        <v>53206.476646991803</v>
      </c>
      <c r="D1040">
        <v>53994.402847618898</v>
      </c>
      <c r="E1040" t="s">
        <v>2884</v>
      </c>
      <c r="F1040" t="s">
        <v>3348</v>
      </c>
    </row>
    <row r="1041" spans="1:6" x14ac:dyDescent="0.45">
      <c r="A1041" t="str">
        <f t="shared" si="16"/>
        <v>ET14,29</v>
      </c>
      <c r="B1041">
        <v>29</v>
      </c>
      <c r="C1041">
        <v>49276.276595701398</v>
      </c>
      <c r="D1041">
        <v>49908.871483541501</v>
      </c>
      <c r="E1041" t="s">
        <v>2884</v>
      </c>
      <c r="F1041" t="s">
        <v>3348</v>
      </c>
    </row>
    <row r="1042" spans="1:6" x14ac:dyDescent="0.45">
      <c r="A1042" t="str">
        <f t="shared" si="16"/>
        <v>ET14,30</v>
      </c>
      <c r="B1042">
        <v>30</v>
      </c>
      <c r="C1042">
        <v>45346.076544411</v>
      </c>
      <c r="D1042">
        <v>45429.377019150597</v>
      </c>
      <c r="E1042" t="s">
        <v>2884</v>
      </c>
      <c r="F1042" t="s">
        <v>3348</v>
      </c>
    </row>
    <row r="1043" spans="1:6" x14ac:dyDescent="0.45">
      <c r="A1043" t="str">
        <f t="shared" si="16"/>
        <v>ET14,31</v>
      </c>
      <c r="B1043">
        <v>31</v>
      </c>
      <c r="C1043">
        <v>41415.876493120602</v>
      </c>
      <c r="D1043">
        <v>41105.213867546598</v>
      </c>
      <c r="E1043" t="s">
        <v>2884</v>
      </c>
      <c r="F1043" t="s">
        <v>3348</v>
      </c>
    </row>
    <row r="1044" spans="1:6" x14ac:dyDescent="0.45">
      <c r="A1044" t="str">
        <f t="shared" si="16"/>
        <v>ET14,32</v>
      </c>
      <c r="B1044">
        <v>32</v>
      </c>
      <c r="C1044">
        <v>37485.676441830197</v>
      </c>
      <c r="D1044">
        <v>37485.676441830197</v>
      </c>
      <c r="E1044" t="s">
        <v>2884</v>
      </c>
      <c r="F1044" t="s">
        <v>3348</v>
      </c>
    </row>
    <row r="1045" spans="1:6" x14ac:dyDescent="0.45">
      <c r="A1045" t="str">
        <f t="shared" si="16"/>
        <v>ET14,33</v>
      </c>
      <c r="B1045">
        <v>33</v>
      </c>
      <c r="C1045">
        <v>35963.156232985697</v>
      </c>
      <c r="D1045">
        <v>34965.582321002097</v>
      </c>
      <c r="E1045" t="s">
        <v>2884</v>
      </c>
      <c r="F1045" t="s">
        <v>3348</v>
      </c>
    </row>
    <row r="1046" spans="1:6" x14ac:dyDescent="0.45">
      <c r="A1046" t="str">
        <f t="shared" si="16"/>
        <v>ET14,34</v>
      </c>
      <c r="B1046">
        <v>34</v>
      </c>
      <c r="C1046">
        <v>34440.636024141197</v>
      </c>
      <c r="D1046">
        <v>33321.841747664002</v>
      </c>
      <c r="E1046" t="s">
        <v>2884</v>
      </c>
      <c r="F1046" t="s">
        <v>3348</v>
      </c>
    </row>
    <row r="1047" spans="1:6" x14ac:dyDescent="0.45">
      <c r="A1047" t="str">
        <f t="shared" si="16"/>
        <v>ET14,35</v>
      </c>
      <c r="B1047">
        <v>35</v>
      </c>
      <c r="C1047">
        <v>32918.115815296602</v>
      </c>
      <c r="D1047">
        <v>32176.888130317599</v>
      </c>
      <c r="E1047" t="s">
        <v>2884</v>
      </c>
      <c r="F1047" t="s">
        <v>3348</v>
      </c>
    </row>
    <row r="1048" spans="1:6" x14ac:dyDescent="0.45">
      <c r="A1048" t="str">
        <f t="shared" si="16"/>
        <v>ET14,36</v>
      </c>
      <c r="B1048">
        <v>36</v>
      </c>
      <c r="C1048">
        <v>31395.595606452101</v>
      </c>
      <c r="D1048">
        <v>31153.154877464902</v>
      </c>
      <c r="E1048" t="s">
        <v>2884</v>
      </c>
      <c r="F1048" t="s">
        <v>3348</v>
      </c>
    </row>
    <row r="1049" spans="1:6" x14ac:dyDescent="0.45">
      <c r="A1049" t="str">
        <f t="shared" si="16"/>
        <v>ET14,37</v>
      </c>
      <c r="B1049">
        <v>37</v>
      </c>
      <c r="C1049">
        <v>29873.075397607601</v>
      </c>
      <c r="D1049">
        <v>29873.075397607601</v>
      </c>
      <c r="E1049" t="s">
        <v>2884</v>
      </c>
      <c r="F1049" t="s">
        <v>3348</v>
      </c>
    </row>
    <row r="1050" spans="1:6" x14ac:dyDescent="0.45">
      <c r="A1050" t="str">
        <f t="shared" si="16"/>
        <v>ET14,38</v>
      </c>
      <c r="B1050">
        <v>38</v>
      </c>
      <c r="C1050">
        <v>27782.322804307001</v>
      </c>
      <c r="D1050">
        <v>28063.136367569899</v>
      </c>
      <c r="E1050" t="s">
        <v>2884</v>
      </c>
      <c r="F1050" t="s">
        <v>3348</v>
      </c>
    </row>
    <row r="1051" spans="1:6" x14ac:dyDescent="0.45">
      <c r="A1051" t="str">
        <f t="shared" si="16"/>
        <v>ET14,39</v>
      </c>
      <c r="B1051">
        <v>39</v>
      </c>
      <c r="C1051">
        <v>25691.570211006401</v>
      </c>
      <c r="D1051">
        <v>25866.037537464999</v>
      </c>
      <c r="E1051" t="s">
        <v>2884</v>
      </c>
      <c r="F1051" t="s">
        <v>3348</v>
      </c>
    </row>
    <row r="1052" spans="1:6" x14ac:dyDescent="0.45">
      <c r="A1052" t="str">
        <f t="shared" si="16"/>
        <v>ET14,40</v>
      </c>
      <c r="B1052">
        <v>40</v>
      </c>
      <c r="C1052">
        <v>23600.817617705699</v>
      </c>
      <c r="D1052">
        <v>23528.531925728799</v>
      </c>
      <c r="E1052" t="s">
        <v>2884</v>
      </c>
      <c r="F1052" t="s">
        <v>3348</v>
      </c>
    </row>
    <row r="1053" spans="1:6" x14ac:dyDescent="0.45">
      <c r="A1053" t="str">
        <f t="shared" si="16"/>
        <v>ET14,41</v>
      </c>
      <c r="B1053">
        <v>41</v>
      </c>
      <c r="C1053">
        <v>21510.065024405099</v>
      </c>
      <c r="D1053">
        <v>21297.372550796699</v>
      </c>
      <c r="E1053" t="s">
        <v>2884</v>
      </c>
      <c r="F1053" t="s">
        <v>3348</v>
      </c>
    </row>
    <row r="1054" spans="1:6" x14ac:dyDescent="0.45">
      <c r="A1054" t="str">
        <f t="shared" si="16"/>
        <v>ET14,42</v>
      </c>
      <c r="B1054">
        <v>42</v>
      </c>
      <c r="C1054">
        <v>19419.312431104499</v>
      </c>
      <c r="D1054">
        <v>19419.312431104499</v>
      </c>
      <c r="E1054" t="s">
        <v>2884</v>
      </c>
      <c r="F1054" t="s">
        <v>3348</v>
      </c>
    </row>
    <row r="1055" spans="1:6" x14ac:dyDescent="0.45">
      <c r="A1055" t="str">
        <f t="shared" si="16"/>
        <v>ET14,43</v>
      </c>
      <c r="B1055">
        <v>43</v>
      </c>
      <c r="C1055">
        <v>18636.690962068002</v>
      </c>
      <c r="D1055">
        <v>18073.4593753232</v>
      </c>
      <c r="E1055" t="s">
        <v>2884</v>
      </c>
      <c r="F1055" t="s">
        <v>3348</v>
      </c>
    </row>
    <row r="1056" spans="1:6" x14ac:dyDescent="0.45">
      <c r="A1056" t="str">
        <f t="shared" si="16"/>
        <v>ET14,44</v>
      </c>
      <c r="B1056">
        <v>44</v>
      </c>
      <c r="C1056">
        <v>17854.0694930315</v>
      </c>
      <c r="D1056">
        <v>17168.340353065902</v>
      </c>
      <c r="E1056" t="s">
        <v>2884</v>
      </c>
      <c r="F1056" t="s">
        <v>3348</v>
      </c>
    </row>
    <row r="1057" spans="1:6" x14ac:dyDescent="0.45">
      <c r="A1057" t="str">
        <f t="shared" si="16"/>
        <v>ET14,45</v>
      </c>
      <c r="B1057">
        <v>45</v>
      </c>
      <c r="C1057">
        <v>17071.448023994999</v>
      </c>
      <c r="D1057">
        <v>16544.837124180998</v>
      </c>
      <c r="E1057" t="s">
        <v>2884</v>
      </c>
      <c r="F1057" t="s">
        <v>3348</v>
      </c>
    </row>
    <row r="1058" spans="1:6" x14ac:dyDescent="0.45">
      <c r="A1058" t="str">
        <f t="shared" si="16"/>
        <v>ET14,46</v>
      </c>
      <c r="B1058">
        <v>46</v>
      </c>
      <c r="C1058">
        <v>16288.826554958499</v>
      </c>
      <c r="D1058">
        <v>16043.831448516899</v>
      </c>
      <c r="E1058" t="s">
        <v>2884</v>
      </c>
      <c r="F1058" t="s">
        <v>3348</v>
      </c>
    </row>
    <row r="1059" spans="1:6" x14ac:dyDescent="0.45">
      <c r="A1059" t="str">
        <f t="shared" si="16"/>
        <v>ET14,47</v>
      </c>
      <c r="B1059">
        <v>47</v>
      </c>
      <c r="C1059">
        <v>15506.205085922</v>
      </c>
      <c r="D1059">
        <v>15506.205085922</v>
      </c>
      <c r="E1059" t="s">
        <v>2884</v>
      </c>
      <c r="F1059" t="s">
        <v>3348</v>
      </c>
    </row>
    <row r="1060" spans="1:6" x14ac:dyDescent="0.45">
      <c r="A1060" t="str">
        <f t="shared" si="16"/>
        <v>ET14,48</v>
      </c>
      <c r="B1060">
        <v>48</v>
      </c>
      <c r="C1060">
        <v>14768.442111423599</v>
      </c>
      <c r="D1060">
        <v>14813.7819214429</v>
      </c>
      <c r="E1060" t="s">
        <v>2884</v>
      </c>
      <c r="F1060" t="s">
        <v>3348</v>
      </c>
    </row>
    <row r="1061" spans="1:6" x14ac:dyDescent="0.45">
      <c r="A1061" t="str">
        <f t="shared" si="16"/>
        <v>ET14,49</v>
      </c>
      <c r="B1061">
        <v>49</v>
      </c>
      <c r="C1061">
        <v>14030.679136925201</v>
      </c>
      <c r="D1061">
        <v>14012.154340917699</v>
      </c>
      <c r="E1061" t="s">
        <v>2884</v>
      </c>
      <c r="F1061" t="s">
        <v>3348</v>
      </c>
    </row>
    <row r="1062" spans="1:6" x14ac:dyDescent="0.45">
      <c r="A1062" t="str">
        <f t="shared" si="16"/>
        <v>ET14,50</v>
      </c>
      <c r="B1062">
        <v>50</v>
      </c>
      <c r="C1062">
        <v>13292.9161624268</v>
      </c>
      <c r="D1062">
        <v>13187.856855382999</v>
      </c>
      <c r="E1062" t="s">
        <v>2884</v>
      </c>
      <c r="F1062" t="s">
        <v>3348</v>
      </c>
    </row>
    <row r="1063" spans="1:6" x14ac:dyDescent="0.45">
      <c r="A1063" t="str">
        <f t="shared" si="16"/>
        <v>ET14,51</v>
      </c>
      <c r="B1063">
        <v>51</v>
      </c>
      <c r="C1063">
        <v>12555.153187928299</v>
      </c>
      <c r="D1063">
        <v>12427.423975874901</v>
      </c>
      <c r="E1063" t="s">
        <v>2884</v>
      </c>
      <c r="F1063" t="s">
        <v>3348</v>
      </c>
    </row>
    <row r="1064" spans="1:6" x14ac:dyDescent="0.45">
      <c r="A1064" t="str">
        <f t="shared" si="16"/>
        <v>ET14,52</v>
      </c>
      <c r="B1064">
        <v>52</v>
      </c>
      <c r="C1064">
        <v>11817.390213429901</v>
      </c>
      <c r="D1064">
        <v>11817.390213429901</v>
      </c>
      <c r="E1064" t="s">
        <v>2884</v>
      </c>
      <c r="F1064" t="s">
        <v>3348</v>
      </c>
    </row>
    <row r="1065" spans="1:6" x14ac:dyDescent="0.45">
      <c r="A1065" t="str">
        <f t="shared" si="16"/>
        <v>ET14,53</v>
      </c>
      <c r="B1065">
        <v>53</v>
      </c>
      <c r="C1065">
        <v>11499.906847165401</v>
      </c>
      <c r="D1065">
        <v>11413.7145377938</v>
      </c>
      <c r="E1065" t="s">
        <v>2884</v>
      </c>
      <c r="F1065" t="s">
        <v>3348</v>
      </c>
    </row>
    <row r="1066" spans="1:6" x14ac:dyDescent="0.45">
      <c r="A1066" t="str">
        <f t="shared" si="16"/>
        <v>ET14,54</v>
      </c>
      <c r="B1066">
        <v>54</v>
      </c>
      <c r="C1066">
        <v>11182.423480900999</v>
      </c>
      <c r="D1066">
        <v>11150.053753550201</v>
      </c>
      <c r="E1066" t="s">
        <v>2884</v>
      </c>
      <c r="F1066" t="s">
        <v>3348</v>
      </c>
    </row>
    <row r="1067" spans="1:6" x14ac:dyDescent="0.45">
      <c r="A1067" t="str">
        <f t="shared" si="16"/>
        <v>ET14,55</v>
      </c>
      <c r="B1067">
        <v>55</v>
      </c>
      <c r="C1067">
        <v>10864.9401146365</v>
      </c>
      <c r="D1067">
        <v>10929.4891239925</v>
      </c>
      <c r="E1067" t="s">
        <v>2884</v>
      </c>
      <c r="F1067" t="s">
        <v>3348</v>
      </c>
    </row>
    <row r="1068" spans="1:6" x14ac:dyDescent="0.45">
      <c r="A1068" t="str">
        <f t="shared" si="16"/>
        <v>ET14,56</v>
      </c>
      <c r="B1068">
        <v>56</v>
      </c>
      <c r="C1068">
        <v>10547.456748372</v>
      </c>
      <c r="D1068">
        <v>10655.1019124139</v>
      </c>
      <c r="E1068" t="s">
        <v>2884</v>
      </c>
      <c r="F1068" t="s">
        <v>3348</v>
      </c>
    </row>
    <row r="1069" spans="1:6" x14ac:dyDescent="0.45">
      <c r="A1069" t="str">
        <f t="shared" si="16"/>
        <v>ET14,57</v>
      </c>
      <c r="B1069">
        <v>57</v>
      </c>
      <c r="C1069">
        <v>10229.973382107501</v>
      </c>
      <c r="D1069">
        <v>10229.973382107501</v>
      </c>
      <c r="E1069" t="s">
        <v>2884</v>
      </c>
      <c r="F1069" t="s">
        <v>3348</v>
      </c>
    </row>
    <row r="1070" spans="1:6" x14ac:dyDescent="0.45">
      <c r="A1070" t="str">
        <f t="shared" si="16"/>
        <v>ET14,58</v>
      </c>
      <c r="B1070">
        <v>58</v>
      </c>
      <c r="C1070">
        <v>9484.8747187000499</v>
      </c>
      <c r="D1070">
        <v>9589.6121955678791</v>
      </c>
      <c r="E1070" t="s">
        <v>2884</v>
      </c>
      <c r="F1070" t="s">
        <v>3348</v>
      </c>
    </row>
    <row r="1071" spans="1:6" x14ac:dyDescent="0.45">
      <c r="A1071" t="str">
        <f t="shared" si="16"/>
        <v>ET14,59</v>
      </c>
      <c r="B1071">
        <v>59</v>
      </c>
      <c r="C1071">
        <v>8739.7760552925592</v>
      </c>
      <c r="D1071">
        <v>8799.2366120940205</v>
      </c>
      <c r="E1071" t="s">
        <v>2884</v>
      </c>
      <c r="F1071" t="s">
        <v>3348</v>
      </c>
    </row>
    <row r="1072" spans="1:6" x14ac:dyDescent="0.45">
      <c r="A1072" t="str">
        <f t="shared" si="16"/>
        <v>ET14,60</v>
      </c>
      <c r="B1072">
        <v>60</v>
      </c>
      <c r="C1072">
        <v>7994.6773918850604</v>
      </c>
      <c r="D1072">
        <v>7956.4922901862501</v>
      </c>
      <c r="E1072" t="s">
        <v>2884</v>
      </c>
      <c r="F1072" t="s">
        <v>3348</v>
      </c>
    </row>
    <row r="1073" spans="1:6" x14ac:dyDescent="0.45">
      <c r="A1073" t="str">
        <f t="shared" si="16"/>
        <v>ET14,61</v>
      </c>
      <c r="B1073">
        <v>61</v>
      </c>
      <c r="C1073">
        <v>7249.5787284775697</v>
      </c>
      <c r="D1073">
        <v>7159.0248883448403</v>
      </c>
      <c r="E1073" t="s">
        <v>2884</v>
      </c>
      <c r="F1073" t="s">
        <v>3348</v>
      </c>
    </row>
    <row r="1074" spans="1:6" x14ac:dyDescent="0.45">
      <c r="A1074" t="str">
        <f t="shared" si="16"/>
        <v>ET14,62</v>
      </c>
      <c r="B1074">
        <v>62</v>
      </c>
      <c r="C1074">
        <v>6504.4800650700799</v>
      </c>
      <c r="D1074">
        <v>6504.4800650700799</v>
      </c>
      <c r="E1074" t="s">
        <v>2884</v>
      </c>
      <c r="F1074" t="s">
        <v>3348</v>
      </c>
    </row>
    <row r="1075" spans="1:6" x14ac:dyDescent="0.45">
      <c r="A1075" t="str">
        <f t="shared" si="16"/>
        <v>ET14,63</v>
      </c>
      <c r="B1075">
        <v>63</v>
      </c>
      <c r="C1075">
        <v>6239.6572855611003</v>
      </c>
      <c r="D1075">
        <v>6061.6008668047998</v>
      </c>
      <c r="E1075" t="s">
        <v>2884</v>
      </c>
      <c r="F1075" t="s">
        <v>3348</v>
      </c>
    </row>
    <row r="1076" spans="1:6" x14ac:dyDescent="0.45">
      <c r="A1076" t="str">
        <f t="shared" si="16"/>
        <v>ET14,64</v>
      </c>
      <c r="B1076">
        <v>64</v>
      </c>
      <c r="C1076">
        <v>5974.8345060521297</v>
      </c>
      <c r="D1076">
        <v>5783.5198917620701</v>
      </c>
      <c r="E1076" t="s">
        <v>2884</v>
      </c>
      <c r="F1076" t="s">
        <v>3348</v>
      </c>
    </row>
    <row r="1077" spans="1:6" x14ac:dyDescent="0.45">
      <c r="A1077" t="str">
        <f t="shared" si="16"/>
        <v>ET14,65</v>
      </c>
      <c r="B1077">
        <v>65</v>
      </c>
      <c r="C1077">
        <v>5710.01172654315</v>
      </c>
      <c r="D1077">
        <v>5594.4671260974801</v>
      </c>
      <c r="E1077" t="s">
        <v>2884</v>
      </c>
      <c r="F1077" t="s">
        <v>3348</v>
      </c>
    </row>
    <row r="1078" spans="1:6" x14ac:dyDescent="0.45">
      <c r="A1078" t="str">
        <f t="shared" si="16"/>
        <v>ET14,66</v>
      </c>
      <c r="B1078">
        <v>66</v>
      </c>
      <c r="C1078">
        <v>5445.1889470341803</v>
      </c>
      <c r="D1078">
        <v>5418.6725559666502</v>
      </c>
      <c r="E1078" t="s">
        <v>2884</v>
      </c>
      <c r="F1078" t="s">
        <v>3348</v>
      </c>
    </row>
    <row r="1079" spans="1:6" x14ac:dyDescent="0.45">
      <c r="A1079" t="str">
        <f t="shared" si="16"/>
        <v>ET14,67</v>
      </c>
      <c r="B1079">
        <v>67</v>
      </c>
      <c r="C1079">
        <v>5180.3661675251997</v>
      </c>
      <c r="D1079">
        <v>5180.3661675251997</v>
      </c>
      <c r="E1079" t="s">
        <v>2884</v>
      </c>
      <c r="F1079" t="s">
        <v>3348</v>
      </c>
    </row>
    <row r="1080" spans="1:6" x14ac:dyDescent="0.45">
      <c r="A1080" t="str">
        <f t="shared" si="16"/>
        <v>ET14,68</v>
      </c>
      <c r="B1080">
        <v>68</v>
      </c>
      <c r="C1080">
        <v>4732.9666874511704</v>
      </c>
      <c r="D1080">
        <v>4824.1312453371302</v>
      </c>
      <c r="E1080" t="s">
        <v>2884</v>
      </c>
      <c r="F1080" t="s">
        <v>3348</v>
      </c>
    </row>
    <row r="1081" spans="1:6" x14ac:dyDescent="0.45">
      <c r="A1081" t="str">
        <f t="shared" si="16"/>
        <v>ET14,69</v>
      </c>
      <c r="B1081">
        <v>69</v>
      </c>
      <c r="C1081">
        <v>4285.5672073771402</v>
      </c>
      <c r="D1081">
        <v>4375.9642676000503</v>
      </c>
      <c r="E1081" t="s">
        <v>2884</v>
      </c>
      <c r="F1081" t="s">
        <v>3348</v>
      </c>
    </row>
    <row r="1082" spans="1:6" x14ac:dyDescent="0.45">
      <c r="A1082" t="str">
        <f t="shared" si="16"/>
        <v>ET14,70</v>
      </c>
      <c r="B1082">
        <v>70</v>
      </c>
      <c r="C1082">
        <v>3838.1677273031</v>
      </c>
      <c r="D1082">
        <v>3882.2150109200002</v>
      </c>
      <c r="E1082" t="s">
        <v>2884</v>
      </c>
      <c r="F1082" t="s">
        <v>3348</v>
      </c>
    </row>
    <row r="1083" spans="1:6" x14ac:dyDescent="0.45">
      <c r="A1083" t="str">
        <f t="shared" si="16"/>
        <v>ET14,71</v>
      </c>
      <c r="B1083">
        <v>71</v>
      </c>
      <c r="C1083">
        <v>3390.7682472290699</v>
      </c>
      <c r="D1083">
        <v>3389.2332519029901</v>
      </c>
      <c r="E1083" t="s">
        <v>2884</v>
      </c>
      <c r="F1083" t="s">
        <v>3348</v>
      </c>
    </row>
    <row r="1084" spans="1:6" x14ac:dyDescent="0.45">
      <c r="A1084" t="str">
        <f t="shared" si="16"/>
        <v>ET14,72</v>
      </c>
      <c r="B1084">
        <v>72</v>
      </c>
      <c r="C1084">
        <v>2943.3687671550401</v>
      </c>
      <c r="D1084">
        <v>2943.3687671550401</v>
      </c>
      <c r="E1084" t="s">
        <v>2884</v>
      </c>
      <c r="F1084" t="s">
        <v>3348</v>
      </c>
    </row>
    <row r="1085" spans="1:6" x14ac:dyDescent="0.45">
      <c r="A1085" t="str">
        <f t="shared" si="16"/>
        <v>ET14,73</v>
      </c>
      <c r="B1085">
        <v>73</v>
      </c>
      <c r="C1085">
        <v>2672.26715027714</v>
      </c>
      <c r="D1085">
        <v>2579.3298376349999</v>
      </c>
      <c r="E1085" t="s">
        <v>2884</v>
      </c>
      <c r="F1085" t="s">
        <v>3348</v>
      </c>
    </row>
    <row r="1086" spans="1:6" x14ac:dyDescent="0.45">
      <c r="A1086" t="str">
        <f t="shared" si="16"/>
        <v>ET14,74</v>
      </c>
      <c r="B1086">
        <v>74</v>
      </c>
      <c r="C1086">
        <v>2401.1655333992398</v>
      </c>
      <c r="D1086">
        <v>2285.2587617130298</v>
      </c>
      <c r="E1086" t="s">
        <v>2884</v>
      </c>
      <c r="F1086" t="s">
        <v>3348</v>
      </c>
    </row>
    <row r="1087" spans="1:6" x14ac:dyDescent="0.45">
      <c r="A1087" t="str">
        <f t="shared" si="16"/>
        <v>ET14,75</v>
      </c>
      <c r="B1087">
        <v>75</v>
      </c>
      <c r="C1087">
        <v>2130.0639165213402</v>
      </c>
      <c r="D1087">
        <v>2037.65634211214</v>
      </c>
      <c r="E1087" t="s">
        <v>2884</v>
      </c>
      <c r="F1087" t="s">
        <v>3348</v>
      </c>
    </row>
    <row r="1088" spans="1:6" x14ac:dyDescent="0.45">
      <c r="A1088" t="str">
        <f t="shared" si="16"/>
        <v>ET14,76</v>
      </c>
      <c r="B1088">
        <v>76</v>
      </c>
      <c r="C1088">
        <v>1858.96229964344</v>
      </c>
      <c r="D1088">
        <v>1813.0233815553099</v>
      </c>
      <c r="E1088" t="s">
        <v>2884</v>
      </c>
      <c r="F1088" t="s">
        <v>3348</v>
      </c>
    </row>
    <row r="1089" spans="1:6" x14ac:dyDescent="0.45">
      <c r="A1089" t="str">
        <f t="shared" si="16"/>
        <v>ET14,77</v>
      </c>
      <c r="B1089">
        <v>77</v>
      </c>
      <c r="C1089">
        <v>1587.8606827655301</v>
      </c>
      <c r="D1089">
        <v>1587.8606827655301</v>
      </c>
      <c r="E1089" t="s">
        <v>2884</v>
      </c>
      <c r="F1089" t="s">
        <v>3348</v>
      </c>
    </row>
    <row r="1090" spans="1:6" x14ac:dyDescent="0.45">
      <c r="A1090" t="str">
        <f t="shared" si="16"/>
        <v>ET14,78</v>
      </c>
      <c r="B1090">
        <v>78</v>
      </c>
      <c r="C1090">
        <v>1363.3485462124299</v>
      </c>
      <c r="D1090">
        <v>1345.3384147807999</v>
      </c>
      <c r="E1090" t="s">
        <v>2884</v>
      </c>
      <c r="F1090" t="s">
        <v>3348</v>
      </c>
    </row>
    <row r="1091" spans="1:6" x14ac:dyDescent="0.45">
      <c r="A1091" t="str">
        <f t="shared" ref="A1091:A1154" si="17">_xlfn.CONCAT(E1091,",",B1091)</f>
        <v>ET14,79</v>
      </c>
      <c r="B1091">
        <v>79</v>
      </c>
      <c r="C1091">
        <v>1138.83640965932</v>
      </c>
      <c r="D1091">
        <v>1095.3042118989999</v>
      </c>
      <c r="E1091" t="s">
        <v>2884</v>
      </c>
      <c r="F1091" t="s">
        <v>3348</v>
      </c>
    </row>
    <row r="1092" spans="1:6" x14ac:dyDescent="0.45">
      <c r="A1092" t="str">
        <f t="shared" si="17"/>
        <v>ET14,80</v>
      </c>
      <c r="B1092">
        <v>80</v>
      </c>
      <c r="C1092">
        <v>914.32427310621404</v>
      </c>
      <c r="D1092">
        <v>854.27507473300795</v>
      </c>
      <c r="E1092" t="s">
        <v>2884</v>
      </c>
      <c r="F1092" t="s">
        <v>3348</v>
      </c>
    </row>
    <row r="1093" spans="1:6" x14ac:dyDescent="0.45">
      <c r="A1093" t="str">
        <f t="shared" si="17"/>
        <v>ET14,81</v>
      </c>
      <c r="B1093">
        <v>81</v>
      </c>
      <c r="C1093">
        <v>689.81213655310705</v>
      </c>
      <c r="D1093">
        <v>638.76800389571599</v>
      </c>
      <c r="E1093" t="s">
        <v>2884</v>
      </c>
      <c r="F1093" t="s">
        <v>3348</v>
      </c>
    </row>
    <row r="1094" spans="1:6" x14ac:dyDescent="0.45">
      <c r="A1094" t="str">
        <f t="shared" si="17"/>
        <v>ET14,82</v>
      </c>
      <c r="B1094">
        <v>82</v>
      </c>
      <c r="C1094">
        <v>465.3</v>
      </c>
      <c r="D1094">
        <v>465.3</v>
      </c>
      <c r="E1094" t="s">
        <v>2884</v>
      </c>
      <c r="F1094" t="s">
        <v>3348</v>
      </c>
    </row>
    <row r="1095" spans="1:6" x14ac:dyDescent="0.45">
      <c r="A1095" t="str">
        <f t="shared" si="17"/>
        <v>ET14,83</v>
      </c>
      <c r="B1095">
        <v>83</v>
      </c>
      <c r="C1095">
        <v>408.59840000000003</v>
      </c>
      <c r="D1095">
        <v>345.38927160997298</v>
      </c>
      <c r="E1095" t="s">
        <v>2884</v>
      </c>
      <c r="F1095" t="s">
        <v>3348</v>
      </c>
    </row>
    <row r="1096" spans="1:6" x14ac:dyDescent="0.45">
      <c r="A1096" t="str">
        <f t="shared" si="17"/>
        <v>ET14,84</v>
      </c>
      <c r="B1096">
        <v>84</v>
      </c>
      <c r="C1096">
        <v>351.89679999999998</v>
      </c>
      <c r="D1096">
        <v>270.55885909467997</v>
      </c>
      <c r="E1096" t="s">
        <v>2884</v>
      </c>
      <c r="F1096" t="s">
        <v>3348</v>
      </c>
    </row>
    <row r="1097" spans="1:6" x14ac:dyDescent="0.45">
      <c r="A1097" t="str">
        <f t="shared" si="17"/>
        <v>ET14,85</v>
      </c>
      <c r="B1097">
        <v>85</v>
      </c>
      <c r="C1097">
        <v>295.1952</v>
      </c>
      <c r="D1097">
        <v>227.333010774401</v>
      </c>
      <c r="E1097" t="s">
        <v>2884</v>
      </c>
      <c r="F1097" t="s">
        <v>3348</v>
      </c>
    </row>
    <row r="1098" spans="1:6" x14ac:dyDescent="0.45">
      <c r="A1098" t="str">
        <f t="shared" si="17"/>
        <v>ET14,86</v>
      </c>
      <c r="B1098">
        <v>86</v>
      </c>
      <c r="C1098">
        <v>238.49359999999999</v>
      </c>
      <c r="D1098">
        <v>202.235974969415</v>
      </c>
      <c r="E1098" t="s">
        <v>2884</v>
      </c>
      <c r="F1098" t="s">
        <v>3348</v>
      </c>
    </row>
    <row r="1099" spans="1:6" x14ac:dyDescent="0.45">
      <c r="A1099" t="str">
        <f t="shared" si="17"/>
        <v>ET14,87</v>
      </c>
      <c r="B1099">
        <v>87</v>
      </c>
      <c r="C1099">
        <v>181.792</v>
      </c>
      <c r="D1099">
        <v>181.792</v>
      </c>
      <c r="E1099" t="s">
        <v>2884</v>
      </c>
      <c r="F1099" t="s">
        <v>3348</v>
      </c>
    </row>
    <row r="1100" spans="1:6" x14ac:dyDescent="0.45">
      <c r="A1100" t="str">
        <f t="shared" si="17"/>
        <v>ET14,88</v>
      </c>
      <c r="B1100">
        <v>88</v>
      </c>
      <c r="C1100">
        <v>152.22120000000001</v>
      </c>
      <c r="D1100">
        <v>155.37510435526599</v>
      </c>
      <c r="E1100" t="s">
        <v>2884</v>
      </c>
      <c r="F1100" t="s">
        <v>3348</v>
      </c>
    </row>
    <row r="1101" spans="1:6" x14ac:dyDescent="0.45">
      <c r="A1101" t="str">
        <f t="shared" si="17"/>
        <v>ET14,89</v>
      </c>
      <c r="B1101">
        <v>89</v>
      </c>
      <c r="C1101">
        <v>122.6504</v>
      </c>
      <c r="D1101">
        <v>123.75838719964</v>
      </c>
      <c r="E1101" t="s">
        <v>2884</v>
      </c>
      <c r="F1101" t="s">
        <v>3348</v>
      </c>
    </row>
    <row r="1102" spans="1:6" x14ac:dyDescent="0.45">
      <c r="A1102" t="str">
        <f t="shared" si="17"/>
        <v>ET14,90</v>
      </c>
      <c r="B1102">
        <v>90</v>
      </c>
      <c r="C1102">
        <v>93.079599999999999</v>
      </c>
      <c r="D1102">
        <v>90.564717866381699</v>
      </c>
      <c r="E1102" t="s">
        <v>2884</v>
      </c>
      <c r="F1102" t="s">
        <v>3348</v>
      </c>
    </row>
    <row r="1103" spans="1:6" x14ac:dyDescent="0.45">
      <c r="A1103" t="str">
        <f t="shared" si="17"/>
        <v>ET14,91</v>
      </c>
      <c r="B1103">
        <v>91</v>
      </c>
      <c r="C1103">
        <v>63.508800000000001</v>
      </c>
      <c r="D1103">
        <v>59.416965688748903</v>
      </c>
      <c r="E1103" t="s">
        <v>2884</v>
      </c>
      <c r="F1103" t="s">
        <v>3348</v>
      </c>
    </row>
    <row r="1104" spans="1:6" x14ac:dyDescent="0.45">
      <c r="A1104" t="str">
        <f t="shared" si="17"/>
        <v>ET14,92</v>
      </c>
      <c r="B1104">
        <v>92</v>
      </c>
      <c r="C1104">
        <v>33.938000000000002</v>
      </c>
      <c r="D1104">
        <v>33.938000000000002</v>
      </c>
      <c r="E1104" t="s">
        <v>2884</v>
      </c>
      <c r="F1104" t="s">
        <v>3348</v>
      </c>
    </row>
    <row r="1105" spans="1:6" x14ac:dyDescent="0.45">
      <c r="A1105" t="str">
        <f t="shared" si="17"/>
        <v>ET14,93</v>
      </c>
      <c r="B1105">
        <v>93</v>
      </c>
      <c r="C1105">
        <v>27.6144</v>
      </c>
      <c r="D1105">
        <v>16.822246968964901</v>
      </c>
      <c r="E1105" t="s">
        <v>2884</v>
      </c>
      <c r="F1105" t="s">
        <v>3348</v>
      </c>
    </row>
    <row r="1106" spans="1:6" x14ac:dyDescent="0.45">
      <c r="A1106" t="str">
        <f t="shared" si="17"/>
        <v>ET14,94</v>
      </c>
      <c r="B1106">
        <v>94</v>
      </c>
      <c r="C1106">
        <v>21.290800000000001</v>
      </c>
      <c r="D1106">
        <v>7.05036010675963</v>
      </c>
      <c r="E1106" t="s">
        <v>2884</v>
      </c>
      <c r="F1106" t="s">
        <v>3348</v>
      </c>
    </row>
    <row r="1107" spans="1:6" x14ac:dyDescent="0.45">
      <c r="A1107" t="str">
        <f t="shared" si="17"/>
        <v>ET14,95</v>
      </c>
      <c r="B1107">
        <v>95</v>
      </c>
      <c r="C1107">
        <v>14.9672</v>
      </c>
      <c r="D1107">
        <v>2.6745497600719599</v>
      </c>
      <c r="E1107" t="s">
        <v>2884</v>
      </c>
      <c r="F1107" t="s">
        <v>3348</v>
      </c>
    </row>
    <row r="1108" spans="1:6" x14ac:dyDescent="0.45">
      <c r="A1108" t="str">
        <f t="shared" si="17"/>
        <v>ET14,96</v>
      </c>
      <c r="B1108">
        <v>96</v>
      </c>
      <c r="C1108">
        <v>8.6435999999999993</v>
      </c>
      <c r="D1108">
        <v>1.7470262755895301</v>
      </c>
      <c r="E1108" t="s">
        <v>2884</v>
      </c>
      <c r="F1108" t="s">
        <v>3348</v>
      </c>
    </row>
    <row r="1109" spans="1:6" x14ac:dyDescent="0.45">
      <c r="A1109" t="str">
        <f t="shared" si="17"/>
        <v>ET14,97</v>
      </c>
      <c r="B1109">
        <v>97</v>
      </c>
      <c r="C1109">
        <v>2.3199999999999998</v>
      </c>
      <c r="D1109">
        <v>2.3199999999999701</v>
      </c>
      <c r="E1109" t="s">
        <v>2884</v>
      </c>
      <c r="F1109" t="s">
        <v>3348</v>
      </c>
    </row>
    <row r="1110" spans="1:6" x14ac:dyDescent="0.45">
      <c r="A1110" t="str">
        <f t="shared" si="17"/>
        <v>ET14,98</v>
      </c>
      <c r="B1110">
        <v>98</v>
      </c>
      <c r="C1110">
        <v>2.54666666666667</v>
      </c>
      <c r="D1110">
        <v>2.7951624691219199</v>
      </c>
      <c r="E1110" t="s">
        <v>2884</v>
      </c>
      <c r="F1110" t="s">
        <v>3348</v>
      </c>
    </row>
    <row r="1111" spans="1:6" x14ac:dyDescent="0.45">
      <c r="A1111" t="str">
        <f t="shared" si="17"/>
        <v>ET14,99</v>
      </c>
      <c r="B1111">
        <v>99</v>
      </c>
      <c r="C1111">
        <v>2.7733333333333299</v>
      </c>
      <c r="D1111">
        <v>2.9721299752975301</v>
      </c>
      <c r="E1111" t="s">
        <v>2884</v>
      </c>
      <c r="F1111" t="s">
        <v>3348</v>
      </c>
    </row>
    <row r="1112" spans="1:6" x14ac:dyDescent="0.45">
      <c r="A1112" t="str">
        <f t="shared" si="17"/>
        <v>ET14,100</v>
      </c>
      <c r="B1112">
        <v>100</v>
      </c>
      <c r="C1112">
        <v>3</v>
      </c>
      <c r="D1112">
        <v>3</v>
      </c>
      <c r="E1112" t="s">
        <v>2884</v>
      </c>
      <c r="F1112" t="s">
        <v>3348</v>
      </c>
    </row>
    <row r="1113" spans="1:6" x14ac:dyDescent="0.45">
      <c r="A1113" t="str">
        <f t="shared" si="17"/>
        <v>ET15,&lt;1</v>
      </c>
      <c r="B1113" t="s">
        <v>119</v>
      </c>
      <c r="C1113">
        <v>7330.5793394744396</v>
      </c>
      <c r="D1113">
        <v>7330.5793394744396</v>
      </c>
      <c r="E1113" t="s">
        <v>2885</v>
      </c>
      <c r="F1113" t="s">
        <v>3350</v>
      </c>
    </row>
    <row r="1114" spans="1:6" x14ac:dyDescent="0.45">
      <c r="A1114" t="str">
        <f t="shared" si="17"/>
        <v>ET15,1</v>
      </c>
      <c r="B1114">
        <v>1</v>
      </c>
      <c r="C1114">
        <v>7052.3383619300903</v>
      </c>
      <c r="D1114">
        <v>7047.6285120227703</v>
      </c>
      <c r="E1114" t="s">
        <v>2885</v>
      </c>
      <c r="F1114" t="s">
        <v>3350</v>
      </c>
    </row>
    <row r="1115" spans="1:6" x14ac:dyDescent="0.45">
      <c r="A1115" t="str">
        <f t="shared" si="17"/>
        <v>ET15,2</v>
      </c>
      <c r="B1115">
        <v>2</v>
      </c>
      <c r="C1115">
        <v>6774.09738438575</v>
      </c>
      <c r="D1115">
        <v>6774.09738438575</v>
      </c>
      <c r="E1115" t="s">
        <v>2885</v>
      </c>
      <c r="F1115" t="s">
        <v>3350</v>
      </c>
    </row>
    <row r="1116" spans="1:6" x14ac:dyDescent="0.45">
      <c r="A1116" t="str">
        <f t="shared" si="17"/>
        <v>ET15,3</v>
      </c>
      <c r="B1116">
        <v>3</v>
      </c>
      <c r="C1116">
        <v>6544.8980449855198</v>
      </c>
      <c r="D1116">
        <v>6517.41104798162</v>
      </c>
      <c r="E1116" t="s">
        <v>2885</v>
      </c>
      <c r="F1116" t="s">
        <v>3350</v>
      </c>
    </row>
    <row r="1117" spans="1:6" x14ac:dyDescent="0.45">
      <c r="A1117" t="str">
        <f t="shared" si="17"/>
        <v>ET15,4</v>
      </c>
      <c r="B1117">
        <v>4</v>
      </c>
      <c r="C1117">
        <v>6315.6987055852896</v>
      </c>
      <c r="D1117">
        <v>6277.0161606431102</v>
      </c>
      <c r="E1117" t="s">
        <v>2885</v>
      </c>
      <c r="F1117" t="s">
        <v>3350</v>
      </c>
    </row>
    <row r="1118" spans="1:6" x14ac:dyDescent="0.45">
      <c r="A1118" t="str">
        <f t="shared" si="17"/>
        <v>ET15,5</v>
      </c>
      <c r="B1118">
        <v>5</v>
      </c>
      <c r="C1118">
        <v>6086.4993661850604</v>
      </c>
      <c r="D1118">
        <v>6050.3647718065404</v>
      </c>
      <c r="E1118" t="s">
        <v>2885</v>
      </c>
      <c r="F1118" t="s">
        <v>3350</v>
      </c>
    </row>
    <row r="1119" spans="1:6" x14ac:dyDescent="0.45">
      <c r="A1119" t="str">
        <f t="shared" si="17"/>
        <v>ET15,6</v>
      </c>
      <c r="B1119">
        <v>6</v>
      </c>
      <c r="C1119">
        <v>5857.3000267848302</v>
      </c>
      <c r="D1119">
        <v>5834.9089309082601</v>
      </c>
      <c r="E1119" t="s">
        <v>2885</v>
      </c>
      <c r="F1119" t="s">
        <v>3350</v>
      </c>
    </row>
    <row r="1120" spans="1:6" x14ac:dyDescent="0.45">
      <c r="A1120" t="str">
        <f t="shared" si="17"/>
        <v>ET15,7</v>
      </c>
      <c r="B1120">
        <v>7</v>
      </c>
      <c r="C1120">
        <v>5628.1006873846</v>
      </c>
      <c r="D1120">
        <v>5628.1006873846</v>
      </c>
      <c r="E1120" t="s">
        <v>2885</v>
      </c>
      <c r="F1120" t="s">
        <v>3350</v>
      </c>
    </row>
    <row r="1121" spans="1:6" x14ac:dyDescent="0.45">
      <c r="A1121" t="str">
        <f t="shared" si="17"/>
        <v>ET15,8</v>
      </c>
      <c r="B1121">
        <v>8</v>
      </c>
      <c r="C1121">
        <v>5516.8193970715902</v>
      </c>
      <c r="D1121">
        <v>5430.88888327318</v>
      </c>
      <c r="E1121" t="s">
        <v>2885</v>
      </c>
      <c r="F1121" t="s">
        <v>3350</v>
      </c>
    </row>
    <row r="1122" spans="1:6" x14ac:dyDescent="0.45">
      <c r="A1122" t="str">
        <f t="shared" si="17"/>
        <v>ET15,9</v>
      </c>
      <c r="B1122">
        <v>9</v>
      </c>
      <c r="C1122">
        <v>5405.5381067585804</v>
      </c>
      <c r="D1122">
        <v>5258.2095310168497</v>
      </c>
      <c r="E1122" t="s">
        <v>2885</v>
      </c>
      <c r="F1122" t="s">
        <v>3350</v>
      </c>
    </row>
    <row r="1123" spans="1:6" x14ac:dyDescent="0.45">
      <c r="A1123" t="str">
        <f t="shared" si="17"/>
        <v>ET15,10</v>
      </c>
      <c r="B1123">
        <v>10</v>
      </c>
      <c r="C1123">
        <v>5294.2568164455797</v>
      </c>
      <c r="D1123">
        <v>5128.49543565971</v>
      </c>
      <c r="E1123" t="s">
        <v>2885</v>
      </c>
      <c r="F1123" t="s">
        <v>3350</v>
      </c>
    </row>
    <row r="1124" spans="1:6" x14ac:dyDescent="0.45">
      <c r="A1124" t="str">
        <f t="shared" si="17"/>
        <v>ET15,11</v>
      </c>
      <c r="B1124">
        <v>11</v>
      </c>
      <c r="C1124">
        <v>5182.9755261325699</v>
      </c>
      <c r="D1124">
        <v>5060.1794022459098</v>
      </c>
      <c r="E1124" t="s">
        <v>2885</v>
      </c>
      <c r="F1124" t="s">
        <v>3350</v>
      </c>
    </row>
    <row r="1125" spans="1:6" x14ac:dyDescent="0.45">
      <c r="A1125" t="str">
        <f t="shared" si="17"/>
        <v>ET15,12</v>
      </c>
      <c r="B1125">
        <v>12</v>
      </c>
      <c r="C1125">
        <v>5071.6942358195602</v>
      </c>
      <c r="D1125">
        <v>5071.6942358195602</v>
      </c>
      <c r="E1125" t="s">
        <v>2885</v>
      </c>
      <c r="F1125" t="s">
        <v>3350</v>
      </c>
    </row>
    <row r="1126" spans="1:6" x14ac:dyDescent="0.45">
      <c r="A1126" t="str">
        <f t="shared" si="17"/>
        <v>ET15,13</v>
      </c>
      <c r="B1126">
        <v>13</v>
      </c>
      <c r="C1126">
        <v>5227.6176787173599</v>
      </c>
      <c r="D1126">
        <v>5172.5081963469102</v>
      </c>
      <c r="E1126" t="s">
        <v>2885</v>
      </c>
      <c r="F1126" t="s">
        <v>3350</v>
      </c>
    </row>
    <row r="1127" spans="1:6" x14ac:dyDescent="0.45">
      <c r="A1127" t="str">
        <f t="shared" si="17"/>
        <v>ET15,14</v>
      </c>
      <c r="B1127">
        <v>14</v>
      </c>
      <c r="C1127">
        <v>5383.5411216151597</v>
      </c>
      <c r="D1127">
        <v>5336.2313634826596</v>
      </c>
      <c r="E1127" t="s">
        <v>2885</v>
      </c>
      <c r="F1127" t="s">
        <v>3350</v>
      </c>
    </row>
    <row r="1128" spans="1:6" x14ac:dyDescent="0.45">
      <c r="A1128" t="str">
        <f t="shared" si="17"/>
        <v>ET15,15</v>
      </c>
      <c r="B1128">
        <v>15</v>
      </c>
      <c r="C1128">
        <v>5539.4645645129604</v>
      </c>
      <c r="D1128">
        <v>5527.5092718036403</v>
      </c>
      <c r="E1128" t="s">
        <v>2885</v>
      </c>
      <c r="F1128" t="s">
        <v>3350</v>
      </c>
    </row>
    <row r="1129" spans="1:6" x14ac:dyDescent="0.45">
      <c r="A1129" t="str">
        <f t="shared" si="17"/>
        <v>ET15,16</v>
      </c>
      <c r="B1129">
        <v>16</v>
      </c>
      <c r="C1129">
        <v>5695.3880074107601</v>
      </c>
      <c r="D1129">
        <v>5710.9874558866704</v>
      </c>
      <c r="E1129" t="s">
        <v>2885</v>
      </c>
      <c r="F1129" t="s">
        <v>3350</v>
      </c>
    </row>
    <row r="1130" spans="1:6" x14ac:dyDescent="0.45">
      <c r="A1130" t="str">
        <f t="shared" si="17"/>
        <v>ET15,17</v>
      </c>
      <c r="B1130">
        <v>17</v>
      </c>
      <c r="C1130">
        <v>5851.3114503085599</v>
      </c>
      <c r="D1130">
        <v>5851.3114503085599</v>
      </c>
      <c r="E1130" t="s">
        <v>2885</v>
      </c>
      <c r="F1130" t="s">
        <v>3350</v>
      </c>
    </row>
    <row r="1131" spans="1:6" x14ac:dyDescent="0.45">
      <c r="A1131" t="str">
        <f t="shared" si="17"/>
        <v>ET15,18</v>
      </c>
      <c r="B1131">
        <v>18</v>
      </c>
      <c r="C1131">
        <v>5848.3445066904997</v>
      </c>
      <c r="D1131">
        <v>5922.4729052023704</v>
      </c>
      <c r="E1131" t="s">
        <v>2885</v>
      </c>
      <c r="F1131" t="s">
        <v>3350</v>
      </c>
    </row>
    <row r="1132" spans="1:6" x14ac:dyDescent="0.45">
      <c r="A1132" t="str">
        <f t="shared" si="17"/>
        <v>ET15,19</v>
      </c>
      <c r="B1132">
        <v>19</v>
      </c>
      <c r="C1132">
        <v>5845.3775630724404</v>
      </c>
      <c r="D1132">
        <v>5935.8479329260599</v>
      </c>
      <c r="E1132" t="s">
        <v>2885</v>
      </c>
      <c r="F1132" t="s">
        <v>3350</v>
      </c>
    </row>
    <row r="1133" spans="1:6" x14ac:dyDescent="0.45">
      <c r="A1133" t="str">
        <f t="shared" si="17"/>
        <v>ET15,20</v>
      </c>
      <c r="B1133">
        <v>20</v>
      </c>
      <c r="C1133">
        <v>5842.4106194543801</v>
      </c>
      <c r="D1133">
        <v>5912.15876139381</v>
      </c>
      <c r="E1133" t="s">
        <v>2885</v>
      </c>
      <c r="F1133" t="s">
        <v>3350</v>
      </c>
    </row>
    <row r="1134" spans="1:6" x14ac:dyDescent="0.45">
      <c r="A1134" t="str">
        <f t="shared" si="17"/>
        <v>ET15,21</v>
      </c>
      <c r="B1134">
        <v>21</v>
      </c>
      <c r="C1134">
        <v>5839.4436758363199</v>
      </c>
      <c r="D1134">
        <v>5872.1276185198103</v>
      </c>
      <c r="E1134" t="s">
        <v>2885</v>
      </c>
      <c r="F1134" t="s">
        <v>3350</v>
      </c>
    </row>
    <row r="1135" spans="1:6" x14ac:dyDescent="0.45">
      <c r="A1135" t="str">
        <f t="shared" si="17"/>
        <v>ET15,22</v>
      </c>
      <c r="B1135">
        <v>22</v>
      </c>
      <c r="C1135">
        <v>5836.4767322182597</v>
      </c>
      <c r="D1135">
        <v>5836.4767322182597</v>
      </c>
      <c r="E1135" t="s">
        <v>2885</v>
      </c>
      <c r="F1135" t="s">
        <v>3350</v>
      </c>
    </row>
    <row r="1136" spans="1:6" x14ac:dyDescent="0.45">
      <c r="A1136" t="str">
        <f t="shared" si="17"/>
        <v>ET15,23</v>
      </c>
      <c r="B1136">
        <v>23</v>
      </c>
      <c r="C1136">
        <v>5778.5883637618999</v>
      </c>
      <c r="D1136">
        <v>5818.7109765124796</v>
      </c>
      <c r="E1136" t="s">
        <v>2885</v>
      </c>
      <c r="F1136" t="s">
        <v>3350</v>
      </c>
    </row>
    <row r="1137" spans="1:6" x14ac:dyDescent="0.45">
      <c r="A1137" t="str">
        <f t="shared" si="17"/>
        <v>ET15,24</v>
      </c>
      <c r="B1137">
        <v>24</v>
      </c>
      <c r="C1137">
        <v>5720.6999953055301</v>
      </c>
      <c r="D1137">
        <v>5803.4658098623704</v>
      </c>
      <c r="E1137" t="s">
        <v>2885</v>
      </c>
      <c r="F1137" t="s">
        <v>3350</v>
      </c>
    </row>
    <row r="1138" spans="1:6" x14ac:dyDescent="0.45">
      <c r="A1138" t="str">
        <f t="shared" si="17"/>
        <v>ET15,25</v>
      </c>
      <c r="B1138">
        <v>25</v>
      </c>
      <c r="C1138">
        <v>5662.8116268491704</v>
      </c>
      <c r="D1138">
        <v>5768.1593368369604</v>
      </c>
      <c r="E1138" t="s">
        <v>2885</v>
      </c>
      <c r="F1138" t="s">
        <v>3350</v>
      </c>
    </row>
    <row r="1139" spans="1:6" x14ac:dyDescent="0.45">
      <c r="A1139" t="str">
        <f t="shared" si="17"/>
        <v>ET15,26</v>
      </c>
      <c r="B1139">
        <v>26</v>
      </c>
      <c r="C1139">
        <v>5604.9232583927997</v>
      </c>
      <c r="D1139">
        <v>5690.2096620053098</v>
      </c>
      <c r="E1139" t="s">
        <v>2885</v>
      </c>
      <c r="F1139" t="s">
        <v>3350</v>
      </c>
    </row>
    <row r="1140" spans="1:6" x14ac:dyDescent="0.45">
      <c r="A1140" t="str">
        <f t="shared" si="17"/>
        <v>ET15,27</v>
      </c>
      <c r="B1140">
        <v>27</v>
      </c>
      <c r="C1140">
        <v>5547.0348899364399</v>
      </c>
      <c r="D1140">
        <v>5547.0348899364399</v>
      </c>
      <c r="E1140" t="s">
        <v>2885</v>
      </c>
      <c r="F1140" t="s">
        <v>3350</v>
      </c>
    </row>
    <row r="1141" spans="1:6" x14ac:dyDescent="0.45">
      <c r="A1141" t="str">
        <f t="shared" si="17"/>
        <v>ET15,28</v>
      </c>
      <c r="B1141">
        <v>28</v>
      </c>
      <c r="C1141">
        <v>5269.8772548639699</v>
      </c>
      <c r="D1141">
        <v>5324.8437530683896</v>
      </c>
      <c r="E1141" t="s">
        <v>2885</v>
      </c>
      <c r="F1141" t="s">
        <v>3350</v>
      </c>
    </row>
    <row r="1142" spans="1:6" x14ac:dyDescent="0.45">
      <c r="A1142" t="str">
        <f t="shared" si="17"/>
        <v>ET15,29</v>
      </c>
      <c r="B1142">
        <v>29</v>
      </c>
      <c r="C1142">
        <v>4992.7196197915</v>
      </c>
      <c r="D1142">
        <v>5045.0074953151498</v>
      </c>
      <c r="E1142" t="s">
        <v>2885</v>
      </c>
      <c r="F1142" t="s">
        <v>3350</v>
      </c>
    </row>
    <row r="1143" spans="1:6" x14ac:dyDescent="0.45">
      <c r="A1143" t="str">
        <f t="shared" si="17"/>
        <v>ET15,30</v>
      </c>
      <c r="B1143">
        <v>30</v>
      </c>
      <c r="C1143">
        <v>4715.5619847190201</v>
      </c>
      <c r="D1143">
        <v>4737.6879884597001</v>
      </c>
      <c r="E1143" t="s">
        <v>2885</v>
      </c>
      <c r="F1143" t="s">
        <v>3350</v>
      </c>
    </row>
    <row r="1144" spans="1:6" x14ac:dyDescent="0.45">
      <c r="A1144" t="str">
        <f t="shared" si="17"/>
        <v>ET15,31</v>
      </c>
      <c r="B1144">
        <v>31</v>
      </c>
      <c r="C1144">
        <v>4438.4043496465501</v>
      </c>
      <c r="D1144">
        <v>4433.0471042850104</v>
      </c>
      <c r="E1144" t="s">
        <v>2885</v>
      </c>
      <c r="F1144" t="s">
        <v>3350</v>
      </c>
    </row>
    <row r="1145" spans="1:6" x14ac:dyDescent="0.45">
      <c r="A1145" t="str">
        <f t="shared" si="17"/>
        <v>ET15,32</v>
      </c>
      <c r="B1145">
        <v>32</v>
      </c>
      <c r="C1145">
        <v>4161.2467145740802</v>
      </c>
      <c r="D1145">
        <v>4161.2467145740802</v>
      </c>
      <c r="E1145" t="s">
        <v>2885</v>
      </c>
      <c r="F1145" t="s">
        <v>3350</v>
      </c>
    </row>
    <row r="1146" spans="1:6" x14ac:dyDescent="0.45">
      <c r="A1146" t="str">
        <f t="shared" si="17"/>
        <v>ET15,33</v>
      </c>
      <c r="B1146">
        <v>33</v>
      </c>
      <c r="C1146">
        <v>4013.5588939928798</v>
      </c>
      <c r="D1146">
        <v>3945.0270104401802</v>
      </c>
      <c r="E1146" t="s">
        <v>2885</v>
      </c>
      <c r="F1146" t="s">
        <v>3350</v>
      </c>
    </row>
    <row r="1147" spans="1:6" x14ac:dyDescent="0.45">
      <c r="A1147" t="str">
        <f t="shared" si="17"/>
        <v>ET15,34</v>
      </c>
      <c r="B1147">
        <v>34</v>
      </c>
      <c r="C1147">
        <v>3865.8710734116898</v>
      </c>
      <c r="D1147">
        <v>3777.4414603178302</v>
      </c>
      <c r="E1147" t="s">
        <v>2885</v>
      </c>
      <c r="F1147" t="s">
        <v>3350</v>
      </c>
    </row>
    <row r="1148" spans="1:6" x14ac:dyDescent="0.45">
      <c r="A1148" t="str">
        <f t="shared" si="17"/>
        <v>ET15,35</v>
      </c>
      <c r="B1148">
        <v>35</v>
      </c>
      <c r="C1148">
        <v>3718.1832528304899</v>
      </c>
      <c r="D1148">
        <v>3644.12185197182</v>
      </c>
      <c r="E1148" t="s">
        <v>2885</v>
      </c>
      <c r="F1148" t="s">
        <v>3350</v>
      </c>
    </row>
    <row r="1149" spans="1:6" x14ac:dyDescent="0.45">
      <c r="A1149" t="str">
        <f t="shared" si="17"/>
        <v>ET15,36</v>
      </c>
      <c r="B1149">
        <v>36</v>
      </c>
      <c r="C1149">
        <v>3570.4954322492999</v>
      </c>
      <c r="D1149">
        <v>3530.6999731669698</v>
      </c>
      <c r="E1149" t="s">
        <v>2885</v>
      </c>
      <c r="F1149" t="s">
        <v>3350</v>
      </c>
    </row>
    <row r="1150" spans="1:6" x14ac:dyDescent="0.45">
      <c r="A1150" t="str">
        <f t="shared" si="17"/>
        <v>ET15,37</v>
      </c>
      <c r="B1150">
        <v>37</v>
      </c>
      <c r="C1150">
        <v>3422.8076116681</v>
      </c>
      <c r="D1150">
        <v>3422.8076116681</v>
      </c>
      <c r="E1150" t="s">
        <v>2885</v>
      </c>
      <c r="F1150" t="s">
        <v>3350</v>
      </c>
    </row>
    <row r="1151" spans="1:6" x14ac:dyDescent="0.45">
      <c r="A1151" t="str">
        <f t="shared" si="17"/>
        <v>ET15,38</v>
      </c>
      <c r="B1151">
        <v>38</v>
      </c>
      <c r="C1151">
        <v>3284.8837171697501</v>
      </c>
      <c r="D1151">
        <v>3308.2348512691601</v>
      </c>
      <c r="E1151" t="s">
        <v>2885</v>
      </c>
      <c r="F1151" t="s">
        <v>3350</v>
      </c>
    </row>
    <row r="1152" spans="1:6" x14ac:dyDescent="0.45">
      <c r="A1152" t="str">
        <f t="shared" si="17"/>
        <v>ET15,39</v>
      </c>
      <c r="B1152">
        <v>39</v>
      </c>
      <c r="C1152">
        <v>3146.9598226714002</v>
      </c>
      <c r="D1152">
        <v>3183.4049598807601</v>
      </c>
      <c r="E1152" t="s">
        <v>2885</v>
      </c>
      <c r="F1152" t="s">
        <v>3350</v>
      </c>
    </row>
    <row r="1153" spans="1:6" x14ac:dyDescent="0.45">
      <c r="A1153" t="str">
        <f t="shared" si="17"/>
        <v>ET15,40</v>
      </c>
      <c r="B1153">
        <v>40</v>
      </c>
      <c r="C1153">
        <v>3009.0359281730598</v>
      </c>
      <c r="D1153">
        <v>3046.89950144266</v>
      </c>
      <c r="E1153" t="s">
        <v>2885</v>
      </c>
      <c r="F1153" t="s">
        <v>3350</v>
      </c>
    </row>
    <row r="1154" spans="1:6" x14ac:dyDescent="0.45">
      <c r="A1154" t="str">
        <f t="shared" si="17"/>
        <v>ET15,41</v>
      </c>
      <c r="B1154">
        <v>41</v>
      </c>
      <c r="C1154">
        <v>2871.1120336747099</v>
      </c>
      <c r="D1154">
        <v>2897.3000398946001</v>
      </c>
      <c r="E1154" t="s">
        <v>2885</v>
      </c>
      <c r="F1154" t="s">
        <v>3350</v>
      </c>
    </row>
    <row r="1155" spans="1:6" x14ac:dyDescent="0.45">
      <c r="A1155" t="str">
        <f t="shared" ref="A1155:A1213" si="18">_xlfn.CONCAT(E1155,",",B1155)</f>
        <v>ET15,42</v>
      </c>
      <c r="B1155">
        <v>42</v>
      </c>
      <c r="C1155">
        <v>2733.18813917636</v>
      </c>
      <c r="D1155">
        <v>2733.18813917636</v>
      </c>
      <c r="E1155" t="s">
        <v>2885</v>
      </c>
      <c r="F1155" t="s">
        <v>3350</v>
      </c>
    </row>
    <row r="1156" spans="1:6" x14ac:dyDescent="0.45">
      <c r="A1156" t="str">
        <f t="shared" si="18"/>
        <v>ET15,43</v>
      </c>
      <c r="B1156">
        <v>43</v>
      </c>
      <c r="C1156">
        <v>2567.9646556386301</v>
      </c>
      <c r="D1156">
        <v>2555.2395547121901</v>
      </c>
      <c r="E1156" t="s">
        <v>2885</v>
      </c>
      <c r="F1156" t="s">
        <v>3350</v>
      </c>
    </row>
    <row r="1157" spans="1:6" x14ac:dyDescent="0.45">
      <c r="A1157" t="str">
        <f t="shared" si="18"/>
        <v>ET15,44</v>
      </c>
      <c r="B1157">
        <v>44</v>
      </c>
      <c r="C1157">
        <v>2402.7411721008998</v>
      </c>
      <c r="D1157">
        <v>2372.5068078644199</v>
      </c>
      <c r="E1157" t="s">
        <v>2885</v>
      </c>
      <c r="F1157" t="s">
        <v>3350</v>
      </c>
    </row>
    <row r="1158" spans="1:6" x14ac:dyDescent="0.45">
      <c r="A1158" t="str">
        <f t="shared" si="18"/>
        <v>ET15,45</v>
      </c>
      <c r="B1158">
        <v>45</v>
      </c>
      <c r="C1158">
        <v>2237.5176885631599</v>
      </c>
      <c r="D1158">
        <v>2196.1366114798602</v>
      </c>
      <c r="E1158" t="s">
        <v>2885</v>
      </c>
      <c r="F1158" t="s">
        <v>3350</v>
      </c>
    </row>
    <row r="1159" spans="1:6" x14ac:dyDescent="0.45">
      <c r="A1159" t="str">
        <f t="shared" si="18"/>
        <v>ET15,46</v>
      </c>
      <c r="B1159">
        <v>46</v>
      </c>
      <c r="C1159">
        <v>2072.2942050254301</v>
      </c>
      <c r="D1159">
        <v>2037.2756784053399</v>
      </c>
      <c r="E1159" t="s">
        <v>2885</v>
      </c>
      <c r="F1159" t="s">
        <v>3350</v>
      </c>
    </row>
    <row r="1160" spans="1:6" x14ac:dyDescent="0.45">
      <c r="A1160" t="str">
        <f t="shared" si="18"/>
        <v>ET15,47</v>
      </c>
      <c r="B1160">
        <v>47</v>
      </c>
      <c r="C1160">
        <v>1907.0707214877</v>
      </c>
      <c r="D1160">
        <v>1907.0707214877</v>
      </c>
      <c r="E1160" t="s">
        <v>2885</v>
      </c>
      <c r="F1160" t="s">
        <v>3350</v>
      </c>
    </row>
    <row r="1161" spans="1:6" x14ac:dyDescent="0.45">
      <c r="A1161" t="str">
        <f t="shared" si="18"/>
        <v>ET15,48</v>
      </c>
      <c r="B1161">
        <v>48</v>
      </c>
      <c r="C1161">
        <v>1831.01916843504</v>
      </c>
      <c r="D1161">
        <v>1812.2747929924201</v>
      </c>
      <c r="E1161" t="s">
        <v>2885</v>
      </c>
      <c r="F1161" t="s">
        <v>3350</v>
      </c>
    </row>
    <row r="1162" spans="1:6" x14ac:dyDescent="0.45">
      <c r="A1162" t="str">
        <f t="shared" si="18"/>
        <v>ET15,49</v>
      </c>
      <c r="B1162">
        <v>49</v>
      </c>
      <c r="C1162">
        <v>1754.96761538237</v>
      </c>
      <c r="D1162">
        <v>1742.06630285963</v>
      </c>
      <c r="E1162" t="s">
        <v>2885</v>
      </c>
      <c r="F1162" t="s">
        <v>3350</v>
      </c>
    </row>
    <row r="1163" spans="1:6" x14ac:dyDescent="0.45">
      <c r="A1163" t="str">
        <f t="shared" si="18"/>
        <v>ET15,50</v>
      </c>
      <c r="B1163">
        <v>50</v>
      </c>
      <c r="C1163">
        <v>1678.91606232971</v>
      </c>
      <c r="D1163">
        <v>1681.2300004481599</v>
      </c>
      <c r="E1163" t="s">
        <v>2885</v>
      </c>
      <c r="F1163" t="s">
        <v>3350</v>
      </c>
    </row>
    <row r="1164" spans="1:6" x14ac:dyDescent="0.45">
      <c r="A1164" t="str">
        <f t="shared" si="18"/>
        <v>ET15,51</v>
      </c>
      <c r="B1164">
        <v>51</v>
      </c>
      <c r="C1164">
        <v>1602.86450927705</v>
      </c>
      <c r="D1164">
        <v>1614.5506351168101</v>
      </c>
      <c r="E1164" t="s">
        <v>2885</v>
      </c>
      <c r="F1164" t="s">
        <v>3350</v>
      </c>
    </row>
    <row r="1165" spans="1:6" x14ac:dyDescent="0.45">
      <c r="A1165" t="str">
        <f t="shared" si="18"/>
        <v>ET15,52</v>
      </c>
      <c r="B1165">
        <v>52</v>
      </c>
      <c r="C1165">
        <v>1526.8129562243801</v>
      </c>
      <c r="D1165">
        <v>1526.8129562243801</v>
      </c>
      <c r="E1165" t="s">
        <v>2885</v>
      </c>
      <c r="F1165" t="s">
        <v>3350</v>
      </c>
    </row>
    <row r="1166" spans="1:6" x14ac:dyDescent="0.45">
      <c r="A1166" t="str">
        <f t="shared" si="18"/>
        <v>ET15,53</v>
      </c>
      <c r="B1166">
        <v>53</v>
      </c>
      <c r="C1166">
        <v>1409.8699432815599</v>
      </c>
      <c r="D1166">
        <v>1408.4207675745299</v>
      </c>
      <c r="E1166" t="s">
        <v>2885</v>
      </c>
      <c r="F1166" t="s">
        <v>3350</v>
      </c>
    </row>
    <row r="1167" spans="1:6" x14ac:dyDescent="0.45">
      <c r="A1167" t="str">
        <f t="shared" si="18"/>
        <v>ET15,54</v>
      </c>
      <c r="B1167">
        <v>54</v>
      </c>
      <c r="C1167">
        <v>1292.92693033874</v>
      </c>
      <c r="D1167">
        <v>1272.2540907503101</v>
      </c>
      <c r="E1167" t="s">
        <v>2885</v>
      </c>
      <c r="F1167" t="s">
        <v>3350</v>
      </c>
    </row>
    <row r="1168" spans="1:6" x14ac:dyDescent="0.45">
      <c r="A1168" t="str">
        <f t="shared" si="18"/>
        <v>ET15,55</v>
      </c>
      <c r="B1168">
        <v>55</v>
      </c>
      <c r="C1168">
        <v>1175.9839173959199</v>
      </c>
      <c r="D1168">
        <v>1136.81200177959</v>
      </c>
      <c r="E1168" t="s">
        <v>2885</v>
      </c>
      <c r="F1168" t="s">
        <v>3350</v>
      </c>
    </row>
    <row r="1169" spans="1:6" x14ac:dyDescent="0.45">
      <c r="A1169" t="str">
        <f t="shared" si="18"/>
        <v>ET15,56</v>
      </c>
      <c r="B1169">
        <v>56</v>
      </c>
      <c r="C1169">
        <v>1059.0409044531</v>
      </c>
      <c r="D1169">
        <v>1020.59357669029</v>
      </c>
      <c r="E1169" t="s">
        <v>2885</v>
      </c>
      <c r="F1169" t="s">
        <v>3350</v>
      </c>
    </row>
    <row r="1170" spans="1:6" x14ac:dyDescent="0.45">
      <c r="A1170" t="str">
        <f t="shared" si="18"/>
        <v>ET15,57</v>
      </c>
      <c r="B1170">
        <v>57</v>
      </c>
      <c r="C1170">
        <v>942.09789151027803</v>
      </c>
      <c r="D1170">
        <v>942.09789151027803</v>
      </c>
      <c r="E1170" t="s">
        <v>2885</v>
      </c>
      <c r="F1170" t="s">
        <v>3350</v>
      </c>
    </row>
    <row r="1171" spans="1:6" x14ac:dyDescent="0.45">
      <c r="A1171" t="str">
        <f t="shared" si="18"/>
        <v>ET15,58</v>
      </c>
      <c r="B1171">
        <v>58</v>
      </c>
      <c r="C1171">
        <v>940.73499347329096</v>
      </c>
      <c r="D1171">
        <v>913.20286367625204</v>
      </c>
      <c r="E1171" t="s">
        <v>2885</v>
      </c>
      <c r="F1171" t="s">
        <v>3350</v>
      </c>
    </row>
    <row r="1172" spans="1:6" x14ac:dyDescent="0.45">
      <c r="A1172" t="str">
        <f t="shared" si="18"/>
        <v>ET15,59</v>
      </c>
      <c r="B1172">
        <v>59</v>
      </c>
      <c r="C1172">
        <v>939.37209543630399</v>
      </c>
      <c r="D1172">
        <v>919.30177626007901</v>
      </c>
      <c r="E1172" t="s">
        <v>2885</v>
      </c>
      <c r="F1172" t="s">
        <v>3350</v>
      </c>
    </row>
    <row r="1173" spans="1:6" x14ac:dyDescent="0.45">
      <c r="A1173" t="str">
        <f t="shared" si="18"/>
        <v>ET15,60</v>
      </c>
      <c r="B1173">
        <v>60</v>
      </c>
      <c r="C1173">
        <v>938.00919739931805</v>
      </c>
      <c r="D1173">
        <v>939.16675374242595</v>
      </c>
      <c r="E1173" t="s">
        <v>2885</v>
      </c>
      <c r="F1173" t="s">
        <v>3350</v>
      </c>
    </row>
    <row r="1174" spans="1:6" x14ac:dyDescent="0.45">
      <c r="A1174" t="str">
        <f t="shared" si="18"/>
        <v>ET15,61</v>
      </c>
      <c r="B1174">
        <v>61</v>
      </c>
      <c r="C1174">
        <v>936.64629936233098</v>
      </c>
      <c r="D1174">
        <v>951.56992060395896</v>
      </c>
      <c r="E1174" t="s">
        <v>2885</v>
      </c>
      <c r="F1174" t="s">
        <v>3350</v>
      </c>
    </row>
    <row r="1175" spans="1:6" x14ac:dyDescent="0.45">
      <c r="A1175" t="str">
        <f t="shared" si="18"/>
        <v>ET15,62</v>
      </c>
      <c r="B1175">
        <v>62</v>
      </c>
      <c r="C1175">
        <v>935.28340132534402</v>
      </c>
      <c r="D1175">
        <v>935.28340132534402</v>
      </c>
      <c r="E1175" t="s">
        <v>2885</v>
      </c>
      <c r="F1175" t="s">
        <v>3350</v>
      </c>
    </row>
    <row r="1176" spans="1:6" x14ac:dyDescent="0.45">
      <c r="A1176" t="str">
        <f t="shared" si="18"/>
        <v>ET15,63</v>
      </c>
      <c r="B1176">
        <v>63</v>
      </c>
      <c r="C1176">
        <v>846.23190782226504</v>
      </c>
      <c r="D1176">
        <v>875.55528890049902</v>
      </c>
      <c r="E1176" t="s">
        <v>2885</v>
      </c>
      <c r="F1176" t="s">
        <v>3350</v>
      </c>
    </row>
    <row r="1177" spans="1:6" x14ac:dyDescent="0.45">
      <c r="A1177" t="str">
        <f t="shared" si="18"/>
        <v>ET15,64</v>
      </c>
      <c r="B1177">
        <v>64</v>
      </c>
      <c r="C1177">
        <v>757.18041431918596</v>
      </c>
      <c r="D1177">
        <v>783.53755037635506</v>
      </c>
      <c r="E1177" t="s">
        <v>2885</v>
      </c>
      <c r="F1177" t="s">
        <v>3350</v>
      </c>
    </row>
    <row r="1178" spans="1:6" x14ac:dyDescent="0.45">
      <c r="A1178" t="str">
        <f t="shared" si="18"/>
        <v>ET15,65</v>
      </c>
      <c r="B1178">
        <v>65</v>
      </c>
      <c r="C1178">
        <v>668.12892081610801</v>
      </c>
      <c r="D1178">
        <v>676.85812131309399</v>
      </c>
      <c r="E1178" t="s">
        <v>2885</v>
      </c>
      <c r="F1178" t="s">
        <v>3350</v>
      </c>
    </row>
    <row r="1179" spans="1:6" x14ac:dyDescent="0.45">
      <c r="A1179" t="str">
        <f t="shared" si="18"/>
        <v>ET15,66</v>
      </c>
      <c r="B1179">
        <v>66</v>
      </c>
      <c r="C1179">
        <v>579.07742731302903</v>
      </c>
      <c r="D1179">
        <v>573.14493727089803</v>
      </c>
      <c r="E1179" t="s">
        <v>2885</v>
      </c>
      <c r="F1179" t="s">
        <v>3350</v>
      </c>
    </row>
    <row r="1180" spans="1:6" x14ac:dyDescent="0.45">
      <c r="A1180" t="str">
        <f t="shared" si="18"/>
        <v>ET15,67</v>
      </c>
      <c r="B1180">
        <v>67</v>
      </c>
      <c r="C1180">
        <v>490.02593380995</v>
      </c>
      <c r="D1180">
        <v>490.02593380995</v>
      </c>
      <c r="E1180" t="s">
        <v>2885</v>
      </c>
      <c r="F1180" t="s">
        <v>3350</v>
      </c>
    </row>
    <row r="1181" spans="1:6" x14ac:dyDescent="0.45">
      <c r="A1181" t="str">
        <f t="shared" si="18"/>
        <v>ET15,68</v>
      </c>
      <c r="B1181">
        <v>68</v>
      </c>
      <c r="C1181">
        <v>469.46078090585701</v>
      </c>
      <c r="D1181">
        <v>440.22407688610599</v>
      </c>
      <c r="E1181" t="s">
        <v>2885</v>
      </c>
      <c r="F1181" t="s">
        <v>3350</v>
      </c>
    </row>
    <row r="1182" spans="1:6" x14ac:dyDescent="0.45">
      <c r="A1182" t="str">
        <f t="shared" si="18"/>
        <v>ET15,69</v>
      </c>
      <c r="B1182">
        <v>69</v>
      </c>
      <c r="C1182">
        <v>448.89562800176401</v>
      </c>
      <c r="D1182">
        <v>416.84245403791402</v>
      </c>
      <c r="E1182" t="s">
        <v>2885</v>
      </c>
      <c r="F1182" t="s">
        <v>3350</v>
      </c>
    </row>
    <row r="1183" spans="1:6" x14ac:dyDescent="0.45">
      <c r="A1183" t="str">
        <f t="shared" si="18"/>
        <v>ET15,70</v>
      </c>
      <c r="B1183">
        <v>70</v>
      </c>
      <c r="C1183">
        <v>428.33047509766999</v>
      </c>
      <c r="D1183">
        <v>408.07918319959799</v>
      </c>
      <c r="E1183" t="s">
        <v>2885</v>
      </c>
      <c r="F1183" t="s">
        <v>3350</v>
      </c>
    </row>
    <row r="1184" spans="1:6" x14ac:dyDescent="0.45">
      <c r="A1184" t="str">
        <f t="shared" si="18"/>
        <v>ET15,71</v>
      </c>
      <c r="B1184">
        <v>71</v>
      </c>
      <c r="C1184">
        <v>407.76532219357699</v>
      </c>
      <c r="D1184">
        <v>402.13238230538099</v>
      </c>
      <c r="E1184" t="s">
        <v>2885</v>
      </c>
      <c r="F1184" t="s">
        <v>3350</v>
      </c>
    </row>
    <row r="1185" spans="1:6" x14ac:dyDescent="0.45">
      <c r="A1185" t="str">
        <f t="shared" si="18"/>
        <v>ET15,72</v>
      </c>
      <c r="B1185">
        <v>72</v>
      </c>
      <c r="C1185">
        <v>387.20016928948399</v>
      </c>
      <c r="D1185">
        <v>387.20016928948399</v>
      </c>
      <c r="E1185" t="s">
        <v>2885</v>
      </c>
      <c r="F1185" t="s">
        <v>3350</v>
      </c>
    </row>
    <row r="1186" spans="1:6" x14ac:dyDescent="0.45">
      <c r="A1186" t="str">
        <f t="shared" si="18"/>
        <v>ET15,73</v>
      </c>
      <c r="B1186">
        <v>73</v>
      </c>
      <c r="C1186">
        <v>341.58105705689599</v>
      </c>
      <c r="D1186">
        <v>354.63596255048299</v>
      </c>
      <c r="E1186" t="s">
        <v>2885</v>
      </c>
      <c r="F1186" t="s">
        <v>3350</v>
      </c>
    </row>
    <row r="1187" spans="1:6" x14ac:dyDescent="0.45">
      <c r="A1187" t="str">
        <f t="shared" si="18"/>
        <v>ET15,74</v>
      </c>
      <c r="B1187">
        <v>74</v>
      </c>
      <c r="C1187">
        <v>295.96194482430798</v>
      </c>
      <c r="D1187">
        <v>308.414382344356</v>
      </c>
      <c r="E1187" t="s">
        <v>2885</v>
      </c>
      <c r="F1187" t="s">
        <v>3350</v>
      </c>
    </row>
    <row r="1188" spans="1:6" x14ac:dyDescent="0.45">
      <c r="A1188" t="str">
        <f t="shared" si="18"/>
        <v>ET15,75</v>
      </c>
      <c r="B1188">
        <v>75</v>
      </c>
      <c r="C1188">
        <v>250.34283259172</v>
      </c>
      <c r="D1188">
        <v>255.66534939143699</v>
      </c>
      <c r="E1188" t="s">
        <v>2885</v>
      </c>
      <c r="F1188" t="s">
        <v>3350</v>
      </c>
    </row>
    <row r="1189" spans="1:6" x14ac:dyDescent="0.45">
      <c r="A1189" t="str">
        <f t="shared" si="18"/>
        <v>ET15,76</v>
      </c>
      <c r="B1189">
        <v>76</v>
      </c>
      <c r="C1189">
        <v>204.72372035913199</v>
      </c>
      <c r="D1189">
        <v>203.518784412055</v>
      </c>
      <c r="E1189" t="s">
        <v>2885</v>
      </c>
      <c r="F1189" t="s">
        <v>3350</v>
      </c>
    </row>
    <row r="1190" spans="1:6" x14ac:dyDescent="0.45">
      <c r="A1190" t="str">
        <f t="shared" si="18"/>
        <v>ET15,77</v>
      </c>
      <c r="B1190">
        <v>77</v>
      </c>
      <c r="C1190">
        <v>159.10460812654301</v>
      </c>
      <c r="D1190">
        <v>159.10460812654301</v>
      </c>
      <c r="E1190" t="s">
        <v>2885</v>
      </c>
      <c r="F1190" t="s">
        <v>3350</v>
      </c>
    </row>
    <row r="1191" spans="1:6" x14ac:dyDescent="0.45">
      <c r="A1191" t="str">
        <f t="shared" si="18"/>
        <v>ET15,78</v>
      </c>
      <c r="B1191">
        <v>78</v>
      </c>
      <c r="C1191">
        <v>143.60208650123499</v>
      </c>
      <c r="D1191">
        <v>127.784942996683</v>
      </c>
      <c r="E1191" t="s">
        <v>2885</v>
      </c>
      <c r="F1191" t="s">
        <v>3350</v>
      </c>
    </row>
    <row r="1192" spans="1:6" x14ac:dyDescent="0.45">
      <c r="A1192" t="str">
        <f t="shared" si="18"/>
        <v>ET15,79</v>
      </c>
      <c r="B1192">
        <v>79</v>
      </c>
      <c r="C1192">
        <v>128.09956487592601</v>
      </c>
      <c r="D1192">
        <v>107.850718450062</v>
      </c>
      <c r="E1192" t="s">
        <v>2885</v>
      </c>
      <c r="F1192" t="s">
        <v>3350</v>
      </c>
    </row>
    <row r="1193" spans="1:6" x14ac:dyDescent="0.45">
      <c r="A1193" t="str">
        <f t="shared" si="18"/>
        <v>ET15,80</v>
      </c>
      <c r="B1193">
        <v>80</v>
      </c>
      <c r="C1193">
        <v>112.59704325061701</v>
      </c>
      <c r="D1193">
        <v>95.825065655715704</v>
      </c>
      <c r="E1193" t="s">
        <v>2885</v>
      </c>
      <c r="F1193" t="s">
        <v>3350</v>
      </c>
    </row>
    <row r="1194" spans="1:6" x14ac:dyDescent="0.45">
      <c r="A1194" t="str">
        <f t="shared" si="18"/>
        <v>ET15,81</v>
      </c>
      <c r="B1194">
        <v>81</v>
      </c>
      <c r="C1194">
        <v>97.094521625308701</v>
      </c>
      <c r="D1194">
        <v>88.231115782682707</v>
      </c>
      <c r="E1194" t="s">
        <v>2885</v>
      </c>
      <c r="F1194" t="s">
        <v>3350</v>
      </c>
    </row>
    <row r="1195" spans="1:6" x14ac:dyDescent="0.45">
      <c r="A1195" t="str">
        <f t="shared" si="18"/>
        <v>ET15,82</v>
      </c>
      <c r="B1195">
        <v>82</v>
      </c>
      <c r="C1195">
        <v>81.591999999999999</v>
      </c>
      <c r="D1195">
        <v>81.591999999999999</v>
      </c>
      <c r="E1195" t="s">
        <v>2885</v>
      </c>
      <c r="F1195" t="s">
        <v>3350</v>
      </c>
    </row>
    <row r="1196" spans="1:6" x14ac:dyDescent="0.45">
      <c r="A1196" t="str">
        <f t="shared" si="18"/>
        <v>ET15,83</v>
      </c>
      <c r="B1196">
        <v>83</v>
      </c>
      <c r="C1196">
        <v>71.64</v>
      </c>
      <c r="D1196">
        <v>73.157277289839797</v>
      </c>
      <c r="E1196" t="s">
        <v>2885</v>
      </c>
      <c r="F1196" t="s">
        <v>3350</v>
      </c>
    </row>
    <row r="1197" spans="1:6" x14ac:dyDescent="0.45">
      <c r="A1197" t="str">
        <f t="shared" si="18"/>
        <v>ET15,84</v>
      </c>
      <c r="B1197">
        <v>84</v>
      </c>
      <c r="C1197">
        <v>61.688000000000002</v>
      </c>
      <c r="D1197">
        <v>63.082217886913497</v>
      </c>
      <c r="E1197" t="s">
        <v>2885</v>
      </c>
      <c r="F1197" t="s">
        <v>3350</v>
      </c>
    </row>
    <row r="1198" spans="1:6" x14ac:dyDescent="0.45">
      <c r="A1198" t="str">
        <f t="shared" si="18"/>
        <v>ET15,85</v>
      </c>
      <c r="B1198">
        <v>85</v>
      </c>
      <c r="C1198">
        <v>51.735999999999997</v>
      </c>
      <c r="D1198">
        <v>52.2485198390672</v>
      </c>
      <c r="E1198" t="s">
        <v>2885</v>
      </c>
      <c r="F1198" t="s">
        <v>3350</v>
      </c>
    </row>
    <row r="1199" spans="1:6" x14ac:dyDescent="0.45">
      <c r="A1199" t="str">
        <f t="shared" si="18"/>
        <v>ET15,86</v>
      </c>
      <c r="B1199">
        <v>86</v>
      </c>
      <c r="C1199">
        <v>41.783999999999999</v>
      </c>
      <c r="D1199">
        <v>41.537881194147403</v>
      </c>
      <c r="E1199" t="s">
        <v>2885</v>
      </c>
      <c r="F1199" t="s">
        <v>3350</v>
      </c>
    </row>
    <row r="1200" spans="1:6" x14ac:dyDescent="0.45">
      <c r="A1200" t="str">
        <f t="shared" si="18"/>
        <v>ET15,87</v>
      </c>
      <c r="B1200">
        <v>87</v>
      </c>
      <c r="C1200">
        <v>31.832000000000001</v>
      </c>
      <c r="D1200">
        <v>31.832000000000001</v>
      </c>
      <c r="E1200" t="s">
        <v>2885</v>
      </c>
      <c r="F1200" t="s">
        <v>3350</v>
      </c>
    </row>
    <row r="1201" spans="1:6" x14ac:dyDescent="0.45">
      <c r="A1201" t="str">
        <f t="shared" si="18"/>
        <v>ET15,88</v>
      </c>
      <c r="B1201">
        <v>88</v>
      </c>
      <c r="C1201">
        <v>26.6584</v>
      </c>
      <c r="D1201">
        <v>23.826419204747701</v>
      </c>
      <c r="E1201" t="s">
        <v>2885</v>
      </c>
      <c r="F1201" t="s">
        <v>3350</v>
      </c>
    </row>
    <row r="1202" spans="1:6" x14ac:dyDescent="0.45">
      <c r="A1202" t="str">
        <f t="shared" si="18"/>
        <v>ET15,89</v>
      </c>
      <c r="B1202">
        <v>89</v>
      </c>
      <c r="C1202">
        <v>21.4848</v>
      </c>
      <c r="D1202">
        <v>17.4720613576178</v>
      </c>
      <c r="E1202" t="s">
        <v>2885</v>
      </c>
      <c r="F1202" t="s">
        <v>3350</v>
      </c>
    </row>
    <row r="1203" spans="1:6" x14ac:dyDescent="0.45">
      <c r="A1203" t="str">
        <f t="shared" si="18"/>
        <v>ET15,90</v>
      </c>
      <c r="B1203">
        <v>90</v>
      </c>
      <c r="C1203">
        <v>16.311199999999999</v>
      </c>
      <c r="D1203">
        <v>12.533693908114101</v>
      </c>
      <c r="E1203" t="s">
        <v>2885</v>
      </c>
      <c r="F1203" t="s">
        <v>3350</v>
      </c>
    </row>
    <row r="1204" spans="1:6" x14ac:dyDescent="0.45">
      <c r="A1204" t="str">
        <f t="shared" si="18"/>
        <v>ET15,91</v>
      </c>
      <c r="B1204">
        <v>91</v>
      </c>
      <c r="C1204">
        <v>11.137600000000001</v>
      </c>
      <c r="D1204">
        <v>8.7760843057402393</v>
      </c>
      <c r="E1204" t="s">
        <v>2885</v>
      </c>
      <c r="F1204" t="s">
        <v>3350</v>
      </c>
    </row>
    <row r="1205" spans="1:6" x14ac:dyDescent="0.45">
      <c r="A1205" t="str">
        <f t="shared" si="18"/>
        <v>ET15,92</v>
      </c>
      <c r="B1205">
        <v>92</v>
      </c>
      <c r="C1205">
        <v>5.9640000000000004</v>
      </c>
      <c r="D1205">
        <v>5.9640000000000004</v>
      </c>
      <c r="E1205" t="s">
        <v>2885</v>
      </c>
      <c r="F1205" t="s">
        <v>3350</v>
      </c>
    </row>
    <row r="1206" spans="1:6" x14ac:dyDescent="0.45">
      <c r="A1206" t="str">
        <f t="shared" si="18"/>
        <v>ET15,93</v>
      </c>
      <c r="B1206">
        <v>93</v>
      </c>
      <c r="C1206">
        <v>4.8512000000000004</v>
      </c>
      <c r="D1206">
        <v>3.88258189116958</v>
      </c>
      <c r="E1206" t="s">
        <v>2885</v>
      </c>
      <c r="F1206" t="s">
        <v>3350</v>
      </c>
    </row>
    <row r="1207" spans="1:6" x14ac:dyDescent="0.45">
      <c r="A1207" t="str">
        <f t="shared" si="18"/>
        <v>ET15,94</v>
      </c>
      <c r="B1207">
        <v>94</v>
      </c>
      <c r="C1207">
        <v>3.7383999999999999</v>
      </c>
      <c r="D1207">
        <v>2.3984646826153999</v>
      </c>
      <c r="E1207" t="s">
        <v>2885</v>
      </c>
      <c r="F1207" t="s">
        <v>3350</v>
      </c>
    </row>
    <row r="1208" spans="1:6" x14ac:dyDescent="0.45">
      <c r="A1208" t="str">
        <f t="shared" si="18"/>
        <v>ET15,95</v>
      </c>
      <c r="B1208">
        <v>95</v>
      </c>
      <c r="C1208">
        <v>2.6255999999999999</v>
      </c>
      <c r="D1208">
        <v>1.3986565284764401</v>
      </c>
      <c r="E1208" t="s">
        <v>2885</v>
      </c>
      <c r="F1208" t="s">
        <v>3350</v>
      </c>
    </row>
    <row r="1209" spans="1:6" x14ac:dyDescent="0.45">
      <c r="A1209" t="str">
        <f t="shared" si="18"/>
        <v>ET15,96</v>
      </c>
      <c r="B1209">
        <v>96</v>
      </c>
      <c r="C1209">
        <v>1.5127999999999999</v>
      </c>
      <c r="D1209">
        <v>0.77016558289165304</v>
      </c>
      <c r="E1209" t="s">
        <v>2885</v>
      </c>
      <c r="F1209" t="s">
        <v>3350</v>
      </c>
    </row>
    <row r="1210" spans="1:6" x14ac:dyDescent="0.45">
      <c r="A1210" t="str">
        <f t="shared" si="18"/>
        <v>ET15,97</v>
      </c>
      <c r="B1210">
        <v>97</v>
      </c>
      <c r="C1210">
        <v>0.4</v>
      </c>
      <c r="D1210">
        <v>0.39999999999999902</v>
      </c>
      <c r="E1210" t="s">
        <v>2885</v>
      </c>
      <c r="F1210" t="s">
        <v>3350</v>
      </c>
    </row>
    <row r="1211" spans="1:6" x14ac:dyDescent="0.45">
      <c r="A1211" t="str">
        <f t="shared" si="18"/>
        <v>ET15,98</v>
      </c>
      <c r="B1211">
        <v>98</v>
      </c>
      <c r="C1211">
        <v>0.266666666666667</v>
      </c>
      <c r="D1211">
        <v>0.185925823982168</v>
      </c>
      <c r="E1211" t="s">
        <v>2885</v>
      </c>
      <c r="F1211" t="s">
        <v>3350</v>
      </c>
    </row>
    <row r="1212" spans="1:6" x14ac:dyDescent="0.45">
      <c r="A1212" t="str">
        <f t="shared" si="18"/>
        <v>ET15,99</v>
      </c>
      <c r="B1212">
        <v>99</v>
      </c>
      <c r="C1212">
        <v>0.133333333333333</v>
      </c>
      <c r="D1212">
        <v>6.8740659185734104E-2</v>
      </c>
      <c r="E1212" t="s">
        <v>2885</v>
      </c>
      <c r="F1212" t="s">
        <v>3350</v>
      </c>
    </row>
    <row r="1213" spans="1:6" x14ac:dyDescent="0.45">
      <c r="A1213" t="str">
        <f t="shared" si="18"/>
        <v>ET15,100</v>
      </c>
      <c r="B1213">
        <v>100</v>
      </c>
      <c r="C1213">
        <v>0</v>
      </c>
      <c r="D1213">
        <v>1.11022302462516E-16</v>
      </c>
      <c r="E1213" t="s">
        <v>2885</v>
      </c>
      <c r="F1213" t="s">
        <v>3350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C5F65-F116-44CD-87B6-C0F7486D658C}">
  <dimension ref="A1:AC3842"/>
  <sheetViews>
    <sheetView workbookViewId="0">
      <selection activeCell="I482" sqref="I482"/>
    </sheetView>
  </sheetViews>
  <sheetFormatPr defaultColWidth="8" defaultRowHeight="10.5" x14ac:dyDescent="0.35"/>
  <cols>
    <col min="1" max="1" width="5.73046875" style="7" customWidth="1"/>
    <col min="2" max="2" width="21.73046875" style="7" customWidth="1"/>
    <col min="3" max="3" width="45" style="7" customWidth="1"/>
    <col min="4" max="4" width="6.46484375" style="7" customWidth="1"/>
    <col min="5" max="5" width="7.19921875" style="7" customWidth="1"/>
    <col min="6" max="6" width="14.46484375" style="7" customWidth="1"/>
    <col min="7" max="7" width="7.19921875" style="7" customWidth="1"/>
    <col min="8" max="8" width="11.53125" style="7" customWidth="1"/>
    <col min="9" max="29" width="8.53125" style="7" customWidth="1"/>
    <col min="30" max="16384" width="8" style="7"/>
  </cols>
  <sheetData>
    <row r="1" spans="1:29" ht="11.65" x14ac:dyDescent="0.35">
      <c r="A1" s="431"/>
      <c r="B1" s="431"/>
      <c r="C1" s="431"/>
      <c r="D1" s="431"/>
      <c r="E1" s="431"/>
      <c r="F1" s="431"/>
      <c r="G1" s="431"/>
      <c r="H1" s="431"/>
      <c r="I1" s="46"/>
      <c r="J1" s="46"/>
      <c r="K1" s="46"/>
      <c r="L1" s="46"/>
      <c r="M1" s="46"/>
      <c r="N1" s="46"/>
      <c r="O1" s="46"/>
      <c r="P1" s="46"/>
      <c r="Q1" s="46"/>
      <c r="R1" s="46"/>
      <c r="S1" s="46"/>
      <c r="T1" s="46"/>
      <c r="U1" s="46"/>
      <c r="V1" s="46"/>
      <c r="W1" s="46"/>
      <c r="X1" s="46"/>
      <c r="Y1" s="46"/>
      <c r="Z1" s="46"/>
      <c r="AA1" s="46"/>
      <c r="AB1" s="46"/>
      <c r="AC1" s="46"/>
    </row>
    <row r="2" spans="1:29" ht="11.65" x14ac:dyDescent="0.35">
      <c r="A2" s="431"/>
      <c r="B2" s="431"/>
      <c r="C2" s="431"/>
      <c r="D2" s="431"/>
      <c r="E2" s="431"/>
      <c r="F2" s="431"/>
      <c r="G2" s="431"/>
      <c r="H2" s="431"/>
      <c r="I2" s="46"/>
      <c r="J2" s="46"/>
      <c r="K2" s="46"/>
      <c r="L2" s="46"/>
      <c r="M2" s="46"/>
      <c r="N2" s="46"/>
      <c r="O2" s="46"/>
      <c r="P2" s="46"/>
      <c r="Q2" s="46"/>
      <c r="R2" s="46"/>
      <c r="S2" s="46"/>
      <c r="T2" s="46"/>
      <c r="U2" s="46"/>
      <c r="V2" s="46"/>
      <c r="W2" s="46"/>
      <c r="X2" s="46"/>
      <c r="Y2" s="46"/>
      <c r="Z2" s="46"/>
      <c r="AA2" s="46"/>
      <c r="AB2" s="46"/>
      <c r="AC2" s="46"/>
    </row>
    <row r="3" spans="1:29" ht="11.65" x14ac:dyDescent="0.35">
      <c r="A3" s="431"/>
      <c r="B3" s="431"/>
      <c r="C3" s="431"/>
      <c r="D3" s="431"/>
      <c r="E3" s="431"/>
      <c r="F3" s="431"/>
      <c r="G3" s="431"/>
      <c r="H3" s="431"/>
      <c r="I3" s="46"/>
      <c r="J3" s="46"/>
      <c r="K3" s="46"/>
      <c r="L3" s="46"/>
      <c r="M3" s="46"/>
      <c r="N3" s="46"/>
      <c r="O3" s="46"/>
      <c r="P3" s="46"/>
      <c r="Q3" s="46"/>
      <c r="R3" s="46"/>
      <c r="S3" s="46"/>
      <c r="T3" s="46"/>
      <c r="U3" s="46"/>
      <c r="V3" s="46"/>
      <c r="W3" s="46"/>
      <c r="X3" s="46"/>
      <c r="Y3" s="46"/>
      <c r="Z3" s="46"/>
      <c r="AA3" s="46"/>
      <c r="AB3" s="46"/>
      <c r="AC3" s="46"/>
    </row>
    <row r="4" spans="1:29" ht="11.65" x14ac:dyDescent="0.35">
      <c r="A4" s="431"/>
      <c r="B4" s="431"/>
      <c r="C4" s="431"/>
      <c r="D4" s="431"/>
      <c r="E4" s="431"/>
      <c r="F4" s="431"/>
      <c r="G4" s="431"/>
      <c r="H4" s="431"/>
      <c r="I4" s="46"/>
      <c r="J4" s="46"/>
      <c r="K4" s="46"/>
      <c r="L4" s="46"/>
      <c r="M4" s="46"/>
      <c r="N4" s="46"/>
      <c r="O4" s="46"/>
      <c r="P4" s="46"/>
      <c r="Q4" s="46"/>
      <c r="R4" s="46"/>
      <c r="S4" s="46"/>
      <c r="T4" s="46"/>
      <c r="U4" s="46"/>
      <c r="V4" s="46"/>
      <c r="W4" s="46"/>
      <c r="X4" s="46"/>
      <c r="Y4" s="46"/>
      <c r="Z4" s="46"/>
      <c r="AA4" s="46"/>
      <c r="AB4" s="46"/>
      <c r="AC4" s="46"/>
    </row>
    <row r="5" spans="1:29" ht="15" x14ac:dyDescent="0.4">
      <c r="A5" s="432" t="s">
        <v>998</v>
      </c>
      <c r="B5" s="432"/>
      <c r="C5" s="432"/>
      <c r="D5" s="432"/>
      <c r="E5" s="432"/>
      <c r="F5" s="432"/>
      <c r="G5" s="432"/>
      <c r="H5" s="432"/>
      <c r="I5" s="46"/>
      <c r="J5" s="46"/>
      <c r="K5" s="46"/>
      <c r="L5" s="46"/>
      <c r="M5" s="46"/>
      <c r="N5" s="46"/>
      <c r="O5" s="46"/>
      <c r="P5" s="46"/>
      <c r="Q5" s="46"/>
      <c r="R5" s="46"/>
      <c r="S5" s="46"/>
      <c r="T5" s="46"/>
      <c r="U5" s="46"/>
      <c r="V5" s="46"/>
      <c r="W5" s="46"/>
      <c r="X5" s="46"/>
      <c r="Y5" s="46"/>
      <c r="Z5" s="46"/>
      <c r="AA5" s="46"/>
      <c r="AB5" s="46"/>
      <c r="AC5" s="46"/>
    </row>
    <row r="6" spans="1:29" ht="13.15" x14ac:dyDescent="0.4">
      <c r="A6" s="430" t="s">
        <v>999</v>
      </c>
      <c r="B6" s="430"/>
      <c r="C6" s="430"/>
      <c r="D6" s="430"/>
      <c r="E6" s="430"/>
      <c r="F6" s="430"/>
      <c r="G6" s="430"/>
      <c r="H6" s="430"/>
      <c r="I6" s="46"/>
      <c r="J6" s="46"/>
      <c r="K6" s="46"/>
      <c r="L6" s="46"/>
      <c r="M6" s="46"/>
      <c r="N6" s="46"/>
      <c r="O6" s="46"/>
      <c r="P6" s="46"/>
      <c r="Q6" s="46"/>
      <c r="R6" s="46"/>
      <c r="S6" s="46"/>
      <c r="T6" s="46"/>
      <c r="U6" s="46"/>
      <c r="V6" s="46"/>
      <c r="W6" s="46"/>
      <c r="X6" s="46"/>
      <c r="Y6" s="46"/>
      <c r="Z6" s="46"/>
      <c r="AA6" s="46"/>
      <c r="AB6" s="46"/>
      <c r="AC6" s="46"/>
    </row>
    <row r="7" spans="1:29" ht="13.15" x14ac:dyDescent="0.4">
      <c r="A7" s="430" t="s">
        <v>1000</v>
      </c>
      <c r="B7" s="430"/>
      <c r="C7" s="430"/>
      <c r="D7" s="430"/>
      <c r="E7" s="430"/>
      <c r="F7" s="430"/>
      <c r="G7" s="430"/>
      <c r="H7" s="430"/>
      <c r="I7" s="46"/>
      <c r="J7" s="46"/>
      <c r="K7" s="46"/>
      <c r="L7" s="46"/>
      <c r="M7" s="46"/>
      <c r="N7" s="46"/>
      <c r="O7" s="46"/>
      <c r="P7" s="46"/>
      <c r="Q7" s="46"/>
      <c r="R7" s="46"/>
      <c r="S7" s="46"/>
      <c r="T7" s="46"/>
      <c r="U7" s="46"/>
      <c r="V7" s="46"/>
      <c r="W7" s="46"/>
      <c r="X7" s="46"/>
      <c r="Y7" s="46"/>
      <c r="Z7" s="46"/>
      <c r="AA7" s="46"/>
      <c r="AB7" s="46"/>
      <c r="AC7" s="46"/>
    </row>
    <row r="8" spans="1:29" ht="11.65" x14ac:dyDescent="0.35">
      <c r="A8" s="431"/>
      <c r="B8" s="431"/>
      <c r="C8" s="431"/>
      <c r="D8" s="431"/>
      <c r="E8" s="431"/>
      <c r="F8" s="431"/>
      <c r="G8" s="431"/>
      <c r="H8" s="431"/>
      <c r="I8" s="46"/>
      <c r="J8" s="46"/>
      <c r="K8" s="46"/>
      <c r="L8" s="46"/>
      <c r="M8" s="46"/>
      <c r="N8" s="46"/>
      <c r="O8" s="46"/>
      <c r="P8" s="46"/>
      <c r="Q8" s="46"/>
      <c r="R8" s="46"/>
      <c r="S8" s="46"/>
      <c r="T8" s="46"/>
      <c r="U8" s="46"/>
      <c r="V8" s="46"/>
      <c r="W8" s="46"/>
      <c r="X8" s="46"/>
      <c r="Y8" s="46"/>
      <c r="Z8" s="46"/>
      <c r="AA8" s="46"/>
      <c r="AB8" s="46"/>
      <c r="AC8" s="46"/>
    </row>
    <row r="9" spans="1:29" ht="12.75" x14ac:dyDescent="0.35">
      <c r="A9" s="436" t="s">
        <v>1001</v>
      </c>
      <c r="B9" s="436"/>
      <c r="C9" s="436"/>
      <c r="D9" s="436"/>
      <c r="E9" s="436"/>
      <c r="F9" s="436"/>
      <c r="G9" s="436"/>
      <c r="H9" s="436"/>
      <c r="I9" s="46"/>
      <c r="J9" s="46"/>
      <c r="K9" s="46"/>
      <c r="L9" s="46"/>
      <c r="M9" s="46"/>
      <c r="N9" s="46"/>
      <c r="O9" s="46"/>
      <c r="P9" s="46"/>
      <c r="Q9" s="46"/>
      <c r="R9" s="46"/>
      <c r="S9" s="46"/>
      <c r="T9" s="46"/>
      <c r="U9" s="46"/>
      <c r="V9" s="46"/>
      <c r="W9" s="46"/>
      <c r="X9" s="46"/>
      <c r="Y9" s="46"/>
      <c r="Z9" s="46"/>
      <c r="AA9" s="46"/>
      <c r="AB9" s="46"/>
      <c r="AC9" s="46"/>
    </row>
    <row r="10" spans="1:29" ht="13.15" x14ac:dyDescent="0.4">
      <c r="A10" s="430" t="s">
        <v>1002</v>
      </c>
      <c r="B10" s="430"/>
      <c r="C10" s="430"/>
      <c r="D10" s="430"/>
      <c r="E10" s="430"/>
      <c r="F10" s="430"/>
      <c r="G10" s="430"/>
      <c r="H10" s="430"/>
      <c r="I10" s="46"/>
      <c r="J10" s="46"/>
      <c r="K10" s="46"/>
      <c r="L10" s="46"/>
      <c r="M10" s="46"/>
      <c r="N10" s="46"/>
      <c r="O10" s="46"/>
      <c r="P10" s="46"/>
      <c r="Q10" s="46"/>
      <c r="R10" s="46"/>
      <c r="S10" s="46"/>
      <c r="T10" s="46"/>
      <c r="U10" s="46"/>
      <c r="V10" s="46"/>
      <c r="W10" s="46"/>
      <c r="X10" s="46"/>
      <c r="Y10" s="46"/>
      <c r="Z10" s="46"/>
      <c r="AA10" s="46"/>
      <c r="AB10" s="46"/>
      <c r="AC10" s="46"/>
    </row>
    <row r="11" spans="1:29" ht="11.65" x14ac:dyDescent="0.35">
      <c r="A11" s="437" t="s">
        <v>1003</v>
      </c>
      <c r="B11" s="437"/>
      <c r="C11" s="437"/>
      <c r="D11" s="437"/>
      <c r="E11" s="437"/>
      <c r="F11" s="437"/>
      <c r="G11" s="437"/>
      <c r="H11" s="437"/>
      <c r="I11" s="46"/>
      <c r="J11" s="46"/>
      <c r="K11" s="46"/>
      <c r="L11" s="46"/>
      <c r="M11" s="46"/>
      <c r="N11" s="46"/>
      <c r="O11" s="46"/>
      <c r="P11" s="46"/>
      <c r="Q11" s="46"/>
      <c r="R11" s="46"/>
      <c r="S11" s="46"/>
      <c r="T11" s="46"/>
      <c r="U11" s="46"/>
      <c r="V11" s="46"/>
      <c r="W11" s="46"/>
      <c r="X11" s="46"/>
      <c r="Y11" s="46"/>
      <c r="Z11" s="46"/>
      <c r="AA11" s="46"/>
      <c r="AB11" s="46"/>
      <c r="AC11" s="46"/>
    </row>
    <row r="12" spans="1:29" ht="11.65" x14ac:dyDescent="0.35">
      <c r="A12" s="438" t="s">
        <v>1004</v>
      </c>
      <c r="B12" s="438"/>
      <c r="C12" s="438"/>
      <c r="D12" s="438"/>
      <c r="E12" s="438"/>
      <c r="F12" s="438"/>
      <c r="G12" s="438"/>
      <c r="H12" s="438"/>
      <c r="I12" s="46"/>
      <c r="J12" s="46"/>
      <c r="K12" s="46"/>
      <c r="L12" s="46"/>
      <c r="M12" s="46"/>
      <c r="N12" s="46"/>
      <c r="O12" s="46"/>
      <c r="P12" s="46"/>
      <c r="Q12" s="46"/>
      <c r="R12" s="46"/>
      <c r="S12" s="46"/>
      <c r="T12" s="46"/>
      <c r="U12" s="46"/>
      <c r="V12" s="46"/>
      <c r="W12" s="46"/>
      <c r="X12" s="46"/>
      <c r="Y12" s="46"/>
      <c r="Z12" s="46"/>
      <c r="AA12" s="46"/>
      <c r="AB12" s="46"/>
      <c r="AC12" s="46"/>
    </row>
    <row r="13" spans="1:29" ht="11.65" x14ac:dyDescent="0.35">
      <c r="A13" s="433" t="s">
        <v>1005</v>
      </c>
      <c r="B13" s="433"/>
      <c r="C13" s="433"/>
      <c r="D13" s="433"/>
      <c r="E13" s="433"/>
      <c r="F13" s="433"/>
      <c r="G13" s="433"/>
      <c r="H13" s="433"/>
      <c r="I13" s="46"/>
      <c r="J13" s="46"/>
      <c r="K13" s="46"/>
      <c r="L13" s="46"/>
      <c r="M13" s="46"/>
      <c r="N13" s="46"/>
      <c r="O13" s="46"/>
      <c r="P13" s="46"/>
      <c r="Q13" s="46"/>
      <c r="R13" s="46"/>
      <c r="S13" s="46"/>
      <c r="T13" s="46"/>
      <c r="U13" s="46"/>
      <c r="V13" s="46"/>
      <c r="W13" s="46"/>
      <c r="X13" s="46"/>
      <c r="Y13" s="46"/>
      <c r="Z13" s="46"/>
      <c r="AA13" s="46"/>
      <c r="AB13" s="46"/>
      <c r="AC13" s="46"/>
    </row>
    <row r="14" spans="1:29" ht="11.65" x14ac:dyDescent="0.35">
      <c r="A14" s="434" t="s">
        <v>1006</v>
      </c>
      <c r="B14" s="434"/>
      <c r="C14" s="434"/>
      <c r="D14" s="434"/>
      <c r="E14" s="434"/>
      <c r="F14" s="434"/>
      <c r="G14" s="434"/>
      <c r="H14" s="434"/>
      <c r="I14" s="46"/>
      <c r="J14" s="46"/>
      <c r="K14" s="46"/>
      <c r="L14" s="46"/>
      <c r="M14" s="46"/>
      <c r="N14" s="46"/>
      <c r="O14" s="46"/>
      <c r="P14" s="46"/>
      <c r="Q14" s="46"/>
      <c r="R14" s="46"/>
      <c r="S14" s="46"/>
      <c r="T14" s="46"/>
      <c r="U14" s="46"/>
      <c r="V14" s="46"/>
      <c r="W14" s="46"/>
      <c r="X14" s="46"/>
      <c r="Y14" s="46"/>
      <c r="Z14" s="46"/>
      <c r="AA14" s="46"/>
      <c r="AB14" s="46"/>
      <c r="AC14" s="46"/>
    </row>
    <row r="15" spans="1:29" ht="11.65" x14ac:dyDescent="0.35">
      <c r="A15" s="435"/>
      <c r="B15" s="435"/>
      <c r="C15" s="435"/>
      <c r="D15" s="435"/>
      <c r="E15" s="435"/>
      <c r="F15" s="435"/>
      <c r="G15" s="435"/>
      <c r="H15" s="435"/>
      <c r="I15" s="46"/>
      <c r="J15" s="46"/>
      <c r="K15" s="46"/>
      <c r="L15" s="46"/>
      <c r="M15" s="46"/>
      <c r="N15" s="46"/>
      <c r="O15" s="46"/>
      <c r="P15" s="46"/>
      <c r="Q15" s="46"/>
      <c r="R15" s="46"/>
      <c r="S15" s="46"/>
      <c r="T15" s="46"/>
      <c r="U15" s="46"/>
      <c r="V15" s="46"/>
      <c r="W15" s="46"/>
      <c r="X15" s="46"/>
      <c r="Y15" s="46"/>
      <c r="Z15" s="46"/>
      <c r="AA15" s="46"/>
      <c r="AB15" s="46"/>
      <c r="AC15" s="46"/>
    </row>
    <row r="16" spans="1:29" ht="11.65" x14ac:dyDescent="0.35">
      <c r="A16" s="45"/>
      <c r="B16" s="45"/>
      <c r="C16" s="45"/>
      <c r="D16" s="45"/>
      <c r="E16" s="45"/>
      <c r="F16" s="45"/>
      <c r="G16" s="45"/>
      <c r="H16" s="45"/>
      <c r="I16" s="44" t="s">
        <v>1007</v>
      </c>
      <c r="J16" s="43"/>
      <c r="K16" s="43"/>
      <c r="L16" s="43"/>
      <c r="M16" s="43"/>
      <c r="N16" s="43"/>
      <c r="O16" s="43"/>
      <c r="P16" s="43"/>
      <c r="Q16" s="43"/>
      <c r="R16" s="43"/>
      <c r="S16" s="43"/>
      <c r="T16" s="43"/>
      <c r="U16" s="43"/>
      <c r="V16" s="43"/>
      <c r="W16" s="43"/>
      <c r="X16" s="43"/>
      <c r="Y16" s="43"/>
      <c r="Z16" s="43"/>
      <c r="AA16" s="43"/>
      <c r="AB16" s="43"/>
      <c r="AC16" s="42"/>
    </row>
    <row r="17" spans="1:29" ht="34.9" x14ac:dyDescent="0.35">
      <c r="A17" s="41" t="s">
        <v>1008</v>
      </c>
      <c r="B17" s="41" t="s">
        <v>1009</v>
      </c>
      <c r="C17" s="40" t="s">
        <v>1010</v>
      </c>
      <c r="D17" s="40" t="s">
        <v>81</v>
      </c>
      <c r="E17" s="39" t="s">
        <v>1011</v>
      </c>
      <c r="F17" s="40" t="s">
        <v>1012</v>
      </c>
      <c r="G17" s="39" t="s">
        <v>1013</v>
      </c>
      <c r="H17" s="39" t="s">
        <v>1014</v>
      </c>
      <c r="I17" s="38" t="s">
        <v>981</v>
      </c>
      <c r="J17" s="38" t="s">
        <v>982</v>
      </c>
      <c r="K17" s="38" t="s">
        <v>983</v>
      </c>
      <c r="L17" s="38" t="s">
        <v>664</v>
      </c>
      <c r="M17" s="38" t="s">
        <v>665</v>
      </c>
      <c r="N17" s="38" t="s">
        <v>667</v>
      </c>
      <c r="O17" s="38" t="s">
        <v>670</v>
      </c>
      <c r="P17" s="38" t="s">
        <v>672</v>
      </c>
      <c r="Q17" s="38" t="s">
        <v>674</v>
      </c>
      <c r="R17" s="38" t="s">
        <v>676</v>
      </c>
      <c r="S17" s="38" t="s">
        <v>984</v>
      </c>
      <c r="T17" s="38" t="s">
        <v>985</v>
      </c>
      <c r="U17" s="38" t="s">
        <v>986</v>
      </c>
      <c r="V17" s="38" t="s">
        <v>987</v>
      </c>
      <c r="W17" s="38" t="s">
        <v>988</v>
      </c>
      <c r="X17" s="38" t="s">
        <v>989</v>
      </c>
      <c r="Y17" s="38" t="s">
        <v>990</v>
      </c>
      <c r="Z17" s="38" t="s">
        <v>991</v>
      </c>
      <c r="AA17" s="38" t="s">
        <v>992</v>
      </c>
      <c r="AB17" s="38" t="s">
        <v>993</v>
      </c>
      <c r="AC17" s="38" t="s">
        <v>994</v>
      </c>
    </row>
    <row r="18" spans="1:29" ht="11.65" x14ac:dyDescent="0.35">
      <c r="A18" s="12">
        <v>1</v>
      </c>
      <c r="B18" s="10" t="s">
        <v>1015</v>
      </c>
      <c r="C18" s="37" t="s">
        <v>1016</v>
      </c>
      <c r="D18" s="9"/>
      <c r="E18" s="9">
        <v>900</v>
      </c>
      <c r="F18" s="10" t="s">
        <v>1017</v>
      </c>
      <c r="G18" s="9">
        <v>0</v>
      </c>
      <c r="H18" s="9">
        <v>1950</v>
      </c>
      <c r="I18" s="8">
        <v>172419.83199999999</v>
      </c>
      <c r="J18" s="8">
        <v>138298.389</v>
      </c>
      <c r="K18" s="8">
        <v>133685.70199999999</v>
      </c>
      <c r="L18" s="8">
        <v>122155.285</v>
      </c>
      <c r="M18" s="8">
        <v>113206.51700000001</v>
      </c>
      <c r="N18" s="8">
        <v>97625.680999999997</v>
      </c>
      <c r="O18" s="8">
        <v>84569.559000000096</v>
      </c>
      <c r="P18" s="8">
        <v>81447.199999999997</v>
      </c>
      <c r="Q18" s="8">
        <v>73162.817999999999</v>
      </c>
      <c r="R18" s="8">
        <v>63547.845000000001</v>
      </c>
      <c r="S18" s="8">
        <v>52643.999000000003</v>
      </c>
      <c r="T18" s="8">
        <v>42559.548000000003</v>
      </c>
      <c r="U18" s="8">
        <v>34381.408000000003</v>
      </c>
      <c r="V18" s="8">
        <v>25077.246999999999</v>
      </c>
      <c r="W18" s="8">
        <v>16576.97</v>
      </c>
      <c r="X18" s="8">
        <v>9343.6820000000007</v>
      </c>
      <c r="Y18" s="8">
        <v>3876.7190000000001</v>
      </c>
      <c r="Z18" s="8">
        <v>1296.646</v>
      </c>
      <c r="AA18" s="8">
        <v>316.51</v>
      </c>
      <c r="AB18" s="8">
        <v>58.606000000000002</v>
      </c>
      <c r="AC18" s="8">
        <v>9.3930000000000007</v>
      </c>
    </row>
    <row r="19" spans="1:29" ht="11.65" x14ac:dyDescent="0.35">
      <c r="A19" s="12">
        <v>2</v>
      </c>
      <c r="B19" s="10" t="s">
        <v>1015</v>
      </c>
      <c r="C19" s="37" t="s">
        <v>1016</v>
      </c>
      <c r="D19" s="9"/>
      <c r="E19" s="9">
        <v>900</v>
      </c>
      <c r="F19" s="10" t="s">
        <v>1017</v>
      </c>
      <c r="G19" s="9">
        <v>0</v>
      </c>
      <c r="H19" s="9">
        <v>1955</v>
      </c>
      <c r="I19" s="8">
        <v>207941.39199999999</v>
      </c>
      <c r="J19" s="8">
        <v>161087.46799999999</v>
      </c>
      <c r="K19" s="8">
        <v>134816.62100000001</v>
      </c>
      <c r="L19" s="8">
        <v>130542.26700000001</v>
      </c>
      <c r="M19" s="8">
        <v>118354.001</v>
      </c>
      <c r="N19" s="8">
        <v>109514.656</v>
      </c>
      <c r="O19" s="8">
        <v>94210.615999999995</v>
      </c>
      <c r="P19" s="8">
        <v>81153.535999999993</v>
      </c>
      <c r="Q19" s="8">
        <v>77551.460999999996</v>
      </c>
      <c r="R19" s="8">
        <v>68433.11</v>
      </c>
      <c r="S19" s="8">
        <v>58721.707999999999</v>
      </c>
      <c r="T19" s="8">
        <v>46807.777000000002</v>
      </c>
      <c r="U19" s="8">
        <v>36007.392999999996</v>
      </c>
      <c r="V19" s="8">
        <v>26899.246999999999</v>
      </c>
      <c r="W19" s="8">
        <v>17544.451000000001</v>
      </c>
      <c r="X19" s="8">
        <v>9942.3320000000094</v>
      </c>
      <c r="Y19" s="8">
        <v>4466.3819999999996</v>
      </c>
      <c r="Z19" s="8">
        <v>1313.7460000000001</v>
      </c>
      <c r="AA19" s="8">
        <v>296.80099999999999</v>
      </c>
      <c r="AB19" s="8">
        <v>47.271999999999998</v>
      </c>
      <c r="AC19" s="8">
        <v>6.0619999999999896</v>
      </c>
    </row>
    <row r="20" spans="1:29" ht="11.65" x14ac:dyDescent="0.35">
      <c r="A20" s="12">
        <v>3</v>
      </c>
      <c r="B20" s="10" t="s">
        <v>1015</v>
      </c>
      <c r="C20" s="37" t="s">
        <v>1016</v>
      </c>
      <c r="D20" s="9"/>
      <c r="E20" s="9">
        <v>900</v>
      </c>
      <c r="F20" s="10" t="s">
        <v>1017</v>
      </c>
      <c r="G20" s="9">
        <v>0</v>
      </c>
      <c r="H20" s="9">
        <v>1960</v>
      </c>
      <c r="I20" s="8">
        <v>221606.23</v>
      </c>
      <c r="J20" s="8">
        <v>196202.91500000001</v>
      </c>
      <c r="K20" s="8">
        <v>158034.84599999999</v>
      </c>
      <c r="L20" s="8">
        <v>131917.18400000001</v>
      </c>
      <c r="M20" s="8">
        <v>126960.74099999999</v>
      </c>
      <c r="N20" s="8">
        <v>115443.47900000001</v>
      </c>
      <c r="O20" s="8">
        <v>106320.534</v>
      </c>
      <c r="P20" s="8">
        <v>90924.086999999898</v>
      </c>
      <c r="Q20" s="8">
        <v>77485.353000000003</v>
      </c>
      <c r="R20" s="8">
        <v>73198.497000000003</v>
      </c>
      <c r="S20" s="8">
        <v>63487.697</v>
      </c>
      <c r="T20" s="8">
        <v>52410.457000000002</v>
      </c>
      <c r="U20" s="8">
        <v>39687.949999999997</v>
      </c>
      <c r="V20" s="8">
        <v>28289.214</v>
      </c>
      <c r="W20" s="8">
        <v>18948.032999999999</v>
      </c>
      <c r="X20" s="8">
        <v>10560.571</v>
      </c>
      <c r="Y20" s="8">
        <v>4791.4930000000004</v>
      </c>
      <c r="Z20" s="8">
        <v>1558.046</v>
      </c>
      <c r="AA20" s="8">
        <v>308.46100000000001</v>
      </c>
      <c r="AB20" s="8">
        <v>45.901000000000003</v>
      </c>
      <c r="AC20" s="8">
        <v>5.0129999999999999</v>
      </c>
    </row>
    <row r="21" spans="1:29" ht="11.65" x14ac:dyDescent="0.35">
      <c r="A21" s="12">
        <v>4</v>
      </c>
      <c r="B21" s="10" t="s">
        <v>1015</v>
      </c>
      <c r="C21" s="37" t="s">
        <v>1016</v>
      </c>
      <c r="D21" s="9"/>
      <c r="E21" s="9">
        <v>900</v>
      </c>
      <c r="F21" s="10" t="s">
        <v>1017</v>
      </c>
      <c r="G21" s="9">
        <v>0</v>
      </c>
      <c r="H21" s="9">
        <v>1965</v>
      </c>
      <c r="I21" s="8">
        <v>244985.413</v>
      </c>
      <c r="J21" s="8">
        <v>210103.74299999999</v>
      </c>
      <c r="K21" s="8">
        <v>192262.07800000001</v>
      </c>
      <c r="L21" s="8">
        <v>155046.204</v>
      </c>
      <c r="M21" s="8">
        <v>128691.856</v>
      </c>
      <c r="N21" s="8">
        <v>123991.745</v>
      </c>
      <c r="O21" s="8">
        <v>112472.30100000001</v>
      </c>
      <c r="P21" s="8">
        <v>103170.762</v>
      </c>
      <c r="Q21" s="8">
        <v>87399.431000000099</v>
      </c>
      <c r="R21" s="8">
        <v>73242.922999999995</v>
      </c>
      <c r="S21" s="8">
        <v>67940.417000000001</v>
      </c>
      <c r="T21" s="8">
        <v>57212.928999999996</v>
      </c>
      <c r="U21" s="8">
        <v>44788.076999999997</v>
      </c>
      <c r="V21" s="8">
        <v>31640.648000000001</v>
      </c>
      <c r="W21" s="8">
        <v>20284.195</v>
      </c>
      <c r="X21" s="8">
        <v>11822.536</v>
      </c>
      <c r="Y21" s="8">
        <v>5344.8940000000002</v>
      </c>
      <c r="Z21" s="8">
        <v>1774.7370000000001</v>
      </c>
      <c r="AA21" s="8">
        <v>389.38299999999998</v>
      </c>
      <c r="AB21" s="8">
        <v>49.616999999999997</v>
      </c>
      <c r="AC21" s="8">
        <v>4.99</v>
      </c>
    </row>
    <row r="22" spans="1:29" ht="11.65" x14ac:dyDescent="0.35">
      <c r="A22" s="12">
        <v>5</v>
      </c>
      <c r="B22" s="10" t="s">
        <v>1015</v>
      </c>
      <c r="C22" s="37" t="s">
        <v>1016</v>
      </c>
      <c r="D22" s="9"/>
      <c r="E22" s="9">
        <v>900</v>
      </c>
      <c r="F22" s="10" t="s">
        <v>1017</v>
      </c>
      <c r="G22" s="9">
        <v>0</v>
      </c>
      <c r="H22" s="9">
        <v>1970</v>
      </c>
      <c r="I22" s="8">
        <v>267292.63199999998</v>
      </c>
      <c r="J22" s="8">
        <v>234848.03099999999</v>
      </c>
      <c r="K22" s="8">
        <v>207446.38500000001</v>
      </c>
      <c r="L22" s="8">
        <v>189471.231</v>
      </c>
      <c r="M22" s="8">
        <v>151512.51500000001</v>
      </c>
      <c r="N22" s="8">
        <v>126113.86500000001</v>
      </c>
      <c r="O22" s="8">
        <v>121400.666</v>
      </c>
      <c r="P22" s="8">
        <v>109517.045</v>
      </c>
      <c r="Q22" s="8">
        <v>100025.143</v>
      </c>
      <c r="R22" s="8">
        <v>83742.774999999994</v>
      </c>
      <c r="S22" s="8">
        <v>68800.402000000002</v>
      </c>
      <c r="T22" s="8">
        <v>62366.949000000001</v>
      </c>
      <c r="U22" s="8">
        <v>50239.082999999999</v>
      </c>
      <c r="V22" s="8">
        <v>36906.303</v>
      </c>
      <c r="W22" s="8">
        <v>23611.976999999999</v>
      </c>
      <c r="X22" s="8">
        <v>13196.023999999999</v>
      </c>
      <c r="Y22" s="8">
        <v>6288.1419999999998</v>
      </c>
      <c r="Z22" s="8">
        <v>2078.9830000000002</v>
      </c>
      <c r="AA22" s="8">
        <v>461.45499999999998</v>
      </c>
      <c r="AB22" s="8">
        <v>64.956999999999994</v>
      </c>
      <c r="AC22" s="8">
        <v>5.60299999999999</v>
      </c>
    </row>
    <row r="23" spans="1:29" ht="11.65" x14ac:dyDescent="0.35">
      <c r="A23" s="12">
        <v>6</v>
      </c>
      <c r="B23" s="10" t="s">
        <v>1015</v>
      </c>
      <c r="C23" s="37" t="s">
        <v>1016</v>
      </c>
      <c r="D23" s="9"/>
      <c r="E23" s="9">
        <v>900</v>
      </c>
      <c r="F23" s="10" t="s">
        <v>1017</v>
      </c>
      <c r="G23" s="9">
        <v>0</v>
      </c>
      <c r="H23" s="9">
        <v>1975</v>
      </c>
      <c r="I23" s="8">
        <v>278288.71299999999</v>
      </c>
      <c r="J23" s="8">
        <v>257637.91800000001</v>
      </c>
      <c r="K23" s="8">
        <v>231924.32399999999</v>
      </c>
      <c r="L23" s="8">
        <v>204456.07399999999</v>
      </c>
      <c r="M23" s="8">
        <v>186012.234</v>
      </c>
      <c r="N23" s="8">
        <v>149374.527</v>
      </c>
      <c r="O23" s="8">
        <v>124116.86599999999</v>
      </c>
      <c r="P23" s="8">
        <v>118938.51</v>
      </c>
      <c r="Q23" s="8">
        <v>106715.03200000001</v>
      </c>
      <c r="R23" s="8">
        <v>96390.099000000002</v>
      </c>
      <c r="S23" s="8">
        <v>79381.997000000003</v>
      </c>
      <c r="T23" s="8">
        <v>63469.288999999997</v>
      </c>
      <c r="U23" s="8">
        <v>55305.557000000001</v>
      </c>
      <c r="V23" s="8">
        <v>41842.055999999997</v>
      </c>
      <c r="W23" s="8">
        <v>27949.11</v>
      </c>
      <c r="X23" s="8">
        <v>15553.781999999999</v>
      </c>
      <c r="Y23" s="8">
        <v>7159.7960000000003</v>
      </c>
      <c r="Z23" s="8">
        <v>2498.625</v>
      </c>
      <c r="AA23" s="8">
        <v>563.58399999999995</v>
      </c>
      <c r="AB23" s="8">
        <v>80.412999999999997</v>
      </c>
      <c r="AC23" s="8">
        <v>7.52</v>
      </c>
    </row>
    <row r="24" spans="1:29" ht="11.65" x14ac:dyDescent="0.35">
      <c r="A24" s="12">
        <v>7</v>
      </c>
      <c r="B24" s="10" t="s">
        <v>1015</v>
      </c>
      <c r="C24" s="37" t="s">
        <v>1016</v>
      </c>
      <c r="D24" s="9"/>
      <c r="E24" s="9">
        <v>900</v>
      </c>
      <c r="F24" s="10" t="s">
        <v>1017</v>
      </c>
      <c r="G24" s="9">
        <v>0</v>
      </c>
      <c r="H24" s="9">
        <v>1980</v>
      </c>
      <c r="I24" s="8">
        <v>280163.51799999998</v>
      </c>
      <c r="J24" s="8">
        <v>269789.98100000003</v>
      </c>
      <c r="K24" s="8">
        <v>255353.33199999999</v>
      </c>
      <c r="L24" s="8">
        <v>229894.717</v>
      </c>
      <c r="M24" s="8">
        <v>201553.25599999999</v>
      </c>
      <c r="N24" s="8">
        <v>183132.095</v>
      </c>
      <c r="O24" s="8">
        <v>147062.663</v>
      </c>
      <c r="P24" s="8">
        <v>121215.194</v>
      </c>
      <c r="Q24" s="8">
        <v>115889.66800000001</v>
      </c>
      <c r="R24" s="8">
        <v>102792.349</v>
      </c>
      <c r="S24" s="8">
        <v>91593.656999999905</v>
      </c>
      <c r="T24" s="8">
        <v>73799.383000000002</v>
      </c>
      <c r="U24" s="8">
        <v>56883.231</v>
      </c>
      <c r="V24" s="8">
        <v>46983.232000000004</v>
      </c>
      <c r="W24" s="8">
        <v>32351.845000000001</v>
      </c>
      <c r="X24" s="8">
        <v>19059.998</v>
      </c>
      <c r="Y24" s="8">
        <v>8430.2630000000008</v>
      </c>
      <c r="Z24" s="8">
        <v>2917.654</v>
      </c>
      <c r="AA24" s="8">
        <v>707.053</v>
      </c>
      <c r="AB24" s="8">
        <v>105.77500000000001</v>
      </c>
      <c r="AC24" s="8">
        <v>10.163</v>
      </c>
    </row>
    <row r="25" spans="1:29" ht="11.65" x14ac:dyDescent="0.35">
      <c r="A25" s="12">
        <v>8</v>
      </c>
      <c r="B25" s="10" t="s">
        <v>1015</v>
      </c>
      <c r="C25" s="37" t="s">
        <v>1016</v>
      </c>
      <c r="D25" s="9"/>
      <c r="E25" s="9">
        <v>900</v>
      </c>
      <c r="F25" s="10" t="s">
        <v>1017</v>
      </c>
      <c r="G25" s="9">
        <v>0</v>
      </c>
      <c r="H25" s="9">
        <v>1985</v>
      </c>
      <c r="I25" s="8">
        <v>302397.424</v>
      </c>
      <c r="J25" s="8">
        <v>272585.065</v>
      </c>
      <c r="K25" s="8">
        <v>267330.55099999998</v>
      </c>
      <c r="L25" s="8">
        <v>253189.03599999999</v>
      </c>
      <c r="M25" s="8">
        <v>226725.777</v>
      </c>
      <c r="N25" s="8">
        <v>198799.82399999999</v>
      </c>
      <c r="O25" s="8">
        <v>180676.764</v>
      </c>
      <c r="P25" s="8">
        <v>144556.28700000001</v>
      </c>
      <c r="Q25" s="8">
        <v>118502.46400000001</v>
      </c>
      <c r="R25" s="8">
        <v>112019.071</v>
      </c>
      <c r="S25" s="8">
        <v>97975.978000000003</v>
      </c>
      <c r="T25" s="8">
        <v>85313.214999999997</v>
      </c>
      <c r="U25" s="8">
        <v>66376.828000000096</v>
      </c>
      <c r="V25" s="8">
        <v>48429.932999999997</v>
      </c>
      <c r="W25" s="8">
        <v>36660.637999999999</v>
      </c>
      <c r="X25" s="8">
        <v>22089.399000000001</v>
      </c>
      <c r="Y25" s="8">
        <v>10596.723</v>
      </c>
      <c r="Z25" s="8">
        <v>3491.9650000000001</v>
      </c>
      <c r="AA25" s="8">
        <v>855.32500000000005</v>
      </c>
      <c r="AB25" s="8">
        <v>138.428</v>
      </c>
      <c r="AC25" s="8">
        <v>13.907999999999999</v>
      </c>
    </row>
    <row r="26" spans="1:29" ht="11.65" x14ac:dyDescent="0.35">
      <c r="A26" s="12">
        <v>9</v>
      </c>
      <c r="B26" s="10" t="s">
        <v>1015</v>
      </c>
      <c r="C26" s="37" t="s">
        <v>1016</v>
      </c>
      <c r="D26" s="9"/>
      <c r="E26" s="9">
        <v>900</v>
      </c>
      <c r="F26" s="10" t="s">
        <v>1017</v>
      </c>
      <c r="G26" s="9">
        <v>0</v>
      </c>
      <c r="H26" s="9">
        <v>1990</v>
      </c>
      <c r="I26" s="8">
        <v>330648.52799999999</v>
      </c>
      <c r="J26" s="8">
        <v>295189.80900000001</v>
      </c>
      <c r="K26" s="8">
        <v>270566.87</v>
      </c>
      <c r="L26" s="8">
        <v>265116.75</v>
      </c>
      <c r="M26" s="8">
        <v>249684.45</v>
      </c>
      <c r="N26" s="8">
        <v>223347.76500000001</v>
      </c>
      <c r="O26" s="8">
        <v>196062.859</v>
      </c>
      <c r="P26" s="8">
        <v>177771.04</v>
      </c>
      <c r="Q26" s="8">
        <v>141551.41899999999</v>
      </c>
      <c r="R26" s="8">
        <v>114927.59600000001</v>
      </c>
      <c r="S26" s="8">
        <v>107209.549</v>
      </c>
      <c r="T26" s="8">
        <v>91899.183999999994</v>
      </c>
      <c r="U26" s="8">
        <v>77332.111999999994</v>
      </c>
      <c r="V26" s="8">
        <v>57131.010999999999</v>
      </c>
      <c r="W26" s="8">
        <v>38411.25</v>
      </c>
      <c r="X26" s="8">
        <v>25605.102999999999</v>
      </c>
      <c r="Y26" s="8">
        <v>12636.498</v>
      </c>
      <c r="Z26" s="8">
        <v>4569.482</v>
      </c>
      <c r="AA26" s="8">
        <v>1044.635</v>
      </c>
      <c r="AB26" s="8">
        <v>171.07599999999999</v>
      </c>
      <c r="AC26" s="8">
        <v>18.276</v>
      </c>
    </row>
    <row r="27" spans="1:29" ht="11.65" x14ac:dyDescent="0.35">
      <c r="A27" s="12">
        <v>10</v>
      </c>
      <c r="B27" s="10" t="s">
        <v>1015</v>
      </c>
      <c r="C27" s="37" t="s">
        <v>1016</v>
      </c>
      <c r="D27" s="9"/>
      <c r="E27" s="9">
        <v>900</v>
      </c>
      <c r="F27" s="10" t="s">
        <v>1017</v>
      </c>
      <c r="G27" s="9">
        <v>0</v>
      </c>
      <c r="H27" s="9">
        <v>1995</v>
      </c>
      <c r="I27" s="8">
        <v>319725.94799999997</v>
      </c>
      <c r="J27" s="8">
        <v>323930.88099999999</v>
      </c>
      <c r="K27" s="8">
        <v>293461.321</v>
      </c>
      <c r="L27" s="8">
        <v>267996.37400000001</v>
      </c>
      <c r="M27" s="8">
        <v>260564.967</v>
      </c>
      <c r="N27" s="8">
        <v>245657.12400000001</v>
      </c>
      <c r="O27" s="8">
        <v>220511.53099999999</v>
      </c>
      <c r="P27" s="8">
        <v>193012.09700000001</v>
      </c>
      <c r="Q27" s="8">
        <v>174145.198</v>
      </c>
      <c r="R27" s="8">
        <v>137312</v>
      </c>
      <c r="S27" s="8">
        <v>110194.689</v>
      </c>
      <c r="T27" s="8">
        <v>100513.423</v>
      </c>
      <c r="U27" s="8">
        <v>83548.772999999899</v>
      </c>
      <c r="V27" s="8">
        <v>66623.732999999993</v>
      </c>
      <c r="W27" s="8">
        <v>45521.055999999997</v>
      </c>
      <c r="X27" s="8">
        <v>27113.53</v>
      </c>
      <c r="Y27" s="8">
        <v>15019.315000000001</v>
      </c>
      <c r="Z27" s="8">
        <v>5638.482</v>
      </c>
      <c r="AA27" s="8">
        <v>1419.04</v>
      </c>
      <c r="AB27" s="8">
        <v>209.654</v>
      </c>
      <c r="AC27" s="8">
        <v>22.413</v>
      </c>
    </row>
    <row r="28" spans="1:29" ht="11.65" x14ac:dyDescent="0.35">
      <c r="A28" s="12">
        <v>11</v>
      </c>
      <c r="B28" s="10" t="s">
        <v>1015</v>
      </c>
      <c r="C28" s="37" t="s">
        <v>1016</v>
      </c>
      <c r="D28" s="9"/>
      <c r="E28" s="9">
        <v>900</v>
      </c>
      <c r="F28" s="10" t="s">
        <v>1017</v>
      </c>
      <c r="G28" s="9">
        <v>0</v>
      </c>
      <c r="H28" s="9">
        <v>2000</v>
      </c>
      <c r="I28" s="8">
        <v>318141.15700000001</v>
      </c>
      <c r="J28" s="8">
        <v>314048.83799999999</v>
      </c>
      <c r="K28" s="8">
        <v>321975.13199999998</v>
      </c>
      <c r="L28" s="8">
        <v>290819.321</v>
      </c>
      <c r="M28" s="8">
        <v>263671.43099999998</v>
      </c>
      <c r="N28" s="8">
        <v>256834.52900000001</v>
      </c>
      <c r="O28" s="8">
        <v>242158.44200000001</v>
      </c>
      <c r="P28" s="8">
        <v>216839.97099999999</v>
      </c>
      <c r="Q28" s="8">
        <v>188815.633</v>
      </c>
      <c r="R28" s="8">
        <v>169181.71</v>
      </c>
      <c r="S28" s="8">
        <v>131806.655</v>
      </c>
      <c r="T28" s="8">
        <v>103554.54</v>
      </c>
      <c r="U28" s="8">
        <v>91650.359000000099</v>
      </c>
      <c r="V28" s="8">
        <v>72560.900999999998</v>
      </c>
      <c r="W28" s="8">
        <v>53447.25</v>
      </c>
      <c r="X28" s="8">
        <v>32632.504000000001</v>
      </c>
      <c r="Y28" s="8">
        <v>16226.04</v>
      </c>
      <c r="Z28" s="8">
        <v>6934.1729999999998</v>
      </c>
      <c r="AA28" s="8">
        <v>1813.633</v>
      </c>
      <c r="AB28" s="8">
        <v>294.37</v>
      </c>
      <c r="AC28" s="8">
        <v>27.268999999999998</v>
      </c>
    </row>
    <row r="29" spans="1:29" ht="11.65" x14ac:dyDescent="0.35">
      <c r="A29" s="12">
        <v>12</v>
      </c>
      <c r="B29" s="10" t="s">
        <v>1015</v>
      </c>
      <c r="C29" s="37" t="s">
        <v>1016</v>
      </c>
      <c r="D29" s="9"/>
      <c r="E29" s="9">
        <v>900</v>
      </c>
      <c r="F29" s="10" t="s">
        <v>1017</v>
      </c>
      <c r="G29" s="9">
        <v>0</v>
      </c>
      <c r="H29" s="9">
        <v>2005</v>
      </c>
      <c r="I29" s="8">
        <v>324553.96100000001</v>
      </c>
      <c r="J29" s="8">
        <v>313763.84700000001</v>
      </c>
      <c r="K29" s="8">
        <v>312859.57199999999</v>
      </c>
      <c r="L29" s="8">
        <v>319208.386</v>
      </c>
      <c r="M29" s="8">
        <v>286149.07299999997</v>
      </c>
      <c r="N29" s="8">
        <v>259966.511</v>
      </c>
      <c r="O29" s="8">
        <v>253567.38099999999</v>
      </c>
      <c r="P29" s="8">
        <v>238602.215</v>
      </c>
      <c r="Q29" s="8">
        <v>212536.21299999999</v>
      </c>
      <c r="R29" s="8">
        <v>183225.712</v>
      </c>
      <c r="S29" s="8">
        <v>162554.24100000001</v>
      </c>
      <c r="T29" s="8">
        <v>125073.239</v>
      </c>
      <c r="U29" s="8">
        <v>95398.94</v>
      </c>
      <c r="V29" s="8">
        <v>80279.085000000006</v>
      </c>
      <c r="W29" s="8">
        <v>59155.281000000003</v>
      </c>
      <c r="X29" s="8">
        <v>38817.843999999997</v>
      </c>
      <c r="Y29" s="8">
        <v>20193.558000000001</v>
      </c>
      <c r="Z29" s="8">
        <v>7806.0950000000003</v>
      </c>
      <c r="AA29" s="8">
        <v>2340.701</v>
      </c>
      <c r="AB29" s="8">
        <v>394.06799999999998</v>
      </c>
      <c r="AC29" s="8">
        <v>39.344000000000001</v>
      </c>
    </row>
    <row r="30" spans="1:29" ht="11.65" x14ac:dyDescent="0.35">
      <c r="A30" s="12">
        <v>13</v>
      </c>
      <c r="B30" s="10" t="s">
        <v>1015</v>
      </c>
      <c r="C30" s="37" t="s">
        <v>1016</v>
      </c>
      <c r="D30" s="9"/>
      <c r="E30" s="9">
        <v>900</v>
      </c>
      <c r="F30" s="10" t="s">
        <v>1017</v>
      </c>
      <c r="G30" s="9">
        <v>0</v>
      </c>
      <c r="H30" s="9">
        <v>2010</v>
      </c>
      <c r="I30" s="8">
        <v>337184.03399999999</v>
      </c>
      <c r="J30" s="8">
        <v>320667.69099999999</v>
      </c>
      <c r="K30" s="8">
        <v>312621.14199999999</v>
      </c>
      <c r="L30" s="8">
        <v>310242.84100000001</v>
      </c>
      <c r="M30" s="8">
        <v>314102.14299999998</v>
      </c>
      <c r="N30" s="8">
        <v>282854.201</v>
      </c>
      <c r="O30" s="8">
        <v>257046.448</v>
      </c>
      <c r="P30" s="8">
        <v>250591.601</v>
      </c>
      <c r="Q30" s="8">
        <v>234515.46599999999</v>
      </c>
      <c r="R30" s="8">
        <v>207728.927</v>
      </c>
      <c r="S30" s="8">
        <v>177091.894</v>
      </c>
      <c r="T30" s="8">
        <v>154421.82399999999</v>
      </c>
      <c r="U30" s="8">
        <v>115277.671</v>
      </c>
      <c r="V30" s="8">
        <v>84637.578999999896</v>
      </c>
      <c r="W30" s="8">
        <v>66381.085000000006</v>
      </c>
      <c r="X30" s="8">
        <v>43805.841</v>
      </c>
      <c r="Y30" s="8">
        <v>24922.938999999998</v>
      </c>
      <c r="Z30" s="8">
        <v>10217.174000000001</v>
      </c>
      <c r="AA30" s="8">
        <v>2791.8580000000002</v>
      </c>
      <c r="AB30" s="8">
        <v>544.51499999999999</v>
      </c>
      <c r="AC30" s="8">
        <v>56.761000000000003</v>
      </c>
    </row>
    <row r="31" spans="1:29" ht="11.65" x14ac:dyDescent="0.35">
      <c r="A31" s="12">
        <v>14</v>
      </c>
      <c r="B31" s="10" t="s">
        <v>1015</v>
      </c>
      <c r="C31" s="37" t="s">
        <v>1016</v>
      </c>
      <c r="D31" s="9"/>
      <c r="E31" s="9">
        <v>900</v>
      </c>
      <c r="F31" s="10" t="s">
        <v>1017</v>
      </c>
      <c r="G31" s="9">
        <v>0</v>
      </c>
      <c r="H31" s="9">
        <v>2015</v>
      </c>
      <c r="I31" s="8">
        <v>346247.21500000003</v>
      </c>
      <c r="J31" s="8">
        <v>333336.283</v>
      </c>
      <c r="K31" s="8">
        <v>318749.28600000002</v>
      </c>
      <c r="L31" s="8">
        <v>310734.25099999999</v>
      </c>
      <c r="M31" s="8">
        <v>307555.408</v>
      </c>
      <c r="N31" s="8">
        <v>311264.70299999998</v>
      </c>
      <c r="O31" s="8">
        <v>279879.84499999997</v>
      </c>
      <c r="P31" s="8">
        <v>253471.83199999999</v>
      </c>
      <c r="Q31" s="8">
        <v>246335.364</v>
      </c>
      <c r="R31" s="8">
        <v>229288.636</v>
      </c>
      <c r="S31" s="8">
        <v>201052.88399999999</v>
      </c>
      <c r="T31" s="8">
        <v>168628.83</v>
      </c>
      <c r="U31" s="8">
        <v>143439.682</v>
      </c>
      <c r="V31" s="8">
        <v>102858.628</v>
      </c>
      <c r="W31" s="8">
        <v>70994.282000000007</v>
      </c>
      <c r="X31" s="8">
        <v>50198.620999999999</v>
      </c>
      <c r="Y31" s="8">
        <v>28822.028999999999</v>
      </c>
      <c r="Z31" s="8">
        <v>13140.522000000001</v>
      </c>
      <c r="AA31" s="8">
        <v>3910.7710000000002</v>
      </c>
      <c r="AB31" s="8">
        <v>702.65200000000004</v>
      </c>
      <c r="AC31" s="8">
        <v>84.65</v>
      </c>
    </row>
    <row r="32" spans="1:29" ht="11.65" x14ac:dyDescent="0.35">
      <c r="A32" s="12">
        <v>15</v>
      </c>
      <c r="B32" s="10" t="s">
        <v>1015</v>
      </c>
      <c r="C32" s="37" t="s">
        <v>1016</v>
      </c>
      <c r="D32" s="9"/>
      <c r="E32" s="9">
        <v>900</v>
      </c>
      <c r="F32" s="10" t="s">
        <v>1017</v>
      </c>
      <c r="G32" s="9">
        <v>0</v>
      </c>
      <c r="H32" s="9">
        <v>2020</v>
      </c>
      <c r="I32" s="8">
        <v>349432.55599999998</v>
      </c>
      <c r="J32" s="8">
        <v>342927.57699999999</v>
      </c>
      <c r="K32" s="8">
        <v>331497.48599999998</v>
      </c>
      <c r="L32" s="8">
        <v>316642.22200000001</v>
      </c>
      <c r="M32" s="8">
        <v>308286.77500000002</v>
      </c>
      <c r="N32" s="8">
        <v>306059.38699999999</v>
      </c>
      <c r="O32" s="8">
        <v>309236.984</v>
      </c>
      <c r="P32" s="8">
        <v>276447.03700000001</v>
      </c>
      <c r="Q32" s="8">
        <v>249389.68799999999</v>
      </c>
      <c r="R32" s="8">
        <v>241232.87700000001</v>
      </c>
      <c r="S32" s="8">
        <v>222609.69099999999</v>
      </c>
      <c r="T32" s="8">
        <v>192215.39499999999</v>
      </c>
      <c r="U32" s="8">
        <v>157180.26699999999</v>
      </c>
      <c r="V32" s="8">
        <v>128939.39200000001</v>
      </c>
      <c r="W32" s="8">
        <v>87185.982000000004</v>
      </c>
      <c r="X32" s="8">
        <v>54754.940999999999</v>
      </c>
      <c r="Y32" s="8">
        <v>33648.953000000001</v>
      </c>
      <c r="Z32" s="8">
        <v>15756.941999999999</v>
      </c>
      <c r="AA32" s="8">
        <v>5327.866</v>
      </c>
      <c r="AB32" s="8">
        <v>1077.7909999999999</v>
      </c>
      <c r="AC32" s="8">
        <v>124.14400000000001</v>
      </c>
    </row>
    <row r="33" spans="1:29" ht="11.65" x14ac:dyDescent="0.35">
      <c r="A33" s="35">
        <v>16</v>
      </c>
      <c r="B33" s="33" t="s">
        <v>1015</v>
      </c>
      <c r="C33" s="34" t="s">
        <v>1018</v>
      </c>
      <c r="D33" s="32" t="s">
        <v>1019</v>
      </c>
      <c r="E33" s="32">
        <v>1803</v>
      </c>
      <c r="F33" s="33" t="s">
        <v>1020</v>
      </c>
      <c r="G33" s="32">
        <v>900</v>
      </c>
      <c r="H33" s="32">
        <v>1950</v>
      </c>
      <c r="I33" s="31" t="s">
        <v>1021</v>
      </c>
      <c r="J33" s="31" t="s">
        <v>1021</v>
      </c>
      <c r="K33" s="31" t="s">
        <v>1021</v>
      </c>
      <c r="L33" s="31" t="s">
        <v>1021</v>
      </c>
      <c r="M33" s="31" t="s">
        <v>1021</v>
      </c>
      <c r="N33" s="31" t="s">
        <v>1021</v>
      </c>
      <c r="O33" s="31" t="s">
        <v>1021</v>
      </c>
      <c r="P33" s="31" t="s">
        <v>1021</v>
      </c>
      <c r="Q33" s="31" t="s">
        <v>1021</v>
      </c>
      <c r="R33" s="31" t="s">
        <v>1021</v>
      </c>
      <c r="S33" s="31" t="s">
        <v>1021</v>
      </c>
      <c r="T33" s="31" t="s">
        <v>1021</v>
      </c>
      <c r="U33" s="31" t="s">
        <v>1021</v>
      </c>
      <c r="V33" s="31" t="s">
        <v>1021</v>
      </c>
      <c r="W33" s="31" t="s">
        <v>1021</v>
      </c>
      <c r="X33" s="31" t="s">
        <v>1021</v>
      </c>
      <c r="Y33" s="31" t="s">
        <v>1021</v>
      </c>
      <c r="Z33" s="31" t="s">
        <v>1021</v>
      </c>
      <c r="AA33" s="31" t="s">
        <v>1021</v>
      </c>
      <c r="AB33" s="31" t="s">
        <v>1021</v>
      </c>
      <c r="AC33" s="31" t="s">
        <v>1021</v>
      </c>
    </row>
    <row r="34" spans="1:29" ht="11.65" x14ac:dyDescent="0.35">
      <c r="A34" s="35">
        <v>17</v>
      </c>
      <c r="B34" s="33" t="s">
        <v>1015</v>
      </c>
      <c r="C34" s="34" t="s">
        <v>1018</v>
      </c>
      <c r="D34" s="32" t="s">
        <v>1019</v>
      </c>
      <c r="E34" s="32">
        <v>1803</v>
      </c>
      <c r="F34" s="33" t="s">
        <v>1020</v>
      </c>
      <c r="G34" s="32">
        <v>900</v>
      </c>
      <c r="H34" s="32">
        <v>1955</v>
      </c>
      <c r="I34" s="31" t="s">
        <v>1021</v>
      </c>
      <c r="J34" s="31" t="s">
        <v>1021</v>
      </c>
      <c r="K34" s="31" t="s">
        <v>1021</v>
      </c>
      <c r="L34" s="31" t="s">
        <v>1021</v>
      </c>
      <c r="M34" s="31" t="s">
        <v>1021</v>
      </c>
      <c r="N34" s="31" t="s">
        <v>1021</v>
      </c>
      <c r="O34" s="31" t="s">
        <v>1021</v>
      </c>
      <c r="P34" s="31" t="s">
        <v>1021</v>
      </c>
      <c r="Q34" s="31" t="s">
        <v>1021</v>
      </c>
      <c r="R34" s="31" t="s">
        <v>1021</v>
      </c>
      <c r="S34" s="31" t="s">
        <v>1021</v>
      </c>
      <c r="T34" s="31" t="s">
        <v>1021</v>
      </c>
      <c r="U34" s="31" t="s">
        <v>1021</v>
      </c>
      <c r="V34" s="31" t="s">
        <v>1021</v>
      </c>
      <c r="W34" s="31" t="s">
        <v>1021</v>
      </c>
      <c r="X34" s="31" t="s">
        <v>1021</v>
      </c>
      <c r="Y34" s="31" t="s">
        <v>1021</v>
      </c>
      <c r="Z34" s="31" t="s">
        <v>1021</v>
      </c>
      <c r="AA34" s="31" t="s">
        <v>1021</v>
      </c>
      <c r="AB34" s="31" t="s">
        <v>1021</v>
      </c>
      <c r="AC34" s="31" t="s">
        <v>1021</v>
      </c>
    </row>
    <row r="35" spans="1:29" ht="11.65" x14ac:dyDescent="0.35">
      <c r="A35" s="35">
        <v>18</v>
      </c>
      <c r="B35" s="33" t="s">
        <v>1015</v>
      </c>
      <c r="C35" s="34" t="s">
        <v>1018</v>
      </c>
      <c r="D35" s="32" t="s">
        <v>1019</v>
      </c>
      <c r="E35" s="32">
        <v>1803</v>
      </c>
      <c r="F35" s="33" t="s">
        <v>1020</v>
      </c>
      <c r="G35" s="32">
        <v>900</v>
      </c>
      <c r="H35" s="32">
        <v>1960</v>
      </c>
      <c r="I35" s="31" t="s">
        <v>1021</v>
      </c>
      <c r="J35" s="31" t="s">
        <v>1021</v>
      </c>
      <c r="K35" s="31" t="s">
        <v>1021</v>
      </c>
      <c r="L35" s="31" t="s">
        <v>1021</v>
      </c>
      <c r="M35" s="31" t="s">
        <v>1021</v>
      </c>
      <c r="N35" s="31" t="s">
        <v>1021</v>
      </c>
      <c r="O35" s="31" t="s">
        <v>1021</v>
      </c>
      <c r="P35" s="31" t="s">
        <v>1021</v>
      </c>
      <c r="Q35" s="31" t="s">
        <v>1021</v>
      </c>
      <c r="R35" s="31" t="s">
        <v>1021</v>
      </c>
      <c r="S35" s="31" t="s">
        <v>1021</v>
      </c>
      <c r="T35" s="31" t="s">
        <v>1021</v>
      </c>
      <c r="U35" s="31" t="s">
        <v>1021</v>
      </c>
      <c r="V35" s="31" t="s">
        <v>1021</v>
      </c>
      <c r="W35" s="31" t="s">
        <v>1021</v>
      </c>
      <c r="X35" s="31" t="s">
        <v>1021</v>
      </c>
      <c r="Y35" s="31" t="s">
        <v>1021</v>
      </c>
      <c r="Z35" s="31" t="s">
        <v>1021</v>
      </c>
      <c r="AA35" s="31" t="s">
        <v>1021</v>
      </c>
      <c r="AB35" s="31" t="s">
        <v>1021</v>
      </c>
      <c r="AC35" s="31" t="s">
        <v>1021</v>
      </c>
    </row>
    <row r="36" spans="1:29" ht="11.65" x14ac:dyDescent="0.35">
      <c r="A36" s="35">
        <v>19</v>
      </c>
      <c r="B36" s="33" t="s">
        <v>1015</v>
      </c>
      <c r="C36" s="34" t="s">
        <v>1018</v>
      </c>
      <c r="D36" s="32" t="s">
        <v>1019</v>
      </c>
      <c r="E36" s="32">
        <v>1803</v>
      </c>
      <c r="F36" s="33" t="s">
        <v>1020</v>
      </c>
      <c r="G36" s="32">
        <v>900</v>
      </c>
      <c r="H36" s="32">
        <v>1965</v>
      </c>
      <c r="I36" s="31" t="s">
        <v>1021</v>
      </c>
      <c r="J36" s="31" t="s">
        <v>1021</v>
      </c>
      <c r="K36" s="31" t="s">
        <v>1021</v>
      </c>
      <c r="L36" s="31" t="s">
        <v>1021</v>
      </c>
      <c r="M36" s="31" t="s">
        <v>1021</v>
      </c>
      <c r="N36" s="31" t="s">
        <v>1021</v>
      </c>
      <c r="O36" s="31" t="s">
        <v>1021</v>
      </c>
      <c r="P36" s="31" t="s">
        <v>1021</v>
      </c>
      <c r="Q36" s="31" t="s">
        <v>1021</v>
      </c>
      <c r="R36" s="31" t="s">
        <v>1021</v>
      </c>
      <c r="S36" s="31" t="s">
        <v>1021</v>
      </c>
      <c r="T36" s="31" t="s">
        <v>1021</v>
      </c>
      <c r="U36" s="31" t="s">
        <v>1021</v>
      </c>
      <c r="V36" s="31" t="s">
        <v>1021</v>
      </c>
      <c r="W36" s="31" t="s">
        <v>1021</v>
      </c>
      <c r="X36" s="31" t="s">
        <v>1021</v>
      </c>
      <c r="Y36" s="31" t="s">
        <v>1021</v>
      </c>
      <c r="Z36" s="31" t="s">
        <v>1021</v>
      </c>
      <c r="AA36" s="31" t="s">
        <v>1021</v>
      </c>
      <c r="AB36" s="31" t="s">
        <v>1021</v>
      </c>
      <c r="AC36" s="31" t="s">
        <v>1021</v>
      </c>
    </row>
    <row r="37" spans="1:29" ht="11.65" x14ac:dyDescent="0.35">
      <c r="A37" s="35">
        <v>20</v>
      </c>
      <c r="B37" s="33" t="s">
        <v>1015</v>
      </c>
      <c r="C37" s="34" t="s">
        <v>1018</v>
      </c>
      <c r="D37" s="32" t="s">
        <v>1019</v>
      </c>
      <c r="E37" s="32">
        <v>1803</v>
      </c>
      <c r="F37" s="33" t="s">
        <v>1020</v>
      </c>
      <c r="G37" s="32">
        <v>900</v>
      </c>
      <c r="H37" s="32">
        <v>1970</v>
      </c>
      <c r="I37" s="31" t="s">
        <v>1021</v>
      </c>
      <c r="J37" s="31" t="s">
        <v>1021</v>
      </c>
      <c r="K37" s="31" t="s">
        <v>1021</v>
      </c>
      <c r="L37" s="31" t="s">
        <v>1021</v>
      </c>
      <c r="M37" s="31" t="s">
        <v>1021</v>
      </c>
      <c r="N37" s="31" t="s">
        <v>1021</v>
      </c>
      <c r="O37" s="31" t="s">
        <v>1021</v>
      </c>
      <c r="P37" s="31" t="s">
        <v>1021</v>
      </c>
      <c r="Q37" s="31" t="s">
        <v>1021</v>
      </c>
      <c r="R37" s="31" t="s">
        <v>1021</v>
      </c>
      <c r="S37" s="31" t="s">
        <v>1021</v>
      </c>
      <c r="T37" s="31" t="s">
        <v>1021</v>
      </c>
      <c r="U37" s="31" t="s">
        <v>1021</v>
      </c>
      <c r="V37" s="31" t="s">
        <v>1021</v>
      </c>
      <c r="W37" s="31" t="s">
        <v>1021</v>
      </c>
      <c r="X37" s="31" t="s">
        <v>1021</v>
      </c>
      <c r="Y37" s="31" t="s">
        <v>1021</v>
      </c>
      <c r="Z37" s="31" t="s">
        <v>1021</v>
      </c>
      <c r="AA37" s="31" t="s">
        <v>1021</v>
      </c>
      <c r="AB37" s="31" t="s">
        <v>1021</v>
      </c>
      <c r="AC37" s="31" t="s">
        <v>1021</v>
      </c>
    </row>
    <row r="38" spans="1:29" ht="11.65" x14ac:dyDescent="0.35">
      <c r="A38" s="35">
        <v>21</v>
      </c>
      <c r="B38" s="33" t="s">
        <v>1015</v>
      </c>
      <c r="C38" s="34" t="s">
        <v>1018</v>
      </c>
      <c r="D38" s="32" t="s">
        <v>1019</v>
      </c>
      <c r="E38" s="32">
        <v>1803</v>
      </c>
      <c r="F38" s="33" t="s">
        <v>1020</v>
      </c>
      <c r="G38" s="32">
        <v>900</v>
      </c>
      <c r="H38" s="32">
        <v>1975</v>
      </c>
      <c r="I38" s="31" t="s">
        <v>1021</v>
      </c>
      <c r="J38" s="31" t="s">
        <v>1021</v>
      </c>
      <c r="K38" s="31" t="s">
        <v>1021</v>
      </c>
      <c r="L38" s="31" t="s">
        <v>1021</v>
      </c>
      <c r="M38" s="31" t="s">
        <v>1021</v>
      </c>
      <c r="N38" s="31" t="s">
        <v>1021</v>
      </c>
      <c r="O38" s="31" t="s">
        <v>1021</v>
      </c>
      <c r="P38" s="31" t="s">
        <v>1021</v>
      </c>
      <c r="Q38" s="31" t="s">
        <v>1021</v>
      </c>
      <c r="R38" s="31" t="s">
        <v>1021</v>
      </c>
      <c r="S38" s="31" t="s">
        <v>1021</v>
      </c>
      <c r="T38" s="31" t="s">
        <v>1021</v>
      </c>
      <c r="U38" s="31" t="s">
        <v>1021</v>
      </c>
      <c r="V38" s="31" t="s">
        <v>1021</v>
      </c>
      <c r="W38" s="31" t="s">
        <v>1021</v>
      </c>
      <c r="X38" s="31" t="s">
        <v>1021</v>
      </c>
      <c r="Y38" s="31" t="s">
        <v>1021</v>
      </c>
      <c r="Z38" s="31" t="s">
        <v>1021</v>
      </c>
      <c r="AA38" s="31" t="s">
        <v>1021</v>
      </c>
      <c r="AB38" s="31" t="s">
        <v>1021</v>
      </c>
      <c r="AC38" s="31" t="s">
        <v>1021</v>
      </c>
    </row>
    <row r="39" spans="1:29" ht="11.65" x14ac:dyDescent="0.35">
      <c r="A39" s="35">
        <v>22</v>
      </c>
      <c r="B39" s="33" t="s">
        <v>1015</v>
      </c>
      <c r="C39" s="34" t="s">
        <v>1018</v>
      </c>
      <c r="D39" s="32" t="s">
        <v>1019</v>
      </c>
      <c r="E39" s="32">
        <v>1803</v>
      </c>
      <c r="F39" s="33" t="s">
        <v>1020</v>
      </c>
      <c r="G39" s="32">
        <v>900</v>
      </c>
      <c r="H39" s="32">
        <v>1980</v>
      </c>
      <c r="I39" s="31" t="s">
        <v>1021</v>
      </c>
      <c r="J39" s="31" t="s">
        <v>1021</v>
      </c>
      <c r="K39" s="31" t="s">
        <v>1021</v>
      </c>
      <c r="L39" s="31" t="s">
        <v>1021</v>
      </c>
      <c r="M39" s="31" t="s">
        <v>1021</v>
      </c>
      <c r="N39" s="31" t="s">
        <v>1021</v>
      </c>
      <c r="O39" s="31" t="s">
        <v>1021</v>
      </c>
      <c r="P39" s="31" t="s">
        <v>1021</v>
      </c>
      <c r="Q39" s="31" t="s">
        <v>1021</v>
      </c>
      <c r="R39" s="31" t="s">
        <v>1021</v>
      </c>
      <c r="S39" s="31" t="s">
        <v>1021</v>
      </c>
      <c r="T39" s="31" t="s">
        <v>1021</v>
      </c>
      <c r="U39" s="31" t="s">
        <v>1021</v>
      </c>
      <c r="V39" s="31" t="s">
        <v>1021</v>
      </c>
      <c r="W39" s="31" t="s">
        <v>1021</v>
      </c>
      <c r="X39" s="31" t="s">
        <v>1021</v>
      </c>
      <c r="Y39" s="31" t="s">
        <v>1021</v>
      </c>
      <c r="Z39" s="31" t="s">
        <v>1021</v>
      </c>
      <c r="AA39" s="31" t="s">
        <v>1021</v>
      </c>
      <c r="AB39" s="31" t="s">
        <v>1021</v>
      </c>
      <c r="AC39" s="31" t="s">
        <v>1021</v>
      </c>
    </row>
    <row r="40" spans="1:29" ht="11.65" x14ac:dyDescent="0.35">
      <c r="A40" s="35">
        <v>23</v>
      </c>
      <c r="B40" s="33" t="s">
        <v>1015</v>
      </c>
      <c r="C40" s="34" t="s">
        <v>1018</v>
      </c>
      <c r="D40" s="32" t="s">
        <v>1019</v>
      </c>
      <c r="E40" s="32">
        <v>1803</v>
      </c>
      <c r="F40" s="33" t="s">
        <v>1020</v>
      </c>
      <c r="G40" s="32">
        <v>900</v>
      </c>
      <c r="H40" s="32">
        <v>1985</v>
      </c>
      <c r="I40" s="31" t="s">
        <v>1021</v>
      </c>
      <c r="J40" s="31" t="s">
        <v>1021</v>
      </c>
      <c r="K40" s="31" t="s">
        <v>1021</v>
      </c>
      <c r="L40" s="31" t="s">
        <v>1021</v>
      </c>
      <c r="M40" s="31" t="s">
        <v>1021</v>
      </c>
      <c r="N40" s="31" t="s">
        <v>1021</v>
      </c>
      <c r="O40" s="31" t="s">
        <v>1021</v>
      </c>
      <c r="P40" s="31" t="s">
        <v>1021</v>
      </c>
      <c r="Q40" s="31" t="s">
        <v>1021</v>
      </c>
      <c r="R40" s="31" t="s">
        <v>1021</v>
      </c>
      <c r="S40" s="31" t="s">
        <v>1021</v>
      </c>
      <c r="T40" s="31" t="s">
        <v>1021</v>
      </c>
      <c r="U40" s="31" t="s">
        <v>1021</v>
      </c>
      <c r="V40" s="31" t="s">
        <v>1021</v>
      </c>
      <c r="W40" s="31" t="s">
        <v>1021</v>
      </c>
      <c r="X40" s="31" t="s">
        <v>1021</v>
      </c>
      <c r="Y40" s="31" t="s">
        <v>1021</v>
      </c>
      <c r="Z40" s="31" t="s">
        <v>1021</v>
      </c>
      <c r="AA40" s="31" t="s">
        <v>1021</v>
      </c>
      <c r="AB40" s="31" t="s">
        <v>1021</v>
      </c>
      <c r="AC40" s="31" t="s">
        <v>1021</v>
      </c>
    </row>
    <row r="41" spans="1:29" ht="11.65" x14ac:dyDescent="0.35">
      <c r="A41" s="35">
        <v>24</v>
      </c>
      <c r="B41" s="33" t="s">
        <v>1015</v>
      </c>
      <c r="C41" s="34" t="s">
        <v>1018</v>
      </c>
      <c r="D41" s="32" t="s">
        <v>1019</v>
      </c>
      <c r="E41" s="32">
        <v>1803</v>
      </c>
      <c r="F41" s="33" t="s">
        <v>1020</v>
      </c>
      <c r="G41" s="32">
        <v>900</v>
      </c>
      <c r="H41" s="32">
        <v>1990</v>
      </c>
      <c r="I41" s="31" t="s">
        <v>1021</v>
      </c>
      <c r="J41" s="31" t="s">
        <v>1021</v>
      </c>
      <c r="K41" s="31" t="s">
        <v>1021</v>
      </c>
      <c r="L41" s="31" t="s">
        <v>1021</v>
      </c>
      <c r="M41" s="31" t="s">
        <v>1021</v>
      </c>
      <c r="N41" s="31" t="s">
        <v>1021</v>
      </c>
      <c r="O41" s="31" t="s">
        <v>1021</v>
      </c>
      <c r="P41" s="31" t="s">
        <v>1021</v>
      </c>
      <c r="Q41" s="31" t="s">
        <v>1021</v>
      </c>
      <c r="R41" s="31" t="s">
        <v>1021</v>
      </c>
      <c r="S41" s="31" t="s">
        <v>1021</v>
      </c>
      <c r="T41" s="31" t="s">
        <v>1021</v>
      </c>
      <c r="U41" s="31" t="s">
        <v>1021</v>
      </c>
      <c r="V41" s="31" t="s">
        <v>1021</v>
      </c>
      <c r="W41" s="31" t="s">
        <v>1021</v>
      </c>
      <c r="X41" s="31" t="s">
        <v>1021</v>
      </c>
      <c r="Y41" s="31" t="s">
        <v>1021</v>
      </c>
      <c r="Z41" s="31" t="s">
        <v>1021</v>
      </c>
      <c r="AA41" s="31" t="s">
        <v>1021</v>
      </c>
      <c r="AB41" s="31" t="s">
        <v>1021</v>
      </c>
      <c r="AC41" s="31" t="s">
        <v>1021</v>
      </c>
    </row>
    <row r="42" spans="1:29" ht="11.65" x14ac:dyDescent="0.35">
      <c r="A42" s="35">
        <v>25</v>
      </c>
      <c r="B42" s="33" t="s">
        <v>1015</v>
      </c>
      <c r="C42" s="34" t="s">
        <v>1018</v>
      </c>
      <c r="D42" s="32" t="s">
        <v>1019</v>
      </c>
      <c r="E42" s="32">
        <v>1803</v>
      </c>
      <c r="F42" s="33" t="s">
        <v>1020</v>
      </c>
      <c r="G42" s="32">
        <v>900</v>
      </c>
      <c r="H42" s="32">
        <v>1995</v>
      </c>
      <c r="I42" s="31" t="s">
        <v>1021</v>
      </c>
      <c r="J42" s="31" t="s">
        <v>1021</v>
      </c>
      <c r="K42" s="31" t="s">
        <v>1021</v>
      </c>
      <c r="L42" s="31" t="s">
        <v>1021</v>
      </c>
      <c r="M42" s="31" t="s">
        <v>1021</v>
      </c>
      <c r="N42" s="31" t="s">
        <v>1021</v>
      </c>
      <c r="O42" s="31" t="s">
        <v>1021</v>
      </c>
      <c r="P42" s="31" t="s">
        <v>1021</v>
      </c>
      <c r="Q42" s="31" t="s">
        <v>1021</v>
      </c>
      <c r="R42" s="31" t="s">
        <v>1021</v>
      </c>
      <c r="S42" s="31" t="s">
        <v>1021</v>
      </c>
      <c r="T42" s="31" t="s">
        <v>1021</v>
      </c>
      <c r="U42" s="31" t="s">
        <v>1021</v>
      </c>
      <c r="V42" s="31" t="s">
        <v>1021</v>
      </c>
      <c r="W42" s="31" t="s">
        <v>1021</v>
      </c>
      <c r="X42" s="31" t="s">
        <v>1021</v>
      </c>
      <c r="Y42" s="31" t="s">
        <v>1021</v>
      </c>
      <c r="Z42" s="31" t="s">
        <v>1021</v>
      </c>
      <c r="AA42" s="31" t="s">
        <v>1021</v>
      </c>
      <c r="AB42" s="31" t="s">
        <v>1021</v>
      </c>
      <c r="AC42" s="31" t="s">
        <v>1021</v>
      </c>
    </row>
    <row r="43" spans="1:29" ht="11.65" x14ac:dyDescent="0.35">
      <c r="A43" s="35">
        <v>26</v>
      </c>
      <c r="B43" s="33" t="s">
        <v>1015</v>
      </c>
      <c r="C43" s="34" t="s">
        <v>1018</v>
      </c>
      <c r="D43" s="32" t="s">
        <v>1019</v>
      </c>
      <c r="E43" s="32">
        <v>1803</v>
      </c>
      <c r="F43" s="33" t="s">
        <v>1020</v>
      </c>
      <c r="G43" s="32">
        <v>900</v>
      </c>
      <c r="H43" s="32">
        <v>2000</v>
      </c>
      <c r="I43" s="31" t="s">
        <v>1021</v>
      </c>
      <c r="J43" s="31" t="s">
        <v>1021</v>
      </c>
      <c r="K43" s="31" t="s">
        <v>1021</v>
      </c>
      <c r="L43" s="31" t="s">
        <v>1021</v>
      </c>
      <c r="M43" s="31" t="s">
        <v>1021</v>
      </c>
      <c r="N43" s="31" t="s">
        <v>1021</v>
      </c>
      <c r="O43" s="31" t="s">
        <v>1021</v>
      </c>
      <c r="P43" s="31" t="s">
        <v>1021</v>
      </c>
      <c r="Q43" s="31" t="s">
        <v>1021</v>
      </c>
      <c r="R43" s="31" t="s">
        <v>1021</v>
      </c>
      <c r="S43" s="31" t="s">
        <v>1021</v>
      </c>
      <c r="T43" s="31" t="s">
        <v>1021</v>
      </c>
      <c r="U43" s="31" t="s">
        <v>1021</v>
      </c>
      <c r="V43" s="31" t="s">
        <v>1021</v>
      </c>
      <c r="W43" s="31" t="s">
        <v>1021</v>
      </c>
      <c r="X43" s="31" t="s">
        <v>1021</v>
      </c>
      <c r="Y43" s="31" t="s">
        <v>1021</v>
      </c>
      <c r="Z43" s="31" t="s">
        <v>1021</v>
      </c>
      <c r="AA43" s="31" t="s">
        <v>1021</v>
      </c>
      <c r="AB43" s="31" t="s">
        <v>1021</v>
      </c>
      <c r="AC43" s="31" t="s">
        <v>1021</v>
      </c>
    </row>
    <row r="44" spans="1:29" ht="11.65" x14ac:dyDescent="0.35">
      <c r="A44" s="35">
        <v>27</v>
      </c>
      <c r="B44" s="33" t="s">
        <v>1015</v>
      </c>
      <c r="C44" s="34" t="s">
        <v>1018</v>
      </c>
      <c r="D44" s="32" t="s">
        <v>1019</v>
      </c>
      <c r="E44" s="32">
        <v>1803</v>
      </c>
      <c r="F44" s="33" t="s">
        <v>1020</v>
      </c>
      <c r="G44" s="32">
        <v>900</v>
      </c>
      <c r="H44" s="32">
        <v>2005</v>
      </c>
      <c r="I44" s="31" t="s">
        <v>1021</v>
      </c>
      <c r="J44" s="31" t="s">
        <v>1021</v>
      </c>
      <c r="K44" s="31" t="s">
        <v>1021</v>
      </c>
      <c r="L44" s="31" t="s">
        <v>1021</v>
      </c>
      <c r="M44" s="31" t="s">
        <v>1021</v>
      </c>
      <c r="N44" s="31" t="s">
        <v>1021</v>
      </c>
      <c r="O44" s="31" t="s">
        <v>1021</v>
      </c>
      <c r="P44" s="31" t="s">
        <v>1021</v>
      </c>
      <c r="Q44" s="31" t="s">
        <v>1021</v>
      </c>
      <c r="R44" s="31" t="s">
        <v>1021</v>
      </c>
      <c r="S44" s="31" t="s">
        <v>1021</v>
      </c>
      <c r="T44" s="31" t="s">
        <v>1021</v>
      </c>
      <c r="U44" s="31" t="s">
        <v>1021</v>
      </c>
      <c r="V44" s="31" t="s">
        <v>1021</v>
      </c>
      <c r="W44" s="31" t="s">
        <v>1021</v>
      </c>
      <c r="X44" s="31" t="s">
        <v>1021</v>
      </c>
      <c r="Y44" s="31" t="s">
        <v>1021</v>
      </c>
      <c r="Z44" s="31" t="s">
        <v>1021</v>
      </c>
      <c r="AA44" s="31" t="s">
        <v>1021</v>
      </c>
      <c r="AB44" s="31" t="s">
        <v>1021</v>
      </c>
      <c r="AC44" s="31" t="s">
        <v>1021</v>
      </c>
    </row>
    <row r="45" spans="1:29" ht="11.65" x14ac:dyDescent="0.35">
      <c r="A45" s="35">
        <v>28</v>
      </c>
      <c r="B45" s="33" t="s">
        <v>1015</v>
      </c>
      <c r="C45" s="34" t="s">
        <v>1018</v>
      </c>
      <c r="D45" s="32" t="s">
        <v>1019</v>
      </c>
      <c r="E45" s="32">
        <v>1803</v>
      </c>
      <c r="F45" s="33" t="s">
        <v>1020</v>
      </c>
      <c r="G45" s="32">
        <v>900</v>
      </c>
      <c r="H45" s="32">
        <v>2010</v>
      </c>
      <c r="I45" s="31" t="s">
        <v>1021</v>
      </c>
      <c r="J45" s="31" t="s">
        <v>1021</v>
      </c>
      <c r="K45" s="31" t="s">
        <v>1021</v>
      </c>
      <c r="L45" s="31" t="s">
        <v>1021</v>
      </c>
      <c r="M45" s="31" t="s">
        <v>1021</v>
      </c>
      <c r="N45" s="31" t="s">
        <v>1021</v>
      </c>
      <c r="O45" s="31" t="s">
        <v>1021</v>
      </c>
      <c r="P45" s="31" t="s">
        <v>1021</v>
      </c>
      <c r="Q45" s="31" t="s">
        <v>1021</v>
      </c>
      <c r="R45" s="31" t="s">
        <v>1021</v>
      </c>
      <c r="S45" s="31" t="s">
        <v>1021</v>
      </c>
      <c r="T45" s="31" t="s">
        <v>1021</v>
      </c>
      <c r="U45" s="31" t="s">
        <v>1021</v>
      </c>
      <c r="V45" s="31" t="s">
        <v>1021</v>
      </c>
      <c r="W45" s="31" t="s">
        <v>1021</v>
      </c>
      <c r="X45" s="31" t="s">
        <v>1021</v>
      </c>
      <c r="Y45" s="31" t="s">
        <v>1021</v>
      </c>
      <c r="Z45" s="31" t="s">
        <v>1021</v>
      </c>
      <c r="AA45" s="31" t="s">
        <v>1021</v>
      </c>
      <c r="AB45" s="31" t="s">
        <v>1021</v>
      </c>
      <c r="AC45" s="31" t="s">
        <v>1021</v>
      </c>
    </row>
    <row r="46" spans="1:29" ht="11.65" x14ac:dyDescent="0.35">
      <c r="A46" s="35">
        <v>29</v>
      </c>
      <c r="B46" s="33" t="s">
        <v>1015</v>
      </c>
      <c r="C46" s="34" t="s">
        <v>1018</v>
      </c>
      <c r="D46" s="32" t="s">
        <v>1019</v>
      </c>
      <c r="E46" s="32">
        <v>1803</v>
      </c>
      <c r="F46" s="33" t="s">
        <v>1020</v>
      </c>
      <c r="G46" s="32">
        <v>900</v>
      </c>
      <c r="H46" s="32">
        <v>2015</v>
      </c>
      <c r="I46" s="31" t="s">
        <v>1021</v>
      </c>
      <c r="J46" s="31" t="s">
        <v>1021</v>
      </c>
      <c r="K46" s="31" t="s">
        <v>1021</v>
      </c>
      <c r="L46" s="31" t="s">
        <v>1021</v>
      </c>
      <c r="M46" s="31" t="s">
        <v>1021</v>
      </c>
      <c r="N46" s="31" t="s">
        <v>1021</v>
      </c>
      <c r="O46" s="31" t="s">
        <v>1021</v>
      </c>
      <c r="P46" s="31" t="s">
        <v>1021</v>
      </c>
      <c r="Q46" s="31" t="s">
        <v>1021</v>
      </c>
      <c r="R46" s="31" t="s">
        <v>1021</v>
      </c>
      <c r="S46" s="31" t="s">
        <v>1021</v>
      </c>
      <c r="T46" s="31" t="s">
        <v>1021</v>
      </c>
      <c r="U46" s="31" t="s">
        <v>1021</v>
      </c>
      <c r="V46" s="31" t="s">
        <v>1021</v>
      </c>
      <c r="W46" s="31" t="s">
        <v>1021</v>
      </c>
      <c r="X46" s="31" t="s">
        <v>1021</v>
      </c>
      <c r="Y46" s="31" t="s">
        <v>1021</v>
      </c>
      <c r="Z46" s="31" t="s">
        <v>1021</v>
      </c>
      <c r="AA46" s="31" t="s">
        <v>1021</v>
      </c>
      <c r="AB46" s="31" t="s">
        <v>1021</v>
      </c>
      <c r="AC46" s="31" t="s">
        <v>1021</v>
      </c>
    </row>
    <row r="47" spans="1:29" ht="11.65" x14ac:dyDescent="0.35">
      <c r="A47" s="35">
        <v>30</v>
      </c>
      <c r="B47" s="33" t="s">
        <v>1015</v>
      </c>
      <c r="C47" s="34" t="s">
        <v>1018</v>
      </c>
      <c r="D47" s="32" t="s">
        <v>1019</v>
      </c>
      <c r="E47" s="32">
        <v>1803</v>
      </c>
      <c r="F47" s="33" t="s">
        <v>1020</v>
      </c>
      <c r="G47" s="32">
        <v>900</v>
      </c>
      <c r="H47" s="32">
        <v>2020</v>
      </c>
      <c r="I47" s="31" t="s">
        <v>1021</v>
      </c>
      <c r="J47" s="31" t="s">
        <v>1021</v>
      </c>
      <c r="K47" s="31" t="s">
        <v>1021</v>
      </c>
      <c r="L47" s="31" t="s">
        <v>1021</v>
      </c>
      <c r="M47" s="31" t="s">
        <v>1021</v>
      </c>
      <c r="N47" s="31" t="s">
        <v>1021</v>
      </c>
      <c r="O47" s="31" t="s">
        <v>1021</v>
      </c>
      <c r="P47" s="31" t="s">
        <v>1021</v>
      </c>
      <c r="Q47" s="31" t="s">
        <v>1021</v>
      </c>
      <c r="R47" s="31" t="s">
        <v>1021</v>
      </c>
      <c r="S47" s="31" t="s">
        <v>1021</v>
      </c>
      <c r="T47" s="31" t="s">
        <v>1021</v>
      </c>
      <c r="U47" s="31" t="s">
        <v>1021</v>
      </c>
      <c r="V47" s="31" t="s">
        <v>1021</v>
      </c>
      <c r="W47" s="31" t="s">
        <v>1021</v>
      </c>
      <c r="X47" s="31" t="s">
        <v>1021</v>
      </c>
      <c r="Y47" s="31" t="s">
        <v>1021</v>
      </c>
      <c r="Z47" s="31" t="s">
        <v>1021</v>
      </c>
      <c r="AA47" s="31" t="s">
        <v>1021</v>
      </c>
      <c r="AB47" s="31" t="s">
        <v>1021</v>
      </c>
      <c r="AC47" s="31" t="s">
        <v>1021</v>
      </c>
    </row>
    <row r="48" spans="1:29" ht="11.65" x14ac:dyDescent="0.35">
      <c r="A48" s="12">
        <v>31</v>
      </c>
      <c r="B48" s="10" t="s">
        <v>1015</v>
      </c>
      <c r="C48" s="36" t="s">
        <v>1022</v>
      </c>
      <c r="D48" s="9" t="s">
        <v>1023</v>
      </c>
      <c r="E48" s="9">
        <v>901</v>
      </c>
      <c r="F48" s="10" t="s">
        <v>1024</v>
      </c>
      <c r="G48" s="9">
        <v>1803</v>
      </c>
      <c r="H48" s="9">
        <v>1950</v>
      </c>
      <c r="I48" s="8">
        <v>42278.627999999997</v>
      </c>
      <c r="J48" s="8">
        <v>34213.292999999998</v>
      </c>
      <c r="K48" s="8">
        <v>36908.254999999997</v>
      </c>
      <c r="L48" s="8">
        <v>34086.150999999998</v>
      </c>
      <c r="M48" s="8">
        <v>34883.692000000003</v>
      </c>
      <c r="N48" s="8">
        <v>29805.811000000002</v>
      </c>
      <c r="O48" s="8">
        <v>23440.226999999999</v>
      </c>
      <c r="P48" s="8">
        <v>26998.878000000001</v>
      </c>
      <c r="Q48" s="8">
        <v>26201.58</v>
      </c>
      <c r="R48" s="8">
        <v>23426.897000000001</v>
      </c>
      <c r="S48" s="8">
        <v>19660.353999999999</v>
      </c>
      <c r="T48" s="8">
        <v>16169.004999999999</v>
      </c>
      <c r="U48" s="8">
        <v>13819.242</v>
      </c>
      <c r="V48" s="8">
        <v>10988.062</v>
      </c>
      <c r="W48" s="8">
        <v>7783.7359999999999</v>
      </c>
      <c r="X48" s="8">
        <v>4653.0290000000005</v>
      </c>
      <c r="Y48" s="8">
        <v>2069.2280000000001</v>
      </c>
      <c r="Z48" s="8">
        <v>762.44299999999998</v>
      </c>
      <c r="AA48" s="8">
        <v>189.55799999999999</v>
      </c>
      <c r="AB48" s="8">
        <v>32.222999999999999</v>
      </c>
      <c r="AC48" s="8">
        <v>3.9119999999999999</v>
      </c>
    </row>
    <row r="49" spans="1:29" ht="11.65" x14ac:dyDescent="0.35">
      <c r="A49" s="12">
        <v>32</v>
      </c>
      <c r="B49" s="10" t="s">
        <v>1015</v>
      </c>
      <c r="C49" s="36" t="s">
        <v>1022</v>
      </c>
      <c r="D49" s="9" t="s">
        <v>1023</v>
      </c>
      <c r="E49" s="9">
        <v>901</v>
      </c>
      <c r="F49" s="10" t="s">
        <v>1024</v>
      </c>
      <c r="G49" s="9">
        <v>1803</v>
      </c>
      <c r="H49" s="9">
        <v>1955</v>
      </c>
      <c r="I49" s="8">
        <v>44765.917000000001</v>
      </c>
      <c r="J49" s="8">
        <v>41658.531000000003</v>
      </c>
      <c r="K49" s="8">
        <v>34167.792999999998</v>
      </c>
      <c r="L49" s="8">
        <v>36459.705999999998</v>
      </c>
      <c r="M49" s="8">
        <v>33443.889000000003</v>
      </c>
      <c r="N49" s="8">
        <v>34460.186000000002</v>
      </c>
      <c r="O49" s="8">
        <v>29417.014999999999</v>
      </c>
      <c r="P49" s="8">
        <v>23071.812999999998</v>
      </c>
      <c r="Q49" s="8">
        <v>26451.152999999998</v>
      </c>
      <c r="R49" s="8">
        <v>25204.172999999999</v>
      </c>
      <c r="S49" s="8">
        <v>22697.196</v>
      </c>
      <c r="T49" s="8">
        <v>18208.59</v>
      </c>
      <c r="U49" s="8">
        <v>14598.174000000001</v>
      </c>
      <c r="V49" s="8">
        <v>11721.120999999999</v>
      </c>
      <c r="W49" s="8">
        <v>8423.0030000000006</v>
      </c>
      <c r="X49" s="8">
        <v>5266.5789999999997</v>
      </c>
      <c r="Y49" s="8">
        <v>2584.759</v>
      </c>
      <c r="Z49" s="8">
        <v>816.14099999999996</v>
      </c>
      <c r="AA49" s="8">
        <v>200.50399999999999</v>
      </c>
      <c r="AB49" s="8">
        <v>31.559000000000001</v>
      </c>
      <c r="AC49" s="8">
        <v>3.48</v>
      </c>
    </row>
    <row r="50" spans="1:29" ht="11.65" x14ac:dyDescent="0.35">
      <c r="A50" s="12">
        <v>33</v>
      </c>
      <c r="B50" s="10" t="s">
        <v>1015</v>
      </c>
      <c r="C50" s="36" t="s">
        <v>1022</v>
      </c>
      <c r="D50" s="9" t="s">
        <v>1023</v>
      </c>
      <c r="E50" s="9">
        <v>901</v>
      </c>
      <c r="F50" s="10" t="s">
        <v>1024</v>
      </c>
      <c r="G50" s="9">
        <v>1803</v>
      </c>
      <c r="H50" s="9">
        <v>1960</v>
      </c>
      <c r="I50" s="8">
        <v>45740.487000000001</v>
      </c>
      <c r="J50" s="8">
        <v>44509.343000000001</v>
      </c>
      <c r="K50" s="8">
        <v>41921.894999999997</v>
      </c>
      <c r="L50" s="8">
        <v>33913.480000000003</v>
      </c>
      <c r="M50" s="8">
        <v>35962.635000000002</v>
      </c>
      <c r="N50" s="8">
        <v>33469.118000000002</v>
      </c>
      <c r="O50" s="8">
        <v>34055.658000000003</v>
      </c>
      <c r="P50" s="8">
        <v>28939.845000000001</v>
      </c>
      <c r="Q50" s="8">
        <v>22588.855</v>
      </c>
      <c r="R50" s="8">
        <v>25720.714</v>
      </c>
      <c r="S50" s="8">
        <v>24384.154999999999</v>
      </c>
      <c r="T50" s="8">
        <v>21135.811000000002</v>
      </c>
      <c r="U50" s="8">
        <v>16377.04</v>
      </c>
      <c r="V50" s="8">
        <v>12363.214</v>
      </c>
      <c r="W50" s="8">
        <v>9063.5049999999992</v>
      </c>
      <c r="X50" s="8">
        <v>5776.2709999999997</v>
      </c>
      <c r="Y50" s="8">
        <v>2910.11</v>
      </c>
      <c r="Z50" s="8">
        <v>1039.2639999999999</v>
      </c>
      <c r="AA50" s="8">
        <v>215.71700000000001</v>
      </c>
      <c r="AB50" s="8">
        <v>32.667999999999999</v>
      </c>
      <c r="AC50" s="8">
        <v>3.2370000000000001</v>
      </c>
    </row>
    <row r="51" spans="1:29" ht="11.65" x14ac:dyDescent="0.35">
      <c r="A51" s="12">
        <v>34</v>
      </c>
      <c r="B51" s="10" t="s">
        <v>1015</v>
      </c>
      <c r="C51" s="36" t="s">
        <v>1022</v>
      </c>
      <c r="D51" s="9" t="s">
        <v>1023</v>
      </c>
      <c r="E51" s="9">
        <v>901</v>
      </c>
      <c r="F51" s="10" t="s">
        <v>1024</v>
      </c>
      <c r="G51" s="9">
        <v>1803</v>
      </c>
      <c r="H51" s="9">
        <v>1965</v>
      </c>
      <c r="I51" s="8">
        <v>44983.953000000001</v>
      </c>
      <c r="J51" s="8">
        <v>45713.9</v>
      </c>
      <c r="K51" s="8">
        <v>44517.667000000001</v>
      </c>
      <c r="L51" s="8">
        <v>41768.921000000002</v>
      </c>
      <c r="M51" s="8">
        <v>33709.008000000002</v>
      </c>
      <c r="N51" s="8">
        <v>35992.144999999997</v>
      </c>
      <c r="O51" s="8">
        <v>33361.870000000003</v>
      </c>
      <c r="P51" s="8">
        <v>33798.014999999999</v>
      </c>
      <c r="Q51" s="8">
        <v>28559.697</v>
      </c>
      <c r="R51" s="8">
        <v>22034.913</v>
      </c>
      <c r="S51" s="8">
        <v>24753.935000000001</v>
      </c>
      <c r="T51" s="8">
        <v>22990.53</v>
      </c>
      <c r="U51" s="8">
        <v>19016.473999999998</v>
      </c>
      <c r="V51" s="8">
        <v>13935.367</v>
      </c>
      <c r="W51" s="8">
        <v>9682.5949999999993</v>
      </c>
      <c r="X51" s="8">
        <v>6294.3689999999997</v>
      </c>
      <c r="Y51" s="8">
        <v>3246.0030000000002</v>
      </c>
      <c r="Z51" s="8">
        <v>1184.838</v>
      </c>
      <c r="AA51" s="8">
        <v>279.44600000000003</v>
      </c>
      <c r="AB51" s="8">
        <v>35.408999999999999</v>
      </c>
      <c r="AC51" s="8">
        <v>3.3180000000000001</v>
      </c>
    </row>
    <row r="52" spans="1:29" ht="11.65" x14ac:dyDescent="0.35">
      <c r="A52" s="12">
        <v>35</v>
      </c>
      <c r="B52" s="10" t="s">
        <v>1015</v>
      </c>
      <c r="C52" s="36" t="s">
        <v>1022</v>
      </c>
      <c r="D52" s="9" t="s">
        <v>1023</v>
      </c>
      <c r="E52" s="9">
        <v>901</v>
      </c>
      <c r="F52" s="10" t="s">
        <v>1024</v>
      </c>
      <c r="G52" s="9">
        <v>1803</v>
      </c>
      <c r="H52" s="9">
        <v>1970</v>
      </c>
      <c r="I52" s="8">
        <v>42422.993000000002</v>
      </c>
      <c r="J52" s="8">
        <v>45281.932000000001</v>
      </c>
      <c r="K52" s="8">
        <v>45977.29</v>
      </c>
      <c r="L52" s="8">
        <v>44255.283000000003</v>
      </c>
      <c r="M52" s="8">
        <v>40913.457999999999</v>
      </c>
      <c r="N52" s="8">
        <v>33705.589</v>
      </c>
      <c r="O52" s="8">
        <v>35813.870999999999</v>
      </c>
      <c r="P52" s="8">
        <v>32932.196000000004</v>
      </c>
      <c r="Q52" s="8">
        <v>33397.002999999997</v>
      </c>
      <c r="R52" s="8">
        <v>27954.954000000002</v>
      </c>
      <c r="S52" s="8">
        <v>21136.775000000001</v>
      </c>
      <c r="T52" s="8">
        <v>23295.277999999998</v>
      </c>
      <c r="U52" s="8">
        <v>20745.253000000001</v>
      </c>
      <c r="V52" s="8">
        <v>16297.182000000001</v>
      </c>
      <c r="W52" s="8">
        <v>10842.743</v>
      </c>
      <c r="X52" s="8">
        <v>6636.5889999999999</v>
      </c>
      <c r="Y52" s="8">
        <v>3571.6370000000002</v>
      </c>
      <c r="Z52" s="8">
        <v>1352.4929999999999</v>
      </c>
      <c r="AA52" s="8">
        <v>326.57799999999997</v>
      </c>
      <c r="AB52" s="8">
        <v>47.293999999999997</v>
      </c>
      <c r="AC52" s="8">
        <v>3.762</v>
      </c>
    </row>
    <row r="53" spans="1:29" ht="11.65" x14ac:dyDescent="0.35">
      <c r="A53" s="12">
        <v>36</v>
      </c>
      <c r="B53" s="10" t="s">
        <v>1015</v>
      </c>
      <c r="C53" s="36" t="s">
        <v>1022</v>
      </c>
      <c r="D53" s="9" t="s">
        <v>1023</v>
      </c>
      <c r="E53" s="9">
        <v>901</v>
      </c>
      <c r="F53" s="10" t="s">
        <v>1024</v>
      </c>
      <c r="G53" s="9">
        <v>1803</v>
      </c>
      <c r="H53" s="9">
        <v>1975</v>
      </c>
      <c r="I53" s="8">
        <v>41685.887000000002</v>
      </c>
      <c r="J53" s="8">
        <v>42467.510999999999</v>
      </c>
      <c r="K53" s="8">
        <v>45408.713000000003</v>
      </c>
      <c r="L53" s="8">
        <v>45837.307999999997</v>
      </c>
      <c r="M53" s="8">
        <v>44106.544999999998</v>
      </c>
      <c r="N53" s="8">
        <v>41354.256999999998</v>
      </c>
      <c r="O53" s="8">
        <v>33795.394999999997</v>
      </c>
      <c r="P53" s="8">
        <v>35475.381000000001</v>
      </c>
      <c r="Q53" s="8">
        <v>32492.560000000001</v>
      </c>
      <c r="R53" s="8">
        <v>32564.858</v>
      </c>
      <c r="S53" s="8">
        <v>26904.802</v>
      </c>
      <c r="T53" s="8">
        <v>19883.353999999999</v>
      </c>
      <c r="U53" s="8">
        <v>21178.155999999999</v>
      </c>
      <c r="V53" s="8">
        <v>17820.416000000001</v>
      </c>
      <c r="W53" s="8">
        <v>12731.609</v>
      </c>
      <c r="X53" s="8">
        <v>7468.0690000000004</v>
      </c>
      <c r="Y53" s="8">
        <v>3855.2429999999999</v>
      </c>
      <c r="Z53" s="8">
        <v>1519.866</v>
      </c>
      <c r="AA53" s="8">
        <v>388.46699999999998</v>
      </c>
      <c r="AB53" s="8">
        <v>57.497999999999998</v>
      </c>
      <c r="AC53" s="8">
        <v>5.1639999999999997</v>
      </c>
    </row>
    <row r="54" spans="1:29" ht="11.65" x14ac:dyDescent="0.35">
      <c r="A54" s="12">
        <v>37</v>
      </c>
      <c r="B54" s="10" t="s">
        <v>1015</v>
      </c>
      <c r="C54" s="36" t="s">
        <v>1022</v>
      </c>
      <c r="D54" s="9" t="s">
        <v>1023</v>
      </c>
      <c r="E54" s="9">
        <v>901</v>
      </c>
      <c r="F54" s="10" t="s">
        <v>1024</v>
      </c>
      <c r="G54" s="9">
        <v>1803</v>
      </c>
      <c r="H54" s="9">
        <v>1980</v>
      </c>
      <c r="I54" s="8">
        <v>40014.614999999998</v>
      </c>
      <c r="J54" s="8">
        <v>41781.468999999997</v>
      </c>
      <c r="K54" s="8">
        <v>43183.538999999997</v>
      </c>
      <c r="L54" s="8">
        <v>46047.245999999999</v>
      </c>
      <c r="M54" s="8">
        <v>45912.383000000002</v>
      </c>
      <c r="N54" s="8">
        <v>43913.67</v>
      </c>
      <c r="O54" s="8">
        <v>41110.197</v>
      </c>
      <c r="P54" s="8">
        <v>32990.5</v>
      </c>
      <c r="Q54" s="8">
        <v>34803.699000000001</v>
      </c>
      <c r="R54" s="8">
        <v>31338.895</v>
      </c>
      <c r="S54" s="8">
        <v>31120.536</v>
      </c>
      <c r="T54" s="8">
        <v>25258.565999999999</v>
      </c>
      <c r="U54" s="8">
        <v>18190.741000000002</v>
      </c>
      <c r="V54" s="8">
        <v>18569.614000000001</v>
      </c>
      <c r="W54" s="8">
        <v>14217.703</v>
      </c>
      <c r="X54" s="8">
        <v>9156.625</v>
      </c>
      <c r="Y54" s="8">
        <v>4259.1499999999996</v>
      </c>
      <c r="Z54" s="8">
        <v>1709.309</v>
      </c>
      <c r="AA54" s="8">
        <v>463.14600000000002</v>
      </c>
      <c r="AB54" s="8">
        <v>74.468000000000004</v>
      </c>
      <c r="AC54" s="8">
        <v>6.8819999999999997</v>
      </c>
    </row>
    <row r="55" spans="1:29" ht="11.65" x14ac:dyDescent="0.35">
      <c r="A55" s="12">
        <v>38</v>
      </c>
      <c r="B55" s="10" t="s">
        <v>1015</v>
      </c>
      <c r="C55" s="36" t="s">
        <v>1022</v>
      </c>
      <c r="D55" s="9" t="s">
        <v>1023</v>
      </c>
      <c r="E55" s="9">
        <v>901</v>
      </c>
      <c r="F55" s="10" t="s">
        <v>1024</v>
      </c>
      <c r="G55" s="9">
        <v>1803</v>
      </c>
      <c r="H55" s="9">
        <v>1985</v>
      </c>
      <c r="I55" s="8">
        <v>40016.425999999999</v>
      </c>
      <c r="J55" s="8">
        <v>40171.364000000001</v>
      </c>
      <c r="K55" s="8">
        <v>42137.205999999998</v>
      </c>
      <c r="L55" s="8">
        <v>43498.722999999998</v>
      </c>
      <c r="M55" s="8">
        <v>45945.601000000002</v>
      </c>
      <c r="N55" s="8">
        <v>45821.214</v>
      </c>
      <c r="O55" s="8">
        <v>43858.112000000001</v>
      </c>
      <c r="P55" s="8">
        <v>40663.944000000003</v>
      </c>
      <c r="Q55" s="8">
        <v>32588.453000000001</v>
      </c>
      <c r="R55" s="8">
        <v>33883.468000000001</v>
      </c>
      <c r="S55" s="8">
        <v>30128.153999999999</v>
      </c>
      <c r="T55" s="8">
        <v>29246.272000000001</v>
      </c>
      <c r="U55" s="8">
        <v>23092.233</v>
      </c>
      <c r="V55" s="8">
        <v>15974.151</v>
      </c>
      <c r="W55" s="8">
        <v>14959.86</v>
      </c>
      <c r="X55" s="8">
        <v>10146.463</v>
      </c>
      <c r="Y55" s="8">
        <v>5386.4660000000003</v>
      </c>
      <c r="Z55" s="8">
        <v>1914.9010000000001</v>
      </c>
      <c r="AA55" s="8">
        <v>543.51099999999997</v>
      </c>
      <c r="AB55" s="8">
        <v>93.564999999999998</v>
      </c>
      <c r="AC55" s="8">
        <v>9.3819999999999997</v>
      </c>
    </row>
    <row r="56" spans="1:29" ht="11.65" x14ac:dyDescent="0.35">
      <c r="A56" s="12">
        <v>39</v>
      </c>
      <c r="B56" s="10" t="s">
        <v>1015</v>
      </c>
      <c r="C56" s="36" t="s">
        <v>1022</v>
      </c>
      <c r="D56" s="9" t="s">
        <v>1023</v>
      </c>
      <c r="E56" s="9">
        <v>901</v>
      </c>
      <c r="F56" s="10" t="s">
        <v>1024</v>
      </c>
      <c r="G56" s="9">
        <v>1803</v>
      </c>
      <c r="H56" s="9">
        <v>1990</v>
      </c>
      <c r="I56" s="8">
        <v>39722.627</v>
      </c>
      <c r="J56" s="8">
        <v>40214.495999999999</v>
      </c>
      <c r="K56" s="8">
        <v>40519.864000000001</v>
      </c>
      <c r="L56" s="8">
        <v>42568.811000000002</v>
      </c>
      <c r="M56" s="8">
        <v>43468.451999999997</v>
      </c>
      <c r="N56" s="8">
        <v>45664.525000000001</v>
      </c>
      <c r="O56" s="8">
        <v>45691.360000000001</v>
      </c>
      <c r="P56" s="8">
        <v>43513.48</v>
      </c>
      <c r="Q56" s="8">
        <v>40287.830999999998</v>
      </c>
      <c r="R56" s="8">
        <v>31929.835999999999</v>
      </c>
      <c r="S56" s="8">
        <v>32715.120999999999</v>
      </c>
      <c r="T56" s="8">
        <v>28507.242999999999</v>
      </c>
      <c r="U56" s="8">
        <v>26859.781999999999</v>
      </c>
      <c r="V56" s="8">
        <v>20385.009999999998</v>
      </c>
      <c r="W56" s="8">
        <v>13151.683000000001</v>
      </c>
      <c r="X56" s="8">
        <v>11030.99</v>
      </c>
      <c r="Y56" s="8">
        <v>6244.9260000000004</v>
      </c>
      <c r="Z56" s="8">
        <v>2538.3780000000002</v>
      </c>
      <c r="AA56" s="8">
        <v>621.14700000000005</v>
      </c>
      <c r="AB56" s="8">
        <v>111.539</v>
      </c>
      <c r="AC56" s="8">
        <v>11.592000000000001</v>
      </c>
    </row>
    <row r="57" spans="1:29" ht="11.65" x14ac:dyDescent="0.35">
      <c r="A57" s="12">
        <v>40</v>
      </c>
      <c r="B57" s="10" t="s">
        <v>1015</v>
      </c>
      <c r="C57" s="36" t="s">
        <v>1022</v>
      </c>
      <c r="D57" s="9" t="s">
        <v>1023</v>
      </c>
      <c r="E57" s="9">
        <v>901</v>
      </c>
      <c r="F57" s="10" t="s">
        <v>1024</v>
      </c>
      <c r="G57" s="9">
        <v>1803</v>
      </c>
      <c r="H57" s="9">
        <v>1995</v>
      </c>
      <c r="I57" s="8">
        <v>36490.470999999998</v>
      </c>
      <c r="J57" s="8">
        <v>40206.466</v>
      </c>
      <c r="K57" s="8">
        <v>41018.211000000003</v>
      </c>
      <c r="L57" s="8">
        <v>41196.279000000002</v>
      </c>
      <c r="M57" s="8">
        <v>42601.7</v>
      </c>
      <c r="N57" s="8">
        <v>43465.27</v>
      </c>
      <c r="O57" s="8">
        <v>45921.658000000003</v>
      </c>
      <c r="P57" s="8">
        <v>45466.555999999997</v>
      </c>
      <c r="Q57" s="8">
        <v>42914.48</v>
      </c>
      <c r="R57" s="8">
        <v>39214.794999999998</v>
      </c>
      <c r="S57" s="8">
        <v>30867.733</v>
      </c>
      <c r="T57" s="8">
        <v>30875.291000000001</v>
      </c>
      <c r="U57" s="8">
        <v>26234.749</v>
      </c>
      <c r="V57" s="8">
        <v>23590.819</v>
      </c>
      <c r="W57" s="8">
        <v>16875.803</v>
      </c>
      <c r="X57" s="8">
        <v>9947.7540000000008</v>
      </c>
      <c r="Y57" s="8">
        <v>6953.7740000000003</v>
      </c>
      <c r="Z57" s="8">
        <v>3032.471</v>
      </c>
      <c r="AA57" s="8">
        <v>853.12599999999998</v>
      </c>
      <c r="AB57" s="8">
        <v>126.76600000000001</v>
      </c>
      <c r="AC57" s="8">
        <v>13.506</v>
      </c>
    </row>
    <row r="58" spans="1:29" ht="11.65" x14ac:dyDescent="0.35">
      <c r="A58" s="12">
        <v>41</v>
      </c>
      <c r="B58" s="10" t="s">
        <v>1015</v>
      </c>
      <c r="C58" s="36" t="s">
        <v>1022</v>
      </c>
      <c r="D58" s="9" t="s">
        <v>1023</v>
      </c>
      <c r="E58" s="9">
        <v>901</v>
      </c>
      <c r="F58" s="10" t="s">
        <v>1024</v>
      </c>
      <c r="G58" s="9">
        <v>1803</v>
      </c>
      <c r="H58" s="9">
        <v>2000</v>
      </c>
      <c r="I58" s="8">
        <v>33667.357000000004</v>
      </c>
      <c r="J58" s="8">
        <v>37075.061000000002</v>
      </c>
      <c r="K58" s="8">
        <v>41086.902000000002</v>
      </c>
      <c r="L58" s="8">
        <v>41764.67</v>
      </c>
      <c r="M58" s="8">
        <v>41353.152000000002</v>
      </c>
      <c r="N58" s="8">
        <v>42866.807000000001</v>
      </c>
      <c r="O58" s="8">
        <v>43744.913999999997</v>
      </c>
      <c r="P58" s="8">
        <v>45771.514999999999</v>
      </c>
      <c r="Q58" s="8">
        <v>44824.925000000003</v>
      </c>
      <c r="R58" s="8">
        <v>41965.264999999999</v>
      </c>
      <c r="S58" s="8">
        <v>38077.752</v>
      </c>
      <c r="T58" s="8">
        <v>29421.552</v>
      </c>
      <c r="U58" s="8">
        <v>28557.286</v>
      </c>
      <c r="V58" s="8">
        <v>23357.834999999999</v>
      </c>
      <c r="W58" s="8">
        <v>19640.842000000001</v>
      </c>
      <c r="X58" s="8">
        <v>12931.518</v>
      </c>
      <c r="Y58" s="8">
        <v>6564.951</v>
      </c>
      <c r="Z58" s="8">
        <v>3497.6930000000002</v>
      </c>
      <c r="AA58" s="8">
        <v>1038.7639999999999</v>
      </c>
      <c r="AB58" s="8">
        <v>174.572</v>
      </c>
      <c r="AC58" s="8">
        <v>14.489000000000001</v>
      </c>
    </row>
    <row r="59" spans="1:29" ht="11.65" x14ac:dyDescent="0.35">
      <c r="A59" s="12">
        <v>42</v>
      </c>
      <c r="B59" s="10" t="s">
        <v>1015</v>
      </c>
      <c r="C59" s="36" t="s">
        <v>1022</v>
      </c>
      <c r="D59" s="9" t="s">
        <v>1023</v>
      </c>
      <c r="E59" s="9">
        <v>901</v>
      </c>
      <c r="F59" s="10" t="s">
        <v>1024</v>
      </c>
      <c r="G59" s="9">
        <v>1803</v>
      </c>
      <c r="H59" s="9">
        <v>2005</v>
      </c>
      <c r="I59" s="8">
        <v>33797.404000000002</v>
      </c>
      <c r="J59" s="8">
        <v>34009.493999999999</v>
      </c>
      <c r="K59" s="8">
        <v>37809.618000000002</v>
      </c>
      <c r="L59" s="8">
        <v>41917.396000000001</v>
      </c>
      <c r="M59" s="8">
        <v>42574.75</v>
      </c>
      <c r="N59" s="8">
        <v>41835.383999999998</v>
      </c>
      <c r="O59" s="8">
        <v>43347.571000000004</v>
      </c>
      <c r="P59" s="8">
        <v>43898.006999999998</v>
      </c>
      <c r="Q59" s="8">
        <v>45444.311999999998</v>
      </c>
      <c r="R59" s="8">
        <v>43940.031999999999</v>
      </c>
      <c r="S59" s="8">
        <v>40603.447</v>
      </c>
      <c r="T59" s="8">
        <v>36420.517999999996</v>
      </c>
      <c r="U59" s="8">
        <v>27531.381000000001</v>
      </c>
      <c r="V59" s="8">
        <v>25643.347000000002</v>
      </c>
      <c r="W59" s="8">
        <v>19913.414000000001</v>
      </c>
      <c r="X59" s="8">
        <v>15260.058999999999</v>
      </c>
      <c r="Y59" s="8">
        <v>8770.69</v>
      </c>
      <c r="Z59" s="8">
        <v>3545.424</v>
      </c>
      <c r="AA59" s="8">
        <v>1278.0239999999999</v>
      </c>
      <c r="AB59" s="8">
        <v>223.58199999999999</v>
      </c>
      <c r="AC59" s="8">
        <v>20.04</v>
      </c>
    </row>
    <row r="60" spans="1:29" ht="11.65" x14ac:dyDescent="0.35">
      <c r="A60" s="12">
        <v>43</v>
      </c>
      <c r="B60" s="10" t="s">
        <v>1015</v>
      </c>
      <c r="C60" s="36" t="s">
        <v>1022</v>
      </c>
      <c r="D60" s="9" t="s">
        <v>1023</v>
      </c>
      <c r="E60" s="9">
        <v>901</v>
      </c>
      <c r="F60" s="10" t="s">
        <v>1024</v>
      </c>
      <c r="G60" s="9">
        <v>1803</v>
      </c>
      <c r="H60" s="9">
        <v>2010</v>
      </c>
      <c r="I60" s="8">
        <v>35706.135000000002</v>
      </c>
      <c r="J60" s="8">
        <v>34151.637000000002</v>
      </c>
      <c r="K60" s="8">
        <v>34917.146000000001</v>
      </c>
      <c r="L60" s="8">
        <v>38837.561000000002</v>
      </c>
      <c r="M60" s="8">
        <v>42703.307000000001</v>
      </c>
      <c r="N60" s="8">
        <v>42902.947</v>
      </c>
      <c r="O60" s="8">
        <v>42381.114999999998</v>
      </c>
      <c r="P60" s="8">
        <v>43506.998</v>
      </c>
      <c r="Q60" s="8">
        <v>43341.756999999998</v>
      </c>
      <c r="R60" s="8">
        <v>44881.625</v>
      </c>
      <c r="S60" s="8">
        <v>42708.802000000003</v>
      </c>
      <c r="T60" s="8">
        <v>38905.546000000002</v>
      </c>
      <c r="U60" s="8">
        <v>34066.978999999999</v>
      </c>
      <c r="V60" s="8">
        <v>25427.005000000001</v>
      </c>
      <c r="W60" s="8">
        <v>22268.32</v>
      </c>
      <c r="X60" s="8">
        <v>16059.198</v>
      </c>
      <c r="Y60" s="8">
        <v>10847.102999999999</v>
      </c>
      <c r="Z60" s="8">
        <v>4976.1959999999999</v>
      </c>
      <c r="AA60" s="8">
        <v>1416.732</v>
      </c>
      <c r="AB60" s="8">
        <v>298.58300000000003</v>
      </c>
      <c r="AC60" s="8">
        <v>27.7</v>
      </c>
    </row>
    <row r="61" spans="1:29" ht="11.65" x14ac:dyDescent="0.35">
      <c r="A61" s="12">
        <v>44</v>
      </c>
      <c r="B61" s="10" t="s">
        <v>1015</v>
      </c>
      <c r="C61" s="36" t="s">
        <v>1022</v>
      </c>
      <c r="D61" s="9" t="s">
        <v>1023</v>
      </c>
      <c r="E61" s="9">
        <v>901</v>
      </c>
      <c r="F61" s="10" t="s">
        <v>1024</v>
      </c>
      <c r="G61" s="9">
        <v>1803</v>
      </c>
      <c r="H61" s="9">
        <v>2015</v>
      </c>
      <c r="I61" s="8">
        <v>35586.163999999997</v>
      </c>
      <c r="J61" s="8">
        <v>36005.065999999999</v>
      </c>
      <c r="K61" s="8">
        <v>34529.985999999997</v>
      </c>
      <c r="L61" s="8">
        <v>35675.652999999998</v>
      </c>
      <c r="M61" s="8">
        <v>39866.32</v>
      </c>
      <c r="N61" s="8">
        <v>43458.1</v>
      </c>
      <c r="O61" s="8">
        <v>43458.68</v>
      </c>
      <c r="P61" s="8">
        <v>42645.675999999999</v>
      </c>
      <c r="Q61" s="8">
        <v>43353.256000000001</v>
      </c>
      <c r="R61" s="8">
        <v>42884.093000000001</v>
      </c>
      <c r="S61" s="8">
        <v>43796.074999999997</v>
      </c>
      <c r="T61" s="8">
        <v>40988.466</v>
      </c>
      <c r="U61" s="8">
        <v>36554.277999999998</v>
      </c>
      <c r="V61" s="8">
        <v>31297.366000000002</v>
      </c>
      <c r="W61" s="8">
        <v>22539.859</v>
      </c>
      <c r="X61" s="8">
        <v>18254.128000000001</v>
      </c>
      <c r="Y61" s="8">
        <v>11765.398999999999</v>
      </c>
      <c r="Z61" s="8">
        <v>6394.8509999999997</v>
      </c>
      <c r="AA61" s="8">
        <v>2099.2020000000002</v>
      </c>
      <c r="AB61" s="8">
        <v>361.04599999999999</v>
      </c>
      <c r="AC61" s="8">
        <v>39.387</v>
      </c>
    </row>
    <row r="62" spans="1:29" ht="11.65" x14ac:dyDescent="0.35">
      <c r="A62" s="12">
        <v>45</v>
      </c>
      <c r="B62" s="10" t="s">
        <v>1015</v>
      </c>
      <c r="C62" s="36" t="s">
        <v>1022</v>
      </c>
      <c r="D62" s="9" t="s">
        <v>1023</v>
      </c>
      <c r="E62" s="9">
        <v>901</v>
      </c>
      <c r="F62" s="10" t="s">
        <v>1024</v>
      </c>
      <c r="G62" s="9">
        <v>1803</v>
      </c>
      <c r="H62" s="9">
        <v>2020</v>
      </c>
      <c r="I62" s="8">
        <v>34605.925000000003</v>
      </c>
      <c r="J62" s="8">
        <v>35973.417000000001</v>
      </c>
      <c r="K62" s="8">
        <v>36322.366000000002</v>
      </c>
      <c r="L62" s="8">
        <v>35174.606</v>
      </c>
      <c r="M62" s="8">
        <v>36567.01</v>
      </c>
      <c r="N62" s="8">
        <v>40795.671000000002</v>
      </c>
      <c r="O62" s="8">
        <v>44157.607000000004</v>
      </c>
      <c r="P62" s="8">
        <v>43763.574000000001</v>
      </c>
      <c r="Q62" s="8">
        <v>42605.357000000004</v>
      </c>
      <c r="R62" s="8">
        <v>42983.58</v>
      </c>
      <c r="S62" s="8">
        <v>42041.097999999998</v>
      </c>
      <c r="T62" s="8">
        <v>42273.228000000003</v>
      </c>
      <c r="U62" s="8">
        <v>38632.326000000001</v>
      </c>
      <c r="V62" s="8">
        <v>33584.383000000002</v>
      </c>
      <c r="W62" s="8">
        <v>27797.153999999999</v>
      </c>
      <c r="X62" s="8">
        <v>18916.566999999999</v>
      </c>
      <c r="Y62" s="8">
        <v>13536.880999999999</v>
      </c>
      <c r="Z62" s="8">
        <v>7221.1040000000003</v>
      </c>
      <c r="AA62" s="8">
        <v>2861.9969999999998</v>
      </c>
      <c r="AB62" s="8">
        <v>593.77499999999998</v>
      </c>
      <c r="AC62" s="8">
        <v>55.701999999999998</v>
      </c>
    </row>
    <row r="63" spans="1:29" ht="11.65" x14ac:dyDescent="0.35">
      <c r="A63" s="12">
        <v>46</v>
      </c>
      <c r="B63" s="10" t="s">
        <v>1015</v>
      </c>
      <c r="C63" s="36" t="s">
        <v>1025</v>
      </c>
      <c r="D63" s="9" t="s">
        <v>1026</v>
      </c>
      <c r="E63" s="9">
        <v>902</v>
      </c>
      <c r="F63" s="10" t="s">
        <v>1024</v>
      </c>
      <c r="G63" s="9">
        <v>1803</v>
      </c>
      <c r="H63" s="9">
        <v>1950</v>
      </c>
      <c r="I63" s="8">
        <v>130141.204</v>
      </c>
      <c r="J63" s="8">
        <v>104085.09600000001</v>
      </c>
      <c r="K63" s="8">
        <v>96777.447</v>
      </c>
      <c r="L63" s="8">
        <v>88069.133999999904</v>
      </c>
      <c r="M63" s="8">
        <v>78322.825000000099</v>
      </c>
      <c r="N63" s="8">
        <v>67819.87</v>
      </c>
      <c r="O63" s="8">
        <v>61129.332000000002</v>
      </c>
      <c r="P63" s="8">
        <v>54448.322</v>
      </c>
      <c r="Q63" s="8">
        <v>46961.237999999998</v>
      </c>
      <c r="R63" s="8">
        <v>40120.947999999997</v>
      </c>
      <c r="S63" s="8">
        <v>32983.644999999997</v>
      </c>
      <c r="T63" s="8">
        <v>26390.543000000001</v>
      </c>
      <c r="U63" s="8">
        <v>20562.166000000001</v>
      </c>
      <c r="V63" s="8">
        <v>14089.184999999999</v>
      </c>
      <c r="W63" s="8">
        <v>8793.2340000000095</v>
      </c>
      <c r="X63" s="8">
        <v>4690.6530000000002</v>
      </c>
      <c r="Y63" s="8">
        <v>1807.491</v>
      </c>
      <c r="Z63" s="8">
        <v>534.20299999999997</v>
      </c>
      <c r="AA63" s="8">
        <v>126.952</v>
      </c>
      <c r="AB63" s="8">
        <v>26.382999999999999</v>
      </c>
      <c r="AC63" s="8">
        <v>5.4809999999999999</v>
      </c>
    </row>
    <row r="64" spans="1:29" ht="11.65" x14ac:dyDescent="0.35">
      <c r="A64" s="12">
        <v>47</v>
      </c>
      <c r="B64" s="10" t="s">
        <v>1015</v>
      </c>
      <c r="C64" s="36" t="s">
        <v>1025</v>
      </c>
      <c r="D64" s="9" t="s">
        <v>1026</v>
      </c>
      <c r="E64" s="9">
        <v>902</v>
      </c>
      <c r="F64" s="10" t="s">
        <v>1024</v>
      </c>
      <c r="G64" s="9">
        <v>1803</v>
      </c>
      <c r="H64" s="9">
        <v>1955</v>
      </c>
      <c r="I64" s="8">
        <v>163175.47500000001</v>
      </c>
      <c r="J64" s="8">
        <v>119428.93700000001</v>
      </c>
      <c r="K64" s="8">
        <v>100648.82799999999</v>
      </c>
      <c r="L64" s="8">
        <v>94082.561000000002</v>
      </c>
      <c r="M64" s="8">
        <v>84910.111999999994</v>
      </c>
      <c r="N64" s="8">
        <v>75054.47</v>
      </c>
      <c r="O64" s="8">
        <v>64793.601000000002</v>
      </c>
      <c r="P64" s="8">
        <v>58081.722999999998</v>
      </c>
      <c r="Q64" s="8">
        <v>51100.307999999997</v>
      </c>
      <c r="R64" s="8">
        <v>43228.936999999998</v>
      </c>
      <c r="S64" s="8">
        <v>36024.512000000002</v>
      </c>
      <c r="T64" s="8">
        <v>28599.187000000002</v>
      </c>
      <c r="U64" s="8">
        <v>21409.219000000001</v>
      </c>
      <c r="V64" s="8">
        <v>15178.126</v>
      </c>
      <c r="W64" s="8">
        <v>9121.4480000000003</v>
      </c>
      <c r="X64" s="8">
        <v>4675.7529999999997</v>
      </c>
      <c r="Y64" s="8">
        <v>1881.623</v>
      </c>
      <c r="Z64" s="8">
        <v>497.60500000000002</v>
      </c>
      <c r="AA64" s="8">
        <v>96.296999999999997</v>
      </c>
      <c r="AB64" s="8">
        <v>15.712999999999999</v>
      </c>
      <c r="AC64" s="8">
        <v>2.5819999999999999</v>
      </c>
    </row>
    <row r="65" spans="1:29" ht="11.65" x14ac:dyDescent="0.35">
      <c r="A65" s="12">
        <v>48</v>
      </c>
      <c r="B65" s="10" t="s">
        <v>1015</v>
      </c>
      <c r="C65" s="36" t="s">
        <v>1025</v>
      </c>
      <c r="D65" s="9" t="s">
        <v>1026</v>
      </c>
      <c r="E65" s="9">
        <v>902</v>
      </c>
      <c r="F65" s="10" t="s">
        <v>1024</v>
      </c>
      <c r="G65" s="9">
        <v>1803</v>
      </c>
      <c r="H65" s="9">
        <v>1960</v>
      </c>
      <c r="I65" s="8">
        <v>175865.74299999999</v>
      </c>
      <c r="J65" s="8">
        <v>151693.57199999999</v>
      </c>
      <c r="K65" s="8">
        <v>116112.951</v>
      </c>
      <c r="L65" s="8">
        <v>98003.7040000001</v>
      </c>
      <c r="M65" s="8">
        <v>90998.106</v>
      </c>
      <c r="N65" s="8">
        <v>81974.361000000004</v>
      </c>
      <c r="O65" s="8">
        <v>72264.876000000004</v>
      </c>
      <c r="P65" s="8">
        <v>61984.241999999998</v>
      </c>
      <c r="Q65" s="8">
        <v>54896.498</v>
      </c>
      <c r="R65" s="8">
        <v>47477.783000000003</v>
      </c>
      <c r="S65" s="8">
        <v>39103.542000000001</v>
      </c>
      <c r="T65" s="8">
        <v>31274.646000000001</v>
      </c>
      <c r="U65" s="8">
        <v>23310.91</v>
      </c>
      <c r="V65" s="8">
        <v>15926</v>
      </c>
      <c r="W65" s="8">
        <v>9884.5280000000002</v>
      </c>
      <c r="X65" s="8">
        <v>4784.3</v>
      </c>
      <c r="Y65" s="8">
        <v>1881.383</v>
      </c>
      <c r="Z65" s="8">
        <v>518.78200000000004</v>
      </c>
      <c r="AA65" s="8">
        <v>92.744</v>
      </c>
      <c r="AB65" s="8">
        <v>13.233000000000001</v>
      </c>
      <c r="AC65" s="8">
        <v>1.776</v>
      </c>
    </row>
    <row r="66" spans="1:29" ht="11.65" x14ac:dyDescent="0.35">
      <c r="A66" s="12">
        <v>49</v>
      </c>
      <c r="B66" s="10" t="s">
        <v>1015</v>
      </c>
      <c r="C66" s="36" t="s">
        <v>1025</v>
      </c>
      <c r="D66" s="9" t="s">
        <v>1026</v>
      </c>
      <c r="E66" s="9">
        <v>902</v>
      </c>
      <c r="F66" s="10" t="s">
        <v>1024</v>
      </c>
      <c r="G66" s="9">
        <v>1803</v>
      </c>
      <c r="H66" s="9">
        <v>1965</v>
      </c>
      <c r="I66" s="8">
        <v>200001.46</v>
      </c>
      <c r="J66" s="8">
        <v>164389.84299999999</v>
      </c>
      <c r="K66" s="8">
        <v>147744.41099999999</v>
      </c>
      <c r="L66" s="8">
        <v>113277.283</v>
      </c>
      <c r="M66" s="8">
        <v>94982.847999999998</v>
      </c>
      <c r="N66" s="8">
        <v>87999.6</v>
      </c>
      <c r="O66" s="8">
        <v>79110.431000000099</v>
      </c>
      <c r="P66" s="8">
        <v>69372.746999999901</v>
      </c>
      <c r="Q66" s="8">
        <v>58839.733999999997</v>
      </c>
      <c r="R66" s="8">
        <v>51208.01</v>
      </c>
      <c r="S66" s="8">
        <v>43186.482000000004</v>
      </c>
      <c r="T66" s="8">
        <v>34222.398999999998</v>
      </c>
      <c r="U66" s="8">
        <v>25771.602999999999</v>
      </c>
      <c r="V66" s="8">
        <v>17705.280999999999</v>
      </c>
      <c r="W66" s="8">
        <v>10601.6</v>
      </c>
      <c r="X66" s="8">
        <v>5528.1670000000004</v>
      </c>
      <c r="Y66" s="8">
        <v>2098.8910000000001</v>
      </c>
      <c r="Z66" s="8">
        <v>589.899</v>
      </c>
      <c r="AA66" s="8">
        <v>109.937</v>
      </c>
      <c r="AB66" s="8">
        <v>14.208</v>
      </c>
      <c r="AC66" s="8">
        <v>1.6719999999999999</v>
      </c>
    </row>
    <row r="67" spans="1:29" ht="11.65" x14ac:dyDescent="0.35">
      <c r="A67" s="12">
        <v>50</v>
      </c>
      <c r="B67" s="10" t="s">
        <v>1015</v>
      </c>
      <c r="C67" s="36" t="s">
        <v>1025</v>
      </c>
      <c r="D67" s="9" t="s">
        <v>1026</v>
      </c>
      <c r="E67" s="9">
        <v>902</v>
      </c>
      <c r="F67" s="10" t="s">
        <v>1024</v>
      </c>
      <c r="G67" s="9">
        <v>1803</v>
      </c>
      <c r="H67" s="9">
        <v>1970</v>
      </c>
      <c r="I67" s="8">
        <v>224869.639</v>
      </c>
      <c r="J67" s="8">
        <v>189566.09899999999</v>
      </c>
      <c r="K67" s="8">
        <v>161469.095</v>
      </c>
      <c r="L67" s="8">
        <v>145215.948</v>
      </c>
      <c r="M67" s="8">
        <v>110599.057</v>
      </c>
      <c r="N67" s="8">
        <v>92408.275999999998</v>
      </c>
      <c r="O67" s="8">
        <v>85586.794999999998</v>
      </c>
      <c r="P67" s="8">
        <v>76584.849000000002</v>
      </c>
      <c r="Q67" s="8">
        <v>66628.14</v>
      </c>
      <c r="R67" s="8">
        <v>55787.821000000004</v>
      </c>
      <c r="S67" s="8">
        <v>47663.627</v>
      </c>
      <c r="T67" s="8">
        <v>39071.671000000002</v>
      </c>
      <c r="U67" s="8">
        <v>29493.83</v>
      </c>
      <c r="V67" s="8">
        <v>20609.120999999999</v>
      </c>
      <c r="W67" s="8">
        <v>12769.234</v>
      </c>
      <c r="X67" s="8">
        <v>6559.4350000000104</v>
      </c>
      <c r="Y67" s="8">
        <v>2716.5050000000001</v>
      </c>
      <c r="Z67" s="8">
        <v>726.49</v>
      </c>
      <c r="AA67" s="8">
        <v>134.87700000000001</v>
      </c>
      <c r="AB67" s="8">
        <v>17.663</v>
      </c>
      <c r="AC67" s="8">
        <v>1.841</v>
      </c>
    </row>
    <row r="68" spans="1:29" ht="11.65" x14ac:dyDescent="0.35">
      <c r="A68" s="12">
        <v>51</v>
      </c>
      <c r="B68" s="10" t="s">
        <v>1015</v>
      </c>
      <c r="C68" s="36" t="s">
        <v>1025</v>
      </c>
      <c r="D68" s="9" t="s">
        <v>1026</v>
      </c>
      <c r="E68" s="9">
        <v>902</v>
      </c>
      <c r="F68" s="10" t="s">
        <v>1024</v>
      </c>
      <c r="G68" s="9">
        <v>1803</v>
      </c>
      <c r="H68" s="9">
        <v>1975</v>
      </c>
      <c r="I68" s="8">
        <v>236602.826</v>
      </c>
      <c r="J68" s="8">
        <v>215170.40700000001</v>
      </c>
      <c r="K68" s="8">
        <v>186515.611</v>
      </c>
      <c r="L68" s="8">
        <v>158618.766</v>
      </c>
      <c r="M68" s="8">
        <v>141905.68900000001</v>
      </c>
      <c r="N68" s="8">
        <v>108020.27</v>
      </c>
      <c r="O68" s="8">
        <v>90321.471000000005</v>
      </c>
      <c r="P68" s="8">
        <v>83463.128999999899</v>
      </c>
      <c r="Q68" s="8">
        <v>74222.472000000096</v>
      </c>
      <c r="R68" s="8">
        <v>63825.241000000002</v>
      </c>
      <c r="S68" s="8">
        <v>52477.195</v>
      </c>
      <c r="T68" s="8">
        <v>43585.934999999998</v>
      </c>
      <c r="U68" s="8">
        <v>34127.400999999998</v>
      </c>
      <c r="V68" s="8">
        <v>24021.64</v>
      </c>
      <c r="W68" s="8">
        <v>15217.501</v>
      </c>
      <c r="X68" s="8">
        <v>8085.7129999999997</v>
      </c>
      <c r="Y68" s="8">
        <v>3304.5529999999999</v>
      </c>
      <c r="Z68" s="8">
        <v>978.75899999999899</v>
      </c>
      <c r="AA68" s="8">
        <v>175.11699999999999</v>
      </c>
      <c r="AB68" s="8">
        <v>22.914999999999999</v>
      </c>
      <c r="AC68" s="8">
        <v>2.3559999999999999</v>
      </c>
    </row>
    <row r="69" spans="1:29" ht="11.65" x14ac:dyDescent="0.35">
      <c r="A69" s="12">
        <v>52</v>
      </c>
      <c r="B69" s="10" t="s">
        <v>1015</v>
      </c>
      <c r="C69" s="36" t="s">
        <v>1025</v>
      </c>
      <c r="D69" s="9" t="s">
        <v>1026</v>
      </c>
      <c r="E69" s="9">
        <v>902</v>
      </c>
      <c r="F69" s="10" t="s">
        <v>1024</v>
      </c>
      <c r="G69" s="9">
        <v>1803</v>
      </c>
      <c r="H69" s="9">
        <v>1980</v>
      </c>
      <c r="I69" s="8">
        <v>240148.90299999999</v>
      </c>
      <c r="J69" s="8">
        <v>228008.51199999999</v>
      </c>
      <c r="K69" s="8">
        <v>212169.79300000001</v>
      </c>
      <c r="L69" s="8">
        <v>183847.47099999999</v>
      </c>
      <c r="M69" s="8">
        <v>155640.87299999999</v>
      </c>
      <c r="N69" s="8">
        <v>139218.42499999999</v>
      </c>
      <c r="O69" s="8">
        <v>105952.466</v>
      </c>
      <c r="P69" s="8">
        <v>88224.694000000003</v>
      </c>
      <c r="Q69" s="8">
        <v>81085.969000000099</v>
      </c>
      <c r="R69" s="8">
        <v>71453.453999999998</v>
      </c>
      <c r="S69" s="8">
        <v>60473.120999999999</v>
      </c>
      <c r="T69" s="8">
        <v>48540.817000000003</v>
      </c>
      <c r="U69" s="8">
        <v>38692.49</v>
      </c>
      <c r="V69" s="8">
        <v>28413.617999999999</v>
      </c>
      <c r="W69" s="8">
        <v>18134.142</v>
      </c>
      <c r="X69" s="8">
        <v>9903.3729999999996</v>
      </c>
      <c r="Y69" s="8">
        <v>4171.1130000000003</v>
      </c>
      <c r="Z69" s="8">
        <v>1208.345</v>
      </c>
      <c r="AA69" s="8">
        <v>243.90700000000001</v>
      </c>
      <c r="AB69" s="8">
        <v>31.306999999999999</v>
      </c>
      <c r="AC69" s="8">
        <v>3.2810000000000001</v>
      </c>
    </row>
    <row r="70" spans="1:29" ht="11.65" x14ac:dyDescent="0.35">
      <c r="A70" s="12">
        <v>53</v>
      </c>
      <c r="B70" s="10" t="s">
        <v>1015</v>
      </c>
      <c r="C70" s="36" t="s">
        <v>1025</v>
      </c>
      <c r="D70" s="9" t="s">
        <v>1026</v>
      </c>
      <c r="E70" s="9">
        <v>902</v>
      </c>
      <c r="F70" s="10" t="s">
        <v>1024</v>
      </c>
      <c r="G70" s="9">
        <v>1803</v>
      </c>
      <c r="H70" s="9">
        <v>1985</v>
      </c>
      <c r="I70" s="8">
        <v>262380.99800000002</v>
      </c>
      <c r="J70" s="8">
        <v>232413.701</v>
      </c>
      <c r="K70" s="8">
        <v>225193.345</v>
      </c>
      <c r="L70" s="8">
        <v>209690.31299999999</v>
      </c>
      <c r="M70" s="8">
        <v>180780.17600000001</v>
      </c>
      <c r="N70" s="8">
        <v>152978.60999999999</v>
      </c>
      <c r="O70" s="8">
        <v>136818.652</v>
      </c>
      <c r="P70" s="8">
        <v>103892.34299999999</v>
      </c>
      <c r="Q70" s="8">
        <v>85914.010999999999</v>
      </c>
      <c r="R70" s="8">
        <v>78135.603000000003</v>
      </c>
      <c r="S70" s="8">
        <v>67847.823999999993</v>
      </c>
      <c r="T70" s="8">
        <v>56066.942999999999</v>
      </c>
      <c r="U70" s="8">
        <v>43284.595000000103</v>
      </c>
      <c r="V70" s="8">
        <v>32455.781999999999</v>
      </c>
      <c r="W70" s="8">
        <v>21700.777999999998</v>
      </c>
      <c r="X70" s="8">
        <v>11942.936</v>
      </c>
      <c r="Y70" s="8">
        <v>5210.2569999999996</v>
      </c>
      <c r="Z70" s="8">
        <v>1577.0640000000001</v>
      </c>
      <c r="AA70" s="8">
        <v>311.81400000000002</v>
      </c>
      <c r="AB70" s="8">
        <v>44.863</v>
      </c>
      <c r="AC70" s="8">
        <v>4.5259999999999998</v>
      </c>
    </row>
    <row r="71" spans="1:29" ht="11.65" x14ac:dyDescent="0.35">
      <c r="A71" s="12">
        <v>54</v>
      </c>
      <c r="B71" s="10" t="s">
        <v>1015</v>
      </c>
      <c r="C71" s="36" t="s">
        <v>1025</v>
      </c>
      <c r="D71" s="9" t="s">
        <v>1026</v>
      </c>
      <c r="E71" s="9">
        <v>902</v>
      </c>
      <c r="F71" s="10" t="s">
        <v>1024</v>
      </c>
      <c r="G71" s="9">
        <v>1803</v>
      </c>
      <c r="H71" s="9">
        <v>1990</v>
      </c>
      <c r="I71" s="8">
        <v>290925.90100000001</v>
      </c>
      <c r="J71" s="8">
        <v>254975.31299999999</v>
      </c>
      <c r="K71" s="8">
        <v>230047.00599999999</v>
      </c>
      <c r="L71" s="8">
        <v>222547.93900000001</v>
      </c>
      <c r="M71" s="8">
        <v>206215.99799999999</v>
      </c>
      <c r="N71" s="8">
        <v>177683.24</v>
      </c>
      <c r="O71" s="8">
        <v>150371.49900000001</v>
      </c>
      <c r="P71" s="8">
        <v>134257.56</v>
      </c>
      <c r="Q71" s="8">
        <v>101263.588</v>
      </c>
      <c r="R71" s="8">
        <v>82997.759999999995</v>
      </c>
      <c r="S71" s="8">
        <v>74494.427999999898</v>
      </c>
      <c r="T71" s="8">
        <v>63391.940999999999</v>
      </c>
      <c r="U71" s="8">
        <v>50472.33</v>
      </c>
      <c r="V71" s="8">
        <v>36746.000999999997</v>
      </c>
      <c r="W71" s="8">
        <v>25259.566999999999</v>
      </c>
      <c r="X71" s="8">
        <v>14574.112999999999</v>
      </c>
      <c r="Y71" s="8">
        <v>6391.5720000000001</v>
      </c>
      <c r="Z71" s="8">
        <v>2031.104</v>
      </c>
      <c r="AA71" s="8">
        <v>423.488</v>
      </c>
      <c r="AB71" s="8">
        <v>59.536999999999999</v>
      </c>
      <c r="AC71" s="8">
        <v>6.6840000000000002</v>
      </c>
    </row>
    <row r="72" spans="1:29" ht="11.65" x14ac:dyDescent="0.35">
      <c r="A72" s="12">
        <v>55</v>
      </c>
      <c r="B72" s="10" t="s">
        <v>1015</v>
      </c>
      <c r="C72" s="36" t="s">
        <v>1025</v>
      </c>
      <c r="D72" s="9" t="s">
        <v>1026</v>
      </c>
      <c r="E72" s="9">
        <v>902</v>
      </c>
      <c r="F72" s="10" t="s">
        <v>1024</v>
      </c>
      <c r="G72" s="9">
        <v>1803</v>
      </c>
      <c r="H72" s="9">
        <v>1995</v>
      </c>
      <c r="I72" s="8">
        <v>283235.47700000001</v>
      </c>
      <c r="J72" s="8">
        <v>283724.41499999998</v>
      </c>
      <c r="K72" s="8">
        <v>252443.11</v>
      </c>
      <c r="L72" s="8">
        <v>226800.095</v>
      </c>
      <c r="M72" s="8">
        <v>217963.26699999999</v>
      </c>
      <c r="N72" s="8">
        <v>202191.85399999999</v>
      </c>
      <c r="O72" s="8">
        <v>174589.87299999999</v>
      </c>
      <c r="P72" s="8">
        <v>147545.541</v>
      </c>
      <c r="Q72" s="8">
        <v>131230.71799999999</v>
      </c>
      <c r="R72" s="8">
        <v>98097.205000000002</v>
      </c>
      <c r="S72" s="8">
        <v>79326.956000000006</v>
      </c>
      <c r="T72" s="8">
        <v>69638.131999999998</v>
      </c>
      <c r="U72" s="8">
        <v>57314.023999999998</v>
      </c>
      <c r="V72" s="8">
        <v>43032.913999999997</v>
      </c>
      <c r="W72" s="8">
        <v>28645.253000000001</v>
      </c>
      <c r="X72" s="8">
        <v>17165.776000000002</v>
      </c>
      <c r="Y72" s="8">
        <v>8065.5410000000002</v>
      </c>
      <c r="Z72" s="8">
        <v>2606.011</v>
      </c>
      <c r="AA72" s="8">
        <v>565.91399999999999</v>
      </c>
      <c r="AB72" s="8">
        <v>82.888000000000005</v>
      </c>
      <c r="AC72" s="8">
        <v>8.907</v>
      </c>
    </row>
    <row r="73" spans="1:29" ht="11.65" x14ac:dyDescent="0.35">
      <c r="A73" s="12">
        <v>56</v>
      </c>
      <c r="B73" s="10" t="s">
        <v>1015</v>
      </c>
      <c r="C73" s="36" t="s">
        <v>1025</v>
      </c>
      <c r="D73" s="9" t="s">
        <v>1026</v>
      </c>
      <c r="E73" s="9">
        <v>902</v>
      </c>
      <c r="F73" s="10" t="s">
        <v>1024</v>
      </c>
      <c r="G73" s="9">
        <v>1803</v>
      </c>
      <c r="H73" s="9">
        <v>2000</v>
      </c>
      <c r="I73" s="8">
        <v>284473.8</v>
      </c>
      <c r="J73" s="8">
        <v>276973.777</v>
      </c>
      <c r="K73" s="8">
        <v>280888.23</v>
      </c>
      <c r="L73" s="8">
        <v>249054.65100000001</v>
      </c>
      <c r="M73" s="8">
        <v>222318.27900000001</v>
      </c>
      <c r="N73" s="8">
        <v>213967.72200000001</v>
      </c>
      <c r="O73" s="8">
        <v>198413.52799999999</v>
      </c>
      <c r="P73" s="8">
        <v>171068.45600000001</v>
      </c>
      <c r="Q73" s="8">
        <v>143990.70800000001</v>
      </c>
      <c r="R73" s="8">
        <v>127216.44500000001</v>
      </c>
      <c r="S73" s="8">
        <v>93728.903000000093</v>
      </c>
      <c r="T73" s="8">
        <v>74132.987999999998</v>
      </c>
      <c r="U73" s="8">
        <v>63093.072999999997</v>
      </c>
      <c r="V73" s="8">
        <v>49203.065999999999</v>
      </c>
      <c r="W73" s="8">
        <v>33806.408000000003</v>
      </c>
      <c r="X73" s="8">
        <v>19700.986000000001</v>
      </c>
      <c r="Y73" s="8">
        <v>9661.0889999999999</v>
      </c>
      <c r="Z73" s="8">
        <v>3436.48</v>
      </c>
      <c r="AA73" s="8">
        <v>774.86900000000003</v>
      </c>
      <c r="AB73" s="8">
        <v>119.798</v>
      </c>
      <c r="AC73" s="8">
        <v>12.78</v>
      </c>
    </row>
    <row r="74" spans="1:29" ht="11.65" x14ac:dyDescent="0.35">
      <c r="A74" s="12">
        <v>57</v>
      </c>
      <c r="B74" s="10" t="s">
        <v>1015</v>
      </c>
      <c r="C74" s="36" t="s">
        <v>1025</v>
      </c>
      <c r="D74" s="9" t="s">
        <v>1026</v>
      </c>
      <c r="E74" s="9">
        <v>902</v>
      </c>
      <c r="F74" s="10" t="s">
        <v>1024</v>
      </c>
      <c r="G74" s="9">
        <v>1803</v>
      </c>
      <c r="H74" s="9">
        <v>2005</v>
      </c>
      <c r="I74" s="8">
        <v>290756.55699999997</v>
      </c>
      <c r="J74" s="8">
        <v>279754.353</v>
      </c>
      <c r="K74" s="8">
        <v>275049.95400000003</v>
      </c>
      <c r="L74" s="8">
        <v>277290.99</v>
      </c>
      <c r="M74" s="8">
        <v>243574.323</v>
      </c>
      <c r="N74" s="8">
        <v>218131.12700000001</v>
      </c>
      <c r="O74" s="8">
        <v>210219.81</v>
      </c>
      <c r="P74" s="8">
        <v>194704.20800000001</v>
      </c>
      <c r="Q74" s="8">
        <v>167091.90100000001</v>
      </c>
      <c r="R74" s="8">
        <v>139285.68</v>
      </c>
      <c r="S74" s="8">
        <v>121950.79399999999</v>
      </c>
      <c r="T74" s="8">
        <v>88652.721000000005</v>
      </c>
      <c r="U74" s="8">
        <v>67867.558999999994</v>
      </c>
      <c r="V74" s="8">
        <v>54635.737999999998</v>
      </c>
      <c r="W74" s="8">
        <v>39241.866999999998</v>
      </c>
      <c r="X74" s="8">
        <v>23557.785</v>
      </c>
      <c r="Y74" s="8">
        <v>11422.868</v>
      </c>
      <c r="Z74" s="8">
        <v>4260.6710000000003</v>
      </c>
      <c r="AA74" s="8">
        <v>1062.6769999999999</v>
      </c>
      <c r="AB74" s="8">
        <v>170.48599999999999</v>
      </c>
      <c r="AC74" s="8">
        <v>19.303999999999998</v>
      </c>
    </row>
    <row r="75" spans="1:29" ht="11.65" x14ac:dyDescent="0.35">
      <c r="A75" s="12">
        <v>58</v>
      </c>
      <c r="B75" s="10" t="s">
        <v>1015</v>
      </c>
      <c r="C75" s="36" t="s">
        <v>1025</v>
      </c>
      <c r="D75" s="9" t="s">
        <v>1026</v>
      </c>
      <c r="E75" s="9">
        <v>902</v>
      </c>
      <c r="F75" s="10" t="s">
        <v>1024</v>
      </c>
      <c r="G75" s="9">
        <v>1803</v>
      </c>
      <c r="H75" s="9">
        <v>2010</v>
      </c>
      <c r="I75" s="8">
        <v>301477.89899999998</v>
      </c>
      <c r="J75" s="8">
        <v>286516.054</v>
      </c>
      <c r="K75" s="8">
        <v>277703.99599999998</v>
      </c>
      <c r="L75" s="8">
        <v>271405.28000000003</v>
      </c>
      <c r="M75" s="8">
        <v>271398.83600000001</v>
      </c>
      <c r="N75" s="8">
        <v>239951.25399999999</v>
      </c>
      <c r="O75" s="8">
        <v>214665.33300000001</v>
      </c>
      <c r="P75" s="8">
        <v>207084.603</v>
      </c>
      <c r="Q75" s="8">
        <v>191173.709</v>
      </c>
      <c r="R75" s="8">
        <v>162847.302</v>
      </c>
      <c r="S75" s="8">
        <v>134383.092</v>
      </c>
      <c r="T75" s="8">
        <v>115516.27800000001</v>
      </c>
      <c r="U75" s="8">
        <v>81210.691999999894</v>
      </c>
      <c r="V75" s="8">
        <v>59210.574000000001</v>
      </c>
      <c r="W75" s="8">
        <v>44112.764999999999</v>
      </c>
      <c r="X75" s="8">
        <v>27746.643</v>
      </c>
      <c r="Y75" s="8">
        <v>14075.835999999999</v>
      </c>
      <c r="Z75" s="8">
        <v>5240.9780000000001</v>
      </c>
      <c r="AA75" s="8">
        <v>1375.126</v>
      </c>
      <c r="AB75" s="8">
        <v>245.93199999999999</v>
      </c>
      <c r="AC75" s="8">
        <v>29.061</v>
      </c>
    </row>
    <row r="76" spans="1:29" ht="11.65" x14ac:dyDescent="0.35">
      <c r="A76" s="12">
        <v>59</v>
      </c>
      <c r="B76" s="10" t="s">
        <v>1015</v>
      </c>
      <c r="C76" s="36" t="s">
        <v>1025</v>
      </c>
      <c r="D76" s="9" t="s">
        <v>1026</v>
      </c>
      <c r="E76" s="9">
        <v>902</v>
      </c>
      <c r="F76" s="10" t="s">
        <v>1024</v>
      </c>
      <c r="G76" s="9">
        <v>1803</v>
      </c>
      <c r="H76" s="9">
        <v>2015</v>
      </c>
      <c r="I76" s="8">
        <v>310661.05099999998</v>
      </c>
      <c r="J76" s="8">
        <v>297331.217</v>
      </c>
      <c r="K76" s="8">
        <v>284219.3</v>
      </c>
      <c r="L76" s="8">
        <v>275058.598</v>
      </c>
      <c r="M76" s="8">
        <v>267689.08799999999</v>
      </c>
      <c r="N76" s="8">
        <v>267806.603</v>
      </c>
      <c r="O76" s="8">
        <v>236421.16500000001</v>
      </c>
      <c r="P76" s="8">
        <v>210826.15599999999</v>
      </c>
      <c r="Q76" s="8">
        <v>202982.10800000001</v>
      </c>
      <c r="R76" s="8">
        <v>186404.54300000001</v>
      </c>
      <c r="S76" s="8">
        <v>157256.80900000001</v>
      </c>
      <c r="T76" s="8">
        <v>127640.364</v>
      </c>
      <c r="U76" s="8">
        <v>106885.40399999999</v>
      </c>
      <c r="V76" s="8">
        <v>71561.262000000002</v>
      </c>
      <c r="W76" s="8">
        <v>48454.423000000003</v>
      </c>
      <c r="X76" s="8">
        <v>31944.492999999999</v>
      </c>
      <c r="Y76" s="8">
        <v>17056.63</v>
      </c>
      <c r="Z76" s="8">
        <v>6745.6710000000003</v>
      </c>
      <c r="AA76" s="8">
        <v>1811.569</v>
      </c>
      <c r="AB76" s="8">
        <v>341.60599999999999</v>
      </c>
      <c r="AC76" s="8">
        <v>45.262999999999998</v>
      </c>
    </row>
    <row r="77" spans="1:29" ht="11.65" x14ac:dyDescent="0.35">
      <c r="A77" s="12">
        <v>60</v>
      </c>
      <c r="B77" s="10" t="s">
        <v>1015</v>
      </c>
      <c r="C77" s="36" t="s">
        <v>1025</v>
      </c>
      <c r="D77" s="9" t="s">
        <v>1026</v>
      </c>
      <c r="E77" s="9">
        <v>902</v>
      </c>
      <c r="F77" s="10" t="s">
        <v>1024</v>
      </c>
      <c r="G77" s="9">
        <v>1803</v>
      </c>
      <c r="H77" s="9">
        <v>2020</v>
      </c>
      <c r="I77" s="8">
        <v>314826.63099999999</v>
      </c>
      <c r="J77" s="8">
        <v>306954.15999999997</v>
      </c>
      <c r="K77" s="8">
        <v>295175.12</v>
      </c>
      <c r="L77" s="8">
        <v>281467.61599999998</v>
      </c>
      <c r="M77" s="8">
        <v>271719.76500000001</v>
      </c>
      <c r="N77" s="8">
        <v>265263.71600000001</v>
      </c>
      <c r="O77" s="8">
        <v>265079.37699999998</v>
      </c>
      <c r="P77" s="8">
        <v>232683.46299999999</v>
      </c>
      <c r="Q77" s="8">
        <v>206784.33100000001</v>
      </c>
      <c r="R77" s="8">
        <v>198249.29699999999</v>
      </c>
      <c r="S77" s="8">
        <v>180568.59299999999</v>
      </c>
      <c r="T77" s="8">
        <v>149942.16699999999</v>
      </c>
      <c r="U77" s="8">
        <v>118547.94100000001</v>
      </c>
      <c r="V77" s="8">
        <v>95355.009000000093</v>
      </c>
      <c r="W77" s="8">
        <v>59388.828000000001</v>
      </c>
      <c r="X77" s="8">
        <v>35838.374000000003</v>
      </c>
      <c r="Y77" s="8">
        <v>20112.072</v>
      </c>
      <c r="Z77" s="8">
        <v>8535.8379999999997</v>
      </c>
      <c r="AA77" s="8">
        <v>2465.8690000000001</v>
      </c>
      <c r="AB77" s="8">
        <v>484.01600000000002</v>
      </c>
      <c r="AC77" s="8">
        <v>68.441999999999993</v>
      </c>
    </row>
    <row r="78" spans="1:29" ht="11.65" x14ac:dyDescent="0.35">
      <c r="A78" s="12">
        <v>61</v>
      </c>
      <c r="B78" s="10" t="s">
        <v>1015</v>
      </c>
      <c r="C78" s="30" t="s">
        <v>1027</v>
      </c>
      <c r="D78" s="9" t="s">
        <v>1028</v>
      </c>
      <c r="E78" s="9">
        <v>941</v>
      </c>
      <c r="F78" s="10" t="s">
        <v>1024</v>
      </c>
      <c r="G78" s="9">
        <v>902</v>
      </c>
      <c r="H78" s="9">
        <v>1950</v>
      </c>
      <c r="I78" s="8">
        <v>16335.273999999999</v>
      </c>
      <c r="J78" s="8">
        <v>12920.616</v>
      </c>
      <c r="K78" s="8">
        <v>11249.251</v>
      </c>
      <c r="L78" s="8">
        <v>9998.4470000000001</v>
      </c>
      <c r="M78" s="8">
        <v>8713.4259999999995</v>
      </c>
      <c r="N78" s="8">
        <v>7520.6459999999997</v>
      </c>
      <c r="O78" s="8">
        <v>6491.9279999999999</v>
      </c>
      <c r="P78" s="8">
        <v>5542.8829999999998</v>
      </c>
      <c r="Q78" s="8">
        <v>4721.0469999999996</v>
      </c>
      <c r="R78" s="8">
        <v>3925.982</v>
      </c>
      <c r="S78" s="8">
        <v>3082.6489999999999</v>
      </c>
      <c r="T78" s="8">
        <v>2437.1709999999998</v>
      </c>
      <c r="U78" s="8">
        <v>1844.0350000000001</v>
      </c>
      <c r="V78" s="8">
        <v>1355.6690000000001</v>
      </c>
      <c r="W78" s="8">
        <v>913.94299999999998</v>
      </c>
      <c r="X78" s="8">
        <v>511.517</v>
      </c>
      <c r="Y78" s="8">
        <v>196.02199999999999</v>
      </c>
      <c r="Z78" s="8">
        <v>46.87</v>
      </c>
      <c r="AA78" s="8">
        <v>6.6520000000000001</v>
      </c>
      <c r="AB78" s="8">
        <v>0.57799999999999996</v>
      </c>
      <c r="AC78" s="8">
        <v>3.9E-2</v>
      </c>
    </row>
    <row r="79" spans="1:29" ht="11.65" x14ac:dyDescent="0.35">
      <c r="A79" s="12">
        <v>62</v>
      </c>
      <c r="B79" s="10" t="s">
        <v>1015</v>
      </c>
      <c r="C79" s="30" t="s">
        <v>1027</v>
      </c>
      <c r="D79" s="9" t="s">
        <v>1028</v>
      </c>
      <c r="E79" s="9">
        <v>941</v>
      </c>
      <c r="F79" s="10" t="s">
        <v>1024</v>
      </c>
      <c r="G79" s="9">
        <v>902</v>
      </c>
      <c r="H79" s="9">
        <v>1955</v>
      </c>
      <c r="I79" s="8">
        <v>18502.012999999999</v>
      </c>
      <c r="J79" s="8">
        <v>14317.643</v>
      </c>
      <c r="K79" s="8">
        <v>12395.56</v>
      </c>
      <c r="L79" s="8">
        <v>10874.088</v>
      </c>
      <c r="M79" s="8">
        <v>9537.4879999999994</v>
      </c>
      <c r="N79" s="8">
        <v>8223.66</v>
      </c>
      <c r="O79" s="8">
        <v>7076.92</v>
      </c>
      <c r="P79" s="8">
        <v>6074.36</v>
      </c>
      <c r="Q79" s="8">
        <v>5135.076</v>
      </c>
      <c r="R79" s="8">
        <v>4316.9960000000001</v>
      </c>
      <c r="S79" s="8">
        <v>3521.232</v>
      </c>
      <c r="T79" s="8">
        <v>2688.739</v>
      </c>
      <c r="U79" s="8">
        <v>2013.9079999999999</v>
      </c>
      <c r="V79" s="8">
        <v>1392.059</v>
      </c>
      <c r="W79" s="8">
        <v>894.79300000000001</v>
      </c>
      <c r="X79" s="8">
        <v>482.84300000000002</v>
      </c>
      <c r="Y79" s="8">
        <v>194.71299999999999</v>
      </c>
      <c r="Z79" s="8">
        <v>47.502000000000002</v>
      </c>
      <c r="AA79" s="8">
        <v>6.7770000000000001</v>
      </c>
      <c r="AB79" s="8">
        <v>0.56899999999999995</v>
      </c>
      <c r="AC79" s="8">
        <v>3.4000000000000002E-2</v>
      </c>
    </row>
    <row r="80" spans="1:29" ht="11.65" x14ac:dyDescent="0.35">
      <c r="A80" s="12">
        <v>63</v>
      </c>
      <c r="B80" s="10" t="s">
        <v>1015</v>
      </c>
      <c r="C80" s="30" t="s">
        <v>1027</v>
      </c>
      <c r="D80" s="9" t="s">
        <v>1028</v>
      </c>
      <c r="E80" s="9">
        <v>941</v>
      </c>
      <c r="F80" s="10" t="s">
        <v>1024</v>
      </c>
      <c r="G80" s="9">
        <v>902</v>
      </c>
      <c r="H80" s="9">
        <v>1960</v>
      </c>
      <c r="I80" s="8">
        <v>21175.058000000001</v>
      </c>
      <c r="J80" s="8">
        <v>16487.441999999999</v>
      </c>
      <c r="K80" s="8">
        <v>13767.964</v>
      </c>
      <c r="L80" s="8">
        <v>11986.263000000001</v>
      </c>
      <c r="M80" s="8">
        <v>10408.364</v>
      </c>
      <c r="N80" s="8">
        <v>9072.4580000000005</v>
      </c>
      <c r="O80" s="8">
        <v>7786.8779999999997</v>
      </c>
      <c r="P80" s="8">
        <v>6673.0619999999999</v>
      </c>
      <c r="Q80" s="8">
        <v>5677.6880000000001</v>
      </c>
      <c r="R80" s="8">
        <v>4742.8419999999996</v>
      </c>
      <c r="S80" s="8">
        <v>3898.05</v>
      </c>
      <c r="T80" s="8">
        <v>3095.7809999999999</v>
      </c>
      <c r="U80" s="8">
        <v>2246.991</v>
      </c>
      <c r="V80" s="8">
        <v>1544.124</v>
      </c>
      <c r="W80" s="8">
        <v>940.55600000000004</v>
      </c>
      <c r="X80" s="8">
        <v>497.84800000000001</v>
      </c>
      <c r="Y80" s="8">
        <v>192.58500000000001</v>
      </c>
      <c r="Z80" s="8">
        <v>50.881999999999998</v>
      </c>
      <c r="AA80" s="8">
        <v>7.3029999999999999</v>
      </c>
      <c r="AB80" s="8">
        <v>0.61799999999999999</v>
      </c>
      <c r="AC80" s="8">
        <v>3.5000000000000003E-2</v>
      </c>
    </row>
    <row r="81" spans="1:29" ht="11.65" x14ac:dyDescent="0.35">
      <c r="A81" s="12">
        <v>64</v>
      </c>
      <c r="B81" s="10" t="s">
        <v>1015</v>
      </c>
      <c r="C81" s="30" t="s">
        <v>1027</v>
      </c>
      <c r="D81" s="9" t="s">
        <v>1028</v>
      </c>
      <c r="E81" s="9">
        <v>941</v>
      </c>
      <c r="F81" s="10" t="s">
        <v>1024</v>
      </c>
      <c r="G81" s="9">
        <v>902</v>
      </c>
      <c r="H81" s="9">
        <v>1965</v>
      </c>
      <c r="I81" s="8">
        <v>24227.940999999999</v>
      </c>
      <c r="J81" s="8">
        <v>19057.107</v>
      </c>
      <c r="K81" s="8">
        <v>15916.48</v>
      </c>
      <c r="L81" s="8">
        <v>13342.09</v>
      </c>
      <c r="M81" s="8">
        <v>11455.826999999999</v>
      </c>
      <c r="N81" s="8">
        <v>9855.0669999999991</v>
      </c>
      <c r="O81" s="8">
        <v>8579.1200000000008</v>
      </c>
      <c r="P81" s="8">
        <v>7334.9589999999998</v>
      </c>
      <c r="Q81" s="8">
        <v>6236.8860000000004</v>
      </c>
      <c r="R81" s="8">
        <v>5247.6270000000004</v>
      </c>
      <c r="S81" s="8">
        <v>4310.3389999999999</v>
      </c>
      <c r="T81" s="8">
        <v>3454.0120000000002</v>
      </c>
      <c r="U81" s="8">
        <v>2612.297</v>
      </c>
      <c r="V81" s="8">
        <v>1746.58</v>
      </c>
      <c r="W81" s="8">
        <v>1061.972</v>
      </c>
      <c r="X81" s="8">
        <v>531.93700000000001</v>
      </c>
      <c r="Y81" s="8">
        <v>210.45099999999999</v>
      </c>
      <c r="Z81" s="8">
        <v>53.610999999999997</v>
      </c>
      <c r="AA81" s="8">
        <v>8.3130000000000006</v>
      </c>
      <c r="AB81" s="8">
        <v>0.68300000000000005</v>
      </c>
      <c r="AC81" s="8">
        <v>4.2000000000000003E-2</v>
      </c>
    </row>
    <row r="82" spans="1:29" ht="11.65" x14ac:dyDescent="0.35">
      <c r="A82" s="12">
        <v>65</v>
      </c>
      <c r="B82" s="10" t="s">
        <v>1015</v>
      </c>
      <c r="C82" s="30" t="s">
        <v>1027</v>
      </c>
      <c r="D82" s="9" t="s">
        <v>1028</v>
      </c>
      <c r="E82" s="9">
        <v>941</v>
      </c>
      <c r="F82" s="10" t="s">
        <v>1024</v>
      </c>
      <c r="G82" s="9">
        <v>902</v>
      </c>
      <c r="H82" s="9">
        <v>1970</v>
      </c>
      <c r="I82" s="8">
        <v>27732.613000000001</v>
      </c>
      <c r="J82" s="8">
        <v>22096.710999999999</v>
      </c>
      <c r="K82" s="8">
        <v>18460.010999999999</v>
      </c>
      <c r="L82" s="8">
        <v>15424.165000000001</v>
      </c>
      <c r="M82" s="8">
        <v>12833.46</v>
      </c>
      <c r="N82" s="8">
        <v>10932.701999999999</v>
      </c>
      <c r="O82" s="8">
        <v>9367.4339999999993</v>
      </c>
      <c r="P82" s="8">
        <v>8101.5050000000001</v>
      </c>
      <c r="Q82" s="8">
        <v>6881.9139999999998</v>
      </c>
      <c r="R82" s="8">
        <v>5770.1750000000002</v>
      </c>
      <c r="S82" s="8">
        <v>4775.2219999999998</v>
      </c>
      <c r="T82" s="8">
        <v>3823.346</v>
      </c>
      <c r="U82" s="8">
        <v>2943.808</v>
      </c>
      <c r="V82" s="8">
        <v>2059.348</v>
      </c>
      <c r="W82" s="8">
        <v>1227.396</v>
      </c>
      <c r="X82" s="8">
        <v>613.601</v>
      </c>
      <c r="Y82" s="8">
        <v>228.76300000000001</v>
      </c>
      <c r="Z82" s="8">
        <v>61.777999999999999</v>
      </c>
      <c r="AA82" s="8">
        <v>9.2110000000000003</v>
      </c>
      <c r="AB82" s="8">
        <v>0.81100000000000005</v>
      </c>
      <c r="AC82" s="8">
        <v>4.4999999999999998E-2</v>
      </c>
    </row>
    <row r="83" spans="1:29" ht="11.65" x14ac:dyDescent="0.35">
      <c r="A83" s="12">
        <v>66</v>
      </c>
      <c r="B83" s="10" t="s">
        <v>1015</v>
      </c>
      <c r="C83" s="30" t="s">
        <v>1027</v>
      </c>
      <c r="D83" s="9" t="s">
        <v>1028</v>
      </c>
      <c r="E83" s="9">
        <v>941</v>
      </c>
      <c r="F83" s="10" t="s">
        <v>1024</v>
      </c>
      <c r="G83" s="9">
        <v>902</v>
      </c>
      <c r="H83" s="9">
        <v>1975</v>
      </c>
      <c r="I83" s="8">
        <v>31086.645</v>
      </c>
      <c r="J83" s="8">
        <v>25168.899000000001</v>
      </c>
      <c r="K83" s="8">
        <v>21271.78</v>
      </c>
      <c r="L83" s="8">
        <v>17429.349999999999</v>
      </c>
      <c r="M83" s="8">
        <v>14182.337</v>
      </c>
      <c r="N83" s="8">
        <v>12044.145</v>
      </c>
      <c r="O83" s="8">
        <v>10408.044</v>
      </c>
      <c r="P83" s="8">
        <v>8890.5400000000009</v>
      </c>
      <c r="Q83" s="8">
        <v>7638.7709999999997</v>
      </c>
      <c r="R83" s="8">
        <v>6421.1959999999999</v>
      </c>
      <c r="S83" s="8">
        <v>5300.759</v>
      </c>
      <c r="T83" s="8">
        <v>4283.0680000000002</v>
      </c>
      <c r="U83" s="8">
        <v>3282.53</v>
      </c>
      <c r="V83" s="8">
        <v>2347.5929999999998</v>
      </c>
      <c r="W83" s="8">
        <v>1465.18</v>
      </c>
      <c r="X83" s="8">
        <v>727.30100000000004</v>
      </c>
      <c r="Y83" s="8">
        <v>275.91699999999997</v>
      </c>
      <c r="Z83" s="8">
        <v>69.375</v>
      </c>
      <c r="AA83" s="8">
        <v>11.244</v>
      </c>
      <c r="AB83" s="8">
        <v>0.95099999999999996</v>
      </c>
      <c r="AC83" s="8">
        <v>5.5E-2</v>
      </c>
    </row>
    <row r="84" spans="1:29" ht="11.65" x14ac:dyDescent="0.35">
      <c r="A84" s="12">
        <v>67</v>
      </c>
      <c r="B84" s="10" t="s">
        <v>1015</v>
      </c>
      <c r="C84" s="30" t="s">
        <v>1027</v>
      </c>
      <c r="D84" s="9" t="s">
        <v>1028</v>
      </c>
      <c r="E84" s="9">
        <v>941</v>
      </c>
      <c r="F84" s="10" t="s">
        <v>1024</v>
      </c>
      <c r="G84" s="9">
        <v>902</v>
      </c>
      <c r="H84" s="9">
        <v>1980</v>
      </c>
      <c r="I84" s="8">
        <v>35275.502</v>
      </c>
      <c r="J84" s="8">
        <v>28575.010999999999</v>
      </c>
      <c r="K84" s="8">
        <v>24237.621999999999</v>
      </c>
      <c r="L84" s="8">
        <v>20398.919999999998</v>
      </c>
      <c r="M84" s="8">
        <v>16526.677</v>
      </c>
      <c r="N84" s="8">
        <v>13357.591</v>
      </c>
      <c r="O84" s="8">
        <v>11299.213</v>
      </c>
      <c r="P84" s="8">
        <v>9819.3430000000008</v>
      </c>
      <c r="Q84" s="8">
        <v>8370.6890000000003</v>
      </c>
      <c r="R84" s="8">
        <v>7086.085</v>
      </c>
      <c r="S84" s="8">
        <v>5857.3630000000003</v>
      </c>
      <c r="T84" s="8">
        <v>4755.9459999999999</v>
      </c>
      <c r="U84" s="8">
        <v>3669.2159999999999</v>
      </c>
      <c r="V84" s="8">
        <v>2627.2089999999998</v>
      </c>
      <c r="W84" s="8">
        <v>1679.8140000000001</v>
      </c>
      <c r="X84" s="8">
        <v>890.38300000000004</v>
      </c>
      <c r="Y84" s="8">
        <v>338.351</v>
      </c>
      <c r="Z84" s="8">
        <v>85.072000000000003</v>
      </c>
      <c r="AA84" s="8">
        <v>12.712</v>
      </c>
      <c r="AB84" s="8">
        <v>1.1890000000000001</v>
      </c>
      <c r="AC84" s="8">
        <v>6.3E-2</v>
      </c>
    </row>
    <row r="85" spans="1:29" ht="11.65" x14ac:dyDescent="0.35">
      <c r="A85" s="12">
        <v>68</v>
      </c>
      <c r="B85" s="10" t="s">
        <v>1015</v>
      </c>
      <c r="C85" s="30" t="s">
        <v>1027</v>
      </c>
      <c r="D85" s="9" t="s">
        <v>1028</v>
      </c>
      <c r="E85" s="9">
        <v>941</v>
      </c>
      <c r="F85" s="10" t="s">
        <v>1024</v>
      </c>
      <c r="G85" s="9">
        <v>902</v>
      </c>
      <c r="H85" s="9">
        <v>1985</v>
      </c>
      <c r="I85" s="8">
        <v>40027.031999999999</v>
      </c>
      <c r="J85" s="8">
        <v>32609.62</v>
      </c>
      <c r="K85" s="8">
        <v>27665.350999999999</v>
      </c>
      <c r="L85" s="8">
        <v>23509.052</v>
      </c>
      <c r="M85" s="8">
        <v>19545.841</v>
      </c>
      <c r="N85" s="8">
        <v>15753.563</v>
      </c>
      <c r="O85" s="8">
        <v>12736.779</v>
      </c>
      <c r="P85" s="8">
        <v>10740.991</v>
      </c>
      <c r="Q85" s="8">
        <v>9188.9830000000002</v>
      </c>
      <c r="R85" s="8">
        <v>7662.3389999999999</v>
      </c>
      <c r="S85" s="8">
        <v>6392.9139999999998</v>
      </c>
      <c r="T85" s="8">
        <v>5184.2349999999997</v>
      </c>
      <c r="U85" s="8">
        <v>4041.0569999999998</v>
      </c>
      <c r="V85" s="8">
        <v>2907.76</v>
      </c>
      <c r="W85" s="8">
        <v>1870.951</v>
      </c>
      <c r="X85" s="8">
        <v>1007.481</v>
      </c>
      <c r="Y85" s="8">
        <v>408.62099999999998</v>
      </c>
      <c r="Z85" s="8">
        <v>105.887</v>
      </c>
      <c r="AA85" s="8">
        <v>16.093</v>
      </c>
      <c r="AB85" s="8">
        <v>1.365</v>
      </c>
      <c r="AC85" s="8">
        <v>0.08</v>
      </c>
    </row>
    <row r="86" spans="1:29" ht="11.65" x14ac:dyDescent="0.35">
      <c r="A86" s="12">
        <v>69</v>
      </c>
      <c r="B86" s="10" t="s">
        <v>1015</v>
      </c>
      <c r="C86" s="30" t="s">
        <v>1027</v>
      </c>
      <c r="D86" s="9" t="s">
        <v>1028</v>
      </c>
      <c r="E86" s="9">
        <v>941</v>
      </c>
      <c r="F86" s="10" t="s">
        <v>1024</v>
      </c>
      <c r="G86" s="9">
        <v>902</v>
      </c>
      <c r="H86" s="9">
        <v>1990</v>
      </c>
      <c r="I86" s="8">
        <v>44548.678999999996</v>
      </c>
      <c r="J86" s="8">
        <v>37528.106</v>
      </c>
      <c r="K86" s="8">
        <v>31831.473000000002</v>
      </c>
      <c r="L86" s="8">
        <v>26932.26</v>
      </c>
      <c r="M86" s="8">
        <v>22549.537</v>
      </c>
      <c r="N86" s="8">
        <v>18666.481</v>
      </c>
      <c r="O86" s="8">
        <v>15021.346</v>
      </c>
      <c r="P86" s="8">
        <v>12086.64</v>
      </c>
      <c r="Q86" s="8">
        <v>10123.994000000001</v>
      </c>
      <c r="R86" s="8">
        <v>8584.7909999999993</v>
      </c>
      <c r="S86" s="8">
        <v>7066.0010000000002</v>
      </c>
      <c r="T86" s="8">
        <v>5795.174</v>
      </c>
      <c r="U86" s="8">
        <v>4513.5820000000003</v>
      </c>
      <c r="V86" s="8">
        <v>3307.9769999999999</v>
      </c>
      <c r="W86" s="8">
        <v>2174.4769999999999</v>
      </c>
      <c r="X86" s="8">
        <v>1190.4449999999999</v>
      </c>
      <c r="Y86" s="8">
        <v>491.27199999999999</v>
      </c>
      <c r="Z86" s="8">
        <v>132.59</v>
      </c>
      <c r="AA86" s="8">
        <v>20.774999999999999</v>
      </c>
      <c r="AB86" s="8">
        <v>1.8069999999999999</v>
      </c>
      <c r="AC86" s="8">
        <v>9.4E-2</v>
      </c>
    </row>
    <row r="87" spans="1:29" ht="11.65" x14ac:dyDescent="0.35">
      <c r="A87" s="12">
        <v>70</v>
      </c>
      <c r="B87" s="10" t="s">
        <v>1015</v>
      </c>
      <c r="C87" s="30" t="s">
        <v>1027</v>
      </c>
      <c r="D87" s="9" t="s">
        <v>1028</v>
      </c>
      <c r="E87" s="9">
        <v>941</v>
      </c>
      <c r="F87" s="10" t="s">
        <v>1024</v>
      </c>
      <c r="G87" s="9">
        <v>902</v>
      </c>
      <c r="H87" s="9">
        <v>1995</v>
      </c>
      <c r="I87" s="8">
        <v>49257.654000000002</v>
      </c>
      <c r="J87" s="8">
        <v>42248.864000000001</v>
      </c>
      <c r="K87" s="8">
        <v>36940.220999999998</v>
      </c>
      <c r="L87" s="8">
        <v>31072.435000000001</v>
      </c>
      <c r="M87" s="8">
        <v>25940.121999999999</v>
      </c>
      <c r="N87" s="8">
        <v>21669.518</v>
      </c>
      <c r="O87" s="8">
        <v>18042.558000000001</v>
      </c>
      <c r="P87" s="8">
        <v>14591.814</v>
      </c>
      <c r="Q87" s="8">
        <v>11693.942999999999</v>
      </c>
      <c r="R87" s="8">
        <v>9680.6820000000007</v>
      </c>
      <c r="S87" s="8">
        <v>8115.915</v>
      </c>
      <c r="T87" s="8">
        <v>6542.6180000000004</v>
      </c>
      <c r="U87" s="8">
        <v>5200.0780000000004</v>
      </c>
      <c r="V87" s="8">
        <v>3779.0010000000002</v>
      </c>
      <c r="W87" s="8">
        <v>2535.5070000000001</v>
      </c>
      <c r="X87" s="8">
        <v>1448.4839999999999</v>
      </c>
      <c r="Y87" s="8">
        <v>615.86400000000003</v>
      </c>
      <c r="Z87" s="8">
        <v>168.64400000000001</v>
      </c>
      <c r="AA87" s="8">
        <v>27.233000000000001</v>
      </c>
      <c r="AB87" s="8">
        <v>2.4830000000000001</v>
      </c>
      <c r="AC87" s="8">
        <v>0.13500000000000001</v>
      </c>
    </row>
    <row r="88" spans="1:29" ht="11.65" x14ac:dyDescent="0.35">
      <c r="A88" s="12">
        <v>71</v>
      </c>
      <c r="B88" s="10" t="s">
        <v>1015</v>
      </c>
      <c r="C88" s="30" t="s">
        <v>1027</v>
      </c>
      <c r="D88" s="9" t="s">
        <v>1028</v>
      </c>
      <c r="E88" s="9">
        <v>941</v>
      </c>
      <c r="F88" s="10" t="s">
        <v>1024</v>
      </c>
      <c r="G88" s="9">
        <v>902</v>
      </c>
      <c r="H88" s="9">
        <v>2000</v>
      </c>
      <c r="I88" s="8">
        <v>54542.540999999997</v>
      </c>
      <c r="J88" s="8">
        <v>46954.434999999998</v>
      </c>
      <c r="K88" s="8">
        <v>41438.843999999997</v>
      </c>
      <c r="L88" s="8">
        <v>36025.237000000001</v>
      </c>
      <c r="M88" s="8">
        <v>29725.285</v>
      </c>
      <c r="N88" s="8">
        <v>24675.829000000002</v>
      </c>
      <c r="O88" s="8">
        <v>20648.879000000001</v>
      </c>
      <c r="P88" s="8">
        <v>17213.105</v>
      </c>
      <c r="Q88" s="8">
        <v>13746.536</v>
      </c>
      <c r="R88" s="8">
        <v>10930.698</v>
      </c>
      <c r="S88" s="8">
        <v>8938.4030000000002</v>
      </c>
      <c r="T88" s="8">
        <v>7363.7979999999998</v>
      </c>
      <c r="U88" s="8">
        <v>5725.21</v>
      </c>
      <c r="V88" s="8">
        <v>4318.3419999999996</v>
      </c>
      <c r="W88" s="8">
        <v>2848.9209999999998</v>
      </c>
      <c r="X88" s="8">
        <v>1682.569</v>
      </c>
      <c r="Y88" s="8">
        <v>758.87599999999998</v>
      </c>
      <c r="Z88" s="8">
        <v>223.99299999999999</v>
      </c>
      <c r="AA88" s="8">
        <v>38.722000000000001</v>
      </c>
      <c r="AB88" s="8">
        <v>3.7879999999999998</v>
      </c>
      <c r="AC88" s="8">
        <v>0.21199999999999999</v>
      </c>
    </row>
    <row r="89" spans="1:29" ht="11.65" x14ac:dyDescent="0.35">
      <c r="A89" s="12">
        <v>72</v>
      </c>
      <c r="B89" s="10" t="s">
        <v>1015</v>
      </c>
      <c r="C89" s="30" t="s">
        <v>1027</v>
      </c>
      <c r="D89" s="9" t="s">
        <v>1028</v>
      </c>
      <c r="E89" s="9">
        <v>941</v>
      </c>
      <c r="F89" s="10" t="s">
        <v>1024</v>
      </c>
      <c r="G89" s="9">
        <v>902</v>
      </c>
      <c r="H89" s="9">
        <v>2005</v>
      </c>
      <c r="I89" s="8">
        <v>60183.993999999999</v>
      </c>
      <c r="J89" s="8">
        <v>52540.817999999999</v>
      </c>
      <c r="K89" s="8">
        <v>46259.201000000001</v>
      </c>
      <c r="L89" s="8">
        <v>40308.911999999997</v>
      </c>
      <c r="M89" s="8">
        <v>34479.732000000004</v>
      </c>
      <c r="N89" s="8">
        <v>28426.036</v>
      </c>
      <c r="O89" s="8">
        <v>23700.563999999998</v>
      </c>
      <c r="P89" s="8">
        <v>19776.069</v>
      </c>
      <c r="Q89" s="8">
        <v>16378.267</v>
      </c>
      <c r="R89" s="8">
        <v>12920.242</v>
      </c>
      <c r="S89" s="8">
        <v>10152.664000000001</v>
      </c>
      <c r="T89" s="8">
        <v>8177.45</v>
      </c>
      <c r="U89" s="8">
        <v>6525.5810000000001</v>
      </c>
      <c r="V89" s="8">
        <v>4807.3990000000003</v>
      </c>
      <c r="W89" s="8">
        <v>3312.982</v>
      </c>
      <c r="X89" s="8">
        <v>1907.1679999999999</v>
      </c>
      <c r="Y89" s="8">
        <v>903.98699999999997</v>
      </c>
      <c r="Z89" s="8">
        <v>290.92099999999999</v>
      </c>
      <c r="AA89" s="8">
        <v>55.408999999999999</v>
      </c>
      <c r="AB89" s="8">
        <v>5.992</v>
      </c>
      <c r="AC89" s="8">
        <v>0.38</v>
      </c>
    </row>
    <row r="90" spans="1:29" ht="11.65" x14ac:dyDescent="0.35">
      <c r="A90" s="12">
        <v>73</v>
      </c>
      <c r="B90" s="10" t="s">
        <v>1015</v>
      </c>
      <c r="C90" s="30" t="s">
        <v>1027</v>
      </c>
      <c r="D90" s="9" t="s">
        <v>1028</v>
      </c>
      <c r="E90" s="9">
        <v>941</v>
      </c>
      <c r="F90" s="10" t="s">
        <v>1024</v>
      </c>
      <c r="G90" s="9">
        <v>902</v>
      </c>
      <c r="H90" s="9">
        <v>2010</v>
      </c>
      <c r="I90" s="8">
        <v>65420.29</v>
      </c>
      <c r="J90" s="8">
        <v>58313.144</v>
      </c>
      <c r="K90" s="8">
        <v>51777.421000000002</v>
      </c>
      <c r="L90" s="8">
        <v>45049.103000000003</v>
      </c>
      <c r="M90" s="8">
        <v>38085.366000000002</v>
      </c>
      <c r="N90" s="8">
        <v>32644.512999999999</v>
      </c>
      <c r="O90" s="8">
        <v>26941.667000000001</v>
      </c>
      <c r="P90" s="8">
        <v>22465.264999999999</v>
      </c>
      <c r="Q90" s="8">
        <v>18763.228999999999</v>
      </c>
      <c r="R90" s="8">
        <v>15428.120999999999</v>
      </c>
      <c r="S90" s="8">
        <v>12030.377</v>
      </c>
      <c r="T90" s="8">
        <v>9283.6980000000003</v>
      </c>
      <c r="U90" s="8">
        <v>7230.3639999999996</v>
      </c>
      <c r="V90" s="8">
        <v>5483.8940000000002</v>
      </c>
      <c r="W90" s="8">
        <v>3721.4589999999998</v>
      </c>
      <c r="X90" s="8">
        <v>2260.259</v>
      </c>
      <c r="Y90" s="8">
        <v>1078.155</v>
      </c>
      <c r="Z90" s="8">
        <v>366.19799999999998</v>
      </c>
      <c r="AA90" s="8">
        <v>78.668999999999997</v>
      </c>
      <c r="AB90" s="8">
        <v>9.6530000000000005</v>
      </c>
      <c r="AC90" s="8">
        <v>0.71699999999999997</v>
      </c>
    </row>
    <row r="91" spans="1:29" ht="11.65" x14ac:dyDescent="0.35">
      <c r="A91" s="12">
        <v>74</v>
      </c>
      <c r="B91" s="10" t="s">
        <v>1015</v>
      </c>
      <c r="C91" s="30" t="s">
        <v>1027</v>
      </c>
      <c r="D91" s="9" t="s">
        <v>1028</v>
      </c>
      <c r="E91" s="9">
        <v>941</v>
      </c>
      <c r="F91" s="10" t="s">
        <v>1024</v>
      </c>
      <c r="G91" s="9">
        <v>902</v>
      </c>
      <c r="H91" s="9">
        <v>2015</v>
      </c>
      <c r="I91" s="8">
        <v>70452.202999999994</v>
      </c>
      <c r="J91" s="8">
        <v>63776.002999999997</v>
      </c>
      <c r="K91" s="8">
        <v>57601.697999999997</v>
      </c>
      <c r="L91" s="8">
        <v>50901.665000000001</v>
      </c>
      <c r="M91" s="8">
        <v>43633.023999999998</v>
      </c>
      <c r="N91" s="8">
        <v>36529.216</v>
      </c>
      <c r="O91" s="8">
        <v>31248.324000000001</v>
      </c>
      <c r="P91" s="8">
        <v>25735.883000000002</v>
      </c>
      <c r="Q91" s="8">
        <v>21481.293000000001</v>
      </c>
      <c r="R91" s="8">
        <v>17830.86</v>
      </c>
      <c r="S91" s="8">
        <v>14507.681</v>
      </c>
      <c r="T91" s="8">
        <v>11105.034</v>
      </c>
      <c r="U91" s="8">
        <v>8274.9519999999993</v>
      </c>
      <c r="V91" s="8">
        <v>6125.0209999999997</v>
      </c>
      <c r="W91" s="8">
        <v>4293.95</v>
      </c>
      <c r="X91" s="8">
        <v>2567.107</v>
      </c>
      <c r="Y91" s="8">
        <v>1279.0170000000001</v>
      </c>
      <c r="Z91" s="8">
        <v>456.75400000000002</v>
      </c>
      <c r="AA91" s="8">
        <v>107.226</v>
      </c>
      <c r="AB91" s="8">
        <v>15.662000000000001</v>
      </c>
      <c r="AC91" s="8">
        <v>1.395</v>
      </c>
    </row>
    <row r="92" spans="1:29" ht="11.65" x14ac:dyDescent="0.35">
      <c r="A92" s="12">
        <v>75</v>
      </c>
      <c r="B92" s="10" t="s">
        <v>1015</v>
      </c>
      <c r="C92" s="30" t="s">
        <v>1027</v>
      </c>
      <c r="D92" s="9" t="s">
        <v>1028</v>
      </c>
      <c r="E92" s="9">
        <v>941</v>
      </c>
      <c r="F92" s="10" t="s">
        <v>1024</v>
      </c>
      <c r="G92" s="9">
        <v>902</v>
      </c>
      <c r="H92" s="9">
        <v>2020</v>
      </c>
      <c r="I92" s="8">
        <v>75612.981</v>
      </c>
      <c r="J92" s="8">
        <v>69045.322</v>
      </c>
      <c r="K92" s="8">
        <v>63137.358</v>
      </c>
      <c r="L92" s="8">
        <v>56784.764000000003</v>
      </c>
      <c r="M92" s="8">
        <v>49676.504999999997</v>
      </c>
      <c r="N92" s="8">
        <v>42509.088000000003</v>
      </c>
      <c r="O92" s="8">
        <v>35623.779000000002</v>
      </c>
      <c r="P92" s="8">
        <v>30347.641</v>
      </c>
      <c r="Q92" s="8">
        <v>24910.949000000001</v>
      </c>
      <c r="R92" s="8">
        <v>20682.946</v>
      </c>
      <c r="S92" s="8">
        <v>16972.525000000001</v>
      </c>
      <c r="T92" s="8">
        <v>13544.132</v>
      </c>
      <c r="U92" s="8">
        <v>10012.918</v>
      </c>
      <c r="V92" s="8">
        <v>7081.2219999999998</v>
      </c>
      <c r="W92" s="8">
        <v>4852.8320000000003</v>
      </c>
      <c r="X92" s="8">
        <v>3009.556</v>
      </c>
      <c r="Y92" s="8">
        <v>1484.4269999999999</v>
      </c>
      <c r="Z92" s="8">
        <v>560.47199999999998</v>
      </c>
      <c r="AA92" s="8">
        <v>140.89500000000001</v>
      </c>
      <c r="AB92" s="8">
        <v>23.376000000000001</v>
      </c>
      <c r="AC92" s="8">
        <v>2.64</v>
      </c>
    </row>
    <row r="93" spans="1:29" ht="23.25" x14ac:dyDescent="0.35">
      <c r="A93" s="12">
        <v>76</v>
      </c>
      <c r="B93" s="10" t="s">
        <v>1015</v>
      </c>
      <c r="C93" s="30" t="s">
        <v>1029</v>
      </c>
      <c r="D93" s="9" t="s">
        <v>1030</v>
      </c>
      <c r="E93" s="9">
        <v>934</v>
      </c>
      <c r="F93" s="10" t="s">
        <v>1024</v>
      </c>
      <c r="G93" s="9">
        <v>902</v>
      </c>
      <c r="H93" s="9">
        <v>1950</v>
      </c>
      <c r="I93" s="8">
        <v>113805.93</v>
      </c>
      <c r="J93" s="8">
        <v>91164.479999999996</v>
      </c>
      <c r="K93" s="8">
        <v>85528.195999999996</v>
      </c>
      <c r="L93" s="8">
        <v>78070.686999999903</v>
      </c>
      <c r="M93" s="8">
        <v>69609.399000000005</v>
      </c>
      <c r="N93" s="8">
        <v>60299.224000000002</v>
      </c>
      <c r="O93" s="8">
        <v>54637.404000000002</v>
      </c>
      <c r="P93" s="8">
        <v>48905.438999999998</v>
      </c>
      <c r="Q93" s="8">
        <v>42240.190999999999</v>
      </c>
      <c r="R93" s="8">
        <v>36194.966</v>
      </c>
      <c r="S93" s="8">
        <v>29900.995999999999</v>
      </c>
      <c r="T93" s="8">
        <v>23953.371999999999</v>
      </c>
      <c r="U93" s="8">
        <v>18718.131000000001</v>
      </c>
      <c r="V93" s="8">
        <v>12733.516</v>
      </c>
      <c r="W93" s="8">
        <v>7879.2910000000002</v>
      </c>
      <c r="X93" s="8">
        <v>4179.1360000000004</v>
      </c>
      <c r="Y93" s="8">
        <v>1611.4690000000001</v>
      </c>
      <c r="Z93" s="8">
        <v>487.33300000000003</v>
      </c>
      <c r="AA93" s="8">
        <v>120.3</v>
      </c>
      <c r="AB93" s="8">
        <v>25.805</v>
      </c>
      <c r="AC93" s="8">
        <v>5.4420000000000002</v>
      </c>
    </row>
    <row r="94" spans="1:29" ht="23.25" x14ac:dyDescent="0.35">
      <c r="A94" s="12">
        <v>77</v>
      </c>
      <c r="B94" s="10" t="s">
        <v>1015</v>
      </c>
      <c r="C94" s="30" t="s">
        <v>1029</v>
      </c>
      <c r="D94" s="9" t="s">
        <v>1030</v>
      </c>
      <c r="E94" s="9">
        <v>934</v>
      </c>
      <c r="F94" s="10" t="s">
        <v>1024</v>
      </c>
      <c r="G94" s="9">
        <v>902</v>
      </c>
      <c r="H94" s="9">
        <v>1955</v>
      </c>
      <c r="I94" s="8">
        <v>144673.462</v>
      </c>
      <c r="J94" s="8">
        <v>105111.29399999999</v>
      </c>
      <c r="K94" s="8">
        <v>88253.267999999996</v>
      </c>
      <c r="L94" s="8">
        <v>83208.472999999998</v>
      </c>
      <c r="M94" s="8">
        <v>75372.623999999996</v>
      </c>
      <c r="N94" s="8">
        <v>66830.81</v>
      </c>
      <c r="O94" s="8">
        <v>57716.680999999997</v>
      </c>
      <c r="P94" s="8">
        <v>52007.362999999998</v>
      </c>
      <c r="Q94" s="8">
        <v>45965.232000000004</v>
      </c>
      <c r="R94" s="8">
        <v>38911.940999999999</v>
      </c>
      <c r="S94" s="8">
        <v>32503.279999999999</v>
      </c>
      <c r="T94" s="8">
        <v>25910.448</v>
      </c>
      <c r="U94" s="8">
        <v>19395.311000000002</v>
      </c>
      <c r="V94" s="8">
        <v>13786.066999999999</v>
      </c>
      <c r="W94" s="8">
        <v>8226.6550000000007</v>
      </c>
      <c r="X94" s="8">
        <v>4192.91</v>
      </c>
      <c r="Y94" s="8">
        <v>1686.91</v>
      </c>
      <c r="Z94" s="8">
        <v>450.10300000000001</v>
      </c>
      <c r="AA94" s="8">
        <v>89.52</v>
      </c>
      <c r="AB94" s="8">
        <v>15.144</v>
      </c>
      <c r="AC94" s="8">
        <v>2.548</v>
      </c>
    </row>
    <row r="95" spans="1:29" ht="23.25" x14ac:dyDescent="0.35">
      <c r="A95" s="12">
        <v>78</v>
      </c>
      <c r="B95" s="10" t="s">
        <v>1015</v>
      </c>
      <c r="C95" s="30" t="s">
        <v>1029</v>
      </c>
      <c r="D95" s="9" t="s">
        <v>1030</v>
      </c>
      <c r="E95" s="9">
        <v>934</v>
      </c>
      <c r="F95" s="10" t="s">
        <v>1024</v>
      </c>
      <c r="G95" s="9">
        <v>902</v>
      </c>
      <c r="H95" s="9">
        <v>1960</v>
      </c>
      <c r="I95" s="8">
        <v>154690.685</v>
      </c>
      <c r="J95" s="8">
        <v>135206.13</v>
      </c>
      <c r="K95" s="8">
        <v>102344.98699999999</v>
      </c>
      <c r="L95" s="8">
        <v>86017.441000000006</v>
      </c>
      <c r="M95" s="8">
        <v>80589.741999999998</v>
      </c>
      <c r="N95" s="8">
        <v>72901.903000000006</v>
      </c>
      <c r="O95" s="8">
        <v>64477.998</v>
      </c>
      <c r="P95" s="8">
        <v>55311.18</v>
      </c>
      <c r="Q95" s="8">
        <v>49218.81</v>
      </c>
      <c r="R95" s="8">
        <v>42734.940999999999</v>
      </c>
      <c r="S95" s="8">
        <v>35205.491999999998</v>
      </c>
      <c r="T95" s="8">
        <v>28178.865000000002</v>
      </c>
      <c r="U95" s="8">
        <v>21063.919000000002</v>
      </c>
      <c r="V95" s="8">
        <v>14381.876</v>
      </c>
      <c r="W95" s="8">
        <v>8943.9719999999998</v>
      </c>
      <c r="X95" s="8">
        <v>4286.4520000000002</v>
      </c>
      <c r="Y95" s="8">
        <v>1688.798</v>
      </c>
      <c r="Z95" s="8">
        <v>467.9</v>
      </c>
      <c r="AA95" s="8">
        <v>85.441000000000003</v>
      </c>
      <c r="AB95" s="8">
        <v>12.615</v>
      </c>
      <c r="AC95" s="8">
        <v>1.7410000000000001</v>
      </c>
    </row>
    <row r="96" spans="1:29" ht="23.25" x14ac:dyDescent="0.35">
      <c r="A96" s="12">
        <v>79</v>
      </c>
      <c r="B96" s="10" t="s">
        <v>1015</v>
      </c>
      <c r="C96" s="30" t="s">
        <v>1029</v>
      </c>
      <c r="D96" s="9" t="s">
        <v>1030</v>
      </c>
      <c r="E96" s="9">
        <v>934</v>
      </c>
      <c r="F96" s="10" t="s">
        <v>1024</v>
      </c>
      <c r="G96" s="9">
        <v>902</v>
      </c>
      <c r="H96" s="9">
        <v>1965</v>
      </c>
      <c r="I96" s="8">
        <v>175773.519</v>
      </c>
      <c r="J96" s="8">
        <v>145332.736</v>
      </c>
      <c r="K96" s="8">
        <v>131827.93100000001</v>
      </c>
      <c r="L96" s="8">
        <v>99935.192999999999</v>
      </c>
      <c r="M96" s="8">
        <v>83527.020999999993</v>
      </c>
      <c r="N96" s="8">
        <v>78144.532999999996</v>
      </c>
      <c r="O96" s="8">
        <v>70531.311000000002</v>
      </c>
      <c r="P96" s="8">
        <v>62037.788</v>
      </c>
      <c r="Q96" s="8">
        <v>52602.847999999998</v>
      </c>
      <c r="R96" s="8">
        <v>45960.383000000002</v>
      </c>
      <c r="S96" s="8">
        <v>38876.142999999996</v>
      </c>
      <c r="T96" s="8">
        <v>30768.386999999999</v>
      </c>
      <c r="U96" s="8">
        <v>23159.306</v>
      </c>
      <c r="V96" s="8">
        <v>15958.700999999999</v>
      </c>
      <c r="W96" s="8">
        <v>9539.6280000000006</v>
      </c>
      <c r="X96" s="8">
        <v>4996.2299999999996</v>
      </c>
      <c r="Y96" s="8">
        <v>1888.44</v>
      </c>
      <c r="Z96" s="8">
        <v>536.28800000000001</v>
      </c>
      <c r="AA96" s="8">
        <v>101.624</v>
      </c>
      <c r="AB96" s="8">
        <v>13.525</v>
      </c>
      <c r="AC96" s="8">
        <v>1.63</v>
      </c>
    </row>
    <row r="97" spans="1:29" ht="23.25" x14ac:dyDescent="0.35">
      <c r="A97" s="12">
        <v>80</v>
      </c>
      <c r="B97" s="10" t="s">
        <v>1015</v>
      </c>
      <c r="C97" s="30" t="s">
        <v>1029</v>
      </c>
      <c r="D97" s="9" t="s">
        <v>1030</v>
      </c>
      <c r="E97" s="9">
        <v>934</v>
      </c>
      <c r="F97" s="10" t="s">
        <v>1024</v>
      </c>
      <c r="G97" s="9">
        <v>902</v>
      </c>
      <c r="H97" s="9">
        <v>1970</v>
      </c>
      <c r="I97" s="8">
        <v>197137.02600000001</v>
      </c>
      <c r="J97" s="8">
        <v>167469.38800000001</v>
      </c>
      <c r="K97" s="8">
        <v>143009.084</v>
      </c>
      <c r="L97" s="8">
        <v>129791.783</v>
      </c>
      <c r="M97" s="8">
        <v>97765.596999999994</v>
      </c>
      <c r="N97" s="8">
        <v>81475.573999999993</v>
      </c>
      <c r="O97" s="8">
        <v>76219.361000000004</v>
      </c>
      <c r="P97" s="8">
        <v>68483.343999999997</v>
      </c>
      <c r="Q97" s="8">
        <v>59746.226000000002</v>
      </c>
      <c r="R97" s="8">
        <v>50017.646000000001</v>
      </c>
      <c r="S97" s="8">
        <v>42888.404999999999</v>
      </c>
      <c r="T97" s="8">
        <v>35248.324999999997</v>
      </c>
      <c r="U97" s="8">
        <v>26550.022000000001</v>
      </c>
      <c r="V97" s="8">
        <v>18549.773000000001</v>
      </c>
      <c r="W97" s="8">
        <v>11541.838</v>
      </c>
      <c r="X97" s="8">
        <v>5945.8340000000098</v>
      </c>
      <c r="Y97" s="8">
        <v>2487.7420000000002</v>
      </c>
      <c r="Z97" s="8">
        <v>664.71199999999999</v>
      </c>
      <c r="AA97" s="8">
        <v>125.666</v>
      </c>
      <c r="AB97" s="8">
        <v>16.852</v>
      </c>
      <c r="AC97" s="8">
        <v>1.796</v>
      </c>
    </row>
    <row r="98" spans="1:29" ht="23.25" x14ac:dyDescent="0.35">
      <c r="A98" s="12">
        <v>81</v>
      </c>
      <c r="B98" s="10" t="s">
        <v>1015</v>
      </c>
      <c r="C98" s="30" t="s">
        <v>1029</v>
      </c>
      <c r="D98" s="9" t="s">
        <v>1030</v>
      </c>
      <c r="E98" s="9">
        <v>934</v>
      </c>
      <c r="F98" s="10" t="s">
        <v>1024</v>
      </c>
      <c r="G98" s="9">
        <v>902</v>
      </c>
      <c r="H98" s="9">
        <v>1975</v>
      </c>
      <c r="I98" s="8">
        <v>205516.18100000001</v>
      </c>
      <c r="J98" s="8">
        <v>190001.508</v>
      </c>
      <c r="K98" s="8">
        <v>165243.83100000001</v>
      </c>
      <c r="L98" s="8">
        <v>141189.416</v>
      </c>
      <c r="M98" s="8">
        <v>127723.352</v>
      </c>
      <c r="N98" s="8">
        <v>95976.125</v>
      </c>
      <c r="O98" s="8">
        <v>79913.426999999996</v>
      </c>
      <c r="P98" s="8">
        <v>74572.589000000007</v>
      </c>
      <c r="Q98" s="8">
        <v>66583.701000000001</v>
      </c>
      <c r="R98" s="8">
        <v>57404.044999999998</v>
      </c>
      <c r="S98" s="8">
        <v>47176.436000000002</v>
      </c>
      <c r="T98" s="8">
        <v>39302.866999999998</v>
      </c>
      <c r="U98" s="8">
        <v>30844.870999999999</v>
      </c>
      <c r="V98" s="8">
        <v>21674.046999999999</v>
      </c>
      <c r="W98" s="8">
        <v>13752.321</v>
      </c>
      <c r="X98" s="8">
        <v>7358.4120000000003</v>
      </c>
      <c r="Y98" s="8">
        <v>3028.636</v>
      </c>
      <c r="Z98" s="8">
        <v>909.38399999999899</v>
      </c>
      <c r="AA98" s="8">
        <v>163.87299999999999</v>
      </c>
      <c r="AB98" s="8">
        <v>21.963999999999999</v>
      </c>
      <c r="AC98" s="8">
        <v>2.3010000000000002</v>
      </c>
    </row>
    <row r="99" spans="1:29" ht="23.25" x14ac:dyDescent="0.35">
      <c r="A99" s="12">
        <v>82</v>
      </c>
      <c r="B99" s="10" t="s">
        <v>1015</v>
      </c>
      <c r="C99" s="30" t="s">
        <v>1029</v>
      </c>
      <c r="D99" s="9" t="s">
        <v>1030</v>
      </c>
      <c r="E99" s="9">
        <v>934</v>
      </c>
      <c r="F99" s="10" t="s">
        <v>1024</v>
      </c>
      <c r="G99" s="9">
        <v>902</v>
      </c>
      <c r="H99" s="9">
        <v>1980</v>
      </c>
      <c r="I99" s="8">
        <v>204873.40100000001</v>
      </c>
      <c r="J99" s="8">
        <v>199433.50099999999</v>
      </c>
      <c r="K99" s="8">
        <v>187932.171</v>
      </c>
      <c r="L99" s="8">
        <v>163448.55100000001</v>
      </c>
      <c r="M99" s="8">
        <v>139114.196</v>
      </c>
      <c r="N99" s="8">
        <v>125860.834</v>
      </c>
      <c r="O99" s="8">
        <v>94653.252999999997</v>
      </c>
      <c r="P99" s="8">
        <v>78405.350999999995</v>
      </c>
      <c r="Q99" s="8">
        <v>72715.28</v>
      </c>
      <c r="R99" s="8">
        <v>64367.368999999999</v>
      </c>
      <c r="S99" s="8">
        <v>54615.758000000002</v>
      </c>
      <c r="T99" s="8">
        <v>43784.870999999999</v>
      </c>
      <c r="U99" s="8">
        <v>35023.273999999998</v>
      </c>
      <c r="V99" s="8">
        <v>25786.409</v>
      </c>
      <c r="W99" s="8">
        <v>16454.328000000001</v>
      </c>
      <c r="X99" s="8">
        <v>9012.99</v>
      </c>
      <c r="Y99" s="8">
        <v>3832.7620000000002</v>
      </c>
      <c r="Z99" s="8">
        <v>1123.2729999999999</v>
      </c>
      <c r="AA99" s="8">
        <v>231.19499999999999</v>
      </c>
      <c r="AB99" s="8">
        <v>30.117999999999999</v>
      </c>
      <c r="AC99" s="8">
        <v>3.218</v>
      </c>
    </row>
    <row r="100" spans="1:29" ht="23.25" x14ac:dyDescent="0.35">
      <c r="A100" s="12">
        <v>83</v>
      </c>
      <c r="B100" s="10" t="s">
        <v>1015</v>
      </c>
      <c r="C100" s="30" t="s">
        <v>1029</v>
      </c>
      <c r="D100" s="9" t="s">
        <v>1030</v>
      </c>
      <c r="E100" s="9">
        <v>934</v>
      </c>
      <c r="F100" s="10" t="s">
        <v>1024</v>
      </c>
      <c r="G100" s="9">
        <v>902</v>
      </c>
      <c r="H100" s="9">
        <v>1985</v>
      </c>
      <c r="I100" s="8">
        <v>222353.96599999999</v>
      </c>
      <c r="J100" s="8">
        <v>199804.08100000001</v>
      </c>
      <c r="K100" s="8">
        <v>197527.99400000001</v>
      </c>
      <c r="L100" s="8">
        <v>186181.261</v>
      </c>
      <c r="M100" s="8">
        <v>161234.33499999999</v>
      </c>
      <c r="N100" s="8">
        <v>137225.04699999999</v>
      </c>
      <c r="O100" s="8">
        <v>124081.87300000001</v>
      </c>
      <c r="P100" s="8">
        <v>93151.351999999999</v>
      </c>
      <c r="Q100" s="8">
        <v>76725.028000000006</v>
      </c>
      <c r="R100" s="8">
        <v>70473.263999999996</v>
      </c>
      <c r="S100" s="8">
        <v>61454.91</v>
      </c>
      <c r="T100" s="8">
        <v>50882.707999999999</v>
      </c>
      <c r="U100" s="8">
        <v>39243.538</v>
      </c>
      <c r="V100" s="8">
        <v>29548.022000000001</v>
      </c>
      <c r="W100" s="8">
        <v>19829.827000000001</v>
      </c>
      <c r="X100" s="8">
        <v>10935.455</v>
      </c>
      <c r="Y100" s="8">
        <v>4801.6360000000004</v>
      </c>
      <c r="Z100" s="8">
        <v>1471.1769999999999</v>
      </c>
      <c r="AA100" s="8">
        <v>295.721</v>
      </c>
      <c r="AB100" s="8">
        <v>43.497999999999998</v>
      </c>
      <c r="AC100" s="8">
        <v>4.4459999999999997</v>
      </c>
    </row>
    <row r="101" spans="1:29" ht="23.25" x14ac:dyDescent="0.35">
      <c r="A101" s="12">
        <v>84</v>
      </c>
      <c r="B101" s="10" t="s">
        <v>1015</v>
      </c>
      <c r="C101" s="30" t="s">
        <v>1029</v>
      </c>
      <c r="D101" s="9" t="s">
        <v>1030</v>
      </c>
      <c r="E101" s="9">
        <v>934</v>
      </c>
      <c r="F101" s="10" t="s">
        <v>1024</v>
      </c>
      <c r="G101" s="9">
        <v>902</v>
      </c>
      <c r="H101" s="9">
        <v>1990</v>
      </c>
      <c r="I101" s="8">
        <v>246377.22200000001</v>
      </c>
      <c r="J101" s="8">
        <v>217447.20699999999</v>
      </c>
      <c r="K101" s="8">
        <v>198215.533</v>
      </c>
      <c r="L101" s="8">
        <v>195615.679</v>
      </c>
      <c r="M101" s="8">
        <v>183666.46100000001</v>
      </c>
      <c r="N101" s="8">
        <v>159016.75899999999</v>
      </c>
      <c r="O101" s="8">
        <v>135350.15299999999</v>
      </c>
      <c r="P101" s="8">
        <v>122170.92</v>
      </c>
      <c r="Q101" s="8">
        <v>91139.593999999895</v>
      </c>
      <c r="R101" s="8">
        <v>74412.968999999997</v>
      </c>
      <c r="S101" s="8">
        <v>67428.426999999996</v>
      </c>
      <c r="T101" s="8">
        <v>57596.767</v>
      </c>
      <c r="U101" s="8">
        <v>45958.748</v>
      </c>
      <c r="V101" s="8">
        <v>33438.023999999998</v>
      </c>
      <c r="W101" s="8">
        <v>23085.09</v>
      </c>
      <c r="X101" s="8">
        <v>13383.668</v>
      </c>
      <c r="Y101" s="8">
        <v>5900.3</v>
      </c>
      <c r="Z101" s="8">
        <v>1898.5139999999999</v>
      </c>
      <c r="AA101" s="8">
        <v>402.71300000000002</v>
      </c>
      <c r="AB101" s="8">
        <v>57.73</v>
      </c>
      <c r="AC101" s="8">
        <v>6.59</v>
      </c>
    </row>
    <row r="102" spans="1:29" ht="23.25" x14ac:dyDescent="0.35">
      <c r="A102" s="12">
        <v>85</v>
      </c>
      <c r="B102" s="10" t="s">
        <v>1015</v>
      </c>
      <c r="C102" s="30" t="s">
        <v>1029</v>
      </c>
      <c r="D102" s="9" t="s">
        <v>1030</v>
      </c>
      <c r="E102" s="9">
        <v>934</v>
      </c>
      <c r="F102" s="10" t="s">
        <v>1024</v>
      </c>
      <c r="G102" s="9">
        <v>902</v>
      </c>
      <c r="H102" s="9">
        <v>1995</v>
      </c>
      <c r="I102" s="8">
        <v>233977.823</v>
      </c>
      <c r="J102" s="8">
        <v>241475.55100000001</v>
      </c>
      <c r="K102" s="8">
        <v>215502.889</v>
      </c>
      <c r="L102" s="8">
        <v>195727.66</v>
      </c>
      <c r="M102" s="8">
        <v>192023.14499999999</v>
      </c>
      <c r="N102" s="8">
        <v>180522.33600000001</v>
      </c>
      <c r="O102" s="8">
        <v>156547.315</v>
      </c>
      <c r="P102" s="8">
        <v>132953.72700000001</v>
      </c>
      <c r="Q102" s="8">
        <v>119536.77499999999</v>
      </c>
      <c r="R102" s="8">
        <v>88416.523000000001</v>
      </c>
      <c r="S102" s="8">
        <v>71211.040999999997</v>
      </c>
      <c r="T102" s="8">
        <v>63095.514000000003</v>
      </c>
      <c r="U102" s="8">
        <v>52113.946000000004</v>
      </c>
      <c r="V102" s="8">
        <v>39253.913</v>
      </c>
      <c r="W102" s="8">
        <v>26109.745999999999</v>
      </c>
      <c r="X102" s="8">
        <v>15717.291999999999</v>
      </c>
      <c r="Y102" s="8">
        <v>7449.6769999999997</v>
      </c>
      <c r="Z102" s="8">
        <v>2437.3670000000002</v>
      </c>
      <c r="AA102" s="8">
        <v>538.68100000000004</v>
      </c>
      <c r="AB102" s="8">
        <v>80.405000000000001</v>
      </c>
      <c r="AC102" s="8">
        <v>8.7720000000000002</v>
      </c>
    </row>
    <row r="103" spans="1:29" ht="23.25" x14ac:dyDescent="0.35">
      <c r="A103" s="12">
        <v>86</v>
      </c>
      <c r="B103" s="10" t="s">
        <v>1015</v>
      </c>
      <c r="C103" s="30" t="s">
        <v>1029</v>
      </c>
      <c r="D103" s="9" t="s">
        <v>1030</v>
      </c>
      <c r="E103" s="9">
        <v>934</v>
      </c>
      <c r="F103" s="10" t="s">
        <v>1024</v>
      </c>
      <c r="G103" s="9">
        <v>902</v>
      </c>
      <c r="H103" s="9">
        <v>2000</v>
      </c>
      <c r="I103" s="8">
        <v>229931.25899999999</v>
      </c>
      <c r="J103" s="8">
        <v>230019.342</v>
      </c>
      <c r="K103" s="8">
        <v>239449.386</v>
      </c>
      <c r="L103" s="8">
        <v>213029.41399999999</v>
      </c>
      <c r="M103" s="8">
        <v>192592.99400000001</v>
      </c>
      <c r="N103" s="8">
        <v>189291.89300000001</v>
      </c>
      <c r="O103" s="8">
        <v>177764.649</v>
      </c>
      <c r="P103" s="8">
        <v>153855.351</v>
      </c>
      <c r="Q103" s="8">
        <v>130244.17200000001</v>
      </c>
      <c r="R103" s="8">
        <v>116285.747</v>
      </c>
      <c r="S103" s="8">
        <v>84790.500000000102</v>
      </c>
      <c r="T103" s="8">
        <v>66769.19</v>
      </c>
      <c r="U103" s="8">
        <v>57367.862999999998</v>
      </c>
      <c r="V103" s="8">
        <v>44884.724000000002</v>
      </c>
      <c r="W103" s="8">
        <v>30957.487000000001</v>
      </c>
      <c r="X103" s="8">
        <v>18018.417000000001</v>
      </c>
      <c r="Y103" s="8">
        <v>8902.2129999999997</v>
      </c>
      <c r="Z103" s="8">
        <v>3212.4870000000001</v>
      </c>
      <c r="AA103" s="8">
        <v>736.14700000000005</v>
      </c>
      <c r="AB103" s="8">
        <v>116.01</v>
      </c>
      <c r="AC103" s="8">
        <v>12.568</v>
      </c>
    </row>
    <row r="104" spans="1:29" ht="23.25" x14ac:dyDescent="0.35">
      <c r="A104" s="12">
        <v>87</v>
      </c>
      <c r="B104" s="10" t="s">
        <v>1015</v>
      </c>
      <c r="C104" s="30" t="s">
        <v>1029</v>
      </c>
      <c r="D104" s="9" t="s">
        <v>1030</v>
      </c>
      <c r="E104" s="9">
        <v>934</v>
      </c>
      <c r="F104" s="10" t="s">
        <v>1024</v>
      </c>
      <c r="G104" s="9">
        <v>902</v>
      </c>
      <c r="H104" s="9">
        <v>2005</v>
      </c>
      <c r="I104" s="8">
        <v>230572.56299999999</v>
      </c>
      <c r="J104" s="8">
        <v>227213.535</v>
      </c>
      <c r="K104" s="8">
        <v>228790.753</v>
      </c>
      <c r="L104" s="8">
        <v>236982.07800000001</v>
      </c>
      <c r="M104" s="8">
        <v>209094.59099999999</v>
      </c>
      <c r="N104" s="8">
        <v>189705.09099999999</v>
      </c>
      <c r="O104" s="8">
        <v>186519.24600000001</v>
      </c>
      <c r="P104" s="8">
        <v>174928.139</v>
      </c>
      <c r="Q104" s="8">
        <v>150713.63399999999</v>
      </c>
      <c r="R104" s="8">
        <v>126365.43799999999</v>
      </c>
      <c r="S104" s="8">
        <v>111798.13</v>
      </c>
      <c r="T104" s="8">
        <v>80475.270999999993</v>
      </c>
      <c r="U104" s="8">
        <v>61341.978000000003</v>
      </c>
      <c r="V104" s="8">
        <v>49828.339</v>
      </c>
      <c r="W104" s="8">
        <v>35928.885000000002</v>
      </c>
      <c r="X104" s="8">
        <v>21650.616999999998</v>
      </c>
      <c r="Y104" s="8">
        <v>10518.880999999999</v>
      </c>
      <c r="Z104" s="8">
        <v>3969.75</v>
      </c>
      <c r="AA104" s="8">
        <v>1007.268</v>
      </c>
      <c r="AB104" s="8">
        <v>164.494</v>
      </c>
      <c r="AC104" s="8">
        <v>18.923999999999999</v>
      </c>
    </row>
    <row r="105" spans="1:29" ht="23.25" x14ac:dyDescent="0.35">
      <c r="A105" s="12">
        <v>88</v>
      </c>
      <c r="B105" s="10" t="s">
        <v>1015</v>
      </c>
      <c r="C105" s="30" t="s">
        <v>1029</v>
      </c>
      <c r="D105" s="9" t="s">
        <v>1030</v>
      </c>
      <c r="E105" s="9">
        <v>934</v>
      </c>
      <c r="F105" s="10" t="s">
        <v>1024</v>
      </c>
      <c r="G105" s="9">
        <v>902</v>
      </c>
      <c r="H105" s="9">
        <v>2010</v>
      </c>
      <c r="I105" s="8">
        <v>236057.609</v>
      </c>
      <c r="J105" s="8">
        <v>228202.91</v>
      </c>
      <c r="K105" s="8">
        <v>225926.57500000001</v>
      </c>
      <c r="L105" s="8">
        <v>226356.177</v>
      </c>
      <c r="M105" s="8">
        <v>233313.47</v>
      </c>
      <c r="N105" s="8">
        <v>207306.74100000001</v>
      </c>
      <c r="O105" s="8">
        <v>187723.666</v>
      </c>
      <c r="P105" s="8">
        <v>184619.33799999999</v>
      </c>
      <c r="Q105" s="8">
        <v>172410.48</v>
      </c>
      <c r="R105" s="8">
        <v>147419.18100000001</v>
      </c>
      <c r="S105" s="8">
        <v>122352.715</v>
      </c>
      <c r="T105" s="8">
        <v>106232.58</v>
      </c>
      <c r="U105" s="8">
        <v>73980.327999999994</v>
      </c>
      <c r="V105" s="8">
        <v>53726.68</v>
      </c>
      <c r="W105" s="8">
        <v>40391.305999999997</v>
      </c>
      <c r="X105" s="8">
        <v>25486.383999999998</v>
      </c>
      <c r="Y105" s="8">
        <v>12997.681</v>
      </c>
      <c r="Z105" s="8">
        <v>4874.78</v>
      </c>
      <c r="AA105" s="8">
        <v>1296.4570000000001</v>
      </c>
      <c r="AB105" s="8">
        <v>236.279</v>
      </c>
      <c r="AC105" s="8">
        <v>28.344000000000001</v>
      </c>
    </row>
    <row r="106" spans="1:29" ht="23.25" x14ac:dyDescent="0.35">
      <c r="A106" s="12">
        <v>89</v>
      </c>
      <c r="B106" s="10" t="s">
        <v>1015</v>
      </c>
      <c r="C106" s="30" t="s">
        <v>1029</v>
      </c>
      <c r="D106" s="9" t="s">
        <v>1030</v>
      </c>
      <c r="E106" s="9">
        <v>934</v>
      </c>
      <c r="F106" s="10" t="s">
        <v>1024</v>
      </c>
      <c r="G106" s="9">
        <v>902</v>
      </c>
      <c r="H106" s="9">
        <v>2015</v>
      </c>
      <c r="I106" s="8">
        <v>240208.848</v>
      </c>
      <c r="J106" s="8">
        <v>233555.21400000001</v>
      </c>
      <c r="K106" s="8">
        <v>226617.60200000001</v>
      </c>
      <c r="L106" s="8">
        <v>224156.93299999999</v>
      </c>
      <c r="M106" s="8">
        <v>224056.06400000001</v>
      </c>
      <c r="N106" s="8">
        <v>231277.38699999999</v>
      </c>
      <c r="O106" s="8">
        <v>205172.84099999999</v>
      </c>
      <c r="P106" s="8">
        <v>185090.27299999999</v>
      </c>
      <c r="Q106" s="8">
        <v>181500.815</v>
      </c>
      <c r="R106" s="8">
        <v>168573.68299999999</v>
      </c>
      <c r="S106" s="8">
        <v>142749.128</v>
      </c>
      <c r="T106" s="8">
        <v>116535.33</v>
      </c>
      <c r="U106" s="8">
        <v>98610.452000000005</v>
      </c>
      <c r="V106" s="8">
        <v>65436.241000000002</v>
      </c>
      <c r="W106" s="8">
        <v>44160.472999999998</v>
      </c>
      <c r="X106" s="8">
        <v>29377.385999999999</v>
      </c>
      <c r="Y106" s="8">
        <v>15777.612999999999</v>
      </c>
      <c r="Z106" s="8">
        <v>6288.9170000000004</v>
      </c>
      <c r="AA106" s="8">
        <v>1704.3430000000001</v>
      </c>
      <c r="AB106" s="8">
        <v>325.94400000000002</v>
      </c>
      <c r="AC106" s="8">
        <v>43.868000000000002</v>
      </c>
    </row>
    <row r="107" spans="1:29" ht="23.25" x14ac:dyDescent="0.35">
      <c r="A107" s="12">
        <v>90</v>
      </c>
      <c r="B107" s="10" t="s">
        <v>1015</v>
      </c>
      <c r="C107" s="30" t="s">
        <v>1029</v>
      </c>
      <c r="D107" s="9" t="s">
        <v>1030</v>
      </c>
      <c r="E107" s="9">
        <v>934</v>
      </c>
      <c r="F107" s="10" t="s">
        <v>1024</v>
      </c>
      <c r="G107" s="9">
        <v>902</v>
      </c>
      <c r="H107" s="9">
        <v>2020</v>
      </c>
      <c r="I107" s="8">
        <v>239213.65</v>
      </c>
      <c r="J107" s="8">
        <v>237908.83799999999</v>
      </c>
      <c r="K107" s="8">
        <v>232037.76199999999</v>
      </c>
      <c r="L107" s="8">
        <v>224682.85200000001</v>
      </c>
      <c r="M107" s="8">
        <v>222043.26</v>
      </c>
      <c r="N107" s="8">
        <v>222754.628</v>
      </c>
      <c r="O107" s="8">
        <v>229455.598</v>
      </c>
      <c r="P107" s="8">
        <v>202335.82199999999</v>
      </c>
      <c r="Q107" s="8">
        <v>181873.38200000001</v>
      </c>
      <c r="R107" s="8">
        <v>177566.351</v>
      </c>
      <c r="S107" s="8">
        <v>163596.068</v>
      </c>
      <c r="T107" s="8">
        <v>136398.035</v>
      </c>
      <c r="U107" s="8">
        <v>108535.023</v>
      </c>
      <c r="V107" s="8">
        <v>88273.787000000098</v>
      </c>
      <c r="W107" s="8">
        <v>54535.995999999999</v>
      </c>
      <c r="X107" s="8">
        <v>32828.817999999999</v>
      </c>
      <c r="Y107" s="8">
        <v>18627.645</v>
      </c>
      <c r="Z107" s="8">
        <v>7975.366</v>
      </c>
      <c r="AA107" s="8">
        <v>2324.9740000000002</v>
      </c>
      <c r="AB107" s="8">
        <v>460.64</v>
      </c>
      <c r="AC107" s="8">
        <v>65.802000000000007</v>
      </c>
    </row>
    <row r="108" spans="1:29" ht="11.65" x14ac:dyDescent="0.35">
      <c r="A108" s="12">
        <v>91</v>
      </c>
      <c r="B108" s="10" t="s">
        <v>1015</v>
      </c>
      <c r="C108" s="36" t="s">
        <v>1031</v>
      </c>
      <c r="D108" s="9"/>
      <c r="E108" s="9">
        <v>948</v>
      </c>
      <c r="F108" s="10" t="s">
        <v>1024</v>
      </c>
      <c r="G108" s="9">
        <v>1803</v>
      </c>
      <c r="H108" s="9">
        <v>1950</v>
      </c>
      <c r="I108" s="8">
        <v>89652.46</v>
      </c>
      <c r="J108" s="8">
        <v>72914.975000000006</v>
      </c>
      <c r="K108" s="8">
        <v>66726.543000000005</v>
      </c>
      <c r="L108" s="8">
        <v>59747.105000000003</v>
      </c>
      <c r="M108" s="8">
        <v>53128.184000000001</v>
      </c>
      <c r="N108" s="8">
        <v>45625.516000000003</v>
      </c>
      <c r="O108" s="8">
        <v>39165.735000000001</v>
      </c>
      <c r="P108" s="8">
        <v>34780.972000000002</v>
      </c>
      <c r="Q108" s="8">
        <v>30153.375</v>
      </c>
      <c r="R108" s="8">
        <v>24967.898000000001</v>
      </c>
      <c r="S108" s="8">
        <v>20595.572</v>
      </c>
      <c r="T108" s="8">
        <v>15578.17</v>
      </c>
      <c r="U108" s="8">
        <v>12499.987999999999</v>
      </c>
      <c r="V108" s="8">
        <v>8416.9110000000001</v>
      </c>
      <c r="W108" s="8">
        <v>5845.5690000000004</v>
      </c>
      <c r="X108" s="8">
        <v>3279.9110000000001</v>
      </c>
      <c r="Y108" s="8">
        <v>1422.047</v>
      </c>
      <c r="Z108" s="8">
        <v>473.81700000000001</v>
      </c>
      <c r="AA108" s="8">
        <v>117.29</v>
      </c>
      <c r="AB108" s="8">
        <v>25.350999999999999</v>
      </c>
      <c r="AC108" s="8">
        <v>5.3930000000000096</v>
      </c>
    </row>
    <row r="109" spans="1:29" ht="11.65" x14ac:dyDescent="0.35">
      <c r="A109" s="12">
        <v>92</v>
      </c>
      <c r="B109" s="10" t="s">
        <v>1015</v>
      </c>
      <c r="C109" s="36" t="s">
        <v>1031</v>
      </c>
      <c r="D109" s="9"/>
      <c r="E109" s="9">
        <v>948</v>
      </c>
      <c r="F109" s="10" t="s">
        <v>1024</v>
      </c>
      <c r="G109" s="9">
        <v>1803</v>
      </c>
      <c r="H109" s="9">
        <v>1955</v>
      </c>
      <c r="I109" s="8">
        <v>108414.75599999999</v>
      </c>
      <c r="J109" s="8">
        <v>81950.642000000007</v>
      </c>
      <c r="K109" s="8">
        <v>70621.659</v>
      </c>
      <c r="L109" s="8">
        <v>64899.87</v>
      </c>
      <c r="M109" s="8">
        <v>57472.008000000002</v>
      </c>
      <c r="N109" s="8">
        <v>50677.118999999999</v>
      </c>
      <c r="O109" s="8">
        <v>43357.497000000003</v>
      </c>
      <c r="P109" s="8">
        <v>37012.476999999999</v>
      </c>
      <c r="Q109" s="8">
        <v>32561.186000000002</v>
      </c>
      <c r="R109" s="8">
        <v>27866.498</v>
      </c>
      <c r="S109" s="8">
        <v>22580.539000000001</v>
      </c>
      <c r="T109" s="8">
        <v>18041.418000000001</v>
      </c>
      <c r="U109" s="8">
        <v>13001.759</v>
      </c>
      <c r="V109" s="8">
        <v>9641.9850000000006</v>
      </c>
      <c r="W109" s="8">
        <v>5811.9279999999999</v>
      </c>
      <c r="X109" s="8">
        <v>3385.6239999999998</v>
      </c>
      <c r="Y109" s="8">
        <v>1454.3389999999999</v>
      </c>
      <c r="Z109" s="8">
        <v>412.24299999999999</v>
      </c>
      <c r="AA109" s="8">
        <v>86.54</v>
      </c>
      <c r="AB109" s="8">
        <v>14.614000000000001</v>
      </c>
      <c r="AC109" s="8">
        <v>2.4860000000000002</v>
      </c>
    </row>
    <row r="110" spans="1:29" ht="11.65" x14ac:dyDescent="0.35">
      <c r="A110" s="12">
        <v>93</v>
      </c>
      <c r="B110" s="10" t="s">
        <v>1015</v>
      </c>
      <c r="C110" s="36" t="s">
        <v>1031</v>
      </c>
      <c r="D110" s="9"/>
      <c r="E110" s="9">
        <v>948</v>
      </c>
      <c r="F110" s="10" t="s">
        <v>1024</v>
      </c>
      <c r="G110" s="9">
        <v>1803</v>
      </c>
      <c r="H110" s="9">
        <v>1960</v>
      </c>
      <c r="I110" s="8">
        <v>124498.73</v>
      </c>
      <c r="J110" s="8">
        <v>100674.268</v>
      </c>
      <c r="K110" s="8">
        <v>79777.267000000094</v>
      </c>
      <c r="L110" s="8">
        <v>68740.019</v>
      </c>
      <c r="M110" s="8">
        <v>62626.936000000002</v>
      </c>
      <c r="N110" s="8">
        <v>55365.156999999999</v>
      </c>
      <c r="O110" s="8">
        <v>48686.014000000003</v>
      </c>
      <c r="P110" s="8">
        <v>41388.201000000001</v>
      </c>
      <c r="Q110" s="8">
        <v>34962.591999999997</v>
      </c>
      <c r="R110" s="8">
        <v>30375.011999999999</v>
      </c>
      <c r="S110" s="8">
        <v>25431.075000000001</v>
      </c>
      <c r="T110" s="8">
        <v>20019.330999999998</v>
      </c>
      <c r="U110" s="8">
        <v>15260.976000000001</v>
      </c>
      <c r="V110" s="8">
        <v>10231.316000000001</v>
      </c>
      <c r="W110" s="8">
        <v>6804.0209999999997</v>
      </c>
      <c r="X110" s="8">
        <v>3495.0010000000002</v>
      </c>
      <c r="Y110" s="8">
        <v>1575.6079999999999</v>
      </c>
      <c r="Z110" s="8">
        <v>457.28899999999999</v>
      </c>
      <c r="AA110" s="8">
        <v>84.370999999999995</v>
      </c>
      <c r="AB110" s="8">
        <v>12.584</v>
      </c>
      <c r="AC110" s="8">
        <v>1.7110000000000001</v>
      </c>
    </row>
    <row r="111" spans="1:29" ht="11.65" x14ac:dyDescent="0.35">
      <c r="A111" s="12">
        <v>94</v>
      </c>
      <c r="B111" s="10" t="s">
        <v>1015</v>
      </c>
      <c r="C111" s="36" t="s">
        <v>1031</v>
      </c>
      <c r="D111" s="9"/>
      <c r="E111" s="9">
        <v>948</v>
      </c>
      <c r="F111" s="10" t="s">
        <v>1024</v>
      </c>
      <c r="G111" s="9">
        <v>1803</v>
      </c>
      <c r="H111" s="9">
        <v>1965</v>
      </c>
      <c r="I111" s="8">
        <v>139930.93</v>
      </c>
      <c r="J111" s="8">
        <v>116585.02800000001</v>
      </c>
      <c r="K111" s="8">
        <v>98270.683000000005</v>
      </c>
      <c r="L111" s="8">
        <v>77922.957999999999</v>
      </c>
      <c r="M111" s="8">
        <v>66610.027000000002</v>
      </c>
      <c r="N111" s="8">
        <v>60486.968999999997</v>
      </c>
      <c r="O111" s="8">
        <v>53355.013000000101</v>
      </c>
      <c r="P111" s="8">
        <v>46686.546999999999</v>
      </c>
      <c r="Q111" s="8">
        <v>39322.305</v>
      </c>
      <c r="R111" s="8">
        <v>32779.353999999999</v>
      </c>
      <c r="S111" s="8">
        <v>27937.103999999999</v>
      </c>
      <c r="T111" s="8">
        <v>22758.984</v>
      </c>
      <c r="U111" s="8">
        <v>17138.510999999999</v>
      </c>
      <c r="V111" s="8">
        <v>12168.919</v>
      </c>
      <c r="W111" s="8">
        <v>7351.1570000000002</v>
      </c>
      <c r="X111" s="8">
        <v>4179.8389999999999</v>
      </c>
      <c r="Y111" s="8">
        <v>1692.3340000000001</v>
      </c>
      <c r="Z111" s="8">
        <v>522.19000000000005</v>
      </c>
      <c r="AA111" s="8">
        <v>99.852000000000004</v>
      </c>
      <c r="AB111" s="8">
        <v>13.273999999999999</v>
      </c>
      <c r="AC111" s="8">
        <v>1.615</v>
      </c>
    </row>
    <row r="112" spans="1:29" ht="11.65" x14ac:dyDescent="0.35">
      <c r="A112" s="12">
        <v>95</v>
      </c>
      <c r="B112" s="10" t="s">
        <v>1015</v>
      </c>
      <c r="C112" s="36" t="s">
        <v>1031</v>
      </c>
      <c r="D112" s="9"/>
      <c r="E112" s="9">
        <v>948</v>
      </c>
      <c r="F112" s="10" t="s">
        <v>1024</v>
      </c>
      <c r="G112" s="9">
        <v>1803</v>
      </c>
      <c r="H112" s="9">
        <v>1970</v>
      </c>
      <c r="I112" s="8">
        <v>154227.68400000001</v>
      </c>
      <c r="J112" s="8">
        <v>132075.337</v>
      </c>
      <c r="K112" s="8">
        <v>114181.405</v>
      </c>
      <c r="L112" s="8">
        <v>96209.077999999994</v>
      </c>
      <c r="M112" s="8">
        <v>75728.361000000004</v>
      </c>
      <c r="N112" s="8">
        <v>64483.218999999997</v>
      </c>
      <c r="O112" s="8">
        <v>58571.659</v>
      </c>
      <c r="P112" s="8">
        <v>51408.597000000002</v>
      </c>
      <c r="Q112" s="8">
        <v>44625.678</v>
      </c>
      <c r="R112" s="8">
        <v>37087.743000000002</v>
      </c>
      <c r="S112" s="8">
        <v>30320.934000000001</v>
      </c>
      <c r="T112" s="8">
        <v>25152.723999999998</v>
      </c>
      <c r="U112" s="8">
        <v>19649.337</v>
      </c>
      <c r="V112" s="8">
        <v>13847.772999999999</v>
      </c>
      <c r="W112" s="8">
        <v>8882.6010000000006</v>
      </c>
      <c r="X112" s="8">
        <v>4608.2359999999999</v>
      </c>
      <c r="Y112" s="8">
        <v>2073.75</v>
      </c>
      <c r="Z112" s="8">
        <v>589.54100000000005</v>
      </c>
      <c r="AA112" s="8">
        <v>120.42700000000001</v>
      </c>
      <c r="AB112" s="8">
        <v>16.39</v>
      </c>
      <c r="AC112" s="8">
        <v>1.764</v>
      </c>
    </row>
    <row r="113" spans="1:29" ht="11.65" x14ac:dyDescent="0.35">
      <c r="A113" s="12">
        <v>96</v>
      </c>
      <c r="B113" s="10" t="s">
        <v>1015</v>
      </c>
      <c r="C113" s="36" t="s">
        <v>1031</v>
      </c>
      <c r="D113" s="9"/>
      <c r="E113" s="9">
        <v>948</v>
      </c>
      <c r="F113" s="10" t="s">
        <v>1024</v>
      </c>
      <c r="G113" s="9">
        <v>1803</v>
      </c>
      <c r="H113" s="9">
        <v>1975</v>
      </c>
      <c r="I113" s="8">
        <v>169321.16200000001</v>
      </c>
      <c r="J113" s="8">
        <v>146308.54999999999</v>
      </c>
      <c r="K113" s="8">
        <v>129528.605</v>
      </c>
      <c r="L113" s="8">
        <v>111661.905</v>
      </c>
      <c r="M113" s="8">
        <v>93343.533000000098</v>
      </c>
      <c r="N113" s="8">
        <v>73544.851999999999</v>
      </c>
      <c r="O113" s="8">
        <v>62758.659</v>
      </c>
      <c r="P113" s="8">
        <v>56864.383000000002</v>
      </c>
      <c r="Q113" s="8">
        <v>49535.542000000001</v>
      </c>
      <c r="R113" s="8">
        <v>42467.601999999999</v>
      </c>
      <c r="S113" s="8">
        <v>34655.160000000003</v>
      </c>
      <c r="T113" s="8">
        <v>27544.137999999999</v>
      </c>
      <c r="U113" s="8">
        <v>21896.536</v>
      </c>
      <c r="V113" s="8">
        <v>15994.271000000001</v>
      </c>
      <c r="W113" s="8">
        <v>10239.531999999999</v>
      </c>
      <c r="X113" s="8">
        <v>5664.4589999999998</v>
      </c>
      <c r="Y113" s="8">
        <v>2351.5309999999999</v>
      </c>
      <c r="Z113" s="8">
        <v>751.93399999999997</v>
      </c>
      <c r="AA113" s="8">
        <v>144.06899999999999</v>
      </c>
      <c r="AB113" s="8">
        <v>20.988</v>
      </c>
      <c r="AC113" s="8">
        <v>2.25</v>
      </c>
    </row>
    <row r="114" spans="1:29" ht="11.65" x14ac:dyDescent="0.35">
      <c r="A114" s="12">
        <v>97</v>
      </c>
      <c r="B114" s="10" t="s">
        <v>1015</v>
      </c>
      <c r="C114" s="36" t="s">
        <v>1031</v>
      </c>
      <c r="D114" s="9"/>
      <c r="E114" s="9">
        <v>948</v>
      </c>
      <c r="F114" s="10" t="s">
        <v>1024</v>
      </c>
      <c r="G114" s="9">
        <v>1803</v>
      </c>
      <c r="H114" s="9">
        <v>1980</v>
      </c>
      <c r="I114" s="8">
        <v>186566.31899999999</v>
      </c>
      <c r="J114" s="8">
        <v>161894.64300000001</v>
      </c>
      <c r="K114" s="8">
        <v>143778.02299999999</v>
      </c>
      <c r="L114" s="8">
        <v>127121.056</v>
      </c>
      <c r="M114" s="8">
        <v>108918.41800000001</v>
      </c>
      <c r="N114" s="8">
        <v>90994.134000000005</v>
      </c>
      <c r="O114" s="8">
        <v>71664.346999999994</v>
      </c>
      <c r="P114" s="8">
        <v>60941.267</v>
      </c>
      <c r="Q114" s="8">
        <v>54877.845999999903</v>
      </c>
      <c r="R114" s="8">
        <v>47223.002999999997</v>
      </c>
      <c r="S114" s="8">
        <v>39798.796999999999</v>
      </c>
      <c r="T114" s="8">
        <v>31677.491000000002</v>
      </c>
      <c r="U114" s="8">
        <v>24113.074000000001</v>
      </c>
      <c r="V114" s="8">
        <v>18014.437999999998</v>
      </c>
      <c r="W114" s="8">
        <v>11985.434999999999</v>
      </c>
      <c r="X114" s="8">
        <v>6694.4049999999997</v>
      </c>
      <c r="Y114" s="8">
        <v>2989.826</v>
      </c>
      <c r="Z114" s="8">
        <v>886.46600000000001</v>
      </c>
      <c r="AA114" s="8">
        <v>192.005</v>
      </c>
      <c r="AB114" s="8">
        <v>26.917000000000002</v>
      </c>
      <c r="AC114" s="8">
        <v>3.1120000000000001</v>
      </c>
    </row>
    <row r="115" spans="1:29" ht="11.65" x14ac:dyDescent="0.35">
      <c r="A115" s="12">
        <v>98</v>
      </c>
      <c r="B115" s="10" t="s">
        <v>1015</v>
      </c>
      <c r="C115" s="36" t="s">
        <v>1031</v>
      </c>
      <c r="D115" s="9"/>
      <c r="E115" s="9">
        <v>948</v>
      </c>
      <c r="F115" s="10" t="s">
        <v>1024</v>
      </c>
      <c r="G115" s="9">
        <v>1803</v>
      </c>
      <c r="H115" s="9">
        <v>1985</v>
      </c>
      <c r="I115" s="8">
        <v>207251.01699999999</v>
      </c>
      <c r="J115" s="8">
        <v>179451.389</v>
      </c>
      <c r="K115" s="8">
        <v>159404.00399999999</v>
      </c>
      <c r="L115" s="8">
        <v>141563.095</v>
      </c>
      <c r="M115" s="8">
        <v>124368.692</v>
      </c>
      <c r="N115" s="8">
        <v>106553.209</v>
      </c>
      <c r="O115" s="8">
        <v>88954.366999999998</v>
      </c>
      <c r="P115" s="8">
        <v>69928.820999999894</v>
      </c>
      <c r="Q115" s="8">
        <v>58985.735000000001</v>
      </c>
      <c r="R115" s="8">
        <v>52423.639000000003</v>
      </c>
      <c r="S115" s="8">
        <v>44362.497000000003</v>
      </c>
      <c r="T115" s="8">
        <v>36453.553999999996</v>
      </c>
      <c r="U115" s="8">
        <v>27846.263999999999</v>
      </c>
      <c r="V115" s="8">
        <v>19873.917000000001</v>
      </c>
      <c r="W115" s="8">
        <v>13593.995999999999</v>
      </c>
      <c r="X115" s="8">
        <v>7910.3530000000001</v>
      </c>
      <c r="Y115" s="8">
        <v>3590.654</v>
      </c>
      <c r="Z115" s="8">
        <v>1159.9490000000001</v>
      </c>
      <c r="AA115" s="8">
        <v>234.042</v>
      </c>
      <c r="AB115" s="8">
        <v>36.997999999999998</v>
      </c>
      <c r="AC115" s="8">
        <v>4.1369999999999996</v>
      </c>
    </row>
    <row r="116" spans="1:29" ht="11.65" x14ac:dyDescent="0.35">
      <c r="A116" s="12">
        <v>99</v>
      </c>
      <c r="B116" s="10" t="s">
        <v>1015</v>
      </c>
      <c r="C116" s="36" t="s">
        <v>1031</v>
      </c>
      <c r="D116" s="9"/>
      <c r="E116" s="9">
        <v>948</v>
      </c>
      <c r="F116" s="10" t="s">
        <v>1024</v>
      </c>
      <c r="G116" s="9">
        <v>1803</v>
      </c>
      <c r="H116" s="9">
        <v>1990</v>
      </c>
      <c r="I116" s="8">
        <v>221011.196</v>
      </c>
      <c r="J116" s="8">
        <v>200439.74600000001</v>
      </c>
      <c r="K116" s="8">
        <v>177279.59899999999</v>
      </c>
      <c r="L116" s="8">
        <v>157047.92600000001</v>
      </c>
      <c r="M116" s="8">
        <v>138472.93599999999</v>
      </c>
      <c r="N116" s="8">
        <v>121617.264</v>
      </c>
      <c r="O116" s="8">
        <v>104264.649</v>
      </c>
      <c r="P116" s="8">
        <v>86799.353000000003</v>
      </c>
      <c r="Q116" s="8">
        <v>67717.009999999995</v>
      </c>
      <c r="R116" s="8">
        <v>56532.216999999997</v>
      </c>
      <c r="S116" s="8">
        <v>49475.235000000001</v>
      </c>
      <c r="T116" s="8">
        <v>40963.099000000002</v>
      </c>
      <c r="U116" s="8">
        <v>32371.93</v>
      </c>
      <c r="V116" s="8">
        <v>23228.821</v>
      </c>
      <c r="W116" s="8">
        <v>15186.82</v>
      </c>
      <c r="X116" s="8">
        <v>9134.0130000000008</v>
      </c>
      <c r="Y116" s="8">
        <v>4312.0879999999997</v>
      </c>
      <c r="Z116" s="8">
        <v>1436.867</v>
      </c>
      <c r="AA116" s="8">
        <v>319.30700000000002</v>
      </c>
      <c r="AB116" s="8">
        <v>47.253</v>
      </c>
      <c r="AC116" s="8">
        <v>5.94</v>
      </c>
    </row>
    <row r="117" spans="1:29" ht="11.65" x14ac:dyDescent="0.35">
      <c r="A117" s="12">
        <v>100</v>
      </c>
      <c r="B117" s="10" t="s">
        <v>1015</v>
      </c>
      <c r="C117" s="36" t="s">
        <v>1031</v>
      </c>
      <c r="D117" s="9"/>
      <c r="E117" s="9">
        <v>948</v>
      </c>
      <c r="F117" s="10" t="s">
        <v>1024</v>
      </c>
      <c r="G117" s="9">
        <v>1803</v>
      </c>
      <c r="H117" s="9">
        <v>1995</v>
      </c>
      <c r="I117" s="8">
        <v>229256.541</v>
      </c>
      <c r="J117" s="8">
        <v>214485.18799999999</v>
      </c>
      <c r="K117" s="8">
        <v>198125.163</v>
      </c>
      <c r="L117" s="8">
        <v>174279.26500000001</v>
      </c>
      <c r="M117" s="8">
        <v>152876.60500000001</v>
      </c>
      <c r="N117" s="8">
        <v>134940.815</v>
      </c>
      <c r="O117" s="8">
        <v>118961.389</v>
      </c>
      <c r="P117" s="8">
        <v>101873.974</v>
      </c>
      <c r="Q117" s="8">
        <v>84370.368000000002</v>
      </c>
      <c r="R117" s="8">
        <v>65125.434000000001</v>
      </c>
      <c r="S117" s="8">
        <v>53589.432999999997</v>
      </c>
      <c r="T117" s="8">
        <v>45784.591999999997</v>
      </c>
      <c r="U117" s="8">
        <v>36620.42</v>
      </c>
      <c r="V117" s="8">
        <v>27269.019</v>
      </c>
      <c r="W117" s="8">
        <v>18036.136999999999</v>
      </c>
      <c r="X117" s="8">
        <v>10436.787</v>
      </c>
      <c r="Y117" s="8">
        <v>5128.4070000000002</v>
      </c>
      <c r="Z117" s="8">
        <v>1786.7049999999999</v>
      </c>
      <c r="AA117" s="8">
        <v>415.50700000000001</v>
      </c>
      <c r="AB117" s="8">
        <v>66.66</v>
      </c>
      <c r="AC117" s="8">
        <v>7.7110000000000003</v>
      </c>
    </row>
    <row r="118" spans="1:29" ht="11.65" x14ac:dyDescent="0.35">
      <c r="A118" s="12">
        <v>101</v>
      </c>
      <c r="B118" s="10" t="s">
        <v>1015</v>
      </c>
      <c r="C118" s="36" t="s">
        <v>1031</v>
      </c>
      <c r="D118" s="9"/>
      <c r="E118" s="9">
        <v>948</v>
      </c>
      <c r="F118" s="10" t="s">
        <v>1024</v>
      </c>
      <c r="G118" s="9">
        <v>1803</v>
      </c>
      <c r="H118" s="9">
        <v>2000</v>
      </c>
      <c r="I118" s="8">
        <v>236408.58499999999</v>
      </c>
      <c r="J118" s="8">
        <v>223387.462</v>
      </c>
      <c r="K118" s="8">
        <v>211855.74100000001</v>
      </c>
      <c r="L118" s="8">
        <v>194934.65599999999</v>
      </c>
      <c r="M118" s="8">
        <v>170079.848</v>
      </c>
      <c r="N118" s="8">
        <v>149272.16500000001</v>
      </c>
      <c r="O118" s="8">
        <v>131628.80300000001</v>
      </c>
      <c r="P118" s="8">
        <v>115907.268</v>
      </c>
      <c r="Q118" s="8">
        <v>98820.798999999999</v>
      </c>
      <c r="R118" s="8">
        <v>81096.910999999993</v>
      </c>
      <c r="S118" s="8">
        <v>61621.5</v>
      </c>
      <c r="T118" s="8">
        <v>49550.633000000002</v>
      </c>
      <c r="U118" s="8">
        <v>40953.196000000004</v>
      </c>
      <c r="V118" s="8">
        <v>31022.511999999999</v>
      </c>
      <c r="W118" s="8">
        <v>21311.123</v>
      </c>
      <c r="X118" s="8">
        <v>12546.994000000001</v>
      </c>
      <c r="Y118" s="8">
        <v>5974.3490000000002</v>
      </c>
      <c r="Z118" s="8">
        <v>2214.5909999999999</v>
      </c>
      <c r="AA118" s="8">
        <v>544.06200000000001</v>
      </c>
      <c r="AB118" s="8">
        <v>92.91</v>
      </c>
      <c r="AC118" s="8">
        <v>10.946999999999999</v>
      </c>
    </row>
    <row r="119" spans="1:29" ht="11.65" x14ac:dyDescent="0.35">
      <c r="A119" s="12">
        <v>102</v>
      </c>
      <c r="B119" s="10" t="s">
        <v>1015</v>
      </c>
      <c r="C119" s="36" t="s">
        <v>1031</v>
      </c>
      <c r="D119" s="9"/>
      <c r="E119" s="9">
        <v>948</v>
      </c>
      <c r="F119" s="10" t="s">
        <v>1024</v>
      </c>
      <c r="G119" s="9">
        <v>1803</v>
      </c>
      <c r="H119" s="9">
        <v>2005</v>
      </c>
      <c r="I119" s="8">
        <v>245457.85200000001</v>
      </c>
      <c r="J119" s="8">
        <v>231948.815</v>
      </c>
      <c r="K119" s="8">
        <v>221602.28899999999</v>
      </c>
      <c r="L119" s="8">
        <v>208531.44500000001</v>
      </c>
      <c r="M119" s="8">
        <v>189852.554</v>
      </c>
      <c r="N119" s="8">
        <v>166334.89000000001</v>
      </c>
      <c r="O119" s="8">
        <v>146072.01300000001</v>
      </c>
      <c r="P119" s="8">
        <v>128545.618</v>
      </c>
      <c r="Q119" s="8">
        <v>112583.931</v>
      </c>
      <c r="R119" s="8">
        <v>94794.633000000002</v>
      </c>
      <c r="S119" s="8">
        <v>76837.104000000007</v>
      </c>
      <c r="T119" s="8">
        <v>57699.514000000003</v>
      </c>
      <c r="U119" s="8">
        <v>44793.02</v>
      </c>
      <c r="V119" s="8">
        <v>34873.678999999996</v>
      </c>
      <c r="W119" s="8">
        <v>24469.133000000002</v>
      </c>
      <c r="X119" s="8">
        <v>14922.944</v>
      </c>
      <c r="Y119" s="8">
        <v>7386.1989999999996</v>
      </c>
      <c r="Z119" s="8">
        <v>2679.08</v>
      </c>
      <c r="AA119" s="8">
        <v>710.71600000000001</v>
      </c>
      <c r="AB119" s="8">
        <v>128.11500000000001</v>
      </c>
      <c r="AC119" s="8">
        <v>16.276</v>
      </c>
    </row>
    <row r="120" spans="1:29" ht="11.65" x14ac:dyDescent="0.35">
      <c r="A120" s="12">
        <v>103</v>
      </c>
      <c r="B120" s="10" t="s">
        <v>1015</v>
      </c>
      <c r="C120" s="36" t="s">
        <v>1031</v>
      </c>
      <c r="D120" s="9"/>
      <c r="E120" s="9">
        <v>948</v>
      </c>
      <c r="F120" s="10" t="s">
        <v>1024</v>
      </c>
      <c r="G120" s="9">
        <v>1803</v>
      </c>
      <c r="H120" s="9">
        <v>2010</v>
      </c>
      <c r="I120" s="8">
        <v>255271.087</v>
      </c>
      <c r="J120" s="8">
        <v>241385.96599999999</v>
      </c>
      <c r="K120" s="8">
        <v>230012.67800000001</v>
      </c>
      <c r="L120" s="8">
        <v>218188.079</v>
      </c>
      <c r="M120" s="8">
        <v>203078.48800000001</v>
      </c>
      <c r="N120" s="8">
        <v>186661.073</v>
      </c>
      <c r="O120" s="8">
        <v>163315.992</v>
      </c>
      <c r="P120" s="8">
        <v>143521.541</v>
      </c>
      <c r="Q120" s="8">
        <v>125747.163</v>
      </c>
      <c r="R120" s="8">
        <v>109138.61500000001</v>
      </c>
      <c r="S120" s="8">
        <v>90834.703999999896</v>
      </c>
      <c r="T120" s="8">
        <v>71916.523999999903</v>
      </c>
      <c r="U120" s="8">
        <v>52070.561999999998</v>
      </c>
      <c r="V120" s="8">
        <v>38532.523999999998</v>
      </c>
      <c r="W120" s="8">
        <v>27959.078000000001</v>
      </c>
      <c r="X120" s="8">
        <v>17461.899000000001</v>
      </c>
      <c r="Y120" s="8">
        <v>9113.9130000000005</v>
      </c>
      <c r="Z120" s="8">
        <v>3449.0349999999999</v>
      </c>
      <c r="AA120" s="8">
        <v>906.05200000000002</v>
      </c>
      <c r="AB120" s="8">
        <v>179.19800000000001</v>
      </c>
      <c r="AC120" s="8">
        <v>23.965</v>
      </c>
    </row>
    <row r="121" spans="1:29" ht="11.65" x14ac:dyDescent="0.35">
      <c r="A121" s="12">
        <v>104</v>
      </c>
      <c r="B121" s="10" t="s">
        <v>1015</v>
      </c>
      <c r="C121" s="36" t="s">
        <v>1031</v>
      </c>
      <c r="D121" s="9"/>
      <c r="E121" s="9">
        <v>948</v>
      </c>
      <c r="F121" s="10" t="s">
        <v>1024</v>
      </c>
      <c r="G121" s="9">
        <v>1803</v>
      </c>
      <c r="H121" s="9">
        <v>2015</v>
      </c>
      <c r="I121" s="8">
        <v>263528.989</v>
      </c>
      <c r="J121" s="8">
        <v>251229.31299999999</v>
      </c>
      <c r="K121" s="8">
        <v>239180.06700000001</v>
      </c>
      <c r="L121" s="8">
        <v>227519.06299999999</v>
      </c>
      <c r="M121" s="8">
        <v>214744.473</v>
      </c>
      <c r="N121" s="8">
        <v>199867.717</v>
      </c>
      <c r="O121" s="8">
        <v>183480.489</v>
      </c>
      <c r="P121" s="8">
        <v>159861.609</v>
      </c>
      <c r="Q121" s="8">
        <v>139984.33900000001</v>
      </c>
      <c r="R121" s="8">
        <v>121791.00900000001</v>
      </c>
      <c r="S121" s="8">
        <v>104592.62</v>
      </c>
      <c r="T121" s="8">
        <v>85486.422999999995</v>
      </c>
      <c r="U121" s="8">
        <v>65745.956000000006</v>
      </c>
      <c r="V121" s="8">
        <v>45378.71</v>
      </c>
      <c r="W121" s="8">
        <v>31438.859</v>
      </c>
      <c r="X121" s="8">
        <v>20470.714</v>
      </c>
      <c r="Y121" s="8">
        <v>10974.757</v>
      </c>
      <c r="Z121" s="8">
        <v>4452.4870000000001</v>
      </c>
      <c r="AA121" s="8">
        <v>1239.066</v>
      </c>
      <c r="AB121" s="8">
        <v>244.196</v>
      </c>
      <c r="AC121" s="8">
        <v>36.271000000000001</v>
      </c>
    </row>
    <row r="122" spans="1:29" ht="11.65" x14ac:dyDescent="0.35">
      <c r="A122" s="12">
        <v>105</v>
      </c>
      <c r="B122" s="10" t="s">
        <v>1015</v>
      </c>
      <c r="C122" s="36" t="s">
        <v>1031</v>
      </c>
      <c r="D122" s="9"/>
      <c r="E122" s="9">
        <v>948</v>
      </c>
      <c r="F122" s="10" t="s">
        <v>1024</v>
      </c>
      <c r="G122" s="9">
        <v>1803</v>
      </c>
      <c r="H122" s="9">
        <v>2020</v>
      </c>
      <c r="I122" s="8">
        <v>269639.40399999998</v>
      </c>
      <c r="J122" s="8">
        <v>259915.57800000001</v>
      </c>
      <c r="K122" s="8">
        <v>249154.84700000001</v>
      </c>
      <c r="L122" s="8">
        <v>236582.804</v>
      </c>
      <c r="M122" s="8">
        <v>224456.99299999999</v>
      </c>
      <c r="N122" s="8">
        <v>212653.861</v>
      </c>
      <c r="O122" s="8">
        <v>197551.96400000001</v>
      </c>
      <c r="P122" s="8">
        <v>180112.00200000001</v>
      </c>
      <c r="Q122" s="8">
        <v>156241.99100000001</v>
      </c>
      <c r="R122" s="8">
        <v>135951.72</v>
      </c>
      <c r="S122" s="8">
        <v>117063.327</v>
      </c>
      <c r="T122" s="8">
        <v>98764.952000000005</v>
      </c>
      <c r="U122" s="8">
        <v>78495.191999999995</v>
      </c>
      <c r="V122" s="8">
        <v>57920.120999999999</v>
      </c>
      <c r="W122" s="8">
        <v>37350.43</v>
      </c>
      <c r="X122" s="8">
        <v>23282.162</v>
      </c>
      <c r="Y122" s="8">
        <v>12959.967000000001</v>
      </c>
      <c r="Z122" s="8">
        <v>5518.8549999999996</v>
      </c>
      <c r="AA122" s="8">
        <v>1658.76</v>
      </c>
      <c r="AB122" s="8">
        <v>348.80900000000003</v>
      </c>
      <c r="AC122" s="8">
        <v>53.466999999999999</v>
      </c>
    </row>
    <row r="123" spans="1:29" ht="11.65" x14ac:dyDescent="0.35">
      <c r="A123" s="12">
        <v>106</v>
      </c>
      <c r="B123" s="10" t="s">
        <v>1015</v>
      </c>
      <c r="C123" s="36" t="s">
        <v>1032</v>
      </c>
      <c r="D123" s="9" t="s">
        <v>1033</v>
      </c>
      <c r="E123" s="9">
        <v>1636</v>
      </c>
      <c r="F123" s="10" t="s">
        <v>1034</v>
      </c>
      <c r="G123" s="9">
        <v>1803</v>
      </c>
      <c r="H123" s="9">
        <v>1950</v>
      </c>
      <c r="I123" s="8">
        <v>8104.5749999999998</v>
      </c>
      <c r="J123" s="8">
        <v>6441.1419999999998</v>
      </c>
      <c r="K123" s="8">
        <v>6145.5919999999996</v>
      </c>
      <c r="L123" s="8">
        <v>5315.0110000000004</v>
      </c>
      <c r="M123" s="8">
        <v>4885.1090000000004</v>
      </c>
      <c r="N123" s="8">
        <v>3770.6759999999999</v>
      </c>
      <c r="O123" s="8">
        <v>3089.4520000000002</v>
      </c>
      <c r="P123" s="8">
        <v>2843.3620000000001</v>
      </c>
      <c r="Q123" s="8">
        <v>2463.819</v>
      </c>
      <c r="R123" s="8">
        <v>2124.6640000000002</v>
      </c>
      <c r="S123" s="8">
        <v>1704.55</v>
      </c>
      <c r="T123" s="8">
        <v>1382.16</v>
      </c>
      <c r="U123" s="8">
        <v>1174.595</v>
      </c>
      <c r="V123" s="8">
        <v>857.77499999999998</v>
      </c>
      <c r="W123" s="8">
        <v>536.54700000000003</v>
      </c>
      <c r="X123" s="8">
        <v>284.892</v>
      </c>
      <c r="Y123" s="8">
        <v>117.15600000000001</v>
      </c>
      <c r="Z123" s="8">
        <v>39.093000000000004</v>
      </c>
      <c r="AA123" s="8">
        <v>10.352</v>
      </c>
      <c r="AB123" s="8">
        <v>1.609</v>
      </c>
      <c r="AC123" s="8">
        <v>0.16600000000000001</v>
      </c>
    </row>
    <row r="124" spans="1:29" ht="11.65" x14ac:dyDescent="0.35">
      <c r="A124" s="12">
        <v>107</v>
      </c>
      <c r="B124" s="10" t="s">
        <v>1015</v>
      </c>
      <c r="C124" s="36" t="s">
        <v>1032</v>
      </c>
      <c r="D124" s="9" t="s">
        <v>1033</v>
      </c>
      <c r="E124" s="9">
        <v>1636</v>
      </c>
      <c r="F124" s="10" t="s">
        <v>1034</v>
      </c>
      <c r="G124" s="9">
        <v>1803</v>
      </c>
      <c r="H124" s="9">
        <v>1955</v>
      </c>
      <c r="I124" s="8">
        <v>9801.6610000000001</v>
      </c>
      <c r="J124" s="8">
        <v>7234.3739999999998</v>
      </c>
      <c r="K124" s="8">
        <v>6242.6509999999998</v>
      </c>
      <c r="L124" s="8">
        <v>5994.0950000000003</v>
      </c>
      <c r="M124" s="8">
        <v>5114.1890000000003</v>
      </c>
      <c r="N124" s="8">
        <v>4650.1589999999997</v>
      </c>
      <c r="O124" s="8">
        <v>3560.5630000000001</v>
      </c>
      <c r="P124" s="8">
        <v>2895.6640000000002</v>
      </c>
      <c r="Q124" s="8">
        <v>2650.1590000000001</v>
      </c>
      <c r="R124" s="8">
        <v>2266.6149999999998</v>
      </c>
      <c r="S124" s="8">
        <v>1915.404</v>
      </c>
      <c r="T124" s="8">
        <v>1492.7619999999999</v>
      </c>
      <c r="U124" s="8">
        <v>1152.8150000000001</v>
      </c>
      <c r="V124" s="8">
        <v>912.01</v>
      </c>
      <c r="W124" s="8">
        <v>594.07000000000005</v>
      </c>
      <c r="X124" s="8">
        <v>310.42899999999997</v>
      </c>
      <c r="Y124" s="8">
        <v>128.631</v>
      </c>
      <c r="Z124" s="8">
        <v>36.692999999999998</v>
      </c>
      <c r="AA124" s="8">
        <v>8.5210000000000008</v>
      </c>
      <c r="AB124" s="8">
        <v>1.5760000000000001</v>
      </c>
      <c r="AC124" s="8">
        <v>0.17799999999999999</v>
      </c>
    </row>
    <row r="125" spans="1:29" ht="11.65" x14ac:dyDescent="0.35">
      <c r="A125" s="12">
        <v>108</v>
      </c>
      <c r="B125" s="10" t="s">
        <v>1015</v>
      </c>
      <c r="C125" s="36" t="s">
        <v>1032</v>
      </c>
      <c r="D125" s="9" t="s">
        <v>1033</v>
      </c>
      <c r="E125" s="9">
        <v>1636</v>
      </c>
      <c r="F125" s="10" t="s">
        <v>1034</v>
      </c>
      <c r="G125" s="9">
        <v>1803</v>
      </c>
      <c r="H125" s="9">
        <v>1960</v>
      </c>
      <c r="I125" s="8">
        <v>11359.369000000001</v>
      </c>
      <c r="J125" s="8">
        <v>8923.3029999999999</v>
      </c>
      <c r="K125" s="8">
        <v>7052.3620000000001</v>
      </c>
      <c r="L125" s="8">
        <v>6094.2740000000003</v>
      </c>
      <c r="M125" s="8">
        <v>5795.0770000000002</v>
      </c>
      <c r="N125" s="8">
        <v>4889.1059999999998</v>
      </c>
      <c r="O125" s="8">
        <v>4433.0879999999997</v>
      </c>
      <c r="P125" s="8">
        <v>3365.127</v>
      </c>
      <c r="Q125" s="8">
        <v>2705.1869999999999</v>
      </c>
      <c r="R125" s="8">
        <v>2452.9490000000001</v>
      </c>
      <c r="S125" s="8">
        <v>2061.2469999999998</v>
      </c>
      <c r="T125" s="8">
        <v>1692.1769999999999</v>
      </c>
      <c r="U125" s="8">
        <v>1261.1659999999999</v>
      </c>
      <c r="V125" s="8">
        <v>907.149</v>
      </c>
      <c r="W125" s="8">
        <v>645.98400000000004</v>
      </c>
      <c r="X125" s="8">
        <v>354.83300000000003</v>
      </c>
      <c r="Y125" s="8">
        <v>144.37700000000001</v>
      </c>
      <c r="Z125" s="8">
        <v>44.012</v>
      </c>
      <c r="AA125" s="8">
        <v>8.8019999999999996</v>
      </c>
      <c r="AB125" s="8">
        <v>1.542</v>
      </c>
      <c r="AC125" s="8">
        <v>0.23</v>
      </c>
    </row>
    <row r="126" spans="1:29" ht="11.65" x14ac:dyDescent="0.35">
      <c r="A126" s="12">
        <v>109</v>
      </c>
      <c r="B126" s="10" t="s">
        <v>1015</v>
      </c>
      <c r="C126" s="36" t="s">
        <v>1032</v>
      </c>
      <c r="D126" s="9" t="s">
        <v>1033</v>
      </c>
      <c r="E126" s="9">
        <v>1636</v>
      </c>
      <c r="F126" s="10" t="s">
        <v>1034</v>
      </c>
      <c r="G126" s="9">
        <v>1803</v>
      </c>
      <c r="H126" s="9">
        <v>1965</v>
      </c>
      <c r="I126" s="8">
        <v>12997.875</v>
      </c>
      <c r="J126" s="8">
        <v>10472.665000000001</v>
      </c>
      <c r="K126" s="8">
        <v>8711.8799999999992</v>
      </c>
      <c r="L126" s="8">
        <v>6867.4920000000002</v>
      </c>
      <c r="M126" s="8">
        <v>5852.3370000000004</v>
      </c>
      <c r="N126" s="8">
        <v>5553.4690000000001</v>
      </c>
      <c r="O126" s="8">
        <v>4657.5690000000004</v>
      </c>
      <c r="P126" s="8">
        <v>4206.0420000000004</v>
      </c>
      <c r="Q126" s="8">
        <v>3157.6570000000002</v>
      </c>
      <c r="R126" s="8">
        <v>2503.4319999999998</v>
      </c>
      <c r="S126" s="8">
        <v>2238.998</v>
      </c>
      <c r="T126" s="8">
        <v>1839.34</v>
      </c>
      <c r="U126" s="8">
        <v>1445.461</v>
      </c>
      <c r="V126" s="8">
        <v>1000.817</v>
      </c>
      <c r="W126" s="8">
        <v>648.45600000000002</v>
      </c>
      <c r="X126" s="8">
        <v>395.017</v>
      </c>
      <c r="Y126" s="8">
        <v>170.39699999999999</v>
      </c>
      <c r="Z126" s="8">
        <v>51.975000000000001</v>
      </c>
      <c r="AA126" s="8">
        <v>11.49</v>
      </c>
      <c r="AB126" s="8">
        <v>1.7430000000000001</v>
      </c>
      <c r="AC126" s="8">
        <v>0.27</v>
      </c>
    </row>
    <row r="127" spans="1:29" ht="11.65" x14ac:dyDescent="0.35">
      <c r="A127" s="12">
        <v>110</v>
      </c>
      <c r="B127" s="10" t="s">
        <v>1015</v>
      </c>
      <c r="C127" s="36" t="s">
        <v>1032</v>
      </c>
      <c r="D127" s="9" t="s">
        <v>1033</v>
      </c>
      <c r="E127" s="9">
        <v>1636</v>
      </c>
      <c r="F127" s="10" t="s">
        <v>1034</v>
      </c>
      <c r="G127" s="9">
        <v>1803</v>
      </c>
      <c r="H127" s="9">
        <v>1970</v>
      </c>
      <c r="I127" s="8">
        <v>14253.073</v>
      </c>
      <c r="J127" s="8">
        <v>12061.124</v>
      </c>
      <c r="K127" s="8">
        <v>10290.467000000001</v>
      </c>
      <c r="L127" s="8">
        <v>8508.6949999999997</v>
      </c>
      <c r="M127" s="8">
        <v>6594.6509999999998</v>
      </c>
      <c r="N127" s="8">
        <v>5572.2539999999999</v>
      </c>
      <c r="O127" s="8">
        <v>5342.415</v>
      </c>
      <c r="P127" s="8">
        <v>4442.24</v>
      </c>
      <c r="Q127" s="8">
        <v>3978.232</v>
      </c>
      <c r="R127" s="8">
        <v>2943.2159999999999</v>
      </c>
      <c r="S127" s="8">
        <v>2287.2460000000001</v>
      </c>
      <c r="T127" s="8">
        <v>1999.921</v>
      </c>
      <c r="U127" s="8">
        <v>1583.325</v>
      </c>
      <c r="V127" s="8">
        <v>1166.6610000000001</v>
      </c>
      <c r="W127" s="8">
        <v>723.90599999999995</v>
      </c>
      <c r="X127" s="8">
        <v>399.41300000000001</v>
      </c>
      <c r="Y127" s="8">
        <v>190.39699999999999</v>
      </c>
      <c r="Z127" s="8">
        <v>64.156999999999996</v>
      </c>
      <c r="AA127" s="8">
        <v>14.324999999999999</v>
      </c>
      <c r="AB127" s="8">
        <v>2.4500000000000002</v>
      </c>
      <c r="AC127" s="8">
        <v>0.32100000000000001</v>
      </c>
    </row>
    <row r="128" spans="1:29" ht="11.65" x14ac:dyDescent="0.35">
      <c r="A128" s="12">
        <v>111</v>
      </c>
      <c r="B128" s="10" t="s">
        <v>1015</v>
      </c>
      <c r="C128" s="36" t="s">
        <v>1032</v>
      </c>
      <c r="D128" s="9" t="s">
        <v>1033</v>
      </c>
      <c r="E128" s="9">
        <v>1636</v>
      </c>
      <c r="F128" s="10" t="s">
        <v>1034</v>
      </c>
      <c r="G128" s="9">
        <v>1803</v>
      </c>
      <c r="H128" s="9">
        <v>1975</v>
      </c>
      <c r="I128" s="8">
        <v>16058.565000000001</v>
      </c>
      <c r="J128" s="8">
        <v>13187.125</v>
      </c>
      <c r="K128" s="8">
        <v>11724.388000000001</v>
      </c>
      <c r="L128" s="8">
        <v>9973.61</v>
      </c>
      <c r="M128" s="8">
        <v>8190.4179999999997</v>
      </c>
      <c r="N128" s="8">
        <v>6301.2110000000002</v>
      </c>
      <c r="O128" s="8">
        <v>5306.3890000000001</v>
      </c>
      <c r="P128" s="8">
        <v>5061.1409999999996</v>
      </c>
      <c r="Q128" s="8">
        <v>4171.1729999999998</v>
      </c>
      <c r="R128" s="8">
        <v>3698.8679999999999</v>
      </c>
      <c r="S128" s="8">
        <v>2697.9639999999999</v>
      </c>
      <c r="T128" s="8">
        <v>2042.739</v>
      </c>
      <c r="U128" s="8">
        <v>1720.989</v>
      </c>
      <c r="V128" s="8">
        <v>1269.242</v>
      </c>
      <c r="W128" s="8">
        <v>857.48599999999999</v>
      </c>
      <c r="X128" s="8">
        <v>454.55700000000002</v>
      </c>
      <c r="Y128" s="8">
        <v>207.00700000000001</v>
      </c>
      <c r="Z128" s="8">
        <v>72.978999999999999</v>
      </c>
      <c r="AA128" s="8">
        <v>18.119</v>
      </c>
      <c r="AB128" s="8">
        <v>3.1349999999999998</v>
      </c>
      <c r="AC128" s="8">
        <v>0.45600000000000002</v>
      </c>
    </row>
    <row r="129" spans="1:29" ht="11.65" x14ac:dyDescent="0.35">
      <c r="A129" s="12">
        <v>112</v>
      </c>
      <c r="B129" s="10" t="s">
        <v>1015</v>
      </c>
      <c r="C129" s="36" t="s">
        <v>1032</v>
      </c>
      <c r="D129" s="9" t="s">
        <v>1033</v>
      </c>
      <c r="E129" s="9">
        <v>1636</v>
      </c>
      <c r="F129" s="10" t="s">
        <v>1034</v>
      </c>
      <c r="G129" s="9">
        <v>1803</v>
      </c>
      <c r="H129" s="9">
        <v>1980</v>
      </c>
      <c r="I129" s="8">
        <v>18025.205000000002</v>
      </c>
      <c r="J129" s="8">
        <v>14681.786</v>
      </c>
      <c r="K129" s="8">
        <v>12534.743</v>
      </c>
      <c r="L129" s="8">
        <v>10982.620999999999</v>
      </c>
      <c r="M129" s="8">
        <v>9236.6059999999998</v>
      </c>
      <c r="N129" s="8">
        <v>7683.5079999999998</v>
      </c>
      <c r="O129" s="8">
        <v>5986.5919999999996</v>
      </c>
      <c r="P129" s="8">
        <v>4918.134</v>
      </c>
      <c r="Q129" s="8">
        <v>4705.5789999999997</v>
      </c>
      <c r="R129" s="8">
        <v>3854.6120000000001</v>
      </c>
      <c r="S129" s="8">
        <v>3384.451</v>
      </c>
      <c r="T129" s="8">
        <v>2436.498</v>
      </c>
      <c r="U129" s="8">
        <v>1754.3889999999999</v>
      </c>
      <c r="V129" s="8">
        <v>1399.673</v>
      </c>
      <c r="W129" s="8">
        <v>938.32</v>
      </c>
      <c r="X129" s="8">
        <v>566.70000000000005</v>
      </c>
      <c r="Y129" s="8">
        <v>244.38499999999999</v>
      </c>
      <c r="Z129" s="8">
        <v>79.245000000000005</v>
      </c>
      <c r="AA129" s="8">
        <v>20.645</v>
      </c>
      <c r="AB129" s="8">
        <v>3.976</v>
      </c>
      <c r="AC129" s="8">
        <v>0.58399999999999996</v>
      </c>
    </row>
    <row r="130" spans="1:29" ht="11.65" x14ac:dyDescent="0.35">
      <c r="A130" s="12">
        <v>113</v>
      </c>
      <c r="B130" s="10" t="s">
        <v>1015</v>
      </c>
      <c r="C130" s="36" t="s">
        <v>1032</v>
      </c>
      <c r="D130" s="9" t="s">
        <v>1033</v>
      </c>
      <c r="E130" s="9">
        <v>1636</v>
      </c>
      <c r="F130" s="10" t="s">
        <v>1034</v>
      </c>
      <c r="G130" s="9">
        <v>1803</v>
      </c>
      <c r="H130" s="9">
        <v>1985</v>
      </c>
      <c r="I130" s="8">
        <v>20362.493999999999</v>
      </c>
      <c r="J130" s="8">
        <v>16590.402999999998</v>
      </c>
      <c r="K130" s="8">
        <v>14130.263000000001</v>
      </c>
      <c r="L130" s="8">
        <v>12001.764999999999</v>
      </c>
      <c r="M130" s="8">
        <v>10402.173000000001</v>
      </c>
      <c r="N130" s="8">
        <v>8739.6669999999995</v>
      </c>
      <c r="O130" s="8">
        <v>7259.7120000000004</v>
      </c>
      <c r="P130" s="8">
        <v>5579.0410000000002</v>
      </c>
      <c r="Q130" s="8">
        <v>4554.8549999999996</v>
      </c>
      <c r="R130" s="8">
        <v>4313.3829999999998</v>
      </c>
      <c r="S130" s="8">
        <v>3486.6590000000001</v>
      </c>
      <c r="T130" s="8">
        <v>3011.4780000000001</v>
      </c>
      <c r="U130" s="8">
        <v>2081.1390000000001</v>
      </c>
      <c r="V130" s="8">
        <v>1408.0340000000001</v>
      </c>
      <c r="W130" s="8">
        <v>1025.8679999999999</v>
      </c>
      <c r="X130" s="8">
        <v>593.9</v>
      </c>
      <c r="Y130" s="8">
        <v>293.065</v>
      </c>
      <c r="Z130" s="8">
        <v>93.92</v>
      </c>
      <c r="AA130" s="8">
        <v>22.404</v>
      </c>
      <c r="AB130" s="8">
        <v>4.5380000000000003</v>
      </c>
      <c r="AC130" s="8">
        <v>0.749</v>
      </c>
    </row>
    <row r="131" spans="1:29" ht="11.65" x14ac:dyDescent="0.35">
      <c r="A131" s="12">
        <v>114</v>
      </c>
      <c r="B131" s="10" t="s">
        <v>1015</v>
      </c>
      <c r="C131" s="36" t="s">
        <v>1032</v>
      </c>
      <c r="D131" s="9" t="s">
        <v>1033</v>
      </c>
      <c r="E131" s="9">
        <v>1636</v>
      </c>
      <c r="F131" s="10" t="s">
        <v>1034</v>
      </c>
      <c r="G131" s="9">
        <v>1803</v>
      </c>
      <c r="H131" s="9">
        <v>1990</v>
      </c>
      <c r="I131" s="8">
        <v>23090.538</v>
      </c>
      <c r="J131" s="8">
        <v>19077.144</v>
      </c>
      <c r="K131" s="8">
        <v>16164.826999999999</v>
      </c>
      <c r="L131" s="8">
        <v>13619.992</v>
      </c>
      <c r="M131" s="8">
        <v>11304.272000000001</v>
      </c>
      <c r="N131" s="8">
        <v>9874.4529999999995</v>
      </c>
      <c r="O131" s="8">
        <v>8397.9889999999996</v>
      </c>
      <c r="P131" s="8">
        <v>6916.0940000000001</v>
      </c>
      <c r="Q131" s="8">
        <v>5243.8320000000003</v>
      </c>
      <c r="R131" s="8">
        <v>4246.8419999999996</v>
      </c>
      <c r="S131" s="8">
        <v>3965.9459999999999</v>
      </c>
      <c r="T131" s="8">
        <v>3157.9180000000001</v>
      </c>
      <c r="U131" s="8">
        <v>2621.462</v>
      </c>
      <c r="V131" s="8">
        <v>1720.088</v>
      </c>
      <c r="W131" s="8">
        <v>1086.028</v>
      </c>
      <c r="X131" s="8">
        <v>691.399</v>
      </c>
      <c r="Y131" s="8">
        <v>315.05500000000001</v>
      </c>
      <c r="Z131" s="8">
        <v>115.917</v>
      </c>
      <c r="AA131" s="8">
        <v>26.715</v>
      </c>
      <c r="AB131" s="8">
        <v>4.8890000000000002</v>
      </c>
      <c r="AC131" s="8">
        <v>0.84799999999999998</v>
      </c>
    </row>
    <row r="132" spans="1:29" ht="11.65" x14ac:dyDescent="0.35">
      <c r="A132" s="12">
        <v>115</v>
      </c>
      <c r="B132" s="10" t="s">
        <v>1015</v>
      </c>
      <c r="C132" s="36" t="s">
        <v>1032</v>
      </c>
      <c r="D132" s="9" t="s">
        <v>1033</v>
      </c>
      <c r="E132" s="9">
        <v>1636</v>
      </c>
      <c r="F132" s="10" t="s">
        <v>1034</v>
      </c>
      <c r="G132" s="9">
        <v>1803</v>
      </c>
      <c r="H132" s="9">
        <v>1995</v>
      </c>
      <c r="I132" s="8">
        <v>24985.748</v>
      </c>
      <c r="J132" s="8">
        <v>21755.465</v>
      </c>
      <c r="K132" s="8">
        <v>18696.092000000001</v>
      </c>
      <c r="L132" s="8">
        <v>15647.887000000001</v>
      </c>
      <c r="M132" s="8">
        <v>13013.864</v>
      </c>
      <c r="N132" s="8">
        <v>10725.922</v>
      </c>
      <c r="O132" s="8">
        <v>9315.9850000000006</v>
      </c>
      <c r="P132" s="8">
        <v>7916.3339999999998</v>
      </c>
      <c r="Q132" s="8">
        <v>6470.8459999999995</v>
      </c>
      <c r="R132" s="8">
        <v>4832.1819999999998</v>
      </c>
      <c r="S132" s="8">
        <v>3899.96</v>
      </c>
      <c r="T132" s="8">
        <v>3577.61</v>
      </c>
      <c r="U132" s="8">
        <v>2779.01</v>
      </c>
      <c r="V132" s="8">
        <v>2153.404</v>
      </c>
      <c r="W132" s="8">
        <v>1309.9459999999999</v>
      </c>
      <c r="X132" s="8">
        <v>741.31</v>
      </c>
      <c r="Y132" s="8">
        <v>374.50700000000001</v>
      </c>
      <c r="Z132" s="8">
        <v>119.733</v>
      </c>
      <c r="AA132" s="8">
        <v>31.853999999999999</v>
      </c>
      <c r="AB132" s="8">
        <v>5.2960000000000003</v>
      </c>
      <c r="AC132" s="8">
        <v>0.79600000000000004</v>
      </c>
    </row>
    <row r="133" spans="1:29" ht="11.65" x14ac:dyDescent="0.35">
      <c r="A133" s="12">
        <v>116</v>
      </c>
      <c r="B133" s="10" t="s">
        <v>1015</v>
      </c>
      <c r="C133" s="36" t="s">
        <v>1032</v>
      </c>
      <c r="D133" s="9" t="s">
        <v>1033</v>
      </c>
      <c r="E133" s="9">
        <v>1636</v>
      </c>
      <c r="F133" s="10" t="s">
        <v>1034</v>
      </c>
      <c r="G133" s="9">
        <v>1803</v>
      </c>
      <c r="H133" s="9">
        <v>2000</v>
      </c>
      <c r="I133" s="8">
        <v>27245.531999999999</v>
      </c>
      <c r="J133" s="8">
        <v>23927.829000000002</v>
      </c>
      <c r="K133" s="8">
        <v>21339.641</v>
      </c>
      <c r="L133" s="8">
        <v>18053.516</v>
      </c>
      <c r="M133" s="8">
        <v>14750.128000000001</v>
      </c>
      <c r="N133" s="8">
        <v>12166.882</v>
      </c>
      <c r="O133" s="8">
        <v>10044.151</v>
      </c>
      <c r="P133" s="8">
        <v>8729.1839999999993</v>
      </c>
      <c r="Q133" s="8">
        <v>7293.2489999999998</v>
      </c>
      <c r="R133" s="8">
        <v>5914.7960000000003</v>
      </c>
      <c r="S133" s="8">
        <v>4347.0039999999999</v>
      </c>
      <c r="T133" s="8">
        <v>3468.0410000000002</v>
      </c>
      <c r="U133" s="8">
        <v>3047.5169999999998</v>
      </c>
      <c r="V133" s="8">
        <v>2257.625</v>
      </c>
      <c r="W133" s="8">
        <v>1585.251</v>
      </c>
      <c r="X133" s="8">
        <v>866.58900000000006</v>
      </c>
      <c r="Y133" s="8">
        <v>380.38099999999997</v>
      </c>
      <c r="Z133" s="8">
        <v>138.55500000000001</v>
      </c>
      <c r="AA133" s="8">
        <v>30.234000000000002</v>
      </c>
      <c r="AB133" s="8">
        <v>5.79</v>
      </c>
      <c r="AC133" s="8">
        <v>0.71599999999999997</v>
      </c>
    </row>
    <row r="134" spans="1:29" ht="11.65" x14ac:dyDescent="0.35">
      <c r="A134" s="12">
        <v>117</v>
      </c>
      <c r="B134" s="10" t="s">
        <v>1015</v>
      </c>
      <c r="C134" s="36" t="s">
        <v>1032</v>
      </c>
      <c r="D134" s="9" t="s">
        <v>1033</v>
      </c>
      <c r="E134" s="9">
        <v>1636</v>
      </c>
      <c r="F134" s="10" t="s">
        <v>1034</v>
      </c>
      <c r="G134" s="9">
        <v>1803</v>
      </c>
      <c r="H134" s="9">
        <v>2005</v>
      </c>
      <c r="I134" s="8">
        <v>29673.45</v>
      </c>
      <c r="J134" s="8">
        <v>26286.591</v>
      </c>
      <c r="K134" s="8">
        <v>23566.101999999999</v>
      </c>
      <c r="L134" s="8">
        <v>20617.553</v>
      </c>
      <c r="M134" s="8">
        <v>17062.398000000001</v>
      </c>
      <c r="N134" s="8">
        <v>13972.718999999999</v>
      </c>
      <c r="O134" s="8">
        <v>11642.776</v>
      </c>
      <c r="P134" s="8">
        <v>9607.2289999999994</v>
      </c>
      <c r="Q134" s="8">
        <v>8254.5920000000006</v>
      </c>
      <c r="R134" s="8">
        <v>6816.5420000000004</v>
      </c>
      <c r="S134" s="8">
        <v>5452.6090000000004</v>
      </c>
      <c r="T134" s="8">
        <v>3947.84</v>
      </c>
      <c r="U134" s="8">
        <v>3073.0790000000002</v>
      </c>
      <c r="V134" s="8">
        <v>2532.6689999999999</v>
      </c>
      <c r="W134" s="8">
        <v>1724.932</v>
      </c>
      <c r="X134" s="8">
        <v>1052.2850000000001</v>
      </c>
      <c r="Y134" s="8">
        <v>462.20100000000002</v>
      </c>
      <c r="Z134" s="8">
        <v>142.05500000000001</v>
      </c>
      <c r="AA134" s="8">
        <v>35.671999999999997</v>
      </c>
      <c r="AB134" s="8">
        <v>5.4249999999999998</v>
      </c>
      <c r="AC134" s="8">
        <v>0.84399999999999997</v>
      </c>
    </row>
    <row r="135" spans="1:29" ht="11.65" x14ac:dyDescent="0.35">
      <c r="A135" s="12">
        <v>118</v>
      </c>
      <c r="B135" s="10" t="s">
        <v>1015</v>
      </c>
      <c r="C135" s="36" t="s">
        <v>1032</v>
      </c>
      <c r="D135" s="9" t="s">
        <v>1033</v>
      </c>
      <c r="E135" s="9">
        <v>1636</v>
      </c>
      <c r="F135" s="10" t="s">
        <v>1034</v>
      </c>
      <c r="G135" s="9">
        <v>1803</v>
      </c>
      <c r="H135" s="9">
        <v>2010</v>
      </c>
      <c r="I135" s="8">
        <v>32771.082000000002</v>
      </c>
      <c r="J135" s="8">
        <v>28740.796999999999</v>
      </c>
      <c r="K135" s="8">
        <v>25922.856</v>
      </c>
      <c r="L135" s="8">
        <v>22982.146000000001</v>
      </c>
      <c r="M135" s="8">
        <v>19578.050999999999</v>
      </c>
      <c r="N135" s="8">
        <v>16140.334999999999</v>
      </c>
      <c r="O135" s="8">
        <v>13243.594999999999</v>
      </c>
      <c r="P135" s="8">
        <v>11019.954</v>
      </c>
      <c r="Q135" s="8">
        <v>9097.5239999999994</v>
      </c>
      <c r="R135" s="8">
        <v>7807.9390000000003</v>
      </c>
      <c r="S135" s="8">
        <v>6349.9539999999997</v>
      </c>
      <c r="T135" s="8">
        <v>4961.1959999999999</v>
      </c>
      <c r="U135" s="8">
        <v>3502.4810000000002</v>
      </c>
      <c r="V135" s="8">
        <v>2611.674</v>
      </c>
      <c r="W135" s="8">
        <v>1964.088</v>
      </c>
      <c r="X135" s="8">
        <v>1169.078</v>
      </c>
      <c r="Y135" s="8">
        <v>608.33699999999999</v>
      </c>
      <c r="Z135" s="8">
        <v>182.01300000000001</v>
      </c>
      <c r="AA135" s="8">
        <v>37.543999999999997</v>
      </c>
      <c r="AB135" s="8">
        <v>6.5250000000000004</v>
      </c>
      <c r="AC135" s="8">
        <v>0.81</v>
      </c>
    </row>
    <row r="136" spans="1:29" ht="11.65" x14ac:dyDescent="0.35">
      <c r="A136" s="12">
        <v>119</v>
      </c>
      <c r="B136" s="10" t="s">
        <v>1015</v>
      </c>
      <c r="C136" s="36" t="s">
        <v>1032</v>
      </c>
      <c r="D136" s="9" t="s">
        <v>1033</v>
      </c>
      <c r="E136" s="9">
        <v>1636</v>
      </c>
      <c r="F136" s="10" t="s">
        <v>1034</v>
      </c>
      <c r="G136" s="9">
        <v>1803</v>
      </c>
      <c r="H136" s="9">
        <v>2015</v>
      </c>
      <c r="I136" s="8">
        <v>35996.544000000002</v>
      </c>
      <c r="J136" s="8">
        <v>31976.294000000002</v>
      </c>
      <c r="K136" s="8">
        <v>28368.201000000001</v>
      </c>
      <c r="L136" s="8">
        <v>25467.098000000002</v>
      </c>
      <c r="M136" s="8">
        <v>22202.264999999999</v>
      </c>
      <c r="N136" s="8">
        <v>18676.804</v>
      </c>
      <c r="O136" s="8">
        <v>15338.28</v>
      </c>
      <c r="P136" s="8">
        <v>12604.857</v>
      </c>
      <c r="Q136" s="8">
        <v>10474.314</v>
      </c>
      <c r="R136" s="8">
        <v>8589.3539999999994</v>
      </c>
      <c r="S136" s="8">
        <v>7351.1719999999996</v>
      </c>
      <c r="T136" s="8">
        <v>5857.143</v>
      </c>
      <c r="U136" s="8">
        <v>4441.8760000000002</v>
      </c>
      <c r="V136" s="8">
        <v>2948.1990000000001</v>
      </c>
      <c r="W136" s="8">
        <v>2053.2530000000002</v>
      </c>
      <c r="X136" s="8">
        <v>1352.502</v>
      </c>
      <c r="Y136" s="8">
        <v>662.55399999999997</v>
      </c>
      <c r="Z136" s="8">
        <v>246.405</v>
      </c>
      <c r="AA136" s="8">
        <v>49.186999999999998</v>
      </c>
      <c r="AB136" s="8">
        <v>6.7359999999999998</v>
      </c>
      <c r="AC136" s="8">
        <v>0.86099999999999999</v>
      </c>
    </row>
    <row r="137" spans="1:29" ht="11.65" x14ac:dyDescent="0.35">
      <c r="A137" s="12">
        <v>120</v>
      </c>
      <c r="B137" s="10" t="s">
        <v>1015</v>
      </c>
      <c r="C137" s="36" t="s">
        <v>1032</v>
      </c>
      <c r="D137" s="9" t="s">
        <v>1033</v>
      </c>
      <c r="E137" s="9">
        <v>1636</v>
      </c>
      <c r="F137" s="10" t="s">
        <v>1034</v>
      </c>
      <c r="G137" s="9">
        <v>1803</v>
      </c>
      <c r="H137" s="9">
        <v>2020</v>
      </c>
      <c r="I137" s="8">
        <v>38330.701000000001</v>
      </c>
      <c r="J137" s="8">
        <v>35318.211000000003</v>
      </c>
      <c r="K137" s="8">
        <v>31676.856</v>
      </c>
      <c r="L137" s="8">
        <v>27995.901999999998</v>
      </c>
      <c r="M137" s="8">
        <v>24866.343000000001</v>
      </c>
      <c r="N137" s="8">
        <v>21632.646000000001</v>
      </c>
      <c r="O137" s="8">
        <v>18256.651999999998</v>
      </c>
      <c r="P137" s="8">
        <v>14922.08</v>
      </c>
      <c r="Q137" s="8">
        <v>12201.553</v>
      </c>
      <c r="R137" s="8">
        <v>10105.642</v>
      </c>
      <c r="S137" s="8">
        <v>8196.2909999999993</v>
      </c>
      <c r="T137" s="8">
        <v>6881.7150000000001</v>
      </c>
      <c r="U137" s="8">
        <v>5298.6689999999999</v>
      </c>
      <c r="V137" s="8">
        <v>3817.0030000000002</v>
      </c>
      <c r="W137" s="8">
        <v>2344.16</v>
      </c>
      <c r="X137" s="8">
        <v>1434.88</v>
      </c>
      <c r="Y137" s="8">
        <v>771.51700000000005</v>
      </c>
      <c r="Z137" s="8">
        <v>279.44200000000001</v>
      </c>
      <c r="AA137" s="8">
        <v>71.102000000000004</v>
      </c>
      <c r="AB137" s="8">
        <v>9.5879999999999992</v>
      </c>
      <c r="AC137" s="8">
        <v>1.0509999999999999</v>
      </c>
    </row>
    <row r="138" spans="1:29" ht="11.65" x14ac:dyDescent="0.35">
      <c r="A138" s="12">
        <v>121</v>
      </c>
      <c r="B138" s="10" t="s">
        <v>1015</v>
      </c>
      <c r="C138" s="36" t="s">
        <v>1035</v>
      </c>
      <c r="D138" s="9" t="s">
        <v>1036</v>
      </c>
      <c r="E138" s="9">
        <v>1637</v>
      </c>
      <c r="F138" s="10" t="s">
        <v>1034</v>
      </c>
      <c r="G138" s="9">
        <v>1803</v>
      </c>
      <c r="H138" s="9">
        <v>1950</v>
      </c>
      <c r="I138" s="8">
        <v>1847.5419999999999</v>
      </c>
      <c r="J138" s="8">
        <v>1553.5940000000001</v>
      </c>
      <c r="K138" s="8">
        <v>1382.452</v>
      </c>
      <c r="L138" s="8">
        <v>1186.423</v>
      </c>
      <c r="M138" s="8">
        <v>1028.789</v>
      </c>
      <c r="N138" s="8">
        <v>898.68799999999999</v>
      </c>
      <c r="O138" s="8">
        <v>810.82100000000003</v>
      </c>
      <c r="P138" s="8">
        <v>741.25699999999995</v>
      </c>
      <c r="Q138" s="8">
        <v>630.86599999999999</v>
      </c>
      <c r="R138" s="8">
        <v>537.26499999999999</v>
      </c>
      <c r="S138" s="8">
        <v>412.11</v>
      </c>
      <c r="T138" s="8">
        <v>294.596</v>
      </c>
      <c r="U138" s="8">
        <v>253.05</v>
      </c>
      <c r="V138" s="8">
        <v>186.28200000000001</v>
      </c>
      <c r="W138" s="8">
        <v>126.167</v>
      </c>
      <c r="X138" s="8">
        <v>75.019000000000005</v>
      </c>
      <c r="Y138" s="8">
        <v>33.966999999999999</v>
      </c>
      <c r="Z138" s="8">
        <v>12.949</v>
      </c>
      <c r="AA138" s="8">
        <v>3.6360000000000001</v>
      </c>
      <c r="AB138" s="8">
        <v>0.752</v>
      </c>
      <c r="AC138" s="8">
        <v>0.13800000000000001</v>
      </c>
    </row>
    <row r="139" spans="1:29" ht="11.65" x14ac:dyDescent="0.35">
      <c r="A139" s="12">
        <v>122</v>
      </c>
      <c r="B139" s="10" t="s">
        <v>1015</v>
      </c>
      <c r="C139" s="36" t="s">
        <v>1035</v>
      </c>
      <c r="D139" s="9" t="s">
        <v>1036</v>
      </c>
      <c r="E139" s="9">
        <v>1637</v>
      </c>
      <c r="F139" s="10" t="s">
        <v>1034</v>
      </c>
      <c r="G139" s="9">
        <v>1803</v>
      </c>
      <c r="H139" s="9">
        <v>1955</v>
      </c>
      <c r="I139" s="8">
        <v>2160.1109999999999</v>
      </c>
      <c r="J139" s="8">
        <v>1706.8389999999999</v>
      </c>
      <c r="K139" s="8">
        <v>1496.386</v>
      </c>
      <c r="L139" s="8">
        <v>1314.204</v>
      </c>
      <c r="M139" s="8">
        <v>1115.8800000000001</v>
      </c>
      <c r="N139" s="8">
        <v>960.05</v>
      </c>
      <c r="O139" s="8">
        <v>846.76199999999994</v>
      </c>
      <c r="P139" s="8">
        <v>774.5</v>
      </c>
      <c r="Q139" s="8">
        <v>680.19600000000003</v>
      </c>
      <c r="R139" s="8">
        <v>594.59500000000003</v>
      </c>
      <c r="S139" s="8">
        <v>492.185</v>
      </c>
      <c r="T139" s="8">
        <v>363.38600000000002</v>
      </c>
      <c r="U139" s="8">
        <v>257.83499999999998</v>
      </c>
      <c r="V139" s="8">
        <v>205.46700000000001</v>
      </c>
      <c r="W139" s="8">
        <v>137.35599999999999</v>
      </c>
      <c r="X139" s="8">
        <v>79.08</v>
      </c>
      <c r="Y139" s="8">
        <v>39.051000000000002</v>
      </c>
      <c r="Z139" s="8">
        <v>11.994999999999999</v>
      </c>
      <c r="AA139" s="8">
        <v>3.2269999999999999</v>
      </c>
      <c r="AB139" s="8">
        <v>0.61</v>
      </c>
      <c r="AC139" s="8">
        <v>9.1999999999999998E-2</v>
      </c>
    </row>
    <row r="140" spans="1:29" ht="11.65" x14ac:dyDescent="0.35">
      <c r="A140" s="12">
        <v>123</v>
      </c>
      <c r="B140" s="10" t="s">
        <v>1015</v>
      </c>
      <c r="C140" s="36" t="s">
        <v>1035</v>
      </c>
      <c r="D140" s="9" t="s">
        <v>1036</v>
      </c>
      <c r="E140" s="9">
        <v>1637</v>
      </c>
      <c r="F140" s="10" t="s">
        <v>1034</v>
      </c>
      <c r="G140" s="9">
        <v>1803</v>
      </c>
      <c r="H140" s="9">
        <v>1960</v>
      </c>
      <c r="I140" s="8">
        <v>2403.6350000000002</v>
      </c>
      <c r="J140" s="8">
        <v>2035.9110000000001</v>
      </c>
      <c r="K140" s="8">
        <v>1663.597</v>
      </c>
      <c r="L140" s="8">
        <v>1417.527</v>
      </c>
      <c r="M140" s="8">
        <v>1215.145</v>
      </c>
      <c r="N140" s="8">
        <v>1034.2249999999999</v>
      </c>
      <c r="O140" s="8">
        <v>908.529</v>
      </c>
      <c r="P140" s="8">
        <v>808.81200000000001</v>
      </c>
      <c r="Q140" s="8">
        <v>722.55799999999999</v>
      </c>
      <c r="R140" s="8">
        <v>649.80899999999997</v>
      </c>
      <c r="S140" s="8">
        <v>545.50099999999998</v>
      </c>
      <c r="T140" s="8">
        <v>441.30900000000003</v>
      </c>
      <c r="U140" s="8">
        <v>319.48899999999998</v>
      </c>
      <c r="V140" s="8">
        <v>213.06399999999999</v>
      </c>
      <c r="W140" s="8">
        <v>157.749</v>
      </c>
      <c r="X140" s="8">
        <v>91.302999999999997</v>
      </c>
      <c r="Y140" s="8">
        <v>41.58</v>
      </c>
      <c r="Z140" s="8">
        <v>14.375999999999999</v>
      </c>
      <c r="AA140" s="8">
        <v>3.1520000000000001</v>
      </c>
      <c r="AB140" s="8">
        <v>0.59</v>
      </c>
      <c r="AC140" s="8">
        <v>8.3000000000000004E-2</v>
      </c>
    </row>
    <row r="141" spans="1:29" ht="11.65" x14ac:dyDescent="0.35">
      <c r="A141" s="12">
        <v>124</v>
      </c>
      <c r="B141" s="10" t="s">
        <v>1015</v>
      </c>
      <c r="C141" s="36" t="s">
        <v>1035</v>
      </c>
      <c r="D141" s="9" t="s">
        <v>1036</v>
      </c>
      <c r="E141" s="9">
        <v>1637</v>
      </c>
      <c r="F141" s="10" t="s">
        <v>1034</v>
      </c>
      <c r="G141" s="9">
        <v>1803</v>
      </c>
      <c r="H141" s="9">
        <v>1965</v>
      </c>
      <c r="I141" s="8">
        <v>2732.7069999999999</v>
      </c>
      <c r="J141" s="8">
        <v>2264.8789999999999</v>
      </c>
      <c r="K141" s="8">
        <v>1952.1869999999999</v>
      </c>
      <c r="L141" s="8">
        <v>1561.43</v>
      </c>
      <c r="M141" s="8">
        <v>1322.2270000000001</v>
      </c>
      <c r="N141" s="8">
        <v>1136.482</v>
      </c>
      <c r="O141" s="8">
        <v>979.33100000000002</v>
      </c>
      <c r="P141" s="8">
        <v>864.66399999999999</v>
      </c>
      <c r="Q141" s="8">
        <v>759.50800000000004</v>
      </c>
      <c r="R141" s="8">
        <v>681.93299999999999</v>
      </c>
      <c r="S141" s="8">
        <v>596.67700000000002</v>
      </c>
      <c r="T141" s="8">
        <v>494.13499999999999</v>
      </c>
      <c r="U141" s="8">
        <v>387.82400000000001</v>
      </c>
      <c r="V141" s="8">
        <v>266.48899999999998</v>
      </c>
      <c r="W141" s="8">
        <v>167.93799999999999</v>
      </c>
      <c r="X141" s="8">
        <v>107.253</v>
      </c>
      <c r="Y141" s="8">
        <v>49.715000000000003</v>
      </c>
      <c r="Z141" s="8">
        <v>15.916</v>
      </c>
      <c r="AA141" s="8">
        <v>4.1349999999999998</v>
      </c>
      <c r="AB141" s="8">
        <v>0.59799999999999998</v>
      </c>
      <c r="AC141" s="8">
        <v>8.1000000000000003E-2</v>
      </c>
    </row>
    <row r="142" spans="1:29" ht="11.65" x14ac:dyDescent="0.35">
      <c r="A142" s="12">
        <v>125</v>
      </c>
      <c r="B142" s="10" t="s">
        <v>1015</v>
      </c>
      <c r="C142" s="36" t="s">
        <v>1035</v>
      </c>
      <c r="D142" s="9" t="s">
        <v>1036</v>
      </c>
      <c r="E142" s="9">
        <v>1637</v>
      </c>
      <c r="F142" s="10" t="s">
        <v>1034</v>
      </c>
      <c r="G142" s="9">
        <v>1803</v>
      </c>
      <c r="H142" s="9">
        <v>1970</v>
      </c>
      <c r="I142" s="8">
        <v>2745.8150000000001</v>
      </c>
      <c r="J142" s="8">
        <v>2605.2089999999998</v>
      </c>
      <c r="K142" s="8">
        <v>2188.7730000000001</v>
      </c>
      <c r="L142" s="8">
        <v>1842.0150000000001</v>
      </c>
      <c r="M142" s="8">
        <v>1456.817</v>
      </c>
      <c r="N142" s="8">
        <v>1222.9829999999999</v>
      </c>
      <c r="O142" s="8">
        <v>1066.662</v>
      </c>
      <c r="P142" s="8">
        <v>925.599999999999</v>
      </c>
      <c r="Q142" s="8">
        <v>823.02800000000002</v>
      </c>
      <c r="R142" s="8">
        <v>718.29600000000005</v>
      </c>
      <c r="S142" s="8">
        <v>633.38599999999997</v>
      </c>
      <c r="T142" s="8">
        <v>546.4</v>
      </c>
      <c r="U142" s="8">
        <v>442.96699999999998</v>
      </c>
      <c r="V142" s="8">
        <v>336.33499999999998</v>
      </c>
      <c r="W142" s="8">
        <v>209.761</v>
      </c>
      <c r="X142" s="8">
        <v>114.47</v>
      </c>
      <c r="Y142" s="8">
        <v>60.722000000000001</v>
      </c>
      <c r="Z142" s="8">
        <v>20.146999999999998</v>
      </c>
      <c r="AA142" s="8">
        <v>4.6980000000000004</v>
      </c>
      <c r="AB142" s="8">
        <v>0.85299999999999998</v>
      </c>
      <c r="AC142" s="8">
        <v>8.5999999999999993E-2</v>
      </c>
    </row>
    <row r="143" spans="1:29" ht="11.65" x14ac:dyDescent="0.35">
      <c r="A143" s="12">
        <v>126</v>
      </c>
      <c r="B143" s="10" t="s">
        <v>1015</v>
      </c>
      <c r="C143" s="36" t="s">
        <v>1035</v>
      </c>
      <c r="D143" s="9" t="s">
        <v>1036</v>
      </c>
      <c r="E143" s="9">
        <v>1637</v>
      </c>
      <c r="F143" s="10" t="s">
        <v>1034</v>
      </c>
      <c r="G143" s="9">
        <v>1803</v>
      </c>
      <c r="H143" s="9">
        <v>1975</v>
      </c>
      <c r="I143" s="8">
        <v>2794.0070000000001</v>
      </c>
      <c r="J143" s="8">
        <v>2654.6970000000001</v>
      </c>
      <c r="K143" s="8">
        <v>2538.232</v>
      </c>
      <c r="L143" s="8">
        <v>2089.9369999999999</v>
      </c>
      <c r="M143" s="8">
        <v>1724.6559999999999</v>
      </c>
      <c r="N143" s="8">
        <v>1374.23</v>
      </c>
      <c r="O143" s="8">
        <v>1173.2380000000001</v>
      </c>
      <c r="P143" s="8">
        <v>1023.568</v>
      </c>
      <c r="Q143" s="8">
        <v>881.798</v>
      </c>
      <c r="R143" s="8">
        <v>778.452</v>
      </c>
      <c r="S143" s="8">
        <v>667.11800000000005</v>
      </c>
      <c r="T143" s="8">
        <v>579.63199999999995</v>
      </c>
      <c r="U143" s="8">
        <v>484.68799999999999</v>
      </c>
      <c r="V143" s="8">
        <v>377.44200000000001</v>
      </c>
      <c r="W143" s="8">
        <v>262.33300000000003</v>
      </c>
      <c r="X143" s="8">
        <v>143.40199999999999</v>
      </c>
      <c r="Y143" s="8">
        <v>61.71</v>
      </c>
      <c r="Z143" s="8">
        <v>26.879000000000001</v>
      </c>
      <c r="AA143" s="8">
        <v>6.5190000000000001</v>
      </c>
      <c r="AB143" s="8">
        <v>1.0389999999999999</v>
      </c>
      <c r="AC143" s="8">
        <v>0.13400000000000001</v>
      </c>
    </row>
    <row r="144" spans="1:29" ht="11.65" x14ac:dyDescent="0.35">
      <c r="A144" s="12">
        <v>127</v>
      </c>
      <c r="B144" s="10" t="s">
        <v>1015</v>
      </c>
      <c r="C144" s="36" t="s">
        <v>1035</v>
      </c>
      <c r="D144" s="9" t="s">
        <v>1036</v>
      </c>
      <c r="E144" s="9">
        <v>1637</v>
      </c>
      <c r="F144" s="10" t="s">
        <v>1034</v>
      </c>
      <c r="G144" s="9">
        <v>1803</v>
      </c>
      <c r="H144" s="9">
        <v>1980</v>
      </c>
      <c r="I144" s="8">
        <v>2740.9279999999999</v>
      </c>
      <c r="J144" s="8">
        <v>2705.9769999999999</v>
      </c>
      <c r="K144" s="8">
        <v>2595.3429999999998</v>
      </c>
      <c r="L144" s="8">
        <v>2429.2359999999999</v>
      </c>
      <c r="M144" s="8">
        <v>1930.9449999999999</v>
      </c>
      <c r="N144" s="8">
        <v>1624.72</v>
      </c>
      <c r="O144" s="8">
        <v>1335.694</v>
      </c>
      <c r="P144" s="8">
        <v>1137.922</v>
      </c>
      <c r="Q144" s="8">
        <v>987.51700000000005</v>
      </c>
      <c r="R144" s="8">
        <v>840.548</v>
      </c>
      <c r="S144" s="8">
        <v>729.04700000000003</v>
      </c>
      <c r="T144" s="8">
        <v>616.83799999999997</v>
      </c>
      <c r="U144" s="8">
        <v>520.45799999999997</v>
      </c>
      <c r="V144" s="8">
        <v>422.06599999999997</v>
      </c>
      <c r="W144" s="8">
        <v>304.04199999999997</v>
      </c>
      <c r="X144" s="8">
        <v>191.50399999999999</v>
      </c>
      <c r="Y144" s="8">
        <v>95.700999999999993</v>
      </c>
      <c r="Z144" s="8">
        <v>28.609000000000002</v>
      </c>
      <c r="AA144" s="8">
        <v>9.8940000000000001</v>
      </c>
      <c r="AB144" s="8">
        <v>1.6890000000000001</v>
      </c>
      <c r="AC144" s="8">
        <v>0.192</v>
      </c>
    </row>
    <row r="145" spans="1:29" ht="11.65" x14ac:dyDescent="0.35">
      <c r="A145" s="12">
        <v>128</v>
      </c>
      <c r="B145" s="10" t="s">
        <v>1015</v>
      </c>
      <c r="C145" s="36" t="s">
        <v>1035</v>
      </c>
      <c r="D145" s="9" t="s">
        <v>1036</v>
      </c>
      <c r="E145" s="9">
        <v>1637</v>
      </c>
      <c r="F145" s="10" t="s">
        <v>1034</v>
      </c>
      <c r="G145" s="9">
        <v>1803</v>
      </c>
      <c r="H145" s="9">
        <v>1985</v>
      </c>
      <c r="I145" s="8">
        <v>2963.6170000000002</v>
      </c>
      <c r="J145" s="8">
        <v>2649.9209999999998</v>
      </c>
      <c r="K145" s="8">
        <v>2656.902</v>
      </c>
      <c r="L145" s="8">
        <v>2500.3440000000001</v>
      </c>
      <c r="M145" s="8">
        <v>2288.0239999999999</v>
      </c>
      <c r="N145" s="8">
        <v>1830.5450000000001</v>
      </c>
      <c r="O145" s="8">
        <v>1570.1130000000001</v>
      </c>
      <c r="P145" s="8">
        <v>1286.22</v>
      </c>
      <c r="Q145" s="8">
        <v>1098.54</v>
      </c>
      <c r="R145" s="8">
        <v>945.25200000000098</v>
      </c>
      <c r="S145" s="8">
        <v>797.42</v>
      </c>
      <c r="T145" s="8">
        <v>680.03700000000003</v>
      </c>
      <c r="U145" s="8">
        <v>555.36699999999996</v>
      </c>
      <c r="V145" s="8">
        <v>455.851</v>
      </c>
      <c r="W145" s="8">
        <v>337.75</v>
      </c>
      <c r="X145" s="8">
        <v>227.30500000000001</v>
      </c>
      <c r="Y145" s="8">
        <v>122.28700000000001</v>
      </c>
      <c r="Z145" s="8">
        <v>46.392000000000003</v>
      </c>
      <c r="AA145" s="8">
        <v>10.337999999999999</v>
      </c>
      <c r="AB145" s="8">
        <v>2.7080000000000002</v>
      </c>
      <c r="AC145" s="8">
        <v>0.318</v>
      </c>
    </row>
    <row r="146" spans="1:29" ht="11.65" x14ac:dyDescent="0.35">
      <c r="A146" s="12">
        <v>129</v>
      </c>
      <c r="B146" s="10" t="s">
        <v>1015</v>
      </c>
      <c r="C146" s="36" t="s">
        <v>1035</v>
      </c>
      <c r="D146" s="9" t="s">
        <v>1036</v>
      </c>
      <c r="E146" s="9">
        <v>1637</v>
      </c>
      <c r="F146" s="10" t="s">
        <v>1034</v>
      </c>
      <c r="G146" s="9">
        <v>1803</v>
      </c>
      <c r="H146" s="9">
        <v>1990</v>
      </c>
      <c r="I146" s="8">
        <v>3094.3739999999998</v>
      </c>
      <c r="J146" s="8">
        <v>2860.9580000000001</v>
      </c>
      <c r="K146" s="8">
        <v>2589.2130000000002</v>
      </c>
      <c r="L146" s="8">
        <v>2562.4839999999999</v>
      </c>
      <c r="M146" s="8">
        <v>2375.7979999999998</v>
      </c>
      <c r="N146" s="8">
        <v>2202.9749999999999</v>
      </c>
      <c r="O146" s="8">
        <v>1782.335</v>
      </c>
      <c r="P146" s="8">
        <v>1524.0519999999999</v>
      </c>
      <c r="Q146" s="8">
        <v>1250.6079999999999</v>
      </c>
      <c r="R146" s="8">
        <v>1053.038</v>
      </c>
      <c r="S146" s="8">
        <v>894.65899999999999</v>
      </c>
      <c r="T146" s="8">
        <v>738.41700000000003</v>
      </c>
      <c r="U146" s="8">
        <v>614.553</v>
      </c>
      <c r="V146" s="8">
        <v>489.29</v>
      </c>
      <c r="W146" s="8">
        <v>365.589</v>
      </c>
      <c r="X146" s="8">
        <v>251.869</v>
      </c>
      <c r="Y146" s="8">
        <v>144.721</v>
      </c>
      <c r="Z146" s="8">
        <v>60.597000000000001</v>
      </c>
      <c r="AA146" s="8">
        <v>17.445</v>
      </c>
      <c r="AB146" s="8">
        <v>2.802</v>
      </c>
      <c r="AC146" s="8">
        <v>0.55300000000000005</v>
      </c>
    </row>
    <row r="147" spans="1:29" ht="11.65" x14ac:dyDescent="0.35">
      <c r="A147" s="12">
        <v>130</v>
      </c>
      <c r="B147" s="10" t="s">
        <v>1015</v>
      </c>
      <c r="C147" s="36" t="s">
        <v>1035</v>
      </c>
      <c r="D147" s="9" t="s">
        <v>1036</v>
      </c>
      <c r="E147" s="9">
        <v>1637</v>
      </c>
      <c r="F147" s="10" t="s">
        <v>1034</v>
      </c>
      <c r="G147" s="9">
        <v>1803</v>
      </c>
      <c r="H147" s="9">
        <v>1995</v>
      </c>
      <c r="I147" s="8">
        <v>3159.6460000000002</v>
      </c>
      <c r="J147" s="8">
        <v>3014.3809999999999</v>
      </c>
      <c r="K147" s="8">
        <v>2803.3310000000001</v>
      </c>
      <c r="L147" s="8">
        <v>2524.9070000000002</v>
      </c>
      <c r="M147" s="8">
        <v>2446.2649999999999</v>
      </c>
      <c r="N147" s="8">
        <v>2278.9270000000001</v>
      </c>
      <c r="O147" s="8">
        <v>2144.4859999999999</v>
      </c>
      <c r="P147" s="8">
        <v>1745.269</v>
      </c>
      <c r="Q147" s="8">
        <v>1496.0419999999999</v>
      </c>
      <c r="R147" s="8">
        <v>1224.5940000000001</v>
      </c>
      <c r="S147" s="8">
        <v>1020.279</v>
      </c>
      <c r="T147" s="8">
        <v>850.572</v>
      </c>
      <c r="U147" s="8">
        <v>685.54300000000001</v>
      </c>
      <c r="V147" s="8">
        <v>538.88</v>
      </c>
      <c r="W147" s="8">
        <v>400.07799999999997</v>
      </c>
      <c r="X147" s="8">
        <v>270.80799999999999</v>
      </c>
      <c r="Y147" s="8">
        <v>162.691</v>
      </c>
      <c r="Z147" s="8">
        <v>73.754000000000005</v>
      </c>
      <c r="AA147" s="8">
        <v>23.504999999999999</v>
      </c>
      <c r="AB147" s="8">
        <v>4.8559999999999999</v>
      </c>
      <c r="AC147" s="8">
        <v>0.62</v>
      </c>
    </row>
    <row r="148" spans="1:29" ht="11.65" x14ac:dyDescent="0.35">
      <c r="A148" s="12">
        <v>131</v>
      </c>
      <c r="B148" s="10" t="s">
        <v>1015</v>
      </c>
      <c r="C148" s="36" t="s">
        <v>1035</v>
      </c>
      <c r="D148" s="9" t="s">
        <v>1036</v>
      </c>
      <c r="E148" s="9">
        <v>1637</v>
      </c>
      <c r="F148" s="10" t="s">
        <v>1034</v>
      </c>
      <c r="G148" s="9">
        <v>1803</v>
      </c>
      <c r="H148" s="9">
        <v>2000</v>
      </c>
      <c r="I148" s="8">
        <v>3182.973</v>
      </c>
      <c r="J148" s="8">
        <v>3092.4380000000001</v>
      </c>
      <c r="K148" s="8">
        <v>2959.8539999999998</v>
      </c>
      <c r="L148" s="8">
        <v>2732.1790000000001</v>
      </c>
      <c r="M148" s="8">
        <v>2395.7950000000001</v>
      </c>
      <c r="N148" s="8">
        <v>2347.4</v>
      </c>
      <c r="O148" s="8">
        <v>2221.1990000000001</v>
      </c>
      <c r="P148" s="8">
        <v>2100.8919999999998</v>
      </c>
      <c r="Q148" s="8">
        <v>1708.3889999999999</v>
      </c>
      <c r="R148" s="8">
        <v>1456.367</v>
      </c>
      <c r="S148" s="8">
        <v>1180.81</v>
      </c>
      <c r="T148" s="8">
        <v>952.91200000000003</v>
      </c>
      <c r="U148" s="8">
        <v>783.55899999999997</v>
      </c>
      <c r="V148" s="8">
        <v>596.74400000000003</v>
      </c>
      <c r="W148" s="8">
        <v>448.55200000000002</v>
      </c>
      <c r="X148" s="8">
        <v>302.01600000000002</v>
      </c>
      <c r="Y148" s="8">
        <v>180.566</v>
      </c>
      <c r="Z148" s="8">
        <v>84.948999999999998</v>
      </c>
      <c r="AA148" s="8">
        <v>29.558</v>
      </c>
      <c r="AB148" s="8">
        <v>6.9130000000000003</v>
      </c>
      <c r="AC148" s="8">
        <v>1.0640000000000001</v>
      </c>
    </row>
    <row r="149" spans="1:29" ht="11.65" x14ac:dyDescent="0.35">
      <c r="A149" s="12">
        <v>132</v>
      </c>
      <c r="B149" s="10" t="s">
        <v>1015</v>
      </c>
      <c r="C149" s="36" t="s">
        <v>1035</v>
      </c>
      <c r="D149" s="9" t="s">
        <v>1036</v>
      </c>
      <c r="E149" s="9">
        <v>1637</v>
      </c>
      <c r="F149" s="10" t="s">
        <v>1034</v>
      </c>
      <c r="G149" s="9">
        <v>1803</v>
      </c>
      <c r="H149" s="9">
        <v>2005</v>
      </c>
      <c r="I149" s="8">
        <v>3149.7489999999998</v>
      </c>
      <c r="J149" s="8">
        <v>3117.527</v>
      </c>
      <c r="K149" s="8">
        <v>3023.4859999999999</v>
      </c>
      <c r="L149" s="8">
        <v>2912.8519999999999</v>
      </c>
      <c r="M149" s="8">
        <v>2626.44</v>
      </c>
      <c r="N149" s="8">
        <v>2328.6819999999998</v>
      </c>
      <c r="O149" s="8">
        <v>2293.8159999999998</v>
      </c>
      <c r="P149" s="8">
        <v>2170.0749999999998</v>
      </c>
      <c r="Q149" s="8">
        <v>2041.761</v>
      </c>
      <c r="R149" s="8">
        <v>1636.172</v>
      </c>
      <c r="S149" s="8">
        <v>1386.9280000000001</v>
      </c>
      <c r="T149" s="8">
        <v>1095.5889999999999</v>
      </c>
      <c r="U149" s="8">
        <v>871.48800000000006</v>
      </c>
      <c r="V149" s="8">
        <v>677.82899999999995</v>
      </c>
      <c r="W149" s="8">
        <v>492.27699999999999</v>
      </c>
      <c r="X149" s="8">
        <v>336.35500000000002</v>
      </c>
      <c r="Y149" s="8">
        <v>197.59899999999999</v>
      </c>
      <c r="Z149" s="8">
        <v>96.733000000000004</v>
      </c>
      <c r="AA149" s="8">
        <v>35.366999999999997</v>
      </c>
      <c r="AB149" s="8">
        <v>9.0030000000000001</v>
      </c>
      <c r="AC149" s="8">
        <v>1.6080000000000001</v>
      </c>
    </row>
    <row r="150" spans="1:29" ht="11.65" x14ac:dyDescent="0.35">
      <c r="A150" s="12">
        <v>133</v>
      </c>
      <c r="B150" s="10" t="s">
        <v>1015</v>
      </c>
      <c r="C150" s="36" t="s">
        <v>1035</v>
      </c>
      <c r="D150" s="9" t="s">
        <v>1036</v>
      </c>
      <c r="E150" s="9">
        <v>1637</v>
      </c>
      <c r="F150" s="10" t="s">
        <v>1034</v>
      </c>
      <c r="G150" s="9">
        <v>1803</v>
      </c>
      <c r="H150" s="9">
        <v>2010</v>
      </c>
      <c r="I150" s="8">
        <v>3151.9839999999999</v>
      </c>
      <c r="J150" s="8">
        <v>3094.5169999999998</v>
      </c>
      <c r="K150" s="8">
        <v>3075.1329999999998</v>
      </c>
      <c r="L150" s="8">
        <v>3025.453</v>
      </c>
      <c r="M150" s="8">
        <v>2856.4009999999998</v>
      </c>
      <c r="N150" s="8">
        <v>2651.2489999999998</v>
      </c>
      <c r="O150" s="8">
        <v>2338.018</v>
      </c>
      <c r="P150" s="8">
        <v>2299.3090000000002</v>
      </c>
      <c r="Q150" s="8">
        <v>2155.8829999999998</v>
      </c>
      <c r="R150" s="8">
        <v>2012.7470000000001</v>
      </c>
      <c r="S150" s="8">
        <v>1614.075</v>
      </c>
      <c r="T150" s="8">
        <v>1333.29</v>
      </c>
      <c r="U150" s="8">
        <v>1045.5309999999999</v>
      </c>
      <c r="V150" s="8">
        <v>762.65099999999995</v>
      </c>
      <c r="W150" s="8">
        <v>569.197</v>
      </c>
      <c r="X150" s="8">
        <v>378.06900000000002</v>
      </c>
      <c r="Y150" s="8">
        <v>228.02</v>
      </c>
      <c r="Z150" s="8">
        <v>109.375</v>
      </c>
      <c r="AA150" s="8">
        <v>42.363999999999997</v>
      </c>
      <c r="AB150" s="8">
        <v>11.515000000000001</v>
      </c>
      <c r="AC150" s="8">
        <v>1.9750000000000001</v>
      </c>
    </row>
    <row r="151" spans="1:29" ht="11.65" x14ac:dyDescent="0.35">
      <c r="A151" s="12">
        <v>134</v>
      </c>
      <c r="B151" s="10" t="s">
        <v>1015</v>
      </c>
      <c r="C151" s="36" t="s">
        <v>1035</v>
      </c>
      <c r="D151" s="9" t="s">
        <v>1036</v>
      </c>
      <c r="E151" s="9">
        <v>1637</v>
      </c>
      <c r="F151" s="10" t="s">
        <v>1034</v>
      </c>
      <c r="G151" s="9">
        <v>1803</v>
      </c>
      <c r="H151" s="9">
        <v>2015</v>
      </c>
      <c r="I151" s="8">
        <v>3199.4450000000002</v>
      </c>
      <c r="J151" s="8">
        <v>3119.1309999999999</v>
      </c>
      <c r="K151" s="8">
        <v>3062.3069999999998</v>
      </c>
      <c r="L151" s="8">
        <v>3065.0320000000002</v>
      </c>
      <c r="M151" s="8">
        <v>2952.3829999999998</v>
      </c>
      <c r="N151" s="8">
        <v>2831.2669999999998</v>
      </c>
      <c r="O151" s="8">
        <v>2605.4459999999999</v>
      </c>
      <c r="P151" s="8">
        <v>2266.3890000000001</v>
      </c>
      <c r="Q151" s="8">
        <v>2240.9760000000001</v>
      </c>
      <c r="R151" s="8">
        <v>2094.8539999999998</v>
      </c>
      <c r="S151" s="8">
        <v>1944.7059999999999</v>
      </c>
      <c r="T151" s="8">
        <v>1543.9359999999999</v>
      </c>
      <c r="U151" s="8">
        <v>1244.8510000000001</v>
      </c>
      <c r="V151" s="8">
        <v>894.50099999999998</v>
      </c>
      <c r="W151" s="8">
        <v>644.31700000000001</v>
      </c>
      <c r="X151" s="8">
        <v>443.72500000000002</v>
      </c>
      <c r="Y151" s="8">
        <v>259.3</v>
      </c>
      <c r="Z151" s="8">
        <v>130.70699999999999</v>
      </c>
      <c r="AA151" s="8">
        <v>49.551000000000002</v>
      </c>
      <c r="AB151" s="8">
        <v>14.154</v>
      </c>
      <c r="AC151" s="8">
        <v>2.5449999999999999</v>
      </c>
    </row>
    <row r="152" spans="1:29" ht="11.65" x14ac:dyDescent="0.35">
      <c r="A152" s="12">
        <v>135</v>
      </c>
      <c r="B152" s="10" t="s">
        <v>1015</v>
      </c>
      <c r="C152" s="36" t="s">
        <v>1035</v>
      </c>
      <c r="D152" s="9" t="s">
        <v>1036</v>
      </c>
      <c r="E152" s="9">
        <v>1637</v>
      </c>
      <c r="F152" s="10" t="s">
        <v>1034</v>
      </c>
      <c r="G152" s="9">
        <v>1803</v>
      </c>
      <c r="H152" s="9">
        <v>2020</v>
      </c>
      <c r="I152" s="8">
        <v>3184.2890000000002</v>
      </c>
      <c r="J152" s="8">
        <v>3151.8609999999999</v>
      </c>
      <c r="K152" s="8">
        <v>3079.5889999999999</v>
      </c>
      <c r="L152" s="8">
        <v>2993.558</v>
      </c>
      <c r="M152" s="8">
        <v>2972.712</v>
      </c>
      <c r="N152" s="8">
        <v>2951.22</v>
      </c>
      <c r="O152" s="8">
        <v>2856.326</v>
      </c>
      <c r="P152" s="8">
        <v>2551.529</v>
      </c>
      <c r="Q152" s="8">
        <v>2200.498</v>
      </c>
      <c r="R152" s="8">
        <v>2166.4769999999999</v>
      </c>
      <c r="S152" s="8">
        <v>2010.192</v>
      </c>
      <c r="T152" s="8">
        <v>1839.9590000000001</v>
      </c>
      <c r="U152" s="8">
        <v>1429.4159999999999</v>
      </c>
      <c r="V152" s="8">
        <v>1119.9780000000001</v>
      </c>
      <c r="W152" s="8">
        <v>765.99800000000005</v>
      </c>
      <c r="X152" s="8">
        <v>508.62700000000001</v>
      </c>
      <c r="Y152" s="8">
        <v>310.49700000000001</v>
      </c>
      <c r="Z152" s="8">
        <v>152.636</v>
      </c>
      <c r="AA152" s="8">
        <v>61.015000000000001</v>
      </c>
      <c r="AB152" s="8">
        <v>17.254000000000001</v>
      </c>
      <c r="AC152" s="8">
        <v>3.36</v>
      </c>
    </row>
    <row r="153" spans="1:29" ht="11.65" x14ac:dyDescent="0.35">
      <c r="A153" s="35">
        <v>136</v>
      </c>
      <c r="B153" s="33" t="s">
        <v>1015</v>
      </c>
      <c r="C153" s="34" t="s">
        <v>1037</v>
      </c>
      <c r="D153" s="32"/>
      <c r="E153" s="32">
        <v>1802</v>
      </c>
      <c r="F153" s="33" t="s">
        <v>1020</v>
      </c>
      <c r="G153" s="32">
        <v>900</v>
      </c>
      <c r="H153" s="32">
        <v>1950</v>
      </c>
      <c r="I153" s="31" t="s">
        <v>1021</v>
      </c>
      <c r="J153" s="31" t="s">
        <v>1021</v>
      </c>
      <c r="K153" s="31" t="s">
        <v>1021</v>
      </c>
      <c r="L153" s="31" t="s">
        <v>1021</v>
      </c>
      <c r="M153" s="31" t="s">
        <v>1021</v>
      </c>
      <c r="N153" s="31" t="s">
        <v>1021</v>
      </c>
      <c r="O153" s="31" t="s">
        <v>1021</v>
      </c>
      <c r="P153" s="31" t="s">
        <v>1021</v>
      </c>
      <c r="Q153" s="31" t="s">
        <v>1021</v>
      </c>
      <c r="R153" s="31" t="s">
        <v>1021</v>
      </c>
      <c r="S153" s="31" t="s">
        <v>1021</v>
      </c>
      <c r="T153" s="31" t="s">
        <v>1021</v>
      </c>
      <c r="U153" s="31" t="s">
        <v>1021</v>
      </c>
      <c r="V153" s="31" t="s">
        <v>1021</v>
      </c>
      <c r="W153" s="31" t="s">
        <v>1021</v>
      </c>
      <c r="X153" s="31" t="s">
        <v>1021</v>
      </c>
      <c r="Y153" s="31" t="s">
        <v>1021</v>
      </c>
      <c r="Z153" s="31" t="s">
        <v>1021</v>
      </c>
      <c r="AA153" s="31" t="s">
        <v>1021</v>
      </c>
      <c r="AB153" s="31" t="s">
        <v>1021</v>
      </c>
      <c r="AC153" s="31" t="s">
        <v>1021</v>
      </c>
    </row>
    <row r="154" spans="1:29" ht="11.65" x14ac:dyDescent="0.35">
      <c r="A154" s="35">
        <v>137</v>
      </c>
      <c r="B154" s="33" t="s">
        <v>1015</v>
      </c>
      <c r="C154" s="34" t="s">
        <v>1037</v>
      </c>
      <c r="D154" s="32"/>
      <c r="E154" s="32">
        <v>1802</v>
      </c>
      <c r="F154" s="33" t="s">
        <v>1020</v>
      </c>
      <c r="G154" s="32">
        <v>900</v>
      </c>
      <c r="H154" s="32">
        <v>1955</v>
      </c>
      <c r="I154" s="31" t="s">
        <v>1021</v>
      </c>
      <c r="J154" s="31" t="s">
        <v>1021</v>
      </c>
      <c r="K154" s="31" t="s">
        <v>1021</v>
      </c>
      <c r="L154" s="31" t="s">
        <v>1021</v>
      </c>
      <c r="M154" s="31" t="s">
        <v>1021</v>
      </c>
      <c r="N154" s="31" t="s">
        <v>1021</v>
      </c>
      <c r="O154" s="31" t="s">
        <v>1021</v>
      </c>
      <c r="P154" s="31" t="s">
        <v>1021</v>
      </c>
      <c r="Q154" s="31" t="s">
        <v>1021</v>
      </c>
      <c r="R154" s="31" t="s">
        <v>1021</v>
      </c>
      <c r="S154" s="31" t="s">
        <v>1021</v>
      </c>
      <c r="T154" s="31" t="s">
        <v>1021</v>
      </c>
      <c r="U154" s="31" t="s">
        <v>1021</v>
      </c>
      <c r="V154" s="31" t="s">
        <v>1021</v>
      </c>
      <c r="W154" s="31" t="s">
        <v>1021</v>
      </c>
      <c r="X154" s="31" t="s">
        <v>1021</v>
      </c>
      <c r="Y154" s="31" t="s">
        <v>1021</v>
      </c>
      <c r="Z154" s="31" t="s">
        <v>1021</v>
      </c>
      <c r="AA154" s="31" t="s">
        <v>1021</v>
      </c>
      <c r="AB154" s="31" t="s">
        <v>1021</v>
      </c>
      <c r="AC154" s="31" t="s">
        <v>1021</v>
      </c>
    </row>
    <row r="155" spans="1:29" ht="11.65" x14ac:dyDescent="0.35">
      <c r="A155" s="35">
        <v>138</v>
      </c>
      <c r="B155" s="33" t="s">
        <v>1015</v>
      </c>
      <c r="C155" s="34" t="s">
        <v>1037</v>
      </c>
      <c r="D155" s="32"/>
      <c r="E155" s="32">
        <v>1802</v>
      </c>
      <c r="F155" s="33" t="s">
        <v>1020</v>
      </c>
      <c r="G155" s="32">
        <v>900</v>
      </c>
      <c r="H155" s="32">
        <v>1960</v>
      </c>
      <c r="I155" s="31" t="s">
        <v>1021</v>
      </c>
      <c r="J155" s="31" t="s">
        <v>1021</v>
      </c>
      <c r="K155" s="31" t="s">
        <v>1021</v>
      </c>
      <c r="L155" s="31" t="s">
        <v>1021</v>
      </c>
      <c r="M155" s="31" t="s">
        <v>1021</v>
      </c>
      <c r="N155" s="31" t="s">
        <v>1021</v>
      </c>
      <c r="O155" s="31" t="s">
        <v>1021</v>
      </c>
      <c r="P155" s="31" t="s">
        <v>1021</v>
      </c>
      <c r="Q155" s="31" t="s">
        <v>1021</v>
      </c>
      <c r="R155" s="31" t="s">
        <v>1021</v>
      </c>
      <c r="S155" s="31" t="s">
        <v>1021</v>
      </c>
      <c r="T155" s="31" t="s">
        <v>1021</v>
      </c>
      <c r="U155" s="31" t="s">
        <v>1021</v>
      </c>
      <c r="V155" s="31" t="s">
        <v>1021</v>
      </c>
      <c r="W155" s="31" t="s">
        <v>1021</v>
      </c>
      <c r="X155" s="31" t="s">
        <v>1021</v>
      </c>
      <c r="Y155" s="31" t="s">
        <v>1021</v>
      </c>
      <c r="Z155" s="31" t="s">
        <v>1021</v>
      </c>
      <c r="AA155" s="31" t="s">
        <v>1021</v>
      </c>
      <c r="AB155" s="31" t="s">
        <v>1021</v>
      </c>
      <c r="AC155" s="31" t="s">
        <v>1021</v>
      </c>
    </row>
    <row r="156" spans="1:29" ht="11.65" x14ac:dyDescent="0.35">
      <c r="A156" s="35">
        <v>139</v>
      </c>
      <c r="B156" s="33" t="s">
        <v>1015</v>
      </c>
      <c r="C156" s="34" t="s">
        <v>1037</v>
      </c>
      <c r="D156" s="32"/>
      <c r="E156" s="32">
        <v>1802</v>
      </c>
      <c r="F156" s="33" t="s">
        <v>1020</v>
      </c>
      <c r="G156" s="32">
        <v>900</v>
      </c>
      <c r="H156" s="32">
        <v>1965</v>
      </c>
      <c r="I156" s="31" t="s">
        <v>1021</v>
      </c>
      <c r="J156" s="31" t="s">
        <v>1021</v>
      </c>
      <c r="K156" s="31" t="s">
        <v>1021</v>
      </c>
      <c r="L156" s="31" t="s">
        <v>1021</v>
      </c>
      <c r="M156" s="31" t="s">
        <v>1021</v>
      </c>
      <c r="N156" s="31" t="s">
        <v>1021</v>
      </c>
      <c r="O156" s="31" t="s">
        <v>1021</v>
      </c>
      <c r="P156" s="31" t="s">
        <v>1021</v>
      </c>
      <c r="Q156" s="31" t="s">
        <v>1021</v>
      </c>
      <c r="R156" s="31" t="s">
        <v>1021</v>
      </c>
      <c r="S156" s="31" t="s">
        <v>1021</v>
      </c>
      <c r="T156" s="31" t="s">
        <v>1021</v>
      </c>
      <c r="U156" s="31" t="s">
        <v>1021</v>
      </c>
      <c r="V156" s="31" t="s">
        <v>1021</v>
      </c>
      <c r="W156" s="31" t="s">
        <v>1021</v>
      </c>
      <c r="X156" s="31" t="s">
        <v>1021</v>
      </c>
      <c r="Y156" s="31" t="s">
        <v>1021</v>
      </c>
      <c r="Z156" s="31" t="s">
        <v>1021</v>
      </c>
      <c r="AA156" s="31" t="s">
        <v>1021</v>
      </c>
      <c r="AB156" s="31" t="s">
        <v>1021</v>
      </c>
      <c r="AC156" s="31" t="s">
        <v>1021</v>
      </c>
    </row>
    <row r="157" spans="1:29" ht="11.65" x14ac:dyDescent="0.35">
      <c r="A157" s="35">
        <v>140</v>
      </c>
      <c r="B157" s="33" t="s">
        <v>1015</v>
      </c>
      <c r="C157" s="34" t="s">
        <v>1037</v>
      </c>
      <c r="D157" s="32"/>
      <c r="E157" s="32">
        <v>1802</v>
      </c>
      <c r="F157" s="33" t="s">
        <v>1020</v>
      </c>
      <c r="G157" s="32">
        <v>900</v>
      </c>
      <c r="H157" s="32">
        <v>1970</v>
      </c>
      <c r="I157" s="31" t="s">
        <v>1021</v>
      </c>
      <c r="J157" s="31" t="s">
        <v>1021</v>
      </c>
      <c r="K157" s="31" t="s">
        <v>1021</v>
      </c>
      <c r="L157" s="31" t="s">
        <v>1021</v>
      </c>
      <c r="M157" s="31" t="s">
        <v>1021</v>
      </c>
      <c r="N157" s="31" t="s">
        <v>1021</v>
      </c>
      <c r="O157" s="31" t="s">
        <v>1021</v>
      </c>
      <c r="P157" s="31" t="s">
        <v>1021</v>
      </c>
      <c r="Q157" s="31" t="s">
        <v>1021</v>
      </c>
      <c r="R157" s="31" t="s">
        <v>1021</v>
      </c>
      <c r="S157" s="31" t="s">
        <v>1021</v>
      </c>
      <c r="T157" s="31" t="s">
        <v>1021</v>
      </c>
      <c r="U157" s="31" t="s">
        <v>1021</v>
      </c>
      <c r="V157" s="31" t="s">
        <v>1021</v>
      </c>
      <c r="W157" s="31" t="s">
        <v>1021</v>
      </c>
      <c r="X157" s="31" t="s">
        <v>1021</v>
      </c>
      <c r="Y157" s="31" t="s">
        <v>1021</v>
      </c>
      <c r="Z157" s="31" t="s">
        <v>1021</v>
      </c>
      <c r="AA157" s="31" t="s">
        <v>1021</v>
      </c>
      <c r="AB157" s="31" t="s">
        <v>1021</v>
      </c>
      <c r="AC157" s="31" t="s">
        <v>1021</v>
      </c>
    </row>
    <row r="158" spans="1:29" ht="11.65" x14ac:dyDescent="0.35">
      <c r="A158" s="35">
        <v>141</v>
      </c>
      <c r="B158" s="33" t="s">
        <v>1015</v>
      </c>
      <c r="C158" s="34" t="s">
        <v>1037</v>
      </c>
      <c r="D158" s="32"/>
      <c r="E158" s="32">
        <v>1802</v>
      </c>
      <c r="F158" s="33" t="s">
        <v>1020</v>
      </c>
      <c r="G158" s="32">
        <v>900</v>
      </c>
      <c r="H158" s="32">
        <v>1975</v>
      </c>
      <c r="I158" s="31" t="s">
        <v>1021</v>
      </c>
      <c r="J158" s="31" t="s">
        <v>1021</v>
      </c>
      <c r="K158" s="31" t="s">
        <v>1021</v>
      </c>
      <c r="L158" s="31" t="s">
        <v>1021</v>
      </c>
      <c r="M158" s="31" t="s">
        <v>1021</v>
      </c>
      <c r="N158" s="31" t="s">
        <v>1021</v>
      </c>
      <c r="O158" s="31" t="s">
        <v>1021</v>
      </c>
      <c r="P158" s="31" t="s">
        <v>1021</v>
      </c>
      <c r="Q158" s="31" t="s">
        <v>1021</v>
      </c>
      <c r="R158" s="31" t="s">
        <v>1021</v>
      </c>
      <c r="S158" s="31" t="s">
        <v>1021</v>
      </c>
      <c r="T158" s="31" t="s">
        <v>1021</v>
      </c>
      <c r="U158" s="31" t="s">
        <v>1021</v>
      </c>
      <c r="V158" s="31" t="s">
        <v>1021</v>
      </c>
      <c r="W158" s="31" t="s">
        <v>1021</v>
      </c>
      <c r="X158" s="31" t="s">
        <v>1021</v>
      </c>
      <c r="Y158" s="31" t="s">
        <v>1021</v>
      </c>
      <c r="Z158" s="31" t="s">
        <v>1021</v>
      </c>
      <c r="AA158" s="31" t="s">
        <v>1021</v>
      </c>
      <c r="AB158" s="31" t="s">
        <v>1021</v>
      </c>
      <c r="AC158" s="31" t="s">
        <v>1021</v>
      </c>
    </row>
    <row r="159" spans="1:29" ht="11.65" x14ac:dyDescent="0.35">
      <c r="A159" s="35">
        <v>142</v>
      </c>
      <c r="B159" s="33" t="s">
        <v>1015</v>
      </c>
      <c r="C159" s="34" t="s">
        <v>1037</v>
      </c>
      <c r="D159" s="32"/>
      <c r="E159" s="32">
        <v>1802</v>
      </c>
      <c r="F159" s="33" t="s">
        <v>1020</v>
      </c>
      <c r="G159" s="32">
        <v>900</v>
      </c>
      <c r="H159" s="32">
        <v>1980</v>
      </c>
      <c r="I159" s="31" t="s">
        <v>1021</v>
      </c>
      <c r="J159" s="31" t="s">
        <v>1021</v>
      </c>
      <c r="K159" s="31" t="s">
        <v>1021</v>
      </c>
      <c r="L159" s="31" t="s">
        <v>1021</v>
      </c>
      <c r="M159" s="31" t="s">
        <v>1021</v>
      </c>
      <c r="N159" s="31" t="s">
        <v>1021</v>
      </c>
      <c r="O159" s="31" t="s">
        <v>1021</v>
      </c>
      <c r="P159" s="31" t="s">
        <v>1021</v>
      </c>
      <c r="Q159" s="31" t="s">
        <v>1021</v>
      </c>
      <c r="R159" s="31" t="s">
        <v>1021</v>
      </c>
      <c r="S159" s="31" t="s">
        <v>1021</v>
      </c>
      <c r="T159" s="31" t="s">
        <v>1021</v>
      </c>
      <c r="U159" s="31" t="s">
        <v>1021</v>
      </c>
      <c r="V159" s="31" t="s">
        <v>1021</v>
      </c>
      <c r="W159" s="31" t="s">
        <v>1021</v>
      </c>
      <c r="X159" s="31" t="s">
        <v>1021</v>
      </c>
      <c r="Y159" s="31" t="s">
        <v>1021</v>
      </c>
      <c r="Z159" s="31" t="s">
        <v>1021</v>
      </c>
      <c r="AA159" s="31" t="s">
        <v>1021</v>
      </c>
      <c r="AB159" s="31" t="s">
        <v>1021</v>
      </c>
      <c r="AC159" s="31" t="s">
        <v>1021</v>
      </c>
    </row>
    <row r="160" spans="1:29" ht="11.65" x14ac:dyDescent="0.35">
      <c r="A160" s="35">
        <v>143</v>
      </c>
      <c r="B160" s="33" t="s">
        <v>1015</v>
      </c>
      <c r="C160" s="34" t="s">
        <v>1037</v>
      </c>
      <c r="D160" s="32"/>
      <c r="E160" s="32">
        <v>1802</v>
      </c>
      <c r="F160" s="33" t="s">
        <v>1020</v>
      </c>
      <c r="G160" s="32">
        <v>900</v>
      </c>
      <c r="H160" s="32">
        <v>1985</v>
      </c>
      <c r="I160" s="31" t="s">
        <v>1021</v>
      </c>
      <c r="J160" s="31" t="s">
        <v>1021</v>
      </c>
      <c r="K160" s="31" t="s">
        <v>1021</v>
      </c>
      <c r="L160" s="31" t="s">
        <v>1021</v>
      </c>
      <c r="M160" s="31" t="s">
        <v>1021</v>
      </c>
      <c r="N160" s="31" t="s">
        <v>1021</v>
      </c>
      <c r="O160" s="31" t="s">
        <v>1021</v>
      </c>
      <c r="P160" s="31" t="s">
        <v>1021</v>
      </c>
      <c r="Q160" s="31" t="s">
        <v>1021</v>
      </c>
      <c r="R160" s="31" t="s">
        <v>1021</v>
      </c>
      <c r="S160" s="31" t="s">
        <v>1021</v>
      </c>
      <c r="T160" s="31" t="s">
        <v>1021</v>
      </c>
      <c r="U160" s="31" t="s">
        <v>1021</v>
      </c>
      <c r="V160" s="31" t="s">
        <v>1021</v>
      </c>
      <c r="W160" s="31" t="s">
        <v>1021</v>
      </c>
      <c r="X160" s="31" t="s">
        <v>1021</v>
      </c>
      <c r="Y160" s="31" t="s">
        <v>1021</v>
      </c>
      <c r="Z160" s="31" t="s">
        <v>1021</v>
      </c>
      <c r="AA160" s="31" t="s">
        <v>1021</v>
      </c>
      <c r="AB160" s="31" t="s">
        <v>1021</v>
      </c>
      <c r="AC160" s="31" t="s">
        <v>1021</v>
      </c>
    </row>
    <row r="161" spans="1:29" ht="11.65" x14ac:dyDescent="0.35">
      <c r="A161" s="35">
        <v>144</v>
      </c>
      <c r="B161" s="33" t="s">
        <v>1015</v>
      </c>
      <c r="C161" s="34" t="s">
        <v>1037</v>
      </c>
      <c r="D161" s="32"/>
      <c r="E161" s="32">
        <v>1802</v>
      </c>
      <c r="F161" s="33" t="s">
        <v>1020</v>
      </c>
      <c r="G161" s="32">
        <v>900</v>
      </c>
      <c r="H161" s="32">
        <v>1990</v>
      </c>
      <c r="I161" s="31" t="s">
        <v>1021</v>
      </c>
      <c r="J161" s="31" t="s">
        <v>1021</v>
      </c>
      <c r="K161" s="31" t="s">
        <v>1021</v>
      </c>
      <c r="L161" s="31" t="s">
        <v>1021</v>
      </c>
      <c r="M161" s="31" t="s">
        <v>1021</v>
      </c>
      <c r="N161" s="31" t="s">
        <v>1021</v>
      </c>
      <c r="O161" s="31" t="s">
        <v>1021</v>
      </c>
      <c r="P161" s="31" t="s">
        <v>1021</v>
      </c>
      <c r="Q161" s="31" t="s">
        <v>1021</v>
      </c>
      <c r="R161" s="31" t="s">
        <v>1021</v>
      </c>
      <c r="S161" s="31" t="s">
        <v>1021</v>
      </c>
      <c r="T161" s="31" t="s">
        <v>1021</v>
      </c>
      <c r="U161" s="31" t="s">
        <v>1021</v>
      </c>
      <c r="V161" s="31" t="s">
        <v>1021</v>
      </c>
      <c r="W161" s="31" t="s">
        <v>1021</v>
      </c>
      <c r="X161" s="31" t="s">
        <v>1021</v>
      </c>
      <c r="Y161" s="31" t="s">
        <v>1021</v>
      </c>
      <c r="Z161" s="31" t="s">
        <v>1021</v>
      </c>
      <c r="AA161" s="31" t="s">
        <v>1021</v>
      </c>
      <c r="AB161" s="31" t="s">
        <v>1021</v>
      </c>
      <c r="AC161" s="31" t="s">
        <v>1021</v>
      </c>
    </row>
    <row r="162" spans="1:29" ht="11.65" x14ac:dyDescent="0.35">
      <c r="A162" s="35">
        <v>145</v>
      </c>
      <c r="B162" s="33" t="s">
        <v>1015</v>
      </c>
      <c r="C162" s="34" t="s">
        <v>1037</v>
      </c>
      <c r="D162" s="32"/>
      <c r="E162" s="32">
        <v>1802</v>
      </c>
      <c r="F162" s="33" t="s">
        <v>1020</v>
      </c>
      <c r="G162" s="32">
        <v>900</v>
      </c>
      <c r="H162" s="32">
        <v>1995</v>
      </c>
      <c r="I162" s="31" t="s">
        <v>1021</v>
      </c>
      <c r="J162" s="31" t="s">
        <v>1021</v>
      </c>
      <c r="K162" s="31" t="s">
        <v>1021</v>
      </c>
      <c r="L162" s="31" t="s">
        <v>1021</v>
      </c>
      <c r="M162" s="31" t="s">
        <v>1021</v>
      </c>
      <c r="N162" s="31" t="s">
        <v>1021</v>
      </c>
      <c r="O162" s="31" t="s">
        <v>1021</v>
      </c>
      <c r="P162" s="31" t="s">
        <v>1021</v>
      </c>
      <c r="Q162" s="31" t="s">
        <v>1021</v>
      </c>
      <c r="R162" s="31" t="s">
        <v>1021</v>
      </c>
      <c r="S162" s="31" t="s">
        <v>1021</v>
      </c>
      <c r="T162" s="31" t="s">
        <v>1021</v>
      </c>
      <c r="U162" s="31" t="s">
        <v>1021</v>
      </c>
      <c r="V162" s="31" t="s">
        <v>1021</v>
      </c>
      <c r="W162" s="31" t="s">
        <v>1021</v>
      </c>
      <c r="X162" s="31" t="s">
        <v>1021</v>
      </c>
      <c r="Y162" s="31" t="s">
        <v>1021</v>
      </c>
      <c r="Z162" s="31" t="s">
        <v>1021</v>
      </c>
      <c r="AA162" s="31" t="s">
        <v>1021</v>
      </c>
      <c r="AB162" s="31" t="s">
        <v>1021</v>
      </c>
      <c r="AC162" s="31" t="s">
        <v>1021</v>
      </c>
    </row>
    <row r="163" spans="1:29" ht="11.65" x14ac:dyDescent="0.35">
      <c r="A163" s="35">
        <v>146</v>
      </c>
      <c r="B163" s="33" t="s">
        <v>1015</v>
      </c>
      <c r="C163" s="34" t="s">
        <v>1037</v>
      </c>
      <c r="D163" s="32"/>
      <c r="E163" s="32">
        <v>1802</v>
      </c>
      <c r="F163" s="33" t="s">
        <v>1020</v>
      </c>
      <c r="G163" s="32">
        <v>900</v>
      </c>
      <c r="H163" s="32">
        <v>2000</v>
      </c>
      <c r="I163" s="31" t="s">
        <v>1021</v>
      </c>
      <c r="J163" s="31" t="s">
        <v>1021</v>
      </c>
      <c r="K163" s="31" t="s">
        <v>1021</v>
      </c>
      <c r="L163" s="31" t="s">
        <v>1021</v>
      </c>
      <c r="M163" s="31" t="s">
        <v>1021</v>
      </c>
      <c r="N163" s="31" t="s">
        <v>1021</v>
      </c>
      <c r="O163" s="31" t="s">
        <v>1021</v>
      </c>
      <c r="P163" s="31" t="s">
        <v>1021</v>
      </c>
      <c r="Q163" s="31" t="s">
        <v>1021</v>
      </c>
      <c r="R163" s="31" t="s">
        <v>1021</v>
      </c>
      <c r="S163" s="31" t="s">
        <v>1021</v>
      </c>
      <c r="T163" s="31" t="s">
        <v>1021</v>
      </c>
      <c r="U163" s="31" t="s">
        <v>1021</v>
      </c>
      <c r="V163" s="31" t="s">
        <v>1021</v>
      </c>
      <c r="W163" s="31" t="s">
        <v>1021</v>
      </c>
      <c r="X163" s="31" t="s">
        <v>1021</v>
      </c>
      <c r="Y163" s="31" t="s">
        <v>1021</v>
      </c>
      <c r="Z163" s="31" t="s">
        <v>1021</v>
      </c>
      <c r="AA163" s="31" t="s">
        <v>1021</v>
      </c>
      <c r="AB163" s="31" t="s">
        <v>1021</v>
      </c>
      <c r="AC163" s="31" t="s">
        <v>1021</v>
      </c>
    </row>
    <row r="164" spans="1:29" ht="11.65" x14ac:dyDescent="0.35">
      <c r="A164" s="35">
        <v>147</v>
      </c>
      <c r="B164" s="33" t="s">
        <v>1015</v>
      </c>
      <c r="C164" s="34" t="s">
        <v>1037</v>
      </c>
      <c r="D164" s="32"/>
      <c r="E164" s="32">
        <v>1802</v>
      </c>
      <c r="F164" s="33" t="s">
        <v>1020</v>
      </c>
      <c r="G164" s="32">
        <v>900</v>
      </c>
      <c r="H164" s="32">
        <v>2005</v>
      </c>
      <c r="I164" s="31" t="s">
        <v>1021</v>
      </c>
      <c r="J164" s="31" t="s">
        <v>1021</v>
      </c>
      <c r="K164" s="31" t="s">
        <v>1021</v>
      </c>
      <c r="L164" s="31" t="s">
        <v>1021</v>
      </c>
      <c r="M164" s="31" t="s">
        <v>1021</v>
      </c>
      <c r="N164" s="31" t="s">
        <v>1021</v>
      </c>
      <c r="O164" s="31" t="s">
        <v>1021</v>
      </c>
      <c r="P164" s="31" t="s">
        <v>1021</v>
      </c>
      <c r="Q164" s="31" t="s">
        <v>1021</v>
      </c>
      <c r="R164" s="31" t="s">
        <v>1021</v>
      </c>
      <c r="S164" s="31" t="s">
        <v>1021</v>
      </c>
      <c r="T164" s="31" t="s">
        <v>1021</v>
      </c>
      <c r="U164" s="31" t="s">
        <v>1021</v>
      </c>
      <c r="V164" s="31" t="s">
        <v>1021</v>
      </c>
      <c r="W164" s="31" t="s">
        <v>1021</v>
      </c>
      <c r="X164" s="31" t="s">
        <v>1021</v>
      </c>
      <c r="Y164" s="31" t="s">
        <v>1021</v>
      </c>
      <c r="Z164" s="31" t="s">
        <v>1021</v>
      </c>
      <c r="AA164" s="31" t="s">
        <v>1021</v>
      </c>
      <c r="AB164" s="31" t="s">
        <v>1021</v>
      </c>
      <c r="AC164" s="31" t="s">
        <v>1021</v>
      </c>
    </row>
    <row r="165" spans="1:29" ht="11.65" x14ac:dyDescent="0.35">
      <c r="A165" s="35">
        <v>148</v>
      </c>
      <c r="B165" s="33" t="s">
        <v>1015</v>
      </c>
      <c r="C165" s="34" t="s">
        <v>1037</v>
      </c>
      <c r="D165" s="32"/>
      <c r="E165" s="32">
        <v>1802</v>
      </c>
      <c r="F165" s="33" t="s">
        <v>1020</v>
      </c>
      <c r="G165" s="32">
        <v>900</v>
      </c>
      <c r="H165" s="32">
        <v>2010</v>
      </c>
      <c r="I165" s="31" t="s">
        <v>1021</v>
      </c>
      <c r="J165" s="31" t="s">
        <v>1021</v>
      </c>
      <c r="K165" s="31" t="s">
        <v>1021</v>
      </c>
      <c r="L165" s="31" t="s">
        <v>1021</v>
      </c>
      <c r="M165" s="31" t="s">
        <v>1021</v>
      </c>
      <c r="N165" s="31" t="s">
        <v>1021</v>
      </c>
      <c r="O165" s="31" t="s">
        <v>1021</v>
      </c>
      <c r="P165" s="31" t="s">
        <v>1021</v>
      </c>
      <c r="Q165" s="31" t="s">
        <v>1021</v>
      </c>
      <c r="R165" s="31" t="s">
        <v>1021</v>
      </c>
      <c r="S165" s="31" t="s">
        <v>1021</v>
      </c>
      <c r="T165" s="31" t="s">
        <v>1021</v>
      </c>
      <c r="U165" s="31" t="s">
        <v>1021</v>
      </c>
      <c r="V165" s="31" t="s">
        <v>1021</v>
      </c>
      <c r="W165" s="31" t="s">
        <v>1021</v>
      </c>
      <c r="X165" s="31" t="s">
        <v>1021</v>
      </c>
      <c r="Y165" s="31" t="s">
        <v>1021</v>
      </c>
      <c r="Z165" s="31" t="s">
        <v>1021</v>
      </c>
      <c r="AA165" s="31" t="s">
        <v>1021</v>
      </c>
      <c r="AB165" s="31" t="s">
        <v>1021</v>
      </c>
      <c r="AC165" s="31" t="s">
        <v>1021</v>
      </c>
    </row>
    <row r="166" spans="1:29" ht="11.65" x14ac:dyDescent="0.35">
      <c r="A166" s="35">
        <v>149</v>
      </c>
      <c r="B166" s="33" t="s">
        <v>1015</v>
      </c>
      <c r="C166" s="34" t="s">
        <v>1037</v>
      </c>
      <c r="D166" s="32"/>
      <c r="E166" s="32">
        <v>1802</v>
      </c>
      <c r="F166" s="33" t="s">
        <v>1020</v>
      </c>
      <c r="G166" s="32">
        <v>900</v>
      </c>
      <c r="H166" s="32">
        <v>2015</v>
      </c>
      <c r="I166" s="31" t="s">
        <v>1021</v>
      </c>
      <c r="J166" s="31" t="s">
        <v>1021</v>
      </c>
      <c r="K166" s="31" t="s">
        <v>1021</v>
      </c>
      <c r="L166" s="31" t="s">
        <v>1021</v>
      </c>
      <c r="M166" s="31" t="s">
        <v>1021</v>
      </c>
      <c r="N166" s="31" t="s">
        <v>1021</v>
      </c>
      <c r="O166" s="31" t="s">
        <v>1021</v>
      </c>
      <c r="P166" s="31" t="s">
        <v>1021</v>
      </c>
      <c r="Q166" s="31" t="s">
        <v>1021</v>
      </c>
      <c r="R166" s="31" t="s">
        <v>1021</v>
      </c>
      <c r="S166" s="31" t="s">
        <v>1021</v>
      </c>
      <c r="T166" s="31" t="s">
        <v>1021</v>
      </c>
      <c r="U166" s="31" t="s">
        <v>1021</v>
      </c>
      <c r="V166" s="31" t="s">
        <v>1021</v>
      </c>
      <c r="W166" s="31" t="s">
        <v>1021</v>
      </c>
      <c r="X166" s="31" t="s">
        <v>1021</v>
      </c>
      <c r="Y166" s="31" t="s">
        <v>1021</v>
      </c>
      <c r="Z166" s="31" t="s">
        <v>1021</v>
      </c>
      <c r="AA166" s="31" t="s">
        <v>1021</v>
      </c>
      <c r="AB166" s="31" t="s">
        <v>1021</v>
      </c>
      <c r="AC166" s="31" t="s">
        <v>1021</v>
      </c>
    </row>
    <row r="167" spans="1:29" ht="11.65" x14ac:dyDescent="0.35">
      <c r="A167" s="35">
        <v>150</v>
      </c>
      <c r="B167" s="33" t="s">
        <v>1015</v>
      </c>
      <c r="C167" s="34" t="s">
        <v>1037</v>
      </c>
      <c r="D167" s="32"/>
      <c r="E167" s="32">
        <v>1802</v>
      </c>
      <c r="F167" s="33" t="s">
        <v>1020</v>
      </c>
      <c r="G167" s="32">
        <v>900</v>
      </c>
      <c r="H167" s="32">
        <v>2020</v>
      </c>
      <c r="I167" s="31" t="s">
        <v>1021</v>
      </c>
      <c r="J167" s="31" t="s">
        <v>1021</v>
      </c>
      <c r="K167" s="31" t="s">
        <v>1021</v>
      </c>
      <c r="L167" s="31" t="s">
        <v>1021</v>
      </c>
      <c r="M167" s="31" t="s">
        <v>1021</v>
      </c>
      <c r="N167" s="31" t="s">
        <v>1021</v>
      </c>
      <c r="O167" s="31" t="s">
        <v>1021</v>
      </c>
      <c r="P167" s="31" t="s">
        <v>1021</v>
      </c>
      <c r="Q167" s="31" t="s">
        <v>1021</v>
      </c>
      <c r="R167" s="31" t="s">
        <v>1021</v>
      </c>
      <c r="S167" s="31" t="s">
        <v>1021</v>
      </c>
      <c r="T167" s="31" t="s">
        <v>1021</v>
      </c>
      <c r="U167" s="31" t="s">
        <v>1021</v>
      </c>
      <c r="V167" s="31" t="s">
        <v>1021</v>
      </c>
      <c r="W167" s="31" t="s">
        <v>1021</v>
      </c>
      <c r="X167" s="31" t="s">
        <v>1021</v>
      </c>
      <c r="Y167" s="31" t="s">
        <v>1021</v>
      </c>
      <c r="Z167" s="31" t="s">
        <v>1021</v>
      </c>
      <c r="AA167" s="31" t="s">
        <v>1021</v>
      </c>
      <c r="AB167" s="31" t="s">
        <v>1021</v>
      </c>
      <c r="AC167" s="31" t="s">
        <v>1021</v>
      </c>
    </row>
    <row r="168" spans="1:29" ht="11.65" x14ac:dyDescent="0.35">
      <c r="A168" s="12">
        <v>151</v>
      </c>
      <c r="B168" s="10" t="s">
        <v>1015</v>
      </c>
      <c r="C168" s="36" t="s">
        <v>1038</v>
      </c>
      <c r="D168" s="9" t="s">
        <v>1039</v>
      </c>
      <c r="E168" s="9">
        <v>1503</v>
      </c>
      <c r="F168" s="10" t="s">
        <v>1040</v>
      </c>
      <c r="G168" s="9">
        <v>1802</v>
      </c>
      <c r="H168" s="9">
        <v>1950</v>
      </c>
      <c r="I168" s="8">
        <v>37661.237999999998</v>
      </c>
      <c r="J168" s="8">
        <v>31512.953000000001</v>
      </c>
      <c r="K168" s="8">
        <v>29863.328000000001</v>
      </c>
      <c r="L168" s="8">
        <v>28425.059000000001</v>
      </c>
      <c r="M168" s="8">
        <v>27982.416000000001</v>
      </c>
      <c r="N168" s="8">
        <v>26389.065999999999</v>
      </c>
      <c r="O168" s="8">
        <v>21562.227999999999</v>
      </c>
      <c r="P168" s="8">
        <v>23638.402999999998</v>
      </c>
      <c r="Q168" s="8">
        <v>22984.734</v>
      </c>
      <c r="R168" s="8">
        <v>20847.432000000001</v>
      </c>
      <c r="S168" s="8">
        <v>17698.442999999999</v>
      </c>
      <c r="T168" s="8">
        <v>14511.532999999999</v>
      </c>
      <c r="U168" s="8">
        <v>12424.508</v>
      </c>
      <c r="V168" s="8">
        <v>9825.2829999999994</v>
      </c>
      <c r="W168" s="8">
        <v>7000.759</v>
      </c>
      <c r="X168" s="8">
        <v>4173.4709999999995</v>
      </c>
      <c r="Y168" s="8">
        <v>1875.028</v>
      </c>
      <c r="Z168" s="8">
        <v>685.30799999999999</v>
      </c>
      <c r="AA168" s="8">
        <v>166.62100000000001</v>
      </c>
      <c r="AB168" s="8">
        <v>26.315999999999999</v>
      </c>
      <c r="AC168" s="8">
        <v>2.7080000000000002</v>
      </c>
    </row>
    <row r="169" spans="1:29" ht="11.65" x14ac:dyDescent="0.35">
      <c r="A169" s="12">
        <v>152</v>
      </c>
      <c r="B169" s="10" t="s">
        <v>1015</v>
      </c>
      <c r="C169" s="36" t="s">
        <v>1038</v>
      </c>
      <c r="D169" s="9" t="s">
        <v>1039</v>
      </c>
      <c r="E169" s="9">
        <v>1503</v>
      </c>
      <c r="F169" s="10" t="s">
        <v>1040</v>
      </c>
      <c r="G169" s="9">
        <v>1802</v>
      </c>
      <c r="H169" s="9">
        <v>1955</v>
      </c>
      <c r="I169" s="8">
        <v>38967.326000000001</v>
      </c>
      <c r="J169" s="8">
        <v>37192.343000000001</v>
      </c>
      <c r="K169" s="8">
        <v>31490.126</v>
      </c>
      <c r="L169" s="8">
        <v>29438.169000000002</v>
      </c>
      <c r="M169" s="8">
        <v>27844.154999999999</v>
      </c>
      <c r="N169" s="8">
        <v>27634.848000000002</v>
      </c>
      <c r="O169" s="8">
        <v>26046.066999999999</v>
      </c>
      <c r="P169" s="8">
        <v>21235.151999999998</v>
      </c>
      <c r="Q169" s="8">
        <v>23173.087</v>
      </c>
      <c r="R169" s="8">
        <v>22131.52</v>
      </c>
      <c r="S169" s="8">
        <v>20283.593000000001</v>
      </c>
      <c r="T169" s="8">
        <v>16416.735000000001</v>
      </c>
      <c r="U169" s="8">
        <v>13148.279</v>
      </c>
      <c r="V169" s="8">
        <v>10564.173000000001</v>
      </c>
      <c r="W169" s="8">
        <v>7543.6229999999996</v>
      </c>
      <c r="X169" s="8">
        <v>4751.8370000000004</v>
      </c>
      <c r="Y169" s="8">
        <v>2307.8449999999998</v>
      </c>
      <c r="Z169" s="8">
        <v>732.279</v>
      </c>
      <c r="AA169" s="8">
        <v>177.917</v>
      </c>
      <c r="AB169" s="8">
        <v>27.516999999999999</v>
      </c>
      <c r="AC169" s="8">
        <v>2.778</v>
      </c>
    </row>
    <row r="170" spans="1:29" ht="11.65" x14ac:dyDescent="0.35">
      <c r="A170" s="12">
        <v>153</v>
      </c>
      <c r="B170" s="10" t="s">
        <v>1015</v>
      </c>
      <c r="C170" s="36" t="s">
        <v>1038</v>
      </c>
      <c r="D170" s="9" t="s">
        <v>1039</v>
      </c>
      <c r="E170" s="9">
        <v>1503</v>
      </c>
      <c r="F170" s="10" t="s">
        <v>1040</v>
      </c>
      <c r="G170" s="9">
        <v>1802</v>
      </c>
      <c r="H170" s="9">
        <v>1960</v>
      </c>
      <c r="I170" s="8">
        <v>40803.781999999999</v>
      </c>
      <c r="J170" s="8">
        <v>38856.538999999997</v>
      </c>
      <c r="K170" s="8">
        <v>37278.055999999997</v>
      </c>
      <c r="L170" s="8">
        <v>31059.207999999999</v>
      </c>
      <c r="M170" s="8">
        <v>28953.188999999998</v>
      </c>
      <c r="N170" s="8">
        <v>28011.944</v>
      </c>
      <c r="O170" s="8">
        <v>27480.205000000002</v>
      </c>
      <c r="P170" s="8">
        <v>25746.751</v>
      </c>
      <c r="Q170" s="8">
        <v>20843.182000000001</v>
      </c>
      <c r="R170" s="8">
        <v>22654.425999999999</v>
      </c>
      <c r="S170" s="8">
        <v>21515.556</v>
      </c>
      <c r="T170" s="8">
        <v>18957.64</v>
      </c>
      <c r="U170" s="8">
        <v>14803.088</v>
      </c>
      <c r="V170" s="8">
        <v>11164.95</v>
      </c>
      <c r="W170" s="8">
        <v>8178.6689999999999</v>
      </c>
      <c r="X170" s="8">
        <v>5192.6989999999996</v>
      </c>
      <c r="Y170" s="8">
        <v>2628.6729999999998</v>
      </c>
      <c r="Z170" s="8">
        <v>925.70799999999997</v>
      </c>
      <c r="AA170" s="8">
        <v>192.73599999999999</v>
      </c>
      <c r="AB170" s="8">
        <v>28.908999999999999</v>
      </c>
      <c r="AC170" s="8">
        <v>2.8109999999999999</v>
      </c>
    </row>
    <row r="171" spans="1:29" ht="11.65" x14ac:dyDescent="0.35">
      <c r="A171" s="12">
        <v>154</v>
      </c>
      <c r="B171" s="10" t="s">
        <v>1015</v>
      </c>
      <c r="C171" s="36" t="s">
        <v>1038</v>
      </c>
      <c r="D171" s="9" t="s">
        <v>1039</v>
      </c>
      <c r="E171" s="9">
        <v>1503</v>
      </c>
      <c r="F171" s="10" t="s">
        <v>1040</v>
      </c>
      <c r="G171" s="9">
        <v>1802</v>
      </c>
      <c r="H171" s="9">
        <v>1965</v>
      </c>
      <c r="I171" s="8">
        <v>41537.294999999998</v>
      </c>
      <c r="J171" s="8">
        <v>40720.489000000001</v>
      </c>
      <c r="K171" s="8">
        <v>38931.839999999997</v>
      </c>
      <c r="L171" s="8">
        <v>37062.006999999998</v>
      </c>
      <c r="M171" s="8">
        <v>30848.148000000001</v>
      </c>
      <c r="N171" s="8">
        <v>29176.476999999999</v>
      </c>
      <c r="O171" s="8">
        <v>28127.282999999999</v>
      </c>
      <c r="P171" s="8">
        <v>27480.638999999999</v>
      </c>
      <c r="Q171" s="8">
        <v>25513.300999999999</v>
      </c>
      <c r="R171" s="8">
        <v>20377.901999999998</v>
      </c>
      <c r="S171" s="8">
        <v>21829.881000000001</v>
      </c>
      <c r="T171" s="8">
        <v>20300.546999999999</v>
      </c>
      <c r="U171" s="8">
        <v>17031.929</v>
      </c>
      <c r="V171" s="8">
        <v>12588.058999999999</v>
      </c>
      <c r="W171" s="8">
        <v>8732.0509999999995</v>
      </c>
      <c r="X171" s="8">
        <v>5675.8519999999999</v>
      </c>
      <c r="Y171" s="8">
        <v>2883.4870000000001</v>
      </c>
      <c r="Z171" s="8">
        <v>1064.9639999999999</v>
      </c>
      <c r="AA171" s="8">
        <v>247.53200000000001</v>
      </c>
      <c r="AB171" s="8">
        <v>31.459</v>
      </c>
      <c r="AC171" s="8">
        <v>2.92</v>
      </c>
    </row>
    <row r="172" spans="1:29" ht="11.65" x14ac:dyDescent="0.35">
      <c r="A172" s="12">
        <v>155</v>
      </c>
      <c r="B172" s="10" t="s">
        <v>1015</v>
      </c>
      <c r="C172" s="36" t="s">
        <v>1038</v>
      </c>
      <c r="D172" s="9" t="s">
        <v>1039</v>
      </c>
      <c r="E172" s="9">
        <v>1503</v>
      </c>
      <c r="F172" s="10" t="s">
        <v>1040</v>
      </c>
      <c r="G172" s="9">
        <v>1802</v>
      </c>
      <c r="H172" s="9">
        <v>1970</v>
      </c>
      <c r="I172" s="8">
        <v>40227.531999999999</v>
      </c>
      <c r="J172" s="8">
        <v>41747.188000000002</v>
      </c>
      <c r="K172" s="8">
        <v>40949.171999999999</v>
      </c>
      <c r="L172" s="8">
        <v>38758.160000000003</v>
      </c>
      <c r="M172" s="8">
        <v>36317.32</v>
      </c>
      <c r="N172" s="8">
        <v>30975.74</v>
      </c>
      <c r="O172" s="8">
        <v>29283.728999999999</v>
      </c>
      <c r="P172" s="8">
        <v>27950.505000000001</v>
      </c>
      <c r="Q172" s="8">
        <v>27262.953000000001</v>
      </c>
      <c r="R172" s="8">
        <v>25036.85</v>
      </c>
      <c r="S172" s="8">
        <v>19616.493999999999</v>
      </c>
      <c r="T172" s="8">
        <v>20522.288</v>
      </c>
      <c r="U172" s="8">
        <v>18316.413</v>
      </c>
      <c r="V172" s="8">
        <v>14584.868</v>
      </c>
      <c r="W172" s="8">
        <v>9799.2929999999997</v>
      </c>
      <c r="X172" s="8">
        <v>6005.1750000000002</v>
      </c>
      <c r="Y172" s="8">
        <v>3217.4490000000001</v>
      </c>
      <c r="Z172" s="8">
        <v>1202.9190000000001</v>
      </c>
      <c r="AA172" s="8">
        <v>293.99900000000002</v>
      </c>
      <c r="AB172" s="8">
        <v>41.948999999999998</v>
      </c>
      <c r="AC172" s="8">
        <v>3.339</v>
      </c>
    </row>
    <row r="173" spans="1:29" ht="11.65" x14ac:dyDescent="0.35">
      <c r="A173" s="12">
        <v>156</v>
      </c>
      <c r="B173" s="10" t="s">
        <v>1015</v>
      </c>
      <c r="C173" s="36" t="s">
        <v>1038</v>
      </c>
      <c r="D173" s="9" t="s">
        <v>1039</v>
      </c>
      <c r="E173" s="9">
        <v>1503</v>
      </c>
      <c r="F173" s="10" t="s">
        <v>1040</v>
      </c>
      <c r="G173" s="9">
        <v>1802</v>
      </c>
      <c r="H173" s="9">
        <v>1975</v>
      </c>
      <c r="I173" s="8">
        <v>39363.81</v>
      </c>
      <c r="J173" s="8">
        <v>40308.012000000002</v>
      </c>
      <c r="K173" s="8">
        <v>41971.125999999997</v>
      </c>
      <c r="L173" s="8">
        <v>40982.991999999998</v>
      </c>
      <c r="M173" s="8">
        <v>38873.745000000003</v>
      </c>
      <c r="N173" s="8">
        <v>36971.980000000003</v>
      </c>
      <c r="O173" s="8">
        <v>31209.409</v>
      </c>
      <c r="P173" s="8">
        <v>29174.238000000001</v>
      </c>
      <c r="Q173" s="8">
        <v>27739.456999999999</v>
      </c>
      <c r="R173" s="8">
        <v>26688.403999999999</v>
      </c>
      <c r="S173" s="8">
        <v>24122.041000000001</v>
      </c>
      <c r="T173" s="8">
        <v>18462.287</v>
      </c>
      <c r="U173" s="8">
        <v>18674.572</v>
      </c>
      <c r="V173" s="8">
        <v>15787.032999999999</v>
      </c>
      <c r="W173" s="8">
        <v>11420.552</v>
      </c>
      <c r="X173" s="8">
        <v>6776.3239999999996</v>
      </c>
      <c r="Y173" s="8">
        <v>3464.4520000000002</v>
      </c>
      <c r="Z173" s="8">
        <v>1383.537</v>
      </c>
      <c r="AA173" s="8">
        <v>350.44400000000002</v>
      </c>
      <c r="AB173" s="8">
        <v>52.46</v>
      </c>
      <c r="AC173" s="8">
        <v>4.6619999999999999</v>
      </c>
    </row>
    <row r="174" spans="1:29" ht="11.65" x14ac:dyDescent="0.35">
      <c r="A174" s="12">
        <v>157</v>
      </c>
      <c r="B174" s="10" t="s">
        <v>1015</v>
      </c>
      <c r="C174" s="36" t="s">
        <v>1038</v>
      </c>
      <c r="D174" s="9" t="s">
        <v>1039</v>
      </c>
      <c r="E174" s="9">
        <v>1503</v>
      </c>
      <c r="F174" s="10" t="s">
        <v>1040</v>
      </c>
      <c r="G174" s="9">
        <v>1802</v>
      </c>
      <c r="H174" s="9">
        <v>1980</v>
      </c>
      <c r="I174" s="8">
        <v>37718.563999999998</v>
      </c>
      <c r="J174" s="8">
        <v>39500.224000000002</v>
      </c>
      <c r="K174" s="8">
        <v>41069.110999999997</v>
      </c>
      <c r="L174" s="8">
        <v>42616.605000000003</v>
      </c>
      <c r="M174" s="8">
        <v>41164.6</v>
      </c>
      <c r="N174" s="8">
        <v>38893.517</v>
      </c>
      <c r="O174" s="8">
        <v>37080.203999999998</v>
      </c>
      <c r="P174" s="8">
        <v>30622.511999999999</v>
      </c>
      <c r="Q174" s="8">
        <v>28780.107</v>
      </c>
      <c r="R174" s="8">
        <v>26903.776999999998</v>
      </c>
      <c r="S174" s="8">
        <v>25657.647000000001</v>
      </c>
      <c r="T174" s="8">
        <v>22756.327000000001</v>
      </c>
      <c r="U174" s="8">
        <v>16976.435000000001</v>
      </c>
      <c r="V174" s="8">
        <v>16514.919000000002</v>
      </c>
      <c r="W174" s="8">
        <v>12672.691999999999</v>
      </c>
      <c r="X174" s="8">
        <v>8296.0949999999993</v>
      </c>
      <c r="Y174" s="8">
        <v>3876.5450000000001</v>
      </c>
      <c r="Z174" s="8">
        <v>1554.107</v>
      </c>
      <c r="AA174" s="8">
        <v>426.98399999999998</v>
      </c>
      <c r="AB174" s="8">
        <v>67.981999999999999</v>
      </c>
      <c r="AC174" s="8">
        <v>6.3390000000000004</v>
      </c>
    </row>
    <row r="175" spans="1:29" ht="11.65" x14ac:dyDescent="0.35">
      <c r="A175" s="12">
        <v>158</v>
      </c>
      <c r="B175" s="10" t="s">
        <v>1015</v>
      </c>
      <c r="C175" s="36" t="s">
        <v>1038</v>
      </c>
      <c r="D175" s="9" t="s">
        <v>1039</v>
      </c>
      <c r="E175" s="9">
        <v>1503</v>
      </c>
      <c r="F175" s="10" t="s">
        <v>1040</v>
      </c>
      <c r="G175" s="9">
        <v>1802</v>
      </c>
      <c r="H175" s="9">
        <v>1985</v>
      </c>
      <c r="I175" s="8">
        <v>37640.771000000001</v>
      </c>
      <c r="J175" s="8">
        <v>37881.712</v>
      </c>
      <c r="K175" s="8">
        <v>39871.752</v>
      </c>
      <c r="L175" s="8">
        <v>41404.646000000001</v>
      </c>
      <c r="M175" s="8">
        <v>42691.838000000003</v>
      </c>
      <c r="N175" s="8">
        <v>41533.357000000004</v>
      </c>
      <c r="O175" s="8">
        <v>39220.103999999999</v>
      </c>
      <c r="P175" s="8">
        <v>36990.01</v>
      </c>
      <c r="Q175" s="8">
        <v>30420.608</v>
      </c>
      <c r="R175" s="8">
        <v>28205.871999999999</v>
      </c>
      <c r="S175" s="8">
        <v>26042.251</v>
      </c>
      <c r="T175" s="8">
        <v>24309.316999999999</v>
      </c>
      <c r="U175" s="8">
        <v>20936.54</v>
      </c>
      <c r="V175" s="8">
        <v>15009.8</v>
      </c>
      <c r="W175" s="8">
        <v>13428.038</v>
      </c>
      <c r="X175" s="8">
        <v>9145.5370000000003</v>
      </c>
      <c r="Y175" s="8">
        <v>4936.9129999999996</v>
      </c>
      <c r="Z175" s="8">
        <v>1774.5409999999999</v>
      </c>
      <c r="AA175" s="8">
        <v>503.42500000000001</v>
      </c>
      <c r="AB175" s="8">
        <v>87.74</v>
      </c>
      <c r="AC175" s="8">
        <v>8.6829999999999998</v>
      </c>
    </row>
    <row r="176" spans="1:29" ht="11.65" x14ac:dyDescent="0.35">
      <c r="A176" s="12">
        <v>159</v>
      </c>
      <c r="B176" s="10" t="s">
        <v>1015</v>
      </c>
      <c r="C176" s="36" t="s">
        <v>1038</v>
      </c>
      <c r="D176" s="9" t="s">
        <v>1039</v>
      </c>
      <c r="E176" s="9">
        <v>1503</v>
      </c>
      <c r="F176" s="10" t="s">
        <v>1040</v>
      </c>
      <c r="G176" s="9">
        <v>1802</v>
      </c>
      <c r="H176" s="9">
        <v>1990</v>
      </c>
      <c r="I176" s="8">
        <v>37386.002</v>
      </c>
      <c r="J176" s="8">
        <v>37839.190999999999</v>
      </c>
      <c r="K176" s="8">
        <v>38279.680999999997</v>
      </c>
      <c r="L176" s="8">
        <v>40324.722000000002</v>
      </c>
      <c r="M176" s="8">
        <v>41837.794000000002</v>
      </c>
      <c r="N176" s="8">
        <v>43061.934999999998</v>
      </c>
      <c r="O176" s="8">
        <v>41826.347000000002</v>
      </c>
      <c r="P176" s="8">
        <v>39057.771999999997</v>
      </c>
      <c r="Q176" s="8">
        <v>36680.362000000001</v>
      </c>
      <c r="R176" s="8">
        <v>29832.402999999998</v>
      </c>
      <c r="S176" s="8">
        <v>27387.552</v>
      </c>
      <c r="T176" s="8">
        <v>24793.607</v>
      </c>
      <c r="U176" s="8">
        <v>22574.491999999998</v>
      </c>
      <c r="V176" s="8">
        <v>18661.635999999999</v>
      </c>
      <c r="W176" s="8">
        <v>12464.701999999999</v>
      </c>
      <c r="X176" s="8">
        <v>10030.786</v>
      </c>
      <c r="Y176" s="8">
        <v>5703.2780000000002</v>
      </c>
      <c r="Z176" s="8">
        <v>2369.402</v>
      </c>
      <c r="AA176" s="8">
        <v>588.08199999999999</v>
      </c>
      <c r="AB176" s="8">
        <v>105.47199999999999</v>
      </c>
      <c r="AC176" s="8">
        <v>11.106</v>
      </c>
    </row>
    <row r="177" spans="1:29" ht="11.65" x14ac:dyDescent="0.35">
      <c r="A177" s="12">
        <v>160</v>
      </c>
      <c r="B177" s="10" t="s">
        <v>1015</v>
      </c>
      <c r="C177" s="36" t="s">
        <v>1038</v>
      </c>
      <c r="D177" s="9" t="s">
        <v>1039</v>
      </c>
      <c r="E177" s="9">
        <v>1503</v>
      </c>
      <c r="F177" s="10" t="s">
        <v>1040</v>
      </c>
      <c r="G177" s="9">
        <v>1802</v>
      </c>
      <c r="H177" s="9">
        <v>1995</v>
      </c>
      <c r="I177" s="8">
        <v>37164.786</v>
      </c>
      <c r="J177" s="8">
        <v>37700.694000000003</v>
      </c>
      <c r="K177" s="8">
        <v>38581.476999999999</v>
      </c>
      <c r="L177" s="8">
        <v>38919.142</v>
      </c>
      <c r="M177" s="8">
        <v>40472.508999999998</v>
      </c>
      <c r="N177" s="8">
        <v>42220.832000000002</v>
      </c>
      <c r="O177" s="8">
        <v>43782.177000000003</v>
      </c>
      <c r="P177" s="8">
        <v>41973.832999999999</v>
      </c>
      <c r="Q177" s="8">
        <v>38775.536999999997</v>
      </c>
      <c r="R177" s="8">
        <v>35901.089999999997</v>
      </c>
      <c r="S177" s="8">
        <v>29025.647000000001</v>
      </c>
      <c r="T177" s="8">
        <v>26226.447</v>
      </c>
      <c r="U177" s="8">
        <v>23188.375</v>
      </c>
      <c r="V177" s="8">
        <v>20271.115000000002</v>
      </c>
      <c r="W177" s="8">
        <v>15706.215</v>
      </c>
      <c r="X177" s="8">
        <v>9566.3760000000002</v>
      </c>
      <c r="Y177" s="8">
        <v>6451.9970000000003</v>
      </c>
      <c r="Z177" s="8">
        <v>2855.5929999999998</v>
      </c>
      <c r="AA177" s="8">
        <v>821.38400000000001</v>
      </c>
      <c r="AB177" s="8">
        <v>123.788</v>
      </c>
      <c r="AC177" s="8">
        <v>13.17</v>
      </c>
    </row>
    <row r="178" spans="1:29" ht="11.65" x14ac:dyDescent="0.35">
      <c r="A178" s="12">
        <v>161</v>
      </c>
      <c r="B178" s="10" t="s">
        <v>1015</v>
      </c>
      <c r="C178" s="36" t="s">
        <v>1038</v>
      </c>
      <c r="D178" s="9" t="s">
        <v>1039</v>
      </c>
      <c r="E178" s="9">
        <v>1503</v>
      </c>
      <c r="F178" s="10" t="s">
        <v>1040</v>
      </c>
      <c r="G178" s="9">
        <v>1802</v>
      </c>
      <c r="H178" s="9">
        <v>2000</v>
      </c>
      <c r="I178" s="8">
        <v>35472.358999999997</v>
      </c>
      <c r="J178" s="8">
        <v>37800.697</v>
      </c>
      <c r="K178" s="8">
        <v>38439.777000000002</v>
      </c>
      <c r="L178" s="8">
        <v>39080.722999999998</v>
      </c>
      <c r="M178" s="8">
        <v>39453.904999999999</v>
      </c>
      <c r="N178" s="8">
        <v>41699.453999999998</v>
      </c>
      <c r="O178" s="8">
        <v>42938.663999999997</v>
      </c>
      <c r="P178" s="8">
        <v>43789.14</v>
      </c>
      <c r="Q178" s="8">
        <v>41594.947999999997</v>
      </c>
      <c r="R178" s="8">
        <v>38125.639000000003</v>
      </c>
      <c r="S178" s="8">
        <v>35121.411999999997</v>
      </c>
      <c r="T178" s="8">
        <v>27857.72</v>
      </c>
      <c r="U178" s="8">
        <v>24759.543000000001</v>
      </c>
      <c r="V178" s="8">
        <v>21101.85</v>
      </c>
      <c r="W178" s="8">
        <v>17380.024000000001</v>
      </c>
      <c r="X178" s="8">
        <v>12302.039000000001</v>
      </c>
      <c r="Y178" s="8">
        <v>6446.2139999999999</v>
      </c>
      <c r="Z178" s="8">
        <v>3361.712</v>
      </c>
      <c r="AA178" s="8">
        <v>1017.187</v>
      </c>
      <c r="AB178" s="8">
        <v>174.34700000000001</v>
      </c>
      <c r="AC178" s="8">
        <v>14.734</v>
      </c>
    </row>
    <row r="179" spans="1:29" ht="11.65" x14ac:dyDescent="0.35">
      <c r="A179" s="12">
        <v>162</v>
      </c>
      <c r="B179" s="10" t="s">
        <v>1015</v>
      </c>
      <c r="C179" s="36" t="s">
        <v>1038</v>
      </c>
      <c r="D179" s="9" t="s">
        <v>1039</v>
      </c>
      <c r="E179" s="9">
        <v>1503</v>
      </c>
      <c r="F179" s="10" t="s">
        <v>1040</v>
      </c>
      <c r="G179" s="9">
        <v>1802</v>
      </c>
      <c r="H179" s="9">
        <v>2005</v>
      </c>
      <c r="I179" s="8">
        <v>35031.016000000003</v>
      </c>
      <c r="J179" s="8">
        <v>35792.364999999998</v>
      </c>
      <c r="K179" s="8">
        <v>38458.78</v>
      </c>
      <c r="L179" s="8">
        <v>39271.81</v>
      </c>
      <c r="M179" s="8">
        <v>40302.853000000003</v>
      </c>
      <c r="N179" s="8">
        <v>41152.667000000001</v>
      </c>
      <c r="O179" s="8">
        <v>43180.811999999998</v>
      </c>
      <c r="P179" s="8">
        <v>43641.578999999998</v>
      </c>
      <c r="Q179" s="8">
        <v>43873.652999999998</v>
      </c>
      <c r="R179" s="8">
        <v>41164.883999999998</v>
      </c>
      <c r="S179" s="8">
        <v>37356.694000000003</v>
      </c>
      <c r="T179" s="8">
        <v>33997.671000000002</v>
      </c>
      <c r="U179" s="8">
        <v>26518.716</v>
      </c>
      <c r="V179" s="8">
        <v>22847.391</v>
      </c>
      <c r="W179" s="8">
        <v>18487.909</v>
      </c>
      <c r="X179" s="8">
        <v>13979.388999999999</v>
      </c>
      <c r="Y179" s="8">
        <v>8552.9130000000005</v>
      </c>
      <c r="Z179" s="8">
        <v>3569.636</v>
      </c>
      <c r="AA179" s="8">
        <v>1273.932</v>
      </c>
      <c r="AB179" s="8">
        <v>226.929</v>
      </c>
      <c r="AC179" s="8">
        <v>20.783000000000001</v>
      </c>
    </row>
    <row r="180" spans="1:29" ht="11.65" x14ac:dyDescent="0.35">
      <c r="A180" s="12">
        <v>163</v>
      </c>
      <c r="B180" s="10" t="s">
        <v>1015</v>
      </c>
      <c r="C180" s="36" t="s">
        <v>1038</v>
      </c>
      <c r="D180" s="9" t="s">
        <v>1039</v>
      </c>
      <c r="E180" s="9">
        <v>1503</v>
      </c>
      <c r="F180" s="10" t="s">
        <v>1040</v>
      </c>
      <c r="G180" s="9">
        <v>1802</v>
      </c>
      <c r="H180" s="9">
        <v>2010</v>
      </c>
      <c r="I180" s="8">
        <v>36166.239999999998</v>
      </c>
      <c r="J180" s="8">
        <v>35453.885999999999</v>
      </c>
      <c r="K180" s="8">
        <v>36768.453999999998</v>
      </c>
      <c r="L180" s="8">
        <v>39327.991000000002</v>
      </c>
      <c r="M180" s="8">
        <v>40799.635999999999</v>
      </c>
      <c r="N180" s="8">
        <v>42649.83</v>
      </c>
      <c r="O180" s="8">
        <v>43434.904000000002</v>
      </c>
      <c r="P180" s="8">
        <v>44559.811000000002</v>
      </c>
      <c r="Q180" s="8">
        <v>44137.735999999997</v>
      </c>
      <c r="R180" s="8">
        <v>43709.889000000003</v>
      </c>
      <c r="S180" s="8">
        <v>40501.173999999999</v>
      </c>
      <c r="T180" s="8">
        <v>36226.807000000001</v>
      </c>
      <c r="U180" s="8">
        <v>32492.317999999999</v>
      </c>
      <c r="V180" s="8">
        <v>24689.363000000001</v>
      </c>
      <c r="W180" s="8">
        <v>20333.126</v>
      </c>
      <c r="X180" s="8">
        <v>15301.967000000001</v>
      </c>
      <c r="Y180" s="8">
        <v>10207.486000000001</v>
      </c>
      <c r="Z180" s="8">
        <v>4976.2070000000003</v>
      </c>
      <c r="AA180" s="8">
        <v>1462.31</v>
      </c>
      <c r="AB180" s="8">
        <v>307.55200000000002</v>
      </c>
      <c r="AC180" s="8">
        <v>29.202999999999999</v>
      </c>
    </row>
    <row r="181" spans="1:29" ht="11.65" x14ac:dyDescent="0.35">
      <c r="A181" s="12">
        <v>164</v>
      </c>
      <c r="B181" s="10" t="s">
        <v>1015</v>
      </c>
      <c r="C181" s="36" t="s">
        <v>1038</v>
      </c>
      <c r="D181" s="9" t="s">
        <v>1039</v>
      </c>
      <c r="E181" s="9">
        <v>1503</v>
      </c>
      <c r="F181" s="10" t="s">
        <v>1040</v>
      </c>
      <c r="G181" s="9">
        <v>1802</v>
      </c>
      <c r="H181" s="9">
        <v>2015</v>
      </c>
      <c r="I181" s="8">
        <v>35693.694000000003</v>
      </c>
      <c r="J181" s="8">
        <v>36404.296000000002</v>
      </c>
      <c r="K181" s="8">
        <v>35693.341999999997</v>
      </c>
      <c r="L181" s="8">
        <v>37492.012999999999</v>
      </c>
      <c r="M181" s="8">
        <v>40949.463000000003</v>
      </c>
      <c r="N181" s="8">
        <v>43122.483999999997</v>
      </c>
      <c r="O181" s="8">
        <v>44387.93</v>
      </c>
      <c r="P181" s="8">
        <v>44219.493999999999</v>
      </c>
      <c r="Q181" s="8">
        <v>44601.131999999998</v>
      </c>
      <c r="R181" s="8">
        <v>43753.237999999998</v>
      </c>
      <c r="S181" s="8">
        <v>42971.733999999997</v>
      </c>
      <c r="T181" s="8">
        <v>39315.707000000002</v>
      </c>
      <c r="U181" s="8">
        <v>34562.357000000004</v>
      </c>
      <c r="V181" s="8">
        <v>30204.579000000002</v>
      </c>
      <c r="W181" s="8">
        <v>22231.613000000001</v>
      </c>
      <c r="X181" s="8">
        <v>17130.325000000001</v>
      </c>
      <c r="Y181" s="8">
        <v>11464.808999999999</v>
      </c>
      <c r="Z181" s="8">
        <v>6223.268</v>
      </c>
      <c r="AA181" s="8">
        <v>2149.527</v>
      </c>
      <c r="AB181" s="8">
        <v>381.85300000000001</v>
      </c>
      <c r="AC181" s="8">
        <v>42.002000000000002</v>
      </c>
    </row>
    <row r="182" spans="1:29" ht="11.65" x14ac:dyDescent="0.35">
      <c r="A182" s="12">
        <v>165</v>
      </c>
      <c r="B182" s="10" t="s">
        <v>1015</v>
      </c>
      <c r="C182" s="36" t="s">
        <v>1038</v>
      </c>
      <c r="D182" s="9" t="s">
        <v>1039</v>
      </c>
      <c r="E182" s="9">
        <v>1503</v>
      </c>
      <c r="F182" s="10" t="s">
        <v>1040</v>
      </c>
      <c r="G182" s="9">
        <v>1802</v>
      </c>
      <c r="H182" s="9">
        <v>2020</v>
      </c>
      <c r="I182" s="8">
        <v>34857.396999999997</v>
      </c>
      <c r="J182" s="8">
        <v>36118.737000000001</v>
      </c>
      <c r="K182" s="8">
        <v>36718.489000000001</v>
      </c>
      <c r="L182" s="8">
        <v>36218.663999999997</v>
      </c>
      <c r="M182" s="8">
        <v>39023.843000000001</v>
      </c>
      <c r="N182" s="8">
        <v>43598.23</v>
      </c>
      <c r="O182" s="8">
        <v>44971.923000000003</v>
      </c>
      <c r="P182" s="8">
        <v>44861.008000000002</v>
      </c>
      <c r="Q182" s="8">
        <v>44133.783000000003</v>
      </c>
      <c r="R182" s="8">
        <v>44149.822999999997</v>
      </c>
      <c r="S182" s="8">
        <v>42955.851000000002</v>
      </c>
      <c r="T182" s="8">
        <v>41691.358999999997</v>
      </c>
      <c r="U182" s="8">
        <v>37449.824999999997</v>
      </c>
      <c r="V182" s="8">
        <v>32181.383999999998</v>
      </c>
      <c r="W182" s="8">
        <v>27246.334999999999</v>
      </c>
      <c r="X182" s="8">
        <v>18947.66</v>
      </c>
      <c r="Y182" s="8">
        <v>13084.468000000001</v>
      </c>
      <c r="Z182" s="8">
        <v>7213.0990000000002</v>
      </c>
      <c r="AA182" s="8">
        <v>2866.3629999999998</v>
      </c>
      <c r="AB182" s="8">
        <v>620.846</v>
      </c>
      <c r="AC182" s="8">
        <v>60.295000000000002</v>
      </c>
    </row>
    <row r="183" spans="1:29" ht="11.65" x14ac:dyDescent="0.35">
      <c r="A183" s="12">
        <v>166</v>
      </c>
      <c r="B183" s="10" t="s">
        <v>1015</v>
      </c>
      <c r="C183" s="36" t="s">
        <v>1041</v>
      </c>
      <c r="D183" s="9" t="s">
        <v>1039</v>
      </c>
      <c r="E183" s="9">
        <v>1517</v>
      </c>
      <c r="F183" s="10" t="s">
        <v>1040</v>
      </c>
      <c r="G183" s="9">
        <v>1802</v>
      </c>
      <c r="H183" s="9">
        <v>1950</v>
      </c>
      <c r="I183" s="8">
        <v>123235.527</v>
      </c>
      <c r="J183" s="8">
        <v>97570.928</v>
      </c>
      <c r="K183" s="8">
        <v>95831.172000000006</v>
      </c>
      <c r="L183" s="8">
        <v>86773.228000000003</v>
      </c>
      <c r="M183" s="8">
        <v>79187.972999999998</v>
      </c>
      <c r="N183" s="8">
        <v>66089.812000000005</v>
      </c>
      <c r="O183" s="8">
        <v>58614.186000000002</v>
      </c>
      <c r="P183" s="8">
        <v>54040.275999999998</v>
      </c>
      <c r="Q183" s="8">
        <v>47005.792000000001</v>
      </c>
      <c r="R183" s="8">
        <v>40047.538</v>
      </c>
      <c r="S183" s="8">
        <v>32851.447999999997</v>
      </c>
      <c r="T183" s="8">
        <v>26370.678</v>
      </c>
      <c r="U183" s="8">
        <v>20660.431</v>
      </c>
      <c r="V183" s="8">
        <v>14308.304</v>
      </c>
      <c r="W183" s="8">
        <v>8989.5509999999995</v>
      </c>
      <c r="X183" s="8">
        <v>4859.2629999999999</v>
      </c>
      <c r="Y183" s="8">
        <v>1875.5889999999999</v>
      </c>
      <c r="Z183" s="8">
        <v>578.57899999999995</v>
      </c>
      <c r="AA183" s="8">
        <v>144.52500000000001</v>
      </c>
      <c r="AB183" s="8">
        <v>31.738</v>
      </c>
      <c r="AC183" s="8">
        <v>6.6420000000000003</v>
      </c>
    </row>
    <row r="184" spans="1:29" ht="11.65" x14ac:dyDescent="0.35">
      <c r="A184" s="12">
        <v>167</v>
      </c>
      <c r="B184" s="10" t="s">
        <v>1015</v>
      </c>
      <c r="C184" s="36" t="s">
        <v>1041</v>
      </c>
      <c r="D184" s="9" t="s">
        <v>1039</v>
      </c>
      <c r="E184" s="9">
        <v>1517</v>
      </c>
      <c r="F184" s="10" t="s">
        <v>1040</v>
      </c>
      <c r="G184" s="9">
        <v>1802</v>
      </c>
      <c r="H184" s="9">
        <v>1955</v>
      </c>
      <c r="I184" s="8">
        <v>156236.61499999999</v>
      </c>
      <c r="J184" s="8">
        <v>113889.481</v>
      </c>
      <c r="K184" s="8">
        <v>94528.144</v>
      </c>
      <c r="L184" s="8">
        <v>93427.895999999993</v>
      </c>
      <c r="M184" s="8">
        <v>83980.106999999902</v>
      </c>
      <c r="N184" s="8">
        <v>76312.448000000004</v>
      </c>
      <c r="O184" s="8">
        <v>63433.536</v>
      </c>
      <c r="P184" s="8">
        <v>55890.317000000003</v>
      </c>
      <c r="Q184" s="8">
        <v>50950.364999999998</v>
      </c>
      <c r="R184" s="8">
        <v>43446.415000000001</v>
      </c>
      <c r="S184" s="8">
        <v>36097.855000000003</v>
      </c>
      <c r="T184" s="8">
        <v>28596.726999999999</v>
      </c>
      <c r="U184" s="8">
        <v>21493.955999999998</v>
      </c>
      <c r="V184" s="8">
        <v>15362.841</v>
      </c>
      <c r="W184" s="8">
        <v>9380.1540000000005</v>
      </c>
      <c r="X184" s="8">
        <v>4874.9920000000002</v>
      </c>
      <c r="Y184" s="8">
        <v>2033.3510000000001</v>
      </c>
      <c r="Z184" s="8">
        <v>548.74199999999996</v>
      </c>
      <c r="AA184" s="8">
        <v>113.72</v>
      </c>
      <c r="AB184" s="8">
        <v>19.242000000000001</v>
      </c>
      <c r="AC184" s="8">
        <v>3.2490000000000001</v>
      </c>
    </row>
    <row r="185" spans="1:29" ht="11.65" x14ac:dyDescent="0.35">
      <c r="A185" s="12">
        <v>168</v>
      </c>
      <c r="B185" s="10" t="s">
        <v>1015</v>
      </c>
      <c r="C185" s="36" t="s">
        <v>1041</v>
      </c>
      <c r="D185" s="9" t="s">
        <v>1039</v>
      </c>
      <c r="E185" s="9">
        <v>1517</v>
      </c>
      <c r="F185" s="10" t="s">
        <v>1040</v>
      </c>
      <c r="G185" s="9">
        <v>1802</v>
      </c>
      <c r="H185" s="9">
        <v>1960</v>
      </c>
      <c r="I185" s="8">
        <v>166057.272</v>
      </c>
      <c r="J185" s="8">
        <v>146104.277</v>
      </c>
      <c r="K185" s="8">
        <v>111149.21400000001</v>
      </c>
      <c r="L185" s="8">
        <v>92350.989000000001</v>
      </c>
      <c r="M185" s="8">
        <v>90702.456999999995</v>
      </c>
      <c r="N185" s="8">
        <v>81292.910999999993</v>
      </c>
      <c r="O185" s="8">
        <v>73624.960999999996</v>
      </c>
      <c r="P185" s="8">
        <v>60769.262999999999</v>
      </c>
      <c r="Q185" s="8">
        <v>52923.951000000001</v>
      </c>
      <c r="R185" s="8">
        <v>47415.404999999999</v>
      </c>
      <c r="S185" s="8">
        <v>39410.455000000002</v>
      </c>
      <c r="T185" s="8">
        <v>31413.460999999999</v>
      </c>
      <c r="U185" s="8">
        <v>23397.846000000001</v>
      </c>
      <c r="V185" s="8">
        <v>16080.824000000001</v>
      </c>
      <c r="W185" s="8">
        <v>10112.302</v>
      </c>
      <c r="X185" s="8">
        <v>5023.223</v>
      </c>
      <c r="Y185" s="8">
        <v>2030.662</v>
      </c>
      <c r="Z185" s="8">
        <v>597.36099999999999</v>
      </c>
      <c r="AA185" s="8">
        <v>110.328</v>
      </c>
      <c r="AB185" s="8">
        <v>16.488</v>
      </c>
      <c r="AC185" s="8">
        <v>2.1709999999999998</v>
      </c>
    </row>
    <row r="186" spans="1:29" ht="11.65" x14ac:dyDescent="0.35">
      <c r="A186" s="12">
        <v>169</v>
      </c>
      <c r="B186" s="10" t="s">
        <v>1015</v>
      </c>
      <c r="C186" s="36" t="s">
        <v>1041</v>
      </c>
      <c r="D186" s="9" t="s">
        <v>1039</v>
      </c>
      <c r="E186" s="9">
        <v>1517</v>
      </c>
      <c r="F186" s="10" t="s">
        <v>1040</v>
      </c>
      <c r="G186" s="9">
        <v>1802</v>
      </c>
      <c r="H186" s="9">
        <v>1965</v>
      </c>
      <c r="I186" s="8">
        <v>186872.34</v>
      </c>
      <c r="J186" s="8">
        <v>156178.01699999999</v>
      </c>
      <c r="K186" s="8">
        <v>142485.916</v>
      </c>
      <c r="L186" s="8">
        <v>108674.092</v>
      </c>
      <c r="M186" s="8">
        <v>89735.944000000003</v>
      </c>
      <c r="N186" s="8">
        <v>87937.107999999993</v>
      </c>
      <c r="O186" s="8">
        <v>78578.816000000006</v>
      </c>
      <c r="P186" s="8">
        <v>70811.313999999998</v>
      </c>
      <c r="Q186" s="8">
        <v>57798.273000000001</v>
      </c>
      <c r="R186" s="8">
        <v>49454.716999999997</v>
      </c>
      <c r="S186" s="8">
        <v>43288.411999999997</v>
      </c>
      <c r="T186" s="8">
        <v>34664.644</v>
      </c>
      <c r="U186" s="8">
        <v>26052.343000000001</v>
      </c>
      <c r="V186" s="8">
        <v>17902.834999999999</v>
      </c>
      <c r="W186" s="8">
        <v>10835.039000000001</v>
      </c>
      <c r="X186" s="8">
        <v>5771.8059999999996</v>
      </c>
      <c r="Y186" s="8">
        <v>2311.8420000000001</v>
      </c>
      <c r="Z186" s="8">
        <v>671.11900000000003</v>
      </c>
      <c r="AA186" s="8">
        <v>135.714</v>
      </c>
      <c r="AB186" s="8">
        <v>17.623999999999999</v>
      </c>
      <c r="AC186" s="8">
        <v>2.0350000000000001</v>
      </c>
    </row>
    <row r="187" spans="1:29" ht="11.65" x14ac:dyDescent="0.35">
      <c r="A187" s="12">
        <v>170</v>
      </c>
      <c r="B187" s="10" t="s">
        <v>1015</v>
      </c>
      <c r="C187" s="36" t="s">
        <v>1041</v>
      </c>
      <c r="D187" s="9" t="s">
        <v>1039</v>
      </c>
      <c r="E187" s="9">
        <v>1517</v>
      </c>
      <c r="F187" s="10" t="s">
        <v>1040</v>
      </c>
      <c r="G187" s="9">
        <v>1802</v>
      </c>
      <c r="H187" s="9">
        <v>1970</v>
      </c>
      <c r="I187" s="8">
        <v>207879.42199999999</v>
      </c>
      <c r="J187" s="8">
        <v>178086.467</v>
      </c>
      <c r="K187" s="8">
        <v>153688.837</v>
      </c>
      <c r="L187" s="8">
        <v>140160.70199999999</v>
      </c>
      <c r="M187" s="8">
        <v>106277.34699999999</v>
      </c>
      <c r="N187" s="8">
        <v>87453.179000000004</v>
      </c>
      <c r="O187" s="8">
        <v>85609.027000000002</v>
      </c>
      <c r="P187" s="8">
        <v>76132.769</v>
      </c>
      <c r="Q187" s="8">
        <v>68201.702999999994</v>
      </c>
      <c r="R187" s="8">
        <v>54926.131000000001</v>
      </c>
      <c r="S187" s="8">
        <v>46080.826999999997</v>
      </c>
      <c r="T187" s="8">
        <v>39344.661</v>
      </c>
      <c r="U187" s="8">
        <v>30022.186000000002</v>
      </c>
      <c r="V187" s="8">
        <v>20982.803</v>
      </c>
      <c r="W187" s="8">
        <v>13005.111000000001</v>
      </c>
      <c r="X187" s="8">
        <v>6770.1440000000002</v>
      </c>
      <c r="Y187" s="8">
        <v>2901.4229999999998</v>
      </c>
      <c r="Z187" s="8">
        <v>830.63699999999994</v>
      </c>
      <c r="AA187" s="8">
        <v>160.381</v>
      </c>
      <c r="AB187" s="8">
        <v>22.364999999999998</v>
      </c>
      <c r="AC187" s="8">
        <v>2.2290000000000001</v>
      </c>
    </row>
    <row r="188" spans="1:29" ht="11.65" x14ac:dyDescent="0.35">
      <c r="A188" s="12">
        <v>171</v>
      </c>
      <c r="B188" s="10" t="s">
        <v>1015</v>
      </c>
      <c r="C188" s="36" t="s">
        <v>1041</v>
      </c>
      <c r="D188" s="9" t="s">
        <v>1039</v>
      </c>
      <c r="E188" s="9">
        <v>1517</v>
      </c>
      <c r="F188" s="10" t="s">
        <v>1040</v>
      </c>
      <c r="G188" s="9">
        <v>1802</v>
      </c>
      <c r="H188" s="9">
        <v>1975</v>
      </c>
      <c r="I188" s="8">
        <v>217095.296</v>
      </c>
      <c r="J188" s="8">
        <v>199827.696</v>
      </c>
      <c r="K188" s="8">
        <v>175419.57699999999</v>
      </c>
      <c r="L188" s="8">
        <v>151060.106</v>
      </c>
      <c r="M188" s="8">
        <v>137098.272</v>
      </c>
      <c r="N188" s="8">
        <v>103989.37300000001</v>
      </c>
      <c r="O188" s="8">
        <v>85654.891000000003</v>
      </c>
      <c r="P188" s="8">
        <v>83642.248999999996</v>
      </c>
      <c r="Q188" s="8">
        <v>73901.051999999996</v>
      </c>
      <c r="R188" s="8">
        <v>65483.481</v>
      </c>
      <c r="S188" s="8">
        <v>51814.535000000003</v>
      </c>
      <c r="T188" s="8">
        <v>42250.048999999999</v>
      </c>
      <c r="U188" s="8">
        <v>34503.857000000004</v>
      </c>
      <c r="V188" s="8">
        <v>24549.062999999998</v>
      </c>
      <c r="W188" s="8">
        <v>15576.504000000001</v>
      </c>
      <c r="X188" s="8">
        <v>8294.6910000000007</v>
      </c>
      <c r="Y188" s="8">
        <v>3499.2959999999998</v>
      </c>
      <c r="Z188" s="8">
        <v>1062.1610000000001</v>
      </c>
      <c r="AA188" s="8">
        <v>204.62700000000001</v>
      </c>
      <c r="AB188" s="8">
        <v>27.187999999999999</v>
      </c>
      <c r="AC188" s="8">
        <v>2.8149999999999999</v>
      </c>
    </row>
    <row r="189" spans="1:29" ht="11.65" x14ac:dyDescent="0.35">
      <c r="A189" s="12">
        <v>172</v>
      </c>
      <c r="B189" s="10" t="s">
        <v>1015</v>
      </c>
      <c r="C189" s="36" t="s">
        <v>1041</v>
      </c>
      <c r="D189" s="9" t="s">
        <v>1039</v>
      </c>
      <c r="E189" s="9">
        <v>1517</v>
      </c>
      <c r="F189" s="10" t="s">
        <v>1040</v>
      </c>
      <c r="G189" s="9">
        <v>1802</v>
      </c>
      <c r="H189" s="9">
        <v>1980</v>
      </c>
      <c r="I189" s="8">
        <v>217811.77600000001</v>
      </c>
      <c r="J189" s="8">
        <v>210302.49900000001</v>
      </c>
      <c r="K189" s="8">
        <v>197470.04199999999</v>
      </c>
      <c r="L189" s="8">
        <v>173398.46900000001</v>
      </c>
      <c r="M189" s="8">
        <v>148684.67800000001</v>
      </c>
      <c r="N189" s="8">
        <v>134744.94200000001</v>
      </c>
      <c r="O189" s="8">
        <v>101972.97199999999</v>
      </c>
      <c r="P189" s="8">
        <v>83741.931999999899</v>
      </c>
      <c r="Q189" s="8">
        <v>81373.785999999993</v>
      </c>
      <c r="R189" s="8">
        <v>71168.540999999997</v>
      </c>
      <c r="S189" s="8">
        <v>62077.792999999998</v>
      </c>
      <c r="T189" s="8">
        <v>47935.756999999998</v>
      </c>
      <c r="U189" s="8">
        <v>37530.218999999997</v>
      </c>
      <c r="V189" s="8">
        <v>28743.286</v>
      </c>
      <c r="W189" s="8">
        <v>18580.733</v>
      </c>
      <c r="X189" s="8">
        <v>10164.048000000001</v>
      </c>
      <c r="Y189" s="8">
        <v>4316.0860000000002</v>
      </c>
      <c r="Z189" s="8">
        <v>1300.3520000000001</v>
      </c>
      <c r="AA189" s="8">
        <v>269.83999999999997</v>
      </c>
      <c r="AB189" s="8">
        <v>36.859000000000002</v>
      </c>
      <c r="AC189" s="8">
        <v>3.7709999999999999</v>
      </c>
    </row>
    <row r="190" spans="1:29" ht="11.65" x14ac:dyDescent="0.35">
      <c r="A190" s="12">
        <v>173</v>
      </c>
      <c r="B190" s="10" t="s">
        <v>1015</v>
      </c>
      <c r="C190" s="36" t="s">
        <v>1041</v>
      </c>
      <c r="D190" s="9" t="s">
        <v>1039</v>
      </c>
      <c r="E190" s="9">
        <v>1517</v>
      </c>
      <c r="F190" s="10" t="s">
        <v>1040</v>
      </c>
      <c r="G190" s="9">
        <v>1802</v>
      </c>
      <c r="H190" s="9">
        <v>1985</v>
      </c>
      <c r="I190" s="8">
        <v>236675.283</v>
      </c>
      <c r="J190" s="8">
        <v>212166.84099999999</v>
      </c>
      <c r="K190" s="8">
        <v>208228.91200000001</v>
      </c>
      <c r="L190" s="8">
        <v>195600.53200000001</v>
      </c>
      <c r="M190" s="8">
        <v>170882.99799999999</v>
      </c>
      <c r="N190" s="8">
        <v>146247.91399999999</v>
      </c>
      <c r="O190" s="8">
        <v>132540.71</v>
      </c>
      <c r="P190" s="8">
        <v>100090.344</v>
      </c>
      <c r="Q190" s="8">
        <v>81730.42</v>
      </c>
      <c r="R190" s="8">
        <v>78549.006999999998</v>
      </c>
      <c r="S190" s="8">
        <v>67668.987999999998</v>
      </c>
      <c r="T190" s="8">
        <v>57586.408000000003</v>
      </c>
      <c r="U190" s="8">
        <v>42792.976999999999</v>
      </c>
      <c r="V190" s="8">
        <v>31523.152999999998</v>
      </c>
      <c r="W190" s="8">
        <v>21991.406999999999</v>
      </c>
      <c r="X190" s="8">
        <v>12274.255999999999</v>
      </c>
      <c r="Y190" s="8">
        <v>5375.8280000000004</v>
      </c>
      <c r="Z190" s="8">
        <v>1640.4770000000001</v>
      </c>
      <c r="AA190" s="8">
        <v>339.41800000000001</v>
      </c>
      <c r="AB190" s="8">
        <v>49.543999999999997</v>
      </c>
      <c r="AC190" s="8">
        <v>5.1589999999999998</v>
      </c>
    </row>
    <row r="191" spans="1:29" ht="11.65" x14ac:dyDescent="0.35">
      <c r="A191" s="12">
        <v>174</v>
      </c>
      <c r="B191" s="10" t="s">
        <v>1015</v>
      </c>
      <c r="C191" s="36" t="s">
        <v>1041</v>
      </c>
      <c r="D191" s="9" t="s">
        <v>1039</v>
      </c>
      <c r="E191" s="9">
        <v>1517</v>
      </c>
      <c r="F191" s="10" t="s">
        <v>1040</v>
      </c>
      <c r="G191" s="9">
        <v>1802</v>
      </c>
      <c r="H191" s="9">
        <v>1990</v>
      </c>
      <c r="I191" s="8">
        <v>261368.80499999999</v>
      </c>
      <c r="J191" s="8">
        <v>231195.959</v>
      </c>
      <c r="K191" s="8">
        <v>210372.00099999999</v>
      </c>
      <c r="L191" s="8">
        <v>206170.27600000001</v>
      </c>
      <c r="M191" s="8">
        <v>192473.54300000001</v>
      </c>
      <c r="N191" s="8">
        <v>167834.62899999999</v>
      </c>
      <c r="O191" s="8">
        <v>143792.34099999999</v>
      </c>
      <c r="P191" s="8">
        <v>130340.363</v>
      </c>
      <c r="Q191" s="8">
        <v>97895.601999999999</v>
      </c>
      <c r="R191" s="8">
        <v>79211.595000000001</v>
      </c>
      <c r="S191" s="8">
        <v>75002.785999999905</v>
      </c>
      <c r="T191" s="8">
        <v>63266.614999999998</v>
      </c>
      <c r="U191" s="8">
        <v>51803.021000000001</v>
      </c>
      <c r="V191" s="8">
        <v>36305.972000000002</v>
      </c>
      <c r="W191" s="8">
        <v>24517.178</v>
      </c>
      <c r="X191" s="8">
        <v>14770.134</v>
      </c>
      <c r="Y191" s="8">
        <v>6596.2</v>
      </c>
      <c r="Z191" s="8">
        <v>2105.8809999999999</v>
      </c>
      <c r="AA191" s="8">
        <v>441.02300000000002</v>
      </c>
      <c r="AB191" s="8">
        <v>64.141000000000005</v>
      </c>
      <c r="AC191" s="8">
        <v>7.0869999999999997</v>
      </c>
    </row>
    <row r="192" spans="1:29" ht="11.65" x14ac:dyDescent="0.35">
      <c r="A192" s="12">
        <v>175</v>
      </c>
      <c r="B192" s="10" t="s">
        <v>1015</v>
      </c>
      <c r="C192" s="36" t="s">
        <v>1041</v>
      </c>
      <c r="D192" s="9" t="s">
        <v>1039</v>
      </c>
      <c r="E192" s="9">
        <v>1517</v>
      </c>
      <c r="F192" s="10" t="s">
        <v>1040</v>
      </c>
      <c r="G192" s="9">
        <v>1802</v>
      </c>
      <c r="H192" s="9">
        <v>1995</v>
      </c>
      <c r="I192" s="8">
        <v>246568.24</v>
      </c>
      <c r="J192" s="8">
        <v>256153.50899999999</v>
      </c>
      <c r="K192" s="8">
        <v>229160.97</v>
      </c>
      <c r="L192" s="8">
        <v>207688.70499999999</v>
      </c>
      <c r="M192" s="8">
        <v>202173.95499999999</v>
      </c>
      <c r="N192" s="8">
        <v>188725.06299999999</v>
      </c>
      <c r="O192" s="8">
        <v>164761.61799999999</v>
      </c>
      <c r="P192" s="8">
        <v>140931.78899999999</v>
      </c>
      <c r="Q192" s="8">
        <v>127306.943</v>
      </c>
      <c r="R192" s="8">
        <v>94776.570000000094</v>
      </c>
      <c r="S192" s="8">
        <v>75610.623000000007</v>
      </c>
      <c r="T192" s="8">
        <v>69820.186000000002</v>
      </c>
      <c r="U192" s="8">
        <v>56902.114999999998</v>
      </c>
      <c r="V192" s="8">
        <v>43872.898999999998</v>
      </c>
      <c r="W192" s="8">
        <v>28139.72</v>
      </c>
      <c r="X192" s="8">
        <v>16572.608</v>
      </c>
      <c r="Y192" s="8">
        <v>8140.643</v>
      </c>
      <c r="Z192" s="8">
        <v>2665.502</v>
      </c>
      <c r="AA192" s="8">
        <v>577.87699999999995</v>
      </c>
      <c r="AB192" s="8">
        <v>83.933000000000007</v>
      </c>
      <c r="AC192" s="8">
        <v>9.1259999999999994</v>
      </c>
    </row>
    <row r="193" spans="1:29" ht="11.65" x14ac:dyDescent="0.35">
      <c r="A193" s="12">
        <v>176</v>
      </c>
      <c r="B193" s="10" t="s">
        <v>1015</v>
      </c>
      <c r="C193" s="36" t="s">
        <v>1041</v>
      </c>
      <c r="D193" s="9" t="s">
        <v>1039</v>
      </c>
      <c r="E193" s="9">
        <v>1517</v>
      </c>
      <c r="F193" s="10" t="s">
        <v>1040</v>
      </c>
      <c r="G193" s="9">
        <v>1802</v>
      </c>
      <c r="H193" s="9">
        <v>2000</v>
      </c>
      <c r="I193" s="8">
        <v>242023.42800000001</v>
      </c>
      <c r="J193" s="8">
        <v>242097.22899999999</v>
      </c>
      <c r="K193" s="8">
        <v>254093.065</v>
      </c>
      <c r="L193" s="8">
        <v>226811.859</v>
      </c>
      <c r="M193" s="8">
        <v>203895.17499999999</v>
      </c>
      <c r="N193" s="8">
        <v>198221.58300000001</v>
      </c>
      <c r="O193" s="8">
        <v>185340.11</v>
      </c>
      <c r="P193" s="8">
        <v>161762.20000000001</v>
      </c>
      <c r="Q193" s="8">
        <v>137803.842</v>
      </c>
      <c r="R193" s="8">
        <v>123620.088</v>
      </c>
      <c r="S193" s="8">
        <v>90615.997000000003</v>
      </c>
      <c r="T193" s="8">
        <v>70697.058999999994</v>
      </c>
      <c r="U193" s="8">
        <v>63034.288</v>
      </c>
      <c r="V193" s="8">
        <v>48638.411999999997</v>
      </c>
      <c r="W193" s="8">
        <v>34244.686999999998</v>
      </c>
      <c r="X193" s="8">
        <v>19249.883000000002</v>
      </c>
      <c r="Y193" s="8">
        <v>9293.8110000000106</v>
      </c>
      <c r="Z193" s="8">
        <v>3426.63</v>
      </c>
      <c r="AA193" s="8">
        <v>771.42700000000002</v>
      </c>
      <c r="AB193" s="8">
        <v>117.492</v>
      </c>
      <c r="AC193" s="8">
        <v>12.374000000000001</v>
      </c>
    </row>
    <row r="194" spans="1:29" ht="11.65" x14ac:dyDescent="0.35">
      <c r="A194" s="12">
        <v>177</v>
      </c>
      <c r="B194" s="10" t="s">
        <v>1015</v>
      </c>
      <c r="C194" s="36" t="s">
        <v>1041</v>
      </c>
      <c r="D194" s="9" t="s">
        <v>1039</v>
      </c>
      <c r="E194" s="9">
        <v>1517</v>
      </c>
      <c r="F194" s="10" t="s">
        <v>1040</v>
      </c>
      <c r="G194" s="9">
        <v>1802</v>
      </c>
      <c r="H194" s="9">
        <v>2005</v>
      </c>
      <c r="I194" s="8">
        <v>243868.81299999999</v>
      </c>
      <c r="J194" s="8">
        <v>238913.19</v>
      </c>
      <c r="K194" s="8">
        <v>240773.71400000001</v>
      </c>
      <c r="L194" s="8">
        <v>251292.43700000001</v>
      </c>
      <c r="M194" s="8">
        <v>222056.40900000001</v>
      </c>
      <c r="N194" s="8">
        <v>199488.35699999999</v>
      </c>
      <c r="O194" s="8">
        <v>194220.68400000001</v>
      </c>
      <c r="P194" s="8">
        <v>181728.05799999999</v>
      </c>
      <c r="Q194" s="8">
        <v>157979.41</v>
      </c>
      <c r="R194" s="8">
        <v>133229.13200000001</v>
      </c>
      <c r="S194" s="8">
        <v>118295.412</v>
      </c>
      <c r="T194" s="8">
        <v>85526.673999999999</v>
      </c>
      <c r="U194" s="8">
        <v>64444.614000000001</v>
      </c>
      <c r="V194" s="8">
        <v>54212.453000000001</v>
      </c>
      <c r="W194" s="8">
        <v>38531.540999999997</v>
      </c>
      <c r="X194" s="8">
        <v>23652.217000000001</v>
      </c>
      <c r="Y194" s="8">
        <v>11091.144</v>
      </c>
      <c r="Z194" s="8">
        <v>4065.1840000000002</v>
      </c>
      <c r="AA194" s="8">
        <v>1034.414</v>
      </c>
      <c r="AB194" s="8">
        <v>163.74600000000001</v>
      </c>
      <c r="AC194" s="8">
        <v>18.335000000000001</v>
      </c>
    </row>
    <row r="195" spans="1:29" ht="11.65" x14ac:dyDescent="0.35">
      <c r="A195" s="12">
        <v>178</v>
      </c>
      <c r="B195" s="10" t="s">
        <v>1015</v>
      </c>
      <c r="C195" s="36" t="s">
        <v>1041</v>
      </c>
      <c r="D195" s="9" t="s">
        <v>1039</v>
      </c>
      <c r="E195" s="9">
        <v>1517</v>
      </c>
      <c r="F195" s="10" t="s">
        <v>1040</v>
      </c>
      <c r="G195" s="9">
        <v>1802</v>
      </c>
      <c r="H195" s="9">
        <v>2010</v>
      </c>
      <c r="I195" s="8">
        <v>250109.80600000001</v>
      </c>
      <c r="J195" s="8">
        <v>241088.851</v>
      </c>
      <c r="K195" s="8">
        <v>237392.98499999999</v>
      </c>
      <c r="L195" s="8">
        <v>238088.61300000001</v>
      </c>
      <c r="M195" s="8">
        <v>245966.08100000001</v>
      </c>
      <c r="N195" s="8">
        <v>217565</v>
      </c>
      <c r="O195" s="8">
        <v>195187.236</v>
      </c>
      <c r="P195" s="8">
        <v>190651.804</v>
      </c>
      <c r="Q195" s="8">
        <v>177820.15299999999</v>
      </c>
      <c r="R195" s="8">
        <v>153950.59099999999</v>
      </c>
      <c r="S195" s="8">
        <v>128320.23699999999</v>
      </c>
      <c r="T195" s="8">
        <v>111874.226</v>
      </c>
      <c r="U195" s="8">
        <v>77844.34</v>
      </c>
      <c r="V195" s="8">
        <v>56224.080999999998</v>
      </c>
      <c r="W195" s="8">
        <v>43587.309000000001</v>
      </c>
      <c r="X195" s="8">
        <v>27085.947</v>
      </c>
      <c r="Y195" s="8">
        <v>14067.983</v>
      </c>
      <c r="Z195" s="8">
        <v>5038.6270000000004</v>
      </c>
      <c r="AA195" s="8">
        <v>1289.346</v>
      </c>
      <c r="AB195" s="8">
        <v>232.267</v>
      </c>
      <c r="AC195" s="8">
        <v>27.231999999999999</v>
      </c>
    </row>
    <row r="196" spans="1:29" ht="11.65" x14ac:dyDescent="0.35">
      <c r="A196" s="12">
        <v>179</v>
      </c>
      <c r="B196" s="10" t="s">
        <v>1015</v>
      </c>
      <c r="C196" s="36" t="s">
        <v>1041</v>
      </c>
      <c r="D196" s="9" t="s">
        <v>1039</v>
      </c>
      <c r="E196" s="9">
        <v>1517</v>
      </c>
      <c r="F196" s="10" t="s">
        <v>1040</v>
      </c>
      <c r="G196" s="9">
        <v>1802</v>
      </c>
      <c r="H196" s="9">
        <v>2015</v>
      </c>
      <c r="I196" s="8">
        <v>255105.625</v>
      </c>
      <c r="J196" s="8">
        <v>247851.16</v>
      </c>
      <c r="K196" s="8">
        <v>239893.405</v>
      </c>
      <c r="L196" s="8">
        <v>235739.42499999999</v>
      </c>
      <c r="M196" s="8">
        <v>235092.47500000001</v>
      </c>
      <c r="N196" s="8">
        <v>242255.93299999999</v>
      </c>
      <c r="O196" s="8">
        <v>214149.32800000001</v>
      </c>
      <c r="P196" s="8">
        <v>191898.04300000001</v>
      </c>
      <c r="Q196" s="8">
        <v>187256.83900000001</v>
      </c>
      <c r="R196" s="8">
        <v>173766.005</v>
      </c>
      <c r="S196" s="8">
        <v>148735.37100000001</v>
      </c>
      <c r="T196" s="8">
        <v>121751.11599999999</v>
      </c>
      <c r="U196" s="8">
        <v>103282.092</v>
      </c>
      <c r="V196" s="8">
        <v>68514.365999999995</v>
      </c>
      <c r="W196" s="8">
        <v>45902.391000000003</v>
      </c>
      <c r="X196" s="8">
        <v>31429.49</v>
      </c>
      <c r="Y196" s="8">
        <v>16600.775000000001</v>
      </c>
      <c r="Z196" s="8">
        <v>6667.7889999999998</v>
      </c>
      <c r="AA196" s="8">
        <v>1710.633</v>
      </c>
      <c r="AB196" s="8">
        <v>314.53100000000001</v>
      </c>
      <c r="AC196" s="8">
        <v>42.155000000000001</v>
      </c>
    </row>
    <row r="197" spans="1:29" ht="11.65" x14ac:dyDescent="0.35">
      <c r="A197" s="12">
        <v>180</v>
      </c>
      <c r="B197" s="10" t="s">
        <v>1015</v>
      </c>
      <c r="C197" s="36" t="s">
        <v>1041</v>
      </c>
      <c r="D197" s="9" t="s">
        <v>1039</v>
      </c>
      <c r="E197" s="9">
        <v>1517</v>
      </c>
      <c r="F197" s="10" t="s">
        <v>1040</v>
      </c>
      <c r="G197" s="9">
        <v>1802</v>
      </c>
      <c r="H197" s="9">
        <v>2020</v>
      </c>
      <c r="I197" s="8">
        <v>254505.226</v>
      </c>
      <c r="J197" s="8">
        <v>252755.31599999999</v>
      </c>
      <c r="K197" s="8">
        <v>246372.57800000001</v>
      </c>
      <c r="L197" s="8">
        <v>237954.97399999999</v>
      </c>
      <c r="M197" s="8">
        <v>232716.27100000001</v>
      </c>
      <c r="N197" s="8">
        <v>231866.435</v>
      </c>
      <c r="O197" s="8">
        <v>239123.66200000001</v>
      </c>
      <c r="P197" s="8">
        <v>210947.93700000001</v>
      </c>
      <c r="Q197" s="8">
        <v>188543.67199999999</v>
      </c>
      <c r="R197" s="8">
        <v>183181.41099999999</v>
      </c>
      <c r="S197" s="8">
        <v>168471.397</v>
      </c>
      <c r="T197" s="8">
        <v>141813.37899999999</v>
      </c>
      <c r="U197" s="8">
        <v>112917.356</v>
      </c>
      <c r="V197" s="8">
        <v>91984.274000000005</v>
      </c>
      <c r="W197" s="8">
        <v>56696.644999999997</v>
      </c>
      <c r="X197" s="8">
        <v>33854.394999999997</v>
      </c>
      <c r="Y197" s="8">
        <v>19663.821</v>
      </c>
      <c r="Z197" s="8">
        <v>8240.0439999999999</v>
      </c>
      <c r="AA197" s="8">
        <v>2395.9090000000001</v>
      </c>
      <c r="AB197" s="8">
        <v>448.69</v>
      </c>
      <c r="AC197" s="8">
        <v>63.137999999999998</v>
      </c>
    </row>
    <row r="198" spans="1:29" ht="11.65" x14ac:dyDescent="0.35">
      <c r="A198" s="12">
        <v>181</v>
      </c>
      <c r="B198" s="10" t="s">
        <v>1015</v>
      </c>
      <c r="C198" s="30" t="s">
        <v>1042</v>
      </c>
      <c r="D198" s="9" t="s">
        <v>1039</v>
      </c>
      <c r="E198" s="9">
        <v>1502</v>
      </c>
      <c r="F198" s="10" t="s">
        <v>1040</v>
      </c>
      <c r="G198" s="9">
        <v>1517</v>
      </c>
      <c r="H198" s="9">
        <v>1950</v>
      </c>
      <c r="I198" s="8">
        <v>67007.451000000001</v>
      </c>
      <c r="J198" s="8">
        <v>51259.563000000002</v>
      </c>
      <c r="K198" s="8">
        <v>52207.961000000003</v>
      </c>
      <c r="L198" s="8">
        <v>47333.086000000003</v>
      </c>
      <c r="M198" s="8">
        <v>43459.616000000002</v>
      </c>
      <c r="N198" s="8">
        <v>35457.735999999997</v>
      </c>
      <c r="O198" s="8">
        <v>32166.023000000001</v>
      </c>
      <c r="P198" s="8">
        <v>30364.069</v>
      </c>
      <c r="Q198" s="8">
        <v>26333.96</v>
      </c>
      <c r="R198" s="8">
        <v>23010.731</v>
      </c>
      <c r="S198" s="8">
        <v>18743.321</v>
      </c>
      <c r="T198" s="8">
        <v>15725.121999999999</v>
      </c>
      <c r="U198" s="8">
        <v>12072.673000000001</v>
      </c>
      <c r="V198" s="8">
        <v>8638.6260000000002</v>
      </c>
      <c r="W198" s="8">
        <v>4922.4269999999997</v>
      </c>
      <c r="X198" s="8">
        <v>2513.6950000000002</v>
      </c>
      <c r="Y198" s="8">
        <v>853.077</v>
      </c>
      <c r="Z198" s="8">
        <v>250.90600000000001</v>
      </c>
      <c r="AA198" s="8">
        <v>72.956999999999994</v>
      </c>
      <c r="AB198" s="8">
        <v>20.481000000000002</v>
      </c>
      <c r="AC198" s="8">
        <v>6.2880000000000003</v>
      </c>
    </row>
    <row r="199" spans="1:29" ht="11.65" x14ac:dyDescent="0.35">
      <c r="A199" s="12">
        <v>182</v>
      </c>
      <c r="B199" s="10" t="s">
        <v>1015</v>
      </c>
      <c r="C199" s="30" t="s">
        <v>1042</v>
      </c>
      <c r="D199" s="9" t="s">
        <v>1039</v>
      </c>
      <c r="E199" s="9">
        <v>1502</v>
      </c>
      <c r="F199" s="10" t="s">
        <v>1040</v>
      </c>
      <c r="G199" s="9">
        <v>1517</v>
      </c>
      <c r="H199" s="9">
        <v>1955</v>
      </c>
      <c r="I199" s="8">
        <v>87021.61</v>
      </c>
      <c r="J199" s="8">
        <v>62443.877999999997</v>
      </c>
      <c r="K199" s="8">
        <v>49709.957000000002</v>
      </c>
      <c r="L199" s="8">
        <v>51038.324999999997</v>
      </c>
      <c r="M199" s="8">
        <v>46037.883000000002</v>
      </c>
      <c r="N199" s="8">
        <v>42176.137999999999</v>
      </c>
      <c r="O199" s="8">
        <v>34292.487999999998</v>
      </c>
      <c r="P199" s="8">
        <v>30909.608</v>
      </c>
      <c r="Q199" s="8">
        <v>28788.504000000001</v>
      </c>
      <c r="R199" s="8">
        <v>24380.467000000001</v>
      </c>
      <c r="S199" s="8">
        <v>20736.47</v>
      </c>
      <c r="T199" s="8">
        <v>16295.088</v>
      </c>
      <c r="U199" s="8">
        <v>12666.091</v>
      </c>
      <c r="V199" s="8">
        <v>8794.9539999999997</v>
      </c>
      <c r="W199" s="8">
        <v>5507.5640000000003</v>
      </c>
      <c r="X199" s="8">
        <v>2548.5219999999999</v>
      </c>
      <c r="Y199" s="8">
        <v>1006.164</v>
      </c>
      <c r="Z199" s="8">
        <v>253.98</v>
      </c>
      <c r="AA199" s="8">
        <v>55.625</v>
      </c>
      <c r="AB199" s="8">
        <v>10.554</v>
      </c>
      <c r="AC199" s="8">
        <v>2.286</v>
      </c>
    </row>
    <row r="200" spans="1:29" ht="11.65" x14ac:dyDescent="0.35">
      <c r="A200" s="12">
        <v>183</v>
      </c>
      <c r="B200" s="10" t="s">
        <v>1015</v>
      </c>
      <c r="C200" s="30" t="s">
        <v>1042</v>
      </c>
      <c r="D200" s="9" t="s">
        <v>1039</v>
      </c>
      <c r="E200" s="9">
        <v>1502</v>
      </c>
      <c r="F200" s="10" t="s">
        <v>1040</v>
      </c>
      <c r="G200" s="9">
        <v>1517</v>
      </c>
      <c r="H200" s="9">
        <v>1960</v>
      </c>
      <c r="I200" s="8">
        <v>87464.998999999996</v>
      </c>
      <c r="J200" s="8">
        <v>81782.077000000005</v>
      </c>
      <c r="K200" s="8">
        <v>60911.966999999997</v>
      </c>
      <c r="L200" s="8">
        <v>48660.57</v>
      </c>
      <c r="M200" s="8">
        <v>49670.370999999999</v>
      </c>
      <c r="N200" s="8">
        <v>44772.527000000002</v>
      </c>
      <c r="O200" s="8">
        <v>40938.019</v>
      </c>
      <c r="P200" s="8">
        <v>32951.076000000001</v>
      </c>
      <c r="Q200" s="8">
        <v>29330.091</v>
      </c>
      <c r="R200" s="8">
        <v>26916.197</v>
      </c>
      <c r="S200" s="8">
        <v>22114.734</v>
      </c>
      <c r="T200" s="8">
        <v>17890.125</v>
      </c>
      <c r="U200" s="8">
        <v>13068.695</v>
      </c>
      <c r="V200" s="8">
        <v>9203.1250000000091</v>
      </c>
      <c r="W200" s="8">
        <v>5535.2820000000002</v>
      </c>
      <c r="X200" s="8">
        <v>2734.636</v>
      </c>
      <c r="Y200" s="8">
        <v>991.00199999999995</v>
      </c>
      <c r="Z200" s="8">
        <v>282.435</v>
      </c>
      <c r="AA200" s="8">
        <v>52.677999999999997</v>
      </c>
      <c r="AB200" s="8">
        <v>8.5540000000000003</v>
      </c>
      <c r="AC200" s="8">
        <v>1.2849999999999999</v>
      </c>
    </row>
    <row r="201" spans="1:29" ht="11.65" x14ac:dyDescent="0.35">
      <c r="A201" s="12">
        <v>184</v>
      </c>
      <c r="B201" s="10" t="s">
        <v>1015</v>
      </c>
      <c r="C201" s="30" t="s">
        <v>1042</v>
      </c>
      <c r="D201" s="9" t="s">
        <v>1039</v>
      </c>
      <c r="E201" s="9">
        <v>1502</v>
      </c>
      <c r="F201" s="10" t="s">
        <v>1040</v>
      </c>
      <c r="G201" s="9">
        <v>1517</v>
      </c>
      <c r="H201" s="9">
        <v>1965</v>
      </c>
      <c r="I201" s="8">
        <v>99113.407000000007</v>
      </c>
      <c r="J201" s="8">
        <v>82523.982000000004</v>
      </c>
      <c r="K201" s="8">
        <v>79726.726999999999</v>
      </c>
      <c r="L201" s="8">
        <v>59608.034</v>
      </c>
      <c r="M201" s="8">
        <v>47339.472999999998</v>
      </c>
      <c r="N201" s="8">
        <v>48209.928999999996</v>
      </c>
      <c r="O201" s="8">
        <v>43350.974000000002</v>
      </c>
      <c r="P201" s="8">
        <v>39465.921000000002</v>
      </c>
      <c r="Q201" s="8">
        <v>31382.616000000002</v>
      </c>
      <c r="R201" s="8">
        <v>27368.655999999999</v>
      </c>
      <c r="S201" s="8">
        <v>24473.428</v>
      </c>
      <c r="T201" s="8">
        <v>19214.744999999999</v>
      </c>
      <c r="U201" s="8">
        <v>14514.41</v>
      </c>
      <c r="V201" s="8">
        <v>9713.2540000000008</v>
      </c>
      <c r="W201" s="8">
        <v>5932.6750000000002</v>
      </c>
      <c r="X201" s="8">
        <v>2983.2860000000001</v>
      </c>
      <c r="Y201" s="8">
        <v>1203.915</v>
      </c>
      <c r="Z201" s="8">
        <v>339.15800000000002</v>
      </c>
      <c r="AA201" s="8">
        <v>70.647999999999996</v>
      </c>
      <c r="AB201" s="8">
        <v>9.1959999999999997</v>
      </c>
      <c r="AC201" s="8">
        <v>1.161</v>
      </c>
    </row>
    <row r="202" spans="1:29" ht="11.65" x14ac:dyDescent="0.35">
      <c r="A202" s="12">
        <v>185</v>
      </c>
      <c r="B202" s="10" t="s">
        <v>1015</v>
      </c>
      <c r="C202" s="30" t="s">
        <v>1042</v>
      </c>
      <c r="D202" s="9" t="s">
        <v>1039</v>
      </c>
      <c r="E202" s="9">
        <v>1502</v>
      </c>
      <c r="F202" s="10" t="s">
        <v>1040</v>
      </c>
      <c r="G202" s="9">
        <v>1517</v>
      </c>
      <c r="H202" s="9">
        <v>1970</v>
      </c>
      <c r="I202" s="8">
        <v>111638.947</v>
      </c>
      <c r="J202" s="8">
        <v>95208.79</v>
      </c>
      <c r="K202" s="8">
        <v>81454.539999999994</v>
      </c>
      <c r="L202" s="8">
        <v>78704.854999999996</v>
      </c>
      <c r="M202" s="8">
        <v>58582.345000000001</v>
      </c>
      <c r="N202" s="8">
        <v>46372.773999999998</v>
      </c>
      <c r="O202" s="8">
        <v>47124.864999999998</v>
      </c>
      <c r="P202" s="8">
        <v>42219.035000000003</v>
      </c>
      <c r="Q202" s="8">
        <v>38159.171000000002</v>
      </c>
      <c r="R202" s="8">
        <v>30026.904999999999</v>
      </c>
      <c r="S202" s="8">
        <v>25740.462</v>
      </c>
      <c r="T202" s="8">
        <v>22386.264999999999</v>
      </c>
      <c r="U202" s="8">
        <v>16700.199000000001</v>
      </c>
      <c r="V202" s="8">
        <v>11691.865</v>
      </c>
      <c r="W202" s="8">
        <v>7086.8779999999997</v>
      </c>
      <c r="X202" s="8">
        <v>3729.0410000000002</v>
      </c>
      <c r="Y202" s="8">
        <v>1526.345</v>
      </c>
      <c r="Z202" s="8">
        <v>455.37799999999999</v>
      </c>
      <c r="AA202" s="8">
        <v>89.683999999999997</v>
      </c>
      <c r="AB202" s="8">
        <v>12.432</v>
      </c>
      <c r="AC202" s="8">
        <v>1.262</v>
      </c>
    </row>
    <row r="203" spans="1:29" ht="11.65" x14ac:dyDescent="0.35">
      <c r="A203" s="12">
        <v>186</v>
      </c>
      <c r="B203" s="10" t="s">
        <v>1015</v>
      </c>
      <c r="C203" s="30" t="s">
        <v>1042</v>
      </c>
      <c r="D203" s="9" t="s">
        <v>1039</v>
      </c>
      <c r="E203" s="9">
        <v>1502</v>
      </c>
      <c r="F203" s="10" t="s">
        <v>1040</v>
      </c>
      <c r="G203" s="9">
        <v>1517</v>
      </c>
      <c r="H203" s="9">
        <v>1975</v>
      </c>
      <c r="I203" s="8">
        <v>111232.77099999999</v>
      </c>
      <c r="J203" s="8">
        <v>108678.398</v>
      </c>
      <c r="K203" s="8">
        <v>94083.19</v>
      </c>
      <c r="L203" s="8">
        <v>80425.875</v>
      </c>
      <c r="M203" s="8">
        <v>77494.717000000004</v>
      </c>
      <c r="N203" s="8">
        <v>57533.237000000001</v>
      </c>
      <c r="O203" s="8">
        <v>45509.953000000001</v>
      </c>
      <c r="P203" s="8">
        <v>46160.09</v>
      </c>
      <c r="Q203" s="8">
        <v>41167.767</v>
      </c>
      <c r="R203" s="8">
        <v>36835.678</v>
      </c>
      <c r="S203" s="8">
        <v>28535.108</v>
      </c>
      <c r="T203" s="8">
        <v>23789.742999999999</v>
      </c>
      <c r="U203" s="8">
        <v>19785.838</v>
      </c>
      <c r="V203" s="8">
        <v>13778.01</v>
      </c>
      <c r="W203" s="8">
        <v>8784.0480000000007</v>
      </c>
      <c r="X203" s="8">
        <v>4576.3010000000004</v>
      </c>
      <c r="Y203" s="8">
        <v>1956.798</v>
      </c>
      <c r="Z203" s="8">
        <v>583.94399999999996</v>
      </c>
      <c r="AA203" s="8">
        <v>121.28100000000001</v>
      </c>
      <c r="AB203" s="8">
        <v>16.265000000000001</v>
      </c>
      <c r="AC203" s="8">
        <v>1.631</v>
      </c>
    </row>
    <row r="204" spans="1:29" ht="11.65" x14ac:dyDescent="0.35">
      <c r="A204" s="12">
        <v>187</v>
      </c>
      <c r="B204" s="10" t="s">
        <v>1015</v>
      </c>
      <c r="C204" s="30" t="s">
        <v>1042</v>
      </c>
      <c r="D204" s="9" t="s">
        <v>1039</v>
      </c>
      <c r="E204" s="9">
        <v>1502</v>
      </c>
      <c r="F204" s="10" t="s">
        <v>1040</v>
      </c>
      <c r="G204" s="9">
        <v>1517</v>
      </c>
      <c r="H204" s="9">
        <v>1980</v>
      </c>
      <c r="I204" s="8">
        <v>100873.11</v>
      </c>
      <c r="J204" s="8">
        <v>109118.442</v>
      </c>
      <c r="K204" s="8">
        <v>107701.23299999999</v>
      </c>
      <c r="L204" s="8">
        <v>93228.445999999894</v>
      </c>
      <c r="M204" s="8">
        <v>79545.934999999998</v>
      </c>
      <c r="N204" s="8">
        <v>76524.293000000005</v>
      </c>
      <c r="O204" s="8">
        <v>56659.985999999997</v>
      </c>
      <c r="P204" s="8">
        <v>44657.203999999998</v>
      </c>
      <c r="Q204" s="8">
        <v>45096.644999999997</v>
      </c>
      <c r="R204" s="8">
        <v>39905.440000000002</v>
      </c>
      <c r="S204" s="8">
        <v>35203.620999999999</v>
      </c>
      <c r="T204" s="8">
        <v>26709.332999999999</v>
      </c>
      <c r="U204" s="8">
        <v>21443.994999999999</v>
      </c>
      <c r="V204" s="8">
        <v>16733.308000000001</v>
      </c>
      <c r="W204" s="8">
        <v>10596.539000000001</v>
      </c>
      <c r="X204" s="8">
        <v>5794.1660000000002</v>
      </c>
      <c r="Y204" s="8">
        <v>2379.8000000000002</v>
      </c>
      <c r="Z204" s="8">
        <v>743.30899999999997</v>
      </c>
      <c r="AA204" s="8">
        <v>158.995</v>
      </c>
      <c r="AB204" s="8">
        <v>23.042999999999999</v>
      </c>
      <c r="AC204" s="8">
        <v>2.3109999999999999</v>
      </c>
    </row>
    <row r="205" spans="1:29" ht="11.65" x14ac:dyDescent="0.35">
      <c r="A205" s="12">
        <v>188</v>
      </c>
      <c r="B205" s="10" t="s">
        <v>1015</v>
      </c>
      <c r="C205" s="30" t="s">
        <v>1042</v>
      </c>
      <c r="D205" s="9" t="s">
        <v>1039</v>
      </c>
      <c r="E205" s="9">
        <v>1502</v>
      </c>
      <c r="F205" s="10" t="s">
        <v>1040</v>
      </c>
      <c r="G205" s="9">
        <v>1517</v>
      </c>
      <c r="H205" s="9">
        <v>1985</v>
      </c>
      <c r="I205" s="8">
        <v>106137.19</v>
      </c>
      <c r="J205" s="8">
        <v>99510.497000000003</v>
      </c>
      <c r="K205" s="8">
        <v>108340.72100000001</v>
      </c>
      <c r="L205" s="8">
        <v>106888.747</v>
      </c>
      <c r="M205" s="8">
        <v>92095.372000000003</v>
      </c>
      <c r="N205" s="8">
        <v>78387.6700000001</v>
      </c>
      <c r="O205" s="8">
        <v>75373.388000000006</v>
      </c>
      <c r="P205" s="8">
        <v>55703.076000000001</v>
      </c>
      <c r="Q205" s="8">
        <v>43794.838000000003</v>
      </c>
      <c r="R205" s="8">
        <v>43861.09</v>
      </c>
      <c r="S205" s="8">
        <v>38306.913</v>
      </c>
      <c r="T205" s="8">
        <v>33007.063999999998</v>
      </c>
      <c r="U205" s="8">
        <v>24229.212</v>
      </c>
      <c r="V205" s="8">
        <v>18376.165000000001</v>
      </c>
      <c r="W205" s="8">
        <v>13029.56</v>
      </c>
      <c r="X205" s="8">
        <v>7095.6109999999999</v>
      </c>
      <c r="Y205" s="8">
        <v>3081.6010000000001</v>
      </c>
      <c r="Z205" s="8">
        <v>932.774</v>
      </c>
      <c r="AA205" s="8">
        <v>208.96299999999999</v>
      </c>
      <c r="AB205" s="8">
        <v>31.091000000000001</v>
      </c>
      <c r="AC205" s="8">
        <v>3.3239999999999998</v>
      </c>
    </row>
    <row r="206" spans="1:29" ht="11.65" x14ac:dyDescent="0.35">
      <c r="A206" s="12">
        <v>189</v>
      </c>
      <c r="B206" s="10" t="s">
        <v>1015</v>
      </c>
      <c r="C206" s="30" t="s">
        <v>1042</v>
      </c>
      <c r="D206" s="9" t="s">
        <v>1039</v>
      </c>
      <c r="E206" s="9">
        <v>1502</v>
      </c>
      <c r="F206" s="10" t="s">
        <v>1040</v>
      </c>
      <c r="G206" s="9">
        <v>1517</v>
      </c>
      <c r="H206" s="9">
        <v>1990</v>
      </c>
      <c r="I206" s="8">
        <v>122164.712</v>
      </c>
      <c r="J206" s="8">
        <v>104812.391</v>
      </c>
      <c r="K206" s="8">
        <v>99008.91</v>
      </c>
      <c r="L206" s="8">
        <v>107454.54</v>
      </c>
      <c r="M206" s="8">
        <v>105334.86900000001</v>
      </c>
      <c r="N206" s="8">
        <v>90590.392000000007</v>
      </c>
      <c r="O206" s="8">
        <v>77215.027000000002</v>
      </c>
      <c r="P206" s="8">
        <v>74377.305999999997</v>
      </c>
      <c r="Q206" s="8">
        <v>54747.521999999997</v>
      </c>
      <c r="R206" s="8">
        <v>42741.146999999997</v>
      </c>
      <c r="S206" s="8">
        <v>42263.442000000003</v>
      </c>
      <c r="T206" s="8">
        <v>36297.512000000002</v>
      </c>
      <c r="U206" s="8">
        <v>30189.606</v>
      </c>
      <c r="V206" s="8">
        <v>21030.501</v>
      </c>
      <c r="W206" s="8">
        <v>14659.567999999999</v>
      </c>
      <c r="X206" s="8">
        <v>8900.7669999999998</v>
      </c>
      <c r="Y206" s="8">
        <v>3865.232</v>
      </c>
      <c r="Z206" s="8">
        <v>1236.674</v>
      </c>
      <c r="AA206" s="8">
        <v>266.79399999999998</v>
      </c>
      <c r="AB206" s="8">
        <v>40.792000000000002</v>
      </c>
      <c r="AC206" s="8">
        <v>4.4219999999999997</v>
      </c>
    </row>
    <row r="207" spans="1:29" ht="11.65" x14ac:dyDescent="0.35">
      <c r="A207" s="12">
        <v>190</v>
      </c>
      <c r="B207" s="10" t="s">
        <v>1015</v>
      </c>
      <c r="C207" s="30" t="s">
        <v>1042</v>
      </c>
      <c r="D207" s="9" t="s">
        <v>1039</v>
      </c>
      <c r="E207" s="9">
        <v>1502</v>
      </c>
      <c r="F207" s="10" t="s">
        <v>1040</v>
      </c>
      <c r="G207" s="9">
        <v>1517</v>
      </c>
      <c r="H207" s="9">
        <v>1995</v>
      </c>
      <c r="I207" s="8">
        <v>102652.07399999999</v>
      </c>
      <c r="J207" s="8">
        <v>120909.94500000001</v>
      </c>
      <c r="K207" s="8">
        <v>104165.183</v>
      </c>
      <c r="L207" s="8">
        <v>97786.885999999999</v>
      </c>
      <c r="M207" s="8">
        <v>105604.39599999999</v>
      </c>
      <c r="N207" s="8">
        <v>103680.196</v>
      </c>
      <c r="O207" s="8">
        <v>89257.956999999893</v>
      </c>
      <c r="P207" s="8">
        <v>75921.269</v>
      </c>
      <c r="Q207" s="8">
        <v>72950.562999999995</v>
      </c>
      <c r="R207" s="8">
        <v>53284.889000000003</v>
      </c>
      <c r="S207" s="8">
        <v>41135.786999999997</v>
      </c>
      <c r="T207" s="8">
        <v>39755.288</v>
      </c>
      <c r="U207" s="8">
        <v>33090.292999999998</v>
      </c>
      <c r="V207" s="8">
        <v>25986.527999999998</v>
      </c>
      <c r="W207" s="8">
        <v>16563.634999999998</v>
      </c>
      <c r="X207" s="8">
        <v>9992.0640000000003</v>
      </c>
      <c r="Y207" s="8">
        <v>4983.8639999999996</v>
      </c>
      <c r="Z207" s="8">
        <v>1596.296</v>
      </c>
      <c r="AA207" s="8">
        <v>350.83600000000001</v>
      </c>
      <c r="AB207" s="8">
        <v>51.357999999999997</v>
      </c>
      <c r="AC207" s="8">
        <v>5.63</v>
      </c>
    </row>
    <row r="208" spans="1:29" ht="11.65" x14ac:dyDescent="0.35">
      <c r="A208" s="12">
        <v>191</v>
      </c>
      <c r="B208" s="10" t="s">
        <v>1015</v>
      </c>
      <c r="C208" s="30" t="s">
        <v>1042</v>
      </c>
      <c r="D208" s="9" t="s">
        <v>1039</v>
      </c>
      <c r="E208" s="9">
        <v>1502</v>
      </c>
      <c r="F208" s="10" t="s">
        <v>1040</v>
      </c>
      <c r="G208" s="9">
        <v>1517</v>
      </c>
      <c r="H208" s="9">
        <v>2000</v>
      </c>
      <c r="I208" s="8">
        <v>94327.346000000005</v>
      </c>
      <c r="J208" s="8">
        <v>101776.27</v>
      </c>
      <c r="K208" s="8">
        <v>120241.50900000001</v>
      </c>
      <c r="L208" s="8">
        <v>103168.823</v>
      </c>
      <c r="M208" s="8">
        <v>96075.591</v>
      </c>
      <c r="N208" s="8">
        <v>103926.955</v>
      </c>
      <c r="O208" s="8">
        <v>102329.75900000001</v>
      </c>
      <c r="P208" s="8">
        <v>88090.648000000001</v>
      </c>
      <c r="Q208" s="8">
        <v>74682.740999999995</v>
      </c>
      <c r="R208" s="8">
        <v>71337.616999999998</v>
      </c>
      <c r="S208" s="8">
        <v>51355.644999999997</v>
      </c>
      <c r="T208" s="8">
        <v>38890.114999999998</v>
      </c>
      <c r="U208" s="8">
        <v>36324.228000000003</v>
      </c>
      <c r="V208" s="8">
        <v>28730.71</v>
      </c>
      <c r="W208" s="8">
        <v>20518.411</v>
      </c>
      <c r="X208" s="8">
        <v>11370.638999999999</v>
      </c>
      <c r="Y208" s="8">
        <v>5639.8029999999999</v>
      </c>
      <c r="Z208" s="8">
        <v>2137.9079999999999</v>
      </c>
      <c r="AA208" s="8">
        <v>480.18599999999998</v>
      </c>
      <c r="AB208" s="8">
        <v>72.13</v>
      </c>
      <c r="AC208" s="8">
        <v>7.1360000000000001</v>
      </c>
    </row>
    <row r="209" spans="1:29" ht="11.65" x14ac:dyDescent="0.35">
      <c r="A209" s="12">
        <v>192</v>
      </c>
      <c r="B209" s="10" t="s">
        <v>1015</v>
      </c>
      <c r="C209" s="30" t="s">
        <v>1042</v>
      </c>
      <c r="D209" s="9" t="s">
        <v>1039</v>
      </c>
      <c r="E209" s="9">
        <v>1502</v>
      </c>
      <c r="F209" s="10" t="s">
        <v>1040</v>
      </c>
      <c r="G209" s="9">
        <v>1517</v>
      </c>
      <c r="H209" s="9">
        <v>2005</v>
      </c>
      <c r="I209" s="8">
        <v>90980.3</v>
      </c>
      <c r="J209" s="8">
        <v>93631.827999999994</v>
      </c>
      <c r="K209" s="8">
        <v>101323.069</v>
      </c>
      <c r="L209" s="8">
        <v>119059.931</v>
      </c>
      <c r="M209" s="8">
        <v>101656.764</v>
      </c>
      <c r="N209" s="8">
        <v>94616.895999999993</v>
      </c>
      <c r="O209" s="8">
        <v>102565.283</v>
      </c>
      <c r="P209" s="8">
        <v>101062.258</v>
      </c>
      <c r="Q209" s="8">
        <v>86631.010999999999</v>
      </c>
      <c r="R209" s="8">
        <v>72871.913</v>
      </c>
      <c r="S209" s="8">
        <v>68802.948000000004</v>
      </c>
      <c r="T209" s="8">
        <v>48808.741999999998</v>
      </c>
      <c r="U209" s="8">
        <v>36024.519</v>
      </c>
      <c r="V209" s="8">
        <v>31872.17</v>
      </c>
      <c r="W209" s="8">
        <v>23215.562000000002</v>
      </c>
      <c r="X209" s="8">
        <v>14318.700999999999</v>
      </c>
      <c r="Y209" s="8">
        <v>6596.2030000000004</v>
      </c>
      <c r="Z209" s="8">
        <v>2515.4299999999998</v>
      </c>
      <c r="AA209" s="8">
        <v>664.91499999999996</v>
      </c>
      <c r="AB209" s="8">
        <v>102.60599999999999</v>
      </c>
      <c r="AC209" s="8">
        <v>10.429</v>
      </c>
    </row>
    <row r="210" spans="1:29" ht="11.65" x14ac:dyDescent="0.35">
      <c r="A210" s="12">
        <v>193</v>
      </c>
      <c r="B210" s="10" t="s">
        <v>1015</v>
      </c>
      <c r="C210" s="30" t="s">
        <v>1042</v>
      </c>
      <c r="D210" s="9" t="s">
        <v>1039</v>
      </c>
      <c r="E210" s="9">
        <v>1502</v>
      </c>
      <c r="F210" s="10" t="s">
        <v>1040</v>
      </c>
      <c r="G210" s="9">
        <v>1517</v>
      </c>
      <c r="H210" s="9">
        <v>2010</v>
      </c>
      <c r="I210" s="8">
        <v>93052.659</v>
      </c>
      <c r="J210" s="8">
        <v>90505.514999999999</v>
      </c>
      <c r="K210" s="8">
        <v>93296.179000000004</v>
      </c>
      <c r="L210" s="8">
        <v>100987.45</v>
      </c>
      <c r="M210" s="8">
        <v>117797.917</v>
      </c>
      <c r="N210" s="8">
        <v>99938.957999999897</v>
      </c>
      <c r="O210" s="8">
        <v>92930.346999999994</v>
      </c>
      <c r="P210" s="8">
        <v>100994.26700000001</v>
      </c>
      <c r="Q210" s="8">
        <v>99121.975999999995</v>
      </c>
      <c r="R210" s="8">
        <v>84926.975000000006</v>
      </c>
      <c r="S210" s="8">
        <v>70488.093999999997</v>
      </c>
      <c r="T210" s="8">
        <v>65730.698000000004</v>
      </c>
      <c r="U210" s="8">
        <v>45144.517999999996</v>
      </c>
      <c r="V210" s="8">
        <v>32141.617999999999</v>
      </c>
      <c r="W210" s="8">
        <v>26109.001</v>
      </c>
      <c r="X210" s="8">
        <v>16474.769</v>
      </c>
      <c r="Y210" s="8">
        <v>8550.4989999999998</v>
      </c>
      <c r="Z210" s="8">
        <v>3056.4450000000002</v>
      </c>
      <c r="AA210" s="8">
        <v>818.22699999999998</v>
      </c>
      <c r="AB210" s="8">
        <v>148.12200000000001</v>
      </c>
      <c r="AC210" s="8">
        <v>15.298</v>
      </c>
    </row>
    <row r="211" spans="1:29" ht="11.65" x14ac:dyDescent="0.35">
      <c r="A211" s="12">
        <v>194</v>
      </c>
      <c r="B211" s="10" t="s">
        <v>1015</v>
      </c>
      <c r="C211" s="30" t="s">
        <v>1042</v>
      </c>
      <c r="D211" s="9" t="s">
        <v>1039</v>
      </c>
      <c r="E211" s="9">
        <v>1502</v>
      </c>
      <c r="F211" s="10" t="s">
        <v>1040</v>
      </c>
      <c r="G211" s="9">
        <v>1517</v>
      </c>
      <c r="H211" s="9">
        <v>2015</v>
      </c>
      <c r="I211" s="8">
        <v>96294.811000000002</v>
      </c>
      <c r="J211" s="8">
        <v>93142.107999999993</v>
      </c>
      <c r="K211" s="8">
        <v>90572.02</v>
      </c>
      <c r="L211" s="8">
        <v>93059.718999999997</v>
      </c>
      <c r="M211" s="8">
        <v>100223.605</v>
      </c>
      <c r="N211" s="8">
        <v>116688.77499999999</v>
      </c>
      <c r="O211" s="8">
        <v>98924.528999999893</v>
      </c>
      <c r="P211" s="8">
        <v>91895.460999999996</v>
      </c>
      <c r="Q211" s="8">
        <v>99804.407999999996</v>
      </c>
      <c r="R211" s="8">
        <v>97558.462</v>
      </c>
      <c r="S211" s="8">
        <v>82746.842999999993</v>
      </c>
      <c r="T211" s="8">
        <v>67625.634999999995</v>
      </c>
      <c r="U211" s="8">
        <v>61511.087</v>
      </c>
      <c r="V211" s="8">
        <v>40378.351999999999</v>
      </c>
      <c r="W211" s="8">
        <v>26736.710999999999</v>
      </c>
      <c r="X211" s="8">
        <v>19061.044999999998</v>
      </c>
      <c r="Y211" s="8">
        <v>10238.361999999999</v>
      </c>
      <c r="Z211" s="8">
        <v>4124.7790000000005</v>
      </c>
      <c r="AA211" s="8">
        <v>1064.6759999999999</v>
      </c>
      <c r="AB211" s="8">
        <v>195.94200000000001</v>
      </c>
      <c r="AC211" s="8">
        <v>23.613</v>
      </c>
    </row>
    <row r="212" spans="1:29" ht="11.65" x14ac:dyDescent="0.35">
      <c r="A212" s="12">
        <v>195</v>
      </c>
      <c r="B212" s="10" t="s">
        <v>1015</v>
      </c>
      <c r="C212" s="30" t="s">
        <v>1042</v>
      </c>
      <c r="D212" s="9" t="s">
        <v>1039</v>
      </c>
      <c r="E212" s="9">
        <v>1502</v>
      </c>
      <c r="F212" s="10" t="s">
        <v>1040</v>
      </c>
      <c r="G212" s="9">
        <v>1517</v>
      </c>
      <c r="H212" s="9">
        <v>2020</v>
      </c>
      <c r="I212" s="8">
        <v>94072.288</v>
      </c>
      <c r="J212" s="8">
        <v>95921.975999999995</v>
      </c>
      <c r="K212" s="8">
        <v>92778.964999999997</v>
      </c>
      <c r="L212" s="8">
        <v>89987.633000000002</v>
      </c>
      <c r="M212" s="8">
        <v>92140.437000000005</v>
      </c>
      <c r="N212" s="8">
        <v>99336.43</v>
      </c>
      <c r="O212" s="8">
        <v>115804.64200000001</v>
      </c>
      <c r="P212" s="8">
        <v>97971.798999999999</v>
      </c>
      <c r="Q212" s="8">
        <v>90812.603000000003</v>
      </c>
      <c r="R212" s="8">
        <v>98311.082999999999</v>
      </c>
      <c r="S212" s="8">
        <v>95412.755999999994</v>
      </c>
      <c r="T212" s="8">
        <v>79843.360000000001</v>
      </c>
      <c r="U212" s="8">
        <v>63617.061000000002</v>
      </c>
      <c r="V212" s="8">
        <v>55604.733999999997</v>
      </c>
      <c r="W212" s="8">
        <v>33996.489000000001</v>
      </c>
      <c r="X212" s="8">
        <v>20079.579000000002</v>
      </c>
      <c r="Y212" s="8">
        <v>12169.455</v>
      </c>
      <c r="Z212" s="8">
        <v>5226.1850000000004</v>
      </c>
      <c r="AA212" s="8">
        <v>1544.2529999999999</v>
      </c>
      <c r="AB212" s="8">
        <v>279.81099999999998</v>
      </c>
      <c r="AC212" s="8">
        <v>35.012</v>
      </c>
    </row>
    <row r="213" spans="1:29" ht="11.65" x14ac:dyDescent="0.35">
      <c r="A213" s="12">
        <v>196</v>
      </c>
      <c r="B213" s="10" t="s">
        <v>1015</v>
      </c>
      <c r="C213" s="30" t="s">
        <v>1043</v>
      </c>
      <c r="D213" s="9" t="s">
        <v>1039</v>
      </c>
      <c r="E213" s="9">
        <v>1501</v>
      </c>
      <c r="F213" s="10" t="s">
        <v>1040</v>
      </c>
      <c r="G213" s="9">
        <v>1517</v>
      </c>
      <c r="H213" s="9">
        <v>1950</v>
      </c>
      <c r="I213" s="8">
        <v>56228.076000000001</v>
      </c>
      <c r="J213" s="8">
        <v>46311.364999999998</v>
      </c>
      <c r="K213" s="8">
        <v>43623.211000000003</v>
      </c>
      <c r="L213" s="8">
        <v>39440.142</v>
      </c>
      <c r="M213" s="8">
        <v>35728.357000000004</v>
      </c>
      <c r="N213" s="8">
        <v>30632.076000000001</v>
      </c>
      <c r="O213" s="8">
        <v>26448.163</v>
      </c>
      <c r="P213" s="8">
        <v>23676.206999999999</v>
      </c>
      <c r="Q213" s="8">
        <v>20671.831999999999</v>
      </c>
      <c r="R213" s="8">
        <v>17036.807000000001</v>
      </c>
      <c r="S213" s="8">
        <v>14108.127</v>
      </c>
      <c r="T213" s="8">
        <v>10645.556</v>
      </c>
      <c r="U213" s="8">
        <v>8587.7579999999998</v>
      </c>
      <c r="V213" s="8">
        <v>5669.6779999999999</v>
      </c>
      <c r="W213" s="8">
        <v>4067.1239999999998</v>
      </c>
      <c r="X213" s="8">
        <v>2345.5680000000002</v>
      </c>
      <c r="Y213" s="8">
        <v>1022.5119999999999</v>
      </c>
      <c r="Z213" s="8">
        <v>327.673</v>
      </c>
      <c r="AA213" s="8">
        <v>71.567999999999998</v>
      </c>
      <c r="AB213" s="8">
        <v>11.257</v>
      </c>
      <c r="AC213" s="8">
        <v>0.35399999999999998</v>
      </c>
    </row>
    <row r="214" spans="1:29" ht="11.65" x14ac:dyDescent="0.35">
      <c r="A214" s="12">
        <v>197</v>
      </c>
      <c r="B214" s="10" t="s">
        <v>1015</v>
      </c>
      <c r="C214" s="30" t="s">
        <v>1043</v>
      </c>
      <c r="D214" s="9" t="s">
        <v>1039</v>
      </c>
      <c r="E214" s="9">
        <v>1501</v>
      </c>
      <c r="F214" s="10" t="s">
        <v>1040</v>
      </c>
      <c r="G214" s="9">
        <v>1517</v>
      </c>
      <c r="H214" s="9">
        <v>1955</v>
      </c>
      <c r="I214" s="8">
        <v>69215.005000000005</v>
      </c>
      <c r="J214" s="8">
        <v>51445.603000000003</v>
      </c>
      <c r="K214" s="8">
        <v>44818.186999999998</v>
      </c>
      <c r="L214" s="8">
        <v>42389.571000000004</v>
      </c>
      <c r="M214" s="8">
        <v>37942.224000000002</v>
      </c>
      <c r="N214" s="8">
        <v>34136.31</v>
      </c>
      <c r="O214" s="8">
        <v>29141.047999999999</v>
      </c>
      <c r="P214" s="8">
        <v>24980.708999999999</v>
      </c>
      <c r="Q214" s="8">
        <v>22161.861000000001</v>
      </c>
      <c r="R214" s="8">
        <v>19065.948</v>
      </c>
      <c r="S214" s="8">
        <v>15361.385</v>
      </c>
      <c r="T214" s="8">
        <v>12301.638999999999</v>
      </c>
      <c r="U214" s="8">
        <v>8827.8649999999998</v>
      </c>
      <c r="V214" s="8">
        <v>6567.8869999999997</v>
      </c>
      <c r="W214" s="8">
        <v>3872.59</v>
      </c>
      <c r="X214" s="8">
        <v>2326.4699999999998</v>
      </c>
      <c r="Y214" s="8">
        <v>1027.1869999999999</v>
      </c>
      <c r="Z214" s="8">
        <v>294.762</v>
      </c>
      <c r="AA214" s="8">
        <v>58.094999999999999</v>
      </c>
      <c r="AB214" s="8">
        <v>8.6880000000000006</v>
      </c>
      <c r="AC214" s="8">
        <v>0.96299999999999997</v>
      </c>
    </row>
    <row r="215" spans="1:29" ht="11.65" x14ac:dyDescent="0.35">
      <c r="A215" s="12">
        <v>198</v>
      </c>
      <c r="B215" s="10" t="s">
        <v>1015</v>
      </c>
      <c r="C215" s="30" t="s">
        <v>1043</v>
      </c>
      <c r="D215" s="9" t="s">
        <v>1039</v>
      </c>
      <c r="E215" s="9">
        <v>1501</v>
      </c>
      <c r="F215" s="10" t="s">
        <v>1040</v>
      </c>
      <c r="G215" s="9">
        <v>1517</v>
      </c>
      <c r="H215" s="9">
        <v>1960</v>
      </c>
      <c r="I215" s="8">
        <v>78592.273000000001</v>
      </c>
      <c r="J215" s="8">
        <v>64322.2</v>
      </c>
      <c r="K215" s="8">
        <v>50237.247000000003</v>
      </c>
      <c r="L215" s="8">
        <v>43690.419000000002</v>
      </c>
      <c r="M215" s="8">
        <v>41032.086000000003</v>
      </c>
      <c r="N215" s="8">
        <v>36520.383999999998</v>
      </c>
      <c r="O215" s="8">
        <v>32686.941999999999</v>
      </c>
      <c r="P215" s="8">
        <v>27818.187000000002</v>
      </c>
      <c r="Q215" s="8">
        <v>23593.86</v>
      </c>
      <c r="R215" s="8">
        <v>20499.207999999999</v>
      </c>
      <c r="S215" s="8">
        <v>17295.721000000001</v>
      </c>
      <c r="T215" s="8">
        <v>13523.335999999999</v>
      </c>
      <c r="U215" s="8">
        <v>10329.151</v>
      </c>
      <c r="V215" s="8">
        <v>6877.6989999999996</v>
      </c>
      <c r="W215" s="8">
        <v>4577.0200000000004</v>
      </c>
      <c r="X215" s="8">
        <v>2288.587</v>
      </c>
      <c r="Y215" s="8">
        <v>1039.6600000000001</v>
      </c>
      <c r="Z215" s="8">
        <v>314.92599999999999</v>
      </c>
      <c r="AA215" s="8">
        <v>57.65</v>
      </c>
      <c r="AB215" s="8">
        <v>7.9340000000000002</v>
      </c>
      <c r="AC215" s="8">
        <v>0.88600000000000001</v>
      </c>
    </row>
    <row r="216" spans="1:29" ht="11.65" x14ac:dyDescent="0.35">
      <c r="A216" s="12">
        <v>199</v>
      </c>
      <c r="B216" s="10" t="s">
        <v>1015</v>
      </c>
      <c r="C216" s="30" t="s">
        <v>1043</v>
      </c>
      <c r="D216" s="9" t="s">
        <v>1039</v>
      </c>
      <c r="E216" s="9">
        <v>1501</v>
      </c>
      <c r="F216" s="10" t="s">
        <v>1040</v>
      </c>
      <c r="G216" s="9">
        <v>1517</v>
      </c>
      <c r="H216" s="9">
        <v>1965</v>
      </c>
      <c r="I216" s="8">
        <v>87758.933000000005</v>
      </c>
      <c r="J216" s="8">
        <v>73654.035000000003</v>
      </c>
      <c r="K216" s="8">
        <v>62759.188999999998</v>
      </c>
      <c r="L216" s="8">
        <v>49066.057999999997</v>
      </c>
      <c r="M216" s="8">
        <v>42396.470999999998</v>
      </c>
      <c r="N216" s="8">
        <v>39727.178999999996</v>
      </c>
      <c r="O216" s="8">
        <v>35227.841999999997</v>
      </c>
      <c r="P216" s="8">
        <v>31345.393</v>
      </c>
      <c r="Q216" s="8">
        <v>26415.656999999999</v>
      </c>
      <c r="R216" s="8">
        <v>22086.061000000002</v>
      </c>
      <c r="S216" s="8">
        <v>18814.984</v>
      </c>
      <c r="T216" s="8">
        <v>15449.898999999999</v>
      </c>
      <c r="U216" s="8">
        <v>11537.933000000001</v>
      </c>
      <c r="V216" s="8">
        <v>8189.5810000000001</v>
      </c>
      <c r="W216" s="8">
        <v>4902.3639999999996</v>
      </c>
      <c r="X216" s="8">
        <v>2788.52</v>
      </c>
      <c r="Y216" s="8">
        <v>1107.9269999999999</v>
      </c>
      <c r="Z216" s="8">
        <v>331.96100000000001</v>
      </c>
      <c r="AA216" s="8">
        <v>65.066000000000003</v>
      </c>
      <c r="AB216" s="8">
        <v>8.4280000000000008</v>
      </c>
      <c r="AC216" s="8">
        <v>0.874</v>
      </c>
    </row>
    <row r="217" spans="1:29" ht="11.65" x14ac:dyDescent="0.35">
      <c r="A217" s="12">
        <v>200</v>
      </c>
      <c r="B217" s="10" t="s">
        <v>1015</v>
      </c>
      <c r="C217" s="30" t="s">
        <v>1043</v>
      </c>
      <c r="D217" s="9" t="s">
        <v>1039</v>
      </c>
      <c r="E217" s="9">
        <v>1501</v>
      </c>
      <c r="F217" s="10" t="s">
        <v>1040</v>
      </c>
      <c r="G217" s="9">
        <v>1517</v>
      </c>
      <c r="H217" s="9">
        <v>1970</v>
      </c>
      <c r="I217" s="8">
        <v>96240.475000000006</v>
      </c>
      <c r="J217" s="8">
        <v>82877.676999999996</v>
      </c>
      <c r="K217" s="8">
        <v>72234.297000000006</v>
      </c>
      <c r="L217" s="8">
        <v>61455.847000000002</v>
      </c>
      <c r="M217" s="8">
        <v>47695.002</v>
      </c>
      <c r="N217" s="8">
        <v>41080.404999999999</v>
      </c>
      <c r="O217" s="8">
        <v>38484.161999999997</v>
      </c>
      <c r="P217" s="8">
        <v>33913.733999999997</v>
      </c>
      <c r="Q217" s="8">
        <v>30042.531999999999</v>
      </c>
      <c r="R217" s="8">
        <v>24899.225999999999</v>
      </c>
      <c r="S217" s="8">
        <v>20340.365000000002</v>
      </c>
      <c r="T217" s="8">
        <v>16958.396000000001</v>
      </c>
      <c r="U217" s="8">
        <v>13321.986999999999</v>
      </c>
      <c r="V217" s="8">
        <v>9290.9380000000001</v>
      </c>
      <c r="W217" s="8">
        <v>5918.2330000000002</v>
      </c>
      <c r="X217" s="8">
        <v>3041.1030000000001</v>
      </c>
      <c r="Y217" s="8">
        <v>1375.078</v>
      </c>
      <c r="Z217" s="8">
        <v>375.25900000000001</v>
      </c>
      <c r="AA217" s="8">
        <v>70.697000000000003</v>
      </c>
      <c r="AB217" s="8">
        <v>9.9329999999999998</v>
      </c>
      <c r="AC217" s="8">
        <v>0.96699999999999997</v>
      </c>
    </row>
    <row r="218" spans="1:29" ht="11.65" x14ac:dyDescent="0.35">
      <c r="A218" s="12">
        <v>201</v>
      </c>
      <c r="B218" s="10" t="s">
        <v>1015</v>
      </c>
      <c r="C218" s="30" t="s">
        <v>1043</v>
      </c>
      <c r="D218" s="9" t="s">
        <v>1039</v>
      </c>
      <c r="E218" s="9">
        <v>1501</v>
      </c>
      <c r="F218" s="10" t="s">
        <v>1040</v>
      </c>
      <c r="G218" s="9">
        <v>1517</v>
      </c>
      <c r="H218" s="9">
        <v>1975</v>
      </c>
      <c r="I218" s="8">
        <v>105862.52499999999</v>
      </c>
      <c r="J218" s="8">
        <v>91149.297999999995</v>
      </c>
      <c r="K218" s="8">
        <v>81336.387000000002</v>
      </c>
      <c r="L218" s="8">
        <v>70634.231</v>
      </c>
      <c r="M218" s="8">
        <v>59603.555</v>
      </c>
      <c r="N218" s="8">
        <v>46456.135999999999</v>
      </c>
      <c r="O218" s="8">
        <v>40144.938000000002</v>
      </c>
      <c r="P218" s="8">
        <v>37482.159</v>
      </c>
      <c r="Q218" s="8">
        <v>32733.285</v>
      </c>
      <c r="R218" s="8">
        <v>28647.803</v>
      </c>
      <c r="S218" s="8">
        <v>23279.427</v>
      </c>
      <c r="T218" s="8">
        <v>18460.306</v>
      </c>
      <c r="U218" s="8">
        <v>14718.019</v>
      </c>
      <c r="V218" s="8">
        <v>10771.053</v>
      </c>
      <c r="W218" s="8">
        <v>6792.4560000000001</v>
      </c>
      <c r="X218" s="8">
        <v>3718.39</v>
      </c>
      <c r="Y218" s="8">
        <v>1542.498</v>
      </c>
      <c r="Z218" s="8">
        <v>478.21699999999998</v>
      </c>
      <c r="AA218" s="8">
        <v>83.346000000000004</v>
      </c>
      <c r="AB218" s="8">
        <v>10.923</v>
      </c>
      <c r="AC218" s="8">
        <v>1.1839999999999999</v>
      </c>
    </row>
    <row r="219" spans="1:29" ht="11.65" x14ac:dyDescent="0.35">
      <c r="A219" s="12">
        <v>202</v>
      </c>
      <c r="B219" s="10" t="s">
        <v>1015</v>
      </c>
      <c r="C219" s="30" t="s">
        <v>1043</v>
      </c>
      <c r="D219" s="9" t="s">
        <v>1039</v>
      </c>
      <c r="E219" s="9">
        <v>1501</v>
      </c>
      <c r="F219" s="10" t="s">
        <v>1040</v>
      </c>
      <c r="G219" s="9">
        <v>1517</v>
      </c>
      <c r="H219" s="9">
        <v>1980</v>
      </c>
      <c r="I219" s="8">
        <v>116938.666</v>
      </c>
      <c r="J219" s="8">
        <v>101184.057</v>
      </c>
      <c r="K219" s="8">
        <v>89768.808999999994</v>
      </c>
      <c r="L219" s="8">
        <v>80170.023000000001</v>
      </c>
      <c r="M219" s="8">
        <v>69138.743000000002</v>
      </c>
      <c r="N219" s="8">
        <v>58220.648999999998</v>
      </c>
      <c r="O219" s="8">
        <v>45312.985999999997</v>
      </c>
      <c r="P219" s="8">
        <v>39084.728000000003</v>
      </c>
      <c r="Q219" s="8">
        <v>36277.141000000003</v>
      </c>
      <c r="R219" s="8">
        <v>31263.100999999999</v>
      </c>
      <c r="S219" s="8">
        <v>26874.171999999999</v>
      </c>
      <c r="T219" s="8">
        <v>21226.423999999999</v>
      </c>
      <c r="U219" s="8">
        <v>16086.224</v>
      </c>
      <c r="V219" s="8">
        <v>12009.977999999999</v>
      </c>
      <c r="W219" s="8">
        <v>7984.1940000000004</v>
      </c>
      <c r="X219" s="8">
        <v>4369.8819999999996</v>
      </c>
      <c r="Y219" s="8">
        <v>1936.2860000000001</v>
      </c>
      <c r="Z219" s="8">
        <v>557.04300000000001</v>
      </c>
      <c r="AA219" s="8">
        <v>110.845</v>
      </c>
      <c r="AB219" s="8">
        <v>13.816000000000001</v>
      </c>
      <c r="AC219" s="8">
        <v>1.46</v>
      </c>
    </row>
    <row r="220" spans="1:29" ht="11.65" x14ac:dyDescent="0.35">
      <c r="A220" s="12">
        <v>203</v>
      </c>
      <c r="B220" s="10" t="s">
        <v>1015</v>
      </c>
      <c r="C220" s="30" t="s">
        <v>1043</v>
      </c>
      <c r="D220" s="9" t="s">
        <v>1039</v>
      </c>
      <c r="E220" s="9">
        <v>1501</v>
      </c>
      <c r="F220" s="10" t="s">
        <v>1040</v>
      </c>
      <c r="G220" s="9">
        <v>1517</v>
      </c>
      <c r="H220" s="9">
        <v>1985</v>
      </c>
      <c r="I220" s="8">
        <v>130538.09299999999</v>
      </c>
      <c r="J220" s="8">
        <v>112656.344</v>
      </c>
      <c r="K220" s="8">
        <v>99888.191000000006</v>
      </c>
      <c r="L220" s="8">
        <v>88711.785000000003</v>
      </c>
      <c r="M220" s="8">
        <v>78787.626000000004</v>
      </c>
      <c r="N220" s="8">
        <v>67860.244000000006</v>
      </c>
      <c r="O220" s="8">
        <v>57167.322</v>
      </c>
      <c r="P220" s="8">
        <v>44387.267999999996</v>
      </c>
      <c r="Q220" s="8">
        <v>37935.582000000002</v>
      </c>
      <c r="R220" s="8">
        <v>34687.917000000001</v>
      </c>
      <c r="S220" s="8">
        <v>29362.075000000001</v>
      </c>
      <c r="T220" s="8">
        <v>24579.344000000001</v>
      </c>
      <c r="U220" s="8">
        <v>18563.764999999999</v>
      </c>
      <c r="V220" s="8">
        <v>13146.987999999999</v>
      </c>
      <c r="W220" s="8">
        <v>8961.8469999999998</v>
      </c>
      <c r="X220" s="8">
        <v>5178.6450000000004</v>
      </c>
      <c r="Y220" s="8">
        <v>2294.2269999999999</v>
      </c>
      <c r="Z220" s="8">
        <v>707.70299999999997</v>
      </c>
      <c r="AA220" s="8">
        <v>130.45500000000001</v>
      </c>
      <c r="AB220" s="8">
        <v>18.452999999999999</v>
      </c>
      <c r="AC220" s="8">
        <v>1.835</v>
      </c>
    </row>
    <row r="221" spans="1:29" ht="11.65" x14ac:dyDescent="0.35">
      <c r="A221" s="12">
        <v>204</v>
      </c>
      <c r="B221" s="10" t="s">
        <v>1015</v>
      </c>
      <c r="C221" s="30" t="s">
        <v>1043</v>
      </c>
      <c r="D221" s="9" t="s">
        <v>1039</v>
      </c>
      <c r="E221" s="9">
        <v>1501</v>
      </c>
      <c r="F221" s="10" t="s">
        <v>1040</v>
      </c>
      <c r="G221" s="9">
        <v>1517</v>
      </c>
      <c r="H221" s="9">
        <v>1990</v>
      </c>
      <c r="I221" s="8">
        <v>139204.09299999999</v>
      </c>
      <c r="J221" s="8">
        <v>126383.568</v>
      </c>
      <c r="K221" s="8">
        <v>111363.091</v>
      </c>
      <c r="L221" s="8">
        <v>98715.736000000004</v>
      </c>
      <c r="M221" s="8">
        <v>87138.673999999999</v>
      </c>
      <c r="N221" s="8">
        <v>77244.236999999994</v>
      </c>
      <c r="O221" s="8">
        <v>66577.313999999998</v>
      </c>
      <c r="P221" s="8">
        <v>55963.057000000001</v>
      </c>
      <c r="Q221" s="8">
        <v>43148.08</v>
      </c>
      <c r="R221" s="8">
        <v>36470.447999999997</v>
      </c>
      <c r="S221" s="8">
        <v>32739.344000000001</v>
      </c>
      <c r="T221" s="8">
        <v>26969.102999999999</v>
      </c>
      <c r="U221" s="8">
        <v>21613.415000000001</v>
      </c>
      <c r="V221" s="8">
        <v>15275.471</v>
      </c>
      <c r="W221" s="8">
        <v>9857.61</v>
      </c>
      <c r="X221" s="8">
        <v>5869.3670000000002</v>
      </c>
      <c r="Y221" s="8">
        <v>2730.9679999999998</v>
      </c>
      <c r="Z221" s="8">
        <v>869.20699999999999</v>
      </c>
      <c r="AA221" s="8">
        <v>174.22900000000001</v>
      </c>
      <c r="AB221" s="8">
        <v>23.349</v>
      </c>
      <c r="AC221" s="8">
        <v>2.665</v>
      </c>
    </row>
    <row r="222" spans="1:29" ht="11.65" x14ac:dyDescent="0.35">
      <c r="A222" s="12">
        <v>205</v>
      </c>
      <c r="B222" s="10" t="s">
        <v>1015</v>
      </c>
      <c r="C222" s="30" t="s">
        <v>1043</v>
      </c>
      <c r="D222" s="9" t="s">
        <v>1039</v>
      </c>
      <c r="E222" s="9">
        <v>1501</v>
      </c>
      <c r="F222" s="10" t="s">
        <v>1040</v>
      </c>
      <c r="G222" s="9">
        <v>1517</v>
      </c>
      <c r="H222" s="9">
        <v>1995</v>
      </c>
      <c r="I222" s="8">
        <v>143916.166</v>
      </c>
      <c r="J222" s="8">
        <v>135243.56400000001</v>
      </c>
      <c r="K222" s="8">
        <v>124995.787</v>
      </c>
      <c r="L222" s="8">
        <v>109901.819</v>
      </c>
      <c r="M222" s="8">
        <v>96569.558999999994</v>
      </c>
      <c r="N222" s="8">
        <v>85044.866999999998</v>
      </c>
      <c r="O222" s="8">
        <v>75503.660999999993</v>
      </c>
      <c r="P222" s="8">
        <v>65010.52</v>
      </c>
      <c r="Q222" s="8">
        <v>54356.38</v>
      </c>
      <c r="R222" s="8">
        <v>41491.680999999997</v>
      </c>
      <c r="S222" s="8">
        <v>34474.836000000003</v>
      </c>
      <c r="T222" s="8">
        <v>30064.898000000001</v>
      </c>
      <c r="U222" s="8">
        <v>23811.822</v>
      </c>
      <c r="V222" s="8">
        <v>17886.370999999999</v>
      </c>
      <c r="W222" s="8">
        <v>11576.084999999999</v>
      </c>
      <c r="X222" s="8">
        <v>6580.5439999999999</v>
      </c>
      <c r="Y222" s="8">
        <v>3156.779</v>
      </c>
      <c r="Z222" s="8">
        <v>1069.2059999999999</v>
      </c>
      <c r="AA222" s="8">
        <v>227.041</v>
      </c>
      <c r="AB222" s="8">
        <v>32.575000000000003</v>
      </c>
      <c r="AC222" s="8">
        <v>3.496</v>
      </c>
    </row>
    <row r="223" spans="1:29" ht="11.65" x14ac:dyDescent="0.35">
      <c r="A223" s="12">
        <v>206</v>
      </c>
      <c r="B223" s="10" t="s">
        <v>1015</v>
      </c>
      <c r="C223" s="30" t="s">
        <v>1043</v>
      </c>
      <c r="D223" s="9" t="s">
        <v>1039</v>
      </c>
      <c r="E223" s="9">
        <v>1501</v>
      </c>
      <c r="F223" s="10" t="s">
        <v>1040</v>
      </c>
      <c r="G223" s="9">
        <v>1517</v>
      </c>
      <c r="H223" s="9">
        <v>2000</v>
      </c>
      <c r="I223" s="8">
        <v>147696.08199999999</v>
      </c>
      <c r="J223" s="8">
        <v>140320.959</v>
      </c>
      <c r="K223" s="8">
        <v>133851.55600000001</v>
      </c>
      <c r="L223" s="8">
        <v>123643.03599999999</v>
      </c>
      <c r="M223" s="8">
        <v>107819.584</v>
      </c>
      <c r="N223" s="8">
        <v>94294.627999999997</v>
      </c>
      <c r="O223" s="8">
        <v>83010.350999999995</v>
      </c>
      <c r="P223" s="8">
        <v>73671.551999999996</v>
      </c>
      <c r="Q223" s="8">
        <v>63121.101000000002</v>
      </c>
      <c r="R223" s="8">
        <v>52282.470999999998</v>
      </c>
      <c r="S223" s="8">
        <v>39260.351999999999</v>
      </c>
      <c r="T223" s="8">
        <v>31806.944</v>
      </c>
      <c r="U223" s="8">
        <v>26710.06</v>
      </c>
      <c r="V223" s="8">
        <v>19907.702000000001</v>
      </c>
      <c r="W223" s="8">
        <v>13726.276</v>
      </c>
      <c r="X223" s="8">
        <v>7879.2439999999997</v>
      </c>
      <c r="Y223" s="8">
        <v>3654.0079999999998</v>
      </c>
      <c r="Z223" s="8">
        <v>1288.722</v>
      </c>
      <c r="AA223" s="8">
        <v>291.24099999999999</v>
      </c>
      <c r="AB223" s="8">
        <v>45.362000000000002</v>
      </c>
      <c r="AC223" s="8">
        <v>5.2380000000000004</v>
      </c>
    </row>
    <row r="224" spans="1:29" ht="11.65" x14ac:dyDescent="0.35">
      <c r="A224" s="12">
        <v>207</v>
      </c>
      <c r="B224" s="10" t="s">
        <v>1015</v>
      </c>
      <c r="C224" s="30" t="s">
        <v>1043</v>
      </c>
      <c r="D224" s="9" t="s">
        <v>1039</v>
      </c>
      <c r="E224" s="9">
        <v>1501</v>
      </c>
      <c r="F224" s="10" t="s">
        <v>1040</v>
      </c>
      <c r="G224" s="9">
        <v>1517</v>
      </c>
      <c r="H224" s="9">
        <v>2005</v>
      </c>
      <c r="I224" s="8">
        <v>152888.51300000001</v>
      </c>
      <c r="J224" s="8">
        <v>145281.36199999999</v>
      </c>
      <c r="K224" s="8">
        <v>139450.64499999999</v>
      </c>
      <c r="L224" s="8">
        <v>132232.50599999999</v>
      </c>
      <c r="M224" s="8">
        <v>120399.645</v>
      </c>
      <c r="N224" s="8">
        <v>104871.461</v>
      </c>
      <c r="O224" s="8">
        <v>91655.400999999998</v>
      </c>
      <c r="P224" s="8">
        <v>80665.8</v>
      </c>
      <c r="Q224" s="8">
        <v>71348.399000000005</v>
      </c>
      <c r="R224" s="8">
        <v>60357.218999999997</v>
      </c>
      <c r="S224" s="8">
        <v>49492.464</v>
      </c>
      <c r="T224" s="8">
        <v>36717.932000000001</v>
      </c>
      <c r="U224" s="8">
        <v>28420.095000000001</v>
      </c>
      <c r="V224" s="8">
        <v>22340.282999999999</v>
      </c>
      <c r="W224" s="8">
        <v>15315.978999999999</v>
      </c>
      <c r="X224" s="8">
        <v>9333.5159999999996</v>
      </c>
      <c r="Y224" s="8">
        <v>4494.9409999999998</v>
      </c>
      <c r="Z224" s="8">
        <v>1549.7539999999999</v>
      </c>
      <c r="AA224" s="8">
        <v>369.49900000000002</v>
      </c>
      <c r="AB224" s="8">
        <v>61.14</v>
      </c>
      <c r="AC224" s="8">
        <v>7.9059999999999997</v>
      </c>
    </row>
    <row r="225" spans="1:29" ht="11.65" x14ac:dyDescent="0.35">
      <c r="A225" s="12">
        <v>208</v>
      </c>
      <c r="B225" s="10" t="s">
        <v>1015</v>
      </c>
      <c r="C225" s="30" t="s">
        <v>1043</v>
      </c>
      <c r="D225" s="9" t="s">
        <v>1039</v>
      </c>
      <c r="E225" s="9">
        <v>1501</v>
      </c>
      <c r="F225" s="10" t="s">
        <v>1040</v>
      </c>
      <c r="G225" s="9">
        <v>1517</v>
      </c>
      <c r="H225" s="9">
        <v>2010</v>
      </c>
      <c r="I225" s="8">
        <v>157057.147</v>
      </c>
      <c r="J225" s="8">
        <v>150583.33600000001</v>
      </c>
      <c r="K225" s="8">
        <v>144096.80600000001</v>
      </c>
      <c r="L225" s="8">
        <v>137101.163</v>
      </c>
      <c r="M225" s="8">
        <v>128168.164</v>
      </c>
      <c r="N225" s="8">
        <v>117626.042</v>
      </c>
      <c r="O225" s="8">
        <v>102256.889</v>
      </c>
      <c r="P225" s="8">
        <v>89657.536999999997</v>
      </c>
      <c r="Q225" s="8">
        <v>78698.176999999996</v>
      </c>
      <c r="R225" s="8">
        <v>69023.615999999995</v>
      </c>
      <c r="S225" s="8">
        <v>57832.142999999996</v>
      </c>
      <c r="T225" s="8">
        <v>46143.527999999998</v>
      </c>
      <c r="U225" s="8">
        <v>32699.822</v>
      </c>
      <c r="V225" s="8">
        <v>24082.463</v>
      </c>
      <c r="W225" s="8">
        <v>17478.308000000001</v>
      </c>
      <c r="X225" s="8">
        <v>10611.178</v>
      </c>
      <c r="Y225" s="8">
        <v>5517.4840000000004</v>
      </c>
      <c r="Z225" s="8">
        <v>1982.182</v>
      </c>
      <c r="AA225" s="8">
        <v>471.11900000000003</v>
      </c>
      <c r="AB225" s="8">
        <v>84.144999999999996</v>
      </c>
      <c r="AC225" s="8">
        <v>11.933999999999999</v>
      </c>
    </row>
    <row r="226" spans="1:29" ht="11.65" x14ac:dyDescent="0.35">
      <c r="A226" s="12">
        <v>209</v>
      </c>
      <c r="B226" s="10" t="s">
        <v>1015</v>
      </c>
      <c r="C226" s="30" t="s">
        <v>1043</v>
      </c>
      <c r="D226" s="9" t="s">
        <v>1039</v>
      </c>
      <c r="E226" s="9">
        <v>1501</v>
      </c>
      <c r="F226" s="10" t="s">
        <v>1040</v>
      </c>
      <c r="G226" s="9">
        <v>1517</v>
      </c>
      <c r="H226" s="9">
        <v>2015</v>
      </c>
      <c r="I226" s="8">
        <v>158810.81400000001</v>
      </c>
      <c r="J226" s="8">
        <v>154709.052</v>
      </c>
      <c r="K226" s="8">
        <v>149321.38500000001</v>
      </c>
      <c r="L226" s="8">
        <v>142679.70600000001</v>
      </c>
      <c r="M226" s="8">
        <v>134868.87</v>
      </c>
      <c r="N226" s="8">
        <v>125567.158</v>
      </c>
      <c r="O226" s="8">
        <v>115224.799</v>
      </c>
      <c r="P226" s="8">
        <v>100002.58199999999</v>
      </c>
      <c r="Q226" s="8">
        <v>87452.430999999997</v>
      </c>
      <c r="R226" s="8">
        <v>76207.543000000005</v>
      </c>
      <c r="S226" s="8">
        <v>65988.528000000006</v>
      </c>
      <c r="T226" s="8">
        <v>54125.481</v>
      </c>
      <c r="U226" s="8">
        <v>41771.004999999997</v>
      </c>
      <c r="V226" s="8">
        <v>28136.013999999999</v>
      </c>
      <c r="W226" s="8">
        <v>19165.68</v>
      </c>
      <c r="X226" s="8">
        <v>12368.445</v>
      </c>
      <c r="Y226" s="8">
        <v>6362.4129999999996</v>
      </c>
      <c r="Z226" s="8">
        <v>2543.0100000000002</v>
      </c>
      <c r="AA226" s="8">
        <v>645.95699999999999</v>
      </c>
      <c r="AB226" s="8">
        <v>118.589</v>
      </c>
      <c r="AC226" s="8">
        <v>18.542000000000002</v>
      </c>
    </row>
    <row r="227" spans="1:29" ht="11.65" x14ac:dyDescent="0.35">
      <c r="A227" s="12">
        <v>210</v>
      </c>
      <c r="B227" s="10" t="s">
        <v>1015</v>
      </c>
      <c r="C227" s="30" t="s">
        <v>1043</v>
      </c>
      <c r="D227" s="9" t="s">
        <v>1039</v>
      </c>
      <c r="E227" s="9">
        <v>1501</v>
      </c>
      <c r="F227" s="10" t="s">
        <v>1040</v>
      </c>
      <c r="G227" s="9">
        <v>1517</v>
      </c>
      <c r="H227" s="9">
        <v>2020</v>
      </c>
      <c r="I227" s="8">
        <v>160432.93799999999</v>
      </c>
      <c r="J227" s="8">
        <v>156833.34</v>
      </c>
      <c r="K227" s="8">
        <v>153593.61300000001</v>
      </c>
      <c r="L227" s="8">
        <v>147967.34099999999</v>
      </c>
      <c r="M227" s="8">
        <v>140575.834</v>
      </c>
      <c r="N227" s="8">
        <v>132530.005</v>
      </c>
      <c r="O227" s="8">
        <v>123319.02</v>
      </c>
      <c r="P227" s="8">
        <v>112976.13800000001</v>
      </c>
      <c r="Q227" s="8">
        <v>97731.069000000003</v>
      </c>
      <c r="R227" s="8">
        <v>84870.327999999994</v>
      </c>
      <c r="S227" s="8">
        <v>73058.641000000003</v>
      </c>
      <c r="T227" s="8">
        <v>61970.019</v>
      </c>
      <c r="U227" s="8">
        <v>49300.294999999998</v>
      </c>
      <c r="V227" s="8">
        <v>36379.54</v>
      </c>
      <c r="W227" s="8">
        <v>22700.155999999999</v>
      </c>
      <c r="X227" s="8">
        <v>13774.816000000001</v>
      </c>
      <c r="Y227" s="8">
        <v>7494.366</v>
      </c>
      <c r="Z227" s="8">
        <v>3013.8589999999999</v>
      </c>
      <c r="AA227" s="8">
        <v>851.65599999999995</v>
      </c>
      <c r="AB227" s="8">
        <v>168.87899999999999</v>
      </c>
      <c r="AC227" s="8">
        <v>28.126000000000001</v>
      </c>
    </row>
    <row r="228" spans="1:29" ht="11.65" x14ac:dyDescent="0.35">
      <c r="A228" s="12">
        <v>211</v>
      </c>
      <c r="B228" s="10" t="s">
        <v>1015</v>
      </c>
      <c r="C228" s="36" t="s">
        <v>1044</v>
      </c>
      <c r="D228" s="9" t="s">
        <v>1039</v>
      </c>
      <c r="E228" s="9">
        <v>1500</v>
      </c>
      <c r="F228" s="10" t="s">
        <v>1040</v>
      </c>
      <c r="G228" s="9">
        <v>1802</v>
      </c>
      <c r="H228" s="9">
        <v>1950</v>
      </c>
      <c r="I228" s="8">
        <v>11456.835999999999</v>
      </c>
      <c r="J228" s="8">
        <v>9166.2520000000004</v>
      </c>
      <c r="K228" s="8">
        <v>7950.2420000000002</v>
      </c>
      <c r="L228" s="8">
        <v>6920.6620000000003</v>
      </c>
      <c r="M228" s="8">
        <v>6004.5649999999996</v>
      </c>
      <c r="N228" s="8">
        <v>5116.0749999999998</v>
      </c>
      <c r="O228" s="8">
        <v>4366.7820000000002</v>
      </c>
      <c r="P228" s="8">
        <v>3743.2979999999998</v>
      </c>
      <c r="Q228" s="8">
        <v>3151.8449999999998</v>
      </c>
      <c r="R228" s="8">
        <v>2636.2469999999998</v>
      </c>
      <c r="S228" s="8">
        <v>2081.1170000000002</v>
      </c>
      <c r="T228" s="8">
        <v>1666.7940000000001</v>
      </c>
      <c r="U228" s="8">
        <v>1288.559</v>
      </c>
      <c r="V228" s="8">
        <v>938.31200000000001</v>
      </c>
      <c r="W228" s="8">
        <v>582.71400000000006</v>
      </c>
      <c r="X228" s="8">
        <v>308.00700000000001</v>
      </c>
      <c r="Y228" s="8">
        <v>124.777</v>
      </c>
      <c r="Z228" s="8">
        <v>32.347999999999999</v>
      </c>
      <c r="AA228" s="8">
        <v>5.274</v>
      </c>
      <c r="AB228" s="8">
        <v>0.53900000000000003</v>
      </c>
      <c r="AC228" s="8">
        <v>0.04</v>
      </c>
    </row>
    <row r="229" spans="1:29" ht="11.65" x14ac:dyDescent="0.35">
      <c r="A229" s="12">
        <v>212</v>
      </c>
      <c r="B229" s="10" t="s">
        <v>1015</v>
      </c>
      <c r="C229" s="36" t="s">
        <v>1044</v>
      </c>
      <c r="D229" s="9" t="s">
        <v>1039</v>
      </c>
      <c r="E229" s="9">
        <v>1500</v>
      </c>
      <c r="F229" s="10" t="s">
        <v>1040</v>
      </c>
      <c r="G229" s="9">
        <v>1802</v>
      </c>
      <c r="H229" s="9">
        <v>1955</v>
      </c>
      <c r="I229" s="8">
        <v>12656.362999999999</v>
      </c>
      <c r="J229" s="8">
        <v>9942.8089999999993</v>
      </c>
      <c r="K229" s="8">
        <v>8750</v>
      </c>
      <c r="L229" s="8">
        <v>7636.0429999999997</v>
      </c>
      <c r="M229" s="8">
        <v>6494.5510000000004</v>
      </c>
      <c r="N229" s="8">
        <v>5536.0730000000003</v>
      </c>
      <c r="O229" s="8">
        <v>4701.78</v>
      </c>
      <c r="P229" s="8">
        <v>4002.0949999999998</v>
      </c>
      <c r="Q229" s="8">
        <v>3404.4989999999998</v>
      </c>
      <c r="R229" s="8">
        <v>2836.6419999999998</v>
      </c>
      <c r="S229" s="8">
        <v>2325.201</v>
      </c>
      <c r="T229" s="8">
        <v>1782.856</v>
      </c>
      <c r="U229" s="8">
        <v>1357.22</v>
      </c>
      <c r="V229" s="8">
        <v>965.46400000000006</v>
      </c>
      <c r="W229" s="8">
        <v>616.88599999999997</v>
      </c>
      <c r="X229" s="8">
        <v>312.83999999999997</v>
      </c>
      <c r="Y229" s="8">
        <v>123.34099999999999</v>
      </c>
      <c r="Z229" s="8">
        <v>32.264000000000003</v>
      </c>
      <c r="AA229" s="8">
        <v>5.085</v>
      </c>
      <c r="AB229" s="8">
        <v>0.50600000000000001</v>
      </c>
      <c r="AC229" s="8">
        <v>3.4000000000000002E-2</v>
      </c>
    </row>
    <row r="230" spans="1:29" ht="11.65" x14ac:dyDescent="0.35">
      <c r="A230" s="12">
        <v>213</v>
      </c>
      <c r="B230" s="10" t="s">
        <v>1015</v>
      </c>
      <c r="C230" s="36" t="s">
        <v>1044</v>
      </c>
      <c r="D230" s="9" t="s">
        <v>1039</v>
      </c>
      <c r="E230" s="9">
        <v>1500</v>
      </c>
      <c r="F230" s="10" t="s">
        <v>1040</v>
      </c>
      <c r="G230" s="9">
        <v>1802</v>
      </c>
      <c r="H230" s="9">
        <v>1960</v>
      </c>
      <c r="I230" s="8">
        <v>14655.374</v>
      </c>
      <c r="J230" s="8">
        <v>11164.115</v>
      </c>
      <c r="K230" s="8">
        <v>9544.4619999999995</v>
      </c>
      <c r="L230" s="8">
        <v>8458.9380000000001</v>
      </c>
      <c r="M230" s="8">
        <v>7266.259</v>
      </c>
      <c r="N230" s="8">
        <v>6104.4030000000002</v>
      </c>
      <c r="O230" s="8">
        <v>5185.1840000000002</v>
      </c>
      <c r="P230" s="8">
        <v>4378.9859999999999</v>
      </c>
      <c r="Q230" s="8">
        <v>3693.5749999999998</v>
      </c>
      <c r="R230" s="8">
        <v>3106.2559999999999</v>
      </c>
      <c r="S230" s="8">
        <v>2543.221</v>
      </c>
      <c r="T230" s="8">
        <v>2024.8610000000001</v>
      </c>
      <c r="U230" s="8">
        <v>1476.325</v>
      </c>
      <c r="V230" s="8">
        <v>1036.1579999999999</v>
      </c>
      <c r="W230" s="8">
        <v>651.82799999999997</v>
      </c>
      <c r="X230" s="8">
        <v>341.584</v>
      </c>
      <c r="Y230" s="8">
        <v>130.524</v>
      </c>
      <c r="Z230" s="8">
        <v>34.32</v>
      </c>
      <c r="AA230" s="8">
        <v>5.3019999999999996</v>
      </c>
      <c r="AB230" s="8">
        <v>0.496</v>
      </c>
      <c r="AC230" s="8">
        <v>3.1E-2</v>
      </c>
    </row>
    <row r="231" spans="1:29" ht="11.65" x14ac:dyDescent="0.35">
      <c r="A231" s="12">
        <v>214</v>
      </c>
      <c r="B231" s="10" t="s">
        <v>1015</v>
      </c>
      <c r="C231" s="36" t="s">
        <v>1044</v>
      </c>
      <c r="D231" s="9" t="s">
        <v>1039</v>
      </c>
      <c r="E231" s="9">
        <v>1500</v>
      </c>
      <c r="F231" s="10" t="s">
        <v>1040</v>
      </c>
      <c r="G231" s="9">
        <v>1802</v>
      </c>
      <c r="H231" s="9">
        <v>1965</v>
      </c>
      <c r="I231" s="8">
        <v>16475.663</v>
      </c>
      <c r="J231" s="8">
        <v>13115.844999999999</v>
      </c>
      <c r="K231" s="8">
        <v>10766.207</v>
      </c>
      <c r="L231" s="8">
        <v>9249.0450000000001</v>
      </c>
      <c r="M231" s="8">
        <v>8064.3959999999997</v>
      </c>
      <c r="N231" s="8">
        <v>6844.3379999999997</v>
      </c>
      <c r="O231" s="8">
        <v>5733.2</v>
      </c>
      <c r="P231" s="8">
        <v>4848.4960000000001</v>
      </c>
      <c r="Q231" s="8">
        <v>4060.1410000000001</v>
      </c>
      <c r="R231" s="8">
        <v>3387.049</v>
      </c>
      <c r="S231" s="8">
        <v>2801.4850000000001</v>
      </c>
      <c r="T231" s="8">
        <v>2230.3130000000001</v>
      </c>
      <c r="U231" s="8">
        <v>1692.1469999999999</v>
      </c>
      <c r="V231" s="8">
        <v>1141.915</v>
      </c>
      <c r="W231" s="8">
        <v>711.61</v>
      </c>
      <c r="X231" s="8">
        <v>371.46300000000002</v>
      </c>
      <c r="Y231" s="8">
        <v>147.691</v>
      </c>
      <c r="Z231" s="8">
        <v>38.029000000000003</v>
      </c>
      <c r="AA231" s="8">
        <v>5.9749999999999996</v>
      </c>
      <c r="AB231" s="8">
        <v>0.52300000000000002</v>
      </c>
      <c r="AC231" s="8">
        <v>3.5000000000000003E-2</v>
      </c>
    </row>
    <row r="232" spans="1:29" ht="11.65" x14ac:dyDescent="0.35">
      <c r="A232" s="12">
        <v>215</v>
      </c>
      <c r="B232" s="10" t="s">
        <v>1015</v>
      </c>
      <c r="C232" s="36" t="s">
        <v>1044</v>
      </c>
      <c r="D232" s="9" t="s">
        <v>1039</v>
      </c>
      <c r="E232" s="9">
        <v>1500</v>
      </c>
      <c r="F232" s="10" t="s">
        <v>1040</v>
      </c>
      <c r="G232" s="9">
        <v>1802</v>
      </c>
      <c r="H232" s="9">
        <v>1970</v>
      </c>
      <c r="I232" s="8">
        <v>19078.702000000001</v>
      </c>
      <c r="J232" s="8">
        <v>14915.039000000001</v>
      </c>
      <c r="K232" s="8">
        <v>12719.883</v>
      </c>
      <c r="L232" s="8">
        <v>10479.575999999999</v>
      </c>
      <c r="M232" s="8">
        <v>8867.9390000000003</v>
      </c>
      <c r="N232" s="8">
        <v>7645.1909999999998</v>
      </c>
      <c r="O232" s="8">
        <v>6472.8090000000002</v>
      </c>
      <c r="P232" s="8">
        <v>5398.9040000000005</v>
      </c>
      <c r="Q232" s="8">
        <v>4530.402</v>
      </c>
      <c r="R232" s="8">
        <v>3752.8710000000001</v>
      </c>
      <c r="S232" s="8">
        <v>3079.547</v>
      </c>
      <c r="T232" s="8">
        <v>2480.277</v>
      </c>
      <c r="U232" s="8">
        <v>1885.617</v>
      </c>
      <c r="V232" s="8">
        <v>1328.9010000000001</v>
      </c>
      <c r="W232" s="8">
        <v>800.524</v>
      </c>
      <c r="X232" s="8">
        <v>416.50200000000001</v>
      </c>
      <c r="Y232" s="8">
        <v>167.24100000000001</v>
      </c>
      <c r="Z232" s="8">
        <v>44.658999999999999</v>
      </c>
      <c r="AA232" s="8">
        <v>6.9029999999999996</v>
      </c>
      <c r="AB232" s="8">
        <v>0.61799999999999999</v>
      </c>
      <c r="AC232" s="8">
        <v>3.5000000000000003E-2</v>
      </c>
    </row>
    <row r="233" spans="1:29" ht="11.65" x14ac:dyDescent="0.35">
      <c r="A233" s="12">
        <v>216</v>
      </c>
      <c r="B233" s="10" t="s">
        <v>1015</v>
      </c>
      <c r="C233" s="36" t="s">
        <v>1044</v>
      </c>
      <c r="D233" s="9" t="s">
        <v>1039</v>
      </c>
      <c r="E233" s="9">
        <v>1500</v>
      </c>
      <c r="F233" s="10" t="s">
        <v>1040</v>
      </c>
      <c r="G233" s="9">
        <v>1802</v>
      </c>
      <c r="H233" s="9">
        <v>1975</v>
      </c>
      <c r="I233" s="8">
        <v>21735.564999999999</v>
      </c>
      <c r="J233" s="8">
        <v>17401.895</v>
      </c>
      <c r="K233" s="8">
        <v>14434.716</v>
      </c>
      <c r="L233" s="8">
        <v>12329.873</v>
      </c>
      <c r="M233" s="8">
        <v>9984.4670000000006</v>
      </c>
      <c r="N233" s="8">
        <v>8375.2909999999993</v>
      </c>
      <c r="O233" s="8">
        <v>7217.5010000000002</v>
      </c>
      <c r="P233" s="8">
        <v>6090.2619999999997</v>
      </c>
      <c r="Q233" s="8">
        <v>5042.3180000000002</v>
      </c>
      <c r="R233" s="8">
        <v>4190.1360000000004</v>
      </c>
      <c r="S233" s="8">
        <v>3420.8069999999998</v>
      </c>
      <c r="T233" s="8">
        <v>2736.5030000000002</v>
      </c>
      <c r="U233" s="8">
        <v>2110.1759999999999</v>
      </c>
      <c r="V233" s="8">
        <v>1493.55</v>
      </c>
      <c r="W233" s="8">
        <v>944.596</v>
      </c>
      <c r="X233" s="8">
        <v>478.16399999999999</v>
      </c>
      <c r="Y233" s="8">
        <v>193.149</v>
      </c>
      <c r="Z233" s="8">
        <v>52.048999999999999</v>
      </c>
      <c r="AA233" s="8">
        <v>8.2899999999999991</v>
      </c>
      <c r="AB233" s="8">
        <v>0.73599999999999999</v>
      </c>
      <c r="AC233" s="8">
        <v>4.1000000000000002E-2</v>
      </c>
    </row>
    <row r="234" spans="1:29" ht="11.65" x14ac:dyDescent="0.35">
      <c r="A234" s="12">
        <v>217</v>
      </c>
      <c r="B234" s="10" t="s">
        <v>1015</v>
      </c>
      <c r="C234" s="36" t="s">
        <v>1044</v>
      </c>
      <c r="D234" s="9" t="s">
        <v>1039</v>
      </c>
      <c r="E234" s="9">
        <v>1500</v>
      </c>
      <c r="F234" s="10" t="s">
        <v>1040</v>
      </c>
      <c r="G234" s="9">
        <v>1802</v>
      </c>
      <c r="H234" s="9">
        <v>1980</v>
      </c>
      <c r="I234" s="8">
        <v>24547.52</v>
      </c>
      <c r="J234" s="8">
        <v>19898.163</v>
      </c>
      <c r="K234" s="8">
        <v>16714.455000000002</v>
      </c>
      <c r="L234" s="8">
        <v>13784.178</v>
      </c>
      <c r="M234" s="8">
        <v>11629.906999999999</v>
      </c>
      <c r="N234" s="8">
        <v>9439.6749999999993</v>
      </c>
      <c r="O234" s="8">
        <v>7963.7870000000003</v>
      </c>
      <c r="P234" s="8">
        <v>6811.3630000000003</v>
      </c>
      <c r="Q234" s="8">
        <v>5701.9219999999996</v>
      </c>
      <c r="R234" s="8">
        <v>4687.1229999999996</v>
      </c>
      <c r="S234" s="8">
        <v>3831.346</v>
      </c>
      <c r="T234" s="8">
        <v>3083.0610000000001</v>
      </c>
      <c r="U234" s="8">
        <v>2357.14</v>
      </c>
      <c r="V234" s="8">
        <v>1710.4829999999999</v>
      </c>
      <c r="W234" s="8">
        <v>1087.7940000000001</v>
      </c>
      <c r="X234" s="8">
        <v>593.67899999999997</v>
      </c>
      <c r="Y234" s="8">
        <v>234.39699999999999</v>
      </c>
      <c r="Z234" s="8">
        <v>61.83</v>
      </c>
      <c r="AA234" s="8">
        <v>9.9550000000000001</v>
      </c>
      <c r="AB234" s="8">
        <v>0.88900000000000001</v>
      </c>
      <c r="AC234" s="8">
        <v>0.05</v>
      </c>
    </row>
    <row r="235" spans="1:29" ht="11.65" x14ac:dyDescent="0.35">
      <c r="A235" s="12">
        <v>218</v>
      </c>
      <c r="B235" s="10" t="s">
        <v>1015</v>
      </c>
      <c r="C235" s="36" t="s">
        <v>1044</v>
      </c>
      <c r="D235" s="9" t="s">
        <v>1039</v>
      </c>
      <c r="E235" s="9">
        <v>1500</v>
      </c>
      <c r="F235" s="10" t="s">
        <v>1040</v>
      </c>
      <c r="G235" s="9">
        <v>1802</v>
      </c>
      <c r="H235" s="9">
        <v>1985</v>
      </c>
      <c r="I235" s="8">
        <v>27988.883000000002</v>
      </c>
      <c r="J235" s="8">
        <v>22448.794999999998</v>
      </c>
      <c r="K235" s="8">
        <v>19137.580999999998</v>
      </c>
      <c r="L235" s="8">
        <v>16088.906000000001</v>
      </c>
      <c r="M235" s="8">
        <v>13067.319</v>
      </c>
      <c r="N235" s="8">
        <v>10949.808999999999</v>
      </c>
      <c r="O235" s="8">
        <v>8855.1859999999997</v>
      </c>
      <c r="P235" s="8">
        <v>7427.5789999999997</v>
      </c>
      <c r="Q235" s="8">
        <v>6310.65</v>
      </c>
      <c r="R235" s="8">
        <v>5229.5950000000003</v>
      </c>
      <c r="S235" s="8">
        <v>4233.8329999999996</v>
      </c>
      <c r="T235" s="8">
        <v>3391.3890000000001</v>
      </c>
      <c r="U235" s="8">
        <v>2625.0120000000002</v>
      </c>
      <c r="V235" s="8">
        <v>1880.298</v>
      </c>
      <c r="W235" s="8">
        <v>1229.2529999999999</v>
      </c>
      <c r="X235" s="8">
        <v>661.35500000000002</v>
      </c>
      <c r="Y235" s="8">
        <v>279.84300000000002</v>
      </c>
      <c r="Z235" s="8">
        <v>75.349000000000004</v>
      </c>
      <c r="AA235" s="8">
        <v>12.010999999999999</v>
      </c>
      <c r="AB235" s="8">
        <v>1.087</v>
      </c>
      <c r="AC235" s="8">
        <v>0.06</v>
      </c>
    </row>
    <row r="236" spans="1:29" ht="11.65" x14ac:dyDescent="0.35">
      <c r="A236" s="12">
        <v>219</v>
      </c>
      <c r="B236" s="10" t="s">
        <v>1015</v>
      </c>
      <c r="C236" s="36" t="s">
        <v>1044</v>
      </c>
      <c r="D236" s="9" t="s">
        <v>1039</v>
      </c>
      <c r="E236" s="9">
        <v>1500</v>
      </c>
      <c r="F236" s="10" t="s">
        <v>1040</v>
      </c>
      <c r="G236" s="9">
        <v>1802</v>
      </c>
      <c r="H236" s="9">
        <v>1990</v>
      </c>
      <c r="I236" s="8">
        <v>31790.026999999998</v>
      </c>
      <c r="J236" s="8">
        <v>26060.998</v>
      </c>
      <c r="K236" s="8">
        <v>21824.165000000001</v>
      </c>
      <c r="L236" s="8">
        <v>18524.885999999999</v>
      </c>
      <c r="M236" s="8">
        <v>15282.883</v>
      </c>
      <c r="N236" s="8">
        <v>12365.607</v>
      </c>
      <c r="O236" s="8">
        <v>10369.645</v>
      </c>
      <c r="P236" s="8">
        <v>8309.0939999999991</v>
      </c>
      <c r="Q236" s="8">
        <v>6924.64</v>
      </c>
      <c r="R236" s="8">
        <v>5843.7479999999996</v>
      </c>
      <c r="S236" s="8">
        <v>4784.8900000000003</v>
      </c>
      <c r="T236" s="8">
        <v>3809.232</v>
      </c>
      <c r="U236" s="8">
        <v>2930.1979999999999</v>
      </c>
      <c r="V236" s="8">
        <v>2143.2579999999998</v>
      </c>
      <c r="W236" s="8">
        <v>1415.57</v>
      </c>
      <c r="X236" s="8">
        <v>794.84199999999998</v>
      </c>
      <c r="Y236" s="8">
        <v>331.76100000000002</v>
      </c>
      <c r="Z236" s="8">
        <v>92.156999999999996</v>
      </c>
      <c r="AA236" s="8">
        <v>14.959</v>
      </c>
      <c r="AB236" s="8">
        <v>1.349</v>
      </c>
      <c r="AC236" s="8">
        <v>7.4999999999999997E-2</v>
      </c>
    </row>
    <row r="237" spans="1:29" ht="11.65" x14ac:dyDescent="0.35">
      <c r="A237" s="12">
        <v>220</v>
      </c>
      <c r="B237" s="10" t="s">
        <v>1015</v>
      </c>
      <c r="C237" s="36" t="s">
        <v>1044</v>
      </c>
      <c r="D237" s="9" t="s">
        <v>1039</v>
      </c>
      <c r="E237" s="9">
        <v>1500</v>
      </c>
      <c r="F237" s="10" t="s">
        <v>1040</v>
      </c>
      <c r="G237" s="9">
        <v>1802</v>
      </c>
      <c r="H237" s="9">
        <v>1995</v>
      </c>
      <c r="I237" s="8">
        <v>35884.900999999998</v>
      </c>
      <c r="J237" s="8">
        <v>29971.874</v>
      </c>
      <c r="K237" s="8">
        <v>25620.026000000002</v>
      </c>
      <c r="L237" s="8">
        <v>21292.287</v>
      </c>
      <c r="M237" s="8">
        <v>17833.825000000001</v>
      </c>
      <c r="N237" s="8">
        <v>14623.626</v>
      </c>
      <c r="O237" s="8">
        <v>11881.344999999999</v>
      </c>
      <c r="P237" s="8">
        <v>10029.620000000001</v>
      </c>
      <c r="Q237" s="8">
        <v>7998.0690000000004</v>
      </c>
      <c r="R237" s="8">
        <v>6585.7</v>
      </c>
      <c r="S237" s="8">
        <v>5519.1639999999998</v>
      </c>
      <c r="T237" s="8">
        <v>4435.402</v>
      </c>
      <c r="U237" s="8">
        <v>3429.991</v>
      </c>
      <c r="V237" s="8">
        <v>2458.482</v>
      </c>
      <c r="W237" s="8">
        <v>1658.096</v>
      </c>
      <c r="X237" s="8">
        <v>963.61800000000005</v>
      </c>
      <c r="Y237" s="8">
        <v>420.09199999999998</v>
      </c>
      <c r="Z237" s="8">
        <v>114.655</v>
      </c>
      <c r="AA237" s="8">
        <v>19.001000000000001</v>
      </c>
      <c r="AB237" s="8">
        <v>1.7909999999999999</v>
      </c>
      <c r="AC237" s="8">
        <v>0.1</v>
      </c>
    </row>
    <row r="238" spans="1:29" ht="11.65" x14ac:dyDescent="0.35">
      <c r="A238" s="12">
        <v>221</v>
      </c>
      <c r="B238" s="10" t="s">
        <v>1015</v>
      </c>
      <c r="C238" s="36" t="s">
        <v>1044</v>
      </c>
      <c r="D238" s="9" t="s">
        <v>1039</v>
      </c>
      <c r="E238" s="9">
        <v>1500</v>
      </c>
      <c r="F238" s="10" t="s">
        <v>1040</v>
      </c>
      <c r="G238" s="9">
        <v>1802</v>
      </c>
      <c r="H238" s="9">
        <v>2000</v>
      </c>
      <c r="I238" s="8">
        <v>40532.260999999999</v>
      </c>
      <c r="J238" s="8">
        <v>34038.819000000003</v>
      </c>
      <c r="K238" s="8">
        <v>29331.064999999999</v>
      </c>
      <c r="L238" s="8">
        <v>24827.508000000002</v>
      </c>
      <c r="M238" s="8">
        <v>20233.822</v>
      </c>
      <c r="N238" s="8">
        <v>16828.237000000001</v>
      </c>
      <c r="O238" s="8">
        <v>13788.129000000001</v>
      </c>
      <c r="P238" s="8">
        <v>11197.556</v>
      </c>
      <c r="Q238" s="8">
        <v>9339.1579999999994</v>
      </c>
      <c r="R238" s="8">
        <v>7373.9319999999998</v>
      </c>
      <c r="S238" s="8">
        <v>6022.3760000000002</v>
      </c>
      <c r="T238" s="8">
        <v>4963.3599999999997</v>
      </c>
      <c r="U238" s="8">
        <v>3826.2060000000001</v>
      </c>
      <c r="V238" s="8">
        <v>2795.37</v>
      </c>
      <c r="W238" s="8">
        <v>1804.078</v>
      </c>
      <c r="X238" s="8">
        <v>1067.0409999999999</v>
      </c>
      <c r="Y238" s="8">
        <v>478.25700000000001</v>
      </c>
      <c r="Z238" s="8">
        <v>142.26900000000001</v>
      </c>
      <c r="AA238" s="8">
        <v>23.898</v>
      </c>
      <c r="AB238" s="8">
        <v>2.3279999999999998</v>
      </c>
      <c r="AC238" s="8">
        <v>0.13800000000000001</v>
      </c>
    </row>
    <row r="239" spans="1:29" ht="11.65" x14ac:dyDescent="0.35">
      <c r="A239" s="12">
        <v>222</v>
      </c>
      <c r="B239" s="10" t="s">
        <v>1015</v>
      </c>
      <c r="C239" s="36" t="s">
        <v>1044</v>
      </c>
      <c r="D239" s="9" t="s">
        <v>1039</v>
      </c>
      <c r="E239" s="9">
        <v>1500</v>
      </c>
      <c r="F239" s="10" t="s">
        <v>1040</v>
      </c>
      <c r="G239" s="9">
        <v>1802</v>
      </c>
      <c r="H239" s="9">
        <v>2005</v>
      </c>
      <c r="I239" s="8">
        <v>45533.165000000001</v>
      </c>
      <c r="J239" s="8">
        <v>38940.796999999999</v>
      </c>
      <c r="K239" s="8">
        <v>33509.612999999998</v>
      </c>
      <c r="L239" s="8">
        <v>28528.464</v>
      </c>
      <c r="M239" s="8">
        <v>23694.333999999999</v>
      </c>
      <c r="N239" s="8">
        <v>19241.172999999999</v>
      </c>
      <c r="O239" s="8">
        <v>16077.199000000001</v>
      </c>
      <c r="P239" s="8">
        <v>13138.368</v>
      </c>
      <c r="Q239" s="8">
        <v>10592.232</v>
      </c>
      <c r="R239" s="8">
        <v>8755.1389999999992</v>
      </c>
      <c r="S239" s="8">
        <v>6840.3950000000004</v>
      </c>
      <c r="T239" s="8">
        <v>5501.5959999999995</v>
      </c>
      <c r="U239" s="8">
        <v>4399.6570000000002</v>
      </c>
      <c r="V239" s="8">
        <v>3190.6950000000002</v>
      </c>
      <c r="W239" s="8">
        <v>2113.431</v>
      </c>
      <c r="X239" s="8">
        <v>1171.192</v>
      </c>
      <c r="Y239" s="8">
        <v>539.96100000000001</v>
      </c>
      <c r="Z239" s="8">
        <v>166.76900000000001</v>
      </c>
      <c r="AA239" s="8">
        <v>30.806999999999999</v>
      </c>
      <c r="AB239" s="8">
        <v>3.0659999999999998</v>
      </c>
      <c r="AC239" s="8">
        <v>0.189</v>
      </c>
    </row>
    <row r="240" spans="1:29" ht="11.65" x14ac:dyDescent="0.35">
      <c r="A240" s="12">
        <v>223</v>
      </c>
      <c r="B240" s="10" t="s">
        <v>1015</v>
      </c>
      <c r="C240" s="36" t="s">
        <v>1044</v>
      </c>
      <c r="D240" s="9" t="s">
        <v>1039</v>
      </c>
      <c r="E240" s="9">
        <v>1500</v>
      </c>
      <c r="F240" s="10" t="s">
        <v>1040</v>
      </c>
      <c r="G240" s="9">
        <v>1802</v>
      </c>
      <c r="H240" s="9">
        <v>2010</v>
      </c>
      <c r="I240" s="8">
        <v>50784.358</v>
      </c>
      <c r="J240" s="8">
        <v>44002.987000000001</v>
      </c>
      <c r="K240" s="8">
        <v>38342.616000000002</v>
      </c>
      <c r="L240" s="8">
        <v>32712.085999999999</v>
      </c>
      <c r="M240" s="8">
        <v>27237.43</v>
      </c>
      <c r="N240" s="8">
        <v>22554.596000000001</v>
      </c>
      <c r="O240" s="8">
        <v>18341.368999999999</v>
      </c>
      <c r="P240" s="8">
        <v>15291.442999999999</v>
      </c>
      <c r="Q240" s="8">
        <v>12463.938</v>
      </c>
      <c r="R240" s="8">
        <v>9979.3070000000007</v>
      </c>
      <c r="S240" s="8">
        <v>8196.134</v>
      </c>
      <c r="T240" s="8">
        <v>6260.116</v>
      </c>
      <c r="U240" s="8">
        <v>4894.8580000000002</v>
      </c>
      <c r="V240" s="8">
        <v>3690.27</v>
      </c>
      <c r="W240" s="8">
        <v>2434.538</v>
      </c>
      <c r="X240" s="8">
        <v>1400.1120000000001</v>
      </c>
      <c r="Y240" s="8">
        <v>635.98299999999995</v>
      </c>
      <c r="Z240" s="8">
        <v>196.71199999999999</v>
      </c>
      <c r="AA240" s="8">
        <v>38.159999999999997</v>
      </c>
      <c r="AB240" s="8">
        <v>4.2279999999999998</v>
      </c>
      <c r="AC240" s="8">
        <v>0.26500000000000001</v>
      </c>
    </row>
    <row r="241" spans="1:29" ht="11.65" x14ac:dyDescent="0.35">
      <c r="A241" s="12">
        <v>224</v>
      </c>
      <c r="B241" s="10" t="s">
        <v>1015</v>
      </c>
      <c r="C241" s="36" t="s">
        <v>1044</v>
      </c>
      <c r="D241" s="9" t="s">
        <v>1039</v>
      </c>
      <c r="E241" s="9">
        <v>1500</v>
      </c>
      <c r="F241" s="10" t="s">
        <v>1040</v>
      </c>
      <c r="G241" s="9">
        <v>1802</v>
      </c>
      <c r="H241" s="9">
        <v>2015</v>
      </c>
      <c r="I241" s="8">
        <v>55327.930999999997</v>
      </c>
      <c r="J241" s="8">
        <v>48958.675999999999</v>
      </c>
      <c r="K241" s="8">
        <v>43041.557000000001</v>
      </c>
      <c r="L241" s="8">
        <v>37388.447</v>
      </c>
      <c r="M241" s="8">
        <v>31416.794000000002</v>
      </c>
      <c r="N241" s="8">
        <v>25800.762999999999</v>
      </c>
      <c r="O241" s="8">
        <v>21258.687999999998</v>
      </c>
      <c r="P241" s="8">
        <v>17266.766</v>
      </c>
      <c r="Q241" s="8">
        <v>14387.106</v>
      </c>
      <c r="R241" s="8">
        <v>11676.924000000001</v>
      </c>
      <c r="S241" s="8">
        <v>9259.7860000000001</v>
      </c>
      <c r="T241" s="8">
        <v>7488.76</v>
      </c>
      <c r="U241" s="8">
        <v>5535.951</v>
      </c>
      <c r="V241" s="8">
        <v>4095.846</v>
      </c>
      <c r="W241" s="8">
        <v>2829.9229999999998</v>
      </c>
      <c r="X241" s="8">
        <v>1616.712</v>
      </c>
      <c r="Y241" s="8">
        <v>742.69500000000005</v>
      </c>
      <c r="Z241" s="8">
        <v>242.59700000000001</v>
      </c>
      <c r="AA241" s="8">
        <v>47.942999999999998</v>
      </c>
      <c r="AB241" s="8">
        <v>5.6269999999999998</v>
      </c>
      <c r="AC241" s="8">
        <v>0.39900000000000002</v>
      </c>
    </row>
    <row r="242" spans="1:29" ht="11.65" x14ac:dyDescent="0.35">
      <c r="A242" s="12">
        <v>225</v>
      </c>
      <c r="B242" s="10" t="s">
        <v>1015</v>
      </c>
      <c r="C242" s="36" t="s">
        <v>1044</v>
      </c>
      <c r="D242" s="9" t="s">
        <v>1039</v>
      </c>
      <c r="E242" s="9">
        <v>1500</v>
      </c>
      <c r="F242" s="10" t="s">
        <v>1040</v>
      </c>
      <c r="G242" s="9">
        <v>1802</v>
      </c>
      <c r="H242" s="9">
        <v>2020</v>
      </c>
      <c r="I242" s="8">
        <v>59947.741999999998</v>
      </c>
      <c r="J242" s="8">
        <v>53933.64</v>
      </c>
      <c r="K242" s="8">
        <v>48284.370999999999</v>
      </c>
      <c r="L242" s="8">
        <v>42347.792000000001</v>
      </c>
      <c r="M242" s="8">
        <v>36433.326000000001</v>
      </c>
      <c r="N242" s="8">
        <v>30498.953000000001</v>
      </c>
      <c r="O242" s="8">
        <v>25055.132000000001</v>
      </c>
      <c r="P242" s="8">
        <v>20552.804</v>
      </c>
      <c r="Q242" s="8">
        <v>16624.102999999999</v>
      </c>
      <c r="R242" s="8">
        <v>13812.076999999999</v>
      </c>
      <c r="S242" s="8">
        <v>11091.957</v>
      </c>
      <c r="T242" s="8">
        <v>8627.1919999999991</v>
      </c>
      <c r="U242" s="8">
        <v>6742.9620000000004</v>
      </c>
      <c r="V242" s="8">
        <v>4718.8689999999997</v>
      </c>
      <c r="W242" s="8">
        <v>3203.9470000000001</v>
      </c>
      <c r="X242" s="8">
        <v>1927.489</v>
      </c>
      <c r="Y242" s="8">
        <v>884.13099999999997</v>
      </c>
      <c r="Z242" s="8">
        <v>294.98500000000001</v>
      </c>
      <c r="AA242" s="8">
        <v>62.103000000000002</v>
      </c>
      <c r="AB242" s="8">
        <v>7.3179999999999996</v>
      </c>
      <c r="AC242" s="8">
        <v>0.56899999999999995</v>
      </c>
    </row>
    <row r="243" spans="1:29" ht="11.65" x14ac:dyDescent="0.35">
      <c r="A243" s="12">
        <v>226</v>
      </c>
      <c r="B243" s="10" t="s">
        <v>1015</v>
      </c>
      <c r="C243" s="36" t="s">
        <v>1045</v>
      </c>
      <c r="D243" s="9"/>
      <c r="E243" s="9">
        <v>1518</v>
      </c>
      <c r="F243" s="10" t="s">
        <v>1040</v>
      </c>
      <c r="G243" s="9">
        <v>1802</v>
      </c>
      <c r="H243" s="9">
        <v>1950</v>
      </c>
      <c r="I243" s="8">
        <v>66.230999999999995</v>
      </c>
      <c r="J243" s="8">
        <v>48.256</v>
      </c>
      <c r="K243" s="8">
        <v>40.96</v>
      </c>
      <c r="L243" s="8">
        <v>36.335999999999999</v>
      </c>
      <c r="M243" s="8">
        <v>31.562999999999999</v>
      </c>
      <c r="N243" s="8">
        <v>30.728000000000002</v>
      </c>
      <c r="O243" s="8">
        <v>26.363</v>
      </c>
      <c r="P243" s="8">
        <v>25.222999999999999</v>
      </c>
      <c r="Q243" s="8">
        <v>20.446999999999999</v>
      </c>
      <c r="R243" s="8">
        <v>16.628</v>
      </c>
      <c r="S243" s="8">
        <v>12.991</v>
      </c>
      <c r="T243" s="8">
        <v>10.542999999999999</v>
      </c>
      <c r="U243" s="8">
        <v>7.91</v>
      </c>
      <c r="V243" s="8">
        <v>5.3479999999999999</v>
      </c>
      <c r="W243" s="8">
        <v>3.9460000000000002</v>
      </c>
      <c r="X243" s="8">
        <v>2.9409999999999998</v>
      </c>
      <c r="Y243" s="8">
        <v>1.325</v>
      </c>
      <c r="Z243" s="8">
        <v>0.41099999999999998</v>
      </c>
      <c r="AA243" s="8">
        <v>0.09</v>
      </c>
      <c r="AB243" s="8">
        <v>1.2999999999999999E-2</v>
      </c>
      <c r="AC243" s="8">
        <v>3.0000000000000001E-3</v>
      </c>
    </row>
    <row r="244" spans="1:29" ht="11.65" x14ac:dyDescent="0.35">
      <c r="A244" s="12">
        <v>227</v>
      </c>
      <c r="B244" s="10" t="s">
        <v>1015</v>
      </c>
      <c r="C244" s="36" t="s">
        <v>1045</v>
      </c>
      <c r="D244" s="9"/>
      <c r="E244" s="9">
        <v>1518</v>
      </c>
      <c r="F244" s="10" t="s">
        <v>1040</v>
      </c>
      <c r="G244" s="9">
        <v>1802</v>
      </c>
      <c r="H244" s="9">
        <v>1955</v>
      </c>
      <c r="I244" s="8">
        <v>81.087999999999994</v>
      </c>
      <c r="J244" s="8">
        <v>62.835000000000001</v>
      </c>
      <c r="K244" s="8">
        <v>48.350999999999999</v>
      </c>
      <c r="L244" s="8">
        <v>40.158999999999999</v>
      </c>
      <c r="M244" s="8">
        <v>35.188000000000002</v>
      </c>
      <c r="N244" s="8">
        <v>31.286999999999999</v>
      </c>
      <c r="O244" s="8">
        <v>29.233000000000001</v>
      </c>
      <c r="P244" s="8">
        <v>25.972000000000001</v>
      </c>
      <c r="Q244" s="8">
        <v>23.51</v>
      </c>
      <c r="R244" s="8">
        <v>18.533000000000001</v>
      </c>
      <c r="S244" s="8">
        <v>15.058999999999999</v>
      </c>
      <c r="T244" s="8">
        <v>11.459</v>
      </c>
      <c r="U244" s="8">
        <v>7.9379999999999997</v>
      </c>
      <c r="V244" s="8">
        <v>6.7690000000000001</v>
      </c>
      <c r="W244" s="8">
        <v>3.7879999999999998</v>
      </c>
      <c r="X244" s="8">
        <v>2.6629999999999998</v>
      </c>
      <c r="Y244" s="8">
        <v>1.845</v>
      </c>
      <c r="Z244" s="8">
        <v>0.46100000000000002</v>
      </c>
      <c r="AA244" s="8">
        <v>7.9000000000000001E-2</v>
      </c>
      <c r="AB244" s="8">
        <v>7.0000000000000001E-3</v>
      </c>
      <c r="AC244" s="8">
        <v>1E-3</v>
      </c>
    </row>
    <row r="245" spans="1:29" ht="11.65" x14ac:dyDescent="0.35">
      <c r="A245" s="12">
        <v>228</v>
      </c>
      <c r="B245" s="10" t="s">
        <v>1015</v>
      </c>
      <c r="C245" s="36" t="s">
        <v>1045</v>
      </c>
      <c r="D245" s="9"/>
      <c r="E245" s="9">
        <v>1518</v>
      </c>
      <c r="F245" s="10" t="s">
        <v>1040</v>
      </c>
      <c r="G245" s="9">
        <v>1802</v>
      </c>
      <c r="H245" s="9">
        <v>1960</v>
      </c>
      <c r="I245" s="8">
        <v>89.802000000000007</v>
      </c>
      <c r="J245" s="8">
        <v>77.983999999999995</v>
      </c>
      <c r="K245" s="8">
        <v>63.113999999999997</v>
      </c>
      <c r="L245" s="8">
        <v>48.048999999999999</v>
      </c>
      <c r="M245" s="8">
        <v>38.835999999999999</v>
      </c>
      <c r="N245" s="8">
        <v>34.220999999999997</v>
      </c>
      <c r="O245" s="8">
        <v>30.184000000000001</v>
      </c>
      <c r="P245" s="8">
        <v>29.087</v>
      </c>
      <c r="Q245" s="8">
        <v>24.645</v>
      </c>
      <c r="R245" s="8">
        <v>22.41</v>
      </c>
      <c r="S245" s="8">
        <v>18.465</v>
      </c>
      <c r="T245" s="8">
        <v>14.494999999999999</v>
      </c>
      <c r="U245" s="8">
        <v>10.691000000000001</v>
      </c>
      <c r="V245" s="8">
        <v>7.282</v>
      </c>
      <c r="W245" s="8">
        <v>5.234</v>
      </c>
      <c r="X245" s="8">
        <v>3.0649999999999999</v>
      </c>
      <c r="Y245" s="8">
        <v>1.6339999999999999</v>
      </c>
      <c r="Z245" s="8">
        <v>0.65700000000000003</v>
      </c>
      <c r="AA245" s="8">
        <v>9.5000000000000001E-2</v>
      </c>
      <c r="AB245" s="8">
        <v>8.0000000000000002E-3</v>
      </c>
      <c r="AC245" s="8">
        <v>0</v>
      </c>
    </row>
    <row r="246" spans="1:29" ht="11.65" x14ac:dyDescent="0.35">
      <c r="A246" s="12">
        <v>229</v>
      </c>
      <c r="B246" s="10" t="s">
        <v>1015</v>
      </c>
      <c r="C246" s="36" t="s">
        <v>1045</v>
      </c>
      <c r="D246" s="9"/>
      <c r="E246" s="9">
        <v>1518</v>
      </c>
      <c r="F246" s="10" t="s">
        <v>1040</v>
      </c>
      <c r="G246" s="9">
        <v>1802</v>
      </c>
      <c r="H246" s="9">
        <v>1965</v>
      </c>
      <c r="I246" s="8">
        <v>100.11499999999999</v>
      </c>
      <c r="J246" s="8">
        <v>89.391999999999996</v>
      </c>
      <c r="K246" s="8">
        <v>78.114999999999995</v>
      </c>
      <c r="L246" s="8">
        <v>61.06</v>
      </c>
      <c r="M246" s="8">
        <v>43.368000000000002</v>
      </c>
      <c r="N246" s="8">
        <v>33.822000000000003</v>
      </c>
      <c r="O246" s="8">
        <v>33.002000000000002</v>
      </c>
      <c r="P246" s="8">
        <v>30.312999999999999</v>
      </c>
      <c r="Q246" s="8">
        <v>27.716000000000001</v>
      </c>
      <c r="R246" s="8">
        <v>23.254999999999999</v>
      </c>
      <c r="S246" s="8">
        <v>20.638999999999999</v>
      </c>
      <c r="T246" s="8">
        <v>17.425000000000001</v>
      </c>
      <c r="U246" s="8">
        <v>11.657999999999999</v>
      </c>
      <c r="V246" s="8">
        <v>7.8390000000000004</v>
      </c>
      <c r="W246" s="8">
        <v>5.4950000000000001</v>
      </c>
      <c r="X246" s="8">
        <v>3.415</v>
      </c>
      <c r="Y246" s="8">
        <v>1.8740000000000001</v>
      </c>
      <c r="Z246" s="8">
        <v>0.625</v>
      </c>
      <c r="AA246" s="8">
        <v>0.16200000000000001</v>
      </c>
      <c r="AB246" s="8">
        <v>1.0999999999999999E-2</v>
      </c>
      <c r="AC246" s="8">
        <v>0</v>
      </c>
    </row>
    <row r="247" spans="1:29" ht="11.65" x14ac:dyDescent="0.35">
      <c r="A247" s="12">
        <v>230</v>
      </c>
      <c r="B247" s="10" t="s">
        <v>1015</v>
      </c>
      <c r="C247" s="36" t="s">
        <v>1045</v>
      </c>
      <c r="D247" s="9"/>
      <c r="E247" s="9">
        <v>1518</v>
      </c>
      <c r="F247" s="10" t="s">
        <v>1040</v>
      </c>
      <c r="G247" s="9">
        <v>1802</v>
      </c>
      <c r="H247" s="9">
        <v>1970</v>
      </c>
      <c r="I247" s="8">
        <v>106.976</v>
      </c>
      <c r="J247" s="8">
        <v>99.337000000000003</v>
      </c>
      <c r="K247" s="8">
        <v>88.492999999999995</v>
      </c>
      <c r="L247" s="8">
        <v>72.793000000000006</v>
      </c>
      <c r="M247" s="8">
        <v>49.908999999999999</v>
      </c>
      <c r="N247" s="8">
        <v>39.755000000000003</v>
      </c>
      <c r="O247" s="8">
        <v>35.100999999999999</v>
      </c>
      <c r="P247" s="8">
        <v>34.866999999999997</v>
      </c>
      <c r="Q247" s="8">
        <v>30.085000000000001</v>
      </c>
      <c r="R247" s="8">
        <v>26.922999999999998</v>
      </c>
      <c r="S247" s="8">
        <v>23.533999999999999</v>
      </c>
      <c r="T247" s="8">
        <v>19.722999999999999</v>
      </c>
      <c r="U247" s="8">
        <v>14.867000000000001</v>
      </c>
      <c r="V247" s="8">
        <v>9.7309999999999999</v>
      </c>
      <c r="W247" s="8">
        <v>7.0490000000000004</v>
      </c>
      <c r="X247" s="8">
        <v>4.2030000000000003</v>
      </c>
      <c r="Y247" s="8">
        <v>2.0289999999999999</v>
      </c>
      <c r="Z247" s="8">
        <v>0.76800000000000002</v>
      </c>
      <c r="AA247" s="8">
        <v>0.17199999999999999</v>
      </c>
      <c r="AB247" s="8">
        <v>2.5000000000000001E-2</v>
      </c>
      <c r="AC247" s="8">
        <v>0</v>
      </c>
    </row>
    <row r="248" spans="1:29" ht="11.65" x14ac:dyDescent="0.35">
      <c r="A248" s="12">
        <v>231</v>
      </c>
      <c r="B248" s="10" t="s">
        <v>1015</v>
      </c>
      <c r="C248" s="36" t="s">
        <v>1045</v>
      </c>
      <c r="D248" s="9"/>
      <c r="E248" s="9">
        <v>1518</v>
      </c>
      <c r="F248" s="10" t="s">
        <v>1040</v>
      </c>
      <c r="G248" s="9">
        <v>1802</v>
      </c>
      <c r="H248" s="9">
        <v>1975</v>
      </c>
      <c r="I248" s="8">
        <v>94.042000000000002</v>
      </c>
      <c r="J248" s="8">
        <v>100.315</v>
      </c>
      <c r="K248" s="8">
        <v>98.905000000000001</v>
      </c>
      <c r="L248" s="8">
        <v>83.102999999999994</v>
      </c>
      <c r="M248" s="8">
        <v>55.75</v>
      </c>
      <c r="N248" s="8">
        <v>37.883000000000003</v>
      </c>
      <c r="O248" s="8">
        <v>35.064999999999998</v>
      </c>
      <c r="P248" s="8">
        <v>31.760999999999999</v>
      </c>
      <c r="Q248" s="8">
        <v>32.204999999999998</v>
      </c>
      <c r="R248" s="8">
        <v>28.077999999999999</v>
      </c>
      <c r="S248" s="8">
        <v>24.614000000000001</v>
      </c>
      <c r="T248" s="8">
        <v>20.45</v>
      </c>
      <c r="U248" s="8">
        <v>16.952000000000002</v>
      </c>
      <c r="V248" s="8">
        <v>12.41</v>
      </c>
      <c r="W248" s="8">
        <v>7.4580000000000002</v>
      </c>
      <c r="X248" s="8">
        <v>4.6029999999999998</v>
      </c>
      <c r="Y248" s="8">
        <v>2.899</v>
      </c>
      <c r="Z248" s="8">
        <v>0.878</v>
      </c>
      <c r="AA248" s="8">
        <v>0.223</v>
      </c>
      <c r="AB248" s="8">
        <v>2.9000000000000001E-2</v>
      </c>
      <c r="AC248" s="8">
        <v>2E-3</v>
      </c>
    </row>
    <row r="249" spans="1:29" ht="11.65" x14ac:dyDescent="0.35">
      <c r="A249" s="12">
        <v>232</v>
      </c>
      <c r="B249" s="10" t="s">
        <v>1015</v>
      </c>
      <c r="C249" s="36" t="s">
        <v>1045</v>
      </c>
      <c r="D249" s="9"/>
      <c r="E249" s="9">
        <v>1518</v>
      </c>
      <c r="F249" s="10" t="s">
        <v>1040</v>
      </c>
      <c r="G249" s="9">
        <v>1802</v>
      </c>
      <c r="H249" s="9">
        <v>1980</v>
      </c>
      <c r="I249" s="8">
        <v>85.658000000000001</v>
      </c>
      <c r="J249" s="8">
        <v>89.094999999999999</v>
      </c>
      <c r="K249" s="8">
        <v>99.724000000000004</v>
      </c>
      <c r="L249" s="8">
        <v>95.465000000000003</v>
      </c>
      <c r="M249" s="8">
        <v>74.070999999999998</v>
      </c>
      <c r="N249" s="8">
        <v>53.960999999999999</v>
      </c>
      <c r="O249" s="8">
        <v>45.7</v>
      </c>
      <c r="P249" s="8">
        <v>39.387</v>
      </c>
      <c r="Q249" s="8">
        <v>33.853000000000002</v>
      </c>
      <c r="R249" s="8">
        <v>32.908000000000001</v>
      </c>
      <c r="S249" s="8">
        <v>26.870999999999999</v>
      </c>
      <c r="T249" s="8">
        <v>24.238</v>
      </c>
      <c r="U249" s="8">
        <v>19.437000000000001</v>
      </c>
      <c r="V249" s="8">
        <v>14.544</v>
      </c>
      <c r="W249" s="8">
        <v>10.625999999999999</v>
      </c>
      <c r="X249" s="8">
        <v>6.1760000000000002</v>
      </c>
      <c r="Y249" s="8">
        <v>3.2349999999999999</v>
      </c>
      <c r="Z249" s="8">
        <v>1.365</v>
      </c>
      <c r="AA249" s="8">
        <v>0.27400000000000002</v>
      </c>
      <c r="AB249" s="8">
        <v>4.4999999999999998E-2</v>
      </c>
      <c r="AC249" s="8">
        <v>3.0000000000000001E-3</v>
      </c>
    </row>
    <row r="250" spans="1:29" ht="11.65" x14ac:dyDescent="0.35">
      <c r="A250" s="12">
        <v>233</v>
      </c>
      <c r="B250" s="10" t="s">
        <v>1015</v>
      </c>
      <c r="C250" s="36" t="s">
        <v>1045</v>
      </c>
      <c r="D250" s="9"/>
      <c r="E250" s="9">
        <v>1518</v>
      </c>
      <c r="F250" s="10" t="s">
        <v>1040</v>
      </c>
      <c r="G250" s="9">
        <v>1802</v>
      </c>
      <c r="H250" s="9">
        <v>1985</v>
      </c>
      <c r="I250" s="8">
        <v>92.486999999999995</v>
      </c>
      <c r="J250" s="8">
        <v>87.716999999999999</v>
      </c>
      <c r="K250" s="8">
        <v>92.305999999999997</v>
      </c>
      <c r="L250" s="8">
        <v>94.951999999999998</v>
      </c>
      <c r="M250" s="8">
        <v>83.622</v>
      </c>
      <c r="N250" s="8">
        <v>68.744</v>
      </c>
      <c r="O250" s="8">
        <v>60.764000000000003</v>
      </c>
      <c r="P250" s="8">
        <v>48.353999999999999</v>
      </c>
      <c r="Q250" s="8">
        <v>40.786000000000001</v>
      </c>
      <c r="R250" s="8">
        <v>34.597000000000001</v>
      </c>
      <c r="S250" s="8">
        <v>30.905999999999999</v>
      </c>
      <c r="T250" s="8">
        <v>26.100999999999999</v>
      </c>
      <c r="U250" s="8">
        <v>22.298999999999999</v>
      </c>
      <c r="V250" s="8">
        <v>16.681999999999999</v>
      </c>
      <c r="W250" s="8">
        <v>11.94</v>
      </c>
      <c r="X250" s="8">
        <v>8.2509999999999994</v>
      </c>
      <c r="Y250" s="8">
        <v>4.1390000000000002</v>
      </c>
      <c r="Z250" s="8">
        <v>1.5980000000000001</v>
      </c>
      <c r="AA250" s="8">
        <v>0.47099999999999997</v>
      </c>
      <c r="AB250" s="8">
        <v>5.7000000000000002E-2</v>
      </c>
      <c r="AC250" s="8">
        <v>6.0000000000000001E-3</v>
      </c>
    </row>
    <row r="251" spans="1:29" ht="11.65" x14ac:dyDescent="0.35">
      <c r="A251" s="12">
        <v>234</v>
      </c>
      <c r="B251" s="10" t="s">
        <v>1015</v>
      </c>
      <c r="C251" s="36" t="s">
        <v>1045</v>
      </c>
      <c r="D251" s="9"/>
      <c r="E251" s="9">
        <v>1518</v>
      </c>
      <c r="F251" s="10" t="s">
        <v>1040</v>
      </c>
      <c r="G251" s="9">
        <v>1802</v>
      </c>
      <c r="H251" s="9">
        <v>1990</v>
      </c>
      <c r="I251" s="8">
        <v>103.694</v>
      </c>
      <c r="J251" s="8">
        <v>93.661000000000001</v>
      </c>
      <c r="K251" s="8">
        <v>91.022999999999996</v>
      </c>
      <c r="L251" s="8">
        <v>96.866</v>
      </c>
      <c r="M251" s="8">
        <v>90.23</v>
      </c>
      <c r="N251" s="8">
        <v>85.593999999999994</v>
      </c>
      <c r="O251" s="8">
        <v>74.525999999999996</v>
      </c>
      <c r="P251" s="8">
        <v>63.811</v>
      </c>
      <c r="Q251" s="8">
        <v>50.814999999999998</v>
      </c>
      <c r="R251" s="8">
        <v>39.85</v>
      </c>
      <c r="S251" s="8">
        <v>34.320999999999998</v>
      </c>
      <c r="T251" s="8">
        <v>29.73</v>
      </c>
      <c r="U251" s="8">
        <v>24.401</v>
      </c>
      <c r="V251" s="8">
        <v>20.145</v>
      </c>
      <c r="W251" s="8">
        <v>13.8</v>
      </c>
      <c r="X251" s="8">
        <v>9.3409999999999993</v>
      </c>
      <c r="Y251" s="8">
        <v>5.2590000000000003</v>
      </c>
      <c r="Z251" s="8">
        <v>2.0419999999999998</v>
      </c>
      <c r="AA251" s="8">
        <v>0.57099999999999995</v>
      </c>
      <c r="AB251" s="8">
        <v>0.114</v>
      </c>
      <c r="AC251" s="8">
        <v>8.0000000000000002E-3</v>
      </c>
    </row>
    <row r="252" spans="1:29" ht="11.65" x14ac:dyDescent="0.35">
      <c r="A252" s="12">
        <v>235</v>
      </c>
      <c r="B252" s="10" t="s">
        <v>1015</v>
      </c>
      <c r="C252" s="36" t="s">
        <v>1045</v>
      </c>
      <c r="D252" s="9"/>
      <c r="E252" s="9">
        <v>1518</v>
      </c>
      <c r="F252" s="10" t="s">
        <v>1040</v>
      </c>
      <c r="G252" s="9">
        <v>1802</v>
      </c>
      <c r="H252" s="9">
        <v>1995</v>
      </c>
      <c r="I252" s="8">
        <v>108.021</v>
      </c>
      <c r="J252" s="8">
        <v>104.804</v>
      </c>
      <c r="K252" s="8">
        <v>98.847999999999999</v>
      </c>
      <c r="L252" s="8">
        <v>96.24</v>
      </c>
      <c r="M252" s="8">
        <v>84.677999999999997</v>
      </c>
      <c r="N252" s="8">
        <v>87.602999999999994</v>
      </c>
      <c r="O252" s="8">
        <v>86.391000000000005</v>
      </c>
      <c r="P252" s="8">
        <v>76.855000000000004</v>
      </c>
      <c r="Q252" s="8">
        <v>64.649000000000001</v>
      </c>
      <c r="R252" s="8">
        <v>48.64</v>
      </c>
      <c r="S252" s="8">
        <v>39.255000000000003</v>
      </c>
      <c r="T252" s="8">
        <v>31.388000000000002</v>
      </c>
      <c r="U252" s="8">
        <v>28.292000000000002</v>
      </c>
      <c r="V252" s="8">
        <v>21.236999999999998</v>
      </c>
      <c r="W252" s="8">
        <v>17.024999999999999</v>
      </c>
      <c r="X252" s="8">
        <v>10.928000000000001</v>
      </c>
      <c r="Y252" s="8">
        <v>6.5830000000000002</v>
      </c>
      <c r="Z252" s="8">
        <v>2.7320000000000002</v>
      </c>
      <c r="AA252" s="8">
        <v>0.77800000000000002</v>
      </c>
      <c r="AB252" s="8">
        <v>0.14199999999999999</v>
      </c>
      <c r="AC252" s="8">
        <v>1.7000000000000001E-2</v>
      </c>
    </row>
    <row r="253" spans="1:29" ht="11.65" x14ac:dyDescent="0.35">
      <c r="A253" s="12">
        <v>236</v>
      </c>
      <c r="B253" s="10" t="s">
        <v>1015</v>
      </c>
      <c r="C253" s="36" t="s">
        <v>1045</v>
      </c>
      <c r="D253" s="9"/>
      <c r="E253" s="9">
        <v>1518</v>
      </c>
      <c r="F253" s="10" t="s">
        <v>1040</v>
      </c>
      <c r="G253" s="9">
        <v>1802</v>
      </c>
      <c r="H253" s="9">
        <v>2000</v>
      </c>
      <c r="I253" s="8">
        <v>113.10899999999999</v>
      </c>
      <c r="J253" s="8">
        <v>112.093</v>
      </c>
      <c r="K253" s="8">
        <v>111.22499999999999</v>
      </c>
      <c r="L253" s="8">
        <v>99.230999999999995</v>
      </c>
      <c r="M253" s="8">
        <v>88.528999999999996</v>
      </c>
      <c r="N253" s="8">
        <v>85.254999999999995</v>
      </c>
      <c r="O253" s="8">
        <v>91.539000000000001</v>
      </c>
      <c r="P253" s="8">
        <v>91.075000000000003</v>
      </c>
      <c r="Q253" s="8">
        <v>77.685000000000002</v>
      </c>
      <c r="R253" s="8">
        <v>62.051000000000002</v>
      </c>
      <c r="S253" s="8">
        <v>46.87</v>
      </c>
      <c r="T253" s="8">
        <v>36.401000000000003</v>
      </c>
      <c r="U253" s="8">
        <v>30.321999999999999</v>
      </c>
      <c r="V253" s="8">
        <v>25.268999999999998</v>
      </c>
      <c r="W253" s="8">
        <v>18.460999999999999</v>
      </c>
      <c r="X253" s="8">
        <v>13.541</v>
      </c>
      <c r="Y253" s="8">
        <v>7.758</v>
      </c>
      <c r="Z253" s="8">
        <v>3.5619999999999998</v>
      </c>
      <c r="AA253" s="8">
        <v>1.121</v>
      </c>
      <c r="AB253" s="8">
        <v>0.20300000000000001</v>
      </c>
      <c r="AC253" s="8">
        <v>2.3E-2</v>
      </c>
    </row>
    <row r="254" spans="1:29" ht="11.65" x14ac:dyDescent="0.35">
      <c r="A254" s="12">
        <v>237</v>
      </c>
      <c r="B254" s="10" t="s">
        <v>1015</v>
      </c>
      <c r="C254" s="36" t="s">
        <v>1045</v>
      </c>
      <c r="D254" s="9"/>
      <c r="E254" s="9">
        <v>1518</v>
      </c>
      <c r="F254" s="10" t="s">
        <v>1040</v>
      </c>
      <c r="G254" s="9">
        <v>1802</v>
      </c>
      <c r="H254" s="9">
        <v>2005</v>
      </c>
      <c r="I254" s="8">
        <v>120.967</v>
      </c>
      <c r="J254" s="8">
        <v>117.495</v>
      </c>
      <c r="K254" s="8">
        <v>117.465</v>
      </c>
      <c r="L254" s="8">
        <v>115.675</v>
      </c>
      <c r="M254" s="8">
        <v>95.477000000000004</v>
      </c>
      <c r="N254" s="8">
        <v>84.313999999999993</v>
      </c>
      <c r="O254" s="8">
        <v>88.686000000000007</v>
      </c>
      <c r="P254" s="8">
        <v>94.21</v>
      </c>
      <c r="Q254" s="8">
        <v>90.918000000000006</v>
      </c>
      <c r="R254" s="8">
        <v>76.557000000000002</v>
      </c>
      <c r="S254" s="8">
        <v>61.74</v>
      </c>
      <c r="T254" s="8">
        <v>47.298000000000002</v>
      </c>
      <c r="U254" s="8">
        <v>35.953000000000003</v>
      </c>
      <c r="V254" s="8">
        <v>28.545999999999999</v>
      </c>
      <c r="W254" s="8">
        <v>22.4</v>
      </c>
      <c r="X254" s="8">
        <v>15.045999999999999</v>
      </c>
      <c r="Y254" s="8">
        <v>9.5399999999999991</v>
      </c>
      <c r="Z254" s="8">
        <v>4.5060000000000002</v>
      </c>
      <c r="AA254" s="8">
        <v>1.548</v>
      </c>
      <c r="AB254" s="8">
        <v>0.32700000000000001</v>
      </c>
      <c r="AC254" s="8">
        <v>3.6999999999999998E-2</v>
      </c>
    </row>
    <row r="255" spans="1:29" ht="11.65" x14ac:dyDescent="0.35">
      <c r="A255" s="12">
        <v>238</v>
      </c>
      <c r="B255" s="10" t="s">
        <v>1015</v>
      </c>
      <c r="C255" s="36" t="s">
        <v>1045</v>
      </c>
      <c r="D255" s="9"/>
      <c r="E255" s="9">
        <v>1518</v>
      </c>
      <c r="F255" s="10" t="s">
        <v>1040</v>
      </c>
      <c r="G255" s="9">
        <v>1802</v>
      </c>
      <c r="H255" s="9">
        <v>2010</v>
      </c>
      <c r="I255" s="8">
        <v>123.63</v>
      </c>
      <c r="J255" s="8">
        <v>121.967</v>
      </c>
      <c r="K255" s="8">
        <v>117.087</v>
      </c>
      <c r="L255" s="8">
        <v>114.151</v>
      </c>
      <c r="M255" s="8">
        <v>98.995999999999995</v>
      </c>
      <c r="N255" s="8">
        <v>84.775000000000006</v>
      </c>
      <c r="O255" s="8">
        <v>82.938999999999993</v>
      </c>
      <c r="P255" s="8">
        <v>88.543000000000006</v>
      </c>
      <c r="Q255" s="8">
        <v>93.638999999999996</v>
      </c>
      <c r="R255" s="8">
        <v>89.14</v>
      </c>
      <c r="S255" s="8">
        <v>74.349000000000004</v>
      </c>
      <c r="T255" s="8">
        <v>60.674999999999997</v>
      </c>
      <c r="U255" s="8">
        <v>46.155000000000001</v>
      </c>
      <c r="V255" s="8">
        <v>33.865000000000002</v>
      </c>
      <c r="W255" s="8">
        <v>26.111999999999998</v>
      </c>
      <c r="X255" s="8">
        <v>17.815000000000001</v>
      </c>
      <c r="Y255" s="8">
        <v>11.487</v>
      </c>
      <c r="Z255" s="8">
        <v>5.6280000000000001</v>
      </c>
      <c r="AA255" s="8">
        <v>2.0419999999999998</v>
      </c>
      <c r="AB255" s="8">
        <v>0.46800000000000003</v>
      </c>
      <c r="AC255" s="8">
        <v>6.0999999999999999E-2</v>
      </c>
    </row>
    <row r="256" spans="1:29" ht="11.65" x14ac:dyDescent="0.35">
      <c r="A256" s="12">
        <v>239</v>
      </c>
      <c r="B256" s="10" t="s">
        <v>1015</v>
      </c>
      <c r="C256" s="36" t="s">
        <v>1045</v>
      </c>
      <c r="D256" s="9"/>
      <c r="E256" s="9">
        <v>1518</v>
      </c>
      <c r="F256" s="10" t="s">
        <v>1040</v>
      </c>
      <c r="G256" s="9">
        <v>1802</v>
      </c>
      <c r="H256" s="9">
        <v>2015</v>
      </c>
      <c r="I256" s="8">
        <v>119.965</v>
      </c>
      <c r="J256" s="8">
        <v>122.151</v>
      </c>
      <c r="K256" s="8">
        <v>120.982</v>
      </c>
      <c r="L256" s="8">
        <v>114.366</v>
      </c>
      <c r="M256" s="8">
        <v>96.676000000000002</v>
      </c>
      <c r="N256" s="8">
        <v>85.522999999999996</v>
      </c>
      <c r="O256" s="8">
        <v>83.899000000000001</v>
      </c>
      <c r="P256" s="8">
        <v>87.528999999999996</v>
      </c>
      <c r="Q256" s="8">
        <v>90.287000000000006</v>
      </c>
      <c r="R256" s="8">
        <v>92.468999999999994</v>
      </c>
      <c r="S256" s="8">
        <v>85.992999999999995</v>
      </c>
      <c r="T256" s="8">
        <v>73.247</v>
      </c>
      <c r="U256" s="8">
        <v>59.281999999999996</v>
      </c>
      <c r="V256" s="8">
        <v>43.837000000000003</v>
      </c>
      <c r="W256" s="8">
        <v>30.355</v>
      </c>
      <c r="X256" s="8">
        <v>22.094000000000001</v>
      </c>
      <c r="Y256" s="8">
        <v>13.75</v>
      </c>
      <c r="Z256" s="8">
        <v>6.8680000000000003</v>
      </c>
      <c r="AA256" s="8">
        <v>2.6680000000000001</v>
      </c>
      <c r="AB256" s="8">
        <v>0.64100000000000001</v>
      </c>
      <c r="AC256" s="8">
        <v>9.4E-2</v>
      </c>
    </row>
    <row r="257" spans="1:29" ht="11.65" x14ac:dyDescent="0.35">
      <c r="A257" s="12">
        <v>240</v>
      </c>
      <c r="B257" s="10" t="s">
        <v>1015</v>
      </c>
      <c r="C257" s="36" t="s">
        <v>1045</v>
      </c>
      <c r="D257" s="9"/>
      <c r="E257" s="9">
        <v>1518</v>
      </c>
      <c r="F257" s="10" t="s">
        <v>1040</v>
      </c>
      <c r="G257" s="9">
        <v>1802</v>
      </c>
      <c r="H257" s="9">
        <v>2020</v>
      </c>
      <c r="I257" s="8">
        <v>122.191</v>
      </c>
      <c r="J257" s="8">
        <v>119.884</v>
      </c>
      <c r="K257" s="8">
        <v>122.048</v>
      </c>
      <c r="L257" s="8">
        <v>120.792</v>
      </c>
      <c r="M257" s="8">
        <v>113.33499999999999</v>
      </c>
      <c r="N257" s="8">
        <v>95.769000000000005</v>
      </c>
      <c r="O257" s="8">
        <v>86.266999999999996</v>
      </c>
      <c r="P257" s="8">
        <v>85.287999999999997</v>
      </c>
      <c r="Q257" s="8">
        <v>88.13</v>
      </c>
      <c r="R257" s="8">
        <v>89.566000000000003</v>
      </c>
      <c r="S257" s="8">
        <v>90.486000000000004</v>
      </c>
      <c r="T257" s="8">
        <v>83.465000000000003</v>
      </c>
      <c r="U257" s="8">
        <v>70.123999999999995</v>
      </c>
      <c r="V257" s="8">
        <v>54.865000000000002</v>
      </c>
      <c r="W257" s="8">
        <v>39.055</v>
      </c>
      <c r="X257" s="8">
        <v>25.396999999999998</v>
      </c>
      <c r="Y257" s="8">
        <v>16.533000000000001</v>
      </c>
      <c r="Z257" s="8">
        <v>8.8140000000000001</v>
      </c>
      <c r="AA257" s="8">
        <v>3.4910000000000001</v>
      </c>
      <c r="AB257" s="8">
        <v>0.93700000000000006</v>
      </c>
      <c r="AC257" s="8">
        <v>0.14199999999999999</v>
      </c>
    </row>
    <row r="258" spans="1:29" ht="11.65" x14ac:dyDescent="0.35">
      <c r="A258" s="35">
        <v>241</v>
      </c>
      <c r="B258" s="33" t="s">
        <v>1015</v>
      </c>
      <c r="C258" s="34" t="s">
        <v>1046</v>
      </c>
      <c r="D258" s="32" t="s">
        <v>1047</v>
      </c>
      <c r="E258" s="32">
        <v>1840</v>
      </c>
      <c r="F258" s="33" t="s">
        <v>1020</v>
      </c>
      <c r="G258" s="32">
        <v>900</v>
      </c>
      <c r="H258" s="32">
        <v>1950</v>
      </c>
      <c r="I258" s="31" t="s">
        <v>1021</v>
      </c>
      <c r="J258" s="31" t="s">
        <v>1021</v>
      </c>
      <c r="K258" s="31" t="s">
        <v>1021</v>
      </c>
      <c r="L258" s="31" t="s">
        <v>1021</v>
      </c>
      <c r="M258" s="31" t="s">
        <v>1021</v>
      </c>
      <c r="N258" s="31" t="s">
        <v>1021</v>
      </c>
      <c r="O258" s="31" t="s">
        <v>1021</v>
      </c>
      <c r="P258" s="31" t="s">
        <v>1021</v>
      </c>
      <c r="Q258" s="31" t="s">
        <v>1021</v>
      </c>
      <c r="R258" s="31" t="s">
        <v>1021</v>
      </c>
      <c r="S258" s="31" t="s">
        <v>1021</v>
      </c>
      <c r="T258" s="31" t="s">
        <v>1021</v>
      </c>
      <c r="U258" s="31" t="s">
        <v>1021</v>
      </c>
      <c r="V258" s="31" t="s">
        <v>1021</v>
      </c>
      <c r="W258" s="31" t="s">
        <v>1021</v>
      </c>
      <c r="X258" s="31" t="s">
        <v>1021</v>
      </c>
      <c r="Y258" s="31" t="s">
        <v>1021</v>
      </c>
      <c r="Z258" s="31" t="s">
        <v>1021</v>
      </c>
      <c r="AA258" s="31" t="s">
        <v>1021</v>
      </c>
      <c r="AB258" s="31" t="s">
        <v>1021</v>
      </c>
      <c r="AC258" s="31" t="s">
        <v>1021</v>
      </c>
    </row>
    <row r="259" spans="1:29" ht="11.65" x14ac:dyDescent="0.35">
      <c r="A259" s="35">
        <v>242</v>
      </c>
      <c r="B259" s="33" t="s">
        <v>1015</v>
      </c>
      <c r="C259" s="34" t="s">
        <v>1046</v>
      </c>
      <c r="D259" s="32" t="s">
        <v>1047</v>
      </c>
      <c r="E259" s="32">
        <v>1840</v>
      </c>
      <c r="F259" s="33" t="s">
        <v>1020</v>
      </c>
      <c r="G259" s="32">
        <v>900</v>
      </c>
      <c r="H259" s="32">
        <v>1955</v>
      </c>
      <c r="I259" s="31" t="s">
        <v>1021</v>
      </c>
      <c r="J259" s="31" t="s">
        <v>1021</v>
      </c>
      <c r="K259" s="31" t="s">
        <v>1021</v>
      </c>
      <c r="L259" s="31" t="s">
        <v>1021</v>
      </c>
      <c r="M259" s="31" t="s">
        <v>1021</v>
      </c>
      <c r="N259" s="31" t="s">
        <v>1021</v>
      </c>
      <c r="O259" s="31" t="s">
        <v>1021</v>
      </c>
      <c r="P259" s="31" t="s">
        <v>1021</v>
      </c>
      <c r="Q259" s="31" t="s">
        <v>1021</v>
      </c>
      <c r="R259" s="31" t="s">
        <v>1021</v>
      </c>
      <c r="S259" s="31" t="s">
        <v>1021</v>
      </c>
      <c r="T259" s="31" t="s">
        <v>1021</v>
      </c>
      <c r="U259" s="31" t="s">
        <v>1021</v>
      </c>
      <c r="V259" s="31" t="s">
        <v>1021</v>
      </c>
      <c r="W259" s="31" t="s">
        <v>1021</v>
      </c>
      <c r="X259" s="31" t="s">
        <v>1021</v>
      </c>
      <c r="Y259" s="31" t="s">
        <v>1021</v>
      </c>
      <c r="Z259" s="31" t="s">
        <v>1021</v>
      </c>
      <c r="AA259" s="31" t="s">
        <v>1021</v>
      </c>
      <c r="AB259" s="31" t="s">
        <v>1021</v>
      </c>
      <c r="AC259" s="31" t="s">
        <v>1021</v>
      </c>
    </row>
    <row r="260" spans="1:29" ht="11.65" x14ac:dyDescent="0.35">
      <c r="A260" s="35">
        <v>243</v>
      </c>
      <c r="B260" s="33" t="s">
        <v>1015</v>
      </c>
      <c r="C260" s="34" t="s">
        <v>1046</v>
      </c>
      <c r="D260" s="32" t="s">
        <v>1047</v>
      </c>
      <c r="E260" s="32">
        <v>1840</v>
      </c>
      <c r="F260" s="33" t="s">
        <v>1020</v>
      </c>
      <c r="G260" s="32">
        <v>900</v>
      </c>
      <c r="H260" s="32">
        <v>1960</v>
      </c>
      <c r="I260" s="31" t="s">
        <v>1021</v>
      </c>
      <c r="J260" s="31" t="s">
        <v>1021</v>
      </c>
      <c r="K260" s="31" t="s">
        <v>1021</v>
      </c>
      <c r="L260" s="31" t="s">
        <v>1021</v>
      </c>
      <c r="M260" s="31" t="s">
        <v>1021</v>
      </c>
      <c r="N260" s="31" t="s">
        <v>1021</v>
      </c>
      <c r="O260" s="31" t="s">
        <v>1021</v>
      </c>
      <c r="P260" s="31" t="s">
        <v>1021</v>
      </c>
      <c r="Q260" s="31" t="s">
        <v>1021</v>
      </c>
      <c r="R260" s="31" t="s">
        <v>1021</v>
      </c>
      <c r="S260" s="31" t="s">
        <v>1021</v>
      </c>
      <c r="T260" s="31" t="s">
        <v>1021</v>
      </c>
      <c r="U260" s="31" t="s">
        <v>1021</v>
      </c>
      <c r="V260" s="31" t="s">
        <v>1021</v>
      </c>
      <c r="W260" s="31" t="s">
        <v>1021</v>
      </c>
      <c r="X260" s="31" t="s">
        <v>1021</v>
      </c>
      <c r="Y260" s="31" t="s">
        <v>1021</v>
      </c>
      <c r="Z260" s="31" t="s">
        <v>1021</v>
      </c>
      <c r="AA260" s="31" t="s">
        <v>1021</v>
      </c>
      <c r="AB260" s="31" t="s">
        <v>1021</v>
      </c>
      <c r="AC260" s="31" t="s">
        <v>1021</v>
      </c>
    </row>
    <row r="261" spans="1:29" ht="11.65" x14ac:dyDescent="0.35">
      <c r="A261" s="35">
        <v>244</v>
      </c>
      <c r="B261" s="33" t="s">
        <v>1015</v>
      </c>
      <c r="C261" s="34" t="s">
        <v>1046</v>
      </c>
      <c r="D261" s="32" t="s">
        <v>1047</v>
      </c>
      <c r="E261" s="32">
        <v>1840</v>
      </c>
      <c r="F261" s="33" t="s">
        <v>1020</v>
      </c>
      <c r="G261" s="32">
        <v>900</v>
      </c>
      <c r="H261" s="32">
        <v>1965</v>
      </c>
      <c r="I261" s="31" t="s">
        <v>1021</v>
      </c>
      <c r="J261" s="31" t="s">
        <v>1021</v>
      </c>
      <c r="K261" s="31" t="s">
        <v>1021</v>
      </c>
      <c r="L261" s="31" t="s">
        <v>1021</v>
      </c>
      <c r="M261" s="31" t="s">
        <v>1021</v>
      </c>
      <c r="N261" s="31" t="s">
        <v>1021</v>
      </c>
      <c r="O261" s="31" t="s">
        <v>1021</v>
      </c>
      <c r="P261" s="31" t="s">
        <v>1021</v>
      </c>
      <c r="Q261" s="31" t="s">
        <v>1021</v>
      </c>
      <c r="R261" s="31" t="s">
        <v>1021</v>
      </c>
      <c r="S261" s="31" t="s">
        <v>1021</v>
      </c>
      <c r="T261" s="31" t="s">
        <v>1021</v>
      </c>
      <c r="U261" s="31" t="s">
        <v>1021</v>
      </c>
      <c r="V261" s="31" t="s">
        <v>1021</v>
      </c>
      <c r="W261" s="31" t="s">
        <v>1021</v>
      </c>
      <c r="X261" s="31" t="s">
        <v>1021</v>
      </c>
      <c r="Y261" s="31" t="s">
        <v>1021</v>
      </c>
      <c r="Z261" s="31" t="s">
        <v>1021</v>
      </c>
      <c r="AA261" s="31" t="s">
        <v>1021</v>
      </c>
      <c r="AB261" s="31" t="s">
        <v>1021</v>
      </c>
      <c r="AC261" s="31" t="s">
        <v>1021</v>
      </c>
    </row>
    <row r="262" spans="1:29" ht="11.65" x14ac:dyDescent="0.35">
      <c r="A262" s="35">
        <v>245</v>
      </c>
      <c r="B262" s="33" t="s">
        <v>1015</v>
      </c>
      <c r="C262" s="34" t="s">
        <v>1046</v>
      </c>
      <c r="D262" s="32" t="s">
        <v>1047</v>
      </c>
      <c r="E262" s="32">
        <v>1840</v>
      </c>
      <c r="F262" s="33" t="s">
        <v>1020</v>
      </c>
      <c r="G262" s="32">
        <v>900</v>
      </c>
      <c r="H262" s="32">
        <v>1970</v>
      </c>
      <c r="I262" s="31" t="s">
        <v>1021</v>
      </c>
      <c r="J262" s="31" t="s">
        <v>1021</v>
      </c>
      <c r="K262" s="31" t="s">
        <v>1021</v>
      </c>
      <c r="L262" s="31" t="s">
        <v>1021</v>
      </c>
      <c r="M262" s="31" t="s">
        <v>1021</v>
      </c>
      <c r="N262" s="31" t="s">
        <v>1021</v>
      </c>
      <c r="O262" s="31" t="s">
        <v>1021</v>
      </c>
      <c r="P262" s="31" t="s">
        <v>1021</v>
      </c>
      <c r="Q262" s="31" t="s">
        <v>1021</v>
      </c>
      <c r="R262" s="31" t="s">
        <v>1021</v>
      </c>
      <c r="S262" s="31" t="s">
        <v>1021</v>
      </c>
      <c r="T262" s="31" t="s">
        <v>1021</v>
      </c>
      <c r="U262" s="31" t="s">
        <v>1021</v>
      </c>
      <c r="V262" s="31" t="s">
        <v>1021</v>
      </c>
      <c r="W262" s="31" t="s">
        <v>1021</v>
      </c>
      <c r="X262" s="31" t="s">
        <v>1021</v>
      </c>
      <c r="Y262" s="31" t="s">
        <v>1021</v>
      </c>
      <c r="Z262" s="31" t="s">
        <v>1021</v>
      </c>
      <c r="AA262" s="31" t="s">
        <v>1021</v>
      </c>
      <c r="AB262" s="31" t="s">
        <v>1021</v>
      </c>
      <c r="AC262" s="31" t="s">
        <v>1021</v>
      </c>
    </row>
    <row r="263" spans="1:29" ht="11.65" x14ac:dyDescent="0.35">
      <c r="A263" s="35">
        <v>246</v>
      </c>
      <c r="B263" s="33" t="s">
        <v>1015</v>
      </c>
      <c r="C263" s="34" t="s">
        <v>1046</v>
      </c>
      <c r="D263" s="32" t="s">
        <v>1047</v>
      </c>
      <c r="E263" s="32">
        <v>1840</v>
      </c>
      <c r="F263" s="33" t="s">
        <v>1020</v>
      </c>
      <c r="G263" s="32">
        <v>900</v>
      </c>
      <c r="H263" s="32">
        <v>1975</v>
      </c>
      <c r="I263" s="31" t="s">
        <v>1021</v>
      </c>
      <c r="J263" s="31" t="s">
        <v>1021</v>
      </c>
      <c r="K263" s="31" t="s">
        <v>1021</v>
      </c>
      <c r="L263" s="31" t="s">
        <v>1021</v>
      </c>
      <c r="M263" s="31" t="s">
        <v>1021</v>
      </c>
      <c r="N263" s="31" t="s">
        <v>1021</v>
      </c>
      <c r="O263" s="31" t="s">
        <v>1021</v>
      </c>
      <c r="P263" s="31" t="s">
        <v>1021</v>
      </c>
      <c r="Q263" s="31" t="s">
        <v>1021</v>
      </c>
      <c r="R263" s="31" t="s">
        <v>1021</v>
      </c>
      <c r="S263" s="31" t="s">
        <v>1021</v>
      </c>
      <c r="T263" s="31" t="s">
        <v>1021</v>
      </c>
      <c r="U263" s="31" t="s">
        <v>1021</v>
      </c>
      <c r="V263" s="31" t="s">
        <v>1021</v>
      </c>
      <c r="W263" s="31" t="s">
        <v>1021</v>
      </c>
      <c r="X263" s="31" t="s">
        <v>1021</v>
      </c>
      <c r="Y263" s="31" t="s">
        <v>1021</v>
      </c>
      <c r="Z263" s="31" t="s">
        <v>1021</v>
      </c>
      <c r="AA263" s="31" t="s">
        <v>1021</v>
      </c>
      <c r="AB263" s="31" t="s">
        <v>1021</v>
      </c>
      <c r="AC263" s="31" t="s">
        <v>1021</v>
      </c>
    </row>
    <row r="264" spans="1:29" ht="11.65" x14ac:dyDescent="0.35">
      <c r="A264" s="35">
        <v>247</v>
      </c>
      <c r="B264" s="33" t="s">
        <v>1015</v>
      </c>
      <c r="C264" s="34" t="s">
        <v>1046</v>
      </c>
      <c r="D264" s="32" t="s">
        <v>1047</v>
      </c>
      <c r="E264" s="32">
        <v>1840</v>
      </c>
      <c r="F264" s="33" t="s">
        <v>1020</v>
      </c>
      <c r="G264" s="32">
        <v>900</v>
      </c>
      <c r="H264" s="32">
        <v>1980</v>
      </c>
      <c r="I264" s="31" t="s">
        <v>1021</v>
      </c>
      <c r="J264" s="31" t="s">
        <v>1021</v>
      </c>
      <c r="K264" s="31" t="s">
        <v>1021</v>
      </c>
      <c r="L264" s="31" t="s">
        <v>1021</v>
      </c>
      <c r="M264" s="31" t="s">
        <v>1021</v>
      </c>
      <c r="N264" s="31" t="s">
        <v>1021</v>
      </c>
      <c r="O264" s="31" t="s">
        <v>1021</v>
      </c>
      <c r="P264" s="31" t="s">
        <v>1021</v>
      </c>
      <c r="Q264" s="31" t="s">
        <v>1021</v>
      </c>
      <c r="R264" s="31" t="s">
        <v>1021</v>
      </c>
      <c r="S264" s="31" t="s">
        <v>1021</v>
      </c>
      <c r="T264" s="31" t="s">
        <v>1021</v>
      </c>
      <c r="U264" s="31" t="s">
        <v>1021</v>
      </c>
      <c r="V264" s="31" t="s">
        <v>1021</v>
      </c>
      <c r="W264" s="31" t="s">
        <v>1021</v>
      </c>
      <c r="X264" s="31" t="s">
        <v>1021</v>
      </c>
      <c r="Y264" s="31" t="s">
        <v>1021</v>
      </c>
      <c r="Z264" s="31" t="s">
        <v>1021</v>
      </c>
      <c r="AA264" s="31" t="s">
        <v>1021</v>
      </c>
      <c r="AB264" s="31" t="s">
        <v>1021</v>
      </c>
      <c r="AC264" s="31" t="s">
        <v>1021</v>
      </c>
    </row>
    <row r="265" spans="1:29" ht="11.65" x14ac:dyDescent="0.35">
      <c r="A265" s="35">
        <v>248</v>
      </c>
      <c r="B265" s="33" t="s">
        <v>1015</v>
      </c>
      <c r="C265" s="34" t="s">
        <v>1046</v>
      </c>
      <c r="D265" s="32" t="s">
        <v>1047</v>
      </c>
      <c r="E265" s="32">
        <v>1840</v>
      </c>
      <c r="F265" s="33" t="s">
        <v>1020</v>
      </c>
      <c r="G265" s="32">
        <v>900</v>
      </c>
      <c r="H265" s="32">
        <v>1985</v>
      </c>
      <c r="I265" s="31" t="s">
        <v>1021</v>
      </c>
      <c r="J265" s="31" t="s">
        <v>1021</v>
      </c>
      <c r="K265" s="31" t="s">
        <v>1021</v>
      </c>
      <c r="L265" s="31" t="s">
        <v>1021</v>
      </c>
      <c r="M265" s="31" t="s">
        <v>1021</v>
      </c>
      <c r="N265" s="31" t="s">
        <v>1021</v>
      </c>
      <c r="O265" s="31" t="s">
        <v>1021</v>
      </c>
      <c r="P265" s="31" t="s">
        <v>1021</v>
      </c>
      <c r="Q265" s="31" t="s">
        <v>1021</v>
      </c>
      <c r="R265" s="31" t="s">
        <v>1021</v>
      </c>
      <c r="S265" s="31" t="s">
        <v>1021</v>
      </c>
      <c r="T265" s="31" t="s">
        <v>1021</v>
      </c>
      <c r="U265" s="31" t="s">
        <v>1021</v>
      </c>
      <c r="V265" s="31" t="s">
        <v>1021</v>
      </c>
      <c r="W265" s="31" t="s">
        <v>1021</v>
      </c>
      <c r="X265" s="31" t="s">
        <v>1021</v>
      </c>
      <c r="Y265" s="31" t="s">
        <v>1021</v>
      </c>
      <c r="Z265" s="31" t="s">
        <v>1021</v>
      </c>
      <c r="AA265" s="31" t="s">
        <v>1021</v>
      </c>
      <c r="AB265" s="31" t="s">
        <v>1021</v>
      </c>
      <c r="AC265" s="31" t="s">
        <v>1021</v>
      </c>
    </row>
    <row r="266" spans="1:29" ht="11.65" x14ac:dyDescent="0.35">
      <c r="A266" s="35">
        <v>249</v>
      </c>
      <c r="B266" s="33" t="s">
        <v>1015</v>
      </c>
      <c r="C266" s="34" t="s">
        <v>1046</v>
      </c>
      <c r="D266" s="32" t="s">
        <v>1047</v>
      </c>
      <c r="E266" s="32">
        <v>1840</v>
      </c>
      <c r="F266" s="33" t="s">
        <v>1020</v>
      </c>
      <c r="G266" s="32">
        <v>900</v>
      </c>
      <c r="H266" s="32">
        <v>1990</v>
      </c>
      <c r="I266" s="31" t="s">
        <v>1021</v>
      </c>
      <c r="J266" s="31" t="s">
        <v>1021</v>
      </c>
      <c r="K266" s="31" t="s">
        <v>1021</v>
      </c>
      <c r="L266" s="31" t="s">
        <v>1021</v>
      </c>
      <c r="M266" s="31" t="s">
        <v>1021</v>
      </c>
      <c r="N266" s="31" t="s">
        <v>1021</v>
      </c>
      <c r="O266" s="31" t="s">
        <v>1021</v>
      </c>
      <c r="P266" s="31" t="s">
        <v>1021</v>
      </c>
      <c r="Q266" s="31" t="s">
        <v>1021</v>
      </c>
      <c r="R266" s="31" t="s">
        <v>1021</v>
      </c>
      <c r="S266" s="31" t="s">
        <v>1021</v>
      </c>
      <c r="T266" s="31" t="s">
        <v>1021</v>
      </c>
      <c r="U266" s="31" t="s">
        <v>1021</v>
      </c>
      <c r="V266" s="31" t="s">
        <v>1021</v>
      </c>
      <c r="W266" s="31" t="s">
        <v>1021</v>
      </c>
      <c r="X266" s="31" t="s">
        <v>1021</v>
      </c>
      <c r="Y266" s="31" t="s">
        <v>1021</v>
      </c>
      <c r="Z266" s="31" t="s">
        <v>1021</v>
      </c>
      <c r="AA266" s="31" t="s">
        <v>1021</v>
      </c>
      <c r="AB266" s="31" t="s">
        <v>1021</v>
      </c>
      <c r="AC266" s="31" t="s">
        <v>1021</v>
      </c>
    </row>
    <row r="267" spans="1:29" ht="11.65" x14ac:dyDescent="0.35">
      <c r="A267" s="35">
        <v>250</v>
      </c>
      <c r="B267" s="33" t="s">
        <v>1015</v>
      </c>
      <c r="C267" s="34" t="s">
        <v>1046</v>
      </c>
      <c r="D267" s="32" t="s">
        <v>1047</v>
      </c>
      <c r="E267" s="32">
        <v>1840</v>
      </c>
      <c r="F267" s="33" t="s">
        <v>1020</v>
      </c>
      <c r="G267" s="32">
        <v>900</v>
      </c>
      <c r="H267" s="32">
        <v>1995</v>
      </c>
      <c r="I267" s="31" t="s">
        <v>1021</v>
      </c>
      <c r="J267" s="31" t="s">
        <v>1021</v>
      </c>
      <c r="K267" s="31" t="s">
        <v>1021</v>
      </c>
      <c r="L267" s="31" t="s">
        <v>1021</v>
      </c>
      <c r="M267" s="31" t="s">
        <v>1021</v>
      </c>
      <c r="N267" s="31" t="s">
        <v>1021</v>
      </c>
      <c r="O267" s="31" t="s">
        <v>1021</v>
      </c>
      <c r="P267" s="31" t="s">
        <v>1021</v>
      </c>
      <c r="Q267" s="31" t="s">
        <v>1021</v>
      </c>
      <c r="R267" s="31" t="s">
        <v>1021</v>
      </c>
      <c r="S267" s="31" t="s">
        <v>1021</v>
      </c>
      <c r="T267" s="31" t="s">
        <v>1021</v>
      </c>
      <c r="U267" s="31" t="s">
        <v>1021</v>
      </c>
      <c r="V267" s="31" t="s">
        <v>1021</v>
      </c>
      <c r="W267" s="31" t="s">
        <v>1021</v>
      </c>
      <c r="X267" s="31" t="s">
        <v>1021</v>
      </c>
      <c r="Y267" s="31" t="s">
        <v>1021</v>
      </c>
      <c r="Z267" s="31" t="s">
        <v>1021</v>
      </c>
      <c r="AA267" s="31" t="s">
        <v>1021</v>
      </c>
      <c r="AB267" s="31" t="s">
        <v>1021</v>
      </c>
      <c r="AC267" s="31" t="s">
        <v>1021</v>
      </c>
    </row>
    <row r="268" spans="1:29" ht="11.65" x14ac:dyDescent="0.35">
      <c r="A268" s="35">
        <v>251</v>
      </c>
      <c r="B268" s="33" t="s">
        <v>1015</v>
      </c>
      <c r="C268" s="34" t="s">
        <v>1046</v>
      </c>
      <c r="D268" s="32" t="s">
        <v>1047</v>
      </c>
      <c r="E268" s="32">
        <v>1840</v>
      </c>
      <c r="F268" s="33" t="s">
        <v>1020</v>
      </c>
      <c r="G268" s="32">
        <v>900</v>
      </c>
      <c r="H268" s="32">
        <v>2000</v>
      </c>
      <c r="I268" s="31" t="s">
        <v>1021</v>
      </c>
      <c r="J268" s="31" t="s">
        <v>1021</v>
      </c>
      <c r="K268" s="31" t="s">
        <v>1021</v>
      </c>
      <c r="L268" s="31" t="s">
        <v>1021</v>
      </c>
      <c r="M268" s="31" t="s">
        <v>1021</v>
      </c>
      <c r="N268" s="31" t="s">
        <v>1021</v>
      </c>
      <c r="O268" s="31" t="s">
        <v>1021</v>
      </c>
      <c r="P268" s="31" t="s">
        <v>1021</v>
      </c>
      <c r="Q268" s="31" t="s">
        <v>1021</v>
      </c>
      <c r="R268" s="31" t="s">
        <v>1021</v>
      </c>
      <c r="S268" s="31" t="s">
        <v>1021</v>
      </c>
      <c r="T268" s="31" t="s">
        <v>1021</v>
      </c>
      <c r="U268" s="31" t="s">
        <v>1021</v>
      </c>
      <c r="V268" s="31" t="s">
        <v>1021</v>
      </c>
      <c r="W268" s="31" t="s">
        <v>1021</v>
      </c>
      <c r="X268" s="31" t="s">
        <v>1021</v>
      </c>
      <c r="Y268" s="31" t="s">
        <v>1021</v>
      </c>
      <c r="Z268" s="31" t="s">
        <v>1021</v>
      </c>
      <c r="AA268" s="31" t="s">
        <v>1021</v>
      </c>
      <c r="AB268" s="31" t="s">
        <v>1021</v>
      </c>
      <c r="AC268" s="31" t="s">
        <v>1021</v>
      </c>
    </row>
    <row r="269" spans="1:29" ht="11.65" x14ac:dyDescent="0.35">
      <c r="A269" s="35">
        <v>252</v>
      </c>
      <c r="B269" s="33" t="s">
        <v>1015</v>
      </c>
      <c r="C269" s="34" t="s">
        <v>1046</v>
      </c>
      <c r="D269" s="32" t="s">
        <v>1047</v>
      </c>
      <c r="E269" s="32">
        <v>1840</v>
      </c>
      <c r="F269" s="33" t="s">
        <v>1020</v>
      </c>
      <c r="G269" s="32">
        <v>900</v>
      </c>
      <c r="H269" s="32">
        <v>2005</v>
      </c>
      <c r="I269" s="31" t="s">
        <v>1021</v>
      </c>
      <c r="J269" s="31" t="s">
        <v>1021</v>
      </c>
      <c r="K269" s="31" t="s">
        <v>1021</v>
      </c>
      <c r="L269" s="31" t="s">
        <v>1021</v>
      </c>
      <c r="M269" s="31" t="s">
        <v>1021</v>
      </c>
      <c r="N269" s="31" t="s">
        <v>1021</v>
      </c>
      <c r="O269" s="31" t="s">
        <v>1021</v>
      </c>
      <c r="P269" s="31" t="s">
        <v>1021</v>
      </c>
      <c r="Q269" s="31" t="s">
        <v>1021</v>
      </c>
      <c r="R269" s="31" t="s">
        <v>1021</v>
      </c>
      <c r="S269" s="31" t="s">
        <v>1021</v>
      </c>
      <c r="T269" s="31" t="s">
        <v>1021</v>
      </c>
      <c r="U269" s="31" t="s">
        <v>1021</v>
      </c>
      <c r="V269" s="31" t="s">
        <v>1021</v>
      </c>
      <c r="W269" s="31" t="s">
        <v>1021</v>
      </c>
      <c r="X269" s="31" t="s">
        <v>1021</v>
      </c>
      <c r="Y269" s="31" t="s">
        <v>1021</v>
      </c>
      <c r="Z269" s="31" t="s">
        <v>1021</v>
      </c>
      <c r="AA269" s="31" t="s">
        <v>1021</v>
      </c>
      <c r="AB269" s="31" t="s">
        <v>1021</v>
      </c>
      <c r="AC269" s="31" t="s">
        <v>1021</v>
      </c>
    </row>
    <row r="270" spans="1:29" ht="11.65" x14ac:dyDescent="0.35">
      <c r="A270" s="35">
        <v>253</v>
      </c>
      <c r="B270" s="33" t="s">
        <v>1015</v>
      </c>
      <c r="C270" s="34" t="s">
        <v>1046</v>
      </c>
      <c r="D270" s="32" t="s">
        <v>1047</v>
      </c>
      <c r="E270" s="32">
        <v>1840</v>
      </c>
      <c r="F270" s="33" t="s">
        <v>1020</v>
      </c>
      <c r="G270" s="32">
        <v>900</v>
      </c>
      <c r="H270" s="32">
        <v>2010</v>
      </c>
      <c r="I270" s="31" t="s">
        <v>1021</v>
      </c>
      <c r="J270" s="31" t="s">
        <v>1021</v>
      </c>
      <c r="K270" s="31" t="s">
        <v>1021</v>
      </c>
      <c r="L270" s="31" t="s">
        <v>1021</v>
      </c>
      <c r="M270" s="31" t="s">
        <v>1021</v>
      </c>
      <c r="N270" s="31" t="s">
        <v>1021</v>
      </c>
      <c r="O270" s="31" t="s">
        <v>1021</v>
      </c>
      <c r="P270" s="31" t="s">
        <v>1021</v>
      </c>
      <c r="Q270" s="31" t="s">
        <v>1021</v>
      </c>
      <c r="R270" s="31" t="s">
        <v>1021</v>
      </c>
      <c r="S270" s="31" t="s">
        <v>1021</v>
      </c>
      <c r="T270" s="31" t="s">
        <v>1021</v>
      </c>
      <c r="U270" s="31" t="s">
        <v>1021</v>
      </c>
      <c r="V270" s="31" t="s">
        <v>1021</v>
      </c>
      <c r="W270" s="31" t="s">
        <v>1021</v>
      </c>
      <c r="X270" s="31" t="s">
        <v>1021</v>
      </c>
      <c r="Y270" s="31" t="s">
        <v>1021</v>
      </c>
      <c r="Z270" s="31" t="s">
        <v>1021</v>
      </c>
      <c r="AA270" s="31" t="s">
        <v>1021</v>
      </c>
      <c r="AB270" s="31" t="s">
        <v>1021</v>
      </c>
      <c r="AC270" s="31" t="s">
        <v>1021</v>
      </c>
    </row>
    <row r="271" spans="1:29" ht="11.65" x14ac:dyDescent="0.35">
      <c r="A271" s="35">
        <v>254</v>
      </c>
      <c r="B271" s="33" t="s">
        <v>1015</v>
      </c>
      <c r="C271" s="34" t="s">
        <v>1046</v>
      </c>
      <c r="D271" s="32" t="s">
        <v>1047</v>
      </c>
      <c r="E271" s="32">
        <v>1840</v>
      </c>
      <c r="F271" s="33" t="s">
        <v>1020</v>
      </c>
      <c r="G271" s="32">
        <v>900</v>
      </c>
      <c r="H271" s="32">
        <v>2015</v>
      </c>
      <c r="I271" s="31" t="s">
        <v>1021</v>
      </c>
      <c r="J271" s="31" t="s">
        <v>1021</v>
      </c>
      <c r="K271" s="31" t="s">
        <v>1021</v>
      </c>
      <c r="L271" s="31" t="s">
        <v>1021</v>
      </c>
      <c r="M271" s="31" t="s">
        <v>1021</v>
      </c>
      <c r="N271" s="31" t="s">
        <v>1021</v>
      </c>
      <c r="O271" s="31" t="s">
        <v>1021</v>
      </c>
      <c r="P271" s="31" t="s">
        <v>1021</v>
      </c>
      <c r="Q271" s="31" t="s">
        <v>1021</v>
      </c>
      <c r="R271" s="31" t="s">
        <v>1021</v>
      </c>
      <c r="S271" s="31" t="s">
        <v>1021</v>
      </c>
      <c r="T271" s="31" t="s">
        <v>1021</v>
      </c>
      <c r="U271" s="31" t="s">
        <v>1021</v>
      </c>
      <c r="V271" s="31" t="s">
        <v>1021</v>
      </c>
      <c r="W271" s="31" t="s">
        <v>1021</v>
      </c>
      <c r="X271" s="31" t="s">
        <v>1021</v>
      </c>
      <c r="Y271" s="31" t="s">
        <v>1021</v>
      </c>
      <c r="Z271" s="31" t="s">
        <v>1021</v>
      </c>
      <c r="AA271" s="31" t="s">
        <v>1021</v>
      </c>
      <c r="AB271" s="31" t="s">
        <v>1021</v>
      </c>
      <c r="AC271" s="31" t="s">
        <v>1021</v>
      </c>
    </row>
    <row r="272" spans="1:29" ht="11.65" x14ac:dyDescent="0.35">
      <c r="A272" s="35">
        <v>255</v>
      </c>
      <c r="B272" s="33" t="s">
        <v>1015</v>
      </c>
      <c r="C272" s="34" t="s">
        <v>1046</v>
      </c>
      <c r="D272" s="32" t="s">
        <v>1047</v>
      </c>
      <c r="E272" s="32">
        <v>1840</v>
      </c>
      <c r="F272" s="33" t="s">
        <v>1020</v>
      </c>
      <c r="G272" s="32">
        <v>900</v>
      </c>
      <c r="H272" s="32">
        <v>2020</v>
      </c>
      <c r="I272" s="31" t="s">
        <v>1021</v>
      </c>
      <c r="J272" s="31" t="s">
        <v>1021</v>
      </c>
      <c r="K272" s="31" t="s">
        <v>1021</v>
      </c>
      <c r="L272" s="31" t="s">
        <v>1021</v>
      </c>
      <c r="M272" s="31" t="s">
        <v>1021</v>
      </c>
      <c r="N272" s="31" t="s">
        <v>1021</v>
      </c>
      <c r="O272" s="31" t="s">
        <v>1021</v>
      </c>
      <c r="P272" s="31" t="s">
        <v>1021</v>
      </c>
      <c r="Q272" s="31" t="s">
        <v>1021</v>
      </c>
      <c r="R272" s="31" t="s">
        <v>1021</v>
      </c>
      <c r="S272" s="31" t="s">
        <v>1021</v>
      </c>
      <c r="T272" s="31" t="s">
        <v>1021</v>
      </c>
      <c r="U272" s="31" t="s">
        <v>1021</v>
      </c>
      <c r="V272" s="31" t="s">
        <v>1021</v>
      </c>
      <c r="W272" s="31" t="s">
        <v>1021</v>
      </c>
      <c r="X272" s="31" t="s">
        <v>1021</v>
      </c>
      <c r="Y272" s="31" t="s">
        <v>1021</v>
      </c>
      <c r="Z272" s="31" t="s">
        <v>1021</v>
      </c>
      <c r="AA272" s="31" t="s">
        <v>1021</v>
      </c>
      <c r="AB272" s="31" t="s">
        <v>1021</v>
      </c>
      <c r="AC272" s="31" t="s">
        <v>1021</v>
      </c>
    </row>
    <row r="273" spans="1:29" ht="11.65" x14ac:dyDescent="0.35">
      <c r="A273" s="12">
        <v>256</v>
      </c>
      <c r="B273" s="10" t="s">
        <v>1015</v>
      </c>
      <c r="C273" s="36" t="s">
        <v>1048</v>
      </c>
      <c r="D273" s="9" t="s">
        <v>1049</v>
      </c>
      <c r="E273" s="9">
        <v>903</v>
      </c>
      <c r="F273" s="10" t="s">
        <v>921</v>
      </c>
      <c r="G273" s="9">
        <v>1840</v>
      </c>
      <c r="H273" s="9">
        <v>1950</v>
      </c>
      <c r="I273" s="8">
        <v>19440.946</v>
      </c>
      <c r="J273" s="8">
        <v>14906.941999999999</v>
      </c>
      <c r="K273" s="8">
        <v>12977.401</v>
      </c>
      <c r="L273" s="8">
        <v>11642.263000000001</v>
      </c>
      <c r="M273" s="8">
        <v>10141.451999999999</v>
      </c>
      <c r="N273" s="8">
        <v>8666.1579999999994</v>
      </c>
      <c r="O273" s="8">
        <v>7405.2240000000002</v>
      </c>
      <c r="P273" s="8">
        <v>6272.5010000000002</v>
      </c>
      <c r="Q273" s="8">
        <v>5355.4920000000002</v>
      </c>
      <c r="R273" s="8">
        <v>4432.3860000000004</v>
      </c>
      <c r="S273" s="8">
        <v>3622.4789999999998</v>
      </c>
      <c r="T273" s="8">
        <v>2862.5520000000001</v>
      </c>
      <c r="U273" s="8">
        <v>2171.627</v>
      </c>
      <c r="V273" s="8">
        <v>1546.643</v>
      </c>
      <c r="W273" s="8">
        <v>980.65700000000004</v>
      </c>
      <c r="X273" s="8">
        <v>498.94400000000002</v>
      </c>
      <c r="Y273" s="8">
        <v>211.48599999999999</v>
      </c>
      <c r="Z273" s="8">
        <v>60.368000000000002</v>
      </c>
      <c r="AA273" s="8">
        <v>11.906000000000001</v>
      </c>
      <c r="AB273" s="8">
        <v>1.502</v>
      </c>
      <c r="AC273" s="8">
        <v>0.105</v>
      </c>
    </row>
    <row r="274" spans="1:29" ht="11.65" x14ac:dyDescent="0.35">
      <c r="A274" s="12">
        <v>257</v>
      </c>
      <c r="B274" s="10" t="s">
        <v>1015</v>
      </c>
      <c r="C274" s="36" t="s">
        <v>1048</v>
      </c>
      <c r="D274" s="9" t="s">
        <v>1049</v>
      </c>
      <c r="E274" s="9">
        <v>903</v>
      </c>
      <c r="F274" s="10" t="s">
        <v>921</v>
      </c>
      <c r="G274" s="9">
        <v>1840</v>
      </c>
      <c r="H274" s="9">
        <v>1955</v>
      </c>
      <c r="I274" s="8">
        <v>22111.019</v>
      </c>
      <c r="J274" s="8">
        <v>17031.474999999999</v>
      </c>
      <c r="K274" s="8">
        <v>14291.909</v>
      </c>
      <c r="L274" s="8">
        <v>12554.384</v>
      </c>
      <c r="M274" s="8">
        <v>11107.298000000001</v>
      </c>
      <c r="N274" s="8">
        <v>9562.3330000000005</v>
      </c>
      <c r="O274" s="8">
        <v>8146.2039999999997</v>
      </c>
      <c r="P274" s="8">
        <v>6931.6379999999999</v>
      </c>
      <c r="Q274" s="8">
        <v>5821.3909999999996</v>
      </c>
      <c r="R274" s="8">
        <v>4919.9089999999997</v>
      </c>
      <c r="S274" s="8">
        <v>4002.1109999999999</v>
      </c>
      <c r="T274" s="8">
        <v>3182.741</v>
      </c>
      <c r="U274" s="8">
        <v>2399.8020000000001</v>
      </c>
      <c r="V274" s="8">
        <v>1684.0540000000001</v>
      </c>
      <c r="W274" s="8">
        <v>1055.06</v>
      </c>
      <c r="X274" s="8">
        <v>543.03</v>
      </c>
      <c r="Y274" s="8">
        <v>203.268</v>
      </c>
      <c r="Z274" s="8">
        <v>55.720999999999997</v>
      </c>
      <c r="AA274" s="8">
        <v>9.1080000000000005</v>
      </c>
      <c r="AB274" s="8">
        <v>0.94</v>
      </c>
      <c r="AC274" s="8">
        <v>6.7000000000000004E-2</v>
      </c>
    </row>
    <row r="275" spans="1:29" ht="11.65" x14ac:dyDescent="0.35">
      <c r="A275" s="12">
        <v>258</v>
      </c>
      <c r="B275" s="10" t="s">
        <v>1015</v>
      </c>
      <c r="C275" s="36" t="s">
        <v>1048</v>
      </c>
      <c r="D275" s="9" t="s">
        <v>1049</v>
      </c>
      <c r="E275" s="9">
        <v>903</v>
      </c>
      <c r="F275" s="10" t="s">
        <v>921</v>
      </c>
      <c r="G275" s="9">
        <v>1840</v>
      </c>
      <c r="H275" s="9">
        <v>1960</v>
      </c>
      <c r="I275" s="8">
        <v>25215.433000000001</v>
      </c>
      <c r="J275" s="8">
        <v>19722.23</v>
      </c>
      <c r="K275" s="8">
        <v>16383.067999999999</v>
      </c>
      <c r="L275" s="8">
        <v>13787.246999999999</v>
      </c>
      <c r="M275" s="8">
        <v>11989.094999999999</v>
      </c>
      <c r="N275" s="8">
        <v>10564.964</v>
      </c>
      <c r="O275" s="8">
        <v>9080.7900000000009</v>
      </c>
      <c r="P275" s="8">
        <v>7711.7550000000001</v>
      </c>
      <c r="Q275" s="8">
        <v>6500.9989999999998</v>
      </c>
      <c r="R275" s="8">
        <v>5402.009</v>
      </c>
      <c r="S275" s="8">
        <v>4467.5060000000003</v>
      </c>
      <c r="T275" s="8">
        <v>3537.3809999999999</v>
      </c>
      <c r="U275" s="8">
        <v>2691.8249999999998</v>
      </c>
      <c r="V275" s="8">
        <v>1883.0830000000001</v>
      </c>
      <c r="W275" s="8">
        <v>1170.741</v>
      </c>
      <c r="X275" s="8">
        <v>608.88300000000004</v>
      </c>
      <c r="Y275" s="8">
        <v>229.19800000000001</v>
      </c>
      <c r="Z275" s="8">
        <v>56.874000000000002</v>
      </c>
      <c r="AA275" s="8">
        <v>8.8680000000000003</v>
      </c>
      <c r="AB275" s="8">
        <v>0.75900000000000001</v>
      </c>
      <c r="AC275" s="8">
        <v>4.5999999999999999E-2</v>
      </c>
    </row>
    <row r="276" spans="1:29" ht="11.65" x14ac:dyDescent="0.35">
      <c r="A276" s="12">
        <v>259</v>
      </c>
      <c r="B276" s="10" t="s">
        <v>1015</v>
      </c>
      <c r="C276" s="36" t="s">
        <v>1048</v>
      </c>
      <c r="D276" s="9" t="s">
        <v>1049</v>
      </c>
      <c r="E276" s="9">
        <v>903</v>
      </c>
      <c r="F276" s="10" t="s">
        <v>921</v>
      </c>
      <c r="G276" s="9">
        <v>1840</v>
      </c>
      <c r="H276" s="9">
        <v>1965</v>
      </c>
      <c r="I276" s="8">
        <v>28818.117999999999</v>
      </c>
      <c r="J276" s="8">
        <v>22769.496999999999</v>
      </c>
      <c r="K276" s="8">
        <v>19081.612000000001</v>
      </c>
      <c r="L276" s="8">
        <v>15831.909</v>
      </c>
      <c r="M276" s="8">
        <v>13145.585999999999</v>
      </c>
      <c r="N276" s="8">
        <v>11361.706</v>
      </c>
      <c r="O276" s="8">
        <v>10036.887000000001</v>
      </c>
      <c r="P276" s="8">
        <v>8596.152</v>
      </c>
      <c r="Q276" s="8">
        <v>7237.2439999999997</v>
      </c>
      <c r="R276" s="8">
        <v>6041.1679999999997</v>
      </c>
      <c r="S276" s="8">
        <v>4935.8670000000002</v>
      </c>
      <c r="T276" s="8">
        <v>3981.712</v>
      </c>
      <c r="U276" s="8">
        <v>3015.1950000000002</v>
      </c>
      <c r="V276" s="8">
        <v>2137.3330000000001</v>
      </c>
      <c r="W276" s="8">
        <v>1327.847</v>
      </c>
      <c r="X276" s="8">
        <v>684.75400000000002</v>
      </c>
      <c r="Y276" s="8">
        <v>268.08</v>
      </c>
      <c r="Z276" s="8">
        <v>66.738</v>
      </c>
      <c r="AA276" s="8">
        <v>9.4860000000000007</v>
      </c>
      <c r="AB276" s="8">
        <v>0.79500000000000004</v>
      </c>
      <c r="AC276" s="8">
        <v>3.7999999999999999E-2</v>
      </c>
    </row>
    <row r="277" spans="1:29" ht="11.65" x14ac:dyDescent="0.35">
      <c r="A277" s="12">
        <v>260</v>
      </c>
      <c r="B277" s="10" t="s">
        <v>1015</v>
      </c>
      <c r="C277" s="36" t="s">
        <v>1048</v>
      </c>
      <c r="D277" s="9" t="s">
        <v>1049</v>
      </c>
      <c r="E277" s="9">
        <v>903</v>
      </c>
      <c r="F277" s="10" t="s">
        <v>921</v>
      </c>
      <c r="G277" s="9">
        <v>1840</v>
      </c>
      <c r="H277" s="9">
        <v>1970</v>
      </c>
      <c r="I277" s="8">
        <v>32707.946</v>
      </c>
      <c r="J277" s="8">
        <v>26356.526999999998</v>
      </c>
      <c r="K277" s="8">
        <v>22117.234</v>
      </c>
      <c r="L277" s="8">
        <v>18512.727999999999</v>
      </c>
      <c r="M277" s="8">
        <v>15180.333000000001</v>
      </c>
      <c r="N277" s="8">
        <v>12541.303</v>
      </c>
      <c r="O277" s="8">
        <v>10833.796</v>
      </c>
      <c r="P277" s="8">
        <v>9514.9509999999991</v>
      </c>
      <c r="Q277" s="8">
        <v>8101.4939999999997</v>
      </c>
      <c r="R277" s="8">
        <v>6732.38</v>
      </c>
      <c r="S277" s="8">
        <v>5523.7439999999997</v>
      </c>
      <c r="T277" s="8">
        <v>4394.1459999999997</v>
      </c>
      <c r="U277" s="8">
        <v>3420.4259999999999</v>
      </c>
      <c r="V277" s="8">
        <v>2418.6950000000002</v>
      </c>
      <c r="W277" s="8">
        <v>1534.924</v>
      </c>
      <c r="X277" s="8">
        <v>790.01599999999996</v>
      </c>
      <c r="Y277" s="8">
        <v>304.77699999999999</v>
      </c>
      <c r="Z277" s="8">
        <v>80.682000000000002</v>
      </c>
      <c r="AA277" s="8">
        <v>11.465999999999999</v>
      </c>
      <c r="AB277" s="8">
        <v>0.87</v>
      </c>
      <c r="AC277" s="8">
        <v>4.2999999999999997E-2</v>
      </c>
    </row>
    <row r="278" spans="1:29" ht="11.65" x14ac:dyDescent="0.35">
      <c r="A278" s="12">
        <v>261</v>
      </c>
      <c r="B278" s="10" t="s">
        <v>1015</v>
      </c>
      <c r="C278" s="36" t="s">
        <v>1048</v>
      </c>
      <c r="D278" s="9" t="s">
        <v>1049</v>
      </c>
      <c r="E278" s="9">
        <v>903</v>
      </c>
      <c r="F278" s="10" t="s">
        <v>921</v>
      </c>
      <c r="G278" s="9">
        <v>1840</v>
      </c>
      <c r="H278" s="9">
        <v>1975</v>
      </c>
      <c r="I278" s="8">
        <v>37503.79</v>
      </c>
      <c r="J278" s="8">
        <v>30106.361000000001</v>
      </c>
      <c r="K278" s="8">
        <v>25634.662</v>
      </c>
      <c r="L278" s="8">
        <v>21519.231</v>
      </c>
      <c r="M278" s="8">
        <v>17668.214</v>
      </c>
      <c r="N278" s="8">
        <v>14359.603999999999</v>
      </c>
      <c r="O278" s="8">
        <v>11939.314</v>
      </c>
      <c r="P278" s="8">
        <v>10365.014999999999</v>
      </c>
      <c r="Q278" s="8">
        <v>9050.5660000000007</v>
      </c>
      <c r="R278" s="8">
        <v>7639.9759999999997</v>
      </c>
      <c r="S278" s="8">
        <v>6234.8559999999998</v>
      </c>
      <c r="T278" s="8">
        <v>4976.4449999999997</v>
      </c>
      <c r="U278" s="8">
        <v>3804.5050000000001</v>
      </c>
      <c r="V278" s="8">
        <v>2767.5230000000001</v>
      </c>
      <c r="W278" s="8">
        <v>1756.0909999999999</v>
      </c>
      <c r="X278" s="8">
        <v>934.15200000000004</v>
      </c>
      <c r="Y278" s="8">
        <v>365.98899999999998</v>
      </c>
      <c r="Z278" s="8">
        <v>94.358999999999995</v>
      </c>
      <c r="AA278" s="8">
        <v>14.436999999999999</v>
      </c>
      <c r="AB278" s="8">
        <v>1.095</v>
      </c>
      <c r="AC278" s="8">
        <v>4.3999999999999997E-2</v>
      </c>
    </row>
    <row r="279" spans="1:29" ht="11.65" x14ac:dyDescent="0.35">
      <c r="A279" s="12">
        <v>262</v>
      </c>
      <c r="B279" s="10" t="s">
        <v>1015</v>
      </c>
      <c r="C279" s="36" t="s">
        <v>1048</v>
      </c>
      <c r="D279" s="9" t="s">
        <v>1049</v>
      </c>
      <c r="E279" s="9">
        <v>903</v>
      </c>
      <c r="F279" s="10" t="s">
        <v>921</v>
      </c>
      <c r="G279" s="9">
        <v>1840</v>
      </c>
      <c r="H279" s="9">
        <v>1980</v>
      </c>
      <c r="I279" s="8">
        <v>43358.290999999997</v>
      </c>
      <c r="J279" s="8">
        <v>34889.612000000001</v>
      </c>
      <c r="K279" s="8">
        <v>29297.042000000001</v>
      </c>
      <c r="L279" s="8">
        <v>24834.243999999999</v>
      </c>
      <c r="M279" s="8">
        <v>20528.918000000001</v>
      </c>
      <c r="N279" s="8">
        <v>16906.297999999999</v>
      </c>
      <c r="O279" s="8">
        <v>13886.352999999999</v>
      </c>
      <c r="P279" s="8">
        <v>11498.663</v>
      </c>
      <c r="Q279" s="8">
        <v>9901.3870000000006</v>
      </c>
      <c r="R279" s="8">
        <v>8574.4969999999994</v>
      </c>
      <c r="S279" s="8">
        <v>7106.768</v>
      </c>
      <c r="T279" s="8">
        <v>5684.7809999999999</v>
      </c>
      <c r="U279" s="8">
        <v>4358.835</v>
      </c>
      <c r="V279" s="8">
        <v>3137.7269999999999</v>
      </c>
      <c r="W279" s="8">
        <v>2047.731</v>
      </c>
      <c r="X279" s="8">
        <v>1104.501</v>
      </c>
      <c r="Y279" s="8">
        <v>448.95400000000001</v>
      </c>
      <c r="Z279" s="8">
        <v>116.58799999999999</v>
      </c>
      <c r="AA279" s="8">
        <v>17.350000000000001</v>
      </c>
      <c r="AB279" s="8">
        <v>1.4450000000000001</v>
      </c>
      <c r="AC279" s="8">
        <v>6.2E-2</v>
      </c>
    </row>
    <row r="280" spans="1:29" ht="11.65" x14ac:dyDescent="0.35">
      <c r="A280" s="12">
        <v>263</v>
      </c>
      <c r="B280" s="10" t="s">
        <v>1015</v>
      </c>
      <c r="C280" s="36" t="s">
        <v>1048</v>
      </c>
      <c r="D280" s="9" t="s">
        <v>1049</v>
      </c>
      <c r="E280" s="9">
        <v>903</v>
      </c>
      <c r="F280" s="10" t="s">
        <v>921</v>
      </c>
      <c r="G280" s="9">
        <v>1840</v>
      </c>
      <c r="H280" s="9">
        <v>1985</v>
      </c>
      <c r="I280" s="8">
        <v>49689.038999999997</v>
      </c>
      <c r="J280" s="8">
        <v>40584.718999999997</v>
      </c>
      <c r="K280" s="8">
        <v>34096.951999999997</v>
      </c>
      <c r="L280" s="8">
        <v>28612.038</v>
      </c>
      <c r="M280" s="8">
        <v>23871.383999999998</v>
      </c>
      <c r="N280" s="8">
        <v>19618.589</v>
      </c>
      <c r="O280" s="8">
        <v>16227.352000000001</v>
      </c>
      <c r="P280" s="8">
        <v>13334.802</v>
      </c>
      <c r="Q280" s="8">
        <v>10964.319</v>
      </c>
      <c r="R280" s="8">
        <v>9343.1759999999995</v>
      </c>
      <c r="S280" s="8">
        <v>7971.9229999999998</v>
      </c>
      <c r="T280" s="8">
        <v>6468.9830000000002</v>
      </c>
      <c r="U280" s="8">
        <v>4992.28</v>
      </c>
      <c r="V280" s="8">
        <v>3591.2469999999998</v>
      </c>
      <c r="W280" s="8">
        <v>2337.1590000000001</v>
      </c>
      <c r="X280" s="8">
        <v>1283.569</v>
      </c>
      <c r="Y280" s="8">
        <v>529.03099999999995</v>
      </c>
      <c r="Z280" s="8">
        <v>145.43899999999999</v>
      </c>
      <c r="AA280" s="8">
        <v>21.966000000000001</v>
      </c>
      <c r="AB280" s="8">
        <v>1.7709999999999999</v>
      </c>
      <c r="AC280" s="8">
        <v>7.5999999999999998E-2</v>
      </c>
    </row>
    <row r="281" spans="1:29" ht="11.65" x14ac:dyDescent="0.35">
      <c r="A281" s="12">
        <v>264</v>
      </c>
      <c r="B281" s="10" t="s">
        <v>1015</v>
      </c>
      <c r="C281" s="36" t="s">
        <v>1048</v>
      </c>
      <c r="D281" s="9" t="s">
        <v>1049</v>
      </c>
      <c r="E281" s="9">
        <v>903</v>
      </c>
      <c r="F281" s="10" t="s">
        <v>921</v>
      </c>
      <c r="G281" s="9">
        <v>1840</v>
      </c>
      <c r="H281" s="9">
        <v>1990</v>
      </c>
      <c r="I281" s="8">
        <v>55524.951000000001</v>
      </c>
      <c r="J281" s="8">
        <v>46880.034</v>
      </c>
      <c r="K281" s="8">
        <v>39766.620999999999</v>
      </c>
      <c r="L281" s="8">
        <v>33260.292000000001</v>
      </c>
      <c r="M281" s="8">
        <v>27433.977999999999</v>
      </c>
      <c r="N281" s="8">
        <v>22902.804</v>
      </c>
      <c r="O281" s="8">
        <v>18931.103999999999</v>
      </c>
      <c r="P281" s="8">
        <v>15614.359</v>
      </c>
      <c r="Q281" s="8">
        <v>12732.995999999999</v>
      </c>
      <c r="R281" s="8">
        <v>10375.752</v>
      </c>
      <c r="S281" s="8">
        <v>8704.3529999999992</v>
      </c>
      <c r="T281" s="8">
        <v>7295.1109999999999</v>
      </c>
      <c r="U281" s="8">
        <v>5713.81</v>
      </c>
      <c r="V281" s="8">
        <v>4161.3270000000002</v>
      </c>
      <c r="W281" s="8">
        <v>2726.5430000000001</v>
      </c>
      <c r="X281" s="8">
        <v>1510.55</v>
      </c>
      <c r="Y281" s="8">
        <v>637.64099999999996</v>
      </c>
      <c r="Z281" s="8">
        <v>174.50700000000001</v>
      </c>
      <c r="AA281" s="8">
        <v>28.131</v>
      </c>
      <c r="AB281" s="8">
        <v>2.3460000000000001</v>
      </c>
      <c r="AC281" s="8">
        <v>0.114</v>
      </c>
    </row>
    <row r="282" spans="1:29" ht="11.65" x14ac:dyDescent="0.35">
      <c r="A282" s="12">
        <v>265</v>
      </c>
      <c r="B282" s="10" t="s">
        <v>1015</v>
      </c>
      <c r="C282" s="36" t="s">
        <v>1048</v>
      </c>
      <c r="D282" s="9" t="s">
        <v>1049</v>
      </c>
      <c r="E282" s="9">
        <v>903</v>
      </c>
      <c r="F282" s="10" t="s">
        <v>921</v>
      </c>
      <c r="G282" s="9">
        <v>1840</v>
      </c>
      <c r="H282" s="9">
        <v>1995</v>
      </c>
      <c r="I282" s="8">
        <v>60112.067999999999</v>
      </c>
      <c r="J282" s="8">
        <v>52347.658000000003</v>
      </c>
      <c r="K282" s="8">
        <v>45887.758999999998</v>
      </c>
      <c r="L282" s="8">
        <v>38729.644</v>
      </c>
      <c r="M282" s="8">
        <v>31910.525000000001</v>
      </c>
      <c r="N282" s="8">
        <v>26203.87</v>
      </c>
      <c r="O282" s="8">
        <v>22062.391</v>
      </c>
      <c r="P282" s="8">
        <v>18322.508000000002</v>
      </c>
      <c r="Q282" s="8">
        <v>15006</v>
      </c>
      <c r="R282" s="8">
        <v>12078.758</v>
      </c>
      <c r="S282" s="8">
        <v>9693.2720000000008</v>
      </c>
      <c r="T282" s="8">
        <v>7973.1660000000002</v>
      </c>
      <c r="U282" s="8">
        <v>6513.9350000000004</v>
      </c>
      <c r="V282" s="8">
        <v>4777.5339999999997</v>
      </c>
      <c r="W282" s="8">
        <v>3172.5819999999999</v>
      </c>
      <c r="X282" s="8">
        <v>1788.393</v>
      </c>
      <c r="Y282" s="8">
        <v>765.69200000000001</v>
      </c>
      <c r="Z282" s="8">
        <v>214.11799999999999</v>
      </c>
      <c r="AA282" s="8">
        <v>34.404000000000003</v>
      </c>
      <c r="AB282" s="8">
        <v>3.1659999999999999</v>
      </c>
      <c r="AC282" s="8">
        <v>0.161</v>
      </c>
    </row>
    <row r="283" spans="1:29" ht="11.65" x14ac:dyDescent="0.35">
      <c r="A283" s="12">
        <v>266</v>
      </c>
      <c r="B283" s="10" t="s">
        <v>1015</v>
      </c>
      <c r="C283" s="36" t="s">
        <v>1048</v>
      </c>
      <c r="D283" s="9" t="s">
        <v>1049</v>
      </c>
      <c r="E283" s="9">
        <v>903</v>
      </c>
      <c r="F283" s="10" t="s">
        <v>921</v>
      </c>
      <c r="G283" s="9">
        <v>1840</v>
      </c>
      <c r="H283" s="9">
        <v>2000</v>
      </c>
      <c r="I283" s="8">
        <v>66394.869000000006</v>
      </c>
      <c r="J283" s="8">
        <v>57149.305</v>
      </c>
      <c r="K283" s="8">
        <v>51347.107000000004</v>
      </c>
      <c r="L283" s="8">
        <v>44855.529000000002</v>
      </c>
      <c r="M283" s="8">
        <v>37342.572999999997</v>
      </c>
      <c r="N283" s="8">
        <v>30520.698</v>
      </c>
      <c r="O283" s="8">
        <v>25005.813999999998</v>
      </c>
      <c r="P283" s="8">
        <v>21036.165000000001</v>
      </c>
      <c r="Q283" s="8">
        <v>17321.929</v>
      </c>
      <c r="R283" s="8">
        <v>14054.050999999999</v>
      </c>
      <c r="S283" s="8">
        <v>11143.705</v>
      </c>
      <c r="T283" s="8">
        <v>8783.6740000000009</v>
      </c>
      <c r="U283" s="8">
        <v>6984.8249999999998</v>
      </c>
      <c r="V283" s="8">
        <v>5397.7740000000003</v>
      </c>
      <c r="W283" s="8">
        <v>3579.9789999999998</v>
      </c>
      <c r="X283" s="8">
        <v>2048.6610000000001</v>
      </c>
      <c r="Y283" s="8">
        <v>890.46699999999998</v>
      </c>
      <c r="Z283" s="8">
        <v>257.87299999999999</v>
      </c>
      <c r="AA283" s="8">
        <v>43.676000000000002</v>
      </c>
      <c r="AB283" s="8">
        <v>4.1399999999999997</v>
      </c>
      <c r="AC283" s="8">
        <v>0.23400000000000001</v>
      </c>
    </row>
    <row r="284" spans="1:29" ht="11.65" x14ac:dyDescent="0.35">
      <c r="A284" s="12">
        <v>267</v>
      </c>
      <c r="B284" s="10" t="s">
        <v>1015</v>
      </c>
      <c r="C284" s="36" t="s">
        <v>1048</v>
      </c>
      <c r="D284" s="9" t="s">
        <v>1049</v>
      </c>
      <c r="E284" s="9">
        <v>903</v>
      </c>
      <c r="F284" s="10" t="s">
        <v>921</v>
      </c>
      <c r="G284" s="9">
        <v>1840</v>
      </c>
      <c r="H284" s="9">
        <v>2005</v>
      </c>
      <c r="I284" s="8">
        <v>74343.947</v>
      </c>
      <c r="J284" s="8">
        <v>63539.171000000002</v>
      </c>
      <c r="K284" s="8">
        <v>56127.065000000002</v>
      </c>
      <c r="L284" s="8">
        <v>50176.913</v>
      </c>
      <c r="M284" s="8">
        <v>43210.053999999996</v>
      </c>
      <c r="N284" s="8">
        <v>35743.025000000001</v>
      </c>
      <c r="O284" s="8">
        <v>29159.083999999999</v>
      </c>
      <c r="P284" s="8">
        <v>23805.924999999999</v>
      </c>
      <c r="Q284" s="8">
        <v>19890.571</v>
      </c>
      <c r="R284" s="8">
        <v>16251.425999999999</v>
      </c>
      <c r="S284" s="8">
        <v>13019.675999999999</v>
      </c>
      <c r="T284" s="8">
        <v>10137.306</v>
      </c>
      <c r="U284" s="8">
        <v>7736.6080000000002</v>
      </c>
      <c r="V284" s="8">
        <v>5785.098</v>
      </c>
      <c r="W284" s="8">
        <v>4044.2310000000002</v>
      </c>
      <c r="X284" s="8">
        <v>2288.4140000000002</v>
      </c>
      <c r="Y284" s="8">
        <v>1021.689</v>
      </c>
      <c r="Z284" s="8">
        <v>306.262</v>
      </c>
      <c r="AA284" s="8">
        <v>55.487000000000002</v>
      </c>
      <c r="AB284" s="8">
        <v>5.8339999999999996</v>
      </c>
      <c r="AC284" s="8">
        <v>0.34100000000000003</v>
      </c>
    </row>
    <row r="285" spans="1:29" ht="11.65" x14ac:dyDescent="0.35">
      <c r="A285" s="12">
        <v>268</v>
      </c>
      <c r="B285" s="10" t="s">
        <v>1015</v>
      </c>
      <c r="C285" s="36" t="s">
        <v>1048</v>
      </c>
      <c r="D285" s="9" t="s">
        <v>1049</v>
      </c>
      <c r="E285" s="9">
        <v>903</v>
      </c>
      <c r="F285" s="10" t="s">
        <v>921</v>
      </c>
      <c r="G285" s="9">
        <v>1840</v>
      </c>
      <c r="H285" s="9">
        <v>2010</v>
      </c>
      <c r="I285" s="8">
        <v>84040.44</v>
      </c>
      <c r="J285" s="8">
        <v>71712.547999999995</v>
      </c>
      <c r="K285" s="8">
        <v>62498.057000000001</v>
      </c>
      <c r="L285" s="8">
        <v>55113.536</v>
      </c>
      <c r="M285" s="8">
        <v>48476.737000000001</v>
      </c>
      <c r="N285" s="8">
        <v>41422.995000000003</v>
      </c>
      <c r="O285" s="8">
        <v>34190.296999999999</v>
      </c>
      <c r="P285" s="8">
        <v>27893.808000000001</v>
      </c>
      <c r="Q285" s="8">
        <v>22709.688999999998</v>
      </c>
      <c r="R285" s="8">
        <v>18843.903999999999</v>
      </c>
      <c r="S285" s="8">
        <v>15193.858</v>
      </c>
      <c r="T285" s="8">
        <v>11937.085999999999</v>
      </c>
      <c r="U285" s="8">
        <v>9001.5439999999999</v>
      </c>
      <c r="V285" s="8">
        <v>6481.76</v>
      </c>
      <c r="W285" s="8">
        <v>4421.43</v>
      </c>
      <c r="X285" s="8">
        <v>2660.1109999999999</v>
      </c>
      <c r="Y285" s="8">
        <v>1207.1189999999999</v>
      </c>
      <c r="Z285" s="8">
        <v>368.81900000000002</v>
      </c>
      <c r="AA285" s="8">
        <v>70.209999999999994</v>
      </c>
      <c r="AB285" s="8">
        <v>8.157</v>
      </c>
      <c r="AC285" s="8">
        <v>0.54300000000000004</v>
      </c>
    </row>
    <row r="286" spans="1:29" ht="11.65" x14ac:dyDescent="0.35">
      <c r="A286" s="12">
        <v>269</v>
      </c>
      <c r="B286" s="10" t="s">
        <v>1015</v>
      </c>
      <c r="C286" s="36" t="s">
        <v>1048</v>
      </c>
      <c r="D286" s="9" t="s">
        <v>1049</v>
      </c>
      <c r="E286" s="9">
        <v>903</v>
      </c>
      <c r="F286" s="10" t="s">
        <v>921</v>
      </c>
      <c r="G286" s="9">
        <v>1840</v>
      </c>
      <c r="H286" s="9">
        <v>2015</v>
      </c>
      <c r="I286" s="8">
        <v>94155.354000000007</v>
      </c>
      <c r="J286" s="8">
        <v>81670.430999999997</v>
      </c>
      <c r="K286" s="8">
        <v>70689.843999999997</v>
      </c>
      <c r="L286" s="8">
        <v>61573.468999999997</v>
      </c>
      <c r="M286" s="8">
        <v>53734.760999999999</v>
      </c>
      <c r="N286" s="8">
        <v>46848.62</v>
      </c>
      <c r="O286" s="8">
        <v>40010.328999999998</v>
      </c>
      <c r="P286" s="8">
        <v>32937.644999999997</v>
      </c>
      <c r="Q286" s="8">
        <v>26757.106</v>
      </c>
      <c r="R286" s="8">
        <v>21659.21</v>
      </c>
      <c r="S286" s="8">
        <v>17760.315999999999</v>
      </c>
      <c r="T286" s="8">
        <v>14076.254999999999</v>
      </c>
      <c r="U286" s="8">
        <v>10740.155000000001</v>
      </c>
      <c r="V286" s="8">
        <v>7656.1450000000004</v>
      </c>
      <c r="W286" s="8">
        <v>5039.8320000000003</v>
      </c>
      <c r="X286" s="8">
        <v>2978.4690000000001</v>
      </c>
      <c r="Y286" s="8">
        <v>1430.104</v>
      </c>
      <c r="Z286" s="8">
        <v>460.20800000000003</v>
      </c>
      <c r="AA286" s="8">
        <v>90.492000000000004</v>
      </c>
      <c r="AB286" s="8">
        <v>11.412000000000001</v>
      </c>
      <c r="AC286" s="8">
        <v>0.86199999999999999</v>
      </c>
    </row>
    <row r="287" spans="1:29" ht="11.65" x14ac:dyDescent="0.35">
      <c r="A287" s="12">
        <v>270</v>
      </c>
      <c r="B287" s="10" t="s">
        <v>1015</v>
      </c>
      <c r="C287" s="36" t="s">
        <v>1048</v>
      </c>
      <c r="D287" s="9" t="s">
        <v>1049</v>
      </c>
      <c r="E287" s="9">
        <v>903</v>
      </c>
      <c r="F287" s="10" t="s">
        <v>921</v>
      </c>
      <c r="G287" s="9">
        <v>1840</v>
      </c>
      <c r="H287" s="9">
        <v>2020</v>
      </c>
      <c r="I287" s="8">
        <v>101498.216</v>
      </c>
      <c r="J287" s="8">
        <v>92042.01</v>
      </c>
      <c r="K287" s="8">
        <v>80720.709000000003</v>
      </c>
      <c r="L287" s="8">
        <v>69849.576000000001</v>
      </c>
      <c r="M287" s="8">
        <v>60449.504000000001</v>
      </c>
      <c r="N287" s="8">
        <v>52484.404000000002</v>
      </c>
      <c r="O287" s="8">
        <v>45647.099000000002</v>
      </c>
      <c r="P287" s="8">
        <v>38868.396000000001</v>
      </c>
      <c r="Q287" s="8">
        <v>31838.094000000001</v>
      </c>
      <c r="R287" s="8">
        <v>25665.01</v>
      </c>
      <c r="S287" s="8">
        <v>20520.106</v>
      </c>
      <c r="T287" s="8">
        <v>16524.031999999999</v>
      </c>
      <c r="U287" s="8">
        <v>12713.407999999999</v>
      </c>
      <c r="V287" s="8">
        <v>9221.2459999999992</v>
      </c>
      <c r="W287" s="8">
        <v>6029.9480000000003</v>
      </c>
      <c r="X287" s="8">
        <v>3453.1039999999998</v>
      </c>
      <c r="Y287" s="8">
        <v>1643.5550000000001</v>
      </c>
      <c r="Z287" s="8">
        <v>572.28599999999994</v>
      </c>
      <c r="AA287" s="8">
        <v>120.723</v>
      </c>
      <c r="AB287" s="8">
        <v>15.587</v>
      </c>
      <c r="AC287" s="8">
        <v>1.327</v>
      </c>
    </row>
    <row r="288" spans="1:29" ht="11.65" x14ac:dyDescent="0.35">
      <c r="A288" s="12">
        <v>271</v>
      </c>
      <c r="B288" s="10" t="s">
        <v>1015</v>
      </c>
      <c r="C288" s="36" t="s">
        <v>1050</v>
      </c>
      <c r="D288" s="9" t="s">
        <v>1051</v>
      </c>
      <c r="E288" s="9">
        <v>935</v>
      </c>
      <c r="F288" s="10" t="s">
        <v>921</v>
      </c>
      <c r="G288" s="9">
        <v>1840</v>
      </c>
      <c r="H288" s="9">
        <v>1950</v>
      </c>
      <c r="I288" s="8">
        <v>102439.959</v>
      </c>
      <c r="J288" s="8">
        <v>82697.013999999996</v>
      </c>
      <c r="K288" s="8">
        <v>78274.135999999999</v>
      </c>
      <c r="L288" s="8">
        <v>72071.038</v>
      </c>
      <c r="M288" s="8">
        <v>64258.915000000001</v>
      </c>
      <c r="N288" s="8">
        <v>55420.137999999999</v>
      </c>
      <c r="O288" s="8">
        <v>50615.453000000001</v>
      </c>
      <c r="P288" s="8">
        <v>45609.991000000002</v>
      </c>
      <c r="Q288" s="8">
        <v>39593.589999999997</v>
      </c>
      <c r="R288" s="8">
        <v>34128.478000000003</v>
      </c>
      <c r="S288" s="8">
        <v>28144.598000000002</v>
      </c>
      <c r="T288" s="8">
        <v>22656.471000000001</v>
      </c>
      <c r="U288" s="8">
        <v>17765.143</v>
      </c>
      <c r="V288" s="8">
        <v>12109.215</v>
      </c>
      <c r="W288" s="8">
        <v>7549.3</v>
      </c>
      <c r="X288" s="8">
        <v>4007.4520000000002</v>
      </c>
      <c r="Y288" s="8">
        <v>1497.383</v>
      </c>
      <c r="Z288" s="8">
        <v>411.47399999999999</v>
      </c>
      <c r="AA288" s="8">
        <v>85.436999999999998</v>
      </c>
      <c r="AB288" s="8">
        <v>12.73</v>
      </c>
      <c r="AC288" s="8">
        <v>0.55700000000000005</v>
      </c>
    </row>
    <row r="289" spans="1:29" ht="11.65" x14ac:dyDescent="0.35">
      <c r="A289" s="12">
        <v>272</v>
      </c>
      <c r="B289" s="10" t="s">
        <v>1015</v>
      </c>
      <c r="C289" s="36" t="s">
        <v>1050</v>
      </c>
      <c r="D289" s="9" t="s">
        <v>1051</v>
      </c>
      <c r="E289" s="9">
        <v>935</v>
      </c>
      <c r="F289" s="10" t="s">
        <v>921</v>
      </c>
      <c r="G289" s="9">
        <v>1840</v>
      </c>
      <c r="H289" s="9">
        <v>1955</v>
      </c>
      <c r="I289" s="8">
        <v>129193.351</v>
      </c>
      <c r="J289" s="8">
        <v>94799.356</v>
      </c>
      <c r="K289" s="8">
        <v>80059.972999999998</v>
      </c>
      <c r="L289" s="8">
        <v>76185.017999999996</v>
      </c>
      <c r="M289" s="8">
        <v>69641.995999999999</v>
      </c>
      <c r="N289" s="8">
        <v>61764.112999999998</v>
      </c>
      <c r="O289" s="8">
        <v>53088.186999999998</v>
      </c>
      <c r="P289" s="8">
        <v>48184.762999999999</v>
      </c>
      <c r="Q289" s="8">
        <v>42884.264999999999</v>
      </c>
      <c r="R289" s="8">
        <v>36444.409</v>
      </c>
      <c r="S289" s="8">
        <v>30616.129000000001</v>
      </c>
      <c r="T289" s="8">
        <v>24355.575000000001</v>
      </c>
      <c r="U289" s="8">
        <v>18269.766</v>
      </c>
      <c r="V289" s="8">
        <v>12991.522000000001</v>
      </c>
      <c r="W289" s="8">
        <v>7736.5990000000002</v>
      </c>
      <c r="X289" s="8">
        <v>3957.1590000000001</v>
      </c>
      <c r="Y289" s="8">
        <v>1583.0340000000001</v>
      </c>
      <c r="Z289" s="8">
        <v>406.14</v>
      </c>
      <c r="AA289" s="8">
        <v>71.781999999999996</v>
      </c>
      <c r="AB289" s="8">
        <v>10.356999999999999</v>
      </c>
      <c r="AC289" s="8">
        <v>1.161</v>
      </c>
    </row>
    <row r="290" spans="1:29" ht="11.65" x14ac:dyDescent="0.35">
      <c r="A290" s="12">
        <v>273</v>
      </c>
      <c r="B290" s="10" t="s">
        <v>1015</v>
      </c>
      <c r="C290" s="36" t="s">
        <v>1050</v>
      </c>
      <c r="D290" s="9" t="s">
        <v>1051</v>
      </c>
      <c r="E290" s="9">
        <v>935</v>
      </c>
      <c r="F290" s="10" t="s">
        <v>921</v>
      </c>
      <c r="G290" s="9">
        <v>1840</v>
      </c>
      <c r="H290" s="9">
        <v>1960</v>
      </c>
      <c r="I290" s="8">
        <v>135601.359</v>
      </c>
      <c r="J290" s="8">
        <v>120846.97100000001</v>
      </c>
      <c r="K290" s="8">
        <v>92323.933999999994</v>
      </c>
      <c r="L290" s="8">
        <v>78141.350000000006</v>
      </c>
      <c r="M290" s="8">
        <v>73932.933000000005</v>
      </c>
      <c r="N290" s="8">
        <v>67494.369000000006</v>
      </c>
      <c r="O290" s="8">
        <v>59666.576000000001</v>
      </c>
      <c r="P290" s="8">
        <v>50893.686000000002</v>
      </c>
      <c r="Q290" s="8">
        <v>45615.48</v>
      </c>
      <c r="R290" s="8">
        <v>39844.447999999997</v>
      </c>
      <c r="S290" s="8">
        <v>32947.74</v>
      </c>
      <c r="T290" s="8">
        <v>26499.755000000001</v>
      </c>
      <c r="U290" s="8">
        <v>19710.181</v>
      </c>
      <c r="V290" s="8">
        <v>13439.348</v>
      </c>
      <c r="W290" s="8">
        <v>8319.634</v>
      </c>
      <c r="X290" s="8">
        <v>3937.442</v>
      </c>
      <c r="Y290" s="8">
        <v>1544.635</v>
      </c>
      <c r="Z290" s="8">
        <v>419.46899999999999</v>
      </c>
      <c r="AA290" s="8">
        <v>71.491</v>
      </c>
      <c r="AB290" s="8">
        <v>9.2110000000000003</v>
      </c>
      <c r="AC290" s="8">
        <v>1.0840000000000001</v>
      </c>
    </row>
    <row r="291" spans="1:29" ht="11.65" x14ac:dyDescent="0.35">
      <c r="A291" s="12">
        <v>274</v>
      </c>
      <c r="B291" s="10" t="s">
        <v>1015</v>
      </c>
      <c r="C291" s="36" t="s">
        <v>1050</v>
      </c>
      <c r="D291" s="9" t="s">
        <v>1051</v>
      </c>
      <c r="E291" s="9">
        <v>935</v>
      </c>
      <c r="F291" s="10" t="s">
        <v>921</v>
      </c>
      <c r="G291" s="9">
        <v>1840</v>
      </c>
      <c r="H291" s="9">
        <v>1965</v>
      </c>
      <c r="I291" s="8">
        <v>153652.12</v>
      </c>
      <c r="J291" s="8">
        <v>127363.628</v>
      </c>
      <c r="K291" s="8">
        <v>117785.519</v>
      </c>
      <c r="L291" s="8">
        <v>90284.482999999993</v>
      </c>
      <c r="M291" s="8">
        <v>76027.08</v>
      </c>
      <c r="N291" s="8">
        <v>71840.016000000003</v>
      </c>
      <c r="O291" s="8">
        <v>65383.226000000002</v>
      </c>
      <c r="P291" s="8">
        <v>57454.396000000001</v>
      </c>
      <c r="Q291" s="8">
        <v>48419.618999999999</v>
      </c>
      <c r="R291" s="8">
        <v>42567.008000000002</v>
      </c>
      <c r="S291" s="8">
        <v>36218.313999999998</v>
      </c>
      <c r="T291" s="8">
        <v>28741.405999999999</v>
      </c>
      <c r="U291" s="8">
        <v>21693.547999999999</v>
      </c>
      <c r="V291" s="8">
        <v>14823.939</v>
      </c>
      <c r="W291" s="8">
        <v>8802.518</v>
      </c>
      <c r="X291" s="8">
        <v>4554.8429999999998</v>
      </c>
      <c r="Y291" s="8">
        <v>1680.1179999999999</v>
      </c>
      <c r="Z291" s="8">
        <v>468.95400000000001</v>
      </c>
      <c r="AA291" s="8">
        <v>84.992000000000004</v>
      </c>
      <c r="AB291" s="8">
        <v>10.247</v>
      </c>
      <c r="AC291" s="8">
        <v>1.073</v>
      </c>
    </row>
    <row r="292" spans="1:29" ht="11.65" x14ac:dyDescent="0.35">
      <c r="A292" s="12">
        <v>275</v>
      </c>
      <c r="B292" s="10" t="s">
        <v>1015</v>
      </c>
      <c r="C292" s="36" t="s">
        <v>1050</v>
      </c>
      <c r="D292" s="9" t="s">
        <v>1051</v>
      </c>
      <c r="E292" s="9">
        <v>935</v>
      </c>
      <c r="F292" s="10" t="s">
        <v>921</v>
      </c>
      <c r="G292" s="9">
        <v>1840</v>
      </c>
      <c r="H292" s="9">
        <v>1970</v>
      </c>
      <c r="I292" s="8">
        <v>173364.07</v>
      </c>
      <c r="J292" s="8">
        <v>146524.36799999999</v>
      </c>
      <c r="K292" s="8">
        <v>125461.766</v>
      </c>
      <c r="L292" s="8">
        <v>116172.274</v>
      </c>
      <c r="M292" s="8">
        <v>88649.989000000001</v>
      </c>
      <c r="N292" s="8">
        <v>74441.694000000003</v>
      </c>
      <c r="O292" s="8">
        <v>70266</v>
      </c>
      <c r="P292" s="8">
        <v>63628.529000000002</v>
      </c>
      <c r="Q292" s="8">
        <v>55427.042999999998</v>
      </c>
      <c r="R292" s="8">
        <v>46100.91</v>
      </c>
      <c r="S292" s="8">
        <v>39774.125999999997</v>
      </c>
      <c r="T292" s="8">
        <v>32887.366000000002</v>
      </c>
      <c r="U292" s="8">
        <v>24800.468000000001</v>
      </c>
      <c r="V292" s="8">
        <v>17327.958999999999</v>
      </c>
      <c r="W292" s="8">
        <v>10669.904</v>
      </c>
      <c r="X292" s="8">
        <v>5433.7110000000002</v>
      </c>
      <c r="Y292" s="8">
        <v>2233.904</v>
      </c>
      <c r="Z292" s="8">
        <v>573.85599999999999</v>
      </c>
      <c r="AA292" s="8">
        <v>102.982</v>
      </c>
      <c r="AB292" s="8">
        <v>12.909000000000001</v>
      </c>
      <c r="AC292" s="8">
        <v>1.2</v>
      </c>
    </row>
    <row r="293" spans="1:29" ht="11.65" x14ac:dyDescent="0.35">
      <c r="A293" s="12">
        <v>276</v>
      </c>
      <c r="B293" s="10" t="s">
        <v>1015</v>
      </c>
      <c r="C293" s="36" t="s">
        <v>1050</v>
      </c>
      <c r="D293" s="9" t="s">
        <v>1051</v>
      </c>
      <c r="E293" s="9">
        <v>935</v>
      </c>
      <c r="F293" s="10" t="s">
        <v>921</v>
      </c>
      <c r="G293" s="9">
        <v>1840</v>
      </c>
      <c r="H293" s="9">
        <v>1975</v>
      </c>
      <c r="I293" s="8">
        <v>179414.84299999999</v>
      </c>
      <c r="J293" s="8">
        <v>166979.489</v>
      </c>
      <c r="K293" s="8">
        <v>144525.601</v>
      </c>
      <c r="L293" s="8">
        <v>123614.323</v>
      </c>
      <c r="M293" s="8">
        <v>114221.936</v>
      </c>
      <c r="N293" s="8">
        <v>87370.544999999998</v>
      </c>
      <c r="O293" s="8">
        <v>73326.5</v>
      </c>
      <c r="P293" s="8">
        <v>68883.600999999995</v>
      </c>
      <c r="Q293" s="8">
        <v>61966.256999999998</v>
      </c>
      <c r="R293" s="8">
        <v>53330.720999999998</v>
      </c>
      <c r="S293" s="8">
        <v>43556.989000000001</v>
      </c>
      <c r="T293" s="8">
        <v>36518.991000000002</v>
      </c>
      <c r="U293" s="8">
        <v>28814.949000000001</v>
      </c>
      <c r="V293" s="8">
        <v>20243.757000000001</v>
      </c>
      <c r="W293" s="8">
        <v>12825.521000000001</v>
      </c>
      <c r="X293" s="8">
        <v>6763.924</v>
      </c>
      <c r="Y293" s="8">
        <v>2742.9740000000002</v>
      </c>
      <c r="Z293" s="8">
        <v>799.81700000000001</v>
      </c>
      <c r="AA293" s="8">
        <v>133.96700000000001</v>
      </c>
      <c r="AB293" s="8">
        <v>16.315000000000001</v>
      </c>
      <c r="AC293" s="8">
        <v>1.581</v>
      </c>
    </row>
    <row r="294" spans="1:29" ht="11.65" x14ac:dyDescent="0.35">
      <c r="A294" s="12">
        <v>277</v>
      </c>
      <c r="B294" s="10" t="s">
        <v>1015</v>
      </c>
      <c r="C294" s="36" t="s">
        <v>1050</v>
      </c>
      <c r="D294" s="9" t="s">
        <v>1051</v>
      </c>
      <c r="E294" s="9">
        <v>935</v>
      </c>
      <c r="F294" s="10" t="s">
        <v>921</v>
      </c>
      <c r="G294" s="9">
        <v>1840</v>
      </c>
      <c r="H294" s="9">
        <v>1980</v>
      </c>
      <c r="I294" s="8">
        <v>174360.98699999999</v>
      </c>
      <c r="J294" s="8">
        <v>174057.622</v>
      </c>
      <c r="K294" s="8">
        <v>165162.70699999999</v>
      </c>
      <c r="L294" s="8">
        <v>143144.60699999999</v>
      </c>
      <c r="M294" s="8">
        <v>122282.16</v>
      </c>
      <c r="N294" s="8">
        <v>112834.451</v>
      </c>
      <c r="O294" s="8">
        <v>86121.565000000002</v>
      </c>
      <c r="P294" s="8">
        <v>71930.998000000007</v>
      </c>
      <c r="Q294" s="8">
        <v>67215.395000000004</v>
      </c>
      <c r="R294" s="8">
        <v>59891.646000000001</v>
      </c>
      <c r="S294" s="8">
        <v>50781.978999999999</v>
      </c>
      <c r="T294" s="8">
        <v>40468.877999999997</v>
      </c>
      <c r="U294" s="8">
        <v>32556.959999999999</v>
      </c>
      <c r="V294" s="8">
        <v>24079.232</v>
      </c>
      <c r="W294" s="8">
        <v>15353.94</v>
      </c>
      <c r="X294" s="8">
        <v>8373.0390000000007</v>
      </c>
      <c r="Y294" s="8">
        <v>3492.5659999999998</v>
      </c>
      <c r="Z294" s="8">
        <v>1002.953</v>
      </c>
      <c r="AA294" s="8">
        <v>194.65</v>
      </c>
      <c r="AB294" s="8">
        <v>22.516999999999999</v>
      </c>
      <c r="AC294" s="8">
        <v>2.1120000000000001</v>
      </c>
    </row>
    <row r="295" spans="1:29" ht="11.65" x14ac:dyDescent="0.35">
      <c r="A295" s="12">
        <v>278</v>
      </c>
      <c r="B295" s="10" t="s">
        <v>1015</v>
      </c>
      <c r="C295" s="36" t="s">
        <v>1050</v>
      </c>
      <c r="D295" s="9" t="s">
        <v>1051</v>
      </c>
      <c r="E295" s="9">
        <v>935</v>
      </c>
      <c r="F295" s="10" t="s">
        <v>921</v>
      </c>
      <c r="G295" s="9">
        <v>1840</v>
      </c>
      <c r="H295" s="9">
        <v>1985</v>
      </c>
      <c r="I295" s="8">
        <v>188184.568</v>
      </c>
      <c r="J295" s="8">
        <v>169959.573</v>
      </c>
      <c r="K295" s="8">
        <v>172463.52900000001</v>
      </c>
      <c r="L295" s="8">
        <v>163946.13</v>
      </c>
      <c r="M295" s="8">
        <v>141717.25399999999</v>
      </c>
      <c r="N295" s="8">
        <v>121131.448</v>
      </c>
      <c r="O295" s="8">
        <v>111538.08100000001</v>
      </c>
      <c r="P295" s="8">
        <v>84916.409</v>
      </c>
      <c r="Q295" s="8">
        <v>70409.524999999994</v>
      </c>
      <c r="R295" s="8">
        <v>65077.461000000003</v>
      </c>
      <c r="S295" s="8">
        <v>57143.201000000001</v>
      </c>
      <c r="T295" s="8">
        <v>47299.86</v>
      </c>
      <c r="U295" s="8">
        <v>36250.764999999999</v>
      </c>
      <c r="V295" s="8">
        <v>27441.842000000001</v>
      </c>
      <c r="W295" s="8">
        <v>18508.322</v>
      </c>
      <c r="X295" s="8">
        <v>10183.184999999999</v>
      </c>
      <c r="Y295" s="8">
        <v>4441.8540000000003</v>
      </c>
      <c r="Z295" s="8">
        <v>1329.8040000000001</v>
      </c>
      <c r="AA295" s="8">
        <v>256.98399999999998</v>
      </c>
      <c r="AB295" s="8">
        <v>33.951999999999998</v>
      </c>
      <c r="AC295" s="8">
        <v>2.923</v>
      </c>
    </row>
    <row r="296" spans="1:29" ht="11.65" x14ac:dyDescent="0.35">
      <c r="A296" s="12">
        <v>279</v>
      </c>
      <c r="B296" s="10" t="s">
        <v>1015</v>
      </c>
      <c r="C296" s="36" t="s">
        <v>1050</v>
      </c>
      <c r="D296" s="9" t="s">
        <v>1051</v>
      </c>
      <c r="E296" s="9">
        <v>935</v>
      </c>
      <c r="F296" s="10" t="s">
        <v>921</v>
      </c>
      <c r="G296" s="9">
        <v>1840</v>
      </c>
      <c r="H296" s="9">
        <v>1990</v>
      </c>
      <c r="I296" s="8">
        <v>209673.62899999999</v>
      </c>
      <c r="J296" s="8">
        <v>184102.66</v>
      </c>
      <c r="K296" s="8">
        <v>168799.78400000001</v>
      </c>
      <c r="L296" s="8">
        <v>171193.06200000001</v>
      </c>
      <c r="M296" s="8">
        <v>162316.31700000001</v>
      </c>
      <c r="N296" s="8">
        <v>140216.06899999999</v>
      </c>
      <c r="O296" s="8">
        <v>119733.963</v>
      </c>
      <c r="P296" s="8">
        <v>109929.193</v>
      </c>
      <c r="Q296" s="8">
        <v>83152.479999999996</v>
      </c>
      <c r="R296" s="8">
        <v>68348.638000000006</v>
      </c>
      <c r="S296" s="8">
        <v>62363.618000000002</v>
      </c>
      <c r="T296" s="8">
        <v>53665.639000000003</v>
      </c>
      <c r="U296" s="8">
        <v>42820.885999999999</v>
      </c>
      <c r="V296" s="8">
        <v>30952.473999999998</v>
      </c>
      <c r="W296" s="8">
        <v>21504.795999999998</v>
      </c>
      <c r="X296" s="8">
        <v>12525.441999999999</v>
      </c>
      <c r="Y296" s="8">
        <v>5504.8190000000004</v>
      </c>
      <c r="Z296" s="8">
        <v>1755.2860000000001</v>
      </c>
      <c r="AA296" s="8">
        <v>357.12799999999999</v>
      </c>
      <c r="AB296" s="8">
        <v>47.247</v>
      </c>
      <c r="AC296" s="8">
        <v>4.468</v>
      </c>
    </row>
    <row r="297" spans="1:29" ht="11.65" x14ac:dyDescent="0.35">
      <c r="A297" s="12">
        <v>280</v>
      </c>
      <c r="B297" s="10" t="s">
        <v>1015</v>
      </c>
      <c r="C297" s="36" t="s">
        <v>1050</v>
      </c>
      <c r="D297" s="9" t="s">
        <v>1051</v>
      </c>
      <c r="E297" s="9">
        <v>935</v>
      </c>
      <c r="F297" s="10" t="s">
        <v>921</v>
      </c>
      <c r="G297" s="9">
        <v>1840</v>
      </c>
      <c r="H297" s="9">
        <v>1995</v>
      </c>
      <c r="I297" s="8">
        <v>196720.80600000001</v>
      </c>
      <c r="J297" s="8">
        <v>206053.467</v>
      </c>
      <c r="K297" s="8">
        <v>182869.84299999999</v>
      </c>
      <c r="L297" s="8">
        <v>167380.26999999999</v>
      </c>
      <c r="M297" s="8">
        <v>169028.32699999999</v>
      </c>
      <c r="N297" s="8">
        <v>160284.85800000001</v>
      </c>
      <c r="O297" s="8">
        <v>138440.40700000001</v>
      </c>
      <c r="P297" s="8">
        <v>117908.63499999999</v>
      </c>
      <c r="Q297" s="8">
        <v>107848.853</v>
      </c>
      <c r="R297" s="8">
        <v>80935.808999999994</v>
      </c>
      <c r="S297" s="8">
        <v>65646.088000000003</v>
      </c>
      <c r="T297" s="8">
        <v>58562.722000000002</v>
      </c>
      <c r="U297" s="8">
        <v>48711.777999999998</v>
      </c>
      <c r="V297" s="8">
        <v>36715.264999999999</v>
      </c>
      <c r="W297" s="8">
        <v>24262.824000000001</v>
      </c>
      <c r="X297" s="8">
        <v>14709.817999999999</v>
      </c>
      <c r="Y297" s="8">
        <v>7016.0379999999996</v>
      </c>
      <c r="Z297" s="8">
        <v>2287.9659999999999</v>
      </c>
      <c r="AA297" s="8">
        <v>492.07900000000001</v>
      </c>
      <c r="AB297" s="8">
        <v>67.284000000000006</v>
      </c>
      <c r="AC297" s="8">
        <v>6.2809999999999997</v>
      </c>
    </row>
    <row r="298" spans="1:29" ht="11.65" x14ac:dyDescent="0.35">
      <c r="A298" s="12">
        <v>281</v>
      </c>
      <c r="B298" s="10" t="s">
        <v>1015</v>
      </c>
      <c r="C298" s="36" t="s">
        <v>1050</v>
      </c>
      <c r="D298" s="9" t="s">
        <v>1051</v>
      </c>
      <c r="E298" s="9">
        <v>935</v>
      </c>
      <c r="F298" s="10" t="s">
        <v>921</v>
      </c>
      <c r="G298" s="9">
        <v>1840</v>
      </c>
      <c r="H298" s="9">
        <v>2000</v>
      </c>
      <c r="I298" s="8">
        <v>191584.54500000001</v>
      </c>
      <c r="J298" s="8">
        <v>193761.18</v>
      </c>
      <c r="K298" s="8">
        <v>204662.04800000001</v>
      </c>
      <c r="L298" s="8">
        <v>181182.114</v>
      </c>
      <c r="M298" s="8">
        <v>165104.41800000001</v>
      </c>
      <c r="N298" s="8">
        <v>167111.89000000001</v>
      </c>
      <c r="O298" s="8">
        <v>158286.84700000001</v>
      </c>
      <c r="P298" s="8">
        <v>136409.95300000001</v>
      </c>
      <c r="Q298" s="8">
        <v>115741.41499999999</v>
      </c>
      <c r="R298" s="8">
        <v>105157.211</v>
      </c>
      <c r="S298" s="8">
        <v>77845.248999999996</v>
      </c>
      <c r="T298" s="8">
        <v>61733.567000000003</v>
      </c>
      <c r="U298" s="8">
        <v>53412.964</v>
      </c>
      <c r="V298" s="8">
        <v>42126.387999999999</v>
      </c>
      <c r="W298" s="8">
        <v>29115.67</v>
      </c>
      <c r="X298" s="8">
        <v>16862.221000000001</v>
      </c>
      <c r="Y298" s="8">
        <v>8406.6890000000003</v>
      </c>
      <c r="Z298" s="8">
        <v>3059.6170000000002</v>
      </c>
      <c r="AA298" s="8">
        <v>688.84299999999996</v>
      </c>
      <c r="AB298" s="8">
        <v>100.952</v>
      </c>
      <c r="AC298" s="8">
        <v>9.6199999999999992</v>
      </c>
    </row>
    <row r="299" spans="1:29" ht="11.65" x14ac:dyDescent="0.35">
      <c r="A299" s="12">
        <v>282</v>
      </c>
      <c r="B299" s="10" t="s">
        <v>1015</v>
      </c>
      <c r="C299" s="36" t="s">
        <v>1050</v>
      </c>
      <c r="D299" s="9" t="s">
        <v>1051</v>
      </c>
      <c r="E299" s="9">
        <v>935</v>
      </c>
      <c r="F299" s="10" t="s">
        <v>921</v>
      </c>
      <c r="G299" s="9">
        <v>1840</v>
      </c>
      <c r="H299" s="9">
        <v>2005</v>
      </c>
      <c r="I299" s="8">
        <v>190538.23699999999</v>
      </c>
      <c r="J299" s="8">
        <v>190093.95800000001</v>
      </c>
      <c r="K299" s="8">
        <v>193194.17499999999</v>
      </c>
      <c r="L299" s="8">
        <v>203023.527</v>
      </c>
      <c r="M299" s="8">
        <v>178344.342</v>
      </c>
      <c r="N299" s="8">
        <v>163341.63500000001</v>
      </c>
      <c r="O299" s="8">
        <v>165281.56</v>
      </c>
      <c r="P299" s="8">
        <v>156252.46100000001</v>
      </c>
      <c r="Q299" s="8">
        <v>134014.96100000001</v>
      </c>
      <c r="R299" s="8">
        <v>112535.681</v>
      </c>
      <c r="S299" s="8">
        <v>101368.249</v>
      </c>
      <c r="T299" s="8">
        <v>74201.017999999996</v>
      </c>
      <c r="U299" s="8">
        <v>56944.944000000003</v>
      </c>
      <c r="V299" s="8">
        <v>46623.964</v>
      </c>
      <c r="W299" s="8">
        <v>33971.29</v>
      </c>
      <c r="X299" s="8">
        <v>20580.86</v>
      </c>
      <c r="Y299" s="8">
        <v>9979.9549999999999</v>
      </c>
      <c r="Z299" s="8">
        <v>3804.69</v>
      </c>
      <c r="AA299" s="8">
        <v>963.81799999999998</v>
      </c>
      <c r="AB299" s="8">
        <v>149.09800000000001</v>
      </c>
      <c r="AC299" s="8">
        <v>15.29</v>
      </c>
    </row>
    <row r="300" spans="1:29" ht="11.65" x14ac:dyDescent="0.35">
      <c r="A300" s="12">
        <v>283</v>
      </c>
      <c r="B300" s="10" t="s">
        <v>1015</v>
      </c>
      <c r="C300" s="36" t="s">
        <v>1050</v>
      </c>
      <c r="D300" s="9" t="s">
        <v>1051</v>
      </c>
      <c r="E300" s="9">
        <v>935</v>
      </c>
      <c r="F300" s="10" t="s">
        <v>921</v>
      </c>
      <c r="G300" s="9">
        <v>1840</v>
      </c>
      <c r="H300" s="9">
        <v>2010</v>
      </c>
      <c r="I300" s="8">
        <v>192413.57699999999</v>
      </c>
      <c r="J300" s="8">
        <v>189162.807</v>
      </c>
      <c r="K300" s="8">
        <v>189290.6</v>
      </c>
      <c r="L300" s="8">
        <v>190873.94</v>
      </c>
      <c r="M300" s="8">
        <v>199507.44699999999</v>
      </c>
      <c r="N300" s="8">
        <v>177223.91500000001</v>
      </c>
      <c r="O300" s="8">
        <v>162038.39999999999</v>
      </c>
      <c r="P300" s="8">
        <v>163917.54199999999</v>
      </c>
      <c r="Q300" s="8">
        <v>154313.99</v>
      </c>
      <c r="R300" s="8">
        <v>131334.37299999999</v>
      </c>
      <c r="S300" s="8">
        <v>109185.48</v>
      </c>
      <c r="T300" s="8">
        <v>96545.510999999999</v>
      </c>
      <c r="U300" s="8">
        <v>68379.005999999994</v>
      </c>
      <c r="V300" s="8">
        <v>50060.474000000002</v>
      </c>
      <c r="W300" s="8">
        <v>38012.127999999997</v>
      </c>
      <c r="X300" s="8">
        <v>24327.007000000001</v>
      </c>
      <c r="Y300" s="8">
        <v>12536.87</v>
      </c>
      <c r="Z300" s="8">
        <v>4699.2479999999996</v>
      </c>
      <c r="AA300" s="8">
        <v>1246.854</v>
      </c>
      <c r="AB300" s="8">
        <v>218.995</v>
      </c>
      <c r="AC300" s="8">
        <v>24.172999999999998</v>
      </c>
    </row>
    <row r="301" spans="1:29" ht="11.65" x14ac:dyDescent="0.35">
      <c r="A301" s="12">
        <v>284</v>
      </c>
      <c r="B301" s="10" t="s">
        <v>1015</v>
      </c>
      <c r="C301" s="36" t="s">
        <v>1050</v>
      </c>
      <c r="D301" s="9" t="s">
        <v>1051</v>
      </c>
      <c r="E301" s="9">
        <v>935</v>
      </c>
      <c r="F301" s="10" t="s">
        <v>921</v>
      </c>
      <c r="G301" s="9">
        <v>1840</v>
      </c>
      <c r="H301" s="9">
        <v>2015</v>
      </c>
      <c r="I301" s="8">
        <v>191631.69899999999</v>
      </c>
      <c r="J301" s="8">
        <v>190803.73800000001</v>
      </c>
      <c r="K301" s="8">
        <v>188052.715</v>
      </c>
      <c r="L301" s="8">
        <v>187981.908</v>
      </c>
      <c r="M301" s="8">
        <v>189201.019</v>
      </c>
      <c r="N301" s="8">
        <v>198231.541</v>
      </c>
      <c r="O301" s="8">
        <v>175677.66200000001</v>
      </c>
      <c r="P301" s="8">
        <v>159951.26500000001</v>
      </c>
      <c r="Q301" s="8">
        <v>161398.57199999999</v>
      </c>
      <c r="R301" s="8">
        <v>151063.353</v>
      </c>
      <c r="S301" s="8">
        <v>127367.02899999999</v>
      </c>
      <c r="T301" s="8">
        <v>104138.74</v>
      </c>
      <c r="U301" s="8">
        <v>89718.048999999999</v>
      </c>
      <c r="V301" s="8">
        <v>60652.063999999998</v>
      </c>
      <c r="W301" s="8">
        <v>41351.690999999999</v>
      </c>
      <c r="X301" s="8">
        <v>27852.345000000001</v>
      </c>
      <c r="Y301" s="8">
        <v>15266.591</v>
      </c>
      <c r="Z301" s="8">
        <v>6179.0540000000001</v>
      </c>
      <c r="AA301" s="8">
        <v>1644.413</v>
      </c>
      <c r="AB301" s="8">
        <v>301.67899999999997</v>
      </c>
      <c r="AC301" s="8">
        <v>37.468000000000004</v>
      </c>
    </row>
    <row r="302" spans="1:29" ht="11.65" x14ac:dyDescent="0.35">
      <c r="A302" s="12">
        <v>285</v>
      </c>
      <c r="B302" s="10" t="s">
        <v>1015</v>
      </c>
      <c r="C302" s="36" t="s">
        <v>1050</v>
      </c>
      <c r="D302" s="9" t="s">
        <v>1051</v>
      </c>
      <c r="E302" s="9">
        <v>935</v>
      </c>
      <c r="F302" s="10" t="s">
        <v>921</v>
      </c>
      <c r="G302" s="9">
        <v>1840</v>
      </c>
      <c r="H302" s="9">
        <v>2020</v>
      </c>
      <c r="I302" s="8">
        <v>188595.74</v>
      </c>
      <c r="J302" s="8">
        <v>190317.09599999999</v>
      </c>
      <c r="K302" s="8">
        <v>189941.69899999999</v>
      </c>
      <c r="L302" s="8">
        <v>186712.054</v>
      </c>
      <c r="M302" s="8">
        <v>186538.84</v>
      </c>
      <c r="N302" s="8">
        <v>188680.94399999999</v>
      </c>
      <c r="O302" s="8">
        <v>197131.82399999999</v>
      </c>
      <c r="P302" s="8">
        <v>173436.516</v>
      </c>
      <c r="Q302" s="8">
        <v>157313.12700000001</v>
      </c>
      <c r="R302" s="8">
        <v>158098.02799999999</v>
      </c>
      <c r="S302" s="8">
        <v>146817.288</v>
      </c>
      <c r="T302" s="8">
        <v>121884.818</v>
      </c>
      <c r="U302" s="8">
        <v>97109.838000000003</v>
      </c>
      <c r="V302" s="8">
        <v>80479.941999999995</v>
      </c>
      <c r="W302" s="8">
        <v>50823.082999999999</v>
      </c>
      <c r="X302" s="8">
        <v>31009.343000000001</v>
      </c>
      <c r="Y302" s="8">
        <v>17898.682000000001</v>
      </c>
      <c r="Z302" s="8">
        <v>7874.7030000000004</v>
      </c>
      <c r="AA302" s="8">
        <v>2309.587</v>
      </c>
      <c r="AB302" s="8">
        <v>431.86399999999998</v>
      </c>
      <c r="AC302" s="8">
        <v>57.018999999999998</v>
      </c>
    </row>
    <row r="303" spans="1:29" ht="11.65" x14ac:dyDescent="0.35">
      <c r="A303" s="12">
        <v>286</v>
      </c>
      <c r="B303" s="10" t="s">
        <v>1015</v>
      </c>
      <c r="C303" s="36" t="s">
        <v>1052</v>
      </c>
      <c r="D303" s="9" t="s">
        <v>1053</v>
      </c>
      <c r="E303" s="9">
        <v>908</v>
      </c>
      <c r="F303" s="10" t="s">
        <v>921</v>
      </c>
      <c r="G303" s="9">
        <v>1840</v>
      </c>
      <c r="H303" s="9">
        <v>1950</v>
      </c>
      <c r="I303" s="8">
        <v>26334.262999999999</v>
      </c>
      <c r="J303" s="8">
        <v>21259.343000000001</v>
      </c>
      <c r="K303" s="8">
        <v>25708.226999999999</v>
      </c>
      <c r="L303" s="8">
        <v>23248.28</v>
      </c>
      <c r="M303" s="8">
        <v>23989.124</v>
      </c>
      <c r="N303" s="8">
        <v>19609.594000000001</v>
      </c>
      <c r="O303" s="8">
        <v>14143.909</v>
      </c>
      <c r="P303" s="8">
        <v>17997.278999999999</v>
      </c>
      <c r="Q303" s="8">
        <v>17889.534</v>
      </c>
      <c r="R303" s="8">
        <v>16017.695</v>
      </c>
      <c r="S303" s="8">
        <v>13069.493</v>
      </c>
      <c r="T303" s="8">
        <v>10486.91</v>
      </c>
      <c r="U303" s="8">
        <v>8942.7270000000008</v>
      </c>
      <c r="V303" s="8">
        <v>7202.8429999999998</v>
      </c>
      <c r="W303" s="8">
        <v>5309.3159999999998</v>
      </c>
      <c r="X303" s="8">
        <v>3209.2959999999998</v>
      </c>
      <c r="Y303" s="8">
        <v>1410.6220000000001</v>
      </c>
      <c r="Z303" s="8">
        <v>498.20800000000003</v>
      </c>
      <c r="AA303" s="8">
        <v>114.34099999999999</v>
      </c>
      <c r="AB303" s="8">
        <v>18.61</v>
      </c>
      <c r="AC303" s="8">
        <v>2.516</v>
      </c>
    </row>
    <row r="304" spans="1:29" ht="11.65" x14ac:dyDescent="0.35">
      <c r="A304" s="12">
        <v>287</v>
      </c>
      <c r="B304" s="10" t="s">
        <v>1015</v>
      </c>
      <c r="C304" s="36" t="s">
        <v>1052</v>
      </c>
      <c r="D304" s="9" t="s">
        <v>1053</v>
      </c>
      <c r="E304" s="9">
        <v>908</v>
      </c>
      <c r="F304" s="10" t="s">
        <v>921</v>
      </c>
      <c r="G304" s="9">
        <v>1840</v>
      </c>
      <c r="H304" s="9">
        <v>1955</v>
      </c>
      <c r="I304" s="8">
        <v>28404.273000000001</v>
      </c>
      <c r="J304" s="8">
        <v>25783.883000000002</v>
      </c>
      <c r="K304" s="8">
        <v>21106.594000000001</v>
      </c>
      <c r="L304" s="8">
        <v>25418.517</v>
      </c>
      <c r="M304" s="8">
        <v>22911.642</v>
      </c>
      <c r="N304" s="8">
        <v>23539.507000000001</v>
      </c>
      <c r="O304" s="8">
        <v>19205.925999999999</v>
      </c>
      <c r="P304" s="8">
        <v>13787.861999999999</v>
      </c>
      <c r="Q304" s="8">
        <v>17551.03</v>
      </c>
      <c r="R304" s="8">
        <v>17282.901000000002</v>
      </c>
      <c r="S304" s="8">
        <v>15280.329</v>
      </c>
      <c r="T304" s="8">
        <v>12127.099</v>
      </c>
      <c r="U304" s="8">
        <v>9388.2029999999995</v>
      </c>
      <c r="V304" s="8">
        <v>7567.1080000000002</v>
      </c>
      <c r="W304" s="8">
        <v>5585.0290000000005</v>
      </c>
      <c r="X304" s="8">
        <v>3551.4229999999998</v>
      </c>
      <c r="Y304" s="8">
        <v>1731.7860000000001</v>
      </c>
      <c r="Z304" s="8">
        <v>531.91300000000001</v>
      </c>
      <c r="AA304" s="8">
        <v>120.46899999999999</v>
      </c>
      <c r="AB304" s="8">
        <v>16.766999999999999</v>
      </c>
      <c r="AC304" s="8">
        <v>1.806</v>
      </c>
    </row>
    <row r="305" spans="1:29" ht="11.65" x14ac:dyDescent="0.35">
      <c r="A305" s="12">
        <v>288</v>
      </c>
      <c r="B305" s="10" t="s">
        <v>1015</v>
      </c>
      <c r="C305" s="36" t="s">
        <v>1052</v>
      </c>
      <c r="D305" s="9" t="s">
        <v>1053</v>
      </c>
      <c r="E305" s="9">
        <v>908</v>
      </c>
      <c r="F305" s="10" t="s">
        <v>921</v>
      </c>
      <c r="G305" s="9">
        <v>1840</v>
      </c>
      <c r="H305" s="9">
        <v>1960</v>
      </c>
      <c r="I305" s="8">
        <v>29225.647000000001</v>
      </c>
      <c r="J305" s="8">
        <v>28141.678</v>
      </c>
      <c r="K305" s="8">
        <v>25983.078000000001</v>
      </c>
      <c r="L305" s="8">
        <v>21036.562000000002</v>
      </c>
      <c r="M305" s="8">
        <v>24922.552</v>
      </c>
      <c r="N305" s="8">
        <v>22529.633000000002</v>
      </c>
      <c r="O305" s="8">
        <v>23052.219000000001</v>
      </c>
      <c r="P305" s="8">
        <v>18731.886999999999</v>
      </c>
      <c r="Q305" s="8">
        <v>13420.924000000001</v>
      </c>
      <c r="R305" s="8">
        <v>16998.512999999999</v>
      </c>
      <c r="S305" s="8">
        <v>16540.476999999999</v>
      </c>
      <c r="T305" s="8">
        <v>14214.078</v>
      </c>
      <c r="U305" s="8">
        <v>10882.251</v>
      </c>
      <c r="V305" s="8">
        <v>7955.7939999999999</v>
      </c>
      <c r="W305" s="8">
        <v>5897.6210000000001</v>
      </c>
      <c r="X305" s="8">
        <v>3782.6590000000001</v>
      </c>
      <c r="Y305" s="8">
        <v>1940.1479999999999</v>
      </c>
      <c r="Z305" s="8">
        <v>670.91099999999994</v>
      </c>
      <c r="AA305" s="8">
        <v>130.72399999999999</v>
      </c>
      <c r="AB305" s="8">
        <v>17.244</v>
      </c>
      <c r="AC305" s="8">
        <v>1.456</v>
      </c>
    </row>
    <row r="306" spans="1:29" ht="11.65" x14ac:dyDescent="0.35">
      <c r="A306" s="12">
        <v>289</v>
      </c>
      <c r="B306" s="10" t="s">
        <v>1015</v>
      </c>
      <c r="C306" s="36" t="s">
        <v>1052</v>
      </c>
      <c r="D306" s="9" t="s">
        <v>1053</v>
      </c>
      <c r="E306" s="9">
        <v>908</v>
      </c>
      <c r="F306" s="10" t="s">
        <v>921</v>
      </c>
      <c r="G306" s="9">
        <v>1840</v>
      </c>
      <c r="H306" s="9">
        <v>1965</v>
      </c>
      <c r="I306" s="8">
        <v>28805.556</v>
      </c>
      <c r="J306" s="8">
        <v>29118.096000000001</v>
      </c>
      <c r="K306" s="8">
        <v>28068.598000000002</v>
      </c>
      <c r="L306" s="8">
        <v>25911.617999999999</v>
      </c>
      <c r="M306" s="8">
        <v>20910.353999999999</v>
      </c>
      <c r="N306" s="8">
        <v>24727.293000000001</v>
      </c>
      <c r="O306" s="8">
        <v>22312.916000000001</v>
      </c>
      <c r="P306" s="8">
        <v>22831.458999999999</v>
      </c>
      <c r="Q306" s="8">
        <v>18466.481</v>
      </c>
      <c r="R306" s="8">
        <v>13079.014999999999</v>
      </c>
      <c r="S306" s="8">
        <v>16373.909</v>
      </c>
      <c r="T306" s="8">
        <v>15575.573</v>
      </c>
      <c r="U306" s="8">
        <v>12866.245000000001</v>
      </c>
      <c r="V306" s="8">
        <v>9258.1329999999998</v>
      </c>
      <c r="W306" s="8">
        <v>6241.8739999999998</v>
      </c>
      <c r="X306" s="8">
        <v>4064.34</v>
      </c>
      <c r="Y306" s="8">
        <v>2137.636</v>
      </c>
      <c r="Z306" s="8">
        <v>769.41499999999996</v>
      </c>
      <c r="AA306" s="8">
        <v>170.15899999999999</v>
      </c>
      <c r="AB306" s="8">
        <v>19.34</v>
      </c>
      <c r="AC306" s="8">
        <v>1.512</v>
      </c>
    </row>
    <row r="307" spans="1:29" ht="11.65" x14ac:dyDescent="0.35">
      <c r="A307" s="12">
        <v>290</v>
      </c>
      <c r="B307" s="10" t="s">
        <v>1015</v>
      </c>
      <c r="C307" s="36" t="s">
        <v>1052</v>
      </c>
      <c r="D307" s="9" t="s">
        <v>1053</v>
      </c>
      <c r="E307" s="9">
        <v>908</v>
      </c>
      <c r="F307" s="10" t="s">
        <v>921</v>
      </c>
      <c r="G307" s="9">
        <v>1840</v>
      </c>
      <c r="H307" s="9">
        <v>1970</v>
      </c>
      <c r="I307" s="8">
        <v>27048.165000000001</v>
      </c>
      <c r="J307" s="8">
        <v>28706.116000000002</v>
      </c>
      <c r="K307" s="8">
        <v>29154.381000000001</v>
      </c>
      <c r="L307" s="8">
        <v>27826.567999999999</v>
      </c>
      <c r="M307" s="8">
        <v>25547.192999999999</v>
      </c>
      <c r="N307" s="8">
        <v>20607.919000000002</v>
      </c>
      <c r="O307" s="8">
        <v>24316.678</v>
      </c>
      <c r="P307" s="8">
        <v>21907.442999999999</v>
      </c>
      <c r="Q307" s="8">
        <v>22469.052</v>
      </c>
      <c r="R307" s="8">
        <v>18003.452000000001</v>
      </c>
      <c r="S307" s="8">
        <v>12470.594999999999</v>
      </c>
      <c r="T307" s="8">
        <v>15416.040999999999</v>
      </c>
      <c r="U307" s="8">
        <v>14114.861000000001</v>
      </c>
      <c r="V307" s="8">
        <v>10990.004999999999</v>
      </c>
      <c r="W307" s="8">
        <v>7195.6109999999999</v>
      </c>
      <c r="X307" s="8">
        <v>4243.8620000000001</v>
      </c>
      <c r="Y307" s="8">
        <v>2288.3719999999998</v>
      </c>
      <c r="Z307" s="8">
        <v>865.42899999999997</v>
      </c>
      <c r="AA307" s="8">
        <v>200.33799999999999</v>
      </c>
      <c r="AB307" s="8">
        <v>26.122</v>
      </c>
      <c r="AC307" s="8">
        <v>1.798</v>
      </c>
    </row>
    <row r="308" spans="1:29" ht="11.65" x14ac:dyDescent="0.35">
      <c r="A308" s="12">
        <v>291</v>
      </c>
      <c r="B308" s="10" t="s">
        <v>1015</v>
      </c>
      <c r="C308" s="36" t="s">
        <v>1052</v>
      </c>
      <c r="D308" s="9" t="s">
        <v>1053</v>
      </c>
      <c r="E308" s="9">
        <v>908</v>
      </c>
      <c r="F308" s="10" t="s">
        <v>921</v>
      </c>
      <c r="G308" s="9">
        <v>1840</v>
      </c>
      <c r="H308" s="9">
        <v>1975</v>
      </c>
      <c r="I308" s="8">
        <v>26303.455000000002</v>
      </c>
      <c r="J308" s="8">
        <v>27000.488000000001</v>
      </c>
      <c r="K308" s="8">
        <v>28683.667000000001</v>
      </c>
      <c r="L308" s="8">
        <v>28966.518</v>
      </c>
      <c r="M308" s="8">
        <v>27568.114000000001</v>
      </c>
      <c r="N308" s="8">
        <v>25360.892</v>
      </c>
      <c r="O308" s="8">
        <v>20466.703000000001</v>
      </c>
      <c r="P308" s="8">
        <v>23992.526000000002</v>
      </c>
      <c r="Q308" s="8">
        <v>21470.109</v>
      </c>
      <c r="R308" s="8">
        <v>21839.166000000001</v>
      </c>
      <c r="S308" s="8">
        <v>17305.55</v>
      </c>
      <c r="T308" s="8">
        <v>11719.782999999999</v>
      </c>
      <c r="U308" s="8">
        <v>14000.985000000001</v>
      </c>
      <c r="V308" s="8">
        <v>12035.572</v>
      </c>
      <c r="W308" s="8">
        <v>8553.9089999999997</v>
      </c>
      <c r="X308" s="8">
        <v>4873.37</v>
      </c>
      <c r="Y308" s="8">
        <v>2406.1060000000002</v>
      </c>
      <c r="Z308" s="8">
        <v>933.91600000000005</v>
      </c>
      <c r="AA308" s="8">
        <v>231.167</v>
      </c>
      <c r="AB308" s="8">
        <v>31.298999999999999</v>
      </c>
      <c r="AC308" s="8">
        <v>2.407</v>
      </c>
    </row>
    <row r="309" spans="1:29" ht="11.65" x14ac:dyDescent="0.35">
      <c r="A309" s="12">
        <v>292</v>
      </c>
      <c r="B309" s="10" t="s">
        <v>1015</v>
      </c>
      <c r="C309" s="36" t="s">
        <v>1052</v>
      </c>
      <c r="D309" s="9" t="s">
        <v>1053</v>
      </c>
      <c r="E309" s="9">
        <v>908</v>
      </c>
      <c r="F309" s="10" t="s">
        <v>921</v>
      </c>
      <c r="G309" s="9">
        <v>1840</v>
      </c>
      <c r="H309" s="9">
        <v>1980</v>
      </c>
      <c r="I309" s="8">
        <v>25417.842000000001</v>
      </c>
      <c r="J309" s="8">
        <v>26149.383000000002</v>
      </c>
      <c r="K309" s="8">
        <v>27052.567999999999</v>
      </c>
      <c r="L309" s="8">
        <v>28774.666000000001</v>
      </c>
      <c r="M309" s="8">
        <v>28884.923999999999</v>
      </c>
      <c r="N309" s="8">
        <v>27322.81</v>
      </c>
      <c r="O309" s="8">
        <v>25079.686000000002</v>
      </c>
      <c r="P309" s="8">
        <v>20157.749</v>
      </c>
      <c r="Q309" s="8">
        <v>23483.421999999999</v>
      </c>
      <c r="R309" s="8">
        <v>20815.89</v>
      </c>
      <c r="S309" s="8">
        <v>20886.52</v>
      </c>
      <c r="T309" s="8">
        <v>16235.215</v>
      </c>
      <c r="U309" s="8">
        <v>10638.108</v>
      </c>
      <c r="V309" s="8">
        <v>12038.138999999999</v>
      </c>
      <c r="W309" s="8">
        <v>9490.82</v>
      </c>
      <c r="X309" s="8">
        <v>5874.7879999999996</v>
      </c>
      <c r="Y309" s="8">
        <v>2766.0210000000002</v>
      </c>
      <c r="Z309" s="8">
        <v>1007.117</v>
      </c>
      <c r="AA309" s="8">
        <v>259.25299999999999</v>
      </c>
      <c r="AB309" s="8">
        <v>38.529000000000003</v>
      </c>
      <c r="AC309" s="8">
        <v>3.0710000000000002</v>
      </c>
    </row>
    <row r="310" spans="1:29" ht="11.65" x14ac:dyDescent="0.35">
      <c r="A310" s="12">
        <v>293</v>
      </c>
      <c r="B310" s="10" t="s">
        <v>1015</v>
      </c>
      <c r="C310" s="36" t="s">
        <v>1052</v>
      </c>
      <c r="D310" s="9" t="s">
        <v>1053</v>
      </c>
      <c r="E310" s="9">
        <v>908</v>
      </c>
      <c r="F310" s="10" t="s">
        <v>921</v>
      </c>
      <c r="G310" s="9">
        <v>1840</v>
      </c>
      <c r="H310" s="9">
        <v>1985</v>
      </c>
      <c r="I310" s="8">
        <v>25313.304</v>
      </c>
      <c r="J310" s="8">
        <v>25412.29</v>
      </c>
      <c r="K310" s="8">
        <v>26211.127</v>
      </c>
      <c r="L310" s="8">
        <v>27081.963</v>
      </c>
      <c r="M310" s="8">
        <v>28609.702000000001</v>
      </c>
      <c r="N310" s="8">
        <v>28608.39</v>
      </c>
      <c r="O310" s="8">
        <v>27067.773000000001</v>
      </c>
      <c r="P310" s="8">
        <v>24714.953000000001</v>
      </c>
      <c r="Q310" s="8">
        <v>19767.213</v>
      </c>
      <c r="R310" s="8">
        <v>22698.949000000001</v>
      </c>
      <c r="S310" s="8">
        <v>19849.545999999998</v>
      </c>
      <c r="T310" s="8">
        <v>19454.678</v>
      </c>
      <c r="U310" s="8">
        <v>14685.21</v>
      </c>
      <c r="V310" s="8">
        <v>9175.7909999999993</v>
      </c>
      <c r="W310" s="8">
        <v>9578.1769999999997</v>
      </c>
      <c r="X310" s="8">
        <v>6597.683</v>
      </c>
      <c r="Y310" s="8">
        <v>3337.0059999999999</v>
      </c>
      <c r="Z310" s="8">
        <v>1172.634</v>
      </c>
      <c r="AA310" s="8">
        <v>291.12900000000002</v>
      </c>
      <c r="AB310" s="8">
        <v>45.82</v>
      </c>
      <c r="AC310" s="8">
        <v>4.0460000000000003</v>
      </c>
    </row>
    <row r="311" spans="1:29" ht="11.65" x14ac:dyDescent="0.35">
      <c r="A311" s="12">
        <v>294</v>
      </c>
      <c r="B311" s="10" t="s">
        <v>1015</v>
      </c>
      <c r="C311" s="36" t="s">
        <v>1052</v>
      </c>
      <c r="D311" s="9" t="s">
        <v>1053</v>
      </c>
      <c r="E311" s="9">
        <v>908</v>
      </c>
      <c r="F311" s="10" t="s">
        <v>921</v>
      </c>
      <c r="G311" s="9">
        <v>1840</v>
      </c>
      <c r="H311" s="9">
        <v>1990</v>
      </c>
      <c r="I311" s="8">
        <v>24625.758000000002</v>
      </c>
      <c r="J311" s="8">
        <v>25329.300999999999</v>
      </c>
      <c r="K311" s="8">
        <v>25480.742999999999</v>
      </c>
      <c r="L311" s="8">
        <v>26328.300999999999</v>
      </c>
      <c r="M311" s="8">
        <v>27036.581999999999</v>
      </c>
      <c r="N311" s="8">
        <v>28420.772000000001</v>
      </c>
      <c r="O311" s="8">
        <v>28367.936000000002</v>
      </c>
      <c r="P311" s="8">
        <v>26767.760999999999</v>
      </c>
      <c r="Q311" s="8">
        <v>24313.67</v>
      </c>
      <c r="R311" s="8">
        <v>19284.207999999999</v>
      </c>
      <c r="S311" s="8">
        <v>21772.663</v>
      </c>
      <c r="T311" s="8">
        <v>18641.41</v>
      </c>
      <c r="U311" s="8">
        <v>17673.985000000001</v>
      </c>
      <c r="V311" s="8">
        <v>12796.412</v>
      </c>
      <c r="W311" s="8">
        <v>7427.8549999999996</v>
      </c>
      <c r="X311" s="8">
        <v>6880.1059999999998</v>
      </c>
      <c r="Y311" s="8">
        <v>3955.078</v>
      </c>
      <c r="Z311" s="8">
        <v>1491.585</v>
      </c>
      <c r="AA311" s="8">
        <v>352.65199999999999</v>
      </c>
      <c r="AB311" s="8">
        <v>53.122</v>
      </c>
      <c r="AC311" s="8">
        <v>4.8360000000000003</v>
      </c>
    </row>
    <row r="312" spans="1:29" ht="11.65" x14ac:dyDescent="0.35">
      <c r="A312" s="12">
        <v>295</v>
      </c>
      <c r="B312" s="10" t="s">
        <v>1015</v>
      </c>
      <c r="C312" s="36" t="s">
        <v>1052</v>
      </c>
      <c r="D312" s="9" t="s">
        <v>1053</v>
      </c>
      <c r="E312" s="9">
        <v>908</v>
      </c>
      <c r="F312" s="10" t="s">
        <v>921</v>
      </c>
      <c r="G312" s="9">
        <v>1840</v>
      </c>
      <c r="H312" s="9">
        <v>1995</v>
      </c>
      <c r="I312" s="8">
        <v>21295.149000000001</v>
      </c>
      <c r="J312" s="8">
        <v>24900.574000000001</v>
      </c>
      <c r="K312" s="8">
        <v>25635.655999999999</v>
      </c>
      <c r="L312" s="8">
        <v>25598.76</v>
      </c>
      <c r="M312" s="8">
        <v>26241.46</v>
      </c>
      <c r="N312" s="8">
        <v>26971.62</v>
      </c>
      <c r="O312" s="8">
        <v>28270.201000000001</v>
      </c>
      <c r="P312" s="8">
        <v>28038.572</v>
      </c>
      <c r="Q312" s="8">
        <v>26235.152999999998</v>
      </c>
      <c r="R312" s="8">
        <v>23563.562999999998</v>
      </c>
      <c r="S312" s="8">
        <v>18474.958999999999</v>
      </c>
      <c r="T312" s="8">
        <v>20336.637999999999</v>
      </c>
      <c r="U312" s="8">
        <v>16910.812000000002</v>
      </c>
      <c r="V312" s="8">
        <v>15225.397999999999</v>
      </c>
      <c r="W312" s="8">
        <v>10386.578</v>
      </c>
      <c r="X312" s="8">
        <v>5451.4620000000004</v>
      </c>
      <c r="Y312" s="8">
        <v>4240.7979999999998</v>
      </c>
      <c r="Z312" s="8">
        <v>1826.3209999999999</v>
      </c>
      <c r="AA312" s="8">
        <v>462.05900000000003</v>
      </c>
      <c r="AB312" s="8">
        <v>64.406000000000006</v>
      </c>
      <c r="AC312" s="8">
        <v>5.3840000000000003</v>
      </c>
    </row>
    <row r="313" spans="1:29" ht="11.65" x14ac:dyDescent="0.35">
      <c r="A313" s="12">
        <v>296</v>
      </c>
      <c r="B313" s="10" t="s">
        <v>1015</v>
      </c>
      <c r="C313" s="36" t="s">
        <v>1052</v>
      </c>
      <c r="D313" s="9" t="s">
        <v>1053</v>
      </c>
      <c r="E313" s="9">
        <v>908</v>
      </c>
      <c r="F313" s="10" t="s">
        <v>921</v>
      </c>
      <c r="G313" s="9">
        <v>1840</v>
      </c>
      <c r="H313" s="9">
        <v>2000</v>
      </c>
      <c r="I313" s="8">
        <v>18883.017</v>
      </c>
      <c r="J313" s="8">
        <v>21352.678</v>
      </c>
      <c r="K313" s="8">
        <v>25115.425999999999</v>
      </c>
      <c r="L313" s="8">
        <v>25749.912</v>
      </c>
      <c r="M313" s="8">
        <v>25512.358</v>
      </c>
      <c r="N313" s="8">
        <v>26041.371999999999</v>
      </c>
      <c r="O313" s="8">
        <v>26786.201000000001</v>
      </c>
      <c r="P313" s="8">
        <v>27942.012999999999</v>
      </c>
      <c r="Q313" s="8">
        <v>27421.925999999999</v>
      </c>
      <c r="R313" s="8">
        <v>25365.32</v>
      </c>
      <c r="S313" s="8">
        <v>22491.346000000001</v>
      </c>
      <c r="T313" s="8">
        <v>17371.937000000002</v>
      </c>
      <c r="U313" s="8">
        <v>18452.27</v>
      </c>
      <c r="V313" s="8">
        <v>14733.562</v>
      </c>
      <c r="W313" s="8">
        <v>12339.798000000001</v>
      </c>
      <c r="X313" s="8">
        <v>7708.277</v>
      </c>
      <c r="Y313" s="8">
        <v>3458.78</v>
      </c>
      <c r="Z313" s="8">
        <v>2026.348</v>
      </c>
      <c r="AA313" s="8">
        <v>582.75099999999998</v>
      </c>
      <c r="AB313" s="8">
        <v>85.468000000000004</v>
      </c>
      <c r="AC313" s="8">
        <v>6.3920000000000003</v>
      </c>
    </row>
    <row r="314" spans="1:29" ht="11.65" x14ac:dyDescent="0.35">
      <c r="A314" s="12">
        <v>297</v>
      </c>
      <c r="B314" s="10" t="s">
        <v>1015</v>
      </c>
      <c r="C314" s="36" t="s">
        <v>1052</v>
      </c>
      <c r="D314" s="9" t="s">
        <v>1053</v>
      </c>
      <c r="E314" s="9">
        <v>908</v>
      </c>
      <c r="F314" s="10" t="s">
        <v>921</v>
      </c>
      <c r="G314" s="9">
        <v>1840</v>
      </c>
      <c r="H314" s="9">
        <v>2005</v>
      </c>
      <c r="I314" s="8">
        <v>18844.061000000002</v>
      </c>
      <c r="J314" s="8">
        <v>19056.971000000001</v>
      </c>
      <c r="K314" s="8">
        <v>21631.909</v>
      </c>
      <c r="L314" s="8">
        <v>25359.883000000002</v>
      </c>
      <c r="M314" s="8">
        <v>26137.098999999998</v>
      </c>
      <c r="N314" s="8">
        <v>25903.429</v>
      </c>
      <c r="O314" s="8">
        <v>26320.93</v>
      </c>
      <c r="P314" s="8">
        <v>26834.221000000001</v>
      </c>
      <c r="Q314" s="8">
        <v>27668.157999999999</v>
      </c>
      <c r="R314" s="8">
        <v>26691.187999999998</v>
      </c>
      <c r="S314" s="8">
        <v>24230.594000000001</v>
      </c>
      <c r="T314" s="8">
        <v>21226.846000000001</v>
      </c>
      <c r="U314" s="8">
        <v>15967.434999999999</v>
      </c>
      <c r="V314" s="8">
        <v>16196.200999999999</v>
      </c>
      <c r="W314" s="8">
        <v>12241.562</v>
      </c>
      <c r="X314" s="8">
        <v>9256.2189999999991</v>
      </c>
      <c r="Y314" s="8">
        <v>5064.0129999999999</v>
      </c>
      <c r="Z314" s="8">
        <v>1774.182</v>
      </c>
      <c r="AA314" s="8">
        <v>693.38199999999995</v>
      </c>
      <c r="AB314" s="8">
        <v>116.167</v>
      </c>
      <c r="AC314" s="8">
        <v>9.0050000000000008</v>
      </c>
    </row>
    <row r="315" spans="1:29" ht="11.65" x14ac:dyDescent="0.35">
      <c r="A315" s="12">
        <v>298</v>
      </c>
      <c r="B315" s="10" t="s">
        <v>1015</v>
      </c>
      <c r="C315" s="36" t="s">
        <v>1052</v>
      </c>
      <c r="D315" s="9" t="s">
        <v>1053</v>
      </c>
      <c r="E315" s="9">
        <v>908</v>
      </c>
      <c r="F315" s="10" t="s">
        <v>921</v>
      </c>
      <c r="G315" s="9">
        <v>1840</v>
      </c>
      <c r="H315" s="9">
        <v>2010</v>
      </c>
      <c r="I315" s="8">
        <v>20289.745999999999</v>
      </c>
      <c r="J315" s="8">
        <v>18904.227999999999</v>
      </c>
      <c r="K315" s="8">
        <v>19300.509999999998</v>
      </c>
      <c r="L315" s="8">
        <v>22211.828000000001</v>
      </c>
      <c r="M315" s="8">
        <v>25898.646000000001</v>
      </c>
      <c r="N315" s="8">
        <v>26332.796999999999</v>
      </c>
      <c r="O315" s="8">
        <v>26121.808000000001</v>
      </c>
      <c r="P315" s="8">
        <v>26287.911</v>
      </c>
      <c r="Q315" s="8">
        <v>26209.151000000002</v>
      </c>
      <c r="R315" s="8">
        <v>27167.204000000002</v>
      </c>
      <c r="S315" s="8">
        <v>25637.291000000001</v>
      </c>
      <c r="T315" s="8">
        <v>22925.226999999999</v>
      </c>
      <c r="U315" s="8">
        <v>19463.498</v>
      </c>
      <c r="V315" s="8">
        <v>14551.47</v>
      </c>
      <c r="W315" s="8">
        <v>13772.498</v>
      </c>
      <c r="X315" s="8">
        <v>9636.6350000000002</v>
      </c>
      <c r="Y315" s="8">
        <v>6347.0630000000001</v>
      </c>
      <c r="Z315" s="8">
        <v>2732.375</v>
      </c>
      <c r="AA315" s="8">
        <v>662.173</v>
      </c>
      <c r="AB315" s="8">
        <v>150.12</v>
      </c>
      <c r="AC315" s="8">
        <v>13.183999999999999</v>
      </c>
    </row>
    <row r="316" spans="1:29" ht="11.65" x14ac:dyDescent="0.35">
      <c r="A316" s="12">
        <v>299</v>
      </c>
      <c r="B316" s="10" t="s">
        <v>1015</v>
      </c>
      <c r="C316" s="36" t="s">
        <v>1052</v>
      </c>
      <c r="D316" s="9" t="s">
        <v>1053</v>
      </c>
      <c r="E316" s="9">
        <v>908</v>
      </c>
      <c r="F316" s="10" t="s">
        <v>921</v>
      </c>
      <c r="G316" s="9">
        <v>1840</v>
      </c>
      <c r="H316" s="9">
        <v>2015</v>
      </c>
      <c r="I316" s="8">
        <v>20661.641</v>
      </c>
      <c r="J316" s="8">
        <v>20458.563999999998</v>
      </c>
      <c r="K316" s="8">
        <v>19170.258000000002</v>
      </c>
      <c r="L316" s="8">
        <v>19643.883000000002</v>
      </c>
      <c r="M316" s="8">
        <v>22578.891</v>
      </c>
      <c r="N316" s="8">
        <v>26214.186000000002</v>
      </c>
      <c r="O316" s="8">
        <v>26517.010999999999</v>
      </c>
      <c r="P316" s="8">
        <v>26117.58</v>
      </c>
      <c r="Q316" s="8">
        <v>26054.368999999999</v>
      </c>
      <c r="R316" s="8">
        <v>25824.141</v>
      </c>
      <c r="S316" s="8">
        <v>26347.040000000001</v>
      </c>
      <c r="T316" s="8">
        <v>24367.837</v>
      </c>
      <c r="U316" s="8">
        <v>21258.907999999999</v>
      </c>
      <c r="V316" s="8">
        <v>17600.667000000001</v>
      </c>
      <c r="W316" s="8">
        <v>12688.788</v>
      </c>
      <c r="X316" s="8">
        <v>11000.713</v>
      </c>
      <c r="Y316" s="8">
        <v>6845.0990000000002</v>
      </c>
      <c r="Z316" s="8">
        <v>3567.8150000000001</v>
      </c>
      <c r="AA316" s="8">
        <v>1089.2639999999999</v>
      </c>
      <c r="AB316" s="8">
        <v>157.315</v>
      </c>
      <c r="AC316" s="8">
        <v>18.53</v>
      </c>
    </row>
    <row r="317" spans="1:29" ht="11.65" x14ac:dyDescent="0.35">
      <c r="A317" s="12">
        <v>300</v>
      </c>
      <c r="B317" s="10" t="s">
        <v>1015</v>
      </c>
      <c r="C317" s="36" t="s">
        <v>1052</v>
      </c>
      <c r="D317" s="9" t="s">
        <v>1053</v>
      </c>
      <c r="E317" s="9">
        <v>908</v>
      </c>
      <c r="F317" s="10" t="s">
        <v>921</v>
      </c>
      <c r="G317" s="9">
        <v>1840</v>
      </c>
      <c r="H317" s="9">
        <v>2020</v>
      </c>
      <c r="I317" s="8">
        <v>20060.59</v>
      </c>
      <c r="J317" s="8">
        <v>20936.155999999999</v>
      </c>
      <c r="K317" s="8">
        <v>20678.624</v>
      </c>
      <c r="L317" s="8">
        <v>19460.321</v>
      </c>
      <c r="M317" s="8">
        <v>19978.933000000001</v>
      </c>
      <c r="N317" s="8">
        <v>23017.82</v>
      </c>
      <c r="O317" s="8">
        <v>26558.59</v>
      </c>
      <c r="P317" s="8">
        <v>26598.100999999999</v>
      </c>
      <c r="Q317" s="8">
        <v>26008.335999999999</v>
      </c>
      <c r="R317" s="8">
        <v>25752.077000000001</v>
      </c>
      <c r="S317" s="8">
        <v>25218.066999999999</v>
      </c>
      <c r="T317" s="8">
        <v>25299.996999999999</v>
      </c>
      <c r="U317" s="8">
        <v>22739.494999999999</v>
      </c>
      <c r="V317" s="8">
        <v>19254.388999999999</v>
      </c>
      <c r="W317" s="8">
        <v>15338.38</v>
      </c>
      <c r="X317" s="8">
        <v>10423.079</v>
      </c>
      <c r="Y317" s="8">
        <v>7879.9229999999998</v>
      </c>
      <c r="Z317" s="8">
        <v>4034.1509999999998</v>
      </c>
      <c r="AA317" s="8">
        <v>1513.242</v>
      </c>
      <c r="AB317" s="8">
        <v>288.12299999999999</v>
      </c>
      <c r="AC317" s="8">
        <v>22.579000000000001</v>
      </c>
    </row>
    <row r="318" spans="1:29" ht="11.65" x14ac:dyDescent="0.35">
      <c r="A318" s="12">
        <v>301</v>
      </c>
      <c r="B318" s="10" t="s">
        <v>1015</v>
      </c>
      <c r="C318" s="36" t="s">
        <v>1054</v>
      </c>
      <c r="D318" s="9" t="s">
        <v>1055</v>
      </c>
      <c r="E318" s="9">
        <v>904</v>
      </c>
      <c r="F318" s="10" t="s">
        <v>921</v>
      </c>
      <c r="G318" s="9">
        <v>1840</v>
      </c>
      <c r="H318" s="9">
        <v>1950</v>
      </c>
      <c r="I318" s="8">
        <v>13742.556</v>
      </c>
      <c r="J318" s="8">
        <v>11071.795</v>
      </c>
      <c r="K318" s="8">
        <v>9717.0840000000007</v>
      </c>
      <c r="L318" s="8">
        <v>8471.616</v>
      </c>
      <c r="M318" s="8">
        <v>7615.1409999999996</v>
      </c>
      <c r="N318" s="8">
        <v>6433.0259999999998</v>
      </c>
      <c r="O318" s="8">
        <v>5363.9160000000002</v>
      </c>
      <c r="P318" s="8">
        <v>4852.9809999999998</v>
      </c>
      <c r="Q318" s="8">
        <v>4136.9960000000001</v>
      </c>
      <c r="R318" s="8">
        <v>3494.2919999999999</v>
      </c>
      <c r="S318" s="8">
        <v>2866.7910000000002</v>
      </c>
      <c r="T318" s="8">
        <v>2203.0619999999999</v>
      </c>
      <c r="U318" s="8">
        <v>1692.6189999999999</v>
      </c>
      <c r="V318" s="8">
        <v>1197.4269999999999</v>
      </c>
      <c r="W318" s="8">
        <v>781.649</v>
      </c>
      <c r="X318" s="8">
        <v>437.721</v>
      </c>
      <c r="Y318" s="8">
        <v>188.34</v>
      </c>
      <c r="Z318" s="8">
        <v>84.915000000000006</v>
      </c>
      <c r="AA318" s="8">
        <v>33.200000000000003</v>
      </c>
      <c r="AB318" s="8">
        <v>12.509</v>
      </c>
      <c r="AC318" s="8">
        <v>4.851</v>
      </c>
    </row>
    <row r="319" spans="1:29" ht="11.65" x14ac:dyDescent="0.35">
      <c r="A319" s="12">
        <v>302</v>
      </c>
      <c r="B319" s="10" t="s">
        <v>1015</v>
      </c>
      <c r="C319" s="36" t="s">
        <v>1054</v>
      </c>
      <c r="D319" s="9" t="s">
        <v>1055</v>
      </c>
      <c r="E319" s="9">
        <v>904</v>
      </c>
      <c r="F319" s="10" t="s">
        <v>921</v>
      </c>
      <c r="G319" s="9">
        <v>1840</v>
      </c>
      <c r="H319" s="9">
        <v>1955</v>
      </c>
      <c r="I319" s="8">
        <v>16485.918000000001</v>
      </c>
      <c r="J319" s="8">
        <v>12985.325000000001</v>
      </c>
      <c r="K319" s="8">
        <v>10872.300999999999</v>
      </c>
      <c r="L319" s="8">
        <v>9518.3189999999995</v>
      </c>
      <c r="M319" s="8">
        <v>8232.0190000000002</v>
      </c>
      <c r="N319" s="8">
        <v>7369.8</v>
      </c>
      <c r="O319" s="8">
        <v>6218.3450000000003</v>
      </c>
      <c r="P319" s="8">
        <v>5185.2560000000003</v>
      </c>
      <c r="Q319" s="8">
        <v>4635.4260000000004</v>
      </c>
      <c r="R319" s="8">
        <v>3926.5770000000002</v>
      </c>
      <c r="S319" s="8">
        <v>3253.768</v>
      </c>
      <c r="T319" s="8">
        <v>2596.2809999999999</v>
      </c>
      <c r="U319" s="8">
        <v>1925.8</v>
      </c>
      <c r="V319" s="8">
        <v>1389.16</v>
      </c>
      <c r="W319" s="8">
        <v>897.49800000000005</v>
      </c>
      <c r="X319" s="8">
        <v>503.69600000000003</v>
      </c>
      <c r="Y319" s="8">
        <v>222.40899999999999</v>
      </c>
      <c r="Z319" s="8">
        <v>67.817999999999998</v>
      </c>
      <c r="AA319" s="8">
        <v>20.355</v>
      </c>
      <c r="AB319" s="8">
        <v>4.84</v>
      </c>
      <c r="AC319" s="8">
        <v>1.379</v>
      </c>
    </row>
    <row r="320" spans="1:29" ht="11.65" x14ac:dyDescent="0.35">
      <c r="A320" s="12">
        <v>303</v>
      </c>
      <c r="B320" s="10" t="s">
        <v>1015</v>
      </c>
      <c r="C320" s="36" t="s">
        <v>1054</v>
      </c>
      <c r="D320" s="9" t="s">
        <v>1055</v>
      </c>
      <c r="E320" s="9">
        <v>904</v>
      </c>
      <c r="F320" s="10" t="s">
        <v>921</v>
      </c>
      <c r="G320" s="9">
        <v>1840</v>
      </c>
      <c r="H320" s="9">
        <v>1960</v>
      </c>
      <c r="I320" s="8">
        <v>18832.940999999999</v>
      </c>
      <c r="J320" s="8">
        <v>15699.441000000001</v>
      </c>
      <c r="K320" s="8">
        <v>12776.125</v>
      </c>
      <c r="L320" s="8">
        <v>10632.581</v>
      </c>
      <c r="M320" s="8">
        <v>9210.1569999999992</v>
      </c>
      <c r="N320" s="8">
        <v>7937.6440000000002</v>
      </c>
      <c r="O320" s="8">
        <v>7112.37</v>
      </c>
      <c r="P320" s="8">
        <v>6000.6239999999998</v>
      </c>
      <c r="Q320" s="8">
        <v>4962.4129999999996</v>
      </c>
      <c r="R320" s="8">
        <v>4414.1989999999996</v>
      </c>
      <c r="S320" s="8">
        <v>3666.4169999999999</v>
      </c>
      <c r="T320" s="8">
        <v>2964.33</v>
      </c>
      <c r="U320" s="8">
        <v>2285.2269999999999</v>
      </c>
      <c r="V320" s="8">
        <v>1599.1369999999999</v>
      </c>
      <c r="W320" s="8">
        <v>1060.9659999999999</v>
      </c>
      <c r="X320" s="8">
        <v>598.13</v>
      </c>
      <c r="Y320" s="8">
        <v>269.79599999999999</v>
      </c>
      <c r="Z320" s="8">
        <v>87.834000000000003</v>
      </c>
      <c r="AA320" s="8">
        <v>19.327000000000002</v>
      </c>
      <c r="AB320" s="8">
        <v>3.843</v>
      </c>
      <c r="AC320" s="8">
        <v>0.67400000000000004</v>
      </c>
    </row>
    <row r="321" spans="1:29" ht="11.65" x14ac:dyDescent="0.35">
      <c r="A321" s="12">
        <v>304</v>
      </c>
      <c r="B321" s="10" t="s">
        <v>1015</v>
      </c>
      <c r="C321" s="36" t="s">
        <v>1054</v>
      </c>
      <c r="D321" s="9" t="s">
        <v>1055</v>
      </c>
      <c r="E321" s="9">
        <v>904</v>
      </c>
      <c r="F321" s="10" t="s">
        <v>921</v>
      </c>
      <c r="G321" s="9">
        <v>1840</v>
      </c>
      <c r="H321" s="9">
        <v>1965</v>
      </c>
      <c r="I321" s="8">
        <v>21379.698</v>
      </c>
      <c r="J321" s="8">
        <v>18028.742999999999</v>
      </c>
      <c r="K321" s="8">
        <v>15420.624</v>
      </c>
      <c r="L321" s="8">
        <v>12480.825000000001</v>
      </c>
      <c r="M321" s="8">
        <v>10306.138999999999</v>
      </c>
      <c r="N321" s="8">
        <v>8900.3410000000003</v>
      </c>
      <c r="O321" s="8">
        <v>7676.6279999999997</v>
      </c>
      <c r="P321" s="8">
        <v>6879.018</v>
      </c>
      <c r="Q321" s="8">
        <v>5768.5540000000001</v>
      </c>
      <c r="R321" s="8">
        <v>4735.7780000000002</v>
      </c>
      <c r="S321" s="8">
        <v>4140.1620000000003</v>
      </c>
      <c r="T321" s="8">
        <v>3363.4560000000001</v>
      </c>
      <c r="U321" s="8">
        <v>2626.5349999999999</v>
      </c>
      <c r="V321" s="8">
        <v>1914.4829999999999</v>
      </c>
      <c r="W321" s="8">
        <v>1234.915</v>
      </c>
      <c r="X321" s="8">
        <v>719.88699999999994</v>
      </c>
      <c r="Y321" s="8">
        <v>329.61799999999999</v>
      </c>
      <c r="Z321" s="8">
        <v>110.97799999999999</v>
      </c>
      <c r="AA321" s="8">
        <v>25.402000000000001</v>
      </c>
      <c r="AB321" s="8">
        <v>4.0110000000000001</v>
      </c>
      <c r="AC321" s="8">
        <v>0.59899999999999998</v>
      </c>
    </row>
    <row r="322" spans="1:29" ht="11.65" x14ac:dyDescent="0.35">
      <c r="A322" s="12">
        <v>305</v>
      </c>
      <c r="B322" s="10" t="s">
        <v>1015</v>
      </c>
      <c r="C322" s="36" t="s">
        <v>1054</v>
      </c>
      <c r="D322" s="9" t="s">
        <v>1055</v>
      </c>
      <c r="E322" s="9">
        <v>904</v>
      </c>
      <c r="F322" s="10" t="s">
        <v>921</v>
      </c>
      <c r="G322" s="9">
        <v>1840</v>
      </c>
      <c r="H322" s="9">
        <v>1970</v>
      </c>
      <c r="I322" s="8">
        <v>23048.802</v>
      </c>
      <c r="J322" s="8">
        <v>20595.061000000002</v>
      </c>
      <c r="K322" s="8">
        <v>17728.705000000002</v>
      </c>
      <c r="L322" s="8">
        <v>15068.628000000001</v>
      </c>
      <c r="M322" s="8">
        <v>12074.406000000001</v>
      </c>
      <c r="N322" s="8">
        <v>9935.6309999999994</v>
      </c>
      <c r="O322" s="8">
        <v>8610.7160000000003</v>
      </c>
      <c r="P322" s="8">
        <v>7433.7719999999999</v>
      </c>
      <c r="Q322" s="8">
        <v>6633.2060000000001</v>
      </c>
      <c r="R322" s="8">
        <v>5513.8519999999999</v>
      </c>
      <c r="S322" s="8">
        <v>4459.3860000000004</v>
      </c>
      <c r="T322" s="8">
        <v>3810.8939999999998</v>
      </c>
      <c r="U322" s="8">
        <v>2995.4929999999999</v>
      </c>
      <c r="V322" s="8">
        <v>2223.355</v>
      </c>
      <c r="W322" s="8">
        <v>1491.1279999999999</v>
      </c>
      <c r="X322" s="8">
        <v>847.55899999999997</v>
      </c>
      <c r="Y322" s="8">
        <v>405.06400000000002</v>
      </c>
      <c r="Z322" s="8">
        <v>139.05600000000001</v>
      </c>
      <c r="AA322" s="8">
        <v>33.655000000000001</v>
      </c>
      <c r="AB322" s="8">
        <v>5.2160000000000002</v>
      </c>
      <c r="AC322" s="8">
        <v>0.65700000000000003</v>
      </c>
    </row>
    <row r="323" spans="1:29" ht="11.65" x14ac:dyDescent="0.35">
      <c r="A323" s="12">
        <v>306</v>
      </c>
      <c r="B323" s="10" t="s">
        <v>1015</v>
      </c>
      <c r="C323" s="36" t="s">
        <v>1054</v>
      </c>
      <c r="D323" s="9" t="s">
        <v>1055</v>
      </c>
      <c r="E323" s="9">
        <v>904</v>
      </c>
      <c r="F323" s="10" t="s">
        <v>921</v>
      </c>
      <c r="G323" s="9">
        <v>1840</v>
      </c>
      <c r="H323" s="9">
        <v>1975</v>
      </c>
      <c r="I323" s="8">
        <v>24487.207999999999</v>
      </c>
      <c r="J323" s="8">
        <v>22346.332999999999</v>
      </c>
      <c r="K323" s="8">
        <v>20273.276000000002</v>
      </c>
      <c r="L323" s="8">
        <v>17328.553</v>
      </c>
      <c r="M323" s="8">
        <v>14571.525</v>
      </c>
      <c r="N323" s="8">
        <v>11638.42</v>
      </c>
      <c r="O323" s="8">
        <v>9595.5120000000006</v>
      </c>
      <c r="P323" s="8">
        <v>8353.5830000000005</v>
      </c>
      <c r="Q323" s="8">
        <v>7175.0540000000001</v>
      </c>
      <c r="R323" s="8">
        <v>6348.7879999999996</v>
      </c>
      <c r="S323" s="8">
        <v>5199.1980000000003</v>
      </c>
      <c r="T323" s="8">
        <v>4114.9930000000004</v>
      </c>
      <c r="U323" s="8">
        <v>3402.6039999999998</v>
      </c>
      <c r="V323" s="8">
        <v>2542.8820000000001</v>
      </c>
      <c r="W323" s="8">
        <v>1745.932</v>
      </c>
      <c r="X323" s="8">
        <v>1037.951</v>
      </c>
      <c r="Y323" s="8">
        <v>482.39400000000001</v>
      </c>
      <c r="Z323" s="8">
        <v>176.37200000000001</v>
      </c>
      <c r="AA323" s="8">
        <v>43.884</v>
      </c>
      <c r="AB323" s="8">
        <v>7.43</v>
      </c>
      <c r="AC323" s="8">
        <v>0.83</v>
      </c>
    </row>
    <row r="324" spans="1:29" ht="11.65" x14ac:dyDescent="0.35">
      <c r="A324" s="12">
        <v>307</v>
      </c>
      <c r="B324" s="10" t="s">
        <v>1015</v>
      </c>
      <c r="C324" s="36" t="s">
        <v>1054</v>
      </c>
      <c r="D324" s="9" t="s">
        <v>1055</v>
      </c>
      <c r="E324" s="9">
        <v>904</v>
      </c>
      <c r="F324" s="10" t="s">
        <v>921</v>
      </c>
      <c r="G324" s="9">
        <v>1840</v>
      </c>
      <c r="H324" s="9">
        <v>1980</v>
      </c>
      <c r="I324" s="8">
        <v>26388.601999999999</v>
      </c>
      <c r="J324" s="8">
        <v>23864.638999999999</v>
      </c>
      <c r="K324" s="8">
        <v>21981.219000000001</v>
      </c>
      <c r="L324" s="8">
        <v>19796.916000000001</v>
      </c>
      <c r="M324" s="8">
        <v>16669.531999999999</v>
      </c>
      <c r="N324" s="8">
        <v>14025.321</v>
      </c>
      <c r="O324" s="8">
        <v>11270.374</v>
      </c>
      <c r="P324" s="8">
        <v>9308.1329999999998</v>
      </c>
      <c r="Q324" s="8">
        <v>8068.2190000000001</v>
      </c>
      <c r="R324" s="8">
        <v>6890.2359999999999</v>
      </c>
      <c r="S324" s="8">
        <v>6012.848</v>
      </c>
      <c r="T324" s="8">
        <v>4827.1260000000002</v>
      </c>
      <c r="U324" s="8">
        <v>3699.3209999999999</v>
      </c>
      <c r="V324" s="8">
        <v>2920.9549999999999</v>
      </c>
      <c r="W324" s="8">
        <v>2025.1220000000001</v>
      </c>
      <c r="X324" s="8">
        <v>1244.722</v>
      </c>
      <c r="Y324" s="8">
        <v>620.87800000000004</v>
      </c>
      <c r="Z324" s="8">
        <v>216.059</v>
      </c>
      <c r="AA324" s="8">
        <v>58.256999999999998</v>
      </c>
      <c r="AB324" s="8">
        <v>10.182</v>
      </c>
      <c r="AC324" s="8">
        <v>1.2689999999999999</v>
      </c>
    </row>
    <row r="325" spans="1:29" ht="11.65" x14ac:dyDescent="0.35">
      <c r="A325" s="12">
        <v>308</v>
      </c>
      <c r="B325" s="10" t="s">
        <v>1015</v>
      </c>
      <c r="C325" s="36" t="s">
        <v>1054</v>
      </c>
      <c r="D325" s="9" t="s">
        <v>1055</v>
      </c>
      <c r="E325" s="9">
        <v>904</v>
      </c>
      <c r="F325" s="10" t="s">
        <v>921</v>
      </c>
      <c r="G325" s="9">
        <v>1840</v>
      </c>
      <c r="H325" s="9">
        <v>1985</v>
      </c>
      <c r="I325" s="8">
        <v>27918.111000000001</v>
      </c>
      <c r="J325" s="8">
        <v>25832.145</v>
      </c>
      <c r="K325" s="8">
        <v>23435.394</v>
      </c>
      <c r="L325" s="8">
        <v>21404.456999999999</v>
      </c>
      <c r="M325" s="8">
        <v>19116.851999999999</v>
      </c>
      <c r="N325" s="8">
        <v>16063.325000000001</v>
      </c>
      <c r="O325" s="8">
        <v>13587.118</v>
      </c>
      <c r="P325" s="8">
        <v>10942.076999999999</v>
      </c>
      <c r="Q325" s="8">
        <v>9016.3439999999991</v>
      </c>
      <c r="R325" s="8">
        <v>7757.1009999999997</v>
      </c>
      <c r="S325" s="8">
        <v>6540.8320000000003</v>
      </c>
      <c r="T325" s="8">
        <v>5603.0550000000003</v>
      </c>
      <c r="U325" s="8">
        <v>4353.3010000000004</v>
      </c>
      <c r="V325" s="8">
        <v>3184.3389999999999</v>
      </c>
      <c r="W325" s="8">
        <v>2337.8040000000001</v>
      </c>
      <c r="X325" s="8">
        <v>1465.72</v>
      </c>
      <c r="Y325" s="8">
        <v>758.29300000000001</v>
      </c>
      <c r="Z325" s="8">
        <v>289.42099999999999</v>
      </c>
      <c r="AA325" s="8">
        <v>73.593000000000004</v>
      </c>
      <c r="AB325" s="8">
        <v>14.141</v>
      </c>
      <c r="AC325" s="8">
        <v>1.8129999999999999</v>
      </c>
    </row>
    <row r="326" spans="1:29" ht="11.65" x14ac:dyDescent="0.35">
      <c r="A326" s="12">
        <v>309</v>
      </c>
      <c r="B326" s="10" t="s">
        <v>1015</v>
      </c>
      <c r="C326" s="36" t="s">
        <v>1054</v>
      </c>
      <c r="D326" s="9" t="s">
        <v>1055</v>
      </c>
      <c r="E326" s="9">
        <v>904</v>
      </c>
      <c r="F326" s="10" t="s">
        <v>921</v>
      </c>
      <c r="G326" s="9">
        <v>1840</v>
      </c>
      <c r="H326" s="9">
        <v>1990</v>
      </c>
      <c r="I326" s="8">
        <v>28670.435000000001</v>
      </c>
      <c r="J326" s="8">
        <v>27415.353999999999</v>
      </c>
      <c r="K326" s="8">
        <v>25451.079000000002</v>
      </c>
      <c r="L326" s="8">
        <v>22879.983</v>
      </c>
      <c r="M326" s="8">
        <v>20627.999</v>
      </c>
      <c r="N326" s="8">
        <v>18429.204000000002</v>
      </c>
      <c r="O326" s="8">
        <v>15543.665000000001</v>
      </c>
      <c r="P326" s="8">
        <v>13224.03</v>
      </c>
      <c r="Q326" s="8">
        <v>10636.731</v>
      </c>
      <c r="R326" s="8">
        <v>8697.0840000000007</v>
      </c>
      <c r="S326" s="8">
        <v>7387.866</v>
      </c>
      <c r="T326" s="8">
        <v>6110.8559999999998</v>
      </c>
      <c r="U326" s="8">
        <v>5073.9859999999999</v>
      </c>
      <c r="V326" s="8">
        <v>3768.8980000000001</v>
      </c>
      <c r="W326" s="8">
        <v>2574.6759999999999</v>
      </c>
      <c r="X326" s="8">
        <v>1716.9349999999999</v>
      </c>
      <c r="Y326" s="8">
        <v>908.90800000000002</v>
      </c>
      <c r="Z326" s="8">
        <v>366.16300000000001</v>
      </c>
      <c r="AA326" s="8">
        <v>103.322</v>
      </c>
      <c r="AB326" s="8">
        <v>18.472000000000001</v>
      </c>
      <c r="AC326" s="8">
        <v>2.645</v>
      </c>
    </row>
    <row r="327" spans="1:29" ht="11.65" x14ac:dyDescent="0.35">
      <c r="A327" s="12">
        <v>310</v>
      </c>
      <c r="B327" s="10" t="s">
        <v>1015</v>
      </c>
      <c r="C327" s="36" t="s">
        <v>1054</v>
      </c>
      <c r="D327" s="9" t="s">
        <v>1055</v>
      </c>
      <c r="E327" s="9">
        <v>904</v>
      </c>
      <c r="F327" s="10" t="s">
        <v>921</v>
      </c>
      <c r="G327" s="9">
        <v>1840</v>
      </c>
      <c r="H327" s="9">
        <v>1995</v>
      </c>
      <c r="I327" s="8">
        <v>28972.753000000001</v>
      </c>
      <c r="J327" s="8">
        <v>28279.069</v>
      </c>
      <c r="K327" s="8">
        <v>27114.153999999999</v>
      </c>
      <c r="L327" s="8">
        <v>24689.343000000001</v>
      </c>
      <c r="M327" s="8">
        <v>21835.863000000001</v>
      </c>
      <c r="N327" s="8">
        <v>19861.421999999999</v>
      </c>
      <c r="O327" s="8">
        <v>17944.937000000002</v>
      </c>
      <c r="P327" s="8">
        <v>15140.873</v>
      </c>
      <c r="Q327" s="8">
        <v>12859.706</v>
      </c>
      <c r="R327" s="8">
        <v>10284.492</v>
      </c>
      <c r="S327" s="8">
        <v>8323.9539999999997</v>
      </c>
      <c r="T327" s="8">
        <v>6940.8630000000003</v>
      </c>
      <c r="U327" s="8">
        <v>5579.7560000000003</v>
      </c>
      <c r="V327" s="8">
        <v>4432.5330000000004</v>
      </c>
      <c r="W327" s="8">
        <v>3094.1869999999999</v>
      </c>
      <c r="X327" s="8">
        <v>1916.9590000000001</v>
      </c>
      <c r="Y327" s="8">
        <v>1093.924</v>
      </c>
      <c r="Z327" s="8">
        <v>452.83300000000003</v>
      </c>
      <c r="AA327" s="8">
        <v>135.05099999999999</v>
      </c>
      <c r="AB327" s="8">
        <v>26.414000000000001</v>
      </c>
      <c r="AC327" s="8">
        <v>3.411</v>
      </c>
    </row>
    <row r="328" spans="1:29" ht="11.65" x14ac:dyDescent="0.35">
      <c r="A328" s="12">
        <v>311</v>
      </c>
      <c r="B328" s="10" t="s">
        <v>1015</v>
      </c>
      <c r="C328" s="36" t="s">
        <v>1054</v>
      </c>
      <c r="D328" s="9" t="s">
        <v>1055</v>
      </c>
      <c r="E328" s="9">
        <v>904</v>
      </c>
      <c r="F328" s="10" t="s">
        <v>921</v>
      </c>
      <c r="G328" s="9">
        <v>1840</v>
      </c>
      <c r="H328" s="9">
        <v>2000</v>
      </c>
      <c r="I328" s="8">
        <v>28913.901000000002</v>
      </c>
      <c r="J328" s="8">
        <v>28646.924999999999</v>
      </c>
      <c r="K328" s="8">
        <v>27843.702000000001</v>
      </c>
      <c r="L328" s="8">
        <v>26454.221000000001</v>
      </c>
      <c r="M328" s="8">
        <v>23777.85</v>
      </c>
      <c r="N328" s="8">
        <v>21142.577000000001</v>
      </c>
      <c r="O328" s="8">
        <v>19273.374</v>
      </c>
      <c r="P328" s="8">
        <v>17470.54</v>
      </c>
      <c r="Q328" s="8">
        <v>14735.581</v>
      </c>
      <c r="R328" s="8">
        <v>12446.227999999999</v>
      </c>
      <c r="S328" s="8">
        <v>9861.6830000000009</v>
      </c>
      <c r="T328" s="8">
        <v>7837.973</v>
      </c>
      <c r="U328" s="8">
        <v>6368.5929999999998</v>
      </c>
      <c r="V328" s="8">
        <v>4920.0129999999999</v>
      </c>
      <c r="W328" s="8">
        <v>3680.0129999999999</v>
      </c>
      <c r="X328" s="8">
        <v>2342.6979999999999</v>
      </c>
      <c r="Y328" s="8">
        <v>1258.671</v>
      </c>
      <c r="Z328" s="8">
        <v>576.70000000000005</v>
      </c>
      <c r="AA328" s="8">
        <v>179.43199999999999</v>
      </c>
      <c r="AB328" s="8">
        <v>37.299999999999997</v>
      </c>
      <c r="AC328" s="8">
        <v>4.649</v>
      </c>
    </row>
    <row r="329" spans="1:29" ht="11.65" x14ac:dyDescent="0.35">
      <c r="A329" s="12">
        <v>312</v>
      </c>
      <c r="B329" s="10" t="s">
        <v>1015</v>
      </c>
      <c r="C329" s="36" t="s">
        <v>1054</v>
      </c>
      <c r="D329" s="9" t="s">
        <v>1055</v>
      </c>
      <c r="E329" s="9">
        <v>904</v>
      </c>
      <c r="F329" s="10" t="s">
        <v>921</v>
      </c>
      <c r="G329" s="9">
        <v>1840</v>
      </c>
      <c r="H329" s="9">
        <v>2005</v>
      </c>
      <c r="I329" s="8">
        <v>28119.048999999999</v>
      </c>
      <c r="J329" s="8">
        <v>28565.617999999999</v>
      </c>
      <c r="K329" s="8">
        <v>28332.397000000001</v>
      </c>
      <c r="L329" s="8">
        <v>27072.576000000001</v>
      </c>
      <c r="M329" s="8">
        <v>25470.281999999999</v>
      </c>
      <c r="N329" s="8">
        <v>22959.238000000001</v>
      </c>
      <c r="O329" s="8">
        <v>20583.151000000002</v>
      </c>
      <c r="P329" s="8">
        <v>18787.611000000001</v>
      </c>
      <c r="Q329" s="8">
        <v>17014.133000000002</v>
      </c>
      <c r="R329" s="8">
        <v>14271.423000000001</v>
      </c>
      <c r="S329" s="8">
        <v>11961.746999999999</v>
      </c>
      <c r="T329" s="8">
        <v>9316.8179999999993</v>
      </c>
      <c r="U329" s="8">
        <v>7250.2179999999998</v>
      </c>
      <c r="V329" s="8">
        <v>5681.5230000000001</v>
      </c>
      <c r="W329" s="8">
        <v>4146.21</v>
      </c>
      <c r="X329" s="8">
        <v>2847.279</v>
      </c>
      <c r="Y329" s="8">
        <v>1577.2729999999999</v>
      </c>
      <c r="Z329" s="8">
        <v>688.65599999999995</v>
      </c>
      <c r="AA329" s="8">
        <v>240.727</v>
      </c>
      <c r="AB329" s="8">
        <v>52.161999999999999</v>
      </c>
      <c r="AC329" s="8">
        <v>6.9009999999999998</v>
      </c>
    </row>
    <row r="330" spans="1:29" ht="11.65" x14ac:dyDescent="0.35">
      <c r="A330" s="12">
        <v>313</v>
      </c>
      <c r="B330" s="10" t="s">
        <v>1015</v>
      </c>
      <c r="C330" s="36" t="s">
        <v>1054</v>
      </c>
      <c r="D330" s="9" t="s">
        <v>1055</v>
      </c>
      <c r="E330" s="9">
        <v>904</v>
      </c>
      <c r="F330" s="10" t="s">
        <v>921</v>
      </c>
      <c r="G330" s="9">
        <v>1840</v>
      </c>
      <c r="H330" s="9">
        <v>2010</v>
      </c>
      <c r="I330" s="8">
        <v>27171.043000000001</v>
      </c>
      <c r="J330" s="8">
        <v>27898.914000000001</v>
      </c>
      <c r="K330" s="8">
        <v>28366.536</v>
      </c>
      <c r="L330" s="8">
        <v>28032.572</v>
      </c>
      <c r="M330" s="8">
        <v>26405.436000000002</v>
      </c>
      <c r="N330" s="8">
        <v>24754.409</v>
      </c>
      <c r="O330" s="8">
        <v>22351.635999999999</v>
      </c>
      <c r="P330" s="8">
        <v>20077.036</v>
      </c>
      <c r="Q330" s="8">
        <v>18303.629000000001</v>
      </c>
      <c r="R330" s="8">
        <v>16511.316999999999</v>
      </c>
      <c r="S330" s="8">
        <v>13737.319</v>
      </c>
      <c r="T330" s="8">
        <v>11337.75</v>
      </c>
      <c r="U330" s="8">
        <v>8649.0630000000001</v>
      </c>
      <c r="V330" s="8">
        <v>6504.375</v>
      </c>
      <c r="W330" s="8">
        <v>4831.8609999999999</v>
      </c>
      <c r="X330" s="8">
        <v>3249.7310000000002</v>
      </c>
      <c r="Y330" s="8">
        <v>1964.4459999999999</v>
      </c>
      <c r="Z330" s="8">
        <v>887.93299999999999</v>
      </c>
      <c r="AA330" s="8">
        <v>298.30799999999999</v>
      </c>
      <c r="AB330" s="8">
        <v>73.247</v>
      </c>
      <c r="AC330" s="8">
        <v>9.7609999999999904</v>
      </c>
    </row>
    <row r="331" spans="1:29" ht="11.65" x14ac:dyDescent="0.35">
      <c r="A331" s="12">
        <v>314</v>
      </c>
      <c r="B331" s="10" t="s">
        <v>1015</v>
      </c>
      <c r="C331" s="36" t="s">
        <v>1054</v>
      </c>
      <c r="D331" s="9" t="s">
        <v>1055</v>
      </c>
      <c r="E331" s="9">
        <v>904</v>
      </c>
      <c r="F331" s="10" t="s">
        <v>921</v>
      </c>
      <c r="G331" s="9">
        <v>1840</v>
      </c>
      <c r="H331" s="9">
        <v>2015</v>
      </c>
      <c r="I331" s="8">
        <v>26907.156999999999</v>
      </c>
      <c r="J331" s="8">
        <v>27014.330999999998</v>
      </c>
      <c r="K331" s="8">
        <v>27746.127</v>
      </c>
      <c r="L331" s="8">
        <v>27983.435000000001</v>
      </c>
      <c r="M331" s="8">
        <v>27390.850999999999</v>
      </c>
      <c r="N331" s="8">
        <v>25734.21</v>
      </c>
      <c r="O331" s="8">
        <v>24207.544000000002</v>
      </c>
      <c r="P331" s="8">
        <v>21883.766</v>
      </c>
      <c r="Q331" s="8">
        <v>19623.55</v>
      </c>
      <c r="R331" s="8">
        <v>17818.34</v>
      </c>
      <c r="S331" s="8">
        <v>15938.004000000001</v>
      </c>
      <c r="T331" s="8">
        <v>13094.191000000001</v>
      </c>
      <c r="U331" s="8">
        <v>10597.029</v>
      </c>
      <c r="V331" s="8">
        <v>7820.0159999999996</v>
      </c>
      <c r="W331" s="8">
        <v>5590.04</v>
      </c>
      <c r="X331" s="8">
        <v>3854.4549999999999</v>
      </c>
      <c r="Y331" s="8">
        <v>2291.7820000000002</v>
      </c>
      <c r="Z331" s="8">
        <v>1135.1610000000001</v>
      </c>
      <c r="AA331" s="8">
        <v>398.29500000000002</v>
      </c>
      <c r="AB331" s="8">
        <v>94.126000000000005</v>
      </c>
      <c r="AC331" s="8">
        <v>14.279</v>
      </c>
    </row>
    <row r="332" spans="1:29" ht="11.65" x14ac:dyDescent="0.35">
      <c r="A332" s="12">
        <v>315</v>
      </c>
      <c r="B332" s="10" t="s">
        <v>1015</v>
      </c>
      <c r="C332" s="36" t="s">
        <v>1054</v>
      </c>
      <c r="D332" s="9" t="s">
        <v>1055</v>
      </c>
      <c r="E332" s="9">
        <v>904</v>
      </c>
      <c r="F332" s="10" t="s">
        <v>921</v>
      </c>
      <c r="G332" s="9">
        <v>1840</v>
      </c>
      <c r="H332" s="9">
        <v>2020</v>
      </c>
      <c r="I332" s="8">
        <v>26420.328000000001</v>
      </c>
      <c r="J332" s="8">
        <v>26644.307000000001</v>
      </c>
      <c r="K332" s="8">
        <v>26680.944</v>
      </c>
      <c r="L332" s="8">
        <v>27197.960999999999</v>
      </c>
      <c r="M332" s="8">
        <v>27229.684000000001</v>
      </c>
      <c r="N332" s="8">
        <v>26751.138999999999</v>
      </c>
      <c r="O332" s="8">
        <v>25330.999</v>
      </c>
      <c r="P332" s="8">
        <v>23887.830999999998</v>
      </c>
      <c r="Q332" s="8">
        <v>21580.026000000002</v>
      </c>
      <c r="R332" s="8">
        <v>19263.945</v>
      </c>
      <c r="S332" s="8">
        <v>17335.373</v>
      </c>
      <c r="T332" s="8">
        <v>15284.916999999999</v>
      </c>
      <c r="U332" s="8">
        <v>12296.883</v>
      </c>
      <c r="V332" s="8">
        <v>9636.01</v>
      </c>
      <c r="W332" s="8">
        <v>6779.2839999999997</v>
      </c>
      <c r="X332" s="8">
        <v>4499.3059999999996</v>
      </c>
      <c r="Y332" s="8">
        <v>2762.49</v>
      </c>
      <c r="Z332" s="8">
        <v>1365.7850000000001</v>
      </c>
      <c r="AA332" s="8">
        <v>529.86900000000003</v>
      </c>
      <c r="AB332" s="8">
        <v>131.815</v>
      </c>
      <c r="AC332" s="8">
        <v>19.858000000000001</v>
      </c>
    </row>
    <row r="333" spans="1:29" ht="11.65" x14ac:dyDescent="0.35">
      <c r="A333" s="12">
        <v>316</v>
      </c>
      <c r="B333" s="10" t="s">
        <v>1015</v>
      </c>
      <c r="C333" s="36" t="s">
        <v>1056</v>
      </c>
      <c r="D333" s="9" t="s">
        <v>1057</v>
      </c>
      <c r="E333" s="9">
        <v>905</v>
      </c>
      <c r="F333" s="10" t="s">
        <v>921</v>
      </c>
      <c r="G333" s="9">
        <v>1840</v>
      </c>
      <c r="H333" s="9">
        <v>1950</v>
      </c>
      <c r="I333" s="8">
        <v>9652.1020000000008</v>
      </c>
      <c r="J333" s="8">
        <v>7719.1210000000001</v>
      </c>
      <c r="K333" s="8">
        <v>6463.8519999999999</v>
      </c>
      <c r="L333" s="8">
        <v>6214.7330000000002</v>
      </c>
      <c r="M333" s="8">
        <v>6659.5309999999999</v>
      </c>
      <c r="N333" s="8">
        <v>6959.549</v>
      </c>
      <c r="O333" s="8">
        <v>6559.652</v>
      </c>
      <c r="P333" s="8">
        <v>6240.942</v>
      </c>
      <c r="Q333" s="8">
        <v>5761.6940000000004</v>
      </c>
      <c r="R333" s="8">
        <v>5107.6499999999996</v>
      </c>
      <c r="S333" s="8">
        <v>4625.92</v>
      </c>
      <c r="T333" s="8">
        <v>4078.51</v>
      </c>
      <c r="U333" s="8">
        <v>3567.4569999999999</v>
      </c>
      <c r="V333" s="8">
        <v>2834.9929999999999</v>
      </c>
      <c r="W333" s="8">
        <v>1829.472</v>
      </c>
      <c r="X333" s="8">
        <v>1115.0260000000001</v>
      </c>
      <c r="Y333" s="8">
        <v>531.75199999999995</v>
      </c>
      <c r="Z333" s="8">
        <v>227.07300000000001</v>
      </c>
      <c r="AA333" s="8">
        <v>67.361999999999995</v>
      </c>
      <c r="AB333" s="8">
        <v>12.443</v>
      </c>
      <c r="AC333" s="8">
        <v>1.27</v>
      </c>
    </row>
    <row r="334" spans="1:29" ht="11.65" x14ac:dyDescent="0.35">
      <c r="A334" s="12">
        <v>317</v>
      </c>
      <c r="B334" s="10" t="s">
        <v>1015</v>
      </c>
      <c r="C334" s="36" t="s">
        <v>1056</v>
      </c>
      <c r="D334" s="9" t="s">
        <v>1057</v>
      </c>
      <c r="E334" s="9">
        <v>905</v>
      </c>
      <c r="F334" s="10" t="s">
        <v>921</v>
      </c>
      <c r="G334" s="9">
        <v>1840</v>
      </c>
      <c r="H334" s="9">
        <v>1955</v>
      </c>
      <c r="I334" s="8">
        <v>10839.26</v>
      </c>
      <c r="J334" s="8">
        <v>9679.6479999999992</v>
      </c>
      <c r="K334" s="8">
        <v>7834.2950000000001</v>
      </c>
      <c r="L334" s="8">
        <v>6313.58</v>
      </c>
      <c r="M334" s="8">
        <v>5936.2280000000001</v>
      </c>
      <c r="N334" s="8">
        <v>6709.3310000000001</v>
      </c>
      <c r="O334" s="8">
        <v>6991.9080000000004</v>
      </c>
      <c r="P334" s="8">
        <v>6575.0020000000004</v>
      </c>
      <c r="Q334" s="8">
        <v>6182.3909999999996</v>
      </c>
      <c r="R334" s="8">
        <v>5440.7650000000003</v>
      </c>
      <c r="S334" s="8">
        <v>5218.5330000000004</v>
      </c>
      <c r="T334" s="8">
        <v>4257.1629999999996</v>
      </c>
      <c r="U334" s="8">
        <v>3783.5830000000001</v>
      </c>
      <c r="V334" s="8">
        <v>3068.34</v>
      </c>
      <c r="W334" s="8">
        <v>2130.7950000000001</v>
      </c>
      <c r="X334" s="8">
        <v>1303.615</v>
      </c>
      <c r="Y334" s="8">
        <v>683.70699999999999</v>
      </c>
      <c r="Z334" s="8">
        <v>238.06200000000001</v>
      </c>
      <c r="AA334" s="8">
        <v>71.341999999999999</v>
      </c>
      <c r="AB334" s="8">
        <v>13.722</v>
      </c>
      <c r="AC334" s="8">
        <v>1.58</v>
      </c>
    </row>
    <row r="335" spans="1:29" ht="11.65" x14ac:dyDescent="0.35">
      <c r="A335" s="12">
        <v>318</v>
      </c>
      <c r="B335" s="10" t="s">
        <v>1015</v>
      </c>
      <c r="C335" s="36" t="s">
        <v>1056</v>
      </c>
      <c r="D335" s="9" t="s">
        <v>1057</v>
      </c>
      <c r="E335" s="9">
        <v>905</v>
      </c>
      <c r="F335" s="10" t="s">
        <v>921</v>
      </c>
      <c r="G335" s="9">
        <v>1840</v>
      </c>
      <c r="H335" s="9">
        <v>1960</v>
      </c>
      <c r="I335" s="8">
        <v>11721.422</v>
      </c>
      <c r="J335" s="8">
        <v>10887.032999999999</v>
      </c>
      <c r="K335" s="8">
        <v>9744.8349999999991</v>
      </c>
      <c r="L335" s="8">
        <v>7659.1989999999996</v>
      </c>
      <c r="M335" s="8">
        <v>6331.2719999999999</v>
      </c>
      <c r="N335" s="8">
        <v>6369.2929999999997</v>
      </c>
      <c r="O335" s="8">
        <v>6824.21</v>
      </c>
      <c r="P335" s="8">
        <v>7021.3440000000001</v>
      </c>
      <c r="Q335" s="8">
        <v>6497.652</v>
      </c>
      <c r="R335" s="8">
        <v>6069.9440000000004</v>
      </c>
      <c r="S335" s="8">
        <v>5464.1859999999997</v>
      </c>
      <c r="T335" s="8">
        <v>4870.2939999999999</v>
      </c>
      <c r="U335" s="8">
        <v>3860.4090000000001</v>
      </c>
      <c r="V335" s="8">
        <v>3212.3249999999998</v>
      </c>
      <c r="W335" s="8">
        <v>2345.027</v>
      </c>
      <c r="X335" s="8">
        <v>1539.5889999999999</v>
      </c>
      <c r="Y335" s="8">
        <v>759.79100000000005</v>
      </c>
      <c r="Z335" s="8">
        <v>306.61500000000001</v>
      </c>
      <c r="AA335" s="8">
        <v>74.331000000000003</v>
      </c>
      <c r="AB335" s="8">
        <v>14.268000000000001</v>
      </c>
      <c r="AC335" s="8">
        <v>1.6970000000000001</v>
      </c>
    </row>
    <row r="336" spans="1:29" ht="11.65" x14ac:dyDescent="0.35">
      <c r="A336" s="12">
        <v>319</v>
      </c>
      <c r="B336" s="10" t="s">
        <v>1015</v>
      </c>
      <c r="C336" s="36" t="s">
        <v>1056</v>
      </c>
      <c r="D336" s="9" t="s">
        <v>1057</v>
      </c>
      <c r="E336" s="9">
        <v>905</v>
      </c>
      <c r="F336" s="10" t="s">
        <v>921</v>
      </c>
      <c r="G336" s="9">
        <v>1840</v>
      </c>
      <c r="H336" s="9">
        <v>1965</v>
      </c>
      <c r="I336" s="8">
        <v>11243.668</v>
      </c>
      <c r="J336" s="8">
        <v>11810.204</v>
      </c>
      <c r="K336" s="8">
        <v>10983.671</v>
      </c>
      <c r="L336" s="8">
        <v>9700.2250000000004</v>
      </c>
      <c r="M336" s="8">
        <v>7620.0990000000002</v>
      </c>
      <c r="N336" s="8">
        <v>6564.16</v>
      </c>
      <c r="O336" s="8">
        <v>6503.549</v>
      </c>
      <c r="P336" s="8">
        <v>6821.6980000000003</v>
      </c>
      <c r="Q336" s="8">
        <v>6945.9920000000002</v>
      </c>
      <c r="R336" s="8">
        <v>6342.5810000000001</v>
      </c>
      <c r="S336" s="8">
        <v>5824.4790000000003</v>
      </c>
      <c r="T336" s="8">
        <v>5176.7939999999999</v>
      </c>
      <c r="U336" s="8">
        <v>4296.6440000000002</v>
      </c>
      <c r="V336" s="8">
        <v>3289.7359999999999</v>
      </c>
      <c r="W336" s="8">
        <v>2525.65</v>
      </c>
      <c r="X336" s="8">
        <v>1697.575</v>
      </c>
      <c r="Y336" s="8">
        <v>877.06200000000001</v>
      </c>
      <c r="Z336" s="8">
        <v>339.82600000000002</v>
      </c>
      <c r="AA336" s="8">
        <v>94.966999999999999</v>
      </c>
      <c r="AB336" s="8">
        <v>14.645</v>
      </c>
      <c r="AC336" s="8">
        <v>1.7190000000000001</v>
      </c>
    </row>
    <row r="337" spans="1:29" ht="11.65" x14ac:dyDescent="0.35">
      <c r="A337" s="12">
        <v>320</v>
      </c>
      <c r="B337" s="10" t="s">
        <v>1015</v>
      </c>
      <c r="C337" s="36" t="s">
        <v>1056</v>
      </c>
      <c r="D337" s="9" t="s">
        <v>1057</v>
      </c>
      <c r="E337" s="9">
        <v>905</v>
      </c>
      <c r="F337" s="10" t="s">
        <v>921</v>
      </c>
      <c r="G337" s="9">
        <v>1840</v>
      </c>
      <c r="H337" s="9">
        <v>1970</v>
      </c>
      <c r="I337" s="8">
        <v>9968.5059999999994</v>
      </c>
      <c r="J337" s="8">
        <v>11549.82</v>
      </c>
      <c r="K337" s="8">
        <v>11920.075999999999</v>
      </c>
      <c r="L337" s="8">
        <v>10955.304</v>
      </c>
      <c r="M337" s="8">
        <v>9175.1919999999991</v>
      </c>
      <c r="N337" s="8">
        <v>7868.5360000000001</v>
      </c>
      <c r="O337" s="8">
        <v>6746.9059999999999</v>
      </c>
      <c r="P337" s="8">
        <v>6461.1689999999999</v>
      </c>
      <c r="Q337" s="8">
        <v>6793.1310000000003</v>
      </c>
      <c r="R337" s="8">
        <v>6828.4979999999996</v>
      </c>
      <c r="S337" s="8">
        <v>6111.1210000000001</v>
      </c>
      <c r="T337" s="8">
        <v>5439.93</v>
      </c>
      <c r="U337" s="8">
        <v>4574.6639999999998</v>
      </c>
      <c r="V337" s="8">
        <v>3697.0590000000002</v>
      </c>
      <c r="W337" s="8">
        <v>2554.33</v>
      </c>
      <c r="X337" s="8">
        <v>1780.7349999999999</v>
      </c>
      <c r="Y337" s="8">
        <v>999.81799999999998</v>
      </c>
      <c r="Z337" s="8">
        <v>399.3</v>
      </c>
      <c r="AA337" s="8">
        <v>107.922</v>
      </c>
      <c r="AB337" s="8">
        <v>19.128</v>
      </c>
      <c r="AC337" s="8">
        <v>1.853</v>
      </c>
    </row>
    <row r="338" spans="1:29" ht="11.65" x14ac:dyDescent="0.35">
      <c r="A338" s="12">
        <v>321</v>
      </c>
      <c r="B338" s="10" t="s">
        <v>1015</v>
      </c>
      <c r="C338" s="36" t="s">
        <v>1056</v>
      </c>
      <c r="D338" s="9" t="s">
        <v>1057</v>
      </c>
      <c r="E338" s="9">
        <v>905</v>
      </c>
      <c r="F338" s="10" t="s">
        <v>921</v>
      </c>
      <c r="G338" s="9">
        <v>1840</v>
      </c>
      <c r="H338" s="9">
        <v>1975</v>
      </c>
      <c r="I338" s="8">
        <v>9365.3189999999995</v>
      </c>
      <c r="J338" s="8">
        <v>10059.819</v>
      </c>
      <c r="K338" s="8">
        <v>11671.723</v>
      </c>
      <c r="L338" s="8">
        <v>11976.35</v>
      </c>
      <c r="M338" s="8">
        <v>11038.012000000001</v>
      </c>
      <c r="N338" s="8">
        <v>9759.5580000000009</v>
      </c>
      <c r="O338" s="8">
        <v>8058.6210000000001</v>
      </c>
      <c r="P338" s="8">
        <v>6711.0739999999996</v>
      </c>
      <c r="Q338" s="8">
        <v>6476.5469999999996</v>
      </c>
      <c r="R338" s="8">
        <v>6648.8710000000001</v>
      </c>
      <c r="S338" s="8">
        <v>6549.2629999999999</v>
      </c>
      <c r="T338" s="8">
        <v>5708.0950000000003</v>
      </c>
      <c r="U338" s="8">
        <v>4904.4340000000002</v>
      </c>
      <c r="V338" s="8">
        <v>3965.93</v>
      </c>
      <c r="W338" s="8">
        <v>2872.7579999999998</v>
      </c>
      <c r="X338" s="8">
        <v>1832.7840000000001</v>
      </c>
      <c r="Y338" s="8">
        <v>1103.9159999999999</v>
      </c>
      <c r="Z338" s="8">
        <v>471.30200000000002</v>
      </c>
      <c r="AA338" s="8">
        <v>134.417</v>
      </c>
      <c r="AB338" s="8">
        <v>23.425999999999998</v>
      </c>
      <c r="AC338" s="8">
        <v>2.5910000000000002</v>
      </c>
    </row>
    <row r="339" spans="1:29" ht="11.65" x14ac:dyDescent="0.35">
      <c r="A339" s="12">
        <v>322</v>
      </c>
      <c r="B339" s="10" t="s">
        <v>1015</v>
      </c>
      <c r="C339" s="36" t="s">
        <v>1056</v>
      </c>
      <c r="D339" s="9" t="s">
        <v>1057</v>
      </c>
      <c r="E339" s="9">
        <v>905</v>
      </c>
      <c r="F339" s="10" t="s">
        <v>921</v>
      </c>
      <c r="G339" s="9">
        <v>1840</v>
      </c>
      <c r="H339" s="9">
        <v>1980</v>
      </c>
      <c r="I339" s="8">
        <v>9467.1560000000009</v>
      </c>
      <c r="J339" s="8">
        <v>9621.16</v>
      </c>
      <c r="K339" s="8">
        <v>10707.343999999999</v>
      </c>
      <c r="L339" s="8">
        <v>12216.584000000001</v>
      </c>
      <c r="M339" s="8">
        <v>12153.243</v>
      </c>
      <c r="N339" s="8">
        <v>11103.189</v>
      </c>
      <c r="O339" s="8">
        <v>9818.5349999999999</v>
      </c>
      <c r="P339" s="8">
        <v>7601.5829999999996</v>
      </c>
      <c r="Q339" s="8">
        <v>6606.3689999999997</v>
      </c>
      <c r="R339" s="8">
        <v>6063.6</v>
      </c>
      <c r="S339" s="8">
        <v>6249.5929999999998</v>
      </c>
      <c r="T339" s="8">
        <v>6084.4889999999996</v>
      </c>
      <c r="U339" s="8">
        <v>5240.22</v>
      </c>
      <c r="V339" s="8">
        <v>4478.9660000000003</v>
      </c>
      <c r="W339" s="8">
        <v>3207.0540000000001</v>
      </c>
      <c r="X339" s="8">
        <v>2327.5610000000001</v>
      </c>
      <c r="Y339" s="8">
        <v>1036.8910000000001</v>
      </c>
      <c r="Z339" s="8">
        <v>549.49400000000003</v>
      </c>
      <c r="AA339" s="8">
        <v>170.49700000000001</v>
      </c>
      <c r="AB339" s="8">
        <v>32.018999999999998</v>
      </c>
      <c r="AC339" s="8">
        <v>3.5550000000000002</v>
      </c>
    </row>
    <row r="340" spans="1:29" ht="11.65" x14ac:dyDescent="0.35">
      <c r="A340" s="12">
        <v>323</v>
      </c>
      <c r="B340" s="10" t="s">
        <v>1015</v>
      </c>
      <c r="C340" s="36" t="s">
        <v>1056</v>
      </c>
      <c r="D340" s="9" t="s">
        <v>1057</v>
      </c>
      <c r="E340" s="9">
        <v>905</v>
      </c>
      <c r="F340" s="10" t="s">
        <v>921</v>
      </c>
      <c r="G340" s="9">
        <v>1840</v>
      </c>
      <c r="H340" s="9">
        <v>1985</v>
      </c>
      <c r="I340" s="8">
        <v>10043.175999999999</v>
      </c>
      <c r="J340" s="8">
        <v>9615.1650000000009</v>
      </c>
      <c r="K340" s="8">
        <v>9896.8230000000003</v>
      </c>
      <c r="L340" s="8">
        <v>10984.619000000001</v>
      </c>
      <c r="M340" s="8">
        <v>12286</v>
      </c>
      <c r="N340" s="8">
        <v>12334.812</v>
      </c>
      <c r="O340" s="8">
        <v>11296.434999999999</v>
      </c>
      <c r="P340" s="8">
        <v>9744.9429999999993</v>
      </c>
      <c r="Q340" s="8">
        <v>7622.7650000000003</v>
      </c>
      <c r="R340" s="8">
        <v>6531.2079999999996</v>
      </c>
      <c r="S340" s="8">
        <v>5927.3879999999999</v>
      </c>
      <c r="T340" s="8">
        <v>5958.6750000000002</v>
      </c>
      <c r="U340" s="8">
        <v>5633.3190000000004</v>
      </c>
      <c r="V340" s="8">
        <v>4692.5889999999999</v>
      </c>
      <c r="W340" s="8">
        <v>3630.9630000000002</v>
      </c>
      <c r="X340" s="8">
        <v>2394.4090000000001</v>
      </c>
      <c r="Y340" s="8">
        <v>1449.67</v>
      </c>
      <c r="Z340" s="8">
        <v>525.35699999999997</v>
      </c>
      <c r="AA340" s="8">
        <v>203.51900000000001</v>
      </c>
      <c r="AB340" s="8">
        <v>41.360999999999997</v>
      </c>
      <c r="AC340" s="8">
        <v>4.9249999999999998</v>
      </c>
    </row>
    <row r="341" spans="1:29" ht="11.65" x14ac:dyDescent="0.35">
      <c r="A341" s="12">
        <v>324</v>
      </c>
      <c r="B341" s="10" t="s">
        <v>1015</v>
      </c>
      <c r="C341" s="36" t="s">
        <v>1056</v>
      </c>
      <c r="D341" s="9" t="s">
        <v>1057</v>
      </c>
      <c r="E341" s="9">
        <v>905</v>
      </c>
      <c r="F341" s="10" t="s">
        <v>921</v>
      </c>
      <c r="G341" s="9">
        <v>1840</v>
      </c>
      <c r="H341" s="9">
        <v>1990</v>
      </c>
      <c r="I341" s="8">
        <v>10830.653</v>
      </c>
      <c r="J341" s="8">
        <v>10197.708000000001</v>
      </c>
      <c r="K341" s="8">
        <v>9865.5879999999997</v>
      </c>
      <c r="L341" s="8">
        <v>10215.32</v>
      </c>
      <c r="M341" s="8">
        <v>11117.728999999999</v>
      </c>
      <c r="N341" s="8">
        <v>12247.282999999999</v>
      </c>
      <c r="O341" s="8">
        <v>12414.237999999999</v>
      </c>
      <c r="P341" s="8">
        <v>11259.591</v>
      </c>
      <c r="Q341" s="8">
        <v>9803.4269999999997</v>
      </c>
      <c r="R341" s="8">
        <v>7500.0159999999996</v>
      </c>
      <c r="S341" s="8">
        <v>6382.2749999999996</v>
      </c>
      <c r="T341" s="8">
        <v>5663.8710000000001</v>
      </c>
      <c r="U341" s="8">
        <v>5552.9690000000001</v>
      </c>
      <c r="V341" s="8">
        <v>5038.3379999999997</v>
      </c>
      <c r="W341" s="8">
        <v>3889.1149999999998</v>
      </c>
      <c r="X341" s="8">
        <v>2771.9290000000001</v>
      </c>
      <c r="Y341" s="8">
        <v>1526.451</v>
      </c>
      <c r="Z341" s="8">
        <v>744.21799999999996</v>
      </c>
      <c r="AA341" s="8">
        <v>193.995</v>
      </c>
      <c r="AB341" s="8">
        <v>48.286999999999999</v>
      </c>
      <c r="AC341" s="8">
        <v>6.0570000000000004</v>
      </c>
    </row>
    <row r="342" spans="1:29" ht="11.65" x14ac:dyDescent="0.35">
      <c r="A342" s="12">
        <v>325</v>
      </c>
      <c r="B342" s="10" t="s">
        <v>1015</v>
      </c>
      <c r="C342" s="36" t="s">
        <v>1056</v>
      </c>
      <c r="D342" s="9" t="s">
        <v>1057</v>
      </c>
      <c r="E342" s="9">
        <v>905</v>
      </c>
      <c r="F342" s="10" t="s">
        <v>921</v>
      </c>
      <c r="G342" s="9">
        <v>1840</v>
      </c>
      <c r="H342" s="9">
        <v>1995</v>
      </c>
      <c r="I342" s="8">
        <v>11225.474</v>
      </c>
      <c r="J342" s="8">
        <v>11022.284</v>
      </c>
      <c r="K342" s="8">
        <v>10675.175999999999</v>
      </c>
      <c r="L342" s="8">
        <v>10383.328</v>
      </c>
      <c r="M342" s="8">
        <v>10322.299999999999</v>
      </c>
      <c r="N342" s="8">
        <v>11191.914000000001</v>
      </c>
      <c r="O342" s="8">
        <v>12643.957</v>
      </c>
      <c r="P342" s="8">
        <v>12520.188</v>
      </c>
      <c r="Q342" s="8">
        <v>11210.203</v>
      </c>
      <c r="R342" s="8">
        <v>9546.259</v>
      </c>
      <c r="S342" s="8">
        <v>7354.4390000000003</v>
      </c>
      <c r="T342" s="8">
        <v>6125.2470000000003</v>
      </c>
      <c r="U342" s="8">
        <v>5340.473</v>
      </c>
      <c r="V342" s="8">
        <v>5025.3490000000002</v>
      </c>
      <c r="W342" s="8">
        <v>4253.91</v>
      </c>
      <c r="X342" s="8">
        <v>3026.192</v>
      </c>
      <c r="Y342" s="8">
        <v>1772.527</v>
      </c>
      <c r="Z342" s="8">
        <v>805.71199999999999</v>
      </c>
      <c r="AA342" s="8">
        <v>282.26</v>
      </c>
      <c r="AB342" s="8">
        <v>46.384999999999998</v>
      </c>
      <c r="AC342" s="8">
        <v>6.9829999999999997</v>
      </c>
    </row>
    <row r="343" spans="1:29" ht="11.65" x14ac:dyDescent="0.35">
      <c r="A343" s="12">
        <v>326</v>
      </c>
      <c r="B343" s="10" t="s">
        <v>1015</v>
      </c>
      <c r="C343" s="36" t="s">
        <v>1056</v>
      </c>
      <c r="D343" s="9" t="s">
        <v>1057</v>
      </c>
      <c r="E343" s="9">
        <v>905</v>
      </c>
      <c r="F343" s="10" t="s">
        <v>921</v>
      </c>
      <c r="G343" s="9">
        <v>1840</v>
      </c>
      <c r="H343" s="9">
        <v>2000</v>
      </c>
      <c r="I343" s="8">
        <v>10919.637000000001</v>
      </c>
      <c r="J343" s="8">
        <v>11715.308999999999</v>
      </c>
      <c r="K343" s="8">
        <v>11661.985000000001</v>
      </c>
      <c r="L343" s="8">
        <v>11301.653</v>
      </c>
      <c r="M343" s="8">
        <v>10765.313</v>
      </c>
      <c r="N343" s="8">
        <v>10813.575000000001</v>
      </c>
      <c r="O343" s="8">
        <v>11661.365</v>
      </c>
      <c r="P343" s="8">
        <v>12799.232</v>
      </c>
      <c r="Q343" s="8">
        <v>12514.450999999999</v>
      </c>
      <c r="R343" s="8">
        <v>11187.311</v>
      </c>
      <c r="S343" s="8">
        <v>9565.99</v>
      </c>
      <c r="T343" s="8">
        <v>7149.8140000000003</v>
      </c>
      <c r="U343" s="8">
        <v>5880.1570000000002</v>
      </c>
      <c r="V343" s="8">
        <v>4930.7219999999998</v>
      </c>
      <c r="W343" s="8">
        <v>4338.0219999999999</v>
      </c>
      <c r="X343" s="8">
        <v>3388.8009999999999</v>
      </c>
      <c r="Y343" s="8">
        <v>2069.509</v>
      </c>
      <c r="Z343" s="8">
        <v>945.50699999999995</v>
      </c>
      <c r="AA343" s="8">
        <v>300.36399999999998</v>
      </c>
      <c r="AB343" s="8">
        <v>63.71</v>
      </c>
      <c r="AC343" s="8">
        <v>6.1440000000000001</v>
      </c>
    </row>
    <row r="344" spans="1:29" ht="11.65" x14ac:dyDescent="0.35">
      <c r="A344" s="12">
        <v>327</v>
      </c>
      <c r="B344" s="10" t="s">
        <v>1015</v>
      </c>
      <c r="C344" s="36" t="s">
        <v>1056</v>
      </c>
      <c r="D344" s="9" t="s">
        <v>1057</v>
      </c>
      <c r="E344" s="9">
        <v>905</v>
      </c>
      <c r="F344" s="10" t="s">
        <v>921</v>
      </c>
      <c r="G344" s="9">
        <v>1840</v>
      </c>
      <c r="H344" s="9">
        <v>2005</v>
      </c>
      <c r="I344" s="8">
        <v>11245.439</v>
      </c>
      <c r="J344" s="8">
        <v>11061.941000000001</v>
      </c>
      <c r="K344" s="8">
        <v>12141.428</v>
      </c>
      <c r="L344" s="8">
        <v>12217.550999999999</v>
      </c>
      <c r="M344" s="8">
        <v>11678.368</v>
      </c>
      <c r="N344" s="8">
        <v>10842.394</v>
      </c>
      <c r="O344" s="8">
        <v>10993.870999999999</v>
      </c>
      <c r="P344" s="8">
        <v>11755.267</v>
      </c>
      <c r="Q344" s="8">
        <v>12755.767</v>
      </c>
      <c r="R344" s="8">
        <v>12393.831</v>
      </c>
      <c r="S344" s="8">
        <v>11022.937</v>
      </c>
      <c r="T344" s="8">
        <v>9319.67</v>
      </c>
      <c r="U344" s="8">
        <v>6855.6909999999998</v>
      </c>
      <c r="V344" s="8">
        <v>5482.5739999999996</v>
      </c>
      <c r="W344" s="8">
        <v>4353.1099999999997</v>
      </c>
      <c r="X344" s="8">
        <v>3523.2559999999999</v>
      </c>
      <c r="Y344" s="8">
        <v>2347.0390000000002</v>
      </c>
      <c r="Z344" s="8">
        <v>1153.471</v>
      </c>
      <c r="AA344" s="8">
        <v>361.255</v>
      </c>
      <c r="AB344" s="8">
        <v>66.682000000000002</v>
      </c>
      <c r="AC344" s="8">
        <v>7.4939999999999998</v>
      </c>
    </row>
    <row r="345" spans="1:29" ht="11.65" x14ac:dyDescent="0.35">
      <c r="A345" s="12">
        <v>328</v>
      </c>
      <c r="B345" s="10" t="s">
        <v>1015</v>
      </c>
      <c r="C345" s="36" t="s">
        <v>1056</v>
      </c>
      <c r="D345" s="9" t="s">
        <v>1057</v>
      </c>
      <c r="E345" s="9">
        <v>905</v>
      </c>
      <c r="F345" s="10" t="s">
        <v>921</v>
      </c>
      <c r="G345" s="9">
        <v>1840</v>
      </c>
      <c r="H345" s="9">
        <v>2010</v>
      </c>
      <c r="I345" s="8">
        <v>11653.472</v>
      </c>
      <c r="J345" s="8">
        <v>11495.125</v>
      </c>
      <c r="K345" s="8">
        <v>11689.566999999999</v>
      </c>
      <c r="L345" s="8">
        <v>12543.434999999999</v>
      </c>
      <c r="M345" s="8">
        <v>12331.415999999999</v>
      </c>
      <c r="N345" s="8">
        <v>11704.147000000001</v>
      </c>
      <c r="O345" s="8">
        <v>11093.951999999999</v>
      </c>
      <c r="P345" s="8">
        <v>11131.716</v>
      </c>
      <c r="Q345" s="8">
        <v>11785.659</v>
      </c>
      <c r="R345" s="8">
        <v>12685.201999999999</v>
      </c>
      <c r="S345" s="8">
        <v>12271.368</v>
      </c>
      <c r="T345" s="8">
        <v>10751.425999999999</v>
      </c>
      <c r="U345" s="8">
        <v>8950.6640000000007</v>
      </c>
      <c r="V345" s="8">
        <v>6433.3209999999999</v>
      </c>
      <c r="W345" s="8">
        <v>4882.8959999999997</v>
      </c>
      <c r="X345" s="8">
        <v>3599.9119999999998</v>
      </c>
      <c r="Y345" s="8">
        <v>2628.1849999999999</v>
      </c>
      <c r="Z345" s="8">
        <v>1408.135</v>
      </c>
      <c r="AA345" s="8">
        <v>481.52600000000001</v>
      </c>
      <c r="AB345" s="8">
        <v>87.665000000000006</v>
      </c>
      <c r="AC345" s="8">
        <v>8.5960000000000001</v>
      </c>
    </row>
    <row r="346" spans="1:29" ht="11.65" x14ac:dyDescent="0.35">
      <c r="A346" s="12">
        <v>329</v>
      </c>
      <c r="B346" s="10" t="s">
        <v>1015</v>
      </c>
      <c r="C346" s="36" t="s">
        <v>1056</v>
      </c>
      <c r="D346" s="9" t="s">
        <v>1057</v>
      </c>
      <c r="E346" s="9">
        <v>905</v>
      </c>
      <c r="F346" s="10" t="s">
        <v>921</v>
      </c>
      <c r="G346" s="9">
        <v>1840</v>
      </c>
      <c r="H346" s="9">
        <v>2015</v>
      </c>
      <c r="I346" s="8">
        <v>11192.397999999999</v>
      </c>
      <c r="J346" s="8">
        <v>11742.749</v>
      </c>
      <c r="K346" s="8">
        <v>11563.873</v>
      </c>
      <c r="L346" s="8">
        <v>12034.550999999999</v>
      </c>
      <c r="M346" s="8">
        <v>13097.106</v>
      </c>
      <c r="N346" s="8">
        <v>12722.976000000001</v>
      </c>
      <c r="O346" s="8">
        <v>12018.725</v>
      </c>
      <c r="P346" s="8">
        <v>11286.659</v>
      </c>
      <c r="Q346" s="8">
        <v>11205.957</v>
      </c>
      <c r="R346" s="8">
        <v>11725.79</v>
      </c>
      <c r="S346" s="8">
        <v>12475.467000000001</v>
      </c>
      <c r="T346" s="8">
        <v>11917.928</v>
      </c>
      <c r="U346" s="8">
        <v>10240.237999999999</v>
      </c>
      <c r="V346" s="8">
        <v>8361.0769999999993</v>
      </c>
      <c r="W346" s="8">
        <v>5773.0860000000002</v>
      </c>
      <c r="X346" s="8">
        <v>4123.6620000000003</v>
      </c>
      <c r="Y346" s="8">
        <v>2729.4780000000001</v>
      </c>
      <c r="Z346" s="8">
        <v>1650.2270000000001</v>
      </c>
      <c r="AA346" s="8">
        <v>635.22</v>
      </c>
      <c r="AB346" s="8">
        <v>129.62100000000001</v>
      </c>
      <c r="AC346" s="8">
        <v>12.702</v>
      </c>
    </row>
    <row r="347" spans="1:29" ht="11.65" x14ac:dyDescent="0.35">
      <c r="A347" s="12">
        <v>330</v>
      </c>
      <c r="B347" s="10" t="s">
        <v>1015</v>
      </c>
      <c r="C347" s="36" t="s">
        <v>1056</v>
      </c>
      <c r="D347" s="9" t="s">
        <v>1057</v>
      </c>
      <c r="E347" s="9">
        <v>905</v>
      </c>
      <c r="F347" s="10" t="s">
        <v>921</v>
      </c>
      <c r="G347" s="9">
        <v>1840</v>
      </c>
      <c r="H347" s="9">
        <v>2020</v>
      </c>
      <c r="I347" s="8">
        <v>11079.31</v>
      </c>
      <c r="J347" s="8">
        <v>11261.703</v>
      </c>
      <c r="K347" s="8">
        <v>11795.671</v>
      </c>
      <c r="L347" s="8">
        <v>11855.544</v>
      </c>
      <c r="M347" s="8">
        <v>12534.918</v>
      </c>
      <c r="N347" s="8">
        <v>13538.215</v>
      </c>
      <c r="O347" s="8">
        <v>13022.441000000001</v>
      </c>
      <c r="P347" s="8">
        <v>12184.44</v>
      </c>
      <c r="Q347" s="8">
        <v>11346.259</v>
      </c>
      <c r="R347" s="8">
        <v>11162.566999999999</v>
      </c>
      <c r="S347" s="8">
        <v>11540.511</v>
      </c>
      <c r="T347" s="8">
        <v>12088.347</v>
      </c>
      <c r="U347" s="8">
        <v>11329.877</v>
      </c>
      <c r="V347" s="8">
        <v>9516.1820000000007</v>
      </c>
      <c r="W347" s="8">
        <v>7515.6040000000003</v>
      </c>
      <c r="X347" s="8">
        <v>4896.991</v>
      </c>
      <c r="Y347" s="8">
        <v>3162.4279999999999</v>
      </c>
      <c r="Z347" s="8">
        <v>1744.375</v>
      </c>
      <c r="AA347" s="8">
        <v>786.84900000000005</v>
      </c>
      <c r="AB347" s="8">
        <v>196.023</v>
      </c>
      <c r="AC347" s="8">
        <v>22.266999999999999</v>
      </c>
    </row>
    <row r="348" spans="1:29" ht="11.65" x14ac:dyDescent="0.35">
      <c r="A348" s="12">
        <v>331</v>
      </c>
      <c r="B348" s="10" t="s">
        <v>1015</v>
      </c>
      <c r="C348" s="36" t="s">
        <v>1058</v>
      </c>
      <c r="D348" s="9" t="s">
        <v>1059</v>
      </c>
      <c r="E348" s="9">
        <v>909</v>
      </c>
      <c r="F348" s="10" t="s">
        <v>921</v>
      </c>
      <c r="G348" s="9">
        <v>1840</v>
      </c>
      <c r="H348" s="9">
        <v>1950</v>
      </c>
      <c r="I348" s="8">
        <v>810.00599999999997</v>
      </c>
      <c r="J348" s="8">
        <v>644.17399999999998</v>
      </c>
      <c r="K348" s="8">
        <v>545.00199999999995</v>
      </c>
      <c r="L348" s="8">
        <v>507.35500000000002</v>
      </c>
      <c r="M348" s="8">
        <v>542.35400000000004</v>
      </c>
      <c r="N348" s="8">
        <v>537.21600000000001</v>
      </c>
      <c r="O348" s="8">
        <v>481.40499999999997</v>
      </c>
      <c r="P348" s="8">
        <v>473.50599999999997</v>
      </c>
      <c r="Q348" s="8">
        <v>425.512</v>
      </c>
      <c r="R348" s="8">
        <v>367.34399999999999</v>
      </c>
      <c r="S348" s="8">
        <v>314.71800000000002</v>
      </c>
      <c r="T348" s="8">
        <v>272.04300000000001</v>
      </c>
      <c r="U348" s="8">
        <v>241.83500000000001</v>
      </c>
      <c r="V348" s="8">
        <v>186.126</v>
      </c>
      <c r="W348" s="8">
        <v>126.57599999999999</v>
      </c>
      <c r="X348" s="8">
        <v>75.242999999999995</v>
      </c>
      <c r="Y348" s="8">
        <v>37.136000000000003</v>
      </c>
      <c r="Z348" s="8">
        <v>14.608000000000001</v>
      </c>
      <c r="AA348" s="8">
        <v>4.2640000000000002</v>
      </c>
      <c r="AB348" s="8">
        <v>0.81200000000000006</v>
      </c>
      <c r="AC348" s="8">
        <v>9.4E-2</v>
      </c>
    </row>
    <row r="349" spans="1:29" ht="11.65" x14ac:dyDescent="0.35">
      <c r="A349" s="12">
        <v>332</v>
      </c>
      <c r="B349" s="10" t="s">
        <v>1015</v>
      </c>
      <c r="C349" s="36" t="s">
        <v>1058</v>
      </c>
      <c r="D349" s="9" t="s">
        <v>1059</v>
      </c>
      <c r="E349" s="9">
        <v>909</v>
      </c>
      <c r="F349" s="10" t="s">
        <v>921</v>
      </c>
      <c r="G349" s="9">
        <v>1840</v>
      </c>
      <c r="H349" s="9">
        <v>1955</v>
      </c>
      <c r="I349" s="8">
        <v>907.57100000000003</v>
      </c>
      <c r="J349" s="8">
        <v>807.78099999999995</v>
      </c>
      <c r="K349" s="8">
        <v>651.54899999999998</v>
      </c>
      <c r="L349" s="8">
        <v>552.44899999999996</v>
      </c>
      <c r="M349" s="8">
        <v>524.81799999999998</v>
      </c>
      <c r="N349" s="8">
        <v>569.572</v>
      </c>
      <c r="O349" s="8">
        <v>560.04600000000005</v>
      </c>
      <c r="P349" s="8">
        <v>489.01499999999999</v>
      </c>
      <c r="Q349" s="8">
        <v>476.95800000000003</v>
      </c>
      <c r="R349" s="8">
        <v>418.54899999999998</v>
      </c>
      <c r="S349" s="8">
        <v>350.83800000000002</v>
      </c>
      <c r="T349" s="8">
        <v>288.91800000000001</v>
      </c>
      <c r="U349" s="8">
        <v>240.239</v>
      </c>
      <c r="V349" s="8">
        <v>199.06299999999999</v>
      </c>
      <c r="W349" s="8">
        <v>139.47</v>
      </c>
      <c r="X349" s="8">
        <v>83.409000000000006</v>
      </c>
      <c r="Y349" s="8">
        <v>42.177999999999997</v>
      </c>
      <c r="Z349" s="8">
        <v>14.092000000000001</v>
      </c>
      <c r="AA349" s="8">
        <v>3.7450000000000001</v>
      </c>
      <c r="AB349" s="8">
        <v>0.64600000000000002</v>
      </c>
      <c r="AC349" s="8">
        <v>6.9000000000000006E-2</v>
      </c>
    </row>
    <row r="350" spans="1:29" ht="11.65" x14ac:dyDescent="0.35">
      <c r="A350" s="12">
        <v>333</v>
      </c>
      <c r="B350" s="10" t="s">
        <v>1015</v>
      </c>
      <c r="C350" s="36" t="s">
        <v>1058</v>
      </c>
      <c r="D350" s="9" t="s">
        <v>1059</v>
      </c>
      <c r="E350" s="9">
        <v>909</v>
      </c>
      <c r="F350" s="10" t="s">
        <v>921</v>
      </c>
      <c r="G350" s="9">
        <v>1840</v>
      </c>
      <c r="H350" s="9">
        <v>1960</v>
      </c>
      <c r="I350" s="8">
        <v>1009.428</v>
      </c>
      <c r="J350" s="8">
        <v>905.56200000000001</v>
      </c>
      <c r="K350" s="8">
        <v>823.80600000000004</v>
      </c>
      <c r="L350" s="8">
        <v>660.245</v>
      </c>
      <c r="M350" s="8">
        <v>574.73199999999997</v>
      </c>
      <c r="N350" s="8">
        <v>547.57600000000002</v>
      </c>
      <c r="O350" s="8">
        <v>584.36900000000003</v>
      </c>
      <c r="P350" s="8">
        <v>564.79100000000005</v>
      </c>
      <c r="Q350" s="8">
        <v>487.88499999999999</v>
      </c>
      <c r="R350" s="8">
        <v>469.38400000000001</v>
      </c>
      <c r="S350" s="8">
        <v>401.37099999999998</v>
      </c>
      <c r="T350" s="8">
        <v>324.61900000000003</v>
      </c>
      <c r="U350" s="8">
        <v>258.05700000000002</v>
      </c>
      <c r="V350" s="8">
        <v>199.52699999999999</v>
      </c>
      <c r="W350" s="8">
        <v>154.04400000000001</v>
      </c>
      <c r="X350" s="8">
        <v>93.867999999999995</v>
      </c>
      <c r="Y350" s="8">
        <v>47.924999999999997</v>
      </c>
      <c r="Z350" s="8">
        <v>16.343</v>
      </c>
      <c r="AA350" s="8">
        <v>3.72</v>
      </c>
      <c r="AB350" s="8">
        <v>0.57599999999999996</v>
      </c>
      <c r="AC350" s="8">
        <v>5.6000000000000001E-2</v>
      </c>
    </row>
    <row r="351" spans="1:29" ht="11.65" x14ac:dyDescent="0.35">
      <c r="A351" s="12">
        <v>334</v>
      </c>
      <c r="B351" s="10" t="s">
        <v>1015</v>
      </c>
      <c r="C351" s="36" t="s">
        <v>1058</v>
      </c>
      <c r="D351" s="9" t="s">
        <v>1059</v>
      </c>
      <c r="E351" s="9">
        <v>909</v>
      </c>
      <c r="F351" s="10" t="s">
        <v>921</v>
      </c>
      <c r="G351" s="9">
        <v>1840</v>
      </c>
      <c r="H351" s="9">
        <v>1965</v>
      </c>
      <c r="I351" s="8">
        <v>1086.2529999999999</v>
      </c>
      <c r="J351" s="8">
        <v>1013.575</v>
      </c>
      <c r="K351" s="8">
        <v>922.05399999999997</v>
      </c>
      <c r="L351" s="8">
        <v>837.14400000000001</v>
      </c>
      <c r="M351" s="8">
        <v>682.59799999999996</v>
      </c>
      <c r="N351" s="8">
        <v>598.22900000000004</v>
      </c>
      <c r="O351" s="8">
        <v>559.09500000000003</v>
      </c>
      <c r="P351" s="8">
        <v>588.03899999999999</v>
      </c>
      <c r="Q351" s="8">
        <v>561.54100000000005</v>
      </c>
      <c r="R351" s="8">
        <v>477.37299999999999</v>
      </c>
      <c r="S351" s="8">
        <v>447.68599999999998</v>
      </c>
      <c r="T351" s="8">
        <v>373.988</v>
      </c>
      <c r="U351" s="8">
        <v>289.91000000000003</v>
      </c>
      <c r="V351" s="8">
        <v>217.024</v>
      </c>
      <c r="W351" s="8">
        <v>151.39099999999999</v>
      </c>
      <c r="X351" s="8">
        <v>101.137</v>
      </c>
      <c r="Y351" s="8">
        <v>52.38</v>
      </c>
      <c r="Z351" s="8">
        <v>18.826000000000001</v>
      </c>
      <c r="AA351" s="8">
        <v>4.3769999999999998</v>
      </c>
      <c r="AB351" s="8">
        <v>0.57899999999999996</v>
      </c>
      <c r="AC351" s="8">
        <v>4.9000000000000002E-2</v>
      </c>
    </row>
    <row r="352" spans="1:29" ht="11.65" x14ac:dyDescent="0.35">
      <c r="A352" s="12">
        <v>335</v>
      </c>
      <c r="B352" s="10" t="s">
        <v>1015</v>
      </c>
      <c r="C352" s="36" t="s">
        <v>1058</v>
      </c>
      <c r="D352" s="9" t="s">
        <v>1059</v>
      </c>
      <c r="E352" s="9">
        <v>909</v>
      </c>
      <c r="F352" s="10" t="s">
        <v>921</v>
      </c>
      <c r="G352" s="9">
        <v>1840</v>
      </c>
      <c r="H352" s="9">
        <v>1970</v>
      </c>
      <c r="I352" s="8">
        <v>1155.143</v>
      </c>
      <c r="J352" s="8">
        <v>1116.1389999999999</v>
      </c>
      <c r="K352" s="8">
        <v>1064.223</v>
      </c>
      <c r="L352" s="8">
        <v>935.72900000000004</v>
      </c>
      <c r="M352" s="8">
        <v>885.40200000000004</v>
      </c>
      <c r="N352" s="8">
        <v>718.78200000000004</v>
      </c>
      <c r="O352" s="8">
        <v>626.57000000000005</v>
      </c>
      <c r="P352" s="8">
        <v>571.18100000000004</v>
      </c>
      <c r="Q352" s="8">
        <v>601.21699999999998</v>
      </c>
      <c r="R352" s="8">
        <v>563.68299999999999</v>
      </c>
      <c r="S352" s="8">
        <v>461.43</v>
      </c>
      <c r="T352" s="8">
        <v>418.572</v>
      </c>
      <c r="U352" s="8">
        <v>333.17099999999999</v>
      </c>
      <c r="V352" s="8">
        <v>249.23</v>
      </c>
      <c r="W352" s="8">
        <v>166.08</v>
      </c>
      <c r="X352" s="8">
        <v>100.14100000000001</v>
      </c>
      <c r="Y352" s="8">
        <v>56.207000000000001</v>
      </c>
      <c r="Z352" s="8">
        <v>20.66</v>
      </c>
      <c r="AA352" s="8">
        <v>5.0919999999999996</v>
      </c>
      <c r="AB352" s="8">
        <v>0.71199999999999997</v>
      </c>
      <c r="AC352" s="8">
        <v>5.1999999999999998E-2</v>
      </c>
    </row>
    <row r="353" spans="1:29" ht="11.65" x14ac:dyDescent="0.35">
      <c r="A353" s="12">
        <v>336</v>
      </c>
      <c r="B353" s="10" t="s">
        <v>1015</v>
      </c>
      <c r="C353" s="36" t="s">
        <v>1058</v>
      </c>
      <c r="D353" s="9" t="s">
        <v>1059</v>
      </c>
      <c r="E353" s="9">
        <v>909</v>
      </c>
      <c r="F353" s="10" t="s">
        <v>921</v>
      </c>
      <c r="G353" s="9">
        <v>1840</v>
      </c>
      <c r="H353" s="9">
        <v>1975</v>
      </c>
      <c r="I353" s="8">
        <v>1214.098</v>
      </c>
      <c r="J353" s="8">
        <v>1145.4280000000001</v>
      </c>
      <c r="K353" s="8">
        <v>1135.395</v>
      </c>
      <c r="L353" s="8">
        <v>1051.0989999999999</v>
      </c>
      <c r="M353" s="8">
        <v>944.43299999999999</v>
      </c>
      <c r="N353" s="8">
        <v>885.50800000000004</v>
      </c>
      <c r="O353" s="8">
        <v>730.21600000000001</v>
      </c>
      <c r="P353" s="8">
        <v>632.71100000000001</v>
      </c>
      <c r="Q353" s="8">
        <v>576.49900000000002</v>
      </c>
      <c r="R353" s="8">
        <v>582.577</v>
      </c>
      <c r="S353" s="8">
        <v>536.14099999999996</v>
      </c>
      <c r="T353" s="8">
        <v>430.98200000000003</v>
      </c>
      <c r="U353" s="8">
        <v>378.08</v>
      </c>
      <c r="V353" s="8">
        <v>286.392</v>
      </c>
      <c r="W353" s="8">
        <v>194.899</v>
      </c>
      <c r="X353" s="8">
        <v>111.601</v>
      </c>
      <c r="Y353" s="8">
        <v>58.417000000000002</v>
      </c>
      <c r="Z353" s="8">
        <v>22.859000000000002</v>
      </c>
      <c r="AA353" s="8">
        <v>5.7119999999999997</v>
      </c>
      <c r="AB353" s="8">
        <v>0.84799999999999998</v>
      </c>
      <c r="AC353" s="8">
        <v>6.7000000000000004E-2</v>
      </c>
    </row>
    <row r="354" spans="1:29" ht="11.65" x14ac:dyDescent="0.35">
      <c r="A354" s="12">
        <v>337</v>
      </c>
      <c r="B354" s="10" t="s">
        <v>1015</v>
      </c>
      <c r="C354" s="36" t="s">
        <v>1058</v>
      </c>
      <c r="D354" s="9" t="s">
        <v>1059</v>
      </c>
      <c r="E354" s="9">
        <v>909</v>
      </c>
      <c r="F354" s="10" t="s">
        <v>921</v>
      </c>
      <c r="G354" s="9">
        <v>1840</v>
      </c>
      <c r="H354" s="9">
        <v>1980</v>
      </c>
      <c r="I354" s="8">
        <v>1170.6400000000001</v>
      </c>
      <c r="J354" s="8">
        <v>1207.5650000000001</v>
      </c>
      <c r="K354" s="8">
        <v>1152.452</v>
      </c>
      <c r="L354" s="8">
        <v>1127.7</v>
      </c>
      <c r="M354" s="8">
        <v>1034.479</v>
      </c>
      <c r="N354" s="8">
        <v>940.02599999999995</v>
      </c>
      <c r="O354" s="8">
        <v>886.15</v>
      </c>
      <c r="P354" s="8">
        <v>718.06799999999998</v>
      </c>
      <c r="Q354" s="8">
        <v>614.87599999999998</v>
      </c>
      <c r="R354" s="8">
        <v>556.48</v>
      </c>
      <c r="S354" s="8">
        <v>555.94899999999996</v>
      </c>
      <c r="T354" s="8">
        <v>498.89400000000001</v>
      </c>
      <c r="U354" s="8">
        <v>389.78699999999998</v>
      </c>
      <c r="V354" s="8">
        <v>328.21300000000002</v>
      </c>
      <c r="W354" s="8">
        <v>227.178</v>
      </c>
      <c r="X354" s="8">
        <v>135.387</v>
      </c>
      <c r="Y354" s="8">
        <v>64.953000000000003</v>
      </c>
      <c r="Z354" s="8">
        <v>25.443000000000001</v>
      </c>
      <c r="AA354" s="8">
        <v>7.0460000000000003</v>
      </c>
      <c r="AB354" s="8">
        <v>1.083</v>
      </c>
      <c r="AC354" s="8">
        <v>9.4E-2</v>
      </c>
    </row>
    <row r="355" spans="1:29" ht="11.65" x14ac:dyDescent="0.35">
      <c r="A355" s="12">
        <v>338</v>
      </c>
      <c r="B355" s="10" t="s">
        <v>1015</v>
      </c>
      <c r="C355" s="36" t="s">
        <v>1058</v>
      </c>
      <c r="D355" s="9" t="s">
        <v>1059</v>
      </c>
      <c r="E355" s="9">
        <v>909</v>
      </c>
      <c r="F355" s="10" t="s">
        <v>921</v>
      </c>
      <c r="G355" s="9">
        <v>1840</v>
      </c>
      <c r="H355" s="9">
        <v>1985</v>
      </c>
      <c r="I355" s="8">
        <v>1249.2260000000001</v>
      </c>
      <c r="J355" s="8">
        <v>1181.173</v>
      </c>
      <c r="K355" s="8">
        <v>1226.7260000000001</v>
      </c>
      <c r="L355" s="8">
        <v>1159.829</v>
      </c>
      <c r="M355" s="8">
        <v>1124.585</v>
      </c>
      <c r="N355" s="8">
        <v>1043.26</v>
      </c>
      <c r="O355" s="8">
        <v>960.005</v>
      </c>
      <c r="P355" s="8">
        <v>903.10299999999995</v>
      </c>
      <c r="Q355" s="8">
        <v>722.298</v>
      </c>
      <c r="R355" s="8">
        <v>611.17600000000004</v>
      </c>
      <c r="S355" s="8">
        <v>543.08799999999997</v>
      </c>
      <c r="T355" s="8">
        <v>527.96400000000006</v>
      </c>
      <c r="U355" s="8">
        <v>461.95299999999997</v>
      </c>
      <c r="V355" s="8">
        <v>344.125</v>
      </c>
      <c r="W355" s="8">
        <v>268.21300000000002</v>
      </c>
      <c r="X355" s="8">
        <v>164.833</v>
      </c>
      <c r="Y355" s="8">
        <v>80.869</v>
      </c>
      <c r="Z355" s="8">
        <v>29.31</v>
      </c>
      <c r="AA355" s="8">
        <v>8.1340000000000003</v>
      </c>
      <c r="AB355" s="8">
        <v>1.383</v>
      </c>
      <c r="AC355" s="8">
        <v>0.125</v>
      </c>
    </row>
    <row r="356" spans="1:29" ht="11.65" x14ac:dyDescent="0.35">
      <c r="A356" s="12">
        <v>339</v>
      </c>
      <c r="B356" s="10" t="s">
        <v>1015</v>
      </c>
      <c r="C356" s="36" t="s">
        <v>1058</v>
      </c>
      <c r="D356" s="9" t="s">
        <v>1059</v>
      </c>
      <c r="E356" s="9">
        <v>909</v>
      </c>
      <c r="F356" s="10" t="s">
        <v>921</v>
      </c>
      <c r="G356" s="9">
        <v>1840</v>
      </c>
      <c r="H356" s="9">
        <v>1990</v>
      </c>
      <c r="I356" s="8">
        <v>1323.1020000000001</v>
      </c>
      <c r="J356" s="8">
        <v>1264.752</v>
      </c>
      <c r="K356" s="8">
        <v>1203.0550000000001</v>
      </c>
      <c r="L356" s="8">
        <v>1239.7919999999999</v>
      </c>
      <c r="M356" s="8">
        <v>1151.845</v>
      </c>
      <c r="N356" s="8">
        <v>1131.633</v>
      </c>
      <c r="O356" s="8">
        <v>1071.953</v>
      </c>
      <c r="P356" s="8">
        <v>976.10599999999999</v>
      </c>
      <c r="Q356" s="8">
        <v>912.11500000000001</v>
      </c>
      <c r="R356" s="8">
        <v>721.89800000000002</v>
      </c>
      <c r="S356" s="8">
        <v>598.774</v>
      </c>
      <c r="T356" s="8">
        <v>522.29700000000003</v>
      </c>
      <c r="U356" s="8">
        <v>496.476</v>
      </c>
      <c r="V356" s="8">
        <v>413.56200000000001</v>
      </c>
      <c r="W356" s="8">
        <v>288.26499999999999</v>
      </c>
      <c r="X356" s="8">
        <v>200.14099999999999</v>
      </c>
      <c r="Y356" s="8">
        <v>103.601</v>
      </c>
      <c r="Z356" s="8">
        <v>37.722999999999999</v>
      </c>
      <c r="AA356" s="8">
        <v>9.407</v>
      </c>
      <c r="AB356" s="8">
        <v>1.6020000000000001</v>
      </c>
      <c r="AC356" s="8">
        <v>0.156</v>
      </c>
    </row>
    <row r="357" spans="1:29" ht="11.65" x14ac:dyDescent="0.35">
      <c r="A357" s="12">
        <v>340</v>
      </c>
      <c r="B357" s="10" t="s">
        <v>1015</v>
      </c>
      <c r="C357" s="36" t="s">
        <v>1058</v>
      </c>
      <c r="D357" s="9" t="s">
        <v>1059</v>
      </c>
      <c r="E357" s="9">
        <v>909</v>
      </c>
      <c r="F357" s="10" t="s">
        <v>921</v>
      </c>
      <c r="G357" s="9">
        <v>1840</v>
      </c>
      <c r="H357" s="9">
        <v>1995</v>
      </c>
      <c r="I357" s="8">
        <v>1399.6980000000001</v>
      </c>
      <c r="J357" s="8">
        <v>1327.829</v>
      </c>
      <c r="K357" s="8">
        <v>1278.7329999999999</v>
      </c>
      <c r="L357" s="8">
        <v>1215.029</v>
      </c>
      <c r="M357" s="8">
        <v>1226.492</v>
      </c>
      <c r="N357" s="8">
        <v>1143.44</v>
      </c>
      <c r="O357" s="8">
        <v>1149.6379999999999</v>
      </c>
      <c r="P357" s="8">
        <v>1081.3209999999999</v>
      </c>
      <c r="Q357" s="8">
        <v>985.28300000000002</v>
      </c>
      <c r="R357" s="8">
        <v>903.11900000000003</v>
      </c>
      <c r="S357" s="8">
        <v>701.97699999999998</v>
      </c>
      <c r="T357" s="8">
        <v>574.78700000000003</v>
      </c>
      <c r="U357" s="8">
        <v>492.01900000000001</v>
      </c>
      <c r="V357" s="8">
        <v>447.654</v>
      </c>
      <c r="W357" s="8">
        <v>350.97500000000002</v>
      </c>
      <c r="X357" s="8">
        <v>220.70599999999999</v>
      </c>
      <c r="Y357" s="8">
        <v>130.33600000000001</v>
      </c>
      <c r="Z357" s="8">
        <v>51.531999999999996</v>
      </c>
      <c r="AA357" s="8">
        <v>13.186999999999999</v>
      </c>
      <c r="AB357" s="8">
        <v>1.9990000000000001</v>
      </c>
      <c r="AC357" s="8">
        <v>0.193</v>
      </c>
    </row>
    <row r="358" spans="1:29" ht="11.65" x14ac:dyDescent="0.35">
      <c r="A358" s="12">
        <v>341</v>
      </c>
      <c r="B358" s="10" t="s">
        <v>1015</v>
      </c>
      <c r="C358" s="36" t="s">
        <v>1058</v>
      </c>
      <c r="D358" s="9" t="s">
        <v>1059</v>
      </c>
      <c r="E358" s="9">
        <v>909</v>
      </c>
      <c r="F358" s="10" t="s">
        <v>921</v>
      </c>
      <c r="G358" s="9">
        <v>1840</v>
      </c>
      <c r="H358" s="9">
        <v>2000</v>
      </c>
      <c r="I358" s="8">
        <v>1445.1880000000001</v>
      </c>
      <c r="J358" s="8">
        <v>1423.441</v>
      </c>
      <c r="K358" s="8">
        <v>1344.864</v>
      </c>
      <c r="L358" s="8">
        <v>1275.8920000000001</v>
      </c>
      <c r="M358" s="8">
        <v>1168.9190000000001</v>
      </c>
      <c r="N358" s="8">
        <v>1204.4169999999999</v>
      </c>
      <c r="O358" s="8">
        <v>1144.8409999999999</v>
      </c>
      <c r="P358" s="8">
        <v>1182.068</v>
      </c>
      <c r="Q358" s="8">
        <v>1080.3309999999999</v>
      </c>
      <c r="R358" s="8">
        <v>971.58900000000006</v>
      </c>
      <c r="S358" s="8">
        <v>898.68200000000002</v>
      </c>
      <c r="T358" s="8">
        <v>677.57500000000005</v>
      </c>
      <c r="U358" s="8">
        <v>551.54999999999995</v>
      </c>
      <c r="V358" s="8">
        <v>452.44200000000001</v>
      </c>
      <c r="W358" s="8">
        <v>393.76799999999997</v>
      </c>
      <c r="X358" s="8">
        <v>281.846</v>
      </c>
      <c r="Y358" s="8">
        <v>141.92400000000001</v>
      </c>
      <c r="Z358" s="8">
        <v>68.128</v>
      </c>
      <c r="AA358" s="8">
        <v>18.567</v>
      </c>
      <c r="AB358" s="8">
        <v>2.8</v>
      </c>
      <c r="AC358" s="8">
        <v>0.23</v>
      </c>
    </row>
    <row r="359" spans="1:29" ht="11.65" x14ac:dyDescent="0.35">
      <c r="A359" s="12">
        <v>342</v>
      </c>
      <c r="B359" s="10" t="s">
        <v>1015</v>
      </c>
      <c r="C359" s="36" t="s">
        <v>1058</v>
      </c>
      <c r="D359" s="9" t="s">
        <v>1059</v>
      </c>
      <c r="E359" s="9">
        <v>909</v>
      </c>
      <c r="F359" s="10" t="s">
        <v>921</v>
      </c>
      <c r="G359" s="9">
        <v>1840</v>
      </c>
      <c r="H359" s="9">
        <v>2005</v>
      </c>
      <c r="I359" s="8">
        <v>1463.2280000000001</v>
      </c>
      <c r="J359" s="8">
        <v>1446.1880000000001</v>
      </c>
      <c r="K359" s="8">
        <v>1432.598</v>
      </c>
      <c r="L359" s="8">
        <v>1357.9359999999999</v>
      </c>
      <c r="M359" s="8">
        <v>1308.9280000000001</v>
      </c>
      <c r="N359" s="8">
        <v>1176.79</v>
      </c>
      <c r="O359" s="8">
        <v>1228.7850000000001</v>
      </c>
      <c r="P359" s="8">
        <v>1166.73</v>
      </c>
      <c r="Q359" s="8">
        <v>1192.623</v>
      </c>
      <c r="R359" s="8">
        <v>1082.163</v>
      </c>
      <c r="S359" s="8">
        <v>951.03800000000001</v>
      </c>
      <c r="T359" s="8">
        <v>871.58100000000002</v>
      </c>
      <c r="U359" s="8">
        <v>644.04399999999998</v>
      </c>
      <c r="V359" s="8">
        <v>509.72500000000002</v>
      </c>
      <c r="W359" s="8">
        <v>398.87799999999999</v>
      </c>
      <c r="X359" s="8">
        <v>321.81599999999997</v>
      </c>
      <c r="Y359" s="8">
        <v>203.589</v>
      </c>
      <c r="Z359" s="8">
        <v>78.834000000000003</v>
      </c>
      <c r="AA359" s="8">
        <v>26.032</v>
      </c>
      <c r="AB359" s="8">
        <v>4.125</v>
      </c>
      <c r="AC359" s="8">
        <v>0.313</v>
      </c>
    </row>
    <row r="360" spans="1:29" ht="11.65" x14ac:dyDescent="0.35">
      <c r="A360" s="12">
        <v>343</v>
      </c>
      <c r="B360" s="10" t="s">
        <v>1015</v>
      </c>
      <c r="C360" s="36" t="s">
        <v>1058</v>
      </c>
      <c r="D360" s="9" t="s">
        <v>1059</v>
      </c>
      <c r="E360" s="9">
        <v>909</v>
      </c>
      <c r="F360" s="10" t="s">
        <v>921</v>
      </c>
      <c r="G360" s="9">
        <v>1840</v>
      </c>
      <c r="H360" s="9">
        <v>2010</v>
      </c>
      <c r="I360" s="8">
        <v>1615.7560000000001</v>
      </c>
      <c r="J360" s="8">
        <v>1494.069</v>
      </c>
      <c r="K360" s="8">
        <v>1475.8720000000001</v>
      </c>
      <c r="L360" s="8">
        <v>1467.53</v>
      </c>
      <c r="M360" s="8">
        <v>1482.461</v>
      </c>
      <c r="N360" s="8">
        <v>1415.9380000000001</v>
      </c>
      <c r="O360" s="8">
        <v>1250.355</v>
      </c>
      <c r="P360" s="8">
        <v>1283.588</v>
      </c>
      <c r="Q360" s="8">
        <v>1193.348</v>
      </c>
      <c r="R360" s="8">
        <v>1186.9269999999999</v>
      </c>
      <c r="S360" s="8">
        <v>1066.578</v>
      </c>
      <c r="T360" s="8">
        <v>924.82399999999996</v>
      </c>
      <c r="U360" s="8">
        <v>833.89599999999996</v>
      </c>
      <c r="V360" s="8">
        <v>606.17899999999997</v>
      </c>
      <c r="W360" s="8">
        <v>460.27199999999999</v>
      </c>
      <c r="X360" s="8">
        <v>332.44499999999999</v>
      </c>
      <c r="Y360" s="8">
        <v>239.256</v>
      </c>
      <c r="Z360" s="8">
        <v>120.664</v>
      </c>
      <c r="AA360" s="8">
        <v>32.786999999999999</v>
      </c>
      <c r="AB360" s="8">
        <v>6.3310000000000004</v>
      </c>
      <c r="AC360" s="8">
        <v>0.504</v>
      </c>
    </row>
    <row r="361" spans="1:29" ht="11.65" x14ac:dyDescent="0.35">
      <c r="A361" s="12">
        <v>344</v>
      </c>
      <c r="B361" s="10" t="s">
        <v>1015</v>
      </c>
      <c r="C361" s="36" t="s">
        <v>1058</v>
      </c>
      <c r="D361" s="9" t="s">
        <v>1059</v>
      </c>
      <c r="E361" s="9">
        <v>909</v>
      </c>
      <c r="F361" s="10" t="s">
        <v>921</v>
      </c>
      <c r="G361" s="9">
        <v>1840</v>
      </c>
      <c r="H361" s="9">
        <v>2015</v>
      </c>
      <c r="I361" s="8">
        <v>1698.9659999999999</v>
      </c>
      <c r="J361" s="8">
        <v>1646.47</v>
      </c>
      <c r="K361" s="8">
        <v>1526.4690000000001</v>
      </c>
      <c r="L361" s="8">
        <v>1517.0050000000001</v>
      </c>
      <c r="M361" s="8">
        <v>1552.78</v>
      </c>
      <c r="N361" s="8">
        <v>1513.17</v>
      </c>
      <c r="O361" s="8">
        <v>1448.5740000000001</v>
      </c>
      <c r="P361" s="8">
        <v>1294.9169999999999</v>
      </c>
      <c r="Q361" s="8">
        <v>1295.81</v>
      </c>
      <c r="R361" s="8">
        <v>1197.8019999999999</v>
      </c>
      <c r="S361" s="8">
        <v>1165.028</v>
      </c>
      <c r="T361" s="8">
        <v>1033.8789999999999</v>
      </c>
      <c r="U361" s="8">
        <v>885.303</v>
      </c>
      <c r="V361" s="8">
        <v>768.65899999999999</v>
      </c>
      <c r="W361" s="8">
        <v>550.84500000000003</v>
      </c>
      <c r="X361" s="8">
        <v>388.97699999999998</v>
      </c>
      <c r="Y361" s="8">
        <v>258.97500000000002</v>
      </c>
      <c r="Z361" s="8">
        <v>148.05699999999999</v>
      </c>
      <c r="AA361" s="8">
        <v>53.087000000000003</v>
      </c>
      <c r="AB361" s="8">
        <v>8.4990000000000006</v>
      </c>
      <c r="AC361" s="8">
        <v>0.80900000000000005</v>
      </c>
    </row>
    <row r="362" spans="1:29" ht="11.65" x14ac:dyDescent="0.35">
      <c r="A362" s="12">
        <v>345</v>
      </c>
      <c r="B362" s="10" t="s">
        <v>1015</v>
      </c>
      <c r="C362" s="36" t="s">
        <v>1058</v>
      </c>
      <c r="D362" s="9" t="s">
        <v>1059</v>
      </c>
      <c r="E362" s="9">
        <v>909</v>
      </c>
      <c r="F362" s="10" t="s">
        <v>921</v>
      </c>
      <c r="G362" s="9">
        <v>1840</v>
      </c>
      <c r="H362" s="9">
        <v>2020</v>
      </c>
      <c r="I362" s="8">
        <v>1778.3720000000001</v>
      </c>
      <c r="J362" s="8">
        <v>1726.3050000000001</v>
      </c>
      <c r="K362" s="8">
        <v>1679.8389999999999</v>
      </c>
      <c r="L362" s="8">
        <v>1566.7660000000001</v>
      </c>
      <c r="M362" s="8">
        <v>1554.896</v>
      </c>
      <c r="N362" s="8">
        <v>1586.865</v>
      </c>
      <c r="O362" s="8">
        <v>1546.0309999999999</v>
      </c>
      <c r="P362" s="8">
        <v>1471.7529999999999</v>
      </c>
      <c r="Q362" s="8">
        <v>1303.846</v>
      </c>
      <c r="R362" s="8">
        <v>1291.25</v>
      </c>
      <c r="S362" s="8">
        <v>1178.346</v>
      </c>
      <c r="T362" s="8">
        <v>1133.2840000000001</v>
      </c>
      <c r="U362" s="8">
        <v>990.76599999999996</v>
      </c>
      <c r="V362" s="8">
        <v>831.62300000000005</v>
      </c>
      <c r="W362" s="8">
        <v>699.68299999999999</v>
      </c>
      <c r="X362" s="8">
        <v>473.11799999999999</v>
      </c>
      <c r="Y362" s="8">
        <v>301.875</v>
      </c>
      <c r="Z362" s="8">
        <v>165.642</v>
      </c>
      <c r="AA362" s="8">
        <v>67.596000000000004</v>
      </c>
      <c r="AB362" s="8">
        <v>14.379</v>
      </c>
      <c r="AC362" s="8">
        <v>1.0940000000000001</v>
      </c>
    </row>
    <row r="363" spans="1:29" ht="11.65" x14ac:dyDescent="0.35">
      <c r="A363" s="35">
        <v>346</v>
      </c>
      <c r="B363" s="33" t="s">
        <v>1015</v>
      </c>
      <c r="C363" s="34" t="s">
        <v>1060</v>
      </c>
      <c r="D363" s="32" t="s">
        <v>1061</v>
      </c>
      <c r="E363" s="32">
        <v>1828</v>
      </c>
      <c r="F363" s="33" t="s">
        <v>1020</v>
      </c>
      <c r="G363" s="32">
        <v>900</v>
      </c>
      <c r="H363" s="32">
        <v>1950</v>
      </c>
      <c r="I363" s="31" t="s">
        <v>1021</v>
      </c>
      <c r="J363" s="31" t="s">
        <v>1021</v>
      </c>
      <c r="K363" s="31" t="s">
        <v>1021</v>
      </c>
      <c r="L363" s="31" t="s">
        <v>1021</v>
      </c>
      <c r="M363" s="31" t="s">
        <v>1021</v>
      </c>
      <c r="N363" s="31" t="s">
        <v>1021</v>
      </c>
      <c r="O363" s="31" t="s">
        <v>1021</v>
      </c>
      <c r="P363" s="31" t="s">
        <v>1021</v>
      </c>
      <c r="Q363" s="31" t="s">
        <v>1021</v>
      </c>
      <c r="R363" s="31" t="s">
        <v>1021</v>
      </c>
      <c r="S363" s="31" t="s">
        <v>1021</v>
      </c>
      <c r="T363" s="31" t="s">
        <v>1021</v>
      </c>
      <c r="U363" s="31" t="s">
        <v>1021</v>
      </c>
      <c r="V363" s="31" t="s">
        <v>1021</v>
      </c>
      <c r="W363" s="31" t="s">
        <v>1021</v>
      </c>
      <c r="X363" s="31" t="s">
        <v>1021</v>
      </c>
      <c r="Y363" s="31" t="s">
        <v>1021</v>
      </c>
      <c r="Z363" s="31" t="s">
        <v>1021</v>
      </c>
      <c r="AA363" s="31" t="s">
        <v>1021</v>
      </c>
      <c r="AB363" s="31" t="s">
        <v>1021</v>
      </c>
      <c r="AC363" s="31" t="s">
        <v>1021</v>
      </c>
    </row>
    <row r="364" spans="1:29" ht="11.65" x14ac:dyDescent="0.35">
      <c r="A364" s="35">
        <v>347</v>
      </c>
      <c r="B364" s="33" t="s">
        <v>1015</v>
      </c>
      <c r="C364" s="34" t="s">
        <v>1060</v>
      </c>
      <c r="D364" s="32" t="s">
        <v>1061</v>
      </c>
      <c r="E364" s="32">
        <v>1828</v>
      </c>
      <c r="F364" s="33" t="s">
        <v>1020</v>
      </c>
      <c r="G364" s="32">
        <v>900</v>
      </c>
      <c r="H364" s="32">
        <v>1955</v>
      </c>
      <c r="I364" s="31" t="s">
        <v>1021</v>
      </c>
      <c r="J364" s="31" t="s">
        <v>1021</v>
      </c>
      <c r="K364" s="31" t="s">
        <v>1021</v>
      </c>
      <c r="L364" s="31" t="s">
        <v>1021</v>
      </c>
      <c r="M364" s="31" t="s">
        <v>1021</v>
      </c>
      <c r="N364" s="31" t="s">
        <v>1021</v>
      </c>
      <c r="O364" s="31" t="s">
        <v>1021</v>
      </c>
      <c r="P364" s="31" t="s">
        <v>1021</v>
      </c>
      <c r="Q364" s="31" t="s">
        <v>1021</v>
      </c>
      <c r="R364" s="31" t="s">
        <v>1021</v>
      </c>
      <c r="S364" s="31" t="s">
        <v>1021</v>
      </c>
      <c r="T364" s="31" t="s">
        <v>1021</v>
      </c>
      <c r="U364" s="31" t="s">
        <v>1021</v>
      </c>
      <c r="V364" s="31" t="s">
        <v>1021</v>
      </c>
      <c r="W364" s="31" t="s">
        <v>1021</v>
      </c>
      <c r="X364" s="31" t="s">
        <v>1021</v>
      </c>
      <c r="Y364" s="31" t="s">
        <v>1021</v>
      </c>
      <c r="Z364" s="31" t="s">
        <v>1021</v>
      </c>
      <c r="AA364" s="31" t="s">
        <v>1021</v>
      </c>
      <c r="AB364" s="31" t="s">
        <v>1021</v>
      </c>
      <c r="AC364" s="31" t="s">
        <v>1021</v>
      </c>
    </row>
    <row r="365" spans="1:29" ht="11.65" x14ac:dyDescent="0.35">
      <c r="A365" s="35">
        <v>348</v>
      </c>
      <c r="B365" s="33" t="s">
        <v>1015</v>
      </c>
      <c r="C365" s="34" t="s">
        <v>1060</v>
      </c>
      <c r="D365" s="32" t="s">
        <v>1061</v>
      </c>
      <c r="E365" s="32">
        <v>1828</v>
      </c>
      <c r="F365" s="33" t="s">
        <v>1020</v>
      </c>
      <c r="G365" s="32">
        <v>900</v>
      </c>
      <c r="H365" s="32">
        <v>1960</v>
      </c>
      <c r="I365" s="31" t="s">
        <v>1021</v>
      </c>
      <c r="J365" s="31" t="s">
        <v>1021</v>
      </c>
      <c r="K365" s="31" t="s">
        <v>1021</v>
      </c>
      <c r="L365" s="31" t="s">
        <v>1021</v>
      </c>
      <c r="M365" s="31" t="s">
        <v>1021</v>
      </c>
      <c r="N365" s="31" t="s">
        <v>1021</v>
      </c>
      <c r="O365" s="31" t="s">
        <v>1021</v>
      </c>
      <c r="P365" s="31" t="s">
        <v>1021</v>
      </c>
      <c r="Q365" s="31" t="s">
        <v>1021</v>
      </c>
      <c r="R365" s="31" t="s">
        <v>1021</v>
      </c>
      <c r="S365" s="31" t="s">
        <v>1021</v>
      </c>
      <c r="T365" s="31" t="s">
        <v>1021</v>
      </c>
      <c r="U365" s="31" t="s">
        <v>1021</v>
      </c>
      <c r="V365" s="31" t="s">
        <v>1021</v>
      </c>
      <c r="W365" s="31" t="s">
        <v>1021</v>
      </c>
      <c r="X365" s="31" t="s">
        <v>1021</v>
      </c>
      <c r="Y365" s="31" t="s">
        <v>1021</v>
      </c>
      <c r="Z365" s="31" t="s">
        <v>1021</v>
      </c>
      <c r="AA365" s="31" t="s">
        <v>1021</v>
      </c>
      <c r="AB365" s="31" t="s">
        <v>1021</v>
      </c>
      <c r="AC365" s="31" t="s">
        <v>1021</v>
      </c>
    </row>
    <row r="366" spans="1:29" ht="11.65" x14ac:dyDescent="0.35">
      <c r="A366" s="35">
        <v>349</v>
      </c>
      <c r="B366" s="33" t="s">
        <v>1015</v>
      </c>
      <c r="C366" s="34" t="s">
        <v>1060</v>
      </c>
      <c r="D366" s="32" t="s">
        <v>1061</v>
      </c>
      <c r="E366" s="32">
        <v>1828</v>
      </c>
      <c r="F366" s="33" t="s">
        <v>1020</v>
      </c>
      <c r="G366" s="32">
        <v>900</v>
      </c>
      <c r="H366" s="32">
        <v>1965</v>
      </c>
      <c r="I366" s="31" t="s">
        <v>1021</v>
      </c>
      <c r="J366" s="31" t="s">
        <v>1021</v>
      </c>
      <c r="K366" s="31" t="s">
        <v>1021</v>
      </c>
      <c r="L366" s="31" t="s">
        <v>1021</v>
      </c>
      <c r="M366" s="31" t="s">
        <v>1021</v>
      </c>
      <c r="N366" s="31" t="s">
        <v>1021</v>
      </c>
      <c r="O366" s="31" t="s">
        <v>1021</v>
      </c>
      <c r="P366" s="31" t="s">
        <v>1021</v>
      </c>
      <c r="Q366" s="31" t="s">
        <v>1021</v>
      </c>
      <c r="R366" s="31" t="s">
        <v>1021</v>
      </c>
      <c r="S366" s="31" t="s">
        <v>1021</v>
      </c>
      <c r="T366" s="31" t="s">
        <v>1021</v>
      </c>
      <c r="U366" s="31" t="s">
        <v>1021</v>
      </c>
      <c r="V366" s="31" t="s">
        <v>1021</v>
      </c>
      <c r="W366" s="31" t="s">
        <v>1021</v>
      </c>
      <c r="X366" s="31" t="s">
        <v>1021</v>
      </c>
      <c r="Y366" s="31" t="s">
        <v>1021</v>
      </c>
      <c r="Z366" s="31" t="s">
        <v>1021</v>
      </c>
      <c r="AA366" s="31" t="s">
        <v>1021</v>
      </c>
      <c r="AB366" s="31" t="s">
        <v>1021</v>
      </c>
      <c r="AC366" s="31" t="s">
        <v>1021</v>
      </c>
    </row>
    <row r="367" spans="1:29" ht="11.65" x14ac:dyDescent="0.35">
      <c r="A367" s="35">
        <v>350</v>
      </c>
      <c r="B367" s="33" t="s">
        <v>1015</v>
      </c>
      <c r="C367" s="34" t="s">
        <v>1060</v>
      </c>
      <c r="D367" s="32" t="s">
        <v>1061</v>
      </c>
      <c r="E367" s="32">
        <v>1828</v>
      </c>
      <c r="F367" s="33" t="s">
        <v>1020</v>
      </c>
      <c r="G367" s="32">
        <v>900</v>
      </c>
      <c r="H367" s="32">
        <v>1970</v>
      </c>
      <c r="I367" s="31" t="s">
        <v>1021</v>
      </c>
      <c r="J367" s="31" t="s">
        <v>1021</v>
      </c>
      <c r="K367" s="31" t="s">
        <v>1021</v>
      </c>
      <c r="L367" s="31" t="s">
        <v>1021</v>
      </c>
      <c r="M367" s="31" t="s">
        <v>1021</v>
      </c>
      <c r="N367" s="31" t="s">
        <v>1021</v>
      </c>
      <c r="O367" s="31" t="s">
        <v>1021</v>
      </c>
      <c r="P367" s="31" t="s">
        <v>1021</v>
      </c>
      <c r="Q367" s="31" t="s">
        <v>1021</v>
      </c>
      <c r="R367" s="31" t="s">
        <v>1021</v>
      </c>
      <c r="S367" s="31" t="s">
        <v>1021</v>
      </c>
      <c r="T367" s="31" t="s">
        <v>1021</v>
      </c>
      <c r="U367" s="31" t="s">
        <v>1021</v>
      </c>
      <c r="V367" s="31" t="s">
        <v>1021</v>
      </c>
      <c r="W367" s="31" t="s">
        <v>1021</v>
      </c>
      <c r="X367" s="31" t="s">
        <v>1021</v>
      </c>
      <c r="Y367" s="31" t="s">
        <v>1021</v>
      </c>
      <c r="Z367" s="31" t="s">
        <v>1021</v>
      </c>
      <c r="AA367" s="31" t="s">
        <v>1021</v>
      </c>
      <c r="AB367" s="31" t="s">
        <v>1021</v>
      </c>
      <c r="AC367" s="31" t="s">
        <v>1021</v>
      </c>
    </row>
    <row r="368" spans="1:29" ht="11.65" x14ac:dyDescent="0.35">
      <c r="A368" s="35">
        <v>351</v>
      </c>
      <c r="B368" s="33" t="s">
        <v>1015</v>
      </c>
      <c r="C368" s="34" t="s">
        <v>1060</v>
      </c>
      <c r="D368" s="32" t="s">
        <v>1061</v>
      </c>
      <c r="E368" s="32">
        <v>1828</v>
      </c>
      <c r="F368" s="33" t="s">
        <v>1020</v>
      </c>
      <c r="G368" s="32">
        <v>900</v>
      </c>
      <c r="H368" s="32">
        <v>1975</v>
      </c>
      <c r="I368" s="31" t="s">
        <v>1021</v>
      </c>
      <c r="J368" s="31" t="s">
        <v>1021</v>
      </c>
      <c r="K368" s="31" t="s">
        <v>1021</v>
      </c>
      <c r="L368" s="31" t="s">
        <v>1021</v>
      </c>
      <c r="M368" s="31" t="s">
        <v>1021</v>
      </c>
      <c r="N368" s="31" t="s">
        <v>1021</v>
      </c>
      <c r="O368" s="31" t="s">
        <v>1021</v>
      </c>
      <c r="P368" s="31" t="s">
        <v>1021</v>
      </c>
      <c r="Q368" s="31" t="s">
        <v>1021</v>
      </c>
      <c r="R368" s="31" t="s">
        <v>1021</v>
      </c>
      <c r="S368" s="31" t="s">
        <v>1021</v>
      </c>
      <c r="T368" s="31" t="s">
        <v>1021</v>
      </c>
      <c r="U368" s="31" t="s">
        <v>1021</v>
      </c>
      <c r="V368" s="31" t="s">
        <v>1021</v>
      </c>
      <c r="W368" s="31" t="s">
        <v>1021</v>
      </c>
      <c r="X368" s="31" t="s">
        <v>1021</v>
      </c>
      <c r="Y368" s="31" t="s">
        <v>1021</v>
      </c>
      <c r="Z368" s="31" t="s">
        <v>1021</v>
      </c>
      <c r="AA368" s="31" t="s">
        <v>1021</v>
      </c>
      <c r="AB368" s="31" t="s">
        <v>1021</v>
      </c>
      <c r="AC368" s="31" t="s">
        <v>1021</v>
      </c>
    </row>
    <row r="369" spans="1:29" ht="11.65" x14ac:dyDescent="0.35">
      <c r="A369" s="35">
        <v>352</v>
      </c>
      <c r="B369" s="33" t="s">
        <v>1015</v>
      </c>
      <c r="C369" s="34" t="s">
        <v>1060</v>
      </c>
      <c r="D369" s="32" t="s">
        <v>1061</v>
      </c>
      <c r="E369" s="32">
        <v>1828</v>
      </c>
      <c r="F369" s="33" t="s">
        <v>1020</v>
      </c>
      <c r="G369" s="32">
        <v>900</v>
      </c>
      <c r="H369" s="32">
        <v>1980</v>
      </c>
      <c r="I369" s="31" t="s">
        <v>1021</v>
      </c>
      <c r="J369" s="31" t="s">
        <v>1021</v>
      </c>
      <c r="K369" s="31" t="s">
        <v>1021</v>
      </c>
      <c r="L369" s="31" t="s">
        <v>1021</v>
      </c>
      <c r="M369" s="31" t="s">
        <v>1021</v>
      </c>
      <c r="N369" s="31" t="s">
        <v>1021</v>
      </c>
      <c r="O369" s="31" t="s">
        <v>1021</v>
      </c>
      <c r="P369" s="31" t="s">
        <v>1021</v>
      </c>
      <c r="Q369" s="31" t="s">
        <v>1021</v>
      </c>
      <c r="R369" s="31" t="s">
        <v>1021</v>
      </c>
      <c r="S369" s="31" t="s">
        <v>1021</v>
      </c>
      <c r="T369" s="31" t="s">
        <v>1021</v>
      </c>
      <c r="U369" s="31" t="s">
        <v>1021</v>
      </c>
      <c r="V369" s="31" t="s">
        <v>1021</v>
      </c>
      <c r="W369" s="31" t="s">
        <v>1021</v>
      </c>
      <c r="X369" s="31" t="s">
        <v>1021</v>
      </c>
      <c r="Y369" s="31" t="s">
        <v>1021</v>
      </c>
      <c r="Z369" s="31" t="s">
        <v>1021</v>
      </c>
      <c r="AA369" s="31" t="s">
        <v>1021</v>
      </c>
      <c r="AB369" s="31" t="s">
        <v>1021</v>
      </c>
      <c r="AC369" s="31" t="s">
        <v>1021</v>
      </c>
    </row>
    <row r="370" spans="1:29" ht="11.65" x14ac:dyDescent="0.35">
      <c r="A370" s="35">
        <v>353</v>
      </c>
      <c r="B370" s="33" t="s">
        <v>1015</v>
      </c>
      <c r="C370" s="34" t="s">
        <v>1060</v>
      </c>
      <c r="D370" s="32" t="s">
        <v>1061</v>
      </c>
      <c r="E370" s="32">
        <v>1828</v>
      </c>
      <c r="F370" s="33" t="s">
        <v>1020</v>
      </c>
      <c r="G370" s="32">
        <v>900</v>
      </c>
      <c r="H370" s="32">
        <v>1985</v>
      </c>
      <c r="I370" s="31" t="s">
        <v>1021</v>
      </c>
      <c r="J370" s="31" t="s">
        <v>1021</v>
      </c>
      <c r="K370" s="31" t="s">
        <v>1021</v>
      </c>
      <c r="L370" s="31" t="s">
        <v>1021</v>
      </c>
      <c r="M370" s="31" t="s">
        <v>1021</v>
      </c>
      <c r="N370" s="31" t="s">
        <v>1021</v>
      </c>
      <c r="O370" s="31" t="s">
        <v>1021</v>
      </c>
      <c r="P370" s="31" t="s">
        <v>1021</v>
      </c>
      <c r="Q370" s="31" t="s">
        <v>1021</v>
      </c>
      <c r="R370" s="31" t="s">
        <v>1021</v>
      </c>
      <c r="S370" s="31" t="s">
        <v>1021</v>
      </c>
      <c r="T370" s="31" t="s">
        <v>1021</v>
      </c>
      <c r="U370" s="31" t="s">
        <v>1021</v>
      </c>
      <c r="V370" s="31" t="s">
        <v>1021</v>
      </c>
      <c r="W370" s="31" t="s">
        <v>1021</v>
      </c>
      <c r="X370" s="31" t="s">
        <v>1021</v>
      </c>
      <c r="Y370" s="31" t="s">
        <v>1021</v>
      </c>
      <c r="Z370" s="31" t="s">
        <v>1021</v>
      </c>
      <c r="AA370" s="31" t="s">
        <v>1021</v>
      </c>
      <c r="AB370" s="31" t="s">
        <v>1021</v>
      </c>
      <c r="AC370" s="31" t="s">
        <v>1021</v>
      </c>
    </row>
    <row r="371" spans="1:29" ht="11.65" x14ac:dyDescent="0.35">
      <c r="A371" s="35">
        <v>354</v>
      </c>
      <c r="B371" s="33" t="s">
        <v>1015</v>
      </c>
      <c r="C371" s="34" t="s">
        <v>1060</v>
      </c>
      <c r="D371" s="32" t="s">
        <v>1061</v>
      </c>
      <c r="E371" s="32">
        <v>1828</v>
      </c>
      <c r="F371" s="33" t="s">
        <v>1020</v>
      </c>
      <c r="G371" s="32">
        <v>900</v>
      </c>
      <c r="H371" s="32">
        <v>1990</v>
      </c>
      <c r="I371" s="31" t="s">
        <v>1021</v>
      </c>
      <c r="J371" s="31" t="s">
        <v>1021</v>
      </c>
      <c r="K371" s="31" t="s">
        <v>1021</v>
      </c>
      <c r="L371" s="31" t="s">
        <v>1021</v>
      </c>
      <c r="M371" s="31" t="s">
        <v>1021</v>
      </c>
      <c r="N371" s="31" t="s">
        <v>1021</v>
      </c>
      <c r="O371" s="31" t="s">
        <v>1021</v>
      </c>
      <c r="P371" s="31" t="s">
        <v>1021</v>
      </c>
      <c r="Q371" s="31" t="s">
        <v>1021</v>
      </c>
      <c r="R371" s="31" t="s">
        <v>1021</v>
      </c>
      <c r="S371" s="31" t="s">
        <v>1021</v>
      </c>
      <c r="T371" s="31" t="s">
        <v>1021</v>
      </c>
      <c r="U371" s="31" t="s">
        <v>1021</v>
      </c>
      <c r="V371" s="31" t="s">
        <v>1021</v>
      </c>
      <c r="W371" s="31" t="s">
        <v>1021</v>
      </c>
      <c r="X371" s="31" t="s">
        <v>1021</v>
      </c>
      <c r="Y371" s="31" t="s">
        <v>1021</v>
      </c>
      <c r="Z371" s="31" t="s">
        <v>1021</v>
      </c>
      <c r="AA371" s="31" t="s">
        <v>1021</v>
      </c>
      <c r="AB371" s="31" t="s">
        <v>1021</v>
      </c>
      <c r="AC371" s="31" t="s">
        <v>1021</v>
      </c>
    </row>
    <row r="372" spans="1:29" ht="11.65" x14ac:dyDescent="0.35">
      <c r="A372" s="35">
        <v>355</v>
      </c>
      <c r="B372" s="33" t="s">
        <v>1015</v>
      </c>
      <c r="C372" s="34" t="s">
        <v>1060</v>
      </c>
      <c r="D372" s="32" t="s">
        <v>1061</v>
      </c>
      <c r="E372" s="32">
        <v>1828</v>
      </c>
      <c r="F372" s="33" t="s">
        <v>1020</v>
      </c>
      <c r="G372" s="32">
        <v>900</v>
      </c>
      <c r="H372" s="32">
        <v>1995</v>
      </c>
      <c r="I372" s="31" t="s">
        <v>1021</v>
      </c>
      <c r="J372" s="31" t="s">
        <v>1021</v>
      </c>
      <c r="K372" s="31" t="s">
        <v>1021</v>
      </c>
      <c r="L372" s="31" t="s">
        <v>1021</v>
      </c>
      <c r="M372" s="31" t="s">
        <v>1021</v>
      </c>
      <c r="N372" s="31" t="s">
        <v>1021</v>
      </c>
      <c r="O372" s="31" t="s">
        <v>1021</v>
      </c>
      <c r="P372" s="31" t="s">
        <v>1021</v>
      </c>
      <c r="Q372" s="31" t="s">
        <v>1021</v>
      </c>
      <c r="R372" s="31" t="s">
        <v>1021</v>
      </c>
      <c r="S372" s="31" t="s">
        <v>1021</v>
      </c>
      <c r="T372" s="31" t="s">
        <v>1021</v>
      </c>
      <c r="U372" s="31" t="s">
        <v>1021</v>
      </c>
      <c r="V372" s="31" t="s">
        <v>1021</v>
      </c>
      <c r="W372" s="31" t="s">
        <v>1021</v>
      </c>
      <c r="X372" s="31" t="s">
        <v>1021</v>
      </c>
      <c r="Y372" s="31" t="s">
        <v>1021</v>
      </c>
      <c r="Z372" s="31" t="s">
        <v>1021</v>
      </c>
      <c r="AA372" s="31" t="s">
        <v>1021</v>
      </c>
      <c r="AB372" s="31" t="s">
        <v>1021</v>
      </c>
      <c r="AC372" s="31" t="s">
        <v>1021</v>
      </c>
    </row>
    <row r="373" spans="1:29" ht="11.65" x14ac:dyDescent="0.35">
      <c r="A373" s="35">
        <v>356</v>
      </c>
      <c r="B373" s="33" t="s">
        <v>1015</v>
      </c>
      <c r="C373" s="34" t="s">
        <v>1060</v>
      </c>
      <c r="D373" s="32" t="s">
        <v>1061</v>
      </c>
      <c r="E373" s="32">
        <v>1828</v>
      </c>
      <c r="F373" s="33" t="s">
        <v>1020</v>
      </c>
      <c r="G373" s="32">
        <v>900</v>
      </c>
      <c r="H373" s="32">
        <v>2000</v>
      </c>
      <c r="I373" s="31" t="s">
        <v>1021</v>
      </c>
      <c r="J373" s="31" t="s">
        <v>1021</v>
      </c>
      <c r="K373" s="31" t="s">
        <v>1021</v>
      </c>
      <c r="L373" s="31" t="s">
        <v>1021</v>
      </c>
      <c r="M373" s="31" t="s">
        <v>1021</v>
      </c>
      <c r="N373" s="31" t="s">
        <v>1021</v>
      </c>
      <c r="O373" s="31" t="s">
        <v>1021</v>
      </c>
      <c r="P373" s="31" t="s">
        <v>1021</v>
      </c>
      <c r="Q373" s="31" t="s">
        <v>1021</v>
      </c>
      <c r="R373" s="31" t="s">
        <v>1021</v>
      </c>
      <c r="S373" s="31" t="s">
        <v>1021</v>
      </c>
      <c r="T373" s="31" t="s">
        <v>1021</v>
      </c>
      <c r="U373" s="31" t="s">
        <v>1021</v>
      </c>
      <c r="V373" s="31" t="s">
        <v>1021</v>
      </c>
      <c r="W373" s="31" t="s">
        <v>1021</v>
      </c>
      <c r="X373" s="31" t="s">
        <v>1021</v>
      </c>
      <c r="Y373" s="31" t="s">
        <v>1021</v>
      </c>
      <c r="Z373" s="31" t="s">
        <v>1021</v>
      </c>
      <c r="AA373" s="31" t="s">
        <v>1021</v>
      </c>
      <c r="AB373" s="31" t="s">
        <v>1021</v>
      </c>
      <c r="AC373" s="31" t="s">
        <v>1021</v>
      </c>
    </row>
    <row r="374" spans="1:29" ht="11.65" x14ac:dyDescent="0.35">
      <c r="A374" s="35">
        <v>357</v>
      </c>
      <c r="B374" s="33" t="s">
        <v>1015</v>
      </c>
      <c r="C374" s="34" t="s">
        <v>1060</v>
      </c>
      <c r="D374" s="32" t="s">
        <v>1061</v>
      </c>
      <c r="E374" s="32">
        <v>1828</v>
      </c>
      <c r="F374" s="33" t="s">
        <v>1020</v>
      </c>
      <c r="G374" s="32">
        <v>900</v>
      </c>
      <c r="H374" s="32">
        <v>2005</v>
      </c>
      <c r="I374" s="31" t="s">
        <v>1021</v>
      </c>
      <c r="J374" s="31" t="s">
        <v>1021</v>
      </c>
      <c r="K374" s="31" t="s">
        <v>1021</v>
      </c>
      <c r="L374" s="31" t="s">
        <v>1021</v>
      </c>
      <c r="M374" s="31" t="s">
        <v>1021</v>
      </c>
      <c r="N374" s="31" t="s">
        <v>1021</v>
      </c>
      <c r="O374" s="31" t="s">
        <v>1021</v>
      </c>
      <c r="P374" s="31" t="s">
        <v>1021</v>
      </c>
      <c r="Q374" s="31" t="s">
        <v>1021</v>
      </c>
      <c r="R374" s="31" t="s">
        <v>1021</v>
      </c>
      <c r="S374" s="31" t="s">
        <v>1021</v>
      </c>
      <c r="T374" s="31" t="s">
        <v>1021</v>
      </c>
      <c r="U374" s="31" t="s">
        <v>1021</v>
      </c>
      <c r="V374" s="31" t="s">
        <v>1021</v>
      </c>
      <c r="W374" s="31" t="s">
        <v>1021</v>
      </c>
      <c r="X374" s="31" t="s">
        <v>1021</v>
      </c>
      <c r="Y374" s="31" t="s">
        <v>1021</v>
      </c>
      <c r="Z374" s="31" t="s">
        <v>1021</v>
      </c>
      <c r="AA374" s="31" t="s">
        <v>1021</v>
      </c>
      <c r="AB374" s="31" t="s">
        <v>1021</v>
      </c>
      <c r="AC374" s="31" t="s">
        <v>1021</v>
      </c>
    </row>
    <row r="375" spans="1:29" ht="11.65" x14ac:dyDescent="0.35">
      <c r="A375" s="35">
        <v>358</v>
      </c>
      <c r="B375" s="33" t="s">
        <v>1015</v>
      </c>
      <c r="C375" s="34" t="s">
        <v>1060</v>
      </c>
      <c r="D375" s="32" t="s">
        <v>1061</v>
      </c>
      <c r="E375" s="32">
        <v>1828</v>
      </c>
      <c r="F375" s="33" t="s">
        <v>1020</v>
      </c>
      <c r="G375" s="32">
        <v>900</v>
      </c>
      <c r="H375" s="32">
        <v>2010</v>
      </c>
      <c r="I375" s="31" t="s">
        <v>1021</v>
      </c>
      <c r="J375" s="31" t="s">
        <v>1021</v>
      </c>
      <c r="K375" s="31" t="s">
        <v>1021</v>
      </c>
      <c r="L375" s="31" t="s">
        <v>1021</v>
      </c>
      <c r="M375" s="31" t="s">
        <v>1021</v>
      </c>
      <c r="N375" s="31" t="s">
        <v>1021</v>
      </c>
      <c r="O375" s="31" t="s">
        <v>1021</v>
      </c>
      <c r="P375" s="31" t="s">
        <v>1021</v>
      </c>
      <c r="Q375" s="31" t="s">
        <v>1021</v>
      </c>
      <c r="R375" s="31" t="s">
        <v>1021</v>
      </c>
      <c r="S375" s="31" t="s">
        <v>1021</v>
      </c>
      <c r="T375" s="31" t="s">
        <v>1021</v>
      </c>
      <c r="U375" s="31" t="s">
        <v>1021</v>
      </c>
      <c r="V375" s="31" t="s">
        <v>1021</v>
      </c>
      <c r="W375" s="31" t="s">
        <v>1021</v>
      </c>
      <c r="X375" s="31" t="s">
        <v>1021</v>
      </c>
      <c r="Y375" s="31" t="s">
        <v>1021</v>
      </c>
      <c r="Z375" s="31" t="s">
        <v>1021</v>
      </c>
      <c r="AA375" s="31" t="s">
        <v>1021</v>
      </c>
      <c r="AB375" s="31" t="s">
        <v>1021</v>
      </c>
      <c r="AC375" s="31" t="s">
        <v>1021</v>
      </c>
    </row>
    <row r="376" spans="1:29" ht="11.65" x14ac:dyDescent="0.35">
      <c r="A376" s="35">
        <v>359</v>
      </c>
      <c r="B376" s="33" t="s">
        <v>1015</v>
      </c>
      <c r="C376" s="34" t="s">
        <v>1060</v>
      </c>
      <c r="D376" s="32" t="s">
        <v>1061</v>
      </c>
      <c r="E376" s="32">
        <v>1828</v>
      </c>
      <c r="F376" s="33" t="s">
        <v>1020</v>
      </c>
      <c r="G376" s="32">
        <v>900</v>
      </c>
      <c r="H376" s="32">
        <v>2015</v>
      </c>
      <c r="I376" s="31" t="s">
        <v>1021</v>
      </c>
      <c r="J376" s="31" t="s">
        <v>1021</v>
      </c>
      <c r="K376" s="31" t="s">
        <v>1021</v>
      </c>
      <c r="L376" s="31" t="s">
        <v>1021</v>
      </c>
      <c r="M376" s="31" t="s">
        <v>1021</v>
      </c>
      <c r="N376" s="31" t="s">
        <v>1021</v>
      </c>
      <c r="O376" s="31" t="s">
        <v>1021</v>
      </c>
      <c r="P376" s="31" t="s">
        <v>1021</v>
      </c>
      <c r="Q376" s="31" t="s">
        <v>1021</v>
      </c>
      <c r="R376" s="31" t="s">
        <v>1021</v>
      </c>
      <c r="S376" s="31" t="s">
        <v>1021</v>
      </c>
      <c r="T376" s="31" t="s">
        <v>1021</v>
      </c>
      <c r="U376" s="31" t="s">
        <v>1021</v>
      </c>
      <c r="V376" s="31" t="s">
        <v>1021</v>
      </c>
      <c r="W376" s="31" t="s">
        <v>1021</v>
      </c>
      <c r="X376" s="31" t="s">
        <v>1021</v>
      </c>
      <c r="Y376" s="31" t="s">
        <v>1021</v>
      </c>
      <c r="Z376" s="31" t="s">
        <v>1021</v>
      </c>
      <c r="AA376" s="31" t="s">
        <v>1021</v>
      </c>
      <c r="AB376" s="31" t="s">
        <v>1021</v>
      </c>
      <c r="AC376" s="31" t="s">
        <v>1021</v>
      </c>
    </row>
    <row r="377" spans="1:29" ht="11.65" x14ac:dyDescent="0.35">
      <c r="A377" s="35">
        <v>360</v>
      </c>
      <c r="B377" s="33" t="s">
        <v>1015</v>
      </c>
      <c r="C377" s="34" t="s">
        <v>1060</v>
      </c>
      <c r="D377" s="32" t="s">
        <v>1061</v>
      </c>
      <c r="E377" s="32">
        <v>1828</v>
      </c>
      <c r="F377" s="33" t="s">
        <v>1020</v>
      </c>
      <c r="G377" s="32">
        <v>900</v>
      </c>
      <c r="H377" s="32">
        <v>2020</v>
      </c>
      <c r="I377" s="31" t="s">
        <v>1021</v>
      </c>
      <c r="J377" s="31" t="s">
        <v>1021</v>
      </c>
      <c r="K377" s="31" t="s">
        <v>1021</v>
      </c>
      <c r="L377" s="31" t="s">
        <v>1021</v>
      </c>
      <c r="M377" s="31" t="s">
        <v>1021</v>
      </c>
      <c r="N377" s="31" t="s">
        <v>1021</v>
      </c>
      <c r="O377" s="31" t="s">
        <v>1021</v>
      </c>
      <c r="P377" s="31" t="s">
        <v>1021</v>
      </c>
      <c r="Q377" s="31" t="s">
        <v>1021</v>
      </c>
      <c r="R377" s="31" t="s">
        <v>1021</v>
      </c>
      <c r="S377" s="31" t="s">
        <v>1021</v>
      </c>
      <c r="T377" s="31" t="s">
        <v>1021</v>
      </c>
      <c r="U377" s="31" t="s">
        <v>1021</v>
      </c>
      <c r="V377" s="31" t="s">
        <v>1021</v>
      </c>
      <c r="W377" s="31" t="s">
        <v>1021</v>
      </c>
      <c r="X377" s="31" t="s">
        <v>1021</v>
      </c>
      <c r="Y377" s="31" t="s">
        <v>1021</v>
      </c>
      <c r="Z377" s="31" t="s">
        <v>1021</v>
      </c>
      <c r="AA377" s="31" t="s">
        <v>1021</v>
      </c>
      <c r="AB377" s="31" t="s">
        <v>1021</v>
      </c>
      <c r="AC377" s="31" t="s">
        <v>1021</v>
      </c>
    </row>
    <row r="378" spans="1:29" ht="11.65" x14ac:dyDescent="0.35">
      <c r="A378" s="28">
        <v>361</v>
      </c>
      <c r="B378" s="26" t="s">
        <v>1015</v>
      </c>
      <c r="C378" s="27" t="s">
        <v>1062</v>
      </c>
      <c r="D378" s="25"/>
      <c r="E378" s="25">
        <v>947</v>
      </c>
      <c r="F378" s="26" t="s">
        <v>1063</v>
      </c>
      <c r="G378" s="25">
        <v>1828</v>
      </c>
      <c r="H378" s="25">
        <v>1950</v>
      </c>
      <c r="I378" s="24">
        <v>15225.175999999999</v>
      </c>
      <c r="J378" s="24">
        <v>11924.803</v>
      </c>
      <c r="K378" s="24">
        <v>10235.453</v>
      </c>
      <c r="L378" s="24">
        <v>9048.1229999999996</v>
      </c>
      <c r="M378" s="24">
        <v>7867.808</v>
      </c>
      <c r="N378" s="24">
        <v>6762.9219999999996</v>
      </c>
      <c r="O378" s="24">
        <v>5813.9089999999997</v>
      </c>
      <c r="P378" s="24">
        <v>4929.3680000000004</v>
      </c>
      <c r="Q378" s="24">
        <v>4165.82</v>
      </c>
      <c r="R378" s="24">
        <v>3428.4380000000001</v>
      </c>
      <c r="S378" s="24">
        <v>2770.337</v>
      </c>
      <c r="T378" s="24">
        <v>2203.4270000000001</v>
      </c>
      <c r="U378" s="24">
        <v>1668.6659999999999</v>
      </c>
      <c r="V378" s="24">
        <v>1184.7180000000001</v>
      </c>
      <c r="W378" s="24">
        <v>760.45699999999999</v>
      </c>
      <c r="X378" s="24">
        <v>392.21699999999998</v>
      </c>
      <c r="Y378" s="24">
        <v>165.03</v>
      </c>
      <c r="Z378" s="24">
        <v>47.118000000000002</v>
      </c>
      <c r="AA378" s="24">
        <v>7.7469999999999999</v>
      </c>
      <c r="AB378" s="24">
        <v>0.80300000000000005</v>
      </c>
      <c r="AC378" s="24">
        <v>5.0999999999999997E-2</v>
      </c>
    </row>
    <row r="379" spans="1:29" ht="11.65" x14ac:dyDescent="0.35">
      <c r="A379" s="28">
        <v>362</v>
      </c>
      <c r="B379" s="26" t="s">
        <v>1015</v>
      </c>
      <c r="C379" s="27" t="s">
        <v>1062</v>
      </c>
      <c r="D379" s="25"/>
      <c r="E379" s="25">
        <v>947</v>
      </c>
      <c r="F379" s="26" t="s">
        <v>1063</v>
      </c>
      <c r="G379" s="25">
        <v>1828</v>
      </c>
      <c r="H379" s="25">
        <v>1955</v>
      </c>
      <c r="I379" s="24">
        <v>17098.68</v>
      </c>
      <c r="J379" s="24">
        <v>13256.370999999999</v>
      </c>
      <c r="K379" s="24">
        <v>11373.476000000001</v>
      </c>
      <c r="L379" s="24">
        <v>9873.4549999999999</v>
      </c>
      <c r="M379" s="24">
        <v>8613.2980000000007</v>
      </c>
      <c r="N379" s="24">
        <v>7408.9340000000002</v>
      </c>
      <c r="O379" s="24">
        <v>6352.2219999999998</v>
      </c>
      <c r="P379" s="24">
        <v>5433.4579999999996</v>
      </c>
      <c r="Q379" s="24">
        <v>4560.3209999999999</v>
      </c>
      <c r="R379" s="24">
        <v>3804.201</v>
      </c>
      <c r="S379" s="24">
        <v>3074.0070000000001</v>
      </c>
      <c r="T379" s="24">
        <v>2413.4879999999998</v>
      </c>
      <c r="U379" s="24">
        <v>1827.1880000000001</v>
      </c>
      <c r="V379" s="24">
        <v>1275.9069999999999</v>
      </c>
      <c r="W379" s="24">
        <v>793.25900000000001</v>
      </c>
      <c r="X379" s="24">
        <v>411.50400000000002</v>
      </c>
      <c r="Y379" s="24">
        <v>155.148</v>
      </c>
      <c r="Z379" s="24">
        <v>41.954999999999998</v>
      </c>
      <c r="AA379" s="24">
        <v>6.9390000000000001</v>
      </c>
      <c r="AB379" s="24">
        <v>0.60099999999999998</v>
      </c>
      <c r="AC379" s="24">
        <v>3.9E-2</v>
      </c>
    </row>
    <row r="380" spans="1:29" ht="11.65" x14ac:dyDescent="0.35">
      <c r="A380" s="28">
        <v>363</v>
      </c>
      <c r="B380" s="26" t="s">
        <v>1015</v>
      </c>
      <c r="C380" s="27" t="s">
        <v>1062</v>
      </c>
      <c r="D380" s="25"/>
      <c r="E380" s="25">
        <v>947</v>
      </c>
      <c r="F380" s="26" t="s">
        <v>1063</v>
      </c>
      <c r="G380" s="25">
        <v>1828</v>
      </c>
      <c r="H380" s="25">
        <v>1960</v>
      </c>
      <c r="I380" s="24">
        <v>19397.887999999999</v>
      </c>
      <c r="J380" s="24">
        <v>15133.465</v>
      </c>
      <c r="K380" s="24">
        <v>12681.361000000001</v>
      </c>
      <c r="L380" s="24">
        <v>10968.614</v>
      </c>
      <c r="M380" s="24">
        <v>9426.1470000000008</v>
      </c>
      <c r="N380" s="24">
        <v>8175.9070000000002</v>
      </c>
      <c r="O380" s="24">
        <v>7005.4489999999996</v>
      </c>
      <c r="P380" s="24">
        <v>5984.549</v>
      </c>
      <c r="Q380" s="24">
        <v>5072.9920000000002</v>
      </c>
      <c r="R380" s="24">
        <v>4207.1570000000002</v>
      </c>
      <c r="S380" s="24">
        <v>3429.8180000000002</v>
      </c>
      <c r="T380" s="24">
        <v>2695.2820000000002</v>
      </c>
      <c r="U380" s="24">
        <v>2019.4960000000001</v>
      </c>
      <c r="V380" s="24">
        <v>1414.749</v>
      </c>
      <c r="W380" s="24">
        <v>871.721</v>
      </c>
      <c r="X380" s="24">
        <v>448.72199999999998</v>
      </c>
      <c r="Y380" s="24">
        <v>167.928</v>
      </c>
      <c r="Z380" s="24">
        <v>41.731000000000002</v>
      </c>
      <c r="AA380" s="24">
        <v>6.29</v>
      </c>
      <c r="AB380" s="24">
        <v>0.54600000000000004</v>
      </c>
      <c r="AC380" s="24">
        <v>2.7E-2</v>
      </c>
    </row>
    <row r="381" spans="1:29" ht="11.65" x14ac:dyDescent="0.35">
      <c r="A381" s="28">
        <v>364</v>
      </c>
      <c r="B381" s="26" t="s">
        <v>1015</v>
      </c>
      <c r="C381" s="27" t="s">
        <v>1062</v>
      </c>
      <c r="D381" s="25"/>
      <c r="E381" s="25">
        <v>947</v>
      </c>
      <c r="F381" s="26" t="s">
        <v>1063</v>
      </c>
      <c r="G381" s="25">
        <v>1828</v>
      </c>
      <c r="H381" s="25">
        <v>1965</v>
      </c>
      <c r="I381" s="24">
        <v>22181.844000000001</v>
      </c>
      <c r="J381" s="24">
        <v>17361.437999999998</v>
      </c>
      <c r="K381" s="24">
        <v>14565.148999999999</v>
      </c>
      <c r="L381" s="24">
        <v>12305.032999999999</v>
      </c>
      <c r="M381" s="24">
        <v>10515.474</v>
      </c>
      <c r="N381" s="24">
        <v>8952.2919999999995</v>
      </c>
      <c r="O381" s="24">
        <v>7748.4579999999996</v>
      </c>
      <c r="P381" s="24">
        <v>6608.8729999999996</v>
      </c>
      <c r="Q381" s="24">
        <v>5594.7629999999999</v>
      </c>
      <c r="R381" s="24">
        <v>4687.027</v>
      </c>
      <c r="S381" s="24">
        <v>3819.915</v>
      </c>
      <c r="T381" s="24">
        <v>3030.7890000000002</v>
      </c>
      <c r="U381" s="24">
        <v>2276.4160000000002</v>
      </c>
      <c r="V381" s="24">
        <v>1582.915</v>
      </c>
      <c r="W381" s="24">
        <v>982.12900000000002</v>
      </c>
      <c r="X381" s="24">
        <v>498.327</v>
      </c>
      <c r="Y381" s="24">
        <v>191.732</v>
      </c>
      <c r="Z381" s="24">
        <v>46.889000000000003</v>
      </c>
      <c r="AA381" s="24">
        <v>6.5060000000000002</v>
      </c>
      <c r="AB381" s="24">
        <v>0.51200000000000001</v>
      </c>
      <c r="AC381" s="24">
        <v>2.9000000000000001E-2</v>
      </c>
    </row>
    <row r="382" spans="1:29" ht="11.65" x14ac:dyDescent="0.35">
      <c r="A382" s="28">
        <v>365</v>
      </c>
      <c r="B382" s="26" t="s">
        <v>1015</v>
      </c>
      <c r="C382" s="27" t="s">
        <v>1062</v>
      </c>
      <c r="D382" s="25"/>
      <c r="E382" s="25">
        <v>947</v>
      </c>
      <c r="F382" s="26" t="s">
        <v>1063</v>
      </c>
      <c r="G382" s="25">
        <v>1828</v>
      </c>
      <c r="H382" s="25">
        <v>1970</v>
      </c>
      <c r="I382" s="24">
        <v>25342.454000000002</v>
      </c>
      <c r="J382" s="24">
        <v>20137.052</v>
      </c>
      <c r="K382" s="24">
        <v>16789.867999999999</v>
      </c>
      <c r="L382" s="24">
        <v>14136.699000000001</v>
      </c>
      <c r="M382" s="24">
        <v>11864.665999999999</v>
      </c>
      <c r="N382" s="24">
        <v>10062.351000000001</v>
      </c>
      <c r="O382" s="24">
        <v>8523.5220000000008</v>
      </c>
      <c r="P382" s="24">
        <v>7321.991</v>
      </c>
      <c r="Q382" s="24">
        <v>6202.4080000000004</v>
      </c>
      <c r="R382" s="24">
        <v>5171.58</v>
      </c>
      <c r="S382" s="24">
        <v>4257.9229999999998</v>
      </c>
      <c r="T382" s="24">
        <v>3375.4029999999998</v>
      </c>
      <c r="U382" s="24">
        <v>2582.422</v>
      </c>
      <c r="V382" s="24">
        <v>1806.605</v>
      </c>
      <c r="W382" s="24">
        <v>1120.204</v>
      </c>
      <c r="X382" s="24">
        <v>571.79200000000003</v>
      </c>
      <c r="Y382" s="24">
        <v>213.89400000000001</v>
      </c>
      <c r="Z382" s="24">
        <v>55.246000000000002</v>
      </c>
      <c r="AA382" s="24">
        <v>7.4420000000000002</v>
      </c>
      <c r="AB382" s="24">
        <v>0.54</v>
      </c>
      <c r="AC382" s="24">
        <v>2.7E-2</v>
      </c>
    </row>
    <row r="383" spans="1:29" ht="11.65" x14ac:dyDescent="0.35">
      <c r="A383" s="28">
        <v>366</v>
      </c>
      <c r="B383" s="26" t="s">
        <v>1015</v>
      </c>
      <c r="C383" s="27" t="s">
        <v>1062</v>
      </c>
      <c r="D383" s="25"/>
      <c r="E383" s="25">
        <v>947</v>
      </c>
      <c r="F383" s="26" t="s">
        <v>1063</v>
      </c>
      <c r="G383" s="25">
        <v>1828</v>
      </c>
      <c r="H383" s="25">
        <v>1975</v>
      </c>
      <c r="I383" s="24">
        <v>29448.833999999999</v>
      </c>
      <c r="J383" s="24">
        <v>23161.352999999999</v>
      </c>
      <c r="K383" s="24">
        <v>19517.072</v>
      </c>
      <c r="L383" s="24">
        <v>16353.063</v>
      </c>
      <c r="M383" s="24">
        <v>13595.281000000001</v>
      </c>
      <c r="N383" s="24">
        <v>11342.445</v>
      </c>
      <c r="O383" s="24">
        <v>9619.2270000000008</v>
      </c>
      <c r="P383" s="24">
        <v>8115.91</v>
      </c>
      <c r="Q383" s="24">
        <v>6918.1390000000001</v>
      </c>
      <c r="R383" s="24">
        <v>5793.4750000000004</v>
      </c>
      <c r="S383" s="24">
        <v>4751.5150000000003</v>
      </c>
      <c r="T383" s="24">
        <v>3812.5650000000001</v>
      </c>
      <c r="U383" s="24">
        <v>2896.2829999999999</v>
      </c>
      <c r="V383" s="24">
        <v>2069.2979999999998</v>
      </c>
      <c r="W383" s="24">
        <v>1292.2639999999999</v>
      </c>
      <c r="X383" s="24">
        <v>667.072</v>
      </c>
      <c r="Y383" s="24">
        <v>255.95099999999999</v>
      </c>
      <c r="Z383" s="24">
        <v>62.540999999999997</v>
      </c>
      <c r="AA383" s="24">
        <v>9.0289999999999999</v>
      </c>
      <c r="AB383" s="24">
        <v>0.61299999999999999</v>
      </c>
      <c r="AC383" s="24">
        <v>2.8000000000000001E-2</v>
      </c>
    </row>
    <row r="384" spans="1:29" ht="11.65" x14ac:dyDescent="0.35">
      <c r="A384" s="28">
        <v>367</v>
      </c>
      <c r="B384" s="26" t="s">
        <v>1015</v>
      </c>
      <c r="C384" s="27" t="s">
        <v>1062</v>
      </c>
      <c r="D384" s="25"/>
      <c r="E384" s="25">
        <v>947</v>
      </c>
      <c r="F384" s="26" t="s">
        <v>1063</v>
      </c>
      <c r="G384" s="25">
        <v>1828</v>
      </c>
      <c r="H384" s="25">
        <v>1980</v>
      </c>
      <c r="I384" s="24">
        <v>34243.660000000003</v>
      </c>
      <c r="J384" s="24">
        <v>27185.863000000001</v>
      </c>
      <c r="K384" s="24">
        <v>22426.514999999999</v>
      </c>
      <c r="L384" s="24">
        <v>18894.749</v>
      </c>
      <c r="M384" s="24">
        <v>15690.054</v>
      </c>
      <c r="N384" s="24">
        <v>13073.663</v>
      </c>
      <c r="O384" s="24">
        <v>10953.614</v>
      </c>
      <c r="P384" s="24">
        <v>9213.8529999999992</v>
      </c>
      <c r="Q384" s="24">
        <v>7688.9</v>
      </c>
      <c r="R384" s="24">
        <v>6504.54</v>
      </c>
      <c r="S384" s="24">
        <v>5356.3239999999996</v>
      </c>
      <c r="T384" s="24">
        <v>4311.8100000000004</v>
      </c>
      <c r="U384" s="24">
        <v>3312.3310000000001</v>
      </c>
      <c r="V384" s="24">
        <v>2369.37</v>
      </c>
      <c r="W384" s="24">
        <v>1513.203</v>
      </c>
      <c r="X384" s="24">
        <v>801.30100000000004</v>
      </c>
      <c r="Y384" s="24">
        <v>311.72699999999998</v>
      </c>
      <c r="Z384" s="24">
        <v>76.692999999999998</v>
      </c>
      <c r="AA384" s="24">
        <v>10.170999999999999</v>
      </c>
      <c r="AB384" s="24">
        <v>0.77600000000000002</v>
      </c>
      <c r="AC384" s="24">
        <v>3.2000000000000001E-2</v>
      </c>
    </row>
    <row r="385" spans="1:29" ht="11.65" x14ac:dyDescent="0.35">
      <c r="A385" s="28">
        <v>368</v>
      </c>
      <c r="B385" s="26" t="s">
        <v>1015</v>
      </c>
      <c r="C385" s="27" t="s">
        <v>1062</v>
      </c>
      <c r="D385" s="25"/>
      <c r="E385" s="25">
        <v>947</v>
      </c>
      <c r="F385" s="26" t="s">
        <v>1063</v>
      </c>
      <c r="G385" s="25">
        <v>1828</v>
      </c>
      <c r="H385" s="25">
        <v>1985</v>
      </c>
      <c r="I385" s="24">
        <v>39431.197</v>
      </c>
      <c r="J385" s="24">
        <v>31762.993999999999</v>
      </c>
      <c r="K385" s="24">
        <v>26456.822</v>
      </c>
      <c r="L385" s="24">
        <v>21887.09</v>
      </c>
      <c r="M385" s="24">
        <v>18206.608</v>
      </c>
      <c r="N385" s="24">
        <v>15009.382</v>
      </c>
      <c r="O385" s="24">
        <v>12473.556</v>
      </c>
      <c r="P385" s="24">
        <v>10400.141</v>
      </c>
      <c r="Q385" s="24">
        <v>8702.9699999999993</v>
      </c>
      <c r="R385" s="24">
        <v>7193.23</v>
      </c>
      <c r="S385" s="24">
        <v>5995.4750000000004</v>
      </c>
      <c r="T385" s="24">
        <v>4830.4679999999998</v>
      </c>
      <c r="U385" s="24">
        <v>3738.5279999999998</v>
      </c>
      <c r="V385" s="24">
        <v>2693.0210000000002</v>
      </c>
      <c r="W385" s="24">
        <v>1730.48</v>
      </c>
      <c r="X385" s="24">
        <v>925.70699999999999</v>
      </c>
      <c r="Y385" s="24">
        <v>369.48899999999998</v>
      </c>
      <c r="Z385" s="24">
        <v>94.626999999999995</v>
      </c>
      <c r="AA385" s="24">
        <v>12.801</v>
      </c>
      <c r="AB385" s="24">
        <v>0.85699999999999998</v>
      </c>
      <c r="AC385" s="24">
        <v>0.04</v>
      </c>
    </row>
    <row r="386" spans="1:29" ht="11.65" x14ac:dyDescent="0.35">
      <c r="A386" s="28">
        <v>369</v>
      </c>
      <c r="B386" s="26" t="s">
        <v>1015</v>
      </c>
      <c r="C386" s="27" t="s">
        <v>1062</v>
      </c>
      <c r="D386" s="25"/>
      <c r="E386" s="25">
        <v>947</v>
      </c>
      <c r="F386" s="26" t="s">
        <v>1063</v>
      </c>
      <c r="G386" s="25">
        <v>1828</v>
      </c>
      <c r="H386" s="25">
        <v>1990</v>
      </c>
      <c r="I386" s="24">
        <v>44616.540999999997</v>
      </c>
      <c r="J386" s="24">
        <v>36873.934000000001</v>
      </c>
      <c r="K386" s="24">
        <v>31016.628000000001</v>
      </c>
      <c r="L386" s="24">
        <v>25816.983</v>
      </c>
      <c r="M386" s="24">
        <v>21041.648000000001</v>
      </c>
      <c r="N386" s="24">
        <v>17454.272000000001</v>
      </c>
      <c r="O386" s="24">
        <v>14374.269</v>
      </c>
      <c r="P386" s="24">
        <v>11860.846</v>
      </c>
      <c r="Q386" s="24">
        <v>9815.4930000000004</v>
      </c>
      <c r="R386" s="24">
        <v>8139.44</v>
      </c>
      <c r="S386" s="24">
        <v>6633.7529999999997</v>
      </c>
      <c r="T386" s="24">
        <v>5432.93</v>
      </c>
      <c r="U386" s="24">
        <v>4209.6040000000003</v>
      </c>
      <c r="V386" s="24">
        <v>3070.5070000000001</v>
      </c>
      <c r="W386" s="24">
        <v>2018.807</v>
      </c>
      <c r="X386" s="24">
        <v>1099.723</v>
      </c>
      <c r="Y386" s="24">
        <v>444.84100000000001</v>
      </c>
      <c r="Z386" s="24">
        <v>113.52500000000001</v>
      </c>
      <c r="AA386" s="24">
        <v>16.076000000000001</v>
      </c>
      <c r="AB386" s="24">
        <v>1.1359999999999999</v>
      </c>
      <c r="AC386" s="24">
        <v>4.4999999999999998E-2</v>
      </c>
    </row>
    <row r="387" spans="1:29" ht="11.65" x14ac:dyDescent="0.35">
      <c r="A387" s="28">
        <v>370</v>
      </c>
      <c r="B387" s="26" t="s">
        <v>1015</v>
      </c>
      <c r="C387" s="27" t="s">
        <v>1062</v>
      </c>
      <c r="D387" s="25"/>
      <c r="E387" s="25">
        <v>947</v>
      </c>
      <c r="F387" s="26" t="s">
        <v>1063</v>
      </c>
      <c r="G387" s="25">
        <v>1828</v>
      </c>
      <c r="H387" s="25">
        <v>1995</v>
      </c>
      <c r="I387" s="24">
        <v>49259.707999999999</v>
      </c>
      <c r="J387" s="24">
        <v>41630.201000000001</v>
      </c>
      <c r="K387" s="24">
        <v>35925.781000000003</v>
      </c>
      <c r="L387" s="24">
        <v>30090.041000000001</v>
      </c>
      <c r="M387" s="24">
        <v>24770.178</v>
      </c>
      <c r="N387" s="24">
        <v>20116.781999999999</v>
      </c>
      <c r="O387" s="24">
        <v>16721.937999999998</v>
      </c>
      <c r="P387" s="24">
        <v>13774.498</v>
      </c>
      <c r="Q387" s="24">
        <v>11271.12</v>
      </c>
      <c r="R387" s="24">
        <v>9188.5550000000003</v>
      </c>
      <c r="S387" s="24">
        <v>7521.6310000000003</v>
      </c>
      <c r="T387" s="24">
        <v>6008.7749999999996</v>
      </c>
      <c r="U387" s="24">
        <v>4783.482</v>
      </c>
      <c r="V387" s="24">
        <v>3453.3490000000002</v>
      </c>
      <c r="W387" s="24">
        <v>2291.1410000000001</v>
      </c>
      <c r="X387" s="24">
        <v>1297.1379999999999</v>
      </c>
      <c r="Y387" s="24">
        <v>536.26900000000001</v>
      </c>
      <c r="Z387" s="24">
        <v>137.94900000000001</v>
      </c>
      <c r="AA387" s="24">
        <v>19.744</v>
      </c>
      <c r="AB387" s="24">
        <v>1.5449999999999999</v>
      </c>
      <c r="AC387" s="24">
        <v>6.9000000000000006E-2</v>
      </c>
    </row>
    <row r="388" spans="1:29" ht="11.65" x14ac:dyDescent="0.35">
      <c r="A388" s="28">
        <v>371</v>
      </c>
      <c r="B388" s="26" t="s">
        <v>1015</v>
      </c>
      <c r="C388" s="27" t="s">
        <v>1062</v>
      </c>
      <c r="D388" s="25"/>
      <c r="E388" s="25">
        <v>947</v>
      </c>
      <c r="F388" s="26" t="s">
        <v>1063</v>
      </c>
      <c r="G388" s="25">
        <v>1828</v>
      </c>
      <c r="H388" s="25">
        <v>2000</v>
      </c>
      <c r="I388" s="24">
        <v>55727.239000000001</v>
      </c>
      <c r="J388" s="24">
        <v>46506.294000000002</v>
      </c>
      <c r="K388" s="24">
        <v>40737.358</v>
      </c>
      <c r="L388" s="24">
        <v>35063.021000000001</v>
      </c>
      <c r="M388" s="24">
        <v>29006.811000000002</v>
      </c>
      <c r="N388" s="24">
        <v>23722.294999999998</v>
      </c>
      <c r="O388" s="24">
        <v>19166.97</v>
      </c>
      <c r="P388" s="24">
        <v>15844.790999999999</v>
      </c>
      <c r="Q388" s="24">
        <v>12886.287</v>
      </c>
      <c r="R388" s="24">
        <v>10429.871999999999</v>
      </c>
      <c r="S388" s="24">
        <v>8385.1149999999998</v>
      </c>
      <c r="T388" s="24">
        <v>6728.3559999999998</v>
      </c>
      <c r="U388" s="24">
        <v>5169.3090000000002</v>
      </c>
      <c r="V388" s="24">
        <v>3883.5329999999999</v>
      </c>
      <c r="W388" s="24">
        <v>2509.4070000000002</v>
      </c>
      <c r="X388" s="24">
        <v>1429.434</v>
      </c>
      <c r="Y388" s="24">
        <v>613.95699999999999</v>
      </c>
      <c r="Z388" s="24">
        <v>164.81100000000001</v>
      </c>
      <c r="AA388" s="24">
        <v>24.04</v>
      </c>
      <c r="AB388" s="24">
        <v>1.978</v>
      </c>
      <c r="AC388" s="24">
        <v>0.10199999999999999</v>
      </c>
    </row>
    <row r="389" spans="1:29" ht="11.65" x14ac:dyDescent="0.35">
      <c r="A389" s="28">
        <v>372</v>
      </c>
      <c r="B389" s="26" t="s">
        <v>1015</v>
      </c>
      <c r="C389" s="27" t="s">
        <v>1062</v>
      </c>
      <c r="D389" s="25"/>
      <c r="E389" s="25">
        <v>947</v>
      </c>
      <c r="F389" s="26" t="s">
        <v>1063</v>
      </c>
      <c r="G389" s="25">
        <v>1828</v>
      </c>
      <c r="H389" s="25">
        <v>2005</v>
      </c>
      <c r="I389" s="24">
        <v>63367.521000000001</v>
      </c>
      <c r="J389" s="24">
        <v>53063.377999999997</v>
      </c>
      <c r="K389" s="24">
        <v>45584.974999999999</v>
      </c>
      <c r="L389" s="24">
        <v>39734.093000000001</v>
      </c>
      <c r="M389" s="24">
        <v>33691.480000000003</v>
      </c>
      <c r="N389" s="24">
        <v>27739.62</v>
      </c>
      <c r="O389" s="24">
        <v>22651.519</v>
      </c>
      <c r="P389" s="24">
        <v>18136.105</v>
      </c>
      <c r="Q389" s="24">
        <v>14808.478999999999</v>
      </c>
      <c r="R389" s="24">
        <v>11931.305</v>
      </c>
      <c r="S389" s="24">
        <v>9522.0930000000008</v>
      </c>
      <c r="T389" s="24">
        <v>7496.0370000000003</v>
      </c>
      <c r="U389" s="24">
        <v>5794.982</v>
      </c>
      <c r="V389" s="24">
        <v>4177.4709999999995</v>
      </c>
      <c r="W389" s="24">
        <v>2826.17</v>
      </c>
      <c r="X389" s="24">
        <v>1532.0730000000001</v>
      </c>
      <c r="Y389" s="24">
        <v>666.14200000000005</v>
      </c>
      <c r="Z389" s="24">
        <v>189.501</v>
      </c>
      <c r="AA389" s="24">
        <v>29.838000000000001</v>
      </c>
      <c r="AB389" s="24">
        <v>2.5880000000000001</v>
      </c>
      <c r="AC389" s="24">
        <v>0.14099999999999999</v>
      </c>
    </row>
    <row r="390" spans="1:29" ht="11.65" x14ac:dyDescent="0.35">
      <c r="A390" s="28">
        <v>373</v>
      </c>
      <c r="B390" s="26" t="s">
        <v>1015</v>
      </c>
      <c r="C390" s="27" t="s">
        <v>1062</v>
      </c>
      <c r="D390" s="25"/>
      <c r="E390" s="25">
        <v>947</v>
      </c>
      <c r="F390" s="26" t="s">
        <v>1063</v>
      </c>
      <c r="G390" s="25">
        <v>1828</v>
      </c>
      <c r="H390" s="25">
        <v>2010</v>
      </c>
      <c r="I390" s="24">
        <v>71802.983999999997</v>
      </c>
      <c r="J390" s="24">
        <v>60920.517999999996</v>
      </c>
      <c r="K390" s="24">
        <v>52126.466</v>
      </c>
      <c r="L390" s="24">
        <v>44752.868000000002</v>
      </c>
      <c r="M390" s="24">
        <v>38410.233</v>
      </c>
      <c r="N390" s="24">
        <v>32365.911</v>
      </c>
      <c r="O390" s="24">
        <v>26556.458999999999</v>
      </c>
      <c r="P390" s="24">
        <v>21578.364000000001</v>
      </c>
      <c r="Q390" s="24">
        <v>17145.825000000001</v>
      </c>
      <c r="R390" s="24">
        <v>13871.512000000001</v>
      </c>
      <c r="S390" s="24">
        <v>11028.957</v>
      </c>
      <c r="T390" s="24">
        <v>8620.0810000000001</v>
      </c>
      <c r="U390" s="24">
        <v>6549.05</v>
      </c>
      <c r="V390" s="24">
        <v>4759.9960000000001</v>
      </c>
      <c r="W390" s="24">
        <v>3101.9340000000002</v>
      </c>
      <c r="X390" s="24">
        <v>1777.1320000000001</v>
      </c>
      <c r="Y390" s="24">
        <v>760.86199999999997</v>
      </c>
      <c r="Z390" s="24">
        <v>216.00299999999999</v>
      </c>
      <c r="AA390" s="24">
        <v>36.898000000000003</v>
      </c>
      <c r="AB390" s="24">
        <v>3.552</v>
      </c>
      <c r="AC390" s="24">
        <v>0.20200000000000001</v>
      </c>
    </row>
    <row r="391" spans="1:29" ht="11.65" x14ac:dyDescent="0.35">
      <c r="A391" s="28">
        <v>374</v>
      </c>
      <c r="B391" s="26" t="s">
        <v>1015</v>
      </c>
      <c r="C391" s="27" t="s">
        <v>1062</v>
      </c>
      <c r="D391" s="25"/>
      <c r="E391" s="25">
        <v>947</v>
      </c>
      <c r="F391" s="26" t="s">
        <v>1063</v>
      </c>
      <c r="G391" s="25">
        <v>1828</v>
      </c>
      <c r="H391" s="25">
        <v>2015</v>
      </c>
      <c r="I391" s="24">
        <v>79736.536999999997</v>
      </c>
      <c r="J391" s="24">
        <v>69588.001999999993</v>
      </c>
      <c r="K391" s="24">
        <v>59982.985999999997</v>
      </c>
      <c r="L391" s="24">
        <v>51309.724999999999</v>
      </c>
      <c r="M391" s="24">
        <v>43626.177000000003</v>
      </c>
      <c r="N391" s="24">
        <v>37145.254000000001</v>
      </c>
      <c r="O391" s="24">
        <v>31172.769</v>
      </c>
      <c r="P391" s="24">
        <v>25449.667000000001</v>
      </c>
      <c r="Q391" s="24">
        <v>20571.702000000001</v>
      </c>
      <c r="R391" s="24">
        <v>16235.79</v>
      </c>
      <c r="S391" s="24">
        <v>12966.758</v>
      </c>
      <c r="T391" s="24">
        <v>10108.709999999999</v>
      </c>
      <c r="U391" s="24">
        <v>7639.52</v>
      </c>
      <c r="V391" s="24">
        <v>5472.46</v>
      </c>
      <c r="W391" s="24">
        <v>3611.71</v>
      </c>
      <c r="X391" s="24">
        <v>2007.2170000000001</v>
      </c>
      <c r="Y391" s="24">
        <v>897.27599999999995</v>
      </c>
      <c r="Z391" s="24">
        <v>264.28300000000002</v>
      </c>
      <c r="AA391" s="24">
        <v>45.731999999999999</v>
      </c>
      <c r="AB391" s="24">
        <v>4.8239999999999998</v>
      </c>
      <c r="AC391" s="24">
        <v>0.30299999999999999</v>
      </c>
    </row>
    <row r="392" spans="1:29" ht="11.65" x14ac:dyDescent="0.35">
      <c r="A392" s="28">
        <v>375</v>
      </c>
      <c r="B392" s="26" t="s">
        <v>1015</v>
      </c>
      <c r="C392" s="27" t="s">
        <v>1062</v>
      </c>
      <c r="D392" s="25"/>
      <c r="E392" s="25">
        <v>947</v>
      </c>
      <c r="F392" s="26" t="s">
        <v>1063</v>
      </c>
      <c r="G392" s="25">
        <v>1828</v>
      </c>
      <c r="H392" s="25">
        <v>2020</v>
      </c>
      <c r="I392" s="24">
        <v>86609.282999999996</v>
      </c>
      <c r="J392" s="24">
        <v>77738.438999999998</v>
      </c>
      <c r="K392" s="24">
        <v>68696.092000000004</v>
      </c>
      <c r="L392" s="24">
        <v>59221.02</v>
      </c>
      <c r="M392" s="24">
        <v>50313.124000000003</v>
      </c>
      <c r="N392" s="24">
        <v>42542.873</v>
      </c>
      <c r="O392" s="24">
        <v>36119.373</v>
      </c>
      <c r="P392" s="24">
        <v>30166.567999999999</v>
      </c>
      <c r="Q392" s="24">
        <v>24456.635999999999</v>
      </c>
      <c r="R392" s="24">
        <v>19602.366000000002</v>
      </c>
      <c r="S392" s="24">
        <v>15265.793</v>
      </c>
      <c r="T392" s="24">
        <v>11948.927</v>
      </c>
      <c r="U392" s="24">
        <v>9011.018</v>
      </c>
      <c r="V392" s="24">
        <v>6439.1329999999998</v>
      </c>
      <c r="W392" s="24">
        <v>4207.723</v>
      </c>
      <c r="X392" s="24">
        <v>2383.9470000000001</v>
      </c>
      <c r="Y392" s="24">
        <v>1041.598</v>
      </c>
      <c r="Z392" s="24">
        <v>325.79000000000002</v>
      </c>
      <c r="AA392" s="24">
        <v>59.366999999999997</v>
      </c>
      <c r="AB392" s="24">
        <v>6.2240000000000002</v>
      </c>
      <c r="AC392" s="24">
        <v>0.44500000000000001</v>
      </c>
    </row>
    <row r="393" spans="1:29" ht="11.65" x14ac:dyDescent="0.35">
      <c r="A393" s="23">
        <v>376</v>
      </c>
      <c r="B393" s="21" t="s">
        <v>1015</v>
      </c>
      <c r="C393" s="29" t="s">
        <v>1064</v>
      </c>
      <c r="D393" s="20"/>
      <c r="E393" s="20">
        <v>910</v>
      </c>
      <c r="F393" s="21" t="s">
        <v>1065</v>
      </c>
      <c r="G393" s="20">
        <v>947</v>
      </c>
      <c r="H393" s="20">
        <v>1950</v>
      </c>
      <c r="I393" s="19">
        <v>5923.0389999999998</v>
      </c>
      <c r="J393" s="19">
        <v>4472.7780000000002</v>
      </c>
      <c r="K393" s="19">
        <v>3807.5239999999999</v>
      </c>
      <c r="L393" s="19">
        <v>3399.4569999999999</v>
      </c>
      <c r="M393" s="19">
        <v>2930.9270000000001</v>
      </c>
      <c r="N393" s="19">
        <v>2480.299</v>
      </c>
      <c r="O393" s="19">
        <v>2104.2139999999999</v>
      </c>
      <c r="P393" s="19">
        <v>1779.8689999999999</v>
      </c>
      <c r="Q393" s="19">
        <v>1511.164</v>
      </c>
      <c r="R393" s="19">
        <v>1240.471</v>
      </c>
      <c r="S393" s="19">
        <v>947.92700000000002</v>
      </c>
      <c r="T393" s="19">
        <v>752.11400000000003</v>
      </c>
      <c r="U393" s="19">
        <v>581.20699999999999</v>
      </c>
      <c r="V393" s="19">
        <v>413.71699999999998</v>
      </c>
      <c r="W393" s="19">
        <v>258.06</v>
      </c>
      <c r="X393" s="19">
        <v>131.07300000000001</v>
      </c>
      <c r="Y393" s="19">
        <v>46.109000000000002</v>
      </c>
      <c r="Z393" s="19">
        <v>12.114000000000001</v>
      </c>
      <c r="AA393" s="19">
        <v>1.891</v>
      </c>
      <c r="AB393" s="19">
        <v>0.16300000000000001</v>
      </c>
      <c r="AC393" s="19">
        <v>1.0999999999999999E-2</v>
      </c>
    </row>
    <row r="394" spans="1:29" ht="11.65" x14ac:dyDescent="0.35">
      <c r="A394" s="23">
        <v>377</v>
      </c>
      <c r="B394" s="21" t="s">
        <v>1015</v>
      </c>
      <c r="C394" s="29" t="s">
        <v>1064</v>
      </c>
      <c r="D394" s="20"/>
      <c r="E394" s="20">
        <v>910</v>
      </c>
      <c r="F394" s="21" t="s">
        <v>1065</v>
      </c>
      <c r="G394" s="20">
        <v>947</v>
      </c>
      <c r="H394" s="20">
        <v>1955</v>
      </c>
      <c r="I394" s="19">
        <v>6691.36</v>
      </c>
      <c r="J394" s="19">
        <v>5167.4629999999997</v>
      </c>
      <c r="K394" s="19">
        <v>4262.7730000000001</v>
      </c>
      <c r="L394" s="19">
        <v>3675.4569999999999</v>
      </c>
      <c r="M394" s="19">
        <v>3245.4450000000002</v>
      </c>
      <c r="N394" s="19">
        <v>2770.134</v>
      </c>
      <c r="O394" s="19">
        <v>2335.2040000000002</v>
      </c>
      <c r="P394" s="19">
        <v>1968.36</v>
      </c>
      <c r="Q394" s="19">
        <v>1647.35</v>
      </c>
      <c r="R394" s="19">
        <v>1380.751</v>
      </c>
      <c r="S394" s="19">
        <v>1114.3240000000001</v>
      </c>
      <c r="T394" s="19">
        <v>830.61699999999996</v>
      </c>
      <c r="U394" s="19">
        <v>631.649</v>
      </c>
      <c r="V394" s="19">
        <v>455.27800000000002</v>
      </c>
      <c r="W394" s="19">
        <v>288.05799999999999</v>
      </c>
      <c r="X394" s="19">
        <v>148.238</v>
      </c>
      <c r="Y394" s="19">
        <v>56.317999999999998</v>
      </c>
      <c r="Z394" s="19">
        <v>12.878</v>
      </c>
      <c r="AA394" s="19">
        <v>1.8580000000000001</v>
      </c>
      <c r="AB394" s="19">
        <v>0.14399999999999999</v>
      </c>
      <c r="AC394" s="19">
        <v>7.0000000000000001E-3</v>
      </c>
    </row>
    <row r="395" spans="1:29" ht="11.65" x14ac:dyDescent="0.35">
      <c r="A395" s="23">
        <v>378</v>
      </c>
      <c r="B395" s="21" t="s">
        <v>1015</v>
      </c>
      <c r="C395" s="29" t="s">
        <v>1064</v>
      </c>
      <c r="D395" s="20"/>
      <c r="E395" s="20">
        <v>910</v>
      </c>
      <c r="F395" s="21" t="s">
        <v>1065</v>
      </c>
      <c r="G395" s="20">
        <v>947</v>
      </c>
      <c r="H395" s="20">
        <v>1960</v>
      </c>
      <c r="I395" s="19">
        <v>7636.509</v>
      </c>
      <c r="J395" s="19">
        <v>5940.5820000000003</v>
      </c>
      <c r="K395" s="19">
        <v>4953.4009999999998</v>
      </c>
      <c r="L395" s="19">
        <v>4129.5680000000002</v>
      </c>
      <c r="M395" s="19">
        <v>3522.7959999999998</v>
      </c>
      <c r="N395" s="19">
        <v>3082.5369999999998</v>
      </c>
      <c r="O395" s="19">
        <v>2621.9639999999999</v>
      </c>
      <c r="P395" s="19">
        <v>2196.6309999999999</v>
      </c>
      <c r="Q395" s="19">
        <v>1833.828</v>
      </c>
      <c r="R395" s="19">
        <v>1516.306</v>
      </c>
      <c r="S395" s="19">
        <v>1249.7</v>
      </c>
      <c r="T395" s="19">
        <v>983.09100000000001</v>
      </c>
      <c r="U395" s="19">
        <v>704.34100000000001</v>
      </c>
      <c r="V395" s="19">
        <v>500.83699999999999</v>
      </c>
      <c r="W395" s="19">
        <v>322.64400000000001</v>
      </c>
      <c r="X395" s="19">
        <v>170.17500000000001</v>
      </c>
      <c r="Y395" s="19">
        <v>66.102000000000004</v>
      </c>
      <c r="Z395" s="19">
        <v>16.402999999999999</v>
      </c>
      <c r="AA395" s="19">
        <v>2.0699999999999998</v>
      </c>
      <c r="AB395" s="19">
        <v>0.154</v>
      </c>
      <c r="AC395" s="19">
        <v>5.0000000000000001E-3</v>
      </c>
    </row>
    <row r="396" spans="1:29" ht="11.65" x14ac:dyDescent="0.35">
      <c r="A396" s="23">
        <v>379</v>
      </c>
      <c r="B396" s="21" t="s">
        <v>1015</v>
      </c>
      <c r="C396" s="29" t="s">
        <v>1064</v>
      </c>
      <c r="D396" s="20"/>
      <c r="E396" s="20">
        <v>910</v>
      </c>
      <c r="F396" s="21" t="s">
        <v>1065</v>
      </c>
      <c r="G396" s="20">
        <v>947</v>
      </c>
      <c r="H396" s="20">
        <v>1965</v>
      </c>
      <c r="I396" s="19">
        <v>8870.9619999999995</v>
      </c>
      <c r="J396" s="19">
        <v>6889.2030000000004</v>
      </c>
      <c r="K396" s="19">
        <v>5733.27</v>
      </c>
      <c r="L396" s="19">
        <v>4812.6019999999999</v>
      </c>
      <c r="M396" s="19">
        <v>3959.067</v>
      </c>
      <c r="N396" s="19">
        <v>3346.4810000000002</v>
      </c>
      <c r="O396" s="19">
        <v>2923.5610000000001</v>
      </c>
      <c r="P396" s="19">
        <v>2474.6570000000002</v>
      </c>
      <c r="Q396" s="19">
        <v>2055.8009999999999</v>
      </c>
      <c r="R396" s="19">
        <v>1697.7760000000001</v>
      </c>
      <c r="S396" s="19">
        <v>1381.1210000000001</v>
      </c>
      <c r="T396" s="19">
        <v>1110.9280000000001</v>
      </c>
      <c r="U396" s="19">
        <v>840.97799999999995</v>
      </c>
      <c r="V396" s="19">
        <v>565.38199999999995</v>
      </c>
      <c r="W396" s="19">
        <v>360.59899999999999</v>
      </c>
      <c r="X396" s="19">
        <v>194.89</v>
      </c>
      <c r="Y396" s="19">
        <v>78.162999999999997</v>
      </c>
      <c r="Z396" s="19">
        <v>19.957000000000001</v>
      </c>
      <c r="AA396" s="19">
        <v>2.7040000000000002</v>
      </c>
      <c r="AB396" s="19">
        <v>0.17599999999999999</v>
      </c>
      <c r="AC396" s="19">
        <v>8.0000000000000002E-3</v>
      </c>
    </row>
    <row r="397" spans="1:29" ht="11.65" x14ac:dyDescent="0.35">
      <c r="A397" s="23">
        <v>380</v>
      </c>
      <c r="B397" s="21" t="s">
        <v>1015</v>
      </c>
      <c r="C397" s="29" t="s">
        <v>1064</v>
      </c>
      <c r="D397" s="20"/>
      <c r="E397" s="20">
        <v>910</v>
      </c>
      <c r="F397" s="21" t="s">
        <v>1065</v>
      </c>
      <c r="G397" s="20">
        <v>947</v>
      </c>
      <c r="H397" s="20">
        <v>1970</v>
      </c>
      <c r="I397" s="19">
        <v>10256.825999999999</v>
      </c>
      <c r="J397" s="19">
        <v>8089.6930000000002</v>
      </c>
      <c r="K397" s="19">
        <v>6679.366</v>
      </c>
      <c r="L397" s="19">
        <v>5593.4889999999996</v>
      </c>
      <c r="M397" s="19">
        <v>4637.6279999999997</v>
      </c>
      <c r="N397" s="19">
        <v>3784.5830000000001</v>
      </c>
      <c r="O397" s="19">
        <v>3192.5770000000002</v>
      </c>
      <c r="P397" s="19">
        <v>2775.72</v>
      </c>
      <c r="Q397" s="19">
        <v>2330.4</v>
      </c>
      <c r="R397" s="19">
        <v>1914.8019999999999</v>
      </c>
      <c r="S397" s="19">
        <v>1555.951</v>
      </c>
      <c r="T397" s="19">
        <v>1235.9880000000001</v>
      </c>
      <c r="U397" s="19">
        <v>957.05700000000002</v>
      </c>
      <c r="V397" s="19">
        <v>679.96900000000005</v>
      </c>
      <c r="W397" s="19">
        <v>411.75400000000002</v>
      </c>
      <c r="X397" s="19">
        <v>221.17500000000001</v>
      </c>
      <c r="Y397" s="19">
        <v>91.236000000000004</v>
      </c>
      <c r="Z397" s="19">
        <v>24.08</v>
      </c>
      <c r="AA397" s="19">
        <v>3.3639999999999999</v>
      </c>
      <c r="AB397" s="19">
        <v>0.22700000000000001</v>
      </c>
      <c r="AC397" s="19">
        <v>8.9999999999999993E-3</v>
      </c>
    </row>
    <row r="398" spans="1:29" ht="11.65" x14ac:dyDescent="0.35">
      <c r="A398" s="23">
        <v>381</v>
      </c>
      <c r="B398" s="21" t="s">
        <v>1015</v>
      </c>
      <c r="C398" s="29" t="s">
        <v>1064</v>
      </c>
      <c r="D398" s="20"/>
      <c r="E398" s="20">
        <v>910</v>
      </c>
      <c r="F398" s="21" t="s">
        <v>1065</v>
      </c>
      <c r="G398" s="20">
        <v>947</v>
      </c>
      <c r="H398" s="20">
        <v>1975</v>
      </c>
      <c r="I398" s="19">
        <v>11936.082</v>
      </c>
      <c r="J398" s="19">
        <v>9416.32</v>
      </c>
      <c r="K398" s="19">
        <v>7831.7759999999998</v>
      </c>
      <c r="L398" s="19">
        <v>6504.1840000000002</v>
      </c>
      <c r="M398" s="19">
        <v>5380.0410000000002</v>
      </c>
      <c r="N398" s="19">
        <v>4423.6589999999997</v>
      </c>
      <c r="O398" s="19">
        <v>3599.527</v>
      </c>
      <c r="P398" s="19">
        <v>3022.7350000000001</v>
      </c>
      <c r="Q398" s="19">
        <v>2609.7840000000001</v>
      </c>
      <c r="R398" s="19">
        <v>2167.8330000000001</v>
      </c>
      <c r="S398" s="19">
        <v>1755.348</v>
      </c>
      <c r="T398" s="19">
        <v>1395.0709999999999</v>
      </c>
      <c r="U398" s="19">
        <v>1068.319</v>
      </c>
      <c r="V398" s="19">
        <v>779.245</v>
      </c>
      <c r="W398" s="19">
        <v>499.72</v>
      </c>
      <c r="X398" s="19">
        <v>257.59399999999999</v>
      </c>
      <c r="Y398" s="19">
        <v>105.711</v>
      </c>
      <c r="Z398" s="19">
        <v>28.579000000000001</v>
      </c>
      <c r="AA398" s="19">
        <v>4.1059999999999999</v>
      </c>
      <c r="AB398" s="19">
        <v>0.29099999999999998</v>
      </c>
      <c r="AC398" s="19">
        <v>1.0999999999999999E-2</v>
      </c>
    </row>
    <row r="399" spans="1:29" ht="11.65" x14ac:dyDescent="0.35">
      <c r="A399" s="23">
        <v>382</v>
      </c>
      <c r="B399" s="21" t="s">
        <v>1015</v>
      </c>
      <c r="C399" s="29" t="s">
        <v>1064</v>
      </c>
      <c r="D399" s="20"/>
      <c r="E399" s="20">
        <v>910</v>
      </c>
      <c r="F399" s="21" t="s">
        <v>1065</v>
      </c>
      <c r="G399" s="20">
        <v>947</v>
      </c>
      <c r="H399" s="20">
        <v>1980</v>
      </c>
      <c r="I399" s="19">
        <v>13940.476000000001</v>
      </c>
      <c r="J399" s="19">
        <v>11044.656000000001</v>
      </c>
      <c r="K399" s="19">
        <v>9032.9259999999995</v>
      </c>
      <c r="L399" s="19">
        <v>7507.2560000000003</v>
      </c>
      <c r="M399" s="19">
        <v>6228.0910000000003</v>
      </c>
      <c r="N399" s="19">
        <v>5156.9939999999997</v>
      </c>
      <c r="O399" s="19">
        <v>4266.8320000000003</v>
      </c>
      <c r="P399" s="19">
        <v>3459.52</v>
      </c>
      <c r="Q399" s="19">
        <v>2867.7440000000001</v>
      </c>
      <c r="R399" s="19">
        <v>2462.4960000000001</v>
      </c>
      <c r="S399" s="19">
        <v>2003.3530000000001</v>
      </c>
      <c r="T399" s="19">
        <v>1618.577</v>
      </c>
      <c r="U399" s="19">
        <v>1235.8699999999999</v>
      </c>
      <c r="V399" s="19">
        <v>905.52700000000004</v>
      </c>
      <c r="W399" s="19">
        <v>593.70299999999997</v>
      </c>
      <c r="X399" s="19">
        <v>335.34899999999999</v>
      </c>
      <c r="Y399" s="19">
        <v>132.82900000000001</v>
      </c>
      <c r="Z399" s="19">
        <v>34.247999999999998</v>
      </c>
      <c r="AA399" s="19">
        <v>5.0199999999999996</v>
      </c>
      <c r="AB399" s="19">
        <v>0.36199999999999999</v>
      </c>
      <c r="AC399" s="19">
        <v>1.6E-2</v>
      </c>
    </row>
    <row r="400" spans="1:29" ht="11.65" x14ac:dyDescent="0.35">
      <c r="A400" s="23">
        <v>383</v>
      </c>
      <c r="B400" s="21" t="s">
        <v>1015</v>
      </c>
      <c r="C400" s="29" t="s">
        <v>1064</v>
      </c>
      <c r="D400" s="20"/>
      <c r="E400" s="20">
        <v>910</v>
      </c>
      <c r="F400" s="21" t="s">
        <v>1065</v>
      </c>
      <c r="G400" s="20">
        <v>947</v>
      </c>
      <c r="H400" s="20">
        <v>1985</v>
      </c>
      <c r="I400" s="19">
        <v>16025.949000000001</v>
      </c>
      <c r="J400" s="19">
        <v>12941.611000000001</v>
      </c>
      <c r="K400" s="19">
        <v>10740.200999999999</v>
      </c>
      <c r="L400" s="19">
        <v>8834.8009999999995</v>
      </c>
      <c r="M400" s="19">
        <v>7271.4750000000004</v>
      </c>
      <c r="N400" s="19">
        <v>5978.8760000000002</v>
      </c>
      <c r="O400" s="19">
        <v>4932.8860000000004</v>
      </c>
      <c r="P400" s="19">
        <v>4056.7379999999998</v>
      </c>
      <c r="Q400" s="19">
        <v>3261.9540000000002</v>
      </c>
      <c r="R400" s="19">
        <v>2678.0369999999998</v>
      </c>
      <c r="S400" s="19">
        <v>2263.9839999999999</v>
      </c>
      <c r="T400" s="19">
        <v>1803.135</v>
      </c>
      <c r="U400" s="19">
        <v>1402.933</v>
      </c>
      <c r="V400" s="19">
        <v>1009.417</v>
      </c>
      <c r="W400" s="19">
        <v>667.93600000000004</v>
      </c>
      <c r="X400" s="19">
        <v>371.89499999999998</v>
      </c>
      <c r="Y400" s="19">
        <v>160.15199999999999</v>
      </c>
      <c r="Z400" s="19">
        <v>42.774999999999999</v>
      </c>
      <c r="AA400" s="19">
        <v>6.0730000000000004</v>
      </c>
      <c r="AB400" s="19">
        <v>0.45100000000000001</v>
      </c>
      <c r="AC400" s="19">
        <v>0.02</v>
      </c>
    </row>
    <row r="401" spans="1:29" ht="11.65" x14ac:dyDescent="0.35">
      <c r="A401" s="23">
        <v>384</v>
      </c>
      <c r="B401" s="21" t="s">
        <v>1015</v>
      </c>
      <c r="C401" s="29" t="s">
        <v>1064</v>
      </c>
      <c r="D401" s="20"/>
      <c r="E401" s="20">
        <v>910</v>
      </c>
      <c r="F401" s="21" t="s">
        <v>1065</v>
      </c>
      <c r="G401" s="20">
        <v>947</v>
      </c>
      <c r="H401" s="20">
        <v>1990</v>
      </c>
      <c r="I401" s="19">
        <v>18386.871999999999</v>
      </c>
      <c r="J401" s="19">
        <v>15038.736000000001</v>
      </c>
      <c r="K401" s="19">
        <v>12629.177</v>
      </c>
      <c r="L401" s="19">
        <v>10499.075999999999</v>
      </c>
      <c r="M401" s="19">
        <v>8500.0519999999997</v>
      </c>
      <c r="N401" s="19">
        <v>6925.2290000000003</v>
      </c>
      <c r="O401" s="19">
        <v>5688.1940000000004</v>
      </c>
      <c r="P401" s="19">
        <v>4674.5870000000004</v>
      </c>
      <c r="Q401" s="19">
        <v>3797.527</v>
      </c>
      <c r="R401" s="19">
        <v>3023.498</v>
      </c>
      <c r="S401" s="19">
        <v>2450.2649999999999</v>
      </c>
      <c r="T401" s="19">
        <v>2050.9470000000001</v>
      </c>
      <c r="U401" s="19">
        <v>1569.5139999999999</v>
      </c>
      <c r="V401" s="19">
        <v>1160.614</v>
      </c>
      <c r="W401" s="19">
        <v>782.13599999999997</v>
      </c>
      <c r="X401" s="19">
        <v>449.71800000000002</v>
      </c>
      <c r="Y401" s="19">
        <v>191.34399999999999</v>
      </c>
      <c r="Z401" s="19">
        <v>51.488</v>
      </c>
      <c r="AA401" s="19">
        <v>7.6210000000000004</v>
      </c>
      <c r="AB401" s="19">
        <v>0.56100000000000005</v>
      </c>
      <c r="AC401" s="19">
        <v>2.5999999999999999E-2</v>
      </c>
    </row>
    <row r="402" spans="1:29" ht="11.65" x14ac:dyDescent="0.35">
      <c r="A402" s="23">
        <v>385</v>
      </c>
      <c r="B402" s="21" t="s">
        <v>1015</v>
      </c>
      <c r="C402" s="29" t="s">
        <v>1064</v>
      </c>
      <c r="D402" s="20"/>
      <c r="E402" s="20">
        <v>910</v>
      </c>
      <c r="F402" s="21" t="s">
        <v>1065</v>
      </c>
      <c r="G402" s="20">
        <v>947</v>
      </c>
      <c r="H402" s="20">
        <v>1995</v>
      </c>
      <c r="I402" s="19">
        <v>20151.506000000001</v>
      </c>
      <c r="J402" s="19">
        <v>17027.118999999999</v>
      </c>
      <c r="K402" s="19">
        <v>14517.843999999999</v>
      </c>
      <c r="L402" s="19">
        <v>12038.257</v>
      </c>
      <c r="M402" s="19">
        <v>9878.732</v>
      </c>
      <c r="N402" s="19">
        <v>7964.732</v>
      </c>
      <c r="O402" s="19">
        <v>6504.7830000000004</v>
      </c>
      <c r="P402" s="19">
        <v>5350.9830000000002</v>
      </c>
      <c r="Q402" s="19">
        <v>4355.4059999999999</v>
      </c>
      <c r="R402" s="19">
        <v>3468.8229999999999</v>
      </c>
      <c r="S402" s="19">
        <v>2737.72</v>
      </c>
      <c r="T402" s="19">
        <v>2180.7060000000001</v>
      </c>
      <c r="U402" s="19">
        <v>1794.077</v>
      </c>
      <c r="V402" s="19">
        <v>1263.674</v>
      </c>
      <c r="W402" s="19">
        <v>868.57299999999998</v>
      </c>
      <c r="X402" s="19">
        <v>529.98400000000004</v>
      </c>
      <c r="Y402" s="19">
        <v>234</v>
      </c>
      <c r="Z402" s="19">
        <v>61.786999999999999</v>
      </c>
      <c r="AA402" s="19">
        <v>9.4949999999999992</v>
      </c>
      <c r="AB402" s="19">
        <v>0.78600000000000003</v>
      </c>
      <c r="AC402" s="19">
        <v>3.9E-2</v>
      </c>
    </row>
    <row r="403" spans="1:29" ht="11.65" x14ac:dyDescent="0.35">
      <c r="A403" s="23">
        <v>386</v>
      </c>
      <c r="B403" s="21" t="s">
        <v>1015</v>
      </c>
      <c r="C403" s="29" t="s">
        <v>1064</v>
      </c>
      <c r="D403" s="20"/>
      <c r="E403" s="20">
        <v>910</v>
      </c>
      <c r="F403" s="21" t="s">
        <v>1065</v>
      </c>
      <c r="G403" s="20">
        <v>947</v>
      </c>
      <c r="H403" s="20">
        <v>2000</v>
      </c>
      <c r="I403" s="19">
        <v>23207.039000000001</v>
      </c>
      <c r="J403" s="19">
        <v>19269.471000000001</v>
      </c>
      <c r="K403" s="19">
        <v>16723.064999999999</v>
      </c>
      <c r="L403" s="19">
        <v>14169.602000000001</v>
      </c>
      <c r="M403" s="19">
        <v>11579.404</v>
      </c>
      <c r="N403" s="19">
        <v>9374.7839999999997</v>
      </c>
      <c r="O403" s="19">
        <v>7472.1540000000005</v>
      </c>
      <c r="P403" s="19">
        <v>6070.25</v>
      </c>
      <c r="Q403" s="19">
        <v>4894.1229999999996</v>
      </c>
      <c r="R403" s="19">
        <v>3938.3209999999999</v>
      </c>
      <c r="S403" s="19">
        <v>3101.8319999999999</v>
      </c>
      <c r="T403" s="19">
        <v>2419.1370000000002</v>
      </c>
      <c r="U403" s="19">
        <v>1856.222</v>
      </c>
      <c r="V403" s="19">
        <v>1457.9870000000001</v>
      </c>
      <c r="W403" s="19">
        <v>914.97400000000005</v>
      </c>
      <c r="X403" s="19">
        <v>565.89</v>
      </c>
      <c r="Y403" s="19">
        <v>264.78300000000002</v>
      </c>
      <c r="Z403" s="19">
        <v>76.725999999999999</v>
      </c>
      <c r="AA403" s="19">
        <v>11.855</v>
      </c>
      <c r="AB403" s="19">
        <v>1.0629999999999999</v>
      </c>
      <c r="AC403" s="19">
        <v>5.8999999999999997E-2</v>
      </c>
    </row>
    <row r="404" spans="1:29" ht="11.65" x14ac:dyDescent="0.35">
      <c r="A404" s="23">
        <v>387</v>
      </c>
      <c r="B404" s="21" t="s">
        <v>1015</v>
      </c>
      <c r="C404" s="29" t="s">
        <v>1064</v>
      </c>
      <c r="D404" s="20"/>
      <c r="E404" s="20">
        <v>910</v>
      </c>
      <c r="F404" s="21" t="s">
        <v>1065</v>
      </c>
      <c r="G404" s="20">
        <v>947</v>
      </c>
      <c r="H404" s="20">
        <v>2005</v>
      </c>
      <c r="I404" s="19">
        <v>26247.955999999998</v>
      </c>
      <c r="J404" s="19">
        <v>22339.49</v>
      </c>
      <c r="K404" s="19">
        <v>18930.392</v>
      </c>
      <c r="L404" s="19">
        <v>16230.65</v>
      </c>
      <c r="M404" s="19">
        <v>13501.815000000001</v>
      </c>
      <c r="N404" s="19">
        <v>10962.743</v>
      </c>
      <c r="O404" s="19">
        <v>8872.4560000000001</v>
      </c>
      <c r="P404" s="19">
        <v>6993.6180000000004</v>
      </c>
      <c r="Q404" s="19">
        <v>5579.8950000000004</v>
      </c>
      <c r="R404" s="19">
        <v>4469.2039999999997</v>
      </c>
      <c r="S404" s="19">
        <v>3554.8429999999998</v>
      </c>
      <c r="T404" s="19">
        <v>2751.4659999999999</v>
      </c>
      <c r="U404" s="19">
        <v>2076.777</v>
      </c>
      <c r="V404" s="19">
        <v>1502.204</v>
      </c>
      <c r="W404" s="19">
        <v>1070.9349999999999</v>
      </c>
      <c r="X404" s="19">
        <v>572.66300000000001</v>
      </c>
      <c r="Y404" s="19">
        <v>277.26400000000001</v>
      </c>
      <c r="Z404" s="19">
        <v>88.72</v>
      </c>
      <c r="AA404" s="19">
        <v>15.778</v>
      </c>
      <c r="AB404" s="19">
        <v>1.4770000000000001</v>
      </c>
      <c r="AC404" s="19">
        <v>8.6999999999999994E-2</v>
      </c>
    </row>
    <row r="405" spans="1:29" ht="11.65" x14ac:dyDescent="0.35">
      <c r="A405" s="23">
        <v>388</v>
      </c>
      <c r="B405" s="21" t="s">
        <v>1015</v>
      </c>
      <c r="C405" s="29" t="s">
        <v>1064</v>
      </c>
      <c r="D405" s="20"/>
      <c r="E405" s="20">
        <v>910</v>
      </c>
      <c r="F405" s="21" t="s">
        <v>1065</v>
      </c>
      <c r="G405" s="20">
        <v>947</v>
      </c>
      <c r="H405" s="20">
        <v>2010</v>
      </c>
      <c r="I405" s="19">
        <v>29241.261999999999</v>
      </c>
      <c r="J405" s="19">
        <v>25455.555</v>
      </c>
      <c r="K405" s="19">
        <v>22003.552</v>
      </c>
      <c r="L405" s="19">
        <v>18585.102999999999</v>
      </c>
      <c r="M405" s="19">
        <v>15552.079</v>
      </c>
      <c r="N405" s="19">
        <v>12844.682000000001</v>
      </c>
      <c r="O405" s="19">
        <v>10407.477999999999</v>
      </c>
      <c r="P405" s="19">
        <v>8398.777</v>
      </c>
      <c r="Q405" s="19">
        <v>6564.4350000000004</v>
      </c>
      <c r="R405" s="19">
        <v>5184.482</v>
      </c>
      <c r="S405" s="19">
        <v>4108.8500000000004</v>
      </c>
      <c r="T405" s="19">
        <v>3214.6239999999998</v>
      </c>
      <c r="U405" s="19">
        <v>2412.904</v>
      </c>
      <c r="V405" s="19">
        <v>1721.4639999999999</v>
      </c>
      <c r="W405" s="19">
        <v>1136.58</v>
      </c>
      <c r="X405" s="19">
        <v>698.06500000000005</v>
      </c>
      <c r="Y405" s="19">
        <v>314.959</v>
      </c>
      <c r="Z405" s="19">
        <v>98.751999999999995</v>
      </c>
      <c r="AA405" s="19">
        <v>19.876000000000001</v>
      </c>
      <c r="AB405" s="19">
        <v>2.202</v>
      </c>
      <c r="AC405" s="19">
        <v>0.13500000000000001</v>
      </c>
    </row>
    <row r="406" spans="1:29" ht="11.65" x14ac:dyDescent="0.35">
      <c r="A406" s="23">
        <v>389</v>
      </c>
      <c r="B406" s="21" t="s">
        <v>1015</v>
      </c>
      <c r="C406" s="29" t="s">
        <v>1064</v>
      </c>
      <c r="D406" s="20"/>
      <c r="E406" s="20">
        <v>910</v>
      </c>
      <c r="F406" s="21" t="s">
        <v>1065</v>
      </c>
      <c r="G406" s="20">
        <v>947</v>
      </c>
      <c r="H406" s="20">
        <v>2015</v>
      </c>
      <c r="I406" s="19">
        <v>31887.468000000001</v>
      </c>
      <c r="J406" s="19">
        <v>28573.647000000001</v>
      </c>
      <c r="K406" s="19">
        <v>25130.956999999999</v>
      </c>
      <c r="L406" s="19">
        <v>21670.567999999999</v>
      </c>
      <c r="M406" s="19">
        <v>18109.668000000001</v>
      </c>
      <c r="N406" s="19">
        <v>15007.834999999999</v>
      </c>
      <c r="O406" s="19">
        <v>12367.989</v>
      </c>
      <c r="P406" s="19">
        <v>10000.953</v>
      </c>
      <c r="Q406" s="19">
        <v>8017.1189999999997</v>
      </c>
      <c r="R406" s="19">
        <v>6207.6090000000004</v>
      </c>
      <c r="S406" s="19">
        <v>4840.5119999999997</v>
      </c>
      <c r="T406" s="19">
        <v>3771.1460000000002</v>
      </c>
      <c r="U406" s="19">
        <v>2865.9879999999998</v>
      </c>
      <c r="V406" s="19">
        <v>2039.944</v>
      </c>
      <c r="W406" s="19">
        <v>1336.857</v>
      </c>
      <c r="X406" s="19">
        <v>769.63699999999994</v>
      </c>
      <c r="Y406" s="19">
        <v>379.834</v>
      </c>
      <c r="Z406" s="19">
        <v>122.47799999999999</v>
      </c>
      <c r="AA406" s="19">
        <v>24.349</v>
      </c>
      <c r="AB406" s="19">
        <v>3.077</v>
      </c>
      <c r="AC406" s="19">
        <v>0.222</v>
      </c>
    </row>
    <row r="407" spans="1:29" ht="11.65" x14ac:dyDescent="0.35">
      <c r="A407" s="23">
        <v>390</v>
      </c>
      <c r="B407" s="21" t="s">
        <v>1015</v>
      </c>
      <c r="C407" s="29" t="s">
        <v>1064</v>
      </c>
      <c r="D407" s="20"/>
      <c r="E407" s="20">
        <v>910</v>
      </c>
      <c r="F407" s="21" t="s">
        <v>1065</v>
      </c>
      <c r="G407" s="20">
        <v>947</v>
      </c>
      <c r="H407" s="20">
        <v>2020</v>
      </c>
      <c r="I407" s="19">
        <v>34362.226000000002</v>
      </c>
      <c r="J407" s="19">
        <v>31327.745999999999</v>
      </c>
      <c r="K407" s="19">
        <v>28298.923999999999</v>
      </c>
      <c r="L407" s="19">
        <v>24869.764999999999</v>
      </c>
      <c r="M407" s="19">
        <v>21277.74</v>
      </c>
      <c r="N407" s="19">
        <v>17645.845000000001</v>
      </c>
      <c r="O407" s="19">
        <v>14591.572</v>
      </c>
      <c r="P407" s="19">
        <v>11983.653</v>
      </c>
      <c r="Q407" s="19">
        <v>9624.1859999999997</v>
      </c>
      <c r="R407" s="19">
        <v>7660.69</v>
      </c>
      <c r="S407" s="19">
        <v>5862.93</v>
      </c>
      <c r="T407" s="19">
        <v>4495.8040000000001</v>
      </c>
      <c r="U407" s="19">
        <v>3403.989</v>
      </c>
      <c r="V407" s="19">
        <v>2460.152</v>
      </c>
      <c r="W407" s="19">
        <v>1616.84</v>
      </c>
      <c r="X407" s="19">
        <v>930.57100000000003</v>
      </c>
      <c r="Y407" s="19">
        <v>435.01400000000001</v>
      </c>
      <c r="Z407" s="19">
        <v>155.614</v>
      </c>
      <c r="AA407" s="19">
        <v>32.372</v>
      </c>
      <c r="AB407" s="19">
        <v>3.97</v>
      </c>
      <c r="AC407" s="19">
        <v>0.33200000000000002</v>
      </c>
    </row>
    <row r="408" spans="1:29" ht="11.65" x14ac:dyDescent="0.35">
      <c r="A408" s="12">
        <v>391</v>
      </c>
      <c r="B408" s="10" t="s">
        <v>1015</v>
      </c>
      <c r="C408" s="11" t="s">
        <v>582</v>
      </c>
      <c r="D408" s="9"/>
      <c r="E408" s="9">
        <v>108</v>
      </c>
      <c r="F408" s="10" t="s">
        <v>1066</v>
      </c>
      <c r="G408" s="9">
        <v>910</v>
      </c>
      <c r="H408" s="9">
        <v>1950</v>
      </c>
      <c r="I408" s="8">
        <v>185.744</v>
      </c>
      <c r="J408" s="8">
        <v>147.86099999999999</v>
      </c>
      <c r="K408" s="8">
        <v>128.49700000000001</v>
      </c>
      <c r="L408" s="8">
        <v>113.551</v>
      </c>
      <c r="M408" s="8">
        <v>98.793999999999997</v>
      </c>
      <c r="N408" s="8">
        <v>85.635000000000005</v>
      </c>
      <c r="O408" s="8">
        <v>73.415000000000006</v>
      </c>
      <c r="P408" s="8">
        <v>63.073999999999998</v>
      </c>
      <c r="Q408" s="8">
        <v>52.454000000000001</v>
      </c>
      <c r="R408" s="8">
        <v>43.332999999999998</v>
      </c>
      <c r="S408" s="8">
        <v>34.874000000000002</v>
      </c>
      <c r="T408" s="8">
        <v>25.661999999999999</v>
      </c>
      <c r="U408" s="8">
        <v>20.21</v>
      </c>
      <c r="V408" s="8">
        <v>14.946</v>
      </c>
      <c r="W408" s="8">
        <v>9.7759999999999998</v>
      </c>
      <c r="X408" s="8">
        <v>5.3579999999999997</v>
      </c>
      <c r="Y408" s="8">
        <v>1.8520000000000001</v>
      </c>
      <c r="Z408" s="8">
        <v>0.50700000000000001</v>
      </c>
      <c r="AA408" s="8">
        <v>7.9000000000000001E-2</v>
      </c>
      <c r="AB408" s="8">
        <v>6.0000000000000001E-3</v>
      </c>
      <c r="AC408" s="8">
        <v>0</v>
      </c>
    </row>
    <row r="409" spans="1:29" ht="11.65" x14ac:dyDescent="0.35">
      <c r="A409" s="12">
        <v>392</v>
      </c>
      <c r="B409" s="10" t="s">
        <v>1015</v>
      </c>
      <c r="C409" s="11" t="s">
        <v>582</v>
      </c>
      <c r="D409" s="9"/>
      <c r="E409" s="9">
        <v>108</v>
      </c>
      <c r="F409" s="10" t="s">
        <v>1066</v>
      </c>
      <c r="G409" s="9">
        <v>910</v>
      </c>
      <c r="H409" s="9">
        <v>1955</v>
      </c>
      <c r="I409" s="8">
        <v>234.12799999999999</v>
      </c>
      <c r="J409" s="8">
        <v>159.952</v>
      </c>
      <c r="K409" s="8">
        <v>136.964</v>
      </c>
      <c r="L409" s="8">
        <v>120.68600000000001</v>
      </c>
      <c r="M409" s="8">
        <v>105.643</v>
      </c>
      <c r="N409" s="8">
        <v>91.043000000000006</v>
      </c>
      <c r="O409" s="8">
        <v>78.727000000000004</v>
      </c>
      <c r="P409" s="8">
        <v>67.128</v>
      </c>
      <c r="Q409" s="8">
        <v>57.097999999999999</v>
      </c>
      <c r="R409" s="8">
        <v>46.807000000000002</v>
      </c>
      <c r="S409" s="8">
        <v>37.956000000000003</v>
      </c>
      <c r="T409" s="8">
        <v>29.713000000000001</v>
      </c>
      <c r="U409" s="8">
        <v>20.855</v>
      </c>
      <c r="V409" s="8">
        <v>15.26</v>
      </c>
      <c r="W409" s="8">
        <v>9.9640000000000004</v>
      </c>
      <c r="X409" s="8">
        <v>5.3440000000000003</v>
      </c>
      <c r="Y409" s="8">
        <v>2.181</v>
      </c>
      <c r="Z409" s="8">
        <v>0.496</v>
      </c>
      <c r="AA409" s="8">
        <v>7.9000000000000001E-2</v>
      </c>
      <c r="AB409" s="8">
        <v>6.0000000000000001E-3</v>
      </c>
      <c r="AC409" s="8">
        <v>0</v>
      </c>
    </row>
    <row r="410" spans="1:29" ht="11.65" x14ac:dyDescent="0.35">
      <c r="A410" s="12">
        <v>393</v>
      </c>
      <c r="B410" s="10" t="s">
        <v>1015</v>
      </c>
      <c r="C410" s="11" t="s">
        <v>582</v>
      </c>
      <c r="D410" s="9"/>
      <c r="E410" s="9">
        <v>108</v>
      </c>
      <c r="F410" s="10" t="s">
        <v>1066</v>
      </c>
      <c r="G410" s="9">
        <v>910</v>
      </c>
      <c r="H410" s="9">
        <v>1960</v>
      </c>
      <c r="I410" s="8">
        <v>255.32300000000001</v>
      </c>
      <c r="J410" s="8">
        <v>204.18600000000001</v>
      </c>
      <c r="K410" s="8">
        <v>148.91900000000001</v>
      </c>
      <c r="L410" s="8">
        <v>129.14400000000001</v>
      </c>
      <c r="M410" s="8">
        <v>112.813</v>
      </c>
      <c r="N410" s="8">
        <v>97.959000000000003</v>
      </c>
      <c r="O410" s="8">
        <v>84.245000000000005</v>
      </c>
      <c r="P410" s="8">
        <v>72.481999999999999</v>
      </c>
      <c r="Q410" s="8">
        <v>61.176000000000002</v>
      </c>
      <c r="R410" s="8">
        <v>51.34</v>
      </c>
      <c r="S410" s="8">
        <v>41.317999999999998</v>
      </c>
      <c r="T410" s="8">
        <v>32.594000000000001</v>
      </c>
      <c r="U410" s="8">
        <v>24.439</v>
      </c>
      <c r="V410" s="8">
        <v>15.954000000000001</v>
      </c>
      <c r="W410" s="8">
        <v>10.353</v>
      </c>
      <c r="X410" s="8">
        <v>5.5860000000000003</v>
      </c>
      <c r="Y410" s="8">
        <v>2.25</v>
      </c>
      <c r="Z410" s="8">
        <v>0.61299999999999999</v>
      </c>
      <c r="AA410" s="8">
        <v>8.2000000000000003E-2</v>
      </c>
      <c r="AB410" s="8">
        <v>6.0000000000000001E-3</v>
      </c>
      <c r="AC410" s="8">
        <v>0</v>
      </c>
    </row>
    <row r="411" spans="1:29" ht="11.65" x14ac:dyDescent="0.35">
      <c r="A411" s="12">
        <v>394</v>
      </c>
      <c r="B411" s="10" t="s">
        <v>1015</v>
      </c>
      <c r="C411" s="11" t="s">
        <v>582</v>
      </c>
      <c r="D411" s="9"/>
      <c r="E411" s="9">
        <v>108</v>
      </c>
      <c r="F411" s="10" t="s">
        <v>1066</v>
      </c>
      <c r="G411" s="9">
        <v>910</v>
      </c>
      <c r="H411" s="9">
        <v>1965</v>
      </c>
      <c r="I411" s="8">
        <v>283.93700000000001</v>
      </c>
      <c r="J411" s="8">
        <v>223.404</v>
      </c>
      <c r="K411" s="8">
        <v>190.49100000000001</v>
      </c>
      <c r="L411" s="8">
        <v>140.167</v>
      </c>
      <c r="M411" s="8">
        <v>120.52800000000001</v>
      </c>
      <c r="N411" s="8">
        <v>104.56</v>
      </c>
      <c r="O411" s="8">
        <v>90.713999999999999</v>
      </c>
      <c r="P411" s="8">
        <v>77.66</v>
      </c>
      <c r="Q411" s="8">
        <v>66.176000000000002</v>
      </c>
      <c r="R411" s="8">
        <v>55.100999999999999</v>
      </c>
      <c r="S411" s="8">
        <v>45.427</v>
      </c>
      <c r="T411" s="8">
        <v>35.584000000000003</v>
      </c>
      <c r="U411" s="8">
        <v>26.907</v>
      </c>
      <c r="V411" s="8">
        <v>18.850000000000001</v>
      </c>
      <c r="W411" s="8">
        <v>10.945</v>
      </c>
      <c r="X411" s="8">
        <v>5.9119999999999999</v>
      </c>
      <c r="Y411" s="8">
        <v>2.4169999999999998</v>
      </c>
      <c r="Z411" s="8">
        <v>0.66</v>
      </c>
      <c r="AA411" s="8">
        <v>0.107</v>
      </c>
      <c r="AB411" s="8">
        <v>8.0000000000000002E-3</v>
      </c>
      <c r="AC411" s="8">
        <v>0</v>
      </c>
    </row>
    <row r="412" spans="1:29" ht="11.65" x14ac:dyDescent="0.35">
      <c r="A412" s="12">
        <v>395</v>
      </c>
      <c r="B412" s="10" t="s">
        <v>1015</v>
      </c>
      <c r="C412" s="11" t="s">
        <v>582</v>
      </c>
      <c r="D412" s="9"/>
      <c r="E412" s="9">
        <v>108</v>
      </c>
      <c r="F412" s="10" t="s">
        <v>1066</v>
      </c>
      <c r="G412" s="9">
        <v>910</v>
      </c>
      <c r="H412" s="9">
        <v>1970</v>
      </c>
      <c r="I412" s="8">
        <v>318.78699999999998</v>
      </c>
      <c r="J412" s="8">
        <v>253.816</v>
      </c>
      <c r="K412" s="8">
        <v>216.41</v>
      </c>
      <c r="L412" s="8">
        <v>184.929</v>
      </c>
      <c r="M412" s="8">
        <v>131.82400000000001</v>
      </c>
      <c r="N412" s="8">
        <v>111.917</v>
      </c>
      <c r="O412" s="8">
        <v>96.875</v>
      </c>
      <c r="P412" s="8">
        <v>83.789000000000001</v>
      </c>
      <c r="Q412" s="8">
        <v>71.091999999999999</v>
      </c>
      <c r="R412" s="8">
        <v>59.798999999999999</v>
      </c>
      <c r="S412" s="8">
        <v>48.896000000000001</v>
      </c>
      <c r="T412" s="8">
        <v>39.276000000000003</v>
      </c>
      <c r="U412" s="8">
        <v>29.518999999999998</v>
      </c>
      <c r="V412" s="8">
        <v>20.881</v>
      </c>
      <c r="W412" s="8">
        <v>13.1</v>
      </c>
      <c r="X412" s="8">
        <v>6.36</v>
      </c>
      <c r="Y412" s="8">
        <v>2.6240000000000001</v>
      </c>
      <c r="Z412" s="8">
        <v>0.73599999999999999</v>
      </c>
      <c r="AA412" s="8">
        <v>0.12</v>
      </c>
      <c r="AB412" s="8">
        <v>0.01</v>
      </c>
      <c r="AC412" s="8">
        <v>0</v>
      </c>
    </row>
    <row r="413" spans="1:29" ht="11.65" x14ac:dyDescent="0.35">
      <c r="A413" s="12">
        <v>396</v>
      </c>
      <c r="B413" s="10" t="s">
        <v>1015</v>
      </c>
      <c r="C413" s="11" t="s">
        <v>582</v>
      </c>
      <c r="D413" s="9"/>
      <c r="E413" s="9">
        <v>108</v>
      </c>
      <c r="F413" s="10" t="s">
        <v>1066</v>
      </c>
      <c r="G413" s="9">
        <v>910</v>
      </c>
      <c r="H413" s="9">
        <v>1975</v>
      </c>
      <c r="I413" s="8">
        <v>335.262</v>
      </c>
      <c r="J413" s="8">
        <v>266.55</v>
      </c>
      <c r="K413" s="8">
        <v>234.84100000000001</v>
      </c>
      <c r="L413" s="8">
        <v>202.93</v>
      </c>
      <c r="M413" s="8">
        <v>165.85599999999999</v>
      </c>
      <c r="N413" s="8">
        <v>111.24299999999999</v>
      </c>
      <c r="O413" s="8">
        <v>92.867999999999995</v>
      </c>
      <c r="P413" s="8">
        <v>81.097999999999999</v>
      </c>
      <c r="Q413" s="8">
        <v>70.227000000000004</v>
      </c>
      <c r="R413" s="8">
        <v>58.33</v>
      </c>
      <c r="S413" s="8">
        <v>49.463999999999999</v>
      </c>
      <c r="T413" s="8">
        <v>40.591000000000001</v>
      </c>
      <c r="U413" s="8">
        <v>32.021000000000001</v>
      </c>
      <c r="V413" s="8">
        <v>23.72</v>
      </c>
      <c r="W413" s="8">
        <v>15.676</v>
      </c>
      <c r="X413" s="8">
        <v>9.7929999999999993</v>
      </c>
      <c r="Y413" s="8">
        <v>3.5779999999999998</v>
      </c>
      <c r="Z413" s="8">
        <v>0.78700000000000003</v>
      </c>
      <c r="AA413" s="8">
        <v>0.13800000000000001</v>
      </c>
      <c r="AB413" s="8">
        <v>1.2999999999999999E-2</v>
      </c>
      <c r="AC413" s="8">
        <v>1E-3</v>
      </c>
    </row>
    <row r="414" spans="1:29" ht="11.65" x14ac:dyDescent="0.35">
      <c r="A414" s="12">
        <v>397</v>
      </c>
      <c r="B414" s="10" t="s">
        <v>1015</v>
      </c>
      <c r="C414" s="11" t="s">
        <v>582</v>
      </c>
      <c r="D414" s="9"/>
      <c r="E414" s="9">
        <v>108</v>
      </c>
      <c r="F414" s="10" t="s">
        <v>1066</v>
      </c>
      <c r="G414" s="9">
        <v>910</v>
      </c>
      <c r="H414" s="9">
        <v>1980</v>
      </c>
      <c r="I414" s="8">
        <v>390.2</v>
      </c>
      <c r="J414" s="8">
        <v>284.96800000000002</v>
      </c>
      <c r="K414" s="8">
        <v>248.90600000000001</v>
      </c>
      <c r="L414" s="8">
        <v>223.92400000000001</v>
      </c>
      <c r="M414" s="8">
        <v>197.97300000000001</v>
      </c>
      <c r="N414" s="8">
        <v>161.59899999999999</v>
      </c>
      <c r="O414" s="8">
        <v>105.72799999999999</v>
      </c>
      <c r="P414" s="8">
        <v>84.823999999999998</v>
      </c>
      <c r="Q414" s="8">
        <v>72.597999999999999</v>
      </c>
      <c r="R414" s="8">
        <v>62.606000000000002</v>
      </c>
      <c r="S414" s="8">
        <v>51.25</v>
      </c>
      <c r="T414" s="8">
        <v>42.155999999999999</v>
      </c>
      <c r="U414" s="8">
        <v>33.414000000000001</v>
      </c>
      <c r="V414" s="8">
        <v>25.007999999999999</v>
      </c>
      <c r="W414" s="8">
        <v>16.652000000000001</v>
      </c>
      <c r="X414" s="8">
        <v>9.2750000000000004</v>
      </c>
      <c r="Y414" s="8">
        <v>4.4870000000000001</v>
      </c>
      <c r="Z414" s="8">
        <v>1.1479999999999999</v>
      </c>
      <c r="AA414" s="8">
        <v>0.157</v>
      </c>
      <c r="AB414" s="8">
        <v>1.4999999999999999E-2</v>
      </c>
      <c r="AC414" s="8">
        <v>1E-3</v>
      </c>
    </row>
    <row r="415" spans="1:29" ht="11.65" x14ac:dyDescent="0.35">
      <c r="A415" s="12">
        <v>398</v>
      </c>
      <c r="B415" s="10" t="s">
        <v>1015</v>
      </c>
      <c r="C415" s="11" t="s">
        <v>582</v>
      </c>
      <c r="D415" s="9"/>
      <c r="E415" s="9">
        <v>108</v>
      </c>
      <c r="F415" s="10" t="s">
        <v>1066</v>
      </c>
      <c r="G415" s="9">
        <v>910</v>
      </c>
      <c r="H415" s="9">
        <v>1985</v>
      </c>
      <c r="I415" s="8">
        <v>478.20699999999999</v>
      </c>
      <c r="J415" s="8">
        <v>348.44099999999997</v>
      </c>
      <c r="K415" s="8">
        <v>264.86099999999999</v>
      </c>
      <c r="L415" s="8">
        <v>232.44</v>
      </c>
      <c r="M415" s="8">
        <v>210.84399999999999</v>
      </c>
      <c r="N415" s="8">
        <v>186.869</v>
      </c>
      <c r="O415" s="8">
        <v>150.97999999999999</v>
      </c>
      <c r="P415" s="8">
        <v>96.426000000000002</v>
      </c>
      <c r="Q415" s="8">
        <v>76.853999999999999</v>
      </c>
      <c r="R415" s="8">
        <v>66.206999999999994</v>
      </c>
      <c r="S415" s="8">
        <v>56.206000000000003</v>
      </c>
      <c r="T415" s="8">
        <v>44.756</v>
      </c>
      <c r="U415" s="8">
        <v>35.19</v>
      </c>
      <c r="V415" s="8">
        <v>26.071999999999999</v>
      </c>
      <c r="W415" s="8">
        <v>17.780999999999999</v>
      </c>
      <c r="X415" s="8">
        <v>9.9849999999999994</v>
      </c>
      <c r="Y415" s="8">
        <v>4.3289999999999997</v>
      </c>
      <c r="Z415" s="8">
        <v>1.454</v>
      </c>
      <c r="AA415" s="8">
        <v>0.22700000000000001</v>
      </c>
      <c r="AB415" s="8">
        <v>1.7000000000000001E-2</v>
      </c>
      <c r="AC415" s="8">
        <v>1E-3</v>
      </c>
    </row>
    <row r="416" spans="1:29" ht="11.65" x14ac:dyDescent="0.35">
      <c r="A416" s="12">
        <v>399</v>
      </c>
      <c r="B416" s="10" t="s">
        <v>1015</v>
      </c>
      <c r="C416" s="11" t="s">
        <v>582</v>
      </c>
      <c r="D416" s="9"/>
      <c r="E416" s="9">
        <v>108</v>
      </c>
      <c r="F416" s="10" t="s">
        <v>1066</v>
      </c>
      <c r="G416" s="9">
        <v>910</v>
      </c>
      <c r="H416" s="9">
        <v>1990</v>
      </c>
      <c r="I416" s="8">
        <v>550.95899999999995</v>
      </c>
      <c r="J416" s="8">
        <v>426.29</v>
      </c>
      <c r="K416" s="8">
        <v>327.38299999999998</v>
      </c>
      <c r="L416" s="8">
        <v>252.9</v>
      </c>
      <c r="M416" s="8">
        <v>222.75399999999999</v>
      </c>
      <c r="N416" s="8">
        <v>200.392</v>
      </c>
      <c r="O416" s="8">
        <v>178.56899999999999</v>
      </c>
      <c r="P416" s="8">
        <v>140.49799999999999</v>
      </c>
      <c r="Q416" s="8">
        <v>86.808999999999997</v>
      </c>
      <c r="R416" s="8">
        <v>68.156999999999996</v>
      </c>
      <c r="S416" s="8">
        <v>58.698</v>
      </c>
      <c r="T416" s="8">
        <v>50.034999999999997</v>
      </c>
      <c r="U416" s="8">
        <v>38.244</v>
      </c>
      <c r="V416" s="8">
        <v>27.85</v>
      </c>
      <c r="W416" s="8">
        <v>18.335000000000001</v>
      </c>
      <c r="X416" s="8">
        <v>10.526</v>
      </c>
      <c r="Y416" s="8">
        <v>4.5659999999999998</v>
      </c>
      <c r="Z416" s="8">
        <v>1.377</v>
      </c>
      <c r="AA416" s="8">
        <v>0.28599999999999998</v>
      </c>
      <c r="AB416" s="8">
        <v>2.4E-2</v>
      </c>
      <c r="AC416" s="8">
        <v>1E-3</v>
      </c>
    </row>
    <row r="417" spans="1:29" ht="11.65" x14ac:dyDescent="0.35">
      <c r="A417" s="12">
        <v>400</v>
      </c>
      <c r="B417" s="10" t="s">
        <v>1015</v>
      </c>
      <c r="C417" s="11" t="s">
        <v>582</v>
      </c>
      <c r="D417" s="9"/>
      <c r="E417" s="9">
        <v>108</v>
      </c>
      <c r="F417" s="10" t="s">
        <v>1066</v>
      </c>
      <c r="G417" s="9">
        <v>910</v>
      </c>
      <c r="H417" s="9">
        <v>1995</v>
      </c>
      <c r="I417" s="8">
        <v>586.91600000000005</v>
      </c>
      <c r="J417" s="8">
        <v>511.66500000000002</v>
      </c>
      <c r="K417" s="8">
        <v>413.33800000000002</v>
      </c>
      <c r="L417" s="8">
        <v>309.07400000000001</v>
      </c>
      <c r="M417" s="8">
        <v>218.357</v>
      </c>
      <c r="N417" s="8">
        <v>180.74799999999999</v>
      </c>
      <c r="O417" s="8">
        <v>163.124</v>
      </c>
      <c r="P417" s="8">
        <v>148.72800000000001</v>
      </c>
      <c r="Q417" s="8">
        <v>117.688</v>
      </c>
      <c r="R417" s="8">
        <v>70.921000000000006</v>
      </c>
      <c r="S417" s="8">
        <v>55.57</v>
      </c>
      <c r="T417" s="8">
        <v>47.503</v>
      </c>
      <c r="U417" s="8">
        <v>39.25</v>
      </c>
      <c r="V417" s="8">
        <v>28.030999999999999</v>
      </c>
      <c r="W417" s="8">
        <v>18.335000000000001</v>
      </c>
      <c r="X417" s="8">
        <v>10.065</v>
      </c>
      <c r="Y417" s="8">
        <v>4.2309999999999999</v>
      </c>
      <c r="Z417" s="8">
        <v>1.3120000000000001</v>
      </c>
      <c r="AA417" s="8">
        <v>0.26100000000000001</v>
      </c>
      <c r="AB417" s="8">
        <v>0.03</v>
      </c>
      <c r="AC417" s="8">
        <v>1E-3</v>
      </c>
    </row>
    <row r="418" spans="1:29" ht="11.65" x14ac:dyDescent="0.35">
      <c r="A418" s="12">
        <v>401</v>
      </c>
      <c r="B418" s="10" t="s">
        <v>1015</v>
      </c>
      <c r="C418" s="11" t="s">
        <v>582</v>
      </c>
      <c r="D418" s="9"/>
      <c r="E418" s="9">
        <v>108</v>
      </c>
      <c r="F418" s="10" t="s">
        <v>1066</v>
      </c>
      <c r="G418" s="9">
        <v>910</v>
      </c>
      <c r="H418" s="9">
        <v>2000</v>
      </c>
      <c r="I418" s="8">
        <v>578.81100000000004</v>
      </c>
      <c r="J418" s="8">
        <v>534.46400000000006</v>
      </c>
      <c r="K418" s="8">
        <v>482.00099999999998</v>
      </c>
      <c r="L418" s="8">
        <v>377.04199999999997</v>
      </c>
      <c r="M418" s="8">
        <v>259.34500000000003</v>
      </c>
      <c r="N418" s="8">
        <v>173.589</v>
      </c>
      <c r="O418" s="8">
        <v>149.613</v>
      </c>
      <c r="P418" s="8">
        <v>139.91499999999999</v>
      </c>
      <c r="Q418" s="8">
        <v>130.33199999999999</v>
      </c>
      <c r="R418" s="8">
        <v>99.822000000000003</v>
      </c>
      <c r="S418" s="8">
        <v>58.448999999999998</v>
      </c>
      <c r="T418" s="8">
        <v>44.695</v>
      </c>
      <c r="U418" s="8">
        <v>37.158999999999999</v>
      </c>
      <c r="V418" s="8">
        <v>30.071000000000002</v>
      </c>
      <c r="W418" s="8">
        <v>20.454999999999998</v>
      </c>
      <c r="X418" s="8">
        <v>10.839</v>
      </c>
      <c r="Y418" s="8">
        <v>3.879</v>
      </c>
      <c r="Z418" s="8">
        <v>1.1719999999999999</v>
      </c>
      <c r="AA418" s="8">
        <v>0.246</v>
      </c>
      <c r="AB418" s="8">
        <v>2.7E-2</v>
      </c>
      <c r="AC418" s="8">
        <v>2E-3</v>
      </c>
    </row>
    <row r="419" spans="1:29" ht="11.65" x14ac:dyDescent="0.35">
      <c r="A419" s="12">
        <v>402</v>
      </c>
      <c r="B419" s="10" t="s">
        <v>1015</v>
      </c>
      <c r="C419" s="11" t="s">
        <v>582</v>
      </c>
      <c r="D419" s="9"/>
      <c r="E419" s="9">
        <v>108</v>
      </c>
      <c r="F419" s="10" t="s">
        <v>1066</v>
      </c>
      <c r="G419" s="9">
        <v>910</v>
      </c>
      <c r="H419" s="9">
        <v>2005</v>
      </c>
      <c r="I419" s="8">
        <v>657.09500000000003</v>
      </c>
      <c r="J419" s="8">
        <v>551.20399999999995</v>
      </c>
      <c r="K419" s="8">
        <v>524.65899999999999</v>
      </c>
      <c r="L419" s="8">
        <v>472.33699999999999</v>
      </c>
      <c r="M419" s="8">
        <v>364.56599999999997</v>
      </c>
      <c r="N419" s="8">
        <v>247.76400000000001</v>
      </c>
      <c r="O419" s="8">
        <v>164.67699999999999</v>
      </c>
      <c r="P419" s="8">
        <v>141.35300000000001</v>
      </c>
      <c r="Q419" s="8">
        <v>131.88</v>
      </c>
      <c r="R419" s="8">
        <v>121.95699999999999</v>
      </c>
      <c r="S419" s="8">
        <v>91.602000000000004</v>
      </c>
      <c r="T419" s="8">
        <v>52.085999999999999</v>
      </c>
      <c r="U419" s="8">
        <v>38.066000000000003</v>
      </c>
      <c r="V419" s="8">
        <v>29.510999999999999</v>
      </c>
      <c r="W419" s="8">
        <v>21.518999999999998</v>
      </c>
      <c r="X419" s="8">
        <v>12.385</v>
      </c>
      <c r="Y419" s="8">
        <v>5.1020000000000003</v>
      </c>
      <c r="Z419" s="8">
        <v>1.276</v>
      </c>
      <c r="AA419" s="8">
        <v>0.23699999999999999</v>
      </c>
      <c r="AB419" s="8">
        <v>2.9000000000000001E-2</v>
      </c>
      <c r="AC419" s="8">
        <v>2E-3</v>
      </c>
    </row>
    <row r="420" spans="1:29" ht="11.65" x14ac:dyDescent="0.35">
      <c r="A420" s="12">
        <v>403</v>
      </c>
      <c r="B420" s="10" t="s">
        <v>1015</v>
      </c>
      <c r="C420" s="11" t="s">
        <v>582</v>
      </c>
      <c r="D420" s="9"/>
      <c r="E420" s="9">
        <v>108</v>
      </c>
      <c r="F420" s="10" t="s">
        <v>1066</v>
      </c>
      <c r="G420" s="9">
        <v>910</v>
      </c>
      <c r="H420" s="9">
        <v>2010</v>
      </c>
      <c r="I420" s="8">
        <v>794.31200000000001</v>
      </c>
      <c r="J420" s="8">
        <v>630.62099999999998</v>
      </c>
      <c r="K420" s="8">
        <v>539.76</v>
      </c>
      <c r="L420" s="8">
        <v>516.79600000000005</v>
      </c>
      <c r="M420" s="8">
        <v>463.67500000000001</v>
      </c>
      <c r="N420" s="8">
        <v>356.38400000000001</v>
      </c>
      <c r="O420" s="8">
        <v>241.304</v>
      </c>
      <c r="P420" s="8">
        <v>159.161</v>
      </c>
      <c r="Q420" s="8">
        <v>135.30500000000001</v>
      </c>
      <c r="R420" s="8">
        <v>125.434</v>
      </c>
      <c r="S420" s="8">
        <v>114.76600000000001</v>
      </c>
      <c r="T420" s="8">
        <v>84.721000000000004</v>
      </c>
      <c r="U420" s="8">
        <v>46.750999999999998</v>
      </c>
      <c r="V420" s="8">
        <v>32.350999999999999</v>
      </c>
      <c r="W420" s="8">
        <v>22.963999999999999</v>
      </c>
      <c r="X420" s="8">
        <v>14.526</v>
      </c>
      <c r="Y420" s="8">
        <v>6.7119999999999997</v>
      </c>
      <c r="Z420" s="8">
        <v>1.9690000000000001</v>
      </c>
      <c r="AA420" s="8">
        <v>0.30399999999999999</v>
      </c>
      <c r="AB420" s="8">
        <v>3.3000000000000002E-2</v>
      </c>
      <c r="AC420" s="8">
        <v>2E-3</v>
      </c>
    </row>
    <row r="421" spans="1:29" ht="11.65" x14ac:dyDescent="0.35">
      <c r="A421" s="12">
        <v>404</v>
      </c>
      <c r="B421" s="10" t="s">
        <v>1015</v>
      </c>
      <c r="C421" s="11" t="s">
        <v>582</v>
      </c>
      <c r="D421" s="9"/>
      <c r="E421" s="9">
        <v>108</v>
      </c>
      <c r="F421" s="10" t="s">
        <v>1066</v>
      </c>
      <c r="G421" s="9">
        <v>910</v>
      </c>
      <c r="H421" s="9">
        <v>2015</v>
      </c>
      <c r="I421" s="8">
        <v>938.245</v>
      </c>
      <c r="J421" s="8">
        <v>770.13800000000003</v>
      </c>
      <c r="K421" s="8">
        <v>617.53</v>
      </c>
      <c r="L421" s="8">
        <v>528.68399999999997</v>
      </c>
      <c r="M421" s="8">
        <v>499.91</v>
      </c>
      <c r="N421" s="8">
        <v>444.19799999999998</v>
      </c>
      <c r="O421" s="8">
        <v>339.584</v>
      </c>
      <c r="P421" s="8">
        <v>228.077</v>
      </c>
      <c r="Q421" s="8">
        <v>149.18100000000001</v>
      </c>
      <c r="R421" s="8">
        <v>126.556</v>
      </c>
      <c r="S421" s="8">
        <v>116.664</v>
      </c>
      <c r="T421" s="8">
        <v>105.318</v>
      </c>
      <c r="U421" s="8">
        <v>75.555000000000007</v>
      </c>
      <c r="V421" s="8">
        <v>39.497999999999998</v>
      </c>
      <c r="W421" s="8">
        <v>25.094999999999999</v>
      </c>
      <c r="X421" s="8">
        <v>15.509</v>
      </c>
      <c r="Y421" s="8">
        <v>7.8559999999999999</v>
      </c>
      <c r="Z421" s="8">
        <v>2.61</v>
      </c>
      <c r="AA421" s="8">
        <v>0.48199999999999998</v>
      </c>
      <c r="AB421" s="8">
        <v>4.2000000000000003E-2</v>
      </c>
      <c r="AC421" s="8">
        <v>3.0000000000000001E-3</v>
      </c>
    </row>
    <row r="422" spans="1:29" ht="11.65" x14ac:dyDescent="0.35">
      <c r="A422" s="12">
        <v>405</v>
      </c>
      <c r="B422" s="10" t="s">
        <v>1015</v>
      </c>
      <c r="C422" s="11" t="s">
        <v>582</v>
      </c>
      <c r="D422" s="9"/>
      <c r="E422" s="9">
        <v>108</v>
      </c>
      <c r="F422" s="10" t="s">
        <v>1066</v>
      </c>
      <c r="G422" s="9">
        <v>910</v>
      </c>
      <c r="H422" s="9">
        <v>2020</v>
      </c>
      <c r="I422" s="8">
        <v>1037.42</v>
      </c>
      <c r="J422" s="8">
        <v>916.09799999999996</v>
      </c>
      <c r="K422" s="8">
        <v>756.83500000000004</v>
      </c>
      <c r="L422" s="8">
        <v>608.95799999999997</v>
      </c>
      <c r="M422" s="8">
        <v>519.13199999999995</v>
      </c>
      <c r="N422" s="8">
        <v>488.83199999999999</v>
      </c>
      <c r="O422" s="8">
        <v>432.923</v>
      </c>
      <c r="P422" s="8">
        <v>328.904</v>
      </c>
      <c r="Q422" s="8">
        <v>219.32300000000001</v>
      </c>
      <c r="R422" s="8">
        <v>142.566</v>
      </c>
      <c r="S422" s="8">
        <v>119.69</v>
      </c>
      <c r="T422" s="8">
        <v>108.502</v>
      </c>
      <c r="U422" s="8">
        <v>95.126999999999995</v>
      </c>
      <c r="V422" s="8">
        <v>64.790000000000006</v>
      </c>
      <c r="W422" s="8">
        <v>31.125</v>
      </c>
      <c r="X422" s="8">
        <v>17.231999999999999</v>
      </c>
      <c r="Y422" s="8">
        <v>8.5779999999999994</v>
      </c>
      <c r="Z422" s="8">
        <v>3.1139999999999999</v>
      </c>
      <c r="AA422" s="8">
        <v>0.64500000000000002</v>
      </c>
      <c r="AB422" s="8">
        <v>6.7000000000000004E-2</v>
      </c>
      <c r="AC422" s="8">
        <v>3.0000000000000001E-3</v>
      </c>
    </row>
    <row r="423" spans="1:29" ht="11.65" x14ac:dyDescent="0.35">
      <c r="A423" s="12">
        <v>406</v>
      </c>
      <c r="B423" s="10" t="s">
        <v>1015</v>
      </c>
      <c r="C423" s="11" t="s">
        <v>1067</v>
      </c>
      <c r="D423" s="9"/>
      <c r="E423" s="9">
        <v>174</v>
      </c>
      <c r="F423" s="10" t="s">
        <v>1066</v>
      </c>
      <c r="G423" s="9">
        <v>910</v>
      </c>
      <c r="H423" s="9">
        <v>1950</v>
      </c>
      <c r="I423" s="8">
        <v>11.625</v>
      </c>
      <c r="J423" s="8">
        <v>9.8079999999999998</v>
      </c>
      <c r="K423" s="8">
        <v>9.0389999999999997</v>
      </c>
      <c r="L423" s="8">
        <v>8.0060000000000002</v>
      </c>
      <c r="M423" s="8">
        <v>7.1639999999999997</v>
      </c>
      <c r="N423" s="8">
        <v>6.3970000000000002</v>
      </c>
      <c r="O423" s="8">
        <v>5.7480000000000002</v>
      </c>
      <c r="P423" s="8">
        <v>5.0049999999999999</v>
      </c>
      <c r="Q423" s="8">
        <v>4.2130000000000001</v>
      </c>
      <c r="R423" s="8">
        <v>3.2440000000000002</v>
      </c>
      <c r="S423" s="8">
        <v>2.5489999999999999</v>
      </c>
      <c r="T423" s="8">
        <v>2.0470000000000002</v>
      </c>
      <c r="U423" s="8">
        <v>1.6060000000000001</v>
      </c>
      <c r="V423" s="8">
        <v>1.24</v>
      </c>
      <c r="W423" s="8">
        <v>0.83199999999999996</v>
      </c>
      <c r="X423" s="8">
        <v>0.47699999999999998</v>
      </c>
      <c r="Y423" s="8">
        <v>0.24</v>
      </c>
      <c r="Z423" s="8">
        <v>1.7000000000000001E-2</v>
      </c>
      <c r="AA423" s="8">
        <v>0</v>
      </c>
      <c r="AB423" s="8">
        <v>0</v>
      </c>
      <c r="AC423" s="8">
        <v>0</v>
      </c>
    </row>
    <row r="424" spans="1:29" ht="11.65" x14ac:dyDescent="0.35">
      <c r="A424" s="12">
        <v>407</v>
      </c>
      <c r="B424" s="10" t="s">
        <v>1015</v>
      </c>
      <c r="C424" s="11" t="s">
        <v>1067</v>
      </c>
      <c r="D424" s="9"/>
      <c r="E424" s="9">
        <v>174</v>
      </c>
      <c r="F424" s="10" t="s">
        <v>1066</v>
      </c>
      <c r="G424" s="9">
        <v>910</v>
      </c>
      <c r="H424" s="9">
        <v>1955</v>
      </c>
      <c r="I424" s="8">
        <v>14.648</v>
      </c>
      <c r="J424" s="8">
        <v>10.547000000000001</v>
      </c>
      <c r="K424" s="8">
        <v>9.5649999999999995</v>
      </c>
      <c r="L424" s="8">
        <v>8.798</v>
      </c>
      <c r="M424" s="8">
        <v>7.6970000000000001</v>
      </c>
      <c r="N424" s="8">
        <v>6.819</v>
      </c>
      <c r="O424" s="8">
        <v>6.0540000000000003</v>
      </c>
      <c r="P424" s="8">
        <v>5.3879999999999999</v>
      </c>
      <c r="Q424" s="8">
        <v>4.6289999999999996</v>
      </c>
      <c r="R424" s="8">
        <v>3.835</v>
      </c>
      <c r="S424" s="8">
        <v>2.883</v>
      </c>
      <c r="T424" s="8">
        <v>2.19</v>
      </c>
      <c r="U424" s="8">
        <v>1.6679999999999999</v>
      </c>
      <c r="V424" s="8">
        <v>1.206</v>
      </c>
      <c r="W424" s="8">
        <v>0.82899999999999996</v>
      </c>
      <c r="X424" s="8">
        <v>0.45900000000000002</v>
      </c>
      <c r="Y424" s="8">
        <v>0.19900000000000001</v>
      </c>
      <c r="Z424" s="8">
        <v>6.8000000000000005E-2</v>
      </c>
      <c r="AA424" s="8">
        <v>0</v>
      </c>
      <c r="AB424" s="8">
        <v>0</v>
      </c>
      <c r="AC424" s="8">
        <v>0</v>
      </c>
    </row>
    <row r="425" spans="1:29" ht="11.65" x14ac:dyDescent="0.35">
      <c r="A425" s="12">
        <v>408</v>
      </c>
      <c r="B425" s="10" t="s">
        <v>1015</v>
      </c>
      <c r="C425" s="11" t="s">
        <v>1067</v>
      </c>
      <c r="D425" s="9"/>
      <c r="E425" s="9">
        <v>174</v>
      </c>
      <c r="F425" s="10" t="s">
        <v>1066</v>
      </c>
      <c r="G425" s="9">
        <v>910</v>
      </c>
      <c r="H425" s="9">
        <v>1960</v>
      </c>
      <c r="I425" s="8">
        <v>16.989999999999998</v>
      </c>
      <c r="J425" s="8">
        <v>12.941000000000001</v>
      </c>
      <c r="K425" s="8">
        <v>9.9440000000000008</v>
      </c>
      <c r="L425" s="8">
        <v>9.0169999999999995</v>
      </c>
      <c r="M425" s="8">
        <v>8.1989999999999998</v>
      </c>
      <c r="N425" s="8">
        <v>7.1029999999999998</v>
      </c>
      <c r="O425" s="8">
        <v>6.2590000000000003</v>
      </c>
      <c r="P425" s="8">
        <v>5.5090000000000003</v>
      </c>
      <c r="Q425" s="8">
        <v>4.84</v>
      </c>
      <c r="R425" s="8">
        <v>4.0940000000000003</v>
      </c>
      <c r="S425" s="8">
        <v>3.3149999999999999</v>
      </c>
      <c r="T425" s="8">
        <v>2.4079999999999999</v>
      </c>
      <c r="U425" s="8">
        <v>1.7370000000000001</v>
      </c>
      <c r="V425" s="8">
        <v>1.2230000000000001</v>
      </c>
      <c r="W425" s="8">
        <v>0.78900000000000003</v>
      </c>
      <c r="X425" s="8">
        <v>0.45</v>
      </c>
      <c r="Y425" s="8">
        <v>0.189</v>
      </c>
      <c r="Z425" s="8">
        <v>5.6000000000000001E-2</v>
      </c>
      <c r="AA425" s="8">
        <v>1.2999999999999999E-2</v>
      </c>
      <c r="AB425" s="8">
        <v>0</v>
      </c>
      <c r="AC425" s="8">
        <v>0</v>
      </c>
    </row>
    <row r="426" spans="1:29" ht="11.65" x14ac:dyDescent="0.35">
      <c r="A426" s="12">
        <v>409</v>
      </c>
      <c r="B426" s="10" t="s">
        <v>1015</v>
      </c>
      <c r="C426" s="11" t="s">
        <v>1067</v>
      </c>
      <c r="D426" s="9"/>
      <c r="E426" s="9">
        <v>174</v>
      </c>
      <c r="F426" s="10" t="s">
        <v>1066</v>
      </c>
      <c r="G426" s="9">
        <v>910</v>
      </c>
      <c r="H426" s="9">
        <v>1965</v>
      </c>
      <c r="I426" s="8">
        <v>18.64</v>
      </c>
      <c r="J426" s="8">
        <v>15.002000000000001</v>
      </c>
      <c r="K426" s="8">
        <v>12.132</v>
      </c>
      <c r="L426" s="8">
        <v>9.2870000000000008</v>
      </c>
      <c r="M426" s="8">
        <v>8.3450000000000006</v>
      </c>
      <c r="N426" s="8">
        <v>7.5289999999999999</v>
      </c>
      <c r="O426" s="8">
        <v>6.4850000000000003</v>
      </c>
      <c r="P426" s="8">
        <v>5.6719999999999997</v>
      </c>
      <c r="Q426" s="8">
        <v>4.9290000000000003</v>
      </c>
      <c r="R426" s="8">
        <v>4.2690000000000001</v>
      </c>
      <c r="S426" s="8">
        <v>3.532</v>
      </c>
      <c r="T426" s="8">
        <v>2.77</v>
      </c>
      <c r="U426" s="8">
        <v>1.9119999999999999</v>
      </c>
      <c r="V426" s="8">
        <v>1.2769999999999999</v>
      </c>
      <c r="W426" s="8">
        <v>0.80600000000000005</v>
      </c>
      <c r="X426" s="8">
        <v>0.433</v>
      </c>
      <c r="Y426" s="8">
        <v>0.19</v>
      </c>
      <c r="Z426" s="8">
        <v>5.5E-2</v>
      </c>
      <c r="AA426" s="8">
        <v>0.01</v>
      </c>
      <c r="AB426" s="8">
        <v>0</v>
      </c>
      <c r="AC426" s="8">
        <v>0</v>
      </c>
    </row>
    <row r="427" spans="1:29" ht="11.65" x14ac:dyDescent="0.35">
      <c r="A427" s="12">
        <v>410</v>
      </c>
      <c r="B427" s="10" t="s">
        <v>1015</v>
      </c>
      <c r="C427" s="11" t="s">
        <v>1067</v>
      </c>
      <c r="D427" s="9"/>
      <c r="E427" s="9">
        <v>174</v>
      </c>
      <c r="F427" s="10" t="s">
        <v>1066</v>
      </c>
      <c r="G427" s="9">
        <v>910</v>
      </c>
      <c r="H427" s="9">
        <v>1970</v>
      </c>
      <c r="I427" s="8">
        <v>20.527000000000001</v>
      </c>
      <c r="J427" s="8">
        <v>16.878</v>
      </c>
      <c r="K427" s="8">
        <v>14.339</v>
      </c>
      <c r="L427" s="8">
        <v>11.577999999999999</v>
      </c>
      <c r="M427" s="8">
        <v>8.7620000000000005</v>
      </c>
      <c r="N427" s="8">
        <v>7.8220000000000001</v>
      </c>
      <c r="O427" s="8">
        <v>7.0270000000000001</v>
      </c>
      <c r="P427" s="8">
        <v>6.0069999999999997</v>
      </c>
      <c r="Q427" s="8">
        <v>5.1929999999999996</v>
      </c>
      <c r="R427" s="8">
        <v>4.4480000000000004</v>
      </c>
      <c r="S427" s="8">
        <v>3.774</v>
      </c>
      <c r="T427" s="8">
        <v>3.0259999999999998</v>
      </c>
      <c r="U427" s="8">
        <v>2.2629999999999999</v>
      </c>
      <c r="V427" s="8">
        <v>1.4490000000000001</v>
      </c>
      <c r="W427" s="8">
        <v>0.86799999999999999</v>
      </c>
      <c r="X427" s="8">
        <v>0.46</v>
      </c>
      <c r="Y427" s="8">
        <v>0.191</v>
      </c>
      <c r="Z427" s="8">
        <v>5.8000000000000003E-2</v>
      </c>
      <c r="AA427" s="8">
        <v>0.01</v>
      </c>
      <c r="AB427" s="8">
        <v>0</v>
      </c>
      <c r="AC427" s="8">
        <v>0</v>
      </c>
    </row>
    <row r="428" spans="1:29" ht="11.65" x14ac:dyDescent="0.35">
      <c r="A428" s="12">
        <v>411</v>
      </c>
      <c r="B428" s="10" t="s">
        <v>1015</v>
      </c>
      <c r="C428" s="11" t="s">
        <v>1067</v>
      </c>
      <c r="D428" s="9"/>
      <c r="E428" s="9">
        <v>174</v>
      </c>
      <c r="F428" s="10" t="s">
        <v>1066</v>
      </c>
      <c r="G428" s="9">
        <v>910</v>
      </c>
      <c r="H428" s="9">
        <v>1975</v>
      </c>
      <c r="I428" s="8">
        <v>22.937000000000001</v>
      </c>
      <c r="J428" s="8">
        <v>18.783000000000001</v>
      </c>
      <c r="K428" s="8">
        <v>16.202999999999999</v>
      </c>
      <c r="L428" s="8">
        <v>13.749000000000001</v>
      </c>
      <c r="M428" s="8">
        <v>10.994999999999999</v>
      </c>
      <c r="N428" s="8">
        <v>8.2520000000000007</v>
      </c>
      <c r="O428" s="8">
        <v>7.3449999999999998</v>
      </c>
      <c r="P428" s="8">
        <v>6.556</v>
      </c>
      <c r="Q428" s="8">
        <v>5.5419999999999998</v>
      </c>
      <c r="R428" s="8">
        <v>4.7279999999999998</v>
      </c>
      <c r="S428" s="8">
        <v>3.9710000000000001</v>
      </c>
      <c r="T428" s="8">
        <v>3.2679999999999998</v>
      </c>
      <c r="U428" s="8">
        <v>2.5009999999999999</v>
      </c>
      <c r="V428" s="8">
        <v>1.7430000000000001</v>
      </c>
      <c r="W428" s="8">
        <v>1.002</v>
      </c>
      <c r="X428" s="8">
        <v>0.50700000000000001</v>
      </c>
      <c r="Y428" s="8">
        <v>0.20699999999999999</v>
      </c>
      <c r="Z428" s="8">
        <v>0.06</v>
      </c>
      <c r="AA428" s="8">
        <v>1.0999999999999999E-2</v>
      </c>
      <c r="AB428" s="8">
        <v>0</v>
      </c>
      <c r="AC428" s="8">
        <v>0</v>
      </c>
    </row>
    <row r="429" spans="1:29" ht="11.65" x14ac:dyDescent="0.35">
      <c r="A429" s="12">
        <v>412</v>
      </c>
      <c r="B429" s="10" t="s">
        <v>1015</v>
      </c>
      <c r="C429" s="11" t="s">
        <v>1067</v>
      </c>
      <c r="D429" s="9"/>
      <c r="E429" s="9">
        <v>174</v>
      </c>
      <c r="F429" s="10" t="s">
        <v>1066</v>
      </c>
      <c r="G429" s="9">
        <v>910</v>
      </c>
      <c r="H429" s="9">
        <v>1980</v>
      </c>
      <c r="I429" s="8">
        <v>28.033999999999999</v>
      </c>
      <c r="J429" s="8">
        <v>22.449000000000002</v>
      </c>
      <c r="K429" s="8">
        <v>19.152999999999999</v>
      </c>
      <c r="L429" s="8">
        <v>16.494</v>
      </c>
      <c r="M429" s="8">
        <v>13.867000000000001</v>
      </c>
      <c r="N429" s="8">
        <v>11.02</v>
      </c>
      <c r="O429" s="8">
        <v>8.2590000000000003</v>
      </c>
      <c r="P429" s="8">
        <v>7.2919999999999998</v>
      </c>
      <c r="Q429" s="8">
        <v>6.4420000000000002</v>
      </c>
      <c r="R429" s="8">
        <v>5.38</v>
      </c>
      <c r="S429" s="8">
        <v>4.5010000000000003</v>
      </c>
      <c r="T429" s="8">
        <v>3.6709999999999998</v>
      </c>
      <c r="U429" s="8">
        <v>2.8879999999999999</v>
      </c>
      <c r="V429" s="8">
        <v>2.0630000000000002</v>
      </c>
      <c r="W429" s="8">
        <v>1.294</v>
      </c>
      <c r="X429" s="8">
        <v>0.63</v>
      </c>
      <c r="Y429" s="8">
        <v>0.248</v>
      </c>
      <c r="Z429" s="8">
        <v>7.0999999999999994E-2</v>
      </c>
      <c r="AA429" s="8">
        <v>1.4E-2</v>
      </c>
      <c r="AB429" s="8">
        <v>0</v>
      </c>
      <c r="AC429" s="8">
        <v>0</v>
      </c>
    </row>
    <row r="430" spans="1:29" ht="11.65" x14ac:dyDescent="0.35">
      <c r="A430" s="12">
        <v>413</v>
      </c>
      <c r="B430" s="10" t="s">
        <v>1015</v>
      </c>
      <c r="C430" s="11" t="s">
        <v>1067</v>
      </c>
      <c r="D430" s="9"/>
      <c r="E430" s="9">
        <v>174</v>
      </c>
      <c r="F430" s="10" t="s">
        <v>1066</v>
      </c>
      <c r="G430" s="9">
        <v>910</v>
      </c>
      <c r="H430" s="9">
        <v>1985</v>
      </c>
      <c r="I430" s="8">
        <v>33.494999999999997</v>
      </c>
      <c r="J430" s="8">
        <v>26.401</v>
      </c>
      <c r="K430" s="8">
        <v>21.843</v>
      </c>
      <c r="L430" s="8">
        <v>18.608000000000001</v>
      </c>
      <c r="M430" s="8">
        <v>15.901999999999999</v>
      </c>
      <c r="N430" s="8">
        <v>13.298</v>
      </c>
      <c r="O430" s="8">
        <v>10.538</v>
      </c>
      <c r="P430" s="8">
        <v>7.8479999999999999</v>
      </c>
      <c r="Q430" s="8">
        <v>6.8730000000000002</v>
      </c>
      <c r="R430" s="8">
        <v>6</v>
      </c>
      <c r="S430" s="8">
        <v>4.9189999999999996</v>
      </c>
      <c r="T430" s="8">
        <v>4.0019999999999998</v>
      </c>
      <c r="U430" s="8">
        <v>3.1240000000000001</v>
      </c>
      <c r="V430" s="8">
        <v>2.2989999999999999</v>
      </c>
      <c r="W430" s="8">
        <v>1.484</v>
      </c>
      <c r="X430" s="8">
        <v>0.79400000000000004</v>
      </c>
      <c r="Y430" s="8">
        <v>0.30299999999999999</v>
      </c>
      <c r="Z430" s="8">
        <v>8.4000000000000005E-2</v>
      </c>
      <c r="AA430" s="8">
        <v>1.4999999999999999E-2</v>
      </c>
      <c r="AB430" s="8">
        <v>0</v>
      </c>
      <c r="AC430" s="8">
        <v>0</v>
      </c>
    </row>
    <row r="431" spans="1:29" ht="11.65" x14ac:dyDescent="0.35">
      <c r="A431" s="12">
        <v>414</v>
      </c>
      <c r="B431" s="10" t="s">
        <v>1015</v>
      </c>
      <c r="C431" s="11" t="s">
        <v>1067</v>
      </c>
      <c r="D431" s="9"/>
      <c r="E431" s="9">
        <v>174</v>
      </c>
      <c r="F431" s="10" t="s">
        <v>1066</v>
      </c>
      <c r="G431" s="9">
        <v>910</v>
      </c>
      <c r="H431" s="9">
        <v>1990</v>
      </c>
      <c r="I431" s="8">
        <v>38.158999999999999</v>
      </c>
      <c r="J431" s="8">
        <v>31.896999999999998</v>
      </c>
      <c r="K431" s="8">
        <v>25.791</v>
      </c>
      <c r="L431" s="8">
        <v>21.306000000000001</v>
      </c>
      <c r="M431" s="8">
        <v>18.029</v>
      </c>
      <c r="N431" s="8">
        <v>15.339</v>
      </c>
      <c r="O431" s="8">
        <v>12.802</v>
      </c>
      <c r="P431" s="8">
        <v>10.095000000000001</v>
      </c>
      <c r="Q431" s="8">
        <v>7.4530000000000003</v>
      </c>
      <c r="R431" s="8">
        <v>6.4580000000000002</v>
      </c>
      <c r="S431" s="8">
        <v>5.54</v>
      </c>
      <c r="T431" s="8">
        <v>4.4180000000000001</v>
      </c>
      <c r="U431" s="8">
        <v>3.4470000000000001</v>
      </c>
      <c r="V431" s="8">
        <v>2.524</v>
      </c>
      <c r="W431" s="8">
        <v>1.6830000000000001</v>
      </c>
      <c r="X431" s="8">
        <v>0.92800000000000005</v>
      </c>
      <c r="Y431" s="8">
        <v>0.39200000000000002</v>
      </c>
      <c r="Z431" s="8">
        <v>0.105</v>
      </c>
      <c r="AA431" s="8">
        <v>1.7999999999999999E-2</v>
      </c>
      <c r="AB431" s="8">
        <v>2E-3</v>
      </c>
      <c r="AC431" s="8">
        <v>0</v>
      </c>
    </row>
    <row r="432" spans="1:29" ht="11.65" x14ac:dyDescent="0.35">
      <c r="A432" s="12">
        <v>415</v>
      </c>
      <c r="B432" s="10" t="s">
        <v>1015</v>
      </c>
      <c r="C432" s="11" t="s">
        <v>1067</v>
      </c>
      <c r="D432" s="9"/>
      <c r="E432" s="9">
        <v>174</v>
      </c>
      <c r="F432" s="10" t="s">
        <v>1066</v>
      </c>
      <c r="G432" s="9">
        <v>910</v>
      </c>
      <c r="H432" s="9">
        <v>1995</v>
      </c>
      <c r="I432" s="8">
        <v>41.593000000000004</v>
      </c>
      <c r="J432" s="8">
        <v>36.779000000000003</v>
      </c>
      <c r="K432" s="8">
        <v>31.376999999999999</v>
      </c>
      <c r="L432" s="8">
        <v>25.329000000000001</v>
      </c>
      <c r="M432" s="8">
        <v>20.802</v>
      </c>
      <c r="N432" s="8">
        <v>17.533999999999999</v>
      </c>
      <c r="O432" s="8">
        <v>14.894</v>
      </c>
      <c r="P432" s="8">
        <v>12.377000000000001</v>
      </c>
      <c r="Q432" s="8">
        <v>9.6910000000000007</v>
      </c>
      <c r="R432" s="8">
        <v>7.0759999999999996</v>
      </c>
      <c r="S432" s="8">
        <v>6.03</v>
      </c>
      <c r="T432" s="8">
        <v>5.0380000000000003</v>
      </c>
      <c r="U432" s="8">
        <v>3.8580000000000001</v>
      </c>
      <c r="V432" s="8">
        <v>2.8290000000000002</v>
      </c>
      <c r="W432" s="8">
        <v>1.881</v>
      </c>
      <c r="X432" s="8">
        <v>1.0780000000000001</v>
      </c>
      <c r="Y432" s="8">
        <v>0.47</v>
      </c>
      <c r="Z432" s="8">
        <v>0.14000000000000001</v>
      </c>
      <c r="AA432" s="8">
        <v>2.3E-2</v>
      </c>
      <c r="AB432" s="8">
        <v>2E-3</v>
      </c>
      <c r="AC432" s="8">
        <v>0</v>
      </c>
    </row>
    <row r="433" spans="1:29" ht="11.65" x14ac:dyDescent="0.35">
      <c r="A433" s="12">
        <v>416</v>
      </c>
      <c r="B433" s="10" t="s">
        <v>1015</v>
      </c>
      <c r="C433" s="11" t="s">
        <v>1067</v>
      </c>
      <c r="D433" s="9"/>
      <c r="E433" s="9">
        <v>174</v>
      </c>
      <c r="F433" s="10" t="s">
        <v>1066</v>
      </c>
      <c r="G433" s="9">
        <v>910</v>
      </c>
      <c r="H433" s="9">
        <v>2000</v>
      </c>
      <c r="I433" s="8">
        <v>45.180999999999997</v>
      </c>
      <c r="J433" s="8">
        <v>40.036999999999999</v>
      </c>
      <c r="K433" s="8">
        <v>36.033999999999999</v>
      </c>
      <c r="L433" s="8">
        <v>30.696999999999999</v>
      </c>
      <c r="M433" s="8">
        <v>24.638000000000002</v>
      </c>
      <c r="N433" s="8">
        <v>20.164000000000001</v>
      </c>
      <c r="O433" s="8">
        <v>16.975000000000001</v>
      </c>
      <c r="P433" s="8">
        <v>14.363</v>
      </c>
      <c r="Q433" s="8">
        <v>11.856999999999999</v>
      </c>
      <c r="R433" s="8">
        <v>9.1869999999999994</v>
      </c>
      <c r="S433" s="8">
        <v>6.593</v>
      </c>
      <c r="T433" s="8">
        <v>5.4790000000000001</v>
      </c>
      <c r="U433" s="8">
        <v>4.4000000000000004</v>
      </c>
      <c r="V433" s="8">
        <v>3.17</v>
      </c>
      <c r="W433" s="8">
        <v>2.1150000000000002</v>
      </c>
      <c r="X433" s="8">
        <v>1.2110000000000001</v>
      </c>
      <c r="Y433" s="8">
        <v>0.54900000000000004</v>
      </c>
      <c r="Z433" s="8">
        <v>0.16900000000000001</v>
      </c>
      <c r="AA433" s="8">
        <v>3.1E-2</v>
      </c>
      <c r="AB433" s="8">
        <v>3.0000000000000001E-3</v>
      </c>
      <c r="AC433" s="8">
        <v>0</v>
      </c>
    </row>
    <row r="434" spans="1:29" ht="11.65" x14ac:dyDescent="0.35">
      <c r="A434" s="12">
        <v>417</v>
      </c>
      <c r="B434" s="10" t="s">
        <v>1015</v>
      </c>
      <c r="C434" s="11" t="s">
        <v>1067</v>
      </c>
      <c r="D434" s="9"/>
      <c r="E434" s="9">
        <v>174</v>
      </c>
      <c r="F434" s="10" t="s">
        <v>1066</v>
      </c>
      <c r="G434" s="9">
        <v>910</v>
      </c>
      <c r="H434" s="9">
        <v>2005</v>
      </c>
      <c r="I434" s="8">
        <v>49.212000000000003</v>
      </c>
      <c r="J434" s="8">
        <v>43.276000000000003</v>
      </c>
      <c r="K434" s="8">
        <v>39.011000000000003</v>
      </c>
      <c r="L434" s="8">
        <v>35.067</v>
      </c>
      <c r="M434" s="8">
        <v>29.707999999999998</v>
      </c>
      <c r="N434" s="8">
        <v>23.757999999999999</v>
      </c>
      <c r="O434" s="8">
        <v>19.414999999999999</v>
      </c>
      <c r="P434" s="8">
        <v>16.283999999999999</v>
      </c>
      <c r="Q434" s="8">
        <v>13.688000000000001</v>
      </c>
      <c r="R434" s="8">
        <v>11.183</v>
      </c>
      <c r="S434" s="8">
        <v>8.5220000000000002</v>
      </c>
      <c r="T434" s="8">
        <v>5.9560000000000004</v>
      </c>
      <c r="U434" s="8">
        <v>4.7610000000000001</v>
      </c>
      <c r="V434" s="8">
        <v>3.6</v>
      </c>
      <c r="W434" s="8">
        <v>2.3610000000000002</v>
      </c>
      <c r="X434" s="8">
        <v>1.3560000000000001</v>
      </c>
      <c r="Y434" s="8">
        <v>0.61599999999999999</v>
      </c>
      <c r="Z434" s="8">
        <v>0.19700000000000001</v>
      </c>
      <c r="AA434" s="8">
        <v>3.6999999999999998E-2</v>
      </c>
      <c r="AB434" s="8">
        <v>4.0000000000000001E-3</v>
      </c>
      <c r="AC434" s="8">
        <v>0</v>
      </c>
    </row>
    <row r="435" spans="1:29" ht="11.65" x14ac:dyDescent="0.35">
      <c r="A435" s="12">
        <v>418</v>
      </c>
      <c r="B435" s="10" t="s">
        <v>1015</v>
      </c>
      <c r="C435" s="11" t="s">
        <v>1067</v>
      </c>
      <c r="D435" s="9"/>
      <c r="E435" s="9">
        <v>174</v>
      </c>
      <c r="F435" s="10" t="s">
        <v>1066</v>
      </c>
      <c r="G435" s="9">
        <v>910</v>
      </c>
      <c r="H435" s="9">
        <v>2010</v>
      </c>
      <c r="I435" s="8">
        <v>54.372999999999998</v>
      </c>
      <c r="J435" s="8">
        <v>47.378</v>
      </c>
      <c r="K435" s="8">
        <v>42.280999999999999</v>
      </c>
      <c r="L435" s="8">
        <v>38.064</v>
      </c>
      <c r="M435" s="8">
        <v>34.048999999999999</v>
      </c>
      <c r="N435" s="8">
        <v>28.756</v>
      </c>
      <c r="O435" s="8">
        <v>22.96</v>
      </c>
      <c r="P435" s="8">
        <v>18.699000000000002</v>
      </c>
      <c r="Q435" s="8">
        <v>15.586</v>
      </c>
      <c r="R435" s="8">
        <v>12.971</v>
      </c>
      <c r="S435" s="8">
        <v>10.429</v>
      </c>
      <c r="T435" s="8">
        <v>7.7480000000000002</v>
      </c>
      <c r="U435" s="8">
        <v>5.2030000000000003</v>
      </c>
      <c r="V435" s="8">
        <v>3.923</v>
      </c>
      <c r="W435" s="8">
        <v>2.706</v>
      </c>
      <c r="X435" s="8">
        <v>1.5289999999999999</v>
      </c>
      <c r="Y435" s="8">
        <v>0.69799999999999995</v>
      </c>
      <c r="Z435" s="8">
        <v>0.224</v>
      </c>
      <c r="AA435" s="8">
        <v>4.4999999999999998E-2</v>
      </c>
      <c r="AB435" s="8">
        <v>5.0000000000000001E-3</v>
      </c>
      <c r="AC435" s="8">
        <v>0</v>
      </c>
    </row>
    <row r="436" spans="1:29" ht="11.65" x14ac:dyDescent="0.35">
      <c r="A436" s="12">
        <v>419</v>
      </c>
      <c r="B436" s="10" t="s">
        <v>1015</v>
      </c>
      <c r="C436" s="11" t="s">
        <v>1067</v>
      </c>
      <c r="D436" s="9"/>
      <c r="E436" s="9">
        <v>174</v>
      </c>
      <c r="F436" s="10" t="s">
        <v>1066</v>
      </c>
      <c r="G436" s="9">
        <v>910</v>
      </c>
      <c r="H436" s="9">
        <v>2015</v>
      </c>
      <c r="I436" s="8">
        <v>59.737000000000002</v>
      </c>
      <c r="J436" s="8">
        <v>52.667000000000002</v>
      </c>
      <c r="K436" s="8">
        <v>46.42</v>
      </c>
      <c r="L436" s="8">
        <v>41.375</v>
      </c>
      <c r="M436" s="8">
        <v>37.08</v>
      </c>
      <c r="N436" s="8">
        <v>33.090000000000003</v>
      </c>
      <c r="O436" s="8">
        <v>27.917999999999999</v>
      </c>
      <c r="P436" s="8">
        <v>22.213999999999999</v>
      </c>
      <c r="Q436" s="8">
        <v>17.986999999999998</v>
      </c>
      <c r="R436" s="8">
        <v>14.851000000000001</v>
      </c>
      <c r="S436" s="8">
        <v>12.17</v>
      </c>
      <c r="T436" s="8">
        <v>9.5500000000000007</v>
      </c>
      <c r="U436" s="8">
        <v>6.83</v>
      </c>
      <c r="V436" s="8">
        <v>4.3259999999999996</v>
      </c>
      <c r="W436" s="8">
        <v>2.9809999999999999</v>
      </c>
      <c r="X436" s="8">
        <v>1.7769999999999999</v>
      </c>
      <c r="Y436" s="8">
        <v>0.80100000000000005</v>
      </c>
      <c r="Z436" s="8">
        <v>0.25800000000000001</v>
      </c>
      <c r="AA436" s="8">
        <v>5.1999999999999998E-2</v>
      </c>
      <c r="AB436" s="8">
        <v>5.0000000000000001E-3</v>
      </c>
      <c r="AC436" s="8">
        <v>0</v>
      </c>
    </row>
    <row r="437" spans="1:29" ht="11.65" x14ac:dyDescent="0.35">
      <c r="A437" s="12">
        <v>420</v>
      </c>
      <c r="B437" s="10" t="s">
        <v>1015</v>
      </c>
      <c r="C437" s="11" t="s">
        <v>1067</v>
      </c>
      <c r="D437" s="9"/>
      <c r="E437" s="9">
        <v>174</v>
      </c>
      <c r="F437" s="10" t="s">
        <v>1066</v>
      </c>
      <c r="G437" s="9">
        <v>910</v>
      </c>
      <c r="H437" s="9">
        <v>2020</v>
      </c>
      <c r="I437" s="8">
        <v>62.912999999999997</v>
      </c>
      <c r="J437" s="8">
        <v>58.084000000000003</v>
      </c>
      <c r="K437" s="8">
        <v>51.713000000000001</v>
      </c>
      <c r="L437" s="8">
        <v>45.52</v>
      </c>
      <c r="M437" s="8">
        <v>40.399000000000001</v>
      </c>
      <c r="N437" s="8">
        <v>36.124000000000002</v>
      </c>
      <c r="O437" s="8">
        <v>32.215000000000003</v>
      </c>
      <c r="P437" s="8">
        <v>27.102</v>
      </c>
      <c r="Q437" s="8">
        <v>21.44</v>
      </c>
      <c r="R437" s="8">
        <v>17.198</v>
      </c>
      <c r="S437" s="8">
        <v>13.988</v>
      </c>
      <c r="T437" s="8">
        <v>11.192</v>
      </c>
      <c r="U437" s="8">
        <v>8.4610000000000003</v>
      </c>
      <c r="V437" s="8">
        <v>5.7169999999999996</v>
      </c>
      <c r="W437" s="8">
        <v>3.3069999999999999</v>
      </c>
      <c r="X437" s="8">
        <v>1.9750000000000001</v>
      </c>
      <c r="Y437" s="8">
        <v>0.93899999999999995</v>
      </c>
      <c r="Z437" s="8">
        <v>0.3</v>
      </c>
      <c r="AA437" s="8">
        <v>0.06</v>
      </c>
      <c r="AB437" s="8">
        <v>6.0000000000000001E-3</v>
      </c>
      <c r="AC437" s="8">
        <v>0</v>
      </c>
    </row>
    <row r="438" spans="1:29" ht="11.65" x14ac:dyDescent="0.35">
      <c r="A438" s="12">
        <v>421</v>
      </c>
      <c r="B438" s="10" t="s">
        <v>1015</v>
      </c>
      <c r="C438" s="11" t="s">
        <v>1068</v>
      </c>
      <c r="D438" s="9"/>
      <c r="E438" s="9">
        <v>262</v>
      </c>
      <c r="F438" s="10" t="s">
        <v>1066</v>
      </c>
      <c r="G438" s="9">
        <v>910</v>
      </c>
      <c r="H438" s="9">
        <v>1950</v>
      </c>
      <c r="I438" s="8">
        <v>6.1280000000000001</v>
      </c>
      <c r="J438" s="8">
        <v>4.593</v>
      </c>
      <c r="K438" s="8">
        <v>3.8279999999999998</v>
      </c>
      <c r="L438" s="8">
        <v>3.2469999999999999</v>
      </c>
      <c r="M438" s="8">
        <v>2.7269999999999999</v>
      </c>
      <c r="N438" s="8">
        <v>2.266</v>
      </c>
      <c r="O438" s="8">
        <v>1.873</v>
      </c>
      <c r="P438" s="8">
        <v>1.538</v>
      </c>
      <c r="Q438" s="8">
        <v>1.2509999999999999</v>
      </c>
      <c r="R438" s="8">
        <v>0.998</v>
      </c>
      <c r="S438" s="8">
        <v>0.77600000000000002</v>
      </c>
      <c r="T438" s="8">
        <v>0.58899999999999997</v>
      </c>
      <c r="U438" s="8">
        <v>0.42199999999999999</v>
      </c>
      <c r="V438" s="8">
        <v>0.27700000000000002</v>
      </c>
      <c r="W438" s="8">
        <v>0.16</v>
      </c>
      <c r="X438" s="8">
        <v>7.3999999999999996E-2</v>
      </c>
      <c r="Y438" s="8">
        <v>2.4E-2</v>
      </c>
      <c r="Z438" s="8">
        <v>7.0000000000000001E-3</v>
      </c>
      <c r="AA438" s="8">
        <v>0</v>
      </c>
      <c r="AB438" s="8">
        <v>0</v>
      </c>
      <c r="AC438" s="8">
        <v>0</v>
      </c>
    </row>
    <row r="439" spans="1:29" ht="11.65" x14ac:dyDescent="0.35">
      <c r="A439" s="12">
        <v>422</v>
      </c>
      <c r="B439" s="10" t="s">
        <v>1015</v>
      </c>
      <c r="C439" s="11" t="s">
        <v>1068</v>
      </c>
      <c r="D439" s="9"/>
      <c r="E439" s="9">
        <v>262</v>
      </c>
      <c r="F439" s="10" t="s">
        <v>1066</v>
      </c>
      <c r="G439" s="9">
        <v>910</v>
      </c>
      <c r="H439" s="9">
        <v>1955</v>
      </c>
      <c r="I439" s="8">
        <v>5.556</v>
      </c>
      <c r="J439" s="8">
        <v>5.5270000000000001</v>
      </c>
      <c r="K439" s="8">
        <v>4.4870000000000001</v>
      </c>
      <c r="L439" s="8">
        <v>3.7730000000000001</v>
      </c>
      <c r="M439" s="8">
        <v>3.1680000000000001</v>
      </c>
      <c r="N439" s="8">
        <v>2.6389999999999998</v>
      </c>
      <c r="O439" s="8">
        <v>2.1859999999999999</v>
      </c>
      <c r="P439" s="8">
        <v>1.8</v>
      </c>
      <c r="Q439" s="8">
        <v>1.4630000000000001</v>
      </c>
      <c r="R439" s="8">
        <v>1.173</v>
      </c>
      <c r="S439" s="8">
        <v>0.91900000000000004</v>
      </c>
      <c r="T439" s="8">
        <v>0.69599999999999995</v>
      </c>
      <c r="U439" s="8">
        <v>0.50600000000000001</v>
      </c>
      <c r="V439" s="8">
        <v>0.33700000000000002</v>
      </c>
      <c r="W439" s="8">
        <v>0.19800000000000001</v>
      </c>
      <c r="X439" s="8">
        <v>9.4E-2</v>
      </c>
      <c r="Y439" s="8">
        <v>3.3000000000000002E-2</v>
      </c>
      <c r="Z439" s="8">
        <v>7.0000000000000001E-3</v>
      </c>
      <c r="AA439" s="8">
        <v>0</v>
      </c>
      <c r="AB439" s="8">
        <v>0</v>
      </c>
      <c r="AC439" s="8">
        <v>0</v>
      </c>
    </row>
    <row r="440" spans="1:29" ht="11.65" x14ac:dyDescent="0.35">
      <c r="A440" s="12">
        <v>423</v>
      </c>
      <c r="B440" s="10" t="s">
        <v>1015</v>
      </c>
      <c r="C440" s="11" t="s">
        <v>1068</v>
      </c>
      <c r="D440" s="9"/>
      <c r="E440" s="9">
        <v>262</v>
      </c>
      <c r="F440" s="10" t="s">
        <v>1066</v>
      </c>
      <c r="G440" s="9">
        <v>910</v>
      </c>
      <c r="H440" s="9">
        <v>1960</v>
      </c>
      <c r="I440" s="8">
        <v>7.2009999999999996</v>
      </c>
      <c r="J440" s="8">
        <v>5.36</v>
      </c>
      <c r="K440" s="8">
        <v>5.6680000000000001</v>
      </c>
      <c r="L440" s="8">
        <v>4.6399999999999997</v>
      </c>
      <c r="M440" s="8">
        <v>3.867</v>
      </c>
      <c r="N440" s="8">
        <v>3.218</v>
      </c>
      <c r="O440" s="8">
        <v>2.6720000000000002</v>
      </c>
      <c r="P440" s="8">
        <v>2.2029999999999998</v>
      </c>
      <c r="Q440" s="8">
        <v>1.798</v>
      </c>
      <c r="R440" s="8">
        <v>1.444</v>
      </c>
      <c r="S440" s="8">
        <v>1.1359999999999999</v>
      </c>
      <c r="T440" s="8">
        <v>0.86799999999999999</v>
      </c>
      <c r="U440" s="8">
        <v>0.63100000000000001</v>
      </c>
      <c r="V440" s="8">
        <v>0.42799999999999999</v>
      </c>
      <c r="W440" s="8">
        <v>0.25600000000000001</v>
      </c>
      <c r="X440" s="8">
        <v>0.126</v>
      </c>
      <c r="Y440" s="8">
        <v>4.5999999999999999E-2</v>
      </c>
      <c r="Z440" s="8">
        <v>1.0999999999999999E-2</v>
      </c>
      <c r="AA440" s="8">
        <v>0</v>
      </c>
      <c r="AB440" s="8">
        <v>0</v>
      </c>
      <c r="AC440" s="8">
        <v>0</v>
      </c>
    </row>
    <row r="441" spans="1:29" ht="11.65" x14ac:dyDescent="0.35">
      <c r="A441" s="12">
        <v>424</v>
      </c>
      <c r="B441" s="10" t="s">
        <v>1015</v>
      </c>
      <c r="C441" s="11" t="s">
        <v>1068</v>
      </c>
      <c r="D441" s="9"/>
      <c r="E441" s="9">
        <v>262</v>
      </c>
      <c r="F441" s="10" t="s">
        <v>1066</v>
      </c>
      <c r="G441" s="9">
        <v>910</v>
      </c>
      <c r="H441" s="9">
        <v>1965</v>
      </c>
      <c r="I441" s="8">
        <v>10.888</v>
      </c>
      <c r="J441" s="8">
        <v>7.8140000000000001</v>
      </c>
      <c r="K441" s="8">
        <v>6.3239999999999998</v>
      </c>
      <c r="L441" s="8">
        <v>6.5449999999999999</v>
      </c>
      <c r="M441" s="8">
        <v>5.3159999999999998</v>
      </c>
      <c r="N441" s="8">
        <v>4.3890000000000002</v>
      </c>
      <c r="O441" s="8">
        <v>3.6419999999999999</v>
      </c>
      <c r="P441" s="8">
        <v>3.0059999999999998</v>
      </c>
      <c r="Q441" s="8">
        <v>2.4529999999999998</v>
      </c>
      <c r="R441" s="8">
        <v>1.976</v>
      </c>
      <c r="S441" s="8">
        <v>1.5580000000000001</v>
      </c>
      <c r="T441" s="8">
        <v>1.1910000000000001</v>
      </c>
      <c r="U441" s="8">
        <v>0.872</v>
      </c>
      <c r="V441" s="8">
        <v>0.59099999999999997</v>
      </c>
      <c r="W441" s="8">
        <v>0.35799999999999998</v>
      </c>
      <c r="X441" s="8">
        <v>0.17899999999999999</v>
      </c>
      <c r="Y441" s="8">
        <v>7.0999999999999994E-2</v>
      </c>
      <c r="Z441" s="8">
        <v>1.6E-2</v>
      </c>
      <c r="AA441" s="8">
        <v>2E-3</v>
      </c>
      <c r="AB441" s="8">
        <v>0</v>
      </c>
      <c r="AC441" s="8">
        <v>0</v>
      </c>
    </row>
    <row r="442" spans="1:29" ht="11.65" x14ac:dyDescent="0.35">
      <c r="A442" s="12">
        <v>425</v>
      </c>
      <c r="B442" s="10" t="s">
        <v>1015</v>
      </c>
      <c r="C442" s="11" t="s">
        <v>1068</v>
      </c>
      <c r="D442" s="9"/>
      <c r="E442" s="9">
        <v>262</v>
      </c>
      <c r="F442" s="10" t="s">
        <v>1066</v>
      </c>
      <c r="G442" s="9">
        <v>910</v>
      </c>
      <c r="H442" s="9">
        <v>1970</v>
      </c>
      <c r="I442" s="8">
        <v>15.553000000000001</v>
      </c>
      <c r="J442" s="8">
        <v>11.827999999999999</v>
      </c>
      <c r="K442" s="8">
        <v>9.0939999999999994</v>
      </c>
      <c r="L442" s="8">
        <v>7.5140000000000002</v>
      </c>
      <c r="M442" s="8">
        <v>7.5190000000000001</v>
      </c>
      <c r="N442" s="8">
        <v>6.0720000000000001</v>
      </c>
      <c r="O442" s="8">
        <v>4.9939999999999998</v>
      </c>
      <c r="P442" s="8">
        <v>4.12</v>
      </c>
      <c r="Q442" s="8">
        <v>3.367</v>
      </c>
      <c r="R442" s="8">
        <v>2.714</v>
      </c>
      <c r="S442" s="8">
        <v>2.1440000000000001</v>
      </c>
      <c r="T442" s="8">
        <v>1.6459999999999999</v>
      </c>
      <c r="U442" s="8">
        <v>1.208</v>
      </c>
      <c r="V442" s="8">
        <v>0.82599999999999996</v>
      </c>
      <c r="W442" s="8">
        <v>0.503</v>
      </c>
      <c r="X442" s="8">
        <v>0.25900000000000001</v>
      </c>
      <c r="Y442" s="8">
        <v>0.10199999999999999</v>
      </c>
      <c r="Z442" s="8">
        <v>2.4E-2</v>
      </c>
      <c r="AA442" s="8">
        <v>3.0000000000000001E-3</v>
      </c>
      <c r="AB442" s="8">
        <v>0</v>
      </c>
      <c r="AC442" s="8">
        <v>0</v>
      </c>
    </row>
    <row r="443" spans="1:29" ht="11.65" x14ac:dyDescent="0.35">
      <c r="A443" s="12">
        <v>426</v>
      </c>
      <c r="B443" s="10" t="s">
        <v>1015</v>
      </c>
      <c r="C443" s="11" t="s">
        <v>1068</v>
      </c>
      <c r="D443" s="9"/>
      <c r="E443" s="9">
        <v>262</v>
      </c>
      <c r="F443" s="10" t="s">
        <v>1066</v>
      </c>
      <c r="G443" s="9">
        <v>910</v>
      </c>
      <c r="H443" s="9">
        <v>1975</v>
      </c>
      <c r="I443" s="8">
        <v>22.13</v>
      </c>
      <c r="J443" s="8">
        <v>17.138999999999999</v>
      </c>
      <c r="K443" s="8">
        <v>13.72</v>
      </c>
      <c r="L443" s="8">
        <v>10.705</v>
      </c>
      <c r="M443" s="8">
        <v>8.8689999999999998</v>
      </c>
      <c r="N443" s="8">
        <v>8.6340000000000003</v>
      </c>
      <c r="O443" s="8">
        <v>6.9690000000000003</v>
      </c>
      <c r="P443" s="8">
        <v>5.7009999999999996</v>
      </c>
      <c r="Q443" s="8">
        <v>4.6589999999999998</v>
      </c>
      <c r="R443" s="8">
        <v>3.76</v>
      </c>
      <c r="S443" s="8">
        <v>2.976</v>
      </c>
      <c r="T443" s="8">
        <v>2.2919999999999998</v>
      </c>
      <c r="U443" s="8">
        <v>1.6919999999999999</v>
      </c>
      <c r="V443" s="8">
        <v>1.163</v>
      </c>
      <c r="W443" s="8">
        <v>0.71799999999999997</v>
      </c>
      <c r="X443" s="8">
        <v>0.373</v>
      </c>
      <c r="Y443" s="8">
        <v>0.154</v>
      </c>
      <c r="Z443" s="8">
        <v>3.6999999999999998E-2</v>
      </c>
      <c r="AA443" s="8">
        <v>5.0000000000000001E-3</v>
      </c>
      <c r="AB443" s="8">
        <v>0</v>
      </c>
      <c r="AC443" s="8">
        <v>0</v>
      </c>
    </row>
    <row r="444" spans="1:29" ht="11.65" x14ac:dyDescent="0.35">
      <c r="A444" s="12">
        <v>427</v>
      </c>
      <c r="B444" s="10" t="s">
        <v>1015</v>
      </c>
      <c r="C444" s="11" t="s">
        <v>1068</v>
      </c>
      <c r="D444" s="9"/>
      <c r="E444" s="9">
        <v>262</v>
      </c>
      <c r="F444" s="10" t="s">
        <v>1066</v>
      </c>
      <c r="G444" s="9">
        <v>910</v>
      </c>
      <c r="H444" s="9">
        <v>1980</v>
      </c>
      <c r="I444" s="8">
        <v>34.197000000000003</v>
      </c>
      <c r="J444" s="8">
        <v>26.568000000000001</v>
      </c>
      <c r="K444" s="8">
        <v>23.896000000000001</v>
      </c>
      <c r="L444" s="8">
        <v>21.853000000000002</v>
      </c>
      <c r="M444" s="8">
        <v>16.515999999999998</v>
      </c>
      <c r="N444" s="8">
        <v>11.368</v>
      </c>
      <c r="O444" s="8">
        <v>10.843999999999999</v>
      </c>
      <c r="P444" s="8">
        <v>8.7349999999999994</v>
      </c>
      <c r="Q444" s="8">
        <v>7.0739999999999998</v>
      </c>
      <c r="R444" s="8">
        <v>5.7050000000000001</v>
      </c>
      <c r="S444" s="8">
        <v>4.5170000000000003</v>
      </c>
      <c r="T444" s="8">
        <v>3.4790000000000001</v>
      </c>
      <c r="U444" s="8">
        <v>2.5710000000000002</v>
      </c>
      <c r="V444" s="8">
        <v>1.7749999999999999</v>
      </c>
      <c r="W444" s="8">
        <v>1.1020000000000001</v>
      </c>
      <c r="X444" s="8">
        <v>0.57799999999999996</v>
      </c>
      <c r="Y444" s="8">
        <v>0.24399999999999999</v>
      </c>
      <c r="Z444" s="8">
        <v>5.7000000000000002E-2</v>
      </c>
      <c r="AA444" s="8">
        <v>8.9999999999999993E-3</v>
      </c>
      <c r="AB444" s="8">
        <v>0</v>
      </c>
      <c r="AC444" s="8">
        <v>0</v>
      </c>
    </row>
    <row r="445" spans="1:29" ht="11.65" x14ac:dyDescent="0.35">
      <c r="A445" s="12">
        <v>428</v>
      </c>
      <c r="B445" s="10" t="s">
        <v>1015</v>
      </c>
      <c r="C445" s="11" t="s">
        <v>1068</v>
      </c>
      <c r="D445" s="9"/>
      <c r="E445" s="9">
        <v>262</v>
      </c>
      <c r="F445" s="10" t="s">
        <v>1066</v>
      </c>
      <c r="G445" s="9">
        <v>910</v>
      </c>
      <c r="H445" s="9">
        <v>1985</v>
      </c>
      <c r="I445" s="8">
        <v>37.021000000000001</v>
      </c>
      <c r="J445" s="8">
        <v>33.155999999999999</v>
      </c>
      <c r="K445" s="8">
        <v>26.698</v>
      </c>
      <c r="L445" s="8">
        <v>24.05</v>
      </c>
      <c r="M445" s="8">
        <v>21.788</v>
      </c>
      <c r="N445" s="8">
        <v>16.41</v>
      </c>
      <c r="O445" s="8">
        <v>11.342000000000001</v>
      </c>
      <c r="P445" s="8">
        <v>10.757</v>
      </c>
      <c r="Q445" s="8">
        <v>8.6180000000000003</v>
      </c>
      <c r="R445" s="8">
        <v>6.9180000000000001</v>
      </c>
      <c r="S445" s="8">
        <v>5.5</v>
      </c>
      <c r="T445" s="8">
        <v>4.2649999999999997</v>
      </c>
      <c r="U445" s="8">
        <v>3.1789999999999998</v>
      </c>
      <c r="V445" s="8">
        <v>2.222</v>
      </c>
      <c r="W445" s="8">
        <v>1.401</v>
      </c>
      <c r="X445" s="8">
        <v>0.754</v>
      </c>
      <c r="Y445" s="8">
        <v>0.315</v>
      </c>
      <c r="Z445" s="8">
        <v>9.2999999999999999E-2</v>
      </c>
      <c r="AA445" s="8">
        <v>1.4E-2</v>
      </c>
      <c r="AB445" s="8">
        <v>0</v>
      </c>
      <c r="AC445" s="8">
        <v>0</v>
      </c>
    </row>
    <row r="446" spans="1:29" ht="11.65" x14ac:dyDescent="0.35">
      <c r="A446" s="12">
        <v>429</v>
      </c>
      <c r="B446" s="10" t="s">
        <v>1015</v>
      </c>
      <c r="C446" s="11" t="s">
        <v>1068</v>
      </c>
      <c r="D446" s="9"/>
      <c r="E446" s="9">
        <v>262</v>
      </c>
      <c r="F446" s="10" t="s">
        <v>1066</v>
      </c>
      <c r="G446" s="9">
        <v>910</v>
      </c>
      <c r="H446" s="9">
        <v>1990</v>
      </c>
      <c r="I446" s="8">
        <v>54.215000000000003</v>
      </c>
      <c r="J446" s="8">
        <v>41.844000000000001</v>
      </c>
      <c r="K446" s="8">
        <v>38.209000000000003</v>
      </c>
      <c r="L446" s="8">
        <v>31.164999999999999</v>
      </c>
      <c r="M446" s="8">
        <v>27.635999999999999</v>
      </c>
      <c r="N446" s="8">
        <v>24.576000000000001</v>
      </c>
      <c r="O446" s="8">
        <v>18.692</v>
      </c>
      <c r="P446" s="8">
        <v>13.327</v>
      </c>
      <c r="Q446" s="8">
        <v>12.353999999999999</v>
      </c>
      <c r="R446" s="8">
        <v>9.8179999999999996</v>
      </c>
      <c r="S446" s="8">
        <v>7.7480000000000002</v>
      </c>
      <c r="T446" s="8">
        <v>6.0119999999999996</v>
      </c>
      <c r="U446" s="8">
        <v>4.4939999999999998</v>
      </c>
      <c r="V446" s="8">
        <v>3.153</v>
      </c>
      <c r="W446" s="8">
        <v>2.004</v>
      </c>
      <c r="X446" s="8">
        <v>1.087</v>
      </c>
      <c r="Y446" s="8">
        <v>0.47699999999999998</v>
      </c>
      <c r="Z446" s="8">
        <v>0.123</v>
      </c>
      <c r="AA446" s="8">
        <v>2.3E-2</v>
      </c>
      <c r="AB446" s="8">
        <v>2E-3</v>
      </c>
      <c r="AC446" s="8">
        <v>0</v>
      </c>
    </row>
    <row r="447" spans="1:29" ht="11.65" x14ac:dyDescent="0.35">
      <c r="A447" s="12">
        <v>430</v>
      </c>
      <c r="B447" s="10" t="s">
        <v>1015</v>
      </c>
      <c r="C447" s="11" t="s">
        <v>1068</v>
      </c>
      <c r="D447" s="9"/>
      <c r="E447" s="9">
        <v>262</v>
      </c>
      <c r="F447" s="10" t="s">
        <v>1066</v>
      </c>
      <c r="G447" s="9">
        <v>910</v>
      </c>
      <c r="H447" s="9">
        <v>1995</v>
      </c>
      <c r="I447" s="8">
        <v>50.610999999999997</v>
      </c>
      <c r="J447" s="8">
        <v>48.671999999999997</v>
      </c>
      <c r="K447" s="8">
        <v>38.374000000000002</v>
      </c>
      <c r="L447" s="8">
        <v>35.265000000000001</v>
      </c>
      <c r="M447" s="8">
        <v>28.434000000000001</v>
      </c>
      <c r="N447" s="8">
        <v>25.166</v>
      </c>
      <c r="O447" s="8">
        <v>22.443999999999999</v>
      </c>
      <c r="P447" s="8">
        <v>16.934000000000001</v>
      </c>
      <c r="Q447" s="8">
        <v>11.853999999999999</v>
      </c>
      <c r="R447" s="8">
        <v>10.989000000000001</v>
      </c>
      <c r="S447" s="8">
        <v>8.6210000000000004</v>
      </c>
      <c r="T447" s="8">
        <v>6.7</v>
      </c>
      <c r="U447" s="8">
        <v>5.0650000000000004</v>
      </c>
      <c r="V447" s="8">
        <v>3.6059999999999999</v>
      </c>
      <c r="W447" s="8">
        <v>2.3370000000000002</v>
      </c>
      <c r="X447" s="8">
        <v>1.3029999999999999</v>
      </c>
      <c r="Y447" s="8">
        <v>0.56999999999999995</v>
      </c>
      <c r="Z447" s="8">
        <v>0.19</v>
      </c>
      <c r="AA447" s="8">
        <v>3.1E-2</v>
      </c>
      <c r="AB447" s="8">
        <v>3.0000000000000001E-3</v>
      </c>
      <c r="AC447" s="8">
        <v>0</v>
      </c>
    </row>
    <row r="448" spans="1:29" ht="11.65" x14ac:dyDescent="0.35">
      <c r="A448" s="12">
        <v>431</v>
      </c>
      <c r="B448" s="10" t="s">
        <v>1015</v>
      </c>
      <c r="C448" s="11" t="s">
        <v>1068</v>
      </c>
      <c r="D448" s="9"/>
      <c r="E448" s="9">
        <v>262</v>
      </c>
      <c r="F448" s="10" t="s">
        <v>1066</v>
      </c>
      <c r="G448" s="9">
        <v>910</v>
      </c>
      <c r="H448" s="9">
        <v>2000</v>
      </c>
      <c r="I448" s="8">
        <v>51.954999999999998</v>
      </c>
      <c r="J448" s="8">
        <v>48.826000000000001</v>
      </c>
      <c r="K448" s="8">
        <v>48.058999999999997</v>
      </c>
      <c r="L448" s="8">
        <v>38.396999999999998</v>
      </c>
      <c r="M448" s="8">
        <v>35.491</v>
      </c>
      <c r="N448" s="8">
        <v>28.564</v>
      </c>
      <c r="O448" s="8">
        <v>25.013999999999999</v>
      </c>
      <c r="P448" s="8">
        <v>22.029</v>
      </c>
      <c r="Q448" s="8">
        <v>16.474</v>
      </c>
      <c r="R448" s="8">
        <v>11.455</v>
      </c>
      <c r="S448" s="8">
        <v>10.44</v>
      </c>
      <c r="T448" s="8">
        <v>8.0579999999999998</v>
      </c>
      <c r="U448" s="8">
        <v>6.0880000000000001</v>
      </c>
      <c r="V448" s="8">
        <v>4.3760000000000003</v>
      </c>
      <c r="W448" s="8">
        <v>2.8719999999999999</v>
      </c>
      <c r="X448" s="8">
        <v>1.633</v>
      </c>
      <c r="Y448" s="8">
        <v>0.74299999999999999</v>
      </c>
      <c r="Z448" s="8">
        <v>0.23200000000000001</v>
      </c>
      <c r="AA448" s="8">
        <v>4.9000000000000002E-2</v>
      </c>
      <c r="AB448" s="8">
        <v>4.0000000000000001E-3</v>
      </c>
      <c r="AC448" s="8">
        <v>0</v>
      </c>
    </row>
    <row r="449" spans="1:29" ht="11.65" x14ac:dyDescent="0.35">
      <c r="A449" s="12">
        <v>432</v>
      </c>
      <c r="B449" s="10" t="s">
        <v>1015</v>
      </c>
      <c r="C449" s="11" t="s">
        <v>1068</v>
      </c>
      <c r="D449" s="9"/>
      <c r="E449" s="9">
        <v>262</v>
      </c>
      <c r="F449" s="10" t="s">
        <v>1066</v>
      </c>
      <c r="G449" s="9">
        <v>910</v>
      </c>
      <c r="H449" s="9">
        <v>2005</v>
      </c>
      <c r="I449" s="8">
        <v>52.180999999999997</v>
      </c>
      <c r="J449" s="8">
        <v>50.009</v>
      </c>
      <c r="K449" s="8">
        <v>48.045999999999999</v>
      </c>
      <c r="L449" s="8">
        <v>46.99</v>
      </c>
      <c r="M449" s="8">
        <v>36.811999999999998</v>
      </c>
      <c r="N449" s="8">
        <v>33.761000000000003</v>
      </c>
      <c r="O449" s="8">
        <v>26.991</v>
      </c>
      <c r="P449" s="8">
        <v>23.515000000000001</v>
      </c>
      <c r="Q449" s="8">
        <v>20.638000000000002</v>
      </c>
      <c r="R449" s="8">
        <v>15.382999999999999</v>
      </c>
      <c r="S449" s="8">
        <v>10.597</v>
      </c>
      <c r="T449" s="8">
        <v>9.5719999999999992</v>
      </c>
      <c r="U449" s="8">
        <v>7.2089999999999996</v>
      </c>
      <c r="V449" s="8">
        <v>5.1959999999999997</v>
      </c>
      <c r="W449" s="8">
        <v>3.4489999999999998</v>
      </c>
      <c r="X449" s="8">
        <v>1.986</v>
      </c>
      <c r="Y449" s="8">
        <v>0.91800000000000004</v>
      </c>
      <c r="Z449" s="8">
        <v>0.307</v>
      </c>
      <c r="AA449" s="8">
        <v>0.06</v>
      </c>
      <c r="AB449" s="8">
        <v>6.0000000000000001E-3</v>
      </c>
      <c r="AC449" s="8">
        <v>0</v>
      </c>
    </row>
    <row r="450" spans="1:29" ht="11.65" x14ac:dyDescent="0.35">
      <c r="A450" s="12">
        <v>433</v>
      </c>
      <c r="B450" s="10" t="s">
        <v>1015</v>
      </c>
      <c r="C450" s="11" t="s">
        <v>1068</v>
      </c>
      <c r="D450" s="9"/>
      <c r="E450" s="9">
        <v>262</v>
      </c>
      <c r="F450" s="10" t="s">
        <v>1066</v>
      </c>
      <c r="G450" s="9">
        <v>910</v>
      </c>
      <c r="H450" s="9">
        <v>2010</v>
      </c>
      <c r="I450" s="8">
        <v>50.261000000000003</v>
      </c>
      <c r="J450" s="8">
        <v>50.481000000000002</v>
      </c>
      <c r="K450" s="8">
        <v>49.314999999999998</v>
      </c>
      <c r="L450" s="8">
        <v>47.372999999999998</v>
      </c>
      <c r="M450" s="8">
        <v>45.996000000000002</v>
      </c>
      <c r="N450" s="8">
        <v>40.106000000000002</v>
      </c>
      <c r="O450" s="8">
        <v>36.929000000000002</v>
      </c>
      <c r="P450" s="8">
        <v>31.1</v>
      </c>
      <c r="Q450" s="8">
        <v>23.553000000000001</v>
      </c>
      <c r="R450" s="8">
        <v>20.683</v>
      </c>
      <c r="S450" s="8">
        <v>15.526999999999999</v>
      </c>
      <c r="T450" s="8">
        <v>10.874000000000001</v>
      </c>
      <c r="U450" s="8">
        <v>9.4909999999999997</v>
      </c>
      <c r="V450" s="8">
        <v>6.7359999999999998</v>
      </c>
      <c r="W450" s="8">
        <v>4.3620000000000001</v>
      </c>
      <c r="X450" s="8">
        <v>2.59</v>
      </c>
      <c r="Y450" s="8">
        <v>1.2410000000000001</v>
      </c>
      <c r="Z450" s="8">
        <v>0.38400000000000001</v>
      </c>
      <c r="AA450" s="8">
        <v>0.08</v>
      </c>
      <c r="AB450" s="8">
        <v>8.9999999999999993E-3</v>
      </c>
      <c r="AC450" s="8">
        <v>1E-3</v>
      </c>
    </row>
    <row r="451" spans="1:29" ht="11.65" x14ac:dyDescent="0.35">
      <c r="A451" s="12">
        <v>434</v>
      </c>
      <c r="B451" s="10" t="s">
        <v>1015</v>
      </c>
      <c r="C451" s="11" t="s">
        <v>1068</v>
      </c>
      <c r="D451" s="9"/>
      <c r="E451" s="9">
        <v>262</v>
      </c>
      <c r="F451" s="10" t="s">
        <v>1066</v>
      </c>
      <c r="G451" s="9">
        <v>910</v>
      </c>
      <c r="H451" s="9">
        <v>2015</v>
      </c>
      <c r="I451" s="8">
        <v>50.323</v>
      </c>
      <c r="J451" s="8">
        <v>48.988</v>
      </c>
      <c r="K451" s="8">
        <v>49.942</v>
      </c>
      <c r="L451" s="8">
        <v>49.051000000000002</v>
      </c>
      <c r="M451" s="8">
        <v>47.146999999999998</v>
      </c>
      <c r="N451" s="8">
        <v>45.615000000000002</v>
      </c>
      <c r="O451" s="8">
        <v>39.603000000000002</v>
      </c>
      <c r="P451" s="8">
        <v>36.171999999999997</v>
      </c>
      <c r="Q451" s="8">
        <v>30.204999999999998</v>
      </c>
      <c r="R451" s="8">
        <v>22.716000000000001</v>
      </c>
      <c r="S451" s="8">
        <v>19.719000000000001</v>
      </c>
      <c r="T451" s="8">
        <v>14.592000000000001</v>
      </c>
      <c r="U451" s="8">
        <v>9.9689999999999994</v>
      </c>
      <c r="V451" s="8">
        <v>8.3010000000000002</v>
      </c>
      <c r="W451" s="8">
        <v>5.468</v>
      </c>
      <c r="X451" s="8">
        <v>3.1320000000000001</v>
      </c>
      <c r="Y451" s="8">
        <v>1.524</v>
      </c>
      <c r="Z451" s="8">
        <v>0.53300000000000003</v>
      </c>
      <c r="AA451" s="8">
        <v>0.104</v>
      </c>
      <c r="AB451" s="8">
        <v>1.2E-2</v>
      </c>
      <c r="AC451" s="8">
        <v>1E-3</v>
      </c>
    </row>
    <row r="452" spans="1:29" ht="11.65" x14ac:dyDescent="0.35">
      <c r="A452" s="12">
        <v>435</v>
      </c>
      <c r="B452" s="10" t="s">
        <v>1015</v>
      </c>
      <c r="C452" s="11" t="s">
        <v>1068</v>
      </c>
      <c r="D452" s="9"/>
      <c r="E452" s="9">
        <v>262</v>
      </c>
      <c r="F452" s="10" t="s">
        <v>1066</v>
      </c>
      <c r="G452" s="9">
        <v>910</v>
      </c>
      <c r="H452" s="9">
        <v>2020</v>
      </c>
      <c r="I452" s="8">
        <v>50.198</v>
      </c>
      <c r="J452" s="8">
        <v>49.542000000000002</v>
      </c>
      <c r="K452" s="8">
        <v>48.619</v>
      </c>
      <c r="L452" s="8">
        <v>49.783000000000001</v>
      </c>
      <c r="M452" s="8">
        <v>48.91</v>
      </c>
      <c r="N452" s="8">
        <v>46.883000000000003</v>
      </c>
      <c r="O452" s="8">
        <v>45.167999999999999</v>
      </c>
      <c r="P452" s="8">
        <v>38.975000000000001</v>
      </c>
      <c r="Q452" s="8">
        <v>35.331000000000003</v>
      </c>
      <c r="R452" s="8">
        <v>29.285</v>
      </c>
      <c r="S452" s="8">
        <v>21.800999999999998</v>
      </c>
      <c r="T452" s="8">
        <v>18.652999999999999</v>
      </c>
      <c r="U452" s="8">
        <v>13.473000000000001</v>
      </c>
      <c r="V452" s="8">
        <v>8.8059999999999992</v>
      </c>
      <c r="W452" s="8">
        <v>6.8259999999999996</v>
      </c>
      <c r="X452" s="8">
        <v>3.9969999999999999</v>
      </c>
      <c r="Y452" s="8">
        <v>1.8919999999999999</v>
      </c>
      <c r="Z452" s="8">
        <v>0.68</v>
      </c>
      <c r="AA452" s="8">
        <v>0.153</v>
      </c>
      <c r="AB452" s="8">
        <v>1.7000000000000001E-2</v>
      </c>
      <c r="AC452" s="8">
        <v>1E-3</v>
      </c>
    </row>
    <row r="453" spans="1:29" ht="11.65" x14ac:dyDescent="0.35">
      <c r="A453" s="12">
        <v>436</v>
      </c>
      <c r="B453" s="10" t="s">
        <v>1015</v>
      </c>
      <c r="C453" s="11" t="s">
        <v>592</v>
      </c>
      <c r="D453" s="9"/>
      <c r="E453" s="9">
        <v>232</v>
      </c>
      <c r="F453" s="10" t="s">
        <v>1066</v>
      </c>
      <c r="G453" s="9">
        <v>910</v>
      </c>
      <c r="H453" s="9">
        <v>1950</v>
      </c>
      <c r="I453" s="8">
        <v>78.119</v>
      </c>
      <c r="J453" s="8">
        <v>60.048000000000002</v>
      </c>
      <c r="K453" s="8">
        <v>50.329000000000001</v>
      </c>
      <c r="L453" s="8">
        <v>42.84</v>
      </c>
      <c r="M453" s="8">
        <v>35.784999999999997</v>
      </c>
      <c r="N453" s="8">
        <v>29.52</v>
      </c>
      <c r="O453" s="8">
        <v>24.048999999999999</v>
      </c>
      <c r="P453" s="8">
        <v>19.657</v>
      </c>
      <c r="Q453" s="8">
        <v>15.983000000000001</v>
      </c>
      <c r="R453" s="8">
        <v>12.888</v>
      </c>
      <c r="S453" s="8">
        <v>10.728</v>
      </c>
      <c r="T453" s="8">
        <v>8.7129999999999992</v>
      </c>
      <c r="U453" s="8">
        <v>7.2009999999999996</v>
      </c>
      <c r="V453" s="8">
        <v>5.3280000000000003</v>
      </c>
      <c r="W453" s="8">
        <v>3.4550000000000001</v>
      </c>
      <c r="X453" s="8">
        <v>1.8720000000000001</v>
      </c>
      <c r="Y453" s="8">
        <v>0.60399999999999998</v>
      </c>
      <c r="Z453" s="8">
        <v>0.18099999999999999</v>
      </c>
      <c r="AA453" s="8">
        <v>3.5999999999999997E-2</v>
      </c>
      <c r="AB453" s="8">
        <v>5.0000000000000001E-3</v>
      </c>
      <c r="AC453" s="8">
        <v>1E-3</v>
      </c>
    </row>
    <row r="454" spans="1:29" ht="11.65" x14ac:dyDescent="0.35">
      <c r="A454" s="12">
        <v>437</v>
      </c>
      <c r="B454" s="10" t="s">
        <v>1015</v>
      </c>
      <c r="C454" s="11" t="s">
        <v>592</v>
      </c>
      <c r="D454" s="9"/>
      <c r="E454" s="9">
        <v>232</v>
      </c>
      <c r="F454" s="10" t="s">
        <v>1066</v>
      </c>
      <c r="G454" s="9">
        <v>910</v>
      </c>
      <c r="H454" s="9">
        <v>1955</v>
      </c>
      <c r="I454" s="8">
        <v>77.147000000000006</v>
      </c>
      <c r="J454" s="8">
        <v>66.524000000000001</v>
      </c>
      <c r="K454" s="8">
        <v>57.107999999999997</v>
      </c>
      <c r="L454" s="8">
        <v>48.555999999999997</v>
      </c>
      <c r="M454" s="8">
        <v>40.9</v>
      </c>
      <c r="N454" s="8">
        <v>33.801000000000002</v>
      </c>
      <c r="O454" s="8">
        <v>27.794</v>
      </c>
      <c r="P454" s="8">
        <v>22.492999999999999</v>
      </c>
      <c r="Q454" s="8">
        <v>18.149000000000001</v>
      </c>
      <c r="R454" s="8">
        <v>14.513</v>
      </c>
      <c r="S454" s="8">
        <v>11.451000000000001</v>
      </c>
      <c r="T454" s="8">
        <v>9.23</v>
      </c>
      <c r="U454" s="8">
        <v>7.1139999999999999</v>
      </c>
      <c r="V454" s="8">
        <v>5.4160000000000004</v>
      </c>
      <c r="W454" s="8">
        <v>3.4790000000000001</v>
      </c>
      <c r="X454" s="8">
        <v>1.7989999999999999</v>
      </c>
      <c r="Y454" s="8">
        <v>0.69899999999999995</v>
      </c>
      <c r="Z454" s="8">
        <v>0.14000000000000001</v>
      </c>
      <c r="AA454" s="8">
        <v>2.3E-2</v>
      </c>
      <c r="AB454" s="8">
        <v>2E-3</v>
      </c>
      <c r="AC454" s="8">
        <v>0</v>
      </c>
    </row>
    <row r="455" spans="1:29" ht="11.65" x14ac:dyDescent="0.35">
      <c r="A455" s="12">
        <v>438</v>
      </c>
      <c r="B455" s="10" t="s">
        <v>1015</v>
      </c>
      <c r="C455" s="11" t="s">
        <v>592</v>
      </c>
      <c r="D455" s="9"/>
      <c r="E455" s="9">
        <v>232</v>
      </c>
      <c r="F455" s="10" t="s">
        <v>1066</v>
      </c>
      <c r="G455" s="9">
        <v>910</v>
      </c>
      <c r="H455" s="9">
        <v>1960</v>
      </c>
      <c r="I455" s="8">
        <v>90.545000000000002</v>
      </c>
      <c r="J455" s="8">
        <v>66.863</v>
      </c>
      <c r="K455" s="8">
        <v>63.588000000000001</v>
      </c>
      <c r="L455" s="8">
        <v>55.371000000000002</v>
      </c>
      <c r="M455" s="8">
        <v>46.726999999999997</v>
      </c>
      <c r="N455" s="8">
        <v>39.000999999999998</v>
      </c>
      <c r="O455" s="8">
        <v>32.127000000000002</v>
      </c>
      <c r="P455" s="8">
        <v>26.234999999999999</v>
      </c>
      <c r="Q455" s="8">
        <v>20.975000000000001</v>
      </c>
      <c r="R455" s="8">
        <v>16.655999999999999</v>
      </c>
      <c r="S455" s="8">
        <v>13.048999999999999</v>
      </c>
      <c r="T455" s="8">
        <v>9.9849999999999994</v>
      </c>
      <c r="U455" s="8">
        <v>7.6630000000000003</v>
      </c>
      <c r="V455" s="8">
        <v>5.4669999999999996</v>
      </c>
      <c r="W455" s="8">
        <v>3.6480000000000001</v>
      </c>
      <c r="X455" s="8">
        <v>1.9</v>
      </c>
      <c r="Y455" s="8">
        <v>0.72399999999999998</v>
      </c>
      <c r="Z455" s="8">
        <v>0.17699999999999999</v>
      </c>
      <c r="AA455" s="8">
        <v>0.02</v>
      </c>
      <c r="AB455" s="8">
        <v>2E-3</v>
      </c>
      <c r="AC455" s="8">
        <v>0</v>
      </c>
    </row>
    <row r="456" spans="1:29" ht="11.65" x14ac:dyDescent="0.35">
      <c r="A456" s="12">
        <v>439</v>
      </c>
      <c r="B456" s="10" t="s">
        <v>1015</v>
      </c>
      <c r="C456" s="11" t="s">
        <v>592</v>
      </c>
      <c r="D456" s="9"/>
      <c r="E456" s="9">
        <v>232</v>
      </c>
      <c r="F456" s="10" t="s">
        <v>1066</v>
      </c>
      <c r="G456" s="9">
        <v>910</v>
      </c>
      <c r="H456" s="9">
        <v>1965</v>
      </c>
      <c r="I456" s="8">
        <v>105.166</v>
      </c>
      <c r="J456" s="8">
        <v>80.116</v>
      </c>
      <c r="K456" s="8">
        <v>64.319000000000003</v>
      </c>
      <c r="L456" s="8">
        <v>62.098999999999997</v>
      </c>
      <c r="M456" s="8">
        <v>53.887999999999998</v>
      </c>
      <c r="N456" s="8">
        <v>45.155000000000001</v>
      </c>
      <c r="O456" s="8">
        <v>37.552999999999997</v>
      </c>
      <c r="P456" s="8">
        <v>30.709</v>
      </c>
      <c r="Q456" s="8">
        <v>24.785</v>
      </c>
      <c r="R456" s="8">
        <v>19.515999999999998</v>
      </c>
      <c r="S456" s="8">
        <v>15.2</v>
      </c>
      <c r="T456" s="8">
        <v>11.568</v>
      </c>
      <c r="U456" s="8">
        <v>8.4670000000000005</v>
      </c>
      <c r="V456" s="8">
        <v>6.048</v>
      </c>
      <c r="W456" s="8">
        <v>3.8220000000000001</v>
      </c>
      <c r="X456" s="8">
        <v>2.1059999999999999</v>
      </c>
      <c r="Y456" s="8">
        <v>0.83299999999999996</v>
      </c>
      <c r="Z456" s="8">
        <v>0.20599999999999999</v>
      </c>
      <c r="AA456" s="8">
        <v>2.9000000000000001E-2</v>
      </c>
      <c r="AB456" s="8">
        <v>2E-3</v>
      </c>
      <c r="AC456" s="8">
        <v>0</v>
      </c>
    </row>
    <row r="457" spans="1:29" ht="11.65" x14ac:dyDescent="0.35">
      <c r="A457" s="12">
        <v>440</v>
      </c>
      <c r="B457" s="10" t="s">
        <v>1015</v>
      </c>
      <c r="C457" s="11" t="s">
        <v>592</v>
      </c>
      <c r="D457" s="9"/>
      <c r="E457" s="9">
        <v>232</v>
      </c>
      <c r="F457" s="10" t="s">
        <v>1066</v>
      </c>
      <c r="G457" s="9">
        <v>910</v>
      </c>
      <c r="H457" s="9">
        <v>1970</v>
      </c>
      <c r="I457" s="8">
        <v>119.78100000000001</v>
      </c>
      <c r="J457" s="8">
        <v>94.078000000000003</v>
      </c>
      <c r="K457" s="8">
        <v>77.3</v>
      </c>
      <c r="L457" s="8">
        <v>62.851999999999997</v>
      </c>
      <c r="M457" s="8">
        <v>60.332999999999998</v>
      </c>
      <c r="N457" s="8">
        <v>51.948999999999998</v>
      </c>
      <c r="O457" s="8">
        <v>43.384999999999998</v>
      </c>
      <c r="P457" s="8">
        <v>35.856000000000002</v>
      </c>
      <c r="Q457" s="8">
        <v>29.02</v>
      </c>
      <c r="R457" s="8">
        <v>23.099</v>
      </c>
      <c r="S457" s="8">
        <v>17.864999999999998</v>
      </c>
      <c r="T457" s="8">
        <v>13.544</v>
      </c>
      <c r="U457" s="8">
        <v>9.8819999999999997</v>
      </c>
      <c r="V457" s="8">
        <v>6.7510000000000003</v>
      </c>
      <c r="W457" s="8">
        <v>4.3019999999999996</v>
      </c>
      <c r="X457" s="8">
        <v>2.2669999999999999</v>
      </c>
      <c r="Y457" s="8">
        <v>0.95299999999999996</v>
      </c>
      <c r="Z457" s="8">
        <v>0.251</v>
      </c>
      <c r="AA457" s="8">
        <v>3.5999999999999997E-2</v>
      </c>
      <c r="AB457" s="8">
        <v>3.0000000000000001E-3</v>
      </c>
      <c r="AC457" s="8">
        <v>0</v>
      </c>
    </row>
    <row r="458" spans="1:29" ht="11.65" x14ac:dyDescent="0.35">
      <c r="A458" s="12">
        <v>441</v>
      </c>
      <c r="B458" s="10" t="s">
        <v>1015</v>
      </c>
      <c r="C458" s="11" t="s">
        <v>592</v>
      </c>
      <c r="D458" s="9"/>
      <c r="E458" s="9">
        <v>232</v>
      </c>
      <c r="F458" s="10" t="s">
        <v>1066</v>
      </c>
      <c r="G458" s="9">
        <v>910</v>
      </c>
      <c r="H458" s="9">
        <v>1975</v>
      </c>
      <c r="I458" s="8">
        <v>135.25</v>
      </c>
      <c r="J458" s="8">
        <v>109.55500000000001</v>
      </c>
      <c r="K458" s="8">
        <v>90.704999999999998</v>
      </c>
      <c r="L458" s="8">
        <v>75.823999999999998</v>
      </c>
      <c r="M458" s="8">
        <v>61.662999999999997</v>
      </c>
      <c r="N458" s="8">
        <v>58.694000000000003</v>
      </c>
      <c r="O458" s="8">
        <v>50.31</v>
      </c>
      <c r="P458" s="8">
        <v>41.718000000000004</v>
      </c>
      <c r="Q458" s="8">
        <v>34.1</v>
      </c>
      <c r="R458" s="8">
        <v>27.218</v>
      </c>
      <c r="S458" s="8">
        <v>21.28</v>
      </c>
      <c r="T458" s="8">
        <v>16.030999999999999</v>
      </c>
      <c r="U458" s="8">
        <v>11.664</v>
      </c>
      <c r="V458" s="8">
        <v>7.9619999999999997</v>
      </c>
      <c r="W458" s="8">
        <v>4.8680000000000003</v>
      </c>
      <c r="X458" s="8">
        <v>2.6030000000000002</v>
      </c>
      <c r="Y458" s="8">
        <v>1.0589999999999999</v>
      </c>
      <c r="Z458" s="8">
        <v>0.29599999999999999</v>
      </c>
      <c r="AA458" s="8">
        <v>4.5999999999999999E-2</v>
      </c>
      <c r="AB458" s="8">
        <v>4.0000000000000001E-3</v>
      </c>
      <c r="AC458" s="8">
        <v>0</v>
      </c>
    </row>
    <row r="459" spans="1:29" ht="11.65" x14ac:dyDescent="0.35">
      <c r="A459" s="12">
        <v>442</v>
      </c>
      <c r="B459" s="10" t="s">
        <v>1015</v>
      </c>
      <c r="C459" s="11" t="s">
        <v>592</v>
      </c>
      <c r="D459" s="9"/>
      <c r="E459" s="9">
        <v>232</v>
      </c>
      <c r="F459" s="10" t="s">
        <v>1066</v>
      </c>
      <c r="G459" s="9">
        <v>910</v>
      </c>
      <c r="H459" s="9">
        <v>1980</v>
      </c>
      <c r="I459" s="8">
        <v>155.60300000000001</v>
      </c>
      <c r="J459" s="8">
        <v>125.154</v>
      </c>
      <c r="K459" s="8">
        <v>105.855</v>
      </c>
      <c r="L459" s="8">
        <v>88.998000000000005</v>
      </c>
      <c r="M459" s="8">
        <v>74.304000000000002</v>
      </c>
      <c r="N459" s="8">
        <v>60.088999999999999</v>
      </c>
      <c r="O459" s="8">
        <v>56.875999999999998</v>
      </c>
      <c r="P459" s="8">
        <v>48.420999999999999</v>
      </c>
      <c r="Q459" s="8">
        <v>39.741999999999997</v>
      </c>
      <c r="R459" s="8">
        <v>32.061999999999998</v>
      </c>
      <c r="S459" s="8">
        <v>25.154</v>
      </c>
      <c r="T459" s="8">
        <v>19.178000000000001</v>
      </c>
      <c r="U459" s="8">
        <v>13.885999999999999</v>
      </c>
      <c r="V459" s="8">
        <v>9.4730000000000008</v>
      </c>
      <c r="W459" s="8">
        <v>5.81</v>
      </c>
      <c r="X459" s="8">
        <v>2.9980000000000002</v>
      </c>
      <c r="Y459" s="8">
        <v>1.2450000000000001</v>
      </c>
      <c r="Z459" s="8">
        <v>0.34300000000000003</v>
      </c>
      <c r="AA459" s="8">
        <v>5.8000000000000003E-2</v>
      </c>
      <c r="AB459" s="8">
        <v>5.0000000000000001E-3</v>
      </c>
      <c r="AC459" s="8">
        <v>0</v>
      </c>
    </row>
    <row r="460" spans="1:29" ht="11.65" x14ac:dyDescent="0.35">
      <c r="A460" s="12">
        <v>443</v>
      </c>
      <c r="B460" s="10" t="s">
        <v>1015</v>
      </c>
      <c r="C460" s="11" t="s">
        <v>592</v>
      </c>
      <c r="D460" s="9"/>
      <c r="E460" s="9">
        <v>232</v>
      </c>
      <c r="F460" s="10" t="s">
        <v>1066</v>
      </c>
      <c r="G460" s="9">
        <v>910</v>
      </c>
      <c r="H460" s="9">
        <v>1985</v>
      </c>
      <c r="I460" s="8">
        <v>182.19300000000001</v>
      </c>
      <c r="J460" s="8">
        <v>144.99600000000001</v>
      </c>
      <c r="K460" s="8">
        <v>121.095</v>
      </c>
      <c r="L460" s="8">
        <v>103.85299999999999</v>
      </c>
      <c r="M460" s="8">
        <v>87.123000000000005</v>
      </c>
      <c r="N460" s="8">
        <v>72.302000000000007</v>
      </c>
      <c r="O460" s="8">
        <v>58.284999999999997</v>
      </c>
      <c r="P460" s="8">
        <v>54.758000000000003</v>
      </c>
      <c r="Q460" s="8">
        <v>46.158000000000001</v>
      </c>
      <c r="R460" s="8">
        <v>37.412999999999997</v>
      </c>
      <c r="S460" s="8">
        <v>29.68</v>
      </c>
      <c r="T460" s="8">
        <v>22.722000000000001</v>
      </c>
      <c r="U460" s="8">
        <v>16.669</v>
      </c>
      <c r="V460" s="8">
        <v>11.329000000000001</v>
      </c>
      <c r="W460" s="8">
        <v>6.9569999999999999</v>
      </c>
      <c r="X460" s="8">
        <v>3.6139999999999999</v>
      </c>
      <c r="Y460" s="8">
        <v>1.454</v>
      </c>
      <c r="Z460" s="8">
        <v>0.41099999999999998</v>
      </c>
      <c r="AA460" s="8">
        <v>6.7000000000000004E-2</v>
      </c>
      <c r="AB460" s="8">
        <v>6.0000000000000001E-3</v>
      </c>
      <c r="AC460" s="8">
        <v>0</v>
      </c>
    </row>
    <row r="461" spans="1:29" ht="11.65" x14ac:dyDescent="0.35">
      <c r="A461" s="12">
        <v>444</v>
      </c>
      <c r="B461" s="10" t="s">
        <v>1015</v>
      </c>
      <c r="C461" s="11" t="s">
        <v>592</v>
      </c>
      <c r="D461" s="9"/>
      <c r="E461" s="9">
        <v>232</v>
      </c>
      <c r="F461" s="10" t="s">
        <v>1066</v>
      </c>
      <c r="G461" s="9">
        <v>910</v>
      </c>
      <c r="H461" s="9">
        <v>1990</v>
      </c>
      <c r="I461" s="8">
        <v>204.31</v>
      </c>
      <c r="J461" s="8">
        <v>170.279</v>
      </c>
      <c r="K461" s="8">
        <v>139.93899999999999</v>
      </c>
      <c r="L461" s="8">
        <v>115.919</v>
      </c>
      <c r="M461" s="8">
        <v>96.548000000000002</v>
      </c>
      <c r="N461" s="8">
        <v>80.043999999999997</v>
      </c>
      <c r="O461" s="8">
        <v>66.674000000000007</v>
      </c>
      <c r="P461" s="8">
        <v>53.905999999999999</v>
      </c>
      <c r="Q461" s="8">
        <v>50.779000000000003</v>
      </c>
      <c r="R461" s="8">
        <v>42.576999999999998</v>
      </c>
      <c r="S461" s="8">
        <v>34.1</v>
      </c>
      <c r="T461" s="8">
        <v>26.497</v>
      </c>
      <c r="U461" s="8">
        <v>19.577000000000002</v>
      </c>
      <c r="V461" s="8">
        <v>13.506</v>
      </c>
      <c r="W461" s="8">
        <v>8.2780000000000005</v>
      </c>
      <c r="X461" s="8">
        <v>4.306</v>
      </c>
      <c r="Y461" s="8">
        <v>1.718</v>
      </c>
      <c r="Z461" s="8">
        <v>0.48899999999999999</v>
      </c>
      <c r="AA461" s="8">
        <v>8.4000000000000005E-2</v>
      </c>
      <c r="AB461" s="8">
        <v>8.0000000000000002E-3</v>
      </c>
      <c r="AC461" s="8">
        <v>0</v>
      </c>
    </row>
    <row r="462" spans="1:29" ht="11.65" x14ac:dyDescent="0.35">
      <c r="A462" s="12">
        <v>445</v>
      </c>
      <c r="B462" s="10" t="s">
        <v>1015</v>
      </c>
      <c r="C462" s="11" t="s">
        <v>592</v>
      </c>
      <c r="D462" s="9"/>
      <c r="E462" s="9">
        <v>232</v>
      </c>
      <c r="F462" s="10" t="s">
        <v>1066</v>
      </c>
      <c r="G462" s="9">
        <v>910</v>
      </c>
      <c r="H462" s="9">
        <v>1995</v>
      </c>
      <c r="I462" s="8">
        <v>187.238</v>
      </c>
      <c r="J462" s="8">
        <v>190.98400000000001</v>
      </c>
      <c r="K462" s="8">
        <v>163.53200000000001</v>
      </c>
      <c r="L462" s="8">
        <v>113.548</v>
      </c>
      <c r="M462" s="8">
        <v>76.009</v>
      </c>
      <c r="N462" s="8">
        <v>55.575000000000003</v>
      </c>
      <c r="O462" s="8">
        <v>49.662999999999997</v>
      </c>
      <c r="P462" s="8">
        <v>45.63</v>
      </c>
      <c r="Q462" s="8">
        <v>45.463000000000001</v>
      </c>
      <c r="R462" s="8">
        <v>44.247</v>
      </c>
      <c r="S462" s="8">
        <v>37.661999999999999</v>
      </c>
      <c r="T462" s="8">
        <v>30.581</v>
      </c>
      <c r="U462" s="8">
        <v>22.956</v>
      </c>
      <c r="V462" s="8">
        <v>15.967000000000001</v>
      </c>
      <c r="W462" s="8">
        <v>9.9550000000000001</v>
      </c>
      <c r="X462" s="8">
        <v>5.1870000000000003</v>
      </c>
      <c r="Y462" s="8">
        <v>2.0859999999999999</v>
      </c>
      <c r="Z462" s="8">
        <v>0.58799999999999997</v>
      </c>
      <c r="AA462" s="8">
        <v>0.10199999999999999</v>
      </c>
      <c r="AB462" s="8">
        <v>0.01</v>
      </c>
      <c r="AC462" s="8">
        <v>1E-3</v>
      </c>
    </row>
    <row r="463" spans="1:29" ht="11.65" x14ac:dyDescent="0.35">
      <c r="A463" s="12">
        <v>446</v>
      </c>
      <c r="B463" s="10" t="s">
        <v>1015</v>
      </c>
      <c r="C463" s="11" t="s">
        <v>592</v>
      </c>
      <c r="D463" s="9"/>
      <c r="E463" s="9">
        <v>232</v>
      </c>
      <c r="F463" s="10" t="s">
        <v>1066</v>
      </c>
      <c r="G463" s="9">
        <v>910</v>
      </c>
      <c r="H463" s="9">
        <v>2000</v>
      </c>
      <c r="I463" s="8">
        <v>164.26499999999999</v>
      </c>
      <c r="J463" s="8">
        <v>178.89400000000001</v>
      </c>
      <c r="K463" s="8">
        <v>185.68600000000001</v>
      </c>
      <c r="L463" s="8">
        <v>149.84800000000001</v>
      </c>
      <c r="M463" s="8">
        <v>92.302000000000007</v>
      </c>
      <c r="N463" s="8">
        <v>61.078000000000003</v>
      </c>
      <c r="O463" s="8">
        <v>41.405999999999999</v>
      </c>
      <c r="P463" s="8">
        <v>44.127000000000002</v>
      </c>
      <c r="Q463" s="8">
        <v>41.177999999999997</v>
      </c>
      <c r="R463" s="8">
        <v>41.401000000000003</v>
      </c>
      <c r="S463" s="8">
        <v>40.152000000000001</v>
      </c>
      <c r="T463" s="8">
        <v>33.848999999999997</v>
      </c>
      <c r="U463" s="8">
        <v>26.574999999999999</v>
      </c>
      <c r="V463" s="8">
        <v>18.785</v>
      </c>
      <c r="W463" s="8">
        <v>11.816000000000001</v>
      </c>
      <c r="X463" s="8">
        <v>6.2889999999999997</v>
      </c>
      <c r="Y463" s="8">
        <v>2.5539999999999998</v>
      </c>
      <c r="Z463" s="8">
        <v>0.72599999999999998</v>
      </c>
      <c r="AA463" s="8">
        <v>0.123</v>
      </c>
      <c r="AB463" s="8">
        <v>1.2999999999999999E-2</v>
      </c>
      <c r="AC463" s="8">
        <v>1E-3</v>
      </c>
    </row>
    <row r="464" spans="1:29" ht="11.65" x14ac:dyDescent="0.35">
      <c r="A464" s="12">
        <v>447</v>
      </c>
      <c r="B464" s="10" t="s">
        <v>1015</v>
      </c>
      <c r="C464" s="11" t="s">
        <v>592</v>
      </c>
      <c r="D464" s="9"/>
      <c r="E464" s="9">
        <v>232</v>
      </c>
      <c r="F464" s="10" t="s">
        <v>1066</v>
      </c>
      <c r="G464" s="9">
        <v>910</v>
      </c>
      <c r="H464" s="9">
        <v>2005</v>
      </c>
      <c r="I464" s="8">
        <v>212.84800000000001</v>
      </c>
      <c r="J464" s="8">
        <v>162.65899999999999</v>
      </c>
      <c r="K464" s="8">
        <v>178.25</v>
      </c>
      <c r="L464" s="8">
        <v>197.55099999999999</v>
      </c>
      <c r="M464" s="8">
        <v>164.00899999999999</v>
      </c>
      <c r="N464" s="8">
        <v>109.851</v>
      </c>
      <c r="O464" s="8">
        <v>79.677000000000007</v>
      </c>
      <c r="P464" s="8">
        <v>50.963000000000001</v>
      </c>
      <c r="Q464" s="8">
        <v>51.259</v>
      </c>
      <c r="R464" s="8">
        <v>44.783999999999999</v>
      </c>
      <c r="S464" s="8">
        <v>40.890999999999998</v>
      </c>
      <c r="T464" s="8">
        <v>37.784999999999997</v>
      </c>
      <c r="U464" s="8">
        <v>30.332000000000001</v>
      </c>
      <c r="V464" s="8">
        <v>22.533000000000001</v>
      </c>
      <c r="W464" s="8">
        <v>14.539</v>
      </c>
      <c r="X464" s="8">
        <v>7.8520000000000003</v>
      </c>
      <c r="Y464" s="8">
        <v>3.4649999999999999</v>
      </c>
      <c r="Z464" s="8">
        <v>0.90700000000000003</v>
      </c>
      <c r="AA464" s="8">
        <v>0.156</v>
      </c>
      <c r="AB464" s="8">
        <v>1.7000000000000001E-2</v>
      </c>
      <c r="AC464" s="8">
        <v>1E-3</v>
      </c>
    </row>
    <row r="465" spans="1:29" ht="11.65" x14ac:dyDescent="0.35">
      <c r="A465" s="12">
        <v>448</v>
      </c>
      <c r="B465" s="10" t="s">
        <v>1015</v>
      </c>
      <c r="C465" s="11" t="s">
        <v>592</v>
      </c>
      <c r="D465" s="9"/>
      <c r="E465" s="9">
        <v>232</v>
      </c>
      <c r="F465" s="10" t="s">
        <v>1066</v>
      </c>
      <c r="G465" s="9">
        <v>910</v>
      </c>
      <c r="H465" s="9">
        <v>2010</v>
      </c>
      <c r="I465" s="8">
        <v>268.76900000000001</v>
      </c>
      <c r="J465" s="8">
        <v>208.27699999999999</v>
      </c>
      <c r="K465" s="8">
        <v>160.55600000000001</v>
      </c>
      <c r="L465" s="8">
        <v>174.77799999999999</v>
      </c>
      <c r="M465" s="8">
        <v>182.16200000000001</v>
      </c>
      <c r="N465" s="8">
        <v>147.95400000000001</v>
      </c>
      <c r="O465" s="8">
        <v>100.239</v>
      </c>
      <c r="P465" s="8">
        <v>75.103999999999999</v>
      </c>
      <c r="Q465" s="8">
        <v>48.48</v>
      </c>
      <c r="R465" s="8">
        <v>48.353000000000002</v>
      </c>
      <c r="S465" s="8">
        <v>41.624000000000002</v>
      </c>
      <c r="T465" s="8">
        <v>36.984000000000002</v>
      </c>
      <c r="U465" s="8">
        <v>32.938000000000002</v>
      </c>
      <c r="V465" s="8">
        <v>25.143000000000001</v>
      </c>
      <c r="W465" s="8">
        <v>17.117999999999999</v>
      </c>
      <c r="X465" s="8">
        <v>9.6340000000000003</v>
      </c>
      <c r="Y465" s="8">
        <v>4.3019999999999996</v>
      </c>
      <c r="Z465" s="8">
        <v>1.3939999999999999</v>
      </c>
      <c r="AA465" s="8">
        <v>0.23400000000000001</v>
      </c>
      <c r="AB465" s="8">
        <v>2.7E-2</v>
      </c>
      <c r="AC465" s="8">
        <v>2E-3</v>
      </c>
    </row>
    <row r="466" spans="1:29" ht="11.65" x14ac:dyDescent="0.35">
      <c r="A466" s="12">
        <v>449</v>
      </c>
      <c r="B466" s="10" t="s">
        <v>1015</v>
      </c>
      <c r="C466" s="11" t="s">
        <v>592</v>
      </c>
      <c r="D466" s="9"/>
      <c r="E466" s="9">
        <v>232</v>
      </c>
      <c r="F466" s="10" t="s">
        <v>1066</v>
      </c>
      <c r="G466" s="9">
        <v>910</v>
      </c>
      <c r="H466" s="9">
        <v>2015</v>
      </c>
      <c r="I466" s="8">
        <v>257.63799999999998</v>
      </c>
      <c r="J466" s="8">
        <v>261.089</v>
      </c>
      <c r="K466" s="8">
        <v>203.01900000000001</v>
      </c>
      <c r="L466" s="8">
        <v>155.352</v>
      </c>
      <c r="M466" s="8">
        <v>156.65299999999999</v>
      </c>
      <c r="N466" s="8">
        <v>150.67500000000001</v>
      </c>
      <c r="O466" s="8">
        <v>113.155</v>
      </c>
      <c r="P466" s="8">
        <v>79.647000000000006</v>
      </c>
      <c r="Q466" s="8">
        <v>71.566999999999993</v>
      </c>
      <c r="R466" s="8">
        <v>45.542000000000002</v>
      </c>
      <c r="S466" s="8">
        <v>44.814999999999998</v>
      </c>
      <c r="T466" s="8">
        <v>37.567999999999998</v>
      </c>
      <c r="U466" s="8">
        <v>32.209000000000003</v>
      </c>
      <c r="V466" s="8">
        <v>27.329000000000001</v>
      </c>
      <c r="W466" s="8">
        <v>19.122</v>
      </c>
      <c r="X466" s="8">
        <v>11.439</v>
      </c>
      <c r="Y466" s="8">
        <v>5.2830000000000004</v>
      </c>
      <c r="Z466" s="8">
        <v>1.7649999999999999</v>
      </c>
      <c r="AA466" s="8">
        <v>0.41</v>
      </c>
      <c r="AB466" s="8">
        <v>4.9000000000000002E-2</v>
      </c>
      <c r="AC466" s="8">
        <v>4.0000000000000001E-3</v>
      </c>
    </row>
    <row r="467" spans="1:29" ht="11.65" x14ac:dyDescent="0.35">
      <c r="A467" s="12">
        <v>450</v>
      </c>
      <c r="B467" s="10" t="s">
        <v>1015</v>
      </c>
      <c r="C467" s="11" t="s">
        <v>592</v>
      </c>
      <c r="D467" s="9"/>
      <c r="E467" s="9">
        <v>232</v>
      </c>
      <c r="F467" s="10" t="s">
        <v>1066</v>
      </c>
      <c r="G467" s="9">
        <v>910</v>
      </c>
      <c r="H467" s="9">
        <v>2020</v>
      </c>
      <c r="I467" s="8">
        <v>252.785</v>
      </c>
      <c r="J467" s="8">
        <v>243.666</v>
      </c>
      <c r="K467" s="8">
        <v>248.42400000000001</v>
      </c>
      <c r="L467" s="8">
        <v>190.46799999999999</v>
      </c>
      <c r="M467" s="8">
        <v>143.31800000000001</v>
      </c>
      <c r="N467" s="8">
        <v>144.38300000000001</v>
      </c>
      <c r="O467" s="8">
        <v>135.279</v>
      </c>
      <c r="P467" s="8">
        <v>95.790999999999997</v>
      </c>
      <c r="Q467" s="8">
        <v>68.861000000000004</v>
      </c>
      <c r="R467" s="8">
        <v>68.076999999999998</v>
      </c>
      <c r="S467" s="8">
        <v>42.518000000000001</v>
      </c>
      <c r="T467" s="8">
        <v>40.814</v>
      </c>
      <c r="U467" s="8">
        <v>32.997999999999998</v>
      </c>
      <c r="V467" s="8">
        <v>26.962</v>
      </c>
      <c r="W467" s="8">
        <v>20.998000000000001</v>
      </c>
      <c r="X467" s="8">
        <v>12.968999999999999</v>
      </c>
      <c r="Y467" s="8">
        <v>6.4080000000000004</v>
      </c>
      <c r="Z467" s="8">
        <v>2.2029999999999998</v>
      </c>
      <c r="AA467" s="8">
        <v>0.53</v>
      </c>
      <c r="AB467" s="8">
        <v>8.8999999999999996E-2</v>
      </c>
      <c r="AC467" s="8">
        <v>7.0000000000000001E-3</v>
      </c>
    </row>
    <row r="468" spans="1:29" ht="11.65" x14ac:dyDescent="0.35">
      <c r="A468" s="12">
        <v>451</v>
      </c>
      <c r="B468" s="10" t="s">
        <v>1015</v>
      </c>
      <c r="C468" s="11" t="s">
        <v>594</v>
      </c>
      <c r="D468" s="9"/>
      <c r="E468" s="9">
        <v>231</v>
      </c>
      <c r="F468" s="10" t="s">
        <v>1066</v>
      </c>
      <c r="G468" s="9">
        <v>910</v>
      </c>
      <c r="H468" s="9">
        <v>1950</v>
      </c>
      <c r="I468" s="8">
        <v>1683.925</v>
      </c>
      <c r="J468" s="8">
        <v>1275.7370000000001</v>
      </c>
      <c r="K468" s="8">
        <v>1073.905</v>
      </c>
      <c r="L468" s="8">
        <v>927.75400000000002</v>
      </c>
      <c r="M468" s="8">
        <v>792.74400000000003</v>
      </c>
      <c r="N468" s="8">
        <v>672.68899999999996</v>
      </c>
      <c r="O468" s="8">
        <v>569.86099999999999</v>
      </c>
      <c r="P468" s="8">
        <v>486.101</v>
      </c>
      <c r="Q468" s="8">
        <v>408.685</v>
      </c>
      <c r="R468" s="8">
        <v>335.74299999999999</v>
      </c>
      <c r="S468" s="8">
        <v>222.87</v>
      </c>
      <c r="T468" s="8">
        <v>181.41399999999999</v>
      </c>
      <c r="U468" s="8">
        <v>142.59200000000001</v>
      </c>
      <c r="V468" s="8">
        <v>104.744</v>
      </c>
      <c r="W468" s="8">
        <v>69.131</v>
      </c>
      <c r="X468" s="8">
        <v>34.531999999999996</v>
      </c>
      <c r="Y468" s="8">
        <v>12.401999999999999</v>
      </c>
      <c r="Z468" s="8">
        <v>2.8719999999999999</v>
      </c>
      <c r="AA468" s="8">
        <v>0.36499999999999999</v>
      </c>
      <c r="AB468" s="8">
        <v>2.5000000000000001E-2</v>
      </c>
      <c r="AC468" s="8">
        <v>1E-3</v>
      </c>
    </row>
    <row r="469" spans="1:29" ht="11.65" x14ac:dyDescent="0.35">
      <c r="A469" s="12">
        <v>452</v>
      </c>
      <c r="B469" s="10" t="s">
        <v>1015</v>
      </c>
      <c r="C469" s="11" t="s">
        <v>594</v>
      </c>
      <c r="D469" s="9"/>
      <c r="E469" s="9">
        <v>231</v>
      </c>
      <c r="F469" s="10" t="s">
        <v>1066</v>
      </c>
      <c r="G469" s="9">
        <v>910</v>
      </c>
      <c r="H469" s="9">
        <v>1955</v>
      </c>
      <c r="I469" s="8">
        <v>1757.5730000000001</v>
      </c>
      <c r="J469" s="8">
        <v>1432.366</v>
      </c>
      <c r="K469" s="8">
        <v>1211.7909999999999</v>
      </c>
      <c r="L469" s="8">
        <v>1033.8399999999999</v>
      </c>
      <c r="M469" s="8">
        <v>882.77</v>
      </c>
      <c r="N469" s="8">
        <v>745.97299999999996</v>
      </c>
      <c r="O469" s="8">
        <v>631.10900000000004</v>
      </c>
      <c r="P469" s="8">
        <v>531.21600000000001</v>
      </c>
      <c r="Q469" s="8">
        <v>447.59800000000001</v>
      </c>
      <c r="R469" s="8">
        <v>370.09199999999998</v>
      </c>
      <c r="S469" s="8">
        <v>297.697</v>
      </c>
      <c r="T469" s="8">
        <v>191.333</v>
      </c>
      <c r="U469" s="8">
        <v>147.87700000000001</v>
      </c>
      <c r="V469" s="8">
        <v>107.059</v>
      </c>
      <c r="W469" s="8">
        <v>68.242000000000004</v>
      </c>
      <c r="X469" s="8">
        <v>35.908000000000001</v>
      </c>
      <c r="Y469" s="8">
        <v>12.874000000000001</v>
      </c>
      <c r="Z469" s="8">
        <v>2.8719999999999999</v>
      </c>
      <c r="AA469" s="8">
        <v>0.36499999999999999</v>
      </c>
      <c r="AB469" s="8">
        <v>2.5000000000000001E-2</v>
      </c>
      <c r="AC469" s="8">
        <v>1E-3</v>
      </c>
    </row>
    <row r="470" spans="1:29" ht="11.65" x14ac:dyDescent="0.35">
      <c r="A470" s="12">
        <v>453</v>
      </c>
      <c r="B470" s="10" t="s">
        <v>1015</v>
      </c>
      <c r="C470" s="11" t="s">
        <v>594</v>
      </c>
      <c r="D470" s="9"/>
      <c r="E470" s="9">
        <v>231</v>
      </c>
      <c r="F470" s="10" t="s">
        <v>1066</v>
      </c>
      <c r="G470" s="9">
        <v>910</v>
      </c>
      <c r="H470" s="9">
        <v>1960</v>
      </c>
      <c r="I470" s="8">
        <v>1944.1949999999999</v>
      </c>
      <c r="J470" s="8">
        <v>1521.0540000000001</v>
      </c>
      <c r="K470" s="8">
        <v>1367.2850000000001</v>
      </c>
      <c r="L470" s="8">
        <v>1170.4770000000001</v>
      </c>
      <c r="M470" s="8">
        <v>987.70699999999999</v>
      </c>
      <c r="N470" s="8">
        <v>834.84799999999996</v>
      </c>
      <c r="O470" s="8">
        <v>703.56100000000004</v>
      </c>
      <c r="P470" s="8">
        <v>591.77700000000004</v>
      </c>
      <c r="Q470" s="8">
        <v>492.55200000000002</v>
      </c>
      <c r="R470" s="8">
        <v>408.72</v>
      </c>
      <c r="S470" s="8">
        <v>331.31799999999998</v>
      </c>
      <c r="T470" s="8">
        <v>258.61</v>
      </c>
      <c r="U470" s="8">
        <v>158.357</v>
      </c>
      <c r="V470" s="8">
        <v>113.29</v>
      </c>
      <c r="W470" s="8">
        <v>71.873999999999995</v>
      </c>
      <c r="X470" s="8">
        <v>37.119999999999997</v>
      </c>
      <c r="Y470" s="8">
        <v>14.327999999999999</v>
      </c>
      <c r="Z470" s="8">
        <v>3.2770000000000001</v>
      </c>
      <c r="AA470" s="8">
        <v>0.41</v>
      </c>
      <c r="AB470" s="8">
        <v>2.9000000000000001E-2</v>
      </c>
      <c r="AC470" s="8">
        <v>1E-3</v>
      </c>
    </row>
    <row r="471" spans="1:29" ht="11.65" x14ac:dyDescent="0.35">
      <c r="A471" s="12">
        <v>454</v>
      </c>
      <c r="B471" s="10" t="s">
        <v>1015</v>
      </c>
      <c r="C471" s="11" t="s">
        <v>594</v>
      </c>
      <c r="D471" s="9"/>
      <c r="E471" s="9">
        <v>231</v>
      </c>
      <c r="F471" s="10" t="s">
        <v>1066</v>
      </c>
      <c r="G471" s="9">
        <v>910</v>
      </c>
      <c r="H471" s="9">
        <v>1965</v>
      </c>
      <c r="I471" s="8">
        <v>2264.0839999999998</v>
      </c>
      <c r="J471" s="8">
        <v>1716.9469999999999</v>
      </c>
      <c r="K471" s="8">
        <v>1460.4590000000001</v>
      </c>
      <c r="L471" s="8">
        <v>1325.9349999999999</v>
      </c>
      <c r="M471" s="8">
        <v>1123.681</v>
      </c>
      <c r="N471" s="8">
        <v>939.67200000000003</v>
      </c>
      <c r="O471" s="8">
        <v>792.346</v>
      </c>
      <c r="P471" s="8">
        <v>664.35400000000004</v>
      </c>
      <c r="Q471" s="8">
        <v>553.28300000000002</v>
      </c>
      <c r="R471" s="8">
        <v>454.26499999999999</v>
      </c>
      <c r="S471" s="8">
        <v>370.13</v>
      </c>
      <c r="T471" s="8">
        <v>291.834</v>
      </c>
      <c r="U471" s="8">
        <v>217.93600000000001</v>
      </c>
      <c r="V471" s="8">
        <v>124.23099999999999</v>
      </c>
      <c r="W471" s="8">
        <v>78.745999999999995</v>
      </c>
      <c r="X471" s="8">
        <v>41.218000000000004</v>
      </c>
      <c r="Y471" s="8">
        <v>15.988</v>
      </c>
      <c r="Z471" s="8">
        <v>4.0579999999999998</v>
      </c>
      <c r="AA471" s="8">
        <v>0.53500000000000003</v>
      </c>
      <c r="AB471" s="8">
        <v>3.5999999999999997E-2</v>
      </c>
      <c r="AC471" s="8">
        <v>2E-3</v>
      </c>
    </row>
    <row r="472" spans="1:29" ht="11.65" x14ac:dyDescent="0.35">
      <c r="A472" s="12">
        <v>455</v>
      </c>
      <c r="B472" s="10" t="s">
        <v>1015</v>
      </c>
      <c r="C472" s="11" t="s">
        <v>594</v>
      </c>
      <c r="D472" s="9"/>
      <c r="E472" s="9">
        <v>231</v>
      </c>
      <c r="F472" s="10" t="s">
        <v>1066</v>
      </c>
      <c r="G472" s="9">
        <v>910</v>
      </c>
      <c r="H472" s="9">
        <v>1970</v>
      </c>
      <c r="I472" s="8">
        <v>2594.9479999999999</v>
      </c>
      <c r="J472" s="8">
        <v>2020.9839999999999</v>
      </c>
      <c r="K472" s="8">
        <v>1652.96</v>
      </c>
      <c r="L472" s="8">
        <v>1418.4680000000001</v>
      </c>
      <c r="M472" s="8">
        <v>1275.575</v>
      </c>
      <c r="N472" s="8">
        <v>1071.9749999999999</v>
      </c>
      <c r="O472" s="8">
        <v>894.43</v>
      </c>
      <c r="P472" s="8">
        <v>750.67899999999997</v>
      </c>
      <c r="Q472" s="8">
        <v>623.678</v>
      </c>
      <c r="R472" s="8">
        <v>512.851</v>
      </c>
      <c r="S472" s="8">
        <v>413.81</v>
      </c>
      <c r="T472" s="8">
        <v>328.40800000000002</v>
      </c>
      <c r="U472" s="8">
        <v>248.304</v>
      </c>
      <c r="V472" s="8">
        <v>173.20400000000001</v>
      </c>
      <c r="W472" s="8">
        <v>88.015000000000001</v>
      </c>
      <c r="X472" s="8">
        <v>46.484000000000002</v>
      </c>
      <c r="Y472" s="8">
        <v>18.507999999999999</v>
      </c>
      <c r="Z472" s="8">
        <v>4.8029999999999999</v>
      </c>
      <c r="AA472" s="8">
        <v>0.71499999999999997</v>
      </c>
      <c r="AB472" s="8">
        <v>0.05</v>
      </c>
      <c r="AC472" s="8">
        <v>2E-3</v>
      </c>
    </row>
    <row r="473" spans="1:29" ht="11.65" x14ac:dyDescent="0.35">
      <c r="A473" s="12">
        <v>456</v>
      </c>
      <c r="B473" s="10" t="s">
        <v>1015</v>
      </c>
      <c r="C473" s="11" t="s">
        <v>594</v>
      </c>
      <c r="D473" s="9"/>
      <c r="E473" s="9">
        <v>231</v>
      </c>
      <c r="F473" s="10" t="s">
        <v>1066</v>
      </c>
      <c r="G473" s="9">
        <v>910</v>
      </c>
      <c r="H473" s="9">
        <v>1975</v>
      </c>
      <c r="I473" s="8">
        <v>3043.4450000000002</v>
      </c>
      <c r="J473" s="8">
        <v>2353.6550000000002</v>
      </c>
      <c r="K473" s="8">
        <v>1942.8130000000001</v>
      </c>
      <c r="L473" s="8">
        <v>1606.3140000000001</v>
      </c>
      <c r="M473" s="8">
        <v>1366.6120000000001</v>
      </c>
      <c r="N473" s="8">
        <v>1219.211</v>
      </c>
      <c r="O473" s="8">
        <v>1022.453</v>
      </c>
      <c r="P473" s="8">
        <v>849.346</v>
      </c>
      <c r="Q473" s="8">
        <v>706.73299999999995</v>
      </c>
      <c r="R473" s="8">
        <v>580.14700000000005</v>
      </c>
      <c r="S473" s="8">
        <v>469.089</v>
      </c>
      <c r="T473" s="8">
        <v>368.93</v>
      </c>
      <c r="U473" s="8">
        <v>281.226</v>
      </c>
      <c r="V473" s="8">
        <v>199.06299999999999</v>
      </c>
      <c r="W473" s="8">
        <v>124.304</v>
      </c>
      <c r="X473" s="8">
        <v>52.953000000000003</v>
      </c>
      <c r="Y473" s="8">
        <v>21.442</v>
      </c>
      <c r="Z473" s="8">
        <v>5.77</v>
      </c>
      <c r="AA473" s="8">
        <v>0.88300000000000001</v>
      </c>
      <c r="AB473" s="8">
        <v>7.3999999999999996E-2</v>
      </c>
      <c r="AC473" s="8">
        <v>3.0000000000000001E-3</v>
      </c>
    </row>
    <row r="474" spans="1:29" ht="11.65" x14ac:dyDescent="0.35">
      <c r="A474" s="12">
        <v>457</v>
      </c>
      <c r="B474" s="10" t="s">
        <v>1015</v>
      </c>
      <c r="C474" s="11" t="s">
        <v>594</v>
      </c>
      <c r="D474" s="9"/>
      <c r="E474" s="9">
        <v>231</v>
      </c>
      <c r="F474" s="10" t="s">
        <v>1066</v>
      </c>
      <c r="G474" s="9">
        <v>910</v>
      </c>
      <c r="H474" s="9">
        <v>1980</v>
      </c>
      <c r="I474" s="8">
        <v>3361.0529999999999</v>
      </c>
      <c r="J474" s="8">
        <v>2626.7559999999999</v>
      </c>
      <c r="K474" s="8">
        <v>2030.348</v>
      </c>
      <c r="L474" s="8">
        <v>1642.3869999999999</v>
      </c>
      <c r="M474" s="8">
        <v>1378.925</v>
      </c>
      <c r="N474" s="8">
        <v>1200.521</v>
      </c>
      <c r="O474" s="8">
        <v>1110.778</v>
      </c>
      <c r="P474" s="8">
        <v>940.21299999999997</v>
      </c>
      <c r="Q474" s="8">
        <v>768.75400000000002</v>
      </c>
      <c r="R474" s="8">
        <v>646.03700000000003</v>
      </c>
      <c r="S474" s="8">
        <v>509.49799999999999</v>
      </c>
      <c r="T474" s="8">
        <v>432.33100000000002</v>
      </c>
      <c r="U474" s="8">
        <v>320.36099999999999</v>
      </c>
      <c r="V474" s="8">
        <v>242.16300000000001</v>
      </c>
      <c r="W474" s="8">
        <v>151.434</v>
      </c>
      <c r="X474" s="8">
        <v>92</v>
      </c>
      <c r="Y474" s="8">
        <v>30.920999999999999</v>
      </c>
      <c r="Z474" s="8">
        <v>6.8540000000000001</v>
      </c>
      <c r="AA474" s="8">
        <v>1.0980000000000001</v>
      </c>
      <c r="AB474" s="8">
        <v>9.1999999999999998E-2</v>
      </c>
      <c r="AC474" s="8">
        <v>4.0000000000000001E-3</v>
      </c>
    </row>
    <row r="475" spans="1:29" ht="11.65" x14ac:dyDescent="0.35">
      <c r="A475" s="12">
        <v>458</v>
      </c>
      <c r="B475" s="10" t="s">
        <v>1015</v>
      </c>
      <c r="C475" s="11" t="s">
        <v>594</v>
      </c>
      <c r="D475" s="9"/>
      <c r="E475" s="9">
        <v>231</v>
      </c>
      <c r="F475" s="10" t="s">
        <v>1066</v>
      </c>
      <c r="G475" s="9">
        <v>910</v>
      </c>
      <c r="H475" s="9">
        <v>1985</v>
      </c>
      <c r="I475" s="8">
        <v>3864.2080000000001</v>
      </c>
      <c r="J475" s="8">
        <v>3052.422</v>
      </c>
      <c r="K475" s="8">
        <v>2545.143</v>
      </c>
      <c r="L475" s="8">
        <v>2001.3810000000001</v>
      </c>
      <c r="M475" s="8">
        <v>1611.213</v>
      </c>
      <c r="N475" s="8">
        <v>1338.3610000000001</v>
      </c>
      <c r="O475" s="8">
        <v>1158.616</v>
      </c>
      <c r="P475" s="8">
        <v>1062.5260000000001</v>
      </c>
      <c r="Q475" s="8">
        <v>890.11800000000005</v>
      </c>
      <c r="R475" s="8">
        <v>719.71900000000005</v>
      </c>
      <c r="S475" s="8">
        <v>593.34500000000003</v>
      </c>
      <c r="T475" s="8">
        <v>457.38400000000001</v>
      </c>
      <c r="U475" s="8">
        <v>369.81200000000001</v>
      </c>
      <c r="V475" s="8">
        <v>257.08600000000001</v>
      </c>
      <c r="W475" s="8">
        <v>172.72399999999999</v>
      </c>
      <c r="X475" s="8">
        <v>90.634</v>
      </c>
      <c r="Y475" s="8">
        <v>40.779000000000003</v>
      </c>
      <c r="Z475" s="8">
        <v>9.6479999999999997</v>
      </c>
      <c r="AA475" s="8">
        <v>1.2609999999999999</v>
      </c>
      <c r="AB475" s="8">
        <v>0.112</v>
      </c>
      <c r="AC475" s="8">
        <v>5.0000000000000001E-3</v>
      </c>
    </row>
    <row r="476" spans="1:29" ht="11.65" x14ac:dyDescent="0.35">
      <c r="A476" s="12">
        <v>459</v>
      </c>
      <c r="B476" s="10" t="s">
        <v>1015</v>
      </c>
      <c r="C476" s="11" t="s">
        <v>594</v>
      </c>
      <c r="D476" s="9"/>
      <c r="E476" s="9">
        <v>231</v>
      </c>
      <c r="F476" s="10" t="s">
        <v>1066</v>
      </c>
      <c r="G476" s="9">
        <v>910</v>
      </c>
      <c r="H476" s="9">
        <v>1990</v>
      </c>
      <c r="I476" s="8">
        <v>4570.7740000000003</v>
      </c>
      <c r="J476" s="8">
        <v>3634.7649999999999</v>
      </c>
      <c r="K476" s="8">
        <v>2960.3989999999999</v>
      </c>
      <c r="L476" s="8">
        <v>2488.3249999999998</v>
      </c>
      <c r="M476" s="8">
        <v>1950.8510000000001</v>
      </c>
      <c r="N476" s="8">
        <v>1579.011</v>
      </c>
      <c r="O476" s="8">
        <v>1315.4949999999999</v>
      </c>
      <c r="P476" s="8">
        <v>1135.1089999999999</v>
      </c>
      <c r="Q476" s="8">
        <v>1014.981</v>
      </c>
      <c r="R476" s="8">
        <v>843.71299999999997</v>
      </c>
      <c r="S476" s="8">
        <v>673.75</v>
      </c>
      <c r="T476" s="8">
        <v>561.02800000000002</v>
      </c>
      <c r="U476" s="8">
        <v>405.82799999999997</v>
      </c>
      <c r="V476" s="8">
        <v>316.52499999999998</v>
      </c>
      <c r="W476" s="8">
        <v>223.52099999999999</v>
      </c>
      <c r="X476" s="8">
        <v>136.15</v>
      </c>
      <c r="Y476" s="8">
        <v>54.44</v>
      </c>
      <c r="Z476" s="8">
        <v>13.628</v>
      </c>
      <c r="AA476" s="8">
        <v>1.9390000000000001</v>
      </c>
      <c r="AB476" s="8">
        <v>0.14000000000000001</v>
      </c>
      <c r="AC476" s="8">
        <v>7.0000000000000001E-3</v>
      </c>
    </row>
    <row r="477" spans="1:29" ht="11.65" x14ac:dyDescent="0.35">
      <c r="A477" s="12">
        <v>460</v>
      </c>
      <c r="B477" s="10" t="s">
        <v>1015</v>
      </c>
      <c r="C477" s="11" t="s">
        <v>594</v>
      </c>
      <c r="D477" s="9"/>
      <c r="E477" s="9">
        <v>231</v>
      </c>
      <c r="F477" s="10" t="s">
        <v>1066</v>
      </c>
      <c r="G477" s="9">
        <v>910</v>
      </c>
      <c r="H477" s="9">
        <v>1995</v>
      </c>
      <c r="I477" s="8">
        <v>5321.2309999999998</v>
      </c>
      <c r="J477" s="8">
        <v>4377.835</v>
      </c>
      <c r="K477" s="8">
        <v>3718.0419999999999</v>
      </c>
      <c r="L477" s="8">
        <v>2922.8609999999999</v>
      </c>
      <c r="M477" s="8">
        <v>2443.3809999999999</v>
      </c>
      <c r="N477" s="8">
        <v>1899.1189999999999</v>
      </c>
      <c r="O477" s="8">
        <v>1515.79</v>
      </c>
      <c r="P477" s="8">
        <v>1303.8810000000001</v>
      </c>
      <c r="Q477" s="8">
        <v>1123.182</v>
      </c>
      <c r="R477" s="8">
        <v>966.64700000000005</v>
      </c>
      <c r="S477" s="8">
        <v>799.529</v>
      </c>
      <c r="T477" s="8">
        <v>628.16999999999996</v>
      </c>
      <c r="U477" s="8">
        <v>536.11599999999999</v>
      </c>
      <c r="V477" s="8">
        <v>336.53300000000002</v>
      </c>
      <c r="W477" s="8">
        <v>258.05099999999999</v>
      </c>
      <c r="X477" s="8">
        <v>182.999</v>
      </c>
      <c r="Y477" s="8">
        <v>85.397999999999996</v>
      </c>
      <c r="Z477" s="8">
        <v>18.896999999999998</v>
      </c>
      <c r="AA477" s="8">
        <v>2.879</v>
      </c>
      <c r="AB477" s="8">
        <v>0.22800000000000001</v>
      </c>
      <c r="AC477" s="8">
        <v>0.01</v>
      </c>
    </row>
    <row r="478" spans="1:29" ht="11.65" x14ac:dyDescent="0.35">
      <c r="A478" s="12">
        <v>461</v>
      </c>
      <c r="B478" s="10" t="s">
        <v>1015</v>
      </c>
      <c r="C478" s="11" t="s">
        <v>594</v>
      </c>
      <c r="D478" s="9"/>
      <c r="E478" s="9">
        <v>231</v>
      </c>
      <c r="F478" s="10" t="s">
        <v>1066</v>
      </c>
      <c r="G478" s="9">
        <v>910</v>
      </c>
      <c r="H478" s="9">
        <v>2000</v>
      </c>
      <c r="I478" s="8">
        <v>6246.6239999999998</v>
      </c>
      <c r="J478" s="8">
        <v>5042.5169999999998</v>
      </c>
      <c r="K478" s="8">
        <v>4244.1880000000001</v>
      </c>
      <c r="L478" s="8">
        <v>3608.989</v>
      </c>
      <c r="M478" s="8">
        <v>2831.2950000000001</v>
      </c>
      <c r="N478" s="8">
        <v>2360.797</v>
      </c>
      <c r="O478" s="8">
        <v>1824.1020000000001</v>
      </c>
      <c r="P478" s="8">
        <v>1436.2639999999999</v>
      </c>
      <c r="Q478" s="8">
        <v>1218.5050000000001</v>
      </c>
      <c r="R478" s="8">
        <v>1034.0530000000001</v>
      </c>
      <c r="S478" s="8">
        <v>888.99300000000005</v>
      </c>
      <c r="T478" s="8">
        <v>724.428</v>
      </c>
      <c r="U478" s="8">
        <v>552.91800000000001</v>
      </c>
      <c r="V478" s="8">
        <v>447.13799999999998</v>
      </c>
      <c r="W478" s="8">
        <v>256.2</v>
      </c>
      <c r="X478" s="8">
        <v>169.92500000000001</v>
      </c>
      <c r="Y478" s="8">
        <v>96.078999999999994</v>
      </c>
      <c r="Z478" s="8">
        <v>31.699000000000002</v>
      </c>
      <c r="AA478" s="8">
        <v>4.3280000000000003</v>
      </c>
      <c r="AB478" s="8">
        <v>0.36799999999999999</v>
      </c>
      <c r="AC478" s="8">
        <v>1.7000000000000001E-2</v>
      </c>
    </row>
    <row r="479" spans="1:29" ht="11.65" x14ac:dyDescent="0.35">
      <c r="A479" s="12">
        <v>462</v>
      </c>
      <c r="B479" s="10" t="s">
        <v>1015</v>
      </c>
      <c r="C479" s="11" t="s">
        <v>594</v>
      </c>
      <c r="D479" s="9"/>
      <c r="E479" s="9">
        <v>231</v>
      </c>
      <c r="F479" s="10" t="s">
        <v>1066</v>
      </c>
      <c r="G479" s="9">
        <v>910</v>
      </c>
      <c r="H479" s="9">
        <v>2005</v>
      </c>
      <c r="I479" s="8">
        <v>6860.22</v>
      </c>
      <c r="J479" s="8">
        <v>6084.0730000000003</v>
      </c>
      <c r="K479" s="8">
        <v>4995.0929999999998</v>
      </c>
      <c r="L479" s="8">
        <v>4028.5659999999998</v>
      </c>
      <c r="M479" s="8">
        <v>3336.3119999999999</v>
      </c>
      <c r="N479" s="8">
        <v>2667.087</v>
      </c>
      <c r="O479" s="8">
        <v>2280.1570000000002</v>
      </c>
      <c r="P479" s="8">
        <v>1757.2149999999999</v>
      </c>
      <c r="Q479" s="8">
        <v>1345.847</v>
      </c>
      <c r="R479" s="8">
        <v>1148</v>
      </c>
      <c r="S479" s="8">
        <v>965.25099999999998</v>
      </c>
      <c r="T479" s="8">
        <v>815.85699999999997</v>
      </c>
      <c r="U479" s="8">
        <v>650.19200000000001</v>
      </c>
      <c r="V479" s="8">
        <v>471.947</v>
      </c>
      <c r="W479" s="8">
        <v>351.02800000000002</v>
      </c>
      <c r="X479" s="8">
        <v>176.27799999999999</v>
      </c>
      <c r="Y479" s="8">
        <v>94.516000000000005</v>
      </c>
      <c r="Z479" s="8">
        <v>37.944000000000003</v>
      </c>
      <c r="AA479" s="8">
        <v>7.8650000000000002</v>
      </c>
      <c r="AB479" s="8">
        <v>0.60099999999999998</v>
      </c>
      <c r="AC479" s="8">
        <v>2.9000000000000001E-2</v>
      </c>
    </row>
    <row r="480" spans="1:29" ht="11.65" x14ac:dyDescent="0.35">
      <c r="A480" s="12">
        <v>463</v>
      </c>
      <c r="B480" s="10" t="s">
        <v>1015</v>
      </c>
      <c r="C480" s="11" t="s">
        <v>594</v>
      </c>
      <c r="D480" s="9"/>
      <c r="E480" s="9">
        <v>231</v>
      </c>
      <c r="F480" s="10" t="s">
        <v>1066</v>
      </c>
      <c r="G480" s="9">
        <v>910</v>
      </c>
      <c r="H480" s="9">
        <v>2010</v>
      </c>
      <c r="I480" s="8">
        <v>7217.6779999999999</v>
      </c>
      <c r="J480" s="8">
        <v>6672.8879999999999</v>
      </c>
      <c r="K480" s="8">
        <v>6032.2110000000002</v>
      </c>
      <c r="L480" s="8">
        <v>4973.1109999999999</v>
      </c>
      <c r="M480" s="8">
        <v>3832.895</v>
      </c>
      <c r="N480" s="8">
        <v>3177.877</v>
      </c>
      <c r="O480" s="8">
        <v>2549.627</v>
      </c>
      <c r="P480" s="8">
        <v>2194.3220000000001</v>
      </c>
      <c r="Q480" s="8">
        <v>1689.2260000000001</v>
      </c>
      <c r="R480" s="8">
        <v>1278.8320000000001</v>
      </c>
      <c r="S480" s="8">
        <v>1085.1969999999999</v>
      </c>
      <c r="T480" s="8">
        <v>903.42600000000004</v>
      </c>
      <c r="U480" s="8">
        <v>744.26199999999994</v>
      </c>
      <c r="V480" s="8">
        <v>566.63900000000001</v>
      </c>
      <c r="W480" s="8">
        <v>382.66300000000001</v>
      </c>
      <c r="X480" s="8">
        <v>249.86099999999999</v>
      </c>
      <c r="Y480" s="8">
        <v>125.374</v>
      </c>
      <c r="Z480" s="8">
        <v>39.935000000000002</v>
      </c>
      <c r="AA480" s="8">
        <v>10.208</v>
      </c>
      <c r="AB480" s="8">
        <v>1.1950000000000001</v>
      </c>
      <c r="AC480" s="8">
        <v>5.1999999999999998E-2</v>
      </c>
    </row>
    <row r="481" spans="1:29" ht="11.65" x14ac:dyDescent="0.35">
      <c r="A481" s="12">
        <v>464</v>
      </c>
      <c r="B481" s="10" t="s">
        <v>1015</v>
      </c>
      <c r="C481" s="11" t="s">
        <v>594</v>
      </c>
      <c r="D481" s="9"/>
      <c r="E481" s="9">
        <v>231</v>
      </c>
      <c r="F481" s="10" t="s">
        <v>1066</v>
      </c>
      <c r="G481" s="9">
        <v>910</v>
      </c>
      <c r="H481" s="9">
        <v>2015</v>
      </c>
      <c r="I481" s="8">
        <v>7854.9269999999997</v>
      </c>
      <c r="J481" s="8">
        <v>7067.7250000000004</v>
      </c>
      <c r="K481" s="8">
        <v>6596.4930000000004</v>
      </c>
      <c r="L481" s="8">
        <v>5989.848</v>
      </c>
      <c r="M481" s="8">
        <v>4946.49</v>
      </c>
      <c r="N481" s="8">
        <v>3812.8789999999999</v>
      </c>
      <c r="O481" s="8">
        <v>3150.998</v>
      </c>
      <c r="P481" s="8">
        <v>2510.1729999999998</v>
      </c>
      <c r="Q481" s="8">
        <v>2140.7800000000002</v>
      </c>
      <c r="R481" s="8">
        <v>1635.9770000000001</v>
      </c>
      <c r="S481" s="8">
        <v>1225.9169999999999</v>
      </c>
      <c r="T481" s="8">
        <v>1025.19</v>
      </c>
      <c r="U481" s="8">
        <v>832.89499999999998</v>
      </c>
      <c r="V481" s="8">
        <v>655.89</v>
      </c>
      <c r="W481" s="8">
        <v>464.666</v>
      </c>
      <c r="X481" s="8">
        <v>278.726</v>
      </c>
      <c r="Y481" s="8">
        <v>150.11799999999999</v>
      </c>
      <c r="Z481" s="8">
        <v>55.622</v>
      </c>
      <c r="AA481" s="8">
        <v>11.45</v>
      </c>
      <c r="AB481" s="8">
        <v>1.71</v>
      </c>
      <c r="AC481" s="8">
        <v>0.115</v>
      </c>
    </row>
    <row r="482" spans="1:29" ht="11.65" x14ac:dyDescent="0.35">
      <c r="A482" s="12">
        <v>465</v>
      </c>
      <c r="B482" s="10" t="s">
        <v>1015</v>
      </c>
      <c r="C482" s="11" t="s">
        <v>594</v>
      </c>
      <c r="D482" s="9"/>
      <c r="E482" s="9">
        <v>231</v>
      </c>
      <c r="F482" s="10" t="s">
        <v>1066</v>
      </c>
      <c r="G482" s="9">
        <v>910</v>
      </c>
      <c r="H482" s="9">
        <v>2020</v>
      </c>
      <c r="I482" s="8">
        <v>8520.3060000000005</v>
      </c>
      <c r="J482" s="8">
        <v>7720.5079999999998</v>
      </c>
      <c r="K482" s="8">
        <v>6999.0730000000003</v>
      </c>
      <c r="L482" s="8">
        <v>6543.1970000000001</v>
      </c>
      <c r="M482" s="8">
        <v>5930.683</v>
      </c>
      <c r="N482" s="8">
        <v>4889.7389999999996</v>
      </c>
      <c r="O482" s="8">
        <v>3761.3490000000002</v>
      </c>
      <c r="P482" s="8">
        <v>3091.1480000000001</v>
      </c>
      <c r="Q482" s="8">
        <v>2445.5230000000001</v>
      </c>
      <c r="R482" s="8">
        <v>2071.48</v>
      </c>
      <c r="S482" s="8">
        <v>1567.789</v>
      </c>
      <c r="T482" s="8">
        <v>1159.002</v>
      </c>
      <c r="U482" s="8">
        <v>946.59400000000005</v>
      </c>
      <c r="V482" s="8">
        <v>735.74699999999996</v>
      </c>
      <c r="W482" s="8">
        <v>539.87400000000002</v>
      </c>
      <c r="X482" s="8">
        <v>340.20699999999999</v>
      </c>
      <c r="Y482" s="8">
        <v>168.83099999999999</v>
      </c>
      <c r="Z482" s="8">
        <v>67.382999999999996</v>
      </c>
      <c r="AA482" s="8">
        <v>16.274999999999999</v>
      </c>
      <c r="AB482" s="8">
        <v>1.946</v>
      </c>
      <c r="AC482" s="8">
        <v>0.18099999999999999</v>
      </c>
    </row>
    <row r="483" spans="1:29" ht="11.65" x14ac:dyDescent="0.35">
      <c r="A483" s="12">
        <v>466</v>
      </c>
      <c r="B483" s="10" t="s">
        <v>1015</v>
      </c>
      <c r="C483" s="11" t="s">
        <v>1069</v>
      </c>
      <c r="D483" s="9"/>
      <c r="E483" s="9">
        <v>404</v>
      </c>
      <c r="F483" s="10" t="s">
        <v>1066</v>
      </c>
      <c r="G483" s="9">
        <v>910</v>
      </c>
      <c r="H483" s="9">
        <v>1950</v>
      </c>
      <c r="I483" s="8">
        <v>530.10400000000004</v>
      </c>
      <c r="J483" s="8">
        <v>354.14699999999999</v>
      </c>
      <c r="K483" s="8">
        <v>326.98599999999999</v>
      </c>
      <c r="L483" s="8">
        <v>316.221</v>
      </c>
      <c r="M483" s="8">
        <v>271.601</v>
      </c>
      <c r="N483" s="8">
        <v>230.666</v>
      </c>
      <c r="O483" s="8">
        <v>199.917</v>
      </c>
      <c r="P483" s="8">
        <v>179.64400000000001</v>
      </c>
      <c r="Q483" s="8">
        <v>159.75800000000001</v>
      </c>
      <c r="R483" s="8">
        <v>132.405</v>
      </c>
      <c r="S483" s="8">
        <v>109.999</v>
      </c>
      <c r="T483" s="8">
        <v>87.3</v>
      </c>
      <c r="U483" s="8">
        <v>67.802000000000007</v>
      </c>
      <c r="V483" s="8">
        <v>47.723999999999997</v>
      </c>
      <c r="W483" s="8">
        <v>28.616</v>
      </c>
      <c r="X483" s="8">
        <v>14.840999999999999</v>
      </c>
      <c r="Y483" s="8">
        <v>5.0510000000000002</v>
      </c>
      <c r="Z483" s="8">
        <v>1.466</v>
      </c>
      <c r="AA483" s="8">
        <v>0.251</v>
      </c>
      <c r="AB483" s="8">
        <v>2.3E-2</v>
      </c>
      <c r="AC483" s="8">
        <v>1E-3</v>
      </c>
    </row>
    <row r="484" spans="1:29" ht="11.65" x14ac:dyDescent="0.35">
      <c r="A484" s="12">
        <v>467</v>
      </c>
      <c r="B484" s="10" t="s">
        <v>1015</v>
      </c>
      <c r="C484" s="11" t="s">
        <v>1069</v>
      </c>
      <c r="D484" s="9"/>
      <c r="E484" s="9">
        <v>404</v>
      </c>
      <c r="F484" s="10" t="s">
        <v>1066</v>
      </c>
      <c r="G484" s="9">
        <v>910</v>
      </c>
      <c r="H484" s="9">
        <v>1955</v>
      </c>
      <c r="I484" s="8">
        <v>677.54600000000005</v>
      </c>
      <c r="J484" s="8">
        <v>478.06599999999997</v>
      </c>
      <c r="K484" s="8">
        <v>341.363</v>
      </c>
      <c r="L484" s="8">
        <v>318.005</v>
      </c>
      <c r="M484" s="8">
        <v>304.50299999999999</v>
      </c>
      <c r="N484" s="8">
        <v>259.23099999999999</v>
      </c>
      <c r="O484" s="8">
        <v>219.32900000000001</v>
      </c>
      <c r="P484" s="8">
        <v>188.89400000000001</v>
      </c>
      <c r="Q484" s="8">
        <v>168.16800000000001</v>
      </c>
      <c r="R484" s="8">
        <v>147.99</v>
      </c>
      <c r="S484" s="8">
        <v>120.85</v>
      </c>
      <c r="T484" s="8">
        <v>98.3</v>
      </c>
      <c r="U484" s="8">
        <v>75.388000000000005</v>
      </c>
      <c r="V484" s="8">
        <v>55.127000000000002</v>
      </c>
      <c r="W484" s="8">
        <v>35.110999999999997</v>
      </c>
      <c r="X484" s="8">
        <v>17.861999999999998</v>
      </c>
      <c r="Y484" s="8">
        <v>7.101</v>
      </c>
      <c r="Z484" s="8">
        <v>1.577</v>
      </c>
      <c r="AA484" s="8">
        <v>0.24199999999999999</v>
      </c>
      <c r="AB484" s="8">
        <v>0.02</v>
      </c>
      <c r="AC484" s="8">
        <v>1E-3</v>
      </c>
    </row>
    <row r="485" spans="1:29" ht="11.65" x14ac:dyDescent="0.35">
      <c r="A485" s="12">
        <v>468</v>
      </c>
      <c r="B485" s="10" t="s">
        <v>1015</v>
      </c>
      <c r="C485" s="11" t="s">
        <v>1069</v>
      </c>
      <c r="D485" s="9"/>
      <c r="E485" s="9">
        <v>404</v>
      </c>
      <c r="F485" s="10" t="s">
        <v>1066</v>
      </c>
      <c r="G485" s="9">
        <v>910</v>
      </c>
      <c r="H485" s="9">
        <v>1960</v>
      </c>
      <c r="I485" s="8">
        <v>801.89499999999998</v>
      </c>
      <c r="J485" s="8">
        <v>620.524</v>
      </c>
      <c r="K485" s="8">
        <v>463.54700000000003</v>
      </c>
      <c r="L485" s="8">
        <v>333.24099999999999</v>
      </c>
      <c r="M485" s="8">
        <v>307.54399999999998</v>
      </c>
      <c r="N485" s="8">
        <v>292.14100000000002</v>
      </c>
      <c r="O485" s="8">
        <v>247.82599999999999</v>
      </c>
      <c r="P485" s="8">
        <v>208.416</v>
      </c>
      <c r="Q485" s="8">
        <v>177.91399999999999</v>
      </c>
      <c r="R485" s="8">
        <v>156.77099999999999</v>
      </c>
      <c r="S485" s="8">
        <v>135.91200000000001</v>
      </c>
      <c r="T485" s="8">
        <v>108.65300000000001</v>
      </c>
      <c r="U485" s="8">
        <v>85.406999999999996</v>
      </c>
      <c r="V485" s="8">
        <v>61.664000000000001</v>
      </c>
      <c r="W485" s="8">
        <v>40.796999999999997</v>
      </c>
      <c r="X485" s="8">
        <v>22.023</v>
      </c>
      <c r="Y485" s="8">
        <v>8.5559999999999992</v>
      </c>
      <c r="Z485" s="8">
        <v>2.1970000000000001</v>
      </c>
      <c r="AA485" s="8">
        <v>0.253</v>
      </c>
      <c r="AB485" s="8">
        <v>1.7999999999999999E-2</v>
      </c>
      <c r="AC485" s="8">
        <v>1E-3</v>
      </c>
    </row>
    <row r="486" spans="1:29" ht="11.65" x14ac:dyDescent="0.35">
      <c r="A486" s="12">
        <v>469</v>
      </c>
      <c r="B486" s="10" t="s">
        <v>1015</v>
      </c>
      <c r="C486" s="11" t="s">
        <v>1069</v>
      </c>
      <c r="D486" s="9"/>
      <c r="E486" s="9">
        <v>404</v>
      </c>
      <c r="F486" s="10" t="s">
        <v>1066</v>
      </c>
      <c r="G486" s="9">
        <v>910</v>
      </c>
      <c r="H486" s="9">
        <v>1965</v>
      </c>
      <c r="I486" s="8">
        <v>952.15599999999995</v>
      </c>
      <c r="J486" s="8">
        <v>745.995</v>
      </c>
      <c r="K486" s="8">
        <v>604.98800000000006</v>
      </c>
      <c r="L486" s="8">
        <v>453.52300000000002</v>
      </c>
      <c r="M486" s="8">
        <v>321.97500000000002</v>
      </c>
      <c r="N486" s="8">
        <v>294.44799999999998</v>
      </c>
      <c r="O486" s="8">
        <v>278.96899999999999</v>
      </c>
      <c r="P486" s="8">
        <v>235.53399999999999</v>
      </c>
      <c r="Q486" s="8">
        <v>196.64699999999999</v>
      </c>
      <c r="R486" s="8">
        <v>166.37200000000001</v>
      </c>
      <c r="S486" s="8">
        <v>144.553</v>
      </c>
      <c r="T486" s="8">
        <v>122.76900000000001</v>
      </c>
      <c r="U486" s="8">
        <v>94.903999999999996</v>
      </c>
      <c r="V486" s="8">
        <v>70.266000000000005</v>
      </c>
      <c r="W486" s="8">
        <v>45.917000000000002</v>
      </c>
      <c r="X486" s="8">
        <v>25.728000000000002</v>
      </c>
      <c r="Y486" s="8">
        <v>10.558999999999999</v>
      </c>
      <c r="Z486" s="8">
        <v>2.62</v>
      </c>
      <c r="AA486" s="8">
        <v>0.33700000000000002</v>
      </c>
      <c r="AB486" s="8">
        <v>1.7000000000000001E-2</v>
      </c>
      <c r="AC486" s="8">
        <v>1E-3</v>
      </c>
    </row>
    <row r="487" spans="1:29" ht="11.65" x14ac:dyDescent="0.35">
      <c r="A487" s="12">
        <v>470</v>
      </c>
      <c r="B487" s="10" t="s">
        <v>1015</v>
      </c>
      <c r="C487" s="11" t="s">
        <v>1069</v>
      </c>
      <c r="D487" s="9"/>
      <c r="E487" s="9">
        <v>404</v>
      </c>
      <c r="F487" s="10" t="s">
        <v>1066</v>
      </c>
      <c r="G487" s="9">
        <v>910</v>
      </c>
      <c r="H487" s="9">
        <v>1970</v>
      </c>
      <c r="I487" s="8">
        <v>1142.9079999999999</v>
      </c>
      <c r="J487" s="8">
        <v>897.00099999999998</v>
      </c>
      <c r="K487" s="8">
        <v>730.43</v>
      </c>
      <c r="L487" s="8">
        <v>593.84900000000005</v>
      </c>
      <c r="M487" s="8">
        <v>440.40600000000001</v>
      </c>
      <c r="N487" s="8">
        <v>309.71800000000002</v>
      </c>
      <c r="O487" s="8">
        <v>282.46699999999998</v>
      </c>
      <c r="P487" s="8">
        <v>266.57400000000001</v>
      </c>
      <c r="Q487" s="8">
        <v>223.50899999999999</v>
      </c>
      <c r="R487" s="8">
        <v>184.96700000000001</v>
      </c>
      <c r="S487" s="8">
        <v>154.286</v>
      </c>
      <c r="T487" s="8">
        <v>131.33600000000001</v>
      </c>
      <c r="U487" s="8">
        <v>107.908</v>
      </c>
      <c r="V487" s="8">
        <v>78.596999999999994</v>
      </c>
      <c r="W487" s="8">
        <v>52.701000000000001</v>
      </c>
      <c r="X487" s="8">
        <v>29.167000000000002</v>
      </c>
      <c r="Y487" s="8">
        <v>12.398999999999999</v>
      </c>
      <c r="Z487" s="8">
        <v>3.23</v>
      </c>
      <c r="AA487" s="8">
        <v>0.39300000000000002</v>
      </c>
      <c r="AB487" s="8">
        <v>2.1999999999999999E-2</v>
      </c>
      <c r="AC487" s="8">
        <v>1E-3</v>
      </c>
    </row>
    <row r="488" spans="1:29" ht="11.65" x14ac:dyDescent="0.35">
      <c r="A488" s="12">
        <v>471</v>
      </c>
      <c r="B488" s="10" t="s">
        <v>1015</v>
      </c>
      <c r="C488" s="11" t="s">
        <v>1069</v>
      </c>
      <c r="D488" s="9"/>
      <c r="E488" s="9">
        <v>404</v>
      </c>
      <c r="F488" s="10" t="s">
        <v>1066</v>
      </c>
      <c r="G488" s="9">
        <v>910</v>
      </c>
      <c r="H488" s="9">
        <v>1975</v>
      </c>
      <c r="I488" s="8">
        <v>1404.2339999999999</v>
      </c>
      <c r="J488" s="8">
        <v>1089.038</v>
      </c>
      <c r="K488" s="8">
        <v>881.66300000000001</v>
      </c>
      <c r="L488" s="8">
        <v>719.10799999999995</v>
      </c>
      <c r="M488" s="8">
        <v>579.30499999999995</v>
      </c>
      <c r="N488" s="8">
        <v>426.37599999999998</v>
      </c>
      <c r="O488" s="8">
        <v>298.673</v>
      </c>
      <c r="P488" s="8">
        <v>271.33800000000002</v>
      </c>
      <c r="Q488" s="8">
        <v>254.517</v>
      </c>
      <c r="R488" s="8">
        <v>211.59100000000001</v>
      </c>
      <c r="S488" s="8">
        <v>172.66499999999999</v>
      </c>
      <c r="T488" s="8">
        <v>141.143</v>
      </c>
      <c r="U488" s="8">
        <v>116.312</v>
      </c>
      <c r="V488" s="8">
        <v>90.141000000000005</v>
      </c>
      <c r="W488" s="8">
        <v>59.548999999999999</v>
      </c>
      <c r="X488" s="8">
        <v>33.866</v>
      </c>
      <c r="Y488" s="8">
        <v>14.223000000000001</v>
      </c>
      <c r="Z488" s="8">
        <v>3.8260000000000001</v>
      </c>
      <c r="AA488" s="8">
        <v>0.48099999999999998</v>
      </c>
      <c r="AB488" s="8">
        <v>2.4E-2</v>
      </c>
      <c r="AC488" s="8">
        <v>1E-3</v>
      </c>
    </row>
    <row r="489" spans="1:29" ht="11.65" x14ac:dyDescent="0.35">
      <c r="A489" s="12">
        <v>472</v>
      </c>
      <c r="B489" s="10" t="s">
        <v>1015</v>
      </c>
      <c r="C489" s="11" t="s">
        <v>1069</v>
      </c>
      <c r="D489" s="9"/>
      <c r="E489" s="9">
        <v>404</v>
      </c>
      <c r="F489" s="10" t="s">
        <v>1066</v>
      </c>
      <c r="G489" s="9">
        <v>910</v>
      </c>
      <c r="H489" s="9">
        <v>1980</v>
      </c>
      <c r="I489" s="8">
        <v>1696.405</v>
      </c>
      <c r="J489" s="8">
        <v>1350.6959999999999</v>
      </c>
      <c r="K489" s="8">
        <v>1073.934</v>
      </c>
      <c r="L489" s="8">
        <v>870.702</v>
      </c>
      <c r="M489" s="8">
        <v>705.30899999999997</v>
      </c>
      <c r="N489" s="8">
        <v>565.22</v>
      </c>
      <c r="O489" s="8">
        <v>414.83</v>
      </c>
      <c r="P489" s="8">
        <v>289.20600000000002</v>
      </c>
      <c r="Q489" s="8">
        <v>260.99</v>
      </c>
      <c r="R489" s="8">
        <v>242.727</v>
      </c>
      <c r="S489" s="8">
        <v>198.99600000000001</v>
      </c>
      <c r="T489" s="8">
        <v>159.19300000000001</v>
      </c>
      <c r="U489" s="8">
        <v>126.07899999999999</v>
      </c>
      <c r="V489" s="8">
        <v>98.153999999999996</v>
      </c>
      <c r="W489" s="8">
        <v>69.17</v>
      </c>
      <c r="X489" s="8">
        <v>38.892000000000003</v>
      </c>
      <c r="Y489" s="8">
        <v>16.844000000000001</v>
      </c>
      <c r="Z489" s="8">
        <v>4.4889999999999999</v>
      </c>
      <c r="AA489" s="8">
        <v>0.57999999999999996</v>
      </c>
      <c r="AB489" s="8">
        <v>2.9000000000000001E-2</v>
      </c>
      <c r="AC489" s="8">
        <v>1E-3</v>
      </c>
    </row>
    <row r="490" spans="1:29" ht="11.65" x14ac:dyDescent="0.35">
      <c r="A490" s="12">
        <v>473</v>
      </c>
      <c r="B490" s="10" t="s">
        <v>1015</v>
      </c>
      <c r="C490" s="11" t="s">
        <v>1069</v>
      </c>
      <c r="D490" s="9"/>
      <c r="E490" s="9">
        <v>404</v>
      </c>
      <c r="F490" s="10" t="s">
        <v>1066</v>
      </c>
      <c r="G490" s="9">
        <v>910</v>
      </c>
      <c r="H490" s="9">
        <v>1985</v>
      </c>
      <c r="I490" s="8">
        <v>2020.893</v>
      </c>
      <c r="J490" s="8">
        <v>1644.307</v>
      </c>
      <c r="K490" s="8">
        <v>1335.3430000000001</v>
      </c>
      <c r="L490" s="8">
        <v>1062.8620000000001</v>
      </c>
      <c r="M490" s="8">
        <v>856.80399999999997</v>
      </c>
      <c r="N490" s="8">
        <v>690.98599999999999</v>
      </c>
      <c r="O490" s="8">
        <v>552.23</v>
      </c>
      <c r="P490" s="8">
        <v>403.41500000000002</v>
      </c>
      <c r="Q490" s="8">
        <v>279.399</v>
      </c>
      <c r="R490" s="8">
        <v>250.02</v>
      </c>
      <c r="S490" s="8">
        <v>229.39599999999999</v>
      </c>
      <c r="T490" s="8">
        <v>184.49199999999999</v>
      </c>
      <c r="U490" s="8">
        <v>143.15600000000001</v>
      </c>
      <c r="V490" s="8">
        <v>107.31399999999999</v>
      </c>
      <c r="W490" s="8">
        <v>76.191000000000003</v>
      </c>
      <c r="X490" s="8">
        <v>45.896000000000001</v>
      </c>
      <c r="Y490" s="8">
        <v>19.748999999999999</v>
      </c>
      <c r="Z490" s="8">
        <v>5.4530000000000003</v>
      </c>
      <c r="AA490" s="8">
        <v>0.69799999999999995</v>
      </c>
      <c r="AB490" s="8">
        <v>3.5000000000000003E-2</v>
      </c>
      <c r="AC490" s="8">
        <v>1E-3</v>
      </c>
    </row>
    <row r="491" spans="1:29" ht="11.65" x14ac:dyDescent="0.35">
      <c r="A491" s="12">
        <v>474</v>
      </c>
      <c r="B491" s="10" t="s">
        <v>1015</v>
      </c>
      <c r="C491" s="11" t="s">
        <v>1069</v>
      </c>
      <c r="D491" s="9"/>
      <c r="E491" s="9">
        <v>404</v>
      </c>
      <c r="F491" s="10" t="s">
        <v>1066</v>
      </c>
      <c r="G491" s="9">
        <v>910</v>
      </c>
      <c r="H491" s="9">
        <v>1990</v>
      </c>
      <c r="I491" s="8">
        <v>2270.92</v>
      </c>
      <c r="J491" s="8">
        <v>1960.962</v>
      </c>
      <c r="K491" s="8">
        <v>1625.636</v>
      </c>
      <c r="L491" s="8">
        <v>1321.492</v>
      </c>
      <c r="M491" s="8">
        <v>1045.797</v>
      </c>
      <c r="N491" s="8">
        <v>838.75599999999997</v>
      </c>
      <c r="O491" s="8">
        <v>673.80799999999999</v>
      </c>
      <c r="P491" s="8">
        <v>535.23599999999999</v>
      </c>
      <c r="Q491" s="8">
        <v>387.92099999999999</v>
      </c>
      <c r="R491" s="8">
        <v>266.21899999999999</v>
      </c>
      <c r="S491" s="8">
        <v>234.86</v>
      </c>
      <c r="T491" s="8">
        <v>211.23500000000001</v>
      </c>
      <c r="U491" s="8">
        <v>164.596</v>
      </c>
      <c r="V491" s="8">
        <v>120.69799999999999</v>
      </c>
      <c r="W491" s="8">
        <v>82.307000000000002</v>
      </c>
      <c r="X491" s="8">
        <v>49.774999999999999</v>
      </c>
      <c r="Y491" s="8">
        <v>22.803000000000001</v>
      </c>
      <c r="Z491" s="8">
        <v>6.1790000000000003</v>
      </c>
      <c r="AA491" s="8">
        <v>0.81</v>
      </c>
      <c r="AB491" s="8">
        <v>0.04</v>
      </c>
      <c r="AC491" s="8">
        <v>1E-3</v>
      </c>
    </row>
    <row r="492" spans="1:29" ht="11.65" x14ac:dyDescent="0.35">
      <c r="A492" s="12">
        <v>475</v>
      </c>
      <c r="B492" s="10" t="s">
        <v>1015</v>
      </c>
      <c r="C492" s="11" t="s">
        <v>1069</v>
      </c>
      <c r="D492" s="9"/>
      <c r="E492" s="9">
        <v>404</v>
      </c>
      <c r="F492" s="10" t="s">
        <v>1066</v>
      </c>
      <c r="G492" s="9">
        <v>910</v>
      </c>
      <c r="H492" s="9">
        <v>1995</v>
      </c>
      <c r="I492" s="8">
        <v>2392.2289999999998</v>
      </c>
      <c r="J492" s="8">
        <v>2203.3530000000001</v>
      </c>
      <c r="K492" s="8">
        <v>1937.1469999999999</v>
      </c>
      <c r="L492" s="8">
        <v>1612.4110000000001</v>
      </c>
      <c r="M492" s="8">
        <v>1312.4690000000001</v>
      </c>
      <c r="N492" s="8">
        <v>1037.9939999999999</v>
      </c>
      <c r="O492" s="8">
        <v>827.22199999999998</v>
      </c>
      <c r="P492" s="8">
        <v>655.97500000000002</v>
      </c>
      <c r="Q492" s="8">
        <v>513.16899999999998</v>
      </c>
      <c r="R492" s="8">
        <v>367.01400000000001</v>
      </c>
      <c r="S492" s="8">
        <v>247.75700000000001</v>
      </c>
      <c r="T492" s="8">
        <v>213.07400000000001</v>
      </c>
      <c r="U492" s="8">
        <v>184.48099999999999</v>
      </c>
      <c r="V492" s="8">
        <v>135.017</v>
      </c>
      <c r="W492" s="8">
        <v>89.284999999999997</v>
      </c>
      <c r="X492" s="8">
        <v>51.314</v>
      </c>
      <c r="Y492" s="8">
        <v>23.248000000000001</v>
      </c>
      <c r="Z492" s="8">
        <v>6.5389999999999997</v>
      </c>
      <c r="AA492" s="8">
        <v>0.84199999999999997</v>
      </c>
      <c r="AB492" s="8">
        <v>4.7E-2</v>
      </c>
      <c r="AC492" s="8">
        <v>2E-3</v>
      </c>
    </row>
    <row r="493" spans="1:29" ht="11.65" x14ac:dyDescent="0.35">
      <c r="A493" s="12">
        <v>476</v>
      </c>
      <c r="B493" s="10" t="s">
        <v>1015</v>
      </c>
      <c r="C493" s="11" t="s">
        <v>1069</v>
      </c>
      <c r="D493" s="9"/>
      <c r="E493" s="9">
        <v>404</v>
      </c>
      <c r="F493" s="10" t="s">
        <v>1066</v>
      </c>
      <c r="G493" s="9">
        <v>910</v>
      </c>
      <c r="H493" s="9">
        <v>2000</v>
      </c>
      <c r="I493" s="8">
        <v>2794.201</v>
      </c>
      <c r="J493" s="8">
        <v>2309.2719999999999</v>
      </c>
      <c r="K493" s="8">
        <v>2165.1869999999999</v>
      </c>
      <c r="L493" s="8">
        <v>1905.8720000000001</v>
      </c>
      <c r="M493" s="8">
        <v>1572.5809999999999</v>
      </c>
      <c r="N493" s="8">
        <v>1264.461</v>
      </c>
      <c r="O493" s="8">
        <v>986.48400000000004</v>
      </c>
      <c r="P493" s="8">
        <v>771.62599999999998</v>
      </c>
      <c r="Q493" s="8">
        <v>600</v>
      </c>
      <c r="R493" s="8">
        <v>462.19200000000001</v>
      </c>
      <c r="S493" s="8">
        <v>324.85899999999998</v>
      </c>
      <c r="T493" s="8">
        <v>214.274</v>
      </c>
      <c r="U493" s="8">
        <v>177.34200000000001</v>
      </c>
      <c r="V493" s="8">
        <v>143.703</v>
      </c>
      <c r="W493" s="8">
        <v>94.103999999999999</v>
      </c>
      <c r="X493" s="8">
        <v>51.887999999999998</v>
      </c>
      <c r="Y493" s="8">
        <v>21.977</v>
      </c>
      <c r="Z493" s="8">
        <v>5.952</v>
      </c>
      <c r="AA493" s="8">
        <v>0.78200000000000003</v>
      </c>
      <c r="AB493" s="8">
        <v>4.7E-2</v>
      </c>
      <c r="AC493" s="8">
        <v>2E-3</v>
      </c>
    </row>
    <row r="494" spans="1:29" ht="11.65" x14ac:dyDescent="0.35">
      <c r="A494" s="12">
        <v>477</v>
      </c>
      <c r="B494" s="10" t="s">
        <v>1015</v>
      </c>
      <c r="C494" s="11" t="s">
        <v>1069</v>
      </c>
      <c r="D494" s="9"/>
      <c r="E494" s="9">
        <v>404</v>
      </c>
      <c r="F494" s="10" t="s">
        <v>1066</v>
      </c>
      <c r="G494" s="9">
        <v>910</v>
      </c>
      <c r="H494" s="9">
        <v>2005</v>
      </c>
      <c r="I494" s="8">
        <v>3132.962</v>
      </c>
      <c r="J494" s="8">
        <v>2704.826</v>
      </c>
      <c r="K494" s="8">
        <v>2267.56</v>
      </c>
      <c r="L494" s="8">
        <v>2129.7710000000002</v>
      </c>
      <c r="M494" s="8">
        <v>1860.0509999999999</v>
      </c>
      <c r="N494" s="8">
        <v>1517.6469999999999</v>
      </c>
      <c r="O494" s="8">
        <v>1204.3820000000001</v>
      </c>
      <c r="P494" s="8">
        <v>922.33500000000004</v>
      </c>
      <c r="Q494" s="8">
        <v>707.25699999999995</v>
      </c>
      <c r="R494" s="8">
        <v>541.072</v>
      </c>
      <c r="S494" s="8">
        <v>409.03199999999998</v>
      </c>
      <c r="T494" s="8">
        <v>280.44099999999997</v>
      </c>
      <c r="U494" s="8">
        <v>177.60400000000001</v>
      </c>
      <c r="V494" s="8">
        <v>137.04300000000001</v>
      </c>
      <c r="W494" s="8">
        <v>98.856999999999999</v>
      </c>
      <c r="X494" s="8">
        <v>53.573</v>
      </c>
      <c r="Y494" s="8">
        <v>21.536000000000001</v>
      </c>
      <c r="Z494" s="8">
        <v>5.3689999999999998</v>
      </c>
      <c r="AA494" s="8">
        <v>0.66600000000000004</v>
      </c>
      <c r="AB494" s="8">
        <v>0.04</v>
      </c>
      <c r="AC494" s="8">
        <v>2E-3</v>
      </c>
    </row>
    <row r="495" spans="1:29" ht="11.65" x14ac:dyDescent="0.35">
      <c r="A495" s="12">
        <v>478</v>
      </c>
      <c r="B495" s="10" t="s">
        <v>1015</v>
      </c>
      <c r="C495" s="11" t="s">
        <v>1069</v>
      </c>
      <c r="D495" s="9"/>
      <c r="E495" s="9">
        <v>404</v>
      </c>
      <c r="F495" s="10" t="s">
        <v>1066</v>
      </c>
      <c r="G495" s="9">
        <v>910</v>
      </c>
      <c r="H495" s="9">
        <v>2010</v>
      </c>
      <c r="I495" s="8">
        <v>3462.1089999999999</v>
      </c>
      <c r="J495" s="8">
        <v>3062.1979999999999</v>
      </c>
      <c r="K495" s="8">
        <v>2670.7550000000001</v>
      </c>
      <c r="L495" s="8">
        <v>2234.4760000000001</v>
      </c>
      <c r="M495" s="8">
        <v>2074.1889999999999</v>
      </c>
      <c r="N495" s="8">
        <v>1793.3610000000001</v>
      </c>
      <c r="O495" s="8">
        <v>1454.2139999999999</v>
      </c>
      <c r="P495" s="8">
        <v>1145.7</v>
      </c>
      <c r="Q495" s="8">
        <v>869.54499999999996</v>
      </c>
      <c r="R495" s="8">
        <v>660.13900000000001</v>
      </c>
      <c r="S495" s="8">
        <v>497.05700000000002</v>
      </c>
      <c r="T495" s="8">
        <v>367.35899999999998</v>
      </c>
      <c r="U495" s="8">
        <v>242.78299999999999</v>
      </c>
      <c r="V495" s="8">
        <v>144.018</v>
      </c>
      <c r="W495" s="8">
        <v>99.944000000000003</v>
      </c>
      <c r="X495" s="8">
        <v>60.344999999999999</v>
      </c>
      <c r="Y495" s="8">
        <v>24.15</v>
      </c>
      <c r="Z495" s="8">
        <v>5.8289999999999997</v>
      </c>
      <c r="AA495" s="8">
        <v>0.63800000000000001</v>
      </c>
      <c r="AB495" s="8">
        <v>3.1E-2</v>
      </c>
      <c r="AC495" s="8">
        <v>2E-3</v>
      </c>
    </row>
    <row r="496" spans="1:29" ht="11.65" x14ac:dyDescent="0.35">
      <c r="A496" s="12">
        <v>479</v>
      </c>
      <c r="B496" s="10" t="s">
        <v>1015</v>
      </c>
      <c r="C496" s="11" t="s">
        <v>1069</v>
      </c>
      <c r="D496" s="9"/>
      <c r="E496" s="9">
        <v>404</v>
      </c>
      <c r="F496" s="10" t="s">
        <v>1066</v>
      </c>
      <c r="G496" s="9">
        <v>910</v>
      </c>
      <c r="H496" s="9">
        <v>2015</v>
      </c>
      <c r="I496" s="8">
        <v>3544.5050000000001</v>
      </c>
      <c r="J496" s="8">
        <v>3411.3249999999998</v>
      </c>
      <c r="K496" s="8">
        <v>3040.2959999999998</v>
      </c>
      <c r="L496" s="8">
        <v>2648.703</v>
      </c>
      <c r="M496" s="8">
        <v>2201.8820000000001</v>
      </c>
      <c r="N496" s="8">
        <v>2032.4960000000001</v>
      </c>
      <c r="O496" s="8">
        <v>1748.8420000000001</v>
      </c>
      <c r="P496" s="8">
        <v>1408.165</v>
      </c>
      <c r="Q496" s="8">
        <v>1099.9870000000001</v>
      </c>
      <c r="R496" s="8">
        <v>826.80600000000004</v>
      </c>
      <c r="S496" s="8">
        <v>618.23699999999997</v>
      </c>
      <c r="T496" s="8">
        <v>455.88299999999998</v>
      </c>
      <c r="U496" s="8">
        <v>326.197</v>
      </c>
      <c r="V496" s="8">
        <v>203.68700000000001</v>
      </c>
      <c r="W496" s="8">
        <v>110.20399999999999</v>
      </c>
      <c r="X496" s="8">
        <v>65.712999999999994</v>
      </c>
      <c r="Y496" s="8">
        <v>30.687000000000001</v>
      </c>
      <c r="Z496" s="8">
        <v>7.9829999999999997</v>
      </c>
      <c r="AA496" s="8">
        <v>0.96599999999999997</v>
      </c>
      <c r="AB496" s="8">
        <v>4.3999999999999997E-2</v>
      </c>
      <c r="AC496" s="8">
        <v>1E-3</v>
      </c>
    </row>
    <row r="497" spans="1:29" ht="11.65" x14ac:dyDescent="0.35">
      <c r="A497" s="12">
        <v>480</v>
      </c>
      <c r="B497" s="10" t="s">
        <v>1015</v>
      </c>
      <c r="C497" s="11" t="s">
        <v>1069</v>
      </c>
      <c r="D497" s="9"/>
      <c r="E497" s="9">
        <v>404</v>
      </c>
      <c r="F497" s="10" t="s">
        <v>1066</v>
      </c>
      <c r="G497" s="9">
        <v>910</v>
      </c>
      <c r="H497" s="9">
        <v>2020</v>
      </c>
      <c r="I497" s="8">
        <v>3558.3429999999998</v>
      </c>
      <c r="J497" s="8">
        <v>3508.2669999999998</v>
      </c>
      <c r="K497" s="8">
        <v>3395.31</v>
      </c>
      <c r="L497" s="8">
        <v>3021.8609999999999</v>
      </c>
      <c r="M497" s="8">
        <v>2619.2020000000002</v>
      </c>
      <c r="N497" s="8">
        <v>2167.181</v>
      </c>
      <c r="O497" s="8">
        <v>1992.6479999999999</v>
      </c>
      <c r="P497" s="8">
        <v>1704.425</v>
      </c>
      <c r="Q497" s="8">
        <v>1362.4010000000001</v>
      </c>
      <c r="R497" s="8">
        <v>1055.1659999999999</v>
      </c>
      <c r="S497" s="8">
        <v>782.09799999999996</v>
      </c>
      <c r="T497" s="8">
        <v>573.69100000000003</v>
      </c>
      <c r="U497" s="8">
        <v>410.863</v>
      </c>
      <c r="V497" s="8">
        <v>279.48099999999999</v>
      </c>
      <c r="W497" s="8">
        <v>161.035</v>
      </c>
      <c r="X497" s="8">
        <v>76.403999999999996</v>
      </c>
      <c r="Y497" s="8">
        <v>36.529000000000003</v>
      </c>
      <c r="Z497" s="8">
        <v>11.823</v>
      </c>
      <c r="AA497" s="8">
        <v>1.702</v>
      </c>
      <c r="AB497" s="8">
        <v>9.5000000000000001E-2</v>
      </c>
      <c r="AC497" s="8">
        <v>2E-3</v>
      </c>
    </row>
    <row r="498" spans="1:29" ht="11.65" x14ac:dyDescent="0.35">
      <c r="A498" s="12">
        <v>481</v>
      </c>
      <c r="B498" s="10" t="s">
        <v>1015</v>
      </c>
      <c r="C498" s="11" t="s">
        <v>1070</v>
      </c>
      <c r="D498" s="9"/>
      <c r="E498" s="9">
        <v>450</v>
      </c>
      <c r="F498" s="10" t="s">
        <v>1066</v>
      </c>
      <c r="G498" s="9">
        <v>910</v>
      </c>
      <c r="H498" s="9">
        <v>1950</v>
      </c>
      <c r="I498" s="8">
        <v>311.62200000000001</v>
      </c>
      <c r="J498" s="8">
        <v>236.821</v>
      </c>
      <c r="K498" s="8">
        <v>221.13800000000001</v>
      </c>
      <c r="L498" s="8">
        <v>211.482</v>
      </c>
      <c r="M498" s="8">
        <v>192.90899999999999</v>
      </c>
      <c r="N498" s="8">
        <v>174.79499999999999</v>
      </c>
      <c r="O498" s="8">
        <v>148.38200000000001</v>
      </c>
      <c r="P498" s="8">
        <v>135.19999999999999</v>
      </c>
      <c r="Q498" s="8">
        <v>133.941</v>
      </c>
      <c r="R498" s="8">
        <v>101.919</v>
      </c>
      <c r="S498" s="8">
        <v>72.929000000000002</v>
      </c>
      <c r="T498" s="8">
        <v>57.091000000000001</v>
      </c>
      <c r="U498" s="8">
        <v>42.57</v>
      </c>
      <c r="V498" s="8">
        <v>29.15</v>
      </c>
      <c r="W498" s="8">
        <v>17.489999999999998</v>
      </c>
      <c r="X498" s="8">
        <v>8.6890000000000001</v>
      </c>
      <c r="Y498" s="8">
        <v>2.9529999999999998</v>
      </c>
      <c r="Z498" s="8">
        <v>0.78</v>
      </c>
      <c r="AA498" s="8">
        <v>0.11700000000000001</v>
      </c>
      <c r="AB498" s="8">
        <v>8.0000000000000002E-3</v>
      </c>
      <c r="AC498" s="8">
        <v>0</v>
      </c>
    </row>
    <row r="499" spans="1:29" ht="11.65" x14ac:dyDescent="0.35">
      <c r="A499" s="12">
        <v>482</v>
      </c>
      <c r="B499" s="10" t="s">
        <v>1015</v>
      </c>
      <c r="C499" s="11" t="s">
        <v>1070</v>
      </c>
      <c r="D499" s="9"/>
      <c r="E499" s="9">
        <v>450</v>
      </c>
      <c r="F499" s="10" t="s">
        <v>1066</v>
      </c>
      <c r="G499" s="9">
        <v>910</v>
      </c>
      <c r="H499" s="9">
        <v>1955</v>
      </c>
      <c r="I499" s="8">
        <v>410.048</v>
      </c>
      <c r="J499" s="8">
        <v>268.892</v>
      </c>
      <c r="K499" s="8">
        <v>222.035</v>
      </c>
      <c r="L499" s="8">
        <v>213.50700000000001</v>
      </c>
      <c r="M499" s="8">
        <v>202.71799999999999</v>
      </c>
      <c r="N499" s="8">
        <v>183.68100000000001</v>
      </c>
      <c r="O499" s="8">
        <v>165.17099999999999</v>
      </c>
      <c r="P499" s="8">
        <v>138.626</v>
      </c>
      <c r="Q499" s="8">
        <v>125.127</v>
      </c>
      <c r="R499" s="8">
        <v>122.792</v>
      </c>
      <c r="S499" s="8">
        <v>91.721000000000004</v>
      </c>
      <c r="T499" s="8">
        <v>63.682000000000002</v>
      </c>
      <c r="U499" s="8">
        <v>47.573</v>
      </c>
      <c r="V499" s="8">
        <v>32.831000000000003</v>
      </c>
      <c r="W499" s="8">
        <v>19.704999999999998</v>
      </c>
      <c r="X499" s="8">
        <v>9.6</v>
      </c>
      <c r="Y499" s="8">
        <v>3.544</v>
      </c>
      <c r="Z499" s="8">
        <v>0.80900000000000005</v>
      </c>
      <c r="AA499" s="8">
        <v>0.13100000000000001</v>
      </c>
      <c r="AB499" s="8">
        <v>0.01</v>
      </c>
      <c r="AC499" s="8">
        <v>0</v>
      </c>
    </row>
    <row r="500" spans="1:29" ht="11.65" x14ac:dyDescent="0.35">
      <c r="A500" s="12">
        <v>483</v>
      </c>
      <c r="B500" s="10" t="s">
        <v>1015</v>
      </c>
      <c r="C500" s="11" t="s">
        <v>1070</v>
      </c>
      <c r="D500" s="9"/>
      <c r="E500" s="9">
        <v>450</v>
      </c>
      <c r="F500" s="10" t="s">
        <v>1066</v>
      </c>
      <c r="G500" s="9">
        <v>910</v>
      </c>
      <c r="H500" s="9">
        <v>1960</v>
      </c>
      <c r="I500" s="8">
        <v>468.12</v>
      </c>
      <c r="J500" s="8">
        <v>360.15699999999998</v>
      </c>
      <c r="K500" s="8">
        <v>254.16900000000001</v>
      </c>
      <c r="L500" s="8">
        <v>215.27799999999999</v>
      </c>
      <c r="M500" s="8">
        <v>205.60900000000001</v>
      </c>
      <c r="N500" s="8">
        <v>193.904</v>
      </c>
      <c r="O500" s="8">
        <v>174.416</v>
      </c>
      <c r="P500" s="8">
        <v>155.24700000000001</v>
      </c>
      <c r="Q500" s="8">
        <v>129.19</v>
      </c>
      <c r="R500" s="8">
        <v>115.473</v>
      </c>
      <c r="S500" s="8">
        <v>111.16</v>
      </c>
      <c r="T500" s="8">
        <v>80.584000000000003</v>
      </c>
      <c r="U500" s="8">
        <v>53.515999999999998</v>
      </c>
      <c r="V500" s="8">
        <v>37.142000000000003</v>
      </c>
      <c r="W500" s="8">
        <v>22.567</v>
      </c>
      <c r="X500" s="8">
        <v>11.069000000000001</v>
      </c>
      <c r="Y500" s="8">
        <v>4.0369999999999999</v>
      </c>
      <c r="Z500" s="8">
        <v>1.01</v>
      </c>
      <c r="AA500" s="8">
        <v>0.14199999999999999</v>
      </c>
      <c r="AB500" s="8">
        <v>1.2999999999999999E-2</v>
      </c>
      <c r="AC500" s="8">
        <v>1E-3</v>
      </c>
    </row>
    <row r="501" spans="1:29" ht="11.65" x14ac:dyDescent="0.35">
      <c r="A501" s="12">
        <v>484</v>
      </c>
      <c r="B501" s="10" t="s">
        <v>1015</v>
      </c>
      <c r="C501" s="11" t="s">
        <v>1070</v>
      </c>
      <c r="D501" s="9"/>
      <c r="E501" s="9">
        <v>450</v>
      </c>
      <c r="F501" s="10" t="s">
        <v>1066</v>
      </c>
      <c r="G501" s="9">
        <v>910</v>
      </c>
      <c r="H501" s="9">
        <v>1965</v>
      </c>
      <c r="I501" s="8">
        <v>532.16600000000005</v>
      </c>
      <c r="J501" s="8">
        <v>417.13200000000001</v>
      </c>
      <c r="K501" s="8">
        <v>342.92</v>
      </c>
      <c r="L501" s="8">
        <v>247.542</v>
      </c>
      <c r="M501" s="8">
        <v>208.255</v>
      </c>
      <c r="N501" s="8">
        <v>197.57599999999999</v>
      </c>
      <c r="O501" s="8">
        <v>185.029</v>
      </c>
      <c r="P501" s="8">
        <v>164.93299999999999</v>
      </c>
      <c r="Q501" s="8">
        <v>145.69</v>
      </c>
      <c r="R501" s="8">
        <v>120.032</v>
      </c>
      <c r="S501" s="8">
        <v>105.182</v>
      </c>
      <c r="T501" s="8">
        <v>98.301000000000002</v>
      </c>
      <c r="U501" s="8">
        <v>68.328999999999994</v>
      </c>
      <c r="V501" s="8">
        <v>42.323999999999998</v>
      </c>
      <c r="W501" s="8">
        <v>25.981000000000002</v>
      </c>
      <c r="X501" s="8">
        <v>12.992000000000001</v>
      </c>
      <c r="Y501" s="8">
        <v>4.8120000000000003</v>
      </c>
      <c r="Z501" s="8">
        <v>1.202</v>
      </c>
      <c r="AA501" s="8">
        <v>0.186</v>
      </c>
      <c r="AB501" s="8">
        <v>1.4999999999999999E-2</v>
      </c>
      <c r="AC501" s="8">
        <v>1E-3</v>
      </c>
    </row>
    <row r="502" spans="1:29" ht="11.65" x14ac:dyDescent="0.35">
      <c r="A502" s="12">
        <v>485</v>
      </c>
      <c r="B502" s="10" t="s">
        <v>1015</v>
      </c>
      <c r="C502" s="11" t="s">
        <v>1070</v>
      </c>
      <c r="D502" s="9"/>
      <c r="E502" s="9">
        <v>450</v>
      </c>
      <c r="F502" s="10" t="s">
        <v>1066</v>
      </c>
      <c r="G502" s="9">
        <v>910</v>
      </c>
      <c r="H502" s="9">
        <v>1970</v>
      </c>
      <c r="I502" s="8">
        <v>611.79</v>
      </c>
      <c r="J502" s="8">
        <v>480.13600000000002</v>
      </c>
      <c r="K502" s="8">
        <v>399.589</v>
      </c>
      <c r="L502" s="8">
        <v>335.01400000000001</v>
      </c>
      <c r="M502" s="8">
        <v>239.83799999999999</v>
      </c>
      <c r="N502" s="8">
        <v>200.21700000000001</v>
      </c>
      <c r="O502" s="8">
        <v>188.75399999999999</v>
      </c>
      <c r="P502" s="8">
        <v>175.477</v>
      </c>
      <c r="Q502" s="8">
        <v>155.45099999999999</v>
      </c>
      <c r="R502" s="8">
        <v>135.99799999999999</v>
      </c>
      <c r="S502" s="8">
        <v>109.82899999999999</v>
      </c>
      <c r="T502" s="8">
        <v>93.503</v>
      </c>
      <c r="U502" s="8">
        <v>84.006</v>
      </c>
      <c r="V502" s="8">
        <v>54.665999999999997</v>
      </c>
      <c r="W502" s="8">
        <v>30.082999999999998</v>
      </c>
      <c r="X502" s="8">
        <v>15.3</v>
      </c>
      <c r="Y502" s="8">
        <v>5.83</v>
      </c>
      <c r="Z502" s="8">
        <v>1.4890000000000001</v>
      </c>
      <c r="AA502" s="8">
        <v>0.23300000000000001</v>
      </c>
      <c r="AB502" s="8">
        <v>2.1000000000000001E-2</v>
      </c>
      <c r="AC502" s="8">
        <v>1E-3</v>
      </c>
    </row>
    <row r="503" spans="1:29" ht="11.65" x14ac:dyDescent="0.35">
      <c r="A503" s="12">
        <v>486</v>
      </c>
      <c r="B503" s="10" t="s">
        <v>1015</v>
      </c>
      <c r="C503" s="11" t="s">
        <v>1070</v>
      </c>
      <c r="D503" s="9"/>
      <c r="E503" s="9">
        <v>450</v>
      </c>
      <c r="F503" s="10" t="s">
        <v>1066</v>
      </c>
      <c r="G503" s="9">
        <v>910</v>
      </c>
      <c r="H503" s="9">
        <v>1975</v>
      </c>
      <c r="I503" s="8">
        <v>709.66</v>
      </c>
      <c r="J503" s="8">
        <v>558.5</v>
      </c>
      <c r="K503" s="8">
        <v>462.56900000000002</v>
      </c>
      <c r="L503" s="8">
        <v>391.47500000000002</v>
      </c>
      <c r="M503" s="8">
        <v>325.23700000000002</v>
      </c>
      <c r="N503" s="8">
        <v>230.626</v>
      </c>
      <c r="O503" s="8">
        <v>191.27500000000001</v>
      </c>
      <c r="P503" s="8">
        <v>179.36799999999999</v>
      </c>
      <c r="Q503" s="8">
        <v>166.01599999999999</v>
      </c>
      <c r="R503" s="8">
        <v>145.74299999999999</v>
      </c>
      <c r="S503" s="8">
        <v>125.005</v>
      </c>
      <c r="T503" s="8">
        <v>98.152000000000001</v>
      </c>
      <c r="U503" s="8">
        <v>80.533000000000001</v>
      </c>
      <c r="V503" s="8">
        <v>68.024000000000001</v>
      </c>
      <c r="W503" s="8">
        <v>39.511000000000003</v>
      </c>
      <c r="X503" s="8">
        <v>18.151</v>
      </c>
      <c r="Y503" s="8">
        <v>7.1</v>
      </c>
      <c r="Z503" s="8">
        <v>1.8839999999999999</v>
      </c>
      <c r="AA503" s="8">
        <v>0.30399999999999999</v>
      </c>
      <c r="AB503" s="8">
        <v>2.7E-2</v>
      </c>
      <c r="AC503" s="8">
        <v>1E-3</v>
      </c>
    </row>
    <row r="504" spans="1:29" ht="11.65" x14ac:dyDescent="0.35">
      <c r="A504" s="12">
        <v>487</v>
      </c>
      <c r="B504" s="10" t="s">
        <v>1015</v>
      </c>
      <c r="C504" s="11" t="s">
        <v>1070</v>
      </c>
      <c r="D504" s="9"/>
      <c r="E504" s="9">
        <v>450</v>
      </c>
      <c r="F504" s="10" t="s">
        <v>1066</v>
      </c>
      <c r="G504" s="9">
        <v>910</v>
      </c>
      <c r="H504" s="9">
        <v>1980</v>
      </c>
      <c r="I504" s="8">
        <v>819.83600000000001</v>
      </c>
      <c r="J504" s="8">
        <v>652.779</v>
      </c>
      <c r="K504" s="8">
        <v>539.68799999999999</v>
      </c>
      <c r="L504" s="8">
        <v>453.84399999999999</v>
      </c>
      <c r="M504" s="8">
        <v>380.976</v>
      </c>
      <c r="N504" s="8">
        <v>314.25700000000001</v>
      </c>
      <c r="O504" s="8">
        <v>221.35400000000001</v>
      </c>
      <c r="P504" s="8">
        <v>182.62899999999999</v>
      </c>
      <c r="Q504" s="8">
        <v>170.08699999999999</v>
      </c>
      <c r="R504" s="8">
        <v>155.35499999999999</v>
      </c>
      <c r="S504" s="8">
        <v>133.761</v>
      </c>
      <c r="T504" s="8">
        <v>111.78</v>
      </c>
      <c r="U504" s="8">
        <v>84.460999999999999</v>
      </c>
      <c r="V504" s="8">
        <v>65.042000000000002</v>
      </c>
      <c r="W504" s="8">
        <v>49.274000000000001</v>
      </c>
      <c r="X504" s="8">
        <v>24.114000000000001</v>
      </c>
      <c r="Y504" s="8">
        <v>8.6489999999999991</v>
      </c>
      <c r="Z504" s="8">
        <v>2.4089999999999998</v>
      </c>
      <c r="AA504" s="8">
        <v>0.41399999999999998</v>
      </c>
      <c r="AB504" s="8">
        <v>3.9E-2</v>
      </c>
      <c r="AC504" s="8">
        <v>2E-3</v>
      </c>
    </row>
    <row r="505" spans="1:29" ht="11.65" x14ac:dyDescent="0.35">
      <c r="A505" s="12">
        <v>488</v>
      </c>
      <c r="B505" s="10" t="s">
        <v>1015</v>
      </c>
      <c r="C505" s="11" t="s">
        <v>1070</v>
      </c>
      <c r="D505" s="9"/>
      <c r="E505" s="9">
        <v>450</v>
      </c>
      <c r="F505" s="10" t="s">
        <v>1066</v>
      </c>
      <c r="G505" s="9">
        <v>910</v>
      </c>
      <c r="H505" s="9">
        <v>1985</v>
      </c>
      <c r="I505" s="8">
        <v>922.81</v>
      </c>
      <c r="J505" s="8">
        <v>763.41</v>
      </c>
      <c r="K505" s="8">
        <v>633.42600000000004</v>
      </c>
      <c r="L505" s="8">
        <v>528.928</v>
      </c>
      <c r="M505" s="8">
        <v>440.46100000000001</v>
      </c>
      <c r="N505" s="8">
        <v>367.08199999999999</v>
      </c>
      <c r="O505" s="8">
        <v>302.03699999999998</v>
      </c>
      <c r="P505" s="8">
        <v>212.03800000000001</v>
      </c>
      <c r="Q505" s="8">
        <v>173.863</v>
      </c>
      <c r="R505" s="8">
        <v>160.40799999999999</v>
      </c>
      <c r="S505" s="8">
        <v>144.428</v>
      </c>
      <c r="T505" s="8">
        <v>121.655</v>
      </c>
      <c r="U505" s="8">
        <v>98.132000000000005</v>
      </c>
      <c r="V505" s="8">
        <v>69.902000000000001</v>
      </c>
      <c r="W505" s="8">
        <v>48.801000000000002</v>
      </c>
      <c r="X505" s="8">
        <v>31.488</v>
      </c>
      <c r="Y505" s="8">
        <v>12.138</v>
      </c>
      <c r="Z505" s="8">
        <v>3.1179999999999999</v>
      </c>
      <c r="AA505" s="8">
        <v>0.56000000000000005</v>
      </c>
      <c r="AB505" s="8">
        <v>5.7000000000000002E-2</v>
      </c>
      <c r="AC505" s="8">
        <v>3.0000000000000001E-3</v>
      </c>
    </row>
    <row r="506" spans="1:29" ht="11.65" x14ac:dyDescent="0.35">
      <c r="A506" s="12">
        <v>489</v>
      </c>
      <c r="B506" s="10" t="s">
        <v>1015</v>
      </c>
      <c r="C506" s="11" t="s">
        <v>1070</v>
      </c>
      <c r="D506" s="9"/>
      <c r="E506" s="9">
        <v>450</v>
      </c>
      <c r="F506" s="10" t="s">
        <v>1066</v>
      </c>
      <c r="G506" s="9">
        <v>910</v>
      </c>
      <c r="H506" s="9">
        <v>1990</v>
      </c>
      <c r="I506" s="8">
        <v>1048.569</v>
      </c>
      <c r="J506" s="8">
        <v>860.04100000000005</v>
      </c>
      <c r="K506" s="8">
        <v>741.04</v>
      </c>
      <c r="L506" s="8">
        <v>620.94600000000003</v>
      </c>
      <c r="M506" s="8">
        <v>513.56200000000001</v>
      </c>
      <c r="N506" s="8">
        <v>424.649</v>
      </c>
      <c r="O506" s="8">
        <v>353.03199999999998</v>
      </c>
      <c r="P506" s="8">
        <v>289.61799999999999</v>
      </c>
      <c r="Q506" s="8">
        <v>201.99100000000001</v>
      </c>
      <c r="R506" s="8">
        <v>164.042</v>
      </c>
      <c r="S506" s="8">
        <v>149.19800000000001</v>
      </c>
      <c r="T506" s="8">
        <v>131.43799999999999</v>
      </c>
      <c r="U506" s="8">
        <v>106.878</v>
      </c>
      <c r="V506" s="8">
        <v>81.289000000000001</v>
      </c>
      <c r="W506" s="8">
        <v>52.515000000000001</v>
      </c>
      <c r="X506" s="8">
        <v>31.236000000000001</v>
      </c>
      <c r="Y506" s="8">
        <v>15.885999999999999</v>
      </c>
      <c r="Z506" s="8">
        <v>4.3899999999999997</v>
      </c>
      <c r="AA506" s="8">
        <v>0.72799999999999998</v>
      </c>
      <c r="AB506" s="8">
        <v>7.8E-2</v>
      </c>
      <c r="AC506" s="8">
        <v>4.0000000000000001E-3</v>
      </c>
    </row>
    <row r="507" spans="1:29" ht="11.65" x14ac:dyDescent="0.35">
      <c r="A507" s="12">
        <v>490</v>
      </c>
      <c r="B507" s="10" t="s">
        <v>1015</v>
      </c>
      <c r="C507" s="11" t="s">
        <v>1070</v>
      </c>
      <c r="D507" s="9"/>
      <c r="E507" s="9">
        <v>450</v>
      </c>
      <c r="F507" s="10" t="s">
        <v>1066</v>
      </c>
      <c r="G507" s="9">
        <v>910</v>
      </c>
      <c r="H507" s="9">
        <v>1995</v>
      </c>
      <c r="I507" s="8">
        <v>1221.877</v>
      </c>
      <c r="J507" s="8">
        <v>988.26400000000001</v>
      </c>
      <c r="K507" s="8">
        <v>838.90300000000002</v>
      </c>
      <c r="L507" s="8">
        <v>728.15200000000004</v>
      </c>
      <c r="M507" s="8">
        <v>604.93200000000002</v>
      </c>
      <c r="N507" s="8">
        <v>497.18400000000003</v>
      </c>
      <c r="O507" s="8">
        <v>410.226</v>
      </c>
      <c r="P507" s="8">
        <v>340.13400000000001</v>
      </c>
      <c r="Q507" s="8">
        <v>277.46499999999997</v>
      </c>
      <c r="R507" s="8">
        <v>191.75200000000001</v>
      </c>
      <c r="S507" s="8">
        <v>153.59899999999999</v>
      </c>
      <c r="T507" s="8">
        <v>136.84299999999999</v>
      </c>
      <c r="U507" s="8">
        <v>116.60599999999999</v>
      </c>
      <c r="V507" s="8">
        <v>89.671000000000006</v>
      </c>
      <c r="W507" s="8">
        <v>62.177</v>
      </c>
      <c r="X507" s="8">
        <v>34.478000000000002</v>
      </c>
      <c r="Y507" s="8">
        <v>16.311</v>
      </c>
      <c r="Z507" s="8">
        <v>6.0019999999999998</v>
      </c>
      <c r="AA507" s="8">
        <v>1.08</v>
      </c>
      <c r="AB507" s="8">
        <v>0.106</v>
      </c>
      <c r="AC507" s="8">
        <v>6.0000000000000001E-3</v>
      </c>
    </row>
    <row r="508" spans="1:29" ht="11.65" x14ac:dyDescent="0.35">
      <c r="A508" s="12">
        <v>491</v>
      </c>
      <c r="B508" s="10" t="s">
        <v>1015</v>
      </c>
      <c r="C508" s="11" t="s">
        <v>1070</v>
      </c>
      <c r="D508" s="9"/>
      <c r="E508" s="9">
        <v>450</v>
      </c>
      <c r="F508" s="10" t="s">
        <v>1066</v>
      </c>
      <c r="G508" s="9">
        <v>910</v>
      </c>
      <c r="H508" s="9">
        <v>2000</v>
      </c>
      <c r="I508" s="8">
        <v>1424.845</v>
      </c>
      <c r="J508" s="8">
        <v>1169.5329999999999</v>
      </c>
      <c r="K508" s="8">
        <v>969.2</v>
      </c>
      <c r="L508" s="8">
        <v>827.28700000000003</v>
      </c>
      <c r="M508" s="8">
        <v>715.55</v>
      </c>
      <c r="N508" s="8">
        <v>593.05999999999995</v>
      </c>
      <c r="O508" s="8">
        <v>485.55900000000003</v>
      </c>
      <c r="P508" s="8">
        <v>397.89600000000002</v>
      </c>
      <c r="Q508" s="8">
        <v>327.19299999999998</v>
      </c>
      <c r="R508" s="8">
        <v>264.18799999999999</v>
      </c>
      <c r="S508" s="8">
        <v>180.108</v>
      </c>
      <c r="T508" s="8">
        <v>141.42699999999999</v>
      </c>
      <c r="U508" s="8">
        <v>121.623</v>
      </c>
      <c r="V508" s="8">
        <v>97.227999999999994</v>
      </c>
      <c r="W508" s="8">
        <v>67.852999999999994</v>
      </c>
      <c r="X508" s="8">
        <v>40.881999999999998</v>
      </c>
      <c r="Y508" s="8">
        <v>18.516999999999999</v>
      </c>
      <c r="Z508" s="8">
        <v>6.633</v>
      </c>
      <c r="AA508" s="8">
        <v>1.696</v>
      </c>
      <c r="AB508" s="8">
        <v>0.19500000000000001</v>
      </c>
      <c r="AC508" s="8">
        <v>1.2E-2</v>
      </c>
    </row>
    <row r="509" spans="1:29" ht="11.65" x14ac:dyDescent="0.35">
      <c r="A509" s="12">
        <v>492</v>
      </c>
      <c r="B509" s="10" t="s">
        <v>1015</v>
      </c>
      <c r="C509" s="11" t="s">
        <v>1070</v>
      </c>
      <c r="D509" s="9"/>
      <c r="E509" s="9">
        <v>450</v>
      </c>
      <c r="F509" s="10" t="s">
        <v>1066</v>
      </c>
      <c r="G509" s="9">
        <v>910</v>
      </c>
      <c r="H509" s="9">
        <v>2005</v>
      </c>
      <c r="I509" s="8">
        <v>1574.546</v>
      </c>
      <c r="J509" s="8">
        <v>1381.567</v>
      </c>
      <c r="K509" s="8">
        <v>1151.867</v>
      </c>
      <c r="L509" s="8">
        <v>956.298</v>
      </c>
      <c r="M509" s="8">
        <v>813.74300000000005</v>
      </c>
      <c r="N509" s="8">
        <v>702.44799999999998</v>
      </c>
      <c r="O509" s="8">
        <v>580.14099999999996</v>
      </c>
      <c r="P509" s="8">
        <v>472.24900000000002</v>
      </c>
      <c r="Q509" s="8">
        <v>384.24799999999999</v>
      </c>
      <c r="R509" s="8">
        <v>313.01</v>
      </c>
      <c r="S509" s="8">
        <v>249.602</v>
      </c>
      <c r="T509" s="8">
        <v>167.054</v>
      </c>
      <c r="U509" s="8">
        <v>126.931</v>
      </c>
      <c r="V509" s="8">
        <v>102.9</v>
      </c>
      <c r="W509" s="8">
        <v>75.239000000000004</v>
      </c>
      <c r="X509" s="8">
        <v>45.896000000000001</v>
      </c>
      <c r="Y509" s="8">
        <v>22.690999999999999</v>
      </c>
      <c r="Z509" s="8">
        <v>7.7930000000000001</v>
      </c>
      <c r="AA509" s="8">
        <v>1.9339999999999999</v>
      </c>
      <c r="AB509" s="8">
        <v>0.314</v>
      </c>
      <c r="AC509" s="8">
        <v>2.1999999999999999E-2</v>
      </c>
    </row>
    <row r="510" spans="1:29" ht="11.65" x14ac:dyDescent="0.35">
      <c r="A510" s="12">
        <v>493</v>
      </c>
      <c r="B510" s="10" t="s">
        <v>1015</v>
      </c>
      <c r="C510" s="11" t="s">
        <v>1070</v>
      </c>
      <c r="D510" s="9"/>
      <c r="E510" s="9">
        <v>450</v>
      </c>
      <c r="F510" s="10" t="s">
        <v>1066</v>
      </c>
      <c r="G510" s="9">
        <v>910</v>
      </c>
      <c r="H510" s="9">
        <v>2010</v>
      </c>
      <c r="I510" s="8">
        <v>1720.5129999999999</v>
      </c>
      <c r="J510" s="8">
        <v>1538.7819999999999</v>
      </c>
      <c r="K510" s="8">
        <v>1364.569</v>
      </c>
      <c r="L510" s="8">
        <v>1136.8309999999999</v>
      </c>
      <c r="M510" s="8">
        <v>940.73900000000003</v>
      </c>
      <c r="N510" s="8">
        <v>799.32</v>
      </c>
      <c r="O510" s="8">
        <v>688.005</v>
      </c>
      <c r="P510" s="8">
        <v>565.19600000000003</v>
      </c>
      <c r="Q510" s="8">
        <v>456.83600000000001</v>
      </c>
      <c r="R510" s="8">
        <v>368.09699999999998</v>
      </c>
      <c r="S510" s="8">
        <v>296.16500000000002</v>
      </c>
      <c r="T510" s="8">
        <v>232.09899999999999</v>
      </c>
      <c r="U510" s="8">
        <v>150.55000000000001</v>
      </c>
      <c r="V510" s="8">
        <v>108.127</v>
      </c>
      <c r="W510" s="8">
        <v>80.301000000000002</v>
      </c>
      <c r="X510" s="8">
        <v>51.537999999999997</v>
      </c>
      <c r="Y510" s="8">
        <v>25.992000000000001</v>
      </c>
      <c r="Z510" s="8">
        <v>9.8460000000000001</v>
      </c>
      <c r="AA510" s="8">
        <v>2.3730000000000002</v>
      </c>
      <c r="AB510" s="8">
        <v>0.379</v>
      </c>
      <c r="AC510" s="8">
        <v>3.6999999999999998E-2</v>
      </c>
    </row>
    <row r="511" spans="1:29" ht="11.65" x14ac:dyDescent="0.35">
      <c r="A511" s="12">
        <v>494</v>
      </c>
      <c r="B511" s="10" t="s">
        <v>1015</v>
      </c>
      <c r="C511" s="11" t="s">
        <v>1070</v>
      </c>
      <c r="D511" s="9"/>
      <c r="E511" s="9">
        <v>450</v>
      </c>
      <c r="F511" s="10" t="s">
        <v>1066</v>
      </c>
      <c r="G511" s="9">
        <v>910</v>
      </c>
      <c r="H511" s="9">
        <v>2015</v>
      </c>
      <c r="I511" s="8">
        <v>1871.864</v>
      </c>
      <c r="J511" s="8">
        <v>1690.413</v>
      </c>
      <c r="K511" s="8">
        <v>1522.537</v>
      </c>
      <c r="L511" s="8">
        <v>1349.98</v>
      </c>
      <c r="M511" s="8">
        <v>1121.55</v>
      </c>
      <c r="N511" s="8">
        <v>926.86199999999997</v>
      </c>
      <c r="O511" s="8">
        <v>785.51800000000003</v>
      </c>
      <c r="P511" s="8">
        <v>672.90700000000004</v>
      </c>
      <c r="Q511" s="8">
        <v>549.16099999999994</v>
      </c>
      <c r="R511" s="8">
        <v>439.74099999999999</v>
      </c>
      <c r="S511" s="8">
        <v>350.01299999999998</v>
      </c>
      <c r="T511" s="8">
        <v>276.77100000000002</v>
      </c>
      <c r="U511" s="8">
        <v>210.32300000000001</v>
      </c>
      <c r="V511" s="8">
        <v>129.06800000000001</v>
      </c>
      <c r="W511" s="8">
        <v>85</v>
      </c>
      <c r="X511" s="8">
        <v>55.530999999999999</v>
      </c>
      <c r="Y511" s="8">
        <v>29.535</v>
      </c>
      <c r="Z511" s="8">
        <v>11.445</v>
      </c>
      <c r="AA511" s="8">
        <v>3.0489999999999999</v>
      </c>
      <c r="AB511" s="8">
        <v>0.47299999999999998</v>
      </c>
      <c r="AC511" s="8">
        <v>0.05</v>
      </c>
    </row>
    <row r="512" spans="1:29" ht="11.65" x14ac:dyDescent="0.35">
      <c r="A512" s="12">
        <v>495</v>
      </c>
      <c r="B512" s="10" t="s">
        <v>1015</v>
      </c>
      <c r="C512" s="11" t="s">
        <v>1070</v>
      </c>
      <c r="D512" s="9"/>
      <c r="E512" s="9">
        <v>450</v>
      </c>
      <c r="F512" s="10" t="s">
        <v>1066</v>
      </c>
      <c r="G512" s="9">
        <v>910</v>
      </c>
      <c r="H512" s="9">
        <v>2020</v>
      </c>
      <c r="I512" s="8">
        <v>2078.5529999999999</v>
      </c>
      <c r="J512" s="8">
        <v>1845.421</v>
      </c>
      <c r="K512" s="8">
        <v>1675.8209999999999</v>
      </c>
      <c r="L512" s="8">
        <v>1509.087</v>
      </c>
      <c r="M512" s="8">
        <v>1334.8520000000001</v>
      </c>
      <c r="N512" s="8">
        <v>1107.606</v>
      </c>
      <c r="O512" s="8">
        <v>913.17399999999998</v>
      </c>
      <c r="P512" s="8">
        <v>770.524</v>
      </c>
      <c r="Q512" s="8">
        <v>655.98099999999999</v>
      </c>
      <c r="R512" s="8">
        <v>530.55399999999997</v>
      </c>
      <c r="S512" s="8">
        <v>419.77699999999999</v>
      </c>
      <c r="T512" s="8">
        <v>328.45800000000003</v>
      </c>
      <c r="U512" s="8">
        <v>252.005</v>
      </c>
      <c r="V512" s="8">
        <v>181.39699999999999</v>
      </c>
      <c r="W512" s="8">
        <v>102.248</v>
      </c>
      <c r="X512" s="8">
        <v>59.377000000000002</v>
      </c>
      <c r="Y512" s="8">
        <v>32.247999999999998</v>
      </c>
      <c r="Z512" s="8">
        <v>13.228999999999999</v>
      </c>
      <c r="AA512" s="8">
        <v>3.62</v>
      </c>
      <c r="AB512" s="8">
        <v>0.623</v>
      </c>
      <c r="AC512" s="8">
        <v>6.4000000000000001E-2</v>
      </c>
    </row>
    <row r="513" spans="1:29" ht="11.65" x14ac:dyDescent="0.35">
      <c r="A513" s="12">
        <v>496</v>
      </c>
      <c r="B513" s="10" t="s">
        <v>1015</v>
      </c>
      <c r="C513" s="11" t="s">
        <v>879</v>
      </c>
      <c r="D513" s="9"/>
      <c r="E513" s="9">
        <v>454</v>
      </c>
      <c r="F513" s="10" t="s">
        <v>1066</v>
      </c>
      <c r="G513" s="9">
        <v>910</v>
      </c>
      <c r="H513" s="9">
        <v>1950</v>
      </c>
      <c r="I513" s="8">
        <v>276.82799999999997</v>
      </c>
      <c r="J513" s="8">
        <v>206.44900000000001</v>
      </c>
      <c r="K513" s="8">
        <v>170.952</v>
      </c>
      <c r="L513" s="8">
        <v>145.75800000000001</v>
      </c>
      <c r="M513" s="8">
        <v>121.176</v>
      </c>
      <c r="N513" s="8">
        <v>100.878</v>
      </c>
      <c r="O513" s="8">
        <v>93.227999999999994</v>
      </c>
      <c r="P513" s="8">
        <v>68.442999999999998</v>
      </c>
      <c r="Q513" s="8">
        <v>50.593000000000004</v>
      </c>
      <c r="R513" s="8">
        <v>47.328000000000003</v>
      </c>
      <c r="S513" s="8">
        <v>38.045999999999999</v>
      </c>
      <c r="T513" s="8">
        <v>32.027999999999999</v>
      </c>
      <c r="U513" s="8">
        <v>25.544</v>
      </c>
      <c r="V513" s="8">
        <v>18.849</v>
      </c>
      <c r="W513" s="8">
        <v>12.462</v>
      </c>
      <c r="X513" s="8">
        <v>6.3849999999999998</v>
      </c>
      <c r="Y513" s="8">
        <v>2.395</v>
      </c>
      <c r="Z513" s="8">
        <v>0.52600000000000002</v>
      </c>
      <c r="AA513" s="8">
        <v>0.06</v>
      </c>
      <c r="AB513" s="8">
        <v>3.0000000000000001E-3</v>
      </c>
      <c r="AC513" s="8">
        <v>1E-3</v>
      </c>
    </row>
    <row r="514" spans="1:29" ht="11.65" x14ac:dyDescent="0.35">
      <c r="A514" s="12">
        <v>497</v>
      </c>
      <c r="B514" s="10" t="s">
        <v>1015</v>
      </c>
      <c r="C514" s="11" t="s">
        <v>879</v>
      </c>
      <c r="D514" s="9"/>
      <c r="E514" s="9">
        <v>454</v>
      </c>
      <c r="F514" s="10" t="s">
        <v>1066</v>
      </c>
      <c r="G514" s="9">
        <v>910</v>
      </c>
      <c r="H514" s="9">
        <v>1955</v>
      </c>
      <c r="I514" s="8">
        <v>288.84300000000002</v>
      </c>
      <c r="J514" s="8">
        <v>235.459</v>
      </c>
      <c r="K514" s="8">
        <v>195.88200000000001</v>
      </c>
      <c r="L514" s="8">
        <v>164.92099999999999</v>
      </c>
      <c r="M514" s="8">
        <v>139.24</v>
      </c>
      <c r="N514" s="8">
        <v>114.789</v>
      </c>
      <c r="O514" s="8">
        <v>95.466999999999999</v>
      </c>
      <c r="P514" s="8">
        <v>87.918000000000006</v>
      </c>
      <c r="Q514" s="8">
        <v>64.078999999999994</v>
      </c>
      <c r="R514" s="8">
        <v>46.948</v>
      </c>
      <c r="S514" s="8">
        <v>43.375</v>
      </c>
      <c r="T514" s="8">
        <v>34.232999999999997</v>
      </c>
      <c r="U514" s="8">
        <v>27.95</v>
      </c>
      <c r="V514" s="8">
        <v>21.119</v>
      </c>
      <c r="W514" s="8">
        <v>14.24</v>
      </c>
      <c r="X514" s="8">
        <v>8.1219999999999999</v>
      </c>
      <c r="Y514" s="8">
        <v>3.2890000000000001</v>
      </c>
      <c r="Z514" s="8">
        <v>0.85</v>
      </c>
      <c r="AA514" s="8">
        <v>0.108</v>
      </c>
      <c r="AB514" s="8">
        <v>6.0000000000000001E-3</v>
      </c>
      <c r="AC514" s="8">
        <v>0</v>
      </c>
    </row>
    <row r="515" spans="1:29" ht="11.65" x14ac:dyDescent="0.35">
      <c r="A515" s="12">
        <v>498</v>
      </c>
      <c r="B515" s="10" t="s">
        <v>1015</v>
      </c>
      <c r="C515" s="11" t="s">
        <v>879</v>
      </c>
      <c r="D515" s="9"/>
      <c r="E515" s="9">
        <v>454</v>
      </c>
      <c r="F515" s="10" t="s">
        <v>1066</v>
      </c>
      <c r="G515" s="9">
        <v>910</v>
      </c>
      <c r="H515" s="9">
        <v>1960</v>
      </c>
      <c r="I515" s="8">
        <v>331.28300000000002</v>
      </c>
      <c r="J515" s="8">
        <v>247.89599999999999</v>
      </c>
      <c r="K515" s="8">
        <v>224.184</v>
      </c>
      <c r="L515" s="8">
        <v>189.33699999999999</v>
      </c>
      <c r="M515" s="8">
        <v>157.864</v>
      </c>
      <c r="N515" s="8">
        <v>132.203</v>
      </c>
      <c r="O515" s="8">
        <v>108.86799999999999</v>
      </c>
      <c r="P515" s="8">
        <v>90.221000000000004</v>
      </c>
      <c r="Q515" s="8">
        <v>82.492000000000004</v>
      </c>
      <c r="R515" s="8">
        <v>59.59</v>
      </c>
      <c r="S515" s="8">
        <v>43.110999999999997</v>
      </c>
      <c r="T515" s="8">
        <v>39.097000000000001</v>
      </c>
      <c r="U515" s="8">
        <v>29.922000000000001</v>
      </c>
      <c r="V515" s="8">
        <v>23.141999999999999</v>
      </c>
      <c r="W515" s="8">
        <v>15.973000000000001</v>
      </c>
      <c r="X515" s="8">
        <v>9.282</v>
      </c>
      <c r="Y515" s="8">
        <v>4.173</v>
      </c>
      <c r="Z515" s="8">
        <v>1.1579999999999999</v>
      </c>
      <c r="AA515" s="8">
        <v>0.17199999999999999</v>
      </c>
      <c r="AB515" s="8">
        <v>1.2E-2</v>
      </c>
      <c r="AC515" s="8">
        <v>0</v>
      </c>
    </row>
    <row r="516" spans="1:29" ht="11.65" x14ac:dyDescent="0.35">
      <c r="A516" s="12">
        <v>499</v>
      </c>
      <c r="B516" s="10" t="s">
        <v>1015</v>
      </c>
      <c r="C516" s="11" t="s">
        <v>879</v>
      </c>
      <c r="D516" s="9"/>
      <c r="E516" s="9">
        <v>454</v>
      </c>
      <c r="F516" s="10" t="s">
        <v>1066</v>
      </c>
      <c r="G516" s="9">
        <v>910</v>
      </c>
      <c r="H516" s="9">
        <v>1965</v>
      </c>
      <c r="I516" s="8">
        <v>382.85300000000001</v>
      </c>
      <c r="J516" s="8">
        <v>287.27</v>
      </c>
      <c r="K516" s="8">
        <v>236.952</v>
      </c>
      <c r="L516" s="8">
        <v>217.17500000000001</v>
      </c>
      <c r="M516" s="8">
        <v>181.666</v>
      </c>
      <c r="N516" s="8">
        <v>150.28899999999999</v>
      </c>
      <c r="O516" s="8">
        <v>125.709</v>
      </c>
      <c r="P516" s="8">
        <v>103.146</v>
      </c>
      <c r="Q516" s="8">
        <v>84.869</v>
      </c>
      <c r="R516" s="8">
        <v>76.911000000000001</v>
      </c>
      <c r="S516" s="8">
        <v>54.851999999999997</v>
      </c>
      <c r="T516" s="8">
        <v>38.944000000000003</v>
      </c>
      <c r="U516" s="8">
        <v>34.247999999999998</v>
      </c>
      <c r="V516" s="8">
        <v>24.823</v>
      </c>
      <c r="W516" s="8">
        <v>17.530999999999999</v>
      </c>
      <c r="X516" s="8">
        <v>10.419</v>
      </c>
      <c r="Y516" s="8">
        <v>4.7610000000000001</v>
      </c>
      <c r="Z516" s="8">
        <v>1.46</v>
      </c>
      <c r="AA516" s="8">
        <v>0.23</v>
      </c>
      <c r="AB516" s="8">
        <v>1.7999999999999999E-2</v>
      </c>
      <c r="AC516" s="8">
        <v>1E-3</v>
      </c>
    </row>
    <row r="517" spans="1:29" ht="11.65" x14ac:dyDescent="0.35">
      <c r="A517" s="12">
        <v>500</v>
      </c>
      <c r="B517" s="10" t="s">
        <v>1015</v>
      </c>
      <c r="C517" s="11" t="s">
        <v>879</v>
      </c>
      <c r="D517" s="9"/>
      <c r="E517" s="9">
        <v>454</v>
      </c>
      <c r="F517" s="10" t="s">
        <v>1066</v>
      </c>
      <c r="G517" s="9">
        <v>910</v>
      </c>
      <c r="H517" s="9">
        <v>1970</v>
      </c>
      <c r="I517" s="8">
        <v>442.40100000000001</v>
      </c>
      <c r="J517" s="8">
        <v>334.90800000000002</v>
      </c>
      <c r="K517" s="8">
        <v>275.47199999999998</v>
      </c>
      <c r="L517" s="8">
        <v>229.97399999999999</v>
      </c>
      <c r="M517" s="8">
        <v>208.792</v>
      </c>
      <c r="N517" s="8">
        <v>173.34200000000001</v>
      </c>
      <c r="O517" s="8">
        <v>143.22</v>
      </c>
      <c r="P517" s="8">
        <v>119.357</v>
      </c>
      <c r="Q517" s="8">
        <v>97.241</v>
      </c>
      <c r="R517" s="8">
        <v>79.302999999999997</v>
      </c>
      <c r="S517" s="8">
        <v>70.941000000000003</v>
      </c>
      <c r="T517" s="8">
        <v>49.646999999999998</v>
      </c>
      <c r="U517" s="8">
        <v>34.179000000000002</v>
      </c>
      <c r="V517" s="8">
        <v>28.459</v>
      </c>
      <c r="W517" s="8">
        <v>18.831</v>
      </c>
      <c r="X517" s="8">
        <v>11.441000000000001</v>
      </c>
      <c r="Y517" s="8">
        <v>5.3360000000000003</v>
      </c>
      <c r="Z517" s="8">
        <v>1.6559999999999999</v>
      </c>
      <c r="AA517" s="8">
        <v>0.28499999999999998</v>
      </c>
      <c r="AB517" s="8">
        <v>2.3E-2</v>
      </c>
      <c r="AC517" s="8">
        <v>1E-3</v>
      </c>
    </row>
    <row r="518" spans="1:29" ht="11.65" x14ac:dyDescent="0.35">
      <c r="A518" s="12">
        <v>501</v>
      </c>
      <c r="B518" s="10" t="s">
        <v>1015</v>
      </c>
      <c r="C518" s="11" t="s">
        <v>879</v>
      </c>
      <c r="D518" s="9"/>
      <c r="E518" s="9">
        <v>454</v>
      </c>
      <c r="F518" s="10" t="s">
        <v>1066</v>
      </c>
      <c r="G518" s="9">
        <v>910</v>
      </c>
      <c r="H518" s="9">
        <v>1975</v>
      </c>
      <c r="I518" s="8">
        <v>511.34699999999998</v>
      </c>
      <c r="J518" s="8">
        <v>393.54899999999998</v>
      </c>
      <c r="K518" s="8">
        <v>322.99900000000002</v>
      </c>
      <c r="L518" s="8">
        <v>267.733</v>
      </c>
      <c r="M518" s="8">
        <v>220.51300000000001</v>
      </c>
      <c r="N518" s="8">
        <v>198.28100000000001</v>
      </c>
      <c r="O518" s="8">
        <v>164.32599999999999</v>
      </c>
      <c r="P518" s="8">
        <v>135.41499999999999</v>
      </c>
      <c r="Q518" s="8">
        <v>112.241</v>
      </c>
      <c r="R518" s="8">
        <v>90.757000000000005</v>
      </c>
      <c r="S518" s="8">
        <v>73.123000000000005</v>
      </c>
      <c r="T518" s="8">
        <v>64.349999999999994</v>
      </c>
      <c r="U518" s="8">
        <v>43.755000000000003</v>
      </c>
      <c r="V518" s="8">
        <v>28.515999999999998</v>
      </c>
      <c r="W518" s="8">
        <v>21.669</v>
      </c>
      <c r="X518" s="8">
        <v>12.32</v>
      </c>
      <c r="Y518" s="8">
        <v>5.8529999999999998</v>
      </c>
      <c r="Z518" s="8">
        <v>1.837</v>
      </c>
      <c r="AA518" s="8">
        <v>0.315</v>
      </c>
      <c r="AB518" s="8">
        <v>2.7E-2</v>
      </c>
      <c r="AC518" s="8">
        <v>1E-3</v>
      </c>
    </row>
    <row r="519" spans="1:29" ht="11.65" x14ac:dyDescent="0.35">
      <c r="A519" s="12">
        <v>502</v>
      </c>
      <c r="B519" s="10" t="s">
        <v>1015</v>
      </c>
      <c r="C519" s="11" t="s">
        <v>879</v>
      </c>
      <c r="D519" s="9"/>
      <c r="E519" s="9">
        <v>454</v>
      </c>
      <c r="F519" s="10" t="s">
        <v>1066</v>
      </c>
      <c r="G519" s="9">
        <v>910</v>
      </c>
      <c r="H519" s="9">
        <v>1980</v>
      </c>
      <c r="I519" s="8">
        <v>598.471</v>
      </c>
      <c r="J519" s="8">
        <v>461.59</v>
      </c>
      <c r="K519" s="8">
        <v>381.62099999999998</v>
      </c>
      <c r="L519" s="8">
        <v>316.08</v>
      </c>
      <c r="M519" s="8">
        <v>260.63400000000001</v>
      </c>
      <c r="N519" s="8">
        <v>213.874</v>
      </c>
      <c r="O519" s="8">
        <v>191.946</v>
      </c>
      <c r="P519" s="8">
        <v>158.322</v>
      </c>
      <c r="Q519" s="8">
        <v>129.43100000000001</v>
      </c>
      <c r="R519" s="8">
        <v>106.23099999999999</v>
      </c>
      <c r="S519" s="8">
        <v>84.691000000000003</v>
      </c>
      <c r="T519" s="8">
        <v>66.807000000000002</v>
      </c>
      <c r="U519" s="8">
        <v>56.901000000000003</v>
      </c>
      <c r="V519" s="8">
        <v>36.622</v>
      </c>
      <c r="W519" s="8">
        <v>21.777000000000001</v>
      </c>
      <c r="X519" s="8">
        <v>14.206</v>
      </c>
      <c r="Y519" s="8">
        <v>6.2960000000000003</v>
      </c>
      <c r="Z519" s="8">
        <v>2</v>
      </c>
      <c r="AA519" s="8">
        <v>0.33800000000000002</v>
      </c>
      <c r="AB519" s="8">
        <v>2.9000000000000001E-2</v>
      </c>
      <c r="AC519" s="8">
        <v>2E-3</v>
      </c>
    </row>
    <row r="520" spans="1:29" ht="11.65" x14ac:dyDescent="0.35">
      <c r="A520" s="12">
        <v>503</v>
      </c>
      <c r="B520" s="10" t="s">
        <v>1015</v>
      </c>
      <c r="C520" s="11" t="s">
        <v>879</v>
      </c>
      <c r="D520" s="9"/>
      <c r="E520" s="9">
        <v>454</v>
      </c>
      <c r="F520" s="10" t="s">
        <v>1066</v>
      </c>
      <c r="G520" s="9">
        <v>910</v>
      </c>
      <c r="H520" s="9">
        <v>1985</v>
      </c>
      <c r="I520" s="8">
        <v>695.28399999999999</v>
      </c>
      <c r="J520" s="8">
        <v>545.88400000000001</v>
      </c>
      <c r="K520" s="8">
        <v>448.83600000000001</v>
      </c>
      <c r="L520" s="8">
        <v>373.47</v>
      </c>
      <c r="M520" s="8">
        <v>306.70800000000003</v>
      </c>
      <c r="N520" s="8">
        <v>251.25899999999999</v>
      </c>
      <c r="O520" s="8">
        <v>205.75299999999999</v>
      </c>
      <c r="P520" s="8">
        <v>183.86500000000001</v>
      </c>
      <c r="Q520" s="8">
        <v>150.58199999999999</v>
      </c>
      <c r="R520" s="8">
        <v>122.012</v>
      </c>
      <c r="S520" s="8">
        <v>98.795000000000002</v>
      </c>
      <c r="T520" s="8">
        <v>77.251999999999995</v>
      </c>
      <c r="U520" s="8">
        <v>59.067999999999998</v>
      </c>
      <c r="V520" s="8">
        <v>47.593000000000004</v>
      </c>
      <c r="W520" s="8">
        <v>27.923999999999999</v>
      </c>
      <c r="X520" s="8">
        <v>14.228999999999999</v>
      </c>
      <c r="Y520" s="8">
        <v>7.2060000000000004</v>
      </c>
      <c r="Z520" s="8">
        <v>2.1150000000000002</v>
      </c>
      <c r="AA520" s="8">
        <v>0.35799999999999998</v>
      </c>
      <c r="AB520" s="8">
        <v>2.9000000000000001E-2</v>
      </c>
      <c r="AC520" s="8">
        <v>2E-3</v>
      </c>
    </row>
    <row r="521" spans="1:29" ht="11.65" x14ac:dyDescent="0.35">
      <c r="A521" s="12">
        <v>504</v>
      </c>
      <c r="B521" s="10" t="s">
        <v>1015</v>
      </c>
      <c r="C521" s="11" t="s">
        <v>879</v>
      </c>
      <c r="D521" s="9"/>
      <c r="E521" s="9">
        <v>454</v>
      </c>
      <c r="F521" s="10" t="s">
        <v>1066</v>
      </c>
      <c r="G521" s="9">
        <v>910</v>
      </c>
      <c r="H521" s="9">
        <v>1990</v>
      </c>
      <c r="I521" s="8">
        <v>865.31600000000003</v>
      </c>
      <c r="J521" s="8">
        <v>669.86500000000001</v>
      </c>
      <c r="K521" s="8">
        <v>577.46400000000006</v>
      </c>
      <c r="L521" s="8">
        <v>483.10199999999998</v>
      </c>
      <c r="M521" s="8">
        <v>399.30599999999998</v>
      </c>
      <c r="N521" s="8">
        <v>338.39800000000002</v>
      </c>
      <c r="O521" s="8">
        <v>291.36399999999998</v>
      </c>
      <c r="P521" s="8">
        <v>240.65299999999999</v>
      </c>
      <c r="Q521" s="8">
        <v>205.77799999999999</v>
      </c>
      <c r="R521" s="8">
        <v>160.023</v>
      </c>
      <c r="S521" s="8">
        <v>123.54900000000001</v>
      </c>
      <c r="T521" s="8">
        <v>97.915999999999997</v>
      </c>
      <c r="U521" s="8">
        <v>75.956999999999994</v>
      </c>
      <c r="V521" s="8">
        <v>56.463000000000001</v>
      </c>
      <c r="W521" s="8">
        <v>42.146000000000001</v>
      </c>
      <c r="X521" s="8">
        <v>22.616</v>
      </c>
      <c r="Y521" s="8">
        <v>9.4</v>
      </c>
      <c r="Z521" s="8">
        <v>2.677</v>
      </c>
      <c r="AA521" s="8">
        <v>0.35699999999999998</v>
      </c>
      <c r="AB521" s="8">
        <v>0.03</v>
      </c>
      <c r="AC521" s="8">
        <v>2E-3</v>
      </c>
    </row>
    <row r="522" spans="1:29" ht="11.65" x14ac:dyDescent="0.35">
      <c r="A522" s="12">
        <v>505</v>
      </c>
      <c r="B522" s="10" t="s">
        <v>1015</v>
      </c>
      <c r="C522" s="11" t="s">
        <v>879</v>
      </c>
      <c r="D522" s="9"/>
      <c r="E522" s="9">
        <v>454</v>
      </c>
      <c r="F522" s="10" t="s">
        <v>1066</v>
      </c>
      <c r="G522" s="9">
        <v>910</v>
      </c>
      <c r="H522" s="9">
        <v>1995</v>
      </c>
      <c r="I522" s="8">
        <v>889.56399999999996</v>
      </c>
      <c r="J522" s="8">
        <v>734.34699999999998</v>
      </c>
      <c r="K522" s="8">
        <v>585.41499999999996</v>
      </c>
      <c r="L522" s="8">
        <v>506.053</v>
      </c>
      <c r="M522" s="8">
        <v>426.95100000000002</v>
      </c>
      <c r="N522" s="8">
        <v>351.70800000000003</v>
      </c>
      <c r="O522" s="8">
        <v>290.286</v>
      </c>
      <c r="P522" s="8">
        <v>241.11099999999999</v>
      </c>
      <c r="Q522" s="8">
        <v>197.08199999999999</v>
      </c>
      <c r="R522" s="8">
        <v>173.49</v>
      </c>
      <c r="S522" s="8">
        <v>138.00899999999999</v>
      </c>
      <c r="T522" s="8">
        <v>108.17400000000001</v>
      </c>
      <c r="U522" s="8">
        <v>85.632000000000005</v>
      </c>
      <c r="V522" s="8">
        <v>64.614000000000004</v>
      </c>
      <c r="W522" s="8">
        <v>44.95</v>
      </c>
      <c r="X522" s="8">
        <v>29.327000000000002</v>
      </c>
      <c r="Y522" s="8">
        <v>12.53</v>
      </c>
      <c r="Z522" s="8">
        <v>3.1179999999999999</v>
      </c>
      <c r="AA522" s="8">
        <v>0.41899999999999998</v>
      </c>
      <c r="AB522" s="8">
        <v>0.03</v>
      </c>
      <c r="AC522" s="8">
        <v>2E-3</v>
      </c>
    </row>
    <row r="523" spans="1:29" ht="11.65" x14ac:dyDescent="0.35">
      <c r="A523" s="12">
        <v>506</v>
      </c>
      <c r="B523" s="10" t="s">
        <v>1015</v>
      </c>
      <c r="C523" s="11" t="s">
        <v>879</v>
      </c>
      <c r="D523" s="9"/>
      <c r="E523" s="9">
        <v>454</v>
      </c>
      <c r="F523" s="10" t="s">
        <v>1066</v>
      </c>
      <c r="G523" s="9">
        <v>910</v>
      </c>
      <c r="H523" s="9">
        <v>2000</v>
      </c>
      <c r="I523" s="8">
        <v>1013.409</v>
      </c>
      <c r="J523" s="8">
        <v>837.24199999999996</v>
      </c>
      <c r="K523" s="8">
        <v>716.19</v>
      </c>
      <c r="L523" s="8">
        <v>571.74699999999996</v>
      </c>
      <c r="M523" s="8">
        <v>487.85199999999998</v>
      </c>
      <c r="N523" s="8">
        <v>403.38099999999997</v>
      </c>
      <c r="O523" s="8">
        <v>325.30599999999998</v>
      </c>
      <c r="P523" s="8">
        <v>261.31900000000002</v>
      </c>
      <c r="Q523" s="8">
        <v>211.499</v>
      </c>
      <c r="R523" s="8">
        <v>170.27799999999999</v>
      </c>
      <c r="S523" s="8">
        <v>148.22200000000001</v>
      </c>
      <c r="T523" s="8">
        <v>115.93</v>
      </c>
      <c r="U523" s="8">
        <v>87.84</v>
      </c>
      <c r="V523" s="8">
        <v>65.543000000000006</v>
      </c>
      <c r="W523" s="8">
        <v>44.621000000000002</v>
      </c>
      <c r="X523" s="8">
        <v>26.265999999999998</v>
      </c>
      <c r="Y523" s="8">
        <v>12.971</v>
      </c>
      <c r="Z523" s="8">
        <v>3.4740000000000002</v>
      </c>
      <c r="AA523" s="8">
        <v>0.45200000000000001</v>
      </c>
      <c r="AB523" s="8">
        <v>3.3000000000000002E-2</v>
      </c>
      <c r="AC523" s="8">
        <v>2E-3</v>
      </c>
    </row>
    <row r="524" spans="1:29" ht="11.65" x14ac:dyDescent="0.35">
      <c r="A524" s="12">
        <v>507</v>
      </c>
      <c r="B524" s="10" t="s">
        <v>1015</v>
      </c>
      <c r="C524" s="11" t="s">
        <v>879</v>
      </c>
      <c r="D524" s="9"/>
      <c r="E524" s="9">
        <v>454</v>
      </c>
      <c r="F524" s="10" t="s">
        <v>1066</v>
      </c>
      <c r="G524" s="9">
        <v>910</v>
      </c>
      <c r="H524" s="9">
        <v>2005</v>
      </c>
      <c r="I524" s="8">
        <v>1152.5740000000001</v>
      </c>
      <c r="J524" s="8">
        <v>962.81</v>
      </c>
      <c r="K524" s="8">
        <v>816.18899999999996</v>
      </c>
      <c r="L524" s="8">
        <v>699.18100000000004</v>
      </c>
      <c r="M524" s="8">
        <v>550.76</v>
      </c>
      <c r="N524" s="8">
        <v>460.096</v>
      </c>
      <c r="O524" s="8">
        <v>371.35599999999999</v>
      </c>
      <c r="P524" s="8">
        <v>290.01100000000002</v>
      </c>
      <c r="Q524" s="8">
        <v>225.91300000000001</v>
      </c>
      <c r="R524" s="8">
        <v>179.68199999999999</v>
      </c>
      <c r="S524" s="8">
        <v>142.792</v>
      </c>
      <c r="T524" s="8">
        <v>122.127</v>
      </c>
      <c r="U524" s="8">
        <v>92.093000000000004</v>
      </c>
      <c r="V524" s="8">
        <v>65.492000000000004</v>
      </c>
      <c r="W524" s="8">
        <v>43.790999999999997</v>
      </c>
      <c r="X524" s="8">
        <v>24.977</v>
      </c>
      <c r="Y524" s="8">
        <v>10.952999999999999</v>
      </c>
      <c r="Z524" s="8">
        <v>3.31</v>
      </c>
      <c r="AA524" s="8">
        <v>0.45</v>
      </c>
      <c r="AB524" s="8">
        <v>3.2000000000000001E-2</v>
      </c>
      <c r="AC524" s="8">
        <v>2E-3</v>
      </c>
    </row>
    <row r="525" spans="1:29" ht="11.65" x14ac:dyDescent="0.35">
      <c r="A525" s="12">
        <v>508</v>
      </c>
      <c r="B525" s="10" t="s">
        <v>1015</v>
      </c>
      <c r="C525" s="11" t="s">
        <v>879</v>
      </c>
      <c r="D525" s="9"/>
      <c r="E525" s="9">
        <v>454</v>
      </c>
      <c r="F525" s="10" t="s">
        <v>1066</v>
      </c>
      <c r="G525" s="9">
        <v>910</v>
      </c>
      <c r="H525" s="9">
        <v>2010</v>
      </c>
      <c r="I525" s="8">
        <v>1325.479</v>
      </c>
      <c r="J525" s="8">
        <v>1110.865</v>
      </c>
      <c r="K525" s="8">
        <v>944.00099999999998</v>
      </c>
      <c r="L525" s="8">
        <v>800.34400000000005</v>
      </c>
      <c r="M525" s="8">
        <v>677.57299999999998</v>
      </c>
      <c r="N525" s="8">
        <v>525.24599999999998</v>
      </c>
      <c r="O525" s="8">
        <v>432.3</v>
      </c>
      <c r="P525" s="8">
        <v>342.21199999999999</v>
      </c>
      <c r="Q525" s="8">
        <v>261.91199999999998</v>
      </c>
      <c r="R525" s="8">
        <v>200.886</v>
      </c>
      <c r="S525" s="8">
        <v>157.03800000000001</v>
      </c>
      <c r="T525" s="8">
        <v>121.92400000000001</v>
      </c>
      <c r="U525" s="8">
        <v>100.29</v>
      </c>
      <c r="V525" s="8">
        <v>70.653999999999996</v>
      </c>
      <c r="W525" s="8">
        <v>44.859000000000002</v>
      </c>
      <c r="X525" s="8">
        <v>24.952999999999999</v>
      </c>
      <c r="Y525" s="8">
        <v>10.471</v>
      </c>
      <c r="Z525" s="8">
        <v>2.7589999999999999</v>
      </c>
      <c r="AA525" s="8">
        <v>0.39600000000000002</v>
      </c>
      <c r="AB525" s="8">
        <v>2.5999999999999999E-2</v>
      </c>
      <c r="AC525" s="8">
        <v>2E-3</v>
      </c>
    </row>
    <row r="526" spans="1:29" ht="11.65" x14ac:dyDescent="0.35">
      <c r="A526" s="12">
        <v>509</v>
      </c>
      <c r="B526" s="10" t="s">
        <v>1015</v>
      </c>
      <c r="C526" s="11" t="s">
        <v>879</v>
      </c>
      <c r="D526" s="9"/>
      <c r="E526" s="9">
        <v>454</v>
      </c>
      <c r="F526" s="10" t="s">
        <v>1066</v>
      </c>
      <c r="G526" s="9">
        <v>910</v>
      </c>
      <c r="H526" s="9">
        <v>2015</v>
      </c>
      <c r="I526" s="8">
        <v>1402.5239999999999</v>
      </c>
      <c r="J526" s="8">
        <v>1296.5340000000001</v>
      </c>
      <c r="K526" s="8">
        <v>1098.32</v>
      </c>
      <c r="L526" s="8">
        <v>932.16399999999999</v>
      </c>
      <c r="M526" s="8">
        <v>780.55399999999997</v>
      </c>
      <c r="N526" s="8">
        <v>651.81299999999999</v>
      </c>
      <c r="O526" s="8">
        <v>502.71600000000001</v>
      </c>
      <c r="P526" s="8">
        <v>411.95699999999999</v>
      </c>
      <c r="Q526" s="8">
        <v>322.62099999999998</v>
      </c>
      <c r="R526" s="8">
        <v>244.16</v>
      </c>
      <c r="S526" s="8">
        <v>184.19499999999999</v>
      </c>
      <c r="T526" s="8">
        <v>140.77199999999999</v>
      </c>
      <c r="U526" s="8">
        <v>105.462</v>
      </c>
      <c r="V526" s="8">
        <v>81.524000000000001</v>
      </c>
      <c r="W526" s="8">
        <v>51.859000000000002</v>
      </c>
      <c r="X526" s="8">
        <v>27.83</v>
      </c>
      <c r="Y526" s="8">
        <v>11.66</v>
      </c>
      <c r="Z526" s="8">
        <v>3.0579999999999998</v>
      </c>
      <c r="AA526" s="8">
        <v>0.38700000000000001</v>
      </c>
      <c r="AB526" s="8">
        <v>2.3E-2</v>
      </c>
      <c r="AC526" s="8">
        <v>1E-3</v>
      </c>
    </row>
    <row r="527" spans="1:29" ht="11.65" x14ac:dyDescent="0.35">
      <c r="A527" s="12">
        <v>510</v>
      </c>
      <c r="B527" s="10" t="s">
        <v>1015</v>
      </c>
      <c r="C527" s="11" t="s">
        <v>879</v>
      </c>
      <c r="D527" s="9"/>
      <c r="E527" s="9">
        <v>454</v>
      </c>
      <c r="F527" s="10" t="s">
        <v>1066</v>
      </c>
      <c r="G527" s="9">
        <v>910</v>
      </c>
      <c r="H527" s="9">
        <v>2020</v>
      </c>
      <c r="I527" s="8">
        <v>1477.0129999999999</v>
      </c>
      <c r="J527" s="8">
        <v>1381.6210000000001</v>
      </c>
      <c r="K527" s="8">
        <v>1286.6289999999999</v>
      </c>
      <c r="L527" s="8">
        <v>1088.019</v>
      </c>
      <c r="M527" s="8">
        <v>913.93700000000001</v>
      </c>
      <c r="N527" s="8">
        <v>756.65599999999995</v>
      </c>
      <c r="O527" s="8">
        <v>629.76</v>
      </c>
      <c r="P527" s="8">
        <v>483.57400000000001</v>
      </c>
      <c r="Q527" s="8">
        <v>392.70699999999999</v>
      </c>
      <c r="R527" s="8">
        <v>304.464</v>
      </c>
      <c r="S527" s="8">
        <v>226.79300000000001</v>
      </c>
      <c r="T527" s="8">
        <v>167.435</v>
      </c>
      <c r="U527" s="8">
        <v>123.788</v>
      </c>
      <c r="V527" s="8">
        <v>87.563000000000002</v>
      </c>
      <c r="W527" s="8">
        <v>61.747999999999998</v>
      </c>
      <c r="X527" s="8">
        <v>33.798000000000002</v>
      </c>
      <c r="Y527" s="8">
        <v>14.084</v>
      </c>
      <c r="Z527" s="8">
        <v>3.8889999999999998</v>
      </c>
      <c r="AA527" s="8">
        <v>0.52800000000000002</v>
      </c>
      <c r="AB527" s="8">
        <v>0.03</v>
      </c>
      <c r="AC527" s="8">
        <v>1E-3</v>
      </c>
    </row>
    <row r="528" spans="1:29" ht="11.65" x14ac:dyDescent="0.35">
      <c r="A528" s="12">
        <v>511</v>
      </c>
      <c r="B528" s="10" t="s">
        <v>1015</v>
      </c>
      <c r="C528" s="11" t="s">
        <v>1071</v>
      </c>
      <c r="D528" s="9">
        <v>1</v>
      </c>
      <c r="E528" s="9">
        <v>480</v>
      </c>
      <c r="F528" s="10" t="s">
        <v>1066</v>
      </c>
      <c r="G528" s="9">
        <v>910</v>
      </c>
      <c r="H528" s="9">
        <v>1950</v>
      </c>
      <c r="I528" s="8">
        <v>44.829000000000001</v>
      </c>
      <c r="J528" s="8">
        <v>36.527000000000001</v>
      </c>
      <c r="K528" s="8">
        <v>30.582999999999998</v>
      </c>
      <c r="L528" s="8">
        <v>25.742000000000001</v>
      </c>
      <c r="M528" s="8">
        <v>21.542000000000002</v>
      </c>
      <c r="N528" s="8">
        <v>17.957000000000001</v>
      </c>
      <c r="O528" s="8">
        <v>14.887</v>
      </c>
      <c r="P528" s="8">
        <v>12.308</v>
      </c>
      <c r="Q528" s="8">
        <v>10.170999999999999</v>
      </c>
      <c r="R528" s="8">
        <v>8.3030000000000008</v>
      </c>
      <c r="S528" s="8">
        <v>6.6820000000000004</v>
      </c>
      <c r="T528" s="8">
        <v>5.2329999999999997</v>
      </c>
      <c r="U528" s="8">
        <v>4.1020000000000003</v>
      </c>
      <c r="V528" s="8">
        <v>2.972</v>
      </c>
      <c r="W528" s="8">
        <v>1.9419999999999999</v>
      </c>
      <c r="X528" s="8">
        <v>1.1319999999999999</v>
      </c>
      <c r="Y528" s="8">
        <v>0.5</v>
      </c>
      <c r="Z528" s="8">
        <v>0.16700000000000001</v>
      </c>
      <c r="AA528" s="8">
        <v>0.04</v>
      </c>
      <c r="AB528" s="8">
        <v>7.0000000000000001E-3</v>
      </c>
      <c r="AC528" s="8">
        <v>1E-3</v>
      </c>
    </row>
    <row r="529" spans="1:29" ht="11.65" x14ac:dyDescent="0.35">
      <c r="A529" s="12">
        <v>512</v>
      </c>
      <c r="B529" s="10" t="s">
        <v>1015</v>
      </c>
      <c r="C529" s="11" t="s">
        <v>1071</v>
      </c>
      <c r="D529" s="9">
        <v>1</v>
      </c>
      <c r="E529" s="9">
        <v>480</v>
      </c>
      <c r="F529" s="10" t="s">
        <v>1066</v>
      </c>
      <c r="G529" s="9">
        <v>910</v>
      </c>
      <c r="H529" s="9">
        <v>1955</v>
      </c>
      <c r="I529" s="8">
        <v>54.73</v>
      </c>
      <c r="J529" s="8">
        <v>42.84</v>
      </c>
      <c r="K529" s="8">
        <v>35.723999999999997</v>
      </c>
      <c r="L529" s="8">
        <v>29.314</v>
      </c>
      <c r="M529" s="8">
        <v>24.207000000000001</v>
      </c>
      <c r="N529" s="8">
        <v>20.847999999999999</v>
      </c>
      <c r="O529" s="8">
        <v>17.314</v>
      </c>
      <c r="P529" s="8">
        <v>14.172000000000001</v>
      </c>
      <c r="Q529" s="8">
        <v>11.656000000000001</v>
      </c>
      <c r="R529" s="8">
        <v>9.4429999999999996</v>
      </c>
      <c r="S529" s="8">
        <v>7.5410000000000004</v>
      </c>
      <c r="T529" s="8">
        <v>5.7759999999999998</v>
      </c>
      <c r="U529" s="8">
        <v>4.1159999999999997</v>
      </c>
      <c r="V529" s="8">
        <v>2.9510000000000001</v>
      </c>
      <c r="W529" s="8">
        <v>1.871</v>
      </c>
      <c r="X529" s="8">
        <v>1.0269999999999999</v>
      </c>
      <c r="Y529" s="8">
        <v>0.434</v>
      </c>
      <c r="Z529" s="8">
        <v>0.183</v>
      </c>
      <c r="AA529" s="8">
        <v>4.2000000000000003E-2</v>
      </c>
      <c r="AB529" s="8">
        <v>5.0000000000000001E-3</v>
      </c>
      <c r="AC529" s="8">
        <v>0</v>
      </c>
    </row>
    <row r="530" spans="1:29" ht="11.65" x14ac:dyDescent="0.35">
      <c r="A530" s="12">
        <v>513</v>
      </c>
      <c r="B530" s="10" t="s">
        <v>1015</v>
      </c>
      <c r="C530" s="11" t="s">
        <v>1071</v>
      </c>
      <c r="D530" s="9">
        <v>1</v>
      </c>
      <c r="E530" s="9">
        <v>480</v>
      </c>
      <c r="F530" s="10" t="s">
        <v>1066</v>
      </c>
      <c r="G530" s="9">
        <v>910</v>
      </c>
      <c r="H530" s="9">
        <v>1960</v>
      </c>
      <c r="I530" s="8">
        <v>62.555</v>
      </c>
      <c r="J530" s="8">
        <v>52.503999999999998</v>
      </c>
      <c r="K530" s="8">
        <v>41.658999999999999</v>
      </c>
      <c r="L530" s="8">
        <v>34.134</v>
      </c>
      <c r="M530" s="8">
        <v>27.54</v>
      </c>
      <c r="N530" s="8">
        <v>23.314</v>
      </c>
      <c r="O530" s="8">
        <v>20.041</v>
      </c>
      <c r="P530" s="8">
        <v>16.484999999999999</v>
      </c>
      <c r="Q530" s="8">
        <v>13.446</v>
      </c>
      <c r="R530" s="8">
        <v>10.875999999999999</v>
      </c>
      <c r="S530" s="8">
        <v>8.6460000000000008</v>
      </c>
      <c r="T530" s="8">
        <v>6.6120000000000001</v>
      </c>
      <c r="U530" s="8">
        <v>4.6619999999999999</v>
      </c>
      <c r="V530" s="8">
        <v>3.0649999999999999</v>
      </c>
      <c r="W530" s="8">
        <v>1.9390000000000001</v>
      </c>
      <c r="X530" s="8">
        <v>1.0469999999999999</v>
      </c>
      <c r="Y530" s="8">
        <v>0.42599999999999999</v>
      </c>
      <c r="Z530" s="8">
        <v>0.12</v>
      </c>
      <c r="AA530" s="8">
        <v>2.9000000000000001E-2</v>
      </c>
      <c r="AB530" s="8">
        <v>4.0000000000000001E-3</v>
      </c>
      <c r="AC530" s="8">
        <v>0</v>
      </c>
    </row>
    <row r="531" spans="1:29" ht="11.65" x14ac:dyDescent="0.35">
      <c r="A531" s="12">
        <v>514</v>
      </c>
      <c r="B531" s="10" t="s">
        <v>1015</v>
      </c>
      <c r="C531" s="11" t="s">
        <v>1071</v>
      </c>
      <c r="D531" s="9">
        <v>1</v>
      </c>
      <c r="E531" s="9">
        <v>480</v>
      </c>
      <c r="F531" s="10" t="s">
        <v>1066</v>
      </c>
      <c r="G531" s="9">
        <v>910</v>
      </c>
      <c r="H531" s="9">
        <v>1965</v>
      </c>
      <c r="I531" s="8">
        <v>69.081999999999994</v>
      </c>
      <c r="J531" s="8">
        <v>59.575000000000003</v>
      </c>
      <c r="K531" s="8">
        <v>50.570999999999998</v>
      </c>
      <c r="L531" s="8">
        <v>39.634</v>
      </c>
      <c r="M531" s="8">
        <v>32.093000000000004</v>
      </c>
      <c r="N531" s="8">
        <v>26.317</v>
      </c>
      <c r="O531" s="8">
        <v>22.236000000000001</v>
      </c>
      <c r="P531" s="8">
        <v>18.978000000000002</v>
      </c>
      <c r="Q531" s="8">
        <v>15.541</v>
      </c>
      <c r="R531" s="8">
        <v>12.489000000000001</v>
      </c>
      <c r="S531" s="8">
        <v>9.9090000000000007</v>
      </c>
      <c r="T531" s="8">
        <v>7.569</v>
      </c>
      <c r="U531" s="8">
        <v>5.3789999999999996</v>
      </c>
      <c r="V531" s="8">
        <v>3.5019999999999998</v>
      </c>
      <c r="W531" s="8">
        <v>2.0419999999999998</v>
      </c>
      <c r="X531" s="8">
        <v>1.103</v>
      </c>
      <c r="Y531" s="8">
        <v>0.436</v>
      </c>
      <c r="Z531" s="8">
        <v>0.17899999999999999</v>
      </c>
      <c r="AA531" s="8">
        <v>3.6999999999999998E-2</v>
      </c>
      <c r="AB531" s="8">
        <v>6.0000000000000001E-3</v>
      </c>
      <c r="AC531" s="8">
        <v>0</v>
      </c>
    </row>
    <row r="532" spans="1:29" ht="11.65" x14ac:dyDescent="0.35">
      <c r="A532" s="12">
        <v>515</v>
      </c>
      <c r="B532" s="10" t="s">
        <v>1015</v>
      </c>
      <c r="C532" s="11" t="s">
        <v>1071</v>
      </c>
      <c r="D532" s="9">
        <v>1</v>
      </c>
      <c r="E532" s="9">
        <v>480</v>
      </c>
      <c r="F532" s="10" t="s">
        <v>1066</v>
      </c>
      <c r="G532" s="9">
        <v>910</v>
      </c>
      <c r="H532" s="9">
        <v>1970</v>
      </c>
      <c r="I532" s="8">
        <v>58.991999999999997</v>
      </c>
      <c r="J532" s="8">
        <v>67.372</v>
      </c>
      <c r="K532" s="8">
        <v>58.438000000000002</v>
      </c>
      <c r="L532" s="8">
        <v>47.741</v>
      </c>
      <c r="M532" s="8">
        <v>36.006999999999998</v>
      </c>
      <c r="N532" s="8">
        <v>30.934000000000001</v>
      </c>
      <c r="O532" s="8">
        <v>25.324999999999999</v>
      </c>
      <c r="P532" s="8">
        <v>21.106999999999999</v>
      </c>
      <c r="Q532" s="8">
        <v>18.161000000000001</v>
      </c>
      <c r="R532" s="8">
        <v>14.625</v>
      </c>
      <c r="S532" s="8">
        <v>11.651</v>
      </c>
      <c r="T532" s="8">
        <v>8.8160000000000007</v>
      </c>
      <c r="U532" s="8">
        <v>6.0819999999999999</v>
      </c>
      <c r="V532" s="8">
        <v>4.0599999999999996</v>
      </c>
      <c r="W532" s="8">
        <v>2.2970000000000002</v>
      </c>
      <c r="X532" s="8">
        <v>1.171</v>
      </c>
      <c r="Y532" s="8">
        <v>0.45800000000000002</v>
      </c>
      <c r="Z532" s="8">
        <v>0.187</v>
      </c>
      <c r="AA532" s="8">
        <v>5.3999999999999999E-2</v>
      </c>
      <c r="AB532" s="8">
        <v>7.0000000000000001E-3</v>
      </c>
      <c r="AC532" s="8">
        <v>1E-3</v>
      </c>
    </row>
    <row r="533" spans="1:29" ht="11.65" x14ac:dyDescent="0.35">
      <c r="A533" s="12">
        <v>516</v>
      </c>
      <c r="B533" s="10" t="s">
        <v>1015</v>
      </c>
      <c r="C533" s="11" t="s">
        <v>1071</v>
      </c>
      <c r="D533" s="9">
        <v>1</v>
      </c>
      <c r="E533" s="9">
        <v>480</v>
      </c>
      <c r="F533" s="10" t="s">
        <v>1066</v>
      </c>
      <c r="G533" s="9">
        <v>910</v>
      </c>
      <c r="H533" s="9">
        <v>1975</v>
      </c>
      <c r="I533" s="8">
        <v>52.06</v>
      </c>
      <c r="J533" s="8">
        <v>59.393000000000001</v>
      </c>
      <c r="K533" s="8">
        <v>67.992999999999995</v>
      </c>
      <c r="L533" s="8">
        <v>53.494</v>
      </c>
      <c r="M533" s="8">
        <v>39.872999999999998</v>
      </c>
      <c r="N533" s="8">
        <v>34.902999999999999</v>
      </c>
      <c r="O533" s="8">
        <v>30.076000000000001</v>
      </c>
      <c r="P533" s="8">
        <v>23.875</v>
      </c>
      <c r="Q533" s="8">
        <v>20.585000000000001</v>
      </c>
      <c r="R533" s="8">
        <v>17.384</v>
      </c>
      <c r="S533" s="8">
        <v>14.183</v>
      </c>
      <c r="T533" s="8">
        <v>10.599</v>
      </c>
      <c r="U533" s="8">
        <v>6.7759999999999998</v>
      </c>
      <c r="V533" s="8">
        <v>4.5439999999999996</v>
      </c>
      <c r="W533" s="8">
        <v>2.5089999999999999</v>
      </c>
      <c r="X533" s="8">
        <v>1.3089999999999999</v>
      </c>
      <c r="Y533" s="8">
        <v>0.46500000000000002</v>
      </c>
      <c r="Z533" s="8">
        <v>0.155</v>
      </c>
      <c r="AA533" s="8">
        <v>4.1000000000000002E-2</v>
      </c>
      <c r="AB533" s="8">
        <v>8.0000000000000002E-3</v>
      </c>
      <c r="AC533" s="8">
        <v>1E-3</v>
      </c>
    </row>
    <row r="534" spans="1:29" ht="11.65" x14ac:dyDescent="0.35">
      <c r="A534" s="12">
        <v>517</v>
      </c>
      <c r="B534" s="10" t="s">
        <v>1015</v>
      </c>
      <c r="C534" s="11" t="s">
        <v>1071</v>
      </c>
      <c r="D534" s="9">
        <v>1</v>
      </c>
      <c r="E534" s="9">
        <v>480</v>
      </c>
      <c r="F534" s="10" t="s">
        <v>1066</v>
      </c>
      <c r="G534" s="9">
        <v>910</v>
      </c>
      <c r="H534" s="9">
        <v>1980</v>
      </c>
      <c r="I534" s="8">
        <v>54.954000000000001</v>
      </c>
      <c r="J534" s="8">
        <v>57.813000000000002</v>
      </c>
      <c r="K534" s="8">
        <v>60.652000000000001</v>
      </c>
      <c r="L534" s="8">
        <v>55.866999999999997</v>
      </c>
      <c r="M534" s="8">
        <v>47.231999999999999</v>
      </c>
      <c r="N534" s="8">
        <v>41.664999999999999</v>
      </c>
      <c r="O534" s="8">
        <v>36.347000000000001</v>
      </c>
      <c r="P534" s="8">
        <v>27.678999999999998</v>
      </c>
      <c r="Q534" s="8">
        <v>22.161999999999999</v>
      </c>
      <c r="R534" s="8">
        <v>19.196000000000002</v>
      </c>
      <c r="S534" s="8">
        <v>15.885</v>
      </c>
      <c r="T534" s="8">
        <v>13.7</v>
      </c>
      <c r="U534" s="8">
        <v>9.5079999999999991</v>
      </c>
      <c r="V534" s="8">
        <v>6.6980000000000004</v>
      </c>
      <c r="W534" s="8">
        <v>3.8420000000000001</v>
      </c>
      <c r="X534" s="8">
        <v>2.0449999999999999</v>
      </c>
      <c r="Y534" s="8">
        <v>0.81699999999999995</v>
      </c>
      <c r="Z534" s="8">
        <v>0.21199999999999999</v>
      </c>
      <c r="AA534" s="8">
        <v>5.2999999999999999E-2</v>
      </c>
      <c r="AB534" s="8">
        <v>8.9999999999999993E-3</v>
      </c>
      <c r="AC534" s="8">
        <v>1E-3</v>
      </c>
    </row>
    <row r="535" spans="1:29" ht="11.65" x14ac:dyDescent="0.35">
      <c r="A535" s="12">
        <v>518</v>
      </c>
      <c r="B535" s="10" t="s">
        <v>1015</v>
      </c>
      <c r="C535" s="11" t="s">
        <v>1071</v>
      </c>
      <c r="D535" s="9">
        <v>1</v>
      </c>
      <c r="E535" s="9">
        <v>480</v>
      </c>
      <c r="F535" s="10" t="s">
        <v>1066</v>
      </c>
      <c r="G535" s="9">
        <v>910</v>
      </c>
      <c r="H535" s="9">
        <v>1985</v>
      </c>
      <c r="I535" s="8">
        <v>53.164999999999999</v>
      </c>
      <c r="J535" s="8">
        <v>53.884</v>
      </c>
      <c r="K535" s="8">
        <v>57.253</v>
      </c>
      <c r="L535" s="8">
        <v>59.719000000000001</v>
      </c>
      <c r="M535" s="8">
        <v>53.993000000000002</v>
      </c>
      <c r="N535" s="8">
        <v>44.898000000000003</v>
      </c>
      <c r="O535" s="8">
        <v>39.557000000000002</v>
      </c>
      <c r="P535" s="8">
        <v>34.575000000000003</v>
      </c>
      <c r="Q535" s="8">
        <v>26.157</v>
      </c>
      <c r="R535" s="8">
        <v>20.739000000000001</v>
      </c>
      <c r="S535" s="8">
        <v>17.664999999999999</v>
      </c>
      <c r="T535" s="8">
        <v>14.259</v>
      </c>
      <c r="U535" s="8">
        <v>11.794</v>
      </c>
      <c r="V535" s="8">
        <v>7.6319999999999997</v>
      </c>
      <c r="W535" s="8">
        <v>4.9260000000000002</v>
      </c>
      <c r="X535" s="8">
        <v>2.5049999999999999</v>
      </c>
      <c r="Y535" s="8">
        <v>1.0549999999999999</v>
      </c>
      <c r="Z535" s="8">
        <v>0.31900000000000001</v>
      </c>
      <c r="AA535" s="8">
        <v>5.8000000000000003E-2</v>
      </c>
      <c r="AB535" s="8">
        <v>8.9999999999999993E-3</v>
      </c>
      <c r="AC535" s="8">
        <v>1E-3</v>
      </c>
    </row>
    <row r="536" spans="1:29" ht="11.65" x14ac:dyDescent="0.35">
      <c r="A536" s="12">
        <v>519</v>
      </c>
      <c r="B536" s="10" t="s">
        <v>1015</v>
      </c>
      <c r="C536" s="11" t="s">
        <v>1071</v>
      </c>
      <c r="D536" s="9">
        <v>1</v>
      </c>
      <c r="E536" s="9">
        <v>480</v>
      </c>
      <c r="F536" s="10" t="s">
        <v>1066</v>
      </c>
      <c r="G536" s="9">
        <v>910</v>
      </c>
      <c r="H536" s="9">
        <v>1990</v>
      </c>
      <c r="I536" s="8">
        <v>49.738999999999997</v>
      </c>
      <c r="J536" s="8">
        <v>52.011000000000003</v>
      </c>
      <c r="K536" s="8">
        <v>53.304000000000002</v>
      </c>
      <c r="L536" s="8">
        <v>56.286000000000001</v>
      </c>
      <c r="M536" s="8">
        <v>57.715000000000003</v>
      </c>
      <c r="N536" s="8">
        <v>51.527000000000001</v>
      </c>
      <c r="O536" s="8">
        <v>42.728999999999999</v>
      </c>
      <c r="P536" s="8">
        <v>37.786000000000001</v>
      </c>
      <c r="Q536" s="8">
        <v>33.040999999999997</v>
      </c>
      <c r="R536" s="8">
        <v>24.795999999999999</v>
      </c>
      <c r="S536" s="8">
        <v>19.347000000000001</v>
      </c>
      <c r="T536" s="8">
        <v>16.062000000000001</v>
      </c>
      <c r="U536" s="8">
        <v>12.388999999999999</v>
      </c>
      <c r="V536" s="8">
        <v>9.5289999999999999</v>
      </c>
      <c r="W536" s="8">
        <v>5.5839999999999996</v>
      </c>
      <c r="X536" s="8">
        <v>3.1560000000000001</v>
      </c>
      <c r="Y536" s="8">
        <v>1.276</v>
      </c>
      <c r="Z536" s="8">
        <v>0.22500000000000001</v>
      </c>
      <c r="AA536" s="8">
        <v>3.5000000000000003E-2</v>
      </c>
      <c r="AB536" s="8">
        <v>5.0000000000000001E-3</v>
      </c>
      <c r="AC536" s="8">
        <v>1E-3</v>
      </c>
    </row>
    <row r="537" spans="1:29" ht="11.65" x14ac:dyDescent="0.35">
      <c r="A537" s="12">
        <v>520</v>
      </c>
      <c r="B537" s="10" t="s">
        <v>1015</v>
      </c>
      <c r="C537" s="11" t="s">
        <v>1071</v>
      </c>
      <c r="D537" s="9">
        <v>1</v>
      </c>
      <c r="E537" s="9">
        <v>480</v>
      </c>
      <c r="F537" s="10" t="s">
        <v>1066</v>
      </c>
      <c r="G537" s="9">
        <v>910</v>
      </c>
      <c r="H537" s="9">
        <v>1995</v>
      </c>
      <c r="I537" s="8">
        <v>56.433</v>
      </c>
      <c r="J537" s="8">
        <v>49.295000000000002</v>
      </c>
      <c r="K537" s="8">
        <v>51.78</v>
      </c>
      <c r="L537" s="8">
        <v>52.957999999999998</v>
      </c>
      <c r="M537" s="8">
        <v>55.567</v>
      </c>
      <c r="N537" s="8">
        <v>56.731000000000002</v>
      </c>
      <c r="O537" s="8">
        <v>50.558999999999997</v>
      </c>
      <c r="P537" s="8">
        <v>41.808</v>
      </c>
      <c r="Q537" s="8">
        <v>36.71</v>
      </c>
      <c r="R537" s="8">
        <v>31.728999999999999</v>
      </c>
      <c r="S537" s="8">
        <v>23.347000000000001</v>
      </c>
      <c r="T537" s="8">
        <v>17.771000000000001</v>
      </c>
      <c r="U537" s="8">
        <v>14.164</v>
      </c>
      <c r="V537" s="8">
        <v>10.242000000000001</v>
      </c>
      <c r="W537" s="8">
        <v>7.2489999999999997</v>
      </c>
      <c r="X537" s="8">
        <v>3.794</v>
      </c>
      <c r="Y537" s="8">
        <v>1.722</v>
      </c>
      <c r="Z537" s="8">
        <v>0.68300000000000005</v>
      </c>
      <c r="AA537" s="8">
        <v>9.6000000000000002E-2</v>
      </c>
      <c r="AB537" s="8">
        <v>0.01</v>
      </c>
      <c r="AC537" s="8">
        <v>1E-3</v>
      </c>
    </row>
    <row r="538" spans="1:29" ht="11.65" x14ac:dyDescent="0.35">
      <c r="A538" s="12">
        <v>521</v>
      </c>
      <c r="B538" s="10" t="s">
        <v>1015</v>
      </c>
      <c r="C538" s="11" t="s">
        <v>1071</v>
      </c>
      <c r="D538" s="9">
        <v>1</v>
      </c>
      <c r="E538" s="9">
        <v>480</v>
      </c>
      <c r="F538" s="10" t="s">
        <v>1066</v>
      </c>
      <c r="G538" s="9">
        <v>910</v>
      </c>
      <c r="H538" s="9">
        <v>2000</v>
      </c>
      <c r="I538" s="8">
        <v>50.018000000000001</v>
      </c>
      <c r="J538" s="8">
        <v>55.118000000000002</v>
      </c>
      <c r="K538" s="8">
        <v>49.42</v>
      </c>
      <c r="L538" s="8">
        <v>51.676000000000002</v>
      </c>
      <c r="M538" s="8">
        <v>55.118000000000002</v>
      </c>
      <c r="N538" s="8">
        <v>46.752000000000002</v>
      </c>
      <c r="O538" s="8">
        <v>49.954999999999998</v>
      </c>
      <c r="P538" s="8">
        <v>51.594999999999999</v>
      </c>
      <c r="Q538" s="8">
        <v>45.805</v>
      </c>
      <c r="R538" s="8">
        <v>39.146000000000001</v>
      </c>
      <c r="S538" s="8">
        <v>27.835999999999999</v>
      </c>
      <c r="T538" s="8">
        <v>19.177</v>
      </c>
      <c r="U538" s="8">
        <v>15.298</v>
      </c>
      <c r="V538" s="8">
        <v>11.76</v>
      </c>
      <c r="W538" s="8">
        <v>9.4930000000000003</v>
      </c>
      <c r="X538" s="8">
        <v>6.0469999999999997</v>
      </c>
      <c r="Y538" s="8">
        <v>2.5830000000000002</v>
      </c>
      <c r="Z538" s="8">
        <v>0.68400000000000005</v>
      </c>
      <c r="AA538" s="8">
        <v>0.192</v>
      </c>
      <c r="AB538" s="8">
        <v>1.9E-2</v>
      </c>
      <c r="AC538" s="8">
        <v>1E-3</v>
      </c>
    </row>
    <row r="539" spans="1:29" ht="11.65" x14ac:dyDescent="0.35">
      <c r="A539" s="12">
        <v>522</v>
      </c>
      <c r="B539" s="10" t="s">
        <v>1015</v>
      </c>
      <c r="C539" s="11" t="s">
        <v>1071</v>
      </c>
      <c r="D539" s="9">
        <v>1</v>
      </c>
      <c r="E539" s="9">
        <v>480</v>
      </c>
      <c r="F539" s="10" t="s">
        <v>1066</v>
      </c>
      <c r="G539" s="9">
        <v>910</v>
      </c>
      <c r="H539" s="9">
        <v>2005</v>
      </c>
      <c r="I539" s="8">
        <v>48.430999999999997</v>
      </c>
      <c r="J539" s="8">
        <v>49.901000000000003</v>
      </c>
      <c r="K539" s="8">
        <v>55.034999999999997</v>
      </c>
      <c r="L539" s="8">
        <v>48.529000000000003</v>
      </c>
      <c r="M539" s="8">
        <v>48.613</v>
      </c>
      <c r="N539" s="8">
        <v>53.552999999999997</v>
      </c>
      <c r="O539" s="8">
        <v>45.841999999999999</v>
      </c>
      <c r="P539" s="8">
        <v>47.537999999999997</v>
      </c>
      <c r="Q539" s="8">
        <v>50.201000000000001</v>
      </c>
      <c r="R539" s="8">
        <v>43.677999999999997</v>
      </c>
      <c r="S539" s="8">
        <v>36.618000000000002</v>
      </c>
      <c r="T539" s="8">
        <v>26.969000000000001</v>
      </c>
      <c r="U539" s="8">
        <v>17.210999999999999</v>
      </c>
      <c r="V539" s="8">
        <v>12.888999999999999</v>
      </c>
      <c r="W539" s="8">
        <v>9.2249999999999996</v>
      </c>
      <c r="X539" s="8">
        <v>6.1890000000000001</v>
      </c>
      <c r="Y539" s="8">
        <v>3.5350000000000001</v>
      </c>
      <c r="Z539" s="8">
        <v>1.3320000000000001</v>
      </c>
      <c r="AA539" s="8">
        <v>0.27300000000000002</v>
      </c>
      <c r="AB539" s="8">
        <v>5.3999999999999999E-2</v>
      </c>
      <c r="AC539" s="8">
        <v>4.0000000000000001E-3</v>
      </c>
    </row>
    <row r="540" spans="1:29" ht="11.65" x14ac:dyDescent="0.35">
      <c r="A540" s="12">
        <v>523</v>
      </c>
      <c r="B540" s="10" t="s">
        <v>1015</v>
      </c>
      <c r="C540" s="11" t="s">
        <v>1071</v>
      </c>
      <c r="D540" s="9">
        <v>1</v>
      </c>
      <c r="E540" s="9">
        <v>480</v>
      </c>
      <c r="F540" s="10" t="s">
        <v>1066</v>
      </c>
      <c r="G540" s="9">
        <v>910</v>
      </c>
      <c r="H540" s="9">
        <v>2010</v>
      </c>
      <c r="I540" s="8">
        <v>41.167000000000002</v>
      </c>
      <c r="J540" s="8">
        <v>48.329000000000001</v>
      </c>
      <c r="K540" s="8">
        <v>49.828000000000003</v>
      </c>
      <c r="L540" s="8">
        <v>52.938000000000002</v>
      </c>
      <c r="M540" s="8">
        <v>47.652000000000001</v>
      </c>
      <c r="N540" s="8">
        <v>45.734000000000002</v>
      </c>
      <c r="O540" s="8">
        <v>52.030999999999999</v>
      </c>
      <c r="P540" s="8">
        <v>44.95</v>
      </c>
      <c r="Q540" s="8">
        <v>45.235999999999997</v>
      </c>
      <c r="R540" s="8">
        <v>48.844999999999999</v>
      </c>
      <c r="S540" s="8">
        <v>41.654000000000003</v>
      </c>
      <c r="T540" s="8">
        <v>34.253</v>
      </c>
      <c r="U540" s="8">
        <v>26.126999999999999</v>
      </c>
      <c r="V540" s="8">
        <v>15.449</v>
      </c>
      <c r="W540" s="8">
        <v>10.858000000000001</v>
      </c>
      <c r="X540" s="8">
        <v>7.2439999999999998</v>
      </c>
      <c r="Y540" s="8">
        <v>3.9660000000000002</v>
      </c>
      <c r="Z540" s="8">
        <v>1.7370000000000001</v>
      </c>
      <c r="AA540" s="8">
        <v>0.5</v>
      </c>
      <c r="AB540" s="8">
        <v>7.0999999999999994E-2</v>
      </c>
      <c r="AC540" s="8">
        <v>8.9999999999999993E-3</v>
      </c>
    </row>
    <row r="541" spans="1:29" ht="11.65" x14ac:dyDescent="0.35">
      <c r="A541" s="12">
        <v>524</v>
      </c>
      <c r="B541" s="10" t="s">
        <v>1015</v>
      </c>
      <c r="C541" s="11" t="s">
        <v>1071</v>
      </c>
      <c r="D541" s="9">
        <v>1</v>
      </c>
      <c r="E541" s="9">
        <v>480</v>
      </c>
      <c r="F541" s="10" t="s">
        <v>1066</v>
      </c>
      <c r="G541" s="9">
        <v>910</v>
      </c>
      <c r="H541" s="9">
        <v>2015</v>
      </c>
      <c r="I541" s="8">
        <v>35.136000000000003</v>
      </c>
      <c r="J541" s="8">
        <v>41.095999999999997</v>
      </c>
      <c r="K541" s="8">
        <v>48.281999999999996</v>
      </c>
      <c r="L541" s="8">
        <v>47.74</v>
      </c>
      <c r="M541" s="8">
        <v>51.997999999999998</v>
      </c>
      <c r="N541" s="8">
        <v>44.725999999999999</v>
      </c>
      <c r="O541" s="8">
        <v>44.232999999999997</v>
      </c>
      <c r="P541" s="8">
        <v>51.014000000000003</v>
      </c>
      <c r="Q541" s="8">
        <v>42.701000000000001</v>
      </c>
      <c r="R541" s="8">
        <v>44.13</v>
      </c>
      <c r="S541" s="8">
        <v>46.795999999999999</v>
      </c>
      <c r="T541" s="8">
        <v>39.274999999999999</v>
      </c>
      <c r="U541" s="8">
        <v>33.131999999999998</v>
      </c>
      <c r="V541" s="8">
        <v>23.599</v>
      </c>
      <c r="W541" s="8">
        <v>13.291</v>
      </c>
      <c r="X541" s="8">
        <v>8.875</v>
      </c>
      <c r="Y541" s="8">
        <v>4.9660000000000002</v>
      </c>
      <c r="Z541" s="8">
        <v>2.024</v>
      </c>
      <c r="AA541" s="8">
        <v>0.64500000000000002</v>
      </c>
      <c r="AB541" s="8">
        <v>0.125</v>
      </c>
      <c r="AC541" s="8">
        <v>1.0999999999999999E-2</v>
      </c>
    </row>
    <row r="542" spans="1:29" ht="11.65" x14ac:dyDescent="0.35">
      <c r="A542" s="12">
        <v>525</v>
      </c>
      <c r="B542" s="10" t="s">
        <v>1015</v>
      </c>
      <c r="C542" s="11" t="s">
        <v>1071</v>
      </c>
      <c r="D542" s="9">
        <v>1</v>
      </c>
      <c r="E542" s="9">
        <v>480</v>
      </c>
      <c r="F542" s="10" t="s">
        <v>1066</v>
      </c>
      <c r="G542" s="9">
        <v>910</v>
      </c>
      <c r="H542" s="9">
        <v>2020</v>
      </c>
      <c r="I542" s="8">
        <v>32.65</v>
      </c>
      <c r="J542" s="8">
        <v>35.076000000000001</v>
      </c>
      <c r="K542" s="8">
        <v>41.058</v>
      </c>
      <c r="L542" s="8">
        <v>48.18</v>
      </c>
      <c r="M542" s="8">
        <v>47.497999999999998</v>
      </c>
      <c r="N542" s="8">
        <v>51.610999999999997</v>
      </c>
      <c r="O542" s="8">
        <v>44.292000000000002</v>
      </c>
      <c r="P542" s="8">
        <v>43.654000000000003</v>
      </c>
      <c r="Q542" s="8">
        <v>50.064</v>
      </c>
      <c r="R542" s="8">
        <v>41.591999999999999</v>
      </c>
      <c r="S542" s="8">
        <v>42.44</v>
      </c>
      <c r="T542" s="8">
        <v>44.276000000000003</v>
      </c>
      <c r="U542" s="8">
        <v>36.210999999999999</v>
      </c>
      <c r="V542" s="8">
        <v>29.369</v>
      </c>
      <c r="W542" s="8">
        <v>19.771000000000001</v>
      </c>
      <c r="X542" s="8">
        <v>10.218</v>
      </c>
      <c r="Y542" s="8">
        <v>5.9349999999999996</v>
      </c>
      <c r="Z542" s="8">
        <v>2.625</v>
      </c>
      <c r="AA542" s="8">
        <v>0.77600000000000002</v>
      </c>
      <c r="AB542" s="8">
        <v>0.16500000000000001</v>
      </c>
      <c r="AC542" s="8">
        <v>1.9E-2</v>
      </c>
    </row>
    <row r="543" spans="1:29" ht="11.65" x14ac:dyDescent="0.35">
      <c r="A543" s="12">
        <v>526</v>
      </c>
      <c r="B543" s="10" t="s">
        <v>1015</v>
      </c>
      <c r="C543" s="11" t="s">
        <v>1072</v>
      </c>
      <c r="D543" s="9">
        <v>2</v>
      </c>
      <c r="E543" s="9">
        <v>175</v>
      </c>
      <c r="F543" s="10" t="s">
        <v>1066</v>
      </c>
      <c r="G543" s="9">
        <v>910</v>
      </c>
      <c r="H543" s="9">
        <v>1950</v>
      </c>
      <c r="I543" s="8">
        <v>1.042</v>
      </c>
      <c r="J543" s="8">
        <v>0.79900000000000004</v>
      </c>
      <c r="K543" s="8">
        <v>0.66900000000000004</v>
      </c>
      <c r="L543" s="8">
        <v>0.54700000000000004</v>
      </c>
      <c r="M543" s="8">
        <v>0.48799999999999999</v>
      </c>
      <c r="N543" s="8">
        <v>0.45300000000000001</v>
      </c>
      <c r="O543" s="8">
        <v>0.35099999999999998</v>
      </c>
      <c r="P543" s="8">
        <v>0.68100000000000005</v>
      </c>
      <c r="Q543" s="8">
        <v>0.56799999999999995</v>
      </c>
      <c r="R543" s="8">
        <v>0.6</v>
      </c>
      <c r="S543" s="8">
        <v>0.5</v>
      </c>
      <c r="T543" s="8">
        <v>0.4</v>
      </c>
      <c r="U543" s="8">
        <v>0.3</v>
      </c>
      <c r="V543" s="8">
        <v>0.19900000000000001</v>
      </c>
      <c r="W543" s="8">
        <v>0.1</v>
      </c>
      <c r="X543" s="8">
        <v>5.3999999999999999E-2</v>
      </c>
      <c r="Y543" s="8">
        <v>0.373</v>
      </c>
      <c r="Z543" s="8">
        <v>0.109</v>
      </c>
      <c r="AA543" s="8">
        <v>1.6E-2</v>
      </c>
      <c r="AB543" s="8">
        <v>0</v>
      </c>
      <c r="AC543" s="8">
        <v>0</v>
      </c>
    </row>
    <row r="544" spans="1:29" ht="11.65" x14ac:dyDescent="0.35">
      <c r="A544" s="12">
        <v>527</v>
      </c>
      <c r="B544" s="10" t="s">
        <v>1015</v>
      </c>
      <c r="C544" s="11" t="s">
        <v>1072</v>
      </c>
      <c r="D544" s="9">
        <v>2</v>
      </c>
      <c r="E544" s="9">
        <v>175</v>
      </c>
      <c r="F544" s="10" t="s">
        <v>1066</v>
      </c>
      <c r="G544" s="9">
        <v>910</v>
      </c>
      <c r="H544" s="9">
        <v>1955</v>
      </c>
      <c r="I544" s="8">
        <v>1.56</v>
      </c>
      <c r="J544" s="8">
        <v>1.1839999999999999</v>
      </c>
      <c r="K544" s="8">
        <v>1.0109999999999999</v>
      </c>
      <c r="L544" s="8">
        <v>0.86</v>
      </c>
      <c r="M544" s="8">
        <v>0.69</v>
      </c>
      <c r="N544" s="8">
        <v>0.59499999999999997</v>
      </c>
      <c r="O544" s="8">
        <v>0.54100000000000004</v>
      </c>
      <c r="P544" s="8">
        <v>0.42399999999999999</v>
      </c>
      <c r="Q544" s="8">
        <v>0.71299999999999997</v>
      </c>
      <c r="R544" s="8">
        <v>0.58499999999999996</v>
      </c>
      <c r="S544" s="8">
        <v>0.58799999999999997</v>
      </c>
      <c r="T544" s="8">
        <v>0.47399999999999998</v>
      </c>
      <c r="U544" s="8">
        <v>0.36199999999999999</v>
      </c>
      <c r="V544" s="8">
        <v>0.255</v>
      </c>
      <c r="W544" s="8">
        <v>0.155</v>
      </c>
      <c r="X544" s="8">
        <v>7.0000000000000007E-2</v>
      </c>
      <c r="Y544" s="8">
        <v>2.8000000000000001E-2</v>
      </c>
      <c r="Z544" s="8">
        <v>0.11899999999999999</v>
      </c>
      <c r="AA544" s="8">
        <v>2.1000000000000001E-2</v>
      </c>
      <c r="AB544" s="8">
        <v>2E-3</v>
      </c>
      <c r="AC544" s="8">
        <v>0</v>
      </c>
    </row>
    <row r="545" spans="1:29" ht="11.65" x14ac:dyDescent="0.35">
      <c r="A545" s="12">
        <v>528</v>
      </c>
      <c r="B545" s="10" t="s">
        <v>1015</v>
      </c>
      <c r="C545" s="11" t="s">
        <v>1072</v>
      </c>
      <c r="D545" s="9">
        <v>2</v>
      </c>
      <c r="E545" s="9">
        <v>175</v>
      </c>
      <c r="F545" s="10" t="s">
        <v>1066</v>
      </c>
      <c r="G545" s="9">
        <v>910</v>
      </c>
      <c r="H545" s="9">
        <v>1960</v>
      </c>
      <c r="I545" s="8">
        <v>2.0920000000000001</v>
      </c>
      <c r="J545" s="8">
        <v>1.6759999999999999</v>
      </c>
      <c r="K545" s="8">
        <v>1.383</v>
      </c>
      <c r="L545" s="8">
        <v>1.196</v>
      </c>
      <c r="M545" s="8">
        <v>0.997</v>
      </c>
      <c r="N545" s="8">
        <v>0.79200000000000004</v>
      </c>
      <c r="O545" s="8">
        <v>0.67700000000000005</v>
      </c>
      <c r="P545" s="8">
        <v>0.60499999999999998</v>
      </c>
      <c r="Q545" s="8">
        <v>0.47</v>
      </c>
      <c r="R545" s="8">
        <v>0.72</v>
      </c>
      <c r="S545" s="8">
        <v>0.57799999999999996</v>
      </c>
      <c r="T545" s="8">
        <v>0.55600000000000005</v>
      </c>
      <c r="U545" s="8">
        <v>0.42499999999999999</v>
      </c>
      <c r="V545" s="8">
        <v>0.307</v>
      </c>
      <c r="W545" s="8">
        <v>0.2</v>
      </c>
      <c r="X545" s="8">
        <v>0.104</v>
      </c>
      <c r="Y545" s="8">
        <v>0.04</v>
      </c>
      <c r="Z545" s="8">
        <v>1.0999999999999999E-2</v>
      </c>
      <c r="AA545" s="8">
        <v>2.9000000000000001E-2</v>
      </c>
      <c r="AB545" s="8">
        <v>3.0000000000000001E-3</v>
      </c>
      <c r="AC545" s="8">
        <v>0</v>
      </c>
    </row>
    <row r="546" spans="1:29" ht="11.65" x14ac:dyDescent="0.35">
      <c r="A546" s="12">
        <v>529</v>
      </c>
      <c r="B546" s="10" t="s">
        <v>1015</v>
      </c>
      <c r="C546" s="11" t="s">
        <v>1072</v>
      </c>
      <c r="D546" s="9">
        <v>2</v>
      </c>
      <c r="E546" s="9">
        <v>175</v>
      </c>
      <c r="F546" s="10" t="s">
        <v>1066</v>
      </c>
      <c r="G546" s="9">
        <v>910</v>
      </c>
      <c r="H546" s="9">
        <v>1965</v>
      </c>
      <c r="I546" s="8">
        <v>2.847</v>
      </c>
      <c r="J546" s="8">
        <v>2.1880000000000002</v>
      </c>
      <c r="K546" s="8">
        <v>1.8660000000000001</v>
      </c>
      <c r="L546" s="8">
        <v>1.5669999999999999</v>
      </c>
      <c r="M546" s="8">
        <v>1.33</v>
      </c>
      <c r="N546" s="8">
        <v>1.093</v>
      </c>
      <c r="O546" s="8">
        <v>0.873</v>
      </c>
      <c r="P546" s="8">
        <v>0.74199999999999999</v>
      </c>
      <c r="Q546" s="8">
        <v>0.64900000000000002</v>
      </c>
      <c r="R546" s="8">
        <v>0.497</v>
      </c>
      <c r="S546" s="8">
        <v>0.70799999999999996</v>
      </c>
      <c r="T546" s="8">
        <v>0.55300000000000005</v>
      </c>
      <c r="U546" s="8">
        <v>0.502</v>
      </c>
      <c r="V546" s="8">
        <v>0.36399999999999999</v>
      </c>
      <c r="W546" s="8">
        <v>0.24099999999999999</v>
      </c>
      <c r="X546" s="8">
        <v>0.13200000000000001</v>
      </c>
      <c r="Y546" s="8">
        <v>5.7000000000000002E-2</v>
      </c>
      <c r="Z546" s="8">
        <v>1.4999999999999999E-2</v>
      </c>
      <c r="AA546" s="8">
        <v>3.0000000000000001E-3</v>
      </c>
      <c r="AB546" s="8">
        <v>4.0000000000000001E-3</v>
      </c>
      <c r="AC546" s="8">
        <v>0</v>
      </c>
    </row>
    <row r="547" spans="1:29" ht="11.65" x14ac:dyDescent="0.35">
      <c r="A547" s="12">
        <v>530</v>
      </c>
      <c r="B547" s="10" t="s">
        <v>1015</v>
      </c>
      <c r="C547" s="11" t="s">
        <v>1072</v>
      </c>
      <c r="D547" s="9">
        <v>2</v>
      </c>
      <c r="E547" s="9">
        <v>175</v>
      </c>
      <c r="F547" s="10" t="s">
        <v>1066</v>
      </c>
      <c r="G547" s="9">
        <v>910</v>
      </c>
      <c r="H547" s="9">
        <v>1970</v>
      </c>
      <c r="I547" s="8">
        <v>3.694</v>
      </c>
      <c r="J547" s="8">
        <v>2.8109999999999999</v>
      </c>
      <c r="K547" s="8">
        <v>2.2000000000000002</v>
      </c>
      <c r="L547" s="8">
        <v>1.8879999999999999</v>
      </c>
      <c r="M547" s="8">
        <v>1.5760000000000001</v>
      </c>
      <c r="N547" s="8">
        <v>1.327</v>
      </c>
      <c r="O547" s="8">
        <v>1.091</v>
      </c>
      <c r="P547" s="8">
        <v>0.871</v>
      </c>
      <c r="Q547" s="8">
        <v>0.73399999999999999</v>
      </c>
      <c r="R547" s="8">
        <v>0.63300000000000001</v>
      </c>
      <c r="S547" s="8">
        <v>0.47699999999999998</v>
      </c>
      <c r="T547" s="8">
        <v>0.65200000000000002</v>
      </c>
      <c r="U547" s="8">
        <v>0.49199999999999999</v>
      </c>
      <c r="V547" s="8">
        <v>0.42</v>
      </c>
      <c r="W547" s="8">
        <v>0.27900000000000003</v>
      </c>
      <c r="X547" s="8">
        <v>0.156</v>
      </c>
      <c r="Y547" s="8">
        <v>7.0000000000000007E-2</v>
      </c>
      <c r="Z547" s="8">
        <v>2.1999999999999999E-2</v>
      </c>
      <c r="AA547" s="8">
        <v>5.0000000000000001E-3</v>
      </c>
      <c r="AB547" s="8">
        <v>0</v>
      </c>
      <c r="AC547" s="8">
        <v>0</v>
      </c>
    </row>
    <row r="548" spans="1:29" ht="11.65" x14ac:dyDescent="0.35">
      <c r="A548" s="12">
        <v>531</v>
      </c>
      <c r="B548" s="10" t="s">
        <v>1015</v>
      </c>
      <c r="C548" s="11" t="s">
        <v>1072</v>
      </c>
      <c r="D548" s="9">
        <v>2</v>
      </c>
      <c r="E548" s="9">
        <v>175</v>
      </c>
      <c r="F548" s="10" t="s">
        <v>1066</v>
      </c>
      <c r="G548" s="9">
        <v>910</v>
      </c>
      <c r="H548" s="9">
        <v>1975</v>
      </c>
      <c r="I548" s="8">
        <v>4.7290000000000001</v>
      </c>
      <c r="J548" s="8">
        <v>3.6640000000000001</v>
      </c>
      <c r="K548" s="8">
        <v>2.82</v>
      </c>
      <c r="L548" s="8">
        <v>2.2229999999999999</v>
      </c>
      <c r="M548" s="8">
        <v>1.8959999999999999</v>
      </c>
      <c r="N548" s="8">
        <v>1.5760000000000001</v>
      </c>
      <c r="O548" s="8">
        <v>1.327</v>
      </c>
      <c r="P548" s="8">
        <v>1.089</v>
      </c>
      <c r="Q548" s="8">
        <v>0.86499999999999999</v>
      </c>
      <c r="R548" s="8">
        <v>0.72299999999999998</v>
      </c>
      <c r="S548" s="8">
        <v>0.61099999999999999</v>
      </c>
      <c r="T548" s="8">
        <v>0.44900000000000001</v>
      </c>
      <c r="U548" s="8">
        <v>0.58599999999999997</v>
      </c>
      <c r="V548" s="8">
        <v>0.42199999999999999</v>
      </c>
      <c r="W548" s="8">
        <v>0.32500000000000001</v>
      </c>
      <c r="X548" s="8">
        <v>0.186</v>
      </c>
      <c r="Y548" s="8">
        <v>8.5999999999999993E-2</v>
      </c>
      <c r="Z548" s="8">
        <v>2.8000000000000001E-2</v>
      </c>
      <c r="AA548" s="8">
        <v>7.0000000000000001E-3</v>
      </c>
      <c r="AB548" s="8">
        <v>0</v>
      </c>
      <c r="AC548" s="8">
        <v>0</v>
      </c>
    </row>
    <row r="549" spans="1:29" ht="11.65" x14ac:dyDescent="0.35">
      <c r="A549" s="12">
        <v>532</v>
      </c>
      <c r="B549" s="10" t="s">
        <v>1015</v>
      </c>
      <c r="C549" s="11" t="s">
        <v>1072</v>
      </c>
      <c r="D549" s="9">
        <v>2</v>
      </c>
      <c r="E549" s="9">
        <v>175</v>
      </c>
      <c r="F549" s="10" t="s">
        <v>1066</v>
      </c>
      <c r="G549" s="9">
        <v>910</v>
      </c>
      <c r="H549" s="9">
        <v>1980</v>
      </c>
      <c r="I549" s="8">
        <v>5.6769999999999996</v>
      </c>
      <c r="J549" s="8">
        <v>4.3289999999999997</v>
      </c>
      <c r="K549" s="8">
        <v>3.673</v>
      </c>
      <c r="L549" s="8">
        <v>2.843</v>
      </c>
      <c r="M549" s="8">
        <v>2.2309999999999999</v>
      </c>
      <c r="N549" s="8">
        <v>1.8959999999999999</v>
      </c>
      <c r="O549" s="8">
        <v>1.5760000000000001</v>
      </c>
      <c r="P549" s="8">
        <v>1.327</v>
      </c>
      <c r="Q549" s="8">
        <v>1.087</v>
      </c>
      <c r="R549" s="8">
        <v>0.85599999999999998</v>
      </c>
      <c r="S549" s="8">
        <v>0.70099999999999996</v>
      </c>
      <c r="T549" s="8">
        <v>0.57699999999999996</v>
      </c>
      <c r="U549" s="8">
        <v>0.41199999999999998</v>
      </c>
      <c r="V549" s="8">
        <v>0.504</v>
      </c>
      <c r="W549" s="8">
        <v>0.33100000000000002</v>
      </c>
      <c r="X549" s="8">
        <v>0.22</v>
      </c>
      <c r="Y549" s="8">
        <v>0.10299999999999999</v>
      </c>
      <c r="Z549" s="8">
        <v>3.6999999999999998E-2</v>
      </c>
      <c r="AA549" s="8">
        <v>0.01</v>
      </c>
      <c r="AB549" s="8">
        <v>0</v>
      </c>
      <c r="AC549" s="8">
        <v>0</v>
      </c>
    </row>
    <row r="550" spans="1:29" ht="11.65" x14ac:dyDescent="0.35">
      <c r="A550" s="12">
        <v>533</v>
      </c>
      <c r="B550" s="10" t="s">
        <v>1015</v>
      </c>
      <c r="C550" s="11" t="s">
        <v>1072</v>
      </c>
      <c r="D550" s="9">
        <v>2</v>
      </c>
      <c r="E550" s="9">
        <v>175</v>
      </c>
      <c r="F550" s="10" t="s">
        <v>1066</v>
      </c>
      <c r="G550" s="9">
        <v>910</v>
      </c>
      <c r="H550" s="9">
        <v>1985</v>
      </c>
      <c r="I550" s="8">
        <v>7.3390000000000004</v>
      </c>
      <c r="J550" s="8">
        <v>5.7930000000000001</v>
      </c>
      <c r="K550" s="8">
        <v>4.6870000000000003</v>
      </c>
      <c r="L550" s="8">
        <v>4.0190000000000001</v>
      </c>
      <c r="M550" s="8">
        <v>3.1030000000000002</v>
      </c>
      <c r="N550" s="8">
        <v>2.4329999999999998</v>
      </c>
      <c r="O550" s="8">
        <v>2.0710000000000002</v>
      </c>
      <c r="P550" s="8">
        <v>1.7230000000000001</v>
      </c>
      <c r="Q550" s="8">
        <v>1.4410000000000001</v>
      </c>
      <c r="R550" s="8">
        <v>1.1599999999999999</v>
      </c>
      <c r="S550" s="8">
        <v>0.89700000000000002</v>
      </c>
      <c r="T550" s="8">
        <v>0.71199999999999997</v>
      </c>
      <c r="U550" s="8">
        <v>0.56899999999999995</v>
      </c>
      <c r="V550" s="8">
        <v>0.38900000000000001</v>
      </c>
      <c r="W550" s="8">
        <v>0.41599999999999998</v>
      </c>
      <c r="X550" s="8">
        <v>0.23899999999999999</v>
      </c>
      <c r="Y550" s="8">
        <v>0.13300000000000001</v>
      </c>
      <c r="Z550" s="8">
        <v>4.8000000000000001E-2</v>
      </c>
      <c r="AA550" s="8">
        <v>1.2999999999999999E-2</v>
      </c>
      <c r="AB550" s="8">
        <v>2E-3</v>
      </c>
      <c r="AC550" s="8">
        <v>0</v>
      </c>
    </row>
    <row r="551" spans="1:29" ht="11.65" x14ac:dyDescent="0.35">
      <c r="A551" s="12">
        <v>534</v>
      </c>
      <c r="B551" s="10" t="s">
        <v>1015</v>
      </c>
      <c r="C551" s="11" t="s">
        <v>1072</v>
      </c>
      <c r="D551" s="9">
        <v>2</v>
      </c>
      <c r="E551" s="9">
        <v>175</v>
      </c>
      <c r="F551" s="10" t="s">
        <v>1066</v>
      </c>
      <c r="G551" s="9">
        <v>910</v>
      </c>
      <c r="H551" s="9">
        <v>1990</v>
      </c>
      <c r="I551" s="8">
        <v>9.1950000000000003</v>
      </c>
      <c r="J551" s="8">
        <v>7.5519999999999996</v>
      </c>
      <c r="K551" s="8">
        <v>6.2590000000000003</v>
      </c>
      <c r="L551" s="8">
        <v>5.1310000000000002</v>
      </c>
      <c r="M551" s="8">
        <v>4.3490000000000002</v>
      </c>
      <c r="N551" s="8">
        <v>3.3620000000000001</v>
      </c>
      <c r="O551" s="8">
        <v>2.6589999999999998</v>
      </c>
      <c r="P551" s="8">
        <v>2.2629999999999999</v>
      </c>
      <c r="Q551" s="8">
        <v>1.875</v>
      </c>
      <c r="R551" s="8">
        <v>1.5429999999999999</v>
      </c>
      <c r="S551" s="8">
        <v>1.216</v>
      </c>
      <c r="T551" s="8">
        <v>0.91800000000000004</v>
      </c>
      <c r="U551" s="8">
        <v>0.71099999999999997</v>
      </c>
      <c r="V551" s="8">
        <v>0.53900000000000003</v>
      </c>
      <c r="W551" s="8">
        <v>0.33700000000000002</v>
      </c>
      <c r="X551" s="8">
        <v>0.309</v>
      </c>
      <c r="Y551" s="8">
        <v>0.14799999999999999</v>
      </c>
      <c r="Z551" s="8">
        <v>6.5000000000000002E-2</v>
      </c>
      <c r="AA551" s="8">
        <v>1.9E-2</v>
      </c>
      <c r="AB551" s="8">
        <v>3.0000000000000001E-3</v>
      </c>
      <c r="AC551" s="8">
        <v>0</v>
      </c>
    </row>
    <row r="552" spans="1:29" ht="11.65" x14ac:dyDescent="0.35">
      <c r="A552" s="12">
        <v>535</v>
      </c>
      <c r="B552" s="10" t="s">
        <v>1015</v>
      </c>
      <c r="C552" s="11" t="s">
        <v>1072</v>
      </c>
      <c r="D552" s="9">
        <v>2</v>
      </c>
      <c r="E552" s="9">
        <v>175</v>
      </c>
      <c r="F552" s="10" t="s">
        <v>1066</v>
      </c>
      <c r="G552" s="9">
        <v>910</v>
      </c>
      <c r="H552" s="9">
        <v>1995</v>
      </c>
      <c r="I552" s="8">
        <v>10.167</v>
      </c>
      <c r="J552" s="8">
        <v>9.8919999999999995</v>
      </c>
      <c r="K552" s="8">
        <v>8.3170000000000002</v>
      </c>
      <c r="L552" s="8">
        <v>6.9720000000000004</v>
      </c>
      <c r="M552" s="8">
        <v>5.67</v>
      </c>
      <c r="N552" s="8">
        <v>4.7729999999999997</v>
      </c>
      <c r="O552" s="8">
        <v>3.72</v>
      </c>
      <c r="P552" s="8">
        <v>2.9470000000000001</v>
      </c>
      <c r="Q552" s="8">
        <v>2.4830000000000001</v>
      </c>
      <c r="R552" s="8">
        <v>2.02</v>
      </c>
      <c r="S552" s="8">
        <v>1.62</v>
      </c>
      <c r="T552" s="8">
        <v>1.256</v>
      </c>
      <c r="U552" s="8">
        <v>0.93500000000000005</v>
      </c>
      <c r="V552" s="8">
        <v>0.69299999999999995</v>
      </c>
      <c r="W552" s="8">
        <v>0.48099999999999998</v>
      </c>
      <c r="X552" s="8">
        <v>0.27800000000000002</v>
      </c>
      <c r="Y552" s="8">
        <v>0.218</v>
      </c>
      <c r="Z552" s="8">
        <v>7.9000000000000001E-2</v>
      </c>
      <c r="AA552" s="8">
        <v>2.5999999999999999E-2</v>
      </c>
      <c r="AB552" s="8">
        <v>4.0000000000000001E-3</v>
      </c>
      <c r="AC552" s="8">
        <v>0</v>
      </c>
    </row>
    <row r="553" spans="1:29" ht="11.65" x14ac:dyDescent="0.35">
      <c r="A553" s="12">
        <v>536</v>
      </c>
      <c r="B553" s="10" t="s">
        <v>1015</v>
      </c>
      <c r="C553" s="11" t="s">
        <v>1072</v>
      </c>
      <c r="D553" s="9">
        <v>2</v>
      </c>
      <c r="E553" s="9">
        <v>175</v>
      </c>
      <c r="F553" s="10" t="s">
        <v>1066</v>
      </c>
      <c r="G553" s="9">
        <v>910</v>
      </c>
      <c r="H553" s="9">
        <v>2000</v>
      </c>
      <c r="I553" s="8">
        <v>12.676</v>
      </c>
      <c r="J553" s="8">
        <v>10.574999999999999</v>
      </c>
      <c r="K553" s="8">
        <v>10.151999999999999</v>
      </c>
      <c r="L553" s="8">
        <v>8.5589999999999993</v>
      </c>
      <c r="M553" s="8">
        <v>7.1390000000000002</v>
      </c>
      <c r="N553" s="8">
        <v>5.8029999999999999</v>
      </c>
      <c r="O553" s="8">
        <v>4.8860000000000001</v>
      </c>
      <c r="P553" s="8">
        <v>3.806</v>
      </c>
      <c r="Q553" s="8">
        <v>3.01</v>
      </c>
      <c r="R553" s="8">
        <v>2.5070000000000001</v>
      </c>
      <c r="S553" s="8">
        <v>1.9990000000000001</v>
      </c>
      <c r="T553" s="8">
        <v>1.577</v>
      </c>
      <c r="U553" s="8">
        <v>1.2030000000000001</v>
      </c>
      <c r="V553" s="8">
        <v>0.86</v>
      </c>
      <c r="W553" s="8">
        <v>0.58799999999999997</v>
      </c>
      <c r="X553" s="8">
        <v>0.374</v>
      </c>
      <c r="Y553" s="8">
        <v>0.189</v>
      </c>
      <c r="Z553" s="8">
        <v>0.11700000000000001</v>
      </c>
      <c r="AA553" s="8">
        <v>3.3000000000000002E-2</v>
      </c>
      <c r="AB553" s="8">
        <v>7.0000000000000001E-3</v>
      </c>
      <c r="AC553" s="8">
        <v>0</v>
      </c>
    </row>
    <row r="554" spans="1:29" ht="11.65" x14ac:dyDescent="0.35">
      <c r="A554" s="12">
        <v>537</v>
      </c>
      <c r="B554" s="10" t="s">
        <v>1015</v>
      </c>
      <c r="C554" s="11" t="s">
        <v>1072</v>
      </c>
      <c r="D554" s="9">
        <v>2</v>
      </c>
      <c r="E554" s="9">
        <v>175</v>
      </c>
      <c r="F554" s="10" t="s">
        <v>1066</v>
      </c>
      <c r="G554" s="9">
        <v>910</v>
      </c>
      <c r="H554" s="9">
        <v>2005</v>
      </c>
      <c r="I554" s="8">
        <v>15.061999999999999</v>
      </c>
      <c r="J554" s="8">
        <v>12.657</v>
      </c>
      <c r="K554" s="8">
        <v>10.563000000000001</v>
      </c>
      <c r="L554" s="8">
        <v>10.130000000000001</v>
      </c>
      <c r="M554" s="8">
        <v>7.5090000000000003</v>
      </c>
      <c r="N554" s="8">
        <v>6.0949999999999998</v>
      </c>
      <c r="O554" s="8">
        <v>5.7590000000000003</v>
      </c>
      <c r="P554" s="8">
        <v>4.8319999999999999</v>
      </c>
      <c r="Q554" s="8">
        <v>3.7410000000000001</v>
      </c>
      <c r="R554" s="8">
        <v>2.9319999999999999</v>
      </c>
      <c r="S554" s="8">
        <v>2.411</v>
      </c>
      <c r="T554" s="8">
        <v>1.897</v>
      </c>
      <c r="U554" s="8">
        <v>1.47</v>
      </c>
      <c r="V554" s="8">
        <v>1.081</v>
      </c>
      <c r="W554" s="8">
        <v>0.73299999999999998</v>
      </c>
      <c r="X554" s="8">
        <v>0.46899999999999997</v>
      </c>
      <c r="Y554" s="8">
        <v>0.26500000000000001</v>
      </c>
      <c r="Z554" s="8">
        <v>0.108</v>
      </c>
      <c r="AA554" s="8">
        <v>5.1999999999999998E-2</v>
      </c>
      <c r="AB554" s="8">
        <v>8.9999999999999993E-3</v>
      </c>
      <c r="AC554" s="8">
        <v>1E-3</v>
      </c>
    </row>
    <row r="555" spans="1:29" ht="11.65" x14ac:dyDescent="0.35">
      <c r="A555" s="12">
        <v>538</v>
      </c>
      <c r="B555" s="10" t="s">
        <v>1015</v>
      </c>
      <c r="C555" s="11" t="s">
        <v>1072</v>
      </c>
      <c r="D555" s="9">
        <v>2</v>
      </c>
      <c r="E555" s="9">
        <v>175</v>
      </c>
      <c r="F555" s="10" t="s">
        <v>1066</v>
      </c>
      <c r="G555" s="9">
        <v>910</v>
      </c>
      <c r="H555" s="9">
        <v>2010</v>
      </c>
      <c r="I555" s="8">
        <v>17.731000000000002</v>
      </c>
      <c r="J555" s="8">
        <v>15.045999999999999</v>
      </c>
      <c r="K555" s="8">
        <v>12.645</v>
      </c>
      <c r="L555" s="8">
        <v>10.542</v>
      </c>
      <c r="M555" s="8">
        <v>9.0790000000000006</v>
      </c>
      <c r="N555" s="8">
        <v>6.4669999999999996</v>
      </c>
      <c r="O555" s="8">
        <v>6.056</v>
      </c>
      <c r="P555" s="8">
        <v>5.7039999999999997</v>
      </c>
      <c r="Q555" s="8">
        <v>4.7629999999999999</v>
      </c>
      <c r="R555" s="8">
        <v>3.6560000000000001</v>
      </c>
      <c r="S555" s="8">
        <v>2.83</v>
      </c>
      <c r="T555" s="8">
        <v>2.2989999999999999</v>
      </c>
      <c r="U555" s="8">
        <v>1.782</v>
      </c>
      <c r="V555" s="8">
        <v>1.3360000000000001</v>
      </c>
      <c r="W555" s="8">
        <v>0.93700000000000006</v>
      </c>
      <c r="X555" s="8">
        <v>0.59599999999999997</v>
      </c>
      <c r="Y555" s="8">
        <v>0.33900000000000002</v>
      </c>
      <c r="Z555" s="8">
        <v>0.161</v>
      </c>
      <c r="AA555" s="8">
        <v>0.05</v>
      </c>
      <c r="AB555" s="8">
        <v>1.2999999999999999E-2</v>
      </c>
      <c r="AC555" s="8">
        <v>1E-3</v>
      </c>
    </row>
    <row r="556" spans="1:29" ht="11.65" x14ac:dyDescent="0.35">
      <c r="A556" s="12">
        <v>539</v>
      </c>
      <c r="B556" s="10" t="s">
        <v>1015</v>
      </c>
      <c r="C556" s="11" t="s">
        <v>1072</v>
      </c>
      <c r="D556" s="9">
        <v>2</v>
      </c>
      <c r="E556" s="9">
        <v>175</v>
      </c>
      <c r="F556" s="10" t="s">
        <v>1066</v>
      </c>
      <c r="G556" s="9">
        <v>910</v>
      </c>
      <c r="H556" s="9">
        <v>2015</v>
      </c>
      <c r="I556" s="8">
        <v>17.963999999999999</v>
      </c>
      <c r="J556" s="8">
        <v>17.718</v>
      </c>
      <c r="K556" s="8">
        <v>15.035</v>
      </c>
      <c r="L556" s="8">
        <v>12.625</v>
      </c>
      <c r="M556" s="8">
        <v>8.9969999999999999</v>
      </c>
      <c r="N556" s="8">
        <v>7.5380000000000003</v>
      </c>
      <c r="O556" s="8">
        <v>6.9329999999999998</v>
      </c>
      <c r="P556" s="8">
        <v>7.2530000000000001</v>
      </c>
      <c r="Q556" s="8">
        <v>6.375</v>
      </c>
      <c r="R556" s="8">
        <v>4.665</v>
      </c>
      <c r="S556" s="8">
        <v>3.544</v>
      </c>
      <c r="T556" s="8">
        <v>2.7149999999999999</v>
      </c>
      <c r="U556" s="8">
        <v>2.1760000000000002</v>
      </c>
      <c r="V556" s="8">
        <v>1.6359999999999999</v>
      </c>
      <c r="W556" s="8">
        <v>1.173</v>
      </c>
      <c r="X556" s="8">
        <v>0.77600000000000002</v>
      </c>
      <c r="Y556" s="8">
        <v>0.44500000000000001</v>
      </c>
      <c r="Z556" s="8">
        <v>0.214</v>
      </c>
      <c r="AA556" s="8">
        <v>7.9000000000000001E-2</v>
      </c>
      <c r="AB556" s="8">
        <v>1.2999999999999999E-2</v>
      </c>
      <c r="AC556" s="8">
        <v>1E-3</v>
      </c>
    </row>
    <row r="557" spans="1:29" ht="11.65" x14ac:dyDescent="0.35">
      <c r="A557" s="12">
        <v>540</v>
      </c>
      <c r="B557" s="10" t="s">
        <v>1015</v>
      </c>
      <c r="C557" s="11" t="s">
        <v>1072</v>
      </c>
      <c r="D557" s="9">
        <v>2</v>
      </c>
      <c r="E557" s="9">
        <v>175</v>
      </c>
      <c r="F557" s="10" t="s">
        <v>1066</v>
      </c>
      <c r="G557" s="9">
        <v>910</v>
      </c>
      <c r="H557" s="9">
        <v>2020</v>
      </c>
      <c r="I557" s="8">
        <v>18.297999999999998</v>
      </c>
      <c r="J557" s="8">
        <v>17.95</v>
      </c>
      <c r="K557" s="8">
        <v>17.707000000000001</v>
      </c>
      <c r="L557" s="8">
        <v>15.010999999999999</v>
      </c>
      <c r="M557" s="8">
        <v>12.573</v>
      </c>
      <c r="N557" s="8">
        <v>8.9510000000000005</v>
      </c>
      <c r="O557" s="8">
        <v>7.4989999999999997</v>
      </c>
      <c r="P557" s="8">
        <v>6.88</v>
      </c>
      <c r="Q557" s="8">
        <v>7.1630000000000003</v>
      </c>
      <c r="R557" s="8">
        <v>6.2460000000000004</v>
      </c>
      <c r="S557" s="8">
        <v>4.5220000000000002</v>
      </c>
      <c r="T557" s="8">
        <v>3.399</v>
      </c>
      <c r="U557" s="8">
        <v>2.57</v>
      </c>
      <c r="V557" s="8">
        <v>1.9970000000000001</v>
      </c>
      <c r="W557" s="8">
        <v>1.4350000000000001</v>
      </c>
      <c r="X557" s="8">
        <v>0.97299999999999998</v>
      </c>
      <c r="Y557" s="8">
        <v>0.57799999999999996</v>
      </c>
      <c r="Z557" s="8">
        <v>0.28000000000000003</v>
      </c>
      <c r="AA557" s="8">
        <v>0.105</v>
      </c>
      <c r="AB557" s="8">
        <v>2.1000000000000001E-2</v>
      </c>
      <c r="AC557" s="8">
        <v>1E-3</v>
      </c>
    </row>
    <row r="558" spans="1:29" ht="11.65" x14ac:dyDescent="0.35">
      <c r="A558" s="12">
        <v>541</v>
      </c>
      <c r="B558" s="10" t="s">
        <v>1015</v>
      </c>
      <c r="C558" s="11" t="s">
        <v>596</v>
      </c>
      <c r="D558" s="9"/>
      <c r="E558" s="9">
        <v>508</v>
      </c>
      <c r="F558" s="10" t="s">
        <v>1066</v>
      </c>
      <c r="G558" s="9">
        <v>910</v>
      </c>
      <c r="H558" s="9">
        <v>1950</v>
      </c>
      <c r="I558" s="8">
        <v>505.55500000000001</v>
      </c>
      <c r="J558" s="8">
        <v>389.11799999999999</v>
      </c>
      <c r="K558" s="8">
        <v>336.71499999999997</v>
      </c>
      <c r="L558" s="8">
        <v>297.39100000000002</v>
      </c>
      <c r="M558" s="8">
        <v>259.50900000000001</v>
      </c>
      <c r="N558" s="8">
        <v>224.221</v>
      </c>
      <c r="O558" s="8">
        <v>193.166</v>
      </c>
      <c r="P558" s="8">
        <v>164.898</v>
      </c>
      <c r="Q558" s="8">
        <v>138.64699999999999</v>
      </c>
      <c r="R558" s="8">
        <v>114.61</v>
      </c>
      <c r="S558" s="8">
        <v>92.593000000000004</v>
      </c>
      <c r="T558" s="8">
        <v>72.304000000000002</v>
      </c>
      <c r="U558" s="8">
        <v>53.268000000000001</v>
      </c>
      <c r="V558" s="8">
        <v>36.057000000000002</v>
      </c>
      <c r="W558" s="8">
        <v>20.962</v>
      </c>
      <c r="X558" s="8">
        <v>9.6140000000000008</v>
      </c>
      <c r="Y558" s="8">
        <v>3.1320000000000001</v>
      </c>
      <c r="Z558" s="8">
        <v>0.64</v>
      </c>
      <c r="AA558" s="8">
        <v>7.1999999999999995E-2</v>
      </c>
      <c r="AB558" s="8">
        <v>4.0000000000000001E-3</v>
      </c>
      <c r="AC558" s="8">
        <v>0</v>
      </c>
    </row>
    <row r="559" spans="1:29" ht="11.65" x14ac:dyDescent="0.35">
      <c r="A559" s="12">
        <v>542</v>
      </c>
      <c r="B559" s="10" t="s">
        <v>1015</v>
      </c>
      <c r="C559" s="11" t="s">
        <v>596</v>
      </c>
      <c r="D559" s="9"/>
      <c r="E559" s="9">
        <v>508</v>
      </c>
      <c r="F559" s="10" t="s">
        <v>1066</v>
      </c>
      <c r="G559" s="9">
        <v>910</v>
      </c>
      <c r="H559" s="9">
        <v>1955</v>
      </c>
      <c r="I559" s="8">
        <v>549.35</v>
      </c>
      <c r="J559" s="8">
        <v>432.26499999999999</v>
      </c>
      <c r="K559" s="8">
        <v>366.73599999999999</v>
      </c>
      <c r="L559" s="8">
        <v>322.17399999999998</v>
      </c>
      <c r="M559" s="8">
        <v>279.76400000000001</v>
      </c>
      <c r="N559" s="8">
        <v>240.315</v>
      </c>
      <c r="O559" s="8">
        <v>206.78</v>
      </c>
      <c r="P559" s="8">
        <v>177.304</v>
      </c>
      <c r="Q559" s="8">
        <v>150.16800000000001</v>
      </c>
      <c r="R559" s="8">
        <v>125.182</v>
      </c>
      <c r="S559" s="8">
        <v>102.252</v>
      </c>
      <c r="T559" s="8">
        <v>81.078000000000003</v>
      </c>
      <c r="U559" s="8">
        <v>61.258000000000003</v>
      </c>
      <c r="V559" s="8">
        <v>42.65</v>
      </c>
      <c r="W559" s="8">
        <v>26.257000000000001</v>
      </c>
      <c r="X559" s="8">
        <v>13.035</v>
      </c>
      <c r="Y559" s="8">
        <v>4.657</v>
      </c>
      <c r="Z559" s="8">
        <v>1.0229999999999999</v>
      </c>
      <c r="AA559" s="8">
        <v>0.12</v>
      </c>
      <c r="AB559" s="8">
        <v>6.0000000000000001E-3</v>
      </c>
      <c r="AC559" s="8">
        <v>0</v>
      </c>
    </row>
    <row r="560" spans="1:29" ht="11.65" x14ac:dyDescent="0.35">
      <c r="A560" s="12">
        <v>543</v>
      </c>
      <c r="B560" s="10" t="s">
        <v>1015</v>
      </c>
      <c r="C560" s="11" t="s">
        <v>596</v>
      </c>
      <c r="D560" s="9"/>
      <c r="E560" s="9">
        <v>508</v>
      </c>
      <c r="F560" s="10" t="s">
        <v>1066</v>
      </c>
      <c r="G560" s="9">
        <v>910</v>
      </c>
      <c r="H560" s="9">
        <v>1960</v>
      </c>
      <c r="I560" s="8">
        <v>609.84199999999998</v>
      </c>
      <c r="J560" s="8">
        <v>480.56200000000001</v>
      </c>
      <c r="K560" s="8">
        <v>411.71499999999997</v>
      </c>
      <c r="L560" s="8">
        <v>353.16800000000001</v>
      </c>
      <c r="M560" s="8">
        <v>305.29000000000002</v>
      </c>
      <c r="N560" s="8">
        <v>261.387</v>
      </c>
      <c r="O560" s="8">
        <v>223.67699999999999</v>
      </c>
      <c r="P560" s="8">
        <v>191.614</v>
      </c>
      <c r="Q560" s="8">
        <v>163.08099999999999</v>
      </c>
      <c r="R560" s="8">
        <v>136.935</v>
      </c>
      <c r="S560" s="8">
        <v>112.718</v>
      </c>
      <c r="T560" s="8">
        <v>90.305999999999997</v>
      </c>
      <c r="U560" s="8">
        <v>69.266999999999996</v>
      </c>
      <c r="V560" s="8">
        <v>49.426000000000002</v>
      </c>
      <c r="W560" s="8">
        <v>31.266999999999999</v>
      </c>
      <c r="X560" s="8">
        <v>16.402000000000001</v>
      </c>
      <c r="Y560" s="8">
        <v>6.3079999999999998</v>
      </c>
      <c r="Z560" s="8">
        <v>1.5009999999999999</v>
      </c>
      <c r="AA560" s="8">
        <v>0.182</v>
      </c>
      <c r="AB560" s="8">
        <v>0.01</v>
      </c>
      <c r="AC560" s="8">
        <v>0</v>
      </c>
    </row>
    <row r="561" spans="1:29" ht="11.65" x14ac:dyDescent="0.35">
      <c r="A561" s="12">
        <v>544</v>
      </c>
      <c r="B561" s="10" t="s">
        <v>1015</v>
      </c>
      <c r="C561" s="11" t="s">
        <v>596</v>
      </c>
      <c r="D561" s="9"/>
      <c r="E561" s="9">
        <v>508</v>
      </c>
      <c r="F561" s="10" t="s">
        <v>1066</v>
      </c>
      <c r="G561" s="9">
        <v>910</v>
      </c>
      <c r="H561" s="9">
        <v>1965</v>
      </c>
      <c r="I561" s="8">
        <v>702.68700000000001</v>
      </c>
      <c r="J561" s="8">
        <v>542.50300000000004</v>
      </c>
      <c r="K561" s="8">
        <v>461.13</v>
      </c>
      <c r="L561" s="8">
        <v>398.41199999999998</v>
      </c>
      <c r="M561" s="8">
        <v>336.58699999999999</v>
      </c>
      <c r="N561" s="8">
        <v>287.27</v>
      </c>
      <c r="O561" s="8">
        <v>245.10499999999999</v>
      </c>
      <c r="P561" s="8">
        <v>208.85900000000001</v>
      </c>
      <c r="Q561" s="8">
        <v>177.65700000000001</v>
      </c>
      <c r="R561" s="8">
        <v>149.917</v>
      </c>
      <c r="S561" s="8">
        <v>124.254</v>
      </c>
      <c r="T561" s="8">
        <v>100.29</v>
      </c>
      <c r="U561" s="8">
        <v>77.728999999999999</v>
      </c>
      <c r="V561" s="8">
        <v>56.292999999999999</v>
      </c>
      <c r="W561" s="8">
        <v>36.484000000000002</v>
      </c>
      <c r="X561" s="8">
        <v>19.646999999999998</v>
      </c>
      <c r="Y561" s="8">
        <v>7.9530000000000003</v>
      </c>
      <c r="Z561" s="8">
        <v>2.0209999999999999</v>
      </c>
      <c r="AA561" s="8">
        <v>0.26</v>
      </c>
      <c r="AB561" s="8">
        <v>1.4999999999999999E-2</v>
      </c>
      <c r="AC561" s="8">
        <v>1E-3</v>
      </c>
    </row>
    <row r="562" spans="1:29" ht="11.65" x14ac:dyDescent="0.35">
      <c r="A562" s="12">
        <v>545</v>
      </c>
      <c r="B562" s="10" t="s">
        <v>1015</v>
      </c>
      <c r="C562" s="11" t="s">
        <v>596</v>
      </c>
      <c r="D562" s="9"/>
      <c r="E562" s="9">
        <v>508</v>
      </c>
      <c r="F562" s="10" t="s">
        <v>1066</v>
      </c>
      <c r="G562" s="9">
        <v>910</v>
      </c>
      <c r="H562" s="9">
        <v>1970</v>
      </c>
      <c r="I562" s="8">
        <v>794.40599999999995</v>
      </c>
      <c r="J562" s="8">
        <v>625.86900000000003</v>
      </c>
      <c r="K562" s="8">
        <v>521.298</v>
      </c>
      <c r="L562" s="8">
        <v>446.79599999999999</v>
      </c>
      <c r="M562" s="8">
        <v>380.49700000000001</v>
      </c>
      <c r="N562" s="8">
        <v>317.57799999999997</v>
      </c>
      <c r="O562" s="8">
        <v>270.20800000000003</v>
      </c>
      <c r="P562" s="8">
        <v>229.631</v>
      </c>
      <c r="Q562" s="8">
        <v>194.33799999999999</v>
      </c>
      <c r="R562" s="8">
        <v>163.91800000000001</v>
      </c>
      <c r="S562" s="8">
        <v>136.542</v>
      </c>
      <c r="T562" s="8">
        <v>110.98699999999999</v>
      </c>
      <c r="U562" s="8">
        <v>86.697000000000003</v>
      </c>
      <c r="V562" s="8">
        <v>63.475000000000001</v>
      </c>
      <c r="W562" s="8">
        <v>41.787999999999997</v>
      </c>
      <c r="X562" s="8">
        <v>23.088000000000001</v>
      </c>
      <c r="Y562" s="8">
        <v>9.61</v>
      </c>
      <c r="Z562" s="8">
        <v>2.5750000000000002</v>
      </c>
      <c r="AA562" s="8">
        <v>0.35399999999999998</v>
      </c>
      <c r="AB562" s="8">
        <v>2.3E-2</v>
      </c>
      <c r="AC562" s="8">
        <v>1E-3</v>
      </c>
    </row>
    <row r="563" spans="1:29" ht="11.65" x14ac:dyDescent="0.35">
      <c r="A563" s="12">
        <v>546</v>
      </c>
      <c r="B563" s="10" t="s">
        <v>1015</v>
      </c>
      <c r="C563" s="11" t="s">
        <v>596</v>
      </c>
      <c r="D563" s="9"/>
      <c r="E563" s="9">
        <v>508</v>
      </c>
      <c r="F563" s="10" t="s">
        <v>1066</v>
      </c>
      <c r="G563" s="9">
        <v>910</v>
      </c>
      <c r="H563" s="9">
        <v>1975</v>
      </c>
      <c r="I563" s="8">
        <v>895.31600000000003</v>
      </c>
      <c r="J563" s="8">
        <v>710.81700000000001</v>
      </c>
      <c r="K563" s="8">
        <v>603.33699999999999</v>
      </c>
      <c r="L563" s="8">
        <v>506.33199999999999</v>
      </c>
      <c r="M563" s="8">
        <v>428.11900000000003</v>
      </c>
      <c r="N563" s="8">
        <v>360.654</v>
      </c>
      <c r="O563" s="8">
        <v>300.20499999999998</v>
      </c>
      <c r="P563" s="8">
        <v>254.54400000000001</v>
      </c>
      <c r="Q563" s="8">
        <v>214.95500000000001</v>
      </c>
      <c r="R563" s="8">
        <v>180.43600000000001</v>
      </c>
      <c r="S563" s="8">
        <v>150.26</v>
      </c>
      <c r="T563" s="8">
        <v>122.789</v>
      </c>
      <c r="U563" s="8">
        <v>96.665000000000006</v>
      </c>
      <c r="V563" s="8">
        <v>71.403000000000006</v>
      </c>
      <c r="W563" s="8">
        <v>47.601999999999997</v>
      </c>
      <c r="X563" s="8">
        <v>26.773</v>
      </c>
      <c r="Y563" s="8">
        <v>11.462999999999999</v>
      </c>
      <c r="Z563" s="8">
        <v>3.1680000000000001</v>
      </c>
      <c r="AA563" s="8">
        <v>0.45800000000000002</v>
      </c>
      <c r="AB563" s="8">
        <v>3.1E-2</v>
      </c>
      <c r="AC563" s="8">
        <v>1E-3</v>
      </c>
    </row>
    <row r="564" spans="1:29" ht="11.65" x14ac:dyDescent="0.35">
      <c r="A564" s="12">
        <v>547</v>
      </c>
      <c r="B564" s="10" t="s">
        <v>1015</v>
      </c>
      <c r="C564" s="11" t="s">
        <v>596</v>
      </c>
      <c r="D564" s="9"/>
      <c r="E564" s="9">
        <v>508</v>
      </c>
      <c r="F564" s="10" t="s">
        <v>1066</v>
      </c>
      <c r="G564" s="9">
        <v>910</v>
      </c>
      <c r="H564" s="9">
        <v>1980</v>
      </c>
      <c r="I564" s="8">
        <v>1018.677</v>
      </c>
      <c r="J564" s="8">
        <v>808.73699999999997</v>
      </c>
      <c r="K564" s="8">
        <v>689.27599999999995</v>
      </c>
      <c r="L564" s="8">
        <v>591.47299999999996</v>
      </c>
      <c r="M564" s="8">
        <v>493.98399999999998</v>
      </c>
      <c r="N564" s="8">
        <v>416.19099999999997</v>
      </c>
      <c r="O564" s="8">
        <v>353.423</v>
      </c>
      <c r="P564" s="8">
        <v>291.18900000000002</v>
      </c>
      <c r="Q564" s="8">
        <v>241.29300000000001</v>
      </c>
      <c r="R564" s="8">
        <v>202.148</v>
      </c>
      <c r="S564" s="8">
        <v>167.53700000000001</v>
      </c>
      <c r="T564" s="8">
        <v>136.90199999999999</v>
      </c>
      <c r="U564" s="8">
        <v>108.462</v>
      </c>
      <c r="V564" s="8">
        <v>80.789000000000001</v>
      </c>
      <c r="W564" s="8">
        <v>54.411999999999999</v>
      </c>
      <c r="X564" s="8">
        <v>31.114000000000001</v>
      </c>
      <c r="Y564" s="8">
        <v>13.629</v>
      </c>
      <c r="Z564" s="8">
        <v>3.887</v>
      </c>
      <c r="AA564" s="8">
        <v>0.57699999999999996</v>
      </c>
      <c r="AB564" s="8">
        <v>0.04</v>
      </c>
      <c r="AC564" s="8">
        <v>2E-3</v>
      </c>
    </row>
    <row r="565" spans="1:29" ht="11.65" x14ac:dyDescent="0.35">
      <c r="A565" s="12">
        <v>548</v>
      </c>
      <c r="B565" s="10" t="s">
        <v>1015</v>
      </c>
      <c r="C565" s="11" t="s">
        <v>596</v>
      </c>
      <c r="D565" s="9"/>
      <c r="E565" s="9">
        <v>508</v>
      </c>
      <c r="F565" s="10" t="s">
        <v>1066</v>
      </c>
      <c r="G565" s="9">
        <v>910</v>
      </c>
      <c r="H565" s="9">
        <v>1985</v>
      </c>
      <c r="I565" s="8">
        <v>1123.7260000000001</v>
      </c>
      <c r="J565" s="8">
        <v>913.65700000000004</v>
      </c>
      <c r="K565" s="8">
        <v>778.86400000000003</v>
      </c>
      <c r="L565" s="8">
        <v>658.63</v>
      </c>
      <c r="M565" s="8">
        <v>538.43299999999999</v>
      </c>
      <c r="N565" s="8">
        <v>432.15100000000001</v>
      </c>
      <c r="O565" s="8">
        <v>362.47300000000001</v>
      </c>
      <c r="P565" s="8">
        <v>310.62099999999998</v>
      </c>
      <c r="Q565" s="8">
        <v>257.55500000000001</v>
      </c>
      <c r="R565" s="8">
        <v>214.233</v>
      </c>
      <c r="S565" s="8">
        <v>179.02</v>
      </c>
      <c r="T565" s="8">
        <v>146.69800000000001</v>
      </c>
      <c r="U565" s="8">
        <v>116.824</v>
      </c>
      <c r="V565" s="8">
        <v>88.234999999999999</v>
      </c>
      <c r="W565" s="8">
        <v>60.292999999999999</v>
      </c>
      <c r="X565" s="8">
        <v>34.713999999999999</v>
      </c>
      <c r="Y565" s="8">
        <v>15.282999999999999</v>
      </c>
      <c r="Z565" s="8">
        <v>4.4539999999999997</v>
      </c>
      <c r="AA565" s="8">
        <v>0.68700000000000006</v>
      </c>
      <c r="AB565" s="8">
        <v>4.9000000000000002E-2</v>
      </c>
      <c r="AC565" s="8">
        <v>2E-3</v>
      </c>
    </row>
    <row r="566" spans="1:29" ht="11.65" x14ac:dyDescent="0.35">
      <c r="A566" s="12">
        <v>549</v>
      </c>
      <c r="B566" s="10" t="s">
        <v>1015</v>
      </c>
      <c r="C566" s="11" t="s">
        <v>596</v>
      </c>
      <c r="D566" s="9"/>
      <c r="E566" s="9">
        <v>508</v>
      </c>
      <c r="F566" s="10" t="s">
        <v>1066</v>
      </c>
      <c r="G566" s="9">
        <v>910</v>
      </c>
      <c r="H566" s="9">
        <v>1990</v>
      </c>
      <c r="I566" s="8">
        <v>1151.3130000000001</v>
      </c>
      <c r="J566" s="8">
        <v>999.30200000000002</v>
      </c>
      <c r="K566" s="8">
        <v>869.85</v>
      </c>
      <c r="L566" s="8">
        <v>708.08900000000006</v>
      </c>
      <c r="M566" s="8">
        <v>515.79499999999996</v>
      </c>
      <c r="N566" s="8">
        <v>365.53199999999998</v>
      </c>
      <c r="O566" s="8">
        <v>283.49400000000003</v>
      </c>
      <c r="P566" s="8">
        <v>250.309</v>
      </c>
      <c r="Q566" s="8">
        <v>228.624</v>
      </c>
      <c r="R566" s="8">
        <v>197.78299999999999</v>
      </c>
      <c r="S566" s="8">
        <v>169.16</v>
      </c>
      <c r="T566" s="8">
        <v>143.18100000000001</v>
      </c>
      <c r="U566" s="8">
        <v>116.21299999999999</v>
      </c>
      <c r="V566" s="8">
        <v>88.671999999999997</v>
      </c>
      <c r="W566" s="8">
        <v>61.264000000000003</v>
      </c>
      <c r="X566" s="8">
        <v>35.561</v>
      </c>
      <c r="Y566" s="8">
        <v>15.368</v>
      </c>
      <c r="Z566" s="8">
        <v>4.609</v>
      </c>
      <c r="AA566" s="8">
        <v>0.75900000000000001</v>
      </c>
      <c r="AB566" s="8">
        <v>5.5E-2</v>
      </c>
      <c r="AC566" s="8">
        <v>3.0000000000000001E-3</v>
      </c>
    </row>
    <row r="567" spans="1:29" ht="11.65" x14ac:dyDescent="0.35">
      <c r="A567" s="12">
        <v>550</v>
      </c>
      <c r="B567" s="10" t="s">
        <v>1015</v>
      </c>
      <c r="C567" s="11" t="s">
        <v>596</v>
      </c>
      <c r="D567" s="9"/>
      <c r="E567" s="9">
        <v>508</v>
      </c>
      <c r="F567" s="10" t="s">
        <v>1066</v>
      </c>
      <c r="G567" s="9">
        <v>910</v>
      </c>
      <c r="H567" s="9">
        <v>1995</v>
      </c>
      <c r="I567" s="8">
        <v>1359.3920000000001</v>
      </c>
      <c r="J567" s="8">
        <v>1105.768</v>
      </c>
      <c r="K567" s="8">
        <v>943.51700000000005</v>
      </c>
      <c r="L567" s="8">
        <v>776.21500000000003</v>
      </c>
      <c r="M567" s="8">
        <v>614.67700000000002</v>
      </c>
      <c r="N567" s="8">
        <v>495.91199999999998</v>
      </c>
      <c r="O567" s="8">
        <v>428.33499999999998</v>
      </c>
      <c r="P567" s="8">
        <v>356.983</v>
      </c>
      <c r="Q567" s="8">
        <v>307.976</v>
      </c>
      <c r="R567" s="8">
        <v>256.25599999999997</v>
      </c>
      <c r="S567" s="8">
        <v>205.84399999999999</v>
      </c>
      <c r="T567" s="8">
        <v>166.70599999999999</v>
      </c>
      <c r="U567" s="8">
        <v>133.03100000000001</v>
      </c>
      <c r="V567" s="8">
        <v>99.863</v>
      </c>
      <c r="W567" s="8">
        <v>67.832999999999998</v>
      </c>
      <c r="X567" s="8">
        <v>39.594000000000001</v>
      </c>
      <c r="Y567" s="8">
        <v>17.568999999999999</v>
      </c>
      <c r="Z567" s="8">
        <v>4.9560000000000004</v>
      </c>
      <c r="AA567" s="8">
        <v>0.77900000000000003</v>
      </c>
      <c r="AB567" s="8">
        <v>5.8999999999999997E-2</v>
      </c>
      <c r="AC567" s="8">
        <v>3.0000000000000001E-3</v>
      </c>
    </row>
    <row r="568" spans="1:29" ht="11.65" x14ac:dyDescent="0.35">
      <c r="A568" s="12">
        <v>551</v>
      </c>
      <c r="B568" s="10" t="s">
        <v>1015</v>
      </c>
      <c r="C568" s="11" t="s">
        <v>596</v>
      </c>
      <c r="D568" s="9"/>
      <c r="E568" s="9">
        <v>508</v>
      </c>
      <c r="F568" s="10" t="s">
        <v>1066</v>
      </c>
      <c r="G568" s="9">
        <v>910</v>
      </c>
      <c r="H568" s="9">
        <v>2000</v>
      </c>
      <c r="I568" s="8">
        <v>1578.674</v>
      </c>
      <c r="J568" s="8">
        <v>1271.877</v>
      </c>
      <c r="K568" s="8">
        <v>1080.75</v>
      </c>
      <c r="L568" s="8">
        <v>922.96500000000003</v>
      </c>
      <c r="M568" s="8">
        <v>747.90899999999999</v>
      </c>
      <c r="N568" s="8">
        <v>583.07399999999996</v>
      </c>
      <c r="O568" s="8">
        <v>466.31200000000001</v>
      </c>
      <c r="P568" s="8">
        <v>399.45699999999999</v>
      </c>
      <c r="Q568" s="8">
        <v>329.35399999999998</v>
      </c>
      <c r="R568" s="8">
        <v>281.39999999999998</v>
      </c>
      <c r="S568" s="8">
        <v>232.17500000000001</v>
      </c>
      <c r="T568" s="8">
        <v>183.67599999999999</v>
      </c>
      <c r="U568" s="8">
        <v>143.56800000000001</v>
      </c>
      <c r="V568" s="8">
        <v>107.79300000000001</v>
      </c>
      <c r="W568" s="8">
        <v>73.162999999999997</v>
      </c>
      <c r="X568" s="8">
        <v>42.161999999999999</v>
      </c>
      <c r="Y568" s="8">
        <v>18.73</v>
      </c>
      <c r="Z568" s="8">
        <v>5.282</v>
      </c>
      <c r="AA568" s="8">
        <v>0.75900000000000001</v>
      </c>
      <c r="AB568" s="8">
        <v>5.6000000000000001E-2</v>
      </c>
      <c r="AC568" s="8">
        <v>3.0000000000000001E-3</v>
      </c>
    </row>
    <row r="569" spans="1:29" ht="11.65" x14ac:dyDescent="0.35">
      <c r="A569" s="12">
        <v>552</v>
      </c>
      <c r="B569" s="10" t="s">
        <v>1015</v>
      </c>
      <c r="C569" s="11" t="s">
        <v>596</v>
      </c>
      <c r="D569" s="9"/>
      <c r="E569" s="9">
        <v>508</v>
      </c>
      <c r="F569" s="10" t="s">
        <v>1066</v>
      </c>
      <c r="G569" s="9">
        <v>910</v>
      </c>
      <c r="H569" s="9">
        <v>2005</v>
      </c>
      <c r="I569" s="8">
        <v>1864.539</v>
      </c>
      <c r="J569" s="8">
        <v>1505.3420000000001</v>
      </c>
      <c r="K569" s="8">
        <v>1249.6479999999999</v>
      </c>
      <c r="L569" s="8">
        <v>1062.5219999999999</v>
      </c>
      <c r="M569" s="8">
        <v>899.12800000000004</v>
      </c>
      <c r="N569" s="8">
        <v>723.60599999999999</v>
      </c>
      <c r="O569" s="8">
        <v>559.54</v>
      </c>
      <c r="P569" s="8">
        <v>439.25099999999998</v>
      </c>
      <c r="Q569" s="8">
        <v>369.76900000000001</v>
      </c>
      <c r="R569" s="8">
        <v>300.84100000000001</v>
      </c>
      <c r="S569" s="8">
        <v>252.64099999999999</v>
      </c>
      <c r="T569" s="8">
        <v>203.75800000000001</v>
      </c>
      <c r="U569" s="8">
        <v>155.60300000000001</v>
      </c>
      <c r="V569" s="8">
        <v>114.44199999999999</v>
      </c>
      <c r="W569" s="8">
        <v>77.504000000000005</v>
      </c>
      <c r="X569" s="8">
        <v>44.435000000000002</v>
      </c>
      <c r="Y569" s="8">
        <v>19.308</v>
      </c>
      <c r="Z569" s="8">
        <v>5.3280000000000003</v>
      </c>
      <c r="AA569" s="8">
        <v>0.746</v>
      </c>
      <c r="AB569" s="8">
        <v>5.1999999999999998E-2</v>
      </c>
      <c r="AC569" s="8">
        <v>3.0000000000000001E-3</v>
      </c>
    </row>
    <row r="570" spans="1:29" ht="11.65" x14ac:dyDescent="0.35">
      <c r="A570" s="12">
        <v>553</v>
      </c>
      <c r="B570" s="10" t="s">
        <v>1015</v>
      </c>
      <c r="C570" s="11" t="s">
        <v>596</v>
      </c>
      <c r="D570" s="9"/>
      <c r="E570" s="9">
        <v>508</v>
      </c>
      <c r="F570" s="10" t="s">
        <v>1066</v>
      </c>
      <c r="G570" s="9">
        <v>910</v>
      </c>
      <c r="H570" s="9">
        <v>2010</v>
      </c>
      <c r="I570" s="8">
        <v>2094.0839999999998</v>
      </c>
      <c r="J570" s="8">
        <v>1797.124</v>
      </c>
      <c r="K570" s="8">
        <v>1480.9780000000001</v>
      </c>
      <c r="L570" s="8">
        <v>1225.9949999999999</v>
      </c>
      <c r="M570" s="8">
        <v>1026.704</v>
      </c>
      <c r="N570" s="8">
        <v>856.57</v>
      </c>
      <c r="O570" s="8">
        <v>685.72500000000002</v>
      </c>
      <c r="P570" s="8">
        <v>523.90899999999999</v>
      </c>
      <c r="Q570" s="8">
        <v>400.96100000000001</v>
      </c>
      <c r="R570" s="8">
        <v>331.14299999999997</v>
      </c>
      <c r="S570" s="8">
        <v>265.685</v>
      </c>
      <c r="T570" s="8">
        <v>218.82</v>
      </c>
      <c r="U570" s="8">
        <v>169.916</v>
      </c>
      <c r="V570" s="8">
        <v>121.70699999999999</v>
      </c>
      <c r="W570" s="8">
        <v>80.448999999999998</v>
      </c>
      <c r="X570" s="8">
        <v>45.859000000000002</v>
      </c>
      <c r="Y570" s="8">
        <v>19.675000000000001</v>
      </c>
      <c r="Z570" s="8">
        <v>5.2309999999999999</v>
      </c>
      <c r="AA570" s="8">
        <v>0.70699999999999996</v>
      </c>
      <c r="AB570" s="8">
        <v>4.8000000000000001E-2</v>
      </c>
      <c r="AC570" s="8">
        <v>3.0000000000000001E-3</v>
      </c>
    </row>
    <row r="571" spans="1:29" ht="11.65" x14ac:dyDescent="0.35">
      <c r="A571" s="12">
        <v>554</v>
      </c>
      <c r="B571" s="10" t="s">
        <v>1015</v>
      </c>
      <c r="C571" s="11" t="s">
        <v>596</v>
      </c>
      <c r="D571" s="9"/>
      <c r="E571" s="9">
        <v>508</v>
      </c>
      <c r="F571" s="10" t="s">
        <v>1066</v>
      </c>
      <c r="G571" s="9">
        <v>910</v>
      </c>
      <c r="H571" s="9">
        <v>2015</v>
      </c>
      <c r="I571" s="8">
        <v>2327.694</v>
      </c>
      <c r="J571" s="8">
        <v>2040.7840000000001</v>
      </c>
      <c r="K571" s="8">
        <v>1775.4639999999999</v>
      </c>
      <c r="L571" s="8">
        <v>1461.8240000000001</v>
      </c>
      <c r="M571" s="8">
        <v>1199.4469999999999</v>
      </c>
      <c r="N571" s="8">
        <v>992.16300000000001</v>
      </c>
      <c r="O571" s="8">
        <v>815.81799999999998</v>
      </c>
      <c r="P571" s="8">
        <v>639.68100000000004</v>
      </c>
      <c r="Q571" s="8">
        <v>478.23399999999998</v>
      </c>
      <c r="R571" s="8">
        <v>360.16199999999998</v>
      </c>
      <c r="S571" s="8">
        <v>293.05799999999999</v>
      </c>
      <c r="T571" s="8">
        <v>230.44499999999999</v>
      </c>
      <c r="U571" s="8">
        <v>182.82499999999999</v>
      </c>
      <c r="V571" s="8">
        <v>133.31200000000001</v>
      </c>
      <c r="W571" s="8">
        <v>86.06</v>
      </c>
      <c r="X571" s="8">
        <v>48.118000000000002</v>
      </c>
      <c r="Y571" s="8">
        <v>20.678000000000001</v>
      </c>
      <c r="Z571" s="8">
        <v>5.4950000000000001</v>
      </c>
      <c r="AA571" s="8">
        <v>0.72499999999999998</v>
      </c>
      <c r="AB571" s="8">
        <v>4.8000000000000001E-2</v>
      </c>
      <c r="AC571" s="8">
        <v>3.0000000000000001E-3</v>
      </c>
    </row>
    <row r="572" spans="1:29" ht="11.65" x14ac:dyDescent="0.35">
      <c r="A572" s="12">
        <v>555</v>
      </c>
      <c r="B572" s="10" t="s">
        <v>1015</v>
      </c>
      <c r="C572" s="11" t="s">
        <v>596</v>
      </c>
      <c r="D572" s="9"/>
      <c r="E572" s="9">
        <v>508</v>
      </c>
      <c r="F572" s="10" t="s">
        <v>1066</v>
      </c>
      <c r="G572" s="9">
        <v>910</v>
      </c>
      <c r="H572" s="9">
        <v>2020</v>
      </c>
      <c r="I572" s="8">
        <v>2590.85</v>
      </c>
      <c r="J572" s="8">
        <v>2287.9279999999999</v>
      </c>
      <c r="K572" s="8">
        <v>2026.2940000000001</v>
      </c>
      <c r="L572" s="8">
        <v>1760.2439999999999</v>
      </c>
      <c r="M572" s="8">
        <v>1439.3430000000001</v>
      </c>
      <c r="N572" s="8">
        <v>1171.134</v>
      </c>
      <c r="O572" s="8">
        <v>959.78200000000004</v>
      </c>
      <c r="P572" s="8">
        <v>778.71600000000001</v>
      </c>
      <c r="Q572" s="8">
        <v>601.64499999999998</v>
      </c>
      <c r="R572" s="8">
        <v>443.976</v>
      </c>
      <c r="S572" s="8">
        <v>329.46100000000001</v>
      </c>
      <c r="T572" s="8">
        <v>262.86</v>
      </c>
      <c r="U572" s="8">
        <v>199.76400000000001</v>
      </c>
      <c r="V572" s="8">
        <v>149.65199999999999</v>
      </c>
      <c r="W572" s="8">
        <v>99.486000000000004</v>
      </c>
      <c r="X572" s="8">
        <v>55.335000000000001</v>
      </c>
      <c r="Y572" s="8">
        <v>24.032</v>
      </c>
      <c r="Z572" s="8">
        <v>6.7370000000000001</v>
      </c>
      <c r="AA572" s="8">
        <v>0.93500000000000005</v>
      </c>
      <c r="AB572" s="8">
        <v>5.8000000000000003E-2</v>
      </c>
      <c r="AC572" s="8">
        <v>3.0000000000000001E-3</v>
      </c>
    </row>
    <row r="573" spans="1:29" ht="11.65" x14ac:dyDescent="0.35">
      <c r="A573" s="12">
        <v>556</v>
      </c>
      <c r="B573" s="10" t="s">
        <v>1015</v>
      </c>
      <c r="C573" s="11" t="s">
        <v>1073</v>
      </c>
      <c r="D573" s="9">
        <v>2</v>
      </c>
      <c r="E573" s="9">
        <v>638</v>
      </c>
      <c r="F573" s="10" t="s">
        <v>1066</v>
      </c>
      <c r="G573" s="9">
        <v>910</v>
      </c>
      <c r="H573" s="9">
        <v>1950</v>
      </c>
      <c r="I573" s="8">
        <v>21.300999999999998</v>
      </c>
      <c r="J573" s="8">
        <v>15.506</v>
      </c>
      <c r="K573" s="8">
        <v>11.493</v>
      </c>
      <c r="L573" s="8">
        <v>11.866</v>
      </c>
      <c r="M573" s="8">
        <v>10.725</v>
      </c>
      <c r="N573" s="8">
        <v>10.234</v>
      </c>
      <c r="O573" s="8">
        <v>8.3949999999999996</v>
      </c>
      <c r="P573" s="8">
        <v>7.4139999999999997</v>
      </c>
      <c r="Q573" s="8">
        <v>6.2469999999999999</v>
      </c>
      <c r="R573" s="8">
        <v>4.758</v>
      </c>
      <c r="S573" s="8">
        <v>3.5310000000000001</v>
      </c>
      <c r="T573" s="8">
        <v>2.6749999999999998</v>
      </c>
      <c r="U573" s="8">
        <v>1.9510000000000001</v>
      </c>
      <c r="V573" s="8">
        <v>1.153</v>
      </c>
      <c r="W573" s="8">
        <v>0.84899999999999998</v>
      </c>
      <c r="X573" s="8">
        <v>0.501</v>
      </c>
      <c r="Y573" s="8">
        <v>0.249</v>
      </c>
      <c r="Z573" s="8">
        <v>7.2999999999999995E-2</v>
      </c>
      <c r="AA573" s="8">
        <v>0.01</v>
      </c>
      <c r="AB573" s="8">
        <v>0</v>
      </c>
      <c r="AC573" s="8">
        <v>0</v>
      </c>
    </row>
    <row r="574" spans="1:29" ht="11.65" x14ac:dyDescent="0.35">
      <c r="A574" s="12">
        <v>557</v>
      </c>
      <c r="B574" s="10" t="s">
        <v>1015</v>
      </c>
      <c r="C574" s="11" t="s">
        <v>1073</v>
      </c>
      <c r="D574" s="9">
        <v>2</v>
      </c>
      <c r="E574" s="9">
        <v>638</v>
      </c>
      <c r="F574" s="10" t="s">
        <v>1066</v>
      </c>
      <c r="G574" s="9">
        <v>910</v>
      </c>
      <c r="H574" s="9">
        <v>1955</v>
      </c>
      <c r="I574" s="8">
        <v>28.048999999999999</v>
      </c>
      <c r="J574" s="8">
        <v>20.411999999999999</v>
      </c>
      <c r="K574" s="8">
        <v>15.58</v>
      </c>
      <c r="L574" s="8">
        <v>11.351000000000001</v>
      </c>
      <c r="M574" s="8">
        <v>11.564</v>
      </c>
      <c r="N574" s="8">
        <v>10.409000000000001</v>
      </c>
      <c r="O574" s="8">
        <v>9.8770000000000007</v>
      </c>
      <c r="P574" s="8">
        <v>8.0939999999999994</v>
      </c>
      <c r="Q574" s="8">
        <v>6.8150000000000004</v>
      </c>
      <c r="R574" s="8">
        <v>5.5389999999999997</v>
      </c>
      <c r="S574" s="8">
        <v>4.4180000000000001</v>
      </c>
      <c r="T574" s="8">
        <v>3.355</v>
      </c>
      <c r="U574" s="8">
        <v>2.3660000000000001</v>
      </c>
      <c r="V574" s="8">
        <v>1.571</v>
      </c>
      <c r="W574" s="8">
        <v>0.88300000000000001</v>
      </c>
      <c r="X574" s="8">
        <v>0.51200000000000001</v>
      </c>
      <c r="Y574" s="8">
        <v>0.21199999999999999</v>
      </c>
      <c r="Z574" s="8">
        <v>7.5999999999999998E-2</v>
      </c>
      <c r="AA574" s="8">
        <v>1.6E-2</v>
      </c>
      <c r="AB574" s="8">
        <v>0</v>
      </c>
      <c r="AC574" s="8">
        <v>0</v>
      </c>
    </row>
    <row r="575" spans="1:29" ht="11.65" x14ac:dyDescent="0.35">
      <c r="A575" s="12">
        <v>558</v>
      </c>
      <c r="B575" s="10" t="s">
        <v>1015</v>
      </c>
      <c r="C575" s="11" t="s">
        <v>1073</v>
      </c>
      <c r="D575" s="9">
        <v>2</v>
      </c>
      <c r="E575" s="9">
        <v>638</v>
      </c>
      <c r="F575" s="10" t="s">
        <v>1066</v>
      </c>
      <c r="G575" s="9">
        <v>910</v>
      </c>
      <c r="H575" s="9">
        <v>1960</v>
      </c>
      <c r="I575" s="8">
        <v>29.835000000000001</v>
      </c>
      <c r="J575" s="8">
        <v>25.881</v>
      </c>
      <c r="K575" s="8">
        <v>20.161999999999999</v>
      </c>
      <c r="L575" s="8">
        <v>15.25</v>
      </c>
      <c r="M575" s="8">
        <v>11.003</v>
      </c>
      <c r="N575" s="8">
        <v>11.208</v>
      </c>
      <c r="O575" s="8">
        <v>10.037000000000001</v>
      </c>
      <c r="P575" s="8">
        <v>9.5030000000000001</v>
      </c>
      <c r="Q575" s="8">
        <v>7.6779999999999999</v>
      </c>
      <c r="R575" s="8">
        <v>6.6619999999999999</v>
      </c>
      <c r="S575" s="8">
        <v>5.452</v>
      </c>
      <c r="T575" s="8">
        <v>3.9289999999999998</v>
      </c>
      <c r="U575" s="8">
        <v>2.6850000000000001</v>
      </c>
      <c r="V575" s="8">
        <v>1.84</v>
      </c>
      <c r="W575" s="8">
        <v>1.18</v>
      </c>
      <c r="X575" s="8">
        <v>0.55400000000000005</v>
      </c>
      <c r="Y575" s="8">
        <v>0.25800000000000001</v>
      </c>
      <c r="Z575" s="8">
        <v>8.1000000000000003E-2</v>
      </c>
      <c r="AA575" s="8">
        <v>1.9E-2</v>
      </c>
      <c r="AB575" s="8">
        <v>2E-3</v>
      </c>
      <c r="AC575" s="8">
        <v>0</v>
      </c>
    </row>
    <row r="576" spans="1:29" ht="11.65" x14ac:dyDescent="0.35">
      <c r="A576" s="12">
        <v>559</v>
      </c>
      <c r="B576" s="10" t="s">
        <v>1015</v>
      </c>
      <c r="C576" s="11" t="s">
        <v>1073</v>
      </c>
      <c r="D576" s="9">
        <v>2</v>
      </c>
      <c r="E576" s="9">
        <v>638</v>
      </c>
      <c r="F576" s="10" t="s">
        <v>1066</v>
      </c>
      <c r="G576" s="9">
        <v>910</v>
      </c>
      <c r="H576" s="9">
        <v>1965</v>
      </c>
      <c r="I576" s="8">
        <v>34.069000000000003</v>
      </c>
      <c r="J576" s="8">
        <v>28.241</v>
      </c>
      <c r="K576" s="8">
        <v>26.5</v>
      </c>
      <c r="L576" s="8">
        <v>19.971</v>
      </c>
      <c r="M576" s="8">
        <v>13.935</v>
      </c>
      <c r="N576" s="8">
        <v>10.321</v>
      </c>
      <c r="O576" s="8">
        <v>11.73</v>
      </c>
      <c r="P576" s="8">
        <v>10.019</v>
      </c>
      <c r="Q576" s="8">
        <v>9.1259999999999994</v>
      </c>
      <c r="R576" s="8">
        <v>7.3259999999999996</v>
      </c>
      <c r="S576" s="8">
        <v>6.1020000000000003</v>
      </c>
      <c r="T576" s="8">
        <v>4.8239999999999998</v>
      </c>
      <c r="U576" s="8">
        <v>3.431</v>
      </c>
      <c r="V576" s="8">
        <v>2.145</v>
      </c>
      <c r="W576" s="8">
        <v>1.3140000000000001</v>
      </c>
      <c r="X576" s="8">
        <v>0.72099999999999997</v>
      </c>
      <c r="Y576" s="8">
        <v>0.309</v>
      </c>
      <c r="Z576" s="8">
        <v>0.115</v>
      </c>
      <c r="AA576" s="8">
        <v>2.1999999999999999E-2</v>
      </c>
      <c r="AB576" s="8">
        <v>3.0000000000000001E-3</v>
      </c>
      <c r="AC576" s="8">
        <v>0</v>
      </c>
    </row>
    <row r="577" spans="1:29" ht="11.65" x14ac:dyDescent="0.35">
      <c r="A577" s="12">
        <v>560</v>
      </c>
      <c r="B577" s="10" t="s">
        <v>1015</v>
      </c>
      <c r="C577" s="11" t="s">
        <v>1073</v>
      </c>
      <c r="D577" s="9">
        <v>2</v>
      </c>
      <c r="E577" s="9">
        <v>638</v>
      </c>
      <c r="F577" s="10" t="s">
        <v>1066</v>
      </c>
      <c r="G577" s="9">
        <v>910</v>
      </c>
      <c r="H577" s="9">
        <v>1970</v>
      </c>
      <c r="I577" s="8">
        <v>37.177999999999997</v>
      </c>
      <c r="J577" s="8">
        <v>35.435000000000002</v>
      </c>
      <c r="K577" s="8">
        <v>30.710999999999999</v>
      </c>
      <c r="L577" s="8">
        <v>25.602</v>
      </c>
      <c r="M577" s="8">
        <v>15.565</v>
      </c>
      <c r="N577" s="8">
        <v>12.113</v>
      </c>
      <c r="O577" s="8">
        <v>11.691000000000001</v>
      </c>
      <c r="P577" s="8">
        <v>12.478</v>
      </c>
      <c r="Q577" s="8">
        <v>10.397</v>
      </c>
      <c r="R577" s="8">
        <v>9.23</v>
      </c>
      <c r="S577" s="8">
        <v>6.8470000000000004</v>
      </c>
      <c r="T577" s="8">
        <v>5.7809999999999997</v>
      </c>
      <c r="U577" s="8">
        <v>4.2229999999999999</v>
      </c>
      <c r="V577" s="8">
        <v>2.5019999999999998</v>
      </c>
      <c r="W577" s="8">
        <v>1.478</v>
      </c>
      <c r="X577" s="8">
        <v>0.84499999999999997</v>
      </c>
      <c r="Y577" s="8">
        <v>0.38600000000000001</v>
      </c>
      <c r="Z577" s="8">
        <v>0.13200000000000001</v>
      </c>
      <c r="AA577" s="8">
        <v>3.4000000000000002E-2</v>
      </c>
      <c r="AB577" s="8">
        <v>4.0000000000000001E-3</v>
      </c>
      <c r="AC577" s="8">
        <v>0</v>
      </c>
    </row>
    <row r="578" spans="1:29" ht="11.65" x14ac:dyDescent="0.35">
      <c r="A578" s="12">
        <v>561</v>
      </c>
      <c r="B578" s="10" t="s">
        <v>1015</v>
      </c>
      <c r="C578" s="11" t="s">
        <v>1073</v>
      </c>
      <c r="D578" s="9">
        <v>2</v>
      </c>
      <c r="E578" s="9">
        <v>638</v>
      </c>
      <c r="F578" s="10" t="s">
        <v>1066</v>
      </c>
      <c r="G578" s="9">
        <v>910</v>
      </c>
      <c r="H578" s="9">
        <v>1975</v>
      </c>
      <c r="I578" s="8">
        <v>30.808</v>
      </c>
      <c r="J578" s="8">
        <v>36.314</v>
      </c>
      <c r="K578" s="8">
        <v>34.430999999999997</v>
      </c>
      <c r="L578" s="8">
        <v>28.524000000000001</v>
      </c>
      <c r="M578" s="8">
        <v>21.181999999999999</v>
      </c>
      <c r="N578" s="8">
        <v>13.202</v>
      </c>
      <c r="O578" s="8">
        <v>11.991</v>
      </c>
      <c r="P578" s="8">
        <v>11.278</v>
      </c>
      <c r="Q578" s="8">
        <v>11.631</v>
      </c>
      <c r="R578" s="8">
        <v>9.36</v>
      </c>
      <c r="S578" s="8">
        <v>8.4429999999999996</v>
      </c>
      <c r="T578" s="8">
        <v>6.1459999999999999</v>
      </c>
      <c r="U578" s="8">
        <v>4.835</v>
      </c>
      <c r="V578" s="8">
        <v>3.3809999999999998</v>
      </c>
      <c r="W578" s="8">
        <v>1.89</v>
      </c>
      <c r="X578" s="8">
        <v>0.98499999999999999</v>
      </c>
      <c r="Y578" s="8">
        <v>0.48599999999999999</v>
      </c>
      <c r="Z578" s="8">
        <v>0.182</v>
      </c>
      <c r="AA578" s="8">
        <v>4.1000000000000002E-2</v>
      </c>
      <c r="AB578" s="8">
        <v>6.0000000000000001E-3</v>
      </c>
      <c r="AC578" s="8">
        <v>0</v>
      </c>
    </row>
    <row r="579" spans="1:29" ht="11.65" x14ac:dyDescent="0.35">
      <c r="A579" s="12">
        <v>562</v>
      </c>
      <c r="B579" s="10" t="s">
        <v>1015</v>
      </c>
      <c r="C579" s="11" t="s">
        <v>1073</v>
      </c>
      <c r="D579" s="9">
        <v>2</v>
      </c>
      <c r="E579" s="9">
        <v>638</v>
      </c>
      <c r="F579" s="10" t="s">
        <v>1066</v>
      </c>
      <c r="G579" s="9">
        <v>910</v>
      </c>
      <c r="H579" s="9">
        <v>1980</v>
      </c>
      <c r="I579" s="8">
        <v>28.99</v>
      </c>
      <c r="J579" s="8">
        <v>31.568999999999999</v>
      </c>
      <c r="K579" s="8">
        <v>35.606999999999999</v>
      </c>
      <c r="L579" s="8">
        <v>32.768000000000001</v>
      </c>
      <c r="M579" s="8">
        <v>24.61</v>
      </c>
      <c r="N579" s="8">
        <v>17.565999999999999</v>
      </c>
      <c r="O579" s="8">
        <v>13.253</v>
      </c>
      <c r="P579" s="8">
        <v>12.287000000000001</v>
      </c>
      <c r="Q579" s="8">
        <v>10.776</v>
      </c>
      <c r="R579" s="8">
        <v>11.045999999999999</v>
      </c>
      <c r="S579" s="8">
        <v>8.8249999999999993</v>
      </c>
      <c r="T579" s="8">
        <v>7.4630000000000001</v>
      </c>
      <c r="U579" s="8">
        <v>5.3010000000000002</v>
      </c>
      <c r="V579" s="8">
        <v>3.895</v>
      </c>
      <c r="W579" s="8">
        <v>2.448</v>
      </c>
      <c r="X579" s="8">
        <v>1.284</v>
      </c>
      <c r="Y579" s="8">
        <v>0.59799999999999998</v>
      </c>
      <c r="Z579" s="8">
        <v>0.23400000000000001</v>
      </c>
      <c r="AA579" s="8">
        <v>6.0999999999999999E-2</v>
      </c>
      <c r="AB579" s="8">
        <v>8.9999999999999993E-3</v>
      </c>
      <c r="AC579" s="8">
        <v>1E-3</v>
      </c>
    </row>
    <row r="580" spans="1:29" ht="11.65" x14ac:dyDescent="0.35">
      <c r="A580" s="12">
        <v>563</v>
      </c>
      <c r="B580" s="10" t="s">
        <v>1015</v>
      </c>
      <c r="C580" s="11" t="s">
        <v>1073</v>
      </c>
      <c r="D580" s="9">
        <v>2</v>
      </c>
      <c r="E580" s="9">
        <v>638</v>
      </c>
      <c r="F580" s="10" t="s">
        <v>1066</v>
      </c>
      <c r="G580" s="9">
        <v>910</v>
      </c>
      <c r="H580" s="9">
        <v>1985</v>
      </c>
      <c r="I580" s="8">
        <v>31.434999999999999</v>
      </c>
      <c r="J580" s="8">
        <v>30.407</v>
      </c>
      <c r="K580" s="8">
        <v>31.978000000000002</v>
      </c>
      <c r="L580" s="8">
        <v>32.99</v>
      </c>
      <c r="M580" s="8">
        <v>28.247</v>
      </c>
      <c r="N580" s="8">
        <v>23.298999999999999</v>
      </c>
      <c r="O580" s="8">
        <v>19.917999999999999</v>
      </c>
      <c r="P580" s="8">
        <v>14.91</v>
      </c>
      <c r="Q580" s="8">
        <v>12.573</v>
      </c>
      <c r="R580" s="8">
        <v>10.848000000000001</v>
      </c>
      <c r="S580" s="8">
        <v>10.532999999999999</v>
      </c>
      <c r="T580" s="8">
        <v>8.0169999999999995</v>
      </c>
      <c r="U580" s="8">
        <v>6.7850000000000001</v>
      </c>
      <c r="V580" s="8">
        <v>4.3840000000000003</v>
      </c>
      <c r="W580" s="8">
        <v>3.032</v>
      </c>
      <c r="X580" s="8">
        <v>1.925</v>
      </c>
      <c r="Y580" s="8">
        <v>0.99199999999999999</v>
      </c>
      <c r="Z580" s="8">
        <v>0.35699999999999998</v>
      </c>
      <c r="AA580" s="8">
        <v>8.3000000000000004E-2</v>
      </c>
      <c r="AB580" s="8">
        <v>1.2999999999999999E-2</v>
      </c>
      <c r="AC580" s="8">
        <v>1E-3</v>
      </c>
    </row>
    <row r="581" spans="1:29" ht="11.65" x14ac:dyDescent="0.35">
      <c r="A581" s="12">
        <v>564</v>
      </c>
      <c r="B581" s="10" t="s">
        <v>1015</v>
      </c>
      <c r="C581" s="11" t="s">
        <v>1073</v>
      </c>
      <c r="D581" s="9">
        <v>2</v>
      </c>
      <c r="E581" s="9">
        <v>638</v>
      </c>
      <c r="F581" s="10" t="s">
        <v>1066</v>
      </c>
      <c r="G581" s="9">
        <v>910</v>
      </c>
      <c r="H581" s="9">
        <v>1990</v>
      </c>
      <c r="I581" s="8">
        <v>34.073999999999998</v>
      </c>
      <c r="J581" s="8">
        <v>30.317</v>
      </c>
      <c r="K581" s="8">
        <v>30.318999999999999</v>
      </c>
      <c r="L581" s="8">
        <v>31.882000000000001</v>
      </c>
      <c r="M581" s="8">
        <v>32.753999999999998</v>
      </c>
      <c r="N581" s="8">
        <v>28.016999999999999</v>
      </c>
      <c r="O581" s="8">
        <v>23.091000000000001</v>
      </c>
      <c r="P581" s="8">
        <v>19.68</v>
      </c>
      <c r="Q581" s="8">
        <v>14.715999999999999</v>
      </c>
      <c r="R581" s="8">
        <v>12.355</v>
      </c>
      <c r="S581" s="8">
        <v>10.534000000000001</v>
      </c>
      <c r="T581" s="8">
        <v>9.9930000000000003</v>
      </c>
      <c r="U581" s="8">
        <v>7.3929999999999998</v>
      </c>
      <c r="V581" s="8">
        <v>5.9560000000000004</v>
      </c>
      <c r="W581" s="8">
        <v>3.577</v>
      </c>
      <c r="X581" s="8">
        <v>2.17</v>
      </c>
      <c r="Y581" s="8">
        <v>1.1499999999999999</v>
      </c>
      <c r="Z581" s="8">
        <v>0.48099999999999998</v>
      </c>
      <c r="AA581" s="8">
        <v>0.13400000000000001</v>
      </c>
      <c r="AB581" s="8">
        <v>1.9E-2</v>
      </c>
      <c r="AC581" s="8">
        <v>2E-3</v>
      </c>
    </row>
    <row r="582" spans="1:29" ht="11.65" x14ac:dyDescent="0.35">
      <c r="A582" s="12">
        <v>565</v>
      </c>
      <c r="B582" s="10" t="s">
        <v>1015</v>
      </c>
      <c r="C582" s="11" t="s">
        <v>1073</v>
      </c>
      <c r="D582" s="9">
        <v>2</v>
      </c>
      <c r="E582" s="9">
        <v>638</v>
      </c>
      <c r="F582" s="10" t="s">
        <v>1066</v>
      </c>
      <c r="G582" s="9">
        <v>910</v>
      </c>
      <c r="H582" s="9">
        <v>1995</v>
      </c>
      <c r="I582" s="8">
        <v>35.006</v>
      </c>
      <c r="J582" s="8">
        <v>34.194000000000003</v>
      </c>
      <c r="K582" s="8">
        <v>31.494</v>
      </c>
      <c r="L582" s="8">
        <v>31.186</v>
      </c>
      <c r="M582" s="8">
        <v>30.355</v>
      </c>
      <c r="N582" s="8">
        <v>30.63</v>
      </c>
      <c r="O582" s="8">
        <v>28.913</v>
      </c>
      <c r="P582" s="8">
        <v>25.08</v>
      </c>
      <c r="Q582" s="8">
        <v>20.369</v>
      </c>
      <c r="R582" s="8">
        <v>14.583</v>
      </c>
      <c r="S582" s="8">
        <v>11.804</v>
      </c>
      <c r="T582" s="8">
        <v>9.91</v>
      </c>
      <c r="U582" s="8">
        <v>9.1780000000000008</v>
      </c>
      <c r="V582" s="8">
        <v>6.4749999999999996</v>
      </c>
      <c r="W582" s="8">
        <v>4.899</v>
      </c>
      <c r="X582" s="8">
        <v>2.726</v>
      </c>
      <c r="Y582" s="8">
        <v>1.399</v>
      </c>
      <c r="Z582" s="8">
        <v>0.57999999999999996</v>
      </c>
      <c r="AA582" s="8">
        <v>0.19</v>
      </c>
      <c r="AB582" s="8">
        <v>3.4000000000000002E-2</v>
      </c>
      <c r="AC582" s="8">
        <v>2E-3</v>
      </c>
    </row>
    <row r="583" spans="1:29" ht="11.65" x14ac:dyDescent="0.35">
      <c r="A583" s="12">
        <v>566</v>
      </c>
      <c r="B583" s="10" t="s">
        <v>1015</v>
      </c>
      <c r="C583" s="11" t="s">
        <v>1073</v>
      </c>
      <c r="D583" s="9">
        <v>2</v>
      </c>
      <c r="E583" s="9">
        <v>638</v>
      </c>
      <c r="F583" s="10" t="s">
        <v>1066</v>
      </c>
      <c r="G583" s="9">
        <v>910</v>
      </c>
      <c r="H583" s="9">
        <v>2000</v>
      </c>
      <c r="I583" s="8">
        <v>35.758000000000003</v>
      </c>
      <c r="J583" s="8">
        <v>35.290999999999997</v>
      </c>
      <c r="K583" s="8">
        <v>35.368000000000002</v>
      </c>
      <c r="L583" s="8">
        <v>32.371000000000002</v>
      </c>
      <c r="M583" s="8">
        <v>29.687999999999999</v>
      </c>
      <c r="N583" s="8">
        <v>28.282</v>
      </c>
      <c r="O583" s="8">
        <v>31.550999999999998</v>
      </c>
      <c r="P583" s="8">
        <v>30.898</v>
      </c>
      <c r="Q583" s="8">
        <v>25.745000000000001</v>
      </c>
      <c r="R583" s="8">
        <v>20.149999999999999</v>
      </c>
      <c r="S583" s="8">
        <v>14.010999999999999</v>
      </c>
      <c r="T583" s="8">
        <v>11.177</v>
      </c>
      <c r="U583" s="8">
        <v>9.1669999999999998</v>
      </c>
      <c r="V583" s="8">
        <v>8.109</v>
      </c>
      <c r="W583" s="8">
        <v>5.375</v>
      </c>
      <c r="X583" s="8">
        <v>3.7770000000000001</v>
      </c>
      <c r="Y583" s="8">
        <v>1.7849999999999999</v>
      </c>
      <c r="Z583" s="8">
        <v>0.72499999999999998</v>
      </c>
      <c r="AA583" s="8">
        <v>0.24399999999999999</v>
      </c>
      <c r="AB583" s="8">
        <v>4.9000000000000002E-2</v>
      </c>
      <c r="AC583" s="8">
        <v>4.0000000000000001E-3</v>
      </c>
    </row>
    <row r="584" spans="1:29" ht="11.65" x14ac:dyDescent="0.35">
      <c r="A584" s="12">
        <v>567</v>
      </c>
      <c r="B584" s="10" t="s">
        <v>1015</v>
      </c>
      <c r="C584" s="11" t="s">
        <v>1073</v>
      </c>
      <c r="D584" s="9">
        <v>2</v>
      </c>
      <c r="E584" s="9">
        <v>638</v>
      </c>
      <c r="F584" s="10" t="s">
        <v>1066</v>
      </c>
      <c r="G584" s="9">
        <v>910</v>
      </c>
      <c r="H584" s="9">
        <v>2005</v>
      </c>
      <c r="I584" s="8">
        <v>37.762</v>
      </c>
      <c r="J584" s="8">
        <v>35.194000000000003</v>
      </c>
      <c r="K584" s="8">
        <v>35.648000000000003</v>
      </c>
      <c r="L584" s="8">
        <v>37.155999999999999</v>
      </c>
      <c r="M584" s="8">
        <v>32.826000000000001</v>
      </c>
      <c r="N584" s="8">
        <v>27.532</v>
      </c>
      <c r="O584" s="8">
        <v>25.681000000000001</v>
      </c>
      <c r="P584" s="8">
        <v>30.923999999999999</v>
      </c>
      <c r="Q584" s="8">
        <v>30.222999999999999</v>
      </c>
      <c r="R584" s="8">
        <v>24.890999999999998</v>
      </c>
      <c r="S584" s="8">
        <v>20.731000000000002</v>
      </c>
      <c r="T584" s="8">
        <v>14.667999999999999</v>
      </c>
      <c r="U584" s="8">
        <v>11.255000000000001</v>
      </c>
      <c r="V584" s="8">
        <v>8.593</v>
      </c>
      <c r="W584" s="8">
        <v>6.95</v>
      </c>
      <c r="X584" s="8">
        <v>4.3079999999999998</v>
      </c>
      <c r="Y584" s="8">
        <v>2.694</v>
      </c>
      <c r="Z584" s="8">
        <v>1.026</v>
      </c>
      <c r="AA584" s="8">
        <v>0.31900000000000001</v>
      </c>
      <c r="AB584" s="8">
        <v>6.8000000000000005E-2</v>
      </c>
      <c r="AC584" s="8">
        <v>6.0000000000000001E-3</v>
      </c>
    </row>
    <row r="585" spans="1:29" ht="11.65" x14ac:dyDescent="0.35">
      <c r="A585" s="12">
        <v>568</v>
      </c>
      <c r="B585" s="10" t="s">
        <v>1015</v>
      </c>
      <c r="C585" s="11" t="s">
        <v>1073</v>
      </c>
      <c r="D585" s="9">
        <v>2</v>
      </c>
      <c r="E585" s="9">
        <v>638</v>
      </c>
      <c r="F585" s="10" t="s">
        <v>1066</v>
      </c>
      <c r="G585" s="9">
        <v>910</v>
      </c>
      <c r="H585" s="9">
        <v>2010</v>
      </c>
      <c r="I585" s="8">
        <v>35.982999999999997</v>
      </c>
      <c r="J585" s="8">
        <v>36.738</v>
      </c>
      <c r="K585" s="8">
        <v>35.045000000000002</v>
      </c>
      <c r="L585" s="8">
        <v>35.79</v>
      </c>
      <c r="M585" s="8">
        <v>32.665999999999997</v>
      </c>
      <c r="N585" s="8">
        <v>24.745999999999999</v>
      </c>
      <c r="O585" s="8">
        <v>22.672999999999998</v>
      </c>
      <c r="P585" s="8">
        <v>25.6</v>
      </c>
      <c r="Q585" s="8">
        <v>32.287999999999997</v>
      </c>
      <c r="R585" s="8">
        <v>30.712</v>
      </c>
      <c r="S585" s="8">
        <v>24.693999999999999</v>
      </c>
      <c r="T585" s="8">
        <v>20.414000000000001</v>
      </c>
      <c r="U585" s="8">
        <v>14.874000000000001</v>
      </c>
      <c r="V585" s="8">
        <v>11.361000000000001</v>
      </c>
      <c r="W585" s="8">
        <v>8.0860000000000003</v>
      </c>
      <c r="X585" s="8">
        <v>5.5339999999999998</v>
      </c>
      <c r="Y585" s="8">
        <v>2.7949999999999999</v>
      </c>
      <c r="Z585" s="8">
        <v>1.5649999999999999</v>
      </c>
      <c r="AA585" s="8">
        <v>0.48</v>
      </c>
      <c r="AB585" s="8">
        <v>8.1000000000000003E-2</v>
      </c>
      <c r="AC585" s="8">
        <v>7.0000000000000001E-3</v>
      </c>
    </row>
    <row r="586" spans="1:29" ht="11.65" x14ac:dyDescent="0.35">
      <c r="A586" s="12">
        <v>569</v>
      </c>
      <c r="B586" s="10" t="s">
        <v>1015</v>
      </c>
      <c r="C586" s="11" t="s">
        <v>1073</v>
      </c>
      <c r="D586" s="9">
        <v>2</v>
      </c>
      <c r="E586" s="9">
        <v>638</v>
      </c>
      <c r="F586" s="10" t="s">
        <v>1066</v>
      </c>
      <c r="G586" s="9">
        <v>910</v>
      </c>
      <c r="H586" s="9">
        <v>2015</v>
      </c>
      <c r="I586" s="8">
        <v>34.994</v>
      </c>
      <c r="J586" s="8">
        <v>34.957000000000001</v>
      </c>
      <c r="K586" s="8">
        <v>36.542999999999999</v>
      </c>
      <c r="L586" s="8">
        <v>34.768000000000001</v>
      </c>
      <c r="M586" s="8">
        <v>29.766999999999999</v>
      </c>
      <c r="N586" s="8">
        <v>23.95</v>
      </c>
      <c r="O586" s="8">
        <v>22.172000000000001</v>
      </c>
      <c r="P586" s="8">
        <v>25.611999999999998</v>
      </c>
      <c r="Q586" s="8">
        <v>28.655000000000001</v>
      </c>
      <c r="R586" s="8">
        <v>32.402000000000001</v>
      </c>
      <c r="S586" s="8">
        <v>29.645</v>
      </c>
      <c r="T586" s="8">
        <v>24.77</v>
      </c>
      <c r="U586" s="8">
        <v>20.904</v>
      </c>
      <c r="V586" s="8">
        <v>14.611000000000001</v>
      </c>
      <c r="W586" s="8">
        <v>10.412000000000001</v>
      </c>
      <c r="X586" s="8">
        <v>7.0570000000000004</v>
      </c>
      <c r="Y586" s="8">
        <v>4.2370000000000001</v>
      </c>
      <c r="Z586" s="8">
        <v>1.7330000000000001</v>
      </c>
      <c r="AA586" s="8">
        <v>0.76600000000000001</v>
      </c>
      <c r="AB586" s="8">
        <v>0.129</v>
      </c>
      <c r="AC586" s="8">
        <v>8.9999999999999993E-3</v>
      </c>
    </row>
    <row r="587" spans="1:29" ht="11.65" x14ac:dyDescent="0.35">
      <c r="A587" s="12">
        <v>570</v>
      </c>
      <c r="B587" s="10" t="s">
        <v>1015</v>
      </c>
      <c r="C587" s="11" t="s">
        <v>1073</v>
      </c>
      <c r="D587" s="9">
        <v>2</v>
      </c>
      <c r="E587" s="9">
        <v>638</v>
      </c>
      <c r="F587" s="10" t="s">
        <v>1066</v>
      </c>
      <c r="G587" s="9">
        <v>910</v>
      </c>
      <c r="H587" s="9">
        <v>2020</v>
      </c>
      <c r="I587" s="8">
        <v>32.893999999999998</v>
      </c>
      <c r="J587" s="8">
        <v>34.341000000000001</v>
      </c>
      <c r="K587" s="8">
        <v>34.591000000000001</v>
      </c>
      <c r="L587" s="8">
        <v>36.106000000000002</v>
      </c>
      <c r="M587" s="8">
        <v>32.613</v>
      </c>
      <c r="N587" s="8">
        <v>26.83</v>
      </c>
      <c r="O587" s="8">
        <v>22.715</v>
      </c>
      <c r="P587" s="8">
        <v>22.731000000000002</v>
      </c>
      <c r="Q587" s="8">
        <v>26.509</v>
      </c>
      <c r="R587" s="8">
        <v>28.629000000000001</v>
      </c>
      <c r="S587" s="8">
        <v>31.613</v>
      </c>
      <c r="T587" s="8">
        <v>28.901</v>
      </c>
      <c r="U587" s="8">
        <v>24.04</v>
      </c>
      <c r="V587" s="8">
        <v>19.396000000000001</v>
      </c>
      <c r="W587" s="8">
        <v>13.101000000000001</v>
      </c>
      <c r="X587" s="8">
        <v>8.8629999999999995</v>
      </c>
      <c r="Y587" s="8">
        <v>5.3689999999999998</v>
      </c>
      <c r="Z587" s="8">
        <v>2.806</v>
      </c>
      <c r="AA587" s="8">
        <v>0.95799999999999996</v>
      </c>
      <c r="AB587" s="8">
        <v>0.27800000000000002</v>
      </c>
      <c r="AC587" s="8">
        <v>1.7000000000000001E-2</v>
      </c>
    </row>
    <row r="588" spans="1:29" ht="11.65" x14ac:dyDescent="0.35">
      <c r="A588" s="12">
        <v>571</v>
      </c>
      <c r="B588" s="10" t="s">
        <v>1015</v>
      </c>
      <c r="C588" s="11" t="s">
        <v>600</v>
      </c>
      <c r="D588" s="9"/>
      <c r="E588" s="9">
        <v>646</v>
      </c>
      <c r="F588" s="10" t="s">
        <v>1066</v>
      </c>
      <c r="G588" s="9">
        <v>910</v>
      </c>
      <c r="H588" s="9">
        <v>1950</v>
      </c>
      <c r="I588" s="8">
        <v>210.95</v>
      </c>
      <c r="J588" s="8">
        <v>139.85</v>
      </c>
      <c r="K588" s="8">
        <v>124.244</v>
      </c>
      <c r="L588" s="8">
        <v>125.09699999999999</v>
      </c>
      <c r="M588" s="8">
        <v>111.84699999999999</v>
      </c>
      <c r="N588" s="8">
        <v>80.171999999999997</v>
      </c>
      <c r="O588" s="8">
        <v>52.009</v>
      </c>
      <c r="P588" s="8">
        <v>43.695</v>
      </c>
      <c r="Q588" s="8">
        <v>40.871000000000002</v>
      </c>
      <c r="R588" s="8">
        <v>35.840000000000003</v>
      </c>
      <c r="S588" s="8">
        <v>32.183</v>
      </c>
      <c r="T588" s="8">
        <v>26.132000000000001</v>
      </c>
      <c r="U588" s="8">
        <v>22.815999999999999</v>
      </c>
      <c r="V588" s="8">
        <v>16.053000000000001</v>
      </c>
      <c r="W588" s="8">
        <v>7.2670000000000003</v>
      </c>
      <c r="X588" s="8">
        <v>3.64</v>
      </c>
      <c r="Y588" s="8">
        <v>1.363</v>
      </c>
      <c r="Z588" s="8">
        <v>0.33500000000000002</v>
      </c>
      <c r="AA588" s="8">
        <v>4.7E-2</v>
      </c>
      <c r="AB588" s="8">
        <v>3.0000000000000001E-3</v>
      </c>
      <c r="AC588" s="8">
        <v>0</v>
      </c>
    </row>
    <row r="589" spans="1:29" ht="11.65" x14ac:dyDescent="0.35">
      <c r="A589" s="12">
        <v>572</v>
      </c>
      <c r="B589" s="10" t="s">
        <v>1015</v>
      </c>
      <c r="C589" s="11" t="s">
        <v>600</v>
      </c>
      <c r="D589" s="9"/>
      <c r="E589" s="9">
        <v>646</v>
      </c>
      <c r="F589" s="10" t="s">
        <v>1066</v>
      </c>
      <c r="G589" s="9">
        <v>910</v>
      </c>
      <c r="H589" s="9">
        <v>1955</v>
      </c>
      <c r="I589" s="8">
        <v>249.71</v>
      </c>
      <c r="J589" s="8">
        <v>187.41</v>
      </c>
      <c r="K589" s="8">
        <v>133.99700000000001</v>
      </c>
      <c r="L589" s="8">
        <v>120.387</v>
      </c>
      <c r="M589" s="8">
        <v>119.973</v>
      </c>
      <c r="N589" s="8">
        <v>106.238</v>
      </c>
      <c r="O589" s="8">
        <v>75.849999999999994</v>
      </c>
      <c r="P589" s="8">
        <v>48.884999999999998</v>
      </c>
      <c r="Q589" s="8">
        <v>40.676000000000002</v>
      </c>
      <c r="R589" s="8">
        <v>37.646999999999998</v>
      </c>
      <c r="S589" s="8">
        <v>32.54</v>
      </c>
      <c r="T589" s="8">
        <v>28.614999999999998</v>
      </c>
      <c r="U589" s="8">
        <v>22.454999999999998</v>
      </c>
      <c r="V589" s="8">
        <v>18.465</v>
      </c>
      <c r="W589" s="8">
        <v>11.763</v>
      </c>
      <c r="X589" s="8">
        <v>4.524</v>
      </c>
      <c r="Y589" s="8">
        <v>1.746</v>
      </c>
      <c r="Z589" s="8">
        <v>0.43</v>
      </c>
      <c r="AA589" s="8">
        <v>5.6000000000000001E-2</v>
      </c>
      <c r="AB589" s="8">
        <v>4.0000000000000001E-3</v>
      </c>
      <c r="AC589" s="8">
        <v>0</v>
      </c>
    </row>
    <row r="590" spans="1:29" ht="11.65" x14ac:dyDescent="0.35">
      <c r="A590" s="12">
        <v>573</v>
      </c>
      <c r="B590" s="10" t="s">
        <v>1015</v>
      </c>
      <c r="C590" s="11" t="s">
        <v>600</v>
      </c>
      <c r="D590" s="9"/>
      <c r="E590" s="9">
        <v>646</v>
      </c>
      <c r="F590" s="10" t="s">
        <v>1066</v>
      </c>
      <c r="G590" s="9">
        <v>910</v>
      </c>
      <c r="H590" s="9">
        <v>1960</v>
      </c>
      <c r="I590" s="8">
        <v>291.22000000000003</v>
      </c>
      <c r="J590" s="8">
        <v>224.23400000000001</v>
      </c>
      <c r="K590" s="8">
        <v>180.33799999999999</v>
      </c>
      <c r="L590" s="8">
        <v>130.179</v>
      </c>
      <c r="M590" s="8">
        <v>115.78700000000001</v>
      </c>
      <c r="N590" s="8">
        <v>114.349</v>
      </c>
      <c r="O590" s="8">
        <v>100.869</v>
      </c>
      <c r="P590" s="8">
        <v>71.558000000000007</v>
      </c>
      <c r="Q590" s="8">
        <v>45.686999999999998</v>
      </c>
      <c r="R590" s="8">
        <v>37.616999999999997</v>
      </c>
      <c r="S590" s="8">
        <v>34.308</v>
      </c>
      <c r="T590" s="8">
        <v>29.035</v>
      </c>
      <c r="U590" s="8">
        <v>24.672999999999998</v>
      </c>
      <c r="V590" s="8">
        <v>18.231999999999999</v>
      </c>
      <c r="W590" s="8">
        <v>13.567</v>
      </c>
      <c r="X590" s="8">
        <v>7.3360000000000003</v>
      </c>
      <c r="Y590" s="8">
        <v>2.165</v>
      </c>
      <c r="Z590" s="8">
        <v>0.54700000000000004</v>
      </c>
      <c r="AA590" s="8">
        <v>7.1999999999999995E-2</v>
      </c>
      <c r="AB590" s="8">
        <v>5.0000000000000001E-3</v>
      </c>
      <c r="AC590" s="8">
        <v>0</v>
      </c>
    </row>
    <row r="591" spans="1:29" ht="11.65" x14ac:dyDescent="0.35">
      <c r="A591" s="12">
        <v>574</v>
      </c>
      <c r="B591" s="10" t="s">
        <v>1015</v>
      </c>
      <c r="C591" s="11" t="s">
        <v>600</v>
      </c>
      <c r="D591" s="9"/>
      <c r="E591" s="9">
        <v>646</v>
      </c>
      <c r="F591" s="10" t="s">
        <v>1066</v>
      </c>
      <c r="G591" s="9">
        <v>910</v>
      </c>
      <c r="H591" s="9">
        <v>1965</v>
      </c>
      <c r="I591" s="8">
        <v>310.29000000000002</v>
      </c>
      <c r="J591" s="8">
        <v>262.33600000000001</v>
      </c>
      <c r="K591" s="8">
        <v>215.26300000000001</v>
      </c>
      <c r="L591" s="8">
        <v>168.346</v>
      </c>
      <c r="M591" s="8">
        <v>112.405</v>
      </c>
      <c r="N591" s="8">
        <v>98.091999999999999</v>
      </c>
      <c r="O591" s="8">
        <v>99.391999999999996</v>
      </c>
      <c r="P591" s="8">
        <v>88.894999999999996</v>
      </c>
      <c r="Q591" s="8">
        <v>62.704999999999998</v>
      </c>
      <c r="R591" s="8">
        <v>39.481000000000002</v>
      </c>
      <c r="S591" s="8">
        <v>32.478999999999999</v>
      </c>
      <c r="T591" s="8">
        <v>29.463999999999999</v>
      </c>
      <c r="U591" s="8">
        <v>24.31</v>
      </c>
      <c r="V591" s="8">
        <v>19.579000000000001</v>
      </c>
      <c r="W591" s="8">
        <v>13.108000000000001</v>
      </c>
      <c r="X591" s="8">
        <v>8.2759999999999998</v>
      </c>
      <c r="Y591" s="8">
        <v>3.375</v>
      </c>
      <c r="Z591" s="8">
        <v>0.68100000000000005</v>
      </c>
      <c r="AA591" s="8">
        <v>9.0999999999999998E-2</v>
      </c>
      <c r="AB591" s="8">
        <v>6.0000000000000001E-3</v>
      </c>
      <c r="AC591" s="8">
        <v>0</v>
      </c>
    </row>
    <row r="592" spans="1:29" ht="11.65" x14ac:dyDescent="0.35">
      <c r="A592" s="12">
        <v>575</v>
      </c>
      <c r="B592" s="10" t="s">
        <v>1015</v>
      </c>
      <c r="C592" s="11" t="s">
        <v>600</v>
      </c>
      <c r="D592" s="9"/>
      <c r="E592" s="9">
        <v>646</v>
      </c>
      <c r="F592" s="10" t="s">
        <v>1066</v>
      </c>
      <c r="G592" s="9">
        <v>910</v>
      </c>
      <c r="H592" s="9">
        <v>1970</v>
      </c>
      <c r="I592" s="8">
        <v>350.30599999999998</v>
      </c>
      <c r="J592" s="8">
        <v>283.61599999999999</v>
      </c>
      <c r="K592" s="8">
        <v>254.29300000000001</v>
      </c>
      <c r="L592" s="8">
        <v>211.03800000000001</v>
      </c>
      <c r="M592" s="8">
        <v>164.56</v>
      </c>
      <c r="N592" s="8">
        <v>109.547</v>
      </c>
      <c r="O592" s="8">
        <v>95.052000000000007</v>
      </c>
      <c r="P592" s="8">
        <v>95.295000000000002</v>
      </c>
      <c r="Q592" s="8">
        <v>84.266000000000005</v>
      </c>
      <c r="R592" s="8">
        <v>58.808</v>
      </c>
      <c r="S592" s="8">
        <v>36.494999999999997</v>
      </c>
      <c r="T592" s="8">
        <v>29.350999999999999</v>
      </c>
      <c r="U592" s="8">
        <v>25.69</v>
      </c>
      <c r="V592" s="8">
        <v>19.940999999999999</v>
      </c>
      <c r="W592" s="8">
        <v>14.526</v>
      </c>
      <c r="X592" s="8">
        <v>8.25</v>
      </c>
      <c r="Y592" s="8">
        <v>3.9849999999999999</v>
      </c>
      <c r="Z592" s="8">
        <v>1.0449999999999999</v>
      </c>
      <c r="AA592" s="8">
        <v>0.11</v>
      </c>
      <c r="AB592" s="8">
        <v>6.0000000000000001E-3</v>
      </c>
      <c r="AC592" s="8">
        <v>0</v>
      </c>
    </row>
    <row r="593" spans="1:29" ht="11.65" x14ac:dyDescent="0.35">
      <c r="A593" s="12">
        <v>576</v>
      </c>
      <c r="B593" s="10" t="s">
        <v>1015</v>
      </c>
      <c r="C593" s="11" t="s">
        <v>600</v>
      </c>
      <c r="D593" s="9"/>
      <c r="E593" s="9">
        <v>646</v>
      </c>
      <c r="F593" s="10" t="s">
        <v>1066</v>
      </c>
      <c r="G593" s="9">
        <v>910</v>
      </c>
      <c r="H593" s="9">
        <v>1975</v>
      </c>
      <c r="I593" s="8">
        <v>423.42500000000001</v>
      </c>
      <c r="J593" s="8">
        <v>320.43200000000002</v>
      </c>
      <c r="K593" s="8">
        <v>274.77199999999999</v>
      </c>
      <c r="L593" s="8">
        <v>247.18</v>
      </c>
      <c r="M593" s="8">
        <v>202.197</v>
      </c>
      <c r="N593" s="8">
        <v>156.05799999999999</v>
      </c>
      <c r="O593" s="8">
        <v>103.352</v>
      </c>
      <c r="P593" s="8">
        <v>89.370999999999995</v>
      </c>
      <c r="Q593" s="8">
        <v>89.117999999999995</v>
      </c>
      <c r="R593" s="8">
        <v>78.132999999999996</v>
      </c>
      <c r="S593" s="8">
        <v>53.728999999999999</v>
      </c>
      <c r="T593" s="8">
        <v>32.628</v>
      </c>
      <c r="U593" s="8">
        <v>25.38</v>
      </c>
      <c r="V593" s="8">
        <v>20.937000000000001</v>
      </c>
      <c r="W593" s="8">
        <v>14.708</v>
      </c>
      <c r="X593" s="8">
        <v>9.0779999999999994</v>
      </c>
      <c r="Y593" s="8">
        <v>3.9289999999999998</v>
      </c>
      <c r="Z593" s="8">
        <v>1.236</v>
      </c>
      <c r="AA593" s="8">
        <v>0.16700000000000001</v>
      </c>
      <c r="AB593" s="8">
        <v>8.0000000000000002E-3</v>
      </c>
      <c r="AC593" s="8">
        <v>0</v>
      </c>
    </row>
    <row r="594" spans="1:29" ht="11.65" x14ac:dyDescent="0.35">
      <c r="A594" s="12">
        <v>577</v>
      </c>
      <c r="B594" s="10" t="s">
        <v>1015</v>
      </c>
      <c r="C594" s="11" t="s">
        <v>600</v>
      </c>
      <c r="D594" s="9"/>
      <c r="E594" s="9">
        <v>646</v>
      </c>
      <c r="F594" s="10" t="s">
        <v>1066</v>
      </c>
      <c r="G594" s="9">
        <v>910</v>
      </c>
      <c r="H594" s="9">
        <v>1980</v>
      </c>
      <c r="I594" s="8">
        <v>524.85</v>
      </c>
      <c r="J594" s="8">
        <v>390.27600000000001</v>
      </c>
      <c r="K594" s="8">
        <v>311.339</v>
      </c>
      <c r="L594" s="8">
        <v>267.66399999999999</v>
      </c>
      <c r="M594" s="8">
        <v>237.666</v>
      </c>
      <c r="N594" s="8">
        <v>192.66</v>
      </c>
      <c r="O594" s="8">
        <v>148.19900000000001</v>
      </c>
      <c r="P594" s="8">
        <v>97.52</v>
      </c>
      <c r="Q594" s="8">
        <v>83.778999999999996</v>
      </c>
      <c r="R594" s="8">
        <v>82.905000000000001</v>
      </c>
      <c r="S594" s="8">
        <v>71.694000000000003</v>
      </c>
      <c r="T594" s="8">
        <v>48.267000000000003</v>
      </c>
      <c r="U594" s="8">
        <v>28.317</v>
      </c>
      <c r="V594" s="8">
        <v>20.751000000000001</v>
      </c>
      <c r="W594" s="8">
        <v>15.499000000000001</v>
      </c>
      <c r="X594" s="8">
        <v>9.2219999999999995</v>
      </c>
      <c r="Y594" s="8">
        <v>4.3360000000000003</v>
      </c>
      <c r="Z594" s="8">
        <v>1.214</v>
      </c>
      <c r="AA594" s="8">
        <v>0.19600000000000001</v>
      </c>
      <c r="AB594" s="8">
        <v>1.2E-2</v>
      </c>
      <c r="AC594" s="8">
        <v>0</v>
      </c>
    </row>
    <row r="595" spans="1:29" ht="11.65" x14ac:dyDescent="0.35">
      <c r="A595" s="12">
        <v>578</v>
      </c>
      <c r="B595" s="10" t="s">
        <v>1015</v>
      </c>
      <c r="C595" s="11" t="s">
        <v>600</v>
      </c>
      <c r="D595" s="9"/>
      <c r="E595" s="9">
        <v>646</v>
      </c>
      <c r="F595" s="10" t="s">
        <v>1066</v>
      </c>
      <c r="G595" s="9">
        <v>910</v>
      </c>
      <c r="H595" s="9">
        <v>1985</v>
      </c>
      <c r="I595" s="8">
        <v>640.39300000000003</v>
      </c>
      <c r="J595" s="8">
        <v>493.28199999999998</v>
      </c>
      <c r="K595" s="8">
        <v>381.69900000000001</v>
      </c>
      <c r="L595" s="8">
        <v>303.35300000000001</v>
      </c>
      <c r="M595" s="8">
        <v>256.238</v>
      </c>
      <c r="N595" s="8">
        <v>225.65</v>
      </c>
      <c r="O595" s="8">
        <v>182.50399999999999</v>
      </c>
      <c r="P595" s="8">
        <v>139.82400000000001</v>
      </c>
      <c r="Q595" s="8">
        <v>91.212999999999994</v>
      </c>
      <c r="R595" s="8">
        <v>77.897000000000006</v>
      </c>
      <c r="S595" s="8">
        <v>76.284000000000006</v>
      </c>
      <c r="T595" s="8">
        <v>64.731999999999999</v>
      </c>
      <c r="U595" s="8">
        <v>42.148000000000003</v>
      </c>
      <c r="V595" s="8">
        <v>23.271000000000001</v>
      </c>
      <c r="W595" s="8">
        <v>15.452999999999999</v>
      </c>
      <c r="X595" s="8">
        <v>9.782</v>
      </c>
      <c r="Y595" s="8">
        <v>4.4080000000000004</v>
      </c>
      <c r="Z595" s="8">
        <v>1.3380000000000001</v>
      </c>
      <c r="AA595" s="8">
        <v>0.187</v>
      </c>
      <c r="AB595" s="8">
        <v>1.2999999999999999E-2</v>
      </c>
      <c r="AC595" s="8">
        <v>1E-3</v>
      </c>
    </row>
    <row r="596" spans="1:29" ht="11.65" x14ac:dyDescent="0.35">
      <c r="A596" s="12">
        <v>579</v>
      </c>
      <c r="B596" s="10" t="s">
        <v>1015</v>
      </c>
      <c r="C596" s="11" t="s">
        <v>600</v>
      </c>
      <c r="D596" s="9"/>
      <c r="E596" s="9">
        <v>646</v>
      </c>
      <c r="F596" s="10" t="s">
        <v>1066</v>
      </c>
      <c r="G596" s="9">
        <v>910</v>
      </c>
      <c r="H596" s="9">
        <v>1990</v>
      </c>
      <c r="I596" s="8">
        <v>707.11599999999999</v>
      </c>
      <c r="J596" s="8">
        <v>599.86099999999999</v>
      </c>
      <c r="K596" s="8">
        <v>482.77699999999999</v>
      </c>
      <c r="L596" s="8">
        <v>376.35700000000003</v>
      </c>
      <c r="M596" s="8">
        <v>298.28199999999998</v>
      </c>
      <c r="N596" s="8">
        <v>250.375</v>
      </c>
      <c r="O596" s="8">
        <v>219.07300000000001</v>
      </c>
      <c r="P596" s="8">
        <v>175.655</v>
      </c>
      <c r="Q596" s="8">
        <v>133.16399999999999</v>
      </c>
      <c r="R596" s="8">
        <v>85.984999999999999</v>
      </c>
      <c r="S596" s="8">
        <v>72.236000000000004</v>
      </c>
      <c r="T596" s="8">
        <v>69.162000000000006</v>
      </c>
      <c r="U596" s="8">
        <v>56.710999999999999</v>
      </c>
      <c r="V596" s="8">
        <v>34.816000000000003</v>
      </c>
      <c r="W596" s="8">
        <v>17.437999999999999</v>
      </c>
      <c r="X596" s="8">
        <v>9.8390000000000004</v>
      </c>
      <c r="Y596" s="8">
        <v>4.7569999999999997</v>
      </c>
      <c r="Z596" s="8">
        <v>1.361</v>
      </c>
      <c r="AA596" s="8">
        <v>0.20799999999999999</v>
      </c>
      <c r="AB596" s="8">
        <v>1.2999999999999999E-2</v>
      </c>
      <c r="AC596" s="8">
        <v>1E-3</v>
      </c>
    </row>
    <row r="597" spans="1:29" ht="11.65" x14ac:dyDescent="0.35">
      <c r="A597" s="12">
        <v>580</v>
      </c>
      <c r="B597" s="10" t="s">
        <v>1015</v>
      </c>
      <c r="C597" s="11" t="s">
        <v>600</v>
      </c>
      <c r="D597" s="9"/>
      <c r="E597" s="9">
        <v>646</v>
      </c>
      <c r="F597" s="10" t="s">
        <v>1066</v>
      </c>
      <c r="G597" s="9">
        <v>910</v>
      </c>
      <c r="H597" s="9">
        <v>1995</v>
      </c>
      <c r="I597" s="8">
        <v>379.63299999999998</v>
      </c>
      <c r="J597" s="8">
        <v>407.37099999999998</v>
      </c>
      <c r="K597" s="8">
        <v>414.77</v>
      </c>
      <c r="L597" s="8">
        <v>347.25299999999999</v>
      </c>
      <c r="M597" s="8">
        <v>269.63200000000001</v>
      </c>
      <c r="N597" s="8">
        <v>226.25899999999999</v>
      </c>
      <c r="O597" s="8">
        <v>194.554</v>
      </c>
      <c r="P597" s="8">
        <v>162.566</v>
      </c>
      <c r="Q597" s="8">
        <v>118.148</v>
      </c>
      <c r="R597" s="8">
        <v>87.944999999999993</v>
      </c>
      <c r="S597" s="8">
        <v>57.893999999999998</v>
      </c>
      <c r="T597" s="8">
        <v>46.481000000000002</v>
      </c>
      <c r="U597" s="8">
        <v>46.576999999999998</v>
      </c>
      <c r="V597" s="8">
        <v>38.293999999999997</v>
      </c>
      <c r="W597" s="8">
        <v>22.16</v>
      </c>
      <c r="X597" s="8">
        <v>12.209</v>
      </c>
      <c r="Y597" s="8">
        <v>4.258</v>
      </c>
      <c r="Z597" s="8">
        <v>1.8660000000000001</v>
      </c>
      <c r="AA597" s="8">
        <v>0.36499999999999999</v>
      </c>
      <c r="AB597" s="8">
        <v>3.9E-2</v>
      </c>
      <c r="AC597" s="8">
        <v>2E-3</v>
      </c>
    </row>
    <row r="598" spans="1:29" ht="11.65" x14ac:dyDescent="0.35">
      <c r="A598" s="12">
        <v>581</v>
      </c>
      <c r="B598" s="10" t="s">
        <v>1015</v>
      </c>
      <c r="C598" s="11" t="s">
        <v>600</v>
      </c>
      <c r="D598" s="9"/>
      <c r="E598" s="9">
        <v>646</v>
      </c>
      <c r="F598" s="10" t="s">
        <v>1066</v>
      </c>
      <c r="G598" s="9">
        <v>910</v>
      </c>
      <c r="H598" s="9">
        <v>2000</v>
      </c>
      <c r="I598" s="8">
        <v>643.88199999999995</v>
      </c>
      <c r="J598" s="8">
        <v>557.44100000000003</v>
      </c>
      <c r="K598" s="8">
        <v>549.553</v>
      </c>
      <c r="L598" s="8">
        <v>449.42099999999999</v>
      </c>
      <c r="M598" s="8">
        <v>343.84500000000003</v>
      </c>
      <c r="N598" s="8">
        <v>261.16399999999999</v>
      </c>
      <c r="O598" s="8">
        <v>216.874</v>
      </c>
      <c r="P598" s="8">
        <v>240.011</v>
      </c>
      <c r="Q598" s="8">
        <v>169.54599999999999</v>
      </c>
      <c r="R598" s="8">
        <v>127.751</v>
      </c>
      <c r="S598" s="8">
        <v>81.914000000000001</v>
      </c>
      <c r="T598" s="8">
        <v>61.820999999999998</v>
      </c>
      <c r="U598" s="8">
        <v>39.959000000000003</v>
      </c>
      <c r="V598" s="8">
        <v>55.116</v>
      </c>
      <c r="W598" s="8">
        <v>23.231000000000002</v>
      </c>
      <c r="X598" s="8">
        <v>39.063000000000002</v>
      </c>
      <c r="Y598" s="8">
        <v>13.705</v>
      </c>
      <c r="Z598" s="8">
        <v>1.343</v>
      </c>
      <c r="AA598" s="8">
        <v>0.28100000000000003</v>
      </c>
      <c r="AB598" s="8">
        <v>2.5999999999999999E-2</v>
      </c>
      <c r="AC598" s="8">
        <v>2E-3</v>
      </c>
    </row>
    <row r="599" spans="1:29" ht="11.65" x14ac:dyDescent="0.35">
      <c r="A599" s="12">
        <v>582</v>
      </c>
      <c r="B599" s="10" t="s">
        <v>1015</v>
      </c>
      <c r="C599" s="11" t="s">
        <v>600</v>
      </c>
      <c r="D599" s="9"/>
      <c r="E599" s="9">
        <v>646</v>
      </c>
      <c r="F599" s="10" t="s">
        <v>1066</v>
      </c>
      <c r="G599" s="9">
        <v>910</v>
      </c>
      <c r="H599" s="9">
        <v>2005</v>
      </c>
      <c r="I599" s="8">
        <v>701.79</v>
      </c>
      <c r="J599" s="8">
        <v>613.00199999999995</v>
      </c>
      <c r="K599" s="8">
        <v>546.15499999999997</v>
      </c>
      <c r="L599" s="8">
        <v>536.08500000000004</v>
      </c>
      <c r="M599" s="8">
        <v>430.47</v>
      </c>
      <c r="N599" s="8">
        <v>324.911</v>
      </c>
      <c r="O599" s="8">
        <v>245.00700000000001</v>
      </c>
      <c r="P599" s="8">
        <v>202.15799999999999</v>
      </c>
      <c r="Q599" s="8">
        <v>222.73099999999999</v>
      </c>
      <c r="R599" s="8">
        <v>155.547</v>
      </c>
      <c r="S599" s="8">
        <v>115.43</v>
      </c>
      <c r="T599" s="8">
        <v>72.313000000000002</v>
      </c>
      <c r="U599" s="8">
        <v>52.673999999999999</v>
      </c>
      <c r="V599" s="8">
        <v>31.916</v>
      </c>
      <c r="W599" s="8">
        <v>39.793999999999997</v>
      </c>
      <c r="X599" s="8">
        <v>14.007999999999999</v>
      </c>
      <c r="Y599" s="8">
        <v>17.684000000000001</v>
      </c>
      <c r="Z599" s="8">
        <v>3.8439999999999999</v>
      </c>
      <c r="AA599" s="8">
        <v>0.16800000000000001</v>
      </c>
      <c r="AB599" s="8">
        <v>1.4999999999999999E-2</v>
      </c>
      <c r="AC599" s="8">
        <v>1E-3</v>
      </c>
    </row>
    <row r="600" spans="1:29" ht="11.65" x14ac:dyDescent="0.35">
      <c r="A600" s="12">
        <v>583</v>
      </c>
      <c r="B600" s="10" t="s">
        <v>1015</v>
      </c>
      <c r="C600" s="11" t="s">
        <v>600</v>
      </c>
      <c r="D600" s="9"/>
      <c r="E600" s="9">
        <v>646</v>
      </c>
      <c r="F600" s="10" t="s">
        <v>1066</v>
      </c>
      <c r="G600" s="9">
        <v>910</v>
      </c>
      <c r="H600" s="9">
        <v>2010</v>
      </c>
      <c r="I600" s="8">
        <v>788.92899999999997</v>
      </c>
      <c r="J600" s="8">
        <v>685.08</v>
      </c>
      <c r="K600" s="8">
        <v>606.62699999999995</v>
      </c>
      <c r="L600" s="8">
        <v>536.64599999999996</v>
      </c>
      <c r="M600" s="8">
        <v>519.03</v>
      </c>
      <c r="N600" s="8">
        <v>413.00200000000001</v>
      </c>
      <c r="O600" s="8">
        <v>311.60599999999999</v>
      </c>
      <c r="P600" s="8">
        <v>233.96100000000001</v>
      </c>
      <c r="Q600" s="8">
        <v>192.18899999999999</v>
      </c>
      <c r="R600" s="8">
        <v>210.97800000000001</v>
      </c>
      <c r="S600" s="8">
        <v>145.245</v>
      </c>
      <c r="T600" s="8">
        <v>105.676</v>
      </c>
      <c r="U600" s="8">
        <v>64.073999999999998</v>
      </c>
      <c r="V600" s="8">
        <v>44.110999999999997</v>
      </c>
      <c r="W600" s="8">
        <v>24.314</v>
      </c>
      <c r="X600" s="8">
        <v>26.032</v>
      </c>
      <c r="Y600" s="8">
        <v>6.9859999999999998</v>
      </c>
      <c r="Z600" s="8">
        <v>5.7640000000000002</v>
      </c>
      <c r="AA600" s="8">
        <v>0.61699999999999999</v>
      </c>
      <c r="AB600" s="8">
        <v>1.0999999999999999E-2</v>
      </c>
      <c r="AC600" s="8">
        <v>1E-3</v>
      </c>
    </row>
    <row r="601" spans="1:29" ht="11.65" x14ac:dyDescent="0.35">
      <c r="A601" s="12">
        <v>584</v>
      </c>
      <c r="B601" s="10" t="s">
        <v>1015</v>
      </c>
      <c r="C601" s="11" t="s">
        <v>600</v>
      </c>
      <c r="D601" s="9"/>
      <c r="E601" s="9">
        <v>646</v>
      </c>
      <c r="F601" s="10" t="s">
        <v>1066</v>
      </c>
      <c r="G601" s="9">
        <v>910</v>
      </c>
      <c r="H601" s="9">
        <v>2015</v>
      </c>
      <c r="I601" s="8">
        <v>849.048</v>
      </c>
      <c r="J601" s="8">
        <v>778.75</v>
      </c>
      <c r="K601" s="8">
        <v>680.43899999999996</v>
      </c>
      <c r="L601" s="8">
        <v>598.26300000000003</v>
      </c>
      <c r="M601" s="8">
        <v>514.67600000000004</v>
      </c>
      <c r="N601" s="8">
        <v>496.18599999999998</v>
      </c>
      <c r="O601" s="8">
        <v>400.30200000000002</v>
      </c>
      <c r="P601" s="8">
        <v>301.08800000000002</v>
      </c>
      <c r="Q601" s="8">
        <v>225.07</v>
      </c>
      <c r="R601" s="8">
        <v>183.88800000000001</v>
      </c>
      <c r="S601" s="8">
        <v>199.95599999999999</v>
      </c>
      <c r="T601" s="8">
        <v>135.11199999999999</v>
      </c>
      <c r="U601" s="8">
        <v>95.522999999999996</v>
      </c>
      <c r="V601" s="8">
        <v>54.963000000000001</v>
      </c>
      <c r="W601" s="8">
        <v>34.805999999999997</v>
      </c>
      <c r="X601" s="8">
        <v>16.658000000000001</v>
      </c>
      <c r="Y601" s="8">
        <v>14.144</v>
      </c>
      <c r="Z601" s="8">
        <v>2.5950000000000002</v>
      </c>
      <c r="AA601" s="8">
        <v>1.1299999999999999</v>
      </c>
      <c r="AB601" s="8">
        <v>0.05</v>
      </c>
      <c r="AC601" s="8">
        <v>1E-3</v>
      </c>
    </row>
    <row r="602" spans="1:29" ht="11.65" x14ac:dyDescent="0.35">
      <c r="A602" s="12">
        <v>585</v>
      </c>
      <c r="B602" s="10" t="s">
        <v>1015</v>
      </c>
      <c r="C602" s="11" t="s">
        <v>600</v>
      </c>
      <c r="D602" s="9"/>
      <c r="E602" s="9">
        <v>646</v>
      </c>
      <c r="F602" s="10" t="s">
        <v>1066</v>
      </c>
      <c r="G602" s="9">
        <v>910</v>
      </c>
      <c r="H602" s="9">
        <v>2020</v>
      </c>
      <c r="I602" s="8">
        <v>949.89800000000002</v>
      </c>
      <c r="J602" s="8">
        <v>841.15</v>
      </c>
      <c r="K602" s="8">
        <v>774.505</v>
      </c>
      <c r="L602" s="8">
        <v>673.34699999999998</v>
      </c>
      <c r="M602" s="8">
        <v>586.48900000000003</v>
      </c>
      <c r="N602" s="8">
        <v>502.608</v>
      </c>
      <c r="O602" s="8">
        <v>484.83199999999999</v>
      </c>
      <c r="P602" s="8">
        <v>390.34399999999999</v>
      </c>
      <c r="Q602" s="8">
        <v>292.44799999999998</v>
      </c>
      <c r="R602" s="8">
        <v>217.29499999999999</v>
      </c>
      <c r="S602" s="8">
        <v>175.529</v>
      </c>
      <c r="T602" s="8">
        <v>187.84100000000001</v>
      </c>
      <c r="U602" s="8">
        <v>123.474</v>
      </c>
      <c r="V602" s="8">
        <v>83.119</v>
      </c>
      <c r="W602" s="8">
        <v>44.195999999999998</v>
      </c>
      <c r="X602" s="8">
        <v>24.567</v>
      </c>
      <c r="Y602" s="8">
        <v>9.4369999999999994</v>
      </c>
      <c r="Z602" s="8">
        <v>5.665</v>
      </c>
      <c r="AA602" s="8">
        <v>0.57499999999999996</v>
      </c>
      <c r="AB602" s="8">
        <v>0.109</v>
      </c>
      <c r="AC602" s="8">
        <v>3.0000000000000001E-3</v>
      </c>
    </row>
    <row r="603" spans="1:29" ht="11.65" x14ac:dyDescent="0.35">
      <c r="A603" s="12">
        <v>586</v>
      </c>
      <c r="B603" s="10" t="s">
        <v>1015</v>
      </c>
      <c r="C603" s="11" t="s">
        <v>1074</v>
      </c>
      <c r="D603" s="9"/>
      <c r="E603" s="9">
        <v>690</v>
      </c>
      <c r="F603" s="10" t="s">
        <v>1066</v>
      </c>
      <c r="G603" s="9">
        <v>910</v>
      </c>
      <c r="H603" s="9">
        <v>1950</v>
      </c>
      <c r="I603" s="8">
        <v>2.2719999999999998</v>
      </c>
      <c r="J603" s="8">
        <v>1.841</v>
      </c>
      <c r="K603" s="8">
        <v>1.5509999999999999</v>
      </c>
      <c r="L603" s="8">
        <v>1.4830000000000001</v>
      </c>
      <c r="M603" s="8">
        <v>1.4379999999999999</v>
      </c>
      <c r="N603" s="8">
        <v>1.365</v>
      </c>
      <c r="O603" s="8">
        <v>1.1419999999999999</v>
      </c>
      <c r="P603" s="8">
        <v>1.163</v>
      </c>
      <c r="Q603" s="8">
        <v>1.0840000000000001</v>
      </c>
      <c r="R603" s="8">
        <v>0.93400000000000005</v>
      </c>
      <c r="S603" s="8">
        <v>0.76700000000000002</v>
      </c>
      <c r="T603" s="8">
        <v>0.66100000000000003</v>
      </c>
      <c r="U603" s="8">
        <v>0.53300000000000003</v>
      </c>
      <c r="V603" s="8">
        <v>0.39900000000000002</v>
      </c>
      <c r="W603" s="8">
        <v>0.28599999999999998</v>
      </c>
      <c r="X603" s="8">
        <v>0.19500000000000001</v>
      </c>
      <c r="Y603" s="8">
        <v>7.9000000000000001E-2</v>
      </c>
      <c r="Z603" s="8">
        <v>4.3999999999999997E-2</v>
      </c>
      <c r="AA603" s="8">
        <v>1.2E-2</v>
      </c>
      <c r="AB603" s="8">
        <v>2E-3</v>
      </c>
      <c r="AC603" s="8">
        <v>0</v>
      </c>
    </row>
    <row r="604" spans="1:29" ht="11.65" x14ac:dyDescent="0.35">
      <c r="A604" s="12">
        <v>587</v>
      </c>
      <c r="B604" s="10" t="s">
        <v>1015</v>
      </c>
      <c r="C604" s="11" t="s">
        <v>1074</v>
      </c>
      <c r="D604" s="9"/>
      <c r="E604" s="9">
        <v>690</v>
      </c>
      <c r="F604" s="10" t="s">
        <v>1066</v>
      </c>
      <c r="G604" s="9">
        <v>910</v>
      </c>
      <c r="H604" s="9">
        <v>1955</v>
      </c>
      <c r="I604" s="8">
        <v>3.161</v>
      </c>
      <c r="J604" s="8">
        <v>1.9419999999999999</v>
      </c>
      <c r="K604" s="8">
        <v>1.823</v>
      </c>
      <c r="L604" s="8">
        <v>1.585</v>
      </c>
      <c r="M604" s="8">
        <v>1.5009999999999999</v>
      </c>
      <c r="N604" s="8">
        <v>1.3959999999999999</v>
      </c>
      <c r="O604" s="8">
        <v>1.248</v>
      </c>
      <c r="P604" s="8">
        <v>1.0620000000000001</v>
      </c>
      <c r="Q604" s="8">
        <v>1.0860000000000001</v>
      </c>
      <c r="R604" s="8">
        <v>0.93600000000000005</v>
      </c>
      <c r="S604" s="8">
        <v>0.80500000000000005</v>
      </c>
      <c r="T604" s="8">
        <v>0.66700000000000004</v>
      </c>
      <c r="U604" s="8">
        <v>0.55000000000000004</v>
      </c>
      <c r="V604" s="8">
        <v>0.40799999999999997</v>
      </c>
      <c r="W604" s="8">
        <v>0.28399999999999997</v>
      </c>
      <c r="X604" s="8">
        <v>0.183</v>
      </c>
      <c r="Y604" s="8">
        <v>0.106</v>
      </c>
      <c r="Z604" s="8">
        <v>3.1E-2</v>
      </c>
      <c r="AA604" s="8">
        <v>1.0999999999999999E-2</v>
      </c>
      <c r="AB604" s="8">
        <v>2E-3</v>
      </c>
      <c r="AC604" s="8">
        <v>0</v>
      </c>
    </row>
    <row r="605" spans="1:29" ht="11.65" x14ac:dyDescent="0.35">
      <c r="A605" s="12">
        <v>588</v>
      </c>
      <c r="B605" s="10" t="s">
        <v>1015</v>
      </c>
      <c r="C605" s="11" t="s">
        <v>1074</v>
      </c>
      <c r="D605" s="9"/>
      <c r="E605" s="9">
        <v>690</v>
      </c>
      <c r="F605" s="10" t="s">
        <v>1066</v>
      </c>
      <c r="G605" s="9">
        <v>910</v>
      </c>
      <c r="H605" s="9">
        <v>1960</v>
      </c>
      <c r="I605" s="8">
        <v>3.5249999999999999</v>
      </c>
      <c r="J605" s="8">
        <v>2.9449999999999998</v>
      </c>
      <c r="K605" s="8">
        <v>1.768</v>
      </c>
      <c r="L605" s="8">
        <v>1.7470000000000001</v>
      </c>
      <c r="M605" s="8">
        <v>1.4710000000000001</v>
      </c>
      <c r="N605" s="8">
        <v>1.4</v>
      </c>
      <c r="O605" s="8">
        <v>1.2949999999999999</v>
      </c>
      <c r="P605" s="8">
        <v>1.1499999999999999</v>
      </c>
      <c r="Q605" s="8">
        <v>0.93200000000000005</v>
      </c>
      <c r="R605" s="8">
        <v>0.94699999999999995</v>
      </c>
      <c r="S605" s="8">
        <v>0.86599999999999999</v>
      </c>
      <c r="T605" s="8">
        <v>0.71799999999999997</v>
      </c>
      <c r="U605" s="8">
        <v>0.53700000000000003</v>
      </c>
      <c r="V605" s="8">
        <v>0.41699999999999998</v>
      </c>
      <c r="W605" s="8">
        <v>0.29599999999999999</v>
      </c>
      <c r="X605" s="8">
        <v>0.17399999999999999</v>
      </c>
      <c r="Y605" s="8">
        <v>9.7000000000000003E-2</v>
      </c>
      <c r="Z605" s="8">
        <v>4.2000000000000003E-2</v>
      </c>
      <c r="AA605" s="8">
        <v>8.0000000000000002E-3</v>
      </c>
      <c r="AB605" s="8">
        <v>2E-3</v>
      </c>
      <c r="AC605" s="8">
        <v>0</v>
      </c>
    </row>
    <row r="606" spans="1:29" ht="11.65" x14ac:dyDescent="0.35">
      <c r="A606" s="12">
        <v>589</v>
      </c>
      <c r="B606" s="10" t="s">
        <v>1015</v>
      </c>
      <c r="C606" s="11" t="s">
        <v>1074</v>
      </c>
      <c r="D606" s="9"/>
      <c r="E606" s="9">
        <v>690</v>
      </c>
      <c r="F606" s="10" t="s">
        <v>1066</v>
      </c>
      <c r="G606" s="9">
        <v>910</v>
      </c>
      <c r="H606" s="9">
        <v>1965</v>
      </c>
      <c r="I606" s="8">
        <v>3.859</v>
      </c>
      <c r="J606" s="8">
        <v>3.222</v>
      </c>
      <c r="K606" s="8">
        <v>2.976</v>
      </c>
      <c r="L606" s="8">
        <v>1.891</v>
      </c>
      <c r="M606" s="8">
        <v>1.6890000000000001</v>
      </c>
      <c r="N606" s="8">
        <v>1.4059999999999999</v>
      </c>
      <c r="O606" s="8">
        <v>1.3029999999999999</v>
      </c>
      <c r="P606" s="8">
        <v>1.2310000000000001</v>
      </c>
      <c r="Q606" s="8">
        <v>1.1160000000000001</v>
      </c>
      <c r="R606" s="8">
        <v>0.93100000000000005</v>
      </c>
      <c r="S606" s="8">
        <v>0.95399999999999996</v>
      </c>
      <c r="T606" s="8">
        <v>0.78500000000000003</v>
      </c>
      <c r="U606" s="8">
        <v>0.6</v>
      </c>
      <c r="V606" s="8">
        <v>0.46300000000000002</v>
      </c>
      <c r="W606" s="8">
        <v>0.35299999999999998</v>
      </c>
      <c r="X606" s="8">
        <v>0.19500000000000001</v>
      </c>
      <c r="Y606" s="8">
        <v>9.1999999999999998E-2</v>
      </c>
      <c r="Z606" s="8">
        <v>3.9E-2</v>
      </c>
      <c r="AA606" s="8">
        <v>1.2E-2</v>
      </c>
      <c r="AB606" s="8">
        <v>0</v>
      </c>
      <c r="AC606" s="8">
        <v>0</v>
      </c>
    </row>
    <row r="607" spans="1:29" ht="11.65" x14ac:dyDescent="0.35">
      <c r="A607" s="12">
        <v>590</v>
      </c>
      <c r="B607" s="10" t="s">
        <v>1015</v>
      </c>
      <c r="C607" s="11" t="s">
        <v>1074</v>
      </c>
      <c r="D607" s="9"/>
      <c r="E607" s="9">
        <v>690</v>
      </c>
      <c r="F607" s="10" t="s">
        <v>1066</v>
      </c>
      <c r="G607" s="9">
        <v>910</v>
      </c>
      <c r="H607" s="9">
        <v>1970</v>
      </c>
      <c r="I607" s="8">
        <v>4.2309999999999999</v>
      </c>
      <c r="J607" s="8">
        <v>3.9020000000000001</v>
      </c>
      <c r="K607" s="8">
        <v>3.5270000000000001</v>
      </c>
      <c r="L607" s="8">
        <v>2.9279999999999999</v>
      </c>
      <c r="M607" s="8">
        <v>1.5820000000000001</v>
      </c>
      <c r="N607" s="8">
        <v>1.468</v>
      </c>
      <c r="O607" s="8">
        <v>1.2270000000000001</v>
      </c>
      <c r="P607" s="8">
        <v>1.284</v>
      </c>
      <c r="Q607" s="8">
        <v>1.2509999999999999</v>
      </c>
      <c r="R607" s="8">
        <v>1.091</v>
      </c>
      <c r="S607" s="8">
        <v>0.89700000000000002</v>
      </c>
      <c r="T607" s="8">
        <v>0.85899999999999999</v>
      </c>
      <c r="U607" s="8">
        <v>0.68300000000000005</v>
      </c>
      <c r="V607" s="8">
        <v>0.53800000000000003</v>
      </c>
      <c r="W607" s="8">
        <v>0.39100000000000001</v>
      </c>
      <c r="X607" s="8">
        <v>0.216</v>
      </c>
      <c r="Y607" s="8">
        <v>0.1</v>
      </c>
      <c r="Z607" s="8">
        <v>3.7999999999999999E-2</v>
      </c>
      <c r="AA607" s="8">
        <v>1.0999999999999999E-2</v>
      </c>
      <c r="AB607" s="8">
        <v>2E-3</v>
      </c>
      <c r="AC607" s="8">
        <v>0</v>
      </c>
    </row>
    <row r="608" spans="1:29" ht="11.65" x14ac:dyDescent="0.35">
      <c r="A608" s="12">
        <v>591</v>
      </c>
      <c r="B608" s="10" t="s">
        <v>1015</v>
      </c>
      <c r="C608" s="11" t="s">
        <v>1074</v>
      </c>
      <c r="D608" s="9"/>
      <c r="E608" s="9">
        <v>690</v>
      </c>
      <c r="F608" s="10" t="s">
        <v>1066</v>
      </c>
      <c r="G608" s="9">
        <v>910</v>
      </c>
      <c r="H608" s="9">
        <v>1975</v>
      </c>
      <c r="I608" s="8">
        <v>4.34</v>
      </c>
      <c r="J608" s="8">
        <v>4.1550000000000002</v>
      </c>
      <c r="K608" s="8">
        <v>4.0869999999999997</v>
      </c>
      <c r="L608" s="8">
        <v>3.4969999999999999</v>
      </c>
      <c r="M608" s="8">
        <v>2.907</v>
      </c>
      <c r="N608" s="8">
        <v>1.607</v>
      </c>
      <c r="O608" s="8">
        <v>1.4670000000000001</v>
      </c>
      <c r="P608" s="8">
        <v>1.3240000000000001</v>
      </c>
      <c r="Q608" s="8">
        <v>1.3380000000000001</v>
      </c>
      <c r="R608" s="8">
        <v>1.226</v>
      </c>
      <c r="S608" s="8">
        <v>1.0669999999999999</v>
      </c>
      <c r="T608" s="8">
        <v>0.85699999999999998</v>
      </c>
      <c r="U608" s="8">
        <v>0.77600000000000002</v>
      </c>
      <c r="V608" s="8">
        <v>0.623</v>
      </c>
      <c r="W608" s="8">
        <v>0.45500000000000002</v>
      </c>
      <c r="X608" s="8">
        <v>0.25600000000000001</v>
      </c>
      <c r="Y608" s="8">
        <v>0.11700000000000001</v>
      </c>
      <c r="Z608" s="8">
        <v>4.2000000000000003E-2</v>
      </c>
      <c r="AA608" s="8">
        <v>1.2E-2</v>
      </c>
      <c r="AB608" s="8">
        <v>2E-3</v>
      </c>
      <c r="AC608" s="8">
        <v>0</v>
      </c>
    </row>
    <row r="609" spans="1:29" ht="11.65" x14ac:dyDescent="0.35">
      <c r="A609" s="12">
        <v>592</v>
      </c>
      <c r="B609" s="10" t="s">
        <v>1015</v>
      </c>
      <c r="C609" s="11" t="s">
        <v>1074</v>
      </c>
      <c r="D609" s="9"/>
      <c r="E609" s="9">
        <v>690</v>
      </c>
      <c r="F609" s="10" t="s">
        <v>1066</v>
      </c>
      <c r="G609" s="9">
        <v>910</v>
      </c>
      <c r="H609" s="9">
        <v>1980</v>
      </c>
      <c r="I609" s="8">
        <v>4.4470000000000001</v>
      </c>
      <c r="J609" s="8">
        <v>4.3220000000000001</v>
      </c>
      <c r="K609" s="8">
        <v>4.258</v>
      </c>
      <c r="L609" s="8">
        <v>3.992</v>
      </c>
      <c r="M609" s="8">
        <v>3.2519999999999998</v>
      </c>
      <c r="N609" s="8">
        <v>2.6509999999999998</v>
      </c>
      <c r="O609" s="8">
        <v>1.5640000000000001</v>
      </c>
      <c r="P609" s="8">
        <v>1.528</v>
      </c>
      <c r="Q609" s="8">
        <v>1.361</v>
      </c>
      <c r="R609" s="8">
        <v>1.29</v>
      </c>
      <c r="S609" s="8">
        <v>1.163</v>
      </c>
      <c r="T609" s="8">
        <v>1.016</v>
      </c>
      <c r="U609" s="8">
        <v>0.79200000000000004</v>
      </c>
      <c r="V609" s="8">
        <v>0.71799999999999997</v>
      </c>
      <c r="W609" s="8">
        <v>0.52800000000000002</v>
      </c>
      <c r="X609" s="8">
        <v>0.32800000000000001</v>
      </c>
      <c r="Y609" s="8">
        <v>0.16600000000000001</v>
      </c>
      <c r="Z609" s="8">
        <v>4.9000000000000002E-2</v>
      </c>
      <c r="AA609" s="8">
        <v>1.2E-2</v>
      </c>
      <c r="AB609" s="8">
        <v>2E-3</v>
      </c>
      <c r="AC609" s="8">
        <v>0</v>
      </c>
    </row>
    <row r="610" spans="1:29" ht="11.65" x14ac:dyDescent="0.35">
      <c r="A610" s="12">
        <v>593</v>
      </c>
      <c r="B610" s="10" t="s">
        <v>1015</v>
      </c>
      <c r="C610" s="11" t="s">
        <v>1074</v>
      </c>
      <c r="D610" s="9"/>
      <c r="E610" s="9">
        <v>690</v>
      </c>
      <c r="F610" s="10" t="s">
        <v>1066</v>
      </c>
      <c r="G610" s="9">
        <v>910</v>
      </c>
      <c r="H610" s="9">
        <v>1985</v>
      </c>
      <c r="I610" s="8">
        <v>4.3570000000000002</v>
      </c>
      <c r="J610" s="8">
        <v>4.1509999999999998</v>
      </c>
      <c r="K610" s="8">
        <v>4.1150000000000002</v>
      </c>
      <c r="L610" s="8">
        <v>3.8969999999999998</v>
      </c>
      <c r="M610" s="8">
        <v>3.6920000000000002</v>
      </c>
      <c r="N610" s="8">
        <v>3.1869999999999998</v>
      </c>
      <c r="O610" s="8">
        <v>2.5979999999999999</v>
      </c>
      <c r="P610" s="8">
        <v>1.454</v>
      </c>
      <c r="Q610" s="8">
        <v>1.3779999999999999</v>
      </c>
      <c r="R610" s="8">
        <v>1.1779999999999999</v>
      </c>
      <c r="S610" s="8">
        <v>1.177</v>
      </c>
      <c r="T610" s="8">
        <v>1.1120000000000001</v>
      </c>
      <c r="U610" s="8">
        <v>0.93700000000000006</v>
      </c>
      <c r="V610" s="8">
        <v>0.70699999999999996</v>
      </c>
      <c r="W610" s="8">
        <v>0.59099999999999997</v>
      </c>
      <c r="X610" s="8">
        <v>0.378</v>
      </c>
      <c r="Y610" s="8">
        <v>0.217</v>
      </c>
      <c r="Z610" s="8">
        <v>7.4999999999999997E-2</v>
      </c>
      <c r="AA610" s="8">
        <v>1.6E-2</v>
      </c>
      <c r="AB610" s="8">
        <v>2E-3</v>
      </c>
      <c r="AC610" s="8">
        <v>0</v>
      </c>
    </row>
    <row r="611" spans="1:29" ht="11.65" x14ac:dyDescent="0.35">
      <c r="A611" s="12">
        <v>594</v>
      </c>
      <c r="B611" s="10" t="s">
        <v>1015</v>
      </c>
      <c r="C611" s="11" t="s">
        <v>1074</v>
      </c>
      <c r="D611" s="9"/>
      <c r="E611" s="9">
        <v>690</v>
      </c>
      <c r="F611" s="10" t="s">
        <v>1066</v>
      </c>
      <c r="G611" s="9">
        <v>910</v>
      </c>
      <c r="H611" s="9">
        <v>1990</v>
      </c>
      <c r="I611" s="8">
        <v>4.2249999999999996</v>
      </c>
      <c r="J611" s="8">
        <v>4.4130000000000003</v>
      </c>
      <c r="K611" s="8">
        <v>4.3029999999999999</v>
      </c>
      <c r="L611" s="8">
        <v>3.802</v>
      </c>
      <c r="M611" s="8">
        <v>3.2879999999999998</v>
      </c>
      <c r="N611" s="8">
        <v>3.181</v>
      </c>
      <c r="O611" s="8">
        <v>2.798</v>
      </c>
      <c r="P611" s="8">
        <v>2.1800000000000002</v>
      </c>
      <c r="Q611" s="8">
        <v>1.0349999999999999</v>
      </c>
      <c r="R611" s="8">
        <v>1.0629999999999999</v>
      </c>
      <c r="S611" s="8">
        <v>1.0269999999999999</v>
      </c>
      <c r="T611" s="8">
        <v>1.0740000000000001</v>
      </c>
      <c r="U611" s="8">
        <v>0.92700000000000005</v>
      </c>
      <c r="V611" s="8">
        <v>0.73299999999999998</v>
      </c>
      <c r="W611" s="8">
        <v>0.48899999999999999</v>
      </c>
      <c r="X611" s="8">
        <v>0.33100000000000002</v>
      </c>
      <c r="Y611" s="8">
        <v>0.20699999999999999</v>
      </c>
      <c r="Z611" s="8">
        <v>0.10199999999999999</v>
      </c>
      <c r="AA611" s="8">
        <v>2.5000000000000001E-2</v>
      </c>
      <c r="AB611" s="8">
        <v>3.0000000000000001E-3</v>
      </c>
      <c r="AC611" s="8">
        <v>0</v>
      </c>
    </row>
    <row r="612" spans="1:29" ht="11.65" x14ac:dyDescent="0.35">
      <c r="A612" s="12">
        <v>595</v>
      </c>
      <c r="B612" s="10" t="s">
        <v>1015</v>
      </c>
      <c r="C612" s="11" t="s">
        <v>1074</v>
      </c>
      <c r="D612" s="9"/>
      <c r="E612" s="9">
        <v>690</v>
      </c>
      <c r="F612" s="10" t="s">
        <v>1066</v>
      </c>
      <c r="G612" s="9">
        <v>910</v>
      </c>
      <c r="H612" s="9">
        <v>1995</v>
      </c>
      <c r="I612" s="8">
        <v>4.101</v>
      </c>
      <c r="J612" s="8">
        <v>4.0990000000000002</v>
      </c>
      <c r="K612" s="8">
        <v>4.0670000000000002</v>
      </c>
      <c r="L612" s="8">
        <v>3.9420000000000002</v>
      </c>
      <c r="M612" s="8">
        <v>3.6859999999999999</v>
      </c>
      <c r="N612" s="8">
        <v>3.2959999999999998</v>
      </c>
      <c r="O612" s="8">
        <v>3.2509999999999999</v>
      </c>
      <c r="P612" s="8">
        <v>2.9980000000000002</v>
      </c>
      <c r="Q612" s="8">
        <v>2.395</v>
      </c>
      <c r="R612" s="8">
        <v>1.2450000000000001</v>
      </c>
      <c r="S612" s="8">
        <v>1.177</v>
      </c>
      <c r="T612" s="8">
        <v>0.98699999999999999</v>
      </c>
      <c r="U612" s="8">
        <v>0.98299999999999998</v>
      </c>
      <c r="V612" s="8">
        <v>0.83899999999999997</v>
      </c>
      <c r="W612" s="8">
        <v>0.61799999999999999</v>
      </c>
      <c r="X612" s="8">
        <v>0.377</v>
      </c>
      <c r="Y612" s="8">
        <v>0.189</v>
      </c>
      <c r="Z612" s="8">
        <v>9.4E-2</v>
      </c>
      <c r="AA612" s="8">
        <v>3.3000000000000002E-2</v>
      </c>
      <c r="AB612" s="8">
        <v>5.0000000000000001E-3</v>
      </c>
      <c r="AC612" s="8">
        <v>0</v>
      </c>
    </row>
    <row r="613" spans="1:29" ht="11.65" x14ac:dyDescent="0.35">
      <c r="A613" s="12">
        <v>596</v>
      </c>
      <c r="B613" s="10" t="s">
        <v>1015</v>
      </c>
      <c r="C613" s="11" t="s">
        <v>1074</v>
      </c>
      <c r="D613" s="9"/>
      <c r="E613" s="9">
        <v>690</v>
      </c>
      <c r="F613" s="10" t="s">
        <v>1066</v>
      </c>
      <c r="G613" s="9">
        <v>910</v>
      </c>
      <c r="H613" s="9">
        <v>2000</v>
      </c>
      <c r="I613" s="8">
        <v>3.754</v>
      </c>
      <c r="J613" s="8">
        <v>4.0229999999999997</v>
      </c>
      <c r="K613" s="8">
        <v>4.1310000000000002</v>
      </c>
      <c r="L613" s="8">
        <v>4.1120000000000001</v>
      </c>
      <c r="M613" s="8">
        <v>3.778</v>
      </c>
      <c r="N613" s="8">
        <v>3.512</v>
      </c>
      <c r="O613" s="8">
        <v>3.2</v>
      </c>
      <c r="P613" s="8">
        <v>3.1030000000000002</v>
      </c>
      <c r="Q613" s="8">
        <v>2.831</v>
      </c>
      <c r="R613" s="8">
        <v>2.282</v>
      </c>
      <c r="S613" s="8">
        <v>1.171</v>
      </c>
      <c r="T613" s="8">
        <v>1.046</v>
      </c>
      <c r="U613" s="8">
        <v>0.90400000000000003</v>
      </c>
      <c r="V613" s="8">
        <v>0.91500000000000004</v>
      </c>
      <c r="W613" s="8">
        <v>0.71099999999999997</v>
      </c>
      <c r="X613" s="8">
        <v>0.47499999999999998</v>
      </c>
      <c r="Y613" s="8">
        <v>0.30299999999999999</v>
      </c>
      <c r="Z613" s="8">
        <v>7.8E-2</v>
      </c>
      <c r="AA613" s="8">
        <v>2.4E-2</v>
      </c>
      <c r="AB613" s="8">
        <v>5.0000000000000001E-3</v>
      </c>
      <c r="AC613" s="8">
        <v>0</v>
      </c>
    </row>
    <row r="614" spans="1:29" ht="11.65" x14ac:dyDescent="0.35">
      <c r="A614" s="12">
        <v>597</v>
      </c>
      <c r="B614" s="10" t="s">
        <v>1015</v>
      </c>
      <c r="C614" s="11" t="s">
        <v>1074</v>
      </c>
      <c r="D614" s="9"/>
      <c r="E614" s="9">
        <v>690</v>
      </c>
      <c r="F614" s="10" t="s">
        <v>1066</v>
      </c>
      <c r="G614" s="9">
        <v>910</v>
      </c>
      <c r="H614" s="9">
        <v>2005</v>
      </c>
      <c r="I614" s="8">
        <v>4.032</v>
      </c>
      <c r="J614" s="8">
        <v>3.5609999999999999</v>
      </c>
      <c r="K614" s="8">
        <v>3.7509999999999999</v>
      </c>
      <c r="L614" s="8">
        <v>3.87</v>
      </c>
      <c r="M614" s="8">
        <v>4.2220000000000004</v>
      </c>
      <c r="N614" s="8">
        <v>4.1580000000000004</v>
      </c>
      <c r="O614" s="8">
        <v>3.9910000000000001</v>
      </c>
      <c r="P614" s="8">
        <v>3.7360000000000002</v>
      </c>
      <c r="Q614" s="8">
        <v>3.4359999999999999</v>
      </c>
      <c r="R614" s="8">
        <v>2.8839999999999999</v>
      </c>
      <c r="S614" s="8">
        <v>2.2450000000000001</v>
      </c>
      <c r="T614" s="8">
        <v>1.1479999999999999</v>
      </c>
      <c r="U614" s="8">
        <v>0.93200000000000005</v>
      </c>
      <c r="V614" s="8">
        <v>0.71</v>
      </c>
      <c r="W614" s="8">
        <v>0.71099999999999997</v>
      </c>
      <c r="X614" s="8">
        <v>0.51600000000000001</v>
      </c>
      <c r="Y614" s="8">
        <v>0.23699999999999999</v>
      </c>
      <c r="Z614" s="8">
        <v>0.13200000000000001</v>
      </c>
      <c r="AA614" s="8">
        <v>2.3E-2</v>
      </c>
      <c r="AB614" s="8">
        <v>4.0000000000000001E-3</v>
      </c>
      <c r="AC614" s="8">
        <v>0</v>
      </c>
    </row>
    <row r="615" spans="1:29" ht="11.65" x14ac:dyDescent="0.35">
      <c r="A615" s="12">
        <v>598</v>
      </c>
      <c r="B615" s="10" t="s">
        <v>1015</v>
      </c>
      <c r="C615" s="11" t="s">
        <v>1074</v>
      </c>
      <c r="D615" s="9"/>
      <c r="E615" s="9">
        <v>690</v>
      </c>
      <c r="F615" s="10" t="s">
        <v>1066</v>
      </c>
      <c r="G615" s="9">
        <v>910</v>
      </c>
      <c r="H615" s="9">
        <v>2010</v>
      </c>
      <c r="I615" s="8">
        <v>3.85</v>
      </c>
      <c r="J615" s="8">
        <v>3.359</v>
      </c>
      <c r="K615" s="8">
        <v>3.4510000000000001</v>
      </c>
      <c r="L615" s="8">
        <v>3.9660000000000002</v>
      </c>
      <c r="M615" s="8">
        <v>4.1100000000000003</v>
      </c>
      <c r="N615" s="8">
        <v>4.2919999999999998</v>
      </c>
      <c r="O615" s="8">
        <v>4.1980000000000004</v>
      </c>
      <c r="P615" s="8">
        <v>4.1260000000000003</v>
      </c>
      <c r="Q615" s="8">
        <v>3.742</v>
      </c>
      <c r="R615" s="8">
        <v>3.3820000000000001</v>
      </c>
      <c r="S615" s="8">
        <v>2.8159999999999998</v>
      </c>
      <c r="T615" s="8">
        <v>1.8939999999999999</v>
      </c>
      <c r="U615" s="8">
        <v>1.113</v>
      </c>
      <c r="V615" s="8">
        <v>1.1240000000000001</v>
      </c>
      <c r="W615" s="8">
        <v>0.69599999999999995</v>
      </c>
      <c r="X615" s="8">
        <v>0.51700000000000002</v>
      </c>
      <c r="Y615" s="8">
        <v>0.307</v>
      </c>
      <c r="Z615" s="8">
        <v>0.107</v>
      </c>
      <c r="AA615" s="8">
        <v>3.7999999999999999E-2</v>
      </c>
      <c r="AB615" s="8">
        <v>4.0000000000000001E-3</v>
      </c>
      <c r="AC615" s="8">
        <v>0</v>
      </c>
    </row>
    <row r="616" spans="1:29" ht="11.65" x14ac:dyDescent="0.35">
      <c r="A616" s="12">
        <v>599</v>
      </c>
      <c r="B616" s="10" t="s">
        <v>1015</v>
      </c>
      <c r="C616" s="11" t="s">
        <v>1074</v>
      </c>
      <c r="D616" s="9"/>
      <c r="E616" s="9">
        <v>690</v>
      </c>
      <c r="F616" s="10" t="s">
        <v>1066</v>
      </c>
      <c r="G616" s="9">
        <v>910</v>
      </c>
      <c r="H616" s="9">
        <v>2015</v>
      </c>
      <c r="I616" s="8">
        <v>4.12</v>
      </c>
      <c r="J616" s="8">
        <v>3.827</v>
      </c>
      <c r="K616" s="8">
        <v>3.3410000000000002</v>
      </c>
      <c r="L616" s="8">
        <v>3.387</v>
      </c>
      <c r="M616" s="8">
        <v>3.843</v>
      </c>
      <c r="N616" s="8">
        <v>3.9820000000000002</v>
      </c>
      <c r="O616" s="8">
        <v>4.1790000000000003</v>
      </c>
      <c r="P616" s="8">
        <v>4.0970000000000004</v>
      </c>
      <c r="Q616" s="8">
        <v>4.0209999999999999</v>
      </c>
      <c r="R616" s="8">
        <v>3.625</v>
      </c>
      <c r="S616" s="8">
        <v>3.2330000000000001</v>
      </c>
      <c r="T616" s="8">
        <v>2.637</v>
      </c>
      <c r="U616" s="8">
        <v>1.718</v>
      </c>
      <c r="V616" s="8">
        <v>0.96299999999999997</v>
      </c>
      <c r="W616" s="8">
        <v>0.90800000000000003</v>
      </c>
      <c r="X616" s="8">
        <v>0.502</v>
      </c>
      <c r="Y616" s="8">
        <v>0.311</v>
      </c>
      <c r="Z616" s="8">
        <v>0.14199999999999999</v>
      </c>
      <c r="AA616" s="8">
        <v>3.4000000000000002E-2</v>
      </c>
      <c r="AB616" s="8">
        <v>7.0000000000000001E-3</v>
      </c>
      <c r="AC616" s="8">
        <v>0</v>
      </c>
    </row>
    <row r="617" spans="1:29" ht="11.65" x14ac:dyDescent="0.35">
      <c r="A617" s="12">
        <v>600</v>
      </c>
      <c r="B617" s="10" t="s">
        <v>1015</v>
      </c>
      <c r="C617" s="11" t="s">
        <v>1074</v>
      </c>
      <c r="D617" s="9"/>
      <c r="E617" s="9">
        <v>690</v>
      </c>
      <c r="F617" s="10" t="s">
        <v>1066</v>
      </c>
      <c r="G617" s="9">
        <v>910</v>
      </c>
      <c r="H617" s="9">
        <v>2020</v>
      </c>
      <c r="I617" s="8">
        <v>4.0970000000000004</v>
      </c>
      <c r="J617" s="8">
        <v>4.0949999999999998</v>
      </c>
      <c r="K617" s="8">
        <v>3.8090000000000002</v>
      </c>
      <c r="L617" s="8">
        <v>3.278</v>
      </c>
      <c r="M617" s="8">
        <v>3.2690000000000001</v>
      </c>
      <c r="N617" s="8">
        <v>3.7170000000000001</v>
      </c>
      <c r="O617" s="8">
        <v>3.8719999999999999</v>
      </c>
      <c r="P617" s="8">
        <v>4.0789999999999997</v>
      </c>
      <c r="Q617" s="8">
        <v>3.9940000000000002</v>
      </c>
      <c r="R617" s="8">
        <v>3.8969999999999998</v>
      </c>
      <c r="S617" s="8">
        <v>3.4689999999999999</v>
      </c>
      <c r="T617" s="8">
        <v>3.032</v>
      </c>
      <c r="U617" s="8">
        <v>2.3969999999999998</v>
      </c>
      <c r="V617" s="8">
        <v>1.4910000000000001</v>
      </c>
      <c r="W617" s="8">
        <v>0.78</v>
      </c>
      <c r="X617" s="8">
        <v>0.65800000000000003</v>
      </c>
      <c r="Y617" s="8">
        <v>0.30399999999999999</v>
      </c>
      <c r="Z617" s="8">
        <v>0.14699999999999999</v>
      </c>
      <c r="AA617" s="8">
        <v>4.5999999999999999E-2</v>
      </c>
      <c r="AB617" s="8">
        <v>7.0000000000000001E-3</v>
      </c>
      <c r="AC617" s="8">
        <v>1E-3</v>
      </c>
    </row>
    <row r="618" spans="1:29" ht="11.65" x14ac:dyDescent="0.35">
      <c r="A618" s="12">
        <v>601</v>
      </c>
      <c r="B618" s="10" t="s">
        <v>1015</v>
      </c>
      <c r="C618" s="11" t="s">
        <v>1075</v>
      </c>
      <c r="D618" s="9"/>
      <c r="E618" s="9">
        <v>706</v>
      </c>
      <c r="F618" s="10" t="s">
        <v>1066</v>
      </c>
      <c r="G618" s="9">
        <v>910</v>
      </c>
      <c r="H618" s="9">
        <v>1950</v>
      </c>
      <c r="I618" s="8">
        <v>195.36600000000001</v>
      </c>
      <c r="J618" s="8">
        <v>142.446</v>
      </c>
      <c r="K618" s="8">
        <v>127.95399999999999</v>
      </c>
      <c r="L618" s="8">
        <v>110.791</v>
      </c>
      <c r="M618" s="8">
        <v>99.066000000000003</v>
      </c>
      <c r="N618" s="8">
        <v>87.146000000000001</v>
      </c>
      <c r="O618" s="8">
        <v>76.754000000000005</v>
      </c>
      <c r="P618" s="8">
        <v>66.837000000000003</v>
      </c>
      <c r="Q618" s="8">
        <v>56.348999999999997</v>
      </c>
      <c r="R618" s="8">
        <v>47.197000000000003</v>
      </c>
      <c r="S618" s="8">
        <v>38.328000000000003</v>
      </c>
      <c r="T618" s="8">
        <v>29.841999999999999</v>
      </c>
      <c r="U618" s="8">
        <v>20.881</v>
      </c>
      <c r="V618" s="8">
        <v>13.539</v>
      </c>
      <c r="W618" s="8">
        <v>7.3419999999999996</v>
      </c>
      <c r="X618" s="8">
        <v>3.052</v>
      </c>
      <c r="Y618" s="8">
        <v>0.76300000000000001</v>
      </c>
      <c r="Z618" s="8">
        <v>0.16800000000000001</v>
      </c>
      <c r="AA618" s="8">
        <v>0.02</v>
      </c>
      <c r="AB618" s="8">
        <v>0</v>
      </c>
      <c r="AC618" s="8">
        <v>0</v>
      </c>
    </row>
    <row r="619" spans="1:29" ht="11.65" x14ac:dyDescent="0.35">
      <c r="A619" s="12">
        <v>602</v>
      </c>
      <c r="B619" s="10" t="s">
        <v>1015</v>
      </c>
      <c r="C619" s="11" t="s">
        <v>1075</v>
      </c>
      <c r="D619" s="9"/>
      <c r="E619" s="9">
        <v>706</v>
      </c>
      <c r="F619" s="10" t="s">
        <v>1066</v>
      </c>
      <c r="G619" s="9">
        <v>910</v>
      </c>
      <c r="H619" s="9">
        <v>1955</v>
      </c>
      <c r="I619" s="8">
        <v>216.34700000000001</v>
      </c>
      <c r="J619" s="8">
        <v>166.01400000000001</v>
      </c>
      <c r="K619" s="8">
        <v>135.37</v>
      </c>
      <c r="L619" s="8">
        <v>123.264</v>
      </c>
      <c r="M619" s="8">
        <v>105.477</v>
      </c>
      <c r="N619" s="8">
        <v>93.265000000000001</v>
      </c>
      <c r="O619" s="8">
        <v>81.793000000000006</v>
      </c>
      <c r="P619" s="8">
        <v>71.584999999999994</v>
      </c>
      <c r="Q619" s="8">
        <v>61.554000000000002</v>
      </c>
      <c r="R619" s="8">
        <v>51.034999999999997</v>
      </c>
      <c r="S619" s="8">
        <v>41.837000000000003</v>
      </c>
      <c r="T619" s="8">
        <v>32.9</v>
      </c>
      <c r="U619" s="8">
        <v>24.31</v>
      </c>
      <c r="V619" s="8">
        <v>15.659000000000001</v>
      </c>
      <c r="W619" s="8">
        <v>8.8010000000000002</v>
      </c>
      <c r="X619" s="8">
        <v>3.802</v>
      </c>
      <c r="Y619" s="8">
        <v>1.129</v>
      </c>
      <c r="Z619" s="8">
        <v>0.17499999999999999</v>
      </c>
      <c r="AA619" s="8">
        <v>2.1000000000000001E-2</v>
      </c>
      <c r="AB619" s="8">
        <v>0</v>
      </c>
      <c r="AC619" s="8">
        <v>0</v>
      </c>
    </row>
    <row r="620" spans="1:29" ht="11.65" x14ac:dyDescent="0.35">
      <c r="A620" s="12">
        <v>603</v>
      </c>
      <c r="B620" s="10" t="s">
        <v>1015</v>
      </c>
      <c r="C620" s="11" t="s">
        <v>1075</v>
      </c>
      <c r="D620" s="9"/>
      <c r="E620" s="9">
        <v>706</v>
      </c>
      <c r="F620" s="10" t="s">
        <v>1066</v>
      </c>
      <c r="G620" s="9">
        <v>910</v>
      </c>
      <c r="H620" s="9">
        <v>1960</v>
      </c>
      <c r="I620" s="8">
        <v>239.977</v>
      </c>
      <c r="J620" s="8">
        <v>186.40799999999999</v>
      </c>
      <c r="K620" s="8">
        <v>158.35</v>
      </c>
      <c r="L620" s="8">
        <v>130.702</v>
      </c>
      <c r="M620" s="8">
        <v>117.619</v>
      </c>
      <c r="N620" s="8">
        <v>99.56</v>
      </c>
      <c r="O620" s="8">
        <v>87.798000000000002</v>
      </c>
      <c r="P620" s="8">
        <v>76.546000000000006</v>
      </c>
      <c r="Q620" s="8">
        <v>66.233999999999995</v>
      </c>
      <c r="R620" s="8">
        <v>56.081000000000003</v>
      </c>
      <c r="S620" s="8">
        <v>45.573999999999998</v>
      </c>
      <c r="T620" s="8">
        <v>36.222000000000001</v>
      </c>
      <c r="U620" s="8">
        <v>27.123000000000001</v>
      </c>
      <c r="V620" s="8">
        <v>18.518000000000001</v>
      </c>
      <c r="W620" s="8">
        <v>10.426</v>
      </c>
      <c r="X620" s="8">
        <v>4.7220000000000004</v>
      </c>
      <c r="Y620" s="8">
        <v>1.486</v>
      </c>
      <c r="Z620" s="8">
        <v>0.28000000000000003</v>
      </c>
      <c r="AA620" s="8">
        <v>2.4E-2</v>
      </c>
      <c r="AB620" s="8">
        <v>2E-3</v>
      </c>
      <c r="AC620" s="8">
        <v>0</v>
      </c>
    </row>
    <row r="621" spans="1:29" ht="11.65" x14ac:dyDescent="0.35">
      <c r="A621" s="12">
        <v>604</v>
      </c>
      <c r="B621" s="10" t="s">
        <v>1015</v>
      </c>
      <c r="C621" s="11" t="s">
        <v>1075</v>
      </c>
      <c r="D621" s="9"/>
      <c r="E621" s="9">
        <v>706</v>
      </c>
      <c r="F621" s="10" t="s">
        <v>1066</v>
      </c>
      <c r="G621" s="9">
        <v>910</v>
      </c>
      <c r="H621" s="9">
        <v>1965</v>
      </c>
      <c r="I621" s="8">
        <v>268.79399999999998</v>
      </c>
      <c r="J621" s="8">
        <v>209.399</v>
      </c>
      <c r="K621" s="8">
        <v>178.46600000000001</v>
      </c>
      <c r="L621" s="8">
        <v>153.25700000000001</v>
      </c>
      <c r="M621" s="8">
        <v>125.09099999999999</v>
      </c>
      <c r="N621" s="8">
        <v>111.443</v>
      </c>
      <c r="O621" s="8">
        <v>94.093999999999994</v>
      </c>
      <c r="P621" s="8">
        <v>82.525000000000006</v>
      </c>
      <c r="Q621" s="8">
        <v>71.191999999999993</v>
      </c>
      <c r="R621" s="8">
        <v>60.719000000000001</v>
      </c>
      <c r="S621" s="8">
        <v>50.439</v>
      </c>
      <c r="T621" s="8">
        <v>39.813000000000002</v>
      </c>
      <c r="U621" s="8">
        <v>30.187000000000001</v>
      </c>
      <c r="V621" s="8">
        <v>20.981000000000002</v>
      </c>
      <c r="W621" s="8">
        <v>12.6</v>
      </c>
      <c r="X621" s="8">
        <v>5.7839999999999998</v>
      </c>
      <c r="Y621" s="8">
        <v>1.9390000000000001</v>
      </c>
      <c r="Z621" s="8">
        <v>0.39200000000000002</v>
      </c>
      <c r="AA621" s="8">
        <v>4.2000000000000003E-2</v>
      </c>
      <c r="AB621" s="8">
        <v>2E-3</v>
      </c>
      <c r="AC621" s="8">
        <v>0</v>
      </c>
    </row>
    <row r="622" spans="1:29" ht="11.65" x14ac:dyDescent="0.35">
      <c r="A622" s="12">
        <v>605</v>
      </c>
      <c r="B622" s="10" t="s">
        <v>1015</v>
      </c>
      <c r="C622" s="11" t="s">
        <v>1075</v>
      </c>
      <c r="D622" s="9"/>
      <c r="E622" s="9">
        <v>706</v>
      </c>
      <c r="F622" s="10" t="s">
        <v>1066</v>
      </c>
      <c r="G622" s="9">
        <v>910</v>
      </c>
      <c r="H622" s="9">
        <v>1970</v>
      </c>
      <c r="I622" s="8">
        <v>304.46300000000002</v>
      </c>
      <c r="J622" s="8">
        <v>237.45400000000001</v>
      </c>
      <c r="K622" s="8">
        <v>201.19</v>
      </c>
      <c r="L622" s="8">
        <v>173.244</v>
      </c>
      <c r="M622" s="8">
        <v>147.37200000000001</v>
      </c>
      <c r="N622" s="8">
        <v>119.268</v>
      </c>
      <c r="O622" s="8">
        <v>106.004</v>
      </c>
      <c r="P622" s="8">
        <v>89.018000000000001</v>
      </c>
      <c r="Q622" s="8">
        <v>77.284000000000006</v>
      </c>
      <c r="R622" s="8">
        <v>65.742000000000004</v>
      </c>
      <c r="S622" s="8">
        <v>55.048000000000002</v>
      </c>
      <c r="T622" s="8">
        <v>44.457999999999998</v>
      </c>
      <c r="U622" s="8">
        <v>33.575000000000003</v>
      </c>
      <c r="V622" s="8">
        <v>23.7</v>
      </c>
      <c r="W622" s="8">
        <v>14.583</v>
      </c>
      <c r="X622" s="8">
        <v>7.2220000000000004</v>
      </c>
      <c r="Y622" s="8">
        <v>2.4889999999999999</v>
      </c>
      <c r="Z622" s="8">
        <v>0.54900000000000004</v>
      </c>
      <c r="AA622" s="8">
        <v>6.4000000000000001E-2</v>
      </c>
      <c r="AB622" s="8">
        <v>4.0000000000000001E-3</v>
      </c>
      <c r="AC622" s="8">
        <v>0</v>
      </c>
    </row>
    <row r="623" spans="1:29" ht="11.65" x14ac:dyDescent="0.35">
      <c r="A623" s="12">
        <v>606</v>
      </c>
      <c r="B623" s="10" t="s">
        <v>1015</v>
      </c>
      <c r="C623" s="11" t="s">
        <v>1075</v>
      </c>
      <c r="D623" s="9"/>
      <c r="E623" s="9">
        <v>706</v>
      </c>
      <c r="F623" s="10" t="s">
        <v>1066</v>
      </c>
      <c r="G623" s="9">
        <v>910</v>
      </c>
      <c r="H623" s="9">
        <v>1975</v>
      </c>
      <c r="I623" s="8">
        <v>341.56700000000001</v>
      </c>
      <c r="J623" s="8">
        <v>272.22000000000003</v>
      </c>
      <c r="K623" s="8">
        <v>228.73599999999999</v>
      </c>
      <c r="L623" s="8">
        <v>195.39699999999999</v>
      </c>
      <c r="M623" s="8">
        <v>166.9</v>
      </c>
      <c r="N623" s="8">
        <v>140.82499999999999</v>
      </c>
      <c r="O623" s="8">
        <v>113.654</v>
      </c>
      <c r="P623" s="8">
        <v>100.523</v>
      </c>
      <c r="Q623" s="8">
        <v>83.646000000000001</v>
      </c>
      <c r="R623" s="8">
        <v>71.691999999999993</v>
      </c>
      <c r="S623" s="8">
        <v>59.917999999999999</v>
      </c>
      <c r="T623" s="8">
        <v>48.863999999999997</v>
      </c>
      <c r="U623" s="8">
        <v>37.847000000000001</v>
      </c>
      <c r="V623" s="8">
        <v>26.721</v>
      </c>
      <c r="W623" s="8">
        <v>16.87</v>
      </c>
      <c r="X623" s="8">
        <v>8.6270000000000007</v>
      </c>
      <c r="Y623" s="8">
        <v>3.2639999999999998</v>
      </c>
      <c r="Z623" s="8">
        <v>0.77400000000000002</v>
      </c>
      <c r="AA623" s="8">
        <v>0.105</v>
      </c>
      <c r="AB623" s="8">
        <v>6.0000000000000001E-3</v>
      </c>
      <c r="AC623" s="8">
        <v>0</v>
      </c>
    </row>
    <row r="624" spans="1:29" ht="11.65" x14ac:dyDescent="0.35">
      <c r="A624" s="12">
        <v>607</v>
      </c>
      <c r="B624" s="10" t="s">
        <v>1015</v>
      </c>
      <c r="C624" s="11" t="s">
        <v>1075</v>
      </c>
      <c r="D624" s="9"/>
      <c r="E624" s="9">
        <v>706</v>
      </c>
      <c r="F624" s="10" t="s">
        <v>1066</v>
      </c>
      <c r="G624" s="9">
        <v>910</v>
      </c>
      <c r="H624" s="9">
        <v>1980</v>
      </c>
      <c r="I624" s="8">
        <v>545.56399999999996</v>
      </c>
      <c r="J624" s="8">
        <v>448.64</v>
      </c>
      <c r="K624" s="8">
        <v>382.654</v>
      </c>
      <c r="L624" s="8">
        <v>329.697</v>
      </c>
      <c r="M624" s="8">
        <v>289.04399999999998</v>
      </c>
      <c r="N624" s="8">
        <v>249.453</v>
      </c>
      <c r="O624" s="8">
        <v>209.476</v>
      </c>
      <c r="P624" s="8">
        <v>168.15799999999999</v>
      </c>
      <c r="Q624" s="8">
        <v>139.11099999999999</v>
      </c>
      <c r="R624" s="8">
        <v>111.092</v>
      </c>
      <c r="S624" s="8">
        <v>93.331999999999994</v>
      </c>
      <c r="T624" s="8">
        <v>76.753</v>
      </c>
      <c r="U624" s="8">
        <v>60.686</v>
      </c>
      <c r="V624" s="8">
        <v>44.523000000000003</v>
      </c>
      <c r="W624" s="8">
        <v>28.776</v>
      </c>
      <c r="X624" s="8">
        <v>15.488</v>
      </c>
      <c r="Y624" s="8">
        <v>6.3129999999999997</v>
      </c>
      <c r="Z624" s="8">
        <v>1.421</v>
      </c>
      <c r="AA624" s="8">
        <v>0.158</v>
      </c>
      <c r="AB624" s="8">
        <v>1.2E-2</v>
      </c>
      <c r="AC624" s="8">
        <v>0</v>
      </c>
    </row>
    <row r="625" spans="1:29" ht="11.65" x14ac:dyDescent="0.35">
      <c r="A625" s="12">
        <v>608</v>
      </c>
      <c r="B625" s="10" t="s">
        <v>1015</v>
      </c>
      <c r="C625" s="11" t="s">
        <v>1075</v>
      </c>
      <c r="D625" s="9"/>
      <c r="E625" s="9">
        <v>706</v>
      </c>
      <c r="F625" s="10" t="s">
        <v>1066</v>
      </c>
      <c r="G625" s="9">
        <v>910</v>
      </c>
      <c r="H625" s="9">
        <v>1985</v>
      </c>
      <c r="I625" s="8">
        <v>581.89300000000003</v>
      </c>
      <c r="J625" s="8">
        <v>462.99</v>
      </c>
      <c r="K625" s="8">
        <v>406.07900000000001</v>
      </c>
      <c r="L625" s="8">
        <v>348.61599999999999</v>
      </c>
      <c r="M625" s="8">
        <v>298.19</v>
      </c>
      <c r="N625" s="8">
        <v>259.98500000000001</v>
      </c>
      <c r="O625" s="8">
        <v>224.096</v>
      </c>
      <c r="P625" s="8">
        <v>187.44</v>
      </c>
      <c r="Q625" s="8">
        <v>148.291</v>
      </c>
      <c r="R625" s="8">
        <v>118.946</v>
      </c>
      <c r="S625" s="8">
        <v>91.528000000000006</v>
      </c>
      <c r="T625" s="8">
        <v>75.055999999999997</v>
      </c>
      <c r="U625" s="8">
        <v>59.228000000000002</v>
      </c>
      <c r="V625" s="8">
        <v>43.871000000000002</v>
      </c>
      <c r="W625" s="8">
        <v>28.933</v>
      </c>
      <c r="X625" s="8">
        <v>15.65</v>
      </c>
      <c r="Y625" s="8">
        <v>6.5279999999999996</v>
      </c>
      <c r="Z625" s="8">
        <v>1.9870000000000001</v>
      </c>
      <c r="AA625" s="8">
        <v>0.30499999999999999</v>
      </c>
      <c r="AB625" s="8">
        <v>0.02</v>
      </c>
      <c r="AC625" s="8">
        <v>1E-3</v>
      </c>
    </row>
    <row r="626" spans="1:29" ht="11.65" x14ac:dyDescent="0.35">
      <c r="A626" s="12">
        <v>609</v>
      </c>
      <c r="B626" s="10" t="s">
        <v>1015</v>
      </c>
      <c r="C626" s="11" t="s">
        <v>1075</v>
      </c>
      <c r="D626" s="9"/>
      <c r="E626" s="9">
        <v>706</v>
      </c>
      <c r="F626" s="10" t="s">
        <v>1066</v>
      </c>
      <c r="G626" s="9">
        <v>910</v>
      </c>
      <c r="H626" s="9">
        <v>1990</v>
      </c>
      <c r="I626" s="8">
        <v>672.07500000000005</v>
      </c>
      <c r="J626" s="8">
        <v>502.63900000000001</v>
      </c>
      <c r="K626" s="8">
        <v>424.541</v>
      </c>
      <c r="L626" s="8">
        <v>375.375</v>
      </c>
      <c r="M626" s="8">
        <v>319.85000000000002</v>
      </c>
      <c r="N626" s="8">
        <v>271.64699999999999</v>
      </c>
      <c r="O626" s="8">
        <v>235.91399999999999</v>
      </c>
      <c r="P626" s="8">
        <v>200.733</v>
      </c>
      <c r="Q626" s="8">
        <v>165.422</v>
      </c>
      <c r="R626" s="8">
        <v>128.48500000000001</v>
      </c>
      <c r="S626" s="8">
        <v>100.584</v>
      </c>
      <c r="T626" s="8">
        <v>75.063999999999993</v>
      </c>
      <c r="U626" s="8">
        <v>59.267000000000003</v>
      </c>
      <c r="V626" s="8">
        <v>43.823999999999998</v>
      </c>
      <c r="W626" s="8">
        <v>29.273</v>
      </c>
      <c r="X626" s="8">
        <v>16.262</v>
      </c>
      <c r="Y626" s="8">
        <v>6.8310000000000004</v>
      </c>
      <c r="Z626" s="8">
        <v>2.13</v>
      </c>
      <c r="AA626" s="8">
        <v>0.44</v>
      </c>
      <c r="AB626" s="8">
        <v>3.9E-2</v>
      </c>
      <c r="AC626" s="8">
        <v>1E-3</v>
      </c>
    </row>
    <row r="627" spans="1:29" ht="11.65" x14ac:dyDescent="0.35">
      <c r="A627" s="12">
        <v>610</v>
      </c>
      <c r="B627" s="10" t="s">
        <v>1015</v>
      </c>
      <c r="C627" s="11" t="s">
        <v>1075</v>
      </c>
      <c r="D627" s="9"/>
      <c r="E627" s="9">
        <v>706</v>
      </c>
      <c r="F627" s="10" t="s">
        <v>1066</v>
      </c>
      <c r="G627" s="9">
        <v>910</v>
      </c>
      <c r="H627" s="9">
        <v>1995</v>
      </c>
      <c r="I627" s="8">
        <v>723.76400000000001</v>
      </c>
      <c r="J627" s="8">
        <v>546.30799999999999</v>
      </c>
      <c r="K627" s="8">
        <v>433.375</v>
      </c>
      <c r="L627" s="8">
        <v>369.43</v>
      </c>
      <c r="M627" s="8">
        <v>325.80599999999998</v>
      </c>
      <c r="N627" s="8">
        <v>275.63799999999998</v>
      </c>
      <c r="O627" s="8">
        <v>233.566</v>
      </c>
      <c r="P627" s="8">
        <v>202.51</v>
      </c>
      <c r="Q627" s="8">
        <v>171.084</v>
      </c>
      <c r="R627" s="8">
        <v>138.80699999999999</v>
      </c>
      <c r="S627" s="8">
        <v>104.916</v>
      </c>
      <c r="T627" s="8">
        <v>79.692999999999998</v>
      </c>
      <c r="U627" s="8">
        <v>56.576000000000001</v>
      </c>
      <c r="V627" s="8">
        <v>41.969000000000001</v>
      </c>
      <c r="W627" s="8">
        <v>28.045999999999999</v>
      </c>
      <c r="X627" s="8">
        <v>15.795999999999999</v>
      </c>
      <c r="Y627" s="8">
        <v>6.859</v>
      </c>
      <c r="Z627" s="8">
        <v>2.1680000000000001</v>
      </c>
      <c r="AA627" s="8">
        <v>0.46100000000000002</v>
      </c>
      <c r="AB627" s="8">
        <v>5.3999999999999999E-2</v>
      </c>
      <c r="AC627" s="8">
        <v>3.0000000000000001E-3</v>
      </c>
    </row>
    <row r="628" spans="1:29" ht="11.65" x14ac:dyDescent="0.35">
      <c r="A628" s="12">
        <v>611</v>
      </c>
      <c r="B628" s="10" t="s">
        <v>1015</v>
      </c>
      <c r="C628" s="11" t="s">
        <v>1075</v>
      </c>
      <c r="D628" s="9"/>
      <c r="E628" s="9">
        <v>706</v>
      </c>
      <c r="F628" s="10" t="s">
        <v>1066</v>
      </c>
      <c r="G628" s="9">
        <v>910</v>
      </c>
      <c r="H628" s="9">
        <v>2000</v>
      </c>
      <c r="I628" s="8">
        <v>893.78499999999997</v>
      </c>
      <c r="J628" s="8">
        <v>674.35400000000004</v>
      </c>
      <c r="K628" s="8">
        <v>532.86199999999997</v>
      </c>
      <c r="L628" s="8">
        <v>424.44900000000001</v>
      </c>
      <c r="M628" s="8">
        <v>359.24099999999999</v>
      </c>
      <c r="N628" s="8">
        <v>314.67599999999999</v>
      </c>
      <c r="O628" s="8">
        <v>265.17</v>
      </c>
      <c r="P628" s="8">
        <v>223.29599999999999</v>
      </c>
      <c r="Q628" s="8">
        <v>191.98599999999999</v>
      </c>
      <c r="R628" s="8">
        <v>160.881</v>
      </c>
      <c r="S628" s="8">
        <v>128.86099999999999</v>
      </c>
      <c r="T628" s="8">
        <v>95.367999999999995</v>
      </c>
      <c r="U628" s="8">
        <v>69.974999999999994</v>
      </c>
      <c r="V628" s="8">
        <v>46.848999999999997</v>
      </c>
      <c r="W628" s="8">
        <v>31.687999999999999</v>
      </c>
      <c r="X628" s="8">
        <v>18.137</v>
      </c>
      <c r="Y628" s="8">
        <v>8.1769999999999996</v>
      </c>
      <c r="Z628" s="8">
        <v>2.577</v>
      </c>
      <c r="AA628" s="8">
        <v>0.53300000000000003</v>
      </c>
      <c r="AB628" s="8">
        <v>6.7000000000000004E-2</v>
      </c>
      <c r="AC628" s="8">
        <v>5.0000000000000001E-3</v>
      </c>
    </row>
    <row r="629" spans="1:29" ht="11.65" x14ac:dyDescent="0.35">
      <c r="A629" s="12">
        <v>612</v>
      </c>
      <c r="B629" s="10" t="s">
        <v>1015</v>
      </c>
      <c r="C629" s="11" t="s">
        <v>1075</v>
      </c>
      <c r="D629" s="9"/>
      <c r="E629" s="9">
        <v>706</v>
      </c>
      <c r="F629" s="10" t="s">
        <v>1066</v>
      </c>
      <c r="G629" s="9">
        <v>910</v>
      </c>
      <c r="H629" s="9">
        <v>2005</v>
      </c>
      <c r="I629" s="8">
        <v>1013.627</v>
      </c>
      <c r="J629" s="8">
        <v>839.22799999999995</v>
      </c>
      <c r="K629" s="8">
        <v>659.255</v>
      </c>
      <c r="L629" s="8">
        <v>522.65300000000002</v>
      </c>
      <c r="M629" s="8">
        <v>413.51799999999997</v>
      </c>
      <c r="N629" s="8">
        <v>347.77800000000002</v>
      </c>
      <c r="O629" s="8">
        <v>303.41000000000003</v>
      </c>
      <c r="P629" s="8">
        <v>254.02799999999999</v>
      </c>
      <c r="Q629" s="8">
        <v>211.98099999999999</v>
      </c>
      <c r="R629" s="8">
        <v>180.88499999999999</v>
      </c>
      <c r="S629" s="8">
        <v>149.81700000000001</v>
      </c>
      <c r="T629" s="8">
        <v>117.66</v>
      </c>
      <c r="U629" s="8">
        <v>84.221999999999994</v>
      </c>
      <c r="V629" s="8">
        <v>58.384</v>
      </c>
      <c r="W629" s="8">
        <v>35.726999999999997</v>
      </c>
      <c r="X629" s="8">
        <v>20.803000000000001</v>
      </c>
      <c r="Y629" s="8">
        <v>9.5839999999999996</v>
      </c>
      <c r="Z629" s="8">
        <v>3.1619999999999999</v>
      </c>
      <c r="AA629" s="8">
        <v>0.66100000000000003</v>
      </c>
      <c r="AB629" s="8">
        <v>8.2000000000000003E-2</v>
      </c>
      <c r="AC629" s="8">
        <v>6.0000000000000001E-3</v>
      </c>
    </row>
    <row r="630" spans="1:29" ht="11.65" x14ac:dyDescent="0.35">
      <c r="A630" s="12">
        <v>613</v>
      </c>
      <c r="B630" s="10" t="s">
        <v>1015</v>
      </c>
      <c r="C630" s="11" t="s">
        <v>1075</v>
      </c>
      <c r="D630" s="9"/>
      <c r="E630" s="9">
        <v>706</v>
      </c>
      <c r="F630" s="10" t="s">
        <v>1066</v>
      </c>
      <c r="G630" s="9">
        <v>910</v>
      </c>
      <c r="H630" s="9">
        <v>2010</v>
      </c>
      <c r="I630" s="8">
        <v>1141.634</v>
      </c>
      <c r="J630" s="8">
        <v>955.01099999999997</v>
      </c>
      <c r="K630" s="8">
        <v>820.25199999999995</v>
      </c>
      <c r="L630" s="8">
        <v>642.28</v>
      </c>
      <c r="M630" s="8">
        <v>496.16199999999998</v>
      </c>
      <c r="N630" s="8">
        <v>382.07900000000001</v>
      </c>
      <c r="O630" s="8">
        <v>319.904</v>
      </c>
      <c r="P630" s="8">
        <v>278.78699999999998</v>
      </c>
      <c r="Q630" s="8">
        <v>232.02799999999999</v>
      </c>
      <c r="R630" s="8">
        <v>193.51400000000001</v>
      </c>
      <c r="S630" s="8">
        <v>164.53899999999999</v>
      </c>
      <c r="T630" s="8">
        <v>134.50299999999999</v>
      </c>
      <c r="U630" s="8">
        <v>102.614</v>
      </c>
      <c r="V630" s="8">
        <v>69.578999999999994</v>
      </c>
      <c r="W630" s="8">
        <v>44.198999999999998</v>
      </c>
      <c r="X630" s="8">
        <v>23.312000000000001</v>
      </c>
      <c r="Y630" s="8">
        <v>10.952</v>
      </c>
      <c r="Z630" s="8">
        <v>3.7519999999999998</v>
      </c>
      <c r="AA630" s="8">
        <v>0.83099999999999996</v>
      </c>
      <c r="AB630" s="8">
        <v>0.104</v>
      </c>
      <c r="AC630" s="8">
        <v>7.0000000000000001E-3</v>
      </c>
    </row>
    <row r="631" spans="1:29" ht="11.65" x14ac:dyDescent="0.35">
      <c r="A631" s="12">
        <v>614</v>
      </c>
      <c r="B631" s="10" t="s">
        <v>1015</v>
      </c>
      <c r="C631" s="11" t="s">
        <v>1075</v>
      </c>
      <c r="D631" s="9"/>
      <c r="E631" s="9">
        <v>706</v>
      </c>
      <c r="F631" s="10" t="s">
        <v>1066</v>
      </c>
      <c r="G631" s="9">
        <v>910</v>
      </c>
      <c r="H631" s="9">
        <v>2015</v>
      </c>
      <c r="I631" s="8">
        <v>1254.6030000000001</v>
      </c>
      <c r="J631" s="8">
        <v>1086.635</v>
      </c>
      <c r="K631" s="8">
        <v>933.60400000000004</v>
      </c>
      <c r="L631" s="8">
        <v>800.02499999999998</v>
      </c>
      <c r="M631" s="8">
        <v>612.39200000000005</v>
      </c>
      <c r="N631" s="8">
        <v>460.75099999999998</v>
      </c>
      <c r="O631" s="8">
        <v>351.60500000000002</v>
      </c>
      <c r="P631" s="8">
        <v>293.61500000000001</v>
      </c>
      <c r="Q631" s="8">
        <v>255.04300000000001</v>
      </c>
      <c r="R631" s="8">
        <v>211.09100000000001</v>
      </c>
      <c r="S631" s="8">
        <v>174.61099999999999</v>
      </c>
      <c r="T631" s="8">
        <v>147.089</v>
      </c>
      <c r="U631" s="8">
        <v>117.16500000000001</v>
      </c>
      <c r="V631" s="8">
        <v>84.998999999999995</v>
      </c>
      <c r="W631" s="8">
        <v>52.804000000000002</v>
      </c>
      <c r="X631" s="8">
        <v>29.09</v>
      </c>
      <c r="Y631" s="8">
        <v>12.292999999999999</v>
      </c>
      <c r="Z631" s="8">
        <v>4.3019999999999996</v>
      </c>
      <c r="AA631" s="8">
        <v>0.996</v>
      </c>
      <c r="AB631" s="8">
        <v>0.13300000000000001</v>
      </c>
      <c r="AC631" s="8">
        <v>0.01</v>
      </c>
    </row>
    <row r="632" spans="1:29" ht="11.65" x14ac:dyDescent="0.35">
      <c r="A632" s="12">
        <v>615</v>
      </c>
      <c r="B632" s="10" t="s">
        <v>1015</v>
      </c>
      <c r="C632" s="11" t="s">
        <v>1075</v>
      </c>
      <c r="D632" s="9"/>
      <c r="E632" s="9">
        <v>706</v>
      </c>
      <c r="F632" s="10" t="s">
        <v>1066</v>
      </c>
      <c r="G632" s="9">
        <v>910</v>
      </c>
      <c r="H632" s="9">
        <v>2020</v>
      </c>
      <c r="I632" s="8">
        <v>1423.9770000000001</v>
      </c>
      <c r="J632" s="8">
        <v>1202.2950000000001</v>
      </c>
      <c r="K632" s="8">
        <v>1065.7560000000001</v>
      </c>
      <c r="L632" s="8">
        <v>912.64099999999996</v>
      </c>
      <c r="M632" s="8">
        <v>768.30700000000002</v>
      </c>
      <c r="N632" s="8">
        <v>577.03899999999999</v>
      </c>
      <c r="O632" s="8">
        <v>430.40199999999999</v>
      </c>
      <c r="P632" s="8">
        <v>327.15800000000002</v>
      </c>
      <c r="Q632" s="8">
        <v>273.04700000000003</v>
      </c>
      <c r="R632" s="8">
        <v>237.05500000000001</v>
      </c>
      <c r="S632" s="8">
        <v>195.05</v>
      </c>
      <c r="T632" s="8">
        <v>159.13800000000001</v>
      </c>
      <c r="U632" s="8">
        <v>130.37899999999999</v>
      </c>
      <c r="V632" s="8">
        <v>98.72</v>
      </c>
      <c r="W632" s="8">
        <v>65.718999999999994</v>
      </c>
      <c r="X632" s="8">
        <v>35.444000000000003</v>
      </c>
      <c r="Y632" s="8">
        <v>15.718</v>
      </c>
      <c r="Z632" s="8">
        <v>4.9169999999999998</v>
      </c>
      <c r="AA632" s="8">
        <v>1.1499999999999999</v>
      </c>
      <c r="AB632" s="8">
        <v>0.161</v>
      </c>
      <c r="AC632" s="8">
        <v>1.4E-2</v>
      </c>
    </row>
    <row r="633" spans="1:29" ht="11.65" x14ac:dyDescent="0.35">
      <c r="A633" s="12">
        <v>616</v>
      </c>
      <c r="B633" s="10" t="s">
        <v>1015</v>
      </c>
      <c r="C633" s="11" t="s">
        <v>1076</v>
      </c>
      <c r="D633" s="9"/>
      <c r="E633" s="9">
        <v>728</v>
      </c>
      <c r="F633" s="10" t="s">
        <v>1066</v>
      </c>
      <c r="G633" s="9">
        <v>910</v>
      </c>
      <c r="H633" s="9">
        <v>1950</v>
      </c>
      <c r="I633" s="8">
        <v>220.041</v>
      </c>
      <c r="J633" s="8">
        <v>172.26</v>
      </c>
      <c r="K633" s="8">
        <v>145.65100000000001</v>
      </c>
      <c r="L633" s="8">
        <v>127.462</v>
      </c>
      <c r="M633" s="8">
        <v>111.386</v>
      </c>
      <c r="N633" s="8">
        <v>95.402000000000001</v>
      </c>
      <c r="O633" s="8">
        <v>80.201999999999998</v>
      </c>
      <c r="P633" s="8">
        <v>67.611000000000004</v>
      </c>
      <c r="Q633" s="8">
        <v>56.588999999999999</v>
      </c>
      <c r="R633" s="8">
        <v>46.439</v>
      </c>
      <c r="S633" s="8">
        <v>37.997999999999998</v>
      </c>
      <c r="T633" s="8">
        <v>33.231000000000002</v>
      </c>
      <c r="U633" s="8">
        <v>26.698</v>
      </c>
      <c r="V633" s="8">
        <v>20.106999999999999</v>
      </c>
      <c r="W633" s="8">
        <v>13.741</v>
      </c>
      <c r="X633" s="8">
        <v>7.5449999999999999</v>
      </c>
      <c r="Y633" s="8">
        <v>2.677</v>
      </c>
      <c r="Z633" s="8">
        <v>0.89100000000000001</v>
      </c>
      <c r="AA633" s="8">
        <v>0.193</v>
      </c>
      <c r="AB633" s="8">
        <v>2.5000000000000001E-2</v>
      </c>
      <c r="AC633" s="8">
        <v>2E-3</v>
      </c>
    </row>
    <row r="634" spans="1:29" ht="11.65" x14ac:dyDescent="0.35">
      <c r="A634" s="12">
        <v>617</v>
      </c>
      <c r="B634" s="10" t="s">
        <v>1015</v>
      </c>
      <c r="C634" s="11" t="s">
        <v>1076</v>
      </c>
      <c r="D634" s="9"/>
      <c r="E634" s="9">
        <v>728</v>
      </c>
      <c r="F634" s="10" t="s">
        <v>1066</v>
      </c>
      <c r="G634" s="9">
        <v>910</v>
      </c>
      <c r="H634" s="9">
        <v>1955</v>
      </c>
      <c r="I634" s="8">
        <v>209.57</v>
      </c>
      <c r="J634" s="8">
        <v>181.28399999999999</v>
      </c>
      <c r="K634" s="8">
        <v>160.346</v>
      </c>
      <c r="L634" s="8">
        <v>138.852</v>
      </c>
      <c r="M634" s="8">
        <v>120.02</v>
      </c>
      <c r="N634" s="8">
        <v>103.437</v>
      </c>
      <c r="O634" s="8">
        <v>88.26</v>
      </c>
      <c r="P634" s="8">
        <v>73.597999999999999</v>
      </c>
      <c r="Q634" s="8">
        <v>61.084000000000003</v>
      </c>
      <c r="R634" s="8">
        <v>50.073999999999998</v>
      </c>
      <c r="S634" s="8">
        <v>40.076999999999998</v>
      </c>
      <c r="T634" s="8">
        <v>31.553999999999998</v>
      </c>
      <c r="U634" s="8">
        <v>25.928000000000001</v>
      </c>
      <c r="V634" s="8">
        <v>18.899999999999999</v>
      </c>
      <c r="W634" s="8">
        <v>11.974</v>
      </c>
      <c r="X634" s="8">
        <v>6.1749999999999998</v>
      </c>
      <c r="Y634" s="8">
        <v>2.2589999999999999</v>
      </c>
      <c r="Z634" s="8">
        <v>0.45600000000000002</v>
      </c>
      <c r="AA634" s="8">
        <v>7.8E-2</v>
      </c>
      <c r="AB634" s="8">
        <v>0.01</v>
      </c>
      <c r="AC634" s="8">
        <v>1E-3</v>
      </c>
    </row>
    <row r="635" spans="1:29" ht="11.65" x14ac:dyDescent="0.35">
      <c r="A635" s="12">
        <v>618</v>
      </c>
      <c r="B635" s="10" t="s">
        <v>1015</v>
      </c>
      <c r="C635" s="11" t="s">
        <v>1076</v>
      </c>
      <c r="D635" s="9"/>
      <c r="E635" s="9">
        <v>728</v>
      </c>
      <c r="F635" s="10" t="s">
        <v>1066</v>
      </c>
      <c r="G635" s="9">
        <v>910</v>
      </c>
      <c r="H635" s="9">
        <v>1960</v>
      </c>
      <c r="I635" s="8">
        <v>242.929</v>
      </c>
      <c r="J635" s="8">
        <v>176.46799999999999</v>
      </c>
      <c r="K635" s="8">
        <v>169.96600000000001</v>
      </c>
      <c r="L635" s="8">
        <v>153.535</v>
      </c>
      <c r="M635" s="8">
        <v>131.42500000000001</v>
      </c>
      <c r="N635" s="8">
        <v>112.175</v>
      </c>
      <c r="O635" s="8">
        <v>96.346999999999994</v>
      </c>
      <c r="P635" s="8">
        <v>81.606999999999999</v>
      </c>
      <c r="Q635" s="8">
        <v>67.096999999999994</v>
      </c>
      <c r="R635" s="8">
        <v>54.645000000000003</v>
      </c>
      <c r="S635" s="8">
        <v>43.768000000000001</v>
      </c>
      <c r="T635" s="8">
        <v>33.802</v>
      </c>
      <c r="U635" s="8">
        <v>25.13</v>
      </c>
      <c r="V635" s="8">
        <v>18.866</v>
      </c>
      <c r="W635" s="8">
        <v>11.739000000000001</v>
      </c>
      <c r="X635" s="8">
        <v>5.7629999999999999</v>
      </c>
      <c r="Y635" s="8">
        <v>2.0529999999999999</v>
      </c>
      <c r="Z635" s="8">
        <v>0.44400000000000001</v>
      </c>
      <c r="AA635" s="8">
        <v>4.7E-2</v>
      </c>
      <c r="AB635" s="8">
        <v>5.0000000000000001E-3</v>
      </c>
      <c r="AC635" s="8">
        <v>0</v>
      </c>
    </row>
    <row r="636" spans="1:29" ht="11.65" x14ac:dyDescent="0.35">
      <c r="A636" s="12">
        <v>619</v>
      </c>
      <c r="B636" s="10" t="s">
        <v>1015</v>
      </c>
      <c r="C636" s="11" t="s">
        <v>1076</v>
      </c>
      <c r="D636" s="9"/>
      <c r="E636" s="9">
        <v>728</v>
      </c>
      <c r="F636" s="10" t="s">
        <v>1066</v>
      </c>
      <c r="G636" s="9">
        <v>910</v>
      </c>
      <c r="H636" s="9">
        <v>1965</v>
      </c>
      <c r="I636" s="8">
        <v>278.11200000000002</v>
      </c>
      <c r="J636" s="8">
        <v>207.78700000000001</v>
      </c>
      <c r="K636" s="8">
        <v>166.328</v>
      </c>
      <c r="L636" s="8">
        <v>163.27600000000001</v>
      </c>
      <c r="M636" s="8">
        <v>145.87700000000001</v>
      </c>
      <c r="N636" s="8">
        <v>123.42</v>
      </c>
      <c r="O636" s="8">
        <v>105.011</v>
      </c>
      <c r="P636" s="8">
        <v>89.584999999999994</v>
      </c>
      <c r="Q636" s="8">
        <v>74.899000000000001</v>
      </c>
      <c r="R636" s="8">
        <v>60.511000000000003</v>
      </c>
      <c r="S636" s="8">
        <v>48.21</v>
      </c>
      <c r="T636" s="8">
        <v>37.341000000000001</v>
      </c>
      <c r="U636" s="8">
        <v>27.323</v>
      </c>
      <c r="V636" s="8">
        <v>18.651</v>
      </c>
      <c r="W636" s="8">
        <v>12.074</v>
      </c>
      <c r="X636" s="8">
        <v>5.9260000000000002</v>
      </c>
      <c r="Y636" s="8">
        <v>2.0579999999999998</v>
      </c>
      <c r="Z636" s="8">
        <v>0.44700000000000001</v>
      </c>
      <c r="AA636" s="8">
        <v>5.1999999999999998E-2</v>
      </c>
      <c r="AB636" s="8">
        <v>3.0000000000000001E-3</v>
      </c>
      <c r="AC636" s="8">
        <v>0</v>
      </c>
    </row>
    <row r="637" spans="1:29" ht="11.65" x14ac:dyDescent="0.35">
      <c r="A637" s="12">
        <v>620</v>
      </c>
      <c r="B637" s="10" t="s">
        <v>1015</v>
      </c>
      <c r="C637" s="11" t="s">
        <v>1076</v>
      </c>
      <c r="D637" s="9"/>
      <c r="E637" s="9">
        <v>728</v>
      </c>
      <c r="F637" s="10" t="s">
        <v>1066</v>
      </c>
      <c r="G637" s="9">
        <v>910</v>
      </c>
      <c r="H637" s="9">
        <v>1970</v>
      </c>
      <c r="I637" s="8">
        <v>317.50799999999998</v>
      </c>
      <c r="J637" s="8">
        <v>241.31800000000001</v>
      </c>
      <c r="K637" s="8">
        <v>196.816</v>
      </c>
      <c r="L637" s="8">
        <v>160.268</v>
      </c>
      <c r="M637" s="8">
        <v>155.691</v>
      </c>
      <c r="N637" s="8">
        <v>137.6</v>
      </c>
      <c r="O637" s="8">
        <v>116.078</v>
      </c>
      <c r="P637" s="8">
        <v>98.150999999999996</v>
      </c>
      <c r="Q637" s="8">
        <v>82.734999999999999</v>
      </c>
      <c r="R637" s="8">
        <v>68.055000000000007</v>
      </c>
      <c r="S637" s="8">
        <v>53.853000000000002</v>
      </c>
      <c r="T637" s="8">
        <v>41.569000000000003</v>
      </c>
      <c r="U637" s="8">
        <v>30.6</v>
      </c>
      <c r="V637" s="8">
        <v>20.655000000000001</v>
      </c>
      <c r="W637" s="8">
        <v>12.269</v>
      </c>
      <c r="X637" s="8">
        <v>6.3620000000000001</v>
      </c>
      <c r="Y637" s="8">
        <v>2.254</v>
      </c>
      <c r="Z637" s="8">
        <v>0.49099999999999999</v>
      </c>
      <c r="AA637" s="8">
        <v>0.06</v>
      </c>
      <c r="AB637" s="8">
        <v>4.0000000000000001E-3</v>
      </c>
      <c r="AC637" s="8">
        <v>0</v>
      </c>
    </row>
    <row r="638" spans="1:29" ht="11.65" x14ac:dyDescent="0.35">
      <c r="A638" s="12">
        <v>621</v>
      </c>
      <c r="B638" s="10" t="s">
        <v>1015</v>
      </c>
      <c r="C638" s="11" t="s">
        <v>1076</v>
      </c>
      <c r="D638" s="9"/>
      <c r="E638" s="9">
        <v>728</v>
      </c>
      <c r="F638" s="10" t="s">
        <v>1066</v>
      </c>
      <c r="G638" s="9">
        <v>910</v>
      </c>
      <c r="H638" s="9">
        <v>1975</v>
      </c>
      <c r="I638" s="8">
        <v>357.38099999999997</v>
      </c>
      <c r="J638" s="8">
        <v>280.35500000000002</v>
      </c>
      <c r="K638" s="8">
        <v>231.07599999999999</v>
      </c>
      <c r="L638" s="8">
        <v>191.4</v>
      </c>
      <c r="M638" s="8">
        <v>154.35</v>
      </c>
      <c r="N638" s="8">
        <v>148.357</v>
      </c>
      <c r="O638" s="8">
        <v>130.774</v>
      </c>
      <c r="P638" s="8">
        <v>109.69</v>
      </c>
      <c r="Q638" s="8">
        <v>91.718000000000004</v>
      </c>
      <c r="R638" s="8">
        <v>76.137</v>
      </c>
      <c r="S638" s="8">
        <v>61.401000000000003</v>
      </c>
      <c r="T638" s="8">
        <v>47.146000000000001</v>
      </c>
      <c r="U638" s="8">
        <v>34.677</v>
      </c>
      <c r="V638" s="8">
        <v>23.632000000000001</v>
      </c>
      <c r="W638" s="8">
        <v>13.98</v>
      </c>
      <c r="X638" s="8">
        <v>6.7320000000000002</v>
      </c>
      <c r="Y638" s="8">
        <v>2.56</v>
      </c>
      <c r="Z638" s="8">
        <v>0.57799999999999996</v>
      </c>
      <c r="AA638" s="8">
        <v>7.0000000000000007E-2</v>
      </c>
      <c r="AB638" s="8">
        <v>5.0000000000000001E-3</v>
      </c>
      <c r="AC638" s="8">
        <v>0</v>
      </c>
    </row>
    <row r="639" spans="1:29" ht="11.65" x14ac:dyDescent="0.35">
      <c r="A639" s="12">
        <v>622</v>
      </c>
      <c r="B639" s="10" t="s">
        <v>1015</v>
      </c>
      <c r="C639" s="11" t="s">
        <v>1076</v>
      </c>
      <c r="D639" s="9"/>
      <c r="E639" s="9">
        <v>728</v>
      </c>
      <c r="F639" s="10" t="s">
        <v>1066</v>
      </c>
      <c r="G639" s="9">
        <v>910</v>
      </c>
      <c r="H639" s="9">
        <v>1980</v>
      </c>
      <c r="I639" s="8">
        <v>406.93200000000002</v>
      </c>
      <c r="J639" s="8">
        <v>321.49200000000002</v>
      </c>
      <c r="K639" s="8">
        <v>271.52699999999999</v>
      </c>
      <c r="L639" s="8">
        <v>226.97499999999999</v>
      </c>
      <c r="M639" s="8">
        <v>186.20500000000001</v>
      </c>
      <c r="N639" s="8">
        <v>148.84800000000001</v>
      </c>
      <c r="O639" s="8">
        <v>142.56299999999999</v>
      </c>
      <c r="P639" s="8">
        <v>125.01600000000001</v>
      </c>
      <c r="Q639" s="8">
        <v>103.797</v>
      </c>
      <c r="R639" s="8">
        <v>85.558000000000007</v>
      </c>
      <c r="S639" s="8">
        <v>69.703999999999994</v>
      </c>
      <c r="T639" s="8">
        <v>54.637</v>
      </c>
      <c r="U639" s="8">
        <v>40.08</v>
      </c>
      <c r="V639" s="8">
        <v>27.391999999999999</v>
      </c>
      <c r="W639" s="8">
        <v>16.475999999999999</v>
      </c>
      <c r="X639" s="8">
        <v>7.9930000000000003</v>
      </c>
      <c r="Y639" s="8">
        <v>2.8690000000000002</v>
      </c>
      <c r="Z639" s="8">
        <v>0.71</v>
      </c>
      <c r="AA639" s="8">
        <v>9.0999999999999998E-2</v>
      </c>
      <c r="AB639" s="8">
        <v>6.0000000000000001E-3</v>
      </c>
      <c r="AC639" s="8">
        <v>0</v>
      </c>
    </row>
    <row r="640" spans="1:29" ht="11.65" x14ac:dyDescent="0.35">
      <c r="A640" s="12">
        <v>623</v>
      </c>
      <c r="B640" s="10" t="s">
        <v>1015</v>
      </c>
      <c r="C640" s="11" t="s">
        <v>1076</v>
      </c>
      <c r="D640" s="9"/>
      <c r="E640" s="9">
        <v>728</v>
      </c>
      <c r="F640" s="10" t="s">
        <v>1066</v>
      </c>
      <c r="G640" s="9">
        <v>910</v>
      </c>
      <c r="H640" s="9">
        <v>1985</v>
      </c>
      <c r="I640" s="8">
        <v>464.37700000000001</v>
      </c>
      <c r="J640" s="8">
        <v>373.82799999999997</v>
      </c>
      <c r="K640" s="8">
        <v>317.10199999999998</v>
      </c>
      <c r="L640" s="8">
        <v>271.41300000000001</v>
      </c>
      <c r="M640" s="8">
        <v>224.77799999999999</v>
      </c>
      <c r="N640" s="8">
        <v>182.709</v>
      </c>
      <c r="O640" s="8">
        <v>145.90600000000001</v>
      </c>
      <c r="P640" s="8">
        <v>138.72399999999999</v>
      </c>
      <c r="Q640" s="8">
        <v>120.468</v>
      </c>
      <c r="R640" s="8">
        <v>98.683999999999997</v>
      </c>
      <c r="S640" s="8">
        <v>79.852999999999994</v>
      </c>
      <c r="T640" s="8">
        <v>63.246000000000002</v>
      </c>
      <c r="U640" s="8">
        <v>47.396000000000001</v>
      </c>
      <c r="V640" s="8">
        <v>32.35</v>
      </c>
      <c r="W640" s="8">
        <v>19.556999999999999</v>
      </c>
      <c r="X640" s="8">
        <v>9.6780000000000008</v>
      </c>
      <c r="Y640" s="8">
        <v>3.5150000000000001</v>
      </c>
      <c r="Z640" s="8">
        <v>0.82599999999999996</v>
      </c>
      <c r="AA640" s="8">
        <v>0.11700000000000001</v>
      </c>
      <c r="AB640" s="8">
        <v>8.0000000000000002E-3</v>
      </c>
      <c r="AC640" s="8">
        <v>0</v>
      </c>
    </row>
    <row r="641" spans="1:29" ht="11.65" x14ac:dyDescent="0.35">
      <c r="A641" s="12">
        <v>624</v>
      </c>
      <c r="B641" s="10" t="s">
        <v>1015</v>
      </c>
      <c r="C641" s="11" t="s">
        <v>1076</v>
      </c>
      <c r="D641" s="9"/>
      <c r="E641" s="9">
        <v>728</v>
      </c>
      <c r="F641" s="10" t="s">
        <v>1066</v>
      </c>
      <c r="G641" s="9">
        <v>910</v>
      </c>
      <c r="H641" s="9">
        <v>1990</v>
      </c>
      <c r="I641" s="8">
        <v>501.745</v>
      </c>
      <c r="J641" s="8">
        <v>386.96100000000001</v>
      </c>
      <c r="K641" s="8">
        <v>332.209</v>
      </c>
      <c r="L641" s="8">
        <v>285.10399999999998</v>
      </c>
      <c r="M641" s="8">
        <v>241.928</v>
      </c>
      <c r="N641" s="8">
        <v>198.59700000000001</v>
      </c>
      <c r="O641" s="8">
        <v>161.071</v>
      </c>
      <c r="P641" s="8">
        <v>127.55</v>
      </c>
      <c r="Q641" s="8">
        <v>120.824</v>
      </c>
      <c r="R641" s="8">
        <v>103.499</v>
      </c>
      <c r="S641" s="8">
        <v>83.221000000000004</v>
      </c>
      <c r="T641" s="8">
        <v>65.582999999999998</v>
      </c>
      <c r="U641" s="8">
        <v>49.814999999999998</v>
      </c>
      <c r="V641" s="8">
        <v>34.860999999999997</v>
      </c>
      <c r="W641" s="8">
        <v>21.190999999999999</v>
      </c>
      <c r="X641" s="8">
        <v>10.666</v>
      </c>
      <c r="Y641" s="8">
        <v>4.0129999999999999</v>
      </c>
      <c r="Z641" s="8">
        <v>0.97099999999999997</v>
      </c>
      <c r="AA641" s="8">
        <v>0.13200000000000001</v>
      </c>
      <c r="AB641" s="8">
        <v>8.9999999999999993E-3</v>
      </c>
      <c r="AC641" s="8">
        <v>0</v>
      </c>
    </row>
    <row r="642" spans="1:29" ht="11.65" x14ac:dyDescent="0.35">
      <c r="A642" s="12">
        <v>625</v>
      </c>
      <c r="B642" s="10" t="s">
        <v>1015</v>
      </c>
      <c r="C642" s="11" t="s">
        <v>1076</v>
      </c>
      <c r="D642" s="9"/>
      <c r="E642" s="9">
        <v>728</v>
      </c>
      <c r="F642" s="10" t="s">
        <v>1066</v>
      </c>
      <c r="G642" s="9">
        <v>910</v>
      </c>
      <c r="H642" s="9">
        <v>1995</v>
      </c>
      <c r="I642" s="8">
        <v>467.76900000000001</v>
      </c>
      <c r="J642" s="8">
        <v>374.62799999999999</v>
      </c>
      <c r="K642" s="8">
        <v>302.94</v>
      </c>
      <c r="L642" s="8">
        <v>263.66899999999998</v>
      </c>
      <c r="M642" s="8">
        <v>224.304</v>
      </c>
      <c r="N642" s="8">
        <v>189.08799999999999</v>
      </c>
      <c r="O642" s="8">
        <v>154.66200000000001</v>
      </c>
      <c r="P642" s="8">
        <v>124.907</v>
      </c>
      <c r="Q642" s="8">
        <v>97.021000000000001</v>
      </c>
      <c r="R642" s="8">
        <v>92.430999999999997</v>
      </c>
      <c r="S642" s="8">
        <v>77.727999999999994</v>
      </c>
      <c r="T642" s="8">
        <v>60.856000000000002</v>
      </c>
      <c r="U642" s="8">
        <v>46.17</v>
      </c>
      <c r="V642" s="8">
        <v>32.944000000000003</v>
      </c>
      <c r="W642" s="8">
        <v>20.756</v>
      </c>
      <c r="X642" s="8">
        <v>10.65</v>
      </c>
      <c r="Y642" s="8">
        <v>4.157</v>
      </c>
      <c r="Z642" s="8">
        <v>1.069</v>
      </c>
      <c r="AA642" s="8">
        <v>0.155</v>
      </c>
      <c r="AB642" s="8">
        <v>1.2E-2</v>
      </c>
      <c r="AC642" s="8">
        <v>0</v>
      </c>
    </row>
    <row r="643" spans="1:29" ht="11.65" x14ac:dyDescent="0.35">
      <c r="A643" s="12">
        <v>626</v>
      </c>
      <c r="B643" s="10" t="s">
        <v>1015</v>
      </c>
      <c r="C643" s="11" t="s">
        <v>1076</v>
      </c>
      <c r="D643" s="9"/>
      <c r="E643" s="9">
        <v>728</v>
      </c>
      <c r="F643" s="10" t="s">
        <v>1066</v>
      </c>
      <c r="G643" s="9">
        <v>910</v>
      </c>
      <c r="H643" s="9">
        <v>2000</v>
      </c>
      <c r="I643" s="8">
        <v>558.00300000000004</v>
      </c>
      <c r="J643" s="8">
        <v>459.08199999999999</v>
      </c>
      <c r="K643" s="8">
        <v>383.71100000000001</v>
      </c>
      <c r="L643" s="8">
        <v>312.97500000000002</v>
      </c>
      <c r="M643" s="8">
        <v>269.93200000000002</v>
      </c>
      <c r="N643" s="8">
        <v>227.90199999999999</v>
      </c>
      <c r="O643" s="8">
        <v>191.39699999999999</v>
      </c>
      <c r="P643" s="8">
        <v>155.77199999999999</v>
      </c>
      <c r="Q643" s="8">
        <v>124.803</v>
      </c>
      <c r="R643" s="8">
        <v>96.301000000000002</v>
      </c>
      <c r="S643" s="8">
        <v>90.042000000000002</v>
      </c>
      <c r="T643" s="8">
        <v>74.222999999999999</v>
      </c>
      <c r="U643" s="8">
        <v>56.186999999999998</v>
      </c>
      <c r="V643" s="8">
        <v>40.17</v>
      </c>
      <c r="W643" s="8">
        <v>25.969000000000001</v>
      </c>
      <c r="X643" s="8">
        <v>13.973000000000001</v>
      </c>
      <c r="Y643" s="8">
        <v>5.6319999999999997</v>
      </c>
      <c r="Z643" s="8">
        <v>1.528</v>
      </c>
      <c r="AA643" s="8">
        <v>0.23799999999999999</v>
      </c>
      <c r="AB643" s="8">
        <v>1.7999999999999999E-2</v>
      </c>
      <c r="AC643" s="8">
        <v>1E-3</v>
      </c>
    </row>
    <row r="644" spans="1:29" ht="11.65" x14ac:dyDescent="0.35">
      <c r="A644" s="12">
        <v>627</v>
      </c>
      <c r="B644" s="10" t="s">
        <v>1015</v>
      </c>
      <c r="C644" s="11" t="s">
        <v>1076</v>
      </c>
      <c r="D644" s="9"/>
      <c r="E644" s="9">
        <v>728</v>
      </c>
      <c r="F644" s="10" t="s">
        <v>1066</v>
      </c>
      <c r="G644" s="9">
        <v>910</v>
      </c>
      <c r="H644" s="9">
        <v>2005</v>
      </c>
      <c r="I644" s="8">
        <v>648.18299999999999</v>
      </c>
      <c r="J644" s="8">
        <v>559.58600000000001</v>
      </c>
      <c r="K644" s="8">
        <v>477.053</v>
      </c>
      <c r="L644" s="8">
        <v>400.99599999999998</v>
      </c>
      <c r="M644" s="8">
        <v>325.005</v>
      </c>
      <c r="N644" s="8">
        <v>277.57400000000001</v>
      </c>
      <c r="O644" s="8">
        <v>233.07400000000001</v>
      </c>
      <c r="P644" s="8">
        <v>194.22399999999999</v>
      </c>
      <c r="Q644" s="8">
        <v>156.85400000000001</v>
      </c>
      <c r="R644" s="8">
        <v>124.6</v>
      </c>
      <c r="S644" s="8">
        <v>95.254000000000005</v>
      </c>
      <c r="T644" s="8">
        <v>87.052000000000007</v>
      </c>
      <c r="U644" s="8">
        <v>69.616</v>
      </c>
      <c r="V644" s="8">
        <v>49.878</v>
      </c>
      <c r="W644" s="8">
        <v>32.496000000000002</v>
      </c>
      <c r="X644" s="8">
        <v>18.094000000000001</v>
      </c>
      <c r="Y644" s="8">
        <v>7.726</v>
      </c>
      <c r="Z644" s="8">
        <v>2.1930000000000001</v>
      </c>
      <c r="AA644" s="8">
        <v>0.36499999999999999</v>
      </c>
      <c r="AB644" s="8">
        <v>3.3000000000000002E-2</v>
      </c>
      <c r="AC644" s="8">
        <v>1E-3</v>
      </c>
    </row>
    <row r="645" spans="1:29" ht="11.65" x14ac:dyDescent="0.35">
      <c r="A645" s="12">
        <v>628</v>
      </c>
      <c r="B645" s="10" t="s">
        <v>1015</v>
      </c>
      <c r="C645" s="11" t="s">
        <v>1076</v>
      </c>
      <c r="D645" s="9"/>
      <c r="E645" s="9">
        <v>728</v>
      </c>
      <c r="F645" s="10" t="s">
        <v>1066</v>
      </c>
      <c r="G645" s="9">
        <v>910</v>
      </c>
      <c r="H645" s="9">
        <v>2010</v>
      </c>
      <c r="I645" s="8">
        <v>801.73299999999995</v>
      </c>
      <c r="J645" s="8">
        <v>685.20699999999999</v>
      </c>
      <c r="K645" s="8">
        <v>605.01199999999994</v>
      </c>
      <c r="L645" s="8">
        <v>518.36699999999996</v>
      </c>
      <c r="M645" s="8">
        <v>432.685</v>
      </c>
      <c r="N645" s="8">
        <v>348.51400000000001</v>
      </c>
      <c r="O645" s="8">
        <v>294.92200000000003</v>
      </c>
      <c r="P645" s="8">
        <v>245.32900000000001</v>
      </c>
      <c r="Q645" s="8">
        <v>202.58199999999999</v>
      </c>
      <c r="R645" s="8">
        <v>162.52000000000001</v>
      </c>
      <c r="S645" s="8">
        <v>127.678</v>
      </c>
      <c r="T645" s="8">
        <v>96.644999999999996</v>
      </c>
      <c r="U645" s="8">
        <v>85.210999999999999</v>
      </c>
      <c r="V645" s="8">
        <v>64.733999999999995</v>
      </c>
      <c r="W645" s="8">
        <v>42.554000000000002</v>
      </c>
      <c r="X645" s="8">
        <v>24.074000000000002</v>
      </c>
      <c r="Y645" s="8">
        <v>10.728999999999999</v>
      </c>
      <c r="Z645" s="8">
        <v>3.3140000000000001</v>
      </c>
      <c r="AA645" s="8">
        <v>0.622</v>
      </c>
      <c r="AB645" s="8">
        <v>6.4000000000000001E-2</v>
      </c>
      <c r="AC645" s="8">
        <v>3.0000000000000001E-3</v>
      </c>
    </row>
    <row r="646" spans="1:29" ht="11.65" x14ac:dyDescent="0.35">
      <c r="A646" s="12">
        <v>629</v>
      </c>
      <c r="B646" s="10" t="s">
        <v>1015</v>
      </c>
      <c r="C646" s="11" t="s">
        <v>1076</v>
      </c>
      <c r="D646" s="9"/>
      <c r="E646" s="9">
        <v>728</v>
      </c>
      <c r="F646" s="10" t="s">
        <v>1066</v>
      </c>
      <c r="G646" s="9">
        <v>910</v>
      </c>
      <c r="H646" s="9">
        <v>2015</v>
      </c>
      <c r="I646" s="8">
        <v>869.85299999999995</v>
      </c>
      <c r="J646" s="8">
        <v>767.57600000000002</v>
      </c>
      <c r="K646" s="8">
        <v>666.11599999999999</v>
      </c>
      <c r="L646" s="8">
        <v>589.78899999999999</v>
      </c>
      <c r="M646" s="8">
        <v>501.649</v>
      </c>
      <c r="N646" s="8">
        <v>415.73200000000003</v>
      </c>
      <c r="O646" s="8">
        <v>332.66</v>
      </c>
      <c r="P646" s="8">
        <v>278.89999999999998</v>
      </c>
      <c r="Q646" s="8">
        <v>229.92</v>
      </c>
      <c r="R646" s="8">
        <v>188.53399999999999</v>
      </c>
      <c r="S646" s="8">
        <v>149.649</v>
      </c>
      <c r="T646" s="8">
        <v>115.797</v>
      </c>
      <c r="U646" s="8">
        <v>85.06</v>
      </c>
      <c r="V646" s="8">
        <v>71.563000000000002</v>
      </c>
      <c r="W646" s="8">
        <v>50.323</v>
      </c>
      <c r="X646" s="8">
        <v>28.891999999999999</v>
      </c>
      <c r="Y646" s="8">
        <v>13.185</v>
      </c>
      <c r="Z646" s="8">
        <v>4.2930000000000001</v>
      </c>
      <c r="AA646" s="8">
        <v>0.88600000000000001</v>
      </c>
      <c r="AB646" s="8">
        <v>0.10299999999999999</v>
      </c>
      <c r="AC646" s="8">
        <v>6.0000000000000001E-3</v>
      </c>
    </row>
    <row r="647" spans="1:29" ht="11.65" x14ac:dyDescent="0.35">
      <c r="A647" s="12">
        <v>630</v>
      </c>
      <c r="B647" s="10" t="s">
        <v>1015</v>
      </c>
      <c r="C647" s="11" t="s">
        <v>1076</v>
      </c>
      <c r="D647" s="9"/>
      <c r="E647" s="9">
        <v>728</v>
      </c>
      <c r="F647" s="10" t="s">
        <v>1066</v>
      </c>
      <c r="G647" s="9">
        <v>910</v>
      </c>
      <c r="H647" s="9">
        <v>2020</v>
      </c>
      <c r="I647" s="8">
        <v>864.86400000000003</v>
      </c>
      <c r="J647" s="8">
        <v>778.66800000000001</v>
      </c>
      <c r="K647" s="8">
        <v>698.29100000000005</v>
      </c>
      <c r="L647" s="8">
        <v>606.58900000000006</v>
      </c>
      <c r="M647" s="8">
        <v>534.1</v>
      </c>
      <c r="N647" s="8">
        <v>451.17399999999998</v>
      </c>
      <c r="O647" s="8">
        <v>371.74099999999999</v>
      </c>
      <c r="P647" s="8">
        <v>294.34500000000003</v>
      </c>
      <c r="Q647" s="8">
        <v>245.02799999999999</v>
      </c>
      <c r="R647" s="8">
        <v>200.529</v>
      </c>
      <c r="S647" s="8">
        <v>162.72999999999999</v>
      </c>
      <c r="T647" s="8">
        <v>127.11199999999999</v>
      </c>
      <c r="U647" s="8">
        <v>95.474999999999994</v>
      </c>
      <c r="V647" s="8">
        <v>66.704999999999998</v>
      </c>
      <c r="W647" s="8">
        <v>52.395000000000003</v>
      </c>
      <c r="X647" s="8">
        <v>32.168999999999997</v>
      </c>
      <c r="Y647" s="8">
        <v>14.897</v>
      </c>
      <c r="Z647" s="8">
        <v>4.9740000000000002</v>
      </c>
      <c r="AA647" s="8">
        <v>1.081</v>
      </c>
      <c r="AB647" s="8">
        <v>0.13800000000000001</v>
      </c>
      <c r="AC647" s="8">
        <v>8.9999999999999993E-3</v>
      </c>
    </row>
    <row r="648" spans="1:29" ht="11.65" x14ac:dyDescent="0.35">
      <c r="A648" s="12">
        <v>631</v>
      </c>
      <c r="B648" s="10" t="s">
        <v>1015</v>
      </c>
      <c r="C648" s="11" t="s">
        <v>604</v>
      </c>
      <c r="D648" s="9"/>
      <c r="E648" s="9">
        <v>800</v>
      </c>
      <c r="F648" s="10" t="s">
        <v>1066</v>
      </c>
      <c r="G648" s="9">
        <v>910</v>
      </c>
      <c r="H648" s="9">
        <v>1950</v>
      </c>
      <c r="I648" s="8">
        <v>476.09699999999998</v>
      </c>
      <c r="J648" s="8">
        <v>363.62700000000001</v>
      </c>
      <c r="K648" s="8">
        <v>278.18099999999998</v>
      </c>
      <c r="L648" s="8">
        <v>279.82299999999998</v>
      </c>
      <c r="M648" s="8">
        <v>239.143</v>
      </c>
      <c r="N648" s="8">
        <v>200.51</v>
      </c>
      <c r="O648" s="8">
        <v>165.273</v>
      </c>
      <c r="P648" s="8">
        <v>133.773</v>
      </c>
      <c r="Q648" s="8">
        <v>108.72799999999999</v>
      </c>
      <c r="R648" s="8">
        <v>88.668999999999997</v>
      </c>
      <c r="S648" s="8">
        <v>70.293999999999997</v>
      </c>
      <c r="T648" s="8">
        <v>54.168999999999997</v>
      </c>
      <c r="U648" s="8">
        <v>43.337000000000003</v>
      </c>
      <c r="V648" s="8">
        <v>31.837</v>
      </c>
      <c r="W648" s="8">
        <v>21.169</v>
      </c>
      <c r="X648" s="8">
        <v>11.946999999999999</v>
      </c>
      <c r="Y648" s="8">
        <v>4.4420000000000002</v>
      </c>
      <c r="Z648" s="8">
        <v>1.234</v>
      </c>
      <c r="AA648" s="8">
        <v>0.2</v>
      </c>
      <c r="AB648" s="8">
        <v>1.7000000000000001E-2</v>
      </c>
      <c r="AC648" s="8">
        <v>1E-3</v>
      </c>
    </row>
    <row r="649" spans="1:29" ht="11.65" x14ac:dyDescent="0.35">
      <c r="A649" s="12">
        <v>632</v>
      </c>
      <c r="B649" s="10" t="s">
        <v>1015</v>
      </c>
      <c r="C649" s="11" t="s">
        <v>604</v>
      </c>
      <c r="D649" s="9"/>
      <c r="E649" s="9">
        <v>800</v>
      </c>
      <c r="F649" s="10" t="s">
        <v>1066</v>
      </c>
      <c r="G649" s="9">
        <v>910</v>
      </c>
      <c r="H649" s="9">
        <v>1955</v>
      </c>
      <c r="I649" s="8">
        <v>556.99199999999996</v>
      </c>
      <c r="J649" s="8">
        <v>423.00200000000001</v>
      </c>
      <c r="K649" s="8">
        <v>348.42099999999999</v>
      </c>
      <c r="L649" s="8">
        <v>269.55</v>
      </c>
      <c r="M649" s="8">
        <v>268.36399999999998</v>
      </c>
      <c r="N649" s="8">
        <v>227.15</v>
      </c>
      <c r="O649" s="8">
        <v>189.70400000000001</v>
      </c>
      <c r="P649" s="8">
        <v>155.34800000000001</v>
      </c>
      <c r="Q649" s="8">
        <v>124.535</v>
      </c>
      <c r="R649" s="8">
        <v>100.15300000000001</v>
      </c>
      <c r="S649" s="8">
        <v>80.501000000000005</v>
      </c>
      <c r="T649" s="8">
        <v>62.502000000000002</v>
      </c>
      <c r="U649" s="8">
        <v>46.548000000000002</v>
      </c>
      <c r="V649" s="8">
        <v>35.073</v>
      </c>
      <c r="W649" s="8">
        <v>23.324999999999999</v>
      </c>
      <c r="X649" s="8">
        <v>13.182</v>
      </c>
      <c r="Y649" s="8">
        <v>5.73</v>
      </c>
      <c r="Z649" s="8">
        <v>1.403</v>
      </c>
      <c r="AA649" s="8">
        <v>0.21</v>
      </c>
      <c r="AB649" s="8">
        <v>1.7000000000000001E-2</v>
      </c>
      <c r="AC649" s="8">
        <v>1E-3</v>
      </c>
    </row>
    <row r="650" spans="1:29" ht="11.65" x14ac:dyDescent="0.35">
      <c r="A650" s="12">
        <v>633</v>
      </c>
      <c r="B650" s="10" t="s">
        <v>1015</v>
      </c>
      <c r="C650" s="11" t="s">
        <v>604</v>
      </c>
      <c r="D650" s="9"/>
      <c r="E650" s="9">
        <v>800</v>
      </c>
      <c r="F650" s="10" t="s">
        <v>1066</v>
      </c>
      <c r="G650" s="9">
        <v>910</v>
      </c>
      <c r="H650" s="9">
        <v>1960</v>
      </c>
      <c r="I650" s="8">
        <v>637.07299999999998</v>
      </c>
      <c r="J650" s="8">
        <v>504.10500000000002</v>
      </c>
      <c r="K650" s="8">
        <v>408.29399999999998</v>
      </c>
      <c r="L650" s="8">
        <v>339.14299999999997</v>
      </c>
      <c r="M650" s="8">
        <v>259.81299999999999</v>
      </c>
      <c r="N650" s="8">
        <v>256.44099999999997</v>
      </c>
      <c r="O650" s="8">
        <v>216.24700000000001</v>
      </c>
      <c r="P650" s="8">
        <v>179.46799999999999</v>
      </c>
      <c r="Q650" s="8">
        <v>145.62</v>
      </c>
      <c r="R650" s="8">
        <v>115.52200000000001</v>
      </c>
      <c r="S650" s="8">
        <v>91.536000000000001</v>
      </c>
      <c r="T650" s="8">
        <v>72.031999999999996</v>
      </c>
      <c r="U650" s="8">
        <v>54.042999999999999</v>
      </c>
      <c r="V650" s="8">
        <v>37.892000000000003</v>
      </c>
      <c r="W650" s="8">
        <v>25.832999999999998</v>
      </c>
      <c r="X650" s="8">
        <v>14.571999999999999</v>
      </c>
      <c r="Y650" s="8">
        <v>6.3079999999999998</v>
      </c>
      <c r="Z650" s="8">
        <v>1.7849999999999999</v>
      </c>
      <c r="AA650" s="8">
        <v>0.23</v>
      </c>
      <c r="AB650" s="8">
        <v>1.7000000000000001E-2</v>
      </c>
      <c r="AC650" s="8">
        <v>1E-3</v>
      </c>
    </row>
    <row r="651" spans="1:29" ht="11.65" x14ac:dyDescent="0.35">
      <c r="A651" s="12">
        <v>634</v>
      </c>
      <c r="B651" s="10" t="s">
        <v>1015</v>
      </c>
      <c r="C651" s="11" t="s">
        <v>604</v>
      </c>
      <c r="D651" s="9"/>
      <c r="E651" s="9">
        <v>800</v>
      </c>
      <c r="F651" s="10" t="s">
        <v>1066</v>
      </c>
      <c r="G651" s="9">
        <v>910</v>
      </c>
      <c r="H651" s="9">
        <v>1965</v>
      </c>
      <c r="I651" s="8">
        <v>761.68299999999999</v>
      </c>
      <c r="J651" s="8">
        <v>595.57500000000005</v>
      </c>
      <c r="K651" s="8">
        <v>497.315</v>
      </c>
      <c r="L651" s="8">
        <v>405.327</v>
      </c>
      <c r="M651" s="8">
        <v>333.46300000000002</v>
      </c>
      <c r="N651" s="8">
        <v>254.00200000000001</v>
      </c>
      <c r="O651" s="8">
        <v>249.53800000000001</v>
      </c>
      <c r="P651" s="8">
        <v>209.179</v>
      </c>
      <c r="Q651" s="8">
        <v>172.09200000000001</v>
      </c>
      <c r="R651" s="8">
        <v>138.20599999999999</v>
      </c>
      <c r="S651" s="8">
        <v>108.01300000000001</v>
      </c>
      <c r="T651" s="8">
        <v>83.786000000000001</v>
      </c>
      <c r="U651" s="8">
        <v>63.701000000000001</v>
      </c>
      <c r="V651" s="8">
        <v>44.984000000000002</v>
      </c>
      <c r="W651" s="8">
        <v>28.545999999999999</v>
      </c>
      <c r="X651" s="8">
        <v>16.481999999999999</v>
      </c>
      <c r="Y651" s="8">
        <v>7.0919999999999996</v>
      </c>
      <c r="Z651" s="8">
        <v>1.95</v>
      </c>
      <c r="AA651" s="8">
        <v>0.28199999999999997</v>
      </c>
      <c r="AB651" s="8">
        <v>1.7000000000000001E-2</v>
      </c>
      <c r="AC651" s="8">
        <v>1E-3</v>
      </c>
    </row>
    <row r="652" spans="1:29" ht="11.65" x14ac:dyDescent="0.35">
      <c r="A652" s="12">
        <v>635</v>
      </c>
      <c r="B652" s="10" t="s">
        <v>1015</v>
      </c>
      <c r="C652" s="11" t="s">
        <v>604</v>
      </c>
      <c r="D652" s="9"/>
      <c r="E652" s="9">
        <v>800</v>
      </c>
      <c r="F652" s="10" t="s">
        <v>1066</v>
      </c>
      <c r="G652" s="9">
        <v>910</v>
      </c>
      <c r="H652" s="9">
        <v>1970</v>
      </c>
      <c r="I652" s="8">
        <v>904.86199999999997</v>
      </c>
      <c r="J652" s="8">
        <v>714.79600000000005</v>
      </c>
      <c r="K652" s="8">
        <v>584.56600000000003</v>
      </c>
      <c r="L652" s="8">
        <v>490.24299999999999</v>
      </c>
      <c r="M652" s="8">
        <v>396.18200000000002</v>
      </c>
      <c r="N652" s="8">
        <v>323.64299999999997</v>
      </c>
      <c r="O652" s="8">
        <v>245.88</v>
      </c>
      <c r="P652" s="8">
        <v>240.108</v>
      </c>
      <c r="Q652" s="8">
        <v>199.62200000000001</v>
      </c>
      <c r="R652" s="8">
        <v>162.60499999999999</v>
      </c>
      <c r="S652" s="8">
        <v>128.64099999999999</v>
      </c>
      <c r="T652" s="8">
        <v>98.426000000000002</v>
      </c>
      <c r="U652" s="8">
        <v>73.805000000000007</v>
      </c>
      <c r="V652" s="8">
        <v>52.837000000000003</v>
      </c>
      <c r="W652" s="8">
        <v>33.765000000000001</v>
      </c>
      <c r="X652" s="8">
        <v>18.149000000000001</v>
      </c>
      <c r="Y652" s="8">
        <v>7.9660000000000002</v>
      </c>
      <c r="Z652" s="8">
        <v>2.1800000000000002</v>
      </c>
      <c r="AA652" s="8">
        <v>0.3</v>
      </c>
      <c r="AB652" s="8">
        <v>1.7999999999999999E-2</v>
      </c>
      <c r="AC652" s="8">
        <v>1E-3</v>
      </c>
    </row>
    <row r="653" spans="1:29" ht="11.65" x14ac:dyDescent="0.35">
      <c r="A653" s="12">
        <v>636</v>
      </c>
      <c r="B653" s="10" t="s">
        <v>1015</v>
      </c>
      <c r="C653" s="11" t="s">
        <v>604</v>
      </c>
      <c r="D653" s="9"/>
      <c r="E653" s="9">
        <v>800</v>
      </c>
      <c r="F653" s="10" t="s">
        <v>1066</v>
      </c>
      <c r="G653" s="9">
        <v>910</v>
      </c>
      <c r="H653" s="9">
        <v>1975</v>
      </c>
      <c r="I653" s="8">
        <v>1019.71</v>
      </c>
      <c r="J653" s="8">
        <v>827.68899999999996</v>
      </c>
      <c r="K653" s="8">
        <v>681.81600000000003</v>
      </c>
      <c r="L653" s="8">
        <v>559.6</v>
      </c>
      <c r="M653" s="8">
        <v>465.642</v>
      </c>
      <c r="N653" s="8">
        <v>373.74299999999999</v>
      </c>
      <c r="O653" s="8">
        <v>304.53800000000001</v>
      </c>
      <c r="P653" s="8">
        <v>229.351</v>
      </c>
      <c r="Q653" s="8">
        <v>222.589</v>
      </c>
      <c r="R653" s="8">
        <v>183.26499999999999</v>
      </c>
      <c r="S653" s="8">
        <v>147.09100000000001</v>
      </c>
      <c r="T653" s="8">
        <v>113.962</v>
      </c>
      <c r="U653" s="8">
        <v>84.313999999999993</v>
      </c>
      <c r="V653" s="8">
        <v>59.561999999999998</v>
      </c>
      <c r="W653" s="8">
        <v>38.628999999999998</v>
      </c>
      <c r="X653" s="8">
        <v>20.922000000000001</v>
      </c>
      <c r="Y653" s="8">
        <v>8.5359999999999996</v>
      </c>
      <c r="Z653" s="8">
        <v>2.4500000000000002</v>
      </c>
      <c r="AA653" s="8">
        <v>0.33300000000000002</v>
      </c>
      <c r="AB653" s="8">
        <v>0.02</v>
      </c>
      <c r="AC653" s="8">
        <v>1E-3</v>
      </c>
    </row>
    <row r="654" spans="1:29" ht="11.65" x14ac:dyDescent="0.35">
      <c r="A654" s="12">
        <v>637</v>
      </c>
      <c r="B654" s="10" t="s">
        <v>1015</v>
      </c>
      <c r="C654" s="11" t="s">
        <v>604</v>
      </c>
      <c r="D654" s="9"/>
      <c r="E654" s="9">
        <v>800</v>
      </c>
      <c r="F654" s="10" t="s">
        <v>1066</v>
      </c>
      <c r="G654" s="9">
        <v>910</v>
      </c>
      <c r="H654" s="9">
        <v>1980</v>
      </c>
      <c r="I654" s="8">
        <v>1197.5119999999999</v>
      </c>
      <c r="J654" s="8">
        <v>943.78099999999995</v>
      </c>
      <c r="K654" s="8">
        <v>798.61</v>
      </c>
      <c r="L654" s="8">
        <v>660.36199999999997</v>
      </c>
      <c r="M654" s="8">
        <v>537.50900000000001</v>
      </c>
      <c r="N654" s="8">
        <v>444.40100000000001</v>
      </c>
      <c r="O654" s="8">
        <v>355.42</v>
      </c>
      <c r="P654" s="8">
        <v>288.05500000000001</v>
      </c>
      <c r="Q654" s="8">
        <v>214.75899999999999</v>
      </c>
      <c r="R654" s="8">
        <v>206.62</v>
      </c>
      <c r="S654" s="8">
        <v>167.61500000000001</v>
      </c>
      <c r="T654" s="8">
        <v>131.75200000000001</v>
      </c>
      <c r="U654" s="8">
        <v>98.733999999999995</v>
      </c>
      <c r="V654" s="8">
        <v>68.838999999999999</v>
      </c>
      <c r="W654" s="8">
        <v>44.06</v>
      </c>
      <c r="X654" s="8">
        <v>24.233000000000001</v>
      </c>
      <c r="Y654" s="8">
        <v>9.9819999999999993</v>
      </c>
      <c r="Z654" s="8">
        <v>2.6349999999999998</v>
      </c>
      <c r="AA654" s="8">
        <v>0.375</v>
      </c>
      <c r="AB654" s="8">
        <v>2.1999999999999999E-2</v>
      </c>
      <c r="AC654" s="8">
        <v>1E-3</v>
      </c>
    </row>
    <row r="655" spans="1:29" ht="11.65" x14ac:dyDescent="0.35">
      <c r="A655" s="12">
        <v>638</v>
      </c>
      <c r="B655" s="10" t="s">
        <v>1015</v>
      </c>
      <c r="C655" s="11" t="s">
        <v>604</v>
      </c>
      <c r="D655" s="9"/>
      <c r="E655" s="9">
        <v>800</v>
      </c>
      <c r="F655" s="10" t="s">
        <v>1066</v>
      </c>
      <c r="G655" s="9">
        <v>910</v>
      </c>
      <c r="H655" s="9">
        <v>1985</v>
      </c>
      <c r="I655" s="8">
        <v>1419.819</v>
      </c>
      <c r="J655" s="8">
        <v>1117.373</v>
      </c>
      <c r="K655" s="8">
        <v>917.54200000000003</v>
      </c>
      <c r="L655" s="8">
        <v>779.10599999999999</v>
      </c>
      <c r="M655" s="8">
        <v>639.35799999999995</v>
      </c>
      <c r="N655" s="8">
        <v>516.42899999999997</v>
      </c>
      <c r="O655" s="8">
        <v>424.72199999999998</v>
      </c>
      <c r="P655" s="8">
        <v>336.98</v>
      </c>
      <c r="Q655" s="8">
        <v>270.471</v>
      </c>
      <c r="R655" s="8">
        <v>199.34</v>
      </c>
      <c r="S655" s="8">
        <v>189.13399999999999</v>
      </c>
      <c r="T655" s="8">
        <v>150.34700000000001</v>
      </c>
      <c r="U655" s="8">
        <v>114.37</v>
      </c>
      <c r="V655" s="8">
        <v>80.894000000000005</v>
      </c>
      <c r="W655" s="8">
        <v>51.198</v>
      </c>
      <c r="X655" s="8">
        <v>27.89</v>
      </c>
      <c r="Y655" s="8">
        <v>11.724</v>
      </c>
      <c r="Z655" s="8">
        <v>3.117</v>
      </c>
      <c r="AA655" s="8">
        <v>0.41499999999999998</v>
      </c>
      <c r="AB655" s="8">
        <v>2.5000000000000001E-2</v>
      </c>
      <c r="AC655" s="8">
        <v>1E-3</v>
      </c>
    </row>
    <row r="656" spans="1:29" ht="11.65" x14ac:dyDescent="0.35">
      <c r="A656" s="12">
        <v>639</v>
      </c>
      <c r="B656" s="10" t="s">
        <v>1015</v>
      </c>
      <c r="C656" s="11" t="s">
        <v>604</v>
      </c>
      <c r="D656" s="9"/>
      <c r="E656" s="9">
        <v>800</v>
      </c>
      <c r="F656" s="10" t="s">
        <v>1066</v>
      </c>
      <c r="G656" s="9">
        <v>910</v>
      </c>
      <c r="H656" s="9">
        <v>1990</v>
      </c>
      <c r="I656" s="8">
        <v>1728.8879999999999</v>
      </c>
      <c r="J656" s="8">
        <v>1348.213</v>
      </c>
      <c r="K656" s="8">
        <v>1105.374</v>
      </c>
      <c r="L656" s="8">
        <v>911.01599999999996</v>
      </c>
      <c r="M656" s="8">
        <v>767.03399999999999</v>
      </c>
      <c r="N656" s="8">
        <v>622.06899999999996</v>
      </c>
      <c r="O656" s="8">
        <v>496.49700000000001</v>
      </c>
      <c r="P656" s="8">
        <v>401.65</v>
      </c>
      <c r="Q656" s="8">
        <v>313.27</v>
      </c>
      <c r="R656" s="8">
        <v>248.011</v>
      </c>
      <c r="S656" s="8">
        <v>180.40700000000001</v>
      </c>
      <c r="T656" s="8">
        <v>167.59899999999999</v>
      </c>
      <c r="U656" s="8">
        <v>128.71100000000001</v>
      </c>
      <c r="V656" s="8">
        <v>92.213999999999999</v>
      </c>
      <c r="W656" s="8">
        <v>58.947000000000003</v>
      </c>
      <c r="X656" s="8">
        <v>31.62</v>
      </c>
      <c r="Y656" s="8">
        <v>13.09</v>
      </c>
      <c r="Z656" s="8">
        <v>3.4319999999999999</v>
      </c>
      <c r="AA656" s="8">
        <v>0.46700000000000003</v>
      </c>
      <c r="AB656" s="8">
        <v>3.1E-2</v>
      </c>
      <c r="AC656" s="8">
        <v>1E-3</v>
      </c>
    </row>
    <row r="657" spans="1:29" ht="11.65" x14ac:dyDescent="0.35">
      <c r="A657" s="12">
        <v>640</v>
      </c>
      <c r="B657" s="10" t="s">
        <v>1015</v>
      </c>
      <c r="C657" s="11" t="s">
        <v>604</v>
      </c>
      <c r="D657" s="9"/>
      <c r="E657" s="9">
        <v>800</v>
      </c>
      <c r="F657" s="10" t="s">
        <v>1066</v>
      </c>
      <c r="G657" s="9">
        <v>910</v>
      </c>
      <c r="H657" s="9">
        <v>1995</v>
      </c>
      <c r="I657" s="8">
        <v>2067.0250000000001</v>
      </c>
      <c r="J657" s="8">
        <v>1627.71</v>
      </c>
      <c r="K657" s="8">
        <v>1316.2049999999999</v>
      </c>
      <c r="L657" s="8">
        <v>1084.172</v>
      </c>
      <c r="M657" s="8">
        <v>884.93799999999999</v>
      </c>
      <c r="N657" s="8">
        <v>732.16</v>
      </c>
      <c r="O657" s="8">
        <v>581.54399999999998</v>
      </c>
      <c r="P657" s="8">
        <v>451.42</v>
      </c>
      <c r="Q657" s="8">
        <v>355.30599999999998</v>
      </c>
      <c r="R657" s="8">
        <v>272.43799999999999</v>
      </c>
      <c r="S657" s="8">
        <v>212.589</v>
      </c>
      <c r="T657" s="8">
        <v>151.755</v>
      </c>
      <c r="U657" s="8">
        <v>135.80000000000001</v>
      </c>
      <c r="V657" s="8">
        <v>97.840999999999994</v>
      </c>
      <c r="W657" s="8">
        <v>62.866</v>
      </c>
      <c r="X657" s="8">
        <v>33.735999999999997</v>
      </c>
      <c r="Y657" s="8">
        <v>13.583</v>
      </c>
      <c r="Z657" s="8">
        <v>3.4670000000000001</v>
      </c>
      <c r="AA657" s="8">
        <v>0.47</v>
      </c>
      <c r="AB657" s="8">
        <v>3.5000000000000003E-2</v>
      </c>
      <c r="AC657" s="8">
        <v>2E-3</v>
      </c>
    </row>
    <row r="658" spans="1:29" ht="11.65" x14ac:dyDescent="0.35">
      <c r="A658" s="12">
        <v>641</v>
      </c>
      <c r="B658" s="10" t="s">
        <v>1015</v>
      </c>
      <c r="C658" s="11" t="s">
        <v>604</v>
      </c>
      <c r="D658" s="9"/>
      <c r="E658" s="9">
        <v>800</v>
      </c>
      <c r="F658" s="10" t="s">
        <v>1066</v>
      </c>
      <c r="G658" s="9">
        <v>910</v>
      </c>
      <c r="H658" s="9">
        <v>2000</v>
      </c>
      <c r="I658" s="8">
        <v>2389.049</v>
      </c>
      <c r="J658" s="8">
        <v>1929.58</v>
      </c>
      <c r="K658" s="8">
        <v>1565.117</v>
      </c>
      <c r="L658" s="8">
        <v>1271.425</v>
      </c>
      <c r="M658" s="8">
        <v>1036.2460000000001</v>
      </c>
      <c r="N658" s="8">
        <v>830.36599999999999</v>
      </c>
      <c r="O658" s="8">
        <v>672.38599999999997</v>
      </c>
      <c r="P658" s="8">
        <v>518.755</v>
      </c>
      <c r="Q658" s="8">
        <v>391.17399999999998</v>
      </c>
      <c r="R658" s="8">
        <v>302.20800000000003</v>
      </c>
      <c r="S658" s="8">
        <v>227.99299999999999</v>
      </c>
      <c r="T658" s="8">
        <v>174.08600000000001</v>
      </c>
      <c r="U658" s="8">
        <v>119.229</v>
      </c>
      <c r="V658" s="8">
        <v>99.686000000000007</v>
      </c>
      <c r="W658" s="8">
        <v>63.970999999999997</v>
      </c>
      <c r="X658" s="8">
        <v>34.162999999999997</v>
      </c>
      <c r="Y658" s="8">
        <v>13.552</v>
      </c>
      <c r="Z658" s="8">
        <v>3.359</v>
      </c>
      <c r="AA658" s="8">
        <v>0.432</v>
      </c>
      <c r="AB658" s="8">
        <v>3.1E-2</v>
      </c>
      <c r="AC658" s="8">
        <v>2E-3</v>
      </c>
    </row>
    <row r="659" spans="1:29" ht="11.65" x14ac:dyDescent="0.35">
      <c r="A659" s="12">
        <v>642</v>
      </c>
      <c r="B659" s="10" t="s">
        <v>1015</v>
      </c>
      <c r="C659" s="11" t="s">
        <v>604</v>
      </c>
      <c r="D659" s="9"/>
      <c r="E659" s="9">
        <v>800</v>
      </c>
      <c r="F659" s="10" t="s">
        <v>1066</v>
      </c>
      <c r="G659" s="9">
        <v>910</v>
      </c>
      <c r="H659" s="9">
        <v>2005</v>
      </c>
      <c r="I659" s="8">
        <v>2768.0520000000001</v>
      </c>
      <c r="J659" s="8">
        <v>2264.201</v>
      </c>
      <c r="K659" s="8">
        <v>1868.9159999999999</v>
      </c>
      <c r="L659" s="8">
        <v>1519.6320000000001</v>
      </c>
      <c r="M659" s="8">
        <v>1222.7560000000001</v>
      </c>
      <c r="N659" s="8">
        <v>983.36400000000003</v>
      </c>
      <c r="O659" s="8">
        <v>776.62599999999998</v>
      </c>
      <c r="P659" s="8">
        <v>616.84299999999996</v>
      </c>
      <c r="Q659" s="8">
        <v>466.24900000000002</v>
      </c>
      <c r="R659" s="8">
        <v>345.7</v>
      </c>
      <c r="S659" s="8">
        <v>262.15699999999998</v>
      </c>
      <c r="T659" s="8">
        <v>192.83600000000001</v>
      </c>
      <c r="U659" s="8">
        <v>141.27000000000001</v>
      </c>
      <c r="V659" s="8">
        <v>90.02</v>
      </c>
      <c r="W659" s="8">
        <v>67.051000000000002</v>
      </c>
      <c r="X659" s="8">
        <v>35.606999999999999</v>
      </c>
      <c r="Y659" s="8">
        <v>13.962</v>
      </c>
      <c r="Z659" s="8">
        <v>3.3679999999999999</v>
      </c>
      <c r="AA659" s="8">
        <v>0.39800000000000002</v>
      </c>
      <c r="AB659" s="8">
        <v>2.5999999999999999E-2</v>
      </c>
      <c r="AC659" s="8">
        <v>2E-3</v>
      </c>
    </row>
    <row r="660" spans="1:29" ht="11.65" x14ac:dyDescent="0.35">
      <c r="A660" s="12">
        <v>643</v>
      </c>
      <c r="B660" s="10" t="s">
        <v>1015</v>
      </c>
      <c r="C660" s="11" t="s">
        <v>604</v>
      </c>
      <c r="D660" s="9"/>
      <c r="E660" s="9">
        <v>800</v>
      </c>
      <c r="F660" s="10" t="s">
        <v>1066</v>
      </c>
      <c r="G660" s="9">
        <v>910</v>
      </c>
      <c r="H660" s="9">
        <v>2010</v>
      </c>
      <c r="I660" s="8">
        <v>3164.6129999999998</v>
      </c>
      <c r="J660" s="8">
        <v>2650.5770000000002</v>
      </c>
      <c r="K660" s="8">
        <v>2177.3130000000001</v>
      </c>
      <c r="L660" s="8">
        <v>1780.021</v>
      </c>
      <c r="M660" s="8">
        <v>1428.1320000000001</v>
      </c>
      <c r="N660" s="8">
        <v>1144.9949999999999</v>
      </c>
      <c r="O660" s="8">
        <v>907.99599999999998</v>
      </c>
      <c r="P660" s="8">
        <v>717.28</v>
      </c>
      <c r="Q660" s="8">
        <v>573.98199999999997</v>
      </c>
      <c r="R660" s="8">
        <v>428.52499999999998</v>
      </c>
      <c r="S660" s="8">
        <v>312.041</v>
      </c>
      <c r="T660" s="8">
        <v>230.874</v>
      </c>
      <c r="U660" s="8">
        <v>163.303</v>
      </c>
      <c r="V660" s="8">
        <v>111.898</v>
      </c>
      <c r="W660" s="8">
        <v>63.750999999999998</v>
      </c>
      <c r="X660" s="8">
        <v>39.689</v>
      </c>
      <c r="Y660" s="8">
        <v>15.584</v>
      </c>
      <c r="Z660" s="8">
        <v>3.7959999999999998</v>
      </c>
      <c r="AA660" s="8">
        <v>0.42599999999999999</v>
      </c>
      <c r="AB660" s="8">
        <v>2.1999999999999999E-2</v>
      </c>
      <c r="AC660" s="8">
        <v>1E-3</v>
      </c>
    </row>
    <row r="661" spans="1:29" ht="11.65" x14ac:dyDescent="0.35">
      <c r="A661" s="12">
        <v>644</v>
      </c>
      <c r="B661" s="10" t="s">
        <v>1015</v>
      </c>
      <c r="C661" s="11" t="s">
        <v>604</v>
      </c>
      <c r="D661" s="9"/>
      <c r="E661" s="9">
        <v>800</v>
      </c>
      <c r="F661" s="10" t="s">
        <v>1066</v>
      </c>
      <c r="G661" s="9">
        <v>910</v>
      </c>
      <c r="H661" s="9">
        <v>2015</v>
      </c>
      <c r="I661" s="8">
        <v>3549.5889999999999</v>
      </c>
      <c r="J661" s="8">
        <v>3086.3009999999999</v>
      </c>
      <c r="K661" s="8">
        <v>2610.6750000000002</v>
      </c>
      <c r="L661" s="8">
        <v>2114.09</v>
      </c>
      <c r="M661" s="8">
        <v>1713.16</v>
      </c>
      <c r="N661" s="8">
        <v>1370.1010000000001</v>
      </c>
      <c r="O661" s="8">
        <v>1087.6969999999999</v>
      </c>
      <c r="P661" s="8">
        <v>860.59400000000005</v>
      </c>
      <c r="Q661" s="8">
        <v>680.76700000000005</v>
      </c>
      <c r="R661" s="8">
        <v>539.11500000000001</v>
      </c>
      <c r="S661" s="8">
        <v>396.017</v>
      </c>
      <c r="T661" s="8">
        <v>282.02199999999999</v>
      </c>
      <c r="U661" s="8">
        <v>201.63800000000001</v>
      </c>
      <c r="V661" s="8">
        <v>134.45400000000001</v>
      </c>
      <c r="W661" s="8">
        <v>83.700999999999993</v>
      </c>
      <c r="X661" s="8">
        <v>40.685000000000002</v>
      </c>
      <c r="Y661" s="8">
        <v>19.478000000000002</v>
      </c>
      <c r="Z661" s="8">
        <v>4.9850000000000003</v>
      </c>
      <c r="AA661" s="8">
        <v>0.60899999999999999</v>
      </c>
      <c r="AB661" s="8">
        <v>2.9000000000000001E-2</v>
      </c>
      <c r="AC661" s="8">
        <v>1E-3</v>
      </c>
    </row>
    <row r="662" spans="1:29" ht="11.65" x14ac:dyDescent="0.35">
      <c r="A662" s="12">
        <v>645</v>
      </c>
      <c r="B662" s="10" t="s">
        <v>1015</v>
      </c>
      <c r="C662" s="11" t="s">
        <v>604</v>
      </c>
      <c r="D662" s="9"/>
      <c r="E662" s="9">
        <v>800</v>
      </c>
      <c r="F662" s="10" t="s">
        <v>1066</v>
      </c>
      <c r="G662" s="9">
        <v>910</v>
      </c>
      <c r="H662" s="9">
        <v>2020</v>
      </c>
      <c r="I662" s="8">
        <v>3938.451</v>
      </c>
      <c r="J662" s="8">
        <v>3561.0340000000001</v>
      </c>
      <c r="K662" s="8">
        <v>3119.806</v>
      </c>
      <c r="L662" s="8">
        <v>2636.4119999999998</v>
      </c>
      <c r="M662" s="8">
        <v>2123.674</v>
      </c>
      <c r="N662" s="8">
        <v>1713.4369999999999</v>
      </c>
      <c r="O662" s="8">
        <v>1365.364</v>
      </c>
      <c r="P662" s="8">
        <v>1077.75</v>
      </c>
      <c r="Q662" s="8">
        <v>846.05200000000002</v>
      </c>
      <c r="R662" s="8">
        <v>662.255</v>
      </c>
      <c r="S662" s="8">
        <v>515.25199999999995</v>
      </c>
      <c r="T662" s="8">
        <v>370.05099999999999</v>
      </c>
      <c r="U662" s="8">
        <v>255.09</v>
      </c>
      <c r="V662" s="8">
        <v>172.24700000000001</v>
      </c>
      <c r="W662" s="8">
        <v>104.873</v>
      </c>
      <c r="X662" s="8">
        <v>56.142000000000003</v>
      </c>
      <c r="Y662" s="8">
        <v>21.327999999999999</v>
      </c>
      <c r="Z662" s="8">
        <v>6.484</v>
      </c>
      <c r="AA662" s="8">
        <v>0.84299999999999997</v>
      </c>
      <c r="AB662" s="8">
        <v>4.2999999999999997E-2</v>
      </c>
      <c r="AC662" s="8">
        <v>1E-3</v>
      </c>
    </row>
    <row r="663" spans="1:29" ht="11.65" x14ac:dyDescent="0.35">
      <c r="A663" s="12">
        <v>646</v>
      </c>
      <c r="B663" s="10" t="s">
        <v>1015</v>
      </c>
      <c r="C663" s="11" t="s">
        <v>605</v>
      </c>
      <c r="D663" s="9">
        <v>3</v>
      </c>
      <c r="E663" s="9">
        <v>834</v>
      </c>
      <c r="F663" s="10" t="s">
        <v>1066</v>
      </c>
      <c r="G663" s="9">
        <v>910</v>
      </c>
      <c r="H663" s="9">
        <v>1950</v>
      </c>
      <c r="I663" s="8">
        <v>722.03</v>
      </c>
      <c r="J663" s="8">
        <v>550.38400000000001</v>
      </c>
      <c r="K663" s="8">
        <v>461.202</v>
      </c>
      <c r="L663" s="8">
        <v>392.17099999999999</v>
      </c>
      <c r="M663" s="8">
        <v>330.60399999999998</v>
      </c>
      <c r="N663" s="8">
        <v>275.75200000000001</v>
      </c>
      <c r="O663" s="8">
        <v>229.482</v>
      </c>
      <c r="P663" s="8">
        <v>189.55500000000001</v>
      </c>
      <c r="Q663" s="8">
        <v>154.85300000000001</v>
      </c>
      <c r="R663" s="8">
        <v>124.629</v>
      </c>
      <c r="S663" s="8">
        <v>98.135999999999996</v>
      </c>
      <c r="T663" s="8">
        <v>75.001000000000005</v>
      </c>
      <c r="U663" s="8">
        <v>54.478999999999999</v>
      </c>
      <c r="V663" s="8">
        <v>36.567999999999998</v>
      </c>
      <c r="W663" s="8">
        <v>21.643000000000001</v>
      </c>
      <c r="X663" s="8">
        <v>10.448</v>
      </c>
      <c r="Y663" s="8">
        <v>3.3620000000000001</v>
      </c>
      <c r="Z663" s="8">
        <v>0.94599999999999995</v>
      </c>
      <c r="AA663" s="8">
        <v>0.155</v>
      </c>
      <c r="AB663" s="8">
        <v>1.2999999999999999E-2</v>
      </c>
      <c r="AC663" s="8">
        <v>1E-3</v>
      </c>
    </row>
    <row r="664" spans="1:29" ht="11.65" x14ac:dyDescent="0.35">
      <c r="A664" s="12">
        <v>647</v>
      </c>
      <c r="B664" s="10" t="s">
        <v>1015</v>
      </c>
      <c r="C664" s="11" t="s">
        <v>605</v>
      </c>
      <c r="D664" s="9">
        <v>3</v>
      </c>
      <c r="E664" s="9">
        <v>834</v>
      </c>
      <c r="F664" s="10" t="s">
        <v>1066</v>
      </c>
      <c r="G664" s="9">
        <v>910</v>
      </c>
      <c r="H664" s="9">
        <v>1955</v>
      </c>
      <c r="I664" s="8">
        <v>802.70299999999997</v>
      </c>
      <c r="J664" s="8">
        <v>647.64300000000003</v>
      </c>
      <c r="K664" s="8">
        <v>529.75900000000001</v>
      </c>
      <c r="L664" s="8">
        <v>448.322</v>
      </c>
      <c r="M664" s="8">
        <v>377.387</v>
      </c>
      <c r="N664" s="8">
        <v>315.22500000000002</v>
      </c>
      <c r="O664" s="8">
        <v>261.91399999999999</v>
      </c>
      <c r="P664" s="8">
        <v>216.56899999999999</v>
      </c>
      <c r="Q664" s="8">
        <v>177.20400000000001</v>
      </c>
      <c r="R664" s="8">
        <v>143.24799999999999</v>
      </c>
      <c r="S664" s="8">
        <v>113.61</v>
      </c>
      <c r="T664" s="8">
        <v>87.600999999999999</v>
      </c>
      <c r="U664" s="8">
        <v>64.698999999999998</v>
      </c>
      <c r="V664" s="8">
        <v>44.253999999999998</v>
      </c>
      <c r="W664" s="8">
        <v>26.885999999999999</v>
      </c>
      <c r="X664" s="8">
        <v>13.512</v>
      </c>
      <c r="Y664" s="8">
        <v>5.0119999999999996</v>
      </c>
      <c r="Z664" s="8">
        <v>1.0549999999999999</v>
      </c>
      <c r="AA664" s="8">
        <v>0.159</v>
      </c>
      <c r="AB664" s="8">
        <v>1.2999999999999999E-2</v>
      </c>
      <c r="AC664" s="8">
        <v>1E-3</v>
      </c>
    </row>
    <row r="665" spans="1:29" ht="11.65" x14ac:dyDescent="0.35">
      <c r="A665" s="12">
        <v>648</v>
      </c>
      <c r="B665" s="10" t="s">
        <v>1015</v>
      </c>
      <c r="C665" s="11" t="s">
        <v>605</v>
      </c>
      <c r="D665" s="9">
        <v>3</v>
      </c>
      <c r="E665" s="9">
        <v>834</v>
      </c>
      <c r="F665" s="10" t="s">
        <v>1066</v>
      </c>
      <c r="G665" s="9">
        <v>910</v>
      </c>
      <c r="H665" s="9">
        <v>1960</v>
      </c>
      <c r="I665" s="8">
        <v>941.07899999999995</v>
      </c>
      <c r="J665" s="8">
        <v>728.59799999999996</v>
      </c>
      <c r="K665" s="8">
        <v>626.19799999999998</v>
      </c>
      <c r="L665" s="8">
        <v>516.39800000000002</v>
      </c>
      <c r="M665" s="8">
        <v>432.77699999999999</v>
      </c>
      <c r="N665" s="8">
        <v>361.19499999999999</v>
      </c>
      <c r="O665" s="8">
        <v>300.58499999999998</v>
      </c>
      <c r="P665" s="8">
        <v>248.196</v>
      </c>
      <c r="Q665" s="8">
        <v>203.35400000000001</v>
      </c>
      <c r="R665" s="8">
        <v>164.666</v>
      </c>
      <c r="S665" s="8">
        <v>131.14500000000001</v>
      </c>
      <c r="T665" s="8">
        <v>101.82899999999999</v>
      </c>
      <c r="U665" s="8">
        <v>75.873000000000005</v>
      </c>
      <c r="V665" s="8">
        <v>52.755000000000003</v>
      </c>
      <c r="W665" s="8">
        <v>32.65</v>
      </c>
      <c r="X665" s="8">
        <v>16.824000000000002</v>
      </c>
      <c r="Y665" s="8">
        <v>6.4729999999999999</v>
      </c>
      <c r="Z665" s="8">
        <v>1.5589999999999999</v>
      </c>
      <c r="AA665" s="8">
        <v>0.17199999999999999</v>
      </c>
      <c r="AB665" s="8">
        <v>1.2E-2</v>
      </c>
      <c r="AC665" s="8">
        <v>1E-3</v>
      </c>
    </row>
    <row r="666" spans="1:29" ht="11.65" x14ac:dyDescent="0.35">
      <c r="A666" s="12">
        <v>649</v>
      </c>
      <c r="B666" s="10" t="s">
        <v>1015</v>
      </c>
      <c r="C666" s="11" t="s">
        <v>605</v>
      </c>
      <c r="D666" s="9">
        <v>3</v>
      </c>
      <c r="E666" s="9">
        <v>834</v>
      </c>
      <c r="F666" s="10" t="s">
        <v>1066</v>
      </c>
      <c r="G666" s="9">
        <v>910</v>
      </c>
      <c r="H666" s="9">
        <v>1965</v>
      </c>
      <c r="I666" s="8">
        <v>1093.6310000000001</v>
      </c>
      <c r="J666" s="8">
        <v>860.78099999999995</v>
      </c>
      <c r="K666" s="8">
        <v>707.21299999999997</v>
      </c>
      <c r="L666" s="8">
        <v>612.14200000000005</v>
      </c>
      <c r="M666" s="8">
        <v>500.07</v>
      </c>
      <c r="N666" s="8">
        <v>415.70499999999998</v>
      </c>
      <c r="O666" s="8">
        <v>345.72500000000002</v>
      </c>
      <c r="P666" s="8">
        <v>285.988</v>
      </c>
      <c r="Q666" s="8">
        <v>234.05600000000001</v>
      </c>
      <c r="R666" s="8">
        <v>189.80799999999999</v>
      </c>
      <c r="S666" s="8">
        <v>151.42500000000001</v>
      </c>
      <c r="T666" s="8">
        <v>118.071</v>
      </c>
      <c r="U666" s="8">
        <v>88.602999999999994</v>
      </c>
      <c r="V666" s="8">
        <v>62.162999999999997</v>
      </c>
      <c r="W666" s="8">
        <v>39.113999999999997</v>
      </c>
      <c r="X666" s="8">
        <v>20.530999999999999</v>
      </c>
      <c r="Y666" s="8">
        <v>8.0890000000000004</v>
      </c>
      <c r="Z666" s="8">
        <v>2.0129999999999999</v>
      </c>
      <c r="AA666" s="8">
        <v>0.252</v>
      </c>
      <c r="AB666" s="8">
        <v>1.4E-2</v>
      </c>
      <c r="AC666" s="8">
        <v>1E-3</v>
      </c>
    </row>
    <row r="667" spans="1:29" ht="11.65" x14ac:dyDescent="0.35">
      <c r="A667" s="12">
        <v>650</v>
      </c>
      <c r="B667" s="10" t="s">
        <v>1015</v>
      </c>
      <c r="C667" s="11" t="s">
        <v>605</v>
      </c>
      <c r="D667" s="9">
        <v>3</v>
      </c>
      <c r="E667" s="9">
        <v>834</v>
      </c>
      <c r="F667" s="10" t="s">
        <v>1066</v>
      </c>
      <c r="G667" s="9">
        <v>910</v>
      </c>
      <c r="H667" s="9">
        <v>1970</v>
      </c>
      <c r="I667" s="8">
        <v>1279.8679999999999</v>
      </c>
      <c r="J667" s="8">
        <v>1010.78</v>
      </c>
      <c r="K667" s="8">
        <v>838.91200000000003</v>
      </c>
      <c r="L667" s="8">
        <v>693.346</v>
      </c>
      <c r="M667" s="8">
        <v>594.62599999999998</v>
      </c>
      <c r="N667" s="8">
        <v>482.09100000000001</v>
      </c>
      <c r="O667" s="8">
        <v>399.38099999999997</v>
      </c>
      <c r="P667" s="8">
        <v>330.20600000000002</v>
      </c>
      <c r="Q667" s="8">
        <v>270.79599999999999</v>
      </c>
      <c r="R667" s="8">
        <v>219.38399999999999</v>
      </c>
      <c r="S667" s="8">
        <v>175.262</v>
      </c>
      <c r="T667" s="8">
        <v>136.88</v>
      </c>
      <c r="U667" s="8">
        <v>103.151</v>
      </c>
      <c r="V667" s="8">
        <v>72.879000000000005</v>
      </c>
      <c r="W667" s="8">
        <v>46.264000000000003</v>
      </c>
      <c r="X667" s="8">
        <v>24.667000000000002</v>
      </c>
      <c r="Y667" s="8">
        <v>9.8719999999999999</v>
      </c>
      <c r="Z667" s="8">
        <v>2.4969999999999999</v>
      </c>
      <c r="AA667" s="8">
        <v>0.317</v>
      </c>
      <c r="AB667" s="8">
        <v>1.7999999999999999E-2</v>
      </c>
      <c r="AC667" s="8">
        <v>1E-3</v>
      </c>
    </row>
    <row r="668" spans="1:29" ht="11.65" x14ac:dyDescent="0.35">
      <c r="A668" s="12">
        <v>651</v>
      </c>
      <c r="B668" s="10" t="s">
        <v>1015</v>
      </c>
      <c r="C668" s="11" t="s">
        <v>605</v>
      </c>
      <c r="D668" s="9">
        <v>3</v>
      </c>
      <c r="E668" s="9">
        <v>834</v>
      </c>
      <c r="F668" s="10" t="s">
        <v>1066</v>
      </c>
      <c r="G668" s="9">
        <v>910</v>
      </c>
      <c r="H668" s="9">
        <v>1975</v>
      </c>
      <c r="I668" s="8">
        <v>1499.8720000000001</v>
      </c>
      <c r="J668" s="8">
        <v>1200.521</v>
      </c>
      <c r="K668" s="8">
        <v>993.45899999999995</v>
      </c>
      <c r="L668" s="8">
        <v>828.45100000000002</v>
      </c>
      <c r="M668" s="8">
        <v>678.79499999999996</v>
      </c>
      <c r="N668" s="8">
        <v>577.83699999999999</v>
      </c>
      <c r="O668" s="8">
        <v>466.97</v>
      </c>
      <c r="P668" s="8">
        <v>384.67</v>
      </c>
      <c r="Q668" s="8">
        <v>315.40100000000001</v>
      </c>
      <c r="R668" s="8">
        <v>256.08999999999997</v>
      </c>
      <c r="S668" s="8">
        <v>204.381</v>
      </c>
      <c r="T668" s="8">
        <v>159.846</v>
      </c>
      <c r="U668" s="8">
        <v>120.675</v>
      </c>
      <c r="V668" s="8">
        <v>85.632000000000005</v>
      </c>
      <c r="W668" s="8">
        <v>54.752000000000002</v>
      </c>
      <c r="X668" s="8">
        <v>29.437000000000001</v>
      </c>
      <c r="Y668" s="8">
        <v>11.939</v>
      </c>
      <c r="Z668" s="8">
        <v>3.0350000000000001</v>
      </c>
      <c r="AA668" s="8">
        <v>0.38600000000000001</v>
      </c>
      <c r="AB668" s="8">
        <v>2.1999999999999999E-2</v>
      </c>
      <c r="AC668" s="8">
        <v>1E-3</v>
      </c>
    </row>
    <row r="669" spans="1:29" ht="11.65" x14ac:dyDescent="0.35">
      <c r="A669" s="12">
        <v>652</v>
      </c>
      <c r="B669" s="10" t="s">
        <v>1015</v>
      </c>
      <c r="C669" s="11" t="s">
        <v>605</v>
      </c>
      <c r="D669" s="9">
        <v>3</v>
      </c>
      <c r="E669" s="9">
        <v>834</v>
      </c>
      <c r="F669" s="10" t="s">
        <v>1066</v>
      </c>
      <c r="G669" s="9">
        <v>910</v>
      </c>
      <c r="H669" s="9">
        <v>1980</v>
      </c>
      <c r="I669" s="8">
        <v>1742.5129999999999</v>
      </c>
      <c r="J669" s="8">
        <v>1407.252</v>
      </c>
      <c r="K669" s="8">
        <v>1173.133</v>
      </c>
      <c r="L669" s="8">
        <v>974.41099999999994</v>
      </c>
      <c r="M669" s="8">
        <v>805.94299999999998</v>
      </c>
      <c r="N669" s="8">
        <v>656.04</v>
      </c>
      <c r="O669" s="8">
        <v>556.72299999999996</v>
      </c>
      <c r="P669" s="8">
        <v>447.44400000000002</v>
      </c>
      <c r="Q669" s="8">
        <v>365.64499999999998</v>
      </c>
      <c r="R669" s="8">
        <v>296.90600000000001</v>
      </c>
      <c r="S669" s="8">
        <v>237.51</v>
      </c>
      <c r="T669" s="8">
        <v>185.6</v>
      </c>
      <c r="U669" s="8">
        <v>140.363</v>
      </c>
      <c r="V669" s="8">
        <v>99.825000000000003</v>
      </c>
      <c r="W669" s="8">
        <v>64.147000000000006</v>
      </c>
      <c r="X669" s="8">
        <v>34.753</v>
      </c>
      <c r="Y669" s="8">
        <v>14.195</v>
      </c>
      <c r="Z669" s="8">
        <v>3.6709999999999998</v>
      </c>
      <c r="AA669" s="8">
        <v>0.46100000000000002</v>
      </c>
      <c r="AB669" s="8">
        <v>2.5000000000000001E-2</v>
      </c>
      <c r="AC669" s="8">
        <v>1E-3</v>
      </c>
    </row>
    <row r="670" spans="1:29" ht="11.65" x14ac:dyDescent="0.35">
      <c r="A670" s="12">
        <v>653</v>
      </c>
      <c r="B670" s="10" t="s">
        <v>1015</v>
      </c>
      <c r="C670" s="11" t="s">
        <v>605</v>
      </c>
      <c r="D670" s="9">
        <v>3</v>
      </c>
      <c r="E670" s="9">
        <v>834</v>
      </c>
      <c r="F670" s="10" t="s">
        <v>1066</v>
      </c>
      <c r="G670" s="9">
        <v>910</v>
      </c>
      <c r="H670" s="9">
        <v>1985</v>
      </c>
      <c r="I670" s="8">
        <v>1996.354</v>
      </c>
      <c r="J670" s="8">
        <v>1645.9059999999999</v>
      </c>
      <c r="K670" s="8">
        <v>1380.86</v>
      </c>
      <c r="L670" s="8">
        <v>1154.9459999999999</v>
      </c>
      <c r="M670" s="8">
        <v>951.65800000000002</v>
      </c>
      <c r="N670" s="8">
        <v>781.9</v>
      </c>
      <c r="O670" s="8">
        <v>634.16399999999999</v>
      </c>
      <c r="P670" s="8">
        <v>534.93499999999995</v>
      </c>
      <c r="Q670" s="8">
        <v>426.363</v>
      </c>
      <c r="R670" s="8">
        <v>344.99400000000003</v>
      </c>
      <c r="S670" s="8">
        <v>275.97399999999999</v>
      </c>
      <c r="T670" s="8">
        <v>216.15100000000001</v>
      </c>
      <c r="U670" s="8">
        <v>163.316</v>
      </c>
      <c r="V670" s="8">
        <v>116.34099999999999</v>
      </c>
      <c r="W670" s="8">
        <v>74.909000000000006</v>
      </c>
      <c r="X670" s="8">
        <v>40.765000000000001</v>
      </c>
      <c r="Y670" s="8">
        <v>16.754000000000001</v>
      </c>
      <c r="Z670" s="8">
        <v>4.335</v>
      </c>
      <c r="AA670" s="8">
        <v>0.55200000000000005</v>
      </c>
      <c r="AB670" s="8">
        <v>0.03</v>
      </c>
      <c r="AC670" s="8">
        <v>1E-3</v>
      </c>
    </row>
    <row r="671" spans="1:29" ht="11.65" x14ac:dyDescent="0.35">
      <c r="A671" s="12">
        <v>654</v>
      </c>
      <c r="B671" s="10" t="s">
        <v>1015</v>
      </c>
      <c r="C671" s="11" t="s">
        <v>605</v>
      </c>
      <c r="D671" s="9">
        <v>3</v>
      </c>
      <c r="E671" s="9">
        <v>834</v>
      </c>
      <c r="F671" s="10" t="s">
        <v>1066</v>
      </c>
      <c r="G671" s="9">
        <v>910</v>
      </c>
      <c r="H671" s="9">
        <v>1990</v>
      </c>
      <c r="I671" s="8">
        <v>2295.415</v>
      </c>
      <c r="J671" s="8">
        <v>1893.748</v>
      </c>
      <c r="K671" s="8">
        <v>1618.1610000000001</v>
      </c>
      <c r="L671" s="8">
        <v>1361.5719999999999</v>
      </c>
      <c r="M671" s="8">
        <v>1129.8520000000001</v>
      </c>
      <c r="N671" s="8">
        <v>923.86199999999997</v>
      </c>
      <c r="O671" s="8">
        <v>754.87199999999996</v>
      </c>
      <c r="P671" s="8">
        <v>607.31399999999996</v>
      </c>
      <c r="Q671" s="8">
        <v>507.03199999999998</v>
      </c>
      <c r="R671" s="8">
        <v>399.78699999999998</v>
      </c>
      <c r="S671" s="8">
        <v>318.56799999999998</v>
      </c>
      <c r="T671" s="8">
        <v>249.44399999999999</v>
      </c>
      <c r="U671" s="8">
        <v>188.779</v>
      </c>
      <c r="V671" s="8">
        <v>134.25700000000001</v>
      </c>
      <c r="W671" s="8">
        <v>86.465000000000003</v>
      </c>
      <c r="X671" s="8">
        <v>47.073999999999998</v>
      </c>
      <c r="Y671" s="8">
        <v>19.367000000000001</v>
      </c>
      <c r="Z671" s="8">
        <v>4.9939999999999998</v>
      </c>
      <c r="AA671" s="8">
        <v>0.63300000000000001</v>
      </c>
      <c r="AB671" s="8">
        <v>3.5000000000000003E-2</v>
      </c>
      <c r="AC671" s="8">
        <v>1E-3</v>
      </c>
    </row>
    <row r="672" spans="1:29" ht="11.65" x14ac:dyDescent="0.35">
      <c r="A672" s="12">
        <v>655</v>
      </c>
      <c r="B672" s="10" t="s">
        <v>1015</v>
      </c>
      <c r="C672" s="11" t="s">
        <v>605</v>
      </c>
      <c r="D672" s="9">
        <v>3</v>
      </c>
      <c r="E672" s="9">
        <v>834</v>
      </c>
      <c r="F672" s="10" t="s">
        <v>1066</v>
      </c>
      <c r="G672" s="9">
        <v>910</v>
      </c>
      <c r="H672" s="9">
        <v>1995</v>
      </c>
      <c r="I672" s="8">
        <v>2657.982</v>
      </c>
      <c r="J672" s="8">
        <v>2221.8409999999999</v>
      </c>
      <c r="K672" s="8">
        <v>1894.403</v>
      </c>
      <c r="L672" s="8">
        <v>1622.646</v>
      </c>
      <c r="M672" s="8">
        <v>1354.0830000000001</v>
      </c>
      <c r="N672" s="8">
        <v>1112.46</v>
      </c>
      <c r="O672" s="8">
        <v>901.26599999999996</v>
      </c>
      <c r="P672" s="8">
        <v>727.01</v>
      </c>
      <c r="Q672" s="8">
        <v>576.58100000000002</v>
      </c>
      <c r="R672" s="8">
        <v>474.84300000000002</v>
      </c>
      <c r="S672" s="8">
        <v>368.59199999999998</v>
      </c>
      <c r="T672" s="8">
        <v>287.41500000000002</v>
      </c>
      <c r="U672" s="8">
        <v>217.17599999999999</v>
      </c>
      <c r="V672" s="8">
        <v>154.47499999999999</v>
      </c>
      <c r="W672" s="8">
        <v>99.037999999999997</v>
      </c>
      <c r="X672" s="8">
        <v>53.768000000000001</v>
      </c>
      <c r="Y672" s="8">
        <v>22.013000000000002</v>
      </c>
      <c r="Z672" s="8">
        <v>5.5209999999999999</v>
      </c>
      <c r="AA672" s="8">
        <v>0.69799999999999995</v>
      </c>
      <c r="AB672" s="8">
        <v>0.04</v>
      </c>
      <c r="AC672" s="8">
        <v>2E-3</v>
      </c>
    </row>
    <row r="673" spans="1:29" ht="11.65" x14ac:dyDescent="0.35">
      <c r="A673" s="12">
        <v>656</v>
      </c>
      <c r="B673" s="10" t="s">
        <v>1015</v>
      </c>
      <c r="C673" s="11" t="s">
        <v>605</v>
      </c>
      <c r="D673" s="9">
        <v>3</v>
      </c>
      <c r="E673" s="9">
        <v>834</v>
      </c>
      <c r="F673" s="10" t="s">
        <v>1066</v>
      </c>
      <c r="G673" s="9">
        <v>910</v>
      </c>
      <c r="H673" s="9">
        <v>2000</v>
      </c>
      <c r="I673" s="8">
        <v>2906.9850000000001</v>
      </c>
      <c r="J673" s="8">
        <v>2503.7840000000001</v>
      </c>
      <c r="K673" s="8">
        <v>2152.4569999999999</v>
      </c>
      <c r="L673" s="8">
        <v>1839.682</v>
      </c>
      <c r="M673" s="8">
        <v>1563.316</v>
      </c>
      <c r="N673" s="8">
        <v>1290.232</v>
      </c>
      <c r="O673" s="8">
        <v>1047.52</v>
      </c>
      <c r="P673" s="8">
        <v>834.81899999999996</v>
      </c>
      <c r="Q673" s="8">
        <v>661.68799999999999</v>
      </c>
      <c r="R673" s="8">
        <v>517.29300000000001</v>
      </c>
      <c r="S673" s="8">
        <v>419.28199999999998</v>
      </c>
      <c r="T673" s="8">
        <v>318.28800000000001</v>
      </c>
      <c r="U673" s="8">
        <v>239.18299999999999</v>
      </c>
      <c r="V673" s="8">
        <v>169.55</v>
      </c>
      <c r="W673" s="8">
        <v>108.366</v>
      </c>
      <c r="X673" s="8">
        <v>58.313000000000002</v>
      </c>
      <c r="Y673" s="8">
        <v>23.635000000000002</v>
      </c>
      <c r="Z673" s="8">
        <v>6.0010000000000003</v>
      </c>
      <c r="AA673" s="8">
        <v>0.73099999999999998</v>
      </c>
      <c r="AB673" s="8">
        <v>4.3999999999999997E-2</v>
      </c>
      <c r="AC673" s="8">
        <v>2E-3</v>
      </c>
    </row>
    <row r="674" spans="1:29" ht="11.65" x14ac:dyDescent="0.35">
      <c r="A674" s="12">
        <v>657</v>
      </c>
      <c r="B674" s="10" t="s">
        <v>1015</v>
      </c>
      <c r="C674" s="11" t="s">
        <v>605</v>
      </c>
      <c r="D674" s="9">
        <v>3</v>
      </c>
      <c r="E674" s="9">
        <v>834</v>
      </c>
      <c r="F674" s="10" t="s">
        <v>1066</v>
      </c>
      <c r="G674" s="9">
        <v>910</v>
      </c>
      <c r="H674" s="9">
        <v>2005</v>
      </c>
      <c r="I674" s="8">
        <v>3443.5970000000002</v>
      </c>
      <c r="J674" s="8">
        <v>2790.692</v>
      </c>
      <c r="K674" s="8">
        <v>2445.509</v>
      </c>
      <c r="L674" s="8">
        <v>2104.8040000000001</v>
      </c>
      <c r="M674" s="8">
        <v>1785.4079999999999</v>
      </c>
      <c r="N674" s="8">
        <v>1502.021</v>
      </c>
      <c r="O674" s="8">
        <v>1225.809</v>
      </c>
      <c r="P674" s="8">
        <v>979.51599999999996</v>
      </c>
      <c r="Q674" s="8">
        <v>767.24699999999996</v>
      </c>
      <c r="R674" s="8">
        <v>599.30999999999995</v>
      </c>
      <c r="S674" s="8">
        <v>460.37799999999999</v>
      </c>
      <c r="T674" s="8">
        <v>364.66699999999997</v>
      </c>
      <c r="U674" s="8">
        <v>266.46199999999999</v>
      </c>
      <c r="V674" s="8">
        <v>187.51400000000001</v>
      </c>
      <c r="W674" s="8">
        <v>119.164</v>
      </c>
      <c r="X674" s="8">
        <v>63.668999999999997</v>
      </c>
      <c r="Y674" s="8">
        <v>25.353999999999999</v>
      </c>
      <c r="Z674" s="8">
        <v>6.234</v>
      </c>
      <c r="AA674" s="8">
        <v>0.74</v>
      </c>
      <c r="AB674" s="8">
        <v>0.04</v>
      </c>
      <c r="AC674" s="8">
        <v>2E-3</v>
      </c>
    </row>
    <row r="675" spans="1:29" ht="11.65" x14ac:dyDescent="0.35">
      <c r="A675" s="12">
        <v>658</v>
      </c>
      <c r="B675" s="10" t="s">
        <v>1015</v>
      </c>
      <c r="C675" s="11" t="s">
        <v>605</v>
      </c>
      <c r="D675" s="9">
        <v>3</v>
      </c>
      <c r="E675" s="9">
        <v>834</v>
      </c>
      <c r="F675" s="10" t="s">
        <v>1066</v>
      </c>
      <c r="G675" s="9">
        <v>910</v>
      </c>
      <c r="H675" s="9">
        <v>2010</v>
      </c>
      <c r="I675" s="8">
        <v>3998.61</v>
      </c>
      <c r="J675" s="8">
        <v>3324.9349999999999</v>
      </c>
      <c r="K675" s="8">
        <v>2723.261</v>
      </c>
      <c r="L675" s="8">
        <v>2388.1010000000001</v>
      </c>
      <c r="M675" s="8">
        <v>2040.981</v>
      </c>
      <c r="N675" s="8">
        <v>1717.972</v>
      </c>
      <c r="O675" s="8">
        <v>1434.67</v>
      </c>
      <c r="P675" s="8">
        <v>1158.3150000000001</v>
      </c>
      <c r="Q675" s="8">
        <v>913.95100000000002</v>
      </c>
      <c r="R675" s="8">
        <v>706.81</v>
      </c>
      <c r="S675" s="8">
        <v>542.37099999999998</v>
      </c>
      <c r="T675" s="8">
        <v>406.70699999999999</v>
      </c>
      <c r="U675" s="8">
        <v>310.28100000000001</v>
      </c>
      <c r="V675" s="8">
        <v>212.15899999999999</v>
      </c>
      <c r="W675" s="8">
        <v>133.84800000000001</v>
      </c>
      <c r="X675" s="8">
        <v>70.995000000000005</v>
      </c>
      <c r="Y675" s="8">
        <v>27.966000000000001</v>
      </c>
      <c r="Z675" s="8">
        <v>6.7450000000000001</v>
      </c>
      <c r="AA675" s="8">
        <v>0.747</v>
      </c>
      <c r="AB675" s="8">
        <v>3.6999999999999998E-2</v>
      </c>
      <c r="AC675" s="8">
        <v>2E-3</v>
      </c>
    </row>
    <row r="676" spans="1:29" ht="11.65" x14ac:dyDescent="0.35">
      <c r="A676" s="12">
        <v>659</v>
      </c>
      <c r="B676" s="10" t="s">
        <v>1015</v>
      </c>
      <c r="C676" s="11" t="s">
        <v>605</v>
      </c>
      <c r="D676" s="9">
        <v>3</v>
      </c>
      <c r="E676" s="9">
        <v>834</v>
      </c>
      <c r="F676" s="10" t="s">
        <v>1066</v>
      </c>
      <c r="G676" s="9">
        <v>910</v>
      </c>
      <c r="H676" s="9">
        <v>2015</v>
      </c>
      <c r="I676" s="8">
        <v>4438.7250000000004</v>
      </c>
      <c r="J676" s="8">
        <v>3910.511</v>
      </c>
      <c r="K676" s="8">
        <v>3278.2310000000002</v>
      </c>
      <c r="L676" s="8">
        <v>2684.078</v>
      </c>
      <c r="M676" s="8">
        <v>2339.9349999999999</v>
      </c>
      <c r="N676" s="8">
        <v>1988.6489999999999</v>
      </c>
      <c r="O676" s="8">
        <v>1665.3810000000001</v>
      </c>
      <c r="P676" s="8">
        <v>1380.201</v>
      </c>
      <c r="Q676" s="8">
        <v>1103.915</v>
      </c>
      <c r="R676" s="8">
        <v>861.83199999999999</v>
      </c>
      <c r="S676" s="8">
        <v>655.65099999999995</v>
      </c>
      <c r="T676" s="8">
        <v>491.89299999999997</v>
      </c>
      <c r="U676" s="8">
        <v>356.13200000000001</v>
      </c>
      <c r="V676" s="8">
        <v>255.53800000000001</v>
      </c>
      <c r="W676" s="8">
        <v>158.02099999999999</v>
      </c>
      <c r="X676" s="8">
        <v>84.372</v>
      </c>
      <c r="Y676" s="8">
        <v>33.753999999999998</v>
      </c>
      <c r="Z676" s="8">
        <v>8.3309999999999995</v>
      </c>
      <c r="AA676" s="8">
        <v>0.94499999999999995</v>
      </c>
      <c r="AB676" s="8">
        <v>4.1000000000000002E-2</v>
      </c>
      <c r="AC676" s="8">
        <v>2E-3</v>
      </c>
    </row>
    <row r="677" spans="1:29" ht="11.65" x14ac:dyDescent="0.35">
      <c r="A677" s="12">
        <v>660</v>
      </c>
      <c r="B677" s="10" t="s">
        <v>1015</v>
      </c>
      <c r="C677" s="11" t="s">
        <v>605</v>
      </c>
      <c r="D677" s="9">
        <v>3</v>
      </c>
      <c r="E677" s="9">
        <v>834</v>
      </c>
      <c r="F677" s="10" t="s">
        <v>1066</v>
      </c>
      <c r="G677" s="9">
        <v>910</v>
      </c>
      <c r="H677" s="9">
        <v>2020</v>
      </c>
      <c r="I677" s="8">
        <v>4924.67</v>
      </c>
      <c r="J677" s="8">
        <v>4361.607</v>
      </c>
      <c r="K677" s="8">
        <v>3869.194</v>
      </c>
      <c r="L677" s="8">
        <v>3242.0309999999999</v>
      </c>
      <c r="M677" s="8">
        <v>2640.5039999999999</v>
      </c>
      <c r="N677" s="8">
        <v>2294.6799999999998</v>
      </c>
      <c r="O677" s="8">
        <v>1946.604</v>
      </c>
      <c r="P677" s="8">
        <v>1624.4649999999999</v>
      </c>
      <c r="Q677" s="8">
        <v>1339.3109999999999</v>
      </c>
      <c r="R677" s="8">
        <v>1063.2360000000001</v>
      </c>
      <c r="S677" s="8">
        <v>818.93499999999995</v>
      </c>
      <c r="T677" s="8">
        <v>611.01599999999996</v>
      </c>
      <c r="U677" s="8">
        <v>444.73200000000003</v>
      </c>
      <c r="V677" s="8">
        <v>304.96199999999999</v>
      </c>
      <c r="W677" s="8">
        <v>200.387</v>
      </c>
      <c r="X677" s="8">
        <v>106.873</v>
      </c>
      <c r="Y677" s="8">
        <v>44.497999999999998</v>
      </c>
      <c r="Z677" s="8">
        <v>11.856</v>
      </c>
      <c r="AA677" s="8">
        <v>1.48</v>
      </c>
      <c r="AB677" s="8">
        <v>6.5000000000000002E-2</v>
      </c>
      <c r="AC677" s="8">
        <v>2E-3</v>
      </c>
    </row>
    <row r="678" spans="1:29" ht="11.65" x14ac:dyDescent="0.35">
      <c r="A678" s="12">
        <v>661</v>
      </c>
      <c r="B678" s="10" t="s">
        <v>1015</v>
      </c>
      <c r="C678" s="11" t="s">
        <v>606</v>
      </c>
      <c r="D678" s="9"/>
      <c r="E678" s="9">
        <v>894</v>
      </c>
      <c r="F678" s="10" t="s">
        <v>1066</v>
      </c>
      <c r="G678" s="9">
        <v>910</v>
      </c>
      <c r="H678" s="9">
        <v>1950</v>
      </c>
      <c r="I678" s="8">
        <v>215.48500000000001</v>
      </c>
      <c r="J678" s="8">
        <v>167.33099999999999</v>
      </c>
      <c r="K678" s="8">
        <v>140.86099999999999</v>
      </c>
      <c r="L678" s="8">
        <v>118.193</v>
      </c>
      <c r="M678" s="8">
        <v>99.94</v>
      </c>
      <c r="N678" s="8">
        <v>83.861000000000004</v>
      </c>
      <c r="O678" s="8">
        <v>71.972999999999999</v>
      </c>
      <c r="P678" s="8">
        <v>60.496000000000002</v>
      </c>
      <c r="Q678" s="8">
        <v>49.95</v>
      </c>
      <c r="R678" s="8">
        <v>39.189</v>
      </c>
      <c r="S678" s="8">
        <v>31.481999999999999</v>
      </c>
      <c r="T678" s="8">
        <v>22.489000000000001</v>
      </c>
      <c r="U678" s="8">
        <v>18.545000000000002</v>
      </c>
      <c r="V678" s="8">
        <v>13.753</v>
      </c>
      <c r="W678" s="8">
        <v>9.2940000000000005</v>
      </c>
      <c r="X678" s="8">
        <v>4.944</v>
      </c>
      <c r="Y678" s="8">
        <v>1.7689999999999999</v>
      </c>
      <c r="Z678" s="8">
        <v>0.53200000000000003</v>
      </c>
      <c r="AA678" s="8">
        <v>9.2999999999999999E-2</v>
      </c>
      <c r="AB678" s="8">
        <v>8.9999999999999993E-3</v>
      </c>
      <c r="AC678" s="8">
        <v>1E-3</v>
      </c>
    </row>
    <row r="679" spans="1:29" ht="11.65" x14ac:dyDescent="0.35">
      <c r="A679" s="12">
        <v>662</v>
      </c>
      <c r="B679" s="10" t="s">
        <v>1015</v>
      </c>
      <c r="C679" s="11" t="s">
        <v>606</v>
      </c>
      <c r="D679" s="9"/>
      <c r="E679" s="9">
        <v>894</v>
      </c>
      <c r="F679" s="10" t="s">
        <v>1066</v>
      </c>
      <c r="G679" s="9">
        <v>910</v>
      </c>
      <c r="H679" s="9">
        <v>1955</v>
      </c>
      <c r="I679" s="8">
        <v>243.911</v>
      </c>
      <c r="J679" s="8">
        <v>195.94300000000001</v>
      </c>
      <c r="K679" s="8">
        <v>161.63999999999999</v>
      </c>
      <c r="L679" s="8">
        <v>137.154</v>
      </c>
      <c r="M679" s="8">
        <v>113.95399999999999</v>
      </c>
      <c r="N679" s="8">
        <v>95.504000000000005</v>
      </c>
      <c r="O679" s="8">
        <v>79.802999999999997</v>
      </c>
      <c r="P679" s="8">
        <v>68.027000000000001</v>
      </c>
      <c r="Q679" s="8">
        <v>56.633000000000003</v>
      </c>
      <c r="R679" s="8">
        <v>46.26</v>
      </c>
      <c r="S679" s="8">
        <v>35.747</v>
      </c>
      <c r="T679" s="8">
        <v>28.103000000000002</v>
      </c>
      <c r="U679" s="8">
        <v>19.388000000000002</v>
      </c>
      <c r="V679" s="8">
        <v>15.036</v>
      </c>
      <c r="W679" s="8">
        <v>10.073</v>
      </c>
      <c r="X679" s="8">
        <v>5.76</v>
      </c>
      <c r="Y679" s="8">
        <v>2.3370000000000002</v>
      </c>
      <c r="Z679" s="8">
        <v>0.54100000000000004</v>
      </c>
      <c r="AA679" s="8">
        <v>8.5000000000000006E-2</v>
      </c>
      <c r="AB679" s="8">
        <v>7.0000000000000001E-3</v>
      </c>
      <c r="AC679" s="8">
        <v>1E-3</v>
      </c>
    </row>
    <row r="680" spans="1:29" ht="11.65" x14ac:dyDescent="0.35">
      <c r="A680" s="12">
        <v>663</v>
      </c>
      <c r="B680" s="10" t="s">
        <v>1015</v>
      </c>
      <c r="C680" s="11" t="s">
        <v>606</v>
      </c>
      <c r="D680" s="9"/>
      <c r="E680" s="9">
        <v>894</v>
      </c>
      <c r="F680" s="10" t="s">
        <v>1066</v>
      </c>
      <c r="G680" s="9">
        <v>910</v>
      </c>
      <c r="H680" s="9">
        <v>1960</v>
      </c>
      <c r="I680" s="8">
        <v>293.64699999999999</v>
      </c>
      <c r="J680" s="8">
        <v>224.749</v>
      </c>
      <c r="K680" s="8">
        <v>190.21100000000001</v>
      </c>
      <c r="L680" s="8">
        <v>157.88</v>
      </c>
      <c r="M680" s="8">
        <v>132.71199999999999</v>
      </c>
      <c r="N680" s="8">
        <v>109.363</v>
      </c>
      <c r="O680" s="8">
        <v>91.289000000000001</v>
      </c>
      <c r="P680" s="8">
        <v>75.783000000000001</v>
      </c>
      <c r="Q680" s="8">
        <v>64.001000000000005</v>
      </c>
      <c r="R680" s="8">
        <v>52.716999999999999</v>
      </c>
      <c r="S680" s="8">
        <v>42.402999999999999</v>
      </c>
      <c r="T680" s="8">
        <v>32.061</v>
      </c>
      <c r="U680" s="8">
        <v>24.338999999999999</v>
      </c>
      <c r="V680" s="8">
        <v>15.789</v>
      </c>
      <c r="W680" s="8">
        <v>11.057</v>
      </c>
      <c r="X680" s="8">
        <v>6.2590000000000003</v>
      </c>
      <c r="Y680" s="8">
        <v>2.718</v>
      </c>
      <c r="Z680" s="8">
        <v>0.70699999999999996</v>
      </c>
      <c r="AA680" s="8">
        <v>8.3000000000000004E-2</v>
      </c>
      <c r="AB680" s="8">
        <v>6.0000000000000001E-3</v>
      </c>
      <c r="AC680" s="8">
        <v>0</v>
      </c>
    </row>
    <row r="681" spans="1:29" ht="11.65" x14ac:dyDescent="0.35">
      <c r="A681" s="12">
        <v>664</v>
      </c>
      <c r="B681" s="10" t="s">
        <v>1015</v>
      </c>
      <c r="C681" s="11" t="s">
        <v>606</v>
      </c>
      <c r="D681" s="9"/>
      <c r="E681" s="9">
        <v>894</v>
      </c>
      <c r="F681" s="10" t="s">
        <v>1066</v>
      </c>
      <c r="G681" s="9">
        <v>910</v>
      </c>
      <c r="H681" s="9">
        <v>1965</v>
      </c>
      <c r="I681" s="8">
        <v>353.32600000000002</v>
      </c>
      <c r="J681" s="8">
        <v>272.947</v>
      </c>
      <c r="K681" s="8">
        <v>218.60900000000001</v>
      </c>
      <c r="L681" s="8">
        <v>183.976</v>
      </c>
      <c r="M681" s="8">
        <v>148.56299999999999</v>
      </c>
      <c r="N681" s="8">
        <v>123.67</v>
      </c>
      <c r="O681" s="8">
        <v>102.536</v>
      </c>
      <c r="P681" s="8">
        <v>85.588999999999999</v>
      </c>
      <c r="Q681" s="8">
        <v>70.590999999999994</v>
      </c>
      <c r="R681" s="8">
        <v>59.09</v>
      </c>
      <c r="S681" s="8">
        <v>47.981000000000002</v>
      </c>
      <c r="T681" s="8">
        <v>37.795999999999999</v>
      </c>
      <c r="U681" s="8">
        <v>27.608000000000001</v>
      </c>
      <c r="V681" s="8">
        <v>19.716000000000001</v>
      </c>
      <c r="W681" s="8">
        <v>11.532999999999999</v>
      </c>
      <c r="X681" s="8">
        <v>6.8120000000000003</v>
      </c>
      <c r="Y681" s="8">
        <v>2.903</v>
      </c>
      <c r="Z681" s="8">
        <v>0.79100000000000004</v>
      </c>
      <c r="AA681" s="8">
        <v>9.8000000000000004E-2</v>
      </c>
      <c r="AB681" s="8">
        <v>5.0000000000000001E-3</v>
      </c>
      <c r="AC681" s="8">
        <v>0</v>
      </c>
    </row>
    <row r="682" spans="1:29" ht="11.65" x14ac:dyDescent="0.35">
      <c r="A682" s="12">
        <v>665</v>
      </c>
      <c r="B682" s="10" t="s">
        <v>1015</v>
      </c>
      <c r="C682" s="11" t="s">
        <v>606</v>
      </c>
      <c r="D682" s="9"/>
      <c r="E682" s="9">
        <v>894</v>
      </c>
      <c r="F682" s="10" t="s">
        <v>1066</v>
      </c>
      <c r="G682" s="9">
        <v>910</v>
      </c>
      <c r="H682" s="9">
        <v>1970</v>
      </c>
      <c r="I682" s="8">
        <v>410.03399999999999</v>
      </c>
      <c r="J682" s="8">
        <v>330.678</v>
      </c>
      <c r="K682" s="8">
        <v>266.36500000000001</v>
      </c>
      <c r="L682" s="8">
        <v>212.99799999999999</v>
      </c>
      <c r="M682" s="8">
        <v>176.00200000000001</v>
      </c>
      <c r="N682" s="8">
        <v>140.86199999999999</v>
      </c>
      <c r="O682" s="8">
        <v>117.499</v>
      </c>
      <c r="P682" s="8">
        <v>97.167000000000002</v>
      </c>
      <c r="Q682" s="8">
        <v>80.531000000000006</v>
      </c>
      <c r="R682" s="8">
        <v>65.793999999999997</v>
      </c>
      <c r="S682" s="8">
        <v>54.28</v>
      </c>
      <c r="T682" s="8">
        <v>43.156999999999996</v>
      </c>
      <c r="U682" s="8">
        <v>32.862000000000002</v>
      </c>
      <c r="V682" s="8">
        <v>22.581</v>
      </c>
      <c r="W682" s="8">
        <v>14.573</v>
      </c>
      <c r="X682" s="8">
        <v>7.19</v>
      </c>
      <c r="Y682" s="8">
        <v>3.2069999999999999</v>
      </c>
      <c r="Z682" s="8">
        <v>0.85899999999999999</v>
      </c>
      <c r="AA682" s="8">
        <v>0.113</v>
      </c>
      <c r="AB682" s="8">
        <v>6.0000000000000001E-3</v>
      </c>
      <c r="AC682" s="8">
        <v>0</v>
      </c>
    </row>
    <row r="683" spans="1:29" ht="11.65" x14ac:dyDescent="0.35">
      <c r="A683" s="12">
        <v>666</v>
      </c>
      <c r="B683" s="10" t="s">
        <v>1015</v>
      </c>
      <c r="C683" s="11" t="s">
        <v>606</v>
      </c>
      <c r="D683" s="9"/>
      <c r="E683" s="9">
        <v>894</v>
      </c>
      <c r="F683" s="10" t="s">
        <v>1066</v>
      </c>
      <c r="G683" s="9">
        <v>910</v>
      </c>
      <c r="H683" s="9">
        <v>1975</v>
      </c>
      <c r="I683" s="8">
        <v>493.73099999999999</v>
      </c>
      <c r="J683" s="8">
        <v>387.43400000000003</v>
      </c>
      <c r="K683" s="8">
        <v>323.827</v>
      </c>
      <c r="L683" s="8">
        <v>260.56099999999998</v>
      </c>
      <c r="M683" s="8">
        <v>205.06700000000001</v>
      </c>
      <c r="N683" s="8">
        <v>168.167</v>
      </c>
      <c r="O683" s="8">
        <v>134.661</v>
      </c>
      <c r="P683" s="8">
        <v>111.997</v>
      </c>
      <c r="Q683" s="8">
        <v>91.963999999999999</v>
      </c>
      <c r="R683" s="8">
        <v>75.516000000000005</v>
      </c>
      <c r="S683" s="8">
        <v>60.796999999999997</v>
      </c>
      <c r="T683" s="8">
        <v>49.122999999999998</v>
      </c>
      <c r="U683" s="8">
        <v>37.762999999999998</v>
      </c>
      <c r="V683" s="8">
        <v>27.071999999999999</v>
      </c>
      <c r="W683" s="8">
        <v>16.817</v>
      </c>
      <c r="X683" s="8">
        <v>9.1669999999999998</v>
      </c>
      <c r="Y683" s="8">
        <v>3.4079999999999999</v>
      </c>
      <c r="Z683" s="8">
        <v>0.95499999999999996</v>
      </c>
      <c r="AA683" s="8">
        <v>0.122</v>
      </c>
      <c r="AB683" s="8">
        <v>6.0000000000000001E-3</v>
      </c>
      <c r="AC683" s="8">
        <v>0</v>
      </c>
    </row>
    <row r="684" spans="1:29" ht="11.65" x14ac:dyDescent="0.35">
      <c r="A684" s="12">
        <v>667</v>
      </c>
      <c r="B684" s="10" t="s">
        <v>1015</v>
      </c>
      <c r="C684" s="11" t="s">
        <v>606</v>
      </c>
      <c r="D684" s="9"/>
      <c r="E684" s="9">
        <v>894</v>
      </c>
      <c r="F684" s="10" t="s">
        <v>1066</v>
      </c>
      <c r="G684" s="9">
        <v>910</v>
      </c>
      <c r="H684" s="9">
        <v>1980</v>
      </c>
      <c r="I684" s="8">
        <v>581.02800000000002</v>
      </c>
      <c r="J684" s="8">
        <v>469.05599999999998</v>
      </c>
      <c r="K684" s="8">
        <v>379.99099999999999</v>
      </c>
      <c r="L684" s="8">
        <v>317.07299999999998</v>
      </c>
      <c r="M684" s="8">
        <v>251.12700000000001</v>
      </c>
      <c r="N684" s="8">
        <v>196.04</v>
      </c>
      <c r="O684" s="8">
        <v>160.923</v>
      </c>
      <c r="P684" s="8">
        <v>128.45099999999999</v>
      </c>
      <c r="Q684" s="8">
        <v>106.096</v>
      </c>
      <c r="R684" s="8">
        <v>86.317999999999998</v>
      </c>
      <c r="S684" s="8">
        <v>69.847999999999999</v>
      </c>
      <c r="T684" s="8">
        <v>55.067999999999998</v>
      </c>
      <c r="U684" s="8">
        <v>43.024999999999999</v>
      </c>
      <c r="V684" s="8">
        <v>31.14</v>
      </c>
      <c r="W684" s="8">
        <v>20.183</v>
      </c>
      <c r="X684" s="8">
        <v>10.582000000000001</v>
      </c>
      <c r="Y684" s="8">
        <v>4.3390000000000004</v>
      </c>
      <c r="Z684" s="8">
        <v>1.0049999999999999</v>
      </c>
      <c r="AA684" s="8">
        <v>0.13400000000000001</v>
      </c>
      <c r="AB684" s="8">
        <v>6.0000000000000001E-3</v>
      </c>
      <c r="AC684" s="8">
        <v>0</v>
      </c>
    </row>
    <row r="685" spans="1:29" ht="11.65" x14ac:dyDescent="0.35">
      <c r="A685" s="12">
        <v>668</v>
      </c>
      <c r="B685" s="10" t="s">
        <v>1015</v>
      </c>
      <c r="C685" s="11" t="s">
        <v>606</v>
      </c>
      <c r="D685" s="9"/>
      <c r="E685" s="9">
        <v>894</v>
      </c>
      <c r="F685" s="10" t="s">
        <v>1066</v>
      </c>
      <c r="G685" s="9">
        <v>910</v>
      </c>
      <c r="H685" s="9">
        <v>1985</v>
      </c>
      <c r="I685" s="8">
        <v>661.88699999999994</v>
      </c>
      <c r="J685" s="8">
        <v>552.423</v>
      </c>
      <c r="K685" s="8">
        <v>461.16699999999997</v>
      </c>
      <c r="L685" s="8">
        <v>375.07900000000001</v>
      </c>
      <c r="M685" s="8">
        <v>311.49299999999999</v>
      </c>
      <c r="N685" s="8">
        <v>245.41399999999999</v>
      </c>
      <c r="O685" s="8">
        <v>190.73599999999999</v>
      </c>
      <c r="P685" s="8">
        <v>155.59800000000001</v>
      </c>
      <c r="Q685" s="8">
        <v>123.226</v>
      </c>
      <c r="R685" s="8">
        <v>100.825</v>
      </c>
      <c r="S685" s="8">
        <v>80.847999999999999</v>
      </c>
      <c r="T685" s="8">
        <v>64.096999999999994</v>
      </c>
      <c r="U685" s="8">
        <v>48.917999999999999</v>
      </c>
      <c r="V685" s="8">
        <v>36.072000000000003</v>
      </c>
      <c r="W685" s="8">
        <v>23.709</v>
      </c>
      <c r="X685" s="8">
        <v>13.071</v>
      </c>
      <c r="Y685" s="8">
        <v>5.2290000000000001</v>
      </c>
      <c r="Z685" s="8">
        <v>1.369</v>
      </c>
      <c r="AA685" s="8">
        <v>0.158</v>
      </c>
      <c r="AB685" s="8">
        <v>8.9999999999999993E-3</v>
      </c>
      <c r="AC685" s="8">
        <v>0</v>
      </c>
    </row>
    <row r="686" spans="1:29" ht="11.65" x14ac:dyDescent="0.35">
      <c r="A686" s="12">
        <v>669</v>
      </c>
      <c r="B686" s="10" t="s">
        <v>1015</v>
      </c>
      <c r="C686" s="11" t="s">
        <v>606</v>
      </c>
      <c r="D686" s="9"/>
      <c r="E686" s="9">
        <v>894</v>
      </c>
      <c r="F686" s="10" t="s">
        <v>1066</v>
      </c>
      <c r="G686" s="9">
        <v>910</v>
      </c>
      <c r="H686" s="9">
        <v>1990</v>
      </c>
      <c r="I686" s="8">
        <v>745.80799999999999</v>
      </c>
      <c r="J686" s="8">
        <v>625.09699999999998</v>
      </c>
      <c r="K686" s="8">
        <v>542.70600000000002</v>
      </c>
      <c r="L686" s="8">
        <v>450.03100000000001</v>
      </c>
      <c r="M686" s="8">
        <v>357.56599999999997</v>
      </c>
      <c r="N686" s="8">
        <v>294.43299999999999</v>
      </c>
      <c r="O686" s="8">
        <v>232.85300000000001</v>
      </c>
      <c r="P686" s="8">
        <v>180.697</v>
      </c>
      <c r="Q686" s="8">
        <v>146.52199999999999</v>
      </c>
      <c r="R686" s="8">
        <v>115.07</v>
      </c>
      <c r="S686" s="8">
        <v>93.004000000000005</v>
      </c>
      <c r="T686" s="8">
        <v>73.260999999999996</v>
      </c>
      <c r="U686" s="8">
        <v>56.401000000000003</v>
      </c>
      <c r="V686" s="8">
        <v>40.805</v>
      </c>
      <c r="W686" s="8">
        <v>27.486000000000001</v>
      </c>
      <c r="X686" s="8">
        <v>15.486000000000001</v>
      </c>
      <c r="Y686" s="8">
        <v>6.5650000000000004</v>
      </c>
      <c r="Z686" s="8">
        <v>1.6859999999999999</v>
      </c>
      <c r="AA686" s="8">
        <v>0.216</v>
      </c>
      <c r="AB686" s="8">
        <v>0.01</v>
      </c>
      <c r="AC686" s="8">
        <v>0</v>
      </c>
    </row>
    <row r="687" spans="1:29" ht="11.65" x14ac:dyDescent="0.35">
      <c r="A687" s="12">
        <v>670</v>
      </c>
      <c r="B687" s="10" t="s">
        <v>1015</v>
      </c>
      <c r="C687" s="11" t="s">
        <v>606</v>
      </c>
      <c r="D687" s="9"/>
      <c r="E687" s="9">
        <v>894</v>
      </c>
      <c r="F687" s="10" t="s">
        <v>1066</v>
      </c>
      <c r="G687" s="9">
        <v>910</v>
      </c>
      <c r="H687" s="9">
        <v>1995</v>
      </c>
      <c r="I687" s="8">
        <v>833.803</v>
      </c>
      <c r="J687" s="8">
        <v>697.327</v>
      </c>
      <c r="K687" s="8">
        <v>609.745</v>
      </c>
      <c r="L687" s="8">
        <v>523.02700000000004</v>
      </c>
      <c r="M687" s="8">
        <v>418.42200000000003</v>
      </c>
      <c r="N687" s="8">
        <v>326.358</v>
      </c>
      <c r="O687" s="8">
        <v>269.43299999999999</v>
      </c>
      <c r="P687" s="8">
        <v>211.08199999999999</v>
      </c>
      <c r="Q687" s="8">
        <v>161.148</v>
      </c>
      <c r="R687" s="8">
        <v>129.12</v>
      </c>
      <c r="S687" s="8">
        <v>100.066</v>
      </c>
      <c r="T687" s="8">
        <v>79.474999999999994</v>
      </c>
      <c r="U687" s="8">
        <v>60.610999999999997</v>
      </c>
      <c r="V687" s="8">
        <v>44.048000000000002</v>
      </c>
      <c r="W687" s="8">
        <v>28.834</v>
      </c>
      <c r="X687" s="8">
        <v>16.46</v>
      </c>
      <c r="Y687" s="8">
        <v>7</v>
      </c>
      <c r="Z687" s="8">
        <v>1.84</v>
      </c>
      <c r="AA687" s="8">
        <v>0.22700000000000001</v>
      </c>
      <c r="AB687" s="8">
        <v>1.4999999999999999E-2</v>
      </c>
      <c r="AC687" s="8">
        <v>1E-3</v>
      </c>
    </row>
    <row r="688" spans="1:29" ht="11.65" x14ac:dyDescent="0.35">
      <c r="A688" s="12">
        <v>671</v>
      </c>
      <c r="B688" s="10" t="s">
        <v>1015</v>
      </c>
      <c r="C688" s="11" t="s">
        <v>606</v>
      </c>
      <c r="D688" s="9"/>
      <c r="E688" s="9">
        <v>894</v>
      </c>
      <c r="F688" s="10" t="s">
        <v>1066</v>
      </c>
      <c r="G688" s="9">
        <v>910</v>
      </c>
      <c r="H688" s="9">
        <v>2000</v>
      </c>
      <c r="I688" s="8">
        <v>961.10900000000004</v>
      </c>
      <c r="J688" s="8">
        <v>781.92200000000003</v>
      </c>
      <c r="K688" s="8">
        <v>679.52099999999996</v>
      </c>
      <c r="L688" s="8">
        <v>597.64499999999998</v>
      </c>
      <c r="M688" s="8">
        <v>509.68400000000003</v>
      </c>
      <c r="N688" s="8">
        <v>400.86799999999999</v>
      </c>
      <c r="O688" s="8">
        <v>305.04500000000002</v>
      </c>
      <c r="P688" s="8">
        <v>243.643</v>
      </c>
      <c r="Q688" s="8">
        <v>185.04499999999999</v>
      </c>
      <c r="R688" s="8">
        <v>138.833</v>
      </c>
      <c r="S688" s="8">
        <v>109.89100000000001</v>
      </c>
      <c r="T688" s="8">
        <v>83.748000000000005</v>
      </c>
      <c r="U688" s="8">
        <v>64.268000000000001</v>
      </c>
      <c r="V688" s="8">
        <v>46.191000000000003</v>
      </c>
      <c r="W688" s="8">
        <v>30.280999999999999</v>
      </c>
      <c r="X688" s="8">
        <v>16.797000000000001</v>
      </c>
      <c r="Y688" s="8">
        <v>7.29</v>
      </c>
      <c r="Z688" s="8">
        <v>1.9590000000000001</v>
      </c>
      <c r="AA688" s="8">
        <v>0.27500000000000002</v>
      </c>
      <c r="AB688" s="8">
        <v>1.7999999999999999E-2</v>
      </c>
      <c r="AC688" s="8">
        <v>1E-3</v>
      </c>
    </row>
    <row r="689" spans="1:29" ht="11.65" x14ac:dyDescent="0.35">
      <c r="A689" s="12">
        <v>672</v>
      </c>
      <c r="B689" s="10" t="s">
        <v>1015</v>
      </c>
      <c r="C689" s="11" t="s">
        <v>606</v>
      </c>
      <c r="D689" s="9"/>
      <c r="E689" s="9">
        <v>894</v>
      </c>
      <c r="F689" s="10" t="s">
        <v>1066</v>
      </c>
      <c r="G689" s="9">
        <v>910</v>
      </c>
      <c r="H689" s="9">
        <v>2005</v>
      </c>
      <c r="I689" s="8">
        <v>1120.5139999999999</v>
      </c>
      <c r="J689" s="8">
        <v>911.59199999999998</v>
      </c>
      <c r="K689" s="8">
        <v>762.072</v>
      </c>
      <c r="L689" s="8">
        <v>655.96600000000001</v>
      </c>
      <c r="M689" s="8">
        <v>560.46799999999996</v>
      </c>
      <c r="N689" s="8">
        <v>469.3</v>
      </c>
      <c r="O689" s="8">
        <v>364.88600000000002</v>
      </c>
      <c r="P689" s="8">
        <v>271.03100000000001</v>
      </c>
      <c r="Q689" s="8">
        <v>210.76300000000001</v>
      </c>
      <c r="R689" s="8">
        <v>157.214</v>
      </c>
      <c r="S689" s="8">
        <v>116.187</v>
      </c>
      <c r="T689" s="8">
        <v>90.263999999999996</v>
      </c>
      <c r="U689" s="8">
        <v>66.316000000000003</v>
      </c>
      <c r="V689" s="8">
        <v>47.774999999999999</v>
      </c>
      <c r="W689" s="8">
        <v>30.765000000000001</v>
      </c>
      <c r="X689" s="8">
        <v>16.861000000000001</v>
      </c>
      <c r="Y689" s="8">
        <v>6.9089999999999998</v>
      </c>
      <c r="Z689" s="8">
        <v>1.796</v>
      </c>
      <c r="AA689" s="8">
        <v>0.22700000000000001</v>
      </c>
      <c r="AB689" s="8">
        <v>1.7999999999999999E-2</v>
      </c>
      <c r="AC689" s="8">
        <v>1E-3</v>
      </c>
    </row>
    <row r="690" spans="1:29" ht="11.65" x14ac:dyDescent="0.35">
      <c r="A690" s="12">
        <v>673</v>
      </c>
      <c r="B690" s="10" t="s">
        <v>1015</v>
      </c>
      <c r="C690" s="11" t="s">
        <v>606</v>
      </c>
      <c r="D690" s="9"/>
      <c r="E690" s="9">
        <v>894</v>
      </c>
      <c r="F690" s="10" t="s">
        <v>1066</v>
      </c>
      <c r="G690" s="9">
        <v>910</v>
      </c>
      <c r="H690" s="9">
        <v>2010</v>
      </c>
      <c r="I690" s="8">
        <v>1255.6559999999999</v>
      </c>
      <c r="J690" s="8">
        <v>1082.886</v>
      </c>
      <c r="K690" s="8">
        <v>894.57799999999997</v>
      </c>
      <c r="L690" s="8">
        <v>738.78700000000003</v>
      </c>
      <c r="M690" s="8">
        <v>617.28399999999999</v>
      </c>
      <c r="N690" s="8">
        <v>520.08600000000001</v>
      </c>
      <c r="O690" s="8">
        <v>434.38900000000001</v>
      </c>
      <c r="P690" s="8">
        <v>332.745</v>
      </c>
      <c r="Q690" s="8">
        <v>242.07</v>
      </c>
      <c r="R690" s="8">
        <v>185.202</v>
      </c>
      <c r="S690" s="8">
        <v>135.547</v>
      </c>
      <c r="T690" s="8">
        <v>97.745999999999995</v>
      </c>
      <c r="U690" s="8">
        <v>73.042000000000002</v>
      </c>
      <c r="V690" s="8">
        <v>50.139000000000003</v>
      </c>
      <c r="W690" s="8">
        <v>32.277000000000001</v>
      </c>
      <c r="X690" s="8">
        <v>17.283000000000001</v>
      </c>
      <c r="Y690" s="8">
        <v>6.9279999999999999</v>
      </c>
      <c r="Z690" s="8">
        <v>1.6659999999999999</v>
      </c>
      <c r="AA690" s="8">
        <v>0.188</v>
      </c>
      <c r="AB690" s="8">
        <v>1.2E-2</v>
      </c>
      <c r="AC690" s="8">
        <v>1E-3</v>
      </c>
    </row>
    <row r="691" spans="1:29" ht="11.65" x14ac:dyDescent="0.35">
      <c r="A691" s="12">
        <v>674</v>
      </c>
      <c r="B691" s="10" t="s">
        <v>1015</v>
      </c>
      <c r="C691" s="11" t="s">
        <v>606</v>
      </c>
      <c r="D691" s="9"/>
      <c r="E691" s="9">
        <v>894</v>
      </c>
      <c r="F691" s="10" t="s">
        <v>1066</v>
      </c>
      <c r="G691" s="9">
        <v>910</v>
      </c>
      <c r="H691" s="9">
        <v>2015</v>
      </c>
      <c r="I691" s="8">
        <v>1391.028</v>
      </c>
      <c r="J691" s="8">
        <v>1231.1569999999999</v>
      </c>
      <c r="K691" s="8">
        <v>1072.7619999999999</v>
      </c>
      <c r="L691" s="8">
        <v>882.96199999999999</v>
      </c>
      <c r="M691" s="8">
        <v>720.91200000000003</v>
      </c>
      <c r="N691" s="8">
        <v>597.96299999999997</v>
      </c>
      <c r="O691" s="8">
        <v>501.697</v>
      </c>
      <c r="P691" s="8">
        <v>415.32400000000001</v>
      </c>
      <c r="Q691" s="8">
        <v>314.38200000000001</v>
      </c>
      <c r="R691" s="8">
        <v>225.88800000000001</v>
      </c>
      <c r="S691" s="8">
        <v>169.86099999999999</v>
      </c>
      <c r="T691" s="8">
        <v>121.47199999999999</v>
      </c>
      <c r="U691" s="8">
        <v>84.522999999999996</v>
      </c>
      <c r="V691" s="8">
        <v>59.424999999999997</v>
      </c>
      <c r="W691" s="8">
        <v>36.954000000000001</v>
      </c>
      <c r="X691" s="8">
        <v>20.245999999999999</v>
      </c>
      <c r="Y691" s="8">
        <v>8.2579999999999991</v>
      </c>
      <c r="Z691" s="8">
        <v>2.0979999999999999</v>
      </c>
      <c r="AA691" s="8">
        <v>0.246</v>
      </c>
      <c r="AB691" s="8">
        <v>1.2E-2</v>
      </c>
      <c r="AC691" s="8">
        <v>1E-3</v>
      </c>
    </row>
    <row r="692" spans="1:29" ht="11.65" x14ac:dyDescent="0.35">
      <c r="A692" s="12">
        <v>675</v>
      </c>
      <c r="B692" s="10" t="s">
        <v>1015</v>
      </c>
      <c r="C692" s="11" t="s">
        <v>606</v>
      </c>
      <c r="D692" s="9"/>
      <c r="E692" s="9">
        <v>894</v>
      </c>
      <c r="F692" s="10" t="s">
        <v>1066</v>
      </c>
      <c r="G692" s="9">
        <v>910</v>
      </c>
      <c r="H692" s="9">
        <v>2020</v>
      </c>
      <c r="I692" s="8">
        <v>1489.489</v>
      </c>
      <c r="J692" s="8">
        <v>1370.8810000000001</v>
      </c>
      <c r="K692" s="8">
        <v>1222.79</v>
      </c>
      <c r="L692" s="8">
        <v>1062.327</v>
      </c>
      <c r="M692" s="8">
        <v>866.79499999999996</v>
      </c>
      <c r="N692" s="8">
        <v>703.69200000000001</v>
      </c>
      <c r="O692" s="8">
        <v>581.64700000000005</v>
      </c>
      <c r="P692" s="8">
        <v>484.58699999999999</v>
      </c>
      <c r="Q692" s="8">
        <v>397.44299999999998</v>
      </c>
      <c r="R692" s="8">
        <v>297.666</v>
      </c>
      <c r="S692" s="8">
        <v>210.398</v>
      </c>
      <c r="T692" s="8">
        <v>154.79900000000001</v>
      </c>
      <c r="U692" s="8">
        <v>107.083</v>
      </c>
      <c r="V692" s="8">
        <v>70.382000000000005</v>
      </c>
      <c r="W692" s="8">
        <v>45.2</v>
      </c>
      <c r="X692" s="8">
        <v>24.257000000000001</v>
      </c>
      <c r="Y692" s="8">
        <v>10.375</v>
      </c>
      <c r="Z692" s="8">
        <v>2.8050000000000002</v>
      </c>
      <c r="AA692" s="8">
        <v>0.37</v>
      </c>
      <c r="AB692" s="8">
        <v>1.9E-2</v>
      </c>
      <c r="AC692" s="8">
        <v>1E-3</v>
      </c>
    </row>
    <row r="693" spans="1:29" ht="11.65" x14ac:dyDescent="0.35">
      <c r="A693" s="12">
        <v>676</v>
      </c>
      <c r="B693" s="10" t="s">
        <v>1015</v>
      </c>
      <c r="C693" s="11" t="s">
        <v>607</v>
      </c>
      <c r="D693" s="9"/>
      <c r="E693" s="9">
        <v>716</v>
      </c>
      <c r="F693" s="10" t="s">
        <v>1066</v>
      </c>
      <c r="G693" s="9">
        <v>910</v>
      </c>
      <c r="H693" s="9">
        <v>1950</v>
      </c>
      <c r="I693" s="8">
        <v>223.976</v>
      </c>
      <c r="J693" s="8">
        <v>197.625</v>
      </c>
      <c r="K693" s="8">
        <v>163.74600000000001</v>
      </c>
      <c r="L693" s="8">
        <v>140.03200000000001</v>
      </c>
      <c r="M693" s="8">
        <v>122.339</v>
      </c>
      <c r="N693" s="8">
        <v>100.38</v>
      </c>
      <c r="O693" s="8">
        <v>94.106999999999999</v>
      </c>
      <c r="P693" s="8">
        <v>72.775999999999996</v>
      </c>
      <c r="Q693" s="8">
        <v>60.228999999999999</v>
      </c>
      <c r="R693" s="8">
        <v>51.445</v>
      </c>
      <c r="S693" s="8">
        <v>42.661999999999999</v>
      </c>
      <c r="T693" s="8">
        <v>35.133000000000003</v>
      </c>
      <c r="U693" s="8">
        <v>26.35</v>
      </c>
      <c r="V693" s="8">
        <v>18.821999999999999</v>
      </c>
      <c r="W693" s="8">
        <v>11.542999999999999</v>
      </c>
      <c r="X693" s="8">
        <v>5.7729999999999997</v>
      </c>
      <c r="Y693" s="8">
        <v>1.879</v>
      </c>
      <c r="Z693" s="8">
        <v>0.61899999999999999</v>
      </c>
      <c r="AA693" s="8">
        <v>0.125</v>
      </c>
      <c r="AB693" s="8">
        <v>1.2999999999999999E-2</v>
      </c>
      <c r="AC693" s="8">
        <v>1E-3</v>
      </c>
    </row>
    <row r="694" spans="1:29" ht="11.65" x14ac:dyDescent="0.35">
      <c r="A694" s="12">
        <v>677</v>
      </c>
      <c r="B694" s="10" t="s">
        <v>1015</v>
      </c>
      <c r="C694" s="11" t="s">
        <v>607</v>
      </c>
      <c r="D694" s="9"/>
      <c r="E694" s="9">
        <v>716</v>
      </c>
      <c r="F694" s="10" t="s">
        <v>1066</v>
      </c>
      <c r="G694" s="9">
        <v>910</v>
      </c>
      <c r="H694" s="9">
        <v>1955</v>
      </c>
      <c r="I694" s="8">
        <v>309.78800000000001</v>
      </c>
      <c r="J694" s="8">
        <v>210.191</v>
      </c>
      <c r="K694" s="8">
        <v>193.17099999999999</v>
      </c>
      <c r="L694" s="8">
        <v>160.55799999999999</v>
      </c>
      <c r="M694" s="8">
        <v>135.905</v>
      </c>
      <c r="N694" s="8">
        <v>117.776</v>
      </c>
      <c r="O694" s="8">
        <v>96.283000000000001</v>
      </c>
      <c r="P694" s="8">
        <v>89.828999999999994</v>
      </c>
      <c r="Q694" s="8">
        <v>68.915000000000006</v>
      </c>
      <c r="R694" s="8">
        <v>56.499000000000002</v>
      </c>
      <c r="S694" s="8">
        <v>47.555999999999997</v>
      </c>
      <c r="T694" s="8">
        <v>38.615000000000002</v>
      </c>
      <c r="U694" s="8">
        <v>30.738</v>
      </c>
      <c r="V694" s="8">
        <v>21.701000000000001</v>
      </c>
      <c r="W694" s="8">
        <v>14.018000000000001</v>
      </c>
      <c r="X694" s="8">
        <v>7.2679999999999998</v>
      </c>
      <c r="Y694" s="8">
        <v>2.7480000000000002</v>
      </c>
      <c r="Z694" s="8">
        <v>0.56699999999999995</v>
      </c>
      <c r="AA694" s="8">
        <v>9.0999999999999998E-2</v>
      </c>
      <c r="AB694" s="8">
        <v>8.9999999999999993E-3</v>
      </c>
      <c r="AC694" s="8">
        <v>1E-3</v>
      </c>
    </row>
    <row r="695" spans="1:29" ht="11.65" x14ac:dyDescent="0.35">
      <c r="A695" s="12">
        <v>678</v>
      </c>
      <c r="B695" s="10" t="s">
        <v>1015</v>
      </c>
      <c r="C695" s="11" t="s">
        <v>607</v>
      </c>
      <c r="D695" s="9"/>
      <c r="E695" s="9">
        <v>716</v>
      </c>
      <c r="F695" s="10" t="s">
        <v>1066</v>
      </c>
      <c r="G695" s="9">
        <v>910</v>
      </c>
      <c r="H695" s="9">
        <v>1960</v>
      </c>
      <c r="I695" s="8">
        <v>367.18299999999999</v>
      </c>
      <c r="J695" s="8">
        <v>293.471</v>
      </c>
      <c r="K695" s="8">
        <v>206.053</v>
      </c>
      <c r="L695" s="8">
        <v>189.73099999999999</v>
      </c>
      <c r="M695" s="8">
        <v>156.03200000000001</v>
      </c>
      <c r="N695" s="8">
        <v>130.976</v>
      </c>
      <c r="O695" s="8">
        <v>113.128</v>
      </c>
      <c r="P695" s="8">
        <v>92.025999999999996</v>
      </c>
      <c r="Q695" s="8">
        <v>85.290999999999997</v>
      </c>
      <c r="R695" s="8">
        <v>64.83</v>
      </c>
      <c r="S695" s="8">
        <v>52.387</v>
      </c>
      <c r="T695" s="8">
        <v>43.19</v>
      </c>
      <c r="U695" s="8">
        <v>33.911999999999999</v>
      </c>
      <c r="V695" s="8">
        <v>25.42</v>
      </c>
      <c r="W695" s="8">
        <v>16.233000000000001</v>
      </c>
      <c r="X695" s="8">
        <v>8.8620000000000001</v>
      </c>
      <c r="Y695" s="8">
        <v>3.4670000000000001</v>
      </c>
      <c r="Z695" s="8">
        <v>0.82699999999999996</v>
      </c>
      <c r="AA695" s="8">
        <v>8.3000000000000004E-2</v>
      </c>
      <c r="AB695" s="8">
        <v>6.0000000000000001E-3</v>
      </c>
      <c r="AC695" s="8">
        <v>0</v>
      </c>
    </row>
    <row r="696" spans="1:29" ht="11.65" x14ac:dyDescent="0.35">
      <c r="A696" s="12">
        <v>679</v>
      </c>
      <c r="B696" s="10" t="s">
        <v>1015</v>
      </c>
      <c r="C696" s="11" t="s">
        <v>607</v>
      </c>
      <c r="D696" s="9"/>
      <c r="E696" s="9">
        <v>716</v>
      </c>
      <c r="F696" s="10" t="s">
        <v>1066</v>
      </c>
      <c r="G696" s="9">
        <v>910</v>
      </c>
      <c r="H696" s="9">
        <v>1965</v>
      </c>
      <c r="I696" s="8">
        <v>442.69200000000001</v>
      </c>
      <c r="J696" s="8">
        <v>350.96899999999999</v>
      </c>
      <c r="K696" s="8">
        <v>288.44799999999998</v>
      </c>
      <c r="L696" s="8">
        <v>202.53</v>
      </c>
      <c r="M696" s="8">
        <v>184.31</v>
      </c>
      <c r="N696" s="8">
        <v>150.124</v>
      </c>
      <c r="O696" s="8">
        <v>125.571</v>
      </c>
      <c r="P696" s="8">
        <v>108.053</v>
      </c>
      <c r="Q696" s="8">
        <v>87.344999999999999</v>
      </c>
      <c r="R696" s="8">
        <v>80.358999999999995</v>
      </c>
      <c r="S696" s="8">
        <v>60.213000000000001</v>
      </c>
      <c r="T696" s="8">
        <v>47.674999999999997</v>
      </c>
      <c r="U696" s="8">
        <v>38.03</v>
      </c>
      <c r="V696" s="8">
        <v>28.131</v>
      </c>
      <c r="W696" s="8">
        <v>19.084</v>
      </c>
      <c r="X696" s="8">
        <v>10.294</v>
      </c>
      <c r="Y696" s="8">
        <v>4.2290000000000001</v>
      </c>
      <c r="Z696" s="8">
        <v>1.0369999999999999</v>
      </c>
      <c r="AA696" s="8">
        <v>0.11700000000000001</v>
      </c>
      <c r="AB696" s="8">
        <v>5.0000000000000001E-3</v>
      </c>
      <c r="AC696" s="8">
        <v>0</v>
      </c>
    </row>
    <row r="697" spans="1:29" ht="11.65" x14ac:dyDescent="0.35">
      <c r="A697" s="12">
        <v>680</v>
      </c>
      <c r="B697" s="10" t="s">
        <v>1015</v>
      </c>
      <c r="C697" s="11" t="s">
        <v>607</v>
      </c>
      <c r="D697" s="9"/>
      <c r="E697" s="9">
        <v>716</v>
      </c>
      <c r="F697" s="10" t="s">
        <v>1066</v>
      </c>
      <c r="G697" s="9">
        <v>910</v>
      </c>
      <c r="H697" s="9">
        <v>1970</v>
      </c>
      <c r="I697" s="8">
        <v>524.58900000000006</v>
      </c>
      <c r="J697" s="8">
        <v>426.03300000000002</v>
      </c>
      <c r="K697" s="8">
        <v>345.45600000000002</v>
      </c>
      <c r="L697" s="8">
        <v>283.21899999999999</v>
      </c>
      <c r="M697" s="8">
        <v>194.91900000000001</v>
      </c>
      <c r="N697" s="8">
        <v>175.14</v>
      </c>
      <c r="O697" s="8">
        <v>141.989</v>
      </c>
      <c r="P697" s="8">
        <v>118.545</v>
      </c>
      <c r="Q697" s="8">
        <v>101.73399999999999</v>
      </c>
      <c r="R697" s="8">
        <v>81.738</v>
      </c>
      <c r="S697" s="8">
        <v>74.412999999999997</v>
      </c>
      <c r="T697" s="8">
        <v>54.665999999999997</v>
      </c>
      <c r="U697" s="8">
        <v>41.927999999999997</v>
      </c>
      <c r="V697" s="8">
        <v>31.547999999999998</v>
      </c>
      <c r="W697" s="8">
        <v>21.138000000000002</v>
      </c>
      <c r="X697" s="8">
        <v>12.121</v>
      </c>
      <c r="Y697" s="8">
        <v>4.8959999999999999</v>
      </c>
      <c r="Z697" s="8">
        <v>1.258</v>
      </c>
      <c r="AA697" s="8">
        <v>0.14699999999999999</v>
      </c>
      <c r="AB697" s="8">
        <v>6.0000000000000001E-3</v>
      </c>
      <c r="AC697" s="8">
        <v>0</v>
      </c>
    </row>
    <row r="698" spans="1:29" ht="11.65" x14ac:dyDescent="0.35">
      <c r="A698" s="12">
        <v>681</v>
      </c>
      <c r="B698" s="10" t="s">
        <v>1015</v>
      </c>
      <c r="C698" s="11" t="s">
        <v>607</v>
      </c>
      <c r="D698" s="9"/>
      <c r="E698" s="9">
        <v>716</v>
      </c>
      <c r="F698" s="10" t="s">
        <v>1066</v>
      </c>
      <c r="G698" s="9">
        <v>910</v>
      </c>
      <c r="H698" s="9">
        <v>1975</v>
      </c>
      <c r="I698" s="8">
        <v>628.87800000000004</v>
      </c>
      <c r="J698" s="8">
        <v>506.55700000000002</v>
      </c>
      <c r="K698" s="8">
        <v>419.90899999999999</v>
      </c>
      <c r="L698" s="8">
        <v>339.68700000000001</v>
      </c>
      <c r="M698" s="8">
        <v>274.06299999999999</v>
      </c>
      <c r="N698" s="8">
        <v>185.41300000000001</v>
      </c>
      <c r="O698" s="8">
        <v>166.29300000000001</v>
      </c>
      <c r="P698" s="8">
        <v>134.483</v>
      </c>
      <c r="Q698" s="8">
        <v>111.93899999999999</v>
      </c>
      <c r="R698" s="8">
        <v>95.596999999999994</v>
      </c>
      <c r="S698" s="8">
        <v>75.894000000000005</v>
      </c>
      <c r="T698" s="8">
        <v>67.905000000000001</v>
      </c>
      <c r="U698" s="8">
        <v>48.320999999999998</v>
      </c>
      <c r="V698" s="8">
        <v>34.984000000000002</v>
      </c>
      <c r="W698" s="8">
        <v>23.885999999999999</v>
      </c>
      <c r="X698" s="8">
        <v>13.555999999999999</v>
      </c>
      <c r="Y698" s="8">
        <v>5.8419999999999996</v>
      </c>
      <c r="Z698" s="8">
        <v>1.4790000000000001</v>
      </c>
      <c r="AA698" s="8">
        <v>0.18099999999999999</v>
      </c>
      <c r="AB698" s="8">
        <v>8.0000000000000002E-3</v>
      </c>
      <c r="AC698" s="8">
        <v>0</v>
      </c>
    </row>
    <row r="699" spans="1:29" ht="11.65" x14ac:dyDescent="0.35">
      <c r="A699" s="12">
        <v>682</v>
      </c>
      <c r="B699" s="10" t="s">
        <v>1015</v>
      </c>
      <c r="C699" s="11" t="s">
        <v>607</v>
      </c>
      <c r="D699" s="9"/>
      <c r="E699" s="9">
        <v>716</v>
      </c>
      <c r="F699" s="10" t="s">
        <v>1066</v>
      </c>
      <c r="G699" s="9">
        <v>910</v>
      </c>
      <c r="H699" s="9">
        <v>1980</v>
      </c>
      <c r="I699" s="8">
        <v>745.53300000000002</v>
      </c>
      <c r="J699" s="8">
        <v>606.42899999999997</v>
      </c>
      <c r="K699" s="8">
        <v>498.80500000000001</v>
      </c>
      <c r="L699" s="8">
        <v>409.84899999999999</v>
      </c>
      <c r="M699" s="8">
        <v>320.78399999999999</v>
      </c>
      <c r="N699" s="8">
        <v>251.63499999999999</v>
      </c>
      <c r="O699" s="8">
        <v>166.75</v>
      </c>
      <c r="P699" s="8">
        <v>151.22399999999999</v>
      </c>
      <c r="Q699" s="8">
        <v>122.76</v>
      </c>
      <c r="R699" s="8">
        <v>102.458</v>
      </c>
      <c r="S699" s="8">
        <v>87.171000000000006</v>
      </c>
      <c r="T699" s="8">
        <v>68.247</v>
      </c>
      <c r="U699" s="8">
        <v>59.628999999999998</v>
      </c>
      <c r="V699" s="8">
        <v>40.152999999999999</v>
      </c>
      <c r="W699" s="8">
        <v>26.488</v>
      </c>
      <c r="X699" s="8">
        <v>15.394</v>
      </c>
      <c r="Y699" s="8">
        <v>6.548</v>
      </c>
      <c r="Z699" s="8">
        <v>1.802</v>
      </c>
      <c r="AA699" s="8">
        <v>0.224</v>
      </c>
      <c r="AB699" s="8">
        <v>0.01</v>
      </c>
      <c r="AC699" s="8">
        <v>0</v>
      </c>
    </row>
    <row r="700" spans="1:29" ht="11.65" x14ac:dyDescent="0.35">
      <c r="A700" s="12">
        <v>683</v>
      </c>
      <c r="B700" s="10" t="s">
        <v>1015</v>
      </c>
      <c r="C700" s="11" t="s">
        <v>607</v>
      </c>
      <c r="D700" s="9"/>
      <c r="E700" s="9">
        <v>716</v>
      </c>
      <c r="F700" s="10" t="s">
        <v>1066</v>
      </c>
      <c r="G700" s="9">
        <v>910</v>
      </c>
      <c r="H700" s="9">
        <v>1985</v>
      </c>
      <c r="I700" s="8">
        <v>807.09299999999996</v>
      </c>
      <c r="J700" s="8">
        <v>728.9</v>
      </c>
      <c r="K700" s="8">
        <v>601.61</v>
      </c>
      <c r="L700" s="8">
        <v>497.44099999999997</v>
      </c>
      <c r="M700" s="8">
        <v>411.44900000000001</v>
      </c>
      <c r="N700" s="8">
        <v>324.25400000000002</v>
      </c>
      <c r="O700" s="8">
        <v>254.36</v>
      </c>
      <c r="P700" s="8">
        <v>168.321</v>
      </c>
      <c r="Q700" s="8">
        <v>150.35300000000001</v>
      </c>
      <c r="R700" s="8">
        <v>120.496</v>
      </c>
      <c r="S700" s="8">
        <v>98.802000000000007</v>
      </c>
      <c r="T700" s="8">
        <v>82.18</v>
      </c>
      <c r="U700" s="8">
        <v>62.317999999999998</v>
      </c>
      <c r="V700" s="8">
        <v>51.454000000000001</v>
      </c>
      <c r="W700" s="8">
        <v>31.655999999999999</v>
      </c>
      <c r="X700" s="8">
        <v>17.904</v>
      </c>
      <c r="Y700" s="8">
        <v>8.0410000000000004</v>
      </c>
      <c r="Z700" s="8">
        <v>2.1739999999999999</v>
      </c>
      <c r="AA700" s="8">
        <v>0.28199999999999997</v>
      </c>
      <c r="AB700" s="8">
        <v>1.4999999999999999E-2</v>
      </c>
      <c r="AC700" s="8">
        <v>0</v>
      </c>
    </row>
    <row r="701" spans="1:29" ht="11.65" x14ac:dyDescent="0.35">
      <c r="A701" s="12">
        <v>684</v>
      </c>
      <c r="B701" s="10" t="s">
        <v>1015</v>
      </c>
      <c r="C701" s="11" t="s">
        <v>607</v>
      </c>
      <c r="D701" s="9"/>
      <c r="E701" s="9">
        <v>716</v>
      </c>
      <c r="F701" s="10" t="s">
        <v>1066</v>
      </c>
      <c r="G701" s="9">
        <v>910</v>
      </c>
      <c r="H701" s="9">
        <v>1990</v>
      </c>
      <c r="I701" s="8">
        <v>884.05700000000002</v>
      </c>
      <c r="J701" s="8">
        <v>792.67899999999997</v>
      </c>
      <c r="K701" s="8">
        <v>723.51300000000003</v>
      </c>
      <c r="L701" s="8">
        <v>599.27599999999995</v>
      </c>
      <c r="M701" s="8">
        <v>497.15600000000001</v>
      </c>
      <c r="N701" s="8">
        <v>411.46199999999999</v>
      </c>
      <c r="O701" s="8">
        <v>322.70699999999999</v>
      </c>
      <c r="P701" s="8">
        <v>250.328</v>
      </c>
      <c r="Q701" s="8">
        <v>163.93600000000001</v>
      </c>
      <c r="R701" s="8">
        <v>144.114</v>
      </c>
      <c r="S701" s="8">
        <v>113.518</v>
      </c>
      <c r="T701" s="8">
        <v>91.027000000000001</v>
      </c>
      <c r="U701" s="8">
        <v>73.176000000000002</v>
      </c>
      <c r="V701" s="8">
        <v>52.4</v>
      </c>
      <c r="W701" s="8">
        <v>39.295999999999999</v>
      </c>
      <c r="X701" s="8">
        <v>20.62</v>
      </c>
      <c r="Y701" s="8">
        <v>8.89</v>
      </c>
      <c r="Z701" s="8">
        <v>2.464</v>
      </c>
      <c r="AA701" s="8">
        <v>0.308</v>
      </c>
      <c r="AB701" s="8">
        <v>1.4999999999999999E-2</v>
      </c>
      <c r="AC701" s="8">
        <v>1E-3</v>
      </c>
    </row>
    <row r="702" spans="1:29" ht="11.65" x14ac:dyDescent="0.35">
      <c r="A702" s="12">
        <v>685</v>
      </c>
      <c r="B702" s="10" t="s">
        <v>1015</v>
      </c>
      <c r="C702" s="11" t="s">
        <v>607</v>
      </c>
      <c r="D702" s="9"/>
      <c r="E702" s="9">
        <v>716</v>
      </c>
      <c r="F702" s="10" t="s">
        <v>1066</v>
      </c>
      <c r="G702" s="9">
        <v>910</v>
      </c>
      <c r="H702" s="9">
        <v>1995</v>
      </c>
      <c r="I702" s="8">
        <v>865.17200000000003</v>
      </c>
      <c r="J702" s="8">
        <v>856.78700000000003</v>
      </c>
      <c r="K702" s="8">
        <v>781.10299999999995</v>
      </c>
      <c r="L702" s="8">
        <v>704.09400000000005</v>
      </c>
      <c r="M702" s="8">
        <v>560.25699999999995</v>
      </c>
      <c r="N702" s="8">
        <v>446.399</v>
      </c>
      <c r="O702" s="8">
        <v>361.33100000000002</v>
      </c>
      <c r="P702" s="8">
        <v>276.90199999999999</v>
      </c>
      <c r="Q702" s="8">
        <v>210.59100000000001</v>
      </c>
      <c r="R702" s="8">
        <v>135.27000000000001</v>
      </c>
      <c r="S702" s="8">
        <v>125.366</v>
      </c>
      <c r="T702" s="8">
        <v>102.318</v>
      </c>
      <c r="U702" s="8">
        <v>78.912000000000006</v>
      </c>
      <c r="V702" s="8">
        <v>59.722999999999999</v>
      </c>
      <c r="W702" s="8">
        <v>38.822000000000003</v>
      </c>
      <c r="X702" s="8">
        <v>24.844999999999999</v>
      </c>
      <c r="Y702" s="8">
        <v>10.189</v>
      </c>
      <c r="Z702" s="8">
        <v>2.6779999999999999</v>
      </c>
      <c r="AA702" s="8">
        <v>0.35799999999999998</v>
      </c>
      <c r="AB702" s="8">
        <v>2.3E-2</v>
      </c>
      <c r="AC702" s="8">
        <v>1E-3</v>
      </c>
    </row>
    <row r="703" spans="1:29" ht="11.65" x14ac:dyDescent="0.35">
      <c r="A703" s="12">
        <v>686</v>
      </c>
      <c r="B703" s="10" t="s">
        <v>1015</v>
      </c>
      <c r="C703" s="11" t="s">
        <v>607</v>
      </c>
      <c r="D703" s="9"/>
      <c r="E703" s="9">
        <v>716</v>
      </c>
      <c r="F703" s="10" t="s">
        <v>1066</v>
      </c>
      <c r="G703" s="9">
        <v>910</v>
      </c>
      <c r="H703" s="9">
        <v>2000</v>
      </c>
      <c r="I703" s="8">
        <v>854.05499999999995</v>
      </c>
      <c r="J703" s="8">
        <v>825.63900000000001</v>
      </c>
      <c r="K703" s="8">
        <v>833.47799999999995</v>
      </c>
      <c r="L703" s="8">
        <v>744.44299999999998</v>
      </c>
      <c r="M703" s="8">
        <v>634.45399999999995</v>
      </c>
      <c r="N703" s="8">
        <v>477.05900000000003</v>
      </c>
      <c r="O703" s="8">
        <v>363.399</v>
      </c>
      <c r="P703" s="8">
        <v>277.55599999999998</v>
      </c>
      <c r="Q703" s="8">
        <v>206.09800000000001</v>
      </c>
      <c r="R703" s="8">
        <v>156.99299999999999</v>
      </c>
      <c r="S703" s="8">
        <v>108.84099999999999</v>
      </c>
      <c r="T703" s="8">
        <v>106.81</v>
      </c>
      <c r="U703" s="8">
        <v>83.335999999999999</v>
      </c>
      <c r="V703" s="8">
        <v>60.973999999999997</v>
      </c>
      <c r="W703" s="8">
        <v>42.101999999999997</v>
      </c>
      <c r="X703" s="8">
        <v>23.675999999999998</v>
      </c>
      <c r="Y703" s="8">
        <v>11.933</v>
      </c>
      <c r="Z703" s="8">
        <v>3.016</v>
      </c>
      <c r="AA703" s="8">
        <v>0.40600000000000003</v>
      </c>
      <c r="AB703" s="8">
        <v>3.3000000000000002E-2</v>
      </c>
      <c r="AC703" s="8">
        <v>2E-3</v>
      </c>
    </row>
    <row r="704" spans="1:29" ht="11.65" x14ac:dyDescent="0.35">
      <c r="A704" s="12">
        <v>687</v>
      </c>
      <c r="B704" s="10" t="s">
        <v>1015</v>
      </c>
      <c r="C704" s="11" t="s">
        <v>607</v>
      </c>
      <c r="D704" s="9"/>
      <c r="E704" s="9">
        <v>716</v>
      </c>
      <c r="F704" s="10" t="s">
        <v>1066</v>
      </c>
      <c r="G704" s="9">
        <v>910</v>
      </c>
      <c r="H704" s="9">
        <v>2005</v>
      </c>
      <c r="I704" s="8">
        <v>890.72900000000004</v>
      </c>
      <c r="J704" s="8">
        <v>814.11</v>
      </c>
      <c r="K704" s="8">
        <v>796.11199999999997</v>
      </c>
      <c r="L704" s="8">
        <v>762.54600000000005</v>
      </c>
      <c r="M704" s="8">
        <v>615.93100000000004</v>
      </c>
      <c r="N704" s="8">
        <v>480.43900000000002</v>
      </c>
      <c r="O704" s="8">
        <v>356.03500000000003</v>
      </c>
      <c r="P704" s="8">
        <v>275.61200000000002</v>
      </c>
      <c r="Q704" s="8">
        <v>205.97</v>
      </c>
      <c r="R704" s="8">
        <v>155.65100000000001</v>
      </c>
      <c r="S704" s="8">
        <v>122.685</v>
      </c>
      <c r="T704" s="8">
        <v>87.355999999999995</v>
      </c>
      <c r="U704" s="8">
        <v>82.558000000000007</v>
      </c>
      <c r="V704" s="8">
        <v>60.78</v>
      </c>
      <c r="W704" s="8">
        <v>40.031999999999996</v>
      </c>
      <c r="X704" s="8">
        <v>23.401</v>
      </c>
      <c r="Y704" s="8">
        <v>10.209</v>
      </c>
      <c r="Z704" s="8">
        <v>3.0939999999999999</v>
      </c>
      <c r="AA704" s="8">
        <v>0.40100000000000002</v>
      </c>
      <c r="AB704" s="8">
        <v>3.3000000000000002E-2</v>
      </c>
      <c r="AC704" s="8">
        <v>2E-3</v>
      </c>
    </row>
    <row r="705" spans="1:29" ht="11.65" x14ac:dyDescent="0.35">
      <c r="A705" s="12">
        <v>688</v>
      </c>
      <c r="B705" s="10" t="s">
        <v>1015</v>
      </c>
      <c r="C705" s="11" t="s">
        <v>607</v>
      </c>
      <c r="D705" s="9"/>
      <c r="E705" s="9">
        <v>716</v>
      </c>
      <c r="F705" s="10" t="s">
        <v>1066</v>
      </c>
      <c r="G705" s="9">
        <v>910</v>
      </c>
      <c r="H705" s="9">
        <v>2010</v>
      </c>
      <c r="I705" s="8">
        <v>1003.778</v>
      </c>
      <c r="J705" s="8">
        <v>849.77300000000002</v>
      </c>
      <c r="K705" s="8">
        <v>791.11400000000003</v>
      </c>
      <c r="L705" s="8">
        <v>729.89700000000005</v>
      </c>
      <c r="M705" s="8">
        <v>646.31600000000003</v>
      </c>
      <c r="N705" s="8">
        <v>511.221</v>
      </c>
      <c r="O705" s="8">
        <v>407.73</v>
      </c>
      <c r="P705" s="8">
        <v>296.577</v>
      </c>
      <c r="Q705" s="8">
        <v>220.2</v>
      </c>
      <c r="R705" s="8">
        <v>163.80000000000001</v>
      </c>
      <c r="S705" s="8">
        <v>125.947</v>
      </c>
      <c r="T705" s="8">
        <v>99.658000000000001</v>
      </c>
      <c r="U705" s="8">
        <v>68.299000000000007</v>
      </c>
      <c r="V705" s="8">
        <v>60.276000000000003</v>
      </c>
      <c r="W705" s="8">
        <v>39.694000000000003</v>
      </c>
      <c r="X705" s="8">
        <v>21.954000000000001</v>
      </c>
      <c r="Y705" s="8">
        <v>9.7919999999999998</v>
      </c>
      <c r="Z705" s="8">
        <v>2.5739999999999998</v>
      </c>
      <c r="AA705" s="8">
        <v>0.39200000000000002</v>
      </c>
      <c r="AB705" s="8">
        <v>0.03</v>
      </c>
      <c r="AC705" s="8">
        <v>2E-3</v>
      </c>
    </row>
    <row r="706" spans="1:29" ht="11.65" x14ac:dyDescent="0.35">
      <c r="A706" s="12">
        <v>689</v>
      </c>
      <c r="B706" s="10" t="s">
        <v>1015</v>
      </c>
      <c r="C706" s="11" t="s">
        <v>607</v>
      </c>
      <c r="D706" s="9"/>
      <c r="E706" s="9">
        <v>716</v>
      </c>
      <c r="F706" s="10" t="s">
        <v>1066</v>
      </c>
      <c r="G706" s="9">
        <v>910</v>
      </c>
      <c r="H706" s="9">
        <v>2015</v>
      </c>
      <c r="I706" s="8">
        <v>1134.951</v>
      </c>
      <c r="J706" s="8">
        <v>975.45600000000002</v>
      </c>
      <c r="K706" s="8">
        <v>835.90800000000002</v>
      </c>
      <c r="L706" s="8">
        <v>745.86</v>
      </c>
      <c r="M706" s="8">
        <v>621.62599999999998</v>
      </c>
      <c r="N706" s="8">
        <v>508.46600000000001</v>
      </c>
      <c r="O706" s="8">
        <v>426.97800000000001</v>
      </c>
      <c r="P706" s="8">
        <v>374.262</v>
      </c>
      <c r="Q706" s="8">
        <v>266.54700000000003</v>
      </c>
      <c r="R706" s="8">
        <v>195.928</v>
      </c>
      <c r="S706" s="8">
        <v>146.761</v>
      </c>
      <c r="T706" s="8">
        <v>112.27500000000001</v>
      </c>
      <c r="U706" s="8">
        <v>85.751999999999995</v>
      </c>
      <c r="V706" s="8">
        <v>55.258000000000003</v>
      </c>
      <c r="W706" s="8">
        <v>44.009</v>
      </c>
      <c r="X706" s="8">
        <v>24.709</v>
      </c>
      <c r="Y706" s="8">
        <v>10.621</v>
      </c>
      <c r="Z706" s="8">
        <v>2.992</v>
      </c>
      <c r="AA706" s="8">
        <v>0.38800000000000001</v>
      </c>
      <c r="AB706" s="8">
        <v>2.9000000000000001E-2</v>
      </c>
      <c r="AC706" s="8">
        <v>2E-3</v>
      </c>
    </row>
    <row r="707" spans="1:29" ht="11.65" x14ac:dyDescent="0.35">
      <c r="A707" s="12">
        <v>690</v>
      </c>
      <c r="B707" s="10" t="s">
        <v>1015</v>
      </c>
      <c r="C707" s="11" t="s">
        <v>607</v>
      </c>
      <c r="D707" s="9"/>
      <c r="E707" s="9">
        <v>716</v>
      </c>
      <c r="F707" s="10" t="s">
        <v>1066</v>
      </c>
      <c r="G707" s="9">
        <v>910</v>
      </c>
      <c r="H707" s="9">
        <v>2020</v>
      </c>
      <c r="I707" s="8">
        <v>1054.557</v>
      </c>
      <c r="J707" s="8">
        <v>1109.5139999999999</v>
      </c>
      <c r="K707" s="8">
        <v>962.69899999999996</v>
      </c>
      <c r="L707" s="8">
        <v>816.70600000000002</v>
      </c>
      <c r="M707" s="8">
        <v>672.14200000000005</v>
      </c>
      <c r="N707" s="8">
        <v>503.56799999999998</v>
      </c>
      <c r="O707" s="8">
        <v>430.30599999999998</v>
      </c>
      <c r="P707" s="8">
        <v>388.50099999999998</v>
      </c>
      <c r="Q707" s="8">
        <v>339.91500000000002</v>
      </c>
      <c r="R707" s="8">
        <v>239.524</v>
      </c>
      <c r="S707" s="8">
        <v>179.077</v>
      </c>
      <c r="T707" s="8">
        <v>135.63200000000001</v>
      </c>
      <c r="U707" s="8">
        <v>99.465000000000003</v>
      </c>
      <c r="V707" s="8">
        <v>71.649000000000001</v>
      </c>
      <c r="W707" s="8">
        <v>42.335999999999999</v>
      </c>
      <c r="X707" s="8">
        <v>29.113</v>
      </c>
      <c r="Y707" s="8">
        <v>13.034000000000001</v>
      </c>
      <c r="Z707" s="8">
        <v>3.6970000000000001</v>
      </c>
      <c r="AA707" s="8">
        <v>0.54</v>
      </c>
      <c r="AB707" s="8">
        <v>3.3000000000000002E-2</v>
      </c>
      <c r="AC707" s="8">
        <v>2E-3</v>
      </c>
    </row>
    <row r="708" spans="1:29" ht="11.65" x14ac:dyDescent="0.35">
      <c r="A708" s="23">
        <v>691</v>
      </c>
      <c r="B708" s="21" t="s">
        <v>1015</v>
      </c>
      <c r="C708" s="29" t="s">
        <v>1077</v>
      </c>
      <c r="D708" s="20"/>
      <c r="E708" s="20">
        <v>911</v>
      </c>
      <c r="F708" s="21" t="s">
        <v>1065</v>
      </c>
      <c r="G708" s="20">
        <v>947</v>
      </c>
      <c r="H708" s="20">
        <v>1950</v>
      </c>
      <c r="I708" s="19">
        <v>2171.7310000000002</v>
      </c>
      <c r="J708" s="19">
        <v>1701.953</v>
      </c>
      <c r="K708" s="19">
        <v>1473.337</v>
      </c>
      <c r="L708" s="19">
        <v>1286.52</v>
      </c>
      <c r="M708" s="19">
        <v>1115.5229999999999</v>
      </c>
      <c r="N708" s="19">
        <v>957.04300000000001</v>
      </c>
      <c r="O708" s="19">
        <v>822.53899999999999</v>
      </c>
      <c r="P708" s="19">
        <v>699.68700000000001</v>
      </c>
      <c r="Q708" s="19">
        <v>590.15300000000002</v>
      </c>
      <c r="R708" s="19">
        <v>489.363</v>
      </c>
      <c r="S708" s="19">
        <v>404.05200000000002</v>
      </c>
      <c r="T708" s="19">
        <v>321.005</v>
      </c>
      <c r="U708" s="19">
        <v>239.739</v>
      </c>
      <c r="V708" s="19">
        <v>177.78200000000001</v>
      </c>
      <c r="W708" s="19">
        <v>120.929</v>
      </c>
      <c r="X708" s="19">
        <v>72.028999999999996</v>
      </c>
      <c r="Y708" s="19">
        <v>40.177</v>
      </c>
      <c r="Z708" s="19">
        <v>11.802</v>
      </c>
      <c r="AA708" s="19">
        <v>1.891</v>
      </c>
      <c r="AB708" s="19">
        <v>0.155</v>
      </c>
      <c r="AC708" s="19">
        <v>6.0000000000000001E-3</v>
      </c>
    </row>
    <row r="709" spans="1:29" ht="11.65" x14ac:dyDescent="0.35">
      <c r="A709" s="23">
        <v>692</v>
      </c>
      <c r="B709" s="21" t="s">
        <v>1015</v>
      </c>
      <c r="C709" s="29" t="s">
        <v>1077</v>
      </c>
      <c r="D709" s="20"/>
      <c r="E709" s="20">
        <v>911</v>
      </c>
      <c r="F709" s="21" t="s">
        <v>1065</v>
      </c>
      <c r="G709" s="20">
        <v>947</v>
      </c>
      <c r="H709" s="20">
        <v>1955</v>
      </c>
      <c r="I709" s="19">
        <v>2437.558</v>
      </c>
      <c r="J709" s="19">
        <v>1900.442</v>
      </c>
      <c r="K709" s="19">
        <v>1625.6690000000001</v>
      </c>
      <c r="L709" s="19">
        <v>1424.9369999999999</v>
      </c>
      <c r="M709" s="19">
        <v>1233.116</v>
      </c>
      <c r="N709" s="19">
        <v>1055.6300000000001</v>
      </c>
      <c r="O709" s="19">
        <v>902.13</v>
      </c>
      <c r="P709" s="19">
        <v>769.64700000000005</v>
      </c>
      <c r="Q709" s="19">
        <v>648.27</v>
      </c>
      <c r="R709" s="19">
        <v>539.82899999999995</v>
      </c>
      <c r="S709" s="19">
        <v>440.06</v>
      </c>
      <c r="T709" s="19">
        <v>354.03699999999998</v>
      </c>
      <c r="U709" s="19">
        <v>269.88200000000001</v>
      </c>
      <c r="V709" s="19">
        <v>188.232</v>
      </c>
      <c r="W709" s="19">
        <v>124.336</v>
      </c>
      <c r="X709" s="19">
        <v>70.293999999999997</v>
      </c>
      <c r="Y709" s="19">
        <v>31.611999999999998</v>
      </c>
      <c r="Z709" s="19">
        <v>11.484</v>
      </c>
      <c r="AA709" s="19">
        <v>1.964</v>
      </c>
      <c r="AB709" s="19">
        <v>0.16600000000000001</v>
      </c>
      <c r="AC709" s="19">
        <v>8.0000000000000002E-3</v>
      </c>
    </row>
    <row r="710" spans="1:29" ht="11.65" x14ac:dyDescent="0.35">
      <c r="A710" s="23">
        <v>693</v>
      </c>
      <c r="B710" s="21" t="s">
        <v>1015</v>
      </c>
      <c r="C710" s="29" t="s">
        <v>1077</v>
      </c>
      <c r="D710" s="20"/>
      <c r="E710" s="20">
        <v>911</v>
      </c>
      <c r="F710" s="21" t="s">
        <v>1065</v>
      </c>
      <c r="G710" s="20">
        <v>947</v>
      </c>
      <c r="H710" s="20">
        <v>1960</v>
      </c>
      <c r="I710" s="19">
        <v>2762.761</v>
      </c>
      <c r="J710" s="19">
        <v>2181.5909999999999</v>
      </c>
      <c r="K710" s="19">
        <v>1799.7719999999999</v>
      </c>
      <c r="L710" s="19">
        <v>1539.6089999999999</v>
      </c>
      <c r="M710" s="19">
        <v>1362.5640000000001</v>
      </c>
      <c r="N710" s="19">
        <v>1200.047</v>
      </c>
      <c r="O710" s="19">
        <v>1013.307</v>
      </c>
      <c r="P710" s="19">
        <v>867.68700000000001</v>
      </c>
      <c r="Q710" s="19">
        <v>735.65899999999999</v>
      </c>
      <c r="R710" s="19">
        <v>612.72799999999995</v>
      </c>
      <c r="S710" s="19">
        <v>482.75900000000001</v>
      </c>
      <c r="T710" s="19">
        <v>384.32100000000003</v>
      </c>
      <c r="U710" s="19">
        <v>297.67200000000003</v>
      </c>
      <c r="V710" s="19">
        <v>212.53</v>
      </c>
      <c r="W710" s="19">
        <v>133.101</v>
      </c>
      <c r="X710" s="19">
        <v>79.521000000000001</v>
      </c>
      <c r="Y710" s="19">
        <v>29.488</v>
      </c>
      <c r="Z710" s="19">
        <v>9.4659999999999993</v>
      </c>
      <c r="AA710" s="19">
        <v>1.9790000000000001</v>
      </c>
      <c r="AB710" s="19">
        <v>0.18099999999999999</v>
      </c>
      <c r="AC710" s="19">
        <v>8.9999999999999993E-3</v>
      </c>
    </row>
    <row r="711" spans="1:29" ht="11.65" x14ac:dyDescent="0.35">
      <c r="A711" s="23">
        <v>694</v>
      </c>
      <c r="B711" s="21" t="s">
        <v>1015</v>
      </c>
      <c r="C711" s="29" t="s">
        <v>1077</v>
      </c>
      <c r="D711" s="20"/>
      <c r="E711" s="20">
        <v>911</v>
      </c>
      <c r="F711" s="21" t="s">
        <v>1065</v>
      </c>
      <c r="G711" s="20">
        <v>947</v>
      </c>
      <c r="H711" s="20">
        <v>1965</v>
      </c>
      <c r="I711" s="19">
        <v>3112.5030000000002</v>
      </c>
      <c r="J711" s="19">
        <v>2453.1950000000002</v>
      </c>
      <c r="K711" s="19">
        <v>2087.2269999999999</v>
      </c>
      <c r="L711" s="19">
        <v>1740.481</v>
      </c>
      <c r="M711" s="19">
        <v>1477.2670000000001</v>
      </c>
      <c r="N711" s="19">
        <v>1292.25</v>
      </c>
      <c r="O711" s="19">
        <v>1133.5840000000001</v>
      </c>
      <c r="P711" s="19">
        <v>950.98299999999995</v>
      </c>
      <c r="Q711" s="19">
        <v>806.97900000000004</v>
      </c>
      <c r="R711" s="19">
        <v>675.84400000000005</v>
      </c>
      <c r="S711" s="19">
        <v>553.35199999999998</v>
      </c>
      <c r="T711" s="19">
        <v>425.19600000000003</v>
      </c>
      <c r="U711" s="19">
        <v>324.947</v>
      </c>
      <c r="V711" s="19">
        <v>235.577</v>
      </c>
      <c r="W711" s="19">
        <v>150.63399999999999</v>
      </c>
      <c r="X711" s="19">
        <v>79.176000000000002</v>
      </c>
      <c r="Y711" s="19">
        <v>36.218000000000004</v>
      </c>
      <c r="Z711" s="19">
        <v>9.032</v>
      </c>
      <c r="AA711" s="19">
        <v>1.68</v>
      </c>
      <c r="AB711" s="19">
        <v>0.188</v>
      </c>
      <c r="AC711" s="19">
        <v>1.0999999999999999E-2</v>
      </c>
    </row>
    <row r="712" spans="1:29" ht="11.65" x14ac:dyDescent="0.35">
      <c r="A712" s="23">
        <v>695</v>
      </c>
      <c r="B712" s="21" t="s">
        <v>1015</v>
      </c>
      <c r="C712" s="29" t="s">
        <v>1077</v>
      </c>
      <c r="D712" s="20"/>
      <c r="E712" s="20">
        <v>911</v>
      </c>
      <c r="F712" s="21" t="s">
        <v>1065</v>
      </c>
      <c r="G712" s="20">
        <v>947</v>
      </c>
      <c r="H712" s="20">
        <v>1970</v>
      </c>
      <c r="I712" s="19">
        <v>3547.3890000000001</v>
      </c>
      <c r="J712" s="19">
        <v>2855.9810000000002</v>
      </c>
      <c r="K712" s="19">
        <v>2358.2109999999998</v>
      </c>
      <c r="L712" s="19">
        <v>1980.4839999999999</v>
      </c>
      <c r="M712" s="19">
        <v>1703.4559999999999</v>
      </c>
      <c r="N712" s="19">
        <v>1443.2059999999999</v>
      </c>
      <c r="O712" s="19">
        <v>1232.6010000000001</v>
      </c>
      <c r="P712" s="19">
        <v>1049.6479999999999</v>
      </c>
      <c r="Q712" s="19">
        <v>880.09400000000005</v>
      </c>
      <c r="R712" s="19">
        <v>718.00800000000004</v>
      </c>
      <c r="S712" s="19">
        <v>590.053</v>
      </c>
      <c r="T712" s="19">
        <v>467.15899999999999</v>
      </c>
      <c r="U712" s="19">
        <v>362.58600000000001</v>
      </c>
      <c r="V712" s="19">
        <v>260.89800000000002</v>
      </c>
      <c r="W712" s="19">
        <v>173.005</v>
      </c>
      <c r="X712" s="19">
        <v>89.47</v>
      </c>
      <c r="Y712" s="19">
        <v>32.186999999999998</v>
      </c>
      <c r="Z712" s="19">
        <v>11.329000000000001</v>
      </c>
      <c r="AA712" s="19">
        <v>1.5820000000000001</v>
      </c>
      <c r="AB712" s="19">
        <v>0.16200000000000001</v>
      </c>
      <c r="AC712" s="19">
        <v>1.2E-2</v>
      </c>
    </row>
    <row r="713" spans="1:29" ht="11.65" x14ac:dyDescent="0.35">
      <c r="A713" s="23">
        <v>696</v>
      </c>
      <c r="B713" s="21" t="s">
        <v>1015</v>
      </c>
      <c r="C713" s="29" t="s">
        <v>1077</v>
      </c>
      <c r="D713" s="20"/>
      <c r="E713" s="20">
        <v>911</v>
      </c>
      <c r="F713" s="21" t="s">
        <v>1065</v>
      </c>
      <c r="G713" s="20">
        <v>947</v>
      </c>
      <c r="H713" s="20">
        <v>1975</v>
      </c>
      <c r="I713" s="19">
        <v>4174.9219999999996</v>
      </c>
      <c r="J713" s="19">
        <v>3245.0169999999998</v>
      </c>
      <c r="K713" s="19">
        <v>2774.7919999999999</v>
      </c>
      <c r="L713" s="19">
        <v>2305.5149999999999</v>
      </c>
      <c r="M713" s="19">
        <v>1914.8030000000001</v>
      </c>
      <c r="N713" s="19">
        <v>1631.829</v>
      </c>
      <c r="O713" s="19">
        <v>1378.89</v>
      </c>
      <c r="P713" s="19">
        <v>1172.662</v>
      </c>
      <c r="Q713" s="19">
        <v>990.97900000000004</v>
      </c>
      <c r="R713" s="19">
        <v>821.36599999999999</v>
      </c>
      <c r="S713" s="19">
        <v>659.21400000000006</v>
      </c>
      <c r="T713" s="19">
        <v>529.13900000000001</v>
      </c>
      <c r="U713" s="19">
        <v>402.91199999999998</v>
      </c>
      <c r="V713" s="19">
        <v>293.37599999999998</v>
      </c>
      <c r="W713" s="19">
        <v>189.43700000000001</v>
      </c>
      <c r="X713" s="19">
        <v>105.971</v>
      </c>
      <c r="Y713" s="19">
        <v>42.136000000000003</v>
      </c>
      <c r="Z713" s="19">
        <v>10.124000000000001</v>
      </c>
      <c r="AA713" s="19">
        <v>2.09</v>
      </c>
      <c r="AB713" s="19">
        <v>0.15</v>
      </c>
      <c r="AC713" s="19">
        <v>1.0999999999999999E-2</v>
      </c>
    </row>
    <row r="714" spans="1:29" ht="11.65" x14ac:dyDescent="0.35">
      <c r="A714" s="23">
        <v>697</v>
      </c>
      <c r="B714" s="21" t="s">
        <v>1015</v>
      </c>
      <c r="C714" s="29" t="s">
        <v>1077</v>
      </c>
      <c r="D714" s="20"/>
      <c r="E714" s="20">
        <v>911</v>
      </c>
      <c r="F714" s="21" t="s">
        <v>1065</v>
      </c>
      <c r="G714" s="20">
        <v>947</v>
      </c>
      <c r="H714" s="20">
        <v>1980</v>
      </c>
      <c r="I714" s="19">
        <v>4851.72</v>
      </c>
      <c r="J714" s="19">
        <v>3845.3620000000001</v>
      </c>
      <c r="K714" s="19">
        <v>3158.8760000000002</v>
      </c>
      <c r="L714" s="19">
        <v>2717.183</v>
      </c>
      <c r="M714" s="19">
        <v>2235.9520000000002</v>
      </c>
      <c r="N714" s="19">
        <v>1842.605</v>
      </c>
      <c r="O714" s="19">
        <v>1566.6980000000001</v>
      </c>
      <c r="P714" s="19">
        <v>1318.229</v>
      </c>
      <c r="Q714" s="19">
        <v>1112.404</v>
      </c>
      <c r="R714" s="19">
        <v>929.16</v>
      </c>
      <c r="S714" s="19">
        <v>757.57100000000003</v>
      </c>
      <c r="T714" s="19">
        <v>593.88900000000001</v>
      </c>
      <c r="U714" s="19">
        <v>458.65899999999999</v>
      </c>
      <c r="V714" s="19">
        <v>327.916</v>
      </c>
      <c r="W714" s="19">
        <v>214.77699999999999</v>
      </c>
      <c r="X714" s="19">
        <v>117.383</v>
      </c>
      <c r="Y714" s="19">
        <v>50.719000000000001</v>
      </c>
      <c r="Z714" s="19">
        <v>13.455</v>
      </c>
      <c r="AA714" s="19">
        <v>1.7250000000000001</v>
      </c>
      <c r="AB714" s="19">
        <v>0.21299999999999999</v>
      </c>
      <c r="AC714" s="19">
        <v>8.9999999999999993E-3</v>
      </c>
    </row>
    <row r="715" spans="1:29" ht="11.65" x14ac:dyDescent="0.35">
      <c r="A715" s="23">
        <v>698</v>
      </c>
      <c r="B715" s="21" t="s">
        <v>1015</v>
      </c>
      <c r="C715" s="29" t="s">
        <v>1077</v>
      </c>
      <c r="D715" s="20"/>
      <c r="E715" s="20">
        <v>911</v>
      </c>
      <c r="F715" s="21" t="s">
        <v>1065</v>
      </c>
      <c r="G715" s="20">
        <v>947</v>
      </c>
      <c r="H715" s="20">
        <v>1985</v>
      </c>
      <c r="I715" s="19">
        <v>5664.3779999999997</v>
      </c>
      <c r="J715" s="19">
        <v>4471.3819999999996</v>
      </c>
      <c r="K715" s="19">
        <v>3724.643</v>
      </c>
      <c r="L715" s="19">
        <v>3075.9270000000001</v>
      </c>
      <c r="M715" s="19">
        <v>2624.2559999999999</v>
      </c>
      <c r="N715" s="19">
        <v>2145.5990000000002</v>
      </c>
      <c r="O715" s="19">
        <v>1763.6890000000001</v>
      </c>
      <c r="P715" s="19">
        <v>1492.0170000000001</v>
      </c>
      <c r="Q715" s="19">
        <v>1245.402</v>
      </c>
      <c r="R715" s="19">
        <v>1039.8910000000001</v>
      </c>
      <c r="S715" s="19">
        <v>854.99699999999996</v>
      </c>
      <c r="T715" s="19">
        <v>681.154</v>
      </c>
      <c r="U715" s="19">
        <v>514.64200000000005</v>
      </c>
      <c r="V715" s="19">
        <v>373.39499999999998</v>
      </c>
      <c r="W715" s="19">
        <v>240.96899999999999</v>
      </c>
      <c r="X715" s="19">
        <v>133.727</v>
      </c>
      <c r="Y715" s="19">
        <v>56.491999999999997</v>
      </c>
      <c r="Z715" s="19">
        <v>16.378</v>
      </c>
      <c r="AA715" s="19">
        <v>2.4889999999999999</v>
      </c>
      <c r="AB715" s="19">
        <v>0.155</v>
      </c>
      <c r="AC715" s="19">
        <v>1.2999999999999999E-2</v>
      </c>
    </row>
    <row r="716" spans="1:29" ht="11.65" x14ac:dyDescent="0.35">
      <c r="A716" s="23">
        <v>699</v>
      </c>
      <c r="B716" s="21" t="s">
        <v>1015</v>
      </c>
      <c r="C716" s="29" t="s">
        <v>1077</v>
      </c>
      <c r="D716" s="20"/>
      <c r="E716" s="20">
        <v>911</v>
      </c>
      <c r="F716" s="21" t="s">
        <v>1065</v>
      </c>
      <c r="G716" s="20">
        <v>947</v>
      </c>
      <c r="H716" s="20">
        <v>1990</v>
      </c>
      <c r="I716" s="19">
        <v>6612.2240000000002</v>
      </c>
      <c r="J716" s="19">
        <v>5295.6660000000002</v>
      </c>
      <c r="K716" s="19">
        <v>4377.7380000000003</v>
      </c>
      <c r="L716" s="19">
        <v>3661.09</v>
      </c>
      <c r="M716" s="19">
        <v>2993.576</v>
      </c>
      <c r="N716" s="19">
        <v>2533.4580000000001</v>
      </c>
      <c r="O716" s="19">
        <v>2065.9189999999999</v>
      </c>
      <c r="P716" s="19">
        <v>1691.134</v>
      </c>
      <c r="Q716" s="19">
        <v>1420.43</v>
      </c>
      <c r="R716" s="19">
        <v>1173.979</v>
      </c>
      <c r="S716" s="19">
        <v>965.35599999999999</v>
      </c>
      <c r="T716" s="19">
        <v>775.85500000000002</v>
      </c>
      <c r="U716" s="19">
        <v>596.06600000000003</v>
      </c>
      <c r="V716" s="19">
        <v>423.59800000000001</v>
      </c>
      <c r="W716" s="19">
        <v>277.71100000000001</v>
      </c>
      <c r="X716" s="19">
        <v>152.23699999999999</v>
      </c>
      <c r="Y716" s="19">
        <v>65.415000000000006</v>
      </c>
      <c r="Z716" s="19">
        <v>18.617999999999999</v>
      </c>
      <c r="AA716" s="19">
        <v>3.1379999999999999</v>
      </c>
      <c r="AB716" s="19">
        <v>0.25600000000000001</v>
      </c>
      <c r="AC716" s="19">
        <v>8.0000000000000002E-3</v>
      </c>
    </row>
    <row r="717" spans="1:29" ht="11.65" x14ac:dyDescent="0.35">
      <c r="A717" s="23">
        <v>700</v>
      </c>
      <c r="B717" s="21" t="s">
        <v>1015</v>
      </c>
      <c r="C717" s="29" t="s">
        <v>1077</v>
      </c>
      <c r="D717" s="20"/>
      <c r="E717" s="20">
        <v>911</v>
      </c>
      <c r="F717" s="21" t="s">
        <v>1065</v>
      </c>
      <c r="G717" s="20">
        <v>947</v>
      </c>
      <c r="H717" s="20">
        <v>1995</v>
      </c>
      <c r="I717" s="19">
        <v>7765.4380000000001</v>
      </c>
      <c r="J717" s="19">
        <v>6289.0559999999996</v>
      </c>
      <c r="K717" s="19">
        <v>5263.9610000000002</v>
      </c>
      <c r="L717" s="19">
        <v>4371.8019999999997</v>
      </c>
      <c r="M717" s="19">
        <v>3628.7730000000001</v>
      </c>
      <c r="N717" s="19">
        <v>2949.3609999999999</v>
      </c>
      <c r="O717" s="19">
        <v>2486.8580000000002</v>
      </c>
      <c r="P717" s="19">
        <v>2017.665</v>
      </c>
      <c r="Q717" s="19">
        <v>1638.1089999999999</v>
      </c>
      <c r="R717" s="19">
        <v>1361.1990000000001</v>
      </c>
      <c r="S717" s="19">
        <v>1107.6379999999999</v>
      </c>
      <c r="T717" s="19">
        <v>889.93600000000004</v>
      </c>
      <c r="U717" s="19">
        <v>689.22299999999996</v>
      </c>
      <c r="V717" s="19">
        <v>497.822</v>
      </c>
      <c r="W717" s="19">
        <v>320.15100000000001</v>
      </c>
      <c r="X717" s="19">
        <v>178.53</v>
      </c>
      <c r="Y717" s="19">
        <v>76.069000000000003</v>
      </c>
      <c r="Z717" s="19">
        <v>22.105</v>
      </c>
      <c r="AA717" s="19">
        <v>3.681</v>
      </c>
      <c r="AB717" s="19">
        <v>0.34300000000000003</v>
      </c>
      <c r="AC717" s="19">
        <v>1.6E-2</v>
      </c>
    </row>
    <row r="718" spans="1:29" ht="11.65" x14ac:dyDescent="0.35">
      <c r="A718" s="23">
        <v>701</v>
      </c>
      <c r="B718" s="21" t="s">
        <v>1015</v>
      </c>
      <c r="C718" s="29" t="s">
        <v>1077</v>
      </c>
      <c r="D718" s="20"/>
      <c r="E718" s="20">
        <v>911</v>
      </c>
      <c r="F718" s="21" t="s">
        <v>1065</v>
      </c>
      <c r="G718" s="20">
        <v>947</v>
      </c>
      <c r="H718" s="20">
        <v>2000</v>
      </c>
      <c r="I718" s="19">
        <v>8801.1820000000007</v>
      </c>
      <c r="J718" s="19">
        <v>7183.0879999999997</v>
      </c>
      <c r="K718" s="19">
        <v>6088.0209999999997</v>
      </c>
      <c r="L718" s="19">
        <v>5119.5039999999999</v>
      </c>
      <c r="M718" s="19">
        <v>4223.57</v>
      </c>
      <c r="N718" s="19">
        <v>3480.6329999999998</v>
      </c>
      <c r="O718" s="19">
        <v>2817.2269999999999</v>
      </c>
      <c r="P718" s="19">
        <v>2358.2730000000001</v>
      </c>
      <c r="Q718" s="19">
        <v>1895.6030000000001</v>
      </c>
      <c r="R718" s="19">
        <v>1522.0219999999999</v>
      </c>
      <c r="S718" s="19">
        <v>1245.2</v>
      </c>
      <c r="T718" s="19">
        <v>990.26099999999997</v>
      </c>
      <c r="U718" s="19">
        <v>766.80700000000002</v>
      </c>
      <c r="V718" s="19">
        <v>558.11199999999997</v>
      </c>
      <c r="W718" s="19">
        <v>364.15899999999999</v>
      </c>
      <c r="X718" s="19">
        <v>199.25</v>
      </c>
      <c r="Y718" s="19">
        <v>86.305000000000007</v>
      </c>
      <c r="Z718" s="19">
        <v>24.844999999999999</v>
      </c>
      <c r="AA718" s="19">
        <v>4.2439999999999998</v>
      </c>
      <c r="AB718" s="19">
        <v>0.39</v>
      </c>
      <c r="AC718" s="19">
        <v>2.3E-2</v>
      </c>
    </row>
    <row r="719" spans="1:29" ht="11.65" x14ac:dyDescent="0.35">
      <c r="A719" s="23">
        <v>702</v>
      </c>
      <c r="B719" s="21" t="s">
        <v>1015</v>
      </c>
      <c r="C719" s="29" t="s">
        <v>1077</v>
      </c>
      <c r="D719" s="20"/>
      <c r="E719" s="20">
        <v>911</v>
      </c>
      <c r="F719" s="21" t="s">
        <v>1065</v>
      </c>
      <c r="G719" s="20">
        <v>947</v>
      </c>
      <c r="H719" s="20">
        <v>2005</v>
      </c>
      <c r="I719" s="19">
        <v>10343.232</v>
      </c>
      <c r="J719" s="19">
        <v>8308.6669999999995</v>
      </c>
      <c r="K719" s="19">
        <v>7041.723</v>
      </c>
      <c r="L719" s="19">
        <v>5989.0630000000001</v>
      </c>
      <c r="M719" s="19">
        <v>5005.0569999999998</v>
      </c>
      <c r="N719" s="19">
        <v>4102.2</v>
      </c>
      <c r="O719" s="19">
        <v>3364.8969999999999</v>
      </c>
      <c r="P719" s="19">
        <v>2701.9009999999998</v>
      </c>
      <c r="Q719" s="19">
        <v>2240.4409999999998</v>
      </c>
      <c r="R719" s="19">
        <v>1782.1669999999999</v>
      </c>
      <c r="S719" s="19">
        <v>1409.481</v>
      </c>
      <c r="T719" s="19">
        <v>1128.0930000000001</v>
      </c>
      <c r="U719" s="19">
        <v>865.46100000000001</v>
      </c>
      <c r="V719" s="19">
        <v>630.54899999999998</v>
      </c>
      <c r="W719" s="19">
        <v>415.24799999999999</v>
      </c>
      <c r="X719" s="19">
        <v>231.20400000000001</v>
      </c>
      <c r="Y719" s="19">
        <v>98.67</v>
      </c>
      <c r="Z719" s="19">
        <v>29.06</v>
      </c>
      <c r="AA719" s="19">
        <v>4.9580000000000002</v>
      </c>
      <c r="AB719" s="19">
        <v>0.47099999999999997</v>
      </c>
      <c r="AC719" s="19">
        <v>2.7E-2</v>
      </c>
    </row>
    <row r="720" spans="1:29" ht="11.65" x14ac:dyDescent="0.35">
      <c r="A720" s="23">
        <v>703</v>
      </c>
      <c r="B720" s="21" t="s">
        <v>1015</v>
      </c>
      <c r="C720" s="29" t="s">
        <v>1077</v>
      </c>
      <c r="D720" s="20"/>
      <c r="E720" s="20">
        <v>911</v>
      </c>
      <c r="F720" s="21" t="s">
        <v>1065</v>
      </c>
      <c r="G720" s="20">
        <v>947</v>
      </c>
      <c r="H720" s="20">
        <v>2010</v>
      </c>
      <c r="I720" s="19">
        <v>12200.647000000001</v>
      </c>
      <c r="J720" s="19">
        <v>9888.7919999999995</v>
      </c>
      <c r="K720" s="19">
        <v>8177.1279999999997</v>
      </c>
      <c r="L720" s="19">
        <v>6946.0649999999996</v>
      </c>
      <c r="M720" s="19">
        <v>5879.5529999999999</v>
      </c>
      <c r="N720" s="19">
        <v>4889.2460000000001</v>
      </c>
      <c r="O720" s="19">
        <v>3993.93</v>
      </c>
      <c r="P720" s="19">
        <v>3256.0059999999999</v>
      </c>
      <c r="Q720" s="19">
        <v>2594.5410000000002</v>
      </c>
      <c r="R720" s="19">
        <v>2126.7809999999999</v>
      </c>
      <c r="S720" s="19">
        <v>1665.2909999999999</v>
      </c>
      <c r="T720" s="19">
        <v>1288.9649999999999</v>
      </c>
      <c r="U720" s="19">
        <v>996.74800000000005</v>
      </c>
      <c r="V720" s="19">
        <v>721.04300000000001</v>
      </c>
      <c r="W720" s="19">
        <v>477</v>
      </c>
      <c r="X720" s="19">
        <v>269.22000000000003</v>
      </c>
      <c r="Y720" s="19">
        <v>117.661</v>
      </c>
      <c r="Z720" s="19">
        <v>34.545999999999999</v>
      </c>
      <c r="AA720" s="19">
        <v>6.1210000000000004</v>
      </c>
      <c r="AB720" s="19">
        <v>0.58599999999999997</v>
      </c>
      <c r="AC720" s="19">
        <v>3.4000000000000002E-2</v>
      </c>
    </row>
    <row r="721" spans="1:29" ht="11.65" x14ac:dyDescent="0.35">
      <c r="A721" s="23">
        <v>704</v>
      </c>
      <c r="B721" s="21" t="s">
        <v>1015</v>
      </c>
      <c r="C721" s="29" t="s">
        <v>1077</v>
      </c>
      <c r="D721" s="20"/>
      <c r="E721" s="20">
        <v>911</v>
      </c>
      <c r="F721" s="21" t="s">
        <v>1065</v>
      </c>
      <c r="G721" s="20">
        <v>947</v>
      </c>
      <c r="H721" s="20">
        <v>2015</v>
      </c>
      <c r="I721" s="19">
        <v>14001.925999999999</v>
      </c>
      <c r="J721" s="19">
        <v>11764.236999999999</v>
      </c>
      <c r="K721" s="19">
        <v>9751.5450000000001</v>
      </c>
      <c r="L721" s="19">
        <v>8066.6080000000002</v>
      </c>
      <c r="M721" s="19">
        <v>6812.9589999999998</v>
      </c>
      <c r="N721" s="19">
        <v>5733.0259999999998</v>
      </c>
      <c r="O721" s="19">
        <v>4748.18</v>
      </c>
      <c r="P721" s="19">
        <v>3852.6559999999999</v>
      </c>
      <c r="Q721" s="19">
        <v>3120.2310000000002</v>
      </c>
      <c r="R721" s="19">
        <v>2465.4279999999999</v>
      </c>
      <c r="S721" s="19">
        <v>1992.3420000000001</v>
      </c>
      <c r="T721" s="19">
        <v>1528.6410000000001</v>
      </c>
      <c r="U721" s="19">
        <v>1145.328</v>
      </c>
      <c r="V721" s="19">
        <v>837.20600000000002</v>
      </c>
      <c r="W721" s="19">
        <v>552.79600000000005</v>
      </c>
      <c r="X721" s="19">
        <v>315.32100000000003</v>
      </c>
      <c r="Y721" s="19">
        <v>140.69399999999999</v>
      </c>
      <c r="Z721" s="19">
        <v>42.924999999999997</v>
      </c>
      <c r="AA721" s="19">
        <v>7.6849999999999996</v>
      </c>
      <c r="AB721" s="19">
        <v>0.76700000000000002</v>
      </c>
      <c r="AC721" s="19">
        <v>4.2000000000000003E-2</v>
      </c>
    </row>
    <row r="722" spans="1:29" ht="11.65" x14ac:dyDescent="0.35">
      <c r="A722" s="23">
        <v>705</v>
      </c>
      <c r="B722" s="21" t="s">
        <v>1015</v>
      </c>
      <c r="C722" s="29" t="s">
        <v>1077</v>
      </c>
      <c r="D722" s="20"/>
      <c r="E722" s="20">
        <v>911</v>
      </c>
      <c r="F722" s="21" t="s">
        <v>1065</v>
      </c>
      <c r="G722" s="20">
        <v>947</v>
      </c>
      <c r="H722" s="20">
        <v>2020</v>
      </c>
      <c r="I722" s="19">
        <v>15535.039000000001</v>
      </c>
      <c r="J722" s="19">
        <v>13586.913</v>
      </c>
      <c r="K722" s="19">
        <v>11622.91</v>
      </c>
      <c r="L722" s="19">
        <v>9635.5020000000004</v>
      </c>
      <c r="M722" s="19">
        <v>7937.701</v>
      </c>
      <c r="N722" s="19">
        <v>6671.6450000000004</v>
      </c>
      <c r="O722" s="19">
        <v>5595.5230000000001</v>
      </c>
      <c r="P722" s="19">
        <v>4597.9189999999999</v>
      </c>
      <c r="Q722" s="19">
        <v>3705.3939999999998</v>
      </c>
      <c r="R722" s="19">
        <v>2977.22</v>
      </c>
      <c r="S722" s="19">
        <v>2322.5610000000001</v>
      </c>
      <c r="T722" s="19">
        <v>1839.059</v>
      </c>
      <c r="U722" s="19">
        <v>1366.9280000000001</v>
      </c>
      <c r="V722" s="19">
        <v>970.05899999999997</v>
      </c>
      <c r="W722" s="19">
        <v>649.98400000000004</v>
      </c>
      <c r="X722" s="19">
        <v>372.791</v>
      </c>
      <c r="Y722" s="19">
        <v>169.786</v>
      </c>
      <c r="Z722" s="19">
        <v>53.756</v>
      </c>
      <c r="AA722" s="19">
        <v>10.148</v>
      </c>
      <c r="AB722" s="19">
        <v>1.02</v>
      </c>
      <c r="AC722" s="19">
        <v>5.8000000000000003E-2</v>
      </c>
    </row>
    <row r="723" spans="1:29" ht="11.65" x14ac:dyDescent="0.35">
      <c r="A723" s="12">
        <v>706</v>
      </c>
      <c r="B723" s="10" t="s">
        <v>1015</v>
      </c>
      <c r="C723" s="11" t="s">
        <v>1078</v>
      </c>
      <c r="D723" s="9"/>
      <c r="E723" s="9">
        <v>24</v>
      </c>
      <c r="F723" s="10" t="s">
        <v>1066</v>
      </c>
      <c r="G723" s="9">
        <v>911</v>
      </c>
      <c r="H723" s="9">
        <v>1950</v>
      </c>
      <c r="I723" s="8">
        <v>368.476</v>
      </c>
      <c r="J723" s="8">
        <v>283.38799999999998</v>
      </c>
      <c r="K723" s="8">
        <v>255.85499999999999</v>
      </c>
      <c r="L723" s="8">
        <v>229.78299999999999</v>
      </c>
      <c r="M723" s="8">
        <v>199.762</v>
      </c>
      <c r="N723" s="8">
        <v>173.286</v>
      </c>
      <c r="O723" s="8">
        <v>149.88800000000001</v>
      </c>
      <c r="P723" s="8">
        <v>128.38399999999999</v>
      </c>
      <c r="Q723" s="8">
        <v>108.253</v>
      </c>
      <c r="R723" s="8">
        <v>87.751000000000005</v>
      </c>
      <c r="S723" s="8">
        <v>70.581999999999994</v>
      </c>
      <c r="T723" s="8">
        <v>55.622</v>
      </c>
      <c r="U723" s="8">
        <v>37.295999999999999</v>
      </c>
      <c r="V723" s="8">
        <v>27.308</v>
      </c>
      <c r="W723" s="8">
        <v>17.373999999999999</v>
      </c>
      <c r="X723" s="8">
        <v>8.6750000000000007</v>
      </c>
      <c r="Y723" s="8">
        <v>3.528</v>
      </c>
      <c r="Z723" s="8">
        <v>1.274</v>
      </c>
      <c r="AA723" s="8">
        <v>0.151</v>
      </c>
      <c r="AB723" s="8">
        <v>6.0000000000000001E-3</v>
      </c>
      <c r="AC723" s="8">
        <v>0</v>
      </c>
    </row>
    <row r="724" spans="1:29" ht="11.65" x14ac:dyDescent="0.35">
      <c r="A724" s="12">
        <v>707</v>
      </c>
      <c r="B724" s="10" t="s">
        <v>1015</v>
      </c>
      <c r="C724" s="11" t="s">
        <v>1078</v>
      </c>
      <c r="D724" s="9"/>
      <c r="E724" s="9">
        <v>24</v>
      </c>
      <c r="F724" s="10" t="s">
        <v>1066</v>
      </c>
      <c r="G724" s="9">
        <v>911</v>
      </c>
      <c r="H724" s="9">
        <v>1955</v>
      </c>
      <c r="I724" s="8">
        <v>433.40300000000002</v>
      </c>
      <c r="J724" s="8">
        <v>322.483</v>
      </c>
      <c r="K724" s="8">
        <v>271.91800000000001</v>
      </c>
      <c r="L724" s="8">
        <v>247.499</v>
      </c>
      <c r="M724" s="8">
        <v>218.97200000000001</v>
      </c>
      <c r="N724" s="8">
        <v>188.12299999999999</v>
      </c>
      <c r="O724" s="8">
        <v>162.691</v>
      </c>
      <c r="P724" s="8">
        <v>139.846</v>
      </c>
      <c r="Q724" s="8">
        <v>118.542</v>
      </c>
      <c r="R724" s="8">
        <v>98.718000000000004</v>
      </c>
      <c r="S724" s="8">
        <v>78.671999999999997</v>
      </c>
      <c r="T724" s="8">
        <v>61.798999999999999</v>
      </c>
      <c r="U724" s="8">
        <v>46.709000000000003</v>
      </c>
      <c r="V724" s="8">
        <v>29.222999999999999</v>
      </c>
      <c r="W724" s="8">
        <v>19.131</v>
      </c>
      <c r="X724" s="8">
        <v>10.252000000000001</v>
      </c>
      <c r="Y724" s="8">
        <v>4.0110000000000001</v>
      </c>
      <c r="Z724" s="8">
        <v>1.1739999999999999</v>
      </c>
      <c r="AA724" s="8">
        <v>0.28299999999999997</v>
      </c>
      <c r="AB724" s="8">
        <v>0.02</v>
      </c>
      <c r="AC724" s="8">
        <v>1E-3</v>
      </c>
    </row>
    <row r="725" spans="1:29" ht="11.65" x14ac:dyDescent="0.35">
      <c r="A725" s="12">
        <v>708</v>
      </c>
      <c r="B725" s="10" t="s">
        <v>1015</v>
      </c>
      <c r="C725" s="11" t="s">
        <v>1078</v>
      </c>
      <c r="D725" s="9"/>
      <c r="E725" s="9">
        <v>24</v>
      </c>
      <c r="F725" s="10" t="s">
        <v>1066</v>
      </c>
      <c r="G725" s="9">
        <v>911</v>
      </c>
      <c r="H725" s="9">
        <v>1960</v>
      </c>
      <c r="I725" s="8">
        <v>494.12799999999999</v>
      </c>
      <c r="J725" s="8">
        <v>402.11700000000002</v>
      </c>
      <c r="K725" s="8">
        <v>282.63900000000001</v>
      </c>
      <c r="L725" s="8">
        <v>222.77099999999999</v>
      </c>
      <c r="M725" s="8">
        <v>225.684</v>
      </c>
      <c r="N725" s="8">
        <v>232.48400000000001</v>
      </c>
      <c r="O725" s="8">
        <v>188.81800000000001</v>
      </c>
      <c r="P725" s="8">
        <v>170.126</v>
      </c>
      <c r="Q725" s="8">
        <v>147.084</v>
      </c>
      <c r="R725" s="8">
        <v>123.849</v>
      </c>
      <c r="S725" s="8">
        <v>82.495000000000005</v>
      </c>
      <c r="T725" s="8">
        <v>64.834000000000003</v>
      </c>
      <c r="U725" s="8">
        <v>49.615000000000002</v>
      </c>
      <c r="V725" s="8">
        <v>35.338000000000001</v>
      </c>
      <c r="W725" s="8">
        <v>20.318999999999999</v>
      </c>
      <c r="X725" s="8">
        <v>17.257000000000001</v>
      </c>
      <c r="Y725" s="8">
        <v>2.516</v>
      </c>
      <c r="Z725" s="8">
        <v>1.3360000000000001</v>
      </c>
      <c r="AA725" s="8">
        <v>0.26100000000000001</v>
      </c>
      <c r="AB725" s="8">
        <v>3.6999999999999998E-2</v>
      </c>
      <c r="AC725" s="8">
        <v>2E-3</v>
      </c>
    </row>
    <row r="726" spans="1:29" ht="11.65" x14ac:dyDescent="0.35">
      <c r="A726" s="12">
        <v>709</v>
      </c>
      <c r="B726" s="10" t="s">
        <v>1015</v>
      </c>
      <c r="C726" s="11" t="s">
        <v>1078</v>
      </c>
      <c r="D726" s="9"/>
      <c r="E726" s="9">
        <v>24</v>
      </c>
      <c r="F726" s="10" t="s">
        <v>1066</v>
      </c>
      <c r="G726" s="9">
        <v>911</v>
      </c>
      <c r="H726" s="9">
        <v>1965</v>
      </c>
      <c r="I726" s="8">
        <v>501.11</v>
      </c>
      <c r="J726" s="8">
        <v>416.23200000000003</v>
      </c>
      <c r="K726" s="8">
        <v>367.39299999999997</v>
      </c>
      <c r="L726" s="8">
        <v>258.28899999999999</v>
      </c>
      <c r="M726" s="8">
        <v>201.035</v>
      </c>
      <c r="N726" s="8">
        <v>203.01</v>
      </c>
      <c r="O726" s="8">
        <v>210.07499999999999</v>
      </c>
      <c r="P726" s="8">
        <v>169.09399999999999</v>
      </c>
      <c r="Q726" s="8">
        <v>151.209</v>
      </c>
      <c r="R726" s="8">
        <v>129.21799999999999</v>
      </c>
      <c r="S726" s="8">
        <v>106.982</v>
      </c>
      <c r="T726" s="8">
        <v>68.897999999999996</v>
      </c>
      <c r="U726" s="8">
        <v>51.963999999999999</v>
      </c>
      <c r="V726" s="8">
        <v>37.21</v>
      </c>
      <c r="W726" s="8">
        <v>23.789000000000001</v>
      </c>
      <c r="X726" s="8">
        <v>11.566000000000001</v>
      </c>
      <c r="Y726" s="8">
        <v>7.8239999999999998</v>
      </c>
      <c r="Z726" s="8">
        <v>0.91600000000000004</v>
      </c>
      <c r="AA726" s="8">
        <v>0.29799999999999999</v>
      </c>
      <c r="AB726" s="8">
        <v>3.4000000000000002E-2</v>
      </c>
      <c r="AC726" s="8">
        <v>3.0000000000000001E-3</v>
      </c>
    </row>
    <row r="727" spans="1:29" ht="11.65" x14ac:dyDescent="0.35">
      <c r="A727" s="12">
        <v>710</v>
      </c>
      <c r="B727" s="10" t="s">
        <v>1015</v>
      </c>
      <c r="C727" s="11" t="s">
        <v>1078</v>
      </c>
      <c r="D727" s="9"/>
      <c r="E727" s="9">
        <v>24</v>
      </c>
      <c r="F727" s="10" t="s">
        <v>1066</v>
      </c>
      <c r="G727" s="9">
        <v>911</v>
      </c>
      <c r="H727" s="9">
        <v>1970</v>
      </c>
      <c r="I727" s="8">
        <v>518.76700000000005</v>
      </c>
      <c r="J727" s="8">
        <v>482.08</v>
      </c>
      <c r="K727" s="8">
        <v>377.726</v>
      </c>
      <c r="L727" s="8">
        <v>292.99799999999999</v>
      </c>
      <c r="M727" s="8">
        <v>262.10899999999998</v>
      </c>
      <c r="N727" s="8">
        <v>213.36699999999999</v>
      </c>
      <c r="O727" s="8">
        <v>186.4</v>
      </c>
      <c r="P727" s="8">
        <v>167.238</v>
      </c>
      <c r="Q727" s="8">
        <v>139.28</v>
      </c>
      <c r="R727" s="8">
        <v>104.66500000000001</v>
      </c>
      <c r="S727" s="8">
        <v>87.510999999999996</v>
      </c>
      <c r="T727" s="8">
        <v>66.695999999999998</v>
      </c>
      <c r="U727" s="8">
        <v>55.326000000000001</v>
      </c>
      <c r="V727" s="8">
        <v>40.045999999999999</v>
      </c>
      <c r="W727" s="8">
        <v>29.027999999999999</v>
      </c>
      <c r="X727" s="8">
        <v>12.097</v>
      </c>
      <c r="Y727" s="8">
        <v>0.61199999999999999</v>
      </c>
      <c r="Z727" s="8">
        <v>2.6240000000000001</v>
      </c>
      <c r="AA727" s="8">
        <v>0.187</v>
      </c>
      <c r="AB727" s="8">
        <v>0.04</v>
      </c>
      <c r="AC727" s="8">
        <v>3.0000000000000001E-3</v>
      </c>
    </row>
    <row r="728" spans="1:29" ht="11.65" x14ac:dyDescent="0.35">
      <c r="A728" s="12">
        <v>711</v>
      </c>
      <c r="B728" s="10" t="s">
        <v>1015</v>
      </c>
      <c r="C728" s="11" t="s">
        <v>1078</v>
      </c>
      <c r="D728" s="9"/>
      <c r="E728" s="9">
        <v>24</v>
      </c>
      <c r="F728" s="10" t="s">
        <v>1066</v>
      </c>
      <c r="G728" s="9">
        <v>911</v>
      </c>
      <c r="H728" s="9">
        <v>1975</v>
      </c>
      <c r="I728" s="8">
        <v>677.34699999999998</v>
      </c>
      <c r="J728" s="8">
        <v>486.88299999999998</v>
      </c>
      <c r="K728" s="8">
        <v>479.75299999999999</v>
      </c>
      <c r="L728" s="8">
        <v>378.59699999999998</v>
      </c>
      <c r="M728" s="8">
        <v>290.27999999999997</v>
      </c>
      <c r="N728" s="8">
        <v>256.36200000000002</v>
      </c>
      <c r="O728" s="8">
        <v>208.541</v>
      </c>
      <c r="P728" s="8">
        <v>181.26300000000001</v>
      </c>
      <c r="Q728" s="8">
        <v>160.79599999999999</v>
      </c>
      <c r="R728" s="8">
        <v>132.32599999999999</v>
      </c>
      <c r="S728" s="8">
        <v>97.935000000000002</v>
      </c>
      <c r="T728" s="8">
        <v>79.731999999999999</v>
      </c>
      <c r="U728" s="8">
        <v>58.203000000000003</v>
      </c>
      <c r="V728" s="8">
        <v>45.009</v>
      </c>
      <c r="W728" s="8">
        <v>28.991</v>
      </c>
      <c r="X728" s="8">
        <v>17.77</v>
      </c>
      <c r="Y728" s="8">
        <v>5.8789999999999996</v>
      </c>
      <c r="Z728" s="8">
        <v>0.28899999999999998</v>
      </c>
      <c r="AA728" s="8">
        <v>0.58899999999999997</v>
      </c>
      <c r="AB728" s="8">
        <v>2.5999999999999999E-2</v>
      </c>
      <c r="AC728" s="8">
        <v>3.0000000000000001E-3</v>
      </c>
    </row>
    <row r="729" spans="1:29" ht="11.65" x14ac:dyDescent="0.35">
      <c r="A729" s="12">
        <v>712</v>
      </c>
      <c r="B729" s="10" t="s">
        <v>1015</v>
      </c>
      <c r="C729" s="11" t="s">
        <v>1078</v>
      </c>
      <c r="D729" s="9"/>
      <c r="E729" s="9">
        <v>24</v>
      </c>
      <c r="F729" s="10" t="s">
        <v>1066</v>
      </c>
      <c r="G729" s="9">
        <v>911</v>
      </c>
      <c r="H729" s="9">
        <v>1980</v>
      </c>
      <c r="I729" s="8">
        <v>795.74099999999999</v>
      </c>
      <c r="J729" s="8">
        <v>636.84900000000005</v>
      </c>
      <c r="K729" s="8">
        <v>485.6</v>
      </c>
      <c r="L729" s="8">
        <v>478.79899999999998</v>
      </c>
      <c r="M729" s="8">
        <v>373.59199999999998</v>
      </c>
      <c r="N729" s="8">
        <v>284.14499999999998</v>
      </c>
      <c r="O729" s="8">
        <v>250.3</v>
      </c>
      <c r="P729" s="8">
        <v>202.928</v>
      </c>
      <c r="Q729" s="8">
        <v>174.59</v>
      </c>
      <c r="R729" s="8">
        <v>152.80799999999999</v>
      </c>
      <c r="S729" s="8">
        <v>123.511</v>
      </c>
      <c r="T729" s="8">
        <v>89.247</v>
      </c>
      <c r="U729" s="8">
        <v>69.466999999999999</v>
      </c>
      <c r="V729" s="8">
        <v>47.426000000000002</v>
      </c>
      <c r="W729" s="8">
        <v>32.622</v>
      </c>
      <c r="X729" s="8">
        <v>17.821000000000002</v>
      </c>
      <c r="Y729" s="8">
        <v>8.58</v>
      </c>
      <c r="Z729" s="8">
        <v>1.9910000000000001</v>
      </c>
      <c r="AA729" s="8">
        <v>0</v>
      </c>
      <c r="AB729" s="8">
        <v>0.08</v>
      </c>
      <c r="AC729" s="8">
        <v>2E-3</v>
      </c>
    </row>
    <row r="730" spans="1:29" ht="11.65" x14ac:dyDescent="0.35">
      <c r="A730" s="12">
        <v>713</v>
      </c>
      <c r="B730" s="10" t="s">
        <v>1015</v>
      </c>
      <c r="C730" s="11" t="s">
        <v>1078</v>
      </c>
      <c r="D730" s="9"/>
      <c r="E730" s="9">
        <v>24</v>
      </c>
      <c r="F730" s="10" t="s">
        <v>1066</v>
      </c>
      <c r="G730" s="9">
        <v>911</v>
      </c>
      <c r="H730" s="9">
        <v>1985</v>
      </c>
      <c r="I730" s="8">
        <v>962.75300000000004</v>
      </c>
      <c r="J730" s="8">
        <v>752.59500000000003</v>
      </c>
      <c r="K730" s="8">
        <v>634.35900000000004</v>
      </c>
      <c r="L730" s="8">
        <v>486.16899999999998</v>
      </c>
      <c r="M730" s="8">
        <v>472.68400000000003</v>
      </c>
      <c r="N730" s="8">
        <v>366.79599999999999</v>
      </c>
      <c r="O730" s="8">
        <v>278.45499999999998</v>
      </c>
      <c r="P730" s="8">
        <v>243.14500000000001</v>
      </c>
      <c r="Q730" s="8">
        <v>195.61199999999999</v>
      </c>
      <c r="R730" s="8">
        <v>166.202</v>
      </c>
      <c r="S730" s="8">
        <v>142.66499999999999</v>
      </c>
      <c r="T730" s="8">
        <v>112.34699999999999</v>
      </c>
      <c r="U730" s="8">
        <v>77.894999999999996</v>
      </c>
      <c r="V730" s="8">
        <v>56.534999999999997</v>
      </c>
      <c r="W730" s="8">
        <v>34.594999999999999</v>
      </c>
      <c r="X730" s="8">
        <v>20.044</v>
      </c>
      <c r="Y730" s="8">
        <v>8.6069999999999993</v>
      </c>
      <c r="Z730" s="8">
        <v>2.9129999999999998</v>
      </c>
      <c r="AA730" s="8">
        <v>0.44700000000000001</v>
      </c>
      <c r="AB730" s="8">
        <v>0</v>
      </c>
      <c r="AC730" s="8">
        <v>6.0000000000000001E-3</v>
      </c>
    </row>
    <row r="731" spans="1:29" ht="11.65" x14ac:dyDescent="0.35">
      <c r="A731" s="12">
        <v>714</v>
      </c>
      <c r="B731" s="10" t="s">
        <v>1015</v>
      </c>
      <c r="C731" s="11" t="s">
        <v>1078</v>
      </c>
      <c r="D731" s="9"/>
      <c r="E731" s="9">
        <v>24</v>
      </c>
      <c r="F731" s="10" t="s">
        <v>1066</v>
      </c>
      <c r="G731" s="9">
        <v>911</v>
      </c>
      <c r="H731" s="9">
        <v>1990</v>
      </c>
      <c r="I731" s="8">
        <v>1152.992</v>
      </c>
      <c r="J731" s="8">
        <v>906.327</v>
      </c>
      <c r="K731" s="8">
        <v>745.13400000000001</v>
      </c>
      <c r="L731" s="8">
        <v>629.72900000000004</v>
      </c>
      <c r="M731" s="8">
        <v>478.27</v>
      </c>
      <c r="N731" s="8">
        <v>460.60500000000002</v>
      </c>
      <c r="O731" s="8">
        <v>356.76100000000002</v>
      </c>
      <c r="P731" s="8">
        <v>269.55</v>
      </c>
      <c r="Q731" s="8">
        <v>233.03399999999999</v>
      </c>
      <c r="R731" s="8">
        <v>185.15600000000001</v>
      </c>
      <c r="S731" s="8">
        <v>154.40600000000001</v>
      </c>
      <c r="T731" s="8">
        <v>129.01499999999999</v>
      </c>
      <c r="U731" s="8">
        <v>97.289000000000001</v>
      </c>
      <c r="V731" s="8">
        <v>63.027999999999999</v>
      </c>
      <c r="W731" s="8">
        <v>40.975000000000001</v>
      </c>
      <c r="X731" s="8">
        <v>21.186</v>
      </c>
      <c r="Y731" s="8">
        <v>9.6430000000000007</v>
      </c>
      <c r="Z731" s="8">
        <v>2.9279999999999999</v>
      </c>
      <c r="AA731" s="8">
        <v>0.65700000000000003</v>
      </c>
      <c r="AB731" s="8">
        <v>6.2E-2</v>
      </c>
      <c r="AC731" s="8">
        <v>0</v>
      </c>
    </row>
    <row r="732" spans="1:29" ht="11.65" x14ac:dyDescent="0.35">
      <c r="A732" s="12">
        <v>715</v>
      </c>
      <c r="B732" s="10" t="s">
        <v>1015</v>
      </c>
      <c r="C732" s="11" t="s">
        <v>1078</v>
      </c>
      <c r="D732" s="9"/>
      <c r="E732" s="9">
        <v>24</v>
      </c>
      <c r="F732" s="10" t="s">
        <v>1066</v>
      </c>
      <c r="G732" s="9">
        <v>911</v>
      </c>
      <c r="H732" s="9">
        <v>1995</v>
      </c>
      <c r="I732" s="8">
        <v>1330.328</v>
      </c>
      <c r="J732" s="8">
        <v>1079.1099999999999</v>
      </c>
      <c r="K732" s="8">
        <v>892.01199999999994</v>
      </c>
      <c r="L732" s="8">
        <v>735.55399999999997</v>
      </c>
      <c r="M732" s="8">
        <v>614.66399999999999</v>
      </c>
      <c r="N732" s="8">
        <v>463.59399999999999</v>
      </c>
      <c r="O732" s="8">
        <v>444.73700000000002</v>
      </c>
      <c r="P732" s="8">
        <v>342.84800000000001</v>
      </c>
      <c r="Q732" s="8">
        <v>256.62799999999999</v>
      </c>
      <c r="R732" s="8">
        <v>218.691</v>
      </c>
      <c r="S732" s="8">
        <v>170.642</v>
      </c>
      <c r="T732" s="8">
        <v>138.59299999999999</v>
      </c>
      <c r="U732" s="8">
        <v>110.80500000000001</v>
      </c>
      <c r="V732" s="8">
        <v>77.953999999999994</v>
      </c>
      <c r="W732" s="8">
        <v>45.286999999999999</v>
      </c>
      <c r="X732" s="8">
        <v>24.873000000000001</v>
      </c>
      <c r="Y732" s="8">
        <v>10.121</v>
      </c>
      <c r="Z732" s="8">
        <v>3.274</v>
      </c>
      <c r="AA732" s="8">
        <v>0.65900000000000003</v>
      </c>
      <c r="AB732" s="8">
        <v>8.8999999999999996E-2</v>
      </c>
      <c r="AC732" s="8">
        <v>4.0000000000000001E-3</v>
      </c>
    </row>
    <row r="733" spans="1:29" ht="11.65" x14ac:dyDescent="0.35">
      <c r="A733" s="12">
        <v>716</v>
      </c>
      <c r="B733" s="10" t="s">
        <v>1015</v>
      </c>
      <c r="C733" s="11" t="s">
        <v>1078</v>
      </c>
      <c r="D733" s="9"/>
      <c r="E733" s="9">
        <v>24</v>
      </c>
      <c r="F733" s="10" t="s">
        <v>1066</v>
      </c>
      <c r="G733" s="9">
        <v>911</v>
      </c>
      <c r="H733" s="9">
        <v>2000</v>
      </c>
      <c r="I733" s="8">
        <v>1535.5740000000001</v>
      </c>
      <c r="J733" s="8">
        <v>1250.1030000000001</v>
      </c>
      <c r="K733" s="8">
        <v>1063.857</v>
      </c>
      <c r="L733" s="8">
        <v>882.23900000000003</v>
      </c>
      <c r="M733" s="8">
        <v>719.02499999999998</v>
      </c>
      <c r="N733" s="8">
        <v>595.48500000000001</v>
      </c>
      <c r="O733" s="8">
        <v>448.66</v>
      </c>
      <c r="P733" s="8">
        <v>427.59100000000001</v>
      </c>
      <c r="Q733" s="8">
        <v>326.78500000000003</v>
      </c>
      <c r="R733" s="8">
        <v>241.85499999999999</v>
      </c>
      <c r="S733" s="8">
        <v>202.17599999999999</v>
      </c>
      <c r="T733" s="8">
        <v>153.66499999999999</v>
      </c>
      <c r="U733" s="8">
        <v>119.321</v>
      </c>
      <c r="V733" s="8">
        <v>88.974000000000004</v>
      </c>
      <c r="W733" s="8">
        <v>55.929000000000002</v>
      </c>
      <c r="X733" s="8">
        <v>27.579000000000001</v>
      </c>
      <c r="Y733" s="8">
        <v>11.930999999999999</v>
      </c>
      <c r="Z733" s="8">
        <v>3.4369999999999998</v>
      </c>
      <c r="AA733" s="8">
        <v>0.73699999999999999</v>
      </c>
      <c r="AB733" s="8">
        <v>8.8999999999999996E-2</v>
      </c>
      <c r="AC733" s="8">
        <v>7.0000000000000001E-3</v>
      </c>
    </row>
    <row r="734" spans="1:29" ht="11.65" x14ac:dyDescent="0.35">
      <c r="A734" s="12">
        <v>717</v>
      </c>
      <c r="B734" s="10" t="s">
        <v>1015</v>
      </c>
      <c r="C734" s="11" t="s">
        <v>1078</v>
      </c>
      <c r="D734" s="9"/>
      <c r="E734" s="9">
        <v>24</v>
      </c>
      <c r="F734" s="10" t="s">
        <v>1066</v>
      </c>
      <c r="G734" s="9">
        <v>911</v>
      </c>
      <c r="H734" s="9">
        <v>2005</v>
      </c>
      <c r="I734" s="8">
        <v>1834.1289999999999</v>
      </c>
      <c r="J734" s="8">
        <v>1462.212</v>
      </c>
      <c r="K734" s="8">
        <v>1238.1679999999999</v>
      </c>
      <c r="L734" s="8">
        <v>1055.634</v>
      </c>
      <c r="M734" s="8">
        <v>865.66700000000003</v>
      </c>
      <c r="N734" s="8">
        <v>699.75300000000004</v>
      </c>
      <c r="O734" s="8">
        <v>578.30600000000004</v>
      </c>
      <c r="P734" s="8">
        <v>434.21499999999997</v>
      </c>
      <c r="Q734" s="8">
        <v>409.18</v>
      </c>
      <c r="R734" s="8">
        <v>309.084</v>
      </c>
      <c r="S734" s="8">
        <v>224.78700000000001</v>
      </c>
      <c r="T734" s="8">
        <v>182.714</v>
      </c>
      <c r="U734" s="8">
        <v>132.82</v>
      </c>
      <c r="V734" s="8">
        <v>96.222999999999999</v>
      </c>
      <c r="W734" s="8">
        <v>64.069999999999993</v>
      </c>
      <c r="X734" s="8">
        <v>34.209000000000003</v>
      </c>
      <c r="Y734" s="8">
        <v>13.335000000000001</v>
      </c>
      <c r="Z734" s="8">
        <v>4.0759999999999996</v>
      </c>
      <c r="AA734" s="8">
        <v>0.78</v>
      </c>
      <c r="AB734" s="8">
        <v>0.10100000000000001</v>
      </c>
      <c r="AC734" s="8">
        <v>7.0000000000000001E-3</v>
      </c>
    </row>
    <row r="735" spans="1:29" ht="11.65" x14ac:dyDescent="0.35">
      <c r="A735" s="12">
        <v>718</v>
      </c>
      <c r="B735" s="10" t="s">
        <v>1015</v>
      </c>
      <c r="C735" s="11" t="s">
        <v>1078</v>
      </c>
      <c r="D735" s="9"/>
      <c r="E735" s="9">
        <v>24</v>
      </c>
      <c r="F735" s="10" t="s">
        <v>1066</v>
      </c>
      <c r="G735" s="9">
        <v>911</v>
      </c>
      <c r="H735" s="9">
        <v>2010</v>
      </c>
      <c r="I735" s="8">
        <v>2233.0410000000002</v>
      </c>
      <c r="J735" s="8">
        <v>1779.509</v>
      </c>
      <c r="K735" s="8">
        <v>1457.338</v>
      </c>
      <c r="L735" s="8">
        <v>1234.473</v>
      </c>
      <c r="M735" s="8">
        <v>1041.9749999999999</v>
      </c>
      <c r="N735" s="8">
        <v>848.59500000000003</v>
      </c>
      <c r="O735" s="8">
        <v>685.59299999999996</v>
      </c>
      <c r="P735" s="8">
        <v>564.22299999999996</v>
      </c>
      <c r="Q735" s="8">
        <v>420.57900000000001</v>
      </c>
      <c r="R735" s="8">
        <v>390.35300000000001</v>
      </c>
      <c r="S735" s="8">
        <v>289.38099999999997</v>
      </c>
      <c r="T735" s="8">
        <v>204.92500000000001</v>
      </c>
      <c r="U735" s="8">
        <v>159.05000000000001</v>
      </c>
      <c r="V735" s="8">
        <v>108.03100000000001</v>
      </c>
      <c r="W735" s="8">
        <v>70.022000000000006</v>
      </c>
      <c r="X735" s="8">
        <v>39.704000000000001</v>
      </c>
      <c r="Y735" s="8">
        <v>16.791</v>
      </c>
      <c r="Z735" s="8">
        <v>4.6379999999999999</v>
      </c>
      <c r="AA735" s="8">
        <v>0.93899999999999995</v>
      </c>
      <c r="AB735" s="8">
        <v>0.109</v>
      </c>
      <c r="AC735" s="8">
        <v>8.0000000000000002E-3</v>
      </c>
    </row>
    <row r="736" spans="1:29" ht="11.65" x14ac:dyDescent="0.35">
      <c r="A736" s="12">
        <v>719</v>
      </c>
      <c r="B736" s="10" t="s">
        <v>1015</v>
      </c>
      <c r="C736" s="11" t="s">
        <v>1078</v>
      </c>
      <c r="D736" s="9"/>
      <c r="E736" s="9">
        <v>24</v>
      </c>
      <c r="F736" s="10" t="s">
        <v>1066</v>
      </c>
      <c r="G736" s="9">
        <v>911</v>
      </c>
      <c r="H736" s="9">
        <v>2015</v>
      </c>
      <c r="I736" s="8">
        <v>2615.7840000000001</v>
      </c>
      <c r="J736" s="8">
        <v>2184.2959999999998</v>
      </c>
      <c r="K736" s="8">
        <v>1769.002</v>
      </c>
      <c r="L736" s="8">
        <v>1447.636</v>
      </c>
      <c r="M736" s="8">
        <v>1216.979</v>
      </c>
      <c r="N736" s="8">
        <v>1022.076</v>
      </c>
      <c r="O736" s="8">
        <v>830.94</v>
      </c>
      <c r="P736" s="8">
        <v>668.58699999999999</v>
      </c>
      <c r="Q736" s="8">
        <v>545.85900000000004</v>
      </c>
      <c r="R736" s="8">
        <v>402.19499999999999</v>
      </c>
      <c r="S736" s="8">
        <v>365.86099999999999</v>
      </c>
      <c r="T736" s="8">
        <v>263.726</v>
      </c>
      <c r="U736" s="8">
        <v>178.67099999999999</v>
      </c>
      <c r="V736" s="8">
        <v>129.55600000000001</v>
      </c>
      <c r="W736" s="8">
        <v>79.2</v>
      </c>
      <c r="X736" s="8">
        <v>43.872999999999998</v>
      </c>
      <c r="Y736" s="8">
        <v>19.757000000000001</v>
      </c>
      <c r="Z736" s="8">
        <v>6.0060000000000002</v>
      </c>
      <c r="AA736" s="8">
        <v>1.0980000000000001</v>
      </c>
      <c r="AB736" s="8">
        <v>0.13300000000000001</v>
      </c>
      <c r="AC736" s="8">
        <v>8.9999999999999993E-3</v>
      </c>
    </row>
    <row r="737" spans="1:29" ht="11.65" x14ac:dyDescent="0.35">
      <c r="A737" s="12">
        <v>720</v>
      </c>
      <c r="B737" s="10" t="s">
        <v>1015</v>
      </c>
      <c r="C737" s="11" t="s">
        <v>1078</v>
      </c>
      <c r="D737" s="9"/>
      <c r="E737" s="9">
        <v>24</v>
      </c>
      <c r="F737" s="10" t="s">
        <v>1066</v>
      </c>
      <c r="G737" s="9">
        <v>911</v>
      </c>
      <c r="H737" s="9">
        <v>2020</v>
      </c>
      <c r="I737" s="8">
        <v>2923.5140000000001</v>
      </c>
      <c r="J737" s="8">
        <v>2568.2440000000001</v>
      </c>
      <c r="K737" s="8">
        <v>2166.5949999999998</v>
      </c>
      <c r="L737" s="8">
        <v>1751.828</v>
      </c>
      <c r="M737" s="8">
        <v>1424.241</v>
      </c>
      <c r="N737" s="8">
        <v>1192.393</v>
      </c>
      <c r="O737" s="8">
        <v>999.33199999999999</v>
      </c>
      <c r="P737" s="8">
        <v>808.851</v>
      </c>
      <c r="Q737" s="8">
        <v>645.76300000000003</v>
      </c>
      <c r="R737" s="8">
        <v>520.75</v>
      </c>
      <c r="S737" s="8">
        <v>376.36399999999998</v>
      </c>
      <c r="T737" s="8">
        <v>332.58800000000002</v>
      </c>
      <c r="U737" s="8">
        <v>229.285</v>
      </c>
      <c r="V737" s="8">
        <v>145.23699999999999</v>
      </c>
      <c r="W737" s="8">
        <v>95.123999999999995</v>
      </c>
      <c r="X737" s="8">
        <v>49.865000000000002</v>
      </c>
      <c r="Y737" s="8">
        <v>22.04</v>
      </c>
      <c r="Z737" s="8">
        <v>7.226</v>
      </c>
      <c r="AA737" s="8">
        <v>1.458</v>
      </c>
      <c r="AB737" s="8">
        <v>0.161</v>
      </c>
      <c r="AC737" s="8">
        <v>1.0999999999999999E-2</v>
      </c>
    </row>
    <row r="738" spans="1:29" ht="11.65" x14ac:dyDescent="0.35">
      <c r="A738" s="12">
        <v>721</v>
      </c>
      <c r="B738" s="10" t="s">
        <v>1015</v>
      </c>
      <c r="C738" s="11" t="s">
        <v>1079</v>
      </c>
      <c r="D738" s="9"/>
      <c r="E738" s="9">
        <v>120</v>
      </c>
      <c r="F738" s="10" t="s">
        <v>1066</v>
      </c>
      <c r="G738" s="9">
        <v>911</v>
      </c>
      <c r="H738" s="9">
        <v>1950</v>
      </c>
      <c r="I738" s="8">
        <v>334.62700000000001</v>
      </c>
      <c r="J738" s="8">
        <v>267.245</v>
      </c>
      <c r="K738" s="8">
        <v>239.10599999999999</v>
      </c>
      <c r="L738" s="8">
        <v>212.988</v>
      </c>
      <c r="M738" s="8">
        <v>187.71799999999999</v>
      </c>
      <c r="N738" s="8">
        <v>163.934</v>
      </c>
      <c r="O738" s="8">
        <v>142.91200000000001</v>
      </c>
      <c r="P738" s="8">
        <v>123.58799999999999</v>
      </c>
      <c r="Q738" s="8">
        <v>105.75</v>
      </c>
      <c r="R738" s="8">
        <v>89.188000000000002</v>
      </c>
      <c r="S738" s="8">
        <v>73.685000000000002</v>
      </c>
      <c r="T738" s="8">
        <v>59.033999999999999</v>
      </c>
      <c r="U738" s="8">
        <v>45.018999999999998</v>
      </c>
      <c r="V738" s="8">
        <v>31.640999999999998</v>
      </c>
      <c r="W738" s="8">
        <v>19.748000000000001</v>
      </c>
      <c r="X738" s="8">
        <v>9.98</v>
      </c>
      <c r="Y738" s="8">
        <v>3.3849999999999998</v>
      </c>
      <c r="Z738" s="8">
        <v>1.079</v>
      </c>
      <c r="AA738" s="8">
        <v>0.189</v>
      </c>
      <c r="AB738" s="8">
        <v>1.7000000000000001E-2</v>
      </c>
      <c r="AC738" s="8">
        <v>1E-3</v>
      </c>
    </row>
    <row r="739" spans="1:29" ht="11.65" x14ac:dyDescent="0.35">
      <c r="A739" s="12">
        <v>722</v>
      </c>
      <c r="B739" s="10" t="s">
        <v>1015</v>
      </c>
      <c r="C739" s="11" t="s">
        <v>1079</v>
      </c>
      <c r="D739" s="9"/>
      <c r="E739" s="9">
        <v>120</v>
      </c>
      <c r="F739" s="10" t="s">
        <v>1066</v>
      </c>
      <c r="G739" s="9">
        <v>911</v>
      </c>
      <c r="H739" s="9">
        <v>1955</v>
      </c>
      <c r="I739" s="8">
        <v>374.73700000000002</v>
      </c>
      <c r="J739" s="8">
        <v>294.34500000000003</v>
      </c>
      <c r="K739" s="8">
        <v>255.01599999999999</v>
      </c>
      <c r="L739" s="8">
        <v>231.11699999999999</v>
      </c>
      <c r="M739" s="8">
        <v>203.721</v>
      </c>
      <c r="N739" s="8">
        <v>177.74100000000001</v>
      </c>
      <c r="O739" s="8">
        <v>154.59800000000001</v>
      </c>
      <c r="P739" s="8">
        <v>133.88</v>
      </c>
      <c r="Q739" s="8">
        <v>114.645</v>
      </c>
      <c r="R739" s="8">
        <v>97.066999999999993</v>
      </c>
      <c r="S739" s="8">
        <v>80.704999999999998</v>
      </c>
      <c r="T739" s="8">
        <v>65.316999999999993</v>
      </c>
      <c r="U739" s="8">
        <v>50.582000000000001</v>
      </c>
      <c r="V739" s="8">
        <v>36.340000000000003</v>
      </c>
      <c r="W739" s="8">
        <v>23.132999999999999</v>
      </c>
      <c r="X739" s="8">
        <v>12.285</v>
      </c>
      <c r="Y739" s="8">
        <v>4.7949999999999999</v>
      </c>
      <c r="Z739" s="8">
        <v>1.079</v>
      </c>
      <c r="AA739" s="8">
        <v>0.189</v>
      </c>
      <c r="AB739" s="8">
        <v>1.7000000000000001E-2</v>
      </c>
      <c r="AC739" s="8">
        <v>1E-3</v>
      </c>
    </row>
    <row r="740" spans="1:29" ht="11.65" x14ac:dyDescent="0.35">
      <c r="A740" s="12">
        <v>723</v>
      </c>
      <c r="B740" s="10" t="s">
        <v>1015</v>
      </c>
      <c r="C740" s="11" t="s">
        <v>1079</v>
      </c>
      <c r="D740" s="9"/>
      <c r="E740" s="9">
        <v>120</v>
      </c>
      <c r="F740" s="10" t="s">
        <v>1066</v>
      </c>
      <c r="G740" s="9">
        <v>911</v>
      </c>
      <c r="H740" s="9">
        <v>1960</v>
      </c>
      <c r="I740" s="8">
        <v>415.733</v>
      </c>
      <c r="J740" s="8">
        <v>334.63400000000001</v>
      </c>
      <c r="K740" s="8">
        <v>282.60899999999998</v>
      </c>
      <c r="L740" s="8">
        <v>247.41</v>
      </c>
      <c r="M740" s="8">
        <v>221.952</v>
      </c>
      <c r="N740" s="8">
        <v>193.81800000000001</v>
      </c>
      <c r="O740" s="8">
        <v>168.44300000000001</v>
      </c>
      <c r="P740" s="8">
        <v>145.56399999999999</v>
      </c>
      <c r="Q740" s="8">
        <v>124.86199999999999</v>
      </c>
      <c r="R740" s="8">
        <v>105.8</v>
      </c>
      <c r="S740" s="8">
        <v>88.277000000000001</v>
      </c>
      <c r="T740" s="8">
        <v>71.876000000000005</v>
      </c>
      <c r="U740" s="8">
        <v>56.215000000000003</v>
      </c>
      <c r="V740" s="8">
        <v>40.996000000000002</v>
      </c>
      <c r="W740" s="8">
        <v>26.657</v>
      </c>
      <c r="X740" s="8">
        <v>14.413</v>
      </c>
      <c r="Y740" s="8">
        <v>5.8840000000000003</v>
      </c>
      <c r="Z740" s="8">
        <v>1.508</v>
      </c>
      <c r="AA740" s="8">
        <v>0.182</v>
      </c>
      <c r="AB740" s="8">
        <v>1.4999999999999999E-2</v>
      </c>
      <c r="AC740" s="8">
        <v>1E-3</v>
      </c>
    </row>
    <row r="741" spans="1:29" ht="11.65" x14ac:dyDescent="0.35">
      <c r="A741" s="12">
        <v>724</v>
      </c>
      <c r="B741" s="10" t="s">
        <v>1015</v>
      </c>
      <c r="C741" s="11" t="s">
        <v>1079</v>
      </c>
      <c r="D741" s="9"/>
      <c r="E741" s="9">
        <v>120</v>
      </c>
      <c r="F741" s="10" t="s">
        <v>1066</v>
      </c>
      <c r="G741" s="9">
        <v>911</v>
      </c>
      <c r="H741" s="9">
        <v>1965</v>
      </c>
      <c r="I741" s="8">
        <v>483.68400000000003</v>
      </c>
      <c r="J741" s="8">
        <v>376.97899999999998</v>
      </c>
      <c r="K741" s="8">
        <v>323.238</v>
      </c>
      <c r="L741" s="8">
        <v>275.21199999999999</v>
      </c>
      <c r="M741" s="8">
        <v>238.6</v>
      </c>
      <c r="N741" s="8">
        <v>212.22900000000001</v>
      </c>
      <c r="O741" s="8">
        <v>184.63900000000001</v>
      </c>
      <c r="P741" s="8">
        <v>159.46899999999999</v>
      </c>
      <c r="Q741" s="8">
        <v>136.55199999999999</v>
      </c>
      <c r="R741" s="8">
        <v>115.916</v>
      </c>
      <c r="S741" s="8">
        <v>96.769000000000005</v>
      </c>
      <c r="T741" s="8">
        <v>79.049000000000007</v>
      </c>
      <c r="U741" s="8">
        <v>62.195</v>
      </c>
      <c r="V741" s="8">
        <v>45.795999999999999</v>
      </c>
      <c r="W741" s="8">
        <v>30.216999999999999</v>
      </c>
      <c r="X741" s="8">
        <v>16.664999999999999</v>
      </c>
      <c r="Y741" s="8">
        <v>6.8970000000000002</v>
      </c>
      <c r="Z741" s="8">
        <v>1.831</v>
      </c>
      <c r="AA741" s="8">
        <v>0.247</v>
      </c>
      <c r="AB741" s="8">
        <v>1.4999999999999999E-2</v>
      </c>
      <c r="AC741" s="8">
        <v>1E-3</v>
      </c>
    </row>
    <row r="742" spans="1:29" ht="11.65" x14ac:dyDescent="0.35">
      <c r="A742" s="12">
        <v>725</v>
      </c>
      <c r="B742" s="10" t="s">
        <v>1015</v>
      </c>
      <c r="C742" s="11" t="s">
        <v>1079</v>
      </c>
      <c r="D742" s="9"/>
      <c r="E742" s="9">
        <v>120</v>
      </c>
      <c r="F742" s="10" t="s">
        <v>1066</v>
      </c>
      <c r="G742" s="9">
        <v>911</v>
      </c>
      <c r="H742" s="9">
        <v>1970</v>
      </c>
      <c r="I742" s="8">
        <v>566.35500000000002</v>
      </c>
      <c r="J742" s="8">
        <v>444.33499999999998</v>
      </c>
      <c r="K742" s="8">
        <v>365.94299999999998</v>
      </c>
      <c r="L742" s="8">
        <v>315.75599999999997</v>
      </c>
      <c r="M742" s="8">
        <v>266.32299999999998</v>
      </c>
      <c r="N742" s="8">
        <v>229.06899999999999</v>
      </c>
      <c r="O742" s="8">
        <v>203.03800000000001</v>
      </c>
      <c r="P742" s="8">
        <v>175.60499999999999</v>
      </c>
      <c r="Q742" s="8">
        <v>150.35599999999999</v>
      </c>
      <c r="R742" s="8">
        <v>127.446</v>
      </c>
      <c r="S742" s="8">
        <v>106.58199999999999</v>
      </c>
      <c r="T742" s="8">
        <v>87.108000000000004</v>
      </c>
      <c r="U742" s="8">
        <v>68.769000000000005</v>
      </c>
      <c r="V742" s="8">
        <v>50.942999999999998</v>
      </c>
      <c r="W742" s="8">
        <v>33.939</v>
      </c>
      <c r="X742" s="8">
        <v>18.978999999999999</v>
      </c>
      <c r="Y742" s="8">
        <v>7.9870000000000001</v>
      </c>
      <c r="Z742" s="8">
        <v>2.133</v>
      </c>
      <c r="AA742" s="8">
        <v>0.29099999999999998</v>
      </c>
      <c r="AB742" s="8">
        <v>1.7999999999999999E-2</v>
      </c>
      <c r="AC742" s="8">
        <v>1E-3</v>
      </c>
    </row>
    <row r="743" spans="1:29" ht="11.65" x14ac:dyDescent="0.35">
      <c r="A743" s="12">
        <v>726</v>
      </c>
      <c r="B743" s="10" t="s">
        <v>1015</v>
      </c>
      <c r="C743" s="11" t="s">
        <v>1079</v>
      </c>
      <c r="D743" s="9"/>
      <c r="E743" s="9">
        <v>120</v>
      </c>
      <c r="F743" s="10" t="s">
        <v>1066</v>
      </c>
      <c r="G743" s="9">
        <v>911</v>
      </c>
      <c r="H743" s="9">
        <v>1975</v>
      </c>
      <c r="I743" s="8">
        <v>665.21199999999999</v>
      </c>
      <c r="J743" s="8">
        <v>526.82299999999998</v>
      </c>
      <c r="K743" s="8">
        <v>433.26799999999997</v>
      </c>
      <c r="L743" s="8">
        <v>358.49599999999998</v>
      </c>
      <c r="M743" s="8">
        <v>306.53800000000001</v>
      </c>
      <c r="N743" s="8">
        <v>256.64499999999998</v>
      </c>
      <c r="O743" s="8">
        <v>220.012</v>
      </c>
      <c r="P743" s="8">
        <v>193.93799999999999</v>
      </c>
      <c r="Q743" s="8">
        <v>166.363</v>
      </c>
      <c r="R743" s="8">
        <v>141.048</v>
      </c>
      <c r="S743" s="8">
        <v>117.79</v>
      </c>
      <c r="T743" s="8">
        <v>96.447000000000003</v>
      </c>
      <c r="U743" s="8">
        <v>76.197000000000003</v>
      </c>
      <c r="V743" s="8">
        <v>56.65</v>
      </c>
      <c r="W743" s="8">
        <v>37.978999999999999</v>
      </c>
      <c r="X743" s="8">
        <v>21.434999999999999</v>
      </c>
      <c r="Y743" s="8">
        <v>9.1210000000000004</v>
      </c>
      <c r="Z743" s="8">
        <v>2.4580000000000002</v>
      </c>
      <c r="AA743" s="8">
        <v>0.33</v>
      </c>
      <c r="AB743" s="8">
        <v>0.02</v>
      </c>
      <c r="AC743" s="8">
        <v>1E-3</v>
      </c>
    </row>
    <row r="744" spans="1:29" ht="11.65" x14ac:dyDescent="0.35">
      <c r="A744" s="12">
        <v>727</v>
      </c>
      <c r="B744" s="10" t="s">
        <v>1015</v>
      </c>
      <c r="C744" s="11" t="s">
        <v>1079</v>
      </c>
      <c r="D744" s="9"/>
      <c r="E744" s="9">
        <v>120</v>
      </c>
      <c r="F744" s="10" t="s">
        <v>1066</v>
      </c>
      <c r="G744" s="9">
        <v>911</v>
      </c>
      <c r="H744" s="9">
        <v>1980</v>
      </c>
      <c r="I744" s="8">
        <v>791.63199999999995</v>
      </c>
      <c r="J744" s="8">
        <v>626.44200000000001</v>
      </c>
      <c r="K744" s="8">
        <v>515.84799999999996</v>
      </c>
      <c r="L744" s="8">
        <v>425.73</v>
      </c>
      <c r="M744" s="8">
        <v>349.41399999999999</v>
      </c>
      <c r="N744" s="8">
        <v>296.86200000000002</v>
      </c>
      <c r="O744" s="8">
        <v>247.75700000000001</v>
      </c>
      <c r="P744" s="8">
        <v>211.245</v>
      </c>
      <c r="Q744" s="8">
        <v>184.73599999999999</v>
      </c>
      <c r="R744" s="8">
        <v>156.94399999999999</v>
      </c>
      <c r="S744" s="8">
        <v>131.09399999999999</v>
      </c>
      <c r="T744" s="8">
        <v>107.19199999999999</v>
      </c>
      <c r="U744" s="8">
        <v>84.867000000000004</v>
      </c>
      <c r="V744" s="8">
        <v>63.158999999999999</v>
      </c>
      <c r="W744" s="8">
        <v>42.518999999999998</v>
      </c>
      <c r="X744" s="8">
        <v>24.141999999999999</v>
      </c>
      <c r="Y744" s="8">
        <v>10.343999999999999</v>
      </c>
      <c r="Z744" s="8">
        <v>2.7970000000000002</v>
      </c>
      <c r="AA744" s="8">
        <v>0.372</v>
      </c>
      <c r="AB744" s="8">
        <v>2.1000000000000001E-2</v>
      </c>
      <c r="AC744" s="8">
        <v>1E-3</v>
      </c>
    </row>
    <row r="745" spans="1:29" ht="11.65" x14ac:dyDescent="0.35">
      <c r="A745" s="12">
        <v>728</v>
      </c>
      <c r="B745" s="10" t="s">
        <v>1015</v>
      </c>
      <c r="C745" s="11" t="s">
        <v>1079</v>
      </c>
      <c r="D745" s="9"/>
      <c r="E745" s="9">
        <v>120</v>
      </c>
      <c r="F745" s="10" t="s">
        <v>1066</v>
      </c>
      <c r="G745" s="9">
        <v>911</v>
      </c>
      <c r="H745" s="9">
        <v>1985</v>
      </c>
      <c r="I745" s="8">
        <v>953.30499999999995</v>
      </c>
      <c r="J745" s="8">
        <v>751.16800000000001</v>
      </c>
      <c r="K745" s="8">
        <v>614.83600000000001</v>
      </c>
      <c r="L745" s="8">
        <v>507.30700000000002</v>
      </c>
      <c r="M745" s="8">
        <v>414.72300000000001</v>
      </c>
      <c r="N745" s="8">
        <v>337.834</v>
      </c>
      <c r="O745" s="8">
        <v>286.12700000000001</v>
      </c>
      <c r="P745" s="8">
        <v>237.68299999999999</v>
      </c>
      <c r="Q745" s="8">
        <v>201.267</v>
      </c>
      <c r="R745" s="8">
        <v>174.49</v>
      </c>
      <c r="S745" s="8">
        <v>146.14699999999999</v>
      </c>
      <c r="T745" s="8">
        <v>119.599</v>
      </c>
      <c r="U745" s="8">
        <v>94.626999999999995</v>
      </c>
      <c r="V745" s="8">
        <v>70.625</v>
      </c>
      <c r="W745" s="8">
        <v>47.633000000000003</v>
      </c>
      <c r="X745" s="8">
        <v>27.173999999999999</v>
      </c>
      <c r="Y745" s="8">
        <v>11.702</v>
      </c>
      <c r="Z745" s="8">
        <v>3.1739999999999999</v>
      </c>
      <c r="AA745" s="8">
        <v>0.41599999999999998</v>
      </c>
      <c r="AB745" s="8">
        <v>2.3E-2</v>
      </c>
      <c r="AC745" s="8">
        <v>1E-3</v>
      </c>
    </row>
    <row r="746" spans="1:29" ht="11.65" x14ac:dyDescent="0.35">
      <c r="A746" s="12">
        <v>729</v>
      </c>
      <c r="B746" s="10" t="s">
        <v>1015</v>
      </c>
      <c r="C746" s="11" t="s">
        <v>1079</v>
      </c>
      <c r="D746" s="9"/>
      <c r="E746" s="9">
        <v>120</v>
      </c>
      <c r="F746" s="10" t="s">
        <v>1066</v>
      </c>
      <c r="G746" s="9">
        <v>911</v>
      </c>
      <c r="H746" s="9">
        <v>1990</v>
      </c>
      <c r="I746" s="8">
        <v>1104.923</v>
      </c>
      <c r="J746" s="8">
        <v>908.43700000000001</v>
      </c>
      <c r="K746" s="8">
        <v>738.51499999999999</v>
      </c>
      <c r="L746" s="8">
        <v>605.42999999999995</v>
      </c>
      <c r="M746" s="8">
        <v>495.024</v>
      </c>
      <c r="N746" s="8">
        <v>401.77100000000002</v>
      </c>
      <c r="O746" s="8">
        <v>326.209</v>
      </c>
      <c r="P746" s="8">
        <v>275.036</v>
      </c>
      <c r="Q746" s="8">
        <v>226.93799999999999</v>
      </c>
      <c r="R746" s="8">
        <v>190.54400000000001</v>
      </c>
      <c r="S746" s="8">
        <v>162.922</v>
      </c>
      <c r="T746" s="8">
        <v>133.751</v>
      </c>
      <c r="U746" s="8">
        <v>105.98</v>
      </c>
      <c r="V746" s="8">
        <v>79.126000000000005</v>
      </c>
      <c r="W746" s="8">
        <v>53.603000000000002</v>
      </c>
      <c r="X746" s="8">
        <v>30.699000000000002</v>
      </c>
      <c r="Y746" s="8">
        <v>13.311999999999999</v>
      </c>
      <c r="Z746" s="8">
        <v>3.6339999999999999</v>
      </c>
      <c r="AA746" s="8">
        <v>0.47699999999999998</v>
      </c>
      <c r="AB746" s="8">
        <v>2.5000000000000001E-2</v>
      </c>
      <c r="AC746" s="8">
        <v>1E-3</v>
      </c>
    </row>
    <row r="747" spans="1:29" ht="11.65" x14ac:dyDescent="0.35">
      <c r="A747" s="12">
        <v>730</v>
      </c>
      <c r="B747" s="10" t="s">
        <v>1015</v>
      </c>
      <c r="C747" s="11" t="s">
        <v>1079</v>
      </c>
      <c r="D747" s="9"/>
      <c r="E747" s="9">
        <v>120</v>
      </c>
      <c r="F747" s="10" t="s">
        <v>1066</v>
      </c>
      <c r="G747" s="9">
        <v>911</v>
      </c>
      <c r="H747" s="9">
        <v>1995</v>
      </c>
      <c r="I747" s="8">
        <v>1222.94</v>
      </c>
      <c r="J747" s="8">
        <v>1050.19</v>
      </c>
      <c r="K747" s="8">
        <v>892.08600000000001</v>
      </c>
      <c r="L747" s="8">
        <v>725.95299999999997</v>
      </c>
      <c r="M747" s="8">
        <v>588.46</v>
      </c>
      <c r="N747" s="8">
        <v>476.55</v>
      </c>
      <c r="O747" s="8">
        <v>385.03699999999998</v>
      </c>
      <c r="P747" s="8">
        <v>310.983</v>
      </c>
      <c r="Q747" s="8">
        <v>260.42200000000003</v>
      </c>
      <c r="R747" s="8">
        <v>213.06399999999999</v>
      </c>
      <c r="S747" s="8">
        <v>176.46899999999999</v>
      </c>
      <c r="T747" s="8">
        <v>147.91999999999999</v>
      </c>
      <c r="U747" s="8">
        <v>117.53700000000001</v>
      </c>
      <c r="V747" s="8">
        <v>87.819000000000003</v>
      </c>
      <c r="W747" s="8">
        <v>59.423000000000002</v>
      </c>
      <c r="X747" s="8">
        <v>34.116</v>
      </c>
      <c r="Y747" s="8">
        <v>14.803000000000001</v>
      </c>
      <c r="Z747" s="8">
        <v>4.0460000000000003</v>
      </c>
      <c r="AA747" s="8">
        <v>0.53500000000000003</v>
      </c>
      <c r="AB747" s="8">
        <v>0.03</v>
      </c>
      <c r="AC747" s="8">
        <v>1E-3</v>
      </c>
    </row>
    <row r="748" spans="1:29" ht="11.65" x14ac:dyDescent="0.35">
      <c r="A748" s="12">
        <v>731</v>
      </c>
      <c r="B748" s="10" t="s">
        <v>1015</v>
      </c>
      <c r="C748" s="11" t="s">
        <v>1079</v>
      </c>
      <c r="D748" s="9"/>
      <c r="E748" s="9">
        <v>120</v>
      </c>
      <c r="F748" s="10" t="s">
        <v>1066</v>
      </c>
      <c r="G748" s="9">
        <v>911</v>
      </c>
      <c r="H748" s="9">
        <v>2000</v>
      </c>
      <c r="I748" s="8">
        <v>1336.2139999999999</v>
      </c>
      <c r="J748" s="8">
        <v>1158.412</v>
      </c>
      <c r="K748" s="8">
        <v>1029.2750000000001</v>
      </c>
      <c r="L748" s="8">
        <v>875.78</v>
      </c>
      <c r="M748" s="8">
        <v>704.78</v>
      </c>
      <c r="N748" s="8">
        <v>565.24199999999996</v>
      </c>
      <c r="O748" s="8">
        <v>454.822</v>
      </c>
      <c r="P748" s="8">
        <v>364.62200000000001</v>
      </c>
      <c r="Q748" s="8">
        <v>291.70100000000002</v>
      </c>
      <c r="R748" s="8">
        <v>241.87700000000001</v>
      </c>
      <c r="S748" s="8">
        <v>195.00700000000001</v>
      </c>
      <c r="T748" s="8">
        <v>158.173</v>
      </c>
      <c r="U748" s="8">
        <v>128.12799999999999</v>
      </c>
      <c r="V748" s="8">
        <v>95.793000000000006</v>
      </c>
      <c r="W748" s="8">
        <v>64.638000000000005</v>
      </c>
      <c r="X748" s="8">
        <v>36.909999999999997</v>
      </c>
      <c r="Y748" s="8">
        <v>15.961</v>
      </c>
      <c r="Z748" s="8">
        <v>4.3259999999999996</v>
      </c>
      <c r="AA748" s="8">
        <v>0.57199999999999995</v>
      </c>
      <c r="AB748" s="8">
        <v>3.3000000000000002E-2</v>
      </c>
      <c r="AC748" s="8">
        <v>1E-3</v>
      </c>
    </row>
    <row r="749" spans="1:29" ht="11.65" x14ac:dyDescent="0.35">
      <c r="A749" s="12">
        <v>732</v>
      </c>
      <c r="B749" s="10" t="s">
        <v>1015</v>
      </c>
      <c r="C749" s="11" t="s">
        <v>1079</v>
      </c>
      <c r="D749" s="9"/>
      <c r="E749" s="9">
        <v>120</v>
      </c>
      <c r="F749" s="10" t="s">
        <v>1066</v>
      </c>
      <c r="G749" s="9">
        <v>911</v>
      </c>
      <c r="H749" s="9">
        <v>2005</v>
      </c>
      <c r="I749" s="8">
        <v>1532.463</v>
      </c>
      <c r="J749" s="8">
        <v>1277.027</v>
      </c>
      <c r="K749" s="8">
        <v>1137.7860000000001</v>
      </c>
      <c r="L749" s="8">
        <v>1011.852</v>
      </c>
      <c r="M749" s="8">
        <v>851.87300000000005</v>
      </c>
      <c r="N749" s="8">
        <v>678.18</v>
      </c>
      <c r="O749" s="8">
        <v>539.82799999999997</v>
      </c>
      <c r="P749" s="8">
        <v>430.37599999999998</v>
      </c>
      <c r="Q749" s="8">
        <v>341.31700000000001</v>
      </c>
      <c r="R749" s="8">
        <v>270.11</v>
      </c>
      <c r="S749" s="8">
        <v>220.58799999999999</v>
      </c>
      <c r="T749" s="8">
        <v>174.04</v>
      </c>
      <c r="U749" s="8">
        <v>136.28700000000001</v>
      </c>
      <c r="V749" s="8">
        <v>103.742</v>
      </c>
      <c r="W749" s="8">
        <v>69.906000000000006</v>
      </c>
      <c r="X749" s="8">
        <v>39.69</v>
      </c>
      <c r="Y749" s="8">
        <v>16.968</v>
      </c>
      <c r="Z749" s="8">
        <v>4.5259999999999998</v>
      </c>
      <c r="AA749" s="8">
        <v>0.58399999999999996</v>
      </c>
      <c r="AB749" s="8">
        <v>3.4000000000000002E-2</v>
      </c>
      <c r="AC749" s="8">
        <v>2E-3</v>
      </c>
    </row>
    <row r="750" spans="1:29" ht="11.65" x14ac:dyDescent="0.35">
      <c r="A750" s="12">
        <v>733</v>
      </c>
      <c r="B750" s="10" t="s">
        <v>1015</v>
      </c>
      <c r="C750" s="11" t="s">
        <v>1079</v>
      </c>
      <c r="D750" s="9"/>
      <c r="E750" s="9">
        <v>120</v>
      </c>
      <c r="F750" s="10" t="s">
        <v>1066</v>
      </c>
      <c r="G750" s="9">
        <v>911</v>
      </c>
      <c r="H750" s="9">
        <v>2010</v>
      </c>
      <c r="I750" s="8">
        <v>1747.318</v>
      </c>
      <c r="J750" s="8">
        <v>1474.9059999999999</v>
      </c>
      <c r="K750" s="8">
        <v>1256</v>
      </c>
      <c r="L750" s="8">
        <v>1119.67</v>
      </c>
      <c r="M750" s="8">
        <v>985.76</v>
      </c>
      <c r="N750" s="8">
        <v>822.72500000000002</v>
      </c>
      <c r="O750" s="8">
        <v>651.55399999999997</v>
      </c>
      <c r="P750" s="8">
        <v>515.14800000000002</v>
      </c>
      <c r="Q750" s="8">
        <v>407.17099999999999</v>
      </c>
      <c r="R750" s="8">
        <v>319.69099999999997</v>
      </c>
      <c r="S750" s="8">
        <v>249.05600000000001</v>
      </c>
      <c r="T750" s="8">
        <v>198.935</v>
      </c>
      <c r="U750" s="8">
        <v>151.464</v>
      </c>
      <c r="V750" s="8">
        <v>111.32599999999999</v>
      </c>
      <c r="W750" s="8">
        <v>76.292000000000002</v>
      </c>
      <c r="X750" s="8">
        <v>43.128999999999998</v>
      </c>
      <c r="Y750" s="8">
        <v>18.242999999999999</v>
      </c>
      <c r="Z750" s="8">
        <v>4.782</v>
      </c>
      <c r="AA750" s="8">
        <v>0.58899999999999997</v>
      </c>
      <c r="AB750" s="8">
        <v>3.1E-2</v>
      </c>
      <c r="AC750" s="8">
        <v>2E-3</v>
      </c>
    </row>
    <row r="751" spans="1:29" ht="11.65" x14ac:dyDescent="0.35">
      <c r="A751" s="12">
        <v>734</v>
      </c>
      <c r="B751" s="10" t="s">
        <v>1015</v>
      </c>
      <c r="C751" s="11" t="s">
        <v>1079</v>
      </c>
      <c r="D751" s="9"/>
      <c r="E751" s="9">
        <v>120</v>
      </c>
      <c r="F751" s="10" t="s">
        <v>1066</v>
      </c>
      <c r="G751" s="9">
        <v>911</v>
      </c>
      <c r="H751" s="9">
        <v>2015</v>
      </c>
      <c r="I751" s="8">
        <v>1929.9090000000001</v>
      </c>
      <c r="J751" s="8">
        <v>1692.4970000000001</v>
      </c>
      <c r="K751" s="8">
        <v>1453.482</v>
      </c>
      <c r="L751" s="8">
        <v>1238.184</v>
      </c>
      <c r="M751" s="8">
        <v>1094.068</v>
      </c>
      <c r="N751" s="8">
        <v>956.67499999999995</v>
      </c>
      <c r="O751" s="8">
        <v>795.41099999999994</v>
      </c>
      <c r="P751" s="8">
        <v>626.30100000000004</v>
      </c>
      <c r="Q751" s="8">
        <v>491.31</v>
      </c>
      <c r="R751" s="8">
        <v>384.548</v>
      </c>
      <c r="S751" s="8">
        <v>297.14999999999998</v>
      </c>
      <c r="T751" s="8">
        <v>226.32</v>
      </c>
      <c r="U751" s="8">
        <v>174.44800000000001</v>
      </c>
      <c r="V751" s="8">
        <v>124.65</v>
      </c>
      <c r="W751" s="8">
        <v>82.522999999999996</v>
      </c>
      <c r="X751" s="8">
        <v>47.487000000000002</v>
      </c>
      <c r="Y751" s="8">
        <v>20.033000000000001</v>
      </c>
      <c r="Z751" s="8">
        <v>5.2210000000000001</v>
      </c>
      <c r="AA751" s="8">
        <v>0.63</v>
      </c>
      <c r="AB751" s="8">
        <v>3.2000000000000001E-2</v>
      </c>
      <c r="AC751" s="8">
        <v>1E-3</v>
      </c>
    </row>
    <row r="752" spans="1:29" ht="11.65" x14ac:dyDescent="0.35">
      <c r="A752" s="12">
        <v>735</v>
      </c>
      <c r="B752" s="10" t="s">
        <v>1015</v>
      </c>
      <c r="C752" s="11" t="s">
        <v>1079</v>
      </c>
      <c r="D752" s="9"/>
      <c r="E752" s="9">
        <v>120</v>
      </c>
      <c r="F752" s="10" t="s">
        <v>1066</v>
      </c>
      <c r="G752" s="9">
        <v>911</v>
      </c>
      <c r="H752" s="9">
        <v>2020</v>
      </c>
      <c r="I752" s="8">
        <v>2077.8220000000001</v>
      </c>
      <c r="J752" s="8">
        <v>1881.835</v>
      </c>
      <c r="K752" s="8">
        <v>1672.6669999999999</v>
      </c>
      <c r="L752" s="8">
        <v>1436.047</v>
      </c>
      <c r="M752" s="8">
        <v>1213.8789999999999</v>
      </c>
      <c r="N752" s="8">
        <v>1067.009</v>
      </c>
      <c r="O752" s="8">
        <v>930.61</v>
      </c>
      <c r="P752" s="8">
        <v>770.29200000000003</v>
      </c>
      <c r="Q752" s="8">
        <v>602.48900000000003</v>
      </c>
      <c r="R752" s="8">
        <v>468.35599999999999</v>
      </c>
      <c r="S752" s="8">
        <v>360.87200000000001</v>
      </c>
      <c r="T752" s="8">
        <v>272.697</v>
      </c>
      <c r="U752" s="8">
        <v>200.60499999999999</v>
      </c>
      <c r="V752" s="8">
        <v>145.36600000000001</v>
      </c>
      <c r="W752" s="8">
        <v>93.962000000000003</v>
      </c>
      <c r="X752" s="8">
        <v>52.652999999999999</v>
      </c>
      <c r="Y752" s="8">
        <v>22.957999999999998</v>
      </c>
      <c r="Z752" s="8">
        <v>6.1520000000000001</v>
      </c>
      <c r="AA752" s="8">
        <v>0.76700000000000002</v>
      </c>
      <c r="AB752" s="8">
        <v>3.5999999999999997E-2</v>
      </c>
      <c r="AC752" s="8">
        <v>1E-3</v>
      </c>
    </row>
    <row r="753" spans="1:29" ht="11.65" x14ac:dyDescent="0.35">
      <c r="A753" s="12">
        <v>736</v>
      </c>
      <c r="B753" s="10" t="s">
        <v>1015</v>
      </c>
      <c r="C753" s="11" t="s">
        <v>584</v>
      </c>
      <c r="D753" s="9"/>
      <c r="E753" s="9">
        <v>140</v>
      </c>
      <c r="F753" s="10" t="s">
        <v>1066</v>
      </c>
      <c r="G753" s="9">
        <v>911</v>
      </c>
      <c r="H753" s="9">
        <v>1950</v>
      </c>
      <c r="I753" s="8">
        <v>94.772999999999996</v>
      </c>
      <c r="J753" s="8">
        <v>76.272999999999996</v>
      </c>
      <c r="K753" s="8">
        <v>68.233999999999995</v>
      </c>
      <c r="L753" s="8">
        <v>62.426000000000002</v>
      </c>
      <c r="M753" s="8">
        <v>56.722000000000001</v>
      </c>
      <c r="N753" s="8">
        <v>50.021000000000001</v>
      </c>
      <c r="O753" s="8">
        <v>44.048999999999999</v>
      </c>
      <c r="P753" s="8">
        <v>39.719000000000001</v>
      </c>
      <c r="Q753" s="8">
        <v>35.207000000000001</v>
      </c>
      <c r="R753" s="8">
        <v>30.638999999999999</v>
      </c>
      <c r="S753" s="8">
        <v>26.864999999999998</v>
      </c>
      <c r="T753" s="8">
        <v>21.074999999999999</v>
      </c>
      <c r="U753" s="8">
        <v>17.600000000000001</v>
      </c>
      <c r="V753" s="8">
        <v>14.004</v>
      </c>
      <c r="W753" s="8">
        <v>9.2010000000000005</v>
      </c>
      <c r="X753" s="8">
        <v>4.8339999999999996</v>
      </c>
      <c r="Y753" s="8">
        <v>1.8720000000000001</v>
      </c>
      <c r="Z753" s="8">
        <v>0.41899999999999998</v>
      </c>
      <c r="AA753" s="8">
        <v>5.0999999999999997E-2</v>
      </c>
      <c r="AB753" s="8">
        <v>3.0000000000000001E-3</v>
      </c>
      <c r="AC753" s="8">
        <v>0</v>
      </c>
    </row>
    <row r="754" spans="1:29" ht="11.65" x14ac:dyDescent="0.35">
      <c r="A754" s="12">
        <v>737</v>
      </c>
      <c r="B754" s="10" t="s">
        <v>1015</v>
      </c>
      <c r="C754" s="11" t="s">
        <v>584</v>
      </c>
      <c r="D754" s="9"/>
      <c r="E754" s="9">
        <v>140</v>
      </c>
      <c r="F754" s="10" t="s">
        <v>1066</v>
      </c>
      <c r="G754" s="9">
        <v>911</v>
      </c>
      <c r="H754" s="9">
        <v>1955</v>
      </c>
      <c r="I754" s="8">
        <v>106.41800000000001</v>
      </c>
      <c r="J754" s="8">
        <v>79.123000000000005</v>
      </c>
      <c r="K754" s="8">
        <v>71.138999999999996</v>
      </c>
      <c r="L754" s="8">
        <v>65.102999999999994</v>
      </c>
      <c r="M754" s="8">
        <v>58.917999999999999</v>
      </c>
      <c r="N754" s="8">
        <v>52.874000000000002</v>
      </c>
      <c r="O754" s="8">
        <v>46.430999999999997</v>
      </c>
      <c r="P754" s="8">
        <v>40.612000000000002</v>
      </c>
      <c r="Q754" s="8">
        <v>36.241999999999997</v>
      </c>
      <c r="R754" s="8">
        <v>31.797999999999998</v>
      </c>
      <c r="S754" s="8">
        <v>27.329000000000001</v>
      </c>
      <c r="T754" s="8">
        <v>23.513999999999999</v>
      </c>
      <c r="U754" s="8">
        <v>17.853999999999999</v>
      </c>
      <c r="V754" s="8">
        <v>14.077999999999999</v>
      </c>
      <c r="W754" s="8">
        <v>10.177</v>
      </c>
      <c r="X754" s="8">
        <v>5.7290000000000001</v>
      </c>
      <c r="Y754" s="8">
        <v>2.3620000000000001</v>
      </c>
      <c r="Z754" s="8">
        <v>0.625</v>
      </c>
      <c r="AA754" s="8">
        <v>8.1000000000000003E-2</v>
      </c>
      <c r="AB754" s="8">
        <v>6.0000000000000001E-3</v>
      </c>
      <c r="AC754" s="8">
        <v>0</v>
      </c>
    </row>
    <row r="755" spans="1:29" ht="11.65" x14ac:dyDescent="0.35">
      <c r="A755" s="12">
        <v>738</v>
      </c>
      <c r="B755" s="10" t="s">
        <v>1015</v>
      </c>
      <c r="C755" s="11" t="s">
        <v>584</v>
      </c>
      <c r="D755" s="9"/>
      <c r="E755" s="9">
        <v>140</v>
      </c>
      <c r="F755" s="10" t="s">
        <v>1066</v>
      </c>
      <c r="G755" s="9">
        <v>911</v>
      </c>
      <c r="H755" s="9">
        <v>1960</v>
      </c>
      <c r="I755" s="8">
        <v>118.89</v>
      </c>
      <c r="J755" s="8">
        <v>90.825999999999993</v>
      </c>
      <c r="K755" s="8">
        <v>74.534000000000006</v>
      </c>
      <c r="L755" s="8">
        <v>68.251999999999995</v>
      </c>
      <c r="M755" s="8">
        <v>61.786000000000001</v>
      </c>
      <c r="N755" s="8">
        <v>55.274999999999999</v>
      </c>
      <c r="O755" s="8">
        <v>49.396999999999998</v>
      </c>
      <c r="P755" s="8">
        <v>43.087000000000003</v>
      </c>
      <c r="Q755" s="8">
        <v>37.304000000000002</v>
      </c>
      <c r="R755" s="8">
        <v>32.944000000000003</v>
      </c>
      <c r="S755" s="8">
        <v>28.521999999999998</v>
      </c>
      <c r="T755" s="8">
        <v>24.036000000000001</v>
      </c>
      <c r="U755" s="8">
        <v>20.003</v>
      </c>
      <c r="V755" s="8">
        <v>14.324999999999999</v>
      </c>
      <c r="W755" s="8">
        <v>10.249000000000001</v>
      </c>
      <c r="X755" s="8">
        <v>6.3289999999999997</v>
      </c>
      <c r="Y755" s="8">
        <v>2.7770000000000001</v>
      </c>
      <c r="Z755" s="8">
        <v>0.77400000000000002</v>
      </c>
      <c r="AA755" s="8">
        <v>0.11600000000000001</v>
      </c>
      <c r="AB755" s="8">
        <v>8.0000000000000002E-3</v>
      </c>
      <c r="AC755" s="8">
        <v>0</v>
      </c>
    </row>
    <row r="756" spans="1:29" ht="11.65" x14ac:dyDescent="0.35">
      <c r="A756" s="12">
        <v>739</v>
      </c>
      <c r="B756" s="10" t="s">
        <v>1015</v>
      </c>
      <c r="C756" s="11" t="s">
        <v>584</v>
      </c>
      <c r="D756" s="9"/>
      <c r="E756" s="9">
        <v>140</v>
      </c>
      <c r="F756" s="10" t="s">
        <v>1066</v>
      </c>
      <c r="G756" s="9">
        <v>911</v>
      </c>
      <c r="H756" s="9">
        <v>1965</v>
      </c>
      <c r="I756" s="8">
        <v>132.095</v>
      </c>
      <c r="J756" s="8">
        <v>103.687</v>
      </c>
      <c r="K756" s="8">
        <v>86.411000000000001</v>
      </c>
      <c r="L756" s="8">
        <v>72.221999999999994</v>
      </c>
      <c r="M756" s="8">
        <v>65.951999999999998</v>
      </c>
      <c r="N756" s="8">
        <v>59.372</v>
      </c>
      <c r="O756" s="8">
        <v>52.862000000000002</v>
      </c>
      <c r="P756" s="8">
        <v>46.776000000000003</v>
      </c>
      <c r="Q756" s="8">
        <v>40.273000000000003</v>
      </c>
      <c r="R756" s="8">
        <v>34.414000000000001</v>
      </c>
      <c r="S756" s="8">
        <v>29.908000000000001</v>
      </c>
      <c r="T756" s="8">
        <v>25.334</v>
      </c>
      <c r="U756" s="8">
        <v>20.619</v>
      </c>
      <c r="V756" s="8">
        <v>16.16</v>
      </c>
      <c r="W756" s="8">
        <v>10.484999999999999</v>
      </c>
      <c r="X756" s="8">
        <v>6.3920000000000003</v>
      </c>
      <c r="Y756" s="8">
        <v>3.0619999999999998</v>
      </c>
      <c r="Z756" s="8">
        <v>0.89800000000000002</v>
      </c>
      <c r="AA756" s="8">
        <v>0.14000000000000001</v>
      </c>
      <c r="AB756" s="8">
        <v>1.0999999999999999E-2</v>
      </c>
      <c r="AC756" s="8">
        <v>1E-3</v>
      </c>
    </row>
    <row r="757" spans="1:29" ht="11.65" x14ac:dyDescent="0.35">
      <c r="A757" s="12">
        <v>740</v>
      </c>
      <c r="B757" s="10" t="s">
        <v>1015</v>
      </c>
      <c r="C757" s="11" t="s">
        <v>584</v>
      </c>
      <c r="D757" s="9"/>
      <c r="E757" s="9">
        <v>140</v>
      </c>
      <c r="F757" s="10" t="s">
        <v>1066</v>
      </c>
      <c r="G757" s="9">
        <v>911</v>
      </c>
      <c r="H757" s="9">
        <v>1970</v>
      </c>
      <c r="I757" s="8">
        <v>147.374</v>
      </c>
      <c r="J757" s="8">
        <v>117.621</v>
      </c>
      <c r="K757" s="8">
        <v>99.5</v>
      </c>
      <c r="L757" s="8">
        <v>84.138000000000005</v>
      </c>
      <c r="M757" s="8">
        <v>70.210999999999999</v>
      </c>
      <c r="N757" s="8">
        <v>63.826000000000001</v>
      </c>
      <c r="O757" s="8">
        <v>57.185000000000002</v>
      </c>
      <c r="P757" s="8">
        <v>50.421999999999997</v>
      </c>
      <c r="Q757" s="8">
        <v>44.045999999999999</v>
      </c>
      <c r="R757" s="8">
        <v>37.43</v>
      </c>
      <c r="S757" s="8">
        <v>31.460999999999999</v>
      </c>
      <c r="T757" s="8">
        <v>26.734999999999999</v>
      </c>
      <c r="U757" s="8">
        <v>21.861999999999998</v>
      </c>
      <c r="V757" s="8">
        <v>16.747</v>
      </c>
      <c r="W757" s="8">
        <v>11.877000000000001</v>
      </c>
      <c r="X757" s="8">
        <v>6.5529999999999999</v>
      </c>
      <c r="Y757" s="8">
        <v>3.077</v>
      </c>
      <c r="Z757" s="8">
        <v>0.97299999999999998</v>
      </c>
      <c r="AA757" s="8">
        <v>0.155</v>
      </c>
      <c r="AB757" s="8">
        <v>1.2E-2</v>
      </c>
      <c r="AC757" s="8">
        <v>1E-3</v>
      </c>
    </row>
    <row r="758" spans="1:29" ht="11.65" x14ac:dyDescent="0.35">
      <c r="A758" s="12">
        <v>741</v>
      </c>
      <c r="B758" s="10" t="s">
        <v>1015</v>
      </c>
      <c r="C758" s="11" t="s">
        <v>584</v>
      </c>
      <c r="D758" s="9"/>
      <c r="E758" s="9">
        <v>140</v>
      </c>
      <c r="F758" s="10" t="s">
        <v>1066</v>
      </c>
      <c r="G758" s="9">
        <v>911</v>
      </c>
      <c r="H758" s="9">
        <v>1975</v>
      </c>
      <c r="I758" s="8">
        <v>161.99700000000001</v>
      </c>
      <c r="J758" s="8">
        <v>133.12899999999999</v>
      </c>
      <c r="K758" s="8">
        <v>113.212</v>
      </c>
      <c r="L758" s="8">
        <v>95.433999999999997</v>
      </c>
      <c r="M758" s="8">
        <v>77.62</v>
      </c>
      <c r="N758" s="8">
        <v>62.71</v>
      </c>
      <c r="O758" s="8">
        <v>57.018999999999998</v>
      </c>
      <c r="P758" s="8">
        <v>51.408999999999999</v>
      </c>
      <c r="Q758" s="8">
        <v>45.462000000000003</v>
      </c>
      <c r="R758" s="8">
        <v>39.688000000000002</v>
      </c>
      <c r="S758" s="8">
        <v>33.457000000000001</v>
      </c>
      <c r="T758" s="8">
        <v>27.672999999999998</v>
      </c>
      <c r="U758" s="8">
        <v>22.821000000000002</v>
      </c>
      <c r="V758" s="8">
        <v>17.617000000000001</v>
      </c>
      <c r="W758" s="8">
        <v>12.225</v>
      </c>
      <c r="X758" s="8">
        <v>7.351</v>
      </c>
      <c r="Y758" s="8">
        <v>3.0870000000000002</v>
      </c>
      <c r="Z758" s="8">
        <v>0.93500000000000005</v>
      </c>
      <c r="AA758" s="8">
        <v>0.151</v>
      </c>
      <c r="AB758" s="8">
        <v>1.2E-2</v>
      </c>
      <c r="AC758" s="8">
        <v>1E-3</v>
      </c>
    </row>
    <row r="759" spans="1:29" ht="11.65" x14ac:dyDescent="0.35">
      <c r="A759" s="12">
        <v>742</v>
      </c>
      <c r="B759" s="10" t="s">
        <v>1015</v>
      </c>
      <c r="C759" s="11" t="s">
        <v>584</v>
      </c>
      <c r="D759" s="9"/>
      <c r="E759" s="9">
        <v>140</v>
      </c>
      <c r="F759" s="10" t="s">
        <v>1066</v>
      </c>
      <c r="G759" s="9">
        <v>911</v>
      </c>
      <c r="H759" s="9">
        <v>1980</v>
      </c>
      <c r="I759" s="8">
        <v>182.483</v>
      </c>
      <c r="J759" s="8">
        <v>150.34899999999999</v>
      </c>
      <c r="K759" s="8">
        <v>129.67699999999999</v>
      </c>
      <c r="L759" s="8">
        <v>110.82</v>
      </c>
      <c r="M759" s="8">
        <v>92.545000000000002</v>
      </c>
      <c r="N759" s="8">
        <v>74.688999999999993</v>
      </c>
      <c r="O759" s="8">
        <v>60.128</v>
      </c>
      <c r="P759" s="8">
        <v>54.363999999999997</v>
      </c>
      <c r="Q759" s="8">
        <v>48.607999999999997</v>
      </c>
      <c r="R759" s="8">
        <v>42.561</v>
      </c>
      <c r="S759" s="8">
        <v>36.604999999999997</v>
      </c>
      <c r="T759" s="8">
        <v>30.207000000000001</v>
      </c>
      <c r="U759" s="8">
        <v>24.146999999999998</v>
      </c>
      <c r="V759" s="8">
        <v>18.745999999999999</v>
      </c>
      <c r="W759" s="8">
        <v>13.089</v>
      </c>
      <c r="X759" s="8">
        <v>7.6890000000000001</v>
      </c>
      <c r="Y759" s="8">
        <v>3.516</v>
      </c>
      <c r="Z759" s="8">
        <v>0.94499999999999995</v>
      </c>
      <c r="AA759" s="8">
        <v>0.14399999999999999</v>
      </c>
      <c r="AB759" s="8">
        <v>0.01</v>
      </c>
      <c r="AC759" s="8">
        <v>1E-3</v>
      </c>
    </row>
    <row r="760" spans="1:29" ht="11.65" x14ac:dyDescent="0.35">
      <c r="A760" s="12">
        <v>743</v>
      </c>
      <c r="B760" s="10" t="s">
        <v>1015</v>
      </c>
      <c r="C760" s="11" t="s">
        <v>584</v>
      </c>
      <c r="D760" s="9"/>
      <c r="E760" s="9">
        <v>140</v>
      </c>
      <c r="F760" s="10" t="s">
        <v>1066</v>
      </c>
      <c r="G760" s="9">
        <v>911</v>
      </c>
      <c r="H760" s="9">
        <v>1985</v>
      </c>
      <c r="I760" s="8">
        <v>218.21199999999999</v>
      </c>
      <c r="J760" s="8">
        <v>172.22800000000001</v>
      </c>
      <c r="K760" s="8">
        <v>147.36199999999999</v>
      </c>
      <c r="L760" s="8">
        <v>128.44999999999999</v>
      </c>
      <c r="M760" s="8">
        <v>110.672</v>
      </c>
      <c r="N760" s="8">
        <v>92.977999999999994</v>
      </c>
      <c r="O760" s="8">
        <v>74.938999999999993</v>
      </c>
      <c r="P760" s="8">
        <v>59.719000000000001</v>
      </c>
      <c r="Q760" s="8">
        <v>53.03</v>
      </c>
      <c r="R760" s="8">
        <v>46.584000000000003</v>
      </c>
      <c r="S760" s="8">
        <v>39.950000000000003</v>
      </c>
      <c r="T760" s="8">
        <v>33.481999999999999</v>
      </c>
      <c r="U760" s="8">
        <v>26.614999999999998</v>
      </c>
      <c r="V760" s="8">
        <v>19.968</v>
      </c>
      <c r="W760" s="8">
        <v>13.974</v>
      </c>
      <c r="X760" s="8">
        <v>8.23</v>
      </c>
      <c r="Y760" s="8">
        <v>3.6560000000000001</v>
      </c>
      <c r="Z760" s="8">
        <v>1.06</v>
      </c>
      <c r="AA760" s="8">
        <v>0.14199999999999999</v>
      </c>
      <c r="AB760" s="8">
        <v>8.9999999999999993E-3</v>
      </c>
      <c r="AC760" s="8">
        <v>0</v>
      </c>
    </row>
    <row r="761" spans="1:29" ht="11.65" x14ac:dyDescent="0.35">
      <c r="A761" s="12">
        <v>744</v>
      </c>
      <c r="B761" s="10" t="s">
        <v>1015</v>
      </c>
      <c r="C761" s="11" t="s">
        <v>584</v>
      </c>
      <c r="D761" s="9"/>
      <c r="E761" s="9">
        <v>140</v>
      </c>
      <c r="F761" s="10" t="s">
        <v>1066</v>
      </c>
      <c r="G761" s="9">
        <v>911</v>
      </c>
      <c r="H761" s="9">
        <v>1990</v>
      </c>
      <c r="I761" s="8">
        <v>245.59</v>
      </c>
      <c r="J761" s="8">
        <v>203.67599999999999</v>
      </c>
      <c r="K761" s="8">
        <v>167.422</v>
      </c>
      <c r="L761" s="8">
        <v>142.089</v>
      </c>
      <c r="M761" s="8">
        <v>119.15300000000001</v>
      </c>
      <c r="N761" s="8">
        <v>99.555999999999997</v>
      </c>
      <c r="O761" s="8">
        <v>83.058000000000007</v>
      </c>
      <c r="P761" s="8">
        <v>66.891999999999996</v>
      </c>
      <c r="Q761" s="8">
        <v>53.265000000000001</v>
      </c>
      <c r="R761" s="8">
        <v>47.436999999999998</v>
      </c>
      <c r="S761" s="8">
        <v>41.442</v>
      </c>
      <c r="T761" s="8">
        <v>35.012</v>
      </c>
      <c r="U761" s="8">
        <v>28.463999999999999</v>
      </c>
      <c r="V761" s="8">
        <v>21.318000000000001</v>
      </c>
      <c r="W761" s="8">
        <v>14.439</v>
      </c>
      <c r="X761" s="8">
        <v>8.5069999999999997</v>
      </c>
      <c r="Y761" s="8">
        <v>3.7530000000000001</v>
      </c>
      <c r="Z761" s="8">
        <v>1.032</v>
      </c>
      <c r="AA761" s="8">
        <v>0.14299999999999999</v>
      </c>
      <c r="AB761" s="8">
        <v>8.0000000000000002E-3</v>
      </c>
      <c r="AC761" s="8">
        <v>0</v>
      </c>
    </row>
    <row r="762" spans="1:29" ht="11.65" x14ac:dyDescent="0.35">
      <c r="A762" s="12">
        <v>745</v>
      </c>
      <c r="B762" s="10" t="s">
        <v>1015</v>
      </c>
      <c r="C762" s="11" t="s">
        <v>584</v>
      </c>
      <c r="D762" s="9"/>
      <c r="E762" s="9">
        <v>140</v>
      </c>
      <c r="F762" s="10" t="s">
        <v>1066</v>
      </c>
      <c r="G762" s="9">
        <v>911</v>
      </c>
      <c r="H762" s="9">
        <v>1995</v>
      </c>
      <c r="I762" s="8">
        <v>271.90800000000002</v>
      </c>
      <c r="J762" s="8">
        <v>232.22900000000001</v>
      </c>
      <c r="K762" s="8">
        <v>199.77799999999999</v>
      </c>
      <c r="L762" s="8">
        <v>165.86699999999999</v>
      </c>
      <c r="M762" s="8">
        <v>141.91800000000001</v>
      </c>
      <c r="N762" s="8">
        <v>119.29600000000001</v>
      </c>
      <c r="O762" s="8">
        <v>98.846999999999994</v>
      </c>
      <c r="P762" s="8">
        <v>81.009</v>
      </c>
      <c r="Q762" s="8">
        <v>63.970999999999997</v>
      </c>
      <c r="R762" s="8">
        <v>50.058</v>
      </c>
      <c r="S762" s="8">
        <v>43.613999999999997</v>
      </c>
      <c r="T762" s="8">
        <v>37.127000000000002</v>
      </c>
      <c r="U762" s="8">
        <v>30.183</v>
      </c>
      <c r="V762" s="8">
        <v>23.029</v>
      </c>
      <c r="W762" s="8">
        <v>15.545999999999999</v>
      </c>
      <c r="X762" s="8">
        <v>8.8940000000000001</v>
      </c>
      <c r="Y762" s="8">
        <v>3.9670000000000001</v>
      </c>
      <c r="Z762" s="8">
        <v>1.105</v>
      </c>
      <c r="AA762" s="8">
        <v>0.155</v>
      </c>
      <c r="AB762" s="8">
        <v>8.9999999999999993E-3</v>
      </c>
      <c r="AC762" s="8">
        <v>0</v>
      </c>
    </row>
    <row r="763" spans="1:29" ht="11.65" x14ac:dyDescent="0.35">
      <c r="A763" s="12">
        <v>746</v>
      </c>
      <c r="B763" s="10" t="s">
        <v>1015</v>
      </c>
      <c r="C763" s="11" t="s">
        <v>584</v>
      </c>
      <c r="D763" s="9"/>
      <c r="E763" s="9">
        <v>140</v>
      </c>
      <c r="F763" s="10" t="s">
        <v>1066</v>
      </c>
      <c r="G763" s="9">
        <v>911</v>
      </c>
      <c r="H763" s="9">
        <v>2000</v>
      </c>
      <c r="I763" s="8">
        <v>309.108</v>
      </c>
      <c r="J763" s="8">
        <v>255.751</v>
      </c>
      <c r="K763" s="8">
        <v>226.70500000000001</v>
      </c>
      <c r="L763" s="8">
        <v>196.44399999999999</v>
      </c>
      <c r="M763" s="8">
        <v>163.05000000000001</v>
      </c>
      <c r="N763" s="8">
        <v>138.39599999999999</v>
      </c>
      <c r="O763" s="8">
        <v>114.545</v>
      </c>
      <c r="P763" s="8">
        <v>92.665000000000006</v>
      </c>
      <c r="Q763" s="8">
        <v>74.075000000000003</v>
      </c>
      <c r="R763" s="8">
        <v>57.469000000000001</v>
      </c>
      <c r="S763" s="8">
        <v>44.216000000000001</v>
      </c>
      <c r="T763" s="8">
        <v>37.648000000000003</v>
      </c>
      <c r="U763" s="8">
        <v>30.85</v>
      </c>
      <c r="V763" s="8">
        <v>23.536000000000001</v>
      </c>
      <c r="W763" s="8">
        <v>16.143999999999998</v>
      </c>
      <c r="X763" s="8">
        <v>9.1809999999999992</v>
      </c>
      <c r="Y763" s="8">
        <v>3.9630000000000001</v>
      </c>
      <c r="Z763" s="8">
        <v>1.1060000000000001</v>
      </c>
      <c r="AA763" s="8">
        <v>0.159</v>
      </c>
      <c r="AB763" s="8">
        <v>1.0999999999999999E-2</v>
      </c>
      <c r="AC763" s="8">
        <v>1E-3</v>
      </c>
    </row>
    <row r="764" spans="1:29" ht="11.65" x14ac:dyDescent="0.35">
      <c r="A764" s="12">
        <v>747</v>
      </c>
      <c r="B764" s="10" t="s">
        <v>1015</v>
      </c>
      <c r="C764" s="11" t="s">
        <v>584</v>
      </c>
      <c r="D764" s="9"/>
      <c r="E764" s="9">
        <v>140</v>
      </c>
      <c r="F764" s="10" t="s">
        <v>1066</v>
      </c>
      <c r="G764" s="9">
        <v>911</v>
      </c>
      <c r="H764" s="9">
        <v>2005</v>
      </c>
      <c r="I764" s="8">
        <v>344.39800000000002</v>
      </c>
      <c r="J764" s="8">
        <v>289.40899999999999</v>
      </c>
      <c r="K764" s="8">
        <v>248.47</v>
      </c>
      <c r="L764" s="8">
        <v>220.71199999999999</v>
      </c>
      <c r="M764" s="8">
        <v>188.32599999999999</v>
      </c>
      <c r="N764" s="8">
        <v>153.28</v>
      </c>
      <c r="O764" s="8">
        <v>128.011</v>
      </c>
      <c r="P764" s="8">
        <v>103.88500000000001</v>
      </c>
      <c r="Q764" s="8">
        <v>82.384</v>
      </c>
      <c r="R764" s="8">
        <v>64.936999999999998</v>
      </c>
      <c r="S764" s="8">
        <v>49.655000000000001</v>
      </c>
      <c r="T764" s="8">
        <v>37.43</v>
      </c>
      <c r="U764" s="8">
        <v>30.736000000000001</v>
      </c>
      <c r="V764" s="8">
        <v>23.628</v>
      </c>
      <c r="W764" s="8">
        <v>16.167000000000002</v>
      </c>
      <c r="X764" s="8">
        <v>9.2929999999999993</v>
      </c>
      <c r="Y764" s="8">
        <v>3.948</v>
      </c>
      <c r="Z764" s="8">
        <v>1.05</v>
      </c>
      <c r="AA764" s="8">
        <v>0.14699999999999999</v>
      </c>
      <c r="AB764" s="8">
        <v>1.0999999999999999E-2</v>
      </c>
      <c r="AC764" s="8">
        <v>1E-3</v>
      </c>
    </row>
    <row r="765" spans="1:29" ht="11.65" x14ac:dyDescent="0.35">
      <c r="A765" s="12">
        <v>748</v>
      </c>
      <c r="B765" s="10" t="s">
        <v>1015</v>
      </c>
      <c r="C765" s="11" t="s">
        <v>584</v>
      </c>
      <c r="D765" s="9"/>
      <c r="E765" s="9">
        <v>140</v>
      </c>
      <c r="F765" s="10" t="s">
        <v>1066</v>
      </c>
      <c r="G765" s="9">
        <v>911</v>
      </c>
      <c r="H765" s="9">
        <v>2010</v>
      </c>
      <c r="I765" s="8">
        <v>368.98099999999999</v>
      </c>
      <c r="J765" s="8">
        <v>321.82499999999999</v>
      </c>
      <c r="K765" s="8">
        <v>280.28300000000002</v>
      </c>
      <c r="L765" s="8">
        <v>238.94300000000001</v>
      </c>
      <c r="M765" s="8">
        <v>204.54900000000001</v>
      </c>
      <c r="N765" s="8">
        <v>168.66499999999999</v>
      </c>
      <c r="O765" s="8">
        <v>135.05699999999999</v>
      </c>
      <c r="P765" s="8">
        <v>111.917</v>
      </c>
      <c r="Q765" s="8">
        <v>90.057000000000002</v>
      </c>
      <c r="R765" s="8">
        <v>70.924000000000007</v>
      </c>
      <c r="S765" s="8">
        <v>55.314</v>
      </c>
      <c r="T765" s="8">
        <v>41.5</v>
      </c>
      <c r="U765" s="8">
        <v>30.186</v>
      </c>
      <c r="V765" s="8">
        <v>23.280999999999999</v>
      </c>
      <c r="W765" s="8">
        <v>16.033999999999999</v>
      </c>
      <c r="X765" s="8">
        <v>9.1370000000000005</v>
      </c>
      <c r="Y765" s="8">
        <v>3.8679999999999999</v>
      </c>
      <c r="Z765" s="8">
        <v>0.98799999999999999</v>
      </c>
      <c r="AA765" s="8">
        <v>0.122</v>
      </c>
      <c r="AB765" s="8">
        <v>8.9999999999999993E-3</v>
      </c>
      <c r="AC765" s="8">
        <v>1E-3</v>
      </c>
    </row>
    <row r="766" spans="1:29" ht="11.65" x14ac:dyDescent="0.35">
      <c r="A766" s="12">
        <v>749</v>
      </c>
      <c r="B766" s="10" t="s">
        <v>1015</v>
      </c>
      <c r="C766" s="11" t="s">
        <v>584</v>
      </c>
      <c r="D766" s="9"/>
      <c r="E766" s="9">
        <v>140</v>
      </c>
      <c r="F766" s="10" t="s">
        <v>1066</v>
      </c>
      <c r="G766" s="9">
        <v>911</v>
      </c>
      <c r="H766" s="9">
        <v>2015</v>
      </c>
      <c r="I766" s="8">
        <v>368.44</v>
      </c>
      <c r="J766" s="8">
        <v>342.55900000000003</v>
      </c>
      <c r="K766" s="8">
        <v>309.98399999999998</v>
      </c>
      <c r="L766" s="8">
        <v>262.38299999999998</v>
      </c>
      <c r="M766" s="8">
        <v>203.35300000000001</v>
      </c>
      <c r="N766" s="8">
        <v>160.733</v>
      </c>
      <c r="O766" s="8">
        <v>129.923</v>
      </c>
      <c r="P766" s="8">
        <v>104.71599999999999</v>
      </c>
      <c r="Q766" s="8">
        <v>88.542000000000002</v>
      </c>
      <c r="R766" s="8">
        <v>72.222999999999999</v>
      </c>
      <c r="S766" s="8">
        <v>57.027999999999999</v>
      </c>
      <c r="T766" s="8">
        <v>44.107999999999997</v>
      </c>
      <c r="U766" s="8">
        <v>32.131999999999998</v>
      </c>
      <c r="V766" s="8">
        <v>21.949000000000002</v>
      </c>
      <c r="W766" s="8">
        <v>15.25</v>
      </c>
      <c r="X766" s="8">
        <v>8.718</v>
      </c>
      <c r="Y766" s="8">
        <v>3.5779999999999998</v>
      </c>
      <c r="Z766" s="8">
        <v>0.86199999999999999</v>
      </c>
      <c r="AA766" s="8">
        <v>7.9000000000000001E-2</v>
      </c>
      <c r="AB766" s="8">
        <v>5.0000000000000001E-3</v>
      </c>
      <c r="AC766" s="8">
        <v>0</v>
      </c>
    </row>
    <row r="767" spans="1:29" ht="11.65" x14ac:dyDescent="0.35">
      <c r="A767" s="12">
        <v>750</v>
      </c>
      <c r="B767" s="10" t="s">
        <v>1015</v>
      </c>
      <c r="C767" s="11" t="s">
        <v>584</v>
      </c>
      <c r="D767" s="9"/>
      <c r="E767" s="9">
        <v>140</v>
      </c>
      <c r="F767" s="10" t="s">
        <v>1066</v>
      </c>
      <c r="G767" s="9">
        <v>911</v>
      </c>
      <c r="H767" s="9">
        <v>2020</v>
      </c>
      <c r="I767" s="8">
        <v>372.065</v>
      </c>
      <c r="J767" s="8">
        <v>350.61900000000003</v>
      </c>
      <c r="K767" s="8">
        <v>334.90300000000002</v>
      </c>
      <c r="L767" s="8">
        <v>299.01900000000001</v>
      </c>
      <c r="M767" s="8">
        <v>241.75800000000001</v>
      </c>
      <c r="N767" s="8">
        <v>178.714</v>
      </c>
      <c r="O767" s="8">
        <v>138.721</v>
      </c>
      <c r="P767" s="8">
        <v>111.89700000000001</v>
      </c>
      <c r="Q767" s="8">
        <v>90.227999999999994</v>
      </c>
      <c r="R767" s="8">
        <v>76.549000000000007</v>
      </c>
      <c r="S767" s="8">
        <v>62</v>
      </c>
      <c r="T767" s="8">
        <v>48.13</v>
      </c>
      <c r="U767" s="8">
        <v>36.015000000000001</v>
      </c>
      <c r="V767" s="8">
        <v>24.617000000000001</v>
      </c>
      <c r="W767" s="8">
        <v>15.117000000000001</v>
      </c>
      <c r="X767" s="8">
        <v>8.85</v>
      </c>
      <c r="Y767" s="8">
        <v>3.7810000000000001</v>
      </c>
      <c r="Z767" s="8">
        <v>0.95299999999999996</v>
      </c>
      <c r="AA767" s="8">
        <v>0.10299999999999999</v>
      </c>
      <c r="AB767" s="8">
        <v>3.0000000000000001E-3</v>
      </c>
      <c r="AC767" s="8">
        <v>0</v>
      </c>
    </row>
    <row r="768" spans="1:29" ht="11.65" x14ac:dyDescent="0.35">
      <c r="A768" s="12">
        <v>751</v>
      </c>
      <c r="B768" s="10" t="s">
        <v>1015</v>
      </c>
      <c r="C768" s="11" t="s">
        <v>1080</v>
      </c>
      <c r="D768" s="9"/>
      <c r="E768" s="9">
        <v>148</v>
      </c>
      <c r="F768" s="10" t="s">
        <v>1066</v>
      </c>
      <c r="G768" s="9">
        <v>911</v>
      </c>
      <c r="H768" s="9">
        <v>1950</v>
      </c>
      <c r="I768" s="8">
        <v>190.91300000000001</v>
      </c>
      <c r="J768" s="8">
        <v>153.47</v>
      </c>
      <c r="K768" s="8">
        <v>134.65199999999999</v>
      </c>
      <c r="L768" s="8">
        <v>118.3</v>
      </c>
      <c r="M768" s="8">
        <v>105.396</v>
      </c>
      <c r="N768" s="8">
        <v>94.370999999999995</v>
      </c>
      <c r="O768" s="8">
        <v>84.445999999999998</v>
      </c>
      <c r="P768" s="8">
        <v>73.072000000000003</v>
      </c>
      <c r="Q768" s="8">
        <v>63.036000000000001</v>
      </c>
      <c r="R768" s="8">
        <v>55.095999999999997</v>
      </c>
      <c r="S768" s="8">
        <v>46.465000000000003</v>
      </c>
      <c r="T768" s="8">
        <v>35.920999999999999</v>
      </c>
      <c r="U768" s="8">
        <v>29.672000000000001</v>
      </c>
      <c r="V768" s="8">
        <v>23.343</v>
      </c>
      <c r="W768" s="8">
        <v>15.189</v>
      </c>
      <c r="X768" s="8">
        <v>7.9039999999999999</v>
      </c>
      <c r="Y768" s="8">
        <v>2.9740000000000002</v>
      </c>
      <c r="Z768" s="8">
        <v>0.70599999999999996</v>
      </c>
      <c r="AA768" s="8">
        <v>9.1999999999999998E-2</v>
      </c>
      <c r="AB768" s="8">
        <v>6.0000000000000001E-3</v>
      </c>
      <c r="AC768" s="8">
        <v>0</v>
      </c>
    </row>
    <row r="769" spans="1:29" ht="11.65" x14ac:dyDescent="0.35">
      <c r="A769" s="12">
        <v>752</v>
      </c>
      <c r="B769" s="10" t="s">
        <v>1015</v>
      </c>
      <c r="C769" s="11" t="s">
        <v>1080</v>
      </c>
      <c r="D769" s="9"/>
      <c r="E769" s="9">
        <v>148</v>
      </c>
      <c r="F769" s="10" t="s">
        <v>1066</v>
      </c>
      <c r="G769" s="9">
        <v>911</v>
      </c>
      <c r="H769" s="9">
        <v>1955</v>
      </c>
      <c r="I769" s="8">
        <v>227.179</v>
      </c>
      <c r="J769" s="8">
        <v>165.47</v>
      </c>
      <c r="K769" s="8">
        <v>145.374</v>
      </c>
      <c r="L769" s="8">
        <v>129.739</v>
      </c>
      <c r="M769" s="8">
        <v>112.78400000000001</v>
      </c>
      <c r="N769" s="8">
        <v>99.397000000000006</v>
      </c>
      <c r="O769" s="8">
        <v>88.739000000000004</v>
      </c>
      <c r="P769" s="8">
        <v>78.921999999999997</v>
      </c>
      <c r="Q769" s="8">
        <v>67.460999999999999</v>
      </c>
      <c r="R769" s="8">
        <v>57.26</v>
      </c>
      <c r="S769" s="8">
        <v>49.018999999999998</v>
      </c>
      <c r="T769" s="8">
        <v>40.040999999999997</v>
      </c>
      <c r="U769" s="8">
        <v>29.419</v>
      </c>
      <c r="V769" s="8">
        <v>22.425999999999998</v>
      </c>
      <c r="W769" s="8">
        <v>15.335000000000001</v>
      </c>
      <c r="X769" s="8">
        <v>7.9859999999999998</v>
      </c>
      <c r="Y769" s="8">
        <v>3.004</v>
      </c>
      <c r="Z769" s="8">
        <v>0.70799999999999996</v>
      </c>
      <c r="AA769" s="8">
        <v>9.2999999999999999E-2</v>
      </c>
      <c r="AB769" s="8">
        <v>6.0000000000000001E-3</v>
      </c>
      <c r="AC769" s="8">
        <v>0</v>
      </c>
    </row>
    <row r="770" spans="1:29" ht="11.65" x14ac:dyDescent="0.35">
      <c r="A770" s="12">
        <v>753</v>
      </c>
      <c r="B770" s="10" t="s">
        <v>1015</v>
      </c>
      <c r="C770" s="11" t="s">
        <v>1080</v>
      </c>
      <c r="D770" s="9"/>
      <c r="E770" s="9">
        <v>148</v>
      </c>
      <c r="F770" s="10" t="s">
        <v>1066</v>
      </c>
      <c r="G770" s="9">
        <v>911</v>
      </c>
      <c r="H770" s="9">
        <v>1960</v>
      </c>
      <c r="I770" s="8">
        <v>251.70599999999999</v>
      </c>
      <c r="J770" s="8">
        <v>198.81</v>
      </c>
      <c r="K770" s="8">
        <v>157.16499999999999</v>
      </c>
      <c r="L770" s="8">
        <v>140.25700000000001</v>
      </c>
      <c r="M770" s="8">
        <v>123.90900000000001</v>
      </c>
      <c r="N770" s="8">
        <v>106.621</v>
      </c>
      <c r="O770" s="8">
        <v>93.721999999999994</v>
      </c>
      <c r="P770" s="8">
        <v>83.171999999999997</v>
      </c>
      <c r="Q770" s="8">
        <v>73.135000000000005</v>
      </c>
      <c r="R770" s="8">
        <v>61.564</v>
      </c>
      <c r="S770" s="8">
        <v>51.226999999999997</v>
      </c>
      <c r="T770" s="8">
        <v>42.548000000000002</v>
      </c>
      <c r="U770" s="8">
        <v>33.097000000000001</v>
      </c>
      <c r="V770" s="8">
        <v>22.501999999999999</v>
      </c>
      <c r="W770" s="8">
        <v>15.025</v>
      </c>
      <c r="X770" s="8">
        <v>8.3119999999999994</v>
      </c>
      <c r="Y770" s="8">
        <v>3.1739999999999999</v>
      </c>
      <c r="Z770" s="8">
        <v>0.75700000000000001</v>
      </c>
      <c r="AA770" s="8">
        <v>9.8000000000000004E-2</v>
      </c>
      <c r="AB770" s="8">
        <v>6.0000000000000001E-3</v>
      </c>
      <c r="AC770" s="8">
        <v>0</v>
      </c>
    </row>
    <row r="771" spans="1:29" ht="11.65" x14ac:dyDescent="0.35">
      <c r="A771" s="12">
        <v>754</v>
      </c>
      <c r="B771" s="10" t="s">
        <v>1015</v>
      </c>
      <c r="C771" s="11" t="s">
        <v>1080</v>
      </c>
      <c r="D771" s="9"/>
      <c r="E771" s="9">
        <v>148</v>
      </c>
      <c r="F771" s="10" t="s">
        <v>1066</v>
      </c>
      <c r="G771" s="9">
        <v>911</v>
      </c>
      <c r="H771" s="9">
        <v>1965</v>
      </c>
      <c r="I771" s="8">
        <v>279.60300000000001</v>
      </c>
      <c r="J771" s="8">
        <v>222.374</v>
      </c>
      <c r="K771" s="8">
        <v>189.37100000000001</v>
      </c>
      <c r="L771" s="8">
        <v>151.85</v>
      </c>
      <c r="M771" s="8">
        <v>134.21299999999999</v>
      </c>
      <c r="N771" s="8">
        <v>117.43899999999999</v>
      </c>
      <c r="O771" s="8">
        <v>100.8</v>
      </c>
      <c r="P771" s="8">
        <v>88.113</v>
      </c>
      <c r="Q771" s="8">
        <v>77.379000000000005</v>
      </c>
      <c r="R771" s="8">
        <v>67.057000000000002</v>
      </c>
      <c r="S771" s="8">
        <v>55.375</v>
      </c>
      <c r="T771" s="8">
        <v>44.771999999999998</v>
      </c>
      <c r="U771" s="8">
        <v>35.506</v>
      </c>
      <c r="V771" s="8">
        <v>25.631</v>
      </c>
      <c r="W771" s="8">
        <v>15.353</v>
      </c>
      <c r="X771" s="8">
        <v>8.3859999999999992</v>
      </c>
      <c r="Y771" s="8">
        <v>3.4409999999999998</v>
      </c>
      <c r="Z771" s="8">
        <v>0.84899999999999998</v>
      </c>
      <c r="AA771" s="8">
        <v>0.115</v>
      </c>
      <c r="AB771" s="8">
        <v>8.0000000000000002E-3</v>
      </c>
      <c r="AC771" s="8">
        <v>0</v>
      </c>
    </row>
    <row r="772" spans="1:29" ht="11.65" x14ac:dyDescent="0.35">
      <c r="A772" s="12">
        <v>755</v>
      </c>
      <c r="B772" s="10" t="s">
        <v>1015</v>
      </c>
      <c r="C772" s="11" t="s">
        <v>1080</v>
      </c>
      <c r="D772" s="9"/>
      <c r="E772" s="9">
        <v>148</v>
      </c>
      <c r="F772" s="10" t="s">
        <v>1066</v>
      </c>
      <c r="G772" s="9">
        <v>911</v>
      </c>
      <c r="H772" s="9">
        <v>1970</v>
      </c>
      <c r="I772" s="8">
        <v>315.02600000000001</v>
      </c>
      <c r="J772" s="8">
        <v>247.04499999999999</v>
      </c>
      <c r="K772" s="8">
        <v>210.42699999999999</v>
      </c>
      <c r="L772" s="8">
        <v>181.57</v>
      </c>
      <c r="M772" s="8">
        <v>144.167</v>
      </c>
      <c r="N772" s="8">
        <v>126.32899999999999</v>
      </c>
      <c r="O772" s="8">
        <v>110.276</v>
      </c>
      <c r="P772" s="8">
        <v>94.168000000000006</v>
      </c>
      <c r="Q772" s="8">
        <v>81.516000000000005</v>
      </c>
      <c r="R772" s="8">
        <v>70.62</v>
      </c>
      <c r="S772" s="8">
        <v>60.109000000000002</v>
      </c>
      <c r="T772" s="8">
        <v>48.268999999999998</v>
      </c>
      <c r="U772" s="8">
        <v>37.351999999999997</v>
      </c>
      <c r="V772" s="8">
        <v>27.594000000000001</v>
      </c>
      <c r="W772" s="8">
        <v>17.652000000000001</v>
      </c>
      <c r="X772" s="8">
        <v>8.7289999999999992</v>
      </c>
      <c r="Y772" s="8">
        <v>3.589</v>
      </c>
      <c r="Z772" s="8">
        <v>0.96899999999999997</v>
      </c>
      <c r="AA772" s="8">
        <v>0.13800000000000001</v>
      </c>
      <c r="AB772" s="8">
        <v>8.9999999999999993E-3</v>
      </c>
      <c r="AC772" s="8">
        <v>0</v>
      </c>
    </row>
    <row r="773" spans="1:29" ht="11.65" x14ac:dyDescent="0.35">
      <c r="A773" s="12">
        <v>756</v>
      </c>
      <c r="B773" s="10" t="s">
        <v>1015</v>
      </c>
      <c r="C773" s="11" t="s">
        <v>1080</v>
      </c>
      <c r="D773" s="9"/>
      <c r="E773" s="9">
        <v>148</v>
      </c>
      <c r="F773" s="10" t="s">
        <v>1066</v>
      </c>
      <c r="G773" s="9">
        <v>911</v>
      </c>
      <c r="H773" s="9">
        <v>1975</v>
      </c>
      <c r="I773" s="8">
        <v>375.86200000000002</v>
      </c>
      <c r="J773" s="8">
        <v>281.54199999999997</v>
      </c>
      <c r="K773" s="8">
        <v>234.566</v>
      </c>
      <c r="L773" s="8">
        <v>202.09</v>
      </c>
      <c r="M773" s="8">
        <v>172.886</v>
      </c>
      <c r="N773" s="8">
        <v>136.06700000000001</v>
      </c>
      <c r="O773" s="8">
        <v>119.018</v>
      </c>
      <c r="P773" s="8">
        <v>103.425</v>
      </c>
      <c r="Q773" s="8">
        <v>87.524000000000001</v>
      </c>
      <c r="R773" s="8">
        <v>74.825000000000003</v>
      </c>
      <c r="S773" s="8">
        <v>63.73</v>
      </c>
      <c r="T773" s="8">
        <v>52.863</v>
      </c>
      <c r="U773" s="8">
        <v>40.723999999999997</v>
      </c>
      <c r="V773" s="8">
        <v>29.463999999999999</v>
      </c>
      <c r="W773" s="8">
        <v>19.428000000000001</v>
      </c>
      <c r="X773" s="8">
        <v>10.39</v>
      </c>
      <c r="Y773" s="8">
        <v>3.923</v>
      </c>
      <c r="Z773" s="8">
        <v>1.081</v>
      </c>
      <c r="AA773" s="8">
        <v>0.17100000000000001</v>
      </c>
      <c r="AB773" s="8">
        <v>1.2999999999999999E-2</v>
      </c>
      <c r="AC773" s="8">
        <v>1E-3</v>
      </c>
    </row>
    <row r="774" spans="1:29" ht="11.65" x14ac:dyDescent="0.35">
      <c r="A774" s="12">
        <v>757</v>
      </c>
      <c r="B774" s="10" t="s">
        <v>1015</v>
      </c>
      <c r="C774" s="11" t="s">
        <v>1080</v>
      </c>
      <c r="D774" s="9"/>
      <c r="E774" s="9">
        <v>148</v>
      </c>
      <c r="F774" s="10" t="s">
        <v>1066</v>
      </c>
      <c r="G774" s="9">
        <v>911</v>
      </c>
      <c r="H774" s="9">
        <v>1980</v>
      </c>
      <c r="I774" s="8">
        <v>430.99400000000003</v>
      </c>
      <c r="J774" s="8">
        <v>329.22500000000002</v>
      </c>
      <c r="K774" s="8">
        <v>260.49200000000002</v>
      </c>
      <c r="L774" s="8">
        <v>219.34899999999999</v>
      </c>
      <c r="M774" s="8">
        <v>187.44300000000001</v>
      </c>
      <c r="N774" s="8">
        <v>159.232</v>
      </c>
      <c r="O774" s="8">
        <v>124.82599999999999</v>
      </c>
      <c r="P774" s="8">
        <v>108.861</v>
      </c>
      <c r="Q774" s="8">
        <v>93.828000000000003</v>
      </c>
      <c r="R774" s="8">
        <v>78.454999999999998</v>
      </c>
      <c r="S774" s="8">
        <v>65.986999999999995</v>
      </c>
      <c r="T774" s="8">
        <v>54.837000000000003</v>
      </c>
      <c r="U774" s="8">
        <v>43.734999999999999</v>
      </c>
      <c r="V774" s="8">
        <v>31.556000000000001</v>
      </c>
      <c r="W774" s="8">
        <v>20.489000000000001</v>
      </c>
      <c r="X774" s="8">
        <v>11.375999999999999</v>
      </c>
      <c r="Y774" s="8">
        <v>4.6989999999999998</v>
      </c>
      <c r="Z774" s="8">
        <v>1.2</v>
      </c>
      <c r="AA774" s="8">
        <v>0.19700000000000001</v>
      </c>
      <c r="AB774" s="8">
        <v>1.7000000000000001E-2</v>
      </c>
      <c r="AC774" s="8">
        <v>1E-3</v>
      </c>
    </row>
    <row r="775" spans="1:29" ht="11.65" x14ac:dyDescent="0.35">
      <c r="A775" s="12">
        <v>758</v>
      </c>
      <c r="B775" s="10" t="s">
        <v>1015</v>
      </c>
      <c r="C775" s="11" t="s">
        <v>1080</v>
      </c>
      <c r="D775" s="9"/>
      <c r="E775" s="9">
        <v>148</v>
      </c>
      <c r="F775" s="10" t="s">
        <v>1066</v>
      </c>
      <c r="G775" s="9">
        <v>911</v>
      </c>
      <c r="H775" s="9">
        <v>1985</v>
      </c>
      <c r="I775" s="8">
        <v>495.93900000000002</v>
      </c>
      <c r="J775" s="8">
        <v>384.86599999999999</v>
      </c>
      <c r="K775" s="8">
        <v>309.60599999999999</v>
      </c>
      <c r="L775" s="8">
        <v>247.191</v>
      </c>
      <c r="M775" s="8">
        <v>206.49100000000001</v>
      </c>
      <c r="N775" s="8">
        <v>175.17599999999999</v>
      </c>
      <c r="O775" s="8">
        <v>148.565</v>
      </c>
      <c r="P775" s="8">
        <v>115.828</v>
      </c>
      <c r="Q775" s="8">
        <v>100.32299999999999</v>
      </c>
      <c r="R775" s="8">
        <v>85.543999999999997</v>
      </c>
      <c r="S775" s="8">
        <v>70.388000000000005</v>
      </c>
      <c r="T775" s="8">
        <v>57.813000000000002</v>
      </c>
      <c r="U775" s="8">
        <v>46.253</v>
      </c>
      <c r="V775" s="8">
        <v>34.646999999999998</v>
      </c>
      <c r="W775" s="8">
        <v>22.495000000000001</v>
      </c>
      <c r="X775" s="8">
        <v>12.355</v>
      </c>
      <c r="Y775" s="8">
        <v>5.3330000000000002</v>
      </c>
      <c r="Z775" s="8">
        <v>1.5089999999999999</v>
      </c>
      <c r="AA775" s="8">
        <v>0.23</v>
      </c>
      <c r="AB775" s="8">
        <v>2.1000000000000001E-2</v>
      </c>
      <c r="AC775" s="8">
        <v>1E-3</v>
      </c>
    </row>
    <row r="776" spans="1:29" ht="11.65" x14ac:dyDescent="0.35">
      <c r="A776" s="12">
        <v>759</v>
      </c>
      <c r="B776" s="10" t="s">
        <v>1015</v>
      </c>
      <c r="C776" s="11" t="s">
        <v>1080</v>
      </c>
      <c r="D776" s="9"/>
      <c r="E776" s="9">
        <v>148</v>
      </c>
      <c r="F776" s="10" t="s">
        <v>1066</v>
      </c>
      <c r="G776" s="9">
        <v>911</v>
      </c>
      <c r="H776" s="9">
        <v>1990</v>
      </c>
      <c r="I776" s="8">
        <v>592.226</v>
      </c>
      <c r="J776" s="8">
        <v>458.45</v>
      </c>
      <c r="K776" s="8">
        <v>373.04399999999998</v>
      </c>
      <c r="L776" s="8">
        <v>302.62599999999998</v>
      </c>
      <c r="M776" s="8">
        <v>239.648</v>
      </c>
      <c r="N776" s="8">
        <v>198.62200000000001</v>
      </c>
      <c r="O776" s="8">
        <v>168.00299999999999</v>
      </c>
      <c r="P776" s="8">
        <v>141.80000000000001</v>
      </c>
      <c r="Q776" s="8">
        <v>109.752</v>
      </c>
      <c r="R776" s="8">
        <v>94.2</v>
      </c>
      <c r="S776" s="8">
        <v>79.156000000000006</v>
      </c>
      <c r="T776" s="8">
        <v>63.677</v>
      </c>
      <c r="U776" s="8">
        <v>50.433</v>
      </c>
      <c r="V776" s="8">
        <v>37.938000000000002</v>
      </c>
      <c r="W776" s="8">
        <v>25.696999999999999</v>
      </c>
      <c r="X776" s="8">
        <v>14.18</v>
      </c>
      <c r="Y776" s="8">
        <v>6.0919999999999996</v>
      </c>
      <c r="Z776" s="8">
        <v>1.8169999999999999</v>
      </c>
      <c r="AA776" s="8">
        <v>0.311</v>
      </c>
      <c r="AB776" s="8">
        <v>2.5000000000000001E-2</v>
      </c>
      <c r="AC776" s="8">
        <v>1E-3</v>
      </c>
    </row>
    <row r="777" spans="1:29" ht="11.65" x14ac:dyDescent="0.35">
      <c r="A777" s="12">
        <v>760</v>
      </c>
      <c r="B777" s="10" t="s">
        <v>1015</v>
      </c>
      <c r="C777" s="11" t="s">
        <v>1080</v>
      </c>
      <c r="D777" s="9"/>
      <c r="E777" s="9">
        <v>148</v>
      </c>
      <c r="F777" s="10" t="s">
        <v>1066</v>
      </c>
      <c r="G777" s="9">
        <v>911</v>
      </c>
      <c r="H777" s="9">
        <v>1995</v>
      </c>
      <c r="I777" s="8">
        <v>708.59400000000005</v>
      </c>
      <c r="J777" s="8">
        <v>548.25199999999995</v>
      </c>
      <c r="K777" s="8">
        <v>444.03899999999999</v>
      </c>
      <c r="L777" s="8">
        <v>364.221</v>
      </c>
      <c r="M777" s="8">
        <v>293.02699999999999</v>
      </c>
      <c r="N777" s="8">
        <v>230.00800000000001</v>
      </c>
      <c r="O777" s="8">
        <v>189.75700000000001</v>
      </c>
      <c r="P777" s="8">
        <v>159.45500000000001</v>
      </c>
      <c r="Q777" s="8">
        <v>133.64699999999999</v>
      </c>
      <c r="R777" s="8">
        <v>102.684</v>
      </c>
      <c r="S777" s="8">
        <v>86.992999999999995</v>
      </c>
      <c r="T777" s="8">
        <v>71.564999999999998</v>
      </c>
      <c r="U777" s="8">
        <v>55.545000000000002</v>
      </c>
      <c r="V777" s="8">
        <v>41.396999999999998</v>
      </c>
      <c r="W777" s="8">
        <v>28.202999999999999</v>
      </c>
      <c r="X777" s="8">
        <v>16.283000000000001</v>
      </c>
      <c r="Y777" s="8">
        <v>7.0380000000000003</v>
      </c>
      <c r="Z777" s="8">
        <v>2.0939999999999999</v>
      </c>
      <c r="AA777" s="8">
        <v>0.379</v>
      </c>
      <c r="AB777" s="8">
        <v>3.5999999999999997E-2</v>
      </c>
      <c r="AC777" s="8">
        <v>2E-3</v>
      </c>
    </row>
    <row r="778" spans="1:29" ht="11.65" x14ac:dyDescent="0.35">
      <c r="A778" s="12">
        <v>761</v>
      </c>
      <c r="B778" s="10" t="s">
        <v>1015</v>
      </c>
      <c r="C778" s="11" t="s">
        <v>1080</v>
      </c>
      <c r="D778" s="9"/>
      <c r="E778" s="9">
        <v>148</v>
      </c>
      <c r="F778" s="10" t="s">
        <v>1066</v>
      </c>
      <c r="G778" s="9">
        <v>911</v>
      </c>
      <c r="H778" s="9">
        <v>2000</v>
      </c>
      <c r="I778" s="8">
        <v>849.53200000000004</v>
      </c>
      <c r="J778" s="8">
        <v>666.20799999999997</v>
      </c>
      <c r="K778" s="8">
        <v>537.59900000000005</v>
      </c>
      <c r="L778" s="8">
        <v>438.58800000000002</v>
      </c>
      <c r="M778" s="8">
        <v>356.79700000000003</v>
      </c>
      <c r="N778" s="8">
        <v>284.28100000000001</v>
      </c>
      <c r="O778" s="8">
        <v>221.64099999999999</v>
      </c>
      <c r="P778" s="8">
        <v>181.21799999999999</v>
      </c>
      <c r="Q778" s="8">
        <v>151.14599999999999</v>
      </c>
      <c r="R778" s="8">
        <v>126.045</v>
      </c>
      <c r="S778" s="8">
        <v>95.873000000000005</v>
      </c>
      <c r="T778" s="8">
        <v>79.617999999999995</v>
      </c>
      <c r="U778" s="8">
        <v>63.265000000000001</v>
      </c>
      <c r="V778" s="8">
        <v>46.267000000000003</v>
      </c>
      <c r="W778" s="8">
        <v>31.31</v>
      </c>
      <c r="X778" s="8">
        <v>18.254000000000001</v>
      </c>
      <c r="Y778" s="8">
        <v>8.2880000000000003</v>
      </c>
      <c r="Z778" s="8">
        <v>2.4990000000000001</v>
      </c>
      <c r="AA778" s="8">
        <v>0.45300000000000001</v>
      </c>
      <c r="AB778" s="8">
        <v>4.4999999999999998E-2</v>
      </c>
      <c r="AC778" s="8">
        <v>3.0000000000000001E-3</v>
      </c>
    </row>
    <row r="779" spans="1:29" ht="11.65" x14ac:dyDescent="0.35">
      <c r="A779" s="12">
        <v>762</v>
      </c>
      <c r="B779" s="10" t="s">
        <v>1015</v>
      </c>
      <c r="C779" s="11" t="s">
        <v>1080</v>
      </c>
      <c r="D779" s="9"/>
      <c r="E779" s="9">
        <v>148</v>
      </c>
      <c r="F779" s="10" t="s">
        <v>1066</v>
      </c>
      <c r="G779" s="9">
        <v>911</v>
      </c>
      <c r="H779" s="9">
        <v>2005</v>
      </c>
      <c r="I779" s="8">
        <v>1015.588</v>
      </c>
      <c r="J779" s="8">
        <v>813.74300000000005</v>
      </c>
      <c r="K779" s="8">
        <v>663.68100000000004</v>
      </c>
      <c r="L779" s="8">
        <v>539.21299999999997</v>
      </c>
      <c r="M779" s="8">
        <v>436.40600000000001</v>
      </c>
      <c r="N779" s="8">
        <v>351.25200000000001</v>
      </c>
      <c r="O779" s="8">
        <v>277.27600000000001</v>
      </c>
      <c r="P779" s="8">
        <v>213.68899999999999</v>
      </c>
      <c r="Q779" s="8">
        <v>173.24100000000001</v>
      </c>
      <c r="R779" s="8">
        <v>144.11600000000001</v>
      </c>
      <c r="S779" s="8">
        <v>119.203</v>
      </c>
      <c r="T779" s="8">
        <v>89.203999999999994</v>
      </c>
      <c r="U779" s="8">
        <v>71.572999999999993</v>
      </c>
      <c r="V779" s="8">
        <v>53.639000000000003</v>
      </c>
      <c r="W779" s="8">
        <v>35.706000000000003</v>
      </c>
      <c r="X779" s="8">
        <v>20.763999999999999</v>
      </c>
      <c r="Y779" s="8">
        <v>9.5470000000000006</v>
      </c>
      <c r="Z779" s="8">
        <v>3.0369999999999999</v>
      </c>
      <c r="AA779" s="8">
        <v>0.56000000000000005</v>
      </c>
      <c r="AB779" s="8">
        <v>5.5E-2</v>
      </c>
      <c r="AC779" s="8">
        <v>3.0000000000000001E-3</v>
      </c>
    </row>
    <row r="780" spans="1:29" ht="11.65" x14ac:dyDescent="0.35">
      <c r="A780" s="12">
        <v>763</v>
      </c>
      <c r="B780" s="10" t="s">
        <v>1015</v>
      </c>
      <c r="C780" s="11" t="s">
        <v>1080</v>
      </c>
      <c r="D780" s="9"/>
      <c r="E780" s="9">
        <v>148</v>
      </c>
      <c r="F780" s="10" t="s">
        <v>1066</v>
      </c>
      <c r="G780" s="9">
        <v>911</v>
      </c>
      <c r="H780" s="9">
        <v>2010</v>
      </c>
      <c r="I780" s="8">
        <v>1168.047</v>
      </c>
      <c r="J780" s="8">
        <v>960.83600000000001</v>
      </c>
      <c r="K780" s="8">
        <v>797.76599999999996</v>
      </c>
      <c r="L780" s="8">
        <v>654.70699999999999</v>
      </c>
      <c r="M780" s="8">
        <v>528.11300000000006</v>
      </c>
      <c r="N780" s="8">
        <v>423.43299999999999</v>
      </c>
      <c r="O780" s="8">
        <v>338.03399999999999</v>
      </c>
      <c r="P780" s="8">
        <v>263.786</v>
      </c>
      <c r="Q780" s="8">
        <v>201.535</v>
      </c>
      <c r="R780" s="8">
        <v>162.88900000000001</v>
      </c>
      <c r="S780" s="8">
        <v>134.458</v>
      </c>
      <c r="T780" s="8">
        <v>109.369</v>
      </c>
      <c r="U780" s="8">
        <v>79.245999999999995</v>
      </c>
      <c r="V780" s="8">
        <v>60.045999999999999</v>
      </c>
      <c r="W780" s="8">
        <v>41.009</v>
      </c>
      <c r="X780" s="8">
        <v>23.504999999999999</v>
      </c>
      <c r="Y780" s="8">
        <v>10.837999999999999</v>
      </c>
      <c r="Z780" s="8">
        <v>3.5110000000000001</v>
      </c>
      <c r="AA780" s="8">
        <v>0.68899999999999995</v>
      </c>
      <c r="AB780" s="8">
        <v>7.1999999999999995E-2</v>
      </c>
      <c r="AC780" s="8">
        <v>4.0000000000000001E-3</v>
      </c>
    </row>
    <row r="781" spans="1:29" ht="11.65" x14ac:dyDescent="0.35">
      <c r="A781" s="12">
        <v>764</v>
      </c>
      <c r="B781" s="10" t="s">
        <v>1015</v>
      </c>
      <c r="C781" s="11" t="s">
        <v>1080</v>
      </c>
      <c r="D781" s="9"/>
      <c r="E781" s="9">
        <v>148</v>
      </c>
      <c r="F781" s="10" t="s">
        <v>1066</v>
      </c>
      <c r="G781" s="9">
        <v>911</v>
      </c>
      <c r="H781" s="9">
        <v>2015</v>
      </c>
      <c r="I781" s="8">
        <v>1324.3230000000001</v>
      </c>
      <c r="J781" s="8">
        <v>1117.8130000000001</v>
      </c>
      <c r="K781" s="8">
        <v>945.40800000000002</v>
      </c>
      <c r="L781" s="8">
        <v>788.44100000000003</v>
      </c>
      <c r="M781" s="8">
        <v>642.97</v>
      </c>
      <c r="N781" s="8">
        <v>514.86400000000003</v>
      </c>
      <c r="O781" s="8">
        <v>410.13600000000002</v>
      </c>
      <c r="P781" s="8">
        <v>323.94</v>
      </c>
      <c r="Q781" s="8">
        <v>250.36799999999999</v>
      </c>
      <c r="R781" s="8">
        <v>190.40299999999999</v>
      </c>
      <c r="S781" s="8">
        <v>152.65700000000001</v>
      </c>
      <c r="T781" s="8">
        <v>124.07</v>
      </c>
      <c r="U781" s="8">
        <v>97.843000000000004</v>
      </c>
      <c r="V781" s="8">
        <v>67.105999999999995</v>
      </c>
      <c r="W781" s="8">
        <v>46.448999999999998</v>
      </c>
      <c r="X781" s="8">
        <v>27.420999999999999</v>
      </c>
      <c r="Y781" s="8">
        <v>12.522</v>
      </c>
      <c r="Z781" s="8">
        <v>4.0869999999999997</v>
      </c>
      <c r="AA781" s="8">
        <v>0.81899999999999995</v>
      </c>
      <c r="AB781" s="8">
        <v>8.8999999999999996E-2</v>
      </c>
      <c r="AC781" s="8">
        <v>5.0000000000000001E-3</v>
      </c>
    </row>
    <row r="782" spans="1:29" ht="11.65" x14ac:dyDescent="0.35">
      <c r="A782" s="12">
        <v>765</v>
      </c>
      <c r="B782" s="10" t="s">
        <v>1015</v>
      </c>
      <c r="C782" s="11" t="s">
        <v>1080</v>
      </c>
      <c r="D782" s="9"/>
      <c r="E782" s="9">
        <v>148</v>
      </c>
      <c r="F782" s="10" t="s">
        <v>1066</v>
      </c>
      <c r="G782" s="9">
        <v>911</v>
      </c>
      <c r="H782" s="9">
        <v>2020</v>
      </c>
      <c r="I782" s="8">
        <v>1475.5070000000001</v>
      </c>
      <c r="J782" s="8">
        <v>1265.4359999999999</v>
      </c>
      <c r="K782" s="8">
        <v>1094.2819999999999</v>
      </c>
      <c r="L782" s="8">
        <v>928.89599999999996</v>
      </c>
      <c r="M782" s="8">
        <v>769.72500000000002</v>
      </c>
      <c r="N782" s="8">
        <v>623.11400000000003</v>
      </c>
      <c r="O782" s="8">
        <v>495.76100000000002</v>
      </c>
      <c r="P782" s="8">
        <v>390.86799999999999</v>
      </c>
      <c r="Q782" s="8">
        <v>305.91899999999998</v>
      </c>
      <c r="R782" s="8">
        <v>235.43899999999999</v>
      </c>
      <c r="S782" s="8">
        <v>177.726</v>
      </c>
      <c r="T782" s="8">
        <v>140.405</v>
      </c>
      <c r="U782" s="8">
        <v>110.762</v>
      </c>
      <c r="V782" s="8">
        <v>82.769000000000005</v>
      </c>
      <c r="W782" s="8">
        <v>51.956000000000003</v>
      </c>
      <c r="X782" s="8">
        <v>31.137</v>
      </c>
      <c r="Y782" s="8">
        <v>14.662000000000001</v>
      </c>
      <c r="Z782" s="8">
        <v>4.74</v>
      </c>
      <c r="AA782" s="8">
        <v>0.95299999999999996</v>
      </c>
      <c r="AB782" s="8">
        <v>0.106</v>
      </c>
      <c r="AC782" s="8">
        <v>7.0000000000000001E-3</v>
      </c>
    </row>
    <row r="783" spans="1:29" ht="11.65" x14ac:dyDescent="0.35">
      <c r="A783" s="12">
        <v>766</v>
      </c>
      <c r="B783" s="10" t="s">
        <v>1015</v>
      </c>
      <c r="C783" s="11" t="s">
        <v>586</v>
      </c>
      <c r="D783" s="9"/>
      <c r="E783" s="9">
        <v>178</v>
      </c>
      <c r="F783" s="10" t="s">
        <v>1066</v>
      </c>
      <c r="G783" s="9">
        <v>911</v>
      </c>
      <c r="H783" s="9">
        <v>1950</v>
      </c>
      <c r="I783" s="8">
        <v>65.424999999999997</v>
      </c>
      <c r="J783" s="8">
        <v>52.790999999999997</v>
      </c>
      <c r="K783" s="8">
        <v>46.076999999999998</v>
      </c>
      <c r="L783" s="8">
        <v>40.820999999999998</v>
      </c>
      <c r="M783" s="8">
        <v>36.040999999999997</v>
      </c>
      <c r="N783" s="8">
        <v>31.645</v>
      </c>
      <c r="O783" s="8">
        <v>27.606000000000002</v>
      </c>
      <c r="P783" s="8">
        <v>23.904</v>
      </c>
      <c r="Q783" s="8">
        <v>20.550999999999998</v>
      </c>
      <c r="R783" s="8">
        <v>17.568999999999999</v>
      </c>
      <c r="S783" s="8">
        <v>14.856</v>
      </c>
      <c r="T783" s="8">
        <v>10.819000000000001</v>
      </c>
      <c r="U783" s="8">
        <v>8.2880000000000003</v>
      </c>
      <c r="V783" s="8">
        <v>5.8869999999999996</v>
      </c>
      <c r="W783" s="8">
        <v>3.69</v>
      </c>
      <c r="X783" s="8">
        <v>1.92</v>
      </c>
      <c r="Y783" s="8">
        <v>0.67500000000000004</v>
      </c>
      <c r="Z783" s="8">
        <v>0.20200000000000001</v>
      </c>
      <c r="AA783" s="8">
        <v>3.6999999999999998E-2</v>
      </c>
      <c r="AB783" s="8">
        <v>4.0000000000000001E-3</v>
      </c>
      <c r="AC783" s="8">
        <v>0</v>
      </c>
    </row>
    <row r="784" spans="1:29" ht="11.65" x14ac:dyDescent="0.35">
      <c r="A784" s="12">
        <v>767</v>
      </c>
      <c r="B784" s="10" t="s">
        <v>1015</v>
      </c>
      <c r="C784" s="11" t="s">
        <v>586</v>
      </c>
      <c r="D784" s="9"/>
      <c r="E784" s="9">
        <v>178</v>
      </c>
      <c r="F784" s="10" t="s">
        <v>1066</v>
      </c>
      <c r="G784" s="9">
        <v>911</v>
      </c>
      <c r="H784" s="9">
        <v>1955</v>
      </c>
      <c r="I784" s="8">
        <v>75.605999999999995</v>
      </c>
      <c r="J784" s="8">
        <v>58.932000000000002</v>
      </c>
      <c r="K784" s="8">
        <v>50.433</v>
      </c>
      <c r="L784" s="8">
        <v>44.497</v>
      </c>
      <c r="M784" s="8">
        <v>38.970999999999997</v>
      </c>
      <c r="N784" s="8">
        <v>33.959000000000003</v>
      </c>
      <c r="O784" s="8">
        <v>29.562000000000001</v>
      </c>
      <c r="P784" s="8">
        <v>25.488</v>
      </c>
      <c r="Q784" s="8">
        <v>21.757999999999999</v>
      </c>
      <c r="R784" s="8">
        <v>18.460999999999999</v>
      </c>
      <c r="S784" s="8">
        <v>15.529</v>
      </c>
      <c r="T784" s="8">
        <v>12.833</v>
      </c>
      <c r="U784" s="8">
        <v>8.9939999999999998</v>
      </c>
      <c r="V784" s="8">
        <v>6.4480000000000004</v>
      </c>
      <c r="W784" s="8">
        <v>4.1050000000000004</v>
      </c>
      <c r="X784" s="8">
        <v>2.1560000000000001</v>
      </c>
      <c r="Y784" s="8">
        <v>0.84599999999999997</v>
      </c>
      <c r="Z784" s="8">
        <v>0.19</v>
      </c>
      <c r="AA784" s="8">
        <v>0.03</v>
      </c>
      <c r="AB784" s="8">
        <v>3.0000000000000001E-3</v>
      </c>
      <c r="AC784" s="8">
        <v>0</v>
      </c>
    </row>
    <row r="785" spans="1:29" ht="11.65" x14ac:dyDescent="0.35">
      <c r="A785" s="12">
        <v>768</v>
      </c>
      <c r="B785" s="10" t="s">
        <v>1015</v>
      </c>
      <c r="C785" s="11" t="s">
        <v>586</v>
      </c>
      <c r="D785" s="9"/>
      <c r="E785" s="9">
        <v>178</v>
      </c>
      <c r="F785" s="10" t="s">
        <v>1066</v>
      </c>
      <c r="G785" s="9">
        <v>911</v>
      </c>
      <c r="H785" s="9">
        <v>1960</v>
      </c>
      <c r="I785" s="8">
        <v>86.692999999999998</v>
      </c>
      <c r="J785" s="8">
        <v>69.555000000000007</v>
      </c>
      <c r="K785" s="8">
        <v>56.828000000000003</v>
      </c>
      <c r="L785" s="8">
        <v>48.994999999999997</v>
      </c>
      <c r="M785" s="8">
        <v>42.762</v>
      </c>
      <c r="N785" s="8">
        <v>37.021999999999998</v>
      </c>
      <c r="O785" s="8">
        <v>32.01</v>
      </c>
      <c r="P785" s="8">
        <v>27.562999999999999</v>
      </c>
      <c r="Q785" s="8">
        <v>23.446999999999999</v>
      </c>
      <c r="R785" s="8">
        <v>19.757999999999999</v>
      </c>
      <c r="S785" s="8">
        <v>16.48</v>
      </c>
      <c r="T785" s="8">
        <v>13.536</v>
      </c>
      <c r="U785" s="8">
        <v>10.76</v>
      </c>
      <c r="V785" s="8">
        <v>7.0490000000000004</v>
      </c>
      <c r="W785" s="8">
        <v>4.5220000000000002</v>
      </c>
      <c r="X785" s="8">
        <v>2.4049999999999998</v>
      </c>
      <c r="Y785" s="8">
        <v>0.94299999999999995</v>
      </c>
      <c r="Z785" s="8">
        <v>0.23100000000000001</v>
      </c>
      <c r="AA785" s="8">
        <v>2.5999999999999999E-2</v>
      </c>
      <c r="AB785" s="8">
        <v>2E-3</v>
      </c>
      <c r="AC785" s="8">
        <v>0</v>
      </c>
    </row>
    <row r="786" spans="1:29" ht="11.65" x14ac:dyDescent="0.35">
      <c r="A786" s="12">
        <v>769</v>
      </c>
      <c r="B786" s="10" t="s">
        <v>1015</v>
      </c>
      <c r="C786" s="11" t="s">
        <v>586</v>
      </c>
      <c r="D786" s="9"/>
      <c r="E786" s="9">
        <v>178</v>
      </c>
      <c r="F786" s="10" t="s">
        <v>1066</v>
      </c>
      <c r="G786" s="9">
        <v>911</v>
      </c>
      <c r="H786" s="9">
        <v>1965</v>
      </c>
      <c r="I786" s="8">
        <v>101.864</v>
      </c>
      <c r="J786" s="8">
        <v>81.05</v>
      </c>
      <c r="K786" s="8">
        <v>67.509</v>
      </c>
      <c r="L786" s="8">
        <v>55.444000000000003</v>
      </c>
      <c r="M786" s="8">
        <v>47.316000000000003</v>
      </c>
      <c r="N786" s="8">
        <v>40.872999999999998</v>
      </c>
      <c r="O786" s="8">
        <v>35.133000000000003</v>
      </c>
      <c r="P786" s="8">
        <v>30.065000000000001</v>
      </c>
      <c r="Q786" s="8">
        <v>25.558</v>
      </c>
      <c r="R786" s="8">
        <v>21.462</v>
      </c>
      <c r="S786" s="8">
        <v>17.771000000000001</v>
      </c>
      <c r="T786" s="8">
        <v>14.462999999999999</v>
      </c>
      <c r="U786" s="8">
        <v>11.423999999999999</v>
      </c>
      <c r="V786" s="8">
        <v>8.4830000000000005</v>
      </c>
      <c r="W786" s="8">
        <v>4.9660000000000002</v>
      </c>
      <c r="X786" s="8">
        <v>2.6509999999999998</v>
      </c>
      <c r="Y786" s="8">
        <v>1.0429999999999999</v>
      </c>
      <c r="Z786" s="8">
        <v>0.253</v>
      </c>
      <c r="AA786" s="8">
        <v>0.03</v>
      </c>
      <c r="AB786" s="8">
        <v>2E-3</v>
      </c>
      <c r="AC786" s="8">
        <v>0</v>
      </c>
    </row>
    <row r="787" spans="1:29" ht="11.65" x14ac:dyDescent="0.35">
      <c r="A787" s="12">
        <v>770</v>
      </c>
      <c r="B787" s="10" t="s">
        <v>1015</v>
      </c>
      <c r="C787" s="11" t="s">
        <v>586</v>
      </c>
      <c r="D787" s="9"/>
      <c r="E787" s="9">
        <v>178</v>
      </c>
      <c r="F787" s="10" t="s">
        <v>1066</v>
      </c>
      <c r="G787" s="9">
        <v>911</v>
      </c>
      <c r="H787" s="9">
        <v>1970</v>
      </c>
      <c r="I787" s="8">
        <v>120.377</v>
      </c>
      <c r="J787" s="8">
        <v>96.281999999999996</v>
      </c>
      <c r="K787" s="8">
        <v>78.992000000000004</v>
      </c>
      <c r="L787" s="8">
        <v>66.051000000000002</v>
      </c>
      <c r="M787" s="8">
        <v>53.725000000000001</v>
      </c>
      <c r="N787" s="8">
        <v>45.414999999999999</v>
      </c>
      <c r="O787" s="8">
        <v>38.959000000000003</v>
      </c>
      <c r="P787" s="8">
        <v>33.156999999999996</v>
      </c>
      <c r="Q787" s="8">
        <v>28.026</v>
      </c>
      <c r="R787" s="8">
        <v>23.521999999999998</v>
      </c>
      <c r="S787" s="8">
        <v>19.404</v>
      </c>
      <c r="T787" s="8">
        <v>15.672000000000001</v>
      </c>
      <c r="U787" s="8">
        <v>12.263</v>
      </c>
      <c r="V787" s="8">
        <v>9.0419999999999998</v>
      </c>
      <c r="W787" s="8">
        <v>5.9950000000000001</v>
      </c>
      <c r="X787" s="8">
        <v>2.915</v>
      </c>
      <c r="Y787" s="8">
        <v>1.1459999999999999</v>
      </c>
      <c r="Z787" s="8">
        <v>0.27600000000000002</v>
      </c>
      <c r="AA787" s="8">
        <v>3.2000000000000001E-2</v>
      </c>
      <c r="AB787" s="8">
        <v>2E-3</v>
      </c>
      <c r="AC787" s="8">
        <v>0</v>
      </c>
    </row>
    <row r="788" spans="1:29" ht="11.65" x14ac:dyDescent="0.35">
      <c r="A788" s="12">
        <v>771</v>
      </c>
      <c r="B788" s="10" t="s">
        <v>1015</v>
      </c>
      <c r="C788" s="11" t="s">
        <v>586</v>
      </c>
      <c r="D788" s="9"/>
      <c r="E788" s="9">
        <v>178</v>
      </c>
      <c r="F788" s="10" t="s">
        <v>1066</v>
      </c>
      <c r="G788" s="9">
        <v>911</v>
      </c>
      <c r="H788" s="9">
        <v>1975</v>
      </c>
      <c r="I788" s="8">
        <v>141.761</v>
      </c>
      <c r="J788" s="8">
        <v>114.84399999999999</v>
      </c>
      <c r="K788" s="8">
        <v>94.141999999999996</v>
      </c>
      <c r="L788" s="8">
        <v>77.462999999999994</v>
      </c>
      <c r="M788" s="8">
        <v>64.176000000000002</v>
      </c>
      <c r="N788" s="8">
        <v>51.734000000000002</v>
      </c>
      <c r="O788" s="8">
        <v>43.445999999999998</v>
      </c>
      <c r="P788" s="8">
        <v>36.912999999999997</v>
      </c>
      <c r="Q788" s="8">
        <v>31.042000000000002</v>
      </c>
      <c r="R788" s="8">
        <v>25.905000000000001</v>
      </c>
      <c r="S788" s="8">
        <v>21.353999999999999</v>
      </c>
      <c r="T788" s="8">
        <v>17.178999999999998</v>
      </c>
      <c r="U788" s="8">
        <v>13.336</v>
      </c>
      <c r="V788" s="8">
        <v>9.7360000000000007</v>
      </c>
      <c r="W788" s="8">
        <v>6.4039999999999999</v>
      </c>
      <c r="X788" s="8">
        <v>3.5190000000000001</v>
      </c>
      <c r="Y788" s="8">
        <v>1.254</v>
      </c>
      <c r="Z788" s="8">
        <v>0.29699999999999999</v>
      </c>
      <c r="AA788" s="8">
        <v>3.3000000000000002E-2</v>
      </c>
      <c r="AB788" s="8">
        <v>2E-3</v>
      </c>
      <c r="AC788" s="8">
        <v>0</v>
      </c>
    </row>
    <row r="789" spans="1:29" ht="11.65" x14ac:dyDescent="0.35">
      <c r="A789" s="12">
        <v>772</v>
      </c>
      <c r="B789" s="10" t="s">
        <v>1015</v>
      </c>
      <c r="C789" s="11" t="s">
        <v>586</v>
      </c>
      <c r="D789" s="9"/>
      <c r="E789" s="9">
        <v>178</v>
      </c>
      <c r="F789" s="10" t="s">
        <v>1066</v>
      </c>
      <c r="G789" s="9">
        <v>911</v>
      </c>
      <c r="H789" s="9">
        <v>1980</v>
      </c>
      <c r="I789" s="8">
        <v>163.80500000000001</v>
      </c>
      <c r="J789" s="8">
        <v>136.02799999999999</v>
      </c>
      <c r="K789" s="8">
        <v>112.462</v>
      </c>
      <c r="L789" s="8">
        <v>92.236999999999995</v>
      </c>
      <c r="M789" s="8">
        <v>74.879000000000005</v>
      </c>
      <c r="N789" s="8">
        <v>61.280999999999999</v>
      </c>
      <c r="O789" s="8">
        <v>49.045999999999999</v>
      </c>
      <c r="P789" s="8">
        <v>40.859000000000002</v>
      </c>
      <c r="Q789" s="8">
        <v>34.378</v>
      </c>
      <c r="R789" s="8">
        <v>28.594000000000001</v>
      </c>
      <c r="S789" s="8">
        <v>23.463000000000001</v>
      </c>
      <c r="T789" s="8">
        <v>18.878</v>
      </c>
      <c r="U789" s="8">
        <v>14.606999999999999</v>
      </c>
      <c r="V789" s="8">
        <v>10.582000000000001</v>
      </c>
      <c r="W789" s="8">
        <v>6.8890000000000002</v>
      </c>
      <c r="X789" s="8">
        <v>3.75</v>
      </c>
      <c r="Y789" s="8">
        <v>1.5</v>
      </c>
      <c r="Z789" s="8">
        <v>0.31900000000000001</v>
      </c>
      <c r="AA789" s="8">
        <v>3.4000000000000002E-2</v>
      </c>
      <c r="AB789" s="8">
        <v>2E-3</v>
      </c>
      <c r="AC789" s="8">
        <v>0</v>
      </c>
    </row>
    <row r="790" spans="1:29" ht="11.65" x14ac:dyDescent="0.35">
      <c r="A790" s="12">
        <v>773</v>
      </c>
      <c r="B790" s="10" t="s">
        <v>1015</v>
      </c>
      <c r="C790" s="11" t="s">
        <v>586</v>
      </c>
      <c r="D790" s="9"/>
      <c r="E790" s="9">
        <v>178</v>
      </c>
      <c r="F790" s="10" t="s">
        <v>1066</v>
      </c>
      <c r="G790" s="9">
        <v>911</v>
      </c>
      <c r="H790" s="9">
        <v>1985</v>
      </c>
      <c r="I790" s="8">
        <v>179.95</v>
      </c>
      <c r="J790" s="8">
        <v>158.28899999999999</v>
      </c>
      <c r="K790" s="8">
        <v>133.58199999999999</v>
      </c>
      <c r="L790" s="8">
        <v>110.678</v>
      </c>
      <c r="M790" s="8">
        <v>90.103999999999999</v>
      </c>
      <c r="N790" s="8">
        <v>72.614000000000004</v>
      </c>
      <c r="O790" s="8">
        <v>59.052</v>
      </c>
      <c r="P790" s="8">
        <v>46.802</v>
      </c>
      <c r="Q790" s="8">
        <v>38.517000000000003</v>
      </c>
      <c r="R790" s="8">
        <v>31.986999999999998</v>
      </c>
      <c r="S790" s="8">
        <v>26.114000000000001</v>
      </c>
      <c r="T790" s="8">
        <v>20.888000000000002</v>
      </c>
      <c r="U790" s="8">
        <v>16.148</v>
      </c>
      <c r="V790" s="8">
        <v>11.65</v>
      </c>
      <c r="W790" s="8">
        <v>7.524</v>
      </c>
      <c r="X790" s="8">
        <v>4.0510000000000002</v>
      </c>
      <c r="Y790" s="8">
        <v>1.6060000000000001</v>
      </c>
      <c r="Z790" s="8">
        <v>0.38</v>
      </c>
      <c r="AA790" s="8">
        <v>3.6999999999999998E-2</v>
      </c>
      <c r="AB790" s="8">
        <v>2E-3</v>
      </c>
      <c r="AC790" s="8">
        <v>0</v>
      </c>
    </row>
    <row r="791" spans="1:29" ht="11.65" x14ac:dyDescent="0.35">
      <c r="A791" s="12">
        <v>774</v>
      </c>
      <c r="B791" s="10" t="s">
        <v>1015</v>
      </c>
      <c r="C791" s="11" t="s">
        <v>586</v>
      </c>
      <c r="D791" s="9"/>
      <c r="E791" s="9">
        <v>178</v>
      </c>
      <c r="F791" s="10" t="s">
        <v>1066</v>
      </c>
      <c r="G791" s="9">
        <v>911</v>
      </c>
      <c r="H791" s="9">
        <v>1990</v>
      </c>
      <c r="I791" s="8">
        <v>199.083</v>
      </c>
      <c r="J791" s="8">
        <v>174.583</v>
      </c>
      <c r="K791" s="8">
        <v>155.56</v>
      </c>
      <c r="L791" s="8">
        <v>131.52000000000001</v>
      </c>
      <c r="M791" s="8">
        <v>108.158</v>
      </c>
      <c r="N791" s="8">
        <v>87.316999999999993</v>
      </c>
      <c r="O791" s="8">
        <v>69.804000000000002</v>
      </c>
      <c r="P791" s="8">
        <v>56.103999999999999</v>
      </c>
      <c r="Q791" s="8">
        <v>43.853999999999999</v>
      </c>
      <c r="R791" s="8">
        <v>35.593000000000004</v>
      </c>
      <c r="S791" s="8">
        <v>28.998000000000001</v>
      </c>
      <c r="T791" s="8">
        <v>23.071000000000002</v>
      </c>
      <c r="U791" s="8">
        <v>17.713999999999999</v>
      </c>
      <c r="V791" s="8">
        <v>12.754</v>
      </c>
      <c r="W791" s="8">
        <v>8.1850000000000005</v>
      </c>
      <c r="X791" s="8">
        <v>4.3600000000000003</v>
      </c>
      <c r="Y791" s="8">
        <v>1.702</v>
      </c>
      <c r="Z791" s="8">
        <v>0.39600000000000002</v>
      </c>
      <c r="AA791" s="8">
        <v>4.1000000000000002E-2</v>
      </c>
      <c r="AB791" s="8">
        <v>2E-3</v>
      </c>
      <c r="AC791" s="8">
        <v>0</v>
      </c>
    </row>
    <row r="792" spans="1:29" ht="11.65" x14ac:dyDescent="0.35">
      <c r="A792" s="12">
        <v>775</v>
      </c>
      <c r="B792" s="10" t="s">
        <v>1015</v>
      </c>
      <c r="C792" s="11" t="s">
        <v>586</v>
      </c>
      <c r="D792" s="9"/>
      <c r="E792" s="9">
        <v>178</v>
      </c>
      <c r="F792" s="10" t="s">
        <v>1066</v>
      </c>
      <c r="G792" s="9">
        <v>911</v>
      </c>
      <c r="H792" s="9">
        <v>1995</v>
      </c>
      <c r="I792" s="8">
        <v>223.501</v>
      </c>
      <c r="J792" s="8">
        <v>193.059</v>
      </c>
      <c r="K792" s="8">
        <v>171.68299999999999</v>
      </c>
      <c r="L792" s="8">
        <v>153.523</v>
      </c>
      <c r="M792" s="8">
        <v>129.94</v>
      </c>
      <c r="N792" s="8">
        <v>106.851</v>
      </c>
      <c r="O792" s="8">
        <v>85.66</v>
      </c>
      <c r="P792" s="8">
        <v>67.382999999999996</v>
      </c>
      <c r="Q792" s="8">
        <v>52.865000000000002</v>
      </c>
      <c r="R792" s="8">
        <v>40.482999999999997</v>
      </c>
      <c r="S792" s="8">
        <v>32.194000000000003</v>
      </c>
      <c r="T792" s="8">
        <v>25.541</v>
      </c>
      <c r="U792" s="8">
        <v>19.495000000000001</v>
      </c>
      <c r="V792" s="8">
        <v>13.949</v>
      </c>
      <c r="W792" s="8">
        <v>8.9450000000000003</v>
      </c>
      <c r="X792" s="8">
        <v>4.7519999999999998</v>
      </c>
      <c r="Y792" s="8">
        <v>1.8540000000000001</v>
      </c>
      <c r="Z792" s="8">
        <v>0.42499999999999999</v>
      </c>
      <c r="AA792" s="8">
        <v>4.2999999999999997E-2</v>
      </c>
      <c r="AB792" s="8">
        <v>2E-3</v>
      </c>
      <c r="AC792" s="8">
        <v>0</v>
      </c>
    </row>
    <row r="793" spans="1:29" ht="11.65" x14ac:dyDescent="0.35">
      <c r="A793" s="12">
        <v>776</v>
      </c>
      <c r="B793" s="10" t="s">
        <v>1015</v>
      </c>
      <c r="C793" s="11" t="s">
        <v>586</v>
      </c>
      <c r="D793" s="9"/>
      <c r="E793" s="9">
        <v>178</v>
      </c>
      <c r="F793" s="10" t="s">
        <v>1066</v>
      </c>
      <c r="G793" s="9">
        <v>911</v>
      </c>
      <c r="H793" s="9">
        <v>2000</v>
      </c>
      <c r="I793" s="8">
        <v>257.42399999999998</v>
      </c>
      <c r="J793" s="8">
        <v>216.06299999999999</v>
      </c>
      <c r="K793" s="8">
        <v>190.07</v>
      </c>
      <c r="L793" s="8">
        <v>170.047</v>
      </c>
      <c r="M793" s="8">
        <v>153.42699999999999</v>
      </c>
      <c r="N793" s="8">
        <v>130.73500000000001</v>
      </c>
      <c r="O793" s="8">
        <v>106.887</v>
      </c>
      <c r="P793" s="8">
        <v>84.176000000000002</v>
      </c>
      <c r="Q793" s="8">
        <v>64.323999999999998</v>
      </c>
      <c r="R793" s="8">
        <v>49.250999999999998</v>
      </c>
      <c r="S793" s="8">
        <v>36.972000000000001</v>
      </c>
      <c r="T793" s="8">
        <v>28.638999999999999</v>
      </c>
      <c r="U793" s="8">
        <v>21.817</v>
      </c>
      <c r="V793" s="8">
        <v>15.555999999999999</v>
      </c>
      <c r="W793" s="8">
        <v>9.9589999999999996</v>
      </c>
      <c r="X793" s="8">
        <v>5.3289999999999997</v>
      </c>
      <c r="Y793" s="8">
        <v>2.109</v>
      </c>
      <c r="Z793" s="8">
        <v>0.49</v>
      </c>
      <c r="AA793" s="8">
        <v>5.1999999999999998E-2</v>
      </c>
      <c r="AB793" s="8">
        <v>2E-3</v>
      </c>
      <c r="AC793" s="8">
        <v>0</v>
      </c>
    </row>
    <row r="794" spans="1:29" ht="11.65" x14ac:dyDescent="0.35">
      <c r="A794" s="12">
        <v>777</v>
      </c>
      <c r="B794" s="10" t="s">
        <v>1015</v>
      </c>
      <c r="C794" s="11" t="s">
        <v>586</v>
      </c>
      <c r="D794" s="9"/>
      <c r="E794" s="9">
        <v>178</v>
      </c>
      <c r="F794" s="10" t="s">
        <v>1066</v>
      </c>
      <c r="G794" s="9">
        <v>911</v>
      </c>
      <c r="H794" s="9">
        <v>2005</v>
      </c>
      <c r="I794" s="8">
        <v>299.892</v>
      </c>
      <c r="J794" s="8">
        <v>249.78399999999999</v>
      </c>
      <c r="K794" s="8">
        <v>213.28700000000001</v>
      </c>
      <c r="L794" s="8">
        <v>188.58699999999999</v>
      </c>
      <c r="M794" s="8">
        <v>170.58699999999999</v>
      </c>
      <c r="N794" s="8">
        <v>155.292</v>
      </c>
      <c r="O794" s="8">
        <v>131.20099999999999</v>
      </c>
      <c r="P794" s="8">
        <v>105.104</v>
      </c>
      <c r="Q794" s="8">
        <v>80.792000000000002</v>
      </c>
      <c r="R794" s="8">
        <v>60.246000000000002</v>
      </c>
      <c r="S794" s="8">
        <v>45.081000000000003</v>
      </c>
      <c r="T794" s="8">
        <v>33.058999999999997</v>
      </c>
      <c r="U794" s="8">
        <v>24.666</v>
      </c>
      <c r="V794" s="8">
        <v>17.614999999999998</v>
      </c>
      <c r="W794" s="8">
        <v>11.289</v>
      </c>
      <c r="X794" s="8">
        <v>6.06</v>
      </c>
      <c r="Y794" s="8">
        <v>2.4180000000000001</v>
      </c>
      <c r="Z794" s="8">
        <v>0.57999999999999996</v>
      </c>
      <c r="AA794" s="8">
        <v>6.2E-2</v>
      </c>
      <c r="AB794" s="8">
        <v>3.0000000000000001E-3</v>
      </c>
      <c r="AC794" s="8">
        <v>0</v>
      </c>
    </row>
    <row r="795" spans="1:29" ht="11.65" x14ac:dyDescent="0.35">
      <c r="A795" s="12">
        <v>778</v>
      </c>
      <c r="B795" s="10" t="s">
        <v>1015</v>
      </c>
      <c r="C795" s="11" t="s">
        <v>586</v>
      </c>
      <c r="D795" s="9"/>
      <c r="E795" s="9">
        <v>178</v>
      </c>
      <c r="F795" s="10" t="s">
        <v>1066</v>
      </c>
      <c r="G795" s="9">
        <v>911</v>
      </c>
      <c r="H795" s="9">
        <v>2010</v>
      </c>
      <c r="I795" s="8">
        <v>354.505</v>
      </c>
      <c r="J795" s="8">
        <v>293.96699999999998</v>
      </c>
      <c r="K795" s="8">
        <v>247.26300000000001</v>
      </c>
      <c r="L795" s="8">
        <v>211.98500000000001</v>
      </c>
      <c r="M795" s="8">
        <v>191.48500000000001</v>
      </c>
      <c r="N795" s="8">
        <v>177.03</v>
      </c>
      <c r="O795" s="8">
        <v>160.20699999999999</v>
      </c>
      <c r="P795" s="8">
        <v>133.797</v>
      </c>
      <c r="Q795" s="8">
        <v>105.783</v>
      </c>
      <c r="R795" s="8">
        <v>79.128</v>
      </c>
      <c r="S795" s="8">
        <v>56.715000000000003</v>
      </c>
      <c r="T795" s="8">
        <v>41.226999999999997</v>
      </c>
      <c r="U795" s="8">
        <v>29.155000000000001</v>
      </c>
      <c r="V795" s="8">
        <v>20.407</v>
      </c>
      <c r="W795" s="8">
        <v>13.122</v>
      </c>
      <c r="X795" s="8">
        <v>7.0579999999999998</v>
      </c>
      <c r="Y795" s="8">
        <v>2.819</v>
      </c>
      <c r="Z795" s="8">
        <v>0.68</v>
      </c>
      <c r="AA795" s="8">
        <v>7.3999999999999996E-2</v>
      </c>
      <c r="AB795" s="8">
        <v>3.0000000000000001E-3</v>
      </c>
      <c r="AC795" s="8">
        <v>0</v>
      </c>
    </row>
    <row r="796" spans="1:29" ht="11.65" x14ac:dyDescent="0.35">
      <c r="A796" s="12">
        <v>779</v>
      </c>
      <c r="B796" s="10" t="s">
        <v>1015</v>
      </c>
      <c r="C796" s="11" t="s">
        <v>586</v>
      </c>
      <c r="D796" s="9"/>
      <c r="E796" s="9">
        <v>178</v>
      </c>
      <c r="F796" s="10" t="s">
        <v>1066</v>
      </c>
      <c r="G796" s="9">
        <v>911</v>
      </c>
      <c r="H796" s="9">
        <v>2015</v>
      </c>
      <c r="I796" s="8">
        <v>393.65100000000001</v>
      </c>
      <c r="J796" s="8">
        <v>347.411</v>
      </c>
      <c r="K796" s="8">
        <v>290.58</v>
      </c>
      <c r="L796" s="8">
        <v>243.136</v>
      </c>
      <c r="M796" s="8">
        <v>204.48099999999999</v>
      </c>
      <c r="N796" s="8">
        <v>182.31100000000001</v>
      </c>
      <c r="O796" s="8">
        <v>168.32900000000001</v>
      </c>
      <c r="P796" s="8">
        <v>152.32900000000001</v>
      </c>
      <c r="Q796" s="8">
        <v>126.80200000000001</v>
      </c>
      <c r="R796" s="8">
        <v>99.623999999999995</v>
      </c>
      <c r="S796" s="8">
        <v>73.542000000000002</v>
      </c>
      <c r="T796" s="8">
        <v>51.664000000000001</v>
      </c>
      <c r="U796" s="8">
        <v>36.369999999999997</v>
      </c>
      <c r="V796" s="8">
        <v>24.254000000000001</v>
      </c>
      <c r="W796" s="8">
        <v>15.4</v>
      </c>
      <c r="X796" s="8">
        <v>8.3819999999999997</v>
      </c>
      <c r="Y796" s="8">
        <v>3.3650000000000002</v>
      </c>
      <c r="Z796" s="8">
        <v>0.84</v>
      </c>
      <c r="AA796" s="8">
        <v>9.6000000000000002E-2</v>
      </c>
      <c r="AB796" s="8">
        <v>4.0000000000000001E-3</v>
      </c>
      <c r="AC796" s="8">
        <v>0</v>
      </c>
    </row>
    <row r="797" spans="1:29" ht="11.65" x14ac:dyDescent="0.35">
      <c r="A797" s="12">
        <v>780</v>
      </c>
      <c r="B797" s="10" t="s">
        <v>1015</v>
      </c>
      <c r="C797" s="11" t="s">
        <v>586</v>
      </c>
      <c r="D797" s="9"/>
      <c r="E797" s="9">
        <v>178</v>
      </c>
      <c r="F797" s="10" t="s">
        <v>1066</v>
      </c>
      <c r="G797" s="9">
        <v>911</v>
      </c>
      <c r="H797" s="9">
        <v>2020</v>
      </c>
      <c r="I797" s="8">
        <v>415.38200000000001</v>
      </c>
      <c r="J797" s="8">
        <v>388.64299999999997</v>
      </c>
      <c r="K797" s="8">
        <v>344.99</v>
      </c>
      <c r="L797" s="8">
        <v>287.95999999999998</v>
      </c>
      <c r="M797" s="8">
        <v>238.869</v>
      </c>
      <c r="N797" s="8">
        <v>199.44900000000001</v>
      </c>
      <c r="O797" s="8">
        <v>177.197</v>
      </c>
      <c r="P797" s="8">
        <v>162.94</v>
      </c>
      <c r="Q797" s="8">
        <v>146.59700000000001</v>
      </c>
      <c r="R797" s="8">
        <v>121.075</v>
      </c>
      <c r="S797" s="8">
        <v>93.823999999999998</v>
      </c>
      <c r="T797" s="8">
        <v>67.912000000000006</v>
      </c>
      <c r="U797" s="8">
        <v>46.26</v>
      </c>
      <c r="V797" s="8">
        <v>30.837</v>
      </c>
      <c r="W797" s="8">
        <v>18.814</v>
      </c>
      <c r="X797" s="8">
        <v>10.294</v>
      </c>
      <c r="Y797" s="8">
        <v>4.3419999999999996</v>
      </c>
      <c r="Z797" s="8">
        <v>1.143</v>
      </c>
      <c r="AA797" s="8">
        <v>0.14399999999999999</v>
      </c>
      <c r="AB797" s="8">
        <v>6.0000000000000001E-3</v>
      </c>
      <c r="AC797" s="8">
        <v>0</v>
      </c>
    </row>
    <row r="798" spans="1:29" ht="11.65" x14ac:dyDescent="0.35">
      <c r="A798" s="12">
        <v>781</v>
      </c>
      <c r="B798" s="10" t="s">
        <v>1015</v>
      </c>
      <c r="C798" s="11" t="s">
        <v>1081</v>
      </c>
      <c r="D798" s="9"/>
      <c r="E798" s="9">
        <v>180</v>
      </c>
      <c r="F798" s="10" t="s">
        <v>1066</v>
      </c>
      <c r="G798" s="9">
        <v>911</v>
      </c>
      <c r="H798" s="9">
        <v>1950</v>
      </c>
      <c r="I798" s="8">
        <v>1070.8330000000001</v>
      </c>
      <c r="J798" s="8">
        <v>832.15800000000002</v>
      </c>
      <c r="K798" s="8">
        <v>696.077</v>
      </c>
      <c r="L798" s="8">
        <v>590.25699999999995</v>
      </c>
      <c r="M798" s="8">
        <v>497.02100000000002</v>
      </c>
      <c r="N798" s="8">
        <v>413.11099999999999</v>
      </c>
      <c r="O798" s="8">
        <v>345.423</v>
      </c>
      <c r="P798" s="8">
        <v>286.29199999999997</v>
      </c>
      <c r="Q798" s="8">
        <v>235.227</v>
      </c>
      <c r="R798" s="8">
        <v>189.25899999999999</v>
      </c>
      <c r="S798" s="8">
        <v>153.673</v>
      </c>
      <c r="T798" s="8">
        <v>123.20399999999999</v>
      </c>
      <c r="U798" s="8">
        <v>89.257999999999996</v>
      </c>
      <c r="V798" s="8">
        <v>65.777000000000001</v>
      </c>
      <c r="W798" s="8">
        <v>49.094000000000001</v>
      </c>
      <c r="X798" s="8">
        <v>35.055</v>
      </c>
      <c r="Y798" s="8">
        <v>26.21</v>
      </c>
      <c r="Z798" s="8">
        <v>7.7270000000000003</v>
      </c>
      <c r="AA798" s="8">
        <v>1.3140000000000001</v>
      </c>
      <c r="AB798" s="8">
        <v>0.11600000000000001</v>
      </c>
      <c r="AC798" s="8">
        <v>5.0000000000000001E-3</v>
      </c>
    </row>
    <row r="799" spans="1:29" ht="11.65" x14ac:dyDescent="0.35">
      <c r="A799" s="12">
        <v>782</v>
      </c>
      <c r="B799" s="10" t="s">
        <v>1015</v>
      </c>
      <c r="C799" s="11" t="s">
        <v>1081</v>
      </c>
      <c r="D799" s="9"/>
      <c r="E799" s="9">
        <v>180</v>
      </c>
      <c r="F799" s="10" t="s">
        <v>1066</v>
      </c>
      <c r="G799" s="9">
        <v>911</v>
      </c>
      <c r="H799" s="9">
        <v>1955</v>
      </c>
      <c r="I799" s="8">
        <v>1168.6379999999999</v>
      </c>
      <c r="J799" s="8">
        <v>941.00400000000002</v>
      </c>
      <c r="K799" s="8">
        <v>798.32100000000003</v>
      </c>
      <c r="L799" s="8">
        <v>674.798</v>
      </c>
      <c r="M799" s="8">
        <v>566.327</v>
      </c>
      <c r="N799" s="8">
        <v>472.42700000000002</v>
      </c>
      <c r="O799" s="8">
        <v>391.69099999999997</v>
      </c>
      <c r="P799" s="8">
        <v>325.786</v>
      </c>
      <c r="Q799" s="8">
        <v>267.25099999999998</v>
      </c>
      <c r="R799" s="8">
        <v>216.50299999999999</v>
      </c>
      <c r="S799" s="8">
        <v>170.96700000000001</v>
      </c>
      <c r="T799" s="8">
        <v>134.93299999999999</v>
      </c>
      <c r="U799" s="8">
        <v>103.374</v>
      </c>
      <c r="V799" s="8">
        <v>69.611999999999995</v>
      </c>
      <c r="W799" s="8">
        <v>45.311999999999998</v>
      </c>
      <c r="X799" s="8">
        <v>27.763999999999999</v>
      </c>
      <c r="Y799" s="8">
        <v>14.795999999999999</v>
      </c>
      <c r="Z799" s="8">
        <v>7.2060000000000004</v>
      </c>
      <c r="AA799" s="8">
        <v>1.216</v>
      </c>
      <c r="AB799" s="8">
        <v>0.11</v>
      </c>
      <c r="AC799" s="8">
        <v>6.0000000000000001E-3</v>
      </c>
    </row>
    <row r="800" spans="1:29" ht="11.65" x14ac:dyDescent="0.35">
      <c r="A800" s="12">
        <v>783</v>
      </c>
      <c r="B800" s="10" t="s">
        <v>1015</v>
      </c>
      <c r="C800" s="11" t="s">
        <v>1081</v>
      </c>
      <c r="D800" s="9"/>
      <c r="E800" s="9">
        <v>180</v>
      </c>
      <c r="F800" s="10" t="s">
        <v>1066</v>
      </c>
      <c r="G800" s="9">
        <v>911</v>
      </c>
      <c r="H800" s="9">
        <v>1960</v>
      </c>
      <c r="I800" s="8">
        <v>1340.3</v>
      </c>
      <c r="J800" s="8">
        <v>1041.375</v>
      </c>
      <c r="K800" s="8">
        <v>909.73199999999997</v>
      </c>
      <c r="L800" s="8">
        <v>779.28300000000002</v>
      </c>
      <c r="M800" s="8">
        <v>652.18899999999996</v>
      </c>
      <c r="N800" s="8">
        <v>542.51300000000003</v>
      </c>
      <c r="O800" s="8">
        <v>451.49299999999999</v>
      </c>
      <c r="P800" s="8">
        <v>372.483</v>
      </c>
      <c r="Q800" s="8">
        <v>306.80399999999997</v>
      </c>
      <c r="R800" s="8">
        <v>248.328</v>
      </c>
      <c r="S800" s="8">
        <v>197.57400000000001</v>
      </c>
      <c r="T800" s="8">
        <v>151.815</v>
      </c>
      <c r="U800" s="8">
        <v>114.694</v>
      </c>
      <c r="V800" s="8">
        <v>81.861999999999995</v>
      </c>
      <c r="W800" s="8">
        <v>48.932000000000002</v>
      </c>
      <c r="X800" s="8">
        <v>26.346</v>
      </c>
      <c r="Y800" s="8">
        <v>12.167</v>
      </c>
      <c r="Z800" s="8">
        <v>4.28</v>
      </c>
      <c r="AA800" s="8">
        <v>1.206</v>
      </c>
      <c r="AB800" s="8">
        <v>0.107</v>
      </c>
      <c r="AC800" s="8">
        <v>6.0000000000000001E-3</v>
      </c>
    </row>
    <row r="801" spans="1:29" ht="11.65" x14ac:dyDescent="0.35">
      <c r="A801" s="12">
        <v>784</v>
      </c>
      <c r="B801" s="10" t="s">
        <v>1015</v>
      </c>
      <c r="C801" s="11" t="s">
        <v>1081</v>
      </c>
      <c r="D801" s="9"/>
      <c r="E801" s="9">
        <v>180</v>
      </c>
      <c r="F801" s="10" t="s">
        <v>1066</v>
      </c>
      <c r="G801" s="9">
        <v>911</v>
      </c>
      <c r="H801" s="9">
        <v>1965</v>
      </c>
      <c r="I801" s="8">
        <v>1551.8710000000001</v>
      </c>
      <c r="J801" s="8">
        <v>1204.2429999999999</v>
      </c>
      <c r="K801" s="8">
        <v>1010.982</v>
      </c>
      <c r="L801" s="8">
        <v>891.11099999999999</v>
      </c>
      <c r="M801" s="8">
        <v>755.98699999999997</v>
      </c>
      <c r="N801" s="8">
        <v>627.33199999999999</v>
      </c>
      <c r="O801" s="8">
        <v>520.66</v>
      </c>
      <c r="P801" s="8">
        <v>431.24099999999999</v>
      </c>
      <c r="Q801" s="8">
        <v>352.47899999999998</v>
      </c>
      <c r="R801" s="8">
        <v>286.59300000000002</v>
      </c>
      <c r="S801" s="8">
        <v>227.934</v>
      </c>
      <c r="T801" s="8">
        <v>176.58099999999999</v>
      </c>
      <c r="U801" s="8">
        <v>130.05199999999999</v>
      </c>
      <c r="V801" s="8">
        <v>91.694999999999993</v>
      </c>
      <c r="W801" s="8">
        <v>58.268000000000001</v>
      </c>
      <c r="X801" s="8">
        <v>28.966999999999999</v>
      </c>
      <c r="Y801" s="8">
        <v>11.836</v>
      </c>
      <c r="Z801" s="8">
        <v>3.6379999999999999</v>
      </c>
      <c r="AA801" s="8">
        <v>0.747</v>
      </c>
      <c r="AB801" s="8">
        <v>0.111</v>
      </c>
      <c r="AC801" s="8">
        <v>6.0000000000000001E-3</v>
      </c>
    </row>
    <row r="802" spans="1:29" ht="11.65" x14ac:dyDescent="0.35">
      <c r="A802" s="12">
        <v>785</v>
      </c>
      <c r="B802" s="10" t="s">
        <v>1015</v>
      </c>
      <c r="C802" s="11" t="s">
        <v>1081</v>
      </c>
      <c r="D802" s="9"/>
      <c r="E802" s="9">
        <v>180</v>
      </c>
      <c r="F802" s="10" t="s">
        <v>1066</v>
      </c>
      <c r="G802" s="9">
        <v>911</v>
      </c>
      <c r="H802" s="9">
        <v>1970</v>
      </c>
      <c r="I802" s="8">
        <v>1805.9459999999999</v>
      </c>
      <c r="J802" s="8">
        <v>1412.1759999999999</v>
      </c>
      <c r="K802" s="8">
        <v>1178.0319999999999</v>
      </c>
      <c r="L802" s="8">
        <v>997.36400000000003</v>
      </c>
      <c r="M802" s="8">
        <v>870.69299999999998</v>
      </c>
      <c r="N802" s="8">
        <v>732.73900000000003</v>
      </c>
      <c r="O802" s="8">
        <v>606.77800000000002</v>
      </c>
      <c r="P802" s="8">
        <v>501.33300000000003</v>
      </c>
      <c r="Q802" s="8">
        <v>411.56599999999997</v>
      </c>
      <c r="R802" s="8">
        <v>332.28899999999999</v>
      </c>
      <c r="S802" s="8">
        <v>265.61</v>
      </c>
      <c r="T802" s="8">
        <v>205.88200000000001</v>
      </c>
      <c r="U802" s="8">
        <v>153.083</v>
      </c>
      <c r="V802" s="8">
        <v>105.449</v>
      </c>
      <c r="W802" s="8">
        <v>66.450999999999993</v>
      </c>
      <c r="X802" s="8">
        <v>35.311999999999998</v>
      </c>
      <c r="Y802" s="8">
        <v>13.435</v>
      </c>
      <c r="Z802" s="8">
        <v>3.6890000000000001</v>
      </c>
      <c r="AA802" s="8">
        <v>0.66800000000000004</v>
      </c>
      <c r="AB802" s="8">
        <v>7.2999999999999995E-2</v>
      </c>
      <c r="AC802" s="8">
        <v>7.0000000000000001E-3</v>
      </c>
    </row>
    <row r="803" spans="1:29" ht="11.65" x14ac:dyDescent="0.35">
      <c r="A803" s="12">
        <v>786</v>
      </c>
      <c r="B803" s="10" t="s">
        <v>1015</v>
      </c>
      <c r="C803" s="11" t="s">
        <v>1081</v>
      </c>
      <c r="D803" s="9"/>
      <c r="E803" s="9">
        <v>180</v>
      </c>
      <c r="F803" s="10" t="s">
        <v>1066</v>
      </c>
      <c r="G803" s="9">
        <v>911</v>
      </c>
      <c r="H803" s="9">
        <v>1975</v>
      </c>
      <c r="I803" s="8">
        <v>2077.2910000000002</v>
      </c>
      <c r="J803" s="8">
        <v>1638.74</v>
      </c>
      <c r="K803" s="8">
        <v>1368.875</v>
      </c>
      <c r="L803" s="8">
        <v>1150.4749999999999</v>
      </c>
      <c r="M803" s="8">
        <v>965.31299999999999</v>
      </c>
      <c r="N803" s="8">
        <v>836.30399999999997</v>
      </c>
      <c r="O803" s="8">
        <v>702.40200000000004</v>
      </c>
      <c r="P803" s="8">
        <v>579.23</v>
      </c>
      <c r="Q803" s="8">
        <v>474.64600000000002</v>
      </c>
      <c r="R803" s="8">
        <v>385.18099999999998</v>
      </c>
      <c r="S803" s="8">
        <v>305.97000000000003</v>
      </c>
      <c r="T803" s="8">
        <v>238.64599999999999</v>
      </c>
      <c r="U803" s="8">
        <v>177.89099999999999</v>
      </c>
      <c r="V803" s="8">
        <v>124.008</v>
      </c>
      <c r="W803" s="8">
        <v>76.722999999999999</v>
      </c>
      <c r="X803" s="8">
        <v>40.747999999999998</v>
      </c>
      <c r="Y803" s="8">
        <v>16.725999999999999</v>
      </c>
      <c r="Z803" s="8">
        <v>4.3319999999999999</v>
      </c>
      <c r="AA803" s="8">
        <v>0.71</v>
      </c>
      <c r="AB803" s="8">
        <v>6.9000000000000006E-2</v>
      </c>
      <c r="AC803" s="8">
        <v>5.0000000000000001E-3</v>
      </c>
    </row>
    <row r="804" spans="1:29" ht="11.65" x14ac:dyDescent="0.35">
      <c r="A804" s="12">
        <v>787</v>
      </c>
      <c r="B804" s="10" t="s">
        <v>1015</v>
      </c>
      <c r="C804" s="11" t="s">
        <v>1081</v>
      </c>
      <c r="D804" s="9"/>
      <c r="E804" s="9">
        <v>180</v>
      </c>
      <c r="F804" s="10" t="s">
        <v>1066</v>
      </c>
      <c r="G804" s="9">
        <v>911</v>
      </c>
      <c r="H804" s="9">
        <v>1980</v>
      </c>
      <c r="I804" s="8">
        <v>2400.0790000000002</v>
      </c>
      <c r="J804" s="8">
        <v>1898.0909999999999</v>
      </c>
      <c r="K804" s="8">
        <v>1594.9449999999999</v>
      </c>
      <c r="L804" s="8">
        <v>1341.7159999999999</v>
      </c>
      <c r="M804" s="8">
        <v>1117.7570000000001</v>
      </c>
      <c r="N804" s="8">
        <v>930.995</v>
      </c>
      <c r="O804" s="8">
        <v>804.96</v>
      </c>
      <c r="P804" s="8">
        <v>673.36</v>
      </c>
      <c r="Q804" s="8">
        <v>550.88900000000001</v>
      </c>
      <c r="R804" s="8">
        <v>446.41800000000001</v>
      </c>
      <c r="S804" s="8">
        <v>356.55599999999998</v>
      </c>
      <c r="T804" s="8">
        <v>276.53899999999999</v>
      </c>
      <c r="U804" s="8">
        <v>207.62</v>
      </c>
      <c r="V804" s="8">
        <v>145.26400000000001</v>
      </c>
      <c r="W804" s="8">
        <v>91.150999999999996</v>
      </c>
      <c r="X804" s="8">
        <v>47.698999999999998</v>
      </c>
      <c r="Y804" s="8">
        <v>19.655999999999999</v>
      </c>
      <c r="Z804" s="8">
        <v>5.524</v>
      </c>
      <c r="AA804" s="8">
        <v>0.85899999999999999</v>
      </c>
      <c r="AB804" s="8">
        <v>7.5999999999999998E-2</v>
      </c>
      <c r="AC804" s="8">
        <v>4.0000000000000001E-3</v>
      </c>
    </row>
    <row r="805" spans="1:29" ht="11.65" x14ac:dyDescent="0.35">
      <c r="A805" s="12">
        <v>788</v>
      </c>
      <c r="B805" s="10" t="s">
        <v>1015</v>
      </c>
      <c r="C805" s="11" t="s">
        <v>1081</v>
      </c>
      <c r="D805" s="9"/>
      <c r="E805" s="9">
        <v>180</v>
      </c>
      <c r="F805" s="10" t="s">
        <v>1066</v>
      </c>
      <c r="G805" s="9">
        <v>911</v>
      </c>
      <c r="H805" s="9">
        <v>1985</v>
      </c>
      <c r="I805" s="8">
        <v>2744.7289999999998</v>
      </c>
      <c r="J805" s="8">
        <v>2165.2530000000002</v>
      </c>
      <c r="K805" s="8">
        <v>1814.3240000000001</v>
      </c>
      <c r="L805" s="8">
        <v>1534.1610000000001</v>
      </c>
      <c r="M805" s="8">
        <v>1279.559</v>
      </c>
      <c r="N805" s="8">
        <v>1058.521</v>
      </c>
      <c r="O805" s="8">
        <v>879.96900000000005</v>
      </c>
      <c r="P805" s="8">
        <v>758.16499999999996</v>
      </c>
      <c r="Q805" s="8">
        <v>629.41899999999998</v>
      </c>
      <c r="R805" s="8">
        <v>509.488</v>
      </c>
      <c r="S805" s="8">
        <v>406.55099999999999</v>
      </c>
      <c r="T805" s="8">
        <v>317.30700000000002</v>
      </c>
      <c r="U805" s="8">
        <v>237.20400000000001</v>
      </c>
      <c r="V805" s="8">
        <v>167.44900000000001</v>
      </c>
      <c r="W805" s="8">
        <v>105.807</v>
      </c>
      <c r="X805" s="8">
        <v>56.445</v>
      </c>
      <c r="Y805" s="8">
        <v>23.064</v>
      </c>
      <c r="Z805" s="8">
        <v>6.5629999999999997</v>
      </c>
      <c r="AA805" s="8">
        <v>1.1160000000000001</v>
      </c>
      <c r="AB805" s="8">
        <v>9.2999999999999999E-2</v>
      </c>
      <c r="AC805" s="8">
        <v>5.0000000000000001E-3</v>
      </c>
    </row>
    <row r="806" spans="1:29" ht="11.65" x14ac:dyDescent="0.35">
      <c r="A806" s="12">
        <v>789</v>
      </c>
      <c r="B806" s="10" t="s">
        <v>1015</v>
      </c>
      <c r="C806" s="11" t="s">
        <v>1081</v>
      </c>
      <c r="D806" s="9"/>
      <c r="E806" s="9">
        <v>180</v>
      </c>
      <c r="F806" s="10" t="s">
        <v>1066</v>
      </c>
      <c r="G806" s="9">
        <v>911</v>
      </c>
      <c r="H806" s="9">
        <v>1990</v>
      </c>
      <c r="I806" s="8">
        <v>3192.3780000000002</v>
      </c>
      <c r="J806" s="8">
        <v>2536.6550000000002</v>
      </c>
      <c r="K806" s="8">
        <v>2111.5720000000001</v>
      </c>
      <c r="L806" s="8">
        <v>1779.3219999999999</v>
      </c>
      <c r="M806" s="8">
        <v>1491.9480000000001</v>
      </c>
      <c r="N806" s="8">
        <v>1236.0070000000001</v>
      </c>
      <c r="O806" s="8">
        <v>1020.7670000000001</v>
      </c>
      <c r="P806" s="8">
        <v>845.49</v>
      </c>
      <c r="Q806" s="8">
        <v>723.20100000000002</v>
      </c>
      <c r="R806" s="8">
        <v>594.28700000000003</v>
      </c>
      <c r="S806" s="8">
        <v>473.798</v>
      </c>
      <c r="T806" s="8">
        <v>369.59199999999998</v>
      </c>
      <c r="U806" s="8">
        <v>278.25400000000002</v>
      </c>
      <c r="V806" s="8">
        <v>195.77699999999999</v>
      </c>
      <c r="W806" s="8">
        <v>125.059</v>
      </c>
      <c r="X806" s="8">
        <v>67.370999999999995</v>
      </c>
      <c r="Y806" s="8">
        <v>28.17</v>
      </c>
      <c r="Z806" s="8">
        <v>7.9829999999999997</v>
      </c>
      <c r="AA806" s="8">
        <v>1.38</v>
      </c>
      <c r="AB806" s="8">
        <v>0.127</v>
      </c>
      <c r="AC806" s="8">
        <v>6.0000000000000001E-3</v>
      </c>
    </row>
    <row r="807" spans="1:29" ht="11.65" x14ac:dyDescent="0.35">
      <c r="A807" s="12">
        <v>790</v>
      </c>
      <c r="B807" s="10" t="s">
        <v>1015</v>
      </c>
      <c r="C807" s="11" t="s">
        <v>1081</v>
      </c>
      <c r="D807" s="9"/>
      <c r="E807" s="9">
        <v>180</v>
      </c>
      <c r="F807" s="10" t="s">
        <v>1066</v>
      </c>
      <c r="G807" s="9">
        <v>911</v>
      </c>
      <c r="H807" s="9">
        <v>1995</v>
      </c>
      <c r="I807" s="8">
        <v>3867.9650000000001</v>
      </c>
      <c r="J807" s="8">
        <v>3065.2150000000001</v>
      </c>
      <c r="K807" s="8">
        <v>2558.1669999999999</v>
      </c>
      <c r="L807" s="8">
        <v>2140.1959999999999</v>
      </c>
      <c r="M807" s="8">
        <v>1788.6120000000001</v>
      </c>
      <c r="N807" s="8">
        <v>1490.058</v>
      </c>
      <c r="O807" s="8">
        <v>1232.5250000000001</v>
      </c>
      <c r="P807" s="8">
        <v>1014.405</v>
      </c>
      <c r="Q807" s="8">
        <v>834.65</v>
      </c>
      <c r="R807" s="8">
        <v>706.529</v>
      </c>
      <c r="S807" s="8">
        <v>572.08199999999999</v>
      </c>
      <c r="T807" s="8">
        <v>446.15800000000002</v>
      </c>
      <c r="U807" s="8">
        <v>336.01900000000001</v>
      </c>
      <c r="V807" s="8">
        <v>238.37799999999999</v>
      </c>
      <c r="W807" s="8">
        <v>152.13900000000001</v>
      </c>
      <c r="X807" s="8">
        <v>83.132999999999996</v>
      </c>
      <c r="Y807" s="8">
        <v>35.253999999999998</v>
      </c>
      <c r="Z807" s="8">
        <v>10.276</v>
      </c>
      <c r="AA807" s="8">
        <v>1.778</v>
      </c>
      <c r="AB807" s="8">
        <v>0.16700000000000001</v>
      </c>
      <c r="AC807" s="8">
        <v>8.9999999999999993E-3</v>
      </c>
    </row>
    <row r="808" spans="1:29" ht="11.65" x14ac:dyDescent="0.35">
      <c r="A808" s="12">
        <v>791</v>
      </c>
      <c r="B808" s="10" t="s">
        <v>1015</v>
      </c>
      <c r="C808" s="11" t="s">
        <v>1081</v>
      </c>
      <c r="D808" s="9"/>
      <c r="E808" s="9">
        <v>180</v>
      </c>
      <c r="F808" s="10" t="s">
        <v>1066</v>
      </c>
      <c r="G808" s="9">
        <v>911</v>
      </c>
      <c r="H808" s="9">
        <v>2000</v>
      </c>
      <c r="I808" s="8">
        <v>4357.8770000000004</v>
      </c>
      <c r="J808" s="8">
        <v>3501.3649999999998</v>
      </c>
      <c r="K808" s="8">
        <v>2920.8220000000001</v>
      </c>
      <c r="L808" s="8">
        <v>2450.6129999999998</v>
      </c>
      <c r="M808" s="8">
        <v>2033.104</v>
      </c>
      <c r="N808" s="8">
        <v>1688.0319999999999</v>
      </c>
      <c r="O808" s="8">
        <v>1404.0309999999999</v>
      </c>
      <c r="P808" s="8">
        <v>1157.1849999999999</v>
      </c>
      <c r="Q808" s="8">
        <v>945.68899999999996</v>
      </c>
      <c r="R808" s="8">
        <v>770.23599999999999</v>
      </c>
      <c r="S808" s="8">
        <v>642.49900000000002</v>
      </c>
      <c r="T808" s="8">
        <v>508.63400000000001</v>
      </c>
      <c r="U808" s="8">
        <v>382.77199999999999</v>
      </c>
      <c r="V808" s="8">
        <v>271.48500000000001</v>
      </c>
      <c r="W808" s="8">
        <v>174.49100000000001</v>
      </c>
      <c r="X808" s="8">
        <v>95.102000000000004</v>
      </c>
      <c r="Y808" s="8">
        <v>40.819000000000003</v>
      </c>
      <c r="Z808" s="8">
        <v>12.037000000000001</v>
      </c>
      <c r="AA808" s="8">
        <v>2.1360000000000001</v>
      </c>
      <c r="AB808" s="8">
        <v>0.20100000000000001</v>
      </c>
      <c r="AC808" s="8">
        <v>1.0999999999999999E-2</v>
      </c>
    </row>
    <row r="809" spans="1:29" ht="11.65" x14ac:dyDescent="0.35">
      <c r="A809" s="12">
        <v>792</v>
      </c>
      <c r="B809" s="10" t="s">
        <v>1015</v>
      </c>
      <c r="C809" s="11" t="s">
        <v>1081</v>
      </c>
      <c r="D809" s="9"/>
      <c r="E809" s="9">
        <v>180</v>
      </c>
      <c r="F809" s="10" t="s">
        <v>1066</v>
      </c>
      <c r="G809" s="9">
        <v>911</v>
      </c>
      <c r="H809" s="9">
        <v>2005</v>
      </c>
      <c r="I809" s="8">
        <v>5140.37</v>
      </c>
      <c r="J809" s="8">
        <v>4065.4189999999999</v>
      </c>
      <c r="K809" s="8">
        <v>3406.91</v>
      </c>
      <c r="L809" s="8">
        <v>2853.1089999999999</v>
      </c>
      <c r="M809" s="8">
        <v>2375.1819999999998</v>
      </c>
      <c r="N809" s="8">
        <v>1959.049</v>
      </c>
      <c r="O809" s="8">
        <v>1624.17</v>
      </c>
      <c r="P809" s="8">
        <v>1346.595</v>
      </c>
      <c r="Q809" s="8">
        <v>1102.816</v>
      </c>
      <c r="R809" s="8">
        <v>892.98599999999999</v>
      </c>
      <c r="S809" s="8">
        <v>716.846</v>
      </c>
      <c r="T809" s="8">
        <v>585.41800000000001</v>
      </c>
      <c r="U809" s="8">
        <v>448.12599999999998</v>
      </c>
      <c r="V809" s="8">
        <v>318.447</v>
      </c>
      <c r="W809" s="8">
        <v>205.666</v>
      </c>
      <c r="X809" s="8">
        <v>113.749</v>
      </c>
      <c r="Y809" s="8">
        <v>49.146999999999998</v>
      </c>
      <c r="Z809" s="8">
        <v>14.840999999999999</v>
      </c>
      <c r="AA809" s="8">
        <v>2.6930000000000001</v>
      </c>
      <c r="AB809" s="8">
        <v>0.26</v>
      </c>
      <c r="AC809" s="8">
        <v>1.4E-2</v>
      </c>
    </row>
    <row r="810" spans="1:29" ht="11.65" x14ac:dyDescent="0.35">
      <c r="A810" s="12">
        <v>793</v>
      </c>
      <c r="B810" s="10" t="s">
        <v>1015</v>
      </c>
      <c r="C810" s="11" t="s">
        <v>1081</v>
      </c>
      <c r="D810" s="9"/>
      <c r="E810" s="9">
        <v>180</v>
      </c>
      <c r="F810" s="10" t="s">
        <v>1066</v>
      </c>
      <c r="G810" s="9">
        <v>911</v>
      </c>
      <c r="H810" s="9">
        <v>2010</v>
      </c>
      <c r="I810" s="8">
        <v>6120.1210000000001</v>
      </c>
      <c r="J810" s="8">
        <v>4885.5820000000003</v>
      </c>
      <c r="K810" s="8">
        <v>3989.2150000000001</v>
      </c>
      <c r="L810" s="8">
        <v>3351.3090000000002</v>
      </c>
      <c r="M810" s="8">
        <v>2786.5859999999998</v>
      </c>
      <c r="N810" s="8">
        <v>2308.317</v>
      </c>
      <c r="O810" s="8">
        <v>1901.5050000000001</v>
      </c>
      <c r="P810" s="8">
        <v>1572.1</v>
      </c>
      <c r="Q810" s="8">
        <v>1296.2819999999999</v>
      </c>
      <c r="R810" s="8">
        <v>1052.8810000000001</v>
      </c>
      <c r="S810" s="8">
        <v>841.048</v>
      </c>
      <c r="T810" s="8">
        <v>661.89099999999996</v>
      </c>
      <c r="U810" s="8">
        <v>523.97199999999998</v>
      </c>
      <c r="V810" s="8">
        <v>380.04700000000003</v>
      </c>
      <c r="W810" s="8">
        <v>247.476</v>
      </c>
      <c r="X810" s="8">
        <v>138.798</v>
      </c>
      <c r="Y810" s="8">
        <v>61.557000000000002</v>
      </c>
      <c r="Z810" s="8">
        <v>18.981000000000002</v>
      </c>
      <c r="AA810" s="8">
        <v>3.5760000000000001</v>
      </c>
      <c r="AB810" s="8">
        <v>0.35399999999999998</v>
      </c>
      <c r="AC810" s="8">
        <v>1.9E-2</v>
      </c>
    </row>
    <row r="811" spans="1:29" ht="11.65" x14ac:dyDescent="0.35">
      <c r="A811" s="12">
        <v>794</v>
      </c>
      <c r="B811" s="10" t="s">
        <v>1015</v>
      </c>
      <c r="C811" s="11" t="s">
        <v>1081</v>
      </c>
      <c r="D811" s="9"/>
      <c r="E811" s="9">
        <v>180</v>
      </c>
      <c r="F811" s="10" t="s">
        <v>1066</v>
      </c>
      <c r="G811" s="9">
        <v>911</v>
      </c>
      <c r="H811" s="9">
        <v>2015</v>
      </c>
      <c r="I811" s="8">
        <v>7122.4139999999998</v>
      </c>
      <c r="J811" s="8">
        <v>5874.7979999999998</v>
      </c>
      <c r="K811" s="8">
        <v>4812.4089999999997</v>
      </c>
      <c r="L811" s="8">
        <v>3935.7359999999999</v>
      </c>
      <c r="M811" s="8">
        <v>3284.4520000000002</v>
      </c>
      <c r="N811" s="8">
        <v>2719.067</v>
      </c>
      <c r="O811" s="8">
        <v>2249.87</v>
      </c>
      <c r="P811" s="8">
        <v>1848.8150000000001</v>
      </c>
      <c r="Q811" s="8">
        <v>1521.0509999999999</v>
      </c>
      <c r="R811" s="8">
        <v>1244.749</v>
      </c>
      <c r="S811" s="8">
        <v>998.04</v>
      </c>
      <c r="T811" s="8">
        <v>782.41899999999998</v>
      </c>
      <c r="U811" s="8">
        <v>597.94899999999996</v>
      </c>
      <c r="V811" s="8">
        <v>449.62299999999999</v>
      </c>
      <c r="W811" s="8">
        <v>300.17099999999999</v>
      </c>
      <c r="X811" s="8">
        <v>170.851</v>
      </c>
      <c r="Y811" s="8">
        <v>77.459999999999994</v>
      </c>
      <c r="Z811" s="8">
        <v>24.757000000000001</v>
      </c>
      <c r="AA811" s="8">
        <v>4.8070000000000004</v>
      </c>
      <c r="AB811" s="8">
        <v>0.495</v>
      </c>
      <c r="AC811" s="8">
        <v>2.7E-2</v>
      </c>
    </row>
    <row r="812" spans="1:29" ht="11.65" x14ac:dyDescent="0.35">
      <c r="A812" s="12">
        <v>795</v>
      </c>
      <c r="B812" s="10" t="s">
        <v>1015</v>
      </c>
      <c r="C812" s="11" t="s">
        <v>1081</v>
      </c>
      <c r="D812" s="9"/>
      <c r="E812" s="9">
        <v>180</v>
      </c>
      <c r="F812" s="10" t="s">
        <v>1066</v>
      </c>
      <c r="G812" s="9">
        <v>911</v>
      </c>
      <c r="H812" s="9">
        <v>2020</v>
      </c>
      <c r="I812" s="8">
        <v>7991.8950000000004</v>
      </c>
      <c r="J812" s="8">
        <v>6888.3869999999997</v>
      </c>
      <c r="K812" s="8">
        <v>5805.8370000000004</v>
      </c>
      <c r="L812" s="8">
        <v>4760.6949999999997</v>
      </c>
      <c r="M812" s="8">
        <v>3869.12</v>
      </c>
      <c r="N812" s="8">
        <v>3216.1239999999998</v>
      </c>
      <c r="O812" s="8">
        <v>2659.8110000000001</v>
      </c>
      <c r="P812" s="8">
        <v>2195.9450000000002</v>
      </c>
      <c r="Q812" s="8">
        <v>1796.4549999999999</v>
      </c>
      <c r="R812" s="8">
        <v>1467.6590000000001</v>
      </c>
      <c r="S812" s="8">
        <v>1186.242</v>
      </c>
      <c r="T812" s="8">
        <v>934.221</v>
      </c>
      <c r="U812" s="8">
        <v>712.16499999999996</v>
      </c>
      <c r="V812" s="8">
        <v>517.96400000000006</v>
      </c>
      <c r="W812" s="8">
        <v>359.69600000000003</v>
      </c>
      <c r="X812" s="8">
        <v>210.93100000000001</v>
      </c>
      <c r="Y812" s="8">
        <v>97.635999999999996</v>
      </c>
      <c r="Z812" s="8">
        <v>32.140999999999998</v>
      </c>
      <c r="AA812" s="8">
        <v>6.5129999999999999</v>
      </c>
      <c r="AB812" s="8">
        <v>0.69599999999999995</v>
      </c>
      <c r="AC812" s="8">
        <v>3.9E-2</v>
      </c>
    </row>
    <row r="813" spans="1:29" ht="11.65" x14ac:dyDescent="0.35">
      <c r="A813" s="12">
        <v>796</v>
      </c>
      <c r="B813" s="10" t="s">
        <v>1015</v>
      </c>
      <c r="C813" s="11" t="s">
        <v>1082</v>
      </c>
      <c r="D813" s="9"/>
      <c r="E813" s="9">
        <v>226</v>
      </c>
      <c r="F813" s="10" t="s">
        <v>1066</v>
      </c>
      <c r="G813" s="9">
        <v>911</v>
      </c>
      <c r="H813" s="9">
        <v>1950</v>
      </c>
      <c r="I813" s="8">
        <v>14.895</v>
      </c>
      <c r="J813" s="8">
        <v>12.071</v>
      </c>
      <c r="K813" s="8">
        <v>11.090999999999999</v>
      </c>
      <c r="L813" s="8">
        <v>10.423</v>
      </c>
      <c r="M813" s="8">
        <v>9.3870000000000005</v>
      </c>
      <c r="N813" s="8">
        <v>8.4719999999999995</v>
      </c>
      <c r="O813" s="8">
        <v>7.7720000000000002</v>
      </c>
      <c r="P813" s="8">
        <v>6.835</v>
      </c>
      <c r="Q813" s="8">
        <v>6.0170000000000003</v>
      </c>
      <c r="R813" s="8">
        <v>5.3209999999999997</v>
      </c>
      <c r="S813" s="8">
        <v>4.9180000000000001</v>
      </c>
      <c r="T813" s="8">
        <v>4.1920000000000002</v>
      </c>
      <c r="U813" s="8">
        <v>3.4449999999999998</v>
      </c>
      <c r="V813" s="8">
        <v>2.7589999999999999</v>
      </c>
      <c r="W813" s="8">
        <v>1.827</v>
      </c>
      <c r="X813" s="8">
        <v>0.97299999999999998</v>
      </c>
      <c r="Y813" s="8">
        <v>0.379</v>
      </c>
      <c r="Z813" s="8">
        <v>8.8999999999999996E-2</v>
      </c>
      <c r="AA813" s="8">
        <v>1.0999999999999999E-2</v>
      </c>
      <c r="AB813" s="8">
        <v>0</v>
      </c>
      <c r="AC813" s="8">
        <v>0</v>
      </c>
    </row>
    <row r="814" spans="1:29" ht="11.65" x14ac:dyDescent="0.35">
      <c r="A814" s="12">
        <v>797</v>
      </c>
      <c r="B814" s="10" t="s">
        <v>1015</v>
      </c>
      <c r="C814" s="11" t="s">
        <v>1082</v>
      </c>
      <c r="D814" s="9"/>
      <c r="E814" s="9">
        <v>226</v>
      </c>
      <c r="F814" s="10" t="s">
        <v>1066</v>
      </c>
      <c r="G814" s="9">
        <v>911</v>
      </c>
      <c r="H814" s="9">
        <v>1955</v>
      </c>
      <c r="I814" s="8">
        <v>18.701000000000001</v>
      </c>
      <c r="J814" s="8">
        <v>12.583</v>
      </c>
      <c r="K814" s="8">
        <v>11.318</v>
      </c>
      <c r="L814" s="8">
        <v>10.613</v>
      </c>
      <c r="M814" s="8">
        <v>9.8670000000000009</v>
      </c>
      <c r="N814" s="8">
        <v>8.7789999999999999</v>
      </c>
      <c r="O814" s="8">
        <v>7.891</v>
      </c>
      <c r="P814" s="8">
        <v>7.19</v>
      </c>
      <c r="Q814" s="8">
        <v>6.258</v>
      </c>
      <c r="R814" s="8">
        <v>5.452</v>
      </c>
      <c r="S814" s="8">
        <v>4.7590000000000003</v>
      </c>
      <c r="T814" s="8">
        <v>4.3150000000000004</v>
      </c>
      <c r="U814" s="8">
        <v>3.5590000000000002</v>
      </c>
      <c r="V814" s="8">
        <v>2.76</v>
      </c>
      <c r="W814" s="8">
        <v>2.0059999999999998</v>
      </c>
      <c r="X814" s="8">
        <v>1.137</v>
      </c>
      <c r="Y814" s="8">
        <v>0.47299999999999998</v>
      </c>
      <c r="Z814" s="8">
        <v>0.126</v>
      </c>
      <c r="AA814" s="8">
        <v>1.6E-2</v>
      </c>
      <c r="AB814" s="8">
        <v>0</v>
      </c>
      <c r="AC814" s="8">
        <v>0</v>
      </c>
    </row>
    <row r="815" spans="1:29" ht="11.65" x14ac:dyDescent="0.35">
      <c r="A815" s="12">
        <v>798</v>
      </c>
      <c r="B815" s="10" t="s">
        <v>1015</v>
      </c>
      <c r="C815" s="11" t="s">
        <v>1082</v>
      </c>
      <c r="D815" s="9"/>
      <c r="E815" s="9">
        <v>226</v>
      </c>
      <c r="F815" s="10" t="s">
        <v>1066</v>
      </c>
      <c r="G815" s="9">
        <v>911</v>
      </c>
      <c r="H815" s="9">
        <v>1960</v>
      </c>
      <c r="I815" s="8">
        <v>19.670999999999999</v>
      </c>
      <c r="J815" s="8">
        <v>16.045999999999999</v>
      </c>
      <c r="K815" s="8">
        <v>11.88</v>
      </c>
      <c r="L815" s="8">
        <v>10.872</v>
      </c>
      <c r="M815" s="8">
        <v>10.086</v>
      </c>
      <c r="N815" s="8">
        <v>9.27</v>
      </c>
      <c r="O815" s="8">
        <v>8.2149999999999999</v>
      </c>
      <c r="P815" s="8">
        <v>7.3339999999999996</v>
      </c>
      <c r="Q815" s="8">
        <v>6.6150000000000002</v>
      </c>
      <c r="R815" s="8">
        <v>5.6950000000000003</v>
      </c>
      <c r="S815" s="8">
        <v>4.8970000000000002</v>
      </c>
      <c r="T815" s="8">
        <v>4.1909999999999998</v>
      </c>
      <c r="U815" s="8">
        <v>3.6739999999999999</v>
      </c>
      <c r="V815" s="8">
        <v>2.8570000000000002</v>
      </c>
      <c r="W815" s="8">
        <v>2.0110000000000001</v>
      </c>
      <c r="X815" s="8">
        <v>1.248</v>
      </c>
      <c r="Y815" s="8">
        <v>0.55000000000000004</v>
      </c>
      <c r="Z815" s="8">
        <v>0.154</v>
      </c>
      <c r="AA815" s="8">
        <v>2.3E-2</v>
      </c>
      <c r="AB815" s="8">
        <v>2E-3</v>
      </c>
      <c r="AC815" s="8">
        <v>0</v>
      </c>
    </row>
    <row r="816" spans="1:29" ht="11.65" x14ac:dyDescent="0.35">
      <c r="A816" s="12">
        <v>799</v>
      </c>
      <c r="B816" s="10" t="s">
        <v>1015</v>
      </c>
      <c r="C816" s="11" t="s">
        <v>1082</v>
      </c>
      <c r="D816" s="9"/>
      <c r="E816" s="9">
        <v>226</v>
      </c>
      <c r="F816" s="10" t="s">
        <v>1066</v>
      </c>
      <c r="G816" s="9">
        <v>911</v>
      </c>
      <c r="H816" s="9">
        <v>1965</v>
      </c>
      <c r="I816" s="8">
        <v>21.102</v>
      </c>
      <c r="J816" s="8">
        <v>17.161000000000001</v>
      </c>
      <c r="K816" s="8">
        <v>15.281000000000001</v>
      </c>
      <c r="L816" s="8">
        <v>11.632999999999999</v>
      </c>
      <c r="M816" s="8">
        <v>10.84</v>
      </c>
      <c r="N816" s="8">
        <v>9.9700000000000006</v>
      </c>
      <c r="O816" s="8">
        <v>9.0030000000000001</v>
      </c>
      <c r="P816" s="8">
        <v>7.89</v>
      </c>
      <c r="Q816" s="8">
        <v>6.9290000000000003</v>
      </c>
      <c r="R816" s="8">
        <v>6.1479999999999997</v>
      </c>
      <c r="S816" s="8">
        <v>5.202</v>
      </c>
      <c r="T816" s="8">
        <v>4.37</v>
      </c>
      <c r="U816" s="8">
        <v>3.61</v>
      </c>
      <c r="V816" s="8">
        <v>2.9780000000000002</v>
      </c>
      <c r="W816" s="8">
        <v>2.097</v>
      </c>
      <c r="X816" s="8">
        <v>1.258</v>
      </c>
      <c r="Y816" s="8">
        <v>0.60599999999999998</v>
      </c>
      <c r="Z816" s="8">
        <v>0.17699999999999999</v>
      </c>
      <c r="AA816" s="8">
        <v>2.8000000000000001E-2</v>
      </c>
      <c r="AB816" s="8">
        <v>2E-3</v>
      </c>
      <c r="AC816" s="8">
        <v>0</v>
      </c>
    </row>
    <row r="817" spans="1:29" ht="11.65" x14ac:dyDescent="0.35">
      <c r="A817" s="12">
        <v>800</v>
      </c>
      <c r="B817" s="10" t="s">
        <v>1015</v>
      </c>
      <c r="C817" s="11" t="s">
        <v>1082</v>
      </c>
      <c r="D817" s="9"/>
      <c r="E817" s="9">
        <v>226</v>
      </c>
      <c r="F817" s="10" t="s">
        <v>1066</v>
      </c>
      <c r="G817" s="9">
        <v>911</v>
      </c>
      <c r="H817" s="9">
        <v>1970</v>
      </c>
      <c r="I817" s="8">
        <v>23.692</v>
      </c>
      <c r="J817" s="8">
        <v>18.670999999999999</v>
      </c>
      <c r="K817" s="8">
        <v>16.454999999999998</v>
      </c>
      <c r="L817" s="8">
        <v>15.079000000000001</v>
      </c>
      <c r="M817" s="8">
        <v>11.914</v>
      </c>
      <c r="N817" s="8">
        <v>11.023999999999999</v>
      </c>
      <c r="O817" s="8">
        <v>9.891</v>
      </c>
      <c r="P817" s="8">
        <v>8.81</v>
      </c>
      <c r="Q817" s="8">
        <v>7.5739999999999998</v>
      </c>
      <c r="R817" s="8">
        <v>6.53</v>
      </c>
      <c r="S817" s="8">
        <v>5.6769999999999996</v>
      </c>
      <c r="T817" s="8">
        <v>4.6859999999999999</v>
      </c>
      <c r="U817" s="8">
        <v>3.794</v>
      </c>
      <c r="V817" s="8">
        <v>2.9460000000000002</v>
      </c>
      <c r="W817" s="8">
        <v>2.198</v>
      </c>
      <c r="X817" s="8">
        <v>1.319</v>
      </c>
      <c r="Y817" s="8">
        <v>0.61199999999999999</v>
      </c>
      <c r="Z817" s="8">
        <v>0.192</v>
      </c>
      <c r="AA817" s="8">
        <v>3.1E-2</v>
      </c>
      <c r="AB817" s="8">
        <v>3.0000000000000001E-3</v>
      </c>
      <c r="AC817" s="8">
        <v>0</v>
      </c>
    </row>
    <row r="818" spans="1:29" ht="11.65" x14ac:dyDescent="0.35">
      <c r="A818" s="12">
        <v>801</v>
      </c>
      <c r="B818" s="10" t="s">
        <v>1015</v>
      </c>
      <c r="C818" s="11" t="s">
        <v>1082</v>
      </c>
      <c r="D818" s="9"/>
      <c r="E818" s="9">
        <v>226</v>
      </c>
      <c r="F818" s="10" t="s">
        <v>1066</v>
      </c>
      <c r="G818" s="9">
        <v>911</v>
      </c>
      <c r="H818" s="9">
        <v>1975</v>
      </c>
      <c r="I818" s="8">
        <v>18.004999999999999</v>
      </c>
      <c r="J818" s="8">
        <v>16.876000000000001</v>
      </c>
      <c r="K818" s="8">
        <v>14.179</v>
      </c>
      <c r="L818" s="8">
        <v>12.544</v>
      </c>
      <c r="M818" s="8">
        <v>11.648999999999999</v>
      </c>
      <c r="N818" s="8">
        <v>8.7159999999999993</v>
      </c>
      <c r="O818" s="8">
        <v>8.0960000000000001</v>
      </c>
      <c r="P818" s="8">
        <v>7.2160000000000002</v>
      </c>
      <c r="Q818" s="8">
        <v>6.4139999999999997</v>
      </c>
      <c r="R818" s="8">
        <v>5.4379999999999997</v>
      </c>
      <c r="S818" s="8">
        <v>4.6020000000000003</v>
      </c>
      <c r="T818" s="8">
        <v>3.9750000000000001</v>
      </c>
      <c r="U818" s="8">
        <v>3.1850000000000001</v>
      </c>
      <c r="V818" s="8">
        <v>2.4460000000000002</v>
      </c>
      <c r="W818" s="8">
        <v>1.7250000000000001</v>
      </c>
      <c r="X818" s="8">
        <v>1.133</v>
      </c>
      <c r="Y818" s="8">
        <v>0.53600000000000003</v>
      </c>
      <c r="Z818" s="8">
        <v>0.192</v>
      </c>
      <c r="AA818" s="8">
        <v>3.3000000000000002E-2</v>
      </c>
      <c r="AB818" s="8">
        <v>3.0000000000000001E-3</v>
      </c>
      <c r="AC818" s="8">
        <v>0</v>
      </c>
    </row>
    <row r="819" spans="1:29" ht="11.65" x14ac:dyDescent="0.35">
      <c r="A819" s="12">
        <v>802</v>
      </c>
      <c r="B819" s="10" t="s">
        <v>1015</v>
      </c>
      <c r="C819" s="11" t="s">
        <v>1082</v>
      </c>
      <c r="D819" s="9"/>
      <c r="E819" s="9">
        <v>226</v>
      </c>
      <c r="F819" s="10" t="s">
        <v>1066</v>
      </c>
      <c r="G819" s="9">
        <v>911</v>
      </c>
      <c r="H819" s="9">
        <v>1980</v>
      </c>
      <c r="I819" s="8">
        <v>19.649000000000001</v>
      </c>
      <c r="J819" s="8">
        <v>14.41</v>
      </c>
      <c r="K819" s="8">
        <v>14.662000000000001</v>
      </c>
      <c r="L819" s="8">
        <v>12.324999999999999</v>
      </c>
      <c r="M819" s="8">
        <v>10.866</v>
      </c>
      <c r="N819" s="8">
        <v>9.9979999999999993</v>
      </c>
      <c r="O819" s="8">
        <v>7.28</v>
      </c>
      <c r="P819" s="8">
        <v>6.7519999999999998</v>
      </c>
      <c r="Q819" s="8">
        <v>5.984</v>
      </c>
      <c r="R819" s="8">
        <v>5.2770000000000001</v>
      </c>
      <c r="S819" s="8">
        <v>4.3929999999999998</v>
      </c>
      <c r="T819" s="8">
        <v>3.6480000000000001</v>
      </c>
      <c r="U819" s="8">
        <v>3.07</v>
      </c>
      <c r="V819" s="8">
        <v>2.319</v>
      </c>
      <c r="W819" s="8">
        <v>1.6120000000000001</v>
      </c>
      <c r="X819" s="8">
        <v>0.97599999999999998</v>
      </c>
      <c r="Y819" s="8">
        <v>0.501</v>
      </c>
      <c r="Z819" s="8">
        <v>0.16600000000000001</v>
      </c>
      <c r="AA819" s="8">
        <v>3.2000000000000001E-2</v>
      </c>
      <c r="AB819" s="8">
        <v>3.0000000000000001E-3</v>
      </c>
      <c r="AC819" s="8">
        <v>0</v>
      </c>
    </row>
    <row r="820" spans="1:29" ht="11.65" x14ac:dyDescent="0.35">
      <c r="A820" s="12">
        <v>803</v>
      </c>
      <c r="B820" s="10" t="s">
        <v>1015</v>
      </c>
      <c r="C820" s="11" t="s">
        <v>1082</v>
      </c>
      <c r="D820" s="9"/>
      <c r="E820" s="9">
        <v>226</v>
      </c>
      <c r="F820" s="10" t="s">
        <v>1066</v>
      </c>
      <c r="G820" s="9">
        <v>911</v>
      </c>
      <c r="H820" s="9">
        <v>1985</v>
      </c>
      <c r="I820" s="8">
        <v>32.265999999999998</v>
      </c>
      <c r="J820" s="8">
        <v>22.055</v>
      </c>
      <c r="K820" s="8">
        <v>17.475000000000001</v>
      </c>
      <c r="L820" s="8">
        <v>17.507000000000001</v>
      </c>
      <c r="M820" s="8">
        <v>14.565</v>
      </c>
      <c r="N820" s="8">
        <v>12.874000000000001</v>
      </c>
      <c r="O820" s="8">
        <v>11.756</v>
      </c>
      <c r="P820" s="8">
        <v>8.8759999999999994</v>
      </c>
      <c r="Q820" s="8">
        <v>8.0429999999999993</v>
      </c>
      <c r="R820" s="8">
        <v>7.0270000000000001</v>
      </c>
      <c r="S820" s="8">
        <v>6.0960000000000001</v>
      </c>
      <c r="T820" s="8">
        <v>4.9610000000000003</v>
      </c>
      <c r="U820" s="8">
        <v>3.9630000000000001</v>
      </c>
      <c r="V820" s="8">
        <v>3.101</v>
      </c>
      <c r="W820" s="8">
        <v>2.1259999999999999</v>
      </c>
      <c r="X820" s="8">
        <v>1.2330000000000001</v>
      </c>
      <c r="Y820" s="8">
        <v>0.55600000000000005</v>
      </c>
      <c r="Z820" s="8">
        <v>0.155</v>
      </c>
      <c r="AA820" s="8">
        <v>2.5999999999999999E-2</v>
      </c>
      <c r="AB820" s="8">
        <v>2E-3</v>
      </c>
      <c r="AC820" s="8">
        <v>0</v>
      </c>
    </row>
    <row r="821" spans="1:29" ht="11.65" x14ac:dyDescent="0.35">
      <c r="A821" s="12">
        <v>804</v>
      </c>
      <c r="B821" s="10" t="s">
        <v>1015</v>
      </c>
      <c r="C821" s="11" t="s">
        <v>1082</v>
      </c>
      <c r="D821" s="9"/>
      <c r="E821" s="9">
        <v>226</v>
      </c>
      <c r="F821" s="10" t="s">
        <v>1066</v>
      </c>
      <c r="G821" s="9">
        <v>911</v>
      </c>
      <c r="H821" s="9">
        <v>1990</v>
      </c>
      <c r="I821" s="8">
        <v>36.35</v>
      </c>
      <c r="J821" s="8">
        <v>31.213999999999999</v>
      </c>
      <c r="K821" s="8">
        <v>22.58</v>
      </c>
      <c r="L821" s="8">
        <v>18.100000000000001</v>
      </c>
      <c r="M821" s="8">
        <v>17.815999999999999</v>
      </c>
      <c r="N821" s="8">
        <v>14.794</v>
      </c>
      <c r="O821" s="8">
        <v>13.042999999999999</v>
      </c>
      <c r="P821" s="8">
        <v>11.829000000000001</v>
      </c>
      <c r="Q821" s="8">
        <v>8.9220000000000006</v>
      </c>
      <c r="R821" s="8">
        <v>7.9850000000000003</v>
      </c>
      <c r="S821" s="8">
        <v>6.8719999999999999</v>
      </c>
      <c r="T821" s="8">
        <v>5.8209999999999997</v>
      </c>
      <c r="U821" s="8">
        <v>4.5810000000000004</v>
      </c>
      <c r="V821" s="8">
        <v>3.444</v>
      </c>
      <c r="W821" s="8">
        <v>2.4380000000000002</v>
      </c>
      <c r="X821" s="8">
        <v>1.4119999999999999</v>
      </c>
      <c r="Y821" s="8">
        <v>0.622</v>
      </c>
      <c r="Z821" s="8">
        <v>0.17199999999999999</v>
      </c>
      <c r="AA821" s="8">
        <v>2.3E-2</v>
      </c>
      <c r="AB821" s="8">
        <v>2E-3</v>
      </c>
      <c r="AC821" s="8">
        <v>0</v>
      </c>
    </row>
    <row r="822" spans="1:29" ht="11.65" x14ac:dyDescent="0.35">
      <c r="A822" s="12">
        <v>805</v>
      </c>
      <c r="B822" s="10" t="s">
        <v>1015</v>
      </c>
      <c r="C822" s="11" t="s">
        <v>1082</v>
      </c>
      <c r="D822" s="9"/>
      <c r="E822" s="9">
        <v>226</v>
      </c>
      <c r="F822" s="10" t="s">
        <v>1066</v>
      </c>
      <c r="G822" s="9">
        <v>911</v>
      </c>
      <c r="H822" s="9">
        <v>1995</v>
      </c>
      <c r="I822" s="8">
        <v>41.542000000000002</v>
      </c>
      <c r="J822" s="8">
        <v>34.430999999999997</v>
      </c>
      <c r="K822" s="8">
        <v>30.821000000000002</v>
      </c>
      <c r="L822" s="8">
        <v>23.390999999999998</v>
      </c>
      <c r="M822" s="8">
        <v>20.768000000000001</v>
      </c>
      <c r="N822" s="8">
        <v>20.265999999999998</v>
      </c>
      <c r="O822" s="8">
        <v>16.204000000000001</v>
      </c>
      <c r="P822" s="8">
        <v>13.984999999999999</v>
      </c>
      <c r="Q822" s="8">
        <v>12.239000000000001</v>
      </c>
      <c r="R822" s="8">
        <v>9.0570000000000004</v>
      </c>
      <c r="S822" s="8">
        <v>7.843</v>
      </c>
      <c r="T822" s="8">
        <v>6.53</v>
      </c>
      <c r="U822" s="8">
        <v>5.3029999999999999</v>
      </c>
      <c r="V822" s="8">
        <v>3.919</v>
      </c>
      <c r="W822" s="8">
        <v>2.6680000000000001</v>
      </c>
      <c r="X822" s="8">
        <v>1.6080000000000001</v>
      </c>
      <c r="Y822" s="8">
        <v>0.72</v>
      </c>
      <c r="Z822" s="8">
        <v>0.191</v>
      </c>
      <c r="AA822" s="8">
        <v>2.7E-2</v>
      </c>
      <c r="AB822" s="8">
        <v>2E-3</v>
      </c>
      <c r="AC822" s="8">
        <v>0</v>
      </c>
    </row>
    <row r="823" spans="1:29" ht="11.65" x14ac:dyDescent="0.35">
      <c r="A823" s="12">
        <v>806</v>
      </c>
      <c r="B823" s="10" t="s">
        <v>1015</v>
      </c>
      <c r="C823" s="11" t="s">
        <v>1082</v>
      </c>
      <c r="D823" s="9"/>
      <c r="E823" s="9">
        <v>226</v>
      </c>
      <c r="F823" s="10" t="s">
        <v>1066</v>
      </c>
      <c r="G823" s="9">
        <v>911</v>
      </c>
      <c r="H823" s="9">
        <v>2000</v>
      </c>
      <c r="I823" s="8">
        <v>50.545000000000002</v>
      </c>
      <c r="J823" s="8">
        <v>39.646999999999998</v>
      </c>
      <c r="K823" s="8">
        <v>34.011000000000003</v>
      </c>
      <c r="L823" s="8">
        <v>31.605</v>
      </c>
      <c r="M823" s="8">
        <v>30.896999999999998</v>
      </c>
      <c r="N823" s="8">
        <v>27.922999999999998</v>
      </c>
      <c r="O823" s="8">
        <v>24.581</v>
      </c>
      <c r="P823" s="8">
        <v>16.919</v>
      </c>
      <c r="Q823" s="8">
        <v>14.109</v>
      </c>
      <c r="R823" s="8">
        <v>11.988</v>
      </c>
      <c r="S823" s="8">
        <v>8.6590000000000007</v>
      </c>
      <c r="T823" s="8">
        <v>7.3049999999999997</v>
      </c>
      <c r="U823" s="8">
        <v>5.8920000000000003</v>
      </c>
      <c r="V823" s="8">
        <v>4.5019999999999998</v>
      </c>
      <c r="W823" s="8">
        <v>3.02</v>
      </c>
      <c r="X823" s="8">
        <v>1.752</v>
      </c>
      <c r="Y823" s="8">
        <v>0.81100000000000005</v>
      </c>
      <c r="Z823" s="8">
        <v>0.22500000000000001</v>
      </c>
      <c r="AA823" s="8">
        <v>0.03</v>
      </c>
      <c r="AB823" s="8">
        <v>2E-3</v>
      </c>
      <c r="AC823" s="8">
        <v>0</v>
      </c>
    </row>
    <row r="824" spans="1:29" ht="11.65" x14ac:dyDescent="0.35">
      <c r="A824" s="12">
        <v>807</v>
      </c>
      <c r="B824" s="10" t="s">
        <v>1015</v>
      </c>
      <c r="C824" s="11" t="s">
        <v>1082</v>
      </c>
      <c r="D824" s="9"/>
      <c r="E824" s="9">
        <v>226</v>
      </c>
      <c r="F824" s="10" t="s">
        <v>1066</v>
      </c>
      <c r="G824" s="9">
        <v>911</v>
      </c>
      <c r="H824" s="9">
        <v>2005</v>
      </c>
      <c r="I824" s="8">
        <v>61.935000000000002</v>
      </c>
      <c r="J824" s="8">
        <v>48.676000000000002</v>
      </c>
      <c r="K824" s="8">
        <v>39.308</v>
      </c>
      <c r="L824" s="8">
        <v>35.341000000000001</v>
      </c>
      <c r="M824" s="8">
        <v>42.438000000000002</v>
      </c>
      <c r="N824" s="8">
        <v>41.158999999999999</v>
      </c>
      <c r="O824" s="8">
        <v>34.177</v>
      </c>
      <c r="P824" s="8">
        <v>25.585999999999999</v>
      </c>
      <c r="Q824" s="8">
        <v>17.257000000000001</v>
      </c>
      <c r="R824" s="8">
        <v>13.951000000000001</v>
      </c>
      <c r="S824" s="8">
        <v>11.497999999999999</v>
      </c>
      <c r="T824" s="8">
        <v>8.1240000000000006</v>
      </c>
      <c r="U824" s="8">
        <v>6.6369999999999996</v>
      </c>
      <c r="V824" s="8">
        <v>5.0369999999999999</v>
      </c>
      <c r="W824" s="8">
        <v>3.492</v>
      </c>
      <c r="X824" s="8">
        <v>1.9990000000000001</v>
      </c>
      <c r="Y824" s="8">
        <v>0.89600000000000002</v>
      </c>
      <c r="Z824" s="8">
        <v>0.251</v>
      </c>
      <c r="AA824" s="8">
        <v>3.3000000000000002E-2</v>
      </c>
      <c r="AB824" s="8">
        <v>2E-3</v>
      </c>
      <c r="AC824" s="8">
        <v>0</v>
      </c>
    </row>
    <row r="825" spans="1:29" ht="11.65" x14ac:dyDescent="0.35">
      <c r="A825" s="12">
        <v>808</v>
      </c>
      <c r="B825" s="10" t="s">
        <v>1015</v>
      </c>
      <c r="C825" s="11" t="s">
        <v>1082</v>
      </c>
      <c r="D825" s="9"/>
      <c r="E825" s="9">
        <v>226</v>
      </c>
      <c r="F825" s="10" t="s">
        <v>1066</v>
      </c>
      <c r="G825" s="9">
        <v>911</v>
      </c>
      <c r="H825" s="9">
        <v>2010</v>
      </c>
      <c r="I825" s="8">
        <v>75.527000000000001</v>
      </c>
      <c r="J825" s="8">
        <v>60.073</v>
      </c>
      <c r="K825" s="8">
        <v>48.377000000000002</v>
      </c>
      <c r="L825" s="8">
        <v>41.64</v>
      </c>
      <c r="M825" s="8">
        <v>52.981000000000002</v>
      </c>
      <c r="N825" s="8">
        <v>59.05</v>
      </c>
      <c r="O825" s="8">
        <v>51.273000000000003</v>
      </c>
      <c r="P825" s="8">
        <v>35.97</v>
      </c>
      <c r="Q825" s="8">
        <v>26.186</v>
      </c>
      <c r="R825" s="8">
        <v>17.285</v>
      </c>
      <c r="S825" s="8">
        <v>13.509</v>
      </c>
      <c r="T825" s="8">
        <v>10.827</v>
      </c>
      <c r="U825" s="8">
        <v>7.4470000000000001</v>
      </c>
      <c r="V825" s="8">
        <v>5.7050000000000001</v>
      </c>
      <c r="W825" s="8">
        <v>3.9180000000000001</v>
      </c>
      <c r="X825" s="8">
        <v>2.3090000000000002</v>
      </c>
      <c r="Y825" s="8">
        <v>1.016</v>
      </c>
      <c r="Z825" s="8">
        <v>0.26900000000000002</v>
      </c>
      <c r="AA825" s="8">
        <v>3.6999999999999998E-2</v>
      </c>
      <c r="AB825" s="8">
        <v>2E-3</v>
      </c>
      <c r="AC825" s="8">
        <v>0</v>
      </c>
    </row>
    <row r="826" spans="1:29" ht="11.65" x14ac:dyDescent="0.35">
      <c r="A826" s="12">
        <v>809</v>
      </c>
      <c r="B826" s="10" t="s">
        <v>1015</v>
      </c>
      <c r="C826" s="11" t="s">
        <v>1082</v>
      </c>
      <c r="D826" s="9"/>
      <c r="E826" s="9">
        <v>226</v>
      </c>
      <c r="F826" s="10" t="s">
        <v>1066</v>
      </c>
      <c r="G826" s="9">
        <v>911</v>
      </c>
      <c r="H826" s="9">
        <v>2015</v>
      </c>
      <c r="I826" s="8">
        <v>88.902000000000001</v>
      </c>
      <c r="J826" s="8">
        <v>73.659000000000006</v>
      </c>
      <c r="K826" s="8">
        <v>59.747</v>
      </c>
      <c r="L826" s="8">
        <v>50.805999999999997</v>
      </c>
      <c r="M826" s="8">
        <v>64.2</v>
      </c>
      <c r="N826" s="8">
        <v>74.221000000000004</v>
      </c>
      <c r="O826" s="8">
        <v>71.805000000000007</v>
      </c>
      <c r="P826" s="8">
        <v>50.884</v>
      </c>
      <c r="Q826" s="8">
        <v>34.610999999999997</v>
      </c>
      <c r="R826" s="8">
        <v>24.742000000000001</v>
      </c>
      <c r="S826" s="8">
        <v>15.983000000000001</v>
      </c>
      <c r="T826" s="8">
        <v>12.271000000000001</v>
      </c>
      <c r="U826" s="8">
        <v>9.5990000000000002</v>
      </c>
      <c r="V826" s="8">
        <v>6.2380000000000004</v>
      </c>
      <c r="W826" s="8">
        <v>4.327</v>
      </c>
      <c r="X826" s="8">
        <v>2.5209999999999999</v>
      </c>
      <c r="Y826" s="8">
        <v>1.1240000000000001</v>
      </c>
      <c r="Z826" s="8">
        <v>0.30599999999999999</v>
      </c>
      <c r="AA826" s="8">
        <v>3.7999999999999999E-2</v>
      </c>
      <c r="AB826" s="8">
        <v>2E-3</v>
      </c>
      <c r="AC826" s="8">
        <v>0</v>
      </c>
    </row>
    <row r="827" spans="1:29" ht="11.65" x14ac:dyDescent="0.35">
      <c r="A827" s="12">
        <v>810</v>
      </c>
      <c r="B827" s="10" t="s">
        <v>1015</v>
      </c>
      <c r="C827" s="11" t="s">
        <v>1082</v>
      </c>
      <c r="D827" s="9"/>
      <c r="E827" s="9">
        <v>226</v>
      </c>
      <c r="F827" s="10" t="s">
        <v>1066</v>
      </c>
      <c r="G827" s="9">
        <v>911</v>
      </c>
      <c r="H827" s="9">
        <v>2020</v>
      </c>
      <c r="I827" s="8">
        <v>100.908</v>
      </c>
      <c r="J827" s="8">
        <v>87.182000000000002</v>
      </c>
      <c r="K827" s="8">
        <v>73.356999999999999</v>
      </c>
      <c r="L827" s="8">
        <v>61.174999999999997</v>
      </c>
      <c r="M827" s="8">
        <v>80.369</v>
      </c>
      <c r="N827" s="8">
        <v>92.164000000000001</v>
      </c>
      <c r="O827" s="8">
        <v>91.085999999999999</v>
      </c>
      <c r="P827" s="8">
        <v>65.91</v>
      </c>
      <c r="Q827" s="8">
        <v>41.844000000000001</v>
      </c>
      <c r="R827" s="8">
        <v>27.091999999999999</v>
      </c>
      <c r="S827" s="8">
        <v>20.434000000000001</v>
      </c>
      <c r="T827" s="8">
        <v>12.965</v>
      </c>
      <c r="U827" s="8">
        <v>9.9109999999999996</v>
      </c>
      <c r="V827" s="8">
        <v>7.4640000000000004</v>
      </c>
      <c r="W827" s="8">
        <v>4.3840000000000003</v>
      </c>
      <c r="X827" s="8">
        <v>2.593</v>
      </c>
      <c r="Y827" s="8">
        <v>1.1180000000000001</v>
      </c>
      <c r="Z827" s="8">
        <v>0.37</v>
      </c>
      <c r="AA827" s="8">
        <v>5.0999999999999997E-2</v>
      </c>
      <c r="AB827" s="8">
        <v>3.0000000000000001E-3</v>
      </c>
      <c r="AC827" s="8">
        <v>0</v>
      </c>
    </row>
    <row r="828" spans="1:29" ht="11.65" x14ac:dyDescent="0.35">
      <c r="A828" s="12">
        <v>811</v>
      </c>
      <c r="B828" s="10" t="s">
        <v>1015</v>
      </c>
      <c r="C828" s="11" t="s">
        <v>1083</v>
      </c>
      <c r="D828" s="9"/>
      <c r="E828" s="9">
        <v>266</v>
      </c>
      <c r="F828" s="10" t="s">
        <v>1066</v>
      </c>
      <c r="G828" s="9">
        <v>911</v>
      </c>
      <c r="H828" s="9">
        <v>1950</v>
      </c>
      <c r="I828" s="8">
        <v>26.83</v>
      </c>
      <c r="J828" s="8">
        <v>21.373999999999999</v>
      </c>
      <c r="K828" s="8">
        <v>20.382000000000001</v>
      </c>
      <c r="L828" s="8">
        <v>19.635000000000002</v>
      </c>
      <c r="M828" s="8">
        <v>18.745000000000001</v>
      </c>
      <c r="N828" s="8">
        <v>17.72</v>
      </c>
      <c r="O828" s="8">
        <v>16.707999999999998</v>
      </c>
      <c r="P828" s="8">
        <v>15.667999999999999</v>
      </c>
      <c r="Q828" s="8">
        <v>14.535</v>
      </c>
      <c r="R828" s="8">
        <v>13.287000000000001</v>
      </c>
      <c r="S828" s="8">
        <v>11.917</v>
      </c>
      <c r="T828" s="8">
        <v>10.38</v>
      </c>
      <c r="U828" s="8">
        <v>8.6280000000000001</v>
      </c>
      <c r="V828" s="8">
        <v>6.6539999999999999</v>
      </c>
      <c r="W828" s="8">
        <v>4.5170000000000003</v>
      </c>
      <c r="X828" s="8">
        <v>2.508</v>
      </c>
      <c r="Y828" s="8">
        <v>1.0269999999999999</v>
      </c>
      <c r="Z828" s="8">
        <v>0.27200000000000002</v>
      </c>
      <c r="AA828" s="8">
        <v>4.1000000000000002E-2</v>
      </c>
      <c r="AB828" s="8">
        <v>3.0000000000000001E-3</v>
      </c>
      <c r="AC828" s="8">
        <v>0</v>
      </c>
    </row>
    <row r="829" spans="1:29" ht="11.65" x14ac:dyDescent="0.35">
      <c r="A829" s="12">
        <v>812</v>
      </c>
      <c r="B829" s="10" t="s">
        <v>1015</v>
      </c>
      <c r="C829" s="11" t="s">
        <v>1083</v>
      </c>
      <c r="D829" s="9"/>
      <c r="E829" s="9">
        <v>266</v>
      </c>
      <c r="F829" s="10" t="s">
        <v>1066</v>
      </c>
      <c r="G829" s="9">
        <v>911</v>
      </c>
      <c r="H829" s="9">
        <v>1955</v>
      </c>
      <c r="I829" s="8">
        <v>28.079000000000001</v>
      </c>
      <c r="J829" s="8">
        <v>23.297000000000001</v>
      </c>
      <c r="K829" s="8">
        <v>20.298999999999999</v>
      </c>
      <c r="L829" s="8">
        <v>19.719000000000001</v>
      </c>
      <c r="M829" s="8">
        <v>18.920999999999999</v>
      </c>
      <c r="N829" s="8">
        <v>17.933</v>
      </c>
      <c r="O829" s="8">
        <v>16.86</v>
      </c>
      <c r="P829" s="8">
        <v>15.742000000000001</v>
      </c>
      <c r="Q829" s="8">
        <v>14.573</v>
      </c>
      <c r="R829" s="8">
        <v>13.348000000000001</v>
      </c>
      <c r="S829" s="8">
        <v>12.019</v>
      </c>
      <c r="T829" s="8">
        <v>10.551</v>
      </c>
      <c r="U829" s="8">
        <v>8.8789999999999996</v>
      </c>
      <c r="V829" s="8">
        <v>6.9539999999999997</v>
      </c>
      <c r="W829" s="8">
        <v>4.8609999999999998</v>
      </c>
      <c r="X829" s="8">
        <v>2.8130000000000002</v>
      </c>
      <c r="Y829" s="8">
        <v>1.2130000000000001</v>
      </c>
      <c r="Z829" s="8">
        <v>0.33200000000000002</v>
      </c>
      <c r="AA829" s="8">
        <v>4.8000000000000001E-2</v>
      </c>
      <c r="AB829" s="8">
        <v>4.0000000000000001E-3</v>
      </c>
      <c r="AC829" s="8">
        <v>0</v>
      </c>
    </row>
    <row r="830" spans="1:29" ht="11.65" x14ac:dyDescent="0.35">
      <c r="A830" s="12">
        <v>813</v>
      </c>
      <c r="B830" s="10" t="s">
        <v>1015</v>
      </c>
      <c r="C830" s="11" t="s">
        <v>1083</v>
      </c>
      <c r="D830" s="9"/>
      <c r="E830" s="9">
        <v>266</v>
      </c>
      <c r="F830" s="10" t="s">
        <v>1066</v>
      </c>
      <c r="G830" s="9">
        <v>911</v>
      </c>
      <c r="H830" s="9">
        <v>1960</v>
      </c>
      <c r="I830" s="8">
        <v>30.401</v>
      </c>
      <c r="J830" s="8">
        <v>24.808</v>
      </c>
      <c r="K830" s="8">
        <v>22.283999999999999</v>
      </c>
      <c r="L830" s="8">
        <v>19.724</v>
      </c>
      <c r="M830" s="8">
        <v>19.088000000000001</v>
      </c>
      <c r="N830" s="8">
        <v>18.196000000000002</v>
      </c>
      <c r="O830" s="8">
        <v>17.152999999999999</v>
      </c>
      <c r="P830" s="8">
        <v>15.973000000000001</v>
      </c>
      <c r="Q830" s="8">
        <v>14.727</v>
      </c>
      <c r="R830" s="8">
        <v>13.462</v>
      </c>
      <c r="S830" s="8">
        <v>12.135999999999999</v>
      </c>
      <c r="T830" s="8">
        <v>10.692</v>
      </c>
      <c r="U830" s="8">
        <v>9.0660000000000007</v>
      </c>
      <c r="V830" s="8">
        <v>7.1849999999999996</v>
      </c>
      <c r="W830" s="8">
        <v>5.0960000000000001</v>
      </c>
      <c r="X830" s="8">
        <v>3.03</v>
      </c>
      <c r="Y830" s="8">
        <v>1.3540000000000001</v>
      </c>
      <c r="Z830" s="8">
        <v>0.38600000000000001</v>
      </c>
      <c r="AA830" s="8">
        <v>5.7000000000000002E-2</v>
      </c>
      <c r="AB830" s="8">
        <v>4.0000000000000001E-3</v>
      </c>
      <c r="AC830" s="8">
        <v>0</v>
      </c>
    </row>
    <row r="831" spans="1:29" ht="11.65" x14ac:dyDescent="0.35">
      <c r="A831" s="12">
        <v>814</v>
      </c>
      <c r="B831" s="10" t="s">
        <v>1015</v>
      </c>
      <c r="C831" s="11" t="s">
        <v>1083</v>
      </c>
      <c r="D831" s="9"/>
      <c r="E831" s="9">
        <v>266</v>
      </c>
      <c r="F831" s="10" t="s">
        <v>1066</v>
      </c>
      <c r="G831" s="9">
        <v>911</v>
      </c>
      <c r="H831" s="9">
        <v>1965</v>
      </c>
      <c r="I831" s="8">
        <v>35.095999999999997</v>
      </c>
      <c r="J831" s="8">
        <v>27.167999999999999</v>
      </c>
      <c r="K831" s="8">
        <v>23.84</v>
      </c>
      <c r="L831" s="8">
        <v>21.706</v>
      </c>
      <c r="M831" s="8">
        <v>19.338999999999999</v>
      </c>
      <c r="N831" s="8">
        <v>18.646000000000001</v>
      </c>
      <c r="O831" s="8">
        <v>17.861999999999998</v>
      </c>
      <c r="P831" s="8">
        <v>16.643000000000001</v>
      </c>
      <c r="Q831" s="8">
        <v>15.004</v>
      </c>
      <c r="R831" s="8">
        <v>13.661</v>
      </c>
      <c r="S831" s="8">
        <v>12.288</v>
      </c>
      <c r="T831" s="8">
        <v>10.837</v>
      </c>
      <c r="U831" s="8">
        <v>9.2210000000000001</v>
      </c>
      <c r="V831" s="8">
        <v>7.359</v>
      </c>
      <c r="W831" s="8">
        <v>5.2779999999999996</v>
      </c>
      <c r="X831" s="8">
        <v>3.181</v>
      </c>
      <c r="Y831" s="8">
        <v>1.4550000000000001</v>
      </c>
      <c r="Z831" s="8">
        <v>0.42699999999999999</v>
      </c>
      <c r="AA831" s="8">
        <v>6.5000000000000002E-2</v>
      </c>
      <c r="AB831" s="8">
        <v>5.0000000000000001E-3</v>
      </c>
      <c r="AC831" s="8">
        <v>0</v>
      </c>
    </row>
    <row r="832" spans="1:29" ht="11.65" x14ac:dyDescent="0.35">
      <c r="A832" s="12">
        <v>815</v>
      </c>
      <c r="B832" s="10" t="s">
        <v>1015</v>
      </c>
      <c r="C832" s="11" t="s">
        <v>1083</v>
      </c>
      <c r="D832" s="9"/>
      <c r="E832" s="9">
        <v>266</v>
      </c>
      <c r="F832" s="10" t="s">
        <v>1066</v>
      </c>
      <c r="G832" s="9">
        <v>911</v>
      </c>
      <c r="H832" s="9">
        <v>1970</v>
      </c>
      <c r="I832" s="8">
        <v>42.246000000000002</v>
      </c>
      <c r="J832" s="8">
        <v>32.216999999999999</v>
      </c>
      <c r="K832" s="8">
        <v>26.381</v>
      </c>
      <c r="L832" s="8">
        <v>23.369</v>
      </c>
      <c r="M832" s="8">
        <v>21.212</v>
      </c>
      <c r="N832" s="8">
        <v>19.157</v>
      </c>
      <c r="O832" s="8">
        <v>18.553999999999998</v>
      </c>
      <c r="P832" s="8">
        <v>17.771000000000001</v>
      </c>
      <c r="Q832" s="8">
        <v>16.22</v>
      </c>
      <c r="R832" s="8">
        <v>14.066000000000001</v>
      </c>
      <c r="S832" s="8">
        <v>12.598000000000001</v>
      </c>
      <c r="T832" s="8">
        <v>11.08</v>
      </c>
      <c r="U832" s="8">
        <v>9.4380000000000006</v>
      </c>
      <c r="V832" s="8">
        <v>7.556</v>
      </c>
      <c r="W832" s="8">
        <v>5.4560000000000004</v>
      </c>
      <c r="X832" s="8">
        <v>3.3159999999999998</v>
      </c>
      <c r="Y832" s="8">
        <v>1.526</v>
      </c>
      <c r="Z832" s="8">
        <v>0.45</v>
      </c>
      <c r="AA832" s="8">
        <v>6.9000000000000006E-2</v>
      </c>
      <c r="AB832" s="8">
        <v>5.0000000000000001E-3</v>
      </c>
      <c r="AC832" s="8">
        <v>0</v>
      </c>
    </row>
    <row r="833" spans="1:29" ht="11.65" x14ac:dyDescent="0.35">
      <c r="A833" s="12">
        <v>816</v>
      </c>
      <c r="B833" s="10" t="s">
        <v>1015</v>
      </c>
      <c r="C833" s="11" t="s">
        <v>1083</v>
      </c>
      <c r="D833" s="9"/>
      <c r="E833" s="9">
        <v>266</v>
      </c>
      <c r="F833" s="10" t="s">
        <v>1066</v>
      </c>
      <c r="G833" s="9">
        <v>911</v>
      </c>
      <c r="H833" s="9">
        <v>1975</v>
      </c>
      <c r="I833" s="8">
        <v>49.104999999999997</v>
      </c>
      <c r="J833" s="8">
        <v>39.606999999999999</v>
      </c>
      <c r="K833" s="8">
        <v>31.515000000000001</v>
      </c>
      <c r="L833" s="8">
        <v>25.978000000000002</v>
      </c>
      <c r="M833" s="8">
        <v>22.952999999999999</v>
      </c>
      <c r="N833" s="8">
        <v>20.771000000000001</v>
      </c>
      <c r="O833" s="8">
        <v>18.687999999999999</v>
      </c>
      <c r="P833" s="8">
        <v>17.945</v>
      </c>
      <c r="Q833" s="8">
        <v>17</v>
      </c>
      <c r="R833" s="8">
        <v>15.337999999999999</v>
      </c>
      <c r="S833" s="8">
        <v>13.087999999999999</v>
      </c>
      <c r="T833" s="8">
        <v>11.465999999999999</v>
      </c>
      <c r="U833" s="8">
        <v>9.7409999999999997</v>
      </c>
      <c r="V833" s="8">
        <v>7.8109999999999999</v>
      </c>
      <c r="W833" s="8">
        <v>5.657</v>
      </c>
      <c r="X833" s="8">
        <v>3.4580000000000002</v>
      </c>
      <c r="Y833" s="8">
        <v>1.597</v>
      </c>
      <c r="Z833" s="8">
        <v>0.46800000000000003</v>
      </c>
      <c r="AA833" s="8">
        <v>7.0000000000000007E-2</v>
      </c>
      <c r="AB833" s="8">
        <v>5.0000000000000001E-3</v>
      </c>
      <c r="AC833" s="8">
        <v>0</v>
      </c>
    </row>
    <row r="834" spans="1:29" ht="11.65" x14ac:dyDescent="0.35">
      <c r="A834" s="12">
        <v>817</v>
      </c>
      <c r="B834" s="10" t="s">
        <v>1015</v>
      </c>
      <c r="C834" s="11" t="s">
        <v>1083</v>
      </c>
      <c r="D834" s="9"/>
      <c r="E834" s="9">
        <v>266</v>
      </c>
      <c r="F834" s="10" t="s">
        <v>1066</v>
      </c>
      <c r="G834" s="9">
        <v>911</v>
      </c>
      <c r="H834" s="9">
        <v>1980</v>
      </c>
      <c r="I834" s="8">
        <v>57.563000000000002</v>
      </c>
      <c r="J834" s="8">
        <v>46.853000000000002</v>
      </c>
      <c r="K834" s="8">
        <v>38.979999999999997</v>
      </c>
      <c r="L834" s="8">
        <v>31.202999999999999</v>
      </c>
      <c r="M834" s="8">
        <v>25.765999999999998</v>
      </c>
      <c r="N834" s="8">
        <v>22.773</v>
      </c>
      <c r="O834" s="8">
        <v>20.527000000000001</v>
      </c>
      <c r="P834" s="8">
        <v>18.308</v>
      </c>
      <c r="Q834" s="8">
        <v>17.373999999999999</v>
      </c>
      <c r="R834" s="8">
        <v>16.254999999999999</v>
      </c>
      <c r="S834" s="8">
        <v>14.420999999999999</v>
      </c>
      <c r="T834" s="8">
        <v>12.038</v>
      </c>
      <c r="U834" s="8">
        <v>10.193</v>
      </c>
      <c r="V834" s="8">
        <v>8.16</v>
      </c>
      <c r="W834" s="8">
        <v>5.9290000000000003</v>
      </c>
      <c r="X834" s="8">
        <v>3.6419999999999999</v>
      </c>
      <c r="Y834" s="8">
        <v>1.6919999999999999</v>
      </c>
      <c r="Z834" s="8">
        <v>0.49399999999999999</v>
      </c>
      <c r="AA834" s="8">
        <v>7.0000000000000007E-2</v>
      </c>
      <c r="AB834" s="8">
        <v>4.0000000000000001E-3</v>
      </c>
      <c r="AC834" s="8">
        <v>0</v>
      </c>
    </row>
    <row r="835" spans="1:29" ht="11.65" x14ac:dyDescent="0.35">
      <c r="A835" s="12">
        <v>818</v>
      </c>
      <c r="B835" s="10" t="s">
        <v>1015</v>
      </c>
      <c r="C835" s="11" t="s">
        <v>1083</v>
      </c>
      <c r="D835" s="9"/>
      <c r="E835" s="9">
        <v>266</v>
      </c>
      <c r="F835" s="10" t="s">
        <v>1066</v>
      </c>
      <c r="G835" s="9">
        <v>911</v>
      </c>
      <c r="H835" s="9">
        <v>1985</v>
      </c>
      <c r="I835" s="8">
        <v>67.816999999999993</v>
      </c>
      <c r="J835" s="8">
        <v>55.639000000000003</v>
      </c>
      <c r="K835" s="8">
        <v>46.3</v>
      </c>
      <c r="L835" s="8">
        <v>38.679000000000002</v>
      </c>
      <c r="M835" s="8">
        <v>31.001999999999999</v>
      </c>
      <c r="N835" s="8">
        <v>25.637</v>
      </c>
      <c r="O835" s="8">
        <v>22.59</v>
      </c>
      <c r="P835" s="8">
        <v>20.206</v>
      </c>
      <c r="Q835" s="8">
        <v>17.844999999999999</v>
      </c>
      <c r="R835" s="8">
        <v>16.739000000000001</v>
      </c>
      <c r="S835" s="8">
        <v>15.411</v>
      </c>
      <c r="T835" s="8">
        <v>13.388</v>
      </c>
      <c r="U835" s="8">
        <v>10.821</v>
      </c>
      <c r="V835" s="8">
        <v>8.6549999999999994</v>
      </c>
      <c r="W835" s="8">
        <v>6.3019999999999996</v>
      </c>
      <c r="X835" s="8">
        <v>3.9</v>
      </c>
      <c r="Y835" s="8">
        <v>1.8280000000000001</v>
      </c>
      <c r="Z835" s="8">
        <v>0.53900000000000003</v>
      </c>
      <c r="AA835" s="8">
        <v>7.4999999999999997E-2</v>
      </c>
      <c r="AB835" s="8">
        <v>4.0000000000000001E-3</v>
      </c>
      <c r="AC835" s="8">
        <v>0</v>
      </c>
    </row>
    <row r="836" spans="1:29" ht="11.65" x14ac:dyDescent="0.35">
      <c r="A836" s="12">
        <v>819</v>
      </c>
      <c r="B836" s="10" t="s">
        <v>1015</v>
      </c>
      <c r="C836" s="11" t="s">
        <v>1083</v>
      </c>
      <c r="D836" s="9"/>
      <c r="E836" s="9">
        <v>266</v>
      </c>
      <c r="F836" s="10" t="s">
        <v>1066</v>
      </c>
      <c r="G836" s="9">
        <v>911</v>
      </c>
      <c r="H836" s="9">
        <v>1990</v>
      </c>
      <c r="I836" s="8">
        <v>78.400999999999996</v>
      </c>
      <c r="J836" s="8">
        <v>66.185000000000002</v>
      </c>
      <c r="K836" s="8">
        <v>55.136000000000003</v>
      </c>
      <c r="L836" s="8">
        <v>46.021999999999998</v>
      </c>
      <c r="M836" s="8">
        <v>38.466000000000001</v>
      </c>
      <c r="N836" s="8">
        <v>30.873999999999999</v>
      </c>
      <c r="O836" s="8">
        <v>25.489000000000001</v>
      </c>
      <c r="P836" s="8">
        <v>22.312000000000001</v>
      </c>
      <c r="Q836" s="8">
        <v>19.779</v>
      </c>
      <c r="R836" s="8">
        <v>17.292999999999999</v>
      </c>
      <c r="S836" s="8">
        <v>15.978</v>
      </c>
      <c r="T836" s="8">
        <v>14.417999999999999</v>
      </c>
      <c r="U836" s="8">
        <v>12.151</v>
      </c>
      <c r="V836" s="8">
        <v>9.3040000000000003</v>
      </c>
      <c r="W836" s="8">
        <v>6.7990000000000004</v>
      </c>
      <c r="X836" s="8">
        <v>4.2430000000000003</v>
      </c>
      <c r="Y836" s="8">
        <v>2.02</v>
      </c>
      <c r="Z836" s="8">
        <v>0.60499999999999998</v>
      </c>
      <c r="AA836" s="8">
        <v>8.6999999999999994E-2</v>
      </c>
      <c r="AB836" s="8">
        <v>5.0000000000000001E-3</v>
      </c>
      <c r="AC836" s="8">
        <v>0</v>
      </c>
    </row>
    <row r="837" spans="1:29" ht="11.65" x14ac:dyDescent="0.35">
      <c r="A837" s="12">
        <v>820</v>
      </c>
      <c r="B837" s="10" t="s">
        <v>1015</v>
      </c>
      <c r="C837" s="11" t="s">
        <v>1083</v>
      </c>
      <c r="D837" s="9"/>
      <c r="E837" s="9">
        <v>266</v>
      </c>
      <c r="F837" s="10" t="s">
        <v>1066</v>
      </c>
      <c r="G837" s="9">
        <v>911</v>
      </c>
      <c r="H837" s="9">
        <v>1995</v>
      </c>
      <c r="I837" s="8">
        <v>87.397999999999996</v>
      </c>
      <c r="J837" s="8">
        <v>76.634</v>
      </c>
      <c r="K837" s="8">
        <v>65.596999999999994</v>
      </c>
      <c r="L837" s="8">
        <v>54.786000000000001</v>
      </c>
      <c r="M837" s="8">
        <v>45.713000000000001</v>
      </c>
      <c r="N837" s="8">
        <v>38.203000000000003</v>
      </c>
      <c r="O837" s="8">
        <v>30.608000000000001</v>
      </c>
      <c r="P837" s="8">
        <v>25.12</v>
      </c>
      <c r="Q837" s="8">
        <v>21.797000000000001</v>
      </c>
      <c r="R837" s="8">
        <v>19.126999999999999</v>
      </c>
      <c r="S837" s="8">
        <v>16.477</v>
      </c>
      <c r="T837" s="8">
        <v>14.917999999999999</v>
      </c>
      <c r="U837" s="8">
        <v>13.054</v>
      </c>
      <c r="V837" s="8">
        <v>10.414</v>
      </c>
      <c r="W837" s="8">
        <v>7.2809999999999997</v>
      </c>
      <c r="X837" s="8">
        <v>4.5549999999999997</v>
      </c>
      <c r="Y837" s="8">
        <v>2.1789999999999998</v>
      </c>
      <c r="Z837" s="8">
        <v>0.65800000000000003</v>
      </c>
      <c r="AA837" s="8">
        <v>9.4E-2</v>
      </c>
      <c r="AB837" s="8">
        <v>5.0000000000000001E-3</v>
      </c>
      <c r="AC837" s="8">
        <v>0</v>
      </c>
    </row>
    <row r="838" spans="1:29" ht="11.65" x14ac:dyDescent="0.35">
      <c r="A838" s="12">
        <v>821</v>
      </c>
      <c r="B838" s="10" t="s">
        <v>1015</v>
      </c>
      <c r="C838" s="11" t="s">
        <v>1083</v>
      </c>
      <c r="D838" s="9"/>
      <c r="E838" s="9">
        <v>266</v>
      </c>
      <c r="F838" s="10" t="s">
        <v>1066</v>
      </c>
      <c r="G838" s="9">
        <v>911</v>
      </c>
      <c r="H838" s="9">
        <v>2000</v>
      </c>
      <c r="I838" s="8">
        <v>93.265000000000001</v>
      </c>
      <c r="J838" s="8">
        <v>85.302000000000007</v>
      </c>
      <c r="K838" s="8">
        <v>75.741</v>
      </c>
      <c r="L838" s="8">
        <v>65.176000000000002</v>
      </c>
      <c r="M838" s="8">
        <v>54.780999999999999</v>
      </c>
      <c r="N838" s="8">
        <v>45.881999999999998</v>
      </c>
      <c r="O838" s="8">
        <v>38.249000000000002</v>
      </c>
      <c r="P838" s="8">
        <v>30.87</v>
      </c>
      <c r="Q838" s="8">
        <v>25.359000000000002</v>
      </c>
      <c r="R838" s="8">
        <v>21.446000000000002</v>
      </c>
      <c r="S838" s="8">
        <v>18.337</v>
      </c>
      <c r="T838" s="8">
        <v>15.419</v>
      </c>
      <c r="U838" s="8">
        <v>13.472</v>
      </c>
      <c r="V838" s="8">
        <v>11.112</v>
      </c>
      <c r="W838" s="8">
        <v>8.0500000000000007</v>
      </c>
      <c r="X838" s="8">
        <v>4.7889999999999997</v>
      </c>
      <c r="Y838" s="8">
        <v>2.2749999999999999</v>
      </c>
      <c r="Z838" s="8">
        <v>0.67700000000000005</v>
      </c>
      <c r="AA838" s="8">
        <v>9.6000000000000002E-2</v>
      </c>
      <c r="AB838" s="8">
        <v>5.0000000000000001E-3</v>
      </c>
      <c r="AC838" s="8">
        <v>0</v>
      </c>
    </row>
    <row r="839" spans="1:29" ht="11.65" x14ac:dyDescent="0.35">
      <c r="A839" s="12">
        <v>822</v>
      </c>
      <c r="B839" s="10" t="s">
        <v>1015</v>
      </c>
      <c r="C839" s="11" t="s">
        <v>1083</v>
      </c>
      <c r="D839" s="9"/>
      <c r="E839" s="9">
        <v>266</v>
      </c>
      <c r="F839" s="10" t="s">
        <v>1066</v>
      </c>
      <c r="G839" s="9">
        <v>911</v>
      </c>
      <c r="H839" s="9">
        <v>2005</v>
      </c>
      <c r="I839" s="8">
        <v>100.648</v>
      </c>
      <c r="J839" s="8">
        <v>91.042000000000002</v>
      </c>
      <c r="K839" s="8">
        <v>84.325000000000003</v>
      </c>
      <c r="L839" s="8">
        <v>75.3</v>
      </c>
      <c r="M839" s="8">
        <v>66.388999999999996</v>
      </c>
      <c r="N839" s="8">
        <v>57.322000000000003</v>
      </c>
      <c r="O839" s="8">
        <v>47.86</v>
      </c>
      <c r="P839" s="8">
        <v>39.072000000000003</v>
      </c>
      <c r="Q839" s="8">
        <v>30.742999999999999</v>
      </c>
      <c r="R839" s="8">
        <v>24.564</v>
      </c>
      <c r="S839" s="8">
        <v>20.167999999999999</v>
      </c>
      <c r="T839" s="8">
        <v>16.823</v>
      </c>
      <c r="U839" s="8">
        <v>13.632999999999999</v>
      </c>
      <c r="V839" s="8">
        <v>11.175000000000001</v>
      </c>
      <c r="W839" s="8">
        <v>8.3030000000000008</v>
      </c>
      <c r="X839" s="8">
        <v>5.0529999999999999</v>
      </c>
      <c r="Y839" s="8">
        <v>2.2389999999999999</v>
      </c>
      <c r="Z839" s="8">
        <v>0.64300000000000002</v>
      </c>
      <c r="AA839" s="8">
        <v>8.6999999999999994E-2</v>
      </c>
      <c r="AB839" s="8">
        <v>5.0000000000000001E-3</v>
      </c>
      <c r="AC839" s="8">
        <v>0</v>
      </c>
    </row>
    <row r="840" spans="1:29" ht="11.65" x14ac:dyDescent="0.35">
      <c r="A840" s="12">
        <v>823</v>
      </c>
      <c r="B840" s="10" t="s">
        <v>1015</v>
      </c>
      <c r="C840" s="11" t="s">
        <v>1083</v>
      </c>
      <c r="D840" s="9"/>
      <c r="E840" s="9">
        <v>266</v>
      </c>
      <c r="F840" s="10" t="s">
        <v>1066</v>
      </c>
      <c r="G840" s="9">
        <v>911</v>
      </c>
      <c r="H840" s="9">
        <v>2010</v>
      </c>
      <c r="I840" s="8">
        <v>118.065</v>
      </c>
      <c r="J840" s="8">
        <v>98.534000000000006</v>
      </c>
      <c r="K840" s="8">
        <v>89.966999999999999</v>
      </c>
      <c r="L840" s="8">
        <v>84.156999999999996</v>
      </c>
      <c r="M840" s="8">
        <v>79.593000000000004</v>
      </c>
      <c r="N840" s="8">
        <v>74.02</v>
      </c>
      <c r="O840" s="8">
        <v>64.399000000000001</v>
      </c>
      <c r="P840" s="8">
        <v>54.715000000000003</v>
      </c>
      <c r="Q840" s="8">
        <v>42.798999999999999</v>
      </c>
      <c r="R840" s="8">
        <v>30.629000000000001</v>
      </c>
      <c r="S840" s="8">
        <v>23.277000000000001</v>
      </c>
      <c r="T840" s="8">
        <v>18.602</v>
      </c>
      <c r="U840" s="8">
        <v>14.959</v>
      </c>
      <c r="V840" s="8">
        <v>11.356</v>
      </c>
      <c r="W840" s="8">
        <v>8.3740000000000006</v>
      </c>
      <c r="X840" s="8">
        <v>5.2069999999999999</v>
      </c>
      <c r="Y840" s="8">
        <v>2.347</v>
      </c>
      <c r="Z840" s="8">
        <v>0.63100000000000001</v>
      </c>
      <c r="AA840" s="8">
        <v>8.1000000000000003E-2</v>
      </c>
      <c r="AB840" s="8">
        <v>4.0000000000000001E-3</v>
      </c>
      <c r="AC840" s="8">
        <v>0</v>
      </c>
    </row>
    <row r="841" spans="1:29" ht="11.65" x14ac:dyDescent="0.35">
      <c r="A841" s="12">
        <v>824</v>
      </c>
      <c r="B841" s="10" t="s">
        <v>1015</v>
      </c>
      <c r="C841" s="11" t="s">
        <v>1083</v>
      </c>
      <c r="D841" s="9"/>
      <c r="E841" s="9">
        <v>266</v>
      </c>
      <c r="F841" s="10" t="s">
        <v>1066</v>
      </c>
      <c r="G841" s="9">
        <v>911</v>
      </c>
      <c r="H841" s="9">
        <v>2015</v>
      </c>
      <c r="I841" s="8">
        <v>142.80500000000001</v>
      </c>
      <c r="J841" s="8">
        <v>116.374</v>
      </c>
      <c r="K841" s="8">
        <v>97.801000000000002</v>
      </c>
      <c r="L841" s="8">
        <v>89.968000000000004</v>
      </c>
      <c r="M841" s="8">
        <v>94.061000000000007</v>
      </c>
      <c r="N841" s="8">
        <v>95.331000000000003</v>
      </c>
      <c r="O841" s="8">
        <v>84.947999999999993</v>
      </c>
      <c r="P841" s="8">
        <v>71.213999999999999</v>
      </c>
      <c r="Q841" s="8">
        <v>57.652999999999999</v>
      </c>
      <c r="R841" s="8">
        <v>43.058999999999997</v>
      </c>
      <c r="S841" s="8">
        <v>29.303000000000001</v>
      </c>
      <c r="T841" s="8">
        <v>21.756</v>
      </c>
      <c r="U841" s="8">
        <v>16.837</v>
      </c>
      <c r="V841" s="8">
        <v>12.776999999999999</v>
      </c>
      <c r="W841" s="8">
        <v>8.8379999999999992</v>
      </c>
      <c r="X841" s="8">
        <v>5.5709999999999997</v>
      </c>
      <c r="Y841" s="8">
        <v>2.6589999999999998</v>
      </c>
      <c r="Z841" s="8">
        <v>0.77100000000000002</v>
      </c>
      <c r="AA841" s="8">
        <v>0.1</v>
      </c>
      <c r="AB841" s="8">
        <v>5.0000000000000001E-3</v>
      </c>
      <c r="AC841" s="8">
        <v>0</v>
      </c>
    </row>
    <row r="842" spans="1:29" ht="11.65" x14ac:dyDescent="0.35">
      <c r="A842" s="12">
        <v>825</v>
      </c>
      <c r="B842" s="10" t="s">
        <v>1015</v>
      </c>
      <c r="C842" s="11" t="s">
        <v>1083</v>
      </c>
      <c r="D842" s="9"/>
      <c r="E842" s="9">
        <v>266</v>
      </c>
      <c r="F842" s="10" t="s">
        <v>1066</v>
      </c>
      <c r="G842" s="9">
        <v>911</v>
      </c>
      <c r="H842" s="9">
        <v>2020</v>
      </c>
      <c r="I842" s="8">
        <v>161.88200000000001</v>
      </c>
      <c r="J842" s="8">
        <v>141.07499999999999</v>
      </c>
      <c r="K842" s="8">
        <v>115.58199999999999</v>
      </c>
      <c r="L842" s="8">
        <v>97.251000000000005</v>
      </c>
      <c r="M842" s="8">
        <v>90.29</v>
      </c>
      <c r="N842" s="8">
        <v>95.114999999999995</v>
      </c>
      <c r="O842" s="8">
        <v>95.903000000000006</v>
      </c>
      <c r="P842" s="8">
        <v>84.873000000000005</v>
      </c>
      <c r="Q842" s="8">
        <v>70.584999999999994</v>
      </c>
      <c r="R842" s="8">
        <v>56.533999999999999</v>
      </c>
      <c r="S842" s="8">
        <v>41.473999999999997</v>
      </c>
      <c r="T842" s="8">
        <v>27.6</v>
      </c>
      <c r="U842" s="8">
        <v>19.879000000000001</v>
      </c>
      <c r="V842" s="8">
        <v>14.566000000000001</v>
      </c>
      <c r="W842" s="8">
        <v>10.122999999999999</v>
      </c>
      <c r="X842" s="8">
        <v>6.0449999999999999</v>
      </c>
      <c r="Y842" s="8">
        <v>2.9809999999999999</v>
      </c>
      <c r="Z842" s="8">
        <v>0.95099999999999996</v>
      </c>
      <c r="AA842" s="8">
        <v>0.13900000000000001</v>
      </c>
      <c r="AB842" s="8">
        <v>6.0000000000000001E-3</v>
      </c>
      <c r="AC842" s="8">
        <v>0</v>
      </c>
    </row>
    <row r="843" spans="1:29" ht="11.65" x14ac:dyDescent="0.35">
      <c r="A843" s="12">
        <v>826</v>
      </c>
      <c r="B843" s="10" t="s">
        <v>1015</v>
      </c>
      <c r="C843" s="11" t="s">
        <v>1084</v>
      </c>
      <c r="D843" s="9"/>
      <c r="E843" s="9">
        <v>678</v>
      </c>
      <c r="F843" s="10" t="s">
        <v>1066</v>
      </c>
      <c r="G843" s="9">
        <v>911</v>
      </c>
      <c r="H843" s="9">
        <v>1950</v>
      </c>
      <c r="I843" s="8">
        <v>4.9589999999999996</v>
      </c>
      <c r="J843" s="8">
        <v>3.1829999999999998</v>
      </c>
      <c r="K843" s="8">
        <v>1.863</v>
      </c>
      <c r="L843" s="8">
        <v>1.887</v>
      </c>
      <c r="M843" s="8">
        <v>4.7309999999999999</v>
      </c>
      <c r="N843" s="8">
        <v>4.4829999999999997</v>
      </c>
      <c r="O843" s="8">
        <v>3.7349999999999999</v>
      </c>
      <c r="P843" s="8">
        <v>2.2250000000000001</v>
      </c>
      <c r="Q843" s="8">
        <v>1.577</v>
      </c>
      <c r="R843" s="8">
        <v>1.2529999999999999</v>
      </c>
      <c r="S843" s="8">
        <v>1.091</v>
      </c>
      <c r="T843" s="8">
        <v>0.75800000000000001</v>
      </c>
      <c r="U843" s="8">
        <v>0.53300000000000003</v>
      </c>
      <c r="V843" s="8">
        <v>0.40899999999999997</v>
      </c>
      <c r="W843" s="8">
        <v>0.28899999999999998</v>
      </c>
      <c r="X843" s="8">
        <v>0.18</v>
      </c>
      <c r="Y843" s="8">
        <v>0.127</v>
      </c>
      <c r="Z843" s="8">
        <v>3.4000000000000002E-2</v>
      </c>
      <c r="AA843" s="8">
        <v>5.0000000000000001E-3</v>
      </c>
      <c r="AB843" s="8">
        <v>0</v>
      </c>
      <c r="AC843" s="8">
        <v>0</v>
      </c>
    </row>
    <row r="844" spans="1:29" ht="11.65" x14ac:dyDescent="0.35">
      <c r="A844" s="12">
        <v>827</v>
      </c>
      <c r="B844" s="10" t="s">
        <v>1015</v>
      </c>
      <c r="C844" s="11" t="s">
        <v>1084</v>
      </c>
      <c r="D844" s="9"/>
      <c r="E844" s="9">
        <v>678</v>
      </c>
      <c r="F844" s="10" t="s">
        <v>1066</v>
      </c>
      <c r="G844" s="9">
        <v>911</v>
      </c>
      <c r="H844" s="9">
        <v>1955</v>
      </c>
      <c r="I844" s="8">
        <v>4.7969999999999997</v>
      </c>
      <c r="J844" s="8">
        <v>3.2050000000000001</v>
      </c>
      <c r="K844" s="8">
        <v>1.851</v>
      </c>
      <c r="L844" s="8">
        <v>1.8520000000000001</v>
      </c>
      <c r="M844" s="8">
        <v>4.6349999999999998</v>
      </c>
      <c r="N844" s="8">
        <v>4.3970000000000002</v>
      </c>
      <c r="O844" s="8">
        <v>3.6669999999999998</v>
      </c>
      <c r="P844" s="8">
        <v>2.181</v>
      </c>
      <c r="Q844" s="8">
        <v>1.54</v>
      </c>
      <c r="R844" s="8">
        <v>1.222</v>
      </c>
      <c r="S844" s="8">
        <v>1.0609999999999999</v>
      </c>
      <c r="T844" s="8">
        <v>0.73399999999999999</v>
      </c>
      <c r="U844" s="8">
        <v>0.51200000000000001</v>
      </c>
      <c r="V844" s="8">
        <v>0.39100000000000001</v>
      </c>
      <c r="W844" s="8">
        <v>0.27600000000000002</v>
      </c>
      <c r="X844" s="8">
        <v>0.17199999999999999</v>
      </c>
      <c r="Y844" s="8">
        <v>0.112</v>
      </c>
      <c r="Z844" s="8">
        <v>4.3999999999999997E-2</v>
      </c>
      <c r="AA844" s="8">
        <v>8.0000000000000002E-3</v>
      </c>
      <c r="AB844" s="8">
        <v>0</v>
      </c>
      <c r="AC844" s="8">
        <v>0</v>
      </c>
    </row>
    <row r="845" spans="1:29" ht="11.65" x14ac:dyDescent="0.35">
      <c r="A845" s="12">
        <v>828</v>
      </c>
      <c r="B845" s="10" t="s">
        <v>1015</v>
      </c>
      <c r="C845" s="11" t="s">
        <v>1084</v>
      </c>
      <c r="D845" s="9"/>
      <c r="E845" s="9">
        <v>678</v>
      </c>
      <c r="F845" s="10" t="s">
        <v>1066</v>
      </c>
      <c r="G845" s="9">
        <v>911</v>
      </c>
      <c r="H845" s="9">
        <v>1960</v>
      </c>
      <c r="I845" s="8">
        <v>5.2389999999999999</v>
      </c>
      <c r="J845" s="8">
        <v>3.42</v>
      </c>
      <c r="K845" s="8">
        <v>2.101</v>
      </c>
      <c r="L845" s="8">
        <v>2.0449999999999999</v>
      </c>
      <c r="M845" s="8">
        <v>5.1079999999999997</v>
      </c>
      <c r="N845" s="8">
        <v>4.8479999999999999</v>
      </c>
      <c r="O845" s="8">
        <v>4.056</v>
      </c>
      <c r="P845" s="8">
        <v>2.3849999999999998</v>
      </c>
      <c r="Q845" s="8">
        <v>1.681</v>
      </c>
      <c r="R845" s="8">
        <v>1.3280000000000001</v>
      </c>
      <c r="S845" s="8">
        <v>1.151</v>
      </c>
      <c r="T845" s="8">
        <v>0.79300000000000004</v>
      </c>
      <c r="U845" s="8">
        <v>0.54800000000000004</v>
      </c>
      <c r="V845" s="8">
        <v>0.41599999999999998</v>
      </c>
      <c r="W845" s="8">
        <v>0.28999999999999998</v>
      </c>
      <c r="X845" s="8">
        <v>0.18099999999999999</v>
      </c>
      <c r="Y845" s="8">
        <v>0.123</v>
      </c>
      <c r="Z845" s="8">
        <v>0.04</v>
      </c>
      <c r="AA845" s="8">
        <v>0.01</v>
      </c>
      <c r="AB845" s="8">
        <v>0</v>
      </c>
      <c r="AC845" s="8">
        <v>0</v>
      </c>
    </row>
    <row r="846" spans="1:29" ht="11.65" x14ac:dyDescent="0.35">
      <c r="A846" s="12">
        <v>829</v>
      </c>
      <c r="B846" s="10" t="s">
        <v>1015</v>
      </c>
      <c r="C846" s="11" t="s">
        <v>1084</v>
      </c>
      <c r="D846" s="9"/>
      <c r="E846" s="9">
        <v>678</v>
      </c>
      <c r="F846" s="10" t="s">
        <v>1066</v>
      </c>
      <c r="G846" s="9">
        <v>911</v>
      </c>
      <c r="H846" s="9">
        <v>1965</v>
      </c>
      <c r="I846" s="8">
        <v>6.0780000000000003</v>
      </c>
      <c r="J846" s="8">
        <v>4.3010000000000002</v>
      </c>
      <c r="K846" s="8">
        <v>3.202</v>
      </c>
      <c r="L846" s="8">
        <v>3.0139999999999998</v>
      </c>
      <c r="M846" s="8">
        <v>3.9849999999999999</v>
      </c>
      <c r="N846" s="8">
        <v>3.379</v>
      </c>
      <c r="O846" s="8">
        <v>2.5499999999999998</v>
      </c>
      <c r="P846" s="8">
        <v>1.6919999999999999</v>
      </c>
      <c r="Q846" s="8">
        <v>1.5960000000000001</v>
      </c>
      <c r="R846" s="8">
        <v>1.375</v>
      </c>
      <c r="S846" s="8">
        <v>1.123</v>
      </c>
      <c r="T846" s="8">
        <v>0.89200000000000002</v>
      </c>
      <c r="U846" s="8">
        <v>0.35599999999999998</v>
      </c>
      <c r="V846" s="8">
        <v>0.26500000000000001</v>
      </c>
      <c r="W846" s="8">
        <v>0.18099999999999999</v>
      </c>
      <c r="X846" s="8">
        <v>0.11</v>
      </c>
      <c r="Y846" s="8">
        <v>5.3999999999999999E-2</v>
      </c>
      <c r="Z846" s="8">
        <v>4.2999999999999997E-2</v>
      </c>
      <c r="AA846" s="8">
        <v>0.01</v>
      </c>
      <c r="AB846" s="8">
        <v>0</v>
      </c>
      <c r="AC846" s="8">
        <v>0</v>
      </c>
    </row>
    <row r="847" spans="1:29" ht="11.65" x14ac:dyDescent="0.35">
      <c r="A847" s="12">
        <v>830</v>
      </c>
      <c r="B847" s="10" t="s">
        <v>1015</v>
      </c>
      <c r="C847" s="11" t="s">
        <v>1084</v>
      </c>
      <c r="D847" s="9"/>
      <c r="E847" s="9">
        <v>678</v>
      </c>
      <c r="F847" s="10" t="s">
        <v>1066</v>
      </c>
      <c r="G847" s="9">
        <v>911</v>
      </c>
      <c r="H847" s="9">
        <v>1970</v>
      </c>
      <c r="I847" s="8">
        <v>7.6059999999999999</v>
      </c>
      <c r="J847" s="8">
        <v>5.5540000000000003</v>
      </c>
      <c r="K847" s="8">
        <v>4.7549999999999999</v>
      </c>
      <c r="L847" s="8">
        <v>4.1589999999999998</v>
      </c>
      <c r="M847" s="8">
        <v>3.1019999999999999</v>
      </c>
      <c r="N847" s="8">
        <v>2.2799999999999998</v>
      </c>
      <c r="O847" s="8">
        <v>1.52</v>
      </c>
      <c r="P847" s="8">
        <v>1.1439999999999999</v>
      </c>
      <c r="Q847" s="8">
        <v>1.51</v>
      </c>
      <c r="R847" s="8">
        <v>1.44</v>
      </c>
      <c r="S847" s="8">
        <v>1.101</v>
      </c>
      <c r="T847" s="8">
        <v>1.0309999999999999</v>
      </c>
      <c r="U847" s="8">
        <v>0.69899999999999995</v>
      </c>
      <c r="V847" s="8">
        <v>0.57499999999999996</v>
      </c>
      <c r="W847" s="8">
        <v>0.40899999999999997</v>
      </c>
      <c r="X847" s="8">
        <v>0.25</v>
      </c>
      <c r="Y847" s="8">
        <v>0.20300000000000001</v>
      </c>
      <c r="Z847" s="8">
        <v>2.3E-2</v>
      </c>
      <c r="AA847" s="8">
        <v>1.0999999999999999E-2</v>
      </c>
      <c r="AB847" s="8">
        <v>0</v>
      </c>
      <c r="AC847" s="8">
        <v>0</v>
      </c>
    </row>
    <row r="848" spans="1:29" ht="11.65" x14ac:dyDescent="0.35">
      <c r="A848" s="12">
        <v>831</v>
      </c>
      <c r="B848" s="10" t="s">
        <v>1015</v>
      </c>
      <c r="C848" s="11" t="s">
        <v>1084</v>
      </c>
      <c r="D848" s="9"/>
      <c r="E848" s="9">
        <v>678</v>
      </c>
      <c r="F848" s="10" t="s">
        <v>1066</v>
      </c>
      <c r="G848" s="9">
        <v>911</v>
      </c>
      <c r="H848" s="9">
        <v>1975</v>
      </c>
      <c r="I848" s="8">
        <v>8.3420000000000005</v>
      </c>
      <c r="J848" s="8">
        <v>6.5730000000000004</v>
      </c>
      <c r="K848" s="8">
        <v>5.282</v>
      </c>
      <c r="L848" s="8">
        <v>4.4379999999999997</v>
      </c>
      <c r="M848" s="8">
        <v>3.3879999999999999</v>
      </c>
      <c r="N848" s="8">
        <v>2.52</v>
      </c>
      <c r="O848" s="8">
        <v>1.6679999999999999</v>
      </c>
      <c r="P848" s="8">
        <v>1.323</v>
      </c>
      <c r="Q848" s="8">
        <v>1.732</v>
      </c>
      <c r="R848" s="8">
        <v>1.617</v>
      </c>
      <c r="S848" s="8">
        <v>1.288</v>
      </c>
      <c r="T848" s="8">
        <v>1.1579999999999999</v>
      </c>
      <c r="U848" s="8">
        <v>0.81399999999999995</v>
      </c>
      <c r="V848" s="8">
        <v>0.63500000000000001</v>
      </c>
      <c r="W848" s="8">
        <v>0.30499999999999999</v>
      </c>
      <c r="X848" s="8">
        <v>0.16700000000000001</v>
      </c>
      <c r="Y848" s="8">
        <v>1.2999999999999999E-2</v>
      </c>
      <c r="Z848" s="8">
        <v>7.1999999999999995E-2</v>
      </c>
      <c r="AA848" s="8">
        <v>3.0000000000000001E-3</v>
      </c>
      <c r="AB848" s="8">
        <v>0</v>
      </c>
      <c r="AC848" s="8">
        <v>0</v>
      </c>
    </row>
    <row r="849" spans="1:29" ht="11.65" x14ac:dyDescent="0.35">
      <c r="A849" s="12">
        <v>832</v>
      </c>
      <c r="B849" s="10" t="s">
        <v>1015</v>
      </c>
      <c r="C849" s="11" t="s">
        <v>1084</v>
      </c>
      <c r="D849" s="9"/>
      <c r="E849" s="9">
        <v>678</v>
      </c>
      <c r="F849" s="10" t="s">
        <v>1066</v>
      </c>
      <c r="G849" s="9">
        <v>911</v>
      </c>
      <c r="H849" s="9">
        <v>1980</v>
      </c>
      <c r="I849" s="8">
        <v>9.7739999999999991</v>
      </c>
      <c r="J849" s="8">
        <v>7.1150000000000002</v>
      </c>
      <c r="K849" s="8">
        <v>6.21</v>
      </c>
      <c r="L849" s="8">
        <v>5.0039999999999996</v>
      </c>
      <c r="M849" s="8">
        <v>3.69</v>
      </c>
      <c r="N849" s="8">
        <v>2.63</v>
      </c>
      <c r="O849" s="8">
        <v>1.8740000000000001</v>
      </c>
      <c r="P849" s="8">
        <v>1.552</v>
      </c>
      <c r="Q849" s="8">
        <v>2.0169999999999999</v>
      </c>
      <c r="R849" s="8">
        <v>1.8480000000000001</v>
      </c>
      <c r="S849" s="8">
        <v>1.5409999999999999</v>
      </c>
      <c r="T849" s="8">
        <v>1.3029999999999999</v>
      </c>
      <c r="U849" s="8">
        <v>0.95299999999999996</v>
      </c>
      <c r="V849" s="8">
        <v>0.70399999999999996</v>
      </c>
      <c r="W849" s="8">
        <v>0.47699999999999998</v>
      </c>
      <c r="X849" s="8">
        <v>0.28799999999999998</v>
      </c>
      <c r="Y849" s="8">
        <v>0.23100000000000001</v>
      </c>
      <c r="Z849" s="8">
        <v>1.9E-2</v>
      </c>
      <c r="AA849" s="8">
        <v>1.7000000000000001E-2</v>
      </c>
      <c r="AB849" s="8">
        <v>0</v>
      </c>
      <c r="AC849" s="8">
        <v>0</v>
      </c>
    </row>
    <row r="850" spans="1:29" ht="11.65" x14ac:dyDescent="0.35">
      <c r="A850" s="12">
        <v>833</v>
      </c>
      <c r="B850" s="10" t="s">
        <v>1015</v>
      </c>
      <c r="C850" s="11" t="s">
        <v>1084</v>
      </c>
      <c r="D850" s="9"/>
      <c r="E850" s="9">
        <v>678</v>
      </c>
      <c r="F850" s="10" t="s">
        <v>1066</v>
      </c>
      <c r="G850" s="9">
        <v>911</v>
      </c>
      <c r="H850" s="9">
        <v>1985</v>
      </c>
      <c r="I850" s="8">
        <v>9.407</v>
      </c>
      <c r="J850" s="8">
        <v>9.2889999999999997</v>
      </c>
      <c r="K850" s="8">
        <v>6.7990000000000004</v>
      </c>
      <c r="L850" s="8">
        <v>5.7850000000000001</v>
      </c>
      <c r="M850" s="8">
        <v>4.4560000000000004</v>
      </c>
      <c r="N850" s="8">
        <v>3.169</v>
      </c>
      <c r="O850" s="8">
        <v>2.2360000000000002</v>
      </c>
      <c r="P850" s="8">
        <v>1.593</v>
      </c>
      <c r="Q850" s="8">
        <v>1.3460000000000001</v>
      </c>
      <c r="R850" s="8">
        <v>1.83</v>
      </c>
      <c r="S850" s="8">
        <v>1.675</v>
      </c>
      <c r="T850" s="8">
        <v>1.369</v>
      </c>
      <c r="U850" s="8">
        <v>1.1160000000000001</v>
      </c>
      <c r="V850" s="8">
        <v>0.76500000000000001</v>
      </c>
      <c r="W850" s="8">
        <v>0.51300000000000001</v>
      </c>
      <c r="X850" s="8">
        <v>0.29499999999999998</v>
      </c>
      <c r="Y850" s="8">
        <v>0.14000000000000001</v>
      </c>
      <c r="Z850" s="8">
        <v>8.5000000000000006E-2</v>
      </c>
      <c r="AA850" s="8">
        <v>0</v>
      </c>
      <c r="AB850" s="8">
        <v>1E-3</v>
      </c>
      <c r="AC850" s="8">
        <v>0</v>
      </c>
    </row>
    <row r="851" spans="1:29" ht="11.65" x14ac:dyDescent="0.35">
      <c r="A851" s="12">
        <v>834</v>
      </c>
      <c r="B851" s="10" t="s">
        <v>1015</v>
      </c>
      <c r="C851" s="11" t="s">
        <v>1084</v>
      </c>
      <c r="D851" s="9"/>
      <c r="E851" s="9">
        <v>678</v>
      </c>
      <c r="F851" s="10" t="s">
        <v>1066</v>
      </c>
      <c r="G851" s="9">
        <v>911</v>
      </c>
      <c r="H851" s="9">
        <v>1990</v>
      </c>
      <c r="I851" s="8">
        <v>10.281000000000001</v>
      </c>
      <c r="J851" s="8">
        <v>10.138999999999999</v>
      </c>
      <c r="K851" s="8">
        <v>8.7750000000000004</v>
      </c>
      <c r="L851" s="8">
        <v>6.2519999999999998</v>
      </c>
      <c r="M851" s="8">
        <v>5.093</v>
      </c>
      <c r="N851" s="8">
        <v>3.9119999999999999</v>
      </c>
      <c r="O851" s="8">
        <v>2.7850000000000001</v>
      </c>
      <c r="P851" s="8">
        <v>2.121</v>
      </c>
      <c r="Q851" s="8">
        <v>1.6850000000000001</v>
      </c>
      <c r="R851" s="8">
        <v>1.484</v>
      </c>
      <c r="S851" s="8">
        <v>1.784</v>
      </c>
      <c r="T851" s="8">
        <v>1.498</v>
      </c>
      <c r="U851" s="8">
        <v>1.2</v>
      </c>
      <c r="V851" s="8">
        <v>0.90900000000000003</v>
      </c>
      <c r="W851" s="8">
        <v>0.51600000000000001</v>
      </c>
      <c r="X851" s="8">
        <v>0.27900000000000003</v>
      </c>
      <c r="Y851" s="8">
        <v>0.10100000000000001</v>
      </c>
      <c r="Z851" s="8">
        <v>5.0999999999999997E-2</v>
      </c>
      <c r="AA851" s="8">
        <v>1.9E-2</v>
      </c>
      <c r="AB851" s="8">
        <v>0</v>
      </c>
      <c r="AC851" s="8">
        <v>0</v>
      </c>
    </row>
    <row r="852" spans="1:29" ht="11.65" x14ac:dyDescent="0.35">
      <c r="A852" s="12">
        <v>835</v>
      </c>
      <c r="B852" s="10" t="s">
        <v>1015</v>
      </c>
      <c r="C852" s="11" t="s">
        <v>1084</v>
      </c>
      <c r="D852" s="9"/>
      <c r="E852" s="9">
        <v>678</v>
      </c>
      <c r="F852" s="10" t="s">
        <v>1066</v>
      </c>
      <c r="G852" s="9">
        <v>911</v>
      </c>
      <c r="H852" s="9">
        <v>1995</v>
      </c>
      <c r="I852" s="8">
        <v>11.262</v>
      </c>
      <c r="J852" s="8">
        <v>9.9359999999999999</v>
      </c>
      <c r="K852" s="8">
        <v>9.7780000000000005</v>
      </c>
      <c r="L852" s="8">
        <v>8.3109999999999999</v>
      </c>
      <c r="M852" s="8">
        <v>5.6710000000000003</v>
      </c>
      <c r="N852" s="8">
        <v>4.5350000000000001</v>
      </c>
      <c r="O852" s="8">
        <v>3.4830000000000001</v>
      </c>
      <c r="P852" s="8">
        <v>2.4769999999999999</v>
      </c>
      <c r="Q852" s="8">
        <v>1.89</v>
      </c>
      <c r="R852" s="8">
        <v>1.506</v>
      </c>
      <c r="S852" s="8">
        <v>1.3240000000000001</v>
      </c>
      <c r="T852" s="8">
        <v>1.5840000000000001</v>
      </c>
      <c r="U852" s="8">
        <v>1.282</v>
      </c>
      <c r="V852" s="8">
        <v>0.96299999999999997</v>
      </c>
      <c r="W852" s="8">
        <v>0.65900000000000003</v>
      </c>
      <c r="X852" s="8">
        <v>0.316</v>
      </c>
      <c r="Y852" s="8">
        <v>0.13300000000000001</v>
      </c>
      <c r="Z852" s="8">
        <v>3.5999999999999997E-2</v>
      </c>
      <c r="AA852" s="8">
        <v>1.0999999999999999E-2</v>
      </c>
      <c r="AB852" s="8">
        <v>3.0000000000000001E-3</v>
      </c>
      <c r="AC852" s="8">
        <v>0</v>
      </c>
    </row>
    <row r="853" spans="1:29" ht="11.65" x14ac:dyDescent="0.35">
      <c r="A853" s="12">
        <v>836</v>
      </c>
      <c r="B853" s="10" t="s">
        <v>1015</v>
      </c>
      <c r="C853" s="11" t="s">
        <v>1084</v>
      </c>
      <c r="D853" s="9"/>
      <c r="E853" s="9">
        <v>678</v>
      </c>
      <c r="F853" s="10" t="s">
        <v>1066</v>
      </c>
      <c r="G853" s="9">
        <v>911</v>
      </c>
      <c r="H853" s="9">
        <v>2000</v>
      </c>
      <c r="I853" s="8">
        <v>11.643000000000001</v>
      </c>
      <c r="J853" s="8">
        <v>10.237</v>
      </c>
      <c r="K853" s="8">
        <v>9.9410000000000007</v>
      </c>
      <c r="L853" s="8">
        <v>9.0120000000000005</v>
      </c>
      <c r="M853" s="8">
        <v>7.7089999999999996</v>
      </c>
      <c r="N853" s="8">
        <v>4.657</v>
      </c>
      <c r="O853" s="8">
        <v>3.8109999999999999</v>
      </c>
      <c r="P853" s="8">
        <v>3.0270000000000001</v>
      </c>
      <c r="Q853" s="8">
        <v>2.415</v>
      </c>
      <c r="R853" s="8">
        <v>1.855</v>
      </c>
      <c r="S853" s="8">
        <v>1.4610000000000001</v>
      </c>
      <c r="T853" s="8">
        <v>1.1599999999999999</v>
      </c>
      <c r="U853" s="8">
        <v>1.29</v>
      </c>
      <c r="V853" s="8">
        <v>0.88700000000000001</v>
      </c>
      <c r="W853" s="8">
        <v>0.61799999999999999</v>
      </c>
      <c r="X853" s="8">
        <v>0.35399999999999998</v>
      </c>
      <c r="Y853" s="8">
        <v>0.14799999999999999</v>
      </c>
      <c r="Z853" s="8">
        <v>4.8000000000000001E-2</v>
      </c>
      <c r="AA853" s="8">
        <v>8.9999999999999993E-3</v>
      </c>
      <c r="AB853" s="8">
        <v>2E-3</v>
      </c>
      <c r="AC853" s="8">
        <v>0</v>
      </c>
    </row>
    <row r="854" spans="1:29" ht="11.65" x14ac:dyDescent="0.35">
      <c r="A854" s="12">
        <v>837</v>
      </c>
      <c r="B854" s="10" t="s">
        <v>1015</v>
      </c>
      <c r="C854" s="11" t="s">
        <v>1084</v>
      </c>
      <c r="D854" s="9"/>
      <c r="E854" s="9">
        <v>678</v>
      </c>
      <c r="F854" s="10" t="s">
        <v>1066</v>
      </c>
      <c r="G854" s="9">
        <v>911</v>
      </c>
      <c r="H854" s="9">
        <v>2005</v>
      </c>
      <c r="I854" s="8">
        <v>13.808999999999999</v>
      </c>
      <c r="J854" s="8">
        <v>11.355</v>
      </c>
      <c r="K854" s="8">
        <v>9.7880000000000003</v>
      </c>
      <c r="L854" s="8">
        <v>9.3149999999999995</v>
      </c>
      <c r="M854" s="8">
        <v>8.1890000000000001</v>
      </c>
      <c r="N854" s="8">
        <v>6.9130000000000003</v>
      </c>
      <c r="O854" s="8">
        <v>4.0679999999999996</v>
      </c>
      <c r="P854" s="8">
        <v>3.379</v>
      </c>
      <c r="Q854" s="8">
        <v>2.7109999999999999</v>
      </c>
      <c r="R854" s="8">
        <v>2.173</v>
      </c>
      <c r="S854" s="8">
        <v>1.655</v>
      </c>
      <c r="T854" s="8">
        <v>1.2809999999999999</v>
      </c>
      <c r="U854" s="8">
        <v>0.98299999999999998</v>
      </c>
      <c r="V854" s="8">
        <v>1.0429999999999999</v>
      </c>
      <c r="W854" s="8">
        <v>0.64900000000000002</v>
      </c>
      <c r="X854" s="8">
        <v>0.38700000000000001</v>
      </c>
      <c r="Y854" s="8">
        <v>0.17199999999999999</v>
      </c>
      <c r="Z854" s="8">
        <v>5.6000000000000001E-2</v>
      </c>
      <c r="AA854" s="8">
        <v>1.2E-2</v>
      </c>
      <c r="AB854" s="8">
        <v>0</v>
      </c>
      <c r="AC854" s="8">
        <v>0</v>
      </c>
    </row>
    <row r="855" spans="1:29" ht="11.65" x14ac:dyDescent="0.35">
      <c r="A855" s="12">
        <v>838</v>
      </c>
      <c r="B855" s="10" t="s">
        <v>1015</v>
      </c>
      <c r="C855" s="11" t="s">
        <v>1084</v>
      </c>
      <c r="D855" s="9"/>
      <c r="E855" s="9">
        <v>678</v>
      </c>
      <c r="F855" s="10" t="s">
        <v>1066</v>
      </c>
      <c r="G855" s="9">
        <v>911</v>
      </c>
      <c r="H855" s="9">
        <v>2010</v>
      </c>
      <c r="I855" s="8">
        <v>15.042</v>
      </c>
      <c r="J855" s="8">
        <v>13.56</v>
      </c>
      <c r="K855" s="8">
        <v>10.919</v>
      </c>
      <c r="L855" s="8">
        <v>9.1809999999999992</v>
      </c>
      <c r="M855" s="8">
        <v>8.5109999999999992</v>
      </c>
      <c r="N855" s="8">
        <v>7.4109999999999996</v>
      </c>
      <c r="O855" s="8">
        <v>6.3079999999999998</v>
      </c>
      <c r="P855" s="8">
        <v>4.3499999999999996</v>
      </c>
      <c r="Q855" s="8">
        <v>4.149</v>
      </c>
      <c r="R855" s="8">
        <v>3.0009999999999999</v>
      </c>
      <c r="S855" s="8">
        <v>2.5329999999999999</v>
      </c>
      <c r="T855" s="8">
        <v>1.6890000000000001</v>
      </c>
      <c r="U855" s="8">
        <v>1.2689999999999999</v>
      </c>
      <c r="V855" s="8">
        <v>0.84399999999999997</v>
      </c>
      <c r="W855" s="8">
        <v>0.753</v>
      </c>
      <c r="X855" s="8">
        <v>0.373</v>
      </c>
      <c r="Y855" s="8">
        <v>0.182</v>
      </c>
      <c r="Z855" s="8">
        <v>6.6000000000000003E-2</v>
      </c>
      <c r="AA855" s="8">
        <v>1.4E-2</v>
      </c>
      <c r="AB855" s="8">
        <v>2E-3</v>
      </c>
      <c r="AC855" s="8">
        <v>0</v>
      </c>
    </row>
    <row r="856" spans="1:29" ht="11.65" x14ac:dyDescent="0.35">
      <c r="A856" s="12">
        <v>839</v>
      </c>
      <c r="B856" s="10" t="s">
        <v>1015</v>
      </c>
      <c r="C856" s="11" t="s">
        <v>1084</v>
      </c>
      <c r="D856" s="9"/>
      <c r="E856" s="9">
        <v>678</v>
      </c>
      <c r="F856" s="10" t="s">
        <v>1066</v>
      </c>
      <c r="G856" s="9">
        <v>911</v>
      </c>
      <c r="H856" s="9">
        <v>2015</v>
      </c>
      <c r="I856" s="8">
        <v>15.698</v>
      </c>
      <c r="J856" s="8">
        <v>14.83</v>
      </c>
      <c r="K856" s="8">
        <v>13.132</v>
      </c>
      <c r="L856" s="8">
        <v>10.318</v>
      </c>
      <c r="M856" s="8">
        <v>8.3949999999999996</v>
      </c>
      <c r="N856" s="8">
        <v>7.7480000000000002</v>
      </c>
      <c r="O856" s="8">
        <v>6.8179999999999996</v>
      </c>
      <c r="P856" s="8">
        <v>5.87</v>
      </c>
      <c r="Q856" s="8">
        <v>4.0350000000000001</v>
      </c>
      <c r="R856" s="8">
        <v>3.8849999999999998</v>
      </c>
      <c r="S856" s="8">
        <v>2.778</v>
      </c>
      <c r="T856" s="8">
        <v>2.3069999999999999</v>
      </c>
      <c r="U856" s="8">
        <v>1.4790000000000001</v>
      </c>
      <c r="V856" s="8">
        <v>1.0529999999999999</v>
      </c>
      <c r="W856" s="8">
        <v>0.63800000000000001</v>
      </c>
      <c r="X856" s="8">
        <v>0.497</v>
      </c>
      <c r="Y856" s="8">
        <v>0.19600000000000001</v>
      </c>
      <c r="Z856" s="8">
        <v>7.4999999999999997E-2</v>
      </c>
      <c r="AA856" s="8">
        <v>1.7999999999999999E-2</v>
      </c>
      <c r="AB856" s="8">
        <v>2E-3</v>
      </c>
      <c r="AC856" s="8">
        <v>0</v>
      </c>
    </row>
    <row r="857" spans="1:29" ht="11.65" x14ac:dyDescent="0.35">
      <c r="A857" s="12">
        <v>840</v>
      </c>
      <c r="B857" s="10" t="s">
        <v>1015</v>
      </c>
      <c r="C857" s="11" t="s">
        <v>1084</v>
      </c>
      <c r="D857" s="9"/>
      <c r="E857" s="9">
        <v>678</v>
      </c>
      <c r="F857" s="10" t="s">
        <v>1066</v>
      </c>
      <c r="G857" s="9">
        <v>911</v>
      </c>
      <c r="H857" s="9">
        <v>2020</v>
      </c>
      <c r="I857" s="8">
        <v>16.064</v>
      </c>
      <c r="J857" s="8">
        <v>15.492000000000001</v>
      </c>
      <c r="K857" s="8">
        <v>14.696999999999999</v>
      </c>
      <c r="L857" s="8">
        <v>12.631</v>
      </c>
      <c r="M857" s="8">
        <v>9.4499999999999993</v>
      </c>
      <c r="N857" s="8">
        <v>7.5629999999999997</v>
      </c>
      <c r="O857" s="8">
        <v>7.1020000000000003</v>
      </c>
      <c r="P857" s="8">
        <v>6.343</v>
      </c>
      <c r="Q857" s="8">
        <v>5.5140000000000002</v>
      </c>
      <c r="R857" s="8">
        <v>3.766</v>
      </c>
      <c r="S857" s="8">
        <v>3.625</v>
      </c>
      <c r="T857" s="8">
        <v>2.5409999999999999</v>
      </c>
      <c r="U857" s="8">
        <v>2.0459999999999998</v>
      </c>
      <c r="V857" s="8">
        <v>1.2390000000000001</v>
      </c>
      <c r="W857" s="8">
        <v>0.80800000000000005</v>
      </c>
      <c r="X857" s="8">
        <v>0.42299999999999999</v>
      </c>
      <c r="Y857" s="8">
        <v>0.26800000000000002</v>
      </c>
      <c r="Z857" s="8">
        <v>0.08</v>
      </c>
      <c r="AA857" s="8">
        <v>0.02</v>
      </c>
      <c r="AB857" s="8">
        <v>3.0000000000000001E-3</v>
      </c>
      <c r="AC857" s="8">
        <v>0</v>
      </c>
    </row>
    <row r="858" spans="1:29" ht="11.65" x14ac:dyDescent="0.35">
      <c r="A858" s="23">
        <v>841</v>
      </c>
      <c r="B858" s="21" t="s">
        <v>1015</v>
      </c>
      <c r="C858" s="29" t="s">
        <v>1085</v>
      </c>
      <c r="D858" s="20"/>
      <c r="E858" s="20">
        <v>913</v>
      </c>
      <c r="F858" s="21" t="s">
        <v>1065</v>
      </c>
      <c r="G858" s="20">
        <v>947</v>
      </c>
      <c r="H858" s="20">
        <v>1950</v>
      </c>
      <c r="I858" s="19">
        <v>1169.3520000000001</v>
      </c>
      <c r="J858" s="19">
        <v>979.28</v>
      </c>
      <c r="K858" s="19">
        <v>850.94600000000003</v>
      </c>
      <c r="L858" s="19">
        <v>778.73599999999999</v>
      </c>
      <c r="M858" s="19">
        <v>698.54100000000005</v>
      </c>
      <c r="N858" s="19">
        <v>610.03499999999997</v>
      </c>
      <c r="O858" s="19">
        <v>547.44200000000001</v>
      </c>
      <c r="P858" s="19">
        <v>476.01100000000002</v>
      </c>
      <c r="Q858" s="19">
        <v>404.286</v>
      </c>
      <c r="R858" s="19">
        <v>324.08300000000003</v>
      </c>
      <c r="S858" s="19">
        <v>265.87299999999999</v>
      </c>
      <c r="T858" s="19">
        <v>215.96199999999999</v>
      </c>
      <c r="U858" s="19">
        <v>165.09200000000001</v>
      </c>
      <c r="V858" s="19">
        <v>115.18300000000001</v>
      </c>
      <c r="W858" s="19">
        <v>83.738</v>
      </c>
      <c r="X858" s="19">
        <v>43.18</v>
      </c>
      <c r="Y858" s="19">
        <v>25.326000000000001</v>
      </c>
      <c r="Z858" s="19">
        <v>13.278</v>
      </c>
      <c r="AA858" s="19">
        <v>2.9409999999999998</v>
      </c>
      <c r="AB858" s="19">
        <v>0.41499999999999998</v>
      </c>
      <c r="AC858" s="19">
        <v>3.2000000000000001E-2</v>
      </c>
    </row>
    <row r="859" spans="1:29" ht="11.65" x14ac:dyDescent="0.35">
      <c r="A859" s="23">
        <v>842</v>
      </c>
      <c r="B859" s="21" t="s">
        <v>1015</v>
      </c>
      <c r="C859" s="29" t="s">
        <v>1085</v>
      </c>
      <c r="D859" s="20"/>
      <c r="E859" s="20">
        <v>913</v>
      </c>
      <c r="F859" s="21" t="s">
        <v>1065</v>
      </c>
      <c r="G859" s="20">
        <v>947</v>
      </c>
      <c r="H859" s="20">
        <v>1955</v>
      </c>
      <c r="I859" s="19">
        <v>1436.319</v>
      </c>
      <c r="J859" s="19">
        <v>1064.357</v>
      </c>
      <c r="K859" s="19">
        <v>945.06299999999999</v>
      </c>
      <c r="L859" s="19">
        <v>825.85299999999995</v>
      </c>
      <c r="M859" s="19">
        <v>745.82</v>
      </c>
      <c r="N859" s="19">
        <v>661.93</v>
      </c>
      <c r="O859" s="19">
        <v>576.24699999999996</v>
      </c>
      <c r="P859" s="19">
        <v>515.45699999999999</v>
      </c>
      <c r="Q859" s="19">
        <v>444.9</v>
      </c>
      <c r="R859" s="19">
        <v>374.41800000000001</v>
      </c>
      <c r="S859" s="19">
        <v>296.077</v>
      </c>
      <c r="T859" s="19">
        <v>237.65799999999999</v>
      </c>
      <c r="U859" s="19">
        <v>186.077</v>
      </c>
      <c r="V859" s="19">
        <v>133.54900000000001</v>
      </c>
      <c r="W859" s="19">
        <v>84.147999999999996</v>
      </c>
      <c r="X859" s="19">
        <v>51.655999999999999</v>
      </c>
      <c r="Y859" s="19">
        <v>20.231000000000002</v>
      </c>
      <c r="Z859" s="19">
        <v>7.6440000000000001</v>
      </c>
      <c r="AA859" s="19">
        <v>2.0760000000000001</v>
      </c>
      <c r="AB859" s="19">
        <v>0.22</v>
      </c>
      <c r="AC859" s="19">
        <v>2.1999999999999999E-2</v>
      </c>
    </row>
    <row r="860" spans="1:29" ht="11.65" x14ac:dyDescent="0.35">
      <c r="A860" s="23">
        <v>843</v>
      </c>
      <c r="B860" s="21" t="s">
        <v>1015</v>
      </c>
      <c r="C860" s="29" t="s">
        <v>1085</v>
      </c>
      <c r="D860" s="20"/>
      <c r="E860" s="20">
        <v>913</v>
      </c>
      <c r="F860" s="21" t="s">
        <v>1065</v>
      </c>
      <c r="G860" s="20">
        <v>947</v>
      </c>
      <c r="H860" s="20">
        <v>1960</v>
      </c>
      <c r="I860" s="19">
        <v>1625.7270000000001</v>
      </c>
      <c r="J860" s="19">
        <v>1327.4559999999999</v>
      </c>
      <c r="K860" s="19">
        <v>1030.8430000000001</v>
      </c>
      <c r="L860" s="19">
        <v>918.94799999999998</v>
      </c>
      <c r="M860" s="19">
        <v>792.11599999999999</v>
      </c>
      <c r="N860" s="19">
        <v>707.39599999999996</v>
      </c>
      <c r="O860" s="19">
        <v>625.99599999999998</v>
      </c>
      <c r="P860" s="19">
        <v>543.74199999999996</v>
      </c>
      <c r="Q860" s="19">
        <v>483.27199999999999</v>
      </c>
      <c r="R860" s="19">
        <v>413.75299999999999</v>
      </c>
      <c r="S860" s="19">
        <v>343.82499999999999</v>
      </c>
      <c r="T860" s="19">
        <v>266.05099999999999</v>
      </c>
      <c r="U860" s="19">
        <v>205.60599999999999</v>
      </c>
      <c r="V860" s="19">
        <v>150.82499999999999</v>
      </c>
      <c r="W860" s="19">
        <v>97.525999999999996</v>
      </c>
      <c r="X860" s="19">
        <v>51.683</v>
      </c>
      <c r="Y860" s="19">
        <v>23.905000000000001</v>
      </c>
      <c r="Z860" s="19">
        <v>5.9249999999999998</v>
      </c>
      <c r="AA860" s="19">
        <v>1.121</v>
      </c>
      <c r="AB860" s="19">
        <v>0.13600000000000001</v>
      </c>
      <c r="AC860" s="19">
        <v>1.0999999999999999E-2</v>
      </c>
    </row>
    <row r="861" spans="1:29" ht="11.65" x14ac:dyDescent="0.35">
      <c r="A861" s="23">
        <v>844</v>
      </c>
      <c r="B861" s="21" t="s">
        <v>1015</v>
      </c>
      <c r="C861" s="29" t="s">
        <v>1085</v>
      </c>
      <c r="D861" s="20"/>
      <c r="E861" s="20">
        <v>913</v>
      </c>
      <c r="F861" s="21" t="s">
        <v>1065</v>
      </c>
      <c r="G861" s="20">
        <v>947</v>
      </c>
      <c r="H861" s="20">
        <v>1965</v>
      </c>
      <c r="I861" s="19">
        <v>1827.992</v>
      </c>
      <c r="J861" s="19">
        <v>1519.5170000000001</v>
      </c>
      <c r="K861" s="19">
        <v>1291.9570000000001</v>
      </c>
      <c r="L861" s="19">
        <v>1008.394</v>
      </c>
      <c r="M861" s="19">
        <v>894.38900000000001</v>
      </c>
      <c r="N861" s="19">
        <v>765.56700000000001</v>
      </c>
      <c r="O861" s="19">
        <v>680.37599999999998</v>
      </c>
      <c r="P861" s="19">
        <v>599.88599999999997</v>
      </c>
      <c r="Q861" s="19">
        <v>516.41300000000001</v>
      </c>
      <c r="R861" s="19">
        <v>454.23599999999999</v>
      </c>
      <c r="S861" s="19">
        <v>383.077</v>
      </c>
      <c r="T861" s="19">
        <v>311.02</v>
      </c>
      <c r="U861" s="19">
        <v>231.74700000000001</v>
      </c>
      <c r="V861" s="19">
        <v>167.86199999999999</v>
      </c>
      <c r="W861" s="19">
        <v>110.867</v>
      </c>
      <c r="X861" s="19">
        <v>60.191000000000003</v>
      </c>
      <c r="Y861" s="19">
        <v>23.986999999999998</v>
      </c>
      <c r="Z861" s="19">
        <v>6.9450000000000003</v>
      </c>
      <c r="AA861" s="19">
        <v>0.84199999999999997</v>
      </c>
      <c r="AB861" s="19">
        <v>7.0000000000000007E-2</v>
      </c>
      <c r="AC861" s="19">
        <v>7.0000000000000001E-3</v>
      </c>
    </row>
    <row r="862" spans="1:29" ht="11.65" x14ac:dyDescent="0.35">
      <c r="A862" s="23">
        <v>845</v>
      </c>
      <c r="B862" s="21" t="s">
        <v>1015</v>
      </c>
      <c r="C862" s="29" t="s">
        <v>1085</v>
      </c>
      <c r="D862" s="20"/>
      <c r="E862" s="20">
        <v>913</v>
      </c>
      <c r="F862" s="21" t="s">
        <v>1065</v>
      </c>
      <c r="G862" s="20">
        <v>947</v>
      </c>
      <c r="H862" s="20">
        <v>1970</v>
      </c>
      <c r="I862" s="19">
        <v>2044.479</v>
      </c>
      <c r="J862" s="19">
        <v>1726.5050000000001</v>
      </c>
      <c r="K862" s="19">
        <v>1484.8489999999999</v>
      </c>
      <c r="L862" s="19">
        <v>1268.905</v>
      </c>
      <c r="M862" s="19">
        <v>991.29</v>
      </c>
      <c r="N862" s="19">
        <v>880.54700000000003</v>
      </c>
      <c r="O862" s="19">
        <v>752.274</v>
      </c>
      <c r="P862" s="19">
        <v>664.12300000000005</v>
      </c>
      <c r="Q862" s="19">
        <v>579.44100000000003</v>
      </c>
      <c r="R862" s="19">
        <v>492.82</v>
      </c>
      <c r="S862" s="19">
        <v>425.63499999999999</v>
      </c>
      <c r="T862" s="19">
        <v>349.72199999999998</v>
      </c>
      <c r="U862" s="19">
        <v>273.00700000000001</v>
      </c>
      <c r="V862" s="19">
        <v>190.626</v>
      </c>
      <c r="W862" s="19">
        <v>124.374</v>
      </c>
      <c r="X862" s="19">
        <v>68.997</v>
      </c>
      <c r="Y862" s="19">
        <v>27.994</v>
      </c>
      <c r="Z862" s="19">
        <v>6.9219999999999997</v>
      </c>
      <c r="AA862" s="19">
        <v>0.96099999999999997</v>
      </c>
      <c r="AB862" s="19">
        <v>4.9000000000000002E-2</v>
      </c>
      <c r="AC862" s="19">
        <v>3.0000000000000001E-3</v>
      </c>
    </row>
    <row r="863" spans="1:29" ht="11.65" x14ac:dyDescent="0.35">
      <c r="A863" s="23">
        <v>846</v>
      </c>
      <c r="B863" s="21" t="s">
        <v>1015</v>
      </c>
      <c r="C863" s="29" t="s">
        <v>1085</v>
      </c>
      <c r="D863" s="20"/>
      <c r="E863" s="20">
        <v>913</v>
      </c>
      <c r="F863" s="21" t="s">
        <v>1065</v>
      </c>
      <c r="G863" s="20">
        <v>947</v>
      </c>
      <c r="H863" s="20">
        <v>1975</v>
      </c>
      <c r="I863" s="19">
        <v>2330.1689999999999</v>
      </c>
      <c r="J863" s="19">
        <v>1957.7470000000001</v>
      </c>
      <c r="K863" s="19">
        <v>1697.5530000000001</v>
      </c>
      <c r="L863" s="19">
        <v>1462.5440000000001</v>
      </c>
      <c r="M863" s="19">
        <v>1244.049</v>
      </c>
      <c r="N863" s="19">
        <v>975.13300000000004</v>
      </c>
      <c r="O863" s="19">
        <v>870.37199999999996</v>
      </c>
      <c r="P863" s="19">
        <v>741.09900000000005</v>
      </c>
      <c r="Q863" s="19">
        <v>646.55200000000002</v>
      </c>
      <c r="R863" s="19">
        <v>555.75099999999998</v>
      </c>
      <c r="S863" s="19">
        <v>464.01299999999998</v>
      </c>
      <c r="T863" s="19">
        <v>390.57799999999997</v>
      </c>
      <c r="U863" s="19">
        <v>308.48099999999999</v>
      </c>
      <c r="V863" s="19">
        <v>225.821</v>
      </c>
      <c r="W863" s="19">
        <v>142.02099999999999</v>
      </c>
      <c r="X863" s="19">
        <v>77.626999999999995</v>
      </c>
      <c r="Y863" s="19">
        <v>32.066000000000003</v>
      </c>
      <c r="Z863" s="19">
        <v>7.9930000000000003</v>
      </c>
      <c r="AA863" s="19">
        <v>0.92200000000000004</v>
      </c>
      <c r="AB863" s="19">
        <v>5.0999999999999997E-2</v>
      </c>
      <c r="AC863" s="19">
        <v>2E-3</v>
      </c>
    </row>
    <row r="864" spans="1:29" ht="11.65" x14ac:dyDescent="0.35">
      <c r="A864" s="23">
        <v>847</v>
      </c>
      <c r="B864" s="21" t="s">
        <v>1015</v>
      </c>
      <c r="C864" s="29" t="s">
        <v>1085</v>
      </c>
      <c r="D864" s="20"/>
      <c r="E864" s="20">
        <v>913</v>
      </c>
      <c r="F864" s="21" t="s">
        <v>1065</v>
      </c>
      <c r="G864" s="20">
        <v>947</v>
      </c>
      <c r="H864" s="20">
        <v>1980</v>
      </c>
      <c r="I864" s="19">
        <v>2602.326</v>
      </c>
      <c r="J864" s="19">
        <v>2257.4380000000001</v>
      </c>
      <c r="K864" s="19">
        <v>1929.7660000000001</v>
      </c>
      <c r="L864" s="19">
        <v>1669.182</v>
      </c>
      <c r="M864" s="19">
        <v>1421.721</v>
      </c>
      <c r="N864" s="19">
        <v>1202.135</v>
      </c>
      <c r="O864" s="19">
        <v>943.98099999999999</v>
      </c>
      <c r="P864" s="19">
        <v>841.02700000000004</v>
      </c>
      <c r="Q864" s="19">
        <v>710.78599999999994</v>
      </c>
      <c r="R864" s="19">
        <v>614.46199999999999</v>
      </c>
      <c r="S864" s="19">
        <v>521.22400000000005</v>
      </c>
      <c r="T864" s="19">
        <v>425.39600000000002</v>
      </c>
      <c r="U864" s="19">
        <v>344.39400000000001</v>
      </c>
      <c r="V864" s="19">
        <v>255.887</v>
      </c>
      <c r="W864" s="19">
        <v>168.39699999999999</v>
      </c>
      <c r="X864" s="19">
        <v>88.204999999999998</v>
      </c>
      <c r="Y864" s="19">
        <v>35.820999999999998</v>
      </c>
      <c r="Z864" s="19">
        <v>9.0039999999999996</v>
      </c>
      <c r="AA864" s="19">
        <v>1.014</v>
      </c>
      <c r="AB864" s="19">
        <v>4.3999999999999997E-2</v>
      </c>
      <c r="AC864" s="19">
        <v>2E-3</v>
      </c>
    </row>
    <row r="865" spans="1:29" ht="11.65" x14ac:dyDescent="0.35">
      <c r="A865" s="23">
        <v>848</v>
      </c>
      <c r="B865" s="21" t="s">
        <v>1015</v>
      </c>
      <c r="C865" s="29" t="s">
        <v>1085</v>
      </c>
      <c r="D865" s="20"/>
      <c r="E865" s="20">
        <v>913</v>
      </c>
      <c r="F865" s="21" t="s">
        <v>1065</v>
      </c>
      <c r="G865" s="20">
        <v>947</v>
      </c>
      <c r="H865" s="20">
        <v>1985</v>
      </c>
      <c r="I865" s="19">
        <v>3010.826</v>
      </c>
      <c r="J865" s="19">
        <v>2542.0529999999999</v>
      </c>
      <c r="K865" s="19">
        <v>2229.5309999999999</v>
      </c>
      <c r="L865" s="19">
        <v>1904.3889999999999</v>
      </c>
      <c r="M865" s="19">
        <v>1633.2660000000001</v>
      </c>
      <c r="N865" s="19">
        <v>1389.0250000000001</v>
      </c>
      <c r="O865" s="19">
        <v>1179.9190000000001</v>
      </c>
      <c r="P865" s="19">
        <v>926.79600000000005</v>
      </c>
      <c r="Q865" s="19">
        <v>819.67600000000004</v>
      </c>
      <c r="R865" s="19">
        <v>684.61500000000001</v>
      </c>
      <c r="S865" s="19">
        <v>581.41899999999998</v>
      </c>
      <c r="T865" s="19">
        <v>481.23599999999999</v>
      </c>
      <c r="U865" s="19">
        <v>377.34800000000001</v>
      </c>
      <c r="V865" s="19">
        <v>286.608</v>
      </c>
      <c r="W865" s="19">
        <v>192.023</v>
      </c>
      <c r="X865" s="19">
        <v>105.723</v>
      </c>
      <c r="Y865" s="19">
        <v>41.057000000000002</v>
      </c>
      <c r="Z865" s="19">
        <v>10.086</v>
      </c>
      <c r="AA865" s="19">
        <v>1.125</v>
      </c>
      <c r="AB865" s="19">
        <v>4.7E-2</v>
      </c>
      <c r="AC865" s="19">
        <v>2E-3</v>
      </c>
    </row>
    <row r="866" spans="1:29" ht="11.65" x14ac:dyDescent="0.35">
      <c r="A866" s="23">
        <v>849</v>
      </c>
      <c r="B866" s="21" t="s">
        <v>1015</v>
      </c>
      <c r="C866" s="29" t="s">
        <v>1085</v>
      </c>
      <c r="D866" s="20"/>
      <c r="E866" s="20">
        <v>913</v>
      </c>
      <c r="F866" s="21" t="s">
        <v>1065</v>
      </c>
      <c r="G866" s="20">
        <v>947</v>
      </c>
      <c r="H866" s="20">
        <v>1990</v>
      </c>
      <c r="I866" s="19">
        <v>3184.0770000000002</v>
      </c>
      <c r="J866" s="19">
        <v>2951.32</v>
      </c>
      <c r="K866" s="19">
        <v>2511.828</v>
      </c>
      <c r="L866" s="19">
        <v>2196.4830000000002</v>
      </c>
      <c r="M866" s="19">
        <v>1848.7239999999999</v>
      </c>
      <c r="N866" s="19">
        <v>1570.8119999999999</v>
      </c>
      <c r="O866" s="19">
        <v>1336.5419999999999</v>
      </c>
      <c r="P866" s="19">
        <v>1138.2909999999999</v>
      </c>
      <c r="Q866" s="19">
        <v>894.67600000000004</v>
      </c>
      <c r="R866" s="19">
        <v>783.51400000000001</v>
      </c>
      <c r="S866" s="19">
        <v>644.27</v>
      </c>
      <c r="T866" s="19">
        <v>538.91999999999996</v>
      </c>
      <c r="U866" s="19">
        <v>432.27300000000002</v>
      </c>
      <c r="V866" s="19">
        <v>319.35700000000003</v>
      </c>
      <c r="W866" s="19">
        <v>219.44200000000001</v>
      </c>
      <c r="X866" s="19">
        <v>123.39400000000001</v>
      </c>
      <c r="Y866" s="19">
        <v>50.786000000000001</v>
      </c>
      <c r="Z866" s="19">
        <v>12.077999999999999</v>
      </c>
      <c r="AA866" s="19">
        <v>1.327</v>
      </c>
      <c r="AB866" s="19">
        <v>5.2999999999999999E-2</v>
      </c>
      <c r="AC866" s="19">
        <v>2E-3</v>
      </c>
    </row>
    <row r="867" spans="1:29" ht="11.65" x14ac:dyDescent="0.35">
      <c r="A867" s="23">
        <v>850</v>
      </c>
      <c r="B867" s="21" t="s">
        <v>1015</v>
      </c>
      <c r="C867" s="29" t="s">
        <v>1085</v>
      </c>
      <c r="D867" s="20"/>
      <c r="E867" s="20">
        <v>913</v>
      </c>
      <c r="F867" s="21" t="s">
        <v>1065</v>
      </c>
      <c r="G867" s="20">
        <v>947</v>
      </c>
      <c r="H867" s="20">
        <v>1995</v>
      </c>
      <c r="I867" s="19">
        <v>3040.2629999999999</v>
      </c>
      <c r="J867" s="19">
        <v>3128.7069999999999</v>
      </c>
      <c r="K867" s="19">
        <v>2922.71</v>
      </c>
      <c r="L867" s="19">
        <v>2489.877</v>
      </c>
      <c r="M867" s="19">
        <v>2177.4070000000002</v>
      </c>
      <c r="N867" s="19">
        <v>1848.251</v>
      </c>
      <c r="O867" s="19">
        <v>1587.48</v>
      </c>
      <c r="P867" s="19">
        <v>1350.7</v>
      </c>
      <c r="Q867" s="19">
        <v>1131.8620000000001</v>
      </c>
      <c r="R867" s="19">
        <v>875.50800000000004</v>
      </c>
      <c r="S867" s="19">
        <v>754.03599999999994</v>
      </c>
      <c r="T867" s="19">
        <v>617.899</v>
      </c>
      <c r="U867" s="19">
        <v>512.08299999999997</v>
      </c>
      <c r="V867" s="19">
        <v>388.33600000000001</v>
      </c>
      <c r="W867" s="19">
        <v>259.88499999999999</v>
      </c>
      <c r="X867" s="19">
        <v>148.45500000000001</v>
      </c>
      <c r="Y867" s="19">
        <v>61.578000000000003</v>
      </c>
      <c r="Z867" s="19">
        <v>15.148</v>
      </c>
      <c r="AA867" s="19">
        <v>1.5660000000000001</v>
      </c>
      <c r="AB867" s="19">
        <v>6.2E-2</v>
      </c>
      <c r="AC867" s="19">
        <v>2E-3</v>
      </c>
    </row>
    <row r="868" spans="1:29" ht="11.65" x14ac:dyDescent="0.35">
      <c r="A868" s="23">
        <v>851</v>
      </c>
      <c r="B868" s="21" t="s">
        <v>1015</v>
      </c>
      <c r="C868" s="29" t="s">
        <v>1085</v>
      </c>
      <c r="D868" s="20"/>
      <c r="E868" s="20">
        <v>913</v>
      </c>
      <c r="F868" s="21" t="s">
        <v>1065</v>
      </c>
      <c r="G868" s="20">
        <v>947</v>
      </c>
      <c r="H868" s="20">
        <v>2000</v>
      </c>
      <c r="I868" s="19">
        <v>2912.7020000000002</v>
      </c>
      <c r="J868" s="19">
        <v>2988.11</v>
      </c>
      <c r="K868" s="19">
        <v>3102.877</v>
      </c>
      <c r="L868" s="19">
        <v>2906.9380000000001</v>
      </c>
      <c r="M868" s="19">
        <v>2477.9569999999999</v>
      </c>
      <c r="N868" s="19">
        <v>2159.4369999999999</v>
      </c>
      <c r="O868" s="19">
        <v>1819.9449999999999</v>
      </c>
      <c r="P868" s="19">
        <v>1543.3969999999999</v>
      </c>
      <c r="Q868" s="19">
        <v>1298.356</v>
      </c>
      <c r="R868" s="19">
        <v>1075.45</v>
      </c>
      <c r="S868" s="19">
        <v>816.5</v>
      </c>
      <c r="T868" s="19">
        <v>683.39200000000005</v>
      </c>
      <c r="U868" s="19">
        <v>539.15599999999995</v>
      </c>
      <c r="V868" s="19">
        <v>422.50299999999999</v>
      </c>
      <c r="W868" s="19">
        <v>290.875</v>
      </c>
      <c r="X868" s="19">
        <v>164.846</v>
      </c>
      <c r="Y868" s="19">
        <v>70.98</v>
      </c>
      <c r="Z868" s="19">
        <v>17.161999999999999</v>
      </c>
      <c r="AA868" s="19">
        <v>1.8360000000000001</v>
      </c>
      <c r="AB868" s="19">
        <v>8.2000000000000003E-2</v>
      </c>
      <c r="AC868" s="19">
        <v>3.0000000000000001E-3</v>
      </c>
    </row>
    <row r="869" spans="1:29" ht="11.65" x14ac:dyDescent="0.35">
      <c r="A869" s="23">
        <v>852</v>
      </c>
      <c r="B869" s="21" t="s">
        <v>1015</v>
      </c>
      <c r="C869" s="29" t="s">
        <v>1085</v>
      </c>
      <c r="D869" s="20"/>
      <c r="E869" s="20">
        <v>913</v>
      </c>
      <c r="F869" s="21" t="s">
        <v>1065</v>
      </c>
      <c r="G869" s="20">
        <v>947</v>
      </c>
      <c r="H869" s="20">
        <v>2005</v>
      </c>
      <c r="I869" s="19">
        <v>2948.5889999999999</v>
      </c>
      <c r="J869" s="19">
        <v>2840.5770000000002</v>
      </c>
      <c r="K869" s="19">
        <v>2970.9650000000001</v>
      </c>
      <c r="L869" s="19">
        <v>3092.8710000000001</v>
      </c>
      <c r="M869" s="19">
        <v>2868.35</v>
      </c>
      <c r="N869" s="19">
        <v>2422.4</v>
      </c>
      <c r="O869" s="19">
        <v>2090.2840000000001</v>
      </c>
      <c r="P869" s="19">
        <v>1729.231</v>
      </c>
      <c r="Q869" s="19">
        <v>1435.3620000000001</v>
      </c>
      <c r="R869" s="19">
        <v>1188.498</v>
      </c>
      <c r="S869" s="19">
        <v>966.74699999999996</v>
      </c>
      <c r="T869" s="19">
        <v>719.78700000000003</v>
      </c>
      <c r="U869" s="19">
        <v>582.59799999999996</v>
      </c>
      <c r="V869" s="19">
        <v>433.29300000000001</v>
      </c>
      <c r="W869" s="19">
        <v>306.94200000000001</v>
      </c>
      <c r="X869" s="19">
        <v>177.21799999999999</v>
      </c>
      <c r="Y869" s="19">
        <v>75.623999999999995</v>
      </c>
      <c r="Z869" s="19">
        <v>19.187999999999999</v>
      </c>
      <c r="AA869" s="19">
        <v>2.129</v>
      </c>
      <c r="AB869" s="19">
        <v>0.111</v>
      </c>
      <c r="AC869" s="19">
        <v>4.0000000000000001E-3</v>
      </c>
    </row>
    <row r="870" spans="1:29" ht="11.65" x14ac:dyDescent="0.35">
      <c r="A870" s="23">
        <v>853</v>
      </c>
      <c r="B870" s="21" t="s">
        <v>1015</v>
      </c>
      <c r="C870" s="29" t="s">
        <v>1085</v>
      </c>
      <c r="D870" s="20"/>
      <c r="E870" s="20">
        <v>913</v>
      </c>
      <c r="F870" s="21" t="s">
        <v>1065</v>
      </c>
      <c r="G870" s="20">
        <v>947</v>
      </c>
      <c r="H870" s="20">
        <v>2010</v>
      </c>
      <c r="I870" s="19">
        <v>3268.4160000000002</v>
      </c>
      <c r="J870" s="19">
        <v>2888.4960000000001</v>
      </c>
      <c r="K870" s="19">
        <v>2823.3980000000001</v>
      </c>
      <c r="L870" s="19">
        <v>2959.1109999999999</v>
      </c>
      <c r="M870" s="19">
        <v>3072.2550000000001</v>
      </c>
      <c r="N870" s="19">
        <v>2833.3130000000001</v>
      </c>
      <c r="O870" s="19">
        <v>2345.1179999999999</v>
      </c>
      <c r="P870" s="19">
        <v>1966.5840000000001</v>
      </c>
      <c r="Q870" s="19">
        <v>1602.3</v>
      </c>
      <c r="R870" s="19">
        <v>1324.684</v>
      </c>
      <c r="S870" s="19">
        <v>1083.19</v>
      </c>
      <c r="T870" s="19">
        <v>862.01400000000001</v>
      </c>
      <c r="U870" s="19">
        <v>620.77800000000002</v>
      </c>
      <c r="V870" s="19">
        <v>471.88299999999998</v>
      </c>
      <c r="W870" s="19">
        <v>317.404</v>
      </c>
      <c r="X870" s="19">
        <v>189.92699999999999</v>
      </c>
      <c r="Y870" s="19">
        <v>84.007000000000005</v>
      </c>
      <c r="Z870" s="19">
        <v>21.774999999999999</v>
      </c>
      <c r="AA870" s="19">
        <v>2.6579999999999999</v>
      </c>
      <c r="AB870" s="19">
        <v>0.151</v>
      </c>
      <c r="AC870" s="19">
        <v>5.0000000000000001E-3</v>
      </c>
    </row>
    <row r="871" spans="1:29" ht="11.65" x14ac:dyDescent="0.35">
      <c r="A871" s="23">
        <v>854</v>
      </c>
      <c r="B871" s="21" t="s">
        <v>1015</v>
      </c>
      <c r="C871" s="29" t="s">
        <v>1085</v>
      </c>
      <c r="D871" s="20"/>
      <c r="E871" s="20">
        <v>913</v>
      </c>
      <c r="F871" s="21" t="s">
        <v>1065</v>
      </c>
      <c r="G871" s="20">
        <v>947</v>
      </c>
      <c r="H871" s="20">
        <v>2015</v>
      </c>
      <c r="I871" s="19">
        <v>3445.6689999999999</v>
      </c>
      <c r="J871" s="19">
        <v>3231.9059999999999</v>
      </c>
      <c r="K871" s="19">
        <v>2882.1320000000001</v>
      </c>
      <c r="L871" s="19">
        <v>2846.625</v>
      </c>
      <c r="M871" s="19">
        <v>2977.7249999999999</v>
      </c>
      <c r="N871" s="19">
        <v>3047.7829999999999</v>
      </c>
      <c r="O871" s="19">
        <v>2743.8110000000001</v>
      </c>
      <c r="P871" s="19">
        <v>2202.125</v>
      </c>
      <c r="Q871" s="19">
        <v>1850.297</v>
      </c>
      <c r="R871" s="19">
        <v>1528.963</v>
      </c>
      <c r="S871" s="19">
        <v>1253.8779999999999</v>
      </c>
      <c r="T871" s="19">
        <v>1009.546</v>
      </c>
      <c r="U871" s="19">
        <v>777.12199999999996</v>
      </c>
      <c r="V871" s="19">
        <v>528.02599999999995</v>
      </c>
      <c r="W871" s="19">
        <v>362.95299999999997</v>
      </c>
      <c r="X871" s="19">
        <v>207.589</v>
      </c>
      <c r="Y871" s="19">
        <v>95.671999999999997</v>
      </c>
      <c r="Z871" s="19">
        <v>27.134</v>
      </c>
      <c r="AA871" s="19">
        <v>3.6429999999999998</v>
      </c>
      <c r="AB871" s="19">
        <v>0.222</v>
      </c>
      <c r="AC871" s="19">
        <v>8.0000000000000002E-3</v>
      </c>
    </row>
    <row r="872" spans="1:29" ht="11.65" x14ac:dyDescent="0.35">
      <c r="A872" s="23">
        <v>855</v>
      </c>
      <c r="B872" s="21" t="s">
        <v>1015</v>
      </c>
      <c r="C872" s="29" t="s">
        <v>1085</v>
      </c>
      <c r="D872" s="20"/>
      <c r="E872" s="20">
        <v>913</v>
      </c>
      <c r="F872" s="21" t="s">
        <v>1065</v>
      </c>
      <c r="G872" s="20">
        <v>947</v>
      </c>
      <c r="H872" s="20">
        <v>2020</v>
      </c>
      <c r="I872" s="19">
        <v>3425.0230000000001</v>
      </c>
      <c r="J872" s="19">
        <v>3422.1729999999998</v>
      </c>
      <c r="K872" s="19">
        <v>3219.2779999999998</v>
      </c>
      <c r="L872" s="19">
        <v>2882.0929999999998</v>
      </c>
      <c r="M872" s="19">
        <v>2861.7939999999999</v>
      </c>
      <c r="N872" s="19">
        <v>2987.723</v>
      </c>
      <c r="O872" s="19">
        <v>3024.8290000000002</v>
      </c>
      <c r="P872" s="19">
        <v>2679.18</v>
      </c>
      <c r="Q872" s="19">
        <v>2114.4209999999998</v>
      </c>
      <c r="R872" s="19">
        <v>1748.4010000000001</v>
      </c>
      <c r="S872" s="19">
        <v>1416.8019999999999</v>
      </c>
      <c r="T872" s="19">
        <v>1134.2090000000001</v>
      </c>
      <c r="U872" s="19">
        <v>881.59100000000001</v>
      </c>
      <c r="V872" s="19">
        <v>640.87900000000002</v>
      </c>
      <c r="W872" s="19">
        <v>397.67</v>
      </c>
      <c r="X872" s="19">
        <v>236.05199999999999</v>
      </c>
      <c r="Y872" s="19">
        <v>105.38500000000001</v>
      </c>
      <c r="Z872" s="19">
        <v>31.556000000000001</v>
      </c>
      <c r="AA872" s="19">
        <v>4.6189999999999998</v>
      </c>
      <c r="AB872" s="19">
        <v>0.29099999999999998</v>
      </c>
      <c r="AC872" s="19">
        <v>1.0999999999999999E-2</v>
      </c>
    </row>
    <row r="873" spans="1:29" ht="11.65" x14ac:dyDescent="0.35">
      <c r="A873" s="12">
        <v>856</v>
      </c>
      <c r="B873" s="10" t="s">
        <v>1015</v>
      </c>
      <c r="C873" s="11" t="s">
        <v>580</v>
      </c>
      <c r="D873" s="9"/>
      <c r="E873" s="9">
        <v>72</v>
      </c>
      <c r="F873" s="10" t="s">
        <v>1066</v>
      </c>
      <c r="G873" s="9">
        <v>913</v>
      </c>
      <c r="H873" s="9">
        <v>1950</v>
      </c>
      <c r="I873" s="8">
        <v>31.318999999999999</v>
      </c>
      <c r="J873" s="8">
        <v>27.494</v>
      </c>
      <c r="K873" s="8">
        <v>25.87</v>
      </c>
      <c r="L873" s="8">
        <v>22.541</v>
      </c>
      <c r="M873" s="8">
        <v>18.026</v>
      </c>
      <c r="N873" s="8">
        <v>16.585000000000001</v>
      </c>
      <c r="O873" s="8">
        <v>12.201000000000001</v>
      </c>
      <c r="P873" s="8">
        <v>9.1010000000000009</v>
      </c>
      <c r="Q873" s="8">
        <v>7.7960000000000003</v>
      </c>
      <c r="R873" s="8">
        <v>7.36</v>
      </c>
      <c r="S873" s="8">
        <v>5.2789999999999999</v>
      </c>
      <c r="T873" s="8">
        <v>5.0179999999999998</v>
      </c>
      <c r="U873" s="8">
        <v>4.274</v>
      </c>
      <c r="V873" s="8">
        <v>3.1659999999999999</v>
      </c>
      <c r="W873" s="8">
        <v>2.1280000000000001</v>
      </c>
      <c r="X873" s="8">
        <v>1.0149999999999999</v>
      </c>
      <c r="Y873" s="8">
        <v>0.38500000000000001</v>
      </c>
      <c r="Z873" s="8">
        <v>0.122</v>
      </c>
      <c r="AA873" s="8">
        <v>2.4E-2</v>
      </c>
      <c r="AB873" s="8">
        <v>3.0000000000000001E-3</v>
      </c>
      <c r="AC873" s="8">
        <v>0</v>
      </c>
    </row>
    <row r="874" spans="1:29" ht="11.65" x14ac:dyDescent="0.35">
      <c r="A874" s="12">
        <v>857</v>
      </c>
      <c r="B874" s="10" t="s">
        <v>1015</v>
      </c>
      <c r="C874" s="11" t="s">
        <v>580</v>
      </c>
      <c r="D874" s="9"/>
      <c r="E874" s="9">
        <v>72</v>
      </c>
      <c r="F874" s="10" t="s">
        <v>1066</v>
      </c>
      <c r="G874" s="9">
        <v>913</v>
      </c>
      <c r="H874" s="9">
        <v>1955</v>
      </c>
      <c r="I874" s="8">
        <v>43.106000000000002</v>
      </c>
      <c r="J874" s="8">
        <v>27.981000000000002</v>
      </c>
      <c r="K874" s="8">
        <v>25.901</v>
      </c>
      <c r="L874" s="8">
        <v>24.869</v>
      </c>
      <c r="M874" s="8">
        <v>21.428999999999998</v>
      </c>
      <c r="N874" s="8">
        <v>16.613</v>
      </c>
      <c r="O874" s="8">
        <v>15.161</v>
      </c>
      <c r="P874" s="8">
        <v>11.082000000000001</v>
      </c>
      <c r="Q874" s="8">
        <v>8.1940000000000008</v>
      </c>
      <c r="R874" s="8">
        <v>7.0789999999999997</v>
      </c>
      <c r="S874" s="8">
        <v>6.7670000000000003</v>
      </c>
      <c r="T874" s="8">
        <v>4.8</v>
      </c>
      <c r="U874" s="8">
        <v>4.359</v>
      </c>
      <c r="V874" s="8">
        <v>3.44</v>
      </c>
      <c r="W874" s="8">
        <v>2.2730000000000001</v>
      </c>
      <c r="X874" s="8">
        <v>1.2829999999999999</v>
      </c>
      <c r="Y874" s="8">
        <v>0.46</v>
      </c>
      <c r="Z874" s="8">
        <v>0.111</v>
      </c>
      <c r="AA874" s="8">
        <v>1.9E-2</v>
      </c>
      <c r="AB874" s="8">
        <v>2E-3</v>
      </c>
      <c r="AC874" s="8">
        <v>0</v>
      </c>
    </row>
    <row r="875" spans="1:29" ht="11.65" x14ac:dyDescent="0.35">
      <c r="A875" s="12">
        <v>858</v>
      </c>
      <c r="B875" s="10" t="s">
        <v>1015</v>
      </c>
      <c r="C875" s="11" t="s">
        <v>580</v>
      </c>
      <c r="D875" s="9"/>
      <c r="E875" s="9">
        <v>72</v>
      </c>
      <c r="F875" s="10" t="s">
        <v>1066</v>
      </c>
      <c r="G875" s="9">
        <v>913</v>
      </c>
      <c r="H875" s="9">
        <v>1960</v>
      </c>
      <c r="I875" s="8">
        <v>48.21</v>
      </c>
      <c r="J875" s="8">
        <v>37.253</v>
      </c>
      <c r="K875" s="8">
        <v>24.529</v>
      </c>
      <c r="L875" s="8">
        <v>24.053000000000001</v>
      </c>
      <c r="M875" s="8">
        <v>22.91</v>
      </c>
      <c r="N875" s="8">
        <v>18.212</v>
      </c>
      <c r="O875" s="8">
        <v>13.548</v>
      </c>
      <c r="P875" s="8">
        <v>12.746</v>
      </c>
      <c r="Q875" s="8">
        <v>9.2650000000000006</v>
      </c>
      <c r="R875" s="8">
        <v>7.218</v>
      </c>
      <c r="S875" s="8">
        <v>6.8760000000000003</v>
      </c>
      <c r="T875" s="8">
        <v>6.5330000000000004</v>
      </c>
      <c r="U875" s="8">
        <v>4.4379999999999997</v>
      </c>
      <c r="V875" s="8">
        <v>3.5939999999999999</v>
      </c>
      <c r="W875" s="8">
        <v>2.4609999999999999</v>
      </c>
      <c r="X875" s="8">
        <v>1.3580000000000001</v>
      </c>
      <c r="Y875" s="8">
        <v>0.57199999999999995</v>
      </c>
      <c r="Z875" s="8">
        <v>0.129</v>
      </c>
      <c r="AA875" s="8">
        <v>1.4999999999999999E-2</v>
      </c>
      <c r="AB875" s="8">
        <v>0</v>
      </c>
      <c r="AC875" s="8">
        <v>0</v>
      </c>
    </row>
    <row r="876" spans="1:29" ht="11.65" x14ac:dyDescent="0.35">
      <c r="A876" s="12">
        <v>859</v>
      </c>
      <c r="B876" s="10" t="s">
        <v>1015</v>
      </c>
      <c r="C876" s="11" t="s">
        <v>580</v>
      </c>
      <c r="D876" s="9"/>
      <c r="E876" s="9">
        <v>72</v>
      </c>
      <c r="F876" s="10" t="s">
        <v>1066</v>
      </c>
      <c r="G876" s="9">
        <v>913</v>
      </c>
      <c r="H876" s="9">
        <v>1965</v>
      </c>
      <c r="I876" s="8">
        <v>53.648000000000003</v>
      </c>
      <c r="J876" s="8">
        <v>43.337000000000003</v>
      </c>
      <c r="K876" s="8">
        <v>34.353999999999999</v>
      </c>
      <c r="L876" s="8">
        <v>23.091000000000001</v>
      </c>
      <c r="M876" s="8">
        <v>22.484999999999999</v>
      </c>
      <c r="N876" s="8">
        <v>20.294</v>
      </c>
      <c r="O876" s="8">
        <v>15.702999999999999</v>
      </c>
      <c r="P876" s="8">
        <v>11.662000000000001</v>
      </c>
      <c r="Q876" s="8">
        <v>11.135</v>
      </c>
      <c r="R876" s="8">
        <v>8.3249999999999993</v>
      </c>
      <c r="S876" s="8">
        <v>6.9130000000000003</v>
      </c>
      <c r="T876" s="8">
        <v>6.5140000000000002</v>
      </c>
      <c r="U876" s="8">
        <v>5.8440000000000003</v>
      </c>
      <c r="V876" s="8">
        <v>3.8039999999999998</v>
      </c>
      <c r="W876" s="8">
        <v>2.6909999999999998</v>
      </c>
      <c r="X876" s="8">
        <v>1.4670000000000001</v>
      </c>
      <c r="Y876" s="8">
        <v>0.59899999999999998</v>
      </c>
      <c r="Z876" s="8">
        <v>0.154</v>
      </c>
      <c r="AA876" s="8">
        <v>1.7000000000000001E-2</v>
      </c>
      <c r="AB876" s="8">
        <v>0</v>
      </c>
      <c r="AC876" s="8">
        <v>0</v>
      </c>
    </row>
    <row r="877" spans="1:29" ht="11.65" x14ac:dyDescent="0.35">
      <c r="A877" s="12">
        <v>860</v>
      </c>
      <c r="B877" s="10" t="s">
        <v>1015</v>
      </c>
      <c r="C877" s="11" t="s">
        <v>580</v>
      </c>
      <c r="D877" s="9"/>
      <c r="E877" s="9">
        <v>72</v>
      </c>
      <c r="F877" s="10" t="s">
        <v>1066</v>
      </c>
      <c r="G877" s="9">
        <v>913</v>
      </c>
      <c r="H877" s="9">
        <v>1970</v>
      </c>
      <c r="I877" s="8">
        <v>60.343000000000004</v>
      </c>
      <c r="J877" s="8">
        <v>49.661000000000001</v>
      </c>
      <c r="K877" s="8">
        <v>40.402999999999999</v>
      </c>
      <c r="L877" s="8">
        <v>31.183</v>
      </c>
      <c r="M877" s="8">
        <v>20.513999999999999</v>
      </c>
      <c r="N877" s="8">
        <v>20.113</v>
      </c>
      <c r="O877" s="8">
        <v>17.535</v>
      </c>
      <c r="P877" s="8">
        <v>13.170999999999999</v>
      </c>
      <c r="Q877" s="8">
        <v>10.041</v>
      </c>
      <c r="R877" s="8">
        <v>9.9079999999999995</v>
      </c>
      <c r="S877" s="8">
        <v>7.3550000000000004</v>
      </c>
      <c r="T877" s="8">
        <v>6.2060000000000004</v>
      </c>
      <c r="U877" s="8">
        <v>5.7309999999999999</v>
      </c>
      <c r="V877" s="8">
        <v>4.7809999999999997</v>
      </c>
      <c r="W877" s="8">
        <v>2.7490000000000001</v>
      </c>
      <c r="X877" s="8">
        <v>1.5960000000000001</v>
      </c>
      <c r="Y877" s="8">
        <v>0.63800000000000001</v>
      </c>
      <c r="Z877" s="8">
        <v>0.157</v>
      </c>
      <c r="AA877" s="8">
        <v>1.9E-2</v>
      </c>
      <c r="AB877" s="8">
        <v>0</v>
      </c>
      <c r="AC877" s="8">
        <v>0</v>
      </c>
    </row>
    <row r="878" spans="1:29" ht="11.65" x14ac:dyDescent="0.35">
      <c r="A878" s="12">
        <v>861</v>
      </c>
      <c r="B878" s="10" t="s">
        <v>1015</v>
      </c>
      <c r="C878" s="11" t="s">
        <v>580</v>
      </c>
      <c r="D878" s="9"/>
      <c r="E878" s="9">
        <v>72</v>
      </c>
      <c r="F878" s="10" t="s">
        <v>1066</v>
      </c>
      <c r="G878" s="9">
        <v>913</v>
      </c>
      <c r="H878" s="9">
        <v>1975</v>
      </c>
      <c r="I878" s="8">
        <v>70.837999999999994</v>
      </c>
      <c r="J878" s="8">
        <v>58.908999999999999</v>
      </c>
      <c r="K878" s="8">
        <v>48.938000000000002</v>
      </c>
      <c r="L878" s="8">
        <v>39.078000000000003</v>
      </c>
      <c r="M878" s="8">
        <v>29.425999999999998</v>
      </c>
      <c r="N878" s="8">
        <v>18.934999999999999</v>
      </c>
      <c r="O878" s="8">
        <v>19.061</v>
      </c>
      <c r="P878" s="8">
        <v>16.738</v>
      </c>
      <c r="Q878" s="8">
        <v>12.250999999999999</v>
      </c>
      <c r="R878" s="8">
        <v>9.3070000000000004</v>
      </c>
      <c r="S878" s="8">
        <v>9.3529999999999998</v>
      </c>
      <c r="T878" s="8">
        <v>6.9109999999999996</v>
      </c>
      <c r="U878" s="8">
        <v>5.6379999999999999</v>
      </c>
      <c r="V878" s="8">
        <v>4.9619999999999997</v>
      </c>
      <c r="W878" s="8">
        <v>3.5790000000000002</v>
      </c>
      <c r="X878" s="8">
        <v>1.631</v>
      </c>
      <c r="Y878" s="8">
        <v>0.69199999999999995</v>
      </c>
      <c r="Z878" s="8">
        <v>0.16500000000000001</v>
      </c>
      <c r="AA878" s="8">
        <v>1.7000000000000001E-2</v>
      </c>
      <c r="AB878" s="8">
        <v>0</v>
      </c>
      <c r="AC878" s="8">
        <v>0</v>
      </c>
    </row>
    <row r="879" spans="1:29" ht="11.65" x14ac:dyDescent="0.35">
      <c r="A879" s="12">
        <v>862</v>
      </c>
      <c r="B879" s="10" t="s">
        <v>1015</v>
      </c>
      <c r="C879" s="11" t="s">
        <v>580</v>
      </c>
      <c r="D879" s="9"/>
      <c r="E879" s="9">
        <v>72</v>
      </c>
      <c r="F879" s="10" t="s">
        <v>1066</v>
      </c>
      <c r="G879" s="9">
        <v>913</v>
      </c>
      <c r="H879" s="9">
        <v>1980</v>
      </c>
      <c r="I879" s="8">
        <v>87.314999999999998</v>
      </c>
      <c r="J879" s="8">
        <v>72.125</v>
      </c>
      <c r="K879" s="8">
        <v>58.829000000000001</v>
      </c>
      <c r="L879" s="8">
        <v>45.298999999999999</v>
      </c>
      <c r="M879" s="8">
        <v>33.837000000000003</v>
      </c>
      <c r="N879" s="8">
        <v>24.503</v>
      </c>
      <c r="O879" s="8">
        <v>17.006</v>
      </c>
      <c r="P879" s="8">
        <v>18.332999999999998</v>
      </c>
      <c r="Q879" s="8">
        <v>15.105</v>
      </c>
      <c r="R879" s="8">
        <v>11.260999999999999</v>
      </c>
      <c r="S879" s="8">
        <v>9.827</v>
      </c>
      <c r="T879" s="8">
        <v>9.9320000000000004</v>
      </c>
      <c r="U879" s="8">
        <v>7.351</v>
      </c>
      <c r="V879" s="8">
        <v>6.1920000000000002</v>
      </c>
      <c r="W879" s="8">
        <v>4.2750000000000004</v>
      </c>
      <c r="X879" s="8">
        <v>2.1379999999999999</v>
      </c>
      <c r="Y879" s="8">
        <v>0.71099999999999997</v>
      </c>
      <c r="Z879" s="8">
        <v>0.17799999999999999</v>
      </c>
      <c r="AA879" s="8">
        <v>1.7000000000000001E-2</v>
      </c>
      <c r="AB879" s="8">
        <v>0</v>
      </c>
      <c r="AC879" s="8">
        <v>0</v>
      </c>
    </row>
    <row r="880" spans="1:29" ht="11.65" x14ac:dyDescent="0.35">
      <c r="A880" s="12">
        <v>863</v>
      </c>
      <c r="B880" s="10" t="s">
        <v>1015</v>
      </c>
      <c r="C880" s="11" t="s">
        <v>580</v>
      </c>
      <c r="D880" s="9"/>
      <c r="E880" s="9">
        <v>72</v>
      </c>
      <c r="F880" s="10" t="s">
        <v>1066</v>
      </c>
      <c r="G880" s="9">
        <v>913</v>
      </c>
      <c r="H880" s="9">
        <v>1985</v>
      </c>
      <c r="I880" s="8">
        <v>101.27800000000001</v>
      </c>
      <c r="J880" s="8">
        <v>85.537000000000006</v>
      </c>
      <c r="K880" s="8">
        <v>71.269000000000005</v>
      </c>
      <c r="L880" s="8">
        <v>58.167999999999999</v>
      </c>
      <c r="M880" s="8">
        <v>44.116</v>
      </c>
      <c r="N880" s="8">
        <v>32.654000000000003</v>
      </c>
      <c r="O880" s="8">
        <v>23.847999999999999</v>
      </c>
      <c r="P880" s="8">
        <v>16.782</v>
      </c>
      <c r="Q880" s="8">
        <v>18.094000000000001</v>
      </c>
      <c r="R880" s="8">
        <v>14.68</v>
      </c>
      <c r="S880" s="8">
        <v>10.663</v>
      </c>
      <c r="T880" s="8">
        <v>9.1319999999999997</v>
      </c>
      <c r="U880" s="8">
        <v>8.9030000000000005</v>
      </c>
      <c r="V880" s="8">
        <v>6.1760000000000002</v>
      </c>
      <c r="W880" s="8">
        <v>4.556</v>
      </c>
      <c r="X880" s="8">
        <v>2.5670000000000002</v>
      </c>
      <c r="Y880" s="8">
        <v>0.93500000000000005</v>
      </c>
      <c r="Z880" s="8">
        <v>0.182</v>
      </c>
      <c r="AA880" s="8">
        <v>1.9E-2</v>
      </c>
      <c r="AB880" s="8">
        <v>0</v>
      </c>
      <c r="AC880" s="8">
        <v>0</v>
      </c>
    </row>
    <row r="881" spans="1:29" ht="11.65" x14ac:dyDescent="0.35">
      <c r="A881" s="12">
        <v>864</v>
      </c>
      <c r="B881" s="10" t="s">
        <v>1015</v>
      </c>
      <c r="C881" s="11" t="s">
        <v>580</v>
      </c>
      <c r="D881" s="9"/>
      <c r="E881" s="9">
        <v>72</v>
      </c>
      <c r="F881" s="10" t="s">
        <v>1066</v>
      </c>
      <c r="G881" s="9">
        <v>913</v>
      </c>
      <c r="H881" s="9">
        <v>1990</v>
      </c>
      <c r="I881" s="8">
        <v>105.866</v>
      </c>
      <c r="J881" s="8">
        <v>99.569000000000003</v>
      </c>
      <c r="K881" s="8">
        <v>85.320999999999998</v>
      </c>
      <c r="L881" s="8">
        <v>71.105000000000004</v>
      </c>
      <c r="M881" s="8">
        <v>54.441000000000003</v>
      </c>
      <c r="N881" s="8">
        <v>40.270000000000003</v>
      </c>
      <c r="O881" s="8">
        <v>32.588000000000001</v>
      </c>
      <c r="P881" s="8">
        <v>26.797999999999998</v>
      </c>
      <c r="Q881" s="8">
        <v>21.709</v>
      </c>
      <c r="R881" s="8">
        <v>21.154</v>
      </c>
      <c r="S881" s="8">
        <v>15.786</v>
      </c>
      <c r="T881" s="8">
        <v>11.976000000000001</v>
      </c>
      <c r="U881" s="8">
        <v>10.4</v>
      </c>
      <c r="V881" s="8">
        <v>9.1150000000000002</v>
      </c>
      <c r="W881" s="8">
        <v>5.077</v>
      </c>
      <c r="X881" s="8">
        <v>2.734</v>
      </c>
      <c r="Y881" s="8">
        <v>1.121</v>
      </c>
      <c r="Z881" s="8">
        <v>0.23799999999999999</v>
      </c>
      <c r="AA881" s="8">
        <v>0.02</v>
      </c>
      <c r="AB881" s="8">
        <v>0</v>
      </c>
      <c r="AC881" s="8">
        <v>0</v>
      </c>
    </row>
    <row r="882" spans="1:29" ht="11.65" x14ac:dyDescent="0.35">
      <c r="A882" s="12">
        <v>865</v>
      </c>
      <c r="B882" s="10" t="s">
        <v>1015</v>
      </c>
      <c r="C882" s="11" t="s">
        <v>580</v>
      </c>
      <c r="D882" s="9"/>
      <c r="E882" s="9">
        <v>72</v>
      </c>
      <c r="F882" s="10" t="s">
        <v>1066</v>
      </c>
      <c r="G882" s="9">
        <v>913</v>
      </c>
      <c r="H882" s="9">
        <v>1995</v>
      </c>
      <c r="I882" s="8">
        <v>109.779</v>
      </c>
      <c r="J882" s="8">
        <v>103.857</v>
      </c>
      <c r="K882" s="8">
        <v>98.608999999999995</v>
      </c>
      <c r="L882" s="8">
        <v>84.844999999999999</v>
      </c>
      <c r="M882" s="8">
        <v>69.003</v>
      </c>
      <c r="N882" s="8">
        <v>52.165999999999997</v>
      </c>
      <c r="O882" s="8">
        <v>39.296999999999997</v>
      </c>
      <c r="P882" s="8">
        <v>32.481999999999999</v>
      </c>
      <c r="Q882" s="8">
        <v>27.507000000000001</v>
      </c>
      <c r="R882" s="8">
        <v>22.54</v>
      </c>
      <c r="S882" s="8">
        <v>21.087</v>
      </c>
      <c r="T882" s="8">
        <v>14.525</v>
      </c>
      <c r="U882" s="8">
        <v>10.359</v>
      </c>
      <c r="V882" s="8">
        <v>9.0459999999999994</v>
      </c>
      <c r="W882" s="8">
        <v>6.798</v>
      </c>
      <c r="X882" s="8">
        <v>2.9350000000000001</v>
      </c>
      <c r="Y882" s="8">
        <v>1.1579999999999999</v>
      </c>
      <c r="Z882" s="8">
        <v>0.27900000000000003</v>
      </c>
      <c r="AA882" s="8">
        <v>2.7E-2</v>
      </c>
      <c r="AB882" s="8">
        <v>0</v>
      </c>
      <c r="AC882" s="8">
        <v>0</v>
      </c>
    </row>
    <row r="883" spans="1:29" ht="11.65" x14ac:dyDescent="0.35">
      <c r="A883" s="12">
        <v>866</v>
      </c>
      <c r="B883" s="10" t="s">
        <v>1015</v>
      </c>
      <c r="C883" s="11" t="s">
        <v>580</v>
      </c>
      <c r="D883" s="9"/>
      <c r="E883" s="9">
        <v>72</v>
      </c>
      <c r="F883" s="10" t="s">
        <v>1066</v>
      </c>
      <c r="G883" s="9">
        <v>913</v>
      </c>
      <c r="H883" s="9">
        <v>2000</v>
      </c>
      <c r="I883" s="8">
        <v>109.78100000000001</v>
      </c>
      <c r="J883" s="8">
        <v>107.352</v>
      </c>
      <c r="K883" s="8">
        <v>103.17</v>
      </c>
      <c r="L883" s="8">
        <v>98.421999999999997</v>
      </c>
      <c r="M883" s="8">
        <v>82.344999999999999</v>
      </c>
      <c r="N883" s="8">
        <v>66.028999999999996</v>
      </c>
      <c r="O883" s="8">
        <v>50.767000000000003</v>
      </c>
      <c r="P883" s="8">
        <v>39.046999999999997</v>
      </c>
      <c r="Q883" s="8">
        <v>33.218000000000004</v>
      </c>
      <c r="R883" s="8">
        <v>28.370999999999999</v>
      </c>
      <c r="S883" s="8">
        <v>22.913</v>
      </c>
      <c r="T883" s="8">
        <v>19.163</v>
      </c>
      <c r="U883" s="8">
        <v>12.526999999999999</v>
      </c>
      <c r="V883" s="8">
        <v>9.4870000000000001</v>
      </c>
      <c r="W883" s="8">
        <v>7.0720000000000001</v>
      </c>
      <c r="X883" s="8">
        <v>4.0720000000000001</v>
      </c>
      <c r="Y883" s="8">
        <v>1.333</v>
      </c>
      <c r="Z883" s="8">
        <v>0.32300000000000001</v>
      </c>
      <c r="AA883" s="8">
        <v>3.9E-2</v>
      </c>
      <c r="AB883" s="8">
        <v>2E-3</v>
      </c>
      <c r="AC883" s="8">
        <v>0</v>
      </c>
    </row>
    <row r="884" spans="1:29" ht="11.65" x14ac:dyDescent="0.35">
      <c r="A884" s="12">
        <v>867</v>
      </c>
      <c r="B884" s="10" t="s">
        <v>1015</v>
      </c>
      <c r="C884" s="11" t="s">
        <v>580</v>
      </c>
      <c r="D884" s="9"/>
      <c r="E884" s="9">
        <v>72</v>
      </c>
      <c r="F884" s="10" t="s">
        <v>1066</v>
      </c>
      <c r="G884" s="9">
        <v>913</v>
      </c>
      <c r="H884" s="9">
        <v>2005</v>
      </c>
      <c r="I884" s="8">
        <v>118.321</v>
      </c>
      <c r="J884" s="8">
        <v>107.166</v>
      </c>
      <c r="K884" s="8">
        <v>106.051</v>
      </c>
      <c r="L884" s="8">
        <v>101.955</v>
      </c>
      <c r="M884" s="8">
        <v>95.572999999999993</v>
      </c>
      <c r="N884" s="8">
        <v>79.91</v>
      </c>
      <c r="O884" s="8">
        <v>64.540000000000006</v>
      </c>
      <c r="P884" s="8">
        <v>48.555</v>
      </c>
      <c r="Q884" s="8">
        <v>36.371000000000002</v>
      </c>
      <c r="R884" s="8">
        <v>30.594999999999999</v>
      </c>
      <c r="S884" s="8">
        <v>26.196999999999999</v>
      </c>
      <c r="T884" s="8">
        <v>20.74</v>
      </c>
      <c r="U884" s="8">
        <v>16.321000000000002</v>
      </c>
      <c r="V884" s="8">
        <v>9.7119999999999997</v>
      </c>
      <c r="W884" s="8">
        <v>6.51</v>
      </c>
      <c r="X884" s="8">
        <v>4.1360000000000001</v>
      </c>
      <c r="Y884" s="8">
        <v>1.8049999999999999</v>
      </c>
      <c r="Z884" s="8">
        <v>0.36399999999999999</v>
      </c>
      <c r="AA884" s="8">
        <v>4.4999999999999998E-2</v>
      </c>
      <c r="AB884" s="8">
        <v>3.0000000000000001E-3</v>
      </c>
      <c r="AC884" s="8">
        <v>0</v>
      </c>
    </row>
    <row r="885" spans="1:29" ht="11.65" x14ac:dyDescent="0.35">
      <c r="A885" s="12">
        <v>868</v>
      </c>
      <c r="B885" s="10" t="s">
        <v>1015</v>
      </c>
      <c r="C885" s="11" t="s">
        <v>580</v>
      </c>
      <c r="D885" s="9"/>
      <c r="E885" s="9">
        <v>72</v>
      </c>
      <c r="F885" s="10" t="s">
        <v>1066</v>
      </c>
      <c r="G885" s="9">
        <v>913</v>
      </c>
      <c r="H885" s="9">
        <v>2010</v>
      </c>
      <c r="I885" s="8">
        <v>128.18600000000001</v>
      </c>
      <c r="J885" s="8">
        <v>116.44799999999999</v>
      </c>
      <c r="K885" s="8">
        <v>106.25700000000001</v>
      </c>
      <c r="L885" s="8">
        <v>105.105</v>
      </c>
      <c r="M885" s="8">
        <v>99.405000000000001</v>
      </c>
      <c r="N885" s="8">
        <v>93.494</v>
      </c>
      <c r="O885" s="8">
        <v>79.082999999999998</v>
      </c>
      <c r="P885" s="8">
        <v>63.19</v>
      </c>
      <c r="Q885" s="8">
        <v>46.954000000000001</v>
      </c>
      <c r="R885" s="8">
        <v>35.106999999999999</v>
      </c>
      <c r="S885" s="8">
        <v>29.457999999999998</v>
      </c>
      <c r="T885" s="8">
        <v>24.457999999999998</v>
      </c>
      <c r="U885" s="8">
        <v>18.3</v>
      </c>
      <c r="V885" s="8">
        <v>13.06</v>
      </c>
      <c r="W885" s="8">
        <v>6.9169999999999998</v>
      </c>
      <c r="X885" s="8">
        <v>3.9540000000000002</v>
      </c>
      <c r="Y885" s="8">
        <v>1.9119999999999999</v>
      </c>
      <c r="Z885" s="8">
        <v>0.52</v>
      </c>
      <c r="AA885" s="8">
        <v>5.2999999999999999E-2</v>
      </c>
      <c r="AB885" s="8">
        <v>3.0000000000000001E-3</v>
      </c>
      <c r="AC885" s="8">
        <v>0</v>
      </c>
    </row>
    <row r="886" spans="1:29" ht="11.65" x14ac:dyDescent="0.35">
      <c r="A886" s="12">
        <v>869</v>
      </c>
      <c r="B886" s="10" t="s">
        <v>1015</v>
      </c>
      <c r="C886" s="11" t="s">
        <v>580</v>
      </c>
      <c r="D886" s="9"/>
      <c r="E886" s="9">
        <v>72</v>
      </c>
      <c r="F886" s="10" t="s">
        <v>1066</v>
      </c>
      <c r="G886" s="9">
        <v>913</v>
      </c>
      <c r="H886" s="9">
        <v>2015</v>
      </c>
      <c r="I886" s="8">
        <v>135.77500000000001</v>
      </c>
      <c r="J886" s="8">
        <v>124.84399999999999</v>
      </c>
      <c r="K886" s="8">
        <v>113.864</v>
      </c>
      <c r="L886" s="8">
        <v>101.929</v>
      </c>
      <c r="M886" s="8">
        <v>97.745999999999995</v>
      </c>
      <c r="N886" s="8">
        <v>89.441000000000003</v>
      </c>
      <c r="O886" s="8">
        <v>83.941999999999993</v>
      </c>
      <c r="P886" s="8">
        <v>70.427999999999997</v>
      </c>
      <c r="Q886" s="8">
        <v>53.808999999999997</v>
      </c>
      <c r="R886" s="8">
        <v>39.194000000000003</v>
      </c>
      <c r="S886" s="8">
        <v>30</v>
      </c>
      <c r="T886" s="8">
        <v>25.806000000000001</v>
      </c>
      <c r="U886" s="8">
        <v>21.172000000000001</v>
      </c>
      <c r="V886" s="8">
        <v>15.256</v>
      </c>
      <c r="W886" s="8">
        <v>10.206</v>
      </c>
      <c r="X886" s="8">
        <v>4.7699999999999996</v>
      </c>
      <c r="Y886" s="8">
        <v>2.1930000000000001</v>
      </c>
      <c r="Z886" s="8">
        <v>0.72499999999999998</v>
      </c>
      <c r="AA886" s="8">
        <v>0.11</v>
      </c>
      <c r="AB886" s="8">
        <v>6.0000000000000001E-3</v>
      </c>
      <c r="AC886" s="8">
        <v>0</v>
      </c>
    </row>
    <row r="887" spans="1:29" ht="11.65" x14ac:dyDescent="0.35">
      <c r="A887" s="12">
        <v>870</v>
      </c>
      <c r="B887" s="10" t="s">
        <v>1015</v>
      </c>
      <c r="C887" s="11" t="s">
        <v>580</v>
      </c>
      <c r="D887" s="9"/>
      <c r="E887" s="9">
        <v>72</v>
      </c>
      <c r="F887" s="10" t="s">
        <v>1066</v>
      </c>
      <c r="G887" s="9">
        <v>913</v>
      </c>
      <c r="H887" s="9">
        <v>2020</v>
      </c>
      <c r="I887" s="8">
        <v>137.54599999999999</v>
      </c>
      <c r="J887" s="8">
        <v>135.08000000000001</v>
      </c>
      <c r="K887" s="8">
        <v>124.63500000000001</v>
      </c>
      <c r="L887" s="8">
        <v>114.07</v>
      </c>
      <c r="M887" s="8">
        <v>102.79300000000001</v>
      </c>
      <c r="N887" s="8">
        <v>98.69</v>
      </c>
      <c r="O887" s="8">
        <v>89.772000000000006</v>
      </c>
      <c r="P887" s="8">
        <v>83.269000000000005</v>
      </c>
      <c r="Q887" s="8">
        <v>69.072999999999993</v>
      </c>
      <c r="R887" s="8">
        <v>52.24</v>
      </c>
      <c r="S887" s="8">
        <v>37.552</v>
      </c>
      <c r="T887" s="8">
        <v>28.245000000000001</v>
      </c>
      <c r="U887" s="8">
        <v>23.651</v>
      </c>
      <c r="V887" s="8">
        <v>18.567</v>
      </c>
      <c r="W887" s="8">
        <v>12.478</v>
      </c>
      <c r="X887" s="8">
        <v>7.4489999999999998</v>
      </c>
      <c r="Y887" s="8">
        <v>2.863</v>
      </c>
      <c r="Z887" s="8">
        <v>0.93300000000000005</v>
      </c>
      <c r="AA887" s="8">
        <v>0.17799999999999999</v>
      </c>
      <c r="AB887" s="8">
        <v>1.4999999999999999E-2</v>
      </c>
      <c r="AC887" s="8">
        <v>0</v>
      </c>
    </row>
    <row r="888" spans="1:29" ht="11.65" x14ac:dyDescent="0.35">
      <c r="A888" s="12">
        <v>871</v>
      </c>
      <c r="B888" s="10" t="s">
        <v>1015</v>
      </c>
      <c r="C888" s="11" t="s">
        <v>603</v>
      </c>
      <c r="D888" s="9"/>
      <c r="E888" s="9">
        <v>748</v>
      </c>
      <c r="F888" s="10" t="s">
        <v>1066</v>
      </c>
      <c r="G888" s="9">
        <v>913</v>
      </c>
      <c r="H888" s="9">
        <v>1950</v>
      </c>
      <c r="I888" s="8">
        <v>24.068999999999999</v>
      </c>
      <c r="J888" s="8">
        <v>18.175999999999998</v>
      </c>
      <c r="K888" s="8">
        <v>15.622</v>
      </c>
      <c r="L888" s="8">
        <v>13.654999999999999</v>
      </c>
      <c r="M888" s="8">
        <v>11.788</v>
      </c>
      <c r="N888" s="8">
        <v>10.119999999999999</v>
      </c>
      <c r="O888" s="8">
        <v>8.7449999999999992</v>
      </c>
      <c r="P888" s="8">
        <v>7.27</v>
      </c>
      <c r="Q888" s="8">
        <v>6.0910000000000002</v>
      </c>
      <c r="R888" s="8">
        <v>4.9119999999999999</v>
      </c>
      <c r="S888" s="8">
        <v>3.93</v>
      </c>
      <c r="T888" s="8">
        <v>3.0449999999999999</v>
      </c>
      <c r="U888" s="8">
        <v>2.2599999999999998</v>
      </c>
      <c r="V888" s="8">
        <v>1.5720000000000001</v>
      </c>
      <c r="W888" s="8">
        <v>0.88300000000000001</v>
      </c>
      <c r="X888" s="8">
        <v>0.39400000000000002</v>
      </c>
      <c r="Y888" s="8">
        <v>0.14499999999999999</v>
      </c>
      <c r="Z888" s="8">
        <v>4.1000000000000002E-2</v>
      </c>
      <c r="AA888" s="8">
        <v>8.9999999999999993E-3</v>
      </c>
      <c r="AB888" s="8">
        <v>0</v>
      </c>
      <c r="AC888" s="8">
        <v>0</v>
      </c>
    </row>
    <row r="889" spans="1:29" ht="11.65" x14ac:dyDescent="0.35">
      <c r="A889" s="12">
        <v>872</v>
      </c>
      <c r="B889" s="10" t="s">
        <v>1015</v>
      </c>
      <c r="C889" s="11" t="s">
        <v>603</v>
      </c>
      <c r="D889" s="9"/>
      <c r="E889" s="9">
        <v>748</v>
      </c>
      <c r="F889" s="10" t="s">
        <v>1066</v>
      </c>
      <c r="G889" s="9">
        <v>913</v>
      </c>
      <c r="H889" s="9">
        <v>1955</v>
      </c>
      <c r="I889" s="8">
        <v>27.652000000000001</v>
      </c>
      <c r="J889" s="8">
        <v>21.355</v>
      </c>
      <c r="K889" s="8">
        <v>17.34</v>
      </c>
      <c r="L889" s="8">
        <v>14.95</v>
      </c>
      <c r="M889" s="8">
        <v>12.695</v>
      </c>
      <c r="N889" s="8">
        <v>10.695</v>
      </c>
      <c r="O889" s="8">
        <v>9.0589999999999993</v>
      </c>
      <c r="P889" s="8">
        <v>7.7169999999999996</v>
      </c>
      <c r="Q889" s="8">
        <v>6.3630000000000004</v>
      </c>
      <c r="R889" s="8">
        <v>5.31</v>
      </c>
      <c r="S889" s="8">
        <v>4.2560000000000002</v>
      </c>
      <c r="T889" s="8">
        <v>3.3849999999999998</v>
      </c>
      <c r="U889" s="8">
        <v>2.57</v>
      </c>
      <c r="V889" s="8">
        <v>1.7669999999999999</v>
      </c>
      <c r="W889" s="8">
        <v>1.1080000000000001</v>
      </c>
      <c r="X889" s="8">
        <v>0.54100000000000004</v>
      </c>
      <c r="Y889" s="8">
        <v>0.185</v>
      </c>
      <c r="Z889" s="8">
        <v>4.3999999999999997E-2</v>
      </c>
      <c r="AA889" s="8">
        <v>7.0000000000000001E-3</v>
      </c>
      <c r="AB889" s="8">
        <v>0</v>
      </c>
      <c r="AC889" s="8">
        <v>0</v>
      </c>
    </row>
    <row r="890" spans="1:29" ht="11.65" x14ac:dyDescent="0.35">
      <c r="A890" s="12">
        <v>873</v>
      </c>
      <c r="B890" s="10" t="s">
        <v>1015</v>
      </c>
      <c r="C890" s="11" t="s">
        <v>603</v>
      </c>
      <c r="D890" s="9"/>
      <c r="E890" s="9">
        <v>748</v>
      </c>
      <c r="F890" s="10" t="s">
        <v>1066</v>
      </c>
      <c r="G890" s="9">
        <v>913</v>
      </c>
      <c r="H890" s="9">
        <v>1960</v>
      </c>
      <c r="I890" s="8">
        <v>30.896000000000001</v>
      </c>
      <c r="J890" s="8">
        <v>24.893000000000001</v>
      </c>
      <c r="K890" s="8">
        <v>20.486000000000001</v>
      </c>
      <c r="L890" s="8">
        <v>16.422999999999998</v>
      </c>
      <c r="M890" s="8">
        <v>13.566000000000001</v>
      </c>
      <c r="N890" s="8">
        <v>11.315</v>
      </c>
      <c r="O890" s="8">
        <v>9.49</v>
      </c>
      <c r="P890" s="8">
        <v>7.9950000000000001</v>
      </c>
      <c r="Q890" s="8">
        <v>6.8170000000000002</v>
      </c>
      <c r="R890" s="8">
        <v>5.617</v>
      </c>
      <c r="S890" s="8">
        <v>4.6760000000000002</v>
      </c>
      <c r="T890" s="8">
        <v>3.742</v>
      </c>
      <c r="U890" s="8">
        <v>2.9209999999999998</v>
      </c>
      <c r="V890" s="8">
        <v>2.0299999999999998</v>
      </c>
      <c r="W890" s="8">
        <v>1.242</v>
      </c>
      <c r="X890" s="8">
        <v>0.68100000000000005</v>
      </c>
      <c r="Y890" s="8">
        <v>0.255</v>
      </c>
      <c r="Z890" s="8">
        <v>5.6000000000000001E-2</v>
      </c>
      <c r="AA890" s="8">
        <v>7.0000000000000001E-3</v>
      </c>
      <c r="AB890" s="8">
        <v>0</v>
      </c>
      <c r="AC890" s="8">
        <v>0</v>
      </c>
    </row>
    <row r="891" spans="1:29" ht="11.65" x14ac:dyDescent="0.35">
      <c r="A891" s="12">
        <v>874</v>
      </c>
      <c r="B891" s="10" t="s">
        <v>1015</v>
      </c>
      <c r="C891" s="11" t="s">
        <v>603</v>
      </c>
      <c r="D891" s="9"/>
      <c r="E891" s="9">
        <v>748</v>
      </c>
      <c r="F891" s="10" t="s">
        <v>1066</v>
      </c>
      <c r="G891" s="9">
        <v>913</v>
      </c>
      <c r="H891" s="9">
        <v>1965</v>
      </c>
      <c r="I891" s="8">
        <v>35.151000000000003</v>
      </c>
      <c r="J891" s="8">
        <v>28.164000000000001</v>
      </c>
      <c r="K891" s="8">
        <v>23.992000000000001</v>
      </c>
      <c r="L891" s="8">
        <v>19.193999999999999</v>
      </c>
      <c r="M891" s="8">
        <v>14.436</v>
      </c>
      <c r="N891" s="8">
        <v>11.757</v>
      </c>
      <c r="O891" s="8">
        <v>9.8569999999999993</v>
      </c>
      <c r="P891" s="8">
        <v>8.3030000000000008</v>
      </c>
      <c r="Q891" s="8">
        <v>7.0579999999999998</v>
      </c>
      <c r="R891" s="8">
        <v>6.0670000000000002</v>
      </c>
      <c r="S891" s="8">
        <v>5.024</v>
      </c>
      <c r="T891" s="8">
        <v>4.2220000000000004</v>
      </c>
      <c r="U891" s="8">
        <v>3.3460000000000001</v>
      </c>
      <c r="V891" s="8">
        <v>2.3460000000000001</v>
      </c>
      <c r="W891" s="8">
        <v>1.4259999999999999</v>
      </c>
      <c r="X891" s="8">
        <v>0.76300000000000001</v>
      </c>
      <c r="Y891" s="8">
        <v>0.317</v>
      </c>
      <c r="Z891" s="8">
        <v>7.5999999999999998E-2</v>
      </c>
      <c r="AA891" s="8">
        <v>8.9999999999999993E-3</v>
      </c>
      <c r="AB891" s="8">
        <v>0</v>
      </c>
      <c r="AC891" s="8">
        <v>0</v>
      </c>
    </row>
    <row r="892" spans="1:29" ht="11.65" x14ac:dyDescent="0.35">
      <c r="A892" s="12">
        <v>875</v>
      </c>
      <c r="B892" s="10" t="s">
        <v>1015</v>
      </c>
      <c r="C892" s="11" t="s">
        <v>603</v>
      </c>
      <c r="D892" s="9"/>
      <c r="E892" s="9">
        <v>748</v>
      </c>
      <c r="F892" s="10" t="s">
        <v>1066</v>
      </c>
      <c r="G892" s="9">
        <v>913</v>
      </c>
      <c r="H892" s="9">
        <v>1970</v>
      </c>
      <c r="I892" s="8">
        <v>41.643999999999998</v>
      </c>
      <c r="J892" s="8">
        <v>32.521000000000001</v>
      </c>
      <c r="K892" s="8">
        <v>27.329000000000001</v>
      </c>
      <c r="L892" s="8">
        <v>22.716000000000001</v>
      </c>
      <c r="M892" s="8">
        <v>17.323</v>
      </c>
      <c r="N892" s="8">
        <v>13.018000000000001</v>
      </c>
      <c r="O892" s="8">
        <v>10.8</v>
      </c>
      <c r="P892" s="8">
        <v>9.1920000000000002</v>
      </c>
      <c r="Q892" s="8">
        <v>7.8490000000000002</v>
      </c>
      <c r="R892" s="8">
        <v>6.6390000000000002</v>
      </c>
      <c r="S892" s="8">
        <v>5.5629999999999997</v>
      </c>
      <c r="T892" s="8">
        <v>4.4710000000000001</v>
      </c>
      <c r="U892" s="8">
        <v>3.5880000000000001</v>
      </c>
      <c r="V892" s="8">
        <v>2.581</v>
      </c>
      <c r="W892" s="8">
        <v>1.6439999999999999</v>
      </c>
      <c r="X892" s="8">
        <v>0.877</v>
      </c>
      <c r="Y892" s="8">
        <v>0.35499999999999998</v>
      </c>
      <c r="Z892" s="8">
        <v>9.4E-2</v>
      </c>
      <c r="AA892" s="8">
        <v>1.0999999999999999E-2</v>
      </c>
      <c r="AB892" s="8">
        <v>0</v>
      </c>
      <c r="AC892" s="8">
        <v>0</v>
      </c>
    </row>
    <row r="893" spans="1:29" ht="11.65" x14ac:dyDescent="0.35">
      <c r="A893" s="12">
        <v>876</v>
      </c>
      <c r="B893" s="10" t="s">
        <v>1015</v>
      </c>
      <c r="C893" s="11" t="s">
        <v>603</v>
      </c>
      <c r="D893" s="9"/>
      <c r="E893" s="9">
        <v>748</v>
      </c>
      <c r="F893" s="10" t="s">
        <v>1066</v>
      </c>
      <c r="G893" s="9">
        <v>913</v>
      </c>
      <c r="H893" s="9">
        <v>1975</v>
      </c>
      <c r="I893" s="8">
        <v>51.052</v>
      </c>
      <c r="J893" s="8">
        <v>39.067</v>
      </c>
      <c r="K893" s="8">
        <v>31.663</v>
      </c>
      <c r="L893" s="8">
        <v>25.733000000000001</v>
      </c>
      <c r="M893" s="8">
        <v>18.844000000000001</v>
      </c>
      <c r="N893" s="8">
        <v>13.696</v>
      </c>
      <c r="O893" s="8">
        <v>11.361000000000001</v>
      </c>
      <c r="P893" s="8">
        <v>9.9619999999999997</v>
      </c>
      <c r="Q893" s="8">
        <v>8.7379999999999995</v>
      </c>
      <c r="R893" s="8">
        <v>7.3620000000000001</v>
      </c>
      <c r="S893" s="8">
        <v>6</v>
      </c>
      <c r="T893" s="8">
        <v>4.8639999999999999</v>
      </c>
      <c r="U893" s="8">
        <v>3.766</v>
      </c>
      <c r="V893" s="8">
        <v>2.8919999999999999</v>
      </c>
      <c r="W893" s="8">
        <v>1.9039999999999999</v>
      </c>
      <c r="X893" s="8">
        <v>1.016</v>
      </c>
      <c r="Y893" s="8">
        <v>0.40699999999999997</v>
      </c>
      <c r="Z893" s="8">
        <v>0.104</v>
      </c>
      <c r="AA893" s="8">
        <v>1.2999999999999999E-2</v>
      </c>
      <c r="AB893" s="8">
        <v>0</v>
      </c>
      <c r="AC893" s="8">
        <v>0</v>
      </c>
    </row>
    <row r="894" spans="1:29" ht="11.65" x14ac:dyDescent="0.35">
      <c r="A894" s="12">
        <v>877</v>
      </c>
      <c r="B894" s="10" t="s">
        <v>1015</v>
      </c>
      <c r="C894" s="11" t="s">
        <v>603</v>
      </c>
      <c r="D894" s="9"/>
      <c r="E894" s="9">
        <v>748</v>
      </c>
      <c r="F894" s="10" t="s">
        <v>1066</v>
      </c>
      <c r="G894" s="9">
        <v>913</v>
      </c>
      <c r="H894" s="9">
        <v>1980</v>
      </c>
      <c r="I894" s="8">
        <v>60.335000000000001</v>
      </c>
      <c r="J894" s="8">
        <v>48.725000000000001</v>
      </c>
      <c r="K894" s="8">
        <v>38.286000000000001</v>
      </c>
      <c r="L894" s="8">
        <v>30.059000000000001</v>
      </c>
      <c r="M894" s="8">
        <v>22.158999999999999</v>
      </c>
      <c r="N894" s="8">
        <v>15.773</v>
      </c>
      <c r="O894" s="8">
        <v>12.599</v>
      </c>
      <c r="P894" s="8">
        <v>11.029</v>
      </c>
      <c r="Q894" s="8">
        <v>9.77</v>
      </c>
      <c r="R894" s="8">
        <v>8.3569999999999993</v>
      </c>
      <c r="S894" s="8">
        <v>6.7759999999999998</v>
      </c>
      <c r="T894" s="8">
        <v>5.3680000000000003</v>
      </c>
      <c r="U894" s="8">
        <v>4.2069999999999999</v>
      </c>
      <c r="V894" s="8">
        <v>3.1349999999999998</v>
      </c>
      <c r="W894" s="8">
        <v>2.1829999999999998</v>
      </c>
      <c r="X894" s="8">
        <v>1.1839999999999999</v>
      </c>
      <c r="Y894" s="8">
        <v>0.47399999999999998</v>
      </c>
      <c r="Z894" s="8">
        <v>0.11600000000000001</v>
      </c>
      <c r="AA894" s="8">
        <v>1.4E-2</v>
      </c>
      <c r="AB894" s="8">
        <v>0</v>
      </c>
      <c r="AC894" s="8">
        <v>0</v>
      </c>
    </row>
    <row r="895" spans="1:29" ht="11.65" x14ac:dyDescent="0.35">
      <c r="A895" s="12">
        <v>878</v>
      </c>
      <c r="B895" s="10" t="s">
        <v>1015</v>
      </c>
      <c r="C895" s="11" t="s">
        <v>603</v>
      </c>
      <c r="D895" s="9"/>
      <c r="E895" s="9">
        <v>748</v>
      </c>
      <c r="F895" s="10" t="s">
        <v>1066</v>
      </c>
      <c r="G895" s="9">
        <v>913</v>
      </c>
      <c r="H895" s="9">
        <v>1985</v>
      </c>
      <c r="I895" s="8">
        <v>71.424999999999997</v>
      </c>
      <c r="J895" s="8">
        <v>58.427999999999997</v>
      </c>
      <c r="K895" s="8">
        <v>47.994</v>
      </c>
      <c r="L895" s="8">
        <v>35.515000000000001</v>
      </c>
      <c r="M895" s="8">
        <v>23.527000000000001</v>
      </c>
      <c r="N895" s="8">
        <v>17.207999999999998</v>
      </c>
      <c r="O895" s="8">
        <v>15.407999999999999</v>
      </c>
      <c r="P895" s="8">
        <v>13.744</v>
      </c>
      <c r="Q895" s="8">
        <v>11.981</v>
      </c>
      <c r="R895" s="8">
        <v>9.9149999999999991</v>
      </c>
      <c r="S895" s="8">
        <v>7.7830000000000004</v>
      </c>
      <c r="T895" s="8">
        <v>6.0780000000000003</v>
      </c>
      <c r="U895" s="8">
        <v>4.6219999999999999</v>
      </c>
      <c r="V895" s="8">
        <v>3.476</v>
      </c>
      <c r="W895" s="8">
        <v>2.3769999999999998</v>
      </c>
      <c r="X895" s="8">
        <v>1.381</v>
      </c>
      <c r="Y895" s="8">
        <v>0.56000000000000005</v>
      </c>
      <c r="Z895" s="8">
        <v>0.13800000000000001</v>
      </c>
      <c r="AA895" s="8">
        <v>1.6E-2</v>
      </c>
      <c r="AB895" s="8">
        <v>0</v>
      </c>
      <c r="AC895" s="8">
        <v>0</v>
      </c>
    </row>
    <row r="896" spans="1:29" ht="11.65" x14ac:dyDescent="0.35">
      <c r="A896" s="12">
        <v>879</v>
      </c>
      <c r="B896" s="10" t="s">
        <v>1015</v>
      </c>
      <c r="C896" s="11" t="s">
        <v>603</v>
      </c>
      <c r="D896" s="9"/>
      <c r="E896" s="9">
        <v>748</v>
      </c>
      <c r="F896" s="10" t="s">
        <v>1066</v>
      </c>
      <c r="G896" s="9">
        <v>913</v>
      </c>
      <c r="H896" s="9">
        <v>1990</v>
      </c>
      <c r="I896" s="8">
        <v>73.905000000000001</v>
      </c>
      <c r="J896" s="8">
        <v>69.807000000000002</v>
      </c>
      <c r="K896" s="8">
        <v>57.735999999999997</v>
      </c>
      <c r="L896" s="8">
        <v>46.207999999999998</v>
      </c>
      <c r="M896" s="8">
        <v>32.481000000000002</v>
      </c>
      <c r="N896" s="8">
        <v>21.64</v>
      </c>
      <c r="O896" s="8">
        <v>16.475000000000001</v>
      </c>
      <c r="P896" s="8">
        <v>14.991</v>
      </c>
      <c r="Q896" s="8">
        <v>13.582000000000001</v>
      </c>
      <c r="R896" s="8">
        <v>11.64</v>
      </c>
      <c r="S896" s="8">
        <v>9.3710000000000004</v>
      </c>
      <c r="T896" s="8">
        <v>7.1509999999999998</v>
      </c>
      <c r="U896" s="8">
        <v>5.3840000000000003</v>
      </c>
      <c r="V896" s="8">
        <v>3.9140000000000001</v>
      </c>
      <c r="W896" s="8">
        <v>2.6850000000000001</v>
      </c>
      <c r="X896" s="8">
        <v>1.544</v>
      </c>
      <c r="Y896" s="8">
        <v>0.67500000000000004</v>
      </c>
      <c r="Z896" s="8">
        <v>0.17</v>
      </c>
      <c r="AA896" s="8">
        <v>1.9E-2</v>
      </c>
      <c r="AB896" s="8">
        <v>0</v>
      </c>
      <c r="AC896" s="8">
        <v>0</v>
      </c>
    </row>
    <row r="897" spans="1:29" ht="11.65" x14ac:dyDescent="0.35">
      <c r="A897" s="12">
        <v>880</v>
      </c>
      <c r="B897" s="10" t="s">
        <v>1015</v>
      </c>
      <c r="C897" s="11" t="s">
        <v>603</v>
      </c>
      <c r="D897" s="9"/>
      <c r="E897" s="9">
        <v>748</v>
      </c>
      <c r="F897" s="10" t="s">
        <v>1066</v>
      </c>
      <c r="G897" s="9">
        <v>913</v>
      </c>
      <c r="H897" s="9">
        <v>1995</v>
      </c>
      <c r="I897" s="8">
        <v>75.929000000000002</v>
      </c>
      <c r="J897" s="8">
        <v>71.33</v>
      </c>
      <c r="K897" s="8">
        <v>68.61</v>
      </c>
      <c r="L897" s="8">
        <v>52.417999999999999</v>
      </c>
      <c r="M897" s="8">
        <v>37.899000000000001</v>
      </c>
      <c r="N897" s="8">
        <v>26.875</v>
      </c>
      <c r="O897" s="8">
        <v>20.85</v>
      </c>
      <c r="P897" s="8">
        <v>18.882000000000001</v>
      </c>
      <c r="Q897" s="8">
        <v>17.039000000000001</v>
      </c>
      <c r="R897" s="8">
        <v>15.057</v>
      </c>
      <c r="S897" s="8">
        <v>11.896000000000001</v>
      </c>
      <c r="T897" s="8">
        <v>8.6929999999999996</v>
      </c>
      <c r="U897" s="8">
        <v>6.4050000000000002</v>
      </c>
      <c r="V897" s="8">
        <v>4.5780000000000003</v>
      </c>
      <c r="W897" s="8">
        <v>3.0150000000000001</v>
      </c>
      <c r="X897" s="8">
        <v>1.75</v>
      </c>
      <c r="Y897" s="8">
        <v>0.76400000000000001</v>
      </c>
      <c r="Z897" s="8">
        <v>0.20799999999999999</v>
      </c>
      <c r="AA897" s="8">
        <v>2.5000000000000001E-2</v>
      </c>
      <c r="AB897" s="8">
        <v>0</v>
      </c>
      <c r="AC897" s="8">
        <v>0</v>
      </c>
    </row>
    <row r="898" spans="1:29" ht="11.65" x14ac:dyDescent="0.35">
      <c r="A898" s="12">
        <v>881</v>
      </c>
      <c r="B898" s="10" t="s">
        <v>1015</v>
      </c>
      <c r="C898" s="11" t="s">
        <v>603</v>
      </c>
      <c r="D898" s="9"/>
      <c r="E898" s="9">
        <v>748</v>
      </c>
      <c r="F898" s="10" t="s">
        <v>1066</v>
      </c>
      <c r="G898" s="9">
        <v>913</v>
      </c>
      <c r="H898" s="9">
        <v>2000</v>
      </c>
      <c r="I898" s="8">
        <v>73.69</v>
      </c>
      <c r="J898" s="8">
        <v>73.323999999999998</v>
      </c>
      <c r="K898" s="8">
        <v>70.269000000000005</v>
      </c>
      <c r="L898" s="8">
        <v>65.843999999999994</v>
      </c>
      <c r="M898" s="8">
        <v>47.588000000000001</v>
      </c>
      <c r="N898" s="8">
        <v>33.695</v>
      </c>
      <c r="O898" s="8">
        <v>23.998999999999999</v>
      </c>
      <c r="P898" s="8">
        <v>18.957000000000001</v>
      </c>
      <c r="Q898" s="8">
        <v>17.492000000000001</v>
      </c>
      <c r="R898" s="8">
        <v>15.603</v>
      </c>
      <c r="S898" s="8">
        <v>13.548</v>
      </c>
      <c r="T898" s="8">
        <v>10.496</v>
      </c>
      <c r="U898" s="8">
        <v>7.4530000000000003</v>
      </c>
      <c r="V898" s="8">
        <v>5.2510000000000003</v>
      </c>
      <c r="W898" s="8">
        <v>3.3530000000000002</v>
      </c>
      <c r="X898" s="8">
        <v>1.8460000000000001</v>
      </c>
      <c r="Y898" s="8">
        <v>0.81799999999999995</v>
      </c>
      <c r="Z898" s="8">
        <v>0.223</v>
      </c>
      <c r="AA898" s="8">
        <v>3.2000000000000001E-2</v>
      </c>
      <c r="AB898" s="8">
        <v>2E-3</v>
      </c>
      <c r="AC898" s="8">
        <v>0</v>
      </c>
    </row>
    <row r="899" spans="1:29" ht="11.65" x14ac:dyDescent="0.35">
      <c r="A899" s="12">
        <v>882</v>
      </c>
      <c r="B899" s="10" t="s">
        <v>1015</v>
      </c>
      <c r="C899" s="11" t="s">
        <v>603</v>
      </c>
      <c r="D899" s="9"/>
      <c r="E899" s="9">
        <v>748</v>
      </c>
      <c r="F899" s="10" t="s">
        <v>1066</v>
      </c>
      <c r="G899" s="9">
        <v>913</v>
      </c>
      <c r="H899" s="9">
        <v>2005</v>
      </c>
      <c r="I899" s="8">
        <v>72.478999999999999</v>
      </c>
      <c r="J899" s="8">
        <v>69.69</v>
      </c>
      <c r="K899" s="8">
        <v>71.269000000000005</v>
      </c>
      <c r="L899" s="8">
        <v>61.030999999999999</v>
      </c>
      <c r="M899" s="8">
        <v>49.417999999999999</v>
      </c>
      <c r="N899" s="8">
        <v>34.631999999999998</v>
      </c>
      <c r="O899" s="8">
        <v>28.937999999999999</v>
      </c>
      <c r="P899" s="8">
        <v>22.774000000000001</v>
      </c>
      <c r="Q899" s="8">
        <v>17.145</v>
      </c>
      <c r="R899" s="8">
        <v>15.335000000000001</v>
      </c>
      <c r="S899" s="8">
        <v>13.429</v>
      </c>
      <c r="T899" s="8">
        <v>11.577999999999999</v>
      </c>
      <c r="U899" s="8">
        <v>8.7780000000000005</v>
      </c>
      <c r="V899" s="8">
        <v>5.992</v>
      </c>
      <c r="W899" s="8">
        <v>3.6890000000000001</v>
      </c>
      <c r="X899" s="8">
        <v>1.9450000000000001</v>
      </c>
      <c r="Y899" s="8">
        <v>0.83199999999999996</v>
      </c>
      <c r="Z899" s="8">
        <v>0.23699999999999999</v>
      </c>
      <c r="AA899" s="8">
        <v>3.6999999999999998E-2</v>
      </c>
      <c r="AB899" s="8">
        <v>3.0000000000000001E-3</v>
      </c>
      <c r="AC899" s="8">
        <v>0</v>
      </c>
    </row>
    <row r="900" spans="1:29" ht="11.65" x14ac:dyDescent="0.35">
      <c r="A900" s="12">
        <v>883</v>
      </c>
      <c r="B900" s="10" t="s">
        <v>1015</v>
      </c>
      <c r="C900" s="11" t="s">
        <v>603</v>
      </c>
      <c r="D900" s="9"/>
      <c r="E900" s="9">
        <v>748</v>
      </c>
      <c r="F900" s="10" t="s">
        <v>1066</v>
      </c>
      <c r="G900" s="9">
        <v>913</v>
      </c>
      <c r="H900" s="9">
        <v>2010</v>
      </c>
      <c r="I900" s="8">
        <v>76.617999999999995</v>
      </c>
      <c r="J900" s="8">
        <v>69.596000000000004</v>
      </c>
      <c r="K900" s="8">
        <v>68.241</v>
      </c>
      <c r="L900" s="8">
        <v>62.652999999999999</v>
      </c>
      <c r="M900" s="8">
        <v>45.185000000000002</v>
      </c>
      <c r="N900" s="8">
        <v>38.325000000000003</v>
      </c>
      <c r="O900" s="8">
        <v>29.936</v>
      </c>
      <c r="P900" s="8">
        <v>26.13</v>
      </c>
      <c r="Q900" s="8">
        <v>20.788</v>
      </c>
      <c r="R900" s="8">
        <v>15.939</v>
      </c>
      <c r="S900" s="8">
        <v>14.106999999999999</v>
      </c>
      <c r="T900" s="8">
        <v>11.477</v>
      </c>
      <c r="U900" s="8">
        <v>9.1620000000000008</v>
      </c>
      <c r="V900" s="8">
        <v>6.7329999999999997</v>
      </c>
      <c r="W900" s="8">
        <v>4.0979999999999999</v>
      </c>
      <c r="X900" s="8">
        <v>2.08</v>
      </c>
      <c r="Y900" s="8">
        <v>0.84599999999999997</v>
      </c>
      <c r="Z900" s="8">
        <v>0.23100000000000001</v>
      </c>
      <c r="AA900" s="8">
        <v>3.6999999999999998E-2</v>
      </c>
      <c r="AB900" s="8">
        <v>4.0000000000000001E-3</v>
      </c>
      <c r="AC900" s="8">
        <v>0</v>
      </c>
    </row>
    <row r="901" spans="1:29" ht="11.65" x14ac:dyDescent="0.35">
      <c r="A901" s="12">
        <v>884</v>
      </c>
      <c r="B901" s="10" t="s">
        <v>1015</v>
      </c>
      <c r="C901" s="11" t="s">
        <v>603</v>
      </c>
      <c r="D901" s="9"/>
      <c r="E901" s="9">
        <v>748</v>
      </c>
      <c r="F901" s="10" t="s">
        <v>1066</v>
      </c>
      <c r="G901" s="9">
        <v>913</v>
      </c>
      <c r="H901" s="9">
        <v>2015</v>
      </c>
      <c r="I901" s="8">
        <v>73.239999999999995</v>
      </c>
      <c r="J901" s="8">
        <v>74.831000000000003</v>
      </c>
      <c r="K901" s="8">
        <v>68.701999999999998</v>
      </c>
      <c r="L901" s="8">
        <v>64.733000000000004</v>
      </c>
      <c r="M901" s="8">
        <v>56.503999999999998</v>
      </c>
      <c r="N901" s="8">
        <v>40.277000000000001</v>
      </c>
      <c r="O901" s="8">
        <v>35.332000000000001</v>
      </c>
      <c r="P901" s="8">
        <v>27.518000000000001</v>
      </c>
      <c r="Q901" s="8">
        <v>23.148</v>
      </c>
      <c r="R901" s="8">
        <v>18.077000000000002</v>
      </c>
      <c r="S901" s="8">
        <v>13.64</v>
      </c>
      <c r="T901" s="8">
        <v>11.712999999999999</v>
      </c>
      <c r="U901" s="8">
        <v>9.1850000000000005</v>
      </c>
      <c r="V901" s="8">
        <v>6.9859999999999998</v>
      </c>
      <c r="W901" s="8">
        <v>4.6470000000000002</v>
      </c>
      <c r="X901" s="8">
        <v>2.4260000000000002</v>
      </c>
      <c r="Y901" s="8">
        <v>0.96599999999999997</v>
      </c>
      <c r="Z901" s="8">
        <v>0.26</v>
      </c>
      <c r="AA901" s="8">
        <v>4.1000000000000002E-2</v>
      </c>
      <c r="AB901" s="8">
        <v>4.0000000000000001E-3</v>
      </c>
      <c r="AC901" s="8">
        <v>0</v>
      </c>
    </row>
    <row r="902" spans="1:29" ht="11.65" x14ac:dyDescent="0.35">
      <c r="A902" s="12">
        <v>885</v>
      </c>
      <c r="B902" s="10" t="s">
        <v>1015</v>
      </c>
      <c r="C902" s="11" t="s">
        <v>603</v>
      </c>
      <c r="D902" s="9"/>
      <c r="E902" s="9">
        <v>748</v>
      </c>
      <c r="F902" s="10" t="s">
        <v>1066</v>
      </c>
      <c r="G902" s="9">
        <v>913</v>
      </c>
      <c r="H902" s="9">
        <v>2020</v>
      </c>
      <c r="I902" s="8">
        <v>72.522000000000006</v>
      </c>
      <c r="J902" s="8">
        <v>71.959000000000003</v>
      </c>
      <c r="K902" s="8">
        <v>74.096000000000004</v>
      </c>
      <c r="L902" s="8">
        <v>65.366</v>
      </c>
      <c r="M902" s="8">
        <v>58.758000000000003</v>
      </c>
      <c r="N902" s="8">
        <v>51.75</v>
      </c>
      <c r="O902" s="8">
        <v>38.082999999999998</v>
      </c>
      <c r="P902" s="8">
        <v>34.037999999999997</v>
      </c>
      <c r="Q902" s="8">
        <v>26.254999999999999</v>
      </c>
      <c r="R902" s="8">
        <v>21.771000000000001</v>
      </c>
      <c r="S902" s="8">
        <v>16.623000000000001</v>
      </c>
      <c r="T902" s="8">
        <v>12.125999999999999</v>
      </c>
      <c r="U902" s="8">
        <v>9.9760000000000009</v>
      </c>
      <c r="V902" s="8">
        <v>7.4050000000000002</v>
      </c>
      <c r="W902" s="8">
        <v>5.0839999999999996</v>
      </c>
      <c r="X902" s="8">
        <v>2.8889999999999998</v>
      </c>
      <c r="Y902" s="8">
        <v>1.1779999999999999</v>
      </c>
      <c r="Z902" s="8">
        <v>0.308</v>
      </c>
      <c r="AA902" s="8">
        <v>4.4999999999999998E-2</v>
      </c>
      <c r="AB902" s="8">
        <v>4.0000000000000001E-3</v>
      </c>
      <c r="AC902" s="8">
        <v>0</v>
      </c>
    </row>
    <row r="903" spans="1:29" ht="11.65" x14ac:dyDescent="0.35">
      <c r="A903" s="12">
        <v>886</v>
      </c>
      <c r="B903" s="10" t="s">
        <v>1015</v>
      </c>
      <c r="C903" s="11" t="s">
        <v>1086</v>
      </c>
      <c r="D903" s="9"/>
      <c r="E903" s="9">
        <v>426</v>
      </c>
      <c r="F903" s="10" t="s">
        <v>1066</v>
      </c>
      <c r="G903" s="9">
        <v>913</v>
      </c>
      <c r="H903" s="9">
        <v>1950</v>
      </c>
      <c r="I903" s="8">
        <v>58.73</v>
      </c>
      <c r="J903" s="8">
        <v>46.921999999999997</v>
      </c>
      <c r="K903" s="8">
        <v>38.878</v>
      </c>
      <c r="L903" s="8">
        <v>31.292999999999999</v>
      </c>
      <c r="M903" s="8">
        <v>25.254000000000001</v>
      </c>
      <c r="N903" s="8">
        <v>20.998000000000001</v>
      </c>
      <c r="O903" s="8">
        <v>17.414999999999999</v>
      </c>
      <c r="P903" s="8">
        <v>15.287000000000001</v>
      </c>
      <c r="Q903" s="8">
        <v>13.28</v>
      </c>
      <c r="R903" s="8">
        <v>10.134</v>
      </c>
      <c r="S903" s="8">
        <v>9.8919999999999995</v>
      </c>
      <c r="T903" s="8">
        <v>8.327</v>
      </c>
      <c r="U903" s="8">
        <v>6.81</v>
      </c>
      <c r="V903" s="8">
        <v>5.3380000000000001</v>
      </c>
      <c r="W903" s="8">
        <v>3.5379999999999998</v>
      </c>
      <c r="X903" s="8">
        <v>1.9550000000000001</v>
      </c>
      <c r="Y903" s="8">
        <v>0.68200000000000005</v>
      </c>
      <c r="Z903" s="8">
        <v>0.2</v>
      </c>
      <c r="AA903" s="8">
        <v>3.6999999999999998E-2</v>
      </c>
      <c r="AB903" s="8">
        <v>4.0000000000000001E-3</v>
      </c>
      <c r="AC903" s="8">
        <v>0</v>
      </c>
    </row>
    <row r="904" spans="1:29" ht="11.65" x14ac:dyDescent="0.35">
      <c r="A904" s="12">
        <v>887</v>
      </c>
      <c r="B904" s="10" t="s">
        <v>1015</v>
      </c>
      <c r="C904" s="11" t="s">
        <v>1086</v>
      </c>
      <c r="D904" s="9"/>
      <c r="E904" s="9">
        <v>426</v>
      </c>
      <c r="F904" s="10" t="s">
        <v>1066</v>
      </c>
      <c r="G904" s="9">
        <v>913</v>
      </c>
      <c r="H904" s="9">
        <v>1955</v>
      </c>
      <c r="I904" s="8">
        <v>65.727999999999994</v>
      </c>
      <c r="J904" s="8">
        <v>53.25</v>
      </c>
      <c r="K904" s="8">
        <v>44.884999999999998</v>
      </c>
      <c r="L904" s="8">
        <v>35.371000000000002</v>
      </c>
      <c r="M904" s="8">
        <v>25.28</v>
      </c>
      <c r="N904" s="8">
        <v>18.983000000000001</v>
      </c>
      <c r="O904" s="8">
        <v>16.385000000000002</v>
      </c>
      <c r="P904" s="8">
        <v>15.209</v>
      </c>
      <c r="Q904" s="8">
        <v>14.298999999999999</v>
      </c>
      <c r="R904" s="8">
        <v>12.811999999999999</v>
      </c>
      <c r="S904" s="8">
        <v>9.9890000000000008</v>
      </c>
      <c r="T904" s="8">
        <v>9.3330000000000002</v>
      </c>
      <c r="U904" s="8">
        <v>7.2809999999999997</v>
      </c>
      <c r="V904" s="8">
        <v>5.5010000000000003</v>
      </c>
      <c r="W904" s="8">
        <v>3.9630000000000001</v>
      </c>
      <c r="X904" s="8">
        <v>2.161</v>
      </c>
      <c r="Y904" s="8">
        <v>0.86399999999999999</v>
      </c>
      <c r="Z904" s="8">
        <v>0.191</v>
      </c>
      <c r="AA904" s="8">
        <v>2.9000000000000001E-2</v>
      </c>
      <c r="AB904" s="8">
        <v>3.0000000000000001E-3</v>
      </c>
      <c r="AC904" s="8">
        <v>0</v>
      </c>
    </row>
    <row r="905" spans="1:29" ht="11.65" x14ac:dyDescent="0.35">
      <c r="A905" s="12">
        <v>888</v>
      </c>
      <c r="B905" s="10" t="s">
        <v>1015</v>
      </c>
      <c r="C905" s="11" t="s">
        <v>1086</v>
      </c>
      <c r="D905" s="9"/>
      <c r="E905" s="9">
        <v>426</v>
      </c>
      <c r="F905" s="10" t="s">
        <v>1066</v>
      </c>
      <c r="G905" s="9">
        <v>913</v>
      </c>
      <c r="H905" s="9">
        <v>1960</v>
      </c>
      <c r="I905" s="8">
        <v>73.406999999999996</v>
      </c>
      <c r="J905" s="8">
        <v>60.344999999999999</v>
      </c>
      <c r="K905" s="8">
        <v>51.161999999999999</v>
      </c>
      <c r="L905" s="8">
        <v>40.634</v>
      </c>
      <c r="M905" s="8">
        <v>27.884</v>
      </c>
      <c r="N905" s="8">
        <v>17.608000000000001</v>
      </c>
      <c r="O905" s="8">
        <v>13.544</v>
      </c>
      <c r="P905" s="8">
        <v>14.012</v>
      </c>
      <c r="Q905" s="8">
        <v>14.37</v>
      </c>
      <c r="R905" s="8">
        <v>14.022</v>
      </c>
      <c r="S905" s="8">
        <v>12.704000000000001</v>
      </c>
      <c r="T905" s="8">
        <v>9.6620000000000008</v>
      </c>
      <c r="U905" s="8">
        <v>8.2330000000000005</v>
      </c>
      <c r="V905" s="8">
        <v>5.9240000000000004</v>
      </c>
      <c r="W905" s="8">
        <v>4.1369999999999996</v>
      </c>
      <c r="X905" s="8">
        <v>2.427</v>
      </c>
      <c r="Y905" s="8">
        <v>0.94499999999999995</v>
      </c>
      <c r="Z905" s="8">
        <v>0.23599999999999999</v>
      </c>
      <c r="AA905" s="8">
        <v>2.5999999999999999E-2</v>
      </c>
      <c r="AB905" s="8">
        <v>2E-3</v>
      </c>
      <c r="AC905" s="8">
        <v>0</v>
      </c>
    </row>
    <row r="906" spans="1:29" ht="11.65" x14ac:dyDescent="0.35">
      <c r="A906" s="12">
        <v>889</v>
      </c>
      <c r="B906" s="10" t="s">
        <v>1015</v>
      </c>
      <c r="C906" s="11" t="s">
        <v>1086</v>
      </c>
      <c r="D906" s="9"/>
      <c r="E906" s="9">
        <v>426</v>
      </c>
      <c r="F906" s="10" t="s">
        <v>1066</v>
      </c>
      <c r="G906" s="9">
        <v>913</v>
      </c>
      <c r="H906" s="9">
        <v>1965</v>
      </c>
      <c r="I906" s="8">
        <v>81.186000000000007</v>
      </c>
      <c r="J906" s="8">
        <v>67.844999999999999</v>
      </c>
      <c r="K906" s="8">
        <v>58.194000000000003</v>
      </c>
      <c r="L906" s="8">
        <v>46.954000000000001</v>
      </c>
      <c r="M906" s="8">
        <v>33.270000000000003</v>
      </c>
      <c r="N906" s="8">
        <v>20.402999999999999</v>
      </c>
      <c r="O906" s="8">
        <v>12.464</v>
      </c>
      <c r="P906" s="8">
        <v>11.456</v>
      </c>
      <c r="Q906" s="8">
        <v>13.314</v>
      </c>
      <c r="R906" s="8">
        <v>14.114000000000001</v>
      </c>
      <c r="S906" s="8">
        <v>13.805999999999999</v>
      </c>
      <c r="T906" s="8">
        <v>12.055</v>
      </c>
      <c r="U906" s="8">
        <v>8.5380000000000003</v>
      </c>
      <c r="V906" s="8">
        <v>6.6980000000000004</v>
      </c>
      <c r="W906" s="8">
        <v>4.4459999999999997</v>
      </c>
      <c r="X906" s="8">
        <v>2.5379999999999998</v>
      </c>
      <c r="Y906" s="8">
        <v>1.0660000000000001</v>
      </c>
      <c r="Z906" s="8">
        <v>0.25800000000000001</v>
      </c>
      <c r="AA906" s="8">
        <v>3.2000000000000001E-2</v>
      </c>
      <c r="AB906" s="8">
        <v>2E-3</v>
      </c>
      <c r="AC906" s="8">
        <v>0</v>
      </c>
    </row>
    <row r="907" spans="1:29" ht="11.65" x14ac:dyDescent="0.35">
      <c r="A907" s="12">
        <v>890</v>
      </c>
      <c r="B907" s="10" t="s">
        <v>1015</v>
      </c>
      <c r="C907" s="11" t="s">
        <v>1086</v>
      </c>
      <c r="D907" s="9"/>
      <c r="E907" s="9">
        <v>426</v>
      </c>
      <c r="F907" s="10" t="s">
        <v>1066</v>
      </c>
      <c r="G907" s="9">
        <v>913</v>
      </c>
      <c r="H907" s="9">
        <v>1970</v>
      </c>
      <c r="I907" s="8">
        <v>91.745000000000005</v>
      </c>
      <c r="J907" s="8">
        <v>75.385000000000005</v>
      </c>
      <c r="K907" s="8">
        <v>65.652000000000001</v>
      </c>
      <c r="L907" s="8">
        <v>54.213999999999999</v>
      </c>
      <c r="M907" s="8">
        <v>40.078000000000003</v>
      </c>
      <c r="N907" s="8">
        <v>26.280999999999999</v>
      </c>
      <c r="O907" s="8">
        <v>15.618</v>
      </c>
      <c r="P907" s="8">
        <v>10.625</v>
      </c>
      <c r="Q907" s="8">
        <v>10.973000000000001</v>
      </c>
      <c r="R907" s="8">
        <v>13.129</v>
      </c>
      <c r="S907" s="8">
        <v>13.853999999999999</v>
      </c>
      <c r="T907" s="8">
        <v>13.019</v>
      </c>
      <c r="U907" s="8">
        <v>10.603</v>
      </c>
      <c r="V907" s="8">
        <v>6.9770000000000003</v>
      </c>
      <c r="W907" s="8">
        <v>5.016</v>
      </c>
      <c r="X907" s="8">
        <v>2.7429999999999999</v>
      </c>
      <c r="Y907" s="8">
        <v>1.131</v>
      </c>
      <c r="Z907" s="8">
        <v>0.29499999999999998</v>
      </c>
      <c r="AA907" s="8">
        <v>3.4000000000000002E-2</v>
      </c>
      <c r="AB907" s="8">
        <v>2E-3</v>
      </c>
      <c r="AC907" s="8">
        <v>0</v>
      </c>
    </row>
    <row r="908" spans="1:29" ht="11.65" x14ac:dyDescent="0.35">
      <c r="A908" s="12">
        <v>891</v>
      </c>
      <c r="B908" s="10" t="s">
        <v>1015</v>
      </c>
      <c r="C908" s="11" t="s">
        <v>1086</v>
      </c>
      <c r="D908" s="9"/>
      <c r="E908" s="9">
        <v>426</v>
      </c>
      <c r="F908" s="10" t="s">
        <v>1066</v>
      </c>
      <c r="G908" s="9">
        <v>913</v>
      </c>
      <c r="H908" s="9">
        <v>1975</v>
      </c>
      <c r="I908" s="8">
        <v>105.916</v>
      </c>
      <c r="J908" s="8">
        <v>86.311999999999998</v>
      </c>
      <c r="K908" s="8">
        <v>73.290000000000006</v>
      </c>
      <c r="L908" s="8">
        <v>61.774000000000001</v>
      </c>
      <c r="M908" s="8">
        <v>46.259</v>
      </c>
      <c r="N908" s="8">
        <v>30.841999999999999</v>
      </c>
      <c r="O908" s="8">
        <v>20.131</v>
      </c>
      <c r="P908" s="8">
        <v>13.443</v>
      </c>
      <c r="Q908" s="8">
        <v>10.303000000000001</v>
      </c>
      <c r="R908" s="8">
        <v>10.831</v>
      </c>
      <c r="S908" s="8">
        <v>13.106999999999999</v>
      </c>
      <c r="T908" s="8">
        <v>13.332000000000001</v>
      </c>
      <c r="U908" s="8">
        <v>11.462999999999999</v>
      </c>
      <c r="V908" s="8">
        <v>8.6679999999999993</v>
      </c>
      <c r="W908" s="8">
        <v>5.3029999999999999</v>
      </c>
      <c r="X908" s="8">
        <v>3.1240000000000001</v>
      </c>
      <c r="Y908" s="8">
        <v>1.2470000000000001</v>
      </c>
      <c r="Z908" s="8">
        <v>0.316</v>
      </c>
      <c r="AA908" s="8">
        <v>3.9E-2</v>
      </c>
      <c r="AB908" s="8">
        <v>2E-3</v>
      </c>
      <c r="AC908" s="8">
        <v>0</v>
      </c>
    </row>
    <row r="909" spans="1:29" ht="11.65" x14ac:dyDescent="0.35">
      <c r="A909" s="12">
        <v>892</v>
      </c>
      <c r="B909" s="10" t="s">
        <v>1015</v>
      </c>
      <c r="C909" s="11" t="s">
        <v>1086</v>
      </c>
      <c r="D909" s="9"/>
      <c r="E909" s="9">
        <v>426</v>
      </c>
      <c r="F909" s="10" t="s">
        <v>1066</v>
      </c>
      <c r="G909" s="9">
        <v>913</v>
      </c>
      <c r="H909" s="9">
        <v>1980</v>
      </c>
      <c r="I909" s="8">
        <v>121.30500000000001</v>
      </c>
      <c r="J909" s="8">
        <v>101.364</v>
      </c>
      <c r="K909" s="8">
        <v>84.983999999999995</v>
      </c>
      <c r="L909" s="8">
        <v>70.888999999999996</v>
      </c>
      <c r="M909" s="8">
        <v>56.578000000000003</v>
      </c>
      <c r="N909" s="8">
        <v>40.165999999999997</v>
      </c>
      <c r="O909" s="8">
        <v>26.733000000000001</v>
      </c>
      <c r="P909" s="8">
        <v>18.614000000000001</v>
      </c>
      <c r="Q909" s="8">
        <v>14.085000000000001</v>
      </c>
      <c r="R909" s="8">
        <v>11.680999999999999</v>
      </c>
      <c r="S909" s="8">
        <v>12.237</v>
      </c>
      <c r="T909" s="8">
        <v>13.36</v>
      </c>
      <c r="U909" s="8">
        <v>11.738</v>
      </c>
      <c r="V909" s="8">
        <v>9.4700000000000006</v>
      </c>
      <c r="W909" s="8">
        <v>6.6760000000000002</v>
      </c>
      <c r="X909" s="8">
        <v>3.306</v>
      </c>
      <c r="Y909" s="8">
        <v>1.4259999999999999</v>
      </c>
      <c r="Z909" s="8">
        <v>0.34899999999999998</v>
      </c>
      <c r="AA909" s="8">
        <v>4.1000000000000002E-2</v>
      </c>
      <c r="AB909" s="8">
        <v>2E-3</v>
      </c>
      <c r="AC909" s="8">
        <v>0</v>
      </c>
    </row>
    <row r="910" spans="1:29" ht="11.65" x14ac:dyDescent="0.35">
      <c r="A910" s="12">
        <v>893</v>
      </c>
      <c r="B910" s="10" t="s">
        <v>1015</v>
      </c>
      <c r="C910" s="11" t="s">
        <v>1086</v>
      </c>
      <c r="D910" s="9"/>
      <c r="E910" s="9">
        <v>426</v>
      </c>
      <c r="F910" s="10" t="s">
        <v>1066</v>
      </c>
      <c r="G910" s="9">
        <v>913</v>
      </c>
      <c r="H910" s="9">
        <v>1985</v>
      </c>
      <c r="I910" s="8">
        <v>134.494</v>
      </c>
      <c r="J910" s="8">
        <v>117.318</v>
      </c>
      <c r="K910" s="8">
        <v>99.879000000000005</v>
      </c>
      <c r="L910" s="8">
        <v>80.683000000000007</v>
      </c>
      <c r="M910" s="8">
        <v>60.927999999999997</v>
      </c>
      <c r="N910" s="8">
        <v>44.582000000000001</v>
      </c>
      <c r="O910" s="8">
        <v>32.103000000000002</v>
      </c>
      <c r="P910" s="8">
        <v>23.981999999999999</v>
      </c>
      <c r="Q910" s="8">
        <v>19.148</v>
      </c>
      <c r="R910" s="8">
        <v>15.539</v>
      </c>
      <c r="S910" s="8">
        <v>13.7</v>
      </c>
      <c r="T910" s="8">
        <v>13.265000000000001</v>
      </c>
      <c r="U910" s="8">
        <v>12.076000000000001</v>
      </c>
      <c r="V910" s="8">
        <v>9.8740000000000006</v>
      </c>
      <c r="W910" s="8">
        <v>7.4980000000000002</v>
      </c>
      <c r="X910" s="8">
        <v>4.2539999999999996</v>
      </c>
      <c r="Y910" s="8">
        <v>1.5269999999999999</v>
      </c>
      <c r="Z910" s="8">
        <v>0.39900000000000002</v>
      </c>
      <c r="AA910" s="8">
        <v>4.2999999999999997E-2</v>
      </c>
      <c r="AB910" s="8">
        <v>2E-3</v>
      </c>
      <c r="AC910" s="8">
        <v>0</v>
      </c>
    </row>
    <row r="911" spans="1:29" ht="11.65" x14ac:dyDescent="0.35">
      <c r="A911" s="12">
        <v>894</v>
      </c>
      <c r="B911" s="10" t="s">
        <v>1015</v>
      </c>
      <c r="C911" s="11" t="s">
        <v>1086</v>
      </c>
      <c r="D911" s="9"/>
      <c r="E911" s="9">
        <v>426</v>
      </c>
      <c r="F911" s="10" t="s">
        <v>1066</v>
      </c>
      <c r="G911" s="9">
        <v>913</v>
      </c>
      <c r="H911" s="9">
        <v>1990</v>
      </c>
      <c r="I911" s="8">
        <v>139.63</v>
      </c>
      <c r="J911" s="8">
        <v>131.18899999999999</v>
      </c>
      <c r="K911" s="8">
        <v>116.18899999999999</v>
      </c>
      <c r="L911" s="8">
        <v>94.501000000000005</v>
      </c>
      <c r="M911" s="8">
        <v>67.391999999999996</v>
      </c>
      <c r="N911" s="8">
        <v>44.789000000000001</v>
      </c>
      <c r="O911" s="8">
        <v>33.783999999999999</v>
      </c>
      <c r="P911" s="8">
        <v>28.646999999999998</v>
      </c>
      <c r="Q911" s="8">
        <v>25.593</v>
      </c>
      <c r="R911" s="8">
        <v>22.266999999999999</v>
      </c>
      <c r="S911" s="8">
        <v>19.437999999999999</v>
      </c>
      <c r="T911" s="8">
        <v>16.108000000000001</v>
      </c>
      <c r="U911" s="8">
        <v>12.212999999999999</v>
      </c>
      <c r="V911" s="8">
        <v>10.343999999999999</v>
      </c>
      <c r="W911" s="8">
        <v>8.1630000000000003</v>
      </c>
      <c r="X911" s="8">
        <v>4.8470000000000004</v>
      </c>
      <c r="Y911" s="8">
        <v>1.9710000000000001</v>
      </c>
      <c r="Z911" s="8">
        <v>0.43099999999999999</v>
      </c>
      <c r="AA911" s="8">
        <v>4.9000000000000002E-2</v>
      </c>
      <c r="AB911" s="8">
        <v>2E-3</v>
      </c>
      <c r="AC911" s="8">
        <v>0</v>
      </c>
    </row>
    <row r="912" spans="1:29" ht="11.65" x14ac:dyDescent="0.35">
      <c r="A912" s="12">
        <v>895</v>
      </c>
      <c r="B912" s="10" t="s">
        <v>1015</v>
      </c>
      <c r="C912" s="11" t="s">
        <v>1086</v>
      </c>
      <c r="D912" s="9"/>
      <c r="E912" s="9">
        <v>426</v>
      </c>
      <c r="F912" s="10" t="s">
        <v>1066</v>
      </c>
      <c r="G912" s="9">
        <v>913</v>
      </c>
      <c r="H912" s="9">
        <v>1995</v>
      </c>
      <c r="I912" s="8">
        <v>138.54400000000001</v>
      </c>
      <c r="J912" s="8">
        <v>136.31200000000001</v>
      </c>
      <c r="K912" s="8">
        <v>129.89400000000001</v>
      </c>
      <c r="L912" s="8">
        <v>111.17100000000001</v>
      </c>
      <c r="M912" s="8">
        <v>83.548000000000002</v>
      </c>
      <c r="N912" s="8">
        <v>61.594000000000001</v>
      </c>
      <c r="O912" s="8">
        <v>53.143000000000001</v>
      </c>
      <c r="P912" s="8">
        <v>46.689</v>
      </c>
      <c r="Q912" s="8">
        <v>38.654000000000003</v>
      </c>
      <c r="R912" s="8">
        <v>32.94</v>
      </c>
      <c r="S912" s="8">
        <v>26.675999999999998</v>
      </c>
      <c r="T912" s="8">
        <v>21.33</v>
      </c>
      <c r="U912" s="8">
        <v>15.215999999999999</v>
      </c>
      <c r="V912" s="8">
        <v>10.381</v>
      </c>
      <c r="W912" s="8">
        <v>8.5109999999999992</v>
      </c>
      <c r="X912" s="8">
        <v>5.226</v>
      </c>
      <c r="Y912" s="8">
        <v>2.218</v>
      </c>
      <c r="Z912" s="8">
        <v>0.54400000000000004</v>
      </c>
      <c r="AA912" s="8">
        <v>5.1999999999999998E-2</v>
      </c>
      <c r="AB912" s="8">
        <v>2E-3</v>
      </c>
      <c r="AC912" s="8">
        <v>0</v>
      </c>
    </row>
    <row r="913" spans="1:29" ht="11.65" x14ac:dyDescent="0.35">
      <c r="A913" s="12">
        <v>896</v>
      </c>
      <c r="B913" s="10" t="s">
        <v>1015</v>
      </c>
      <c r="C913" s="11" t="s">
        <v>1086</v>
      </c>
      <c r="D913" s="9"/>
      <c r="E913" s="9">
        <v>426</v>
      </c>
      <c r="F913" s="10" t="s">
        <v>1066</v>
      </c>
      <c r="G913" s="9">
        <v>913</v>
      </c>
      <c r="H913" s="9">
        <v>2000</v>
      </c>
      <c r="I913" s="8">
        <v>139.59299999999999</v>
      </c>
      <c r="J913" s="8">
        <v>134.33199999999999</v>
      </c>
      <c r="K913" s="8">
        <v>134.54599999999999</v>
      </c>
      <c r="L913" s="8">
        <v>123.70699999999999</v>
      </c>
      <c r="M913" s="8">
        <v>96.778000000000006</v>
      </c>
      <c r="N913" s="8">
        <v>65.819999999999993</v>
      </c>
      <c r="O913" s="8">
        <v>48.820999999999998</v>
      </c>
      <c r="P913" s="8">
        <v>46.69</v>
      </c>
      <c r="Q913" s="8">
        <v>43.933</v>
      </c>
      <c r="R913" s="8">
        <v>37.265000000000001</v>
      </c>
      <c r="S913" s="8">
        <v>32.686</v>
      </c>
      <c r="T913" s="8">
        <v>25.785</v>
      </c>
      <c r="U913" s="8">
        <v>18.145</v>
      </c>
      <c r="V913" s="8">
        <v>12.222</v>
      </c>
      <c r="W913" s="8">
        <v>8.0470000000000006</v>
      </c>
      <c r="X913" s="8">
        <v>5.2610000000000001</v>
      </c>
      <c r="Y913" s="8">
        <v>2.3620000000000001</v>
      </c>
      <c r="Z913" s="8">
        <v>0.61399999999999999</v>
      </c>
      <c r="AA913" s="8">
        <v>7.2999999999999995E-2</v>
      </c>
      <c r="AB913" s="8">
        <v>4.0000000000000001E-3</v>
      </c>
      <c r="AC913" s="8">
        <v>0</v>
      </c>
    </row>
    <row r="914" spans="1:29" ht="11.65" x14ac:dyDescent="0.35">
      <c r="A914" s="12">
        <v>897</v>
      </c>
      <c r="B914" s="10" t="s">
        <v>1015</v>
      </c>
      <c r="C914" s="11" t="s">
        <v>1086</v>
      </c>
      <c r="D914" s="9"/>
      <c r="E914" s="9">
        <v>426</v>
      </c>
      <c r="F914" s="10" t="s">
        <v>1066</v>
      </c>
      <c r="G914" s="9">
        <v>913</v>
      </c>
      <c r="H914" s="9">
        <v>2005</v>
      </c>
      <c r="I914" s="8">
        <v>132.94200000000001</v>
      </c>
      <c r="J914" s="8">
        <v>118.504</v>
      </c>
      <c r="K914" s="8">
        <v>120.797</v>
      </c>
      <c r="L914" s="8">
        <v>122.098</v>
      </c>
      <c r="M914" s="8">
        <v>109.24</v>
      </c>
      <c r="N914" s="8">
        <v>82.18</v>
      </c>
      <c r="O914" s="8">
        <v>55.968000000000004</v>
      </c>
      <c r="P914" s="8">
        <v>42.356999999999999</v>
      </c>
      <c r="Q914" s="8">
        <v>39.523000000000003</v>
      </c>
      <c r="R914" s="8">
        <v>35.795999999999999</v>
      </c>
      <c r="S914" s="8">
        <v>29.727</v>
      </c>
      <c r="T914" s="8">
        <v>25.489000000000001</v>
      </c>
      <c r="U914" s="8">
        <v>18.978000000000002</v>
      </c>
      <c r="V914" s="8">
        <v>12.82</v>
      </c>
      <c r="W914" s="8">
        <v>9.0510000000000002</v>
      </c>
      <c r="X914" s="8">
        <v>5.4020000000000001</v>
      </c>
      <c r="Y914" s="8">
        <v>2.569</v>
      </c>
      <c r="Z914" s="8">
        <v>0.67100000000000004</v>
      </c>
      <c r="AA914" s="8">
        <v>8.5999999999999993E-2</v>
      </c>
      <c r="AB914" s="8">
        <v>6.0000000000000001E-3</v>
      </c>
      <c r="AC914" s="8">
        <v>0</v>
      </c>
    </row>
    <row r="915" spans="1:29" ht="11.65" x14ac:dyDescent="0.35">
      <c r="A915" s="12">
        <v>898</v>
      </c>
      <c r="B915" s="10" t="s">
        <v>1015</v>
      </c>
      <c r="C915" s="11" t="s">
        <v>1086</v>
      </c>
      <c r="D915" s="9"/>
      <c r="E915" s="9">
        <v>426</v>
      </c>
      <c r="F915" s="10" t="s">
        <v>1066</v>
      </c>
      <c r="G915" s="9">
        <v>913</v>
      </c>
      <c r="H915" s="9">
        <v>2010</v>
      </c>
      <c r="I915" s="8">
        <v>125.73399999999999</v>
      </c>
      <c r="J915" s="8">
        <v>113.51900000000001</v>
      </c>
      <c r="K915" s="8">
        <v>109.14100000000001</v>
      </c>
      <c r="L915" s="8">
        <v>113.803</v>
      </c>
      <c r="M915" s="8">
        <v>112.188</v>
      </c>
      <c r="N915" s="8">
        <v>96.006</v>
      </c>
      <c r="O915" s="8">
        <v>70.287999999999997</v>
      </c>
      <c r="P915" s="8">
        <v>48.023000000000003</v>
      </c>
      <c r="Q915" s="8">
        <v>37.366</v>
      </c>
      <c r="R915" s="8">
        <v>35.051000000000002</v>
      </c>
      <c r="S915" s="8">
        <v>31.177</v>
      </c>
      <c r="T915" s="8">
        <v>25.108000000000001</v>
      </c>
      <c r="U915" s="8">
        <v>20.466999999999999</v>
      </c>
      <c r="V915" s="8">
        <v>14.365</v>
      </c>
      <c r="W915" s="8">
        <v>8.8859999999999992</v>
      </c>
      <c r="X915" s="8">
        <v>5.4039999999999999</v>
      </c>
      <c r="Y915" s="8">
        <v>2.5539999999999998</v>
      </c>
      <c r="Z915" s="8">
        <v>0.71699999999999997</v>
      </c>
      <c r="AA915" s="8">
        <v>9.6000000000000002E-2</v>
      </c>
      <c r="AB915" s="8">
        <v>8.0000000000000002E-3</v>
      </c>
      <c r="AC915" s="8">
        <v>0</v>
      </c>
    </row>
    <row r="916" spans="1:29" ht="11.65" x14ac:dyDescent="0.35">
      <c r="A916" s="12">
        <v>899</v>
      </c>
      <c r="B916" s="10" t="s">
        <v>1015</v>
      </c>
      <c r="C916" s="11" t="s">
        <v>1086</v>
      </c>
      <c r="D916" s="9"/>
      <c r="E916" s="9">
        <v>426</v>
      </c>
      <c r="F916" s="10" t="s">
        <v>1066</v>
      </c>
      <c r="G916" s="9">
        <v>913</v>
      </c>
      <c r="H916" s="9">
        <v>2015</v>
      </c>
      <c r="I916" s="8">
        <v>122.50700000000001</v>
      </c>
      <c r="J916" s="8">
        <v>109.429</v>
      </c>
      <c r="K916" s="8">
        <v>111.925</v>
      </c>
      <c r="L916" s="8">
        <v>108.71</v>
      </c>
      <c r="M916" s="8">
        <v>104.51600000000001</v>
      </c>
      <c r="N916" s="8">
        <v>97.281999999999996</v>
      </c>
      <c r="O916" s="8">
        <v>86.302999999999997</v>
      </c>
      <c r="P916" s="8">
        <v>67.710999999999999</v>
      </c>
      <c r="Q916" s="8">
        <v>49.234999999999999</v>
      </c>
      <c r="R916" s="8">
        <v>38.131999999999998</v>
      </c>
      <c r="S916" s="8">
        <v>33.116</v>
      </c>
      <c r="T916" s="8">
        <v>27.132999999999999</v>
      </c>
      <c r="U916" s="8">
        <v>20.812999999999999</v>
      </c>
      <c r="V916" s="8">
        <v>15.861000000000001</v>
      </c>
      <c r="W916" s="8">
        <v>10.14</v>
      </c>
      <c r="X916" s="8">
        <v>5.59</v>
      </c>
      <c r="Y916" s="8">
        <v>2.6669999999999998</v>
      </c>
      <c r="Z916" s="8">
        <v>0.746</v>
      </c>
      <c r="AA916" s="8">
        <v>0.10299999999999999</v>
      </c>
      <c r="AB916" s="8">
        <v>8.9999999999999993E-3</v>
      </c>
      <c r="AC916" s="8">
        <v>1E-3</v>
      </c>
    </row>
    <row r="917" spans="1:29" ht="11.65" x14ac:dyDescent="0.35">
      <c r="A917" s="12">
        <v>900</v>
      </c>
      <c r="B917" s="10" t="s">
        <v>1015</v>
      </c>
      <c r="C917" s="11" t="s">
        <v>1086</v>
      </c>
      <c r="D917" s="9"/>
      <c r="E917" s="9">
        <v>426</v>
      </c>
      <c r="F917" s="10" t="s">
        <v>1066</v>
      </c>
      <c r="G917" s="9">
        <v>913</v>
      </c>
      <c r="H917" s="9">
        <v>2020</v>
      </c>
      <c r="I917" s="8">
        <v>127.621</v>
      </c>
      <c r="J917" s="8">
        <v>112.63500000000001</v>
      </c>
      <c r="K917" s="8">
        <v>105.39400000000001</v>
      </c>
      <c r="L917" s="8">
        <v>108.485</v>
      </c>
      <c r="M917" s="8">
        <v>102.782</v>
      </c>
      <c r="N917" s="8">
        <v>96.775999999999996</v>
      </c>
      <c r="O917" s="8">
        <v>90.606999999999999</v>
      </c>
      <c r="P917" s="8">
        <v>80.766999999999996</v>
      </c>
      <c r="Q917" s="8">
        <v>63.046999999999997</v>
      </c>
      <c r="R917" s="8">
        <v>45.384999999999998</v>
      </c>
      <c r="S917" s="8">
        <v>34.316000000000003</v>
      </c>
      <c r="T917" s="8">
        <v>28.707000000000001</v>
      </c>
      <c r="U917" s="8">
        <v>22.494</v>
      </c>
      <c r="V917" s="8">
        <v>16.280999999999999</v>
      </c>
      <c r="W917" s="8">
        <v>11.49</v>
      </c>
      <c r="X917" s="8">
        <v>6.4279999999999999</v>
      </c>
      <c r="Y917" s="8">
        <v>2.77</v>
      </c>
      <c r="Z917" s="8">
        <v>0.83299999999999996</v>
      </c>
      <c r="AA917" s="8">
        <v>0.122</v>
      </c>
      <c r="AB917" s="8">
        <v>8.9999999999999993E-3</v>
      </c>
      <c r="AC917" s="8">
        <v>1E-3</v>
      </c>
    </row>
    <row r="918" spans="1:29" ht="11.65" x14ac:dyDescent="0.35">
      <c r="A918" s="12">
        <v>901</v>
      </c>
      <c r="B918" s="10" t="s">
        <v>1015</v>
      </c>
      <c r="C918" s="11" t="s">
        <v>598</v>
      </c>
      <c r="D918" s="9"/>
      <c r="E918" s="9">
        <v>516</v>
      </c>
      <c r="F918" s="10" t="s">
        <v>1066</v>
      </c>
      <c r="G918" s="9">
        <v>913</v>
      </c>
      <c r="H918" s="9">
        <v>1950</v>
      </c>
      <c r="I918" s="8">
        <v>41.082999999999998</v>
      </c>
      <c r="J918" s="8">
        <v>32.686999999999998</v>
      </c>
      <c r="K918" s="8">
        <v>27.576000000000001</v>
      </c>
      <c r="L918" s="8">
        <v>24.998000000000001</v>
      </c>
      <c r="M918" s="8">
        <v>23.587</v>
      </c>
      <c r="N918" s="8">
        <v>20.332999999999998</v>
      </c>
      <c r="O918" s="8">
        <v>17.079999999999998</v>
      </c>
      <c r="P918" s="8">
        <v>14.353</v>
      </c>
      <c r="Q918" s="8">
        <v>12.12</v>
      </c>
      <c r="R918" s="8">
        <v>10.677</v>
      </c>
      <c r="S918" s="8">
        <v>8.7720000000000002</v>
      </c>
      <c r="T918" s="8">
        <v>6.5709999999999997</v>
      </c>
      <c r="U918" s="8">
        <v>5.7480000000000002</v>
      </c>
      <c r="V918" s="8">
        <v>4.1070000000000002</v>
      </c>
      <c r="W918" s="8">
        <v>3.2839999999999998</v>
      </c>
      <c r="X918" s="8">
        <v>1.643</v>
      </c>
      <c r="Y918" s="8">
        <v>0.61099999999999999</v>
      </c>
      <c r="Z918" s="8">
        <v>0.17699999999999999</v>
      </c>
      <c r="AA918" s="8">
        <v>3.1E-2</v>
      </c>
      <c r="AB918" s="8">
        <v>3.0000000000000001E-3</v>
      </c>
      <c r="AC918" s="8">
        <v>0</v>
      </c>
    </row>
    <row r="919" spans="1:29" ht="11.65" x14ac:dyDescent="0.35">
      <c r="A919" s="12">
        <v>902</v>
      </c>
      <c r="B919" s="10" t="s">
        <v>1015</v>
      </c>
      <c r="C919" s="11" t="s">
        <v>598</v>
      </c>
      <c r="D919" s="9"/>
      <c r="E919" s="9">
        <v>516</v>
      </c>
      <c r="F919" s="10" t="s">
        <v>1066</v>
      </c>
      <c r="G919" s="9">
        <v>913</v>
      </c>
      <c r="H919" s="9">
        <v>1955</v>
      </c>
      <c r="I919" s="8">
        <v>46.375999999999998</v>
      </c>
      <c r="J919" s="8">
        <v>36.542999999999999</v>
      </c>
      <c r="K919" s="8">
        <v>31.263000000000002</v>
      </c>
      <c r="L919" s="8">
        <v>26.678999999999998</v>
      </c>
      <c r="M919" s="8">
        <v>23.931999999999999</v>
      </c>
      <c r="N919" s="8">
        <v>22.341999999999999</v>
      </c>
      <c r="O919" s="8">
        <v>19.163</v>
      </c>
      <c r="P919" s="8">
        <v>15.972</v>
      </c>
      <c r="Q919" s="8">
        <v>13.28</v>
      </c>
      <c r="R919" s="8">
        <v>11.089</v>
      </c>
      <c r="S919" s="8">
        <v>9.625</v>
      </c>
      <c r="T919" s="8">
        <v>7.74</v>
      </c>
      <c r="U919" s="8">
        <v>5.5970000000000004</v>
      </c>
      <c r="V919" s="8">
        <v>4.6050000000000004</v>
      </c>
      <c r="W919" s="8">
        <v>2.97</v>
      </c>
      <c r="X919" s="8">
        <v>2.012</v>
      </c>
      <c r="Y919" s="8">
        <v>0.77</v>
      </c>
      <c r="Z919" s="8">
        <v>0.188</v>
      </c>
      <c r="AA919" s="8">
        <v>2.9000000000000001E-2</v>
      </c>
      <c r="AB919" s="8">
        <v>3.0000000000000001E-3</v>
      </c>
      <c r="AC919" s="8">
        <v>0</v>
      </c>
    </row>
    <row r="920" spans="1:29" ht="11.65" x14ac:dyDescent="0.35">
      <c r="A920" s="12">
        <v>903</v>
      </c>
      <c r="B920" s="10" t="s">
        <v>1015</v>
      </c>
      <c r="C920" s="11" t="s">
        <v>598</v>
      </c>
      <c r="D920" s="9"/>
      <c r="E920" s="9">
        <v>516</v>
      </c>
      <c r="F920" s="10" t="s">
        <v>1066</v>
      </c>
      <c r="G920" s="9">
        <v>913</v>
      </c>
      <c r="H920" s="9">
        <v>1960</v>
      </c>
      <c r="I920" s="8">
        <v>52.33</v>
      </c>
      <c r="J920" s="8">
        <v>42.311999999999998</v>
      </c>
      <c r="K920" s="8">
        <v>35.32</v>
      </c>
      <c r="L920" s="8">
        <v>30.448</v>
      </c>
      <c r="M920" s="8">
        <v>25.725999999999999</v>
      </c>
      <c r="N920" s="8">
        <v>22.867999999999999</v>
      </c>
      <c r="O920" s="8">
        <v>21.251999999999999</v>
      </c>
      <c r="P920" s="8">
        <v>18.100000000000001</v>
      </c>
      <c r="Q920" s="8">
        <v>14.936999999999999</v>
      </c>
      <c r="R920" s="8">
        <v>12.282</v>
      </c>
      <c r="S920" s="8">
        <v>10.098000000000001</v>
      </c>
      <c r="T920" s="8">
        <v>8.5749999999999993</v>
      </c>
      <c r="U920" s="8">
        <v>6.657</v>
      </c>
      <c r="V920" s="8">
        <v>4.524</v>
      </c>
      <c r="W920" s="8">
        <v>3.3570000000000002</v>
      </c>
      <c r="X920" s="8">
        <v>1.829</v>
      </c>
      <c r="Y920" s="8">
        <v>0.94099999999999995</v>
      </c>
      <c r="Z920" s="8">
        <v>0.23300000000000001</v>
      </c>
      <c r="AA920" s="8">
        <v>0.03</v>
      </c>
      <c r="AB920" s="8">
        <v>2E-3</v>
      </c>
      <c r="AC920" s="8">
        <v>0</v>
      </c>
    </row>
    <row r="921" spans="1:29" ht="11.65" x14ac:dyDescent="0.35">
      <c r="A921" s="12">
        <v>904</v>
      </c>
      <c r="B921" s="10" t="s">
        <v>1015</v>
      </c>
      <c r="C921" s="11" t="s">
        <v>598</v>
      </c>
      <c r="D921" s="9"/>
      <c r="E921" s="9">
        <v>516</v>
      </c>
      <c r="F921" s="10" t="s">
        <v>1066</v>
      </c>
      <c r="G921" s="9">
        <v>913</v>
      </c>
      <c r="H921" s="9">
        <v>1965</v>
      </c>
      <c r="I921" s="8">
        <v>60.048000000000002</v>
      </c>
      <c r="J921" s="8">
        <v>48.790999999999997</v>
      </c>
      <c r="K921" s="8">
        <v>41.218000000000004</v>
      </c>
      <c r="L921" s="8">
        <v>34.572000000000003</v>
      </c>
      <c r="M921" s="8">
        <v>29.533999999999999</v>
      </c>
      <c r="N921" s="8">
        <v>24.757999999999999</v>
      </c>
      <c r="O921" s="8">
        <v>21.913</v>
      </c>
      <c r="P921" s="8">
        <v>20.228000000000002</v>
      </c>
      <c r="Q921" s="8">
        <v>17.065000000000001</v>
      </c>
      <c r="R921" s="8">
        <v>13.932</v>
      </c>
      <c r="S921" s="8">
        <v>11.276</v>
      </c>
      <c r="T921" s="8">
        <v>9.0670000000000002</v>
      </c>
      <c r="U921" s="8">
        <v>7.43</v>
      </c>
      <c r="V921" s="8">
        <v>5.4180000000000001</v>
      </c>
      <c r="W921" s="8">
        <v>3.319</v>
      </c>
      <c r="X921" s="8">
        <v>2.0750000000000002</v>
      </c>
      <c r="Y921" s="8">
        <v>0.85299999999999998</v>
      </c>
      <c r="Z921" s="8">
        <v>0.27700000000000002</v>
      </c>
      <c r="AA921" s="8">
        <v>3.5000000000000003E-2</v>
      </c>
      <c r="AB921" s="8">
        <v>2E-3</v>
      </c>
      <c r="AC921" s="8">
        <v>0</v>
      </c>
    </row>
    <row r="922" spans="1:29" ht="11.65" x14ac:dyDescent="0.35">
      <c r="A922" s="12">
        <v>905</v>
      </c>
      <c r="B922" s="10" t="s">
        <v>1015</v>
      </c>
      <c r="C922" s="11" t="s">
        <v>598</v>
      </c>
      <c r="D922" s="9"/>
      <c r="E922" s="9">
        <v>516</v>
      </c>
      <c r="F922" s="10" t="s">
        <v>1066</v>
      </c>
      <c r="G922" s="9">
        <v>913</v>
      </c>
      <c r="H922" s="9">
        <v>1970</v>
      </c>
      <c r="I922" s="8">
        <v>69.989000000000004</v>
      </c>
      <c r="J922" s="8">
        <v>56.825000000000003</v>
      </c>
      <c r="K922" s="8">
        <v>47.761000000000003</v>
      </c>
      <c r="L922" s="8">
        <v>40.442</v>
      </c>
      <c r="M922" s="8">
        <v>33.567999999999998</v>
      </c>
      <c r="N922" s="8">
        <v>28.431000000000001</v>
      </c>
      <c r="O922" s="8">
        <v>23.733000000000001</v>
      </c>
      <c r="P922" s="8">
        <v>20.888000000000002</v>
      </c>
      <c r="Q922" s="8">
        <v>19.128</v>
      </c>
      <c r="R922" s="8">
        <v>15.978</v>
      </c>
      <c r="S922" s="8">
        <v>12.845000000000001</v>
      </c>
      <c r="T922" s="8">
        <v>10.172000000000001</v>
      </c>
      <c r="U922" s="8">
        <v>7.8959999999999999</v>
      </c>
      <c r="V922" s="8">
        <v>6.0780000000000003</v>
      </c>
      <c r="W922" s="8">
        <v>3.9950000000000001</v>
      </c>
      <c r="X922" s="8">
        <v>2.0590000000000002</v>
      </c>
      <c r="Y922" s="8">
        <v>0.96599999999999997</v>
      </c>
      <c r="Z922" s="8">
        <v>0.249</v>
      </c>
      <c r="AA922" s="8">
        <v>3.9E-2</v>
      </c>
      <c r="AB922" s="8">
        <v>2E-3</v>
      </c>
      <c r="AC922" s="8">
        <v>0</v>
      </c>
    </row>
    <row r="923" spans="1:29" ht="11.65" x14ac:dyDescent="0.35">
      <c r="A923" s="12">
        <v>906</v>
      </c>
      <c r="B923" s="10" t="s">
        <v>1015</v>
      </c>
      <c r="C923" s="11" t="s">
        <v>598</v>
      </c>
      <c r="D923" s="9"/>
      <c r="E923" s="9">
        <v>516</v>
      </c>
      <c r="F923" s="10" t="s">
        <v>1066</v>
      </c>
      <c r="G923" s="9">
        <v>913</v>
      </c>
      <c r="H923" s="9">
        <v>1975</v>
      </c>
      <c r="I923" s="8">
        <v>86.177999999999997</v>
      </c>
      <c r="J923" s="8">
        <v>66.863</v>
      </c>
      <c r="K923" s="8">
        <v>55.762</v>
      </c>
      <c r="L923" s="8">
        <v>46.892000000000003</v>
      </c>
      <c r="M923" s="8">
        <v>39.215000000000003</v>
      </c>
      <c r="N923" s="8">
        <v>32.213000000000001</v>
      </c>
      <c r="O923" s="8">
        <v>27.167000000000002</v>
      </c>
      <c r="P923" s="8">
        <v>22.558</v>
      </c>
      <c r="Q923" s="8">
        <v>19.718</v>
      </c>
      <c r="R923" s="8">
        <v>17.905000000000001</v>
      </c>
      <c r="S923" s="8">
        <v>14.733000000000001</v>
      </c>
      <c r="T923" s="8">
        <v>11.589</v>
      </c>
      <c r="U923" s="8">
        <v>8.859</v>
      </c>
      <c r="V923" s="8">
        <v>6.4580000000000002</v>
      </c>
      <c r="W923" s="8">
        <v>4.4779999999999998</v>
      </c>
      <c r="X923" s="8">
        <v>2.4689999999999999</v>
      </c>
      <c r="Y923" s="8">
        <v>0.94799999999999995</v>
      </c>
      <c r="Z923" s="8">
        <v>0.27500000000000002</v>
      </c>
      <c r="AA923" s="8">
        <v>3.4000000000000002E-2</v>
      </c>
      <c r="AB923" s="8">
        <v>2E-3</v>
      </c>
      <c r="AC923" s="8">
        <v>0</v>
      </c>
    </row>
    <row r="924" spans="1:29" ht="11.65" x14ac:dyDescent="0.35">
      <c r="A924" s="12">
        <v>907</v>
      </c>
      <c r="B924" s="10" t="s">
        <v>1015</v>
      </c>
      <c r="C924" s="11" t="s">
        <v>598</v>
      </c>
      <c r="D924" s="9"/>
      <c r="E924" s="9">
        <v>516</v>
      </c>
      <c r="F924" s="10" t="s">
        <v>1066</v>
      </c>
      <c r="G924" s="9">
        <v>913</v>
      </c>
      <c r="H924" s="9">
        <v>1980</v>
      </c>
      <c r="I924" s="8">
        <v>96.183000000000007</v>
      </c>
      <c r="J924" s="8">
        <v>82.453000000000003</v>
      </c>
      <c r="K924" s="8">
        <v>65.403999999999996</v>
      </c>
      <c r="L924" s="8">
        <v>53.201000000000001</v>
      </c>
      <c r="M924" s="8">
        <v>41.491999999999997</v>
      </c>
      <c r="N924" s="8">
        <v>32.584000000000003</v>
      </c>
      <c r="O924" s="8">
        <v>26.434000000000001</v>
      </c>
      <c r="P924" s="8">
        <v>22.684000000000001</v>
      </c>
      <c r="Q924" s="8">
        <v>19.175999999999998</v>
      </c>
      <c r="R924" s="8">
        <v>17.07</v>
      </c>
      <c r="S924" s="8">
        <v>15.631</v>
      </c>
      <c r="T924" s="8">
        <v>12.738</v>
      </c>
      <c r="U924" s="8">
        <v>9.7509999999999994</v>
      </c>
      <c r="V924" s="8">
        <v>7.0380000000000003</v>
      </c>
      <c r="W924" s="8">
        <v>4.633</v>
      </c>
      <c r="X924" s="8">
        <v>2.6960000000000002</v>
      </c>
      <c r="Y924" s="8">
        <v>1.0900000000000001</v>
      </c>
      <c r="Z924" s="8">
        <v>0.26</v>
      </c>
      <c r="AA924" s="8">
        <v>3.5999999999999997E-2</v>
      </c>
      <c r="AB924" s="8">
        <v>2E-3</v>
      </c>
      <c r="AC924" s="8">
        <v>0</v>
      </c>
    </row>
    <row r="925" spans="1:29" ht="11.65" x14ac:dyDescent="0.35">
      <c r="A925" s="12">
        <v>908</v>
      </c>
      <c r="B925" s="10" t="s">
        <v>1015</v>
      </c>
      <c r="C925" s="11" t="s">
        <v>598</v>
      </c>
      <c r="D925" s="9"/>
      <c r="E925" s="9">
        <v>516</v>
      </c>
      <c r="F925" s="10" t="s">
        <v>1066</v>
      </c>
      <c r="G925" s="9">
        <v>913</v>
      </c>
      <c r="H925" s="9">
        <v>1985</v>
      </c>
      <c r="I925" s="8">
        <v>105.026</v>
      </c>
      <c r="J925" s="8">
        <v>92.718999999999994</v>
      </c>
      <c r="K925" s="8">
        <v>80.984999999999999</v>
      </c>
      <c r="L925" s="8">
        <v>63.371000000000002</v>
      </c>
      <c r="M925" s="8">
        <v>49.231999999999999</v>
      </c>
      <c r="N925" s="8">
        <v>36.758000000000003</v>
      </c>
      <c r="O925" s="8">
        <v>28.469000000000001</v>
      </c>
      <c r="P925" s="8">
        <v>23.2</v>
      </c>
      <c r="Q925" s="8">
        <v>20.13</v>
      </c>
      <c r="R925" s="8">
        <v>17.114000000000001</v>
      </c>
      <c r="S925" s="8">
        <v>15.223000000000001</v>
      </c>
      <c r="T925" s="8">
        <v>13.798999999999999</v>
      </c>
      <c r="U925" s="8">
        <v>10.917</v>
      </c>
      <c r="V925" s="8">
        <v>7.8719999999999999</v>
      </c>
      <c r="W925" s="8">
        <v>5.125</v>
      </c>
      <c r="X925" s="8">
        <v>2.8260000000000001</v>
      </c>
      <c r="Y925" s="8">
        <v>1.214</v>
      </c>
      <c r="Z925" s="8">
        <v>0.30299999999999999</v>
      </c>
      <c r="AA925" s="8">
        <v>3.3000000000000002E-2</v>
      </c>
      <c r="AB925" s="8">
        <v>2E-3</v>
      </c>
      <c r="AC925" s="8">
        <v>0</v>
      </c>
    </row>
    <row r="926" spans="1:29" ht="11.65" x14ac:dyDescent="0.35">
      <c r="A926" s="12">
        <v>909</v>
      </c>
      <c r="B926" s="10" t="s">
        <v>1015</v>
      </c>
      <c r="C926" s="11" t="s">
        <v>598</v>
      </c>
      <c r="D926" s="9"/>
      <c r="E926" s="9">
        <v>516</v>
      </c>
      <c r="F926" s="10" t="s">
        <v>1066</v>
      </c>
      <c r="G926" s="9">
        <v>913</v>
      </c>
      <c r="H926" s="9">
        <v>1990</v>
      </c>
      <c r="I926" s="8">
        <v>120.373</v>
      </c>
      <c r="J926" s="8">
        <v>103.461</v>
      </c>
      <c r="K926" s="8">
        <v>92.09</v>
      </c>
      <c r="L926" s="8">
        <v>81.287999999999997</v>
      </c>
      <c r="M926" s="8">
        <v>65.051000000000002</v>
      </c>
      <c r="N926" s="8">
        <v>51.6</v>
      </c>
      <c r="O926" s="8">
        <v>38.773000000000003</v>
      </c>
      <c r="P926" s="8">
        <v>29.716000000000001</v>
      </c>
      <c r="Q926" s="8">
        <v>23.744</v>
      </c>
      <c r="R926" s="8">
        <v>20.116</v>
      </c>
      <c r="S926" s="8">
        <v>16.661000000000001</v>
      </c>
      <c r="T926" s="8">
        <v>14.36</v>
      </c>
      <c r="U926" s="8">
        <v>12.478999999999999</v>
      </c>
      <c r="V926" s="8">
        <v>9.2550000000000008</v>
      </c>
      <c r="W926" s="8">
        <v>6.0190000000000001</v>
      </c>
      <c r="X926" s="8">
        <v>3.3</v>
      </c>
      <c r="Y926" s="8">
        <v>1.367</v>
      </c>
      <c r="Z926" s="8">
        <v>0.35499999999999998</v>
      </c>
      <c r="AA926" s="8">
        <v>3.9E-2</v>
      </c>
      <c r="AB926" s="8">
        <v>2E-3</v>
      </c>
      <c r="AC926" s="8">
        <v>0</v>
      </c>
    </row>
    <row r="927" spans="1:29" ht="11.65" x14ac:dyDescent="0.35">
      <c r="A927" s="12">
        <v>910</v>
      </c>
      <c r="B927" s="10" t="s">
        <v>1015</v>
      </c>
      <c r="C927" s="11" t="s">
        <v>598</v>
      </c>
      <c r="D927" s="9"/>
      <c r="E927" s="9">
        <v>516</v>
      </c>
      <c r="F927" s="10" t="s">
        <v>1066</v>
      </c>
      <c r="G927" s="9">
        <v>913</v>
      </c>
      <c r="H927" s="9">
        <v>1995</v>
      </c>
      <c r="I927" s="8">
        <v>130.33199999999999</v>
      </c>
      <c r="J927" s="8">
        <v>117.664</v>
      </c>
      <c r="K927" s="8">
        <v>102.22199999999999</v>
      </c>
      <c r="L927" s="8">
        <v>90.626999999999995</v>
      </c>
      <c r="M927" s="8">
        <v>78.680000000000007</v>
      </c>
      <c r="N927" s="8">
        <v>61.976999999999997</v>
      </c>
      <c r="O927" s="8">
        <v>48.786000000000001</v>
      </c>
      <c r="P927" s="8">
        <v>36.398000000000003</v>
      </c>
      <c r="Q927" s="8">
        <v>27.712</v>
      </c>
      <c r="R927" s="8">
        <v>22.003</v>
      </c>
      <c r="S927" s="8">
        <v>18.439</v>
      </c>
      <c r="T927" s="8">
        <v>14.997</v>
      </c>
      <c r="U927" s="8">
        <v>12.532</v>
      </c>
      <c r="V927" s="8">
        <v>10.276</v>
      </c>
      <c r="W927" s="8">
        <v>6.8949999999999996</v>
      </c>
      <c r="X927" s="8">
        <v>3.7789999999999999</v>
      </c>
      <c r="Y927" s="8">
        <v>1.544</v>
      </c>
      <c r="Z927" s="8">
        <v>0.39</v>
      </c>
      <c r="AA927" s="8">
        <v>4.5999999999999999E-2</v>
      </c>
      <c r="AB927" s="8">
        <v>2E-3</v>
      </c>
      <c r="AC927" s="8">
        <v>0</v>
      </c>
    </row>
    <row r="928" spans="1:29" ht="11.65" x14ac:dyDescent="0.35">
      <c r="A928" s="12">
        <v>911</v>
      </c>
      <c r="B928" s="10" t="s">
        <v>1015</v>
      </c>
      <c r="C928" s="11" t="s">
        <v>598</v>
      </c>
      <c r="D928" s="9"/>
      <c r="E928" s="9">
        <v>516</v>
      </c>
      <c r="F928" s="10" t="s">
        <v>1066</v>
      </c>
      <c r="G928" s="9">
        <v>913</v>
      </c>
      <c r="H928" s="9">
        <v>2000</v>
      </c>
      <c r="I928" s="8">
        <v>132.58799999999999</v>
      </c>
      <c r="J928" s="8">
        <v>126.985</v>
      </c>
      <c r="K928" s="8">
        <v>115.911</v>
      </c>
      <c r="L928" s="8">
        <v>100.666</v>
      </c>
      <c r="M928" s="8">
        <v>87.930999999999997</v>
      </c>
      <c r="N928" s="8">
        <v>74.159000000000006</v>
      </c>
      <c r="O928" s="8">
        <v>56.378999999999998</v>
      </c>
      <c r="P928" s="8">
        <v>43.718000000000004</v>
      </c>
      <c r="Q928" s="8">
        <v>32.552999999999997</v>
      </c>
      <c r="R928" s="8">
        <v>24.440999999999999</v>
      </c>
      <c r="S928" s="8">
        <v>19.085999999999999</v>
      </c>
      <c r="T928" s="8">
        <v>15.709</v>
      </c>
      <c r="U928" s="8">
        <v>12.340999999999999</v>
      </c>
      <c r="V928" s="8">
        <v>9.6859999999999999</v>
      </c>
      <c r="W928" s="8">
        <v>7.1269999999999998</v>
      </c>
      <c r="X928" s="8">
        <v>3.9849999999999999</v>
      </c>
      <c r="Y928" s="8">
        <v>1.5980000000000001</v>
      </c>
      <c r="Z928" s="8">
        <v>0.38800000000000001</v>
      </c>
      <c r="AA928" s="8">
        <v>4.4999999999999998E-2</v>
      </c>
      <c r="AB928" s="8">
        <v>2E-3</v>
      </c>
      <c r="AC928" s="8">
        <v>0</v>
      </c>
    </row>
    <row r="929" spans="1:29" ht="11.65" x14ac:dyDescent="0.35">
      <c r="A929" s="12">
        <v>912</v>
      </c>
      <c r="B929" s="10" t="s">
        <v>1015</v>
      </c>
      <c r="C929" s="11" t="s">
        <v>598</v>
      </c>
      <c r="D929" s="9"/>
      <c r="E929" s="9">
        <v>516</v>
      </c>
      <c r="F929" s="10" t="s">
        <v>1066</v>
      </c>
      <c r="G929" s="9">
        <v>913</v>
      </c>
      <c r="H929" s="9">
        <v>2005</v>
      </c>
      <c r="I929" s="8">
        <v>127.82599999999999</v>
      </c>
      <c r="J929" s="8">
        <v>128.505</v>
      </c>
      <c r="K929" s="8">
        <v>124.163</v>
      </c>
      <c r="L929" s="8">
        <v>112.265</v>
      </c>
      <c r="M929" s="8">
        <v>95.025999999999996</v>
      </c>
      <c r="N929" s="8">
        <v>80.495000000000005</v>
      </c>
      <c r="O929" s="8">
        <v>66.355999999999995</v>
      </c>
      <c r="P929" s="8">
        <v>49.551000000000002</v>
      </c>
      <c r="Q929" s="8">
        <v>38.369999999999997</v>
      </c>
      <c r="R929" s="8">
        <v>29.506</v>
      </c>
      <c r="S929" s="8">
        <v>22.388999999999999</v>
      </c>
      <c r="T929" s="8">
        <v>17.151</v>
      </c>
      <c r="U929" s="8">
        <v>14.544</v>
      </c>
      <c r="V929" s="8">
        <v>11.429</v>
      </c>
      <c r="W929" s="8">
        <v>8.3640000000000008</v>
      </c>
      <c r="X929" s="8">
        <v>5.5049999999999999</v>
      </c>
      <c r="Y929" s="8">
        <v>2.9</v>
      </c>
      <c r="Z929" s="8">
        <v>0.61099999999999999</v>
      </c>
      <c r="AA929" s="8">
        <v>4.4999999999999998E-2</v>
      </c>
      <c r="AB929" s="8">
        <v>3.0000000000000001E-3</v>
      </c>
      <c r="AC929" s="8">
        <v>0</v>
      </c>
    </row>
    <row r="930" spans="1:29" ht="11.65" x14ac:dyDescent="0.35">
      <c r="A930" s="12">
        <v>913</v>
      </c>
      <c r="B930" s="10" t="s">
        <v>1015</v>
      </c>
      <c r="C930" s="11" t="s">
        <v>598</v>
      </c>
      <c r="D930" s="9"/>
      <c r="E930" s="9">
        <v>516</v>
      </c>
      <c r="F930" s="10" t="s">
        <v>1066</v>
      </c>
      <c r="G930" s="9">
        <v>913</v>
      </c>
      <c r="H930" s="9">
        <v>2010</v>
      </c>
      <c r="I930" s="8">
        <v>144.19999999999999</v>
      </c>
      <c r="J930" s="8">
        <v>124.804</v>
      </c>
      <c r="K930" s="8">
        <v>126.33199999999999</v>
      </c>
      <c r="L930" s="8">
        <v>120.754</v>
      </c>
      <c r="M930" s="8">
        <v>106.575</v>
      </c>
      <c r="N930" s="8">
        <v>87.525999999999996</v>
      </c>
      <c r="O930" s="8">
        <v>72.975999999999999</v>
      </c>
      <c r="P930" s="8">
        <v>59.918999999999997</v>
      </c>
      <c r="Q930" s="8">
        <v>45.524000000000001</v>
      </c>
      <c r="R930" s="8">
        <v>37.183999999999997</v>
      </c>
      <c r="S930" s="8">
        <v>28.009</v>
      </c>
      <c r="T930" s="8">
        <v>19.98</v>
      </c>
      <c r="U930" s="8">
        <v>15.794</v>
      </c>
      <c r="V930" s="8">
        <v>13.246</v>
      </c>
      <c r="W930" s="8">
        <v>9.7569999999999997</v>
      </c>
      <c r="X930" s="8">
        <v>6.4690000000000003</v>
      </c>
      <c r="Y930" s="8">
        <v>3.7749999999999999</v>
      </c>
      <c r="Z930" s="8">
        <v>1.0920000000000001</v>
      </c>
      <c r="AA930" s="8">
        <v>9.5000000000000001E-2</v>
      </c>
      <c r="AB930" s="8">
        <v>4.0000000000000001E-3</v>
      </c>
      <c r="AC930" s="8">
        <v>0</v>
      </c>
    </row>
    <row r="931" spans="1:29" ht="11.65" x14ac:dyDescent="0.35">
      <c r="A931" s="12">
        <v>914</v>
      </c>
      <c r="B931" s="10" t="s">
        <v>1015</v>
      </c>
      <c r="C931" s="11" t="s">
        <v>598</v>
      </c>
      <c r="D931" s="9"/>
      <c r="E931" s="9">
        <v>516</v>
      </c>
      <c r="F931" s="10" t="s">
        <v>1066</v>
      </c>
      <c r="G931" s="9">
        <v>913</v>
      </c>
      <c r="H931" s="9">
        <v>2015</v>
      </c>
      <c r="I931" s="8">
        <v>161.43</v>
      </c>
      <c r="J931" s="8">
        <v>141.80199999999999</v>
      </c>
      <c r="K931" s="8">
        <v>123.605</v>
      </c>
      <c r="L931" s="8">
        <v>124.208</v>
      </c>
      <c r="M931" s="8">
        <v>116.502</v>
      </c>
      <c r="N931" s="8">
        <v>100.965</v>
      </c>
      <c r="O931" s="8">
        <v>81.844999999999999</v>
      </c>
      <c r="P931" s="8">
        <v>67.353999999999999</v>
      </c>
      <c r="Q931" s="8">
        <v>54.566000000000003</v>
      </c>
      <c r="R931" s="8">
        <v>40.956000000000003</v>
      </c>
      <c r="S931" s="8">
        <v>32.997</v>
      </c>
      <c r="T931" s="8">
        <v>24.35</v>
      </c>
      <c r="U931" s="8">
        <v>16.795000000000002</v>
      </c>
      <c r="V931" s="8">
        <v>12.573</v>
      </c>
      <c r="W931" s="8">
        <v>9.6579999999999995</v>
      </c>
      <c r="X931" s="8">
        <v>6.173</v>
      </c>
      <c r="Y931" s="8">
        <v>3.21</v>
      </c>
      <c r="Z931" s="8">
        <v>1.2529999999999999</v>
      </c>
      <c r="AA931" s="8">
        <v>0.19900000000000001</v>
      </c>
      <c r="AB931" s="8">
        <v>8.9999999999999993E-3</v>
      </c>
      <c r="AC931" s="8">
        <v>0</v>
      </c>
    </row>
    <row r="932" spans="1:29" ht="11.65" x14ac:dyDescent="0.35">
      <c r="A932" s="12">
        <v>915</v>
      </c>
      <c r="B932" s="10" t="s">
        <v>1015</v>
      </c>
      <c r="C932" s="11" t="s">
        <v>598</v>
      </c>
      <c r="D932" s="9"/>
      <c r="E932" s="9">
        <v>516</v>
      </c>
      <c r="F932" s="10" t="s">
        <v>1066</v>
      </c>
      <c r="G932" s="9">
        <v>913</v>
      </c>
      <c r="H932" s="9">
        <v>2020</v>
      </c>
      <c r="I932" s="8">
        <v>168.34100000000001</v>
      </c>
      <c r="J932" s="8">
        <v>159.14699999999999</v>
      </c>
      <c r="K932" s="8">
        <v>140.53200000000001</v>
      </c>
      <c r="L932" s="8">
        <v>121.792</v>
      </c>
      <c r="M932" s="8">
        <v>120.64</v>
      </c>
      <c r="N932" s="8">
        <v>111.871</v>
      </c>
      <c r="O932" s="8">
        <v>96.335999999999999</v>
      </c>
      <c r="P932" s="8">
        <v>77.504000000000005</v>
      </c>
      <c r="Q932" s="8">
        <v>63.274000000000001</v>
      </c>
      <c r="R932" s="8">
        <v>50.790999999999997</v>
      </c>
      <c r="S932" s="8">
        <v>37.505000000000003</v>
      </c>
      <c r="T932" s="8">
        <v>29.565000000000001</v>
      </c>
      <c r="U932" s="8">
        <v>21.065000000000001</v>
      </c>
      <c r="V932" s="8">
        <v>13.67</v>
      </c>
      <c r="W932" s="8">
        <v>9.2959999999999994</v>
      </c>
      <c r="X932" s="8">
        <v>6.1130000000000004</v>
      </c>
      <c r="Y932" s="8">
        <v>3.0030000000000001</v>
      </c>
      <c r="Z932" s="8">
        <v>1.02</v>
      </c>
      <c r="AA932" s="8">
        <v>0.20300000000000001</v>
      </c>
      <c r="AB932" s="8">
        <v>1.4999999999999999E-2</v>
      </c>
      <c r="AC932" s="8">
        <v>0</v>
      </c>
    </row>
    <row r="933" spans="1:29" ht="11.65" x14ac:dyDescent="0.35">
      <c r="A933" s="12">
        <v>916</v>
      </c>
      <c r="B933" s="10" t="s">
        <v>1015</v>
      </c>
      <c r="C933" s="11" t="s">
        <v>602</v>
      </c>
      <c r="D933" s="9"/>
      <c r="E933" s="9">
        <v>710</v>
      </c>
      <c r="F933" s="10" t="s">
        <v>1066</v>
      </c>
      <c r="G933" s="9">
        <v>913</v>
      </c>
      <c r="H933" s="9">
        <v>1950</v>
      </c>
      <c r="I933" s="8">
        <v>1014.151</v>
      </c>
      <c r="J933" s="8">
        <v>854.00099999999998</v>
      </c>
      <c r="K933" s="8">
        <v>743</v>
      </c>
      <c r="L933" s="8">
        <v>686.24900000000002</v>
      </c>
      <c r="M933" s="8">
        <v>619.88599999999997</v>
      </c>
      <c r="N933" s="8">
        <v>541.99900000000002</v>
      </c>
      <c r="O933" s="8">
        <v>492.00099999999998</v>
      </c>
      <c r="P933" s="8">
        <v>430</v>
      </c>
      <c r="Q933" s="8">
        <v>364.99900000000002</v>
      </c>
      <c r="R933" s="8">
        <v>291</v>
      </c>
      <c r="S933" s="8">
        <v>238</v>
      </c>
      <c r="T933" s="8">
        <v>193.001</v>
      </c>
      <c r="U933" s="8">
        <v>146</v>
      </c>
      <c r="V933" s="8">
        <v>101</v>
      </c>
      <c r="W933" s="8">
        <v>73.905000000000001</v>
      </c>
      <c r="X933" s="8">
        <v>38.173000000000002</v>
      </c>
      <c r="Y933" s="8">
        <v>23.503</v>
      </c>
      <c r="Z933" s="8">
        <v>12.738</v>
      </c>
      <c r="AA933" s="8">
        <v>2.84</v>
      </c>
      <c r="AB933" s="8">
        <v>0.40500000000000003</v>
      </c>
      <c r="AC933" s="8">
        <v>3.2000000000000001E-2</v>
      </c>
    </row>
    <row r="934" spans="1:29" ht="11.65" x14ac:dyDescent="0.35">
      <c r="A934" s="12">
        <v>917</v>
      </c>
      <c r="B934" s="10" t="s">
        <v>1015</v>
      </c>
      <c r="C934" s="11" t="s">
        <v>602</v>
      </c>
      <c r="D934" s="9"/>
      <c r="E934" s="9">
        <v>710</v>
      </c>
      <c r="F934" s="10" t="s">
        <v>1066</v>
      </c>
      <c r="G934" s="9">
        <v>913</v>
      </c>
      <c r="H934" s="9">
        <v>1955</v>
      </c>
      <c r="I934" s="8">
        <v>1253.4570000000001</v>
      </c>
      <c r="J934" s="8">
        <v>925.22799999999995</v>
      </c>
      <c r="K934" s="8">
        <v>825.67399999999998</v>
      </c>
      <c r="L934" s="8">
        <v>723.98400000000004</v>
      </c>
      <c r="M934" s="8">
        <v>662.48400000000004</v>
      </c>
      <c r="N934" s="8">
        <v>593.29700000000003</v>
      </c>
      <c r="O934" s="8">
        <v>516.47900000000004</v>
      </c>
      <c r="P934" s="8">
        <v>465.47699999999998</v>
      </c>
      <c r="Q934" s="8">
        <v>402.76400000000001</v>
      </c>
      <c r="R934" s="8">
        <v>338.12799999999999</v>
      </c>
      <c r="S934" s="8">
        <v>265.44</v>
      </c>
      <c r="T934" s="8">
        <v>212.4</v>
      </c>
      <c r="U934" s="8">
        <v>166.27</v>
      </c>
      <c r="V934" s="8">
        <v>118.236</v>
      </c>
      <c r="W934" s="8">
        <v>73.834000000000003</v>
      </c>
      <c r="X934" s="8">
        <v>45.658999999999999</v>
      </c>
      <c r="Y934" s="8">
        <v>17.952000000000002</v>
      </c>
      <c r="Z934" s="8">
        <v>7.11</v>
      </c>
      <c r="AA934" s="8">
        <v>1.992</v>
      </c>
      <c r="AB934" s="8">
        <v>0.21199999999999999</v>
      </c>
      <c r="AC934" s="8">
        <v>2.1999999999999999E-2</v>
      </c>
    </row>
    <row r="935" spans="1:29" ht="11.65" x14ac:dyDescent="0.35">
      <c r="A935" s="12">
        <v>918</v>
      </c>
      <c r="B935" s="10" t="s">
        <v>1015</v>
      </c>
      <c r="C935" s="11" t="s">
        <v>602</v>
      </c>
      <c r="D935" s="9"/>
      <c r="E935" s="9">
        <v>710</v>
      </c>
      <c r="F935" s="10" t="s">
        <v>1066</v>
      </c>
      <c r="G935" s="9">
        <v>913</v>
      </c>
      <c r="H935" s="9">
        <v>1960</v>
      </c>
      <c r="I935" s="8">
        <v>1420.884</v>
      </c>
      <c r="J935" s="8">
        <v>1162.653</v>
      </c>
      <c r="K935" s="8">
        <v>899.346</v>
      </c>
      <c r="L935" s="8">
        <v>807.39</v>
      </c>
      <c r="M935" s="8">
        <v>702.03</v>
      </c>
      <c r="N935" s="8">
        <v>637.39300000000003</v>
      </c>
      <c r="O935" s="8">
        <v>568.16200000000003</v>
      </c>
      <c r="P935" s="8">
        <v>490.88900000000001</v>
      </c>
      <c r="Q935" s="8">
        <v>437.88299999999998</v>
      </c>
      <c r="R935" s="8">
        <v>374.61399999999998</v>
      </c>
      <c r="S935" s="8">
        <v>309.471</v>
      </c>
      <c r="T935" s="8">
        <v>237.53899999999999</v>
      </c>
      <c r="U935" s="8">
        <v>183.357</v>
      </c>
      <c r="V935" s="8">
        <v>134.75299999999999</v>
      </c>
      <c r="W935" s="8">
        <v>86.328999999999994</v>
      </c>
      <c r="X935" s="8">
        <v>45.387999999999998</v>
      </c>
      <c r="Y935" s="8">
        <v>21.192</v>
      </c>
      <c r="Z935" s="8">
        <v>5.2709999999999999</v>
      </c>
      <c r="AA935" s="8">
        <v>1.0429999999999999</v>
      </c>
      <c r="AB935" s="8">
        <v>0.13200000000000001</v>
      </c>
      <c r="AC935" s="8">
        <v>1.0999999999999999E-2</v>
      </c>
    </row>
    <row r="936" spans="1:29" ht="11.65" x14ac:dyDescent="0.35">
      <c r="A936" s="12">
        <v>919</v>
      </c>
      <c r="B936" s="10" t="s">
        <v>1015</v>
      </c>
      <c r="C936" s="11" t="s">
        <v>602</v>
      </c>
      <c r="D936" s="9"/>
      <c r="E936" s="9">
        <v>710</v>
      </c>
      <c r="F936" s="10" t="s">
        <v>1066</v>
      </c>
      <c r="G936" s="9">
        <v>913</v>
      </c>
      <c r="H936" s="9">
        <v>1965</v>
      </c>
      <c r="I936" s="8">
        <v>1597.9590000000001</v>
      </c>
      <c r="J936" s="8">
        <v>1331.38</v>
      </c>
      <c r="K936" s="8">
        <v>1134.1990000000001</v>
      </c>
      <c r="L936" s="8">
        <v>884.58299999999997</v>
      </c>
      <c r="M936" s="8">
        <v>794.66399999999999</v>
      </c>
      <c r="N936" s="8">
        <v>688.35500000000002</v>
      </c>
      <c r="O936" s="8">
        <v>620.43899999999996</v>
      </c>
      <c r="P936" s="8">
        <v>548.23699999999997</v>
      </c>
      <c r="Q936" s="8">
        <v>467.84100000000001</v>
      </c>
      <c r="R936" s="8">
        <v>411.798</v>
      </c>
      <c r="S936" s="8">
        <v>346.05799999999999</v>
      </c>
      <c r="T936" s="8">
        <v>279.16199999999998</v>
      </c>
      <c r="U936" s="8">
        <v>206.589</v>
      </c>
      <c r="V936" s="8">
        <v>149.596</v>
      </c>
      <c r="W936" s="8">
        <v>98.984999999999999</v>
      </c>
      <c r="X936" s="8">
        <v>53.347999999999999</v>
      </c>
      <c r="Y936" s="8">
        <v>21.152000000000001</v>
      </c>
      <c r="Z936" s="8">
        <v>6.18</v>
      </c>
      <c r="AA936" s="8">
        <v>0.749</v>
      </c>
      <c r="AB936" s="8">
        <v>6.6000000000000003E-2</v>
      </c>
      <c r="AC936" s="8">
        <v>7.0000000000000001E-3</v>
      </c>
    </row>
    <row r="937" spans="1:29" ht="11.65" x14ac:dyDescent="0.35">
      <c r="A937" s="12">
        <v>920</v>
      </c>
      <c r="B937" s="10" t="s">
        <v>1015</v>
      </c>
      <c r="C937" s="11" t="s">
        <v>602</v>
      </c>
      <c r="D937" s="9"/>
      <c r="E937" s="9">
        <v>710</v>
      </c>
      <c r="F937" s="10" t="s">
        <v>1066</v>
      </c>
      <c r="G937" s="9">
        <v>913</v>
      </c>
      <c r="H937" s="9">
        <v>1970</v>
      </c>
      <c r="I937" s="8">
        <v>1780.758</v>
      </c>
      <c r="J937" s="8">
        <v>1512.1130000000001</v>
      </c>
      <c r="K937" s="8">
        <v>1303.704</v>
      </c>
      <c r="L937" s="8">
        <v>1120.3499999999999</v>
      </c>
      <c r="M937" s="8">
        <v>879.80700000000002</v>
      </c>
      <c r="N937" s="8">
        <v>792.70399999999995</v>
      </c>
      <c r="O937" s="8">
        <v>684.58799999999997</v>
      </c>
      <c r="P937" s="8">
        <v>610.24699999999996</v>
      </c>
      <c r="Q937" s="8">
        <v>531.45000000000005</v>
      </c>
      <c r="R937" s="8">
        <v>447.166</v>
      </c>
      <c r="S937" s="8">
        <v>386.01799999999997</v>
      </c>
      <c r="T937" s="8">
        <v>315.85399999999998</v>
      </c>
      <c r="U937" s="8">
        <v>245.18899999999999</v>
      </c>
      <c r="V937" s="8">
        <v>170.209</v>
      </c>
      <c r="W937" s="8">
        <v>110.97</v>
      </c>
      <c r="X937" s="8">
        <v>61.722000000000001</v>
      </c>
      <c r="Y937" s="8">
        <v>24.904</v>
      </c>
      <c r="Z937" s="8">
        <v>6.1269999999999998</v>
      </c>
      <c r="AA937" s="8">
        <v>0.85799999999999998</v>
      </c>
      <c r="AB937" s="8">
        <v>4.4999999999999998E-2</v>
      </c>
      <c r="AC937" s="8">
        <v>3.0000000000000001E-3</v>
      </c>
    </row>
    <row r="938" spans="1:29" ht="11.65" x14ac:dyDescent="0.35">
      <c r="A938" s="12">
        <v>921</v>
      </c>
      <c r="B938" s="10" t="s">
        <v>1015</v>
      </c>
      <c r="C938" s="11" t="s">
        <v>602</v>
      </c>
      <c r="D938" s="9"/>
      <c r="E938" s="9">
        <v>710</v>
      </c>
      <c r="F938" s="10" t="s">
        <v>1066</v>
      </c>
      <c r="G938" s="9">
        <v>913</v>
      </c>
      <c r="H938" s="9">
        <v>1975</v>
      </c>
      <c r="I938" s="8">
        <v>2016.1849999999999</v>
      </c>
      <c r="J938" s="8">
        <v>1706.596</v>
      </c>
      <c r="K938" s="8">
        <v>1487.9</v>
      </c>
      <c r="L938" s="8">
        <v>1289.067</v>
      </c>
      <c r="M938" s="8">
        <v>1110.3050000000001</v>
      </c>
      <c r="N938" s="8">
        <v>879.447</v>
      </c>
      <c r="O938" s="8">
        <v>792.65200000000004</v>
      </c>
      <c r="P938" s="8">
        <v>678.39800000000002</v>
      </c>
      <c r="Q938" s="8">
        <v>595.54200000000003</v>
      </c>
      <c r="R938" s="8">
        <v>510.346</v>
      </c>
      <c r="S938" s="8">
        <v>420.82</v>
      </c>
      <c r="T938" s="8">
        <v>353.88200000000001</v>
      </c>
      <c r="U938" s="8">
        <v>278.755</v>
      </c>
      <c r="V938" s="8">
        <v>202.84100000000001</v>
      </c>
      <c r="W938" s="8">
        <v>126.75700000000001</v>
      </c>
      <c r="X938" s="8">
        <v>69.387</v>
      </c>
      <c r="Y938" s="8">
        <v>28.771999999999998</v>
      </c>
      <c r="Z938" s="8">
        <v>7.133</v>
      </c>
      <c r="AA938" s="8">
        <v>0.81899999999999995</v>
      </c>
      <c r="AB938" s="8">
        <v>4.7E-2</v>
      </c>
      <c r="AC938" s="8">
        <v>2E-3</v>
      </c>
    </row>
    <row r="939" spans="1:29" ht="11.65" x14ac:dyDescent="0.35">
      <c r="A939" s="12">
        <v>922</v>
      </c>
      <c r="B939" s="10" t="s">
        <v>1015</v>
      </c>
      <c r="C939" s="11" t="s">
        <v>602</v>
      </c>
      <c r="D939" s="9"/>
      <c r="E939" s="9">
        <v>710</v>
      </c>
      <c r="F939" s="10" t="s">
        <v>1066</v>
      </c>
      <c r="G939" s="9">
        <v>913</v>
      </c>
      <c r="H939" s="9">
        <v>1980</v>
      </c>
      <c r="I939" s="8">
        <v>2237.1880000000001</v>
      </c>
      <c r="J939" s="8">
        <v>1952.771</v>
      </c>
      <c r="K939" s="8">
        <v>1682.2629999999999</v>
      </c>
      <c r="L939" s="8">
        <v>1469.7339999999999</v>
      </c>
      <c r="M939" s="8">
        <v>1267.655</v>
      </c>
      <c r="N939" s="8">
        <v>1089.1089999999999</v>
      </c>
      <c r="O939" s="8">
        <v>861.20899999999995</v>
      </c>
      <c r="P939" s="8">
        <v>770.36699999999996</v>
      </c>
      <c r="Q939" s="8">
        <v>652.65</v>
      </c>
      <c r="R939" s="8">
        <v>566.09299999999996</v>
      </c>
      <c r="S939" s="8">
        <v>476.75299999999999</v>
      </c>
      <c r="T939" s="8">
        <v>383.99799999999999</v>
      </c>
      <c r="U939" s="8">
        <v>311.34699999999998</v>
      </c>
      <c r="V939" s="8">
        <v>230.05199999999999</v>
      </c>
      <c r="W939" s="8">
        <v>150.63</v>
      </c>
      <c r="X939" s="8">
        <v>78.881</v>
      </c>
      <c r="Y939" s="8">
        <v>32.119999999999997</v>
      </c>
      <c r="Z939" s="8">
        <v>8.1010000000000009</v>
      </c>
      <c r="AA939" s="8">
        <v>0.90600000000000003</v>
      </c>
      <c r="AB939" s="8">
        <v>0.04</v>
      </c>
      <c r="AC939" s="8">
        <v>2E-3</v>
      </c>
    </row>
    <row r="940" spans="1:29" ht="11.65" x14ac:dyDescent="0.35">
      <c r="A940" s="12">
        <v>923</v>
      </c>
      <c r="B940" s="10" t="s">
        <v>1015</v>
      </c>
      <c r="C940" s="11" t="s">
        <v>602</v>
      </c>
      <c r="D940" s="9"/>
      <c r="E940" s="9">
        <v>710</v>
      </c>
      <c r="F940" s="10" t="s">
        <v>1066</v>
      </c>
      <c r="G940" s="9">
        <v>913</v>
      </c>
      <c r="H940" s="9">
        <v>1985</v>
      </c>
      <c r="I940" s="8">
        <v>2598.6030000000001</v>
      </c>
      <c r="J940" s="8">
        <v>2188.0509999999999</v>
      </c>
      <c r="K940" s="8">
        <v>1929.404</v>
      </c>
      <c r="L940" s="8">
        <v>1666.652</v>
      </c>
      <c r="M940" s="8">
        <v>1455.463</v>
      </c>
      <c r="N940" s="8">
        <v>1257.8230000000001</v>
      </c>
      <c r="O940" s="8">
        <v>1080.0909999999999</v>
      </c>
      <c r="P940" s="8">
        <v>849.08799999999997</v>
      </c>
      <c r="Q940" s="8">
        <v>750.32299999999998</v>
      </c>
      <c r="R940" s="8">
        <v>627.36699999999996</v>
      </c>
      <c r="S940" s="8">
        <v>534.04999999999995</v>
      </c>
      <c r="T940" s="8">
        <v>438.96199999999999</v>
      </c>
      <c r="U940" s="8">
        <v>340.83</v>
      </c>
      <c r="V940" s="8">
        <v>259.20999999999998</v>
      </c>
      <c r="W940" s="8">
        <v>172.46700000000001</v>
      </c>
      <c r="X940" s="8">
        <v>94.694999999999993</v>
      </c>
      <c r="Y940" s="8">
        <v>36.820999999999998</v>
      </c>
      <c r="Z940" s="8">
        <v>9.0640000000000001</v>
      </c>
      <c r="AA940" s="8">
        <v>1.014</v>
      </c>
      <c r="AB940" s="8">
        <v>4.2999999999999997E-2</v>
      </c>
      <c r="AC940" s="8">
        <v>2E-3</v>
      </c>
    </row>
    <row r="941" spans="1:29" ht="11.65" x14ac:dyDescent="0.35">
      <c r="A941" s="12">
        <v>924</v>
      </c>
      <c r="B941" s="10" t="s">
        <v>1015</v>
      </c>
      <c r="C941" s="11" t="s">
        <v>602</v>
      </c>
      <c r="D941" s="9"/>
      <c r="E941" s="9">
        <v>710</v>
      </c>
      <c r="F941" s="10" t="s">
        <v>1066</v>
      </c>
      <c r="G941" s="9">
        <v>913</v>
      </c>
      <c r="H941" s="9">
        <v>1990</v>
      </c>
      <c r="I941" s="8">
        <v>2744.3029999999999</v>
      </c>
      <c r="J941" s="8">
        <v>2547.2939999999999</v>
      </c>
      <c r="K941" s="8">
        <v>2160.4920000000002</v>
      </c>
      <c r="L941" s="8">
        <v>1903.3810000000001</v>
      </c>
      <c r="M941" s="8">
        <v>1629.3589999999999</v>
      </c>
      <c r="N941" s="8">
        <v>1412.5129999999999</v>
      </c>
      <c r="O941" s="8">
        <v>1214.922</v>
      </c>
      <c r="P941" s="8">
        <v>1038.1389999999999</v>
      </c>
      <c r="Q941" s="8">
        <v>810.048</v>
      </c>
      <c r="R941" s="8">
        <v>708.33699999999999</v>
      </c>
      <c r="S941" s="8">
        <v>583.01400000000001</v>
      </c>
      <c r="T941" s="8">
        <v>489.32499999999999</v>
      </c>
      <c r="U941" s="8">
        <v>391.79700000000003</v>
      </c>
      <c r="V941" s="8">
        <v>286.72899999999998</v>
      </c>
      <c r="W941" s="8">
        <v>197.49799999999999</v>
      </c>
      <c r="X941" s="8">
        <v>110.96899999999999</v>
      </c>
      <c r="Y941" s="8">
        <v>45.652000000000001</v>
      </c>
      <c r="Z941" s="8">
        <v>10.884</v>
      </c>
      <c r="AA941" s="8">
        <v>1.2</v>
      </c>
      <c r="AB941" s="8">
        <v>4.9000000000000002E-2</v>
      </c>
      <c r="AC941" s="8">
        <v>2E-3</v>
      </c>
    </row>
    <row r="942" spans="1:29" ht="11.65" x14ac:dyDescent="0.35">
      <c r="A942" s="12">
        <v>925</v>
      </c>
      <c r="B942" s="10" t="s">
        <v>1015</v>
      </c>
      <c r="C942" s="11" t="s">
        <v>602</v>
      </c>
      <c r="D942" s="9"/>
      <c r="E942" s="9">
        <v>710</v>
      </c>
      <c r="F942" s="10" t="s">
        <v>1066</v>
      </c>
      <c r="G942" s="9">
        <v>913</v>
      </c>
      <c r="H942" s="9">
        <v>1995</v>
      </c>
      <c r="I942" s="8">
        <v>2585.6790000000001</v>
      </c>
      <c r="J942" s="8">
        <v>2699.5439999999999</v>
      </c>
      <c r="K942" s="8">
        <v>2523.375</v>
      </c>
      <c r="L942" s="8">
        <v>2150.8159999999998</v>
      </c>
      <c r="M942" s="8">
        <v>1908.277</v>
      </c>
      <c r="N942" s="8">
        <v>1645.6389999999999</v>
      </c>
      <c r="O942" s="8">
        <v>1425.404</v>
      </c>
      <c r="P942" s="8">
        <v>1216.249</v>
      </c>
      <c r="Q942" s="8">
        <v>1020.95</v>
      </c>
      <c r="R942" s="8">
        <v>782.96799999999996</v>
      </c>
      <c r="S942" s="8">
        <v>675.93799999999999</v>
      </c>
      <c r="T942" s="8">
        <v>558.35400000000004</v>
      </c>
      <c r="U942" s="8">
        <v>467.57100000000003</v>
      </c>
      <c r="V942" s="8">
        <v>354.05500000000001</v>
      </c>
      <c r="W942" s="8">
        <v>234.666</v>
      </c>
      <c r="X942" s="8">
        <v>134.76499999999999</v>
      </c>
      <c r="Y942" s="8">
        <v>55.893999999999998</v>
      </c>
      <c r="Z942" s="8">
        <v>13.727</v>
      </c>
      <c r="AA942" s="8">
        <v>1.4159999999999999</v>
      </c>
      <c r="AB942" s="8">
        <v>5.8000000000000003E-2</v>
      </c>
      <c r="AC942" s="8">
        <v>2E-3</v>
      </c>
    </row>
    <row r="943" spans="1:29" ht="11.65" x14ac:dyDescent="0.35">
      <c r="A943" s="12">
        <v>926</v>
      </c>
      <c r="B943" s="10" t="s">
        <v>1015</v>
      </c>
      <c r="C943" s="11" t="s">
        <v>602</v>
      </c>
      <c r="D943" s="9"/>
      <c r="E943" s="9">
        <v>710</v>
      </c>
      <c r="F943" s="10" t="s">
        <v>1066</v>
      </c>
      <c r="G943" s="9">
        <v>913</v>
      </c>
      <c r="H943" s="9">
        <v>2000</v>
      </c>
      <c r="I943" s="8">
        <v>2457.0500000000002</v>
      </c>
      <c r="J943" s="8">
        <v>2546.1170000000002</v>
      </c>
      <c r="K943" s="8">
        <v>2678.9810000000002</v>
      </c>
      <c r="L943" s="8">
        <v>2518.299</v>
      </c>
      <c r="M943" s="8">
        <v>2163.3150000000001</v>
      </c>
      <c r="N943" s="8">
        <v>1919.7339999999999</v>
      </c>
      <c r="O943" s="8">
        <v>1639.979</v>
      </c>
      <c r="P943" s="8">
        <v>1394.9849999999999</v>
      </c>
      <c r="Q943" s="8">
        <v>1171.1600000000001</v>
      </c>
      <c r="R943" s="8">
        <v>969.77</v>
      </c>
      <c r="S943" s="8">
        <v>728.26700000000005</v>
      </c>
      <c r="T943" s="8">
        <v>612.23900000000003</v>
      </c>
      <c r="U943" s="8">
        <v>488.69</v>
      </c>
      <c r="V943" s="8">
        <v>385.85700000000003</v>
      </c>
      <c r="W943" s="8">
        <v>265.27600000000001</v>
      </c>
      <c r="X943" s="8">
        <v>149.68199999999999</v>
      </c>
      <c r="Y943" s="8">
        <v>64.869</v>
      </c>
      <c r="Z943" s="8">
        <v>15.614000000000001</v>
      </c>
      <c r="AA943" s="8">
        <v>1.647</v>
      </c>
      <c r="AB943" s="8">
        <v>7.1999999999999995E-2</v>
      </c>
      <c r="AC943" s="8">
        <v>3.0000000000000001E-3</v>
      </c>
    </row>
    <row r="944" spans="1:29" ht="11.65" x14ac:dyDescent="0.35">
      <c r="A944" s="12">
        <v>927</v>
      </c>
      <c r="B944" s="10" t="s">
        <v>1015</v>
      </c>
      <c r="C944" s="11" t="s">
        <v>602</v>
      </c>
      <c r="D944" s="9"/>
      <c r="E944" s="9">
        <v>710</v>
      </c>
      <c r="F944" s="10" t="s">
        <v>1066</v>
      </c>
      <c r="G944" s="9">
        <v>913</v>
      </c>
      <c r="H944" s="9">
        <v>2005</v>
      </c>
      <c r="I944" s="8">
        <v>2497.0210000000002</v>
      </c>
      <c r="J944" s="8">
        <v>2416.712</v>
      </c>
      <c r="K944" s="8">
        <v>2548.6849999999999</v>
      </c>
      <c r="L944" s="8">
        <v>2695.5219999999999</v>
      </c>
      <c r="M944" s="8">
        <v>2519.0929999999998</v>
      </c>
      <c r="N944" s="8">
        <v>2145.183</v>
      </c>
      <c r="O944" s="8">
        <v>1874.482</v>
      </c>
      <c r="P944" s="8">
        <v>1565.9939999999999</v>
      </c>
      <c r="Q944" s="8">
        <v>1303.953</v>
      </c>
      <c r="R944" s="8">
        <v>1077.2660000000001</v>
      </c>
      <c r="S944" s="8">
        <v>875.005</v>
      </c>
      <c r="T944" s="8">
        <v>644.82899999999995</v>
      </c>
      <c r="U944" s="8">
        <v>523.97699999999998</v>
      </c>
      <c r="V944" s="8">
        <v>393.34</v>
      </c>
      <c r="W944" s="8">
        <v>279.32799999999997</v>
      </c>
      <c r="X944" s="8">
        <v>160.22999999999999</v>
      </c>
      <c r="Y944" s="8">
        <v>67.518000000000001</v>
      </c>
      <c r="Z944" s="8">
        <v>17.305</v>
      </c>
      <c r="AA944" s="8">
        <v>1.9159999999999999</v>
      </c>
      <c r="AB944" s="8">
        <v>9.6000000000000002E-2</v>
      </c>
      <c r="AC944" s="8">
        <v>4.0000000000000001E-3</v>
      </c>
    </row>
    <row r="945" spans="1:29" ht="11.65" x14ac:dyDescent="0.35">
      <c r="A945" s="12">
        <v>928</v>
      </c>
      <c r="B945" s="10" t="s">
        <v>1015</v>
      </c>
      <c r="C945" s="11" t="s">
        <v>602</v>
      </c>
      <c r="D945" s="9"/>
      <c r="E945" s="9">
        <v>710</v>
      </c>
      <c r="F945" s="10" t="s">
        <v>1066</v>
      </c>
      <c r="G945" s="9">
        <v>913</v>
      </c>
      <c r="H945" s="9">
        <v>2010</v>
      </c>
      <c r="I945" s="8">
        <v>2793.6779999999999</v>
      </c>
      <c r="J945" s="8">
        <v>2464.1289999999999</v>
      </c>
      <c r="K945" s="8">
        <v>2413.4270000000001</v>
      </c>
      <c r="L945" s="8">
        <v>2556.7959999999998</v>
      </c>
      <c r="M945" s="8">
        <v>2708.902</v>
      </c>
      <c r="N945" s="8">
        <v>2517.962</v>
      </c>
      <c r="O945" s="8">
        <v>2092.835</v>
      </c>
      <c r="P945" s="8">
        <v>1769.3219999999999</v>
      </c>
      <c r="Q945" s="8">
        <v>1451.6679999999999</v>
      </c>
      <c r="R945" s="8">
        <v>1201.403</v>
      </c>
      <c r="S945" s="8">
        <v>980.43899999999996</v>
      </c>
      <c r="T945" s="8">
        <v>780.99099999999999</v>
      </c>
      <c r="U945" s="8">
        <v>557.05499999999995</v>
      </c>
      <c r="V945" s="8">
        <v>424.47899999999998</v>
      </c>
      <c r="W945" s="8">
        <v>287.74599999999998</v>
      </c>
      <c r="X945" s="8">
        <v>172.02</v>
      </c>
      <c r="Y945" s="8">
        <v>74.92</v>
      </c>
      <c r="Z945" s="8">
        <v>19.215</v>
      </c>
      <c r="AA945" s="8">
        <v>2.3769999999999998</v>
      </c>
      <c r="AB945" s="8">
        <v>0.13200000000000001</v>
      </c>
      <c r="AC945" s="8">
        <v>5.0000000000000001E-3</v>
      </c>
    </row>
    <row r="946" spans="1:29" ht="11.65" x14ac:dyDescent="0.35">
      <c r="A946" s="12">
        <v>929</v>
      </c>
      <c r="B946" s="10" t="s">
        <v>1015</v>
      </c>
      <c r="C946" s="11" t="s">
        <v>602</v>
      </c>
      <c r="D946" s="9"/>
      <c r="E946" s="9">
        <v>710</v>
      </c>
      <c r="F946" s="10" t="s">
        <v>1066</v>
      </c>
      <c r="G946" s="9">
        <v>913</v>
      </c>
      <c r="H946" s="9">
        <v>2015</v>
      </c>
      <c r="I946" s="8">
        <v>2952.7170000000001</v>
      </c>
      <c r="J946" s="8">
        <v>2781</v>
      </c>
      <c r="K946" s="8">
        <v>2464.0360000000001</v>
      </c>
      <c r="L946" s="8">
        <v>2447.0450000000001</v>
      </c>
      <c r="M946" s="8">
        <v>2602.4569999999999</v>
      </c>
      <c r="N946" s="8">
        <v>2719.8180000000002</v>
      </c>
      <c r="O946" s="8">
        <v>2456.3890000000001</v>
      </c>
      <c r="P946" s="8">
        <v>1969.114</v>
      </c>
      <c r="Q946" s="8">
        <v>1669.539</v>
      </c>
      <c r="R946" s="8">
        <v>1392.604</v>
      </c>
      <c r="S946" s="8">
        <v>1144.125</v>
      </c>
      <c r="T946" s="8">
        <v>920.54399999999998</v>
      </c>
      <c r="U946" s="8">
        <v>709.15700000000004</v>
      </c>
      <c r="V946" s="8">
        <v>477.35</v>
      </c>
      <c r="W946" s="8">
        <v>328.30200000000002</v>
      </c>
      <c r="X946" s="8">
        <v>188.63</v>
      </c>
      <c r="Y946" s="8">
        <v>86.635999999999996</v>
      </c>
      <c r="Z946" s="8">
        <v>24.15</v>
      </c>
      <c r="AA946" s="8">
        <v>3.19</v>
      </c>
      <c r="AB946" s="8">
        <v>0.19400000000000001</v>
      </c>
      <c r="AC946" s="8">
        <v>7.0000000000000001E-3</v>
      </c>
    </row>
    <row r="947" spans="1:29" ht="11.65" x14ac:dyDescent="0.35">
      <c r="A947" s="12">
        <v>930</v>
      </c>
      <c r="B947" s="10" t="s">
        <v>1015</v>
      </c>
      <c r="C947" s="11" t="s">
        <v>602</v>
      </c>
      <c r="D947" s="9"/>
      <c r="E947" s="9">
        <v>710</v>
      </c>
      <c r="F947" s="10" t="s">
        <v>1066</v>
      </c>
      <c r="G947" s="9">
        <v>913</v>
      </c>
      <c r="H947" s="9">
        <v>2020</v>
      </c>
      <c r="I947" s="8">
        <v>2918.9929999999999</v>
      </c>
      <c r="J947" s="8">
        <v>2943.3519999999999</v>
      </c>
      <c r="K947" s="8">
        <v>2774.6210000000001</v>
      </c>
      <c r="L947" s="8">
        <v>2472.38</v>
      </c>
      <c r="M947" s="8">
        <v>2476.8209999999999</v>
      </c>
      <c r="N947" s="8">
        <v>2628.636</v>
      </c>
      <c r="O947" s="8">
        <v>2710.0309999999999</v>
      </c>
      <c r="P947" s="8">
        <v>2403.6019999999999</v>
      </c>
      <c r="Q947" s="8">
        <v>1892.7719999999999</v>
      </c>
      <c r="R947" s="8">
        <v>1578.2139999999999</v>
      </c>
      <c r="S947" s="8">
        <v>1290.806</v>
      </c>
      <c r="T947" s="8">
        <v>1035.566</v>
      </c>
      <c r="U947" s="8">
        <v>804.40499999999997</v>
      </c>
      <c r="V947" s="8">
        <v>584.95600000000002</v>
      </c>
      <c r="W947" s="8">
        <v>359.322</v>
      </c>
      <c r="X947" s="8">
        <v>213.173</v>
      </c>
      <c r="Y947" s="8">
        <v>95.570999999999998</v>
      </c>
      <c r="Z947" s="8">
        <v>28.462</v>
      </c>
      <c r="AA947" s="8">
        <v>4.0709999999999997</v>
      </c>
      <c r="AB947" s="8">
        <v>0.248</v>
      </c>
      <c r="AC947" s="8">
        <v>0.01</v>
      </c>
    </row>
    <row r="948" spans="1:29" ht="11.65" x14ac:dyDescent="0.35">
      <c r="A948" s="23">
        <v>931</v>
      </c>
      <c r="B948" s="21" t="s">
        <v>1015</v>
      </c>
      <c r="C948" s="29" t="s">
        <v>1087</v>
      </c>
      <c r="D948" s="20"/>
      <c r="E948" s="20">
        <v>914</v>
      </c>
      <c r="F948" s="21" t="s">
        <v>1065</v>
      </c>
      <c r="G948" s="20">
        <v>947</v>
      </c>
      <c r="H948" s="20">
        <v>1950</v>
      </c>
      <c r="I948" s="19">
        <v>5961.0540000000001</v>
      </c>
      <c r="J948" s="19">
        <v>4770.7920000000004</v>
      </c>
      <c r="K948" s="19">
        <v>4103.6459999999997</v>
      </c>
      <c r="L948" s="19">
        <v>3583.41</v>
      </c>
      <c r="M948" s="19">
        <v>3122.817</v>
      </c>
      <c r="N948" s="19">
        <v>2715.5450000000001</v>
      </c>
      <c r="O948" s="19">
        <v>2339.7139999999999</v>
      </c>
      <c r="P948" s="19">
        <v>1973.8009999999999</v>
      </c>
      <c r="Q948" s="19">
        <v>1660.2170000000001</v>
      </c>
      <c r="R948" s="19">
        <v>1374.521</v>
      </c>
      <c r="S948" s="19">
        <v>1152.4849999999999</v>
      </c>
      <c r="T948" s="19">
        <v>914.346</v>
      </c>
      <c r="U948" s="19">
        <v>682.62800000000004</v>
      </c>
      <c r="V948" s="19">
        <v>478.036</v>
      </c>
      <c r="W948" s="19">
        <v>297.73</v>
      </c>
      <c r="X948" s="19">
        <v>145.935</v>
      </c>
      <c r="Y948" s="19">
        <v>53.417999999999999</v>
      </c>
      <c r="Z948" s="19">
        <v>9.9239999999999995</v>
      </c>
      <c r="AA948" s="19">
        <v>1.024</v>
      </c>
      <c r="AB948" s="19">
        <v>7.0000000000000007E-2</v>
      </c>
      <c r="AC948" s="19">
        <v>2E-3</v>
      </c>
    </row>
    <row r="949" spans="1:29" ht="11.65" x14ac:dyDescent="0.35">
      <c r="A949" s="23">
        <v>932</v>
      </c>
      <c r="B949" s="21" t="s">
        <v>1015</v>
      </c>
      <c r="C949" s="29" t="s">
        <v>1087</v>
      </c>
      <c r="D949" s="20"/>
      <c r="E949" s="20">
        <v>914</v>
      </c>
      <c r="F949" s="21" t="s">
        <v>1065</v>
      </c>
      <c r="G949" s="20">
        <v>947</v>
      </c>
      <c r="H949" s="20">
        <v>1955</v>
      </c>
      <c r="I949" s="19">
        <v>6533.4430000000002</v>
      </c>
      <c r="J949" s="19">
        <v>5124.1090000000004</v>
      </c>
      <c r="K949" s="19">
        <v>4539.9709999999995</v>
      </c>
      <c r="L949" s="19">
        <v>3947.2080000000001</v>
      </c>
      <c r="M949" s="19">
        <v>3388.9169999999999</v>
      </c>
      <c r="N949" s="19">
        <v>2921.24</v>
      </c>
      <c r="O949" s="19">
        <v>2538.6410000000001</v>
      </c>
      <c r="P949" s="19">
        <v>2179.9940000000001</v>
      </c>
      <c r="Q949" s="19">
        <v>1819.8009999999999</v>
      </c>
      <c r="R949" s="19">
        <v>1509.203</v>
      </c>
      <c r="S949" s="19">
        <v>1223.546</v>
      </c>
      <c r="T949" s="19">
        <v>991.17600000000004</v>
      </c>
      <c r="U949" s="19">
        <v>739.58</v>
      </c>
      <c r="V949" s="19">
        <v>498.84800000000001</v>
      </c>
      <c r="W949" s="19">
        <v>296.71699999999998</v>
      </c>
      <c r="X949" s="19">
        <v>141.316</v>
      </c>
      <c r="Y949" s="19">
        <v>46.987000000000002</v>
      </c>
      <c r="Z949" s="19">
        <v>9.9489999999999998</v>
      </c>
      <c r="AA949" s="19">
        <v>1.0409999999999999</v>
      </c>
      <c r="AB949" s="19">
        <v>7.0999999999999994E-2</v>
      </c>
      <c r="AC949" s="19">
        <v>2E-3</v>
      </c>
    </row>
    <row r="950" spans="1:29" ht="11.65" x14ac:dyDescent="0.35">
      <c r="A950" s="23">
        <v>933</v>
      </c>
      <c r="B950" s="21" t="s">
        <v>1015</v>
      </c>
      <c r="C950" s="29" t="s">
        <v>1087</v>
      </c>
      <c r="D950" s="20"/>
      <c r="E950" s="20">
        <v>914</v>
      </c>
      <c r="F950" s="21" t="s">
        <v>1065</v>
      </c>
      <c r="G950" s="20">
        <v>947</v>
      </c>
      <c r="H950" s="20">
        <v>1960</v>
      </c>
      <c r="I950" s="19">
        <v>7372.8909999999996</v>
      </c>
      <c r="J950" s="19">
        <v>5683.8360000000002</v>
      </c>
      <c r="K950" s="19">
        <v>4897.3450000000003</v>
      </c>
      <c r="L950" s="19">
        <v>4380.4889999999996</v>
      </c>
      <c r="M950" s="19">
        <v>3748.6709999999998</v>
      </c>
      <c r="N950" s="19">
        <v>3185.9270000000001</v>
      </c>
      <c r="O950" s="19">
        <v>2744.1819999999998</v>
      </c>
      <c r="P950" s="19">
        <v>2376.489</v>
      </c>
      <c r="Q950" s="19">
        <v>2020.2329999999999</v>
      </c>
      <c r="R950" s="19">
        <v>1664.37</v>
      </c>
      <c r="S950" s="19">
        <v>1353.5340000000001</v>
      </c>
      <c r="T950" s="19">
        <v>1061.819</v>
      </c>
      <c r="U950" s="19">
        <v>811.87699999999995</v>
      </c>
      <c r="V950" s="19">
        <v>550.55700000000002</v>
      </c>
      <c r="W950" s="19">
        <v>318.45</v>
      </c>
      <c r="X950" s="19">
        <v>147.34299999999999</v>
      </c>
      <c r="Y950" s="19">
        <v>48.433</v>
      </c>
      <c r="Z950" s="19">
        <v>9.9369999999999994</v>
      </c>
      <c r="AA950" s="19">
        <v>1.1200000000000001</v>
      </c>
      <c r="AB950" s="19">
        <v>7.4999999999999997E-2</v>
      </c>
      <c r="AC950" s="19">
        <v>2E-3</v>
      </c>
    </row>
    <row r="951" spans="1:29" ht="11.65" x14ac:dyDescent="0.35">
      <c r="A951" s="23">
        <v>934</v>
      </c>
      <c r="B951" s="21" t="s">
        <v>1015</v>
      </c>
      <c r="C951" s="29" t="s">
        <v>1087</v>
      </c>
      <c r="D951" s="20"/>
      <c r="E951" s="20">
        <v>914</v>
      </c>
      <c r="F951" s="21" t="s">
        <v>1065</v>
      </c>
      <c r="G951" s="20">
        <v>947</v>
      </c>
      <c r="H951" s="20">
        <v>1965</v>
      </c>
      <c r="I951" s="19">
        <v>8370.3870000000006</v>
      </c>
      <c r="J951" s="19">
        <v>6499.5230000000001</v>
      </c>
      <c r="K951" s="19">
        <v>5452.6949999999997</v>
      </c>
      <c r="L951" s="19">
        <v>4743.5559999999996</v>
      </c>
      <c r="M951" s="19">
        <v>4184.7510000000002</v>
      </c>
      <c r="N951" s="19">
        <v>3547.9940000000001</v>
      </c>
      <c r="O951" s="19">
        <v>3010.9369999999999</v>
      </c>
      <c r="P951" s="19">
        <v>2583.3470000000002</v>
      </c>
      <c r="Q951" s="19">
        <v>2215.5700000000002</v>
      </c>
      <c r="R951" s="19">
        <v>1859.171</v>
      </c>
      <c r="S951" s="19">
        <v>1502.365</v>
      </c>
      <c r="T951" s="19">
        <v>1183.645</v>
      </c>
      <c r="U951" s="19">
        <v>878.74400000000003</v>
      </c>
      <c r="V951" s="19">
        <v>614.09400000000005</v>
      </c>
      <c r="W951" s="19">
        <v>360.029</v>
      </c>
      <c r="X951" s="19">
        <v>164.07</v>
      </c>
      <c r="Y951" s="19">
        <v>53.363999999999997</v>
      </c>
      <c r="Z951" s="19">
        <v>10.955</v>
      </c>
      <c r="AA951" s="19">
        <v>1.28</v>
      </c>
      <c r="AB951" s="19">
        <v>7.8E-2</v>
      </c>
      <c r="AC951" s="19">
        <v>3.0000000000000001E-3</v>
      </c>
    </row>
    <row r="952" spans="1:29" ht="11.65" x14ac:dyDescent="0.35">
      <c r="A952" s="23">
        <v>935</v>
      </c>
      <c r="B952" s="21" t="s">
        <v>1015</v>
      </c>
      <c r="C952" s="29" t="s">
        <v>1087</v>
      </c>
      <c r="D952" s="20"/>
      <c r="E952" s="20">
        <v>914</v>
      </c>
      <c r="F952" s="21" t="s">
        <v>1065</v>
      </c>
      <c r="G952" s="20">
        <v>947</v>
      </c>
      <c r="H952" s="20">
        <v>1970</v>
      </c>
      <c r="I952" s="19">
        <v>9493.76</v>
      </c>
      <c r="J952" s="19">
        <v>7464.8729999999996</v>
      </c>
      <c r="K952" s="19">
        <v>6267.442</v>
      </c>
      <c r="L952" s="19">
        <v>5293.8209999999999</v>
      </c>
      <c r="M952" s="19">
        <v>4532.2920000000004</v>
      </c>
      <c r="N952" s="19">
        <v>3954.0149999999999</v>
      </c>
      <c r="O952" s="19">
        <v>3346.07</v>
      </c>
      <c r="P952" s="19">
        <v>2832.5</v>
      </c>
      <c r="Q952" s="19">
        <v>2412.473</v>
      </c>
      <c r="R952" s="19">
        <v>2045.95</v>
      </c>
      <c r="S952" s="19">
        <v>1686.2840000000001</v>
      </c>
      <c r="T952" s="19">
        <v>1322.5340000000001</v>
      </c>
      <c r="U952" s="19">
        <v>989.77200000000005</v>
      </c>
      <c r="V952" s="19">
        <v>675.11199999999997</v>
      </c>
      <c r="W952" s="19">
        <v>411.07100000000003</v>
      </c>
      <c r="X952" s="19">
        <v>192.15</v>
      </c>
      <c r="Y952" s="19">
        <v>62.476999999999997</v>
      </c>
      <c r="Z952" s="19">
        <v>12.914999999999999</v>
      </c>
      <c r="AA952" s="19">
        <v>1.5349999999999999</v>
      </c>
      <c r="AB952" s="19">
        <v>0.10199999999999999</v>
      </c>
      <c r="AC952" s="19">
        <v>3.0000000000000001E-3</v>
      </c>
    </row>
    <row r="953" spans="1:29" ht="11.65" x14ac:dyDescent="0.35">
      <c r="A953" s="23">
        <v>936</v>
      </c>
      <c r="B953" s="21" t="s">
        <v>1015</v>
      </c>
      <c r="C953" s="29" t="s">
        <v>1087</v>
      </c>
      <c r="D953" s="20"/>
      <c r="E953" s="20">
        <v>914</v>
      </c>
      <c r="F953" s="21" t="s">
        <v>1065</v>
      </c>
      <c r="G953" s="20">
        <v>947</v>
      </c>
      <c r="H953" s="20">
        <v>1975</v>
      </c>
      <c r="I953" s="19">
        <v>11007.661</v>
      </c>
      <c r="J953" s="19">
        <v>8542.2690000000002</v>
      </c>
      <c r="K953" s="19">
        <v>7212.951</v>
      </c>
      <c r="L953" s="19">
        <v>6080.82</v>
      </c>
      <c r="M953" s="19">
        <v>5056.3879999999999</v>
      </c>
      <c r="N953" s="19">
        <v>4311.8239999999996</v>
      </c>
      <c r="O953" s="19">
        <v>3770.4380000000001</v>
      </c>
      <c r="P953" s="19">
        <v>3179.4140000000002</v>
      </c>
      <c r="Q953" s="19">
        <v>2670.8240000000001</v>
      </c>
      <c r="R953" s="19">
        <v>2248.5250000000001</v>
      </c>
      <c r="S953" s="19">
        <v>1872.94</v>
      </c>
      <c r="T953" s="19">
        <v>1497.777</v>
      </c>
      <c r="U953" s="19">
        <v>1116.5709999999999</v>
      </c>
      <c r="V953" s="19">
        <v>770.85599999999999</v>
      </c>
      <c r="W953" s="19">
        <v>461.08600000000001</v>
      </c>
      <c r="X953" s="19">
        <v>225.88</v>
      </c>
      <c r="Y953" s="19">
        <v>76.037999999999997</v>
      </c>
      <c r="Z953" s="19">
        <v>15.845000000000001</v>
      </c>
      <c r="AA953" s="19">
        <v>1.911</v>
      </c>
      <c r="AB953" s="19">
        <v>0.121</v>
      </c>
      <c r="AC953" s="19">
        <v>4.0000000000000001E-3</v>
      </c>
    </row>
    <row r="954" spans="1:29" ht="11.65" x14ac:dyDescent="0.35">
      <c r="A954" s="23">
        <v>937</v>
      </c>
      <c r="B954" s="21" t="s">
        <v>1015</v>
      </c>
      <c r="C954" s="29" t="s">
        <v>1087</v>
      </c>
      <c r="D954" s="20"/>
      <c r="E954" s="20">
        <v>914</v>
      </c>
      <c r="F954" s="21" t="s">
        <v>1065</v>
      </c>
      <c r="G954" s="20">
        <v>947</v>
      </c>
      <c r="H954" s="20">
        <v>1980</v>
      </c>
      <c r="I954" s="19">
        <v>12849.138000000001</v>
      </c>
      <c r="J954" s="19">
        <v>10038.406999999999</v>
      </c>
      <c r="K954" s="19">
        <v>8304.9470000000001</v>
      </c>
      <c r="L954" s="19">
        <v>7001.1279999999997</v>
      </c>
      <c r="M954" s="19">
        <v>5804.29</v>
      </c>
      <c r="N954" s="19">
        <v>4871.9290000000001</v>
      </c>
      <c r="O954" s="19">
        <v>4176.1030000000001</v>
      </c>
      <c r="P954" s="19">
        <v>3595.0770000000002</v>
      </c>
      <c r="Q954" s="19">
        <v>2997.9659999999999</v>
      </c>
      <c r="R954" s="19">
        <v>2498.422</v>
      </c>
      <c r="S954" s="19">
        <v>2074.1759999999999</v>
      </c>
      <c r="T954" s="19">
        <v>1673.9480000000001</v>
      </c>
      <c r="U954" s="19">
        <v>1273.4079999999999</v>
      </c>
      <c r="V954" s="19">
        <v>880.04</v>
      </c>
      <c r="W954" s="19">
        <v>536.32600000000002</v>
      </c>
      <c r="X954" s="19">
        <v>260.36399999999998</v>
      </c>
      <c r="Y954" s="19">
        <v>92.358000000000004</v>
      </c>
      <c r="Z954" s="19">
        <v>19.986000000000001</v>
      </c>
      <c r="AA954" s="19">
        <v>2.4119999999999999</v>
      </c>
      <c r="AB954" s="19">
        <v>0.157</v>
      </c>
      <c r="AC954" s="19">
        <v>5.0000000000000001E-3</v>
      </c>
    </row>
    <row r="955" spans="1:29" ht="11.65" x14ac:dyDescent="0.35">
      <c r="A955" s="23">
        <v>938</v>
      </c>
      <c r="B955" s="21" t="s">
        <v>1015</v>
      </c>
      <c r="C955" s="29" t="s">
        <v>1087</v>
      </c>
      <c r="D955" s="20"/>
      <c r="E955" s="20">
        <v>914</v>
      </c>
      <c r="F955" s="21" t="s">
        <v>1065</v>
      </c>
      <c r="G955" s="20">
        <v>947</v>
      </c>
      <c r="H955" s="20">
        <v>1985</v>
      </c>
      <c r="I955" s="19">
        <v>14730.044</v>
      </c>
      <c r="J955" s="19">
        <v>11807.948</v>
      </c>
      <c r="K955" s="19">
        <v>9762.4470000000001</v>
      </c>
      <c r="L955" s="19">
        <v>8071.973</v>
      </c>
      <c r="M955" s="19">
        <v>6677.6109999999999</v>
      </c>
      <c r="N955" s="19">
        <v>5495.8819999999996</v>
      </c>
      <c r="O955" s="19">
        <v>4597.0619999999999</v>
      </c>
      <c r="P955" s="19">
        <v>3924.59</v>
      </c>
      <c r="Q955" s="19">
        <v>3375.9380000000001</v>
      </c>
      <c r="R955" s="19">
        <v>2790.6869999999999</v>
      </c>
      <c r="S955" s="19">
        <v>2295.0749999999998</v>
      </c>
      <c r="T955" s="19">
        <v>1864.943</v>
      </c>
      <c r="U955" s="19">
        <v>1443.605</v>
      </c>
      <c r="V955" s="19">
        <v>1023.601</v>
      </c>
      <c r="W955" s="19">
        <v>629.55200000000002</v>
      </c>
      <c r="X955" s="19">
        <v>314.36200000000002</v>
      </c>
      <c r="Y955" s="19">
        <v>111.788</v>
      </c>
      <c r="Z955" s="19">
        <v>25.388000000000002</v>
      </c>
      <c r="AA955" s="19">
        <v>3.1139999999999999</v>
      </c>
      <c r="AB955" s="19">
        <v>0.20399999999999999</v>
      </c>
      <c r="AC955" s="19">
        <v>5.0000000000000001E-3</v>
      </c>
    </row>
    <row r="956" spans="1:29" ht="11.65" x14ac:dyDescent="0.35">
      <c r="A956" s="23">
        <v>939</v>
      </c>
      <c r="B956" s="21" t="s">
        <v>1015</v>
      </c>
      <c r="C956" s="29" t="s">
        <v>1087</v>
      </c>
      <c r="D956" s="20"/>
      <c r="E956" s="20">
        <v>914</v>
      </c>
      <c r="F956" s="21" t="s">
        <v>1065</v>
      </c>
      <c r="G956" s="20">
        <v>947</v>
      </c>
      <c r="H956" s="20">
        <v>1990</v>
      </c>
      <c r="I956" s="19">
        <v>16433.367999999999</v>
      </c>
      <c r="J956" s="19">
        <v>13588.212</v>
      </c>
      <c r="K956" s="19">
        <v>11497.885</v>
      </c>
      <c r="L956" s="19">
        <v>9460.3340000000007</v>
      </c>
      <c r="M956" s="19">
        <v>7699.2960000000003</v>
      </c>
      <c r="N956" s="19">
        <v>6424.7730000000001</v>
      </c>
      <c r="O956" s="19">
        <v>5283.6139999999996</v>
      </c>
      <c r="P956" s="19">
        <v>4356.8339999999998</v>
      </c>
      <c r="Q956" s="19">
        <v>3702.86</v>
      </c>
      <c r="R956" s="19">
        <v>3158.4490000000001</v>
      </c>
      <c r="S956" s="19">
        <v>2573.8620000000001</v>
      </c>
      <c r="T956" s="19">
        <v>2067.2080000000001</v>
      </c>
      <c r="U956" s="19">
        <v>1611.751</v>
      </c>
      <c r="V956" s="19">
        <v>1166.9380000000001</v>
      </c>
      <c r="W956" s="19">
        <v>739.51800000000003</v>
      </c>
      <c r="X956" s="19">
        <v>374.37400000000002</v>
      </c>
      <c r="Y956" s="19">
        <v>137.29599999999999</v>
      </c>
      <c r="Z956" s="19">
        <v>31.341000000000001</v>
      </c>
      <c r="AA956" s="19">
        <v>3.99</v>
      </c>
      <c r="AB956" s="19">
        <v>0.26600000000000001</v>
      </c>
      <c r="AC956" s="19">
        <v>8.9999999999999993E-3</v>
      </c>
    </row>
    <row r="957" spans="1:29" ht="11.65" x14ac:dyDescent="0.35">
      <c r="A957" s="23">
        <v>940</v>
      </c>
      <c r="B957" s="21" t="s">
        <v>1015</v>
      </c>
      <c r="C957" s="29" t="s">
        <v>1087</v>
      </c>
      <c r="D957" s="20"/>
      <c r="E957" s="20">
        <v>914</v>
      </c>
      <c r="F957" s="21" t="s">
        <v>1065</v>
      </c>
      <c r="G957" s="20">
        <v>947</v>
      </c>
      <c r="H957" s="20">
        <v>1995</v>
      </c>
      <c r="I957" s="19">
        <v>18302.501</v>
      </c>
      <c r="J957" s="19">
        <v>15185.319</v>
      </c>
      <c r="K957" s="19">
        <v>13221.266</v>
      </c>
      <c r="L957" s="19">
        <v>11190.105</v>
      </c>
      <c r="M957" s="19">
        <v>9085.2659999999996</v>
      </c>
      <c r="N957" s="19">
        <v>7354.4380000000001</v>
      </c>
      <c r="O957" s="19">
        <v>6142.817</v>
      </c>
      <c r="P957" s="19">
        <v>5055.1499999999996</v>
      </c>
      <c r="Q957" s="19">
        <v>4145.7430000000004</v>
      </c>
      <c r="R957" s="19">
        <v>3483.0250000000001</v>
      </c>
      <c r="S957" s="19">
        <v>2922.2370000000001</v>
      </c>
      <c r="T957" s="19">
        <v>2320.2339999999999</v>
      </c>
      <c r="U957" s="19">
        <v>1788.0989999999999</v>
      </c>
      <c r="V957" s="19">
        <v>1303.5170000000001</v>
      </c>
      <c r="W957" s="19">
        <v>842.53200000000004</v>
      </c>
      <c r="X957" s="19">
        <v>440.16899999999998</v>
      </c>
      <c r="Y957" s="19">
        <v>164.62200000000001</v>
      </c>
      <c r="Z957" s="19">
        <v>38.908999999999999</v>
      </c>
      <c r="AA957" s="19">
        <v>5.0019999999999998</v>
      </c>
      <c r="AB957" s="19">
        <v>0.35399999999999998</v>
      </c>
      <c r="AC957" s="19">
        <v>1.2E-2</v>
      </c>
    </row>
    <row r="958" spans="1:29" ht="11.65" x14ac:dyDescent="0.35">
      <c r="A958" s="23">
        <v>941</v>
      </c>
      <c r="B958" s="21" t="s">
        <v>1015</v>
      </c>
      <c r="C958" s="29" t="s">
        <v>1087</v>
      </c>
      <c r="D958" s="20"/>
      <c r="E958" s="20">
        <v>914</v>
      </c>
      <c r="F958" s="21" t="s">
        <v>1065</v>
      </c>
      <c r="G958" s="20">
        <v>947</v>
      </c>
      <c r="H958" s="20">
        <v>2000</v>
      </c>
      <c r="I958" s="19">
        <v>20806.315999999999</v>
      </c>
      <c r="J958" s="19">
        <v>17065.625</v>
      </c>
      <c r="K958" s="19">
        <v>14823.395</v>
      </c>
      <c r="L958" s="19">
        <v>12866.977000000001</v>
      </c>
      <c r="M958" s="19">
        <v>10725.88</v>
      </c>
      <c r="N958" s="19">
        <v>8707.4410000000007</v>
      </c>
      <c r="O958" s="19">
        <v>7057.6440000000002</v>
      </c>
      <c r="P958" s="19">
        <v>5872.8710000000001</v>
      </c>
      <c r="Q958" s="19">
        <v>4798.2049999999999</v>
      </c>
      <c r="R958" s="19">
        <v>3894.0790000000002</v>
      </c>
      <c r="S958" s="19">
        <v>3221.5830000000001</v>
      </c>
      <c r="T958" s="19">
        <v>2635.5659999999998</v>
      </c>
      <c r="U958" s="19">
        <v>2007.124</v>
      </c>
      <c r="V958" s="19">
        <v>1444.931</v>
      </c>
      <c r="W958" s="19">
        <v>939.399</v>
      </c>
      <c r="X958" s="19">
        <v>499.44799999999998</v>
      </c>
      <c r="Y958" s="19">
        <v>191.88900000000001</v>
      </c>
      <c r="Z958" s="19">
        <v>46.078000000000003</v>
      </c>
      <c r="AA958" s="19">
        <v>6.1050000000000004</v>
      </c>
      <c r="AB958" s="19">
        <v>0.443</v>
      </c>
      <c r="AC958" s="19">
        <v>1.7000000000000001E-2</v>
      </c>
    </row>
    <row r="959" spans="1:29" ht="11.65" x14ac:dyDescent="0.35">
      <c r="A959" s="23">
        <v>942</v>
      </c>
      <c r="B959" s="21" t="s">
        <v>1015</v>
      </c>
      <c r="C959" s="29" t="s">
        <v>1087</v>
      </c>
      <c r="D959" s="20"/>
      <c r="E959" s="20">
        <v>914</v>
      </c>
      <c r="F959" s="21" t="s">
        <v>1065</v>
      </c>
      <c r="G959" s="20">
        <v>947</v>
      </c>
      <c r="H959" s="20">
        <v>2005</v>
      </c>
      <c r="I959" s="19">
        <v>23827.743999999999</v>
      </c>
      <c r="J959" s="19">
        <v>19574.644</v>
      </c>
      <c r="K959" s="19">
        <v>16641.895</v>
      </c>
      <c r="L959" s="19">
        <v>14421.509</v>
      </c>
      <c r="M959" s="19">
        <v>12316.258</v>
      </c>
      <c r="N959" s="19">
        <v>10252.277</v>
      </c>
      <c r="O959" s="19">
        <v>8323.8819999999996</v>
      </c>
      <c r="P959" s="19">
        <v>6711.3549999999996</v>
      </c>
      <c r="Q959" s="19">
        <v>5552.7809999999999</v>
      </c>
      <c r="R959" s="19">
        <v>4491.4359999999997</v>
      </c>
      <c r="S959" s="19">
        <v>3591.0219999999999</v>
      </c>
      <c r="T959" s="19">
        <v>2896.6909999999998</v>
      </c>
      <c r="U959" s="19">
        <v>2270.1460000000002</v>
      </c>
      <c r="V959" s="19">
        <v>1611.425</v>
      </c>
      <c r="W959" s="19">
        <v>1033.0450000000001</v>
      </c>
      <c r="X959" s="19">
        <v>550.98800000000006</v>
      </c>
      <c r="Y959" s="19">
        <v>214.584</v>
      </c>
      <c r="Z959" s="19">
        <v>52.533000000000001</v>
      </c>
      <c r="AA959" s="19">
        <v>6.9729999999999999</v>
      </c>
      <c r="AB959" s="19">
        <v>0.52900000000000003</v>
      </c>
      <c r="AC959" s="19">
        <v>2.3E-2</v>
      </c>
    </row>
    <row r="960" spans="1:29" ht="11.65" x14ac:dyDescent="0.35">
      <c r="A960" s="23">
        <v>943</v>
      </c>
      <c r="B960" s="21" t="s">
        <v>1015</v>
      </c>
      <c r="C960" s="29" t="s">
        <v>1087</v>
      </c>
      <c r="D960" s="20"/>
      <c r="E960" s="20">
        <v>914</v>
      </c>
      <c r="F960" s="21" t="s">
        <v>1065</v>
      </c>
      <c r="G960" s="20">
        <v>947</v>
      </c>
      <c r="H960" s="20">
        <v>2010</v>
      </c>
      <c r="I960" s="19">
        <v>27092.659</v>
      </c>
      <c r="J960" s="19">
        <v>22687.674999999999</v>
      </c>
      <c r="K960" s="19">
        <v>19122.387999999999</v>
      </c>
      <c r="L960" s="19">
        <v>16262.589</v>
      </c>
      <c r="M960" s="19">
        <v>13906.346</v>
      </c>
      <c r="N960" s="19">
        <v>11798.67</v>
      </c>
      <c r="O960" s="19">
        <v>9809.9330000000009</v>
      </c>
      <c r="P960" s="19">
        <v>7956.9970000000003</v>
      </c>
      <c r="Q960" s="19">
        <v>6384.549</v>
      </c>
      <c r="R960" s="19">
        <v>5235.5649999999996</v>
      </c>
      <c r="S960" s="19">
        <v>4171.6260000000002</v>
      </c>
      <c r="T960" s="19">
        <v>3254.4780000000001</v>
      </c>
      <c r="U960" s="19">
        <v>2518.62</v>
      </c>
      <c r="V960" s="19">
        <v>1845.606</v>
      </c>
      <c r="W960" s="19">
        <v>1170.95</v>
      </c>
      <c r="X960" s="19">
        <v>619.91999999999996</v>
      </c>
      <c r="Y960" s="19">
        <v>244.23500000000001</v>
      </c>
      <c r="Z960" s="19">
        <v>60.93</v>
      </c>
      <c r="AA960" s="19">
        <v>8.2430000000000003</v>
      </c>
      <c r="AB960" s="19">
        <v>0.61299999999999999</v>
      </c>
      <c r="AC960" s="19">
        <v>2.8000000000000001E-2</v>
      </c>
    </row>
    <row r="961" spans="1:29" ht="11.65" x14ac:dyDescent="0.35">
      <c r="A961" s="23">
        <v>944</v>
      </c>
      <c r="B961" s="21" t="s">
        <v>1015</v>
      </c>
      <c r="C961" s="29" t="s">
        <v>1087</v>
      </c>
      <c r="D961" s="20"/>
      <c r="E961" s="20">
        <v>914</v>
      </c>
      <c r="F961" s="21" t="s">
        <v>1065</v>
      </c>
      <c r="G961" s="20">
        <v>947</v>
      </c>
      <c r="H961" s="20">
        <v>2015</v>
      </c>
      <c r="I961" s="19">
        <v>30401.473999999998</v>
      </c>
      <c r="J961" s="19">
        <v>26018.212</v>
      </c>
      <c r="K961" s="19">
        <v>22218.351999999999</v>
      </c>
      <c r="L961" s="19">
        <v>18725.923999999999</v>
      </c>
      <c r="M961" s="19">
        <v>15725.825000000001</v>
      </c>
      <c r="N961" s="19">
        <v>13356.61</v>
      </c>
      <c r="O961" s="19">
        <v>11312.789000000001</v>
      </c>
      <c r="P961" s="19">
        <v>9393.9330000000009</v>
      </c>
      <c r="Q961" s="19">
        <v>7584.0550000000003</v>
      </c>
      <c r="R961" s="19">
        <v>6033.79</v>
      </c>
      <c r="S961" s="19">
        <v>4880.0259999999998</v>
      </c>
      <c r="T961" s="19">
        <v>3799.377</v>
      </c>
      <c r="U961" s="19">
        <v>2851.0819999999999</v>
      </c>
      <c r="V961" s="19">
        <v>2067.2840000000001</v>
      </c>
      <c r="W961" s="19">
        <v>1359.104</v>
      </c>
      <c r="X961" s="19">
        <v>714.67</v>
      </c>
      <c r="Y961" s="19">
        <v>281.07600000000002</v>
      </c>
      <c r="Z961" s="19">
        <v>71.745999999999995</v>
      </c>
      <c r="AA961" s="19">
        <v>10.055</v>
      </c>
      <c r="AB961" s="19">
        <v>0.75800000000000001</v>
      </c>
      <c r="AC961" s="19">
        <v>3.1E-2</v>
      </c>
    </row>
    <row r="962" spans="1:29" ht="11.65" x14ac:dyDescent="0.35">
      <c r="A962" s="23">
        <v>945</v>
      </c>
      <c r="B962" s="21" t="s">
        <v>1015</v>
      </c>
      <c r="C962" s="29" t="s">
        <v>1087</v>
      </c>
      <c r="D962" s="20"/>
      <c r="E962" s="20">
        <v>914</v>
      </c>
      <c r="F962" s="21" t="s">
        <v>1065</v>
      </c>
      <c r="G962" s="20">
        <v>947</v>
      </c>
      <c r="H962" s="20">
        <v>2020</v>
      </c>
      <c r="I962" s="19">
        <v>33286.995000000003</v>
      </c>
      <c r="J962" s="19">
        <v>29401.607</v>
      </c>
      <c r="K962" s="19">
        <v>25554.98</v>
      </c>
      <c r="L962" s="19">
        <v>21833.66</v>
      </c>
      <c r="M962" s="19">
        <v>18235.888999999999</v>
      </c>
      <c r="N962" s="19">
        <v>15237.66</v>
      </c>
      <c r="O962" s="19">
        <v>12907.449000000001</v>
      </c>
      <c r="P962" s="19">
        <v>10905.816000000001</v>
      </c>
      <c r="Q962" s="19">
        <v>9012.6350000000002</v>
      </c>
      <c r="R962" s="19">
        <v>7216.0550000000003</v>
      </c>
      <c r="S962" s="19">
        <v>5663.5</v>
      </c>
      <c r="T962" s="19">
        <v>4479.8549999999996</v>
      </c>
      <c r="U962" s="19">
        <v>3358.51</v>
      </c>
      <c r="V962" s="19">
        <v>2368.0430000000001</v>
      </c>
      <c r="W962" s="19">
        <v>1543.229</v>
      </c>
      <c r="X962" s="19">
        <v>844.53300000000002</v>
      </c>
      <c r="Y962" s="19">
        <v>331.41300000000001</v>
      </c>
      <c r="Z962" s="19">
        <v>84.864000000000004</v>
      </c>
      <c r="AA962" s="19">
        <v>12.228</v>
      </c>
      <c r="AB962" s="19">
        <v>0.94299999999999995</v>
      </c>
      <c r="AC962" s="19">
        <v>4.3999999999999997E-2</v>
      </c>
    </row>
    <row r="963" spans="1:29" ht="11.65" x14ac:dyDescent="0.35">
      <c r="A963" s="12">
        <v>946</v>
      </c>
      <c r="B963" s="10" t="s">
        <v>1015</v>
      </c>
      <c r="C963" s="11" t="s">
        <v>1088</v>
      </c>
      <c r="D963" s="9"/>
      <c r="E963" s="9">
        <v>204</v>
      </c>
      <c r="F963" s="10" t="s">
        <v>1066</v>
      </c>
      <c r="G963" s="9">
        <v>914</v>
      </c>
      <c r="H963" s="9">
        <v>1950</v>
      </c>
      <c r="I963" s="8">
        <v>143.828</v>
      </c>
      <c r="J963" s="8">
        <v>123.35599999999999</v>
      </c>
      <c r="K963" s="8">
        <v>103.374</v>
      </c>
      <c r="L963" s="8">
        <v>90.046999999999997</v>
      </c>
      <c r="M963" s="8">
        <v>79.828000000000003</v>
      </c>
      <c r="N963" s="8">
        <v>72.317999999999998</v>
      </c>
      <c r="O963" s="8">
        <v>66.626999999999995</v>
      </c>
      <c r="P963" s="8">
        <v>62.728000000000002</v>
      </c>
      <c r="Q963" s="8">
        <v>58.823</v>
      </c>
      <c r="R963" s="8">
        <v>52.962000000000003</v>
      </c>
      <c r="S963" s="8">
        <v>45.344000000000001</v>
      </c>
      <c r="T963" s="8">
        <v>40.154000000000003</v>
      </c>
      <c r="U963" s="8">
        <v>33.262999999999998</v>
      </c>
      <c r="V963" s="8">
        <v>28.628</v>
      </c>
      <c r="W963" s="8">
        <v>23.225000000000001</v>
      </c>
      <c r="X963" s="8">
        <v>17.754999999999999</v>
      </c>
      <c r="Y963" s="8">
        <v>6.9480000000000004</v>
      </c>
      <c r="Z963" s="8">
        <v>1.377</v>
      </c>
      <c r="AA963" s="8">
        <v>0.13600000000000001</v>
      </c>
      <c r="AB963" s="8">
        <v>6.0000000000000001E-3</v>
      </c>
      <c r="AC963" s="8">
        <v>0</v>
      </c>
    </row>
    <row r="964" spans="1:29" ht="11.65" x14ac:dyDescent="0.35">
      <c r="A964" s="12">
        <v>947</v>
      </c>
      <c r="B964" s="10" t="s">
        <v>1015</v>
      </c>
      <c r="C964" s="11" t="s">
        <v>1088</v>
      </c>
      <c r="D964" s="9"/>
      <c r="E964" s="9">
        <v>204</v>
      </c>
      <c r="F964" s="10" t="s">
        <v>1066</v>
      </c>
      <c r="G964" s="9">
        <v>914</v>
      </c>
      <c r="H964" s="9">
        <v>1955</v>
      </c>
      <c r="I964" s="8">
        <v>169.33500000000001</v>
      </c>
      <c r="J964" s="8">
        <v>124.151</v>
      </c>
      <c r="K964" s="8">
        <v>118.64</v>
      </c>
      <c r="L964" s="8">
        <v>99.463999999999999</v>
      </c>
      <c r="M964" s="8">
        <v>83.67</v>
      </c>
      <c r="N964" s="8">
        <v>72.558999999999997</v>
      </c>
      <c r="O964" s="8">
        <v>65.933000000000007</v>
      </c>
      <c r="P964" s="8">
        <v>61.018000000000001</v>
      </c>
      <c r="Q964" s="8">
        <v>57.347999999999999</v>
      </c>
      <c r="R964" s="8">
        <v>53.377000000000002</v>
      </c>
      <c r="S964" s="8">
        <v>47.283999999999999</v>
      </c>
      <c r="T964" s="8">
        <v>39.265000000000001</v>
      </c>
      <c r="U964" s="8">
        <v>32.893999999999998</v>
      </c>
      <c r="V964" s="8">
        <v>24.826000000000001</v>
      </c>
      <c r="W964" s="8">
        <v>18.355</v>
      </c>
      <c r="X964" s="8">
        <v>11.548</v>
      </c>
      <c r="Y964" s="8">
        <v>5.9989999999999997</v>
      </c>
      <c r="Z964" s="8">
        <v>1.373</v>
      </c>
      <c r="AA964" s="8">
        <v>0.13600000000000001</v>
      </c>
      <c r="AB964" s="8">
        <v>6.0000000000000001E-3</v>
      </c>
      <c r="AC964" s="8">
        <v>0</v>
      </c>
    </row>
    <row r="965" spans="1:29" ht="11.65" x14ac:dyDescent="0.35">
      <c r="A965" s="12">
        <v>948</v>
      </c>
      <c r="B965" s="10" t="s">
        <v>1015</v>
      </c>
      <c r="C965" s="11" t="s">
        <v>1088</v>
      </c>
      <c r="D965" s="9"/>
      <c r="E965" s="9">
        <v>204</v>
      </c>
      <c r="F965" s="10" t="s">
        <v>1066</v>
      </c>
      <c r="G965" s="9">
        <v>914</v>
      </c>
      <c r="H965" s="9">
        <v>1960</v>
      </c>
      <c r="I965" s="8">
        <v>191.43199999999999</v>
      </c>
      <c r="J965" s="8">
        <v>148.31100000000001</v>
      </c>
      <c r="K965" s="8">
        <v>119.765</v>
      </c>
      <c r="L965" s="8">
        <v>114.54300000000001</v>
      </c>
      <c r="M965" s="8">
        <v>92.986000000000004</v>
      </c>
      <c r="N965" s="8">
        <v>76.52</v>
      </c>
      <c r="O965" s="8">
        <v>66.433999999999997</v>
      </c>
      <c r="P965" s="8">
        <v>60.612000000000002</v>
      </c>
      <c r="Q965" s="8">
        <v>56.009</v>
      </c>
      <c r="R965" s="8">
        <v>52.286999999999999</v>
      </c>
      <c r="S965" s="8">
        <v>47.942</v>
      </c>
      <c r="T965" s="8">
        <v>41.256</v>
      </c>
      <c r="U965" s="8">
        <v>32.481000000000002</v>
      </c>
      <c r="V965" s="8">
        <v>24.911000000000001</v>
      </c>
      <c r="W965" s="8">
        <v>16.254999999999999</v>
      </c>
      <c r="X965" s="8">
        <v>9.4179999999999993</v>
      </c>
      <c r="Y965" s="8">
        <v>4.077</v>
      </c>
      <c r="Z965" s="8">
        <v>1.258</v>
      </c>
      <c r="AA965" s="8">
        <v>0.14599999999999999</v>
      </c>
      <c r="AB965" s="8">
        <v>8.0000000000000002E-3</v>
      </c>
      <c r="AC965" s="8">
        <v>0</v>
      </c>
    </row>
    <row r="966" spans="1:29" ht="11.65" x14ac:dyDescent="0.35">
      <c r="A966" s="12">
        <v>949</v>
      </c>
      <c r="B966" s="10" t="s">
        <v>1015</v>
      </c>
      <c r="C966" s="11" t="s">
        <v>1088</v>
      </c>
      <c r="D966" s="9"/>
      <c r="E966" s="9">
        <v>204</v>
      </c>
      <c r="F966" s="10" t="s">
        <v>1066</v>
      </c>
      <c r="G966" s="9">
        <v>914</v>
      </c>
      <c r="H966" s="9">
        <v>1965</v>
      </c>
      <c r="I966" s="8">
        <v>220.96799999999999</v>
      </c>
      <c r="J966" s="8">
        <v>169.749</v>
      </c>
      <c r="K966" s="8">
        <v>143.48099999999999</v>
      </c>
      <c r="L966" s="8">
        <v>115.81100000000001</v>
      </c>
      <c r="M966" s="8">
        <v>107.629</v>
      </c>
      <c r="N966" s="8">
        <v>85.521000000000001</v>
      </c>
      <c r="O966" s="8">
        <v>70.311999999999998</v>
      </c>
      <c r="P966" s="8">
        <v>61.206000000000003</v>
      </c>
      <c r="Q966" s="8">
        <v>55.783000000000001</v>
      </c>
      <c r="R966" s="8">
        <v>51.23</v>
      </c>
      <c r="S966" s="8">
        <v>47.162999999999997</v>
      </c>
      <c r="T966" s="8">
        <v>42.079000000000001</v>
      </c>
      <c r="U966" s="8">
        <v>34.426000000000002</v>
      </c>
      <c r="V966" s="8">
        <v>24.902000000000001</v>
      </c>
      <c r="W966" s="8">
        <v>16.613</v>
      </c>
      <c r="X966" s="8">
        <v>8.5670000000000002</v>
      </c>
      <c r="Y966" s="8">
        <v>3.4510000000000001</v>
      </c>
      <c r="Z966" s="8">
        <v>0.89900000000000002</v>
      </c>
      <c r="AA966" s="8">
        <v>0.14299999999999999</v>
      </c>
      <c r="AB966" s="8">
        <v>8.9999999999999993E-3</v>
      </c>
      <c r="AC966" s="8">
        <v>0</v>
      </c>
    </row>
    <row r="967" spans="1:29" ht="11.65" x14ac:dyDescent="0.35">
      <c r="A967" s="12">
        <v>950</v>
      </c>
      <c r="B967" s="10" t="s">
        <v>1015</v>
      </c>
      <c r="C967" s="11" t="s">
        <v>1088</v>
      </c>
      <c r="D967" s="9"/>
      <c r="E967" s="9">
        <v>204</v>
      </c>
      <c r="F967" s="10" t="s">
        <v>1066</v>
      </c>
      <c r="G967" s="9">
        <v>914</v>
      </c>
      <c r="H967" s="9">
        <v>1970</v>
      </c>
      <c r="I967" s="8">
        <v>255.631</v>
      </c>
      <c r="J967" s="8">
        <v>197.399</v>
      </c>
      <c r="K967" s="8">
        <v>163.15700000000001</v>
      </c>
      <c r="L967" s="8">
        <v>138.71199999999999</v>
      </c>
      <c r="M967" s="8">
        <v>109.402</v>
      </c>
      <c r="N967" s="8">
        <v>100.07299999999999</v>
      </c>
      <c r="O967" s="8">
        <v>79.149000000000001</v>
      </c>
      <c r="P967" s="8">
        <v>65.018000000000001</v>
      </c>
      <c r="Q967" s="8">
        <v>56.444000000000003</v>
      </c>
      <c r="R967" s="8">
        <v>51.121000000000002</v>
      </c>
      <c r="S967" s="8">
        <v>46.372999999999998</v>
      </c>
      <c r="T967" s="8">
        <v>41.76</v>
      </c>
      <c r="U967" s="8">
        <v>35.854999999999997</v>
      </c>
      <c r="V967" s="8">
        <v>27.481999999999999</v>
      </c>
      <c r="W967" s="8">
        <v>17.795999999999999</v>
      </c>
      <c r="X967" s="8">
        <v>9.9489999999999998</v>
      </c>
      <c r="Y967" s="8">
        <v>3.923</v>
      </c>
      <c r="Z967" s="8">
        <v>1.071</v>
      </c>
      <c r="AA967" s="8">
        <v>0.16600000000000001</v>
      </c>
      <c r="AB967" s="8">
        <v>1.4999999999999999E-2</v>
      </c>
      <c r="AC967" s="8">
        <v>0</v>
      </c>
    </row>
    <row r="968" spans="1:29" ht="11.65" x14ac:dyDescent="0.35">
      <c r="A968" s="12">
        <v>951</v>
      </c>
      <c r="B968" s="10" t="s">
        <v>1015</v>
      </c>
      <c r="C968" s="11" t="s">
        <v>1088</v>
      </c>
      <c r="D968" s="9"/>
      <c r="E968" s="9">
        <v>204</v>
      </c>
      <c r="F968" s="10" t="s">
        <v>1066</v>
      </c>
      <c r="G968" s="9">
        <v>914</v>
      </c>
      <c r="H968" s="9">
        <v>1975</v>
      </c>
      <c r="I968" s="8">
        <v>293.483</v>
      </c>
      <c r="J968" s="8">
        <v>230.596</v>
      </c>
      <c r="K968" s="8">
        <v>190.19900000000001</v>
      </c>
      <c r="L968" s="8">
        <v>158.042</v>
      </c>
      <c r="M968" s="8">
        <v>131.61199999999999</v>
      </c>
      <c r="N968" s="8">
        <v>101.842</v>
      </c>
      <c r="O968" s="8">
        <v>93.135000000000005</v>
      </c>
      <c r="P968" s="8">
        <v>73.513000000000005</v>
      </c>
      <c r="Q968" s="8">
        <v>60.15</v>
      </c>
      <c r="R968" s="8">
        <v>51.875</v>
      </c>
      <c r="S968" s="8">
        <v>46.433</v>
      </c>
      <c r="T968" s="8">
        <v>41.241999999999997</v>
      </c>
      <c r="U968" s="8">
        <v>35.798000000000002</v>
      </c>
      <c r="V968" s="8">
        <v>28.86</v>
      </c>
      <c r="W968" s="8">
        <v>19.879000000000001</v>
      </c>
      <c r="X968" s="8">
        <v>10.846</v>
      </c>
      <c r="Y968" s="8">
        <v>4.6749999999999998</v>
      </c>
      <c r="Z968" s="8">
        <v>1.26</v>
      </c>
      <c r="AA968" s="8">
        <v>0.20699999999999999</v>
      </c>
      <c r="AB968" s="8">
        <v>1.7000000000000001E-2</v>
      </c>
      <c r="AC968" s="8">
        <v>1E-3</v>
      </c>
    </row>
    <row r="969" spans="1:29" ht="11.65" x14ac:dyDescent="0.35">
      <c r="A969" s="12">
        <v>952</v>
      </c>
      <c r="B969" s="10" t="s">
        <v>1015</v>
      </c>
      <c r="C969" s="11" t="s">
        <v>1088</v>
      </c>
      <c r="D969" s="9"/>
      <c r="E969" s="9">
        <v>204</v>
      </c>
      <c r="F969" s="10" t="s">
        <v>1066</v>
      </c>
      <c r="G969" s="9">
        <v>914</v>
      </c>
      <c r="H969" s="9">
        <v>1980</v>
      </c>
      <c r="I969" s="8">
        <v>342.99099999999999</v>
      </c>
      <c r="J969" s="8">
        <v>267.88900000000001</v>
      </c>
      <c r="K969" s="8">
        <v>222.75700000000001</v>
      </c>
      <c r="L969" s="8">
        <v>184.85</v>
      </c>
      <c r="M969" s="8">
        <v>151.059</v>
      </c>
      <c r="N969" s="8">
        <v>124.053</v>
      </c>
      <c r="O969" s="8">
        <v>95.596000000000004</v>
      </c>
      <c r="P969" s="8">
        <v>87.456999999999994</v>
      </c>
      <c r="Q969" s="8">
        <v>68.647000000000006</v>
      </c>
      <c r="R969" s="8">
        <v>55.704000000000001</v>
      </c>
      <c r="S969" s="8">
        <v>47.427</v>
      </c>
      <c r="T969" s="8">
        <v>41.564</v>
      </c>
      <c r="U969" s="8">
        <v>35.615000000000002</v>
      </c>
      <c r="V969" s="8">
        <v>29.065999999999999</v>
      </c>
      <c r="W969" s="8">
        <v>21.129000000000001</v>
      </c>
      <c r="X969" s="8">
        <v>12.33</v>
      </c>
      <c r="Y969" s="8">
        <v>5.2240000000000002</v>
      </c>
      <c r="Z969" s="8">
        <v>1.5509999999999999</v>
      </c>
      <c r="AA969" s="8">
        <v>0.253</v>
      </c>
      <c r="AB969" s="8">
        <v>2.1000000000000001E-2</v>
      </c>
      <c r="AC969" s="8">
        <v>1E-3</v>
      </c>
    </row>
    <row r="970" spans="1:29" ht="11.65" x14ac:dyDescent="0.35">
      <c r="A970" s="12">
        <v>953</v>
      </c>
      <c r="B970" s="10" t="s">
        <v>1015</v>
      </c>
      <c r="C970" s="11" t="s">
        <v>1088</v>
      </c>
      <c r="D970" s="9"/>
      <c r="E970" s="9">
        <v>204</v>
      </c>
      <c r="F970" s="10" t="s">
        <v>1066</v>
      </c>
      <c r="G970" s="9">
        <v>914</v>
      </c>
      <c r="H970" s="9">
        <v>1985</v>
      </c>
      <c r="I970" s="8">
        <v>399.81200000000001</v>
      </c>
      <c r="J970" s="8">
        <v>316.16899999999998</v>
      </c>
      <c r="K970" s="8">
        <v>259.46199999999999</v>
      </c>
      <c r="L970" s="8">
        <v>217.239</v>
      </c>
      <c r="M970" s="8">
        <v>178.10400000000001</v>
      </c>
      <c r="N970" s="8">
        <v>144.05500000000001</v>
      </c>
      <c r="O970" s="8">
        <v>118.033</v>
      </c>
      <c r="P970" s="8">
        <v>90.66</v>
      </c>
      <c r="Q970" s="8">
        <v>82.516000000000005</v>
      </c>
      <c r="R970" s="8">
        <v>64.156999999999996</v>
      </c>
      <c r="S970" s="8">
        <v>51.323</v>
      </c>
      <c r="T970" s="8">
        <v>42.750999999999998</v>
      </c>
      <c r="U970" s="8">
        <v>36.154000000000003</v>
      </c>
      <c r="V970" s="8">
        <v>29.15</v>
      </c>
      <c r="W970" s="8">
        <v>21.503</v>
      </c>
      <c r="X970" s="8">
        <v>13.298999999999999</v>
      </c>
      <c r="Y970" s="8">
        <v>6.0620000000000003</v>
      </c>
      <c r="Z970" s="8">
        <v>1.778</v>
      </c>
      <c r="AA970" s="8">
        <v>0.32</v>
      </c>
      <c r="AB970" s="8">
        <v>2.9000000000000001E-2</v>
      </c>
      <c r="AC970" s="8">
        <v>1E-3</v>
      </c>
    </row>
    <row r="971" spans="1:29" ht="11.65" x14ac:dyDescent="0.35">
      <c r="A971" s="12">
        <v>954</v>
      </c>
      <c r="B971" s="10" t="s">
        <v>1015</v>
      </c>
      <c r="C971" s="11" t="s">
        <v>1088</v>
      </c>
      <c r="D971" s="9"/>
      <c r="E971" s="9">
        <v>204</v>
      </c>
      <c r="F971" s="10" t="s">
        <v>1066</v>
      </c>
      <c r="G971" s="9">
        <v>914</v>
      </c>
      <c r="H971" s="9">
        <v>1990</v>
      </c>
      <c r="I971" s="8">
        <v>465.38299999999998</v>
      </c>
      <c r="J971" s="8">
        <v>373.39699999999999</v>
      </c>
      <c r="K971" s="8">
        <v>308.971</v>
      </c>
      <c r="L971" s="8">
        <v>254.59200000000001</v>
      </c>
      <c r="M971" s="8">
        <v>211.03299999999999</v>
      </c>
      <c r="N971" s="8">
        <v>171.691</v>
      </c>
      <c r="O971" s="8">
        <v>138.61799999999999</v>
      </c>
      <c r="P971" s="8">
        <v>113.32</v>
      </c>
      <c r="Q971" s="8">
        <v>86.578000000000003</v>
      </c>
      <c r="R971" s="8">
        <v>78.221999999999994</v>
      </c>
      <c r="S971" s="8">
        <v>60.002000000000002</v>
      </c>
      <c r="T971" s="8">
        <v>47.045000000000002</v>
      </c>
      <c r="U971" s="8">
        <v>37.954999999999998</v>
      </c>
      <c r="V971" s="8">
        <v>30.367999999999999</v>
      </c>
      <c r="W971" s="8">
        <v>22.364999999999998</v>
      </c>
      <c r="X971" s="8">
        <v>14.255000000000001</v>
      </c>
      <c r="Y971" s="8">
        <v>7.0220000000000002</v>
      </c>
      <c r="Z971" s="8">
        <v>2.2690000000000001</v>
      </c>
      <c r="AA971" s="8">
        <v>0.41199999999999998</v>
      </c>
      <c r="AB971" s="8">
        <v>0.04</v>
      </c>
      <c r="AC971" s="8">
        <v>2E-3</v>
      </c>
    </row>
    <row r="972" spans="1:29" ht="11.65" x14ac:dyDescent="0.35">
      <c r="A972" s="12">
        <v>955</v>
      </c>
      <c r="B972" s="10" t="s">
        <v>1015</v>
      </c>
      <c r="C972" s="11" t="s">
        <v>1088</v>
      </c>
      <c r="D972" s="9"/>
      <c r="E972" s="9">
        <v>204</v>
      </c>
      <c r="F972" s="10" t="s">
        <v>1066</v>
      </c>
      <c r="G972" s="9">
        <v>914</v>
      </c>
      <c r="H972" s="9">
        <v>1995</v>
      </c>
      <c r="I972" s="8">
        <v>543.48900000000003</v>
      </c>
      <c r="J972" s="8">
        <v>441.50900000000001</v>
      </c>
      <c r="K972" s="8">
        <v>368.048</v>
      </c>
      <c r="L972" s="8">
        <v>306.95100000000002</v>
      </c>
      <c r="M972" s="8">
        <v>254.50800000000001</v>
      </c>
      <c r="N972" s="8">
        <v>212.19399999999999</v>
      </c>
      <c r="O972" s="8">
        <v>172.73500000000001</v>
      </c>
      <c r="P972" s="8">
        <v>138.71299999999999</v>
      </c>
      <c r="Q972" s="8">
        <v>112.34</v>
      </c>
      <c r="R972" s="8">
        <v>84.941999999999993</v>
      </c>
      <c r="S972" s="8">
        <v>75.352000000000004</v>
      </c>
      <c r="T972" s="8">
        <v>56.62</v>
      </c>
      <c r="U972" s="8">
        <v>43.034999999999997</v>
      </c>
      <c r="V972" s="8">
        <v>32.927</v>
      </c>
      <c r="W972" s="8">
        <v>24.231999999999999</v>
      </c>
      <c r="X972" s="8">
        <v>15.606</v>
      </c>
      <c r="Y972" s="8">
        <v>8.06</v>
      </c>
      <c r="Z972" s="8">
        <v>2.8570000000000002</v>
      </c>
      <c r="AA972" s="8">
        <v>0.57799999999999996</v>
      </c>
      <c r="AB972" s="8">
        <v>5.8999999999999997E-2</v>
      </c>
      <c r="AC972" s="8">
        <v>3.0000000000000001E-3</v>
      </c>
    </row>
    <row r="973" spans="1:29" ht="11.65" x14ac:dyDescent="0.35">
      <c r="A973" s="12">
        <v>956</v>
      </c>
      <c r="B973" s="10" t="s">
        <v>1015</v>
      </c>
      <c r="C973" s="11" t="s">
        <v>1088</v>
      </c>
      <c r="D973" s="9"/>
      <c r="E973" s="9">
        <v>204</v>
      </c>
      <c r="F973" s="10" t="s">
        <v>1066</v>
      </c>
      <c r="G973" s="9">
        <v>914</v>
      </c>
      <c r="H973" s="9">
        <v>2000</v>
      </c>
      <c r="I973" s="8">
        <v>618.96500000000003</v>
      </c>
      <c r="J973" s="8">
        <v>516.00099999999998</v>
      </c>
      <c r="K973" s="8">
        <v>432.98700000000002</v>
      </c>
      <c r="L973" s="8">
        <v>362.25</v>
      </c>
      <c r="M973" s="8">
        <v>299.851</v>
      </c>
      <c r="N973" s="8">
        <v>247.292</v>
      </c>
      <c r="O973" s="8">
        <v>205.911</v>
      </c>
      <c r="P973" s="8">
        <v>167.19300000000001</v>
      </c>
      <c r="Q973" s="8">
        <v>133.56399999999999</v>
      </c>
      <c r="R973" s="8">
        <v>107.313</v>
      </c>
      <c r="S973" s="8">
        <v>80.064999999999998</v>
      </c>
      <c r="T973" s="8">
        <v>69.658000000000001</v>
      </c>
      <c r="U973" s="8">
        <v>50.756</v>
      </c>
      <c r="V973" s="8">
        <v>36.570999999999998</v>
      </c>
      <c r="W973" s="8">
        <v>25.663</v>
      </c>
      <c r="X973" s="8">
        <v>16.417999999999999</v>
      </c>
      <c r="Y973" s="8">
        <v>8.4879999999999995</v>
      </c>
      <c r="Z973" s="8">
        <v>3.1360000000000001</v>
      </c>
      <c r="AA973" s="8">
        <v>0.69399999999999995</v>
      </c>
      <c r="AB973" s="8">
        <v>7.8E-2</v>
      </c>
      <c r="AC973" s="8">
        <v>4.0000000000000001E-3</v>
      </c>
    </row>
    <row r="974" spans="1:29" ht="11.65" x14ac:dyDescent="0.35">
      <c r="A974" s="12">
        <v>957</v>
      </c>
      <c r="B974" s="10" t="s">
        <v>1015</v>
      </c>
      <c r="C974" s="11" t="s">
        <v>1088</v>
      </c>
      <c r="D974" s="9"/>
      <c r="E974" s="9">
        <v>204</v>
      </c>
      <c r="F974" s="10" t="s">
        <v>1066</v>
      </c>
      <c r="G974" s="9">
        <v>914</v>
      </c>
      <c r="H974" s="9">
        <v>2005</v>
      </c>
      <c r="I974" s="8">
        <v>698.34</v>
      </c>
      <c r="J974" s="8">
        <v>591.798</v>
      </c>
      <c r="K974" s="8">
        <v>506.78899999999999</v>
      </c>
      <c r="L974" s="8">
        <v>427.54199999999997</v>
      </c>
      <c r="M974" s="8">
        <v>356.93</v>
      </c>
      <c r="N974" s="8">
        <v>295.15699999999998</v>
      </c>
      <c r="O974" s="8">
        <v>243.245</v>
      </c>
      <c r="P974" s="8">
        <v>201.73500000000001</v>
      </c>
      <c r="Q974" s="8">
        <v>162.69499999999999</v>
      </c>
      <c r="R974" s="8">
        <v>128.77099999999999</v>
      </c>
      <c r="S974" s="8">
        <v>101.974</v>
      </c>
      <c r="T974" s="8">
        <v>74.575999999999993</v>
      </c>
      <c r="U974" s="8">
        <v>62.865000000000002</v>
      </c>
      <c r="V974" s="8">
        <v>43.436999999999998</v>
      </c>
      <c r="W974" s="8">
        <v>28.73</v>
      </c>
      <c r="X974" s="8">
        <v>17.555</v>
      </c>
      <c r="Y974" s="8">
        <v>9.0440000000000005</v>
      </c>
      <c r="Z974" s="8">
        <v>3.347</v>
      </c>
      <c r="AA974" s="8">
        <v>0.77100000000000002</v>
      </c>
      <c r="AB974" s="8">
        <v>9.5000000000000001E-2</v>
      </c>
      <c r="AC974" s="8">
        <v>6.0000000000000001E-3</v>
      </c>
    </row>
    <row r="975" spans="1:29" ht="11.65" x14ac:dyDescent="0.35">
      <c r="A975" s="12">
        <v>958</v>
      </c>
      <c r="B975" s="10" t="s">
        <v>1015</v>
      </c>
      <c r="C975" s="11" t="s">
        <v>1088</v>
      </c>
      <c r="D975" s="9"/>
      <c r="E975" s="9">
        <v>204</v>
      </c>
      <c r="F975" s="10" t="s">
        <v>1066</v>
      </c>
      <c r="G975" s="9">
        <v>914</v>
      </c>
      <c r="H975" s="9">
        <v>2010</v>
      </c>
      <c r="I975" s="8">
        <v>791.22199999999998</v>
      </c>
      <c r="J975" s="8">
        <v>671.57100000000003</v>
      </c>
      <c r="K975" s="8">
        <v>582.26499999999999</v>
      </c>
      <c r="L975" s="8">
        <v>498.27199999999999</v>
      </c>
      <c r="M975" s="8">
        <v>414.49299999999999</v>
      </c>
      <c r="N975" s="8">
        <v>342.50799999999998</v>
      </c>
      <c r="O975" s="8">
        <v>282.71300000000002</v>
      </c>
      <c r="P975" s="8">
        <v>232.94</v>
      </c>
      <c r="Q975" s="8">
        <v>192.84399999999999</v>
      </c>
      <c r="R975" s="8">
        <v>154.756</v>
      </c>
      <c r="S975" s="8">
        <v>121.169</v>
      </c>
      <c r="T975" s="8">
        <v>94.356999999999999</v>
      </c>
      <c r="U975" s="8">
        <v>67.108999999999995</v>
      </c>
      <c r="V975" s="8">
        <v>53.872</v>
      </c>
      <c r="W975" s="8">
        <v>34.331000000000003</v>
      </c>
      <c r="X975" s="8">
        <v>19.895</v>
      </c>
      <c r="Y975" s="8">
        <v>9.8490000000000002</v>
      </c>
      <c r="Z975" s="8">
        <v>3.6840000000000002</v>
      </c>
      <c r="AA975" s="8">
        <v>0.86399999999999999</v>
      </c>
      <c r="AB975" s="8">
        <v>0.112</v>
      </c>
      <c r="AC975" s="8">
        <v>8.0000000000000002E-3</v>
      </c>
    </row>
    <row r="976" spans="1:29" ht="11.65" x14ac:dyDescent="0.35">
      <c r="A976" s="12">
        <v>959</v>
      </c>
      <c r="B976" s="10" t="s">
        <v>1015</v>
      </c>
      <c r="C976" s="11" t="s">
        <v>1088</v>
      </c>
      <c r="D976" s="9"/>
      <c r="E976" s="9">
        <v>204</v>
      </c>
      <c r="F976" s="10" t="s">
        <v>1066</v>
      </c>
      <c r="G976" s="9">
        <v>914</v>
      </c>
      <c r="H976" s="9">
        <v>2015</v>
      </c>
      <c r="I976" s="8">
        <v>882.89099999999996</v>
      </c>
      <c r="J976" s="8">
        <v>764.25400000000002</v>
      </c>
      <c r="K976" s="8">
        <v>661.572</v>
      </c>
      <c r="L976" s="8">
        <v>573.86500000000001</v>
      </c>
      <c r="M976" s="8">
        <v>486.10700000000003</v>
      </c>
      <c r="N976" s="8">
        <v>401.488</v>
      </c>
      <c r="O976" s="8">
        <v>331.29599999999999</v>
      </c>
      <c r="P976" s="8">
        <v>273.17</v>
      </c>
      <c r="Q976" s="8">
        <v>224.41499999999999</v>
      </c>
      <c r="R976" s="8">
        <v>184.75200000000001</v>
      </c>
      <c r="S976" s="8">
        <v>146.59299999999999</v>
      </c>
      <c r="T976" s="8">
        <v>112.827</v>
      </c>
      <c r="U976" s="8">
        <v>85.498000000000005</v>
      </c>
      <c r="V976" s="8">
        <v>57.889000000000003</v>
      </c>
      <c r="W976" s="8">
        <v>42.954000000000001</v>
      </c>
      <c r="X976" s="8">
        <v>24.044</v>
      </c>
      <c r="Y976" s="8">
        <v>11.327</v>
      </c>
      <c r="Z976" s="8">
        <v>4.0819999999999999</v>
      </c>
      <c r="AA976" s="8">
        <v>0.97</v>
      </c>
      <c r="AB976" s="8">
        <v>0.128</v>
      </c>
      <c r="AC976" s="8">
        <v>0.01</v>
      </c>
    </row>
    <row r="977" spans="1:29" ht="11.65" x14ac:dyDescent="0.35">
      <c r="A977" s="12">
        <v>960</v>
      </c>
      <c r="B977" s="10" t="s">
        <v>1015</v>
      </c>
      <c r="C977" s="11" t="s">
        <v>1088</v>
      </c>
      <c r="D977" s="9"/>
      <c r="E977" s="9">
        <v>204</v>
      </c>
      <c r="F977" s="10" t="s">
        <v>1066</v>
      </c>
      <c r="G977" s="9">
        <v>914</v>
      </c>
      <c r="H977" s="9">
        <v>2020</v>
      </c>
      <c r="I977" s="8">
        <v>968.52</v>
      </c>
      <c r="J977" s="8">
        <v>856.39499999999998</v>
      </c>
      <c r="K977" s="8">
        <v>754.30600000000004</v>
      </c>
      <c r="L977" s="8">
        <v>653.81700000000001</v>
      </c>
      <c r="M977" s="8">
        <v>563.26400000000001</v>
      </c>
      <c r="N977" s="8">
        <v>474.96600000000001</v>
      </c>
      <c r="O977" s="8">
        <v>391.84100000000001</v>
      </c>
      <c r="P977" s="8">
        <v>322.73399999999998</v>
      </c>
      <c r="Q977" s="8">
        <v>265.072</v>
      </c>
      <c r="R977" s="8">
        <v>216.36699999999999</v>
      </c>
      <c r="S977" s="8">
        <v>176.04599999999999</v>
      </c>
      <c r="T977" s="8">
        <v>137.28399999999999</v>
      </c>
      <c r="U977" s="8">
        <v>102.815</v>
      </c>
      <c r="V977" s="8">
        <v>74.215999999999994</v>
      </c>
      <c r="W977" s="8">
        <v>46.463999999999999</v>
      </c>
      <c r="X977" s="8">
        <v>30.329000000000001</v>
      </c>
      <c r="Y977" s="8">
        <v>13.827999999999999</v>
      </c>
      <c r="Z977" s="8">
        <v>4.742</v>
      </c>
      <c r="AA977" s="8">
        <v>1.0860000000000001</v>
      </c>
      <c r="AB977" s="8">
        <v>0.14399999999999999</v>
      </c>
      <c r="AC977" s="8">
        <v>1.2E-2</v>
      </c>
    </row>
    <row r="978" spans="1:29" ht="11.65" x14ac:dyDescent="0.35">
      <c r="A978" s="12">
        <v>961</v>
      </c>
      <c r="B978" s="10" t="s">
        <v>1015</v>
      </c>
      <c r="C978" s="11" t="s">
        <v>1089</v>
      </c>
      <c r="D978" s="9"/>
      <c r="E978" s="9">
        <v>854</v>
      </c>
      <c r="F978" s="10" t="s">
        <v>1066</v>
      </c>
      <c r="G978" s="9">
        <v>914</v>
      </c>
      <c r="H978" s="9">
        <v>1950</v>
      </c>
      <c r="I978" s="8">
        <v>354.70800000000003</v>
      </c>
      <c r="J978" s="8">
        <v>288.01499999999999</v>
      </c>
      <c r="K978" s="8">
        <v>254.79599999999999</v>
      </c>
      <c r="L978" s="8">
        <v>227.71</v>
      </c>
      <c r="M978" s="8">
        <v>203.48500000000001</v>
      </c>
      <c r="N978" s="8">
        <v>180.50800000000001</v>
      </c>
      <c r="O978" s="8">
        <v>158.44300000000001</v>
      </c>
      <c r="P978" s="8">
        <v>136.94300000000001</v>
      </c>
      <c r="Q978" s="8">
        <v>115.036</v>
      </c>
      <c r="R978" s="8">
        <v>95.655000000000001</v>
      </c>
      <c r="S978" s="8">
        <v>76.695999999999998</v>
      </c>
      <c r="T978" s="8">
        <v>60.046999999999997</v>
      </c>
      <c r="U978" s="8">
        <v>44.168999999999997</v>
      </c>
      <c r="V978" s="8">
        <v>29.658000000000001</v>
      </c>
      <c r="W978" s="8">
        <v>15.759</v>
      </c>
      <c r="X978" s="8">
        <v>2.4649999999999999</v>
      </c>
      <c r="Y978" s="8">
        <v>2.988</v>
      </c>
      <c r="Z978" s="8">
        <v>0.45</v>
      </c>
      <c r="AA978" s="8">
        <v>3.1E-2</v>
      </c>
      <c r="AB978" s="8">
        <v>0</v>
      </c>
      <c r="AC978" s="8">
        <v>0</v>
      </c>
    </row>
    <row r="979" spans="1:29" ht="11.65" x14ac:dyDescent="0.35">
      <c r="A979" s="12">
        <v>962</v>
      </c>
      <c r="B979" s="10" t="s">
        <v>1015</v>
      </c>
      <c r="C979" s="11" t="s">
        <v>1089</v>
      </c>
      <c r="D979" s="9"/>
      <c r="E979" s="9">
        <v>854</v>
      </c>
      <c r="F979" s="10" t="s">
        <v>1066</v>
      </c>
      <c r="G979" s="9">
        <v>914</v>
      </c>
      <c r="H979" s="9">
        <v>1955</v>
      </c>
      <c r="I979" s="8">
        <v>371.42399999999998</v>
      </c>
      <c r="J979" s="8">
        <v>301.59199999999998</v>
      </c>
      <c r="K979" s="8">
        <v>273.178</v>
      </c>
      <c r="L979" s="8">
        <v>240.959</v>
      </c>
      <c r="M979" s="8">
        <v>204.035</v>
      </c>
      <c r="N979" s="8">
        <v>176.12799999999999</v>
      </c>
      <c r="O979" s="8">
        <v>156.90799999999999</v>
      </c>
      <c r="P979" s="8">
        <v>138.87700000000001</v>
      </c>
      <c r="Q979" s="8">
        <v>120.002</v>
      </c>
      <c r="R979" s="8">
        <v>100.086</v>
      </c>
      <c r="S979" s="8">
        <v>81.856999999999999</v>
      </c>
      <c r="T979" s="8">
        <v>63.423000000000002</v>
      </c>
      <c r="U979" s="8">
        <v>46.46</v>
      </c>
      <c r="V979" s="8">
        <v>30.475000000000001</v>
      </c>
      <c r="W979" s="8">
        <v>16.959</v>
      </c>
      <c r="X979" s="8">
        <v>6.5549999999999997</v>
      </c>
      <c r="Y979" s="8">
        <v>0.6</v>
      </c>
      <c r="Z979" s="8">
        <v>0.42799999999999999</v>
      </c>
      <c r="AA979" s="8">
        <v>3.2000000000000001E-2</v>
      </c>
      <c r="AB979" s="8">
        <v>0</v>
      </c>
      <c r="AC979" s="8">
        <v>0</v>
      </c>
    </row>
    <row r="980" spans="1:29" ht="11.65" x14ac:dyDescent="0.35">
      <c r="A980" s="12">
        <v>963</v>
      </c>
      <c r="B980" s="10" t="s">
        <v>1015</v>
      </c>
      <c r="C980" s="11" t="s">
        <v>1089</v>
      </c>
      <c r="D980" s="9"/>
      <c r="E980" s="9">
        <v>854</v>
      </c>
      <c r="F980" s="10" t="s">
        <v>1066</v>
      </c>
      <c r="G980" s="9">
        <v>914</v>
      </c>
      <c r="H980" s="9">
        <v>1960</v>
      </c>
      <c r="I980" s="8">
        <v>408.245</v>
      </c>
      <c r="J980" s="8">
        <v>320.08600000000001</v>
      </c>
      <c r="K980" s="8">
        <v>287.55099999999999</v>
      </c>
      <c r="L980" s="8">
        <v>259.649</v>
      </c>
      <c r="M980" s="8">
        <v>217.84200000000001</v>
      </c>
      <c r="N980" s="8">
        <v>178.00700000000001</v>
      </c>
      <c r="O980" s="8">
        <v>153.96</v>
      </c>
      <c r="P980" s="8">
        <v>138.459</v>
      </c>
      <c r="Q980" s="8">
        <v>122.761</v>
      </c>
      <c r="R980" s="8">
        <v>105.51</v>
      </c>
      <c r="S980" s="8">
        <v>86.65</v>
      </c>
      <c r="T980" s="8">
        <v>68.656999999999996</v>
      </c>
      <c r="U980" s="8">
        <v>49.997</v>
      </c>
      <c r="V980" s="8">
        <v>32.942</v>
      </c>
      <c r="W980" s="8">
        <v>18.152999999999999</v>
      </c>
      <c r="X980" s="8">
        <v>7.5359999999999996</v>
      </c>
      <c r="Y980" s="8">
        <v>1.8340000000000001</v>
      </c>
      <c r="Z980" s="8">
        <v>0.106</v>
      </c>
      <c r="AA980" s="8">
        <v>3.5999999999999997E-2</v>
      </c>
      <c r="AB980" s="8">
        <v>2E-3</v>
      </c>
      <c r="AC980" s="8">
        <v>0</v>
      </c>
    </row>
    <row r="981" spans="1:29" ht="11.65" x14ac:dyDescent="0.35">
      <c r="A981" s="12">
        <v>964</v>
      </c>
      <c r="B981" s="10" t="s">
        <v>1015</v>
      </c>
      <c r="C981" s="11" t="s">
        <v>1089</v>
      </c>
      <c r="D981" s="9"/>
      <c r="E981" s="9">
        <v>854</v>
      </c>
      <c r="F981" s="10" t="s">
        <v>1066</v>
      </c>
      <c r="G981" s="9">
        <v>914</v>
      </c>
      <c r="H981" s="9">
        <v>1965</v>
      </c>
      <c r="I981" s="8">
        <v>446.32299999999998</v>
      </c>
      <c r="J981" s="8">
        <v>355.5</v>
      </c>
      <c r="K981" s="8">
        <v>306.20400000000001</v>
      </c>
      <c r="L981" s="8">
        <v>272.74900000000002</v>
      </c>
      <c r="M981" s="8">
        <v>232.61699999999999</v>
      </c>
      <c r="N981" s="8">
        <v>186.94300000000001</v>
      </c>
      <c r="O981" s="8">
        <v>152.197</v>
      </c>
      <c r="P981" s="8">
        <v>133.28299999999999</v>
      </c>
      <c r="Q981" s="8">
        <v>121.00700000000001</v>
      </c>
      <c r="R981" s="8">
        <v>107.399</v>
      </c>
      <c r="S981" s="8">
        <v>91.340999999999994</v>
      </c>
      <c r="T981" s="8">
        <v>72.959999999999994</v>
      </c>
      <c r="U981" s="8">
        <v>54.652999999999999</v>
      </c>
      <c r="V981" s="8">
        <v>36.078000000000003</v>
      </c>
      <c r="W981" s="8">
        <v>20.202000000000002</v>
      </c>
      <c r="X981" s="8">
        <v>8.4429999999999996</v>
      </c>
      <c r="Y981" s="8">
        <v>2.2559999999999998</v>
      </c>
      <c r="Z981" s="8">
        <v>0.318</v>
      </c>
      <c r="AA981" s="8">
        <v>7.0000000000000001E-3</v>
      </c>
      <c r="AB981" s="8">
        <v>2E-3</v>
      </c>
      <c r="AC981" s="8">
        <v>0</v>
      </c>
    </row>
    <row r="982" spans="1:29" ht="11.65" x14ac:dyDescent="0.35">
      <c r="A982" s="12">
        <v>965</v>
      </c>
      <c r="B982" s="10" t="s">
        <v>1015</v>
      </c>
      <c r="C982" s="11" t="s">
        <v>1089</v>
      </c>
      <c r="D982" s="9"/>
      <c r="E982" s="9">
        <v>854</v>
      </c>
      <c r="F982" s="10" t="s">
        <v>1066</v>
      </c>
      <c r="G982" s="9">
        <v>914</v>
      </c>
      <c r="H982" s="9">
        <v>1970</v>
      </c>
      <c r="I982" s="8">
        <v>500.447</v>
      </c>
      <c r="J982" s="8">
        <v>393.24400000000003</v>
      </c>
      <c r="K982" s="8">
        <v>341.60599999999999</v>
      </c>
      <c r="L982" s="8">
        <v>291.71100000000001</v>
      </c>
      <c r="M982" s="8">
        <v>246.28899999999999</v>
      </c>
      <c r="N982" s="8">
        <v>202.06899999999999</v>
      </c>
      <c r="O982" s="8">
        <v>161.54599999999999</v>
      </c>
      <c r="P982" s="8">
        <v>132.38800000000001</v>
      </c>
      <c r="Q982" s="8">
        <v>116.943</v>
      </c>
      <c r="R982" s="8">
        <v>106.551</v>
      </c>
      <c r="S982" s="8">
        <v>93.799000000000007</v>
      </c>
      <c r="T982" s="8">
        <v>77.8</v>
      </c>
      <c r="U982" s="8">
        <v>58.966999999999999</v>
      </c>
      <c r="V982" s="8">
        <v>40.328000000000003</v>
      </c>
      <c r="W982" s="8">
        <v>22.86</v>
      </c>
      <c r="X982" s="8">
        <v>9.8789999999999996</v>
      </c>
      <c r="Y982" s="8">
        <v>2.73</v>
      </c>
      <c r="Z982" s="8">
        <v>0.43099999999999999</v>
      </c>
      <c r="AA982" s="8">
        <v>3.2000000000000001E-2</v>
      </c>
      <c r="AB982" s="8">
        <v>0</v>
      </c>
      <c r="AC982" s="8">
        <v>0</v>
      </c>
    </row>
    <row r="983" spans="1:29" ht="11.65" x14ac:dyDescent="0.35">
      <c r="A983" s="12">
        <v>966</v>
      </c>
      <c r="B983" s="10" t="s">
        <v>1015</v>
      </c>
      <c r="C983" s="11" t="s">
        <v>1089</v>
      </c>
      <c r="D983" s="9"/>
      <c r="E983" s="9">
        <v>854</v>
      </c>
      <c r="F983" s="10" t="s">
        <v>1066</v>
      </c>
      <c r="G983" s="9">
        <v>914</v>
      </c>
      <c r="H983" s="9">
        <v>1975</v>
      </c>
      <c r="I983" s="8">
        <v>557.88599999999997</v>
      </c>
      <c r="J983" s="8">
        <v>443.47800000000001</v>
      </c>
      <c r="K983" s="8">
        <v>379.28699999999998</v>
      </c>
      <c r="L983" s="8">
        <v>326.08499999999998</v>
      </c>
      <c r="M983" s="8">
        <v>263.18299999999999</v>
      </c>
      <c r="N983" s="8">
        <v>213.13399999999999</v>
      </c>
      <c r="O983" s="8">
        <v>174.15199999999999</v>
      </c>
      <c r="P983" s="8">
        <v>140.036</v>
      </c>
      <c r="Q983" s="8">
        <v>115.495</v>
      </c>
      <c r="R983" s="8">
        <v>102.63800000000001</v>
      </c>
      <c r="S983" s="8">
        <v>93.204999999999998</v>
      </c>
      <c r="T983" s="8">
        <v>80.370999999999995</v>
      </c>
      <c r="U983" s="8">
        <v>63.593000000000004</v>
      </c>
      <c r="V983" s="8">
        <v>44.308999999999997</v>
      </c>
      <c r="W983" s="8">
        <v>26.297000000000001</v>
      </c>
      <c r="X983" s="8">
        <v>11.675000000000001</v>
      </c>
      <c r="Y983" s="8">
        <v>3.4089999999999998</v>
      </c>
      <c r="Z983" s="8">
        <v>0.56799999999999995</v>
      </c>
      <c r="AA983" s="8">
        <v>4.8000000000000001E-2</v>
      </c>
      <c r="AB983" s="8">
        <v>2E-3</v>
      </c>
      <c r="AC983" s="8">
        <v>0</v>
      </c>
    </row>
    <row r="984" spans="1:29" ht="11.65" x14ac:dyDescent="0.35">
      <c r="A984" s="12">
        <v>967</v>
      </c>
      <c r="B984" s="10" t="s">
        <v>1015</v>
      </c>
      <c r="C984" s="11" t="s">
        <v>1089</v>
      </c>
      <c r="D984" s="9"/>
      <c r="E984" s="9">
        <v>854</v>
      </c>
      <c r="F984" s="10" t="s">
        <v>1066</v>
      </c>
      <c r="G984" s="9">
        <v>914</v>
      </c>
      <c r="H984" s="9">
        <v>1980</v>
      </c>
      <c r="I984" s="8">
        <v>648.74400000000003</v>
      </c>
      <c r="J984" s="8">
        <v>498.97500000000002</v>
      </c>
      <c r="K984" s="8">
        <v>429.81200000000001</v>
      </c>
      <c r="L984" s="8">
        <v>362.38200000000001</v>
      </c>
      <c r="M984" s="8">
        <v>293.43799999999999</v>
      </c>
      <c r="N984" s="8">
        <v>225.17500000000001</v>
      </c>
      <c r="O984" s="8">
        <v>181.03399999999999</v>
      </c>
      <c r="P984" s="8">
        <v>149.464</v>
      </c>
      <c r="Q984" s="8">
        <v>121.215</v>
      </c>
      <c r="R984" s="8">
        <v>100.581</v>
      </c>
      <c r="S984" s="8">
        <v>89.51</v>
      </c>
      <c r="T984" s="8">
        <v>80.185000000000002</v>
      </c>
      <c r="U984" s="8">
        <v>66.477999999999994</v>
      </c>
      <c r="V984" s="8">
        <v>48.84</v>
      </c>
      <c r="W984" s="8">
        <v>29.905999999999999</v>
      </c>
      <c r="X984" s="8">
        <v>14.16</v>
      </c>
      <c r="Y984" s="8">
        <v>4.3470000000000004</v>
      </c>
      <c r="Z984" s="8">
        <v>0.78300000000000003</v>
      </c>
      <c r="AA984" s="8">
        <v>7.2999999999999995E-2</v>
      </c>
      <c r="AB984" s="8">
        <v>3.0000000000000001E-3</v>
      </c>
      <c r="AC984" s="8">
        <v>0</v>
      </c>
    </row>
    <row r="985" spans="1:29" ht="11.65" x14ac:dyDescent="0.35">
      <c r="A985" s="12">
        <v>968</v>
      </c>
      <c r="B985" s="10" t="s">
        <v>1015</v>
      </c>
      <c r="C985" s="11" t="s">
        <v>1089</v>
      </c>
      <c r="D985" s="9"/>
      <c r="E985" s="9">
        <v>854</v>
      </c>
      <c r="F985" s="10" t="s">
        <v>1066</v>
      </c>
      <c r="G985" s="9">
        <v>914</v>
      </c>
      <c r="H985" s="9">
        <v>1985</v>
      </c>
      <c r="I985" s="8">
        <v>749.66200000000003</v>
      </c>
      <c r="J985" s="8">
        <v>591.947</v>
      </c>
      <c r="K985" s="8">
        <v>488.22399999999999</v>
      </c>
      <c r="L985" s="8">
        <v>414.661</v>
      </c>
      <c r="M985" s="8">
        <v>332.202</v>
      </c>
      <c r="N985" s="8">
        <v>257.721</v>
      </c>
      <c r="O985" s="8">
        <v>195.06399999999999</v>
      </c>
      <c r="P985" s="8">
        <v>158.02199999999999</v>
      </c>
      <c r="Q985" s="8">
        <v>131.977</v>
      </c>
      <c r="R985" s="8">
        <v>107.557</v>
      </c>
      <c r="S985" s="8">
        <v>89.116</v>
      </c>
      <c r="T985" s="8">
        <v>78.451999999999998</v>
      </c>
      <c r="U985" s="8">
        <v>68.152000000000001</v>
      </c>
      <c r="V985" s="8">
        <v>53.162999999999997</v>
      </c>
      <c r="W985" s="8">
        <v>34.966000000000001</v>
      </c>
      <c r="X985" s="8">
        <v>17.527000000000001</v>
      </c>
      <c r="Y985" s="8">
        <v>5.9569999999999999</v>
      </c>
      <c r="Z985" s="8">
        <v>1.1559999999999999</v>
      </c>
      <c r="AA985" s="8">
        <v>0.11600000000000001</v>
      </c>
      <c r="AB985" s="8">
        <v>6.0000000000000001E-3</v>
      </c>
      <c r="AC985" s="8">
        <v>0</v>
      </c>
    </row>
    <row r="986" spans="1:29" ht="11.65" x14ac:dyDescent="0.35">
      <c r="A986" s="12">
        <v>969</v>
      </c>
      <c r="B986" s="10" t="s">
        <v>1015</v>
      </c>
      <c r="C986" s="11" t="s">
        <v>1089</v>
      </c>
      <c r="D986" s="9"/>
      <c r="E986" s="9">
        <v>854</v>
      </c>
      <c r="F986" s="10" t="s">
        <v>1066</v>
      </c>
      <c r="G986" s="9">
        <v>914</v>
      </c>
      <c r="H986" s="9">
        <v>1990</v>
      </c>
      <c r="I986" s="8">
        <v>844.89300000000003</v>
      </c>
      <c r="J986" s="8">
        <v>689.31799999999998</v>
      </c>
      <c r="K986" s="8">
        <v>580.10900000000004</v>
      </c>
      <c r="L986" s="8">
        <v>473.666</v>
      </c>
      <c r="M986" s="8">
        <v>386.73599999999999</v>
      </c>
      <c r="N986" s="8">
        <v>299.73899999999998</v>
      </c>
      <c r="O986" s="8">
        <v>230.40199999999999</v>
      </c>
      <c r="P986" s="8">
        <v>174.32599999999999</v>
      </c>
      <c r="Q986" s="8">
        <v>142.07900000000001</v>
      </c>
      <c r="R986" s="8">
        <v>119.062</v>
      </c>
      <c r="S986" s="8">
        <v>96.497</v>
      </c>
      <c r="T986" s="8">
        <v>78.658000000000001</v>
      </c>
      <c r="U986" s="8">
        <v>67.025000000000006</v>
      </c>
      <c r="V986" s="8">
        <v>54.82</v>
      </c>
      <c r="W986" s="8">
        <v>38.338000000000001</v>
      </c>
      <c r="X986" s="8">
        <v>20.71</v>
      </c>
      <c r="Y986" s="8">
        <v>7.5140000000000002</v>
      </c>
      <c r="Z986" s="8">
        <v>1.617</v>
      </c>
      <c r="AA986" s="8">
        <v>0.17199999999999999</v>
      </c>
      <c r="AB986" s="8">
        <v>8.9999999999999993E-3</v>
      </c>
      <c r="AC986" s="8">
        <v>0</v>
      </c>
    </row>
    <row r="987" spans="1:29" ht="11.65" x14ac:dyDescent="0.35">
      <c r="A987" s="12">
        <v>970</v>
      </c>
      <c r="B987" s="10" t="s">
        <v>1015</v>
      </c>
      <c r="C987" s="11" t="s">
        <v>1089</v>
      </c>
      <c r="D987" s="9"/>
      <c r="E987" s="9">
        <v>854</v>
      </c>
      <c r="F987" s="10" t="s">
        <v>1066</v>
      </c>
      <c r="G987" s="9">
        <v>914</v>
      </c>
      <c r="H987" s="9">
        <v>1995</v>
      </c>
      <c r="I987" s="8">
        <v>960.79</v>
      </c>
      <c r="J987" s="8">
        <v>778.83299999999997</v>
      </c>
      <c r="K987" s="8">
        <v>675.07500000000005</v>
      </c>
      <c r="L987" s="8">
        <v>564.82399999999996</v>
      </c>
      <c r="M987" s="8">
        <v>446.767</v>
      </c>
      <c r="N987" s="8">
        <v>356.03300000000002</v>
      </c>
      <c r="O987" s="8">
        <v>274.17399999999998</v>
      </c>
      <c r="P987" s="8">
        <v>210.661</v>
      </c>
      <c r="Q987" s="8">
        <v>159.12899999999999</v>
      </c>
      <c r="R987" s="8">
        <v>129.489</v>
      </c>
      <c r="S987" s="8">
        <v>107.703</v>
      </c>
      <c r="T987" s="8">
        <v>85.575000000000003</v>
      </c>
      <c r="U987" s="8">
        <v>67.171000000000006</v>
      </c>
      <c r="V987" s="8">
        <v>53.680999999999997</v>
      </c>
      <c r="W987" s="8">
        <v>39.238999999999997</v>
      </c>
      <c r="X987" s="8">
        <v>22.466000000000001</v>
      </c>
      <c r="Y987" s="8">
        <v>8.7780000000000005</v>
      </c>
      <c r="Z987" s="8">
        <v>2.0049999999999999</v>
      </c>
      <c r="AA987" s="8">
        <v>0.23300000000000001</v>
      </c>
      <c r="AB987" s="8">
        <v>1.4999999999999999E-2</v>
      </c>
      <c r="AC987" s="8">
        <v>0</v>
      </c>
    </row>
    <row r="988" spans="1:29" ht="11.65" x14ac:dyDescent="0.35">
      <c r="A988" s="12">
        <v>971</v>
      </c>
      <c r="B988" s="10" t="s">
        <v>1015</v>
      </c>
      <c r="C988" s="11" t="s">
        <v>1089</v>
      </c>
      <c r="D988" s="9"/>
      <c r="E988" s="9">
        <v>854</v>
      </c>
      <c r="F988" s="10" t="s">
        <v>1066</v>
      </c>
      <c r="G988" s="9">
        <v>914</v>
      </c>
      <c r="H988" s="9">
        <v>2000</v>
      </c>
      <c r="I988" s="8">
        <v>1104.1420000000001</v>
      </c>
      <c r="J988" s="8">
        <v>891.07</v>
      </c>
      <c r="K988" s="8">
        <v>762.12400000000002</v>
      </c>
      <c r="L988" s="8">
        <v>658.101</v>
      </c>
      <c r="M988" s="8">
        <v>535.94100000000003</v>
      </c>
      <c r="N988" s="8">
        <v>414.92099999999999</v>
      </c>
      <c r="O988" s="8">
        <v>329.41500000000002</v>
      </c>
      <c r="P988" s="8">
        <v>253.40799999999999</v>
      </c>
      <c r="Q988" s="8">
        <v>194.227</v>
      </c>
      <c r="R988" s="8">
        <v>145.76900000000001</v>
      </c>
      <c r="S988" s="8">
        <v>117.428</v>
      </c>
      <c r="T988" s="8">
        <v>95.67</v>
      </c>
      <c r="U988" s="8">
        <v>73.02</v>
      </c>
      <c r="V988" s="8">
        <v>53.552</v>
      </c>
      <c r="W988" s="8">
        <v>38.125999999999998</v>
      </c>
      <c r="X988" s="8">
        <v>22.748999999999999</v>
      </c>
      <c r="Y988" s="8">
        <v>9.3979999999999997</v>
      </c>
      <c r="Z988" s="8">
        <v>2.3010000000000002</v>
      </c>
      <c r="AA988" s="8">
        <v>0.28299999999999997</v>
      </c>
      <c r="AB988" s="8">
        <v>1.7000000000000001E-2</v>
      </c>
      <c r="AC988" s="8">
        <v>0</v>
      </c>
    </row>
    <row r="989" spans="1:29" ht="11.65" x14ac:dyDescent="0.35">
      <c r="A989" s="12">
        <v>972</v>
      </c>
      <c r="B989" s="10" t="s">
        <v>1015</v>
      </c>
      <c r="C989" s="11" t="s">
        <v>1089</v>
      </c>
      <c r="D989" s="9"/>
      <c r="E989" s="9">
        <v>854</v>
      </c>
      <c r="F989" s="10" t="s">
        <v>1066</v>
      </c>
      <c r="G989" s="9">
        <v>914</v>
      </c>
      <c r="H989" s="9">
        <v>2005</v>
      </c>
      <c r="I989" s="8">
        <v>1264.518</v>
      </c>
      <c r="J989" s="8">
        <v>1032.6369999999999</v>
      </c>
      <c r="K989" s="8">
        <v>874.54300000000001</v>
      </c>
      <c r="L989" s="8">
        <v>745.67600000000004</v>
      </c>
      <c r="M989" s="8">
        <v>630.02599999999995</v>
      </c>
      <c r="N989" s="8">
        <v>504.78300000000002</v>
      </c>
      <c r="O989" s="8">
        <v>389.18400000000003</v>
      </c>
      <c r="P989" s="8">
        <v>308.81</v>
      </c>
      <c r="Q989" s="8">
        <v>236.804</v>
      </c>
      <c r="R989" s="8">
        <v>180.27600000000001</v>
      </c>
      <c r="S989" s="8">
        <v>133.571</v>
      </c>
      <c r="T989" s="8">
        <v>105.328</v>
      </c>
      <c r="U989" s="8">
        <v>82.594999999999999</v>
      </c>
      <c r="V989" s="8">
        <v>59.064999999999998</v>
      </c>
      <c r="W989" s="8">
        <v>38.737000000000002</v>
      </c>
      <c r="X989" s="8">
        <v>22.664999999999999</v>
      </c>
      <c r="Y989" s="8">
        <v>9.8510000000000009</v>
      </c>
      <c r="Z989" s="8">
        <v>2.5710000000000002</v>
      </c>
      <c r="AA989" s="8">
        <v>0.34</v>
      </c>
      <c r="AB989" s="8">
        <v>2.1999999999999999E-2</v>
      </c>
      <c r="AC989" s="8">
        <v>1E-3</v>
      </c>
    </row>
    <row r="990" spans="1:29" ht="11.65" x14ac:dyDescent="0.35">
      <c r="A990" s="12">
        <v>973</v>
      </c>
      <c r="B990" s="10" t="s">
        <v>1015</v>
      </c>
      <c r="C990" s="11" t="s">
        <v>1089</v>
      </c>
      <c r="D990" s="9"/>
      <c r="E990" s="9">
        <v>854</v>
      </c>
      <c r="F990" s="10" t="s">
        <v>1066</v>
      </c>
      <c r="G990" s="9">
        <v>914</v>
      </c>
      <c r="H990" s="9">
        <v>2010</v>
      </c>
      <c r="I990" s="8">
        <v>1444.625</v>
      </c>
      <c r="J990" s="8">
        <v>1206.5160000000001</v>
      </c>
      <c r="K990" s="8">
        <v>1017.457</v>
      </c>
      <c r="L990" s="8">
        <v>858.87099999999998</v>
      </c>
      <c r="M990" s="8">
        <v>718.86400000000003</v>
      </c>
      <c r="N990" s="8">
        <v>599.56200000000001</v>
      </c>
      <c r="O990" s="8">
        <v>478.99099999999999</v>
      </c>
      <c r="P990" s="8">
        <v>368.65199999999999</v>
      </c>
      <c r="Q990" s="8">
        <v>291.82400000000001</v>
      </c>
      <c r="R990" s="8">
        <v>222.27500000000001</v>
      </c>
      <c r="S990" s="8">
        <v>167.155</v>
      </c>
      <c r="T990" s="8">
        <v>121.172</v>
      </c>
      <c r="U990" s="8">
        <v>92.19</v>
      </c>
      <c r="V990" s="8">
        <v>68.111999999999995</v>
      </c>
      <c r="W990" s="8">
        <v>43.883000000000003</v>
      </c>
      <c r="X990" s="8">
        <v>23.878</v>
      </c>
      <c r="Y990" s="8">
        <v>10.302</v>
      </c>
      <c r="Z990" s="8">
        <v>2.8610000000000002</v>
      </c>
      <c r="AA990" s="8">
        <v>0.40400000000000003</v>
      </c>
      <c r="AB990" s="8">
        <v>2.5000000000000001E-2</v>
      </c>
      <c r="AC990" s="8">
        <v>0</v>
      </c>
    </row>
    <row r="991" spans="1:29" ht="11.65" x14ac:dyDescent="0.35">
      <c r="A991" s="12">
        <v>974</v>
      </c>
      <c r="B991" s="10" t="s">
        <v>1015</v>
      </c>
      <c r="C991" s="11" t="s">
        <v>1089</v>
      </c>
      <c r="D991" s="9"/>
      <c r="E991" s="9">
        <v>854</v>
      </c>
      <c r="F991" s="10" t="s">
        <v>1066</v>
      </c>
      <c r="G991" s="9">
        <v>914</v>
      </c>
      <c r="H991" s="9">
        <v>2015</v>
      </c>
      <c r="I991" s="8">
        <v>1607.7380000000001</v>
      </c>
      <c r="J991" s="8">
        <v>1400.7940000000001</v>
      </c>
      <c r="K991" s="8">
        <v>1191.6120000000001</v>
      </c>
      <c r="L991" s="8">
        <v>1001.684</v>
      </c>
      <c r="M991" s="8">
        <v>832.09199999999998</v>
      </c>
      <c r="N991" s="8">
        <v>688.55799999999999</v>
      </c>
      <c r="O991" s="8">
        <v>573.25800000000004</v>
      </c>
      <c r="P991" s="8">
        <v>457.46100000000001</v>
      </c>
      <c r="Q991" s="8">
        <v>350.92899999999997</v>
      </c>
      <c r="R991" s="8">
        <v>276.06400000000002</v>
      </c>
      <c r="S991" s="8">
        <v>207.72300000000001</v>
      </c>
      <c r="T991" s="8">
        <v>152.96</v>
      </c>
      <c r="U991" s="8">
        <v>107.038</v>
      </c>
      <c r="V991" s="8">
        <v>76.933000000000007</v>
      </c>
      <c r="W991" s="8">
        <v>51.463000000000001</v>
      </c>
      <c r="X991" s="8">
        <v>27.681999999999999</v>
      </c>
      <c r="Y991" s="8">
        <v>11.183</v>
      </c>
      <c r="Z991" s="8">
        <v>3.101</v>
      </c>
      <c r="AA991" s="8">
        <v>0.46800000000000003</v>
      </c>
      <c r="AB991" s="8">
        <v>3.1E-2</v>
      </c>
      <c r="AC991" s="8">
        <v>0</v>
      </c>
    </row>
    <row r="992" spans="1:29" ht="11.65" x14ac:dyDescent="0.35">
      <c r="A992" s="12">
        <v>975</v>
      </c>
      <c r="B992" s="10" t="s">
        <v>1015</v>
      </c>
      <c r="C992" s="11" t="s">
        <v>1089</v>
      </c>
      <c r="D992" s="9"/>
      <c r="E992" s="9">
        <v>854</v>
      </c>
      <c r="F992" s="10" t="s">
        <v>1066</v>
      </c>
      <c r="G992" s="9">
        <v>914</v>
      </c>
      <c r="H992" s="9">
        <v>2020</v>
      </c>
      <c r="I992" s="8">
        <v>1766.88</v>
      </c>
      <c r="J992" s="8">
        <v>1566.931</v>
      </c>
      <c r="K992" s="8">
        <v>1386.191</v>
      </c>
      <c r="L992" s="8">
        <v>1175.924</v>
      </c>
      <c r="M992" s="8">
        <v>974.97</v>
      </c>
      <c r="N992" s="8">
        <v>801.87099999999998</v>
      </c>
      <c r="O992" s="8">
        <v>662.31299999999999</v>
      </c>
      <c r="P992" s="8">
        <v>551.15499999999997</v>
      </c>
      <c r="Q992" s="8">
        <v>438.59500000000003</v>
      </c>
      <c r="R992" s="8">
        <v>334.12400000000002</v>
      </c>
      <c r="S992" s="8">
        <v>259.75099999999998</v>
      </c>
      <c r="T992" s="8">
        <v>191.387</v>
      </c>
      <c r="U992" s="8">
        <v>136.09399999999999</v>
      </c>
      <c r="V992" s="8">
        <v>89.965999999999994</v>
      </c>
      <c r="W992" s="8">
        <v>58.59</v>
      </c>
      <c r="X992" s="8">
        <v>32.840000000000003</v>
      </c>
      <c r="Y992" s="8">
        <v>13.145</v>
      </c>
      <c r="Z992" s="8">
        <v>3.43</v>
      </c>
      <c r="AA992" s="8">
        <v>0.51700000000000002</v>
      </c>
      <c r="AB992" s="8">
        <v>3.9E-2</v>
      </c>
      <c r="AC992" s="8">
        <v>0</v>
      </c>
    </row>
    <row r="993" spans="1:29" ht="11.65" x14ac:dyDescent="0.35">
      <c r="A993" s="12">
        <v>976</v>
      </c>
      <c r="B993" s="10" t="s">
        <v>1015</v>
      </c>
      <c r="C993" s="11" t="s">
        <v>1090</v>
      </c>
      <c r="D993" s="9"/>
      <c r="E993" s="9">
        <v>132</v>
      </c>
      <c r="F993" s="10" t="s">
        <v>1066</v>
      </c>
      <c r="G993" s="9">
        <v>914</v>
      </c>
      <c r="H993" s="9">
        <v>1950</v>
      </c>
      <c r="I993" s="8">
        <v>9.609</v>
      </c>
      <c r="J993" s="8">
        <v>8.3010000000000002</v>
      </c>
      <c r="K993" s="8">
        <v>10.544</v>
      </c>
      <c r="L993" s="8">
        <v>9.8010000000000002</v>
      </c>
      <c r="M993" s="8">
        <v>7.8609999999999998</v>
      </c>
      <c r="N993" s="8">
        <v>4.7</v>
      </c>
      <c r="O993" s="8">
        <v>4.8390000000000004</v>
      </c>
      <c r="P993" s="8">
        <v>5.6159999999999997</v>
      </c>
      <c r="Q993" s="8">
        <v>6.44</v>
      </c>
      <c r="R993" s="8">
        <v>3.9</v>
      </c>
      <c r="S993" s="8">
        <v>2.9460000000000002</v>
      </c>
      <c r="T993" s="8">
        <v>1.778</v>
      </c>
      <c r="U993" s="8">
        <v>2.1880000000000002</v>
      </c>
      <c r="V993" s="8">
        <v>2.0710000000000002</v>
      </c>
      <c r="W993" s="8">
        <v>1.593</v>
      </c>
      <c r="X993" s="8">
        <v>1.1419999999999999</v>
      </c>
      <c r="Y993" s="8">
        <v>0.45500000000000002</v>
      </c>
      <c r="Z993" s="8">
        <v>0.157</v>
      </c>
      <c r="AA993" s="8">
        <v>3.5999999999999997E-2</v>
      </c>
      <c r="AB993" s="8">
        <v>5.0000000000000001E-3</v>
      </c>
      <c r="AC993" s="8">
        <v>0</v>
      </c>
    </row>
    <row r="994" spans="1:29" ht="11.65" x14ac:dyDescent="0.35">
      <c r="A994" s="12">
        <v>977</v>
      </c>
      <c r="B994" s="10" t="s">
        <v>1015</v>
      </c>
      <c r="C994" s="11" t="s">
        <v>1090</v>
      </c>
      <c r="D994" s="9"/>
      <c r="E994" s="9">
        <v>132</v>
      </c>
      <c r="F994" s="10" t="s">
        <v>1066</v>
      </c>
      <c r="G994" s="9">
        <v>914</v>
      </c>
      <c r="H994" s="9">
        <v>1955</v>
      </c>
      <c r="I994" s="8">
        <v>19.34</v>
      </c>
      <c r="J994" s="8">
        <v>8.8569999999999993</v>
      </c>
      <c r="K994" s="8">
        <v>7.7350000000000003</v>
      </c>
      <c r="L994" s="8">
        <v>9.6449999999999996</v>
      </c>
      <c r="M994" s="8">
        <v>8.6310000000000002</v>
      </c>
      <c r="N994" s="8">
        <v>6.8310000000000004</v>
      </c>
      <c r="O994" s="8">
        <v>4.2080000000000002</v>
      </c>
      <c r="P994" s="8">
        <v>4.6280000000000001</v>
      </c>
      <c r="Q994" s="8">
        <v>5.3220000000000001</v>
      </c>
      <c r="R994" s="8">
        <v>6.0259999999999998</v>
      </c>
      <c r="S994" s="8">
        <v>3.581</v>
      </c>
      <c r="T994" s="8">
        <v>2.6320000000000001</v>
      </c>
      <c r="U994" s="8">
        <v>1.5189999999999999</v>
      </c>
      <c r="V994" s="8">
        <v>1.744</v>
      </c>
      <c r="W994" s="8">
        <v>1.4810000000000001</v>
      </c>
      <c r="X994" s="8">
        <v>0.96699999999999997</v>
      </c>
      <c r="Y994" s="8">
        <v>0.54400000000000004</v>
      </c>
      <c r="Z994" s="8">
        <v>0.156</v>
      </c>
      <c r="AA994" s="8">
        <v>3.5000000000000003E-2</v>
      </c>
      <c r="AB994" s="8">
        <v>5.0000000000000001E-3</v>
      </c>
      <c r="AC994" s="8">
        <v>0</v>
      </c>
    </row>
    <row r="995" spans="1:29" ht="11.65" x14ac:dyDescent="0.35">
      <c r="A995" s="12">
        <v>978</v>
      </c>
      <c r="B995" s="10" t="s">
        <v>1015</v>
      </c>
      <c r="C995" s="11" t="s">
        <v>1090</v>
      </c>
      <c r="D995" s="9"/>
      <c r="E995" s="9">
        <v>132</v>
      </c>
      <c r="F995" s="10" t="s">
        <v>1066</v>
      </c>
      <c r="G995" s="9">
        <v>914</v>
      </c>
      <c r="H995" s="9">
        <v>1960</v>
      </c>
      <c r="I995" s="8">
        <v>18.611999999999998</v>
      </c>
      <c r="J995" s="8">
        <v>15.877000000000001</v>
      </c>
      <c r="K995" s="8">
        <v>7.9589999999999996</v>
      </c>
      <c r="L995" s="8">
        <v>6.5910000000000002</v>
      </c>
      <c r="M995" s="8">
        <v>7.3920000000000003</v>
      </c>
      <c r="N995" s="8">
        <v>6.6230000000000002</v>
      </c>
      <c r="O995" s="8">
        <v>5.8479999999999999</v>
      </c>
      <c r="P995" s="8">
        <v>3.5419999999999998</v>
      </c>
      <c r="Q995" s="8">
        <v>3.907</v>
      </c>
      <c r="R995" s="8">
        <v>4.2539999999999996</v>
      </c>
      <c r="S995" s="8">
        <v>4.83</v>
      </c>
      <c r="T995" s="8">
        <v>2.9780000000000002</v>
      </c>
      <c r="U995" s="8">
        <v>2.25</v>
      </c>
      <c r="V995" s="8">
        <v>1.212</v>
      </c>
      <c r="W995" s="8">
        <v>1.248</v>
      </c>
      <c r="X995" s="8">
        <v>0.89900000000000002</v>
      </c>
      <c r="Y995" s="8">
        <v>0.46100000000000002</v>
      </c>
      <c r="Z995" s="8">
        <v>0.187</v>
      </c>
      <c r="AA995" s="8">
        <v>3.6999999999999998E-2</v>
      </c>
      <c r="AB995" s="8">
        <v>5.0000000000000001E-3</v>
      </c>
      <c r="AC995" s="8">
        <v>0</v>
      </c>
    </row>
    <row r="996" spans="1:29" ht="11.65" x14ac:dyDescent="0.35">
      <c r="A996" s="12">
        <v>979</v>
      </c>
      <c r="B996" s="10" t="s">
        <v>1015</v>
      </c>
      <c r="C996" s="11" t="s">
        <v>1090</v>
      </c>
      <c r="D996" s="9"/>
      <c r="E996" s="9">
        <v>132</v>
      </c>
      <c r="F996" s="10" t="s">
        <v>1066</v>
      </c>
      <c r="G996" s="9">
        <v>914</v>
      </c>
      <c r="H996" s="9">
        <v>1965</v>
      </c>
      <c r="I996" s="8">
        <v>21.881</v>
      </c>
      <c r="J996" s="8">
        <v>17.437000000000001</v>
      </c>
      <c r="K996" s="8">
        <v>15.305</v>
      </c>
      <c r="L996" s="8">
        <v>7.7560000000000002</v>
      </c>
      <c r="M996" s="8">
        <v>6.2889999999999997</v>
      </c>
      <c r="N996" s="8">
        <v>6.9980000000000002</v>
      </c>
      <c r="O996" s="8">
        <v>6.2670000000000003</v>
      </c>
      <c r="P996" s="8">
        <v>5.5250000000000004</v>
      </c>
      <c r="Q996" s="8">
        <v>3.3130000000000002</v>
      </c>
      <c r="R996" s="8">
        <v>3.633</v>
      </c>
      <c r="S996" s="8">
        <v>3.8940000000000001</v>
      </c>
      <c r="T996" s="8">
        <v>4.3129999999999997</v>
      </c>
      <c r="U996" s="8">
        <v>2.544</v>
      </c>
      <c r="V996" s="8">
        <v>1.7929999999999999</v>
      </c>
      <c r="W996" s="8">
        <v>0.86699999999999999</v>
      </c>
      <c r="X996" s="8">
        <v>0.75700000000000001</v>
      </c>
      <c r="Y996" s="8">
        <v>0.43</v>
      </c>
      <c r="Z996" s="8">
        <v>0.159</v>
      </c>
      <c r="AA996" s="8">
        <v>4.2999999999999997E-2</v>
      </c>
      <c r="AB996" s="8">
        <v>5.0000000000000001E-3</v>
      </c>
      <c r="AC996" s="8">
        <v>0</v>
      </c>
    </row>
    <row r="997" spans="1:29" ht="11.65" x14ac:dyDescent="0.35">
      <c r="A997" s="12">
        <v>980</v>
      </c>
      <c r="B997" s="10" t="s">
        <v>1015</v>
      </c>
      <c r="C997" s="11" t="s">
        <v>1090</v>
      </c>
      <c r="D997" s="9"/>
      <c r="E997" s="9">
        <v>132</v>
      </c>
      <c r="F997" s="10" t="s">
        <v>1066</v>
      </c>
      <c r="G997" s="9">
        <v>914</v>
      </c>
      <c r="H997" s="9">
        <v>1970</v>
      </c>
      <c r="I997" s="8">
        <v>24.63</v>
      </c>
      <c r="J997" s="8">
        <v>22.111999999999998</v>
      </c>
      <c r="K997" s="8">
        <v>17.382999999999999</v>
      </c>
      <c r="L997" s="8">
        <v>14.987</v>
      </c>
      <c r="M997" s="8">
        <v>7.2619999999999996</v>
      </c>
      <c r="N997" s="8">
        <v>5.7690000000000001</v>
      </c>
      <c r="O997" s="8">
        <v>6.625</v>
      </c>
      <c r="P997" s="8">
        <v>5.9340000000000002</v>
      </c>
      <c r="Q997" s="8">
        <v>5.2130000000000001</v>
      </c>
      <c r="R997" s="8">
        <v>3.0819999999999999</v>
      </c>
      <c r="S997" s="8">
        <v>3.3380000000000001</v>
      </c>
      <c r="T997" s="8">
        <v>3.4940000000000002</v>
      </c>
      <c r="U997" s="8">
        <v>3.7120000000000002</v>
      </c>
      <c r="V997" s="8">
        <v>2.0430000000000001</v>
      </c>
      <c r="W997" s="8">
        <v>1.2949999999999999</v>
      </c>
      <c r="X997" s="8">
        <v>0.53</v>
      </c>
      <c r="Y997" s="8">
        <v>0.36699999999999999</v>
      </c>
      <c r="Z997" s="8">
        <v>0.15</v>
      </c>
      <c r="AA997" s="8">
        <v>3.6999999999999998E-2</v>
      </c>
      <c r="AB997" s="8">
        <v>6.0000000000000001E-3</v>
      </c>
      <c r="AC997" s="8">
        <v>0</v>
      </c>
    </row>
    <row r="998" spans="1:29" ht="11.65" x14ac:dyDescent="0.35">
      <c r="A998" s="12">
        <v>981</v>
      </c>
      <c r="B998" s="10" t="s">
        <v>1015</v>
      </c>
      <c r="C998" s="11" t="s">
        <v>1090</v>
      </c>
      <c r="D998" s="9"/>
      <c r="E998" s="9">
        <v>132</v>
      </c>
      <c r="F998" s="10" t="s">
        <v>1066</v>
      </c>
      <c r="G998" s="9">
        <v>914</v>
      </c>
      <c r="H998" s="9">
        <v>1975</v>
      </c>
      <c r="I998" s="8">
        <v>23.234999999999999</v>
      </c>
      <c r="J998" s="8">
        <v>21.638000000000002</v>
      </c>
      <c r="K998" s="8">
        <v>19.47</v>
      </c>
      <c r="L998" s="8">
        <v>13.41</v>
      </c>
      <c r="M998" s="8">
        <v>11.465999999999999</v>
      </c>
      <c r="N998" s="8">
        <v>5.1669999999999998</v>
      </c>
      <c r="O998" s="8">
        <v>4.0289999999999999</v>
      </c>
      <c r="P998" s="8">
        <v>5.31</v>
      </c>
      <c r="Q998" s="8">
        <v>4.9800000000000004</v>
      </c>
      <c r="R998" s="8">
        <v>4.49</v>
      </c>
      <c r="S998" s="8">
        <v>2.5830000000000002</v>
      </c>
      <c r="T998" s="8">
        <v>2.847</v>
      </c>
      <c r="U998" s="8">
        <v>2.9239999999999999</v>
      </c>
      <c r="V998" s="8">
        <v>2.9449999999999998</v>
      </c>
      <c r="W998" s="8">
        <v>1.4530000000000001</v>
      </c>
      <c r="X998" s="8">
        <v>0.78</v>
      </c>
      <c r="Y998" s="8">
        <v>0.248</v>
      </c>
      <c r="Z998" s="8">
        <v>0.126</v>
      </c>
      <c r="AA998" s="8">
        <v>3.5000000000000003E-2</v>
      </c>
      <c r="AB998" s="8">
        <v>5.0000000000000001E-3</v>
      </c>
      <c r="AC998" s="8">
        <v>0</v>
      </c>
    </row>
    <row r="999" spans="1:29" ht="11.65" x14ac:dyDescent="0.35">
      <c r="A999" s="12">
        <v>982</v>
      </c>
      <c r="B999" s="10" t="s">
        <v>1015</v>
      </c>
      <c r="C999" s="11" t="s">
        <v>1090</v>
      </c>
      <c r="D999" s="9"/>
      <c r="E999" s="9">
        <v>132</v>
      </c>
      <c r="F999" s="10" t="s">
        <v>1066</v>
      </c>
      <c r="G999" s="9">
        <v>914</v>
      </c>
      <c r="H999" s="9">
        <v>1980</v>
      </c>
      <c r="I999" s="8">
        <v>24.806999999999999</v>
      </c>
      <c r="J999" s="8">
        <v>21.419</v>
      </c>
      <c r="K999" s="8">
        <v>21.306999999999999</v>
      </c>
      <c r="L999" s="8">
        <v>18.414999999999999</v>
      </c>
      <c r="M999" s="8">
        <v>8.9689999999999994</v>
      </c>
      <c r="N999" s="8">
        <v>6.8920000000000003</v>
      </c>
      <c r="O999" s="8">
        <v>3.4750000000000001</v>
      </c>
      <c r="P999" s="8">
        <v>2.8210000000000002</v>
      </c>
      <c r="Q999" s="8">
        <v>4.4249999999999998</v>
      </c>
      <c r="R999" s="8">
        <v>4.3170000000000002</v>
      </c>
      <c r="S999" s="8">
        <v>3.9460000000000002</v>
      </c>
      <c r="T999" s="8">
        <v>2.1909999999999998</v>
      </c>
      <c r="U999" s="8">
        <v>2.3980000000000001</v>
      </c>
      <c r="V999" s="8">
        <v>2.347</v>
      </c>
      <c r="W999" s="8">
        <v>2.1589999999999998</v>
      </c>
      <c r="X999" s="8">
        <v>0.90400000000000003</v>
      </c>
      <c r="Y999" s="8">
        <v>0.38100000000000001</v>
      </c>
      <c r="Z999" s="8">
        <v>8.6999999999999994E-2</v>
      </c>
      <c r="AA999" s="8">
        <v>3.2000000000000001E-2</v>
      </c>
      <c r="AB999" s="8">
        <v>5.0000000000000001E-3</v>
      </c>
      <c r="AC999" s="8">
        <v>0</v>
      </c>
    </row>
    <row r="1000" spans="1:29" ht="11.65" x14ac:dyDescent="0.35">
      <c r="A1000" s="12">
        <v>983</v>
      </c>
      <c r="B1000" s="10" t="s">
        <v>1015</v>
      </c>
      <c r="C1000" s="11" t="s">
        <v>1090</v>
      </c>
      <c r="D1000" s="9"/>
      <c r="E1000" s="9">
        <v>132</v>
      </c>
      <c r="F1000" s="10" t="s">
        <v>1066</v>
      </c>
      <c r="G1000" s="9">
        <v>914</v>
      </c>
      <c r="H1000" s="9">
        <v>1985</v>
      </c>
      <c r="I1000" s="8">
        <v>28.488</v>
      </c>
      <c r="J1000" s="8">
        <v>22.626999999999999</v>
      </c>
      <c r="K1000" s="8">
        <v>19.648</v>
      </c>
      <c r="L1000" s="8">
        <v>19.353999999999999</v>
      </c>
      <c r="M1000" s="8">
        <v>15.936999999999999</v>
      </c>
      <c r="N1000" s="8">
        <v>7.1289999999999996</v>
      </c>
      <c r="O1000" s="8">
        <v>6.2460000000000004</v>
      </c>
      <c r="P1000" s="8">
        <v>3.2509999999999999</v>
      </c>
      <c r="Q1000" s="8">
        <v>2.6429999999999998</v>
      </c>
      <c r="R1000" s="8">
        <v>4.2370000000000001</v>
      </c>
      <c r="S1000" s="8">
        <v>4.1829999999999998</v>
      </c>
      <c r="T1000" s="8">
        <v>3.8730000000000002</v>
      </c>
      <c r="U1000" s="8">
        <v>2.214</v>
      </c>
      <c r="V1000" s="8">
        <v>2.194</v>
      </c>
      <c r="W1000" s="8">
        <v>1.8440000000000001</v>
      </c>
      <c r="X1000" s="8">
        <v>1.3959999999999999</v>
      </c>
      <c r="Y1000" s="8">
        <v>0.46500000000000002</v>
      </c>
      <c r="Z1000" s="8">
        <v>0.14099999999999999</v>
      </c>
      <c r="AA1000" s="8">
        <v>2.1999999999999999E-2</v>
      </c>
      <c r="AB1000" s="8">
        <v>5.0000000000000001E-3</v>
      </c>
      <c r="AC1000" s="8">
        <v>0</v>
      </c>
    </row>
    <row r="1001" spans="1:29" ht="11.65" x14ac:dyDescent="0.35">
      <c r="A1001" s="12">
        <v>984</v>
      </c>
      <c r="B1001" s="10" t="s">
        <v>1015</v>
      </c>
      <c r="C1001" s="11" t="s">
        <v>1090</v>
      </c>
      <c r="D1001" s="9"/>
      <c r="E1001" s="9">
        <v>132</v>
      </c>
      <c r="F1001" s="10" t="s">
        <v>1066</v>
      </c>
      <c r="G1001" s="9">
        <v>914</v>
      </c>
      <c r="H1001" s="9">
        <v>1990</v>
      </c>
      <c r="I1001" s="8">
        <v>31.544</v>
      </c>
      <c r="J1001" s="8">
        <v>26.085999999999999</v>
      </c>
      <c r="K1001" s="8">
        <v>20.931000000000001</v>
      </c>
      <c r="L1001" s="8">
        <v>18.567</v>
      </c>
      <c r="M1001" s="8">
        <v>15.105</v>
      </c>
      <c r="N1001" s="8">
        <v>11.926</v>
      </c>
      <c r="O1001" s="8">
        <v>6.71</v>
      </c>
      <c r="P1001" s="8">
        <v>5.9059999999999997</v>
      </c>
      <c r="Q1001" s="8">
        <v>3.0649999999999999</v>
      </c>
      <c r="R1001" s="8">
        <v>2.4540000000000002</v>
      </c>
      <c r="S1001" s="8">
        <v>4.0309999999999997</v>
      </c>
      <c r="T1001" s="8">
        <v>3.996</v>
      </c>
      <c r="U1001" s="8">
        <v>3.6789999999999998</v>
      </c>
      <c r="V1001" s="8">
        <v>2.12</v>
      </c>
      <c r="W1001" s="8">
        <v>1.859</v>
      </c>
      <c r="X1001" s="8">
        <v>1.2709999999999999</v>
      </c>
      <c r="Y1001" s="8">
        <v>0.72899999999999998</v>
      </c>
      <c r="Z1001" s="8">
        <v>0.17499999999999999</v>
      </c>
      <c r="AA1001" s="8">
        <v>3.4000000000000002E-2</v>
      </c>
      <c r="AB1001" s="8">
        <v>3.0000000000000001E-3</v>
      </c>
      <c r="AC1001" s="8">
        <v>0</v>
      </c>
    </row>
    <row r="1002" spans="1:29" ht="11.65" x14ac:dyDescent="0.35">
      <c r="A1002" s="12">
        <v>985</v>
      </c>
      <c r="B1002" s="10" t="s">
        <v>1015</v>
      </c>
      <c r="C1002" s="11" t="s">
        <v>1090</v>
      </c>
      <c r="D1002" s="9"/>
      <c r="E1002" s="9">
        <v>132</v>
      </c>
      <c r="F1002" s="10" t="s">
        <v>1066</v>
      </c>
      <c r="G1002" s="9">
        <v>914</v>
      </c>
      <c r="H1002" s="9">
        <v>1995</v>
      </c>
      <c r="I1002" s="8">
        <v>32.576000000000001</v>
      </c>
      <c r="J1002" s="8">
        <v>30.635999999999999</v>
      </c>
      <c r="K1002" s="8">
        <v>25.803999999999998</v>
      </c>
      <c r="L1002" s="8">
        <v>20.030999999999999</v>
      </c>
      <c r="M1002" s="8">
        <v>17.114000000000001</v>
      </c>
      <c r="N1002" s="8">
        <v>14.285</v>
      </c>
      <c r="O1002" s="8">
        <v>11.483000000000001</v>
      </c>
      <c r="P1002" s="8">
        <v>6.585</v>
      </c>
      <c r="Q1002" s="8">
        <v>6.181</v>
      </c>
      <c r="R1002" s="8">
        <v>3.1059999999999999</v>
      </c>
      <c r="S1002" s="8">
        <v>2.347</v>
      </c>
      <c r="T1002" s="8">
        <v>3.9329999999999998</v>
      </c>
      <c r="U1002" s="8">
        <v>3.8980000000000001</v>
      </c>
      <c r="V1002" s="8">
        <v>3.3959999999999999</v>
      </c>
      <c r="W1002" s="8">
        <v>1.833</v>
      </c>
      <c r="X1002" s="8">
        <v>1.288</v>
      </c>
      <c r="Y1002" s="8">
        <v>0.67400000000000004</v>
      </c>
      <c r="Z1002" s="8">
        <v>0.28100000000000003</v>
      </c>
      <c r="AA1002" s="8">
        <v>4.4999999999999998E-2</v>
      </c>
      <c r="AB1002" s="8">
        <v>5.0000000000000001E-3</v>
      </c>
      <c r="AC1002" s="8">
        <v>0</v>
      </c>
    </row>
    <row r="1003" spans="1:29" ht="11.65" x14ac:dyDescent="0.35">
      <c r="A1003" s="12">
        <v>986</v>
      </c>
      <c r="B1003" s="10" t="s">
        <v>1015</v>
      </c>
      <c r="C1003" s="11" t="s">
        <v>1090</v>
      </c>
      <c r="D1003" s="9"/>
      <c r="E1003" s="9">
        <v>132</v>
      </c>
      <c r="F1003" s="10" t="s">
        <v>1066</v>
      </c>
      <c r="G1003" s="9">
        <v>914</v>
      </c>
      <c r="H1003" s="9">
        <v>2000</v>
      </c>
      <c r="I1003" s="8">
        <v>29.669</v>
      </c>
      <c r="J1003" s="8">
        <v>32.484000000000002</v>
      </c>
      <c r="K1003" s="8">
        <v>30.742000000000001</v>
      </c>
      <c r="L1003" s="8">
        <v>25.361000000000001</v>
      </c>
      <c r="M1003" s="8">
        <v>18.271000000000001</v>
      </c>
      <c r="N1003" s="8">
        <v>14.996</v>
      </c>
      <c r="O1003" s="8">
        <v>12.961</v>
      </c>
      <c r="P1003" s="8">
        <v>11.06</v>
      </c>
      <c r="Q1003" s="8">
        <v>6.4409999999999998</v>
      </c>
      <c r="R1003" s="8">
        <v>5.6539999999999999</v>
      </c>
      <c r="S1003" s="8">
        <v>3.0209999999999999</v>
      </c>
      <c r="T1003" s="8">
        <v>2.399</v>
      </c>
      <c r="U1003" s="8">
        <v>3.8860000000000001</v>
      </c>
      <c r="V1003" s="8">
        <v>3.6960000000000002</v>
      </c>
      <c r="W1003" s="8">
        <v>2.8849999999999998</v>
      </c>
      <c r="X1003" s="8">
        <v>1.4039999999999999</v>
      </c>
      <c r="Y1003" s="8">
        <v>0.73599999999999999</v>
      </c>
      <c r="Z1003" s="8">
        <v>0.26400000000000001</v>
      </c>
      <c r="AA1003" s="8">
        <v>7.2999999999999995E-2</v>
      </c>
      <c r="AB1003" s="8">
        <v>6.0000000000000001E-3</v>
      </c>
      <c r="AC1003" s="8">
        <v>0</v>
      </c>
    </row>
    <row r="1004" spans="1:29" ht="11.65" x14ac:dyDescent="0.35">
      <c r="A1004" s="12">
        <v>987</v>
      </c>
      <c r="B1004" s="10" t="s">
        <v>1015</v>
      </c>
      <c r="C1004" s="11" t="s">
        <v>1090</v>
      </c>
      <c r="D1004" s="9"/>
      <c r="E1004" s="9">
        <v>132</v>
      </c>
      <c r="F1004" s="10" t="s">
        <v>1066</v>
      </c>
      <c r="G1004" s="9">
        <v>914</v>
      </c>
      <c r="H1004" s="9">
        <v>2005</v>
      </c>
      <c r="I1004" s="8">
        <v>27.765999999999998</v>
      </c>
      <c r="J1004" s="8">
        <v>28.309000000000001</v>
      </c>
      <c r="K1004" s="8">
        <v>31.824000000000002</v>
      </c>
      <c r="L1004" s="8">
        <v>30.251000000000001</v>
      </c>
      <c r="M1004" s="8">
        <v>24.491</v>
      </c>
      <c r="N1004" s="8">
        <v>17.507000000000001</v>
      </c>
      <c r="O1004" s="8">
        <v>14.395</v>
      </c>
      <c r="P1004" s="8">
        <v>12.510999999999999</v>
      </c>
      <c r="Q1004" s="8">
        <v>10.545</v>
      </c>
      <c r="R1004" s="8">
        <v>6.12</v>
      </c>
      <c r="S1004" s="8">
        <v>5.44</v>
      </c>
      <c r="T1004" s="8">
        <v>2.8519999999999999</v>
      </c>
      <c r="U1004" s="8">
        <v>2.4700000000000002</v>
      </c>
      <c r="V1004" s="8">
        <v>3.89</v>
      </c>
      <c r="W1004" s="8">
        <v>3.5539999999999998</v>
      </c>
      <c r="X1004" s="8">
        <v>2.202</v>
      </c>
      <c r="Y1004" s="8">
        <v>0.77400000000000002</v>
      </c>
      <c r="Z1004" s="8">
        <v>0.30099999999999999</v>
      </c>
      <c r="AA1004" s="8">
        <v>7.2999999999999995E-2</v>
      </c>
      <c r="AB1004" s="8">
        <v>1.2E-2</v>
      </c>
      <c r="AC1004" s="8">
        <v>1E-3</v>
      </c>
    </row>
    <row r="1005" spans="1:29" ht="11.65" x14ac:dyDescent="0.35">
      <c r="A1005" s="12">
        <v>988</v>
      </c>
      <c r="B1005" s="10" t="s">
        <v>1015</v>
      </c>
      <c r="C1005" s="11" t="s">
        <v>1090</v>
      </c>
      <c r="D1005" s="9"/>
      <c r="E1005" s="9">
        <v>132</v>
      </c>
      <c r="F1005" s="10" t="s">
        <v>1066</v>
      </c>
      <c r="G1005" s="9">
        <v>914</v>
      </c>
      <c r="H1005" s="9">
        <v>2010</v>
      </c>
      <c r="I1005" s="8">
        <v>26.222999999999999</v>
      </c>
      <c r="J1005" s="8">
        <v>26.292000000000002</v>
      </c>
      <c r="K1005" s="8">
        <v>27.407</v>
      </c>
      <c r="L1005" s="8">
        <v>29.696999999999999</v>
      </c>
      <c r="M1005" s="8">
        <v>27.501999999999999</v>
      </c>
      <c r="N1005" s="8">
        <v>23.175000000000001</v>
      </c>
      <c r="O1005" s="8">
        <v>18.803000000000001</v>
      </c>
      <c r="P1005" s="8">
        <v>16.667999999999999</v>
      </c>
      <c r="Q1005" s="8">
        <v>13.75</v>
      </c>
      <c r="R1005" s="8">
        <v>11.44</v>
      </c>
      <c r="S1005" s="8">
        <v>7.4589999999999996</v>
      </c>
      <c r="T1005" s="8">
        <v>5.4359999999999999</v>
      </c>
      <c r="U1005" s="8">
        <v>2.298</v>
      </c>
      <c r="V1005" s="8">
        <v>2.3860000000000001</v>
      </c>
      <c r="W1005" s="8">
        <v>3.2730000000000001</v>
      </c>
      <c r="X1005" s="8">
        <v>2.5819999999999999</v>
      </c>
      <c r="Y1005" s="8">
        <v>1.2589999999999999</v>
      </c>
      <c r="Z1005" s="8">
        <v>0.32100000000000001</v>
      </c>
      <c r="AA1005" s="8">
        <v>8.2000000000000003E-2</v>
      </c>
      <c r="AB1005" s="8">
        <v>1.2E-2</v>
      </c>
      <c r="AC1005" s="8">
        <v>1E-3</v>
      </c>
    </row>
    <row r="1006" spans="1:29" ht="11.65" x14ac:dyDescent="0.35">
      <c r="A1006" s="12">
        <v>989</v>
      </c>
      <c r="B1006" s="10" t="s">
        <v>1015</v>
      </c>
      <c r="C1006" s="11" t="s">
        <v>1090</v>
      </c>
      <c r="D1006" s="9"/>
      <c r="E1006" s="9">
        <v>132</v>
      </c>
      <c r="F1006" s="10" t="s">
        <v>1066</v>
      </c>
      <c r="G1006" s="9">
        <v>914</v>
      </c>
      <c r="H1006" s="9">
        <v>2015</v>
      </c>
      <c r="I1006" s="8">
        <v>27.222999999999999</v>
      </c>
      <c r="J1006" s="8">
        <v>25.945</v>
      </c>
      <c r="K1006" s="8">
        <v>26.108000000000001</v>
      </c>
      <c r="L1006" s="8">
        <v>25.859000000000002</v>
      </c>
      <c r="M1006" s="8">
        <v>27.26</v>
      </c>
      <c r="N1006" s="8">
        <v>27.14</v>
      </c>
      <c r="O1006" s="8">
        <v>24.062999999999999</v>
      </c>
      <c r="P1006" s="8">
        <v>19.045000000000002</v>
      </c>
      <c r="Q1006" s="8">
        <v>15.885999999999999</v>
      </c>
      <c r="R1006" s="8">
        <v>12.816000000000001</v>
      </c>
      <c r="S1006" s="8">
        <v>10.974</v>
      </c>
      <c r="T1006" s="8">
        <v>7.2889999999999997</v>
      </c>
      <c r="U1006" s="8">
        <v>5.1740000000000004</v>
      </c>
      <c r="V1006" s="8">
        <v>1.982</v>
      </c>
      <c r="W1006" s="8">
        <v>1.9319999999999999</v>
      </c>
      <c r="X1006" s="8">
        <v>2.2799999999999998</v>
      </c>
      <c r="Y1006" s="8">
        <v>1.4590000000000001</v>
      </c>
      <c r="Z1006" s="8">
        <v>0.53</v>
      </c>
      <c r="AA1006" s="8">
        <v>0.09</v>
      </c>
      <c r="AB1006" s="8">
        <v>1.4E-2</v>
      </c>
      <c r="AC1006" s="8">
        <v>1E-3</v>
      </c>
    </row>
    <row r="1007" spans="1:29" ht="11.65" x14ac:dyDescent="0.35">
      <c r="A1007" s="12">
        <v>990</v>
      </c>
      <c r="B1007" s="10" t="s">
        <v>1015</v>
      </c>
      <c r="C1007" s="11" t="s">
        <v>1090</v>
      </c>
      <c r="D1007" s="9"/>
      <c r="E1007" s="9">
        <v>132</v>
      </c>
      <c r="F1007" s="10" t="s">
        <v>1066</v>
      </c>
      <c r="G1007" s="9">
        <v>914</v>
      </c>
      <c r="H1007" s="9">
        <v>2020</v>
      </c>
      <c r="I1007" s="8">
        <v>26.315000000000001</v>
      </c>
      <c r="J1007" s="8">
        <v>26.956</v>
      </c>
      <c r="K1007" s="8">
        <v>25.763000000000002</v>
      </c>
      <c r="L1007" s="8">
        <v>24.506</v>
      </c>
      <c r="M1007" s="8">
        <v>23.375</v>
      </c>
      <c r="N1007" s="8">
        <v>26.677</v>
      </c>
      <c r="O1007" s="8">
        <v>27.733000000000001</v>
      </c>
      <c r="P1007" s="8">
        <v>24.183</v>
      </c>
      <c r="Q1007" s="8">
        <v>18.882999999999999</v>
      </c>
      <c r="R1007" s="8">
        <v>15.621</v>
      </c>
      <c r="S1007" s="8">
        <v>12.452</v>
      </c>
      <c r="T1007" s="8">
        <v>10.432</v>
      </c>
      <c r="U1007" s="8">
        <v>6.6790000000000003</v>
      </c>
      <c r="V1007" s="8">
        <v>4.4809999999999999</v>
      </c>
      <c r="W1007" s="8">
        <v>1.5820000000000001</v>
      </c>
      <c r="X1007" s="8">
        <v>1.3580000000000001</v>
      </c>
      <c r="Y1007" s="8">
        <v>1.319</v>
      </c>
      <c r="Z1007" s="8">
        <v>0.63200000000000001</v>
      </c>
      <c r="AA1007" s="8">
        <v>0.154</v>
      </c>
      <c r="AB1007" s="8">
        <v>1.4999999999999999E-2</v>
      </c>
      <c r="AC1007" s="8">
        <v>1E-3</v>
      </c>
    </row>
    <row r="1008" spans="1:29" ht="11.65" x14ac:dyDescent="0.35">
      <c r="A1008" s="12">
        <v>991</v>
      </c>
      <c r="B1008" s="10" t="s">
        <v>1015</v>
      </c>
      <c r="C1008" s="11" t="s">
        <v>588</v>
      </c>
      <c r="D1008" s="9"/>
      <c r="E1008" s="9">
        <v>384</v>
      </c>
      <c r="F1008" s="10" t="s">
        <v>1066</v>
      </c>
      <c r="G1008" s="9">
        <v>914</v>
      </c>
      <c r="H1008" s="9">
        <v>1950</v>
      </c>
      <c r="I1008" s="8">
        <v>231.30500000000001</v>
      </c>
      <c r="J1008" s="8">
        <v>185.04400000000001</v>
      </c>
      <c r="K1008" s="8">
        <v>162.01</v>
      </c>
      <c r="L1008" s="8">
        <v>141.68600000000001</v>
      </c>
      <c r="M1008" s="8">
        <v>122.136</v>
      </c>
      <c r="N1008" s="8">
        <v>104.136</v>
      </c>
      <c r="O1008" s="8">
        <v>88.165999999999997</v>
      </c>
      <c r="P1008" s="8">
        <v>73.554000000000002</v>
      </c>
      <c r="Q1008" s="8">
        <v>60.682000000000002</v>
      </c>
      <c r="R1008" s="8">
        <v>48.970999999999997</v>
      </c>
      <c r="S1008" s="8">
        <v>38.518000000000001</v>
      </c>
      <c r="T1008" s="8">
        <v>29.228000000000002</v>
      </c>
      <c r="U1008" s="8">
        <v>20.808</v>
      </c>
      <c r="V1008" s="8">
        <v>13.646000000000001</v>
      </c>
      <c r="W1008" s="8">
        <v>7.8390000000000004</v>
      </c>
      <c r="X1008" s="8">
        <v>3.7749999999999999</v>
      </c>
      <c r="Y1008" s="8">
        <v>1.1240000000000001</v>
      </c>
      <c r="Z1008" s="8">
        <v>0.41399999999999998</v>
      </c>
      <c r="AA1008" s="8">
        <v>9.2999999999999999E-2</v>
      </c>
      <c r="AB1008" s="8">
        <v>1.2E-2</v>
      </c>
      <c r="AC1008" s="8">
        <v>1E-3</v>
      </c>
    </row>
    <row r="1009" spans="1:29" ht="11.65" x14ac:dyDescent="0.35">
      <c r="A1009" s="12">
        <v>992</v>
      </c>
      <c r="B1009" s="10" t="s">
        <v>1015</v>
      </c>
      <c r="C1009" s="11" t="s">
        <v>588</v>
      </c>
      <c r="D1009" s="9"/>
      <c r="E1009" s="9">
        <v>384</v>
      </c>
      <c r="F1009" s="10" t="s">
        <v>1066</v>
      </c>
      <c r="G1009" s="9">
        <v>914</v>
      </c>
      <c r="H1009" s="9">
        <v>1955</v>
      </c>
      <c r="I1009" s="8">
        <v>285.80200000000002</v>
      </c>
      <c r="J1009" s="8">
        <v>187.69399999999999</v>
      </c>
      <c r="K1009" s="8">
        <v>172.70400000000001</v>
      </c>
      <c r="L1009" s="8">
        <v>159.404</v>
      </c>
      <c r="M1009" s="8">
        <v>142.68899999999999</v>
      </c>
      <c r="N1009" s="8">
        <v>122.786</v>
      </c>
      <c r="O1009" s="8">
        <v>103.858</v>
      </c>
      <c r="P1009" s="8">
        <v>86.703999999999994</v>
      </c>
      <c r="Q1009" s="8">
        <v>71.116</v>
      </c>
      <c r="R1009" s="8">
        <v>57.709000000000003</v>
      </c>
      <c r="S1009" s="8">
        <v>45.777000000000001</v>
      </c>
      <c r="T1009" s="8">
        <v>35.24</v>
      </c>
      <c r="U1009" s="8">
        <v>25.893999999999998</v>
      </c>
      <c r="V1009" s="8">
        <v>17.484999999999999</v>
      </c>
      <c r="W1009" s="8">
        <v>10.526999999999999</v>
      </c>
      <c r="X1009" s="8">
        <v>5.2839999999999998</v>
      </c>
      <c r="Y1009" s="8">
        <v>2.08</v>
      </c>
      <c r="Z1009" s="8">
        <v>0.46300000000000002</v>
      </c>
      <c r="AA1009" s="8">
        <v>0.108</v>
      </c>
      <c r="AB1009" s="8">
        <v>1.2E-2</v>
      </c>
      <c r="AC1009" s="8">
        <v>1E-3</v>
      </c>
    </row>
    <row r="1010" spans="1:29" ht="11.65" x14ac:dyDescent="0.35">
      <c r="A1010" s="12">
        <v>993</v>
      </c>
      <c r="B1010" s="10" t="s">
        <v>1015</v>
      </c>
      <c r="C1010" s="11" t="s">
        <v>588</v>
      </c>
      <c r="D1010" s="9"/>
      <c r="E1010" s="9">
        <v>384</v>
      </c>
      <c r="F1010" s="10" t="s">
        <v>1066</v>
      </c>
      <c r="G1010" s="9">
        <v>914</v>
      </c>
      <c r="H1010" s="9">
        <v>1960</v>
      </c>
      <c r="I1010" s="8">
        <v>338.38099999999997</v>
      </c>
      <c r="J1010" s="8">
        <v>241.84200000000001</v>
      </c>
      <c r="K1010" s="8">
        <v>178.13</v>
      </c>
      <c r="L1010" s="8">
        <v>173.02799999999999</v>
      </c>
      <c r="M1010" s="8">
        <v>164.50399999999999</v>
      </c>
      <c r="N1010" s="8">
        <v>146.87299999999999</v>
      </c>
      <c r="O1010" s="8">
        <v>124.95099999999999</v>
      </c>
      <c r="P1010" s="8">
        <v>103.876</v>
      </c>
      <c r="Q1010" s="8">
        <v>85.027000000000001</v>
      </c>
      <c r="R1010" s="8">
        <v>68.454999999999998</v>
      </c>
      <c r="S1010" s="8">
        <v>54.457000000000001</v>
      </c>
      <c r="T1010" s="8">
        <v>42.177999999999997</v>
      </c>
      <c r="U1010" s="8">
        <v>31.37</v>
      </c>
      <c r="V1010" s="8">
        <v>21.792000000000002</v>
      </c>
      <c r="W1010" s="8">
        <v>13.456</v>
      </c>
      <c r="X1010" s="8">
        <v>7.03</v>
      </c>
      <c r="Y1010" s="8">
        <v>2.851</v>
      </c>
      <c r="Z1010" s="8">
        <v>0.8</v>
      </c>
      <c r="AA1010" s="8">
        <v>0.11700000000000001</v>
      </c>
      <c r="AB1010" s="8">
        <v>1.2E-2</v>
      </c>
      <c r="AC1010" s="8">
        <v>1E-3</v>
      </c>
    </row>
    <row r="1011" spans="1:29" ht="11.65" x14ac:dyDescent="0.35">
      <c r="A1011" s="12">
        <v>994</v>
      </c>
      <c r="B1011" s="10" t="s">
        <v>1015</v>
      </c>
      <c r="C1011" s="11" t="s">
        <v>588</v>
      </c>
      <c r="D1011" s="9"/>
      <c r="E1011" s="9">
        <v>384</v>
      </c>
      <c r="F1011" s="10" t="s">
        <v>1066</v>
      </c>
      <c r="G1011" s="9">
        <v>914</v>
      </c>
      <c r="H1011" s="9">
        <v>1965</v>
      </c>
      <c r="I1011" s="8">
        <v>405.26400000000001</v>
      </c>
      <c r="J1011" s="8">
        <v>298.37299999999999</v>
      </c>
      <c r="K1011" s="8">
        <v>233.154</v>
      </c>
      <c r="L1011" s="8">
        <v>186.34800000000001</v>
      </c>
      <c r="M1011" s="8">
        <v>191.31800000000001</v>
      </c>
      <c r="N1011" s="8">
        <v>180.81200000000001</v>
      </c>
      <c r="O1011" s="8">
        <v>157.74199999999999</v>
      </c>
      <c r="P1011" s="8">
        <v>130.65199999999999</v>
      </c>
      <c r="Q1011" s="8">
        <v>105.712</v>
      </c>
      <c r="R1011" s="8">
        <v>84.408000000000001</v>
      </c>
      <c r="S1011" s="8">
        <v>66.262</v>
      </c>
      <c r="T1011" s="8">
        <v>51.216000000000001</v>
      </c>
      <c r="U1011" s="8">
        <v>38.165999999999997</v>
      </c>
      <c r="V1011" s="8">
        <v>26.725999999999999</v>
      </c>
      <c r="W1011" s="8">
        <v>16.904</v>
      </c>
      <c r="X1011" s="8">
        <v>9.0169999999999995</v>
      </c>
      <c r="Y1011" s="8">
        <v>3.7850000000000001</v>
      </c>
      <c r="Z1011" s="8">
        <v>1.08</v>
      </c>
      <c r="AA1011" s="8">
        <v>0.192</v>
      </c>
      <c r="AB1011" s="8">
        <v>1.0999999999999999E-2</v>
      </c>
      <c r="AC1011" s="8">
        <v>1E-3</v>
      </c>
    </row>
    <row r="1012" spans="1:29" ht="11.65" x14ac:dyDescent="0.35">
      <c r="A1012" s="12">
        <v>995</v>
      </c>
      <c r="B1012" s="10" t="s">
        <v>1015</v>
      </c>
      <c r="C1012" s="11" t="s">
        <v>588</v>
      </c>
      <c r="D1012" s="9"/>
      <c r="E1012" s="9">
        <v>384</v>
      </c>
      <c r="F1012" s="10" t="s">
        <v>1066</v>
      </c>
      <c r="G1012" s="9">
        <v>914</v>
      </c>
      <c r="H1012" s="9">
        <v>1970</v>
      </c>
      <c r="I1012" s="8">
        <v>491.53300000000002</v>
      </c>
      <c r="J1012" s="8">
        <v>367.315</v>
      </c>
      <c r="K1012" s="8">
        <v>289.63200000000001</v>
      </c>
      <c r="L1012" s="8">
        <v>240.67400000000001</v>
      </c>
      <c r="M1012" s="8">
        <v>204.96</v>
      </c>
      <c r="N1012" s="8">
        <v>207.20400000000001</v>
      </c>
      <c r="O1012" s="8">
        <v>190.578</v>
      </c>
      <c r="P1012" s="8">
        <v>161.99</v>
      </c>
      <c r="Q1012" s="8">
        <v>131.005</v>
      </c>
      <c r="R1012" s="8">
        <v>103.703</v>
      </c>
      <c r="S1012" s="8">
        <v>80.858999999999995</v>
      </c>
      <c r="T1012" s="8">
        <v>61.737000000000002</v>
      </c>
      <c r="U1012" s="8">
        <v>45.892000000000003</v>
      </c>
      <c r="V1012" s="8">
        <v>32.128</v>
      </c>
      <c r="W1012" s="8">
        <v>20.388000000000002</v>
      </c>
      <c r="X1012" s="8">
        <v>11.03</v>
      </c>
      <c r="Y1012" s="8">
        <v>4.6319999999999997</v>
      </c>
      <c r="Z1012" s="8">
        <v>1.3220000000000001</v>
      </c>
      <c r="AA1012" s="8">
        <v>0.224</v>
      </c>
      <c r="AB1012" s="8">
        <v>1.4999999999999999E-2</v>
      </c>
      <c r="AC1012" s="8">
        <v>1E-3</v>
      </c>
    </row>
    <row r="1013" spans="1:29" ht="11.65" x14ac:dyDescent="0.35">
      <c r="A1013" s="12">
        <v>996</v>
      </c>
      <c r="B1013" s="10" t="s">
        <v>1015</v>
      </c>
      <c r="C1013" s="11" t="s">
        <v>588</v>
      </c>
      <c r="D1013" s="9"/>
      <c r="E1013" s="9">
        <v>384</v>
      </c>
      <c r="F1013" s="10" t="s">
        <v>1066</v>
      </c>
      <c r="G1013" s="9">
        <v>914</v>
      </c>
      <c r="H1013" s="9">
        <v>1975</v>
      </c>
      <c r="I1013" s="8">
        <v>618.84500000000003</v>
      </c>
      <c r="J1013" s="8">
        <v>456.77699999999999</v>
      </c>
      <c r="K1013" s="8">
        <v>361.01</v>
      </c>
      <c r="L1013" s="8">
        <v>310.459</v>
      </c>
      <c r="M1013" s="8">
        <v>283.15600000000001</v>
      </c>
      <c r="N1013" s="8">
        <v>245.24799999999999</v>
      </c>
      <c r="O1013" s="8">
        <v>235.071</v>
      </c>
      <c r="P1013" s="8">
        <v>206.88800000000001</v>
      </c>
      <c r="Q1013" s="8">
        <v>170.00800000000001</v>
      </c>
      <c r="R1013" s="8">
        <v>133.76900000000001</v>
      </c>
      <c r="S1013" s="8">
        <v>102.97</v>
      </c>
      <c r="T1013" s="8">
        <v>77.828000000000003</v>
      </c>
      <c r="U1013" s="8">
        <v>57.045000000000002</v>
      </c>
      <c r="V1013" s="8">
        <v>39.793999999999997</v>
      </c>
      <c r="W1013" s="8">
        <v>25.263999999999999</v>
      </c>
      <c r="X1013" s="8">
        <v>13.757</v>
      </c>
      <c r="Y1013" s="8">
        <v>5.9050000000000002</v>
      </c>
      <c r="Z1013" s="8">
        <v>1.7</v>
      </c>
      <c r="AA1013" s="8">
        <v>0.29799999999999999</v>
      </c>
      <c r="AB1013" s="8">
        <v>1.4999999999999999E-2</v>
      </c>
      <c r="AC1013" s="8">
        <v>1E-3</v>
      </c>
    </row>
    <row r="1014" spans="1:29" ht="11.65" x14ac:dyDescent="0.35">
      <c r="A1014" s="12">
        <v>997</v>
      </c>
      <c r="B1014" s="10" t="s">
        <v>1015</v>
      </c>
      <c r="C1014" s="11" t="s">
        <v>588</v>
      </c>
      <c r="D1014" s="9"/>
      <c r="E1014" s="9">
        <v>384</v>
      </c>
      <c r="F1014" s="10" t="s">
        <v>1066</v>
      </c>
      <c r="G1014" s="9">
        <v>914</v>
      </c>
      <c r="H1014" s="9">
        <v>1980</v>
      </c>
      <c r="I1014" s="8">
        <v>784.73800000000006</v>
      </c>
      <c r="J1014" s="8">
        <v>584.24199999999996</v>
      </c>
      <c r="K1014" s="8">
        <v>450.767</v>
      </c>
      <c r="L1014" s="8">
        <v>382.392</v>
      </c>
      <c r="M1014" s="8">
        <v>353.53300000000002</v>
      </c>
      <c r="N1014" s="8">
        <v>323.27199999999999</v>
      </c>
      <c r="O1014" s="8">
        <v>273.88400000000001</v>
      </c>
      <c r="P1014" s="8">
        <v>251.34299999999999</v>
      </c>
      <c r="Q1014" s="8">
        <v>214.184</v>
      </c>
      <c r="R1014" s="8">
        <v>171.66499999999999</v>
      </c>
      <c r="S1014" s="8">
        <v>131.74299999999999</v>
      </c>
      <c r="T1014" s="8">
        <v>98.569000000000003</v>
      </c>
      <c r="U1014" s="8">
        <v>71.668999999999997</v>
      </c>
      <c r="V1014" s="8">
        <v>49.37</v>
      </c>
      <c r="W1014" s="8">
        <v>31.238</v>
      </c>
      <c r="X1014" s="8">
        <v>16.972000000000001</v>
      </c>
      <c r="Y1014" s="8">
        <v>7.2549999999999999</v>
      </c>
      <c r="Z1014" s="8">
        <v>2.0910000000000002</v>
      </c>
      <c r="AA1014" s="8">
        <v>0.34899999999999998</v>
      </c>
      <c r="AB1014" s="8">
        <v>0.02</v>
      </c>
      <c r="AC1014" s="8">
        <v>1E-3</v>
      </c>
    </row>
    <row r="1015" spans="1:29" ht="11.65" x14ac:dyDescent="0.35">
      <c r="A1015" s="12">
        <v>998</v>
      </c>
      <c r="B1015" s="10" t="s">
        <v>1015</v>
      </c>
      <c r="C1015" s="11" t="s">
        <v>588</v>
      </c>
      <c r="D1015" s="9"/>
      <c r="E1015" s="9">
        <v>384</v>
      </c>
      <c r="F1015" s="10" t="s">
        <v>1066</v>
      </c>
      <c r="G1015" s="9">
        <v>914</v>
      </c>
      <c r="H1015" s="9">
        <v>1985</v>
      </c>
      <c r="I1015" s="8">
        <v>927.36400000000003</v>
      </c>
      <c r="J1015" s="8">
        <v>747.25300000000004</v>
      </c>
      <c r="K1015" s="8">
        <v>577.65599999999995</v>
      </c>
      <c r="L1015" s="8">
        <v>473.27300000000002</v>
      </c>
      <c r="M1015" s="8">
        <v>427.79399999999998</v>
      </c>
      <c r="N1015" s="8">
        <v>395.52800000000002</v>
      </c>
      <c r="O1015" s="8">
        <v>352.45600000000002</v>
      </c>
      <c r="P1015" s="8">
        <v>291.07</v>
      </c>
      <c r="Q1015" s="8">
        <v>258.43900000000002</v>
      </c>
      <c r="R1015" s="8">
        <v>214.803</v>
      </c>
      <c r="S1015" s="8">
        <v>168.06299999999999</v>
      </c>
      <c r="T1015" s="8">
        <v>125.577</v>
      </c>
      <c r="U1015" s="8">
        <v>90.548000000000002</v>
      </c>
      <c r="V1015" s="8">
        <v>61.970999999999997</v>
      </c>
      <c r="W1015" s="8">
        <v>38.777999999999999</v>
      </c>
      <c r="X1015" s="8">
        <v>20.997</v>
      </c>
      <c r="Y1015" s="8">
        <v>8.9149999999999991</v>
      </c>
      <c r="Z1015" s="8">
        <v>2.5339999999999998</v>
      </c>
      <c r="AA1015" s="8">
        <v>0.41199999999999998</v>
      </c>
      <c r="AB1015" s="8">
        <v>2.1999999999999999E-2</v>
      </c>
      <c r="AC1015" s="8">
        <v>1E-3</v>
      </c>
    </row>
    <row r="1016" spans="1:29" ht="11.65" x14ac:dyDescent="0.35">
      <c r="A1016" s="12">
        <v>999</v>
      </c>
      <c r="B1016" s="10" t="s">
        <v>1015</v>
      </c>
      <c r="C1016" s="11" t="s">
        <v>588</v>
      </c>
      <c r="D1016" s="9"/>
      <c r="E1016" s="9">
        <v>384</v>
      </c>
      <c r="F1016" s="10" t="s">
        <v>1066</v>
      </c>
      <c r="G1016" s="9">
        <v>914</v>
      </c>
      <c r="H1016" s="9">
        <v>1990</v>
      </c>
      <c r="I1016" s="8">
        <v>1069.7840000000001</v>
      </c>
      <c r="J1016" s="8">
        <v>885.90499999999997</v>
      </c>
      <c r="K1016" s="8">
        <v>738.40700000000004</v>
      </c>
      <c r="L1016" s="8">
        <v>591.72799999999995</v>
      </c>
      <c r="M1016" s="8">
        <v>503.96199999999999</v>
      </c>
      <c r="N1016" s="8">
        <v>455.41300000000001</v>
      </c>
      <c r="O1016" s="8">
        <v>413.05799999999999</v>
      </c>
      <c r="P1016" s="8">
        <v>360.15300000000002</v>
      </c>
      <c r="Q1016" s="8">
        <v>291.96800000000002</v>
      </c>
      <c r="R1016" s="8">
        <v>253.81100000000001</v>
      </c>
      <c r="S1016" s="8">
        <v>206.50800000000001</v>
      </c>
      <c r="T1016" s="8">
        <v>157.70699999999999</v>
      </c>
      <c r="U1016" s="8">
        <v>113.85599999999999</v>
      </c>
      <c r="V1016" s="8">
        <v>77.474999999999994</v>
      </c>
      <c r="W1016" s="8">
        <v>48.253</v>
      </c>
      <c r="X1016" s="8">
        <v>25.853000000000002</v>
      </c>
      <c r="Y1016" s="8">
        <v>10.867000000000001</v>
      </c>
      <c r="Z1016" s="8">
        <v>3.0270000000000001</v>
      </c>
      <c r="AA1016" s="8">
        <v>0.46500000000000002</v>
      </c>
      <c r="AB1016" s="8">
        <v>2.5000000000000001E-2</v>
      </c>
      <c r="AC1016" s="8">
        <v>1E-3</v>
      </c>
    </row>
    <row r="1017" spans="1:29" ht="11.65" x14ac:dyDescent="0.35">
      <c r="A1017" s="12">
        <v>1000</v>
      </c>
      <c r="B1017" s="10" t="s">
        <v>1015</v>
      </c>
      <c r="C1017" s="11" t="s">
        <v>588</v>
      </c>
      <c r="D1017" s="9"/>
      <c r="E1017" s="9">
        <v>384</v>
      </c>
      <c r="F1017" s="10" t="s">
        <v>1066</v>
      </c>
      <c r="G1017" s="9">
        <v>914</v>
      </c>
      <c r="H1017" s="9">
        <v>1995</v>
      </c>
      <c r="I1017" s="8">
        <v>1233.348</v>
      </c>
      <c r="J1017" s="8">
        <v>1024.0129999999999</v>
      </c>
      <c r="K1017" s="8">
        <v>876.04899999999998</v>
      </c>
      <c r="L1017" s="8">
        <v>754.46199999999999</v>
      </c>
      <c r="M1017" s="8">
        <v>627.44200000000001</v>
      </c>
      <c r="N1017" s="8">
        <v>536.12599999999998</v>
      </c>
      <c r="O1017" s="8">
        <v>475.05</v>
      </c>
      <c r="P1017" s="8">
        <v>419.91800000000001</v>
      </c>
      <c r="Q1017" s="8">
        <v>357.65600000000001</v>
      </c>
      <c r="R1017" s="8">
        <v>284.63</v>
      </c>
      <c r="S1017" s="8">
        <v>241.739</v>
      </c>
      <c r="T1017" s="8">
        <v>191.77699999999999</v>
      </c>
      <c r="U1017" s="8">
        <v>141.38399999999999</v>
      </c>
      <c r="V1017" s="8">
        <v>96.301000000000002</v>
      </c>
      <c r="W1017" s="8">
        <v>59.591000000000001</v>
      </c>
      <c r="X1017" s="8">
        <v>31.765000000000001</v>
      </c>
      <c r="Y1017" s="8">
        <v>13.188000000000001</v>
      </c>
      <c r="Z1017" s="8">
        <v>3.613</v>
      </c>
      <c r="AA1017" s="8">
        <v>0.54500000000000004</v>
      </c>
      <c r="AB1017" s="8">
        <v>3.2000000000000001E-2</v>
      </c>
      <c r="AC1017" s="8">
        <v>1E-3</v>
      </c>
    </row>
    <row r="1018" spans="1:29" ht="11.65" x14ac:dyDescent="0.35">
      <c r="A1018" s="12">
        <v>1001</v>
      </c>
      <c r="B1018" s="10" t="s">
        <v>1015</v>
      </c>
      <c r="C1018" s="11" t="s">
        <v>588</v>
      </c>
      <c r="D1018" s="9"/>
      <c r="E1018" s="9">
        <v>384</v>
      </c>
      <c r="F1018" s="10" t="s">
        <v>1066</v>
      </c>
      <c r="G1018" s="9">
        <v>914</v>
      </c>
      <c r="H1018" s="9">
        <v>2000</v>
      </c>
      <c r="I1018" s="8">
        <v>1412.626</v>
      </c>
      <c r="J1018" s="8">
        <v>1175.4760000000001</v>
      </c>
      <c r="K1018" s="8">
        <v>1007.999</v>
      </c>
      <c r="L1018" s="8">
        <v>875.21799999999996</v>
      </c>
      <c r="M1018" s="8">
        <v>760.41200000000003</v>
      </c>
      <c r="N1018" s="8">
        <v>629.70500000000004</v>
      </c>
      <c r="O1018" s="8">
        <v>531.16899999999998</v>
      </c>
      <c r="P1018" s="8">
        <v>461.66300000000001</v>
      </c>
      <c r="Q1018" s="8">
        <v>400.02300000000002</v>
      </c>
      <c r="R1018" s="8">
        <v>335.11</v>
      </c>
      <c r="S1018" s="8">
        <v>261.99299999999999</v>
      </c>
      <c r="T1018" s="8">
        <v>217.327</v>
      </c>
      <c r="U1018" s="8">
        <v>166.34100000000001</v>
      </c>
      <c r="V1018" s="8">
        <v>115.443</v>
      </c>
      <c r="W1018" s="8">
        <v>71.143000000000001</v>
      </c>
      <c r="X1018" s="8">
        <v>37.363</v>
      </c>
      <c r="Y1018" s="8">
        <v>15.167</v>
      </c>
      <c r="Z1018" s="8">
        <v>3.9870000000000001</v>
      </c>
      <c r="AA1018" s="8">
        <v>0.56100000000000005</v>
      </c>
      <c r="AB1018" s="8">
        <v>3.5999999999999997E-2</v>
      </c>
      <c r="AC1018" s="8">
        <v>2E-3</v>
      </c>
    </row>
    <row r="1019" spans="1:29" ht="11.65" x14ac:dyDescent="0.35">
      <c r="A1019" s="12">
        <v>1002</v>
      </c>
      <c r="B1019" s="10" t="s">
        <v>1015</v>
      </c>
      <c r="C1019" s="11" t="s">
        <v>588</v>
      </c>
      <c r="D1019" s="9"/>
      <c r="E1019" s="9">
        <v>384</v>
      </c>
      <c r="F1019" s="10" t="s">
        <v>1066</v>
      </c>
      <c r="G1019" s="9">
        <v>914</v>
      </c>
      <c r="H1019" s="9">
        <v>2005</v>
      </c>
      <c r="I1019" s="8">
        <v>1562.904</v>
      </c>
      <c r="J1019" s="8">
        <v>1343.335</v>
      </c>
      <c r="K1019" s="8">
        <v>1148.771</v>
      </c>
      <c r="L1019" s="8">
        <v>974.51900000000001</v>
      </c>
      <c r="M1019" s="8">
        <v>824.34400000000005</v>
      </c>
      <c r="N1019" s="8">
        <v>705.75199999999995</v>
      </c>
      <c r="O1019" s="8">
        <v>579.99900000000002</v>
      </c>
      <c r="P1019" s="8">
        <v>485.02199999999999</v>
      </c>
      <c r="Q1019" s="8">
        <v>417.48700000000002</v>
      </c>
      <c r="R1019" s="8">
        <v>358.57600000000002</v>
      </c>
      <c r="S1019" s="8">
        <v>296.36099999999999</v>
      </c>
      <c r="T1019" s="8">
        <v>226.86199999999999</v>
      </c>
      <c r="U1019" s="8">
        <v>181.60400000000001</v>
      </c>
      <c r="V1019" s="8">
        <v>130.31</v>
      </c>
      <c r="W1019" s="8">
        <v>81.064999999999998</v>
      </c>
      <c r="X1019" s="8">
        <v>41.68</v>
      </c>
      <c r="Y1019" s="8">
        <v>16.126999999999999</v>
      </c>
      <c r="Z1019" s="8">
        <v>3.9239999999999999</v>
      </c>
      <c r="AA1019" s="8">
        <v>0.46300000000000002</v>
      </c>
      <c r="AB1019" s="8">
        <v>3.3000000000000002E-2</v>
      </c>
      <c r="AC1019" s="8">
        <v>2E-3</v>
      </c>
    </row>
    <row r="1020" spans="1:29" ht="11.65" x14ac:dyDescent="0.35">
      <c r="A1020" s="12">
        <v>1003</v>
      </c>
      <c r="B1020" s="10" t="s">
        <v>1015</v>
      </c>
      <c r="C1020" s="11" t="s">
        <v>588</v>
      </c>
      <c r="D1020" s="9"/>
      <c r="E1020" s="9">
        <v>384</v>
      </c>
      <c r="F1020" s="10" t="s">
        <v>1066</v>
      </c>
      <c r="G1020" s="9">
        <v>914</v>
      </c>
      <c r="H1020" s="9">
        <v>2010</v>
      </c>
      <c r="I1020" s="8">
        <v>1676.826</v>
      </c>
      <c r="J1020" s="8">
        <v>1494.5540000000001</v>
      </c>
      <c r="K1020" s="8">
        <v>1313.126</v>
      </c>
      <c r="L1020" s="8">
        <v>1117.002</v>
      </c>
      <c r="M1020" s="8">
        <v>928.94899999999996</v>
      </c>
      <c r="N1020" s="8">
        <v>776.92100000000005</v>
      </c>
      <c r="O1020" s="8">
        <v>662.83</v>
      </c>
      <c r="P1020" s="8">
        <v>541.50699999999995</v>
      </c>
      <c r="Q1020" s="8">
        <v>449.16399999999999</v>
      </c>
      <c r="R1020" s="8">
        <v>383.005</v>
      </c>
      <c r="S1020" s="8">
        <v>323.78100000000001</v>
      </c>
      <c r="T1020" s="8">
        <v>261.33499999999998</v>
      </c>
      <c r="U1020" s="8">
        <v>192.36600000000001</v>
      </c>
      <c r="V1020" s="8">
        <v>143.71600000000001</v>
      </c>
      <c r="W1020" s="8">
        <v>91.945999999999998</v>
      </c>
      <c r="X1020" s="8">
        <v>47.283000000000001</v>
      </c>
      <c r="Y1020" s="8">
        <v>17.699000000000002</v>
      </c>
      <c r="Z1020" s="8">
        <v>4.0529999999999999</v>
      </c>
      <c r="AA1020" s="8">
        <v>0.42599999999999999</v>
      </c>
      <c r="AB1020" s="8">
        <v>2.3E-2</v>
      </c>
      <c r="AC1020" s="8">
        <v>2E-3</v>
      </c>
    </row>
    <row r="1021" spans="1:29" ht="11.65" x14ac:dyDescent="0.35">
      <c r="A1021" s="12">
        <v>1004</v>
      </c>
      <c r="B1021" s="10" t="s">
        <v>1015</v>
      </c>
      <c r="C1021" s="11" t="s">
        <v>588</v>
      </c>
      <c r="D1021" s="9"/>
      <c r="E1021" s="9">
        <v>384</v>
      </c>
      <c r="F1021" s="10" t="s">
        <v>1066</v>
      </c>
      <c r="G1021" s="9">
        <v>914</v>
      </c>
      <c r="H1021" s="9">
        <v>2015</v>
      </c>
      <c r="I1021" s="8">
        <v>1864.3030000000001</v>
      </c>
      <c r="J1021" s="8">
        <v>1623.3879999999999</v>
      </c>
      <c r="K1021" s="8">
        <v>1471.9880000000001</v>
      </c>
      <c r="L1021" s="8">
        <v>1290.902</v>
      </c>
      <c r="M1021" s="8">
        <v>1085.857</v>
      </c>
      <c r="N1021" s="8">
        <v>895.57299999999998</v>
      </c>
      <c r="O1021" s="8">
        <v>745.07899999999995</v>
      </c>
      <c r="P1021" s="8">
        <v>630.92499999999995</v>
      </c>
      <c r="Q1021" s="8">
        <v>510.40600000000001</v>
      </c>
      <c r="R1021" s="8">
        <v>418.81299999999999</v>
      </c>
      <c r="S1021" s="8">
        <v>351.28</v>
      </c>
      <c r="T1021" s="8">
        <v>290.14800000000002</v>
      </c>
      <c r="U1021" s="8">
        <v>225.68</v>
      </c>
      <c r="V1021" s="8">
        <v>155.63399999999999</v>
      </c>
      <c r="W1021" s="8">
        <v>104.485</v>
      </c>
      <c r="X1021" s="8">
        <v>56.003999999999998</v>
      </c>
      <c r="Y1021" s="8">
        <v>21.414000000000001</v>
      </c>
      <c r="Z1021" s="8">
        <v>4.9009999999999998</v>
      </c>
      <c r="AA1021" s="8">
        <v>0.51500000000000001</v>
      </c>
      <c r="AB1021" s="8">
        <v>2.3E-2</v>
      </c>
      <c r="AC1021" s="8">
        <v>1E-3</v>
      </c>
    </row>
    <row r="1022" spans="1:29" ht="11.65" x14ac:dyDescent="0.35">
      <c r="A1022" s="12">
        <v>1005</v>
      </c>
      <c r="B1022" s="10" t="s">
        <v>1015</v>
      </c>
      <c r="C1022" s="11" t="s">
        <v>588</v>
      </c>
      <c r="D1022" s="9"/>
      <c r="E1022" s="9">
        <v>384</v>
      </c>
      <c r="F1022" s="10" t="s">
        <v>1066</v>
      </c>
      <c r="G1022" s="9">
        <v>914</v>
      </c>
      <c r="H1022" s="9">
        <v>2020</v>
      </c>
      <c r="I1022" s="8">
        <v>2078.375</v>
      </c>
      <c r="J1022" s="8">
        <v>1818.1849999999999</v>
      </c>
      <c r="K1022" s="8">
        <v>1605.33</v>
      </c>
      <c r="L1022" s="8">
        <v>1453.498</v>
      </c>
      <c r="M1022" s="8">
        <v>1264.223</v>
      </c>
      <c r="N1022" s="8">
        <v>1056.579</v>
      </c>
      <c r="O1022" s="8">
        <v>867.101</v>
      </c>
      <c r="P1022" s="8">
        <v>716.08500000000004</v>
      </c>
      <c r="Q1022" s="8">
        <v>600.80200000000002</v>
      </c>
      <c r="R1022" s="8">
        <v>480.83699999999999</v>
      </c>
      <c r="S1022" s="8">
        <v>387.94099999999997</v>
      </c>
      <c r="T1022" s="8">
        <v>317.90100000000001</v>
      </c>
      <c r="U1022" s="8">
        <v>253.304</v>
      </c>
      <c r="V1022" s="8">
        <v>185.066</v>
      </c>
      <c r="W1022" s="8">
        <v>115.389</v>
      </c>
      <c r="X1022" s="8">
        <v>65.694999999999993</v>
      </c>
      <c r="Y1022" s="8">
        <v>26.774000000000001</v>
      </c>
      <c r="Z1022" s="8">
        <v>6.5279999999999996</v>
      </c>
      <c r="AA1022" s="8">
        <v>0.73299999999999998</v>
      </c>
      <c r="AB1022" s="8">
        <v>3.3000000000000002E-2</v>
      </c>
      <c r="AC1022" s="8">
        <v>1E-3</v>
      </c>
    </row>
    <row r="1023" spans="1:29" ht="11.65" x14ac:dyDescent="0.35">
      <c r="A1023" s="12">
        <v>1006</v>
      </c>
      <c r="B1023" s="10" t="s">
        <v>1015</v>
      </c>
      <c r="C1023" s="11" t="s">
        <v>1091</v>
      </c>
      <c r="D1023" s="9"/>
      <c r="E1023" s="9">
        <v>270</v>
      </c>
      <c r="F1023" s="10" t="s">
        <v>1066</v>
      </c>
      <c r="G1023" s="9">
        <v>914</v>
      </c>
      <c r="H1023" s="9">
        <v>1950</v>
      </c>
      <c r="I1023" s="8">
        <v>28.462</v>
      </c>
      <c r="J1023" s="8">
        <v>21.375</v>
      </c>
      <c r="K1023" s="8">
        <v>17.3</v>
      </c>
      <c r="L1023" s="8">
        <v>15.37</v>
      </c>
      <c r="M1023" s="8">
        <v>13.507999999999999</v>
      </c>
      <c r="N1023" s="8">
        <v>11.72</v>
      </c>
      <c r="O1023" s="8">
        <v>8.8670000000000009</v>
      </c>
      <c r="P1023" s="8">
        <v>7.61</v>
      </c>
      <c r="Q1023" s="8">
        <v>6.4340000000000002</v>
      </c>
      <c r="R1023" s="8">
        <v>5.3410000000000002</v>
      </c>
      <c r="S1023" s="8">
        <v>4.327</v>
      </c>
      <c r="T1023" s="8">
        <v>3.3820000000000001</v>
      </c>
      <c r="U1023" s="8">
        <v>2.4940000000000002</v>
      </c>
      <c r="V1023" s="8">
        <v>1.677</v>
      </c>
      <c r="W1023" s="8">
        <v>0.96199999999999997</v>
      </c>
      <c r="X1023" s="8">
        <v>0.42699999999999999</v>
      </c>
      <c r="Y1023" s="8">
        <v>0.13200000000000001</v>
      </c>
      <c r="Z1023" s="8">
        <v>1.7999999999999999E-2</v>
      </c>
      <c r="AA1023" s="8">
        <v>0</v>
      </c>
      <c r="AB1023" s="8">
        <v>0</v>
      </c>
      <c r="AC1023" s="8">
        <v>0</v>
      </c>
    </row>
    <row r="1024" spans="1:29" ht="11.65" x14ac:dyDescent="0.35">
      <c r="A1024" s="12">
        <v>1007</v>
      </c>
      <c r="B1024" s="10" t="s">
        <v>1015</v>
      </c>
      <c r="C1024" s="11" t="s">
        <v>1091</v>
      </c>
      <c r="D1024" s="9"/>
      <c r="E1024" s="9">
        <v>270</v>
      </c>
      <c r="F1024" s="10" t="s">
        <v>1066</v>
      </c>
      <c r="G1024" s="9">
        <v>914</v>
      </c>
      <c r="H1024" s="9">
        <v>1955</v>
      </c>
      <c r="I1024" s="8">
        <v>28.908000000000001</v>
      </c>
      <c r="J1024" s="8">
        <v>22.902000000000001</v>
      </c>
      <c r="K1024" s="8">
        <v>20.321000000000002</v>
      </c>
      <c r="L1024" s="8">
        <v>16.62</v>
      </c>
      <c r="M1024" s="8">
        <v>14.422000000000001</v>
      </c>
      <c r="N1024" s="8">
        <v>12.496</v>
      </c>
      <c r="O1024" s="8">
        <v>10.863</v>
      </c>
      <c r="P1024" s="8">
        <v>8.1940000000000008</v>
      </c>
      <c r="Q1024" s="8">
        <v>6.9459999999999997</v>
      </c>
      <c r="R1024" s="8">
        <v>5.78</v>
      </c>
      <c r="S1024" s="8">
        <v>4.6829999999999998</v>
      </c>
      <c r="T1024" s="8">
        <v>3.6480000000000001</v>
      </c>
      <c r="U1024" s="8">
        <v>2.6549999999999998</v>
      </c>
      <c r="V1024" s="8">
        <v>1.7370000000000001</v>
      </c>
      <c r="W1024" s="8">
        <v>0.96599999999999997</v>
      </c>
      <c r="X1024" s="8">
        <v>0.40400000000000003</v>
      </c>
      <c r="Y1024" s="8">
        <v>0.112</v>
      </c>
      <c r="Z1024" s="8">
        <v>1.7999999999999999E-2</v>
      </c>
      <c r="AA1024" s="8">
        <v>0</v>
      </c>
      <c r="AB1024" s="8">
        <v>0</v>
      </c>
      <c r="AC1024" s="8">
        <v>0</v>
      </c>
    </row>
    <row r="1025" spans="1:29" ht="11.65" x14ac:dyDescent="0.35">
      <c r="A1025" s="12">
        <v>1008</v>
      </c>
      <c r="B1025" s="10" t="s">
        <v>1015</v>
      </c>
      <c r="C1025" s="11" t="s">
        <v>1091</v>
      </c>
      <c r="D1025" s="9"/>
      <c r="E1025" s="9">
        <v>270</v>
      </c>
      <c r="F1025" s="10" t="s">
        <v>1066</v>
      </c>
      <c r="G1025" s="9">
        <v>914</v>
      </c>
      <c r="H1025" s="9">
        <v>1960</v>
      </c>
      <c r="I1025" s="8">
        <v>31.956</v>
      </c>
      <c r="J1025" s="8">
        <v>23.567</v>
      </c>
      <c r="K1025" s="8">
        <v>21.827999999999999</v>
      </c>
      <c r="L1025" s="8">
        <v>19.911999999999999</v>
      </c>
      <c r="M1025" s="8">
        <v>16.625</v>
      </c>
      <c r="N1025" s="8">
        <v>14.622</v>
      </c>
      <c r="O1025" s="8">
        <v>12.682</v>
      </c>
      <c r="P1025" s="8">
        <v>10.661</v>
      </c>
      <c r="Q1025" s="8">
        <v>7.742</v>
      </c>
      <c r="R1025" s="8">
        <v>6.42</v>
      </c>
      <c r="S1025" s="8">
        <v>5.1929999999999996</v>
      </c>
      <c r="T1025" s="8">
        <v>4.0380000000000003</v>
      </c>
      <c r="U1025" s="8">
        <v>2.931</v>
      </c>
      <c r="V1025" s="8">
        <v>1.9019999999999999</v>
      </c>
      <c r="W1025" s="8">
        <v>1.036</v>
      </c>
      <c r="X1025" s="8">
        <v>0.42299999999999999</v>
      </c>
      <c r="Y1025" s="8">
        <v>0.112</v>
      </c>
      <c r="Z1025" s="8">
        <v>1.7999999999999999E-2</v>
      </c>
      <c r="AA1025" s="8">
        <v>0</v>
      </c>
      <c r="AB1025" s="8">
        <v>0</v>
      </c>
      <c r="AC1025" s="8">
        <v>0</v>
      </c>
    </row>
    <row r="1026" spans="1:29" ht="11.65" x14ac:dyDescent="0.35">
      <c r="A1026" s="12">
        <v>1009</v>
      </c>
      <c r="B1026" s="10" t="s">
        <v>1015</v>
      </c>
      <c r="C1026" s="11" t="s">
        <v>1091</v>
      </c>
      <c r="D1026" s="9"/>
      <c r="E1026" s="9">
        <v>270</v>
      </c>
      <c r="F1026" s="10" t="s">
        <v>1066</v>
      </c>
      <c r="G1026" s="9">
        <v>914</v>
      </c>
      <c r="H1026" s="9">
        <v>1965</v>
      </c>
      <c r="I1026" s="8">
        <v>35.188000000000002</v>
      </c>
      <c r="J1026" s="8">
        <v>26.369</v>
      </c>
      <c r="K1026" s="8">
        <v>22.515000000000001</v>
      </c>
      <c r="L1026" s="8">
        <v>21.523</v>
      </c>
      <c r="M1026" s="8">
        <v>19.893000000000001</v>
      </c>
      <c r="N1026" s="8">
        <v>16.725000000000001</v>
      </c>
      <c r="O1026" s="8">
        <v>14.708</v>
      </c>
      <c r="P1026" s="8">
        <v>12.39</v>
      </c>
      <c r="Q1026" s="8">
        <v>10.044</v>
      </c>
      <c r="R1026" s="8">
        <v>7.1689999999999996</v>
      </c>
      <c r="S1026" s="8">
        <v>5.7869999999999999</v>
      </c>
      <c r="T1026" s="8">
        <v>4.4980000000000002</v>
      </c>
      <c r="U1026" s="8">
        <v>3.2669999999999999</v>
      </c>
      <c r="V1026" s="8">
        <v>2.1230000000000002</v>
      </c>
      <c r="W1026" s="8">
        <v>1.1559999999999999</v>
      </c>
      <c r="X1026" s="8">
        <v>0.46700000000000003</v>
      </c>
      <c r="Y1026" s="8">
        <v>0.121</v>
      </c>
      <c r="Z1026" s="8">
        <v>1.7999999999999999E-2</v>
      </c>
      <c r="AA1026" s="8">
        <v>0</v>
      </c>
      <c r="AB1026" s="8">
        <v>0</v>
      </c>
      <c r="AC1026" s="8">
        <v>0</v>
      </c>
    </row>
    <row r="1027" spans="1:29" ht="11.65" x14ac:dyDescent="0.35">
      <c r="A1027" s="12">
        <v>1010</v>
      </c>
      <c r="B1027" s="10" t="s">
        <v>1015</v>
      </c>
      <c r="C1027" s="11" t="s">
        <v>1091</v>
      </c>
      <c r="D1027" s="9"/>
      <c r="E1027" s="9">
        <v>270</v>
      </c>
      <c r="F1027" s="10" t="s">
        <v>1066</v>
      </c>
      <c r="G1027" s="9">
        <v>914</v>
      </c>
      <c r="H1027" s="9">
        <v>1970</v>
      </c>
      <c r="I1027" s="8">
        <v>41.582999999999998</v>
      </c>
      <c r="J1027" s="8">
        <v>30.56</v>
      </c>
      <c r="K1027" s="8">
        <v>25.527000000000001</v>
      </c>
      <c r="L1027" s="8">
        <v>22.44</v>
      </c>
      <c r="M1027" s="8">
        <v>22.140999999999998</v>
      </c>
      <c r="N1027" s="8">
        <v>20.332999999999998</v>
      </c>
      <c r="O1027" s="8">
        <v>16.747</v>
      </c>
      <c r="P1027" s="8">
        <v>14.342000000000001</v>
      </c>
      <c r="Q1027" s="8">
        <v>11.695</v>
      </c>
      <c r="R1027" s="8">
        <v>9.3079999999999998</v>
      </c>
      <c r="S1027" s="8">
        <v>6.4939999999999998</v>
      </c>
      <c r="T1027" s="8">
        <v>5.0460000000000003</v>
      </c>
      <c r="U1027" s="8">
        <v>3.6760000000000002</v>
      </c>
      <c r="V1027" s="8">
        <v>2.4049999999999998</v>
      </c>
      <c r="W1027" s="8">
        <v>1.3220000000000001</v>
      </c>
      <c r="X1027" s="8">
        <v>0.54300000000000004</v>
      </c>
      <c r="Y1027" s="8">
        <v>0.14299999999999999</v>
      </c>
      <c r="Z1027" s="8">
        <v>2.1000000000000001E-2</v>
      </c>
      <c r="AA1027" s="8">
        <v>2E-3</v>
      </c>
      <c r="AB1027" s="8">
        <v>0</v>
      </c>
      <c r="AC1027" s="8">
        <v>0</v>
      </c>
    </row>
    <row r="1028" spans="1:29" ht="11.65" x14ac:dyDescent="0.35">
      <c r="A1028" s="12">
        <v>1011</v>
      </c>
      <c r="B1028" s="10" t="s">
        <v>1015</v>
      </c>
      <c r="C1028" s="11" t="s">
        <v>1091</v>
      </c>
      <c r="D1028" s="9"/>
      <c r="E1028" s="9">
        <v>270</v>
      </c>
      <c r="F1028" s="10" t="s">
        <v>1066</v>
      </c>
      <c r="G1028" s="9">
        <v>914</v>
      </c>
      <c r="H1028" s="9">
        <v>1975</v>
      </c>
      <c r="I1028" s="8">
        <v>48.901000000000003</v>
      </c>
      <c r="J1028" s="8">
        <v>37.033000000000001</v>
      </c>
      <c r="K1028" s="8">
        <v>29.786000000000001</v>
      </c>
      <c r="L1028" s="8">
        <v>25.507000000000001</v>
      </c>
      <c r="M1028" s="8">
        <v>23.224</v>
      </c>
      <c r="N1028" s="8">
        <v>22.702000000000002</v>
      </c>
      <c r="O1028" s="8">
        <v>20.36</v>
      </c>
      <c r="P1028" s="8">
        <v>16.434000000000001</v>
      </c>
      <c r="Q1028" s="8">
        <v>13.673999999999999</v>
      </c>
      <c r="R1028" s="8">
        <v>10.971</v>
      </c>
      <c r="S1028" s="8">
        <v>8.5449999999999999</v>
      </c>
      <c r="T1028" s="8">
        <v>5.7709999999999999</v>
      </c>
      <c r="U1028" s="8">
        <v>4.2370000000000001</v>
      </c>
      <c r="V1028" s="8">
        <v>2.8170000000000002</v>
      </c>
      <c r="W1028" s="8">
        <v>1.5920000000000001</v>
      </c>
      <c r="X1028" s="8">
        <v>0.68200000000000005</v>
      </c>
      <c r="Y1028" s="8">
        <v>0.191</v>
      </c>
      <c r="Z1028" s="8">
        <v>0.03</v>
      </c>
      <c r="AA1028" s="8">
        <v>2E-3</v>
      </c>
      <c r="AB1028" s="8">
        <v>0</v>
      </c>
      <c r="AC1028" s="8">
        <v>0</v>
      </c>
    </row>
    <row r="1029" spans="1:29" ht="11.65" x14ac:dyDescent="0.35">
      <c r="A1029" s="12">
        <v>1012</v>
      </c>
      <c r="B1029" s="10" t="s">
        <v>1015</v>
      </c>
      <c r="C1029" s="11" t="s">
        <v>1091</v>
      </c>
      <c r="D1029" s="9"/>
      <c r="E1029" s="9">
        <v>270</v>
      </c>
      <c r="F1029" s="10" t="s">
        <v>1066</v>
      </c>
      <c r="G1029" s="9">
        <v>914</v>
      </c>
      <c r="H1029" s="9">
        <v>1980</v>
      </c>
      <c r="I1029" s="8">
        <v>59.11</v>
      </c>
      <c r="J1029" s="8">
        <v>43.878</v>
      </c>
      <c r="K1029" s="8">
        <v>36.036999999999999</v>
      </c>
      <c r="L1029" s="8">
        <v>30.248000000000001</v>
      </c>
      <c r="M1029" s="8">
        <v>27.494</v>
      </c>
      <c r="N1029" s="8">
        <v>24.428000000000001</v>
      </c>
      <c r="O1029" s="8">
        <v>22.527999999999999</v>
      </c>
      <c r="P1029" s="8">
        <v>19.972999999999999</v>
      </c>
      <c r="Q1029" s="8">
        <v>15.919</v>
      </c>
      <c r="R1029" s="8">
        <v>13.032</v>
      </c>
      <c r="S1029" s="8">
        <v>10.24</v>
      </c>
      <c r="T1029" s="8">
        <v>7.7309999999999999</v>
      </c>
      <c r="U1029" s="8">
        <v>4.9720000000000004</v>
      </c>
      <c r="V1029" s="8">
        <v>3.3650000000000002</v>
      </c>
      <c r="W1029" s="8">
        <v>1.964</v>
      </c>
      <c r="X1029" s="8">
        <v>0.89200000000000002</v>
      </c>
      <c r="Y1029" s="8">
        <v>0.27</v>
      </c>
      <c r="Z1029" s="8">
        <v>4.4999999999999998E-2</v>
      </c>
      <c r="AA1029" s="8">
        <v>4.0000000000000001E-3</v>
      </c>
      <c r="AB1029" s="8">
        <v>0</v>
      </c>
      <c r="AC1029" s="8">
        <v>0</v>
      </c>
    </row>
    <row r="1030" spans="1:29" ht="11.65" x14ac:dyDescent="0.35">
      <c r="A1030" s="12">
        <v>1013</v>
      </c>
      <c r="B1030" s="10" t="s">
        <v>1015</v>
      </c>
      <c r="C1030" s="11" t="s">
        <v>1091</v>
      </c>
      <c r="D1030" s="9"/>
      <c r="E1030" s="9">
        <v>270</v>
      </c>
      <c r="F1030" s="10" t="s">
        <v>1066</v>
      </c>
      <c r="G1030" s="9">
        <v>914</v>
      </c>
      <c r="H1030" s="9">
        <v>1985</v>
      </c>
      <c r="I1030" s="8">
        <v>69.944000000000003</v>
      </c>
      <c r="J1030" s="8">
        <v>54.134999999999998</v>
      </c>
      <c r="K1030" s="8">
        <v>42.954000000000001</v>
      </c>
      <c r="L1030" s="8">
        <v>36.517000000000003</v>
      </c>
      <c r="M1030" s="8">
        <v>32.276000000000003</v>
      </c>
      <c r="N1030" s="8">
        <v>28.609000000000002</v>
      </c>
      <c r="O1030" s="8">
        <v>24.116</v>
      </c>
      <c r="P1030" s="8">
        <v>22.027000000000001</v>
      </c>
      <c r="Q1030" s="8">
        <v>19.309999999999999</v>
      </c>
      <c r="R1030" s="8">
        <v>15.195</v>
      </c>
      <c r="S1030" s="8">
        <v>12.212999999999999</v>
      </c>
      <c r="T1030" s="8">
        <v>9.3330000000000002</v>
      </c>
      <c r="U1030" s="8">
        <v>6.734</v>
      </c>
      <c r="V1030" s="8">
        <v>4.03</v>
      </c>
      <c r="W1030" s="8">
        <v>2.42</v>
      </c>
      <c r="X1030" s="8">
        <v>1.145</v>
      </c>
      <c r="Y1030" s="8">
        <v>0.375</v>
      </c>
      <c r="Z1030" s="8">
        <v>6.9000000000000006E-2</v>
      </c>
      <c r="AA1030" s="8">
        <v>6.0000000000000001E-3</v>
      </c>
      <c r="AB1030" s="8">
        <v>0</v>
      </c>
      <c r="AC1030" s="8">
        <v>0</v>
      </c>
    </row>
    <row r="1031" spans="1:29" ht="11.65" x14ac:dyDescent="0.35">
      <c r="A1031" s="12">
        <v>1014</v>
      </c>
      <c r="B1031" s="10" t="s">
        <v>1015</v>
      </c>
      <c r="C1031" s="11" t="s">
        <v>1091</v>
      </c>
      <c r="D1031" s="9"/>
      <c r="E1031" s="9">
        <v>270</v>
      </c>
      <c r="F1031" s="10" t="s">
        <v>1066</v>
      </c>
      <c r="G1031" s="9">
        <v>914</v>
      </c>
      <c r="H1031" s="9">
        <v>1990</v>
      </c>
      <c r="I1031" s="8">
        <v>89.915000000000006</v>
      </c>
      <c r="J1031" s="8">
        <v>66.483000000000004</v>
      </c>
      <c r="K1031" s="8">
        <v>54.156999999999996</v>
      </c>
      <c r="L1031" s="8">
        <v>45.811999999999998</v>
      </c>
      <c r="M1031" s="8">
        <v>44.33</v>
      </c>
      <c r="N1031" s="8">
        <v>39.051000000000002</v>
      </c>
      <c r="O1031" s="8">
        <v>30.088999999999999</v>
      </c>
      <c r="P1031" s="8">
        <v>23.38</v>
      </c>
      <c r="Q1031" s="8">
        <v>21.161999999999999</v>
      </c>
      <c r="R1031" s="8">
        <v>18.364000000000001</v>
      </c>
      <c r="S1031" s="8">
        <v>14.223000000000001</v>
      </c>
      <c r="T1031" s="8">
        <v>11.148999999999999</v>
      </c>
      <c r="U1031" s="8">
        <v>8.173</v>
      </c>
      <c r="V1031" s="8">
        <v>5.5149999999999997</v>
      </c>
      <c r="W1031" s="8">
        <v>2.948</v>
      </c>
      <c r="X1031" s="8">
        <v>1.454</v>
      </c>
      <c r="Y1031" s="8">
        <v>0.504</v>
      </c>
      <c r="Z1031" s="8">
        <v>0.10199999999999999</v>
      </c>
      <c r="AA1031" s="8">
        <v>8.9999999999999993E-3</v>
      </c>
      <c r="AB1031" s="8">
        <v>0</v>
      </c>
      <c r="AC1031" s="8">
        <v>0</v>
      </c>
    </row>
    <row r="1032" spans="1:29" ht="11.65" x14ac:dyDescent="0.35">
      <c r="A1032" s="12">
        <v>1015</v>
      </c>
      <c r="B1032" s="10" t="s">
        <v>1015</v>
      </c>
      <c r="C1032" s="11" t="s">
        <v>1091</v>
      </c>
      <c r="D1032" s="9"/>
      <c r="E1032" s="9">
        <v>270</v>
      </c>
      <c r="F1032" s="10" t="s">
        <v>1066</v>
      </c>
      <c r="G1032" s="9">
        <v>914</v>
      </c>
      <c r="H1032" s="9">
        <v>1995</v>
      </c>
      <c r="I1032" s="8">
        <v>108.654</v>
      </c>
      <c r="J1032" s="8">
        <v>85.897999999999996</v>
      </c>
      <c r="K1032" s="8">
        <v>66.009</v>
      </c>
      <c r="L1032" s="8">
        <v>54.76</v>
      </c>
      <c r="M1032" s="8">
        <v>47.637999999999998</v>
      </c>
      <c r="N1032" s="8">
        <v>43.695</v>
      </c>
      <c r="O1032" s="8">
        <v>35.914000000000001</v>
      </c>
      <c r="P1032" s="8">
        <v>27.472999999999999</v>
      </c>
      <c r="Q1032" s="8">
        <v>21.641999999999999</v>
      </c>
      <c r="R1032" s="8">
        <v>19.709</v>
      </c>
      <c r="S1032" s="8">
        <v>16.896999999999998</v>
      </c>
      <c r="T1032" s="8">
        <v>12.999000000000001</v>
      </c>
      <c r="U1032" s="8">
        <v>9.7769999999999992</v>
      </c>
      <c r="V1032" s="8">
        <v>6.7069999999999999</v>
      </c>
      <c r="W1032" s="8">
        <v>4.0460000000000003</v>
      </c>
      <c r="X1032" s="8">
        <v>1.7789999999999999</v>
      </c>
      <c r="Y1032" s="8">
        <v>0.64200000000000002</v>
      </c>
      <c r="Z1032" s="8">
        <v>0.14000000000000001</v>
      </c>
      <c r="AA1032" s="8">
        <v>1.4999999999999999E-2</v>
      </c>
      <c r="AB1032" s="8">
        <v>0</v>
      </c>
      <c r="AC1032" s="8">
        <v>0</v>
      </c>
    </row>
    <row r="1033" spans="1:29" ht="11.65" x14ac:dyDescent="0.35">
      <c r="A1033" s="12">
        <v>1016</v>
      </c>
      <c r="B1033" s="10" t="s">
        <v>1015</v>
      </c>
      <c r="C1033" s="11" t="s">
        <v>1091</v>
      </c>
      <c r="D1033" s="9"/>
      <c r="E1033" s="9">
        <v>270</v>
      </c>
      <c r="F1033" s="10" t="s">
        <v>1066</v>
      </c>
      <c r="G1033" s="9">
        <v>914</v>
      </c>
      <c r="H1033" s="9">
        <v>2000</v>
      </c>
      <c r="I1033" s="8">
        <v>122.637</v>
      </c>
      <c r="J1033" s="8">
        <v>104.73699999999999</v>
      </c>
      <c r="K1033" s="8">
        <v>85.194000000000003</v>
      </c>
      <c r="L1033" s="8">
        <v>65.938000000000002</v>
      </c>
      <c r="M1033" s="8">
        <v>55.531999999999996</v>
      </c>
      <c r="N1033" s="8">
        <v>46.512</v>
      </c>
      <c r="O1033" s="8">
        <v>39.609000000000002</v>
      </c>
      <c r="P1033" s="8">
        <v>31.806000000000001</v>
      </c>
      <c r="Q1033" s="8">
        <v>23.997</v>
      </c>
      <c r="R1033" s="8">
        <v>19.442</v>
      </c>
      <c r="S1033" s="8">
        <v>17.914999999999999</v>
      </c>
      <c r="T1033" s="8">
        <v>15.028</v>
      </c>
      <c r="U1033" s="8">
        <v>11.436999999999999</v>
      </c>
      <c r="V1033" s="8">
        <v>8.0619999999999994</v>
      </c>
      <c r="W1033" s="8">
        <v>4.9560000000000004</v>
      </c>
      <c r="X1033" s="8">
        <v>2.4660000000000002</v>
      </c>
      <c r="Y1033" s="8">
        <v>0.79700000000000004</v>
      </c>
      <c r="Z1033" s="8">
        <v>0.18099999999999999</v>
      </c>
      <c r="AA1033" s="8">
        <v>2.1000000000000001E-2</v>
      </c>
      <c r="AB1033" s="8">
        <v>0</v>
      </c>
      <c r="AC1033" s="8">
        <v>0</v>
      </c>
    </row>
    <row r="1034" spans="1:29" ht="11.65" x14ac:dyDescent="0.35">
      <c r="A1034" s="12">
        <v>1017</v>
      </c>
      <c r="B1034" s="10" t="s">
        <v>1015</v>
      </c>
      <c r="C1034" s="11" t="s">
        <v>1091</v>
      </c>
      <c r="D1034" s="9"/>
      <c r="E1034" s="9">
        <v>270</v>
      </c>
      <c r="F1034" s="10" t="s">
        <v>1066</v>
      </c>
      <c r="G1034" s="9">
        <v>914</v>
      </c>
      <c r="H1034" s="9">
        <v>2005</v>
      </c>
      <c r="I1034" s="8">
        <v>139.26900000000001</v>
      </c>
      <c r="J1034" s="8">
        <v>118.06100000000001</v>
      </c>
      <c r="K1034" s="8">
        <v>103.249</v>
      </c>
      <c r="L1034" s="8">
        <v>84.673000000000002</v>
      </c>
      <c r="M1034" s="8">
        <v>66.582999999999998</v>
      </c>
      <c r="N1034" s="8">
        <v>54.765999999999998</v>
      </c>
      <c r="O1034" s="8">
        <v>43.695</v>
      </c>
      <c r="P1034" s="8">
        <v>36.923000000000002</v>
      </c>
      <c r="Q1034" s="8">
        <v>29.603000000000002</v>
      </c>
      <c r="R1034" s="8">
        <v>22.399000000000001</v>
      </c>
      <c r="S1034" s="8">
        <v>18.065999999999999</v>
      </c>
      <c r="T1034" s="8">
        <v>16.372</v>
      </c>
      <c r="U1034" s="8">
        <v>13.289</v>
      </c>
      <c r="V1034" s="8">
        <v>9.4979999999999993</v>
      </c>
      <c r="W1034" s="8">
        <v>6.0190000000000001</v>
      </c>
      <c r="X1034" s="8">
        <v>3.0649999999999999</v>
      </c>
      <c r="Y1034" s="8">
        <v>1.127</v>
      </c>
      <c r="Z1034" s="8">
        <v>0.22900000000000001</v>
      </c>
      <c r="AA1034" s="8">
        <v>2.9000000000000001E-2</v>
      </c>
      <c r="AB1034" s="8">
        <v>2E-3</v>
      </c>
      <c r="AC1034" s="8">
        <v>0</v>
      </c>
    </row>
    <row r="1035" spans="1:29" ht="11.65" x14ac:dyDescent="0.35">
      <c r="A1035" s="12">
        <v>1018</v>
      </c>
      <c r="B1035" s="10" t="s">
        <v>1015</v>
      </c>
      <c r="C1035" s="11" t="s">
        <v>1091</v>
      </c>
      <c r="D1035" s="9"/>
      <c r="E1035" s="9">
        <v>270</v>
      </c>
      <c r="F1035" s="10" t="s">
        <v>1066</v>
      </c>
      <c r="G1035" s="9">
        <v>914</v>
      </c>
      <c r="H1035" s="9">
        <v>2010</v>
      </c>
      <c r="I1035" s="8">
        <v>160.267</v>
      </c>
      <c r="J1035" s="8">
        <v>132.631</v>
      </c>
      <c r="K1035" s="8">
        <v>115.259</v>
      </c>
      <c r="L1035" s="8">
        <v>102.276</v>
      </c>
      <c r="M1035" s="8">
        <v>83.825000000000003</v>
      </c>
      <c r="N1035" s="8">
        <v>64.728999999999999</v>
      </c>
      <c r="O1035" s="8">
        <v>51.93</v>
      </c>
      <c r="P1035" s="8">
        <v>40.994</v>
      </c>
      <c r="Q1035" s="8">
        <v>34.549999999999997</v>
      </c>
      <c r="R1035" s="8">
        <v>27.789000000000001</v>
      </c>
      <c r="S1035" s="8">
        <v>20.872</v>
      </c>
      <c r="T1035" s="8">
        <v>16.492000000000001</v>
      </c>
      <c r="U1035" s="8">
        <v>14.526999999999999</v>
      </c>
      <c r="V1035" s="8">
        <v>11.090999999999999</v>
      </c>
      <c r="W1035" s="8">
        <v>7.1420000000000003</v>
      </c>
      <c r="X1035" s="8">
        <v>3.7589999999999999</v>
      </c>
      <c r="Y1035" s="8">
        <v>1.4179999999999999</v>
      </c>
      <c r="Z1035" s="8">
        <v>0.33100000000000002</v>
      </c>
      <c r="AA1035" s="8">
        <v>3.5999999999999997E-2</v>
      </c>
      <c r="AB1035" s="8">
        <v>2E-3</v>
      </c>
      <c r="AC1035" s="8">
        <v>0</v>
      </c>
    </row>
    <row r="1036" spans="1:29" ht="11.65" x14ac:dyDescent="0.35">
      <c r="A1036" s="12">
        <v>1019</v>
      </c>
      <c r="B1036" s="10" t="s">
        <v>1015</v>
      </c>
      <c r="C1036" s="11" t="s">
        <v>1091</v>
      </c>
      <c r="D1036" s="9"/>
      <c r="E1036" s="9">
        <v>270</v>
      </c>
      <c r="F1036" s="10" t="s">
        <v>1066</v>
      </c>
      <c r="G1036" s="9">
        <v>914</v>
      </c>
      <c r="H1036" s="9">
        <v>2015</v>
      </c>
      <c r="I1036" s="8">
        <v>184.51499999999999</v>
      </c>
      <c r="J1036" s="8">
        <v>154.03800000000001</v>
      </c>
      <c r="K1036" s="8">
        <v>129.78800000000001</v>
      </c>
      <c r="L1036" s="8">
        <v>114.23699999999999</v>
      </c>
      <c r="M1036" s="8">
        <v>101.23</v>
      </c>
      <c r="N1036" s="8">
        <v>81.706999999999994</v>
      </c>
      <c r="O1036" s="8">
        <v>61.752000000000002</v>
      </c>
      <c r="P1036" s="8">
        <v>49.087000000000003</v>
      </c>
      <c r="Q1036" s="8">
        <v>38.558</v>
      </c>
      <c r="R1036" s="8">
        <v>32.594999999999999</v>
      </c>
      <c r="S1036" s="8">
        <v>26.02</v>
      </c>
      <c r="T1036" s="8">
        <v>19.132999999999999</v>
      </c>
      <c r="U1036" s="8">
        <v>14.69</v>
      </c>
      <c r="V1036" s="8">
        <v>12.191000000000001</v>
      </c>
      <c r="W1036" s="8">
        <v>8.4039999999999999</v>
      </c>
      <c r="X1036" s="8">
        <v>4.5110000000000001</v>
      </c>
      <c r="Y1036" s="8">
        <v>1.7649999999999999</v>
      </c>
      <c r="Z1036" s="8">
        <v>0.42399999999999999</v>
      </c>
      <c r="AA1036" s="8">
        <v>5.1999999999999998E-2</v>
      </c>
      <c r="AB1036" s="8">
        <v>3.0000000000000001E-3</v>
      </c>
      <c r="AC1036" s="8">
        <v>0</v>
      </c>
    </row>
    <row r="1037" spans="1:29" ht="11.65" x14ac:dyDescent="0.35">
      <c r="A1037" s="12">
        <v>1020</v>
      </c>
      <c r="B1037" s="10" t="s">
        <v>1015</v>
      </c>
      <c r="C1037" s="11" t="s">
        <v>1091</v>
      </c>
      <c r="D1037" s="9"/>
      <c r="E1037" s="9">
        <v>270</v>
      </c>
      <c r="F1037" s="10" t="s">
        <v>1066</v>
      </c>
      <c r="G1037" s="9">
        <v>914</v>
      </c>
      <c r="H1037" s="9">
        <v>2020</v>
      </c>
      <c r="I1037" s="8">
        <v>206.791</v>
      </c>
      <c r="J1037" s="8">
        <v>178.154</v>
      </c>
      <c r="K1037" s="8">
        <v>151.107</v>
      </c>
      <c r="L1037" s="8">
        <v>128.733</v>
      </c>
      <c r="M1037" s="8">
        <v>113.152</v>
      </c>
      <c r="N1037" s="8">
        <v>98.92</v>
      </c>
      <c r="O1037" s="8">
        <v>78.498000000000005</v>
      </c>
      <c r="P1037" s="8">
        <v>58.773000000000003</v>
      </c>
      <c r="Q1037" s="8">
        <v>46.491999999999997</v>
      </c>
      <c r="R1037" s="8">
        <v>36.521000000000001</v>
      </c>
      <c r="S1037" s="8">
        <v>30.637</v>
      </c>
      <c r="T1037" s="8">
        <v>23.954999999999998</v>
      </c>
      <c r="U1037" s="8">
        <v>17.091000000000001</v>
      </c>
      <c r="V1037" s="8">
        <v>12.364000000000001</v>
      </c>
      <c r="W1037" s="8">
        <v>9.2739999999999991</v>
      </c>
      <c r="X1037" s="8">
        <v>5.34</v>
      </c>
      <c r="Y1037" s="8">
        <v>2.1320000000000001</v>
      </c>
      <c r="Z1037" s="8">
        <v>0.53300000000000003</v>
      </c>
      <c r="AA1037" s="8">
        <v>6.9000000000000006E-2</v>
      </c>
      <c r="AB1037" s="8">
        <v>4.0000000000000001E-3</v>
      </c>
      <c r="AC1037" s="8">
        <v>0</v>
      </c>
    </row>
    <row r="1038" spans="1:29" ht="11.65" x14ac:dyDescent="0.35">
      <c r="A1038" s="12">
        <v>1021</v>
      </c>
      <c r="B1038" s="10" t="s">
        <v>1015</v>
      </c>
      <c r="C1038" s="11" t="s">
        <v>1092</v>
      </c>
      <c r="D1038" s="9"/>
      <c r="E1038" s="9">
        <v>288</v>
      </c>
      <c r="F1038" s="10" t="s">
        <v>1066</v>
      </c>
      <c r="G1038" s="9">
        <v>914</v>
      </c>
      <c r="H1038" s="9">
        <v>1950</v>
      </c>
      <c r="I1038" s="8">
        <v>482.84399999999999</v>
      </c>
      <c r="J1038" s="8">
        <v>373.54</v>
      </c>
      <c r="K1038" s="8">
        <v>314.11099999999999</v>
      </c>
      <c r="L1038" s="8">
        <v>268.48099999999999</v>
      </c>
      <c r="M1038" s="8">
        <v>222.642</v>
      </c>
      <c r="N1038" s="8">
        <v>187.26400000000001</v>
      </c>
      <c r="O1038" s="8">
        <v>156.05600000000001</v>
      </c>
      <c r="P1038" s="8">
        <v>130.047</v>
      </c>
      <c r="Q1038" s="8">
        <v>107.16</v>
      </c>
      <c r="R1038" s="8">
        <v>86.355000000000004</v>
      </c>
      <c r="S1038" s="8">
        <v>68.665999999999997</v>
      </c>
      <c r="T1038" s="8">
        <v>53.058</v>
      </c>
      <c r="U1038" s="8">
        <v>39.54</v>
      </c>
      <c r="V1038" s="8">
        <v>27.047000000000001</v>
      </c>
      <c r="W1038" s="8">
        <v>16.643999999999998</v>
      </c>
      <c r="X1038" s="8">
        <v>8.3230000000000004</v>
      </c>
      <c r="Y1038" s="8">
        <v>3.3050000000000002</v>
      </c>
      <c r="Z1038" s="8">
        <v>0.76100000000000001</v>
      </c>
      <c r="AA1038" s="8">
        <v>9.0999999999999998E-2</v>
      </c>
      <c r="AB1038" s="8">
        <v>6.0000000000000001E-3</v>
      </c>
      <c r="AC1038" s="8">
        <v>0</v>
      </c>
    </row>
    <row r="1039" spans="1:29" ht="11.65" x14ac:dyDescent="0.35">
      <c r="A1039" s="12">
        <v>1022</v>
      </c>
      <c r="B1039" s="10" t="s">
        <v>1015</v>
      </c>
      <c r="C1039" s="11" t="s">
        <v>1092</v>
      </c>
      <c r="D1039" s="9"/>
      <c r="E1039" s="9">
        <v>288</v>
      </c>
      <c r="F1039" s="10" t="s">
        <v>1066</v>
      </c>
      <c r="G1039" s="9">
        <v>914</v>
      </c>
      <c r="H1039" s="9">
        <v>1955</v>
      </c>
      <c r="I1039" s="8">
        <v>497.3</v>
      </c>
      <c r="J1039" s="8">
        <v>441.95100000000002</v>
      </c>
      <c r="K1039" s="8">
        <v>363.54700000000003</v>
      </c>
      <c r="L1039" s="8">
        <v>308.64</v>
      </c>
      <c r="M1039" s="8">
        <v>262.87900000000002</v>
      </c>
      <c r="N1039" s="8">
        <v>218.05199999999999</v>
      </c>
      <c r="O1039" s="8">
        <v>183.595</v>
      </c>
      <c r="P1039" s="8">
        <v>152.03700000000001</v>
      </c>
      <c r="Q1039" s="8">
        <v>125.149</v>
      </c>
      <c r="R1039" s="8">
        <v>101.54300000000001</v>
      </c>
      <c r="S1039" s="8">
        <v>80.147999999999996</v>
      </c>
      <c r="T1039" s="8">
        <v>61.750999999999998</v>
      </c>
      <c r="U1039" s="8">
        <v>45.298000000000002</v>
      </c>
      <c r="V1039" s="8">
        <v>31.059000000000001</v>
      </c>
      <c r="W1039" s="8">
        <v>18.567</v>
      </c>
      <c r="X1039" s="8">
        <v>9.1159999999999997</v>
      </c>
      <c r="Y1039" s="8">
        <v>3.25</v>
      </c>
      <c r="Z1039" s="8">
        <v>0.77500000000000002</v>
      </c>
      <c r="AA1039" s="8">
        <v>0.09</v>
      </c>
      <c r="AB1039" s="8">
        <v>6.0000000000000001E-3</v>
      </c>
      <c r="AC1039" s="8">
        <v>0</v>
      </c>
    </row>
    <row r="1040" spans="1:29" ht="11.65" x14ac:dyDescent="0.35">
      <c r="A1040" s="12">
        <v>1023</v>
      </c>
      <c r="B1040" s="10" t="s">
        <v>1015</v>
      </c>
      <c r="C1040" s="11" t="s">
        <v>1092</v>
      </c>
      <c r="D1040" s="9"/>
      <c r="E1040" s="9">
        <v>288</v>
      </c>
      <c r="F1040" s="10" t="s">
        <v>1066</v>
      </c>
      <c r="G1040" s="9">
        <v>914</v>
      </c>
      <c r="H1040" s="9">
        <v>1960</v>
      </c>
      <c r="I1040" s="8">
        <v>608.63300000000004</v>
      </c>
      <c r="J1040" s="8">
        <v>460.18700000000001</v>
      </c>
      <c r="K1040" s="8">
        <v>431.50799999999998</v>
      </c>
      <c r="L1040" s="8">
        <v>357.80900000000003</v>
      </c>
      <c r="M1040" s="8">
        <v>302.72899999999998</v>
      </c>
      <c r="N1040" s="8">
        <v>257.70400000000001</v>
      </c>
      <c r="O1040" s="8">
        <v>213.98400000000001</v>
      </c>
      <c r="P1040" s="8">
        <v>179.077</v>
      </c>
      <c r="Q1040" s="8">
        <v>146.66399999999999</v>
      </c>
      <c r="R1040" s="8">
        <v>119.009</v>
      </c>
      <c r="S1040" s="8">
        <v>94.688000000000002</v>
      </c>
      <c r="T1040" s="8">
        <v>72.548000000000002</v>
      </c>
      <c r="U1040" s="8">
        <v>53.231999999999999</v>
      </c>
      <c r="V1040" s="8">
        <v>36.119999999999997</v>
      </c>
      <c r="W1040" s="8">
        <v>21.805</v>
      </c>
      <c r="X1040" s="8">
        <v>10.510999999999999</v>
      </c>
      <c r="Y1040" s="8">
        <v>3.7229999999999999</v>
      </c>
      <c r="Z1040" s="8">
        <v>0.81100000000000005</v>
      </c>
      <c r="AA1040" s="8">
        <v>9.9000000000000005E-2</v>
      </c>
      <c r="AB1040" s="8">
        <v>6.0000000000000001E-3</v>
      </c>
      <c r="AC1040" s="8">
        <v>0</v>
      </c>
    </row>
    <row r="1041" spans="1:29" ht="11.65" x14ac:dyDescent="0.35">
      <c r="A1041" s="12">
        <v>1024</v>
      </c>
      <c r="B1041" s="10" t="s">
        <v>1015</v>
      </c>
      <c r="C1041" s="11" t="s">
        <v>1092</v>
      </c>
      <c r="D1041" s="9"/>
      <c r="E1041" s="9">
        <v>288</v>
      </c>
      <c r="F1041" s="10" t="s">
        <v>1066</v>
      </c>
      <c r="G1041" s="9">
        <v>914</v>
      </c>
      <c r="H1041" s="9">
        <v>1965</v>
      </c>
      <c r="I1041" s="8">
        <v>737.90800000000002</v>
      </c>
      <c r="J1041" s="8">
        <v>567.34199999999998</v>
      </c>
      <c r="K1041" s="8">
        <v>450.178</v>
      </c>
      <c r="L1041" s="8">
        <v>424.24400000000003</v>
      </c>
      <c r="M1041" s="8">
        <v>349.14299999999997</v>
      </c>
      <c r="N1041" s="8">
        <v>294.31700000000001</v>
      </c>
      <c r="O1041" s="8">
        <v>250.548</v>
      </c>
      <c r="P1041" s="8">
        <v>207.11799999999999</v>
      </c>
      <c r="Q1041" s="8">
        <v>171.79900000000001</v>
      </c>
      <c r="R1041" s="8">
        <v>138.98699999999999</v>
      </c>
      <c r="S1041" s="8">
        <v>110.807</v>
      </c>
      <c r="T1041" s="8">
        <v>85.742000000000004</v>
      </c>
      <c r="U1041" s="8">
        <v>62.73</v>
      </c>
      <c r="V1041" s="8">
        <v>42.728999999999999</v>
      </c>
      <c r="W1041" s="8">
        <v>25.640999999999998</v>
      </c>
      <c r="X1041" s="8">
        <v>12.551</v>
      </c>
      <c r="Y1041" s="8">
        <v>4.3719999999999999</v>
      </c>
      <c r="Z1041" s="8">
        <v>0.95499999999999996</v>
      </c>
      <c r="AA1041" s="8">
        <v>0.109</v>
      </c>
      <c r="AB1041" s="8">
        <v>6.0000000000000001E-3</v>
      </c>
      <c r="AC1041" s="8">
        <v>0</v>
      </c>
    </row>
    <row r="1042" spans="1:29" ht="11.65" x14ac:dyDescent="0.35">
      <c r="A1042" s="12">
        <v>1025</v>
      </c>
      <c r="B1042" s="10" t="s">
        <v>1015</v>
      </c>
      <c r="C1042" s="11" t="s">
        <v>1092</v>
      </c>
      <c r="D1042" s="9"/>
      <c r="E1042" s="9">
        <v>288</v>
      </c>
      <c r="F1042" s="10" t="s">
        <v>1066</v>
      </c>
      <c r="G1042" s="9">
        <v>914</v>
      </c>
      <c r="H1042" s="9">
        <v>1970</v>
      </c>
      <c r="I1042" s="8">
        <v>841.34799999999996</v>
      </c>
      <c r="J1042" s="8">
        <v>685.31600000000003</v>
      </c>
      <c r="K1042" s="8">
        <v>552.10400000000004</v>
      </c>
      <c r="L1042" s="8">
        <v>432.91800000000001</v>
      </c>
      <c r="M1042" s="8">
        <v>390.67899999999997</v>
      </c>
      <c r="N1042" s="8">
        <v>310.16300000000001</v>
      </c>
      <c r="O1042" s="8">
        <v>260.93700000000001</v>
      </c>
      <c r="P1042" s="8">
        <v>224.19</v>
      </c>
      <c r="Q1042" s="8">
        <v>186.36600000000001</v>
      </c>
      <c r="R1042" s="8">
        <v>154.726</v>
      </c>
      <c r="S1042" s="8">
        <v>124.21899999999999</v>
      </c>
      <c r="T1042" s="8">
        <v>97.08</v>
      </c>
      <c r="U1042" s="8">
        <v>72.575000000000003</v>
      </c>
      <c r="V1042" s="8">
        <v>49.817</v>
      </c>
      <c r="W1042" s="8">
        <v>30.07</v>
      </c>
      <c r="X1042" s="8">
        <v>14.627000000000001</v>
      </c>
      <c r="Y1042" s="8">
        <v>5.0389999999999997</v>
      </c>
      <c r="Z1042" s="8">
        <v>1.0960000000000001</v>
      </c>
      <c r="AA1042" s="8">
        <v>0.13300000000000001</v>
      </c>
      <c r="AB1042" s="8">
        <v>8.0000000000000002E-3</v>
      </c>
      <c r="AC1042" s="8">
        <v>0</v>
      </c>
    </row>
    <row r="1043" spans="1:29" ht="11.65" x14ac:dyDescent="0.35">
      <c r="A1043" s="12">
        <v>1026</v>
      </c>
      <c r="B1043" s="10" t="s">
        <v>1015</v>
      </c>
      <c r="C1043" s="11" t="s">
        <v>1092</v>
      </c>
      <c r="D1043" s="9"/>
      <c r="E1043" s="9">
        <v>288</v>
      </c>
      <c r="F1043" s="10" t="s">
        <v>1066</v>
      </c>
      <c r="G1043" s="9">
        <v>914</v>
      </c>
      <c r="H1043" s="9">
        <v>1975</v>
      </c>
      <c r="I1043" s="8">
        <v>925.94</v>
      </c>
      <c r="J1043" s="8">
        <v>787.90300000000002</v>
      </c>
      <c r="K1043" s="8">
        <v>670.048</v>
      </c>
      <c r="L1043" s="8">
        <v>537.81299999999999</v>
      </c>
      <c r="M1043" s="8">
        <v>409.51400000000001</v>
      </c>
      <c r="N1043" s="8">
        <v>364.12200000000001</v>
      </c>
      <c r="O1043" s="8">
        <v>288.90699999999998</v>
      </c>
      <c r="P1043" s="8">
        <v>243.45</v>
      </c>
      <c r="Q1043" s="8">
        <v>209.06700000000001</v>
      </c>
      <c r="R1043" s="8">
        <v>172.80099999999999</v>
      </c>
      <c r="S1043" s="8">
        <v>141.74100000000001</v>
      </c>
      <c r="T1043" s="8">
        <v>111.16500000000001</v>
      </c>
      <c r="U1043" s="8">
        <v>83.325999999999993</v>
      </c>
      <c r="V1043" s="8">
        <v>58.103999999999999</v>
      </c>
      <c r="W1043" s="8">
        <v>35.438000000000002</v>
      </c>
      <c r="X1043" s="8">
        <v>17.411999999999999</v>
      </c>
      <c r="Y1043" s="8">
        <v>6.0430000000000001</v>
      </c>
      <c r="Z1043" s="8">
        <v>1.2989999999999999</v>
      </c>
      <c r="AA1043" s="8">
        <v>0.154</v>
      </c>
      <c r="AB1043" s="8">
        <v>8.9999999999999993E-3</v>
      </c>
      <c r="AC1043" s="8">
        <v>0</v>
      </c>
    </row>
    <row r="1044" spans="1:29" ht="11.65" x14ac:dyDescent="0.35">
      <c r="A1044" s="12">
        <v>1027</v>
      </c>
      <c r="B1044" s="10" t="s">
        <v>1015</v>
      </c>
      <c r="C1044" s="11" t="s">
        <v>1092</v>
      </c>
      <c r="D1044" s="9"/>
      <c r="E1044" s="9">
        <v>288</v>
      </c>
      <c r="F1044" s="10" t="s">
        <v>1066</v>
      </c>
      <c r="G1044" s="9">
        <v>914</v>
      </c>
      <c r="H1044" s="9">
        <v>1980</v>
      </c>
      <c r="I1044" s="8">
        <v>1004.725</v>
      </c>
      <c r="J1044" s="8">
        <v>866.61699999999996</v>
      </c>
      <c r="K1044" s="8">
        <v>768.58799999999997</v>
      </c>
      <c r="L1044" s="8">
        <v>648.54100000000005</v>
      </c>
      <c r="M1044" s="8">
        <v>489.95400000000001</v>
      </c>
      <c r="N1044" s="8">
        <v>350.73899999999998</v>
      </c>
      <c r="O1044" s="8">
        <v>306.86500000000001</v>
      </c>
      <c r="P1044" s="8">
        <v>236.98</v>
      </c>
      <c r="Q1044" s="8">
        <v>204.87299999999999</v>
      </c>
      <c r="R1044" s="8">
        <v>182.78299999999999</v>
      </c>
      <c r="S1044" s="8">
        <v>154.31399999999999</v>
      </c>
      <c r="T1044" s="8">
        <v>124.44499999999999</v>
      </c>
      <c r="U1044" s="8">
        <v>94.052999999999997</v>
      </c>
      <c r="V1044" s="8">
        <v>66.034000000000006</v>
      </c>
      <c r="W1044" s="8">
        <v>41.057000000000002</v>
      </c>
      <c r="X1044" s="8">
        <v>20.404</v>
      </c>
      <c r="Y1044" s="8">
        <v>7.0119999999999996</v>
      </c>
      <c r="Z1044" s="8">
        <v>1.536</v>
      </c>
      <c r="AA1044" s="8">
        <v>0.186</v>
      </c>
      <c r="AB1044" s="8">
        <v>1.2E-2</v>
      </c>
      <c r="AC1044" s="8">
        <v>0</v>
      </c>
    </row>
    <row r="1045" spans="1:29" ht="11.65" x14ac:dyDescent="0.35">
      <c r="A1045" s="12">
        <v>1028</v>
      </c>
      <c r="B1045" s="10" t="s">
        <v>1015</v>
      </c>
      <c r="C1045" s="11" t="s">
        <v>1092</v>
      </c>
      <c r="D1045" s="9"/>
      <c r="E1045" s="9">
        <v>288</v>
      </c>
      <c r="F1045" s="10" t="s">
        <v>1066</v>
      </c>
      <c r="G1045" s="9">
        <v>914</v>
      </c>
      <c r="H1045" s="9">
        <v>1985</v>
      </c>
      <c r="I1045" s="8">
        <v>1135.6300000000001</v>
      </c>
      <c r="J1045" s="8">
        <v>954.68600000000004</v>
      </c>
      <c r="K1045" s="8">
        <v>851.92</v>
      </c>
      <c r="L1045" s="8">
        <v>754.13499999999999</v>
      </c>
      <c r="M1045" s="8">
        <v>625.37300000000005</v>
      </c>
      <c r="N1045" s="8">
        <v>468.04500000000002</v>
      </c>
      <c r="O1045" s="8">
        <v>336.86500000000001</v>
      </c>
      <c r="P1045" s="8">
        <v>295.899</v>
      </c>
      <c r="Q1045" s="8">
        <v>227.119</v>
      </c>
      <c r="R1045" s="8">
        <v>194.501</v>
      </c>
      <c r="S1045" s="8">
        <v>170.971</v>
      </c>
      <c r="T1045" s="8">
        <v>140.84399999999999</v>
      </c>
      <c r="U1045" s="8">
        <v>109.041</v>
      </c>
      <c r="V1045" s="8">
        <v>77.144000000000005</v>
      </c>
      <c r="W1045" s="8">
        <v>48.444000000000003</v>
      </c>
      <c r="X1045" s="8">
        <v>24.783999999999999</v>
      </c>
      <c r="Y1045" s="8">
        <v>9.0079999999999991</v>
      </c>
      <c r="Z1045" s="8">
        <v>1.9450000000000001</v>
      </c>
      <c r="AA1045" s="8">
        <v>0.22800000000000001</v>
      </c>
      <c r="AB1045" s="8">
        <v>1.4999999999999999E-2</v>
      </c>
      <c r="AC1045" s="8">
        <v>0</v>
      </c>
    </row>
    <row r="1046" spans="1:29" ht="11.65" x14ac:dyDescent="0.35">
      <c r="A1046" s="12">
        <v>1029</v>
      </c>
      <c r="B1046" s="10" t="s">
        <v>1015</v>
      </c>
      <c r="C1046" s="11" t="s">
        <v>1092</v>
      </c>
      <c r="D1046" s="9"/>
      <c r="E1046" s="9">
        <v>288</v>
      </c>
      <c r="F1046" s="10" t="s">
        <v>1066</v>
      </c>
      <c r="G1046" s="9">
        <v>914</v>
      </c>
      <c r="H1046" s="9">
        <v>1990</v>
      </c>
      <c r="I1046" s="8">
        <v>1300.146</v>
      </c>
      <c r="J1046" s="8">
        <v>1087.348</v>
      </c>
      <c r="K1046" s="8">
        <v>940.64300000000003</v>
      </c>
      <c r="L1046" s="8">
        <v>838.38599999999997</v>
      </c>
      <c r="M1046" s="8">
        <v>731.98199999999997</v>
      </c>
      <c r="N1046" s="8">
        <v>603.95299999999997</v>
      </c>
      <c r="O1046" s="8">
        <v>453.45600000000002</v>
      </c>
      <c r="P1046" s="8">
        <v>325.51600000000002</v>
      </c>
      <c r="Q1046" s="8">
        <v>284.50200000000001</v>
      </c>
      <c r="R1046" s="8">
        <v>216.36</v>
      </c>
      <c r="S1046" s="8">
        <v>182.67599999999999</v>
      </c>
      <c r="T1046" s="8">
        <v>156.87700000000001</v>
      </c>
      <c r="U1046" s="8">
        <v>124.342</v>
      </c>
      <c r="V1046" s="8">
        <v>90.436000000000007</v>
      </c>
      <c r="W1046" s="8">
        <v>57.515000000000001</v>
      </c>
      <c r="X1046" s="8">
        <v>29.917999999999999</v>
      </c>
      <c r="Y1046" s="8">
        <v>11.28</v>
      </c>
      <c r="Z1046" s="8">
        <v>2.597</v>
      </c>
      <c r="AA1046" s="8">
        <v>0.3</v>
      </c>
      <c r="AB1046" s="8">
        <v>1.7999999999999999E-2</v>
      </c>
      <c r="AC1046" s="8">
        <v>1E-3</v>
      </c>
    </row>
    <row r="1047" spans="1:29" ht="11.65" x14ac:dyDescent="0.35">
      <c r="A1047" s="12">
        <v>1030</v>
      </c>
      <c r="B1047" s="10" t="s">
        <v>1015</v>
      </c>
      <c r="C1047" s="11" t="s">
        <v>1092</v>
      </c>
      <c r="D1047" s="9"/>
      <c r="E1047" s="9">
        <v>288</v>
      </c>
      <c r="F1047" s="10" t="s">
        <v>1066</v>
      </c>
      <c r="G1047" s="9">
        <v>914</v>
      </c>
      <c r="H1047" s="9">
        <v>1995</v>
      </c>
      <c r="I1047" s="8">
        <v>1428.34</v>
      </c>
      <c r="J1047" s="8">
        <v>1253.96</v>
      </c>
      <c r="K1047" s="8">
        <v>1073.895</v>
      </c>
      <c r="L1047" s="8">
        <v>929.65499999999997</v>
      </c>
      <c r="M1047" s="8">
        <v>822.41700000000003</v>
      </c>
      <c r="N1047" s="8">
        <v>714.84199999999998</v>
      </c>
      <c r="O1047" s="8">
        <v>589.19200000000001</v>
      </c>
      <c r="P1047" s="8">
        <v>441.00099999999998</v>
      </c>
      <c r="Q1047" s="8">
        <v>314.78399999999999</v>
      </c>
      <c r="R1047" s="8">
        <v>272.68799999999999</v>
      </c>
      <c r="S1047" s="8">
        <v>204.44200000000001</v>
      </c>
      <c r="T1047" s="8">
        <v>168.732</v>
      </c>
      <c r="U1047" s="8">
        <v>139.67099999999999</v>
      </c>
      <c r="V1047" s="8">
        <v>104.333</v>
      </c>
      <c r="W1047" s="8">
        <v>68.537000000000006</v>
      </c>
      <c r="X1047" s="8">
        <v>36.343000000000004</v>
      </c>
      <c r="Y1047" s="8">
        <v>14.048999999999999</v>
      </c>
      <c r="Z1047" s="8">
        <v>3.3769999999999998</v>
      </c>
      <c r="AA1047" s="8">
        <v>0.41799999999999998</v>
      </c>
      <c r="AB1047" s="8">
        <v>2.5000000000000001E-2</v>
      </c>
      <c r="AC1047" s="8">
        <v>1E-3</v>
      </c>
    </row>
    <row r="1048" spans="1:29" ht="11.65" x14ac:dyDescent="0.35">
      <c r="A1048" s="12">
        <v>1031</v>
      </c>
      <c r="B1048" s="10" t="s">
        <v>1015</v>
      </c>
      <c r="C1048" s="11" t="s">
        <v>1092</v>
      </c>
      <c r="D1048" s="9"/>
      <c r="E1048" s="9">
        <v>288</v>
      </c>
      <c r="F1048" s="10" t="s">
        <v>1066</v>
      </c>
      <c r="G1048" s="9">
        <v>914</v>
      </c>
      <c r="H1048" s="9">
        <v>2000</v>
      </c>
      <c r="I1048" s="8">
        <v>1565.462</v>
      </c>
      <c r="J1048" s="8">
        <v>1378.2629999999999</v>
      </c>
      <c r="K1048" s="8">
        <v>1235.306</v>
      </c>
      <c r="L1048" s="8">
        <v>1054.8579999999999</v>
      </c>
      <c r="M1048" s="8">
        <v>897.33600000000001</v>
      </c>
      <c r="N1048" s="8">
        <v>785.154</v>
      </c>
      <c r="O1048" s="8">
        <v>682.02</v>
      </c>
      <c r="P1048" s="8">
        <v>563.96299999999997</v>
      </c>
      <c r="Q1048" s="8">
        <v>422.1</v>
      </c>
      <c r="R1048" s="8">
        <v>298.48700000000002</v>
      </c>
      <c r="S1048" s="8">
        <v>255.251</v>
      </c>
      <c r="T1048" s="8">
        <v>186.99100000000001</v>
      </c>
      <c r="U1048" s="8">
        <v>148.625</v>
      </c>
      <c r="V1048" s="8">
        <v>115.69</v>
      </c>
      <c r="W1048" s="8">
        <v>77.745999999999995</v>
      </c>
      <c r="X1048" s="8">
        <v>42.326999999999998</v>
      </c>
      <c r="Y1048" s="8">
        <v>16.518999999999998</v>
      </c>
      <c r="Z1048" s="8">
        <v>4.0519999999999996</v>
      </c>
      <c r="AA1048" s="8">
        <v>0.52500000000000002</v>
      </c>
      <c r="AB1048" s="8">
        <v>3.4000000000000002E-2</v>
      </c>
      <c r="AC1048" s="8">
        <v>1E-3</v>
      </c>
    </row>
    <row r="1049" spans="1:29" ht="11.65" x14ac:dyDescent="0.35">
      <c r="A1049" s="12">
        <v>1032</v>
      </c>
      <c r="B1049" s="10" t="s">
        <v>1015</v>
      </c>
      <c r="C1049" s="11" t="s">
        <v>1092</v>
      </c>
      <c r="D1049" s="9"/>
      <c r="E1049" s="9">
        <v>288</v>
      </c>
      <c r="F1049" s="10" t="s">
        <v>1066</v>
      </c>
      <c r="G1049" s="9">
        <v>914</v>
      </c>
      <c r="H1049" s="9">
        <v>2005</v>
      </c>
      <c r="I1049" s="8">
        <v>1675.712</v>
      </c>
      <c r="J1049" s="8">
        <v>1517.4490000000001</v>
      </c>
      <c r="K1049" s="8">
        <v>1358.816</v>
      </c>
      <c r="L1049" s="8">
        <v>1219.383</v>
      </c>
      <c r="M1049" s="8">
        <v>1033.3699999999999</v>
      </c>
      <c r="N1049" s="8">
        <v>875.15499999999997</v>
      </c>
      <c r="O1049" s="8">
        <v>765.11599999999999</v>
      </c>
      <c r="P1049" s="8">
        <v>662.47500000000002</v>
      </c>
      <c r="Q1049" s="8">
        <v>544.43499999999995</v>
      </c>
      <c r="R1049" s="8">
        <v>403.51499999999999</v>
      </c>
      <c r="S1049" s="8">
        <v>281.101</v>
      </c>
      <c r="T1049" s="8">
        <v>234.685</v>
      </c>
      <c r="U1049" s="8">
        <v>165.34700000000001</v>
      </c>
      <c r="V1049" s="8">
        <v>123.431</v>
      </c>
      <c r="W1049" s="8">
        <v>86.358999999999995</v>
      </c>
      <c r="X1049" s="8">
        <v>48.08</v>
      </c>
      <c r="Y1049" s="8">
        <v>19.323</v>
      </c>
      <c r="Z1049" s="8">
        <v>4.774</v>
      </c>
      <c r="AA1049" s="8">
        <v>0.627</v>
      </c>
      <c r="AB1049" s="8">
        <v>4.2000000000000003E-2</v>
      </c>
      <c r="AC1049" s="8">
        <v>1E-3</v>
      </c>
    </row>
    <row r="1050" spans="1:29" ht="11.65" x14ac:dyDescent="0.35">
      <c r="A1050" s="12">
        <v>1033</v>
      </c>
      <c r="B1050" s="10" t="s">
        <v>1015</v>
      </c>
      <c r="C1050" s="11" t="s">
        <v>1092</v>
      </c>
      <c r="D1050" s="9"/>
      <c r="E1050" s="9">
        <v>288</v>
      </c>
      <c r="F1050" s="10" t="s">
        <v>1066</v>
      </c>
      <c r="G1050" s="9">
        <v>914</v>
      </c>
      <c r="H1050" s="9">
        <v>2010</v>
      </c>
      <c r="I1050" s="8">
        <v>1829.5450000000001</v>
      </c>
      <c r="J1050" s="8">
        <v>1635.6130000000001</v>
      </c>
      <c r="K1050" s="8">
        <v>1502.473</v>
      </c>
      <c r="L1050" s="8">
        <v>1349.423</v>
      </c>
      <c r="M1050" s="8">
        <v>1210.3530000000001</v>
      </c>
      <c r="N1050" s="8">
        <v>1026.5630000000001</v>
      </c>
      <c r="O1050" s="8">
        <v>868.69</v>
      </c>
      <c r="P1050" s="8">
        <v>755.40300000000002</v>
      </c>
      <c r="Q1050" s="8">
        <v>648.88900000000001</v>
      </c>
      <c r="R1050" s="8">
        <v>527.54999999999995</v>
      </c>
      <c r="S1050" s="8">
        <v>385.21600000000001</v>
      </c>
      <c r="T1050" s="8">
        <v>262.3</v>
      </c>
      <c r="U1050" s="8">
        <v>210.97200000000001</v>
      </c>
      <c r="V1050" s="8">
        <v>140.26900000000001</v>
      </c>
      <c r="W1050" s="8">
        <v>94.751999999999995</v>
      </c>
      <c r="X1050" s="8">
        <v>55.460999999999999</v>
      </c>
      <c r="Y1050" s="8">
        <v>23.137</v>
      </c>
      <c r="Z1050" s="8">
        <v>5.9379999999999997</v>
      </c>
      <c r="AA1050" s="8">
        <v>0.78400000000000003</v>
      </c>
      <c r="AB1050" s="8">
        <v>5.2999999999999999E-2</v>
      </c>
      <c r="AC1050" s="8">
        <v>2E-3</v>
      </c>
    </row>
    <row r="1051" spans="1:29" ht="11.65" x14ac:dyDescent="0.35">
      <c r="A1051" s="12">
        <v>1034</v>
      </c>
      <c r="B1051" s="10" t="s">
        <v>1015</v>
      </c>
      <c r="C1051" s="11" t="s">
        <v>1092</v>
      </c>
      <c r="D1051" s="9"/>
      <c r="E1051" s="9">
        <v>288</v>
      </c>
      <c r="F1051" s="10" t="s">
        <v>1066</v>
      </c>
      <c r="G1051" s="9">
        <v>914</v>
      </c>
      <c r="H1051" s="9">
        <v>2015</v>
      </c>
      <c r="I1051" s="8">
        <v>2018.076</v>
      </c>
      <c r="J1051" s="8">
        <v>1793.018</v>
      </c>
      <c r="K1051" s="8">
        <v>1618.36</v>
      </c>
      <c r="L1051" s="8">
        <v>1486.278</v>
      </c>
      <c r="M1051" s="8">
        <v>1325.0820000000001</v>
      </c>
      <c r="N1051" s="8">
        <v>1183.2439999999999</v>
      </c>
      <c r="O1051" s="8">
        <v>1002.45</v>
      </c>
      <c r="P1051" s="8">
        <v>846.13599999999997</v>
      </c>
      <c r="Q1051" s="8">
        <v>732.34299999999996</v>
      </c>
      <c r="R1051" s="8">
        <v>623.83600000000001</v>
      </c>
      <c r="S1051" s="8">
        <v>500.351</v>
      </c>
      <c r="T1051" s="8">
        <v>357.41399999999999</v>
      </c>
      <c r="U1051" s="8">
        <v>234.947</v>
      </c>
      <c r="V1051" s="8">
        <v>178.642</v>
      </c>
      <c r="W1051" s="8">
        <v>107.721</v>
      </c>
      <c r="X1051" s="8">
        <v>60.981999999999999</v>
      </c>
      <c r="Y1051" s="8">
        <v>26.99</v>
      </c>
      <c r="Z1051" s="8">
        <v>7.6639999999999997</v>
      </c>
      <c r="AA1051" s="8">
        <v>1.2110000000000001</v>
      </c>
      <c r="AB1051" s="8">
        <v>8.7999999999999995E-2</v>
      </c>
      <c r="AC1051" s="8">
        <v>3.0000000000000001E-3</v>
      </c>
    </row>
    <row r="1052" spans="1:29" ht="11.65" x14ac:dyDescent="0.35">
      <c r="A1052" s="12">
        <v>1035</v>
      </c>
      <c r="B1052" s="10" t="s">
        <v>1015</v>
      </c>
      <c r="C1052" s="11" t="s">
        <v>1092</v>
      </c>
      <c r="D1052" s="9"/>
      <c r="E1052" s="9">
        <v>288</v>
      </c>
      <c r="F1052" s="10" t="s">
        <v>1066</v>
      </c>
      <c r="G1052" s="9">
        <v>914</v>
      </c>
      <c r="H1052" s="9">
        <v>2020</v>
      </c>
      <c r="I1052" s="8">
        <v>2129.11</v>
      </c>
      <c r="J1052" s="8">
        <v>1985.078</v>
      </c>
      <c r="K1052" s="8">
        <v>1776.454</v>
      </c>
      <c r="L1052" s="8">
        <v>1602.9290000000001</v>
      </c>
      <c r="M1052" s="8">
        <v>1462.45</v>
      </c>
      <c r="N1052" s="8">
        <v>1298.5609999999999</v>
      </c>
      <c r="O1052" s="8">
        <v>1158.508</v>
      </c>
      <c r="P1052" s="8">
        <v>979.06500000000005</v>
      </c>
      <c r="Q1052" s="8">
        <v>822.52700000000004</v>
      </c>
      <c r="R1052" s="8">
        <v>706.12300000000005</v>
      </c>
      <c r="S1052" s="8">
        <v>593.58000000000004</v>
      </c>
      <c r="T1052" s="8">
        <v>465.904</v>
      </c>
      <c r="U1052" s="8">
        <v>321.423</v>
      </c>
      <c r="V1052" s="8">
        <v>199.79</v>
      </c>
      <c r="W1052" s="8">
        <v>137.93199999999999</v>
      </c>
      <c r="X1052" s="8">
        <v>69.822000000000003</v>
      </c>
      <c r="Y1052" s="8">
        <v>29.963999999999999</v>
      </c>
      <c r="Z1052" s="8">
        <v>9.0500000000000007</v>
      </c>
      <c r="AA1052" s="8">
        <v>1.5860000000000001</v>
      </c>
      <c r="AB1052" s="8">
        <v>0.13800000000000001</v>
      </c>
      <c r="AC1052" s="8">
        <v>5.0000000000000001E-3</v>
      </c>
    </row>
    <row r="1053" spans="1:29" ht="11.65" x14ac:dyDescent="0.35">
      <c r="A1053" s="12">
        <v>1036</v>
      </c>
      <c r="B1053" s="10" t="s">
        <v>1015</v>
      </c>
      <c r="C1053" s="11" t="s">
        <v>1093</v>
      </c>
      <c r="D1053" s="9"/>
      <c r="E1053" s="9">
        <v>324</v>
      </c>
      <c r="F1053" s="10" t="s">
        <v>1066</v>
      </c>
      <c r="G1053" s="9">
        <v>914</v>
      </c>
      <c r="H1053" s="9">
        <v>1950</v>
      </c>
      <c r="I1053" s="8">
        <v>218.57</v>
      </c>
      <c r="J1053" s="8">
        <v>177.89099999999999</v>
      </c>
      <c r="K1053" s="8">
        <v>158</v>
      </c>
      <c r="L1053" s="8">
        <v>142.69399999999999</v>
      </c>
      <c r="M1053" s="8">
        <v>130.01499999999999</v>
      </c>
      <c r="N1053" s="8">
        <v>116.8</v>
      </c>
      <c r="O1053" s="8">
        <v>103.854</v>
      </c>
      <c r="P1053" s="8">
        <v>90.617999999999995</v>
      </c>
      <c r="Q1053" s="8">
        <v>76.156000000000006</v>
      </c>
      <c r="R1053" s="8">
        <v>65.078999999999994</v>
      </c>
      <c r="S1053" s="8">
        <v>54.784999999999997</v>
      </c>
      <c r="T1053" s="8">
        <v>46.598999999999997</v>
      </c>
      <c r="U1053" s="8">
        <v>39.715000000000003</v>
      </c>
      <c r="V1053" s="8">
        <v>36.247</v>
      </c>
      <c r="W1053" s="8">
        <v>29.012</v>
      </c>
      <c r="X1053" s="8">
        <v>14.444000000000001</v>
      </c>
      <c r="Y1053" s="8">
        <v>5.2789999999999999</v>
      </c>
      <c r="Z1053" s="8">
        <v>0.86799999999999999</v>
      </c>
      <c r="AA1053" s="8">
        <v>6.9000000000000006E-2</v>
      </c>
      <c r="AB1053" s="8">
        <v>3.0000000000000001E-3</v>
      </c>
      <c r="AC1053" s="8">
        <v>0</v>
      </c>
    </row>
    <row r="1054" spans="1:29" ht="11.65" x14ac:dyDescent="0.35">
      <c r="A1054" s="12">
        <v>1037</v>
      </c>
      <c r="B1054" s="10" t="s">
        <v>1015</v>
      </c>
      <c r="C1054" s="11" t="s">
        <v>1093</v>
      </c>
      <c r="D1054" s="9"/>
      <c r="E1054" s="9">
        <v>324</v>
      </c>
      <c r="F1054" s="10" t="s">
        <v>1066</v>
      </c>
      <c r="G1054" s="9">
        <v>914</v>
      </c>
      <c r="H1054" s="9">
        <v>1955</v>
      </c>
      <c r="I1054" s="8">
        <v>267.91699999999997</v>
      </c>
      <c r="J1054" s="8">
        <v>188.37100000000001</v>
      </c>
      <c r="K1054" s="8">
        <v>170.07400000000001</v>
      </c>
      <c r="L1054" s="8">
        <v>152.482</v>
      </c>
      <c r="M1054" s="8">
        <v>134.85599999999999</v>
      </c>
      <c r="N1054" s="8">
        <v>121.339</v>
      </c>
      <c r="O1054" s="8">
        <v>109.18600000000001</v>
      </c>
      <c r="P1054" s="8">
        <v>96.775000000000006</v>
      </c>
      <c r="Q1054" s="8">
        <v>83.519000000000005</v>
      </c>
      <c r="R1054" s="8">
        <v>69.135999999999996</v>
      </c>
      <c r="S1054" s="8">
        <v>57.779000000000003</v>
      </c>
      <c r="T1054" s="8">
        <v>46.883000000000003</v>
      </c>
      <c r="U1054" s="8">
        <v>37.356000000000002</v>
      </c>
      <c r="V1054" s="8">
        <v>28.573</v>
      </c>
      <c r="W1054" s="8">
        <v>21.91</v>
      </c>
      <c r="X1054" s="8">
        <v>13.147</v>
      </c>
      <c r="Y1054" s="8">
        <v>4.2519999999999998</v>
      </c>
      <c r="Z1054" s="8">
        <v>0.86699999999999999</v>
      </c>
      <c r="AA1054" s="8">
        <v>7.0000000000000007E-2</v>
      </c>
      <c r="AB1054" s="8">
        <v>3.0000000000000001E-3</v>
      </c>
      <c r="AC1054" s="8">
        <v>0</v>
      </c>
    </row>
    <row r="1055" spans="1:29" ht="11.65" x14ac:dyDescent="0.35">
      <c r="A1055" s="12">
        <v>1038</v>
      </c>
      <c r="B1055" s="10" t="s">
        <v>1015</v>
      </c>
      <c r="C1055" s="11" t="s">
        <v>1093</v>
      </c>
      <c r="D1055" s="9"/>
      <c r="E1055" s="9">
        <v>324</v>
      </c>
      <c r="F1055" s="10" t="s">
        <v>1066</v>
      </c>
      <c r="G1055" s="9">
        <v>914</v>
      </c>
      <c r="H1055" s="9">
        <v>1960</v>
      </c>
      <c r="I1055" s="8">
        <v>288.77199999999999</v>
      </c>
      <c r="J1055" s="8">
        <v>232.36500000000001</v>
      </c>
      <c r="K1055" s="8">
        <v>180.60499999999999</v>
      </c>
      <c r="L1055" s="8">
        <v>164.494</v>
      </c>
      <c r="M1055" s="8">
        <v>144.60300000000001</v>
      </c>
      <c r="N1055" s="8">
        <v>126.39</v>
      </c>
      <c r="O1055" s="8">
        <v>113.887</v>
      </c>
      <c r="P1055" s="8">
        <v>102.15300000000001</v>
      </c>
      <c r="Q1055" s="8">
        <v>89.596000000000004</v>
      </c>
      <c r="R1055" s="8">
        <v>76.206999999999994</v>
      </c>
      <c r="S1055" s="8">
        <v>61.741</v>
      </c>
      <c r="T1055" s="8">
        <v>49.801000000000002</v>
      </c>
      <c r="U1055" s="8">
        <v>37.957000000000001</v>
      </c>
      <c r="V1055" s="8">
        <v>27.279</v>
      </c>
      <c r="W1055" s="8">
        <v>17.664000000000001</v>
      </c>
      <c r="X1055" s="8">
        <v>10.28</v>
      </c>
      <c r="Y1055" s="8">
        <v>4.0739999999999998</v>
      </c>
      <c r="Z1055" s="8">
        <v>0.749</v>
      </c>
      <c r="AA1055" s="8">
        <v>7.3999999999999996E-2</v>
      </c>
      <c r="AB1055" s="8">
        <v>3.0000000000000001E-3</v>
      </c>
      <c r="AC1055" s="8">
        <v>0</v>
      </c>
    </row>
    <row r="1056" spans="1:29" ht="11.65" x14ac:dyDescent="0.35">
      <c r="A1056" s="12">
        <v>1039</v>
      </c>
      <c r="B1056" s="10" t="s">
        <v>1015</v>
      </c>
      <c r="C1056" s="11" t="s">
        <v>1093</v>
      </c>
      <c r="D1056" s="9"/>
      <c r="E1056" s="9">
        <v>324</v>
      </c>
      <c r="F1056" s="10" t="s">
        <v>1066</v>
      </c>
      <c r="G1056" s="9">
        <v>914</v>
      </c>
      <c r="H1056" s="9">
        <v>1965</v>
      </c>
      <c r="I1056" s="8">
        <v>310.40199999999999</v>
      </c>
      <c r="J1056" s="8">
        <v>251.893</v>
      </c>
      <c r="K1056" s="8">
        <v>223.34</v>
      </c>
      <c r="L1056" s="8">
        <v>175.01400000000001</v>
      </c>
      <c r="M1056" s="8">
        <v>156.465</v>
      </c>
      <c r="N1056" s="8">
        <v>136.03100000000001</v>
      </c>
      <c r="O1056" s="8">
        <v>119.04900000000001</v>
      </c>
      <c r="P1056" s="8">
        <v>106.932</v>
      </c>
      <c r="Q1056" s="8">
        <v>94.953999999999994</v>
      </c>
      <c r="R1056" s="8">
        <v>82.117999999999995</v>
      </c>
      <c r="S1056" s="8">
        <v>68.406000000000006</v>
      </c>
      <c r="T1056" s="8">
        <v>53.554000000000002</v>
      </c>
      <c r="U1056" s="8">
        <v>40.674999999999997</v>
      </c>
      <c r="V1056" s="8">
        <v>28.08</v>
      </c>
      <c r="W1056" s="8">
        <v>17.196000000000002</v>
      </c>
      <c r="X1056" s="8">
        <v>8.5419999999999998</v>
      </c>
      <c r="Y1056" s="8">
        <v>3.33</v>
      </c>
      <c r="Z1056" s="8">
        <v>0.76</v>
      </c>
      <c r="AA1056" s="8">
        <v>6.8000000000000005E-2</v>
      </c>
      <c r="AB1056" s="8">
        <v>3.0000000000000001E-3</v>
      </c>
      <c r="AC1056" s="8">
        <v>0</v>
      </c>
    </row>
    <row r="1057" spans="1:29" ht="11.65" x14ac:dyDescent="0.35">
      <c r="A1057" s="12">
        <v>1040</v>
      </c>
      <c r="B1057" s="10" t="s">
        <v>1015</v>
      </c>
      <c r="C1057" s="11" t="s">
        <v>1093</v>
      </c>
      <c r="D1057" s="9"/>
      <c r="E1057" s="9">
        <v>324</v>
      </c>
      <c r="F1057" s="10" t="s">
        <v>1066</v>
      </c>
      <c r="G1057" s="9">
        <v>914</v>
      </c>
      <c r="H1057" s="9">
        <v>1970</v>
      </c>
      <c r="I1057" s="8">
        <v>337.87700000000001</v>
      </c>
      <c r="J1057" s="8">
        <v>271.76900000000001</v>
      </c>
      <c r="K1057" s="8">
        <v>242.571</v>
      </c>
      <c r="L1057" s="8">
        <v>216.74799999999999</v>
      </c>
      <c r="M1057" s="8">
        <v>166.857</v>
      </c>
      <c r="N1057" s="8">
        <v>147.61000000000001</v>
      </c>
      <c r="O1057" s="8">
        <v>128.47800000000001</v>
      </c>
      <c r="P1057" s="8">
        <v>112.08199999999999</v>
      </c>
      <c r="Q1057" s="8">
        <v>99.697000000000003</v>
      </c>
      <c r="R1057" s="8">
        <v>87.325000000000003</v>
      </c>
      <c r="S1057" s="8">
        <v>74</v>
      </c>
      <c r="T1057" s="8">
        <v>59.621000000000002</v>
      </c>
      <c r="U1057" s="8">
        <v>44.031999999999996</v>
      </c>
      <c r="V1057" s="8">
        <v>30.385999999999999</v>
      </c>
      <c r="W1057" s="8">
        <v>17.963999999999999</v>
      </c>
      <c r="X1057" s="8">
        <v>8.5009999999999994</v>
      </c>
      <c r="Y1057" s="8">
        <v>2.8559999999999999</v>
      </c>
      <c r="Z1057" s="8">
        <v>0.64800000000000002</v>
      </c>
      <c r="AA1057" s="8">
        <v>7.2999999999999995E-2</v>
      </c>
      <c r="AB1057" s="8">
        <v>3.0000000000000001E-3</v>
      </c>
      <c r="AC1057" s="8">
        <v>0</v>
      </c>
    </row>
    <row r="1058" spans="1:29" ht="11.65" x14ac:dyDescent="0.35">
      <c r="A1058" s="12">
        <v>1041</v>
      </c>
      <c r="B1058" s="10" t="s">
        <v>1015</v>
      </c>
      <c r="C1058" s="11" t="s">
        <v>1093</v>
      </c>
      <c r="D1058" s="9"/>
      <c r="E1058" s="9">
        <v>324</v>
      </c>
      <c r="F1058" s="10" t="s">
        <v>1066</v>
      </c>
      <c r="G1058" s="9">
        <v>914</v>
      </c>
      <c r="H1058" s="9">
        <v>1975</v>
      </c>
      <c r="I1058" s="8">
        <v>375.512</v>
      </c>
      <c r="J1058" s="8">
        <v>296.46199999999999</v>
      </c>
      <c r="K1058" s="8">
        <v>261.16199999999998</v>
      </c>
      <c r="L1058" s="8">
        <v>231.16200000000001</v>
      </c>
      <c r="M1058" s="8">
        <v>197.41399999999999</v>
      </c>
      <c r="N1058" s="8">
        <v>145.43100000000001</v>
      </c>
      <c r="O1058" s="8">
        <v>128.30000000000001</v>
      </c>
      <c r="P1058" s="8">
        <v>112.938</v>
      </c>
      <c r="Q1058" s="8">
        <v>99.156000000000006</v>
      </c>
      <c r="R1058" s="8">
        <v>88.272000000000006</v>
      </c>
      <c r="S1058" s="8">
        <v>76.585999999999999</v>
      </c>
      <c r="T1058" s="8">
        <v>63.267000000000003</v>
      </c>
      <c r="U1058" s="8">
        <v>48.392000000000003</v>
      </c>
      <c r="V1058" s="8">
        <v>32.648000000000003</v>
      </c>
      <c r="W1058" s="8">
        <v>19.398</v>
      </c>
      <c r="X1058" s="8">
        <v>8.8930000000000007</v>
      </c>
      <c r="Y1058" s="8">
        <v>2.8250000000000002</v>
      </c>
      <c r="Z1058" s="8">
        <v>0.56599999999999995</v>
      </c>
      <c r="AA1058" s="8">
        <v>6.6000000000000003E-2</v>
      </c>
      <c r="AB1058" s="8">
        <v>4.0000000000000001E-3</v>
      </c>
      <c r="AC1058" s="8">
        <v>0</v>
      </c>
    </row>
    <row r="1059" spans="1:29" ht="11.65" x14ac:dyDescent="0.35">
      <c r="A1059" s="12">
        <v>1042</v>
      </c>
      <c r="B1059" s="10" t="s">
        <v>1015</v>
      </c>
      <c r="C1059" s="11" t="s">
        <v>1093</v>
      </c>
      <c r="D1059" s="9"/>
      <c r="E1059" s="9">
        <v>324</v>
      </c>
      <c r="F1059" s="10" t="s">
        <v>1066</v>
      </c>
      <c r="G1059" s="9">
        <v>914</v>
      </c>
      <c r="H1059" s="9">
        <v>1980</v>
      </c>
      <c r="I1059" s="8">
        <v>430.363</v>
      </c>
      <c r="J1059" s="8">
        <v>334.02499999999998</v>
      </c>
      <c r="K1059" s="8">
        <v>286.19900000000001</v>
      </c>
      <c r="L1059" s="8">
        <v>244.92500000000001</v>
      </c>
      <c r="M1059" s="8">
        <v>199.155</v>
      </c>
      <c r="N1059" s="8">
        <v>163.12299999999999</v>
      </c>
      <c r="O1059" s="8">
        <v>119.254</v>
      </c>
      <c r="P1059" s="8">
        <v>107.809</v>
      </c>
      <c r="Q1059" s="8">
        <v>96.787999999999997</v>
      </c>
      <c r="R1059" s="8">
        <v>85.884</v>
      </c>
      <c r="S1059" s="8">
        <v>76.441000000000003</v>
      </c>
      <c r="T1059" s="8">
        <v>65.141000000000005</v>
      </c>
      <c r="U1059" s="8">
        <v>51.462000000000003</v>
      </c>
      <c r="V1059" s="8">
        <v>36.270000000000003</v>
      </c>
      <c r="W1059" s="8">
        <v>21.262</v>
      </c>
      <c r="X1059" s="8">
        <v>9.92</v>
      </c>
      <c r="Y1059" s="8">
        <v>3.0760000000000001</v>
      </c>
      <c r="Z1059" s="8">
        <v>0.59599999999999997</v>
      </c>
      <c r="AA1059" s="8">
        <v>6.6000000000000003E-2</v>
      </c>
      <c r="AB1059" s="8">
        <v>4.0000000000000001E-3</v>
      </c>
      <c r="AC1059" s="8">
        <v>0</v>
      </c>
    </row>
    <row r="1060" spans="1:29" ht="11.65" x14ac:dyDescent="0.35">
      <c r="A1060" s="12">
        <v>1043</v>
      </c>
      <c r="B1060" s="10" t="s">
        <v>1015</v>
      </c>
      <c r="C1060" s="11" t="s">
        <v>1093</v>
      </c>
      <c r="D1060" s="9"/>
      <c r="E1060" s="9">
        <v>324</v>
      </c>
      <c r="F1060" s="10" t="s">
        <v>1066</v>
      </c>
      <c r="G1060" s="9">
        <v>914</v>
      </c>
      <c r="H1060" s="9">
        <v>1985</v>
      </c>
      <c r="I1060" s="8">
        <v>499.55399999999997</v>
      </c>
      <c r="J1060" s="8">
        <v>388.54</v>
      </c>
      <c r="K1060" s="8">
        <v>324.399</v>
      </c>
      <c r="L1060" s="8">
        <v>271.58600000000001</v>
      </c>
      <c r="M1060" s="8">
        <v>218.113</v>
      </c>
      <c r="N1060" s="8">
        <v>173.76900000000001</v>
      </c>
      <c r="O1060" s="8">
        <v>144.96799999999999</v>
      </c>
      <c r="P1060" s="8">
        <v>107.904</v>
      </c>
      <c r="Q1060" s="8">
        <v>100.258</v>
      </c>
      <c r="R1060" s="8">
        <v>89.463999999999999</v>
      </c>
      <c r="S1060" s="8">
        <v>78.337999999999994</v>
      </c>
      <c r="T1060" s="8">
        <v>67.998000000000005</v>
      </c>
      <c r="U1060" s="8">
        <v>55.36</v>
      </c>
      <c r="V1060" s="8">
        <v>40.527999999999999</v>
      </c>
      <c r="W1060" s="8">
        <v>25.152999999999999</v>
      </c>
      <c r="X1060" s="8">
        <v>11.859</v>
      </c>
      <c r="Y1060" s="8">
        <v>3.927</v>
      </c>
      <c r="Z1060" s="8">
        <v>0.749</v>
      </c>
      <c r="AA1060" s="8">
        <v>7.8E-2</v>
      </c>
      <c r="AB1060" s="8">
        <v>4.0000000000000001E-3</v>
      </c>
      <c r="AC1060" s="8">
        <v>0</v>
      </c>
    </row>
    <row r="1061" spans="1:29" ht="11.65" x14ac:dyDescent="0.35">
      <c r="A1061" s="12">
        <v>1044</v>
      </c>
      <c r="B1061" s="10" t="s">
        <v>1015</v>
      </c>
      <c r="C1061" s="11" t="s">
        <v>1093</v>
      </c>
      <c r="D1061" s="9"/>
      <c r="E1061" s="9">
        <v>324</v>
      </c>
      <c r="F1061" s="10" t="s">
        <v>1066</v>
      </c>
      <c r="G1061" s="9">
        <v>914</v>
      </c>
      <c r="H1061" s="9">
        <v>1990</v>
      </c>
      <c r="I1061" s="8">
        <v>586.553</v>
      </c>
      <c r="J1061" s="8">
        <v>460.18900000000002</v>
      </c>
      <c r="K1061" s="8">
        <v>382.23099999999999</v>
      </c>
      <c r="L1061" s="8">
        <v>319.90600000000001</v>
      </c>
      <c r="M1061" s="8">
        <v>265.589</v>
      </c>
      <c r="N1061" s="8">
        <v>212.27199999999999</v>
      </c>
      <c r="O1061" s="8">
        <v>168.99299999999999</v>
      </c>
      <c r="P1061" s="8">
        <v>140.52500000000001</v>
      </c>
      <c r="Q1061" s="8">
        <v>103.931</v>
      </c>
      <c r="R1061" s="8">
        <v>95.599000000000004</v>
      </c>
      <c r="S1061" s="8">
        <v>84.013000000000005</v>
      </c>
      <c r="T1061" s="8">
        <v>71.778999999999996</v>
      </c>
      <c r="U1061" s="8">
        <v>59.847999999999999</v>
      </c>
      <c r="V1061" s="8">
        <v>45.667999999999999</v>
      </c>
      <c r="W1061" s="8">
        <v>29.960999999999999</v>
      </c>
      <c r="X1061" s="8">
        <v>15.343999999999999</v>
      </c>
      <c r="Y1061" s="8">
        <v>5.3159999999999998</v>
      </c>
      <c r="Z1061" s="8">
        <v>1.1100000000000001</v>
      </c>
      <c r="AA1061" s="8">
        <v>0.114</v>
      </c>
      <c r="AB1061" s="8">
        <v>5.0000000000000001E-3</v>
      </c>
      <c r="AC1061" s="8">
        <v>0</v>
      </c>
    </row>
    <row r="1062" spans="1:29" ht="11.65" x14ac:dyDescent="0.35">
      <c r="A1062" s="12">
        <v>1045</v>
      </c>
      <c r="B1062" s="10" t="s">
        <v>1015</v>
      </c>
      <c r="C1062" s="11" t="s">
        <v>1093</v>
      </c>
      <c r="D1062" s="9"/>
      <c r="E1062" s="9">
        <v>324</v>
      </c>
      <c r="F1062" s="10" t="s">
        <v>1066</v>
      </c>
      <c r="G1062" s="9">
        <v>914</v>
      </c>
      <c r="H1062" s="9">
        <v>1995</v>
      </c>
      <c r="I1062" s="8">
        <v>672.76700000000005</v>
      </c>
      <c r="J1062" s="8">
        <v>546.07000000000005</v>
      </c>
      <c r="K1062" s="8">
        <v>453.77100000000002</v>
      </c>
      <c r="L1062" s="8">
        <v>368.68799999999999</v>
      </c>
      <c r="M1062" s="8">
        <v>291.404</v>
      </c>
      <c r="N1062" s="8">
        <v>234.91399999999999</v>
      </c>
      <c r="O1062" s="8">
        <v>191.94900000000001</v>
      </c>
      <c r="P1062" s="8">
        <v>156.97399999999999</v>
      </c>
      <c r="Q1062" s="8">
        <v>130.94399999999999</v>
      </c>
      <c r="R1062" s="8">
        <v>96.328000000000003</v>
      </c>
      <c r="S1062" s="8">
        <v>88.254000000000005</v>
      </c>
      <c r="T1062" s="8">
        <v>76.311999999999998</v>
      </c>
      <c r="U1062" s="8">
        <v>63.152999999999999</v>
      </c>
      <c r="V1062" s="8">
        <v>49.832999999999998</v>
      </c>
      <c r="W1062" s="8">
        <v>34.448999999999998</v>
      </c>
      <c r="X1062" s="8">
        <v>18.872</v>
      </c>
      <c r="Y1062" s="8">
        <v>7.1619999999999999</v>
      </c>
      <c r="Z1062" s="8">
        <v>1.5920000000000001</v>
      </c>
      <c r="AA1062" s="8">
        <v>0.182</v>
      </c>
      <c r="AB1062" s="8">
        <v>8.9999999999999993E-3</v>
      </c>
      <c r="AC1062" s="8">
        <v>0</v>
      </c>
    </row>
    <row r="1063" spans="1:29" ht="11.65" x14ac:dyDescent="0.35">
      <c r="A1063" s="12">
        <v>1046</v>
      </c>
      <c r="B1063" s="10" t="s">
        <v>1015</v>
      </c>
      <c r="C1063" s="11" t="s">
        <v>1093</v>
      </c>
      <c r="D1063" s="9"/>
      <c r="E1063" s="9">
        <v>324</v>
      </c>
      <c r="F1063" s="10" t="s">
        <v>1066</v>
      </c>
      <c r="G1063" s="9">
        <v>914</v>
      </c>
      <c r="H1063" s="9">
        <v>2000</v>
      </c>
      <c r="I1063" s="8">
        <v>753.63599999999997</v>
      </c>
      <c r="J1063" s="8">
        <v>632.61300000000006</v>
      </c>
      <c r="K1063" s="8">
        <v>536.31799999999998</v>
      </c>
      <c r="L1063" s="8">
        <v>434.12700000000001</v>
      </c>
      <c r="M1063" s="8">
        <v>333.21</v>
      </c>
      <c r="N1063" s="8">
        <v>256.23399999999998</v>
      </c>
      <c r="O1063" s="8">
        <v>207.52099999999999</v>
      </c>
      <c r="P1063" s="8">
        <v>170.88399999999999</v>
      </c>
      <c r="Q1063" s="8">
        <v>140.97900000000001</v>
      </c>
      <c r="R1063" s="8">
        <v>118.221</v>
      </c>
      <c r="S1063" s="8">
        <v>86.183000000000007</v>
      </c>
      <c r="T1063" s="8">
        <v>78.266000000000005</v>
      </c>
      <c r="U1063" s="8">
        <v>65.716999999999999</v>
      </c>
      <c r="V1063" s="8">
        <v>51.427999999999997</v>
      </c>
      <c r="W1063" s="8">
        <v>36.658000000000001</v>
      </c>
      <c r="X1063" s="8">
        <v>21.032</v>
      </c>
      <c r="Y1063" s="8">
        <v>8.4499999999999993</v>
      </c>
      <c r="Z1063" s="8">
        <v>2.056</v>
      </c>
      <c r="AA1063" s="8">
        <v>0.251</v>
      </c>
      <c r="AB1063" s="8">
        <v>1.4999999999999999E-2</v>
      </c>
      <c r="AC1063" s="8">
        <v>0</v>
      </c>
    </row>
    <row r="1064" spans="1:29" ht="11.65" x14ac:dyDescent="0.35">
      <c r="A1064" s="12">
        <v>1047</v>
      </c>
      <c r="B1064" s="10" t="s">
        <v>1015</v>
      </c>
      <c r="C1064" s="11" t="s">
        <v>1093</v>
      </c>
      <c r="D1064" s="9"/>
      <c r="E1064" s="9">
        <v>324</v>
      </c>
      <c r="F1064" s="10" t="s">
        <v>1066</v>
      </c>
      <c r="G1064" s="9">
        <v>914</v>
      </c>
      <c r="H1064" s="9">
        <v>2005</v>
      </c>
      <c r="I1064" s="8">
        <v>820.06399999999996</v>
      </c>
      <c r="J1064" s="8">
        <v>709.58299999999997</v>
      </c>
      <c r="K1064" s="8">
        <v>618.40599999999995</v>
      </c>
      <c r="L1064" s="8">
        <v>514.15200000000004</v>
      </c>
      <c r="M1064" s="8">
        <v>388.99200000000002</v>
      </c>
      <c r="N1064" s="8">
        <v>279.62599999999998</v>
      </c>
      <c r="O1064" s="8">
        <v>210.815</v>
      </c>
      <c r="P1064" s="8">
        <v>173.15299999999999</v>
      </c>
      <c r="Q1064" s="8">
        <v>145.4</v>
      </c>
      <c r="R1064" s="8">
        <v>121.59099999999999</v>
      </c>
      <c r="S1064" s="8">
        <v>102.5</v>
      </c>
      <c r="T1064" s="8">
        <v>73.361999999999995</v>
      </c>
      <c r="U1064" s="8">
        <v>65.138000000000005</v>
      </c>
      <c r="V1064" s="8">
        <v>51.677999999999997</v>
      </c>
      <c r="W1064" s="8">
        <v>36.314999999999998</v>
      </c>
      <c r="X1064" s="8">
        <v>21.263999999999999</v>
      </c>
      <c r="Y1064" s="8">
        <v>8.7989999999999995</v>
      </c>
      <c r="Z1064" s="8">
        <v>2.2599999999999998</v>
      </c>
      <c r="AA1064" s="8">
        <v>0.30199999999999999</v>
      </c>
      <c r="AB1064" s="8">
        <v>1.7000000000000001E-2</v>
      </c>
      <c r="AC1064" s="8">
        <v>0</v>
      </c>
    </row>
    <row r="1065" spans="1:29" ht="11.65" x14ac:dyDescent="0.35">
      <c r="A1065" s="12">
        <v>1048</v>
      </c>
      <c r="B1065" s="10" t="s">
        <v>1015</v>
      </c>
      <c r="C1065" s="11" t="s">
        <v>1093</v>
      </c>
      <c r="D1065" s="9"/>
      <c r="E1065" s="9">
        <v>324</v>
      </c>
      <c r="F1065" s="10" t="s">
        <v>1066</v>
      </c>
      <c r="G1065" s="9">
        <v>914</v>
      </c>
      <c r="H1065" s="9">
        <v>2010</v>
      </c>
      <c r="I1065" s="8">
        <v>890.274</v>
      </c>
      <c r="J1065" s="8">
        <v>783.846</v>
      </c>
      <c r="K1065" s="8">
        <v>694.80899999999997</v>
      </c>
      <c r="L1065" s="8">
        <v>590.6</v>
      </c>
      <c r="M1065" s="8">
        <v>457.73599999999999</v>
      </c>
      <c r="N1065" s="8">
        <v>331.803</v>
      </c>
      <c r="O1065" s="8">
        <v>244.52500000000001</v>
      </c>
      <c r="P1065" s="8">
        <v>188.83</v>
      </c>
      <c r="Q1065" s="8">
        <v>156.25299999999999</v>
      </c>
      <c r="R1065" s="8">
        <v>131.71600000000001</v>
      </c>
      <c r="S1065" s="8">
        <v>109.697</v>
      </c>
      <c r="T1065" s="8">
        <v>91.070999999999998</v>
      </c>
      <c r="U1065" s="8">
        <v>62.795999999999999</v>
      </c>
      <c r="V1065" s="8">
        <v>52.719000000000001</v>
      </c>
      <c r="W1065" s="8">
        <v>37.673000000000002</v>
      </c>
      <c r="X1065" s="8">
        <v>21.89</v>
      </c>
      <c r="Y1065" s="8">
        <v>9.3800000000000008</v>
      </c>
      <c r="Z1065" s="8">
        <v>2.4790000000000001</v>
      </c>
      <c r="AA1065" s="8">
        <v>0.34499999999999997</v>
      </c>
      <c r="AB1065" s="8">
        <v>2.1999999999999999E-2</v>
      </c>
      <c r="AC1065" s="8">
        <v>1E-3</v>
      </c>
    </row>
    <row r="1066" spans="1:29" ht="11.65" x14ac:dyDescent="0.35">
      <c r="A1066" s="12">
        <v>1049</v>
      </c>
      <c r="B1066" s="10" t="s">
        <v>1015</v>
      </c>
      <c r="C1066" s="11" t="s">
        <v>1093</v>
      </c>
      <c r="D1066" s="9"/>
      <c r="E1066" s="9">
        <v>324</v>
      </c>
      <c r="F1066" s="10" t="s">
        <v>1066</v>
      </c>
      <c r="G1066" s="9">
        <v>914</v>
      </c>
      <c r="H1066" s="9">
        <v>2015</v>
      </c>
      <c r="I1066" s="8">
        <v>961.947</v>
      </c>
      <c r="J1066" s="8">
        <v>858.65700000000004</v>
      </c>
      <c r="K1066" s="8">
        <v>771.15</v>
      </c>
      <c r="L1066" s="8">
        <v>671.76499999999999</v>
      </c>
      <c r="M1066" s="8">
        <v>542.39</v>
      </c>
      <c r="N1066" s="8">
        <v>407.56299999999999</v>
      </c>
      <c r="O1066" s="8">
        <v>299.00200000000001</v>
      </c>
      <c r="P1066" s="8">
        <v>222.517</v>
      </c>
      <c r="Q1066" s="8">
        <v>172.20400000000001</v>
      </c>
      <c r="R1066" s="8">
        <v>142.85</v>
      </c>
      <c r="S1066" s="8">
        <v>119.94799999999999</v>
      </c>
      <c r="T1066" s="8">
        <v>98.394999999999996</v>
      </c>
      <c r="U1066" s="8">
        <v>79.207999999999998</v>
      </c>
      <c r="V1066" s="8">
        <v>51.505000000000003</v>
      </c>
      <c r="W1066" s="8">
        <v>39.238</v>
      </c>
      <c r="X1066" s="8">
        <v>23.387</v>
      </c>
      <c r="Y1066" s="8">
        <v>10.044</v>
      </c>
      <c r="Z1066" s="8">
        <v>2.7719999999999998</v>
      </c>
      <c r="AA1066" s="8">
        <v>0.4</v>
      </c>
      <c r="AB1066" s="8">
        <v>2.5000000000000001E-2</v>
      </c>
      <c r="AC1066" s="8">
        <v>1E-3</v>
      </c>
    </row>
    <row r="1067" spans="1:29" ht="11.65" x14ac:dyDescent="0.35">
      <c r="A1067" s="12">
        <v>1050</v>
      </c>
      <c r="B1067" s="10" t="s">
        <v>1015</v>
      </c>
      <c r="C1067" s="11" t="s">
        <v>1093</v>
      </c>
      <c r="D1067" s="9"/>
      <c r="E1067" s="9">
        <v>324</v>
      </c>
      <c r="F1067" s="10" t="s">
        <v>1066</v>
      </c>
      <c r="G1067" s="9">
        <v>914</v>
      </c>
      <c r="H1067" s="9">
        <v>2020</v>
      </c>
      <c r="I1067" s="8">
        <v>1057.2929999999999</v>
      </c>
      <c r="J1067" s="8">
        <v>938.90700000000004</v>
      </c>
      <c r="K1067" s="8">
        <v>850.29899999999998</v>
      </c>
      <c r="L1067" s="8">
        <v>763.31600000000003</v>
      </c>
      <c r="M1067" s="8">
        <v>659.75099999999998</v>
      </c>
      <c r="N1067" s="8">
        <v>530.33600000000001</v>
      </c>
      <c r="O1067" s="8">
        <v>398.44799999999998</v>
      </c>
      <c r="P1067" s="8">
        <v>291.64999999999998</v>
      </c>
      <c r="Q1067" s="8">
        <v>215.946</v>
      </c>
      <c r="R1067" s="8">
        <v>165.71</v>
      </c>
      <c r="S1067" s="8">
        <v>135.64099999999999</v>
      </c>
      <c r="T1067" s="8">
        <v>111.417</v>
      </c>
      <c r="U1067" s="8">
        <v>88.173000000000002</v>
      </c>
      <c r="V1067" s="8">
        <v>67.003</v>
      </c>
      <c r="W1067" s="8">
        <v>39.423999999999999</v>
      </c>
      <c r="X1067" s="8">
        <v>25.135000000000002</v>
      </c>
      <c r="Y1067" s="8">
        <v>11.204000000000001</v>
      </c>
      <c r="Z1067" s="8">
        <v>3.09</v>
      </c>
      <c r="AA1067" s="8">
        <v>0.45900000000000002</v>
      </c>
      <c r="AB1067" s="8">
        <v>3.1E-2</v>
      </c>
      <c r="AC1067" s="8">
        <v>1E-3</v>
      </c>
    </row>
    <row r="1068" spans="1:29" ht="11.65" x14ac:dyDescent="0.35">
      <c r="A1068" s="12">
        <v>1051</v>
      </c>
      <c r="B1068" s="10" t="s">
        <v>1015</v>
      </c>
      <c r="C1068" s="11" t="s">
        <v>1094</v>
      </c>
      <c r="D1068" s="9"/>
      <c r="E1068" s="9">
        <v>624</v>
      </c>
      <c r="F1068" s="10" t="s">
        <v>1066</v>
      </c>
      <c r="G1068" s="9">
        <v>914</v>
      </c>
      <c r="H1068" s="9">
        <v>1950</v>
      </c>
      <c r="I1068" s="8">
        <v>41.173999999999999</v>
      </c>
      <c r="J1068" s="8">
        <v>32.734999999999999</v>
      </c>
      <c r="K1068" s="8">
        <v>26.82</v>
      </c>
      <c r="L1068" s="8">
        <v>24.873999999999999</v>
      </c>
      <c r="M1068" s="8">
        <v>23.670999999999999</v>
      </c>
      <c r="N1068" s="8">
        <v>22.846</v>
      </c>
      <c r="O1068" s="8">
        <v>20.751000000000001</v>
      </c>
      <c r="P1068" s="8">
        <v>18.274000000000001</v>
      </c>
      <c r="Q1068" s="8">
        <v>14.675000000000001</v>
      </c>
      <c r="R1068" s="8">
        <v>10.365</v>
      </c>
      <c r="S1068" s="8">
        <v>8.7629999999999999</v>
      </c>
      <c r="T1068" s="8">
        <v>6.2789999999999999</v>
      </c>
      <c r="U1068" s="8">
        <v>5.01</v>
      </c>
      <c r="V1068" s="8">
        <v>3.9449999999999998</v>
      </c>
      <c r="W1068" s="8">
        <v>2.5489999999999999</v>
      </c>
      <c r="X1068" s="8">
        <v>1.3220000000000001</v>
      </c>
      <c r="Y1068" s="8">
        <v>0.44400000000000001</v>
      </c>
      <c r="Z1068" s="8">
        <v>0.14599999999999999</v>
      </c>
      <c r="AA1068" s="8">
        <v>2.8000000000000001E-2</v>
      </c>
      <c r="AB1068" s="8">
        <v>3.0000000000000001E-3</v>
      </c>
      <c r="AC1068" s="8">
        <v>0</v>
      </c>
    </row>
    <row r="1069" spans="1:29" ht="11.65" x14ac:dyDescent="0.35">
      <c r="A1069" s="12">
        <v>1052</v>
      </c>
      <c r="B1069" s="10" t="s">
        <v>1015</v>
      </c>
      <c r="C1069" s="11" t="s">
        <v>1094</v>
      </c>
      <c r="D1069" s="9"/>
      <c r="E1069" s="9">
        <v>624</v>
      </c>
      <c r="F1069" s="10" t="s">
        <v>1066</v>
      </c>
      <c r="G1069" s="9">
        <v>914</v>
      </c>
      <c r="H1069" s="9">
        <v>1955</v>
      </c>
      <c r="I1069" s="8">
        <v>48.552</v>
      </c>
      <c r="J1069" s="8">
        <v>34.594000000000001</v>
      </c>
      <c r="K1069" s="8">
        <v>30.324999999999999</v>
      </c>
      <c r="L1069" s="8">
        <v>25.271999999999998</v>
      </c>
      <c r="M1069" s="8">
        <v>23.196000000000002</v>
      </c>
      <c r="N1069" s="8">
        <v>21.826000000000001</v>
      </c>
      <c r="O1069" s="8">
        <v>20.983000000000001</v>
      </c>
      <c r="P1069" s="8">
        <v>18.925000000000001</v>
      </c>
      <c r="Q1069" s="8">
        <v>16.5</v>
      </c>
      <c r="R1069" s="8">
        <v>13.113</v>
      </c>
      <c r="S1069" s="8">
        <v>9.1240000000000006</v>
      </c>
      <c r="T1069" s="8">
        <v>7.5780000000000003</v>
      </c>
      <c r="U1069" s="8">
        <v>5.2450000000000001</v>
      </c>
      <c r="V1069" s="8">
        <v>3.9489999999999998</v>
      </c>
      <c r="W1069" s="8">
        <v>2.823</v>
      </c>
      <c r="X1069" s="8">
        <v>1.5580000000000001</v>
      </c>
      <c r="Y1069" s="8">
        <v>0.628</v>
      </c>
      <c r="Z1069" s="8">
        <v>0.14199999999999999</v>
      </c>
      <c r="AA1069" s="8">
        <v>2.7E-2</v>
      </c>
      <c r="AB1069" s="8">
        <v>3.0000000000000001E-3</v>
      </c>
      <c r="AC1069" s="8">
        <v>0</v>
      </c>
    </row>
    <row r="1070" spans="1:29" ht="11.65" x14ac:dyDescent="0.35">
      <c r="A1070" s="12">
        <v>1053</v>
      </c>
      <c r="B1070" s="10" t="s">
        <v>1015</v>
      </c>
      <c r="C1070" s="11" t="s">
        <v>1094</v>
      </c>
      <c r="D1070" s="9"/>
      <c r="E1070" s="9">
        <v>624</v>
      </c>
      <c r="F1070" s="10" t="s">
        <v>1066</v>
      </c>
      <c r="G1070" s="9">
        <v>914</v>
      </c>
      <c r="H1070" s="9">
        <v>1960</v>
      </c>
      <c r="I1070" s="8">
        <v>49.341000000000001</v>
      </c>
      <c r="J1070" s="8">
        <v>41.27</v>
      </c>
      <c r="K1070" s="8">
        <v>32.189</v>
      </c>
      <c r="L1070" s="8">
        <v>28.695</v>
      </c>
      <c r="M1070" s="8">
        <v>23.645</v>
      </c>
      <c r="N1070" s="8">
        <v>21.478999999999999</v>
      </c>
      <c r="O1070" s="8">
        <v>20.126999999999999</v>
      </c>
      <c r="P1070" s="8">
        <v>19.225999999999999</v>
      </c>
      <c r="Q1070" s="8">
        <v>17.164000000000001</v>
      </c>
      <c r="R1070" s="8">
        <v>14.811999999999999</v>
      </c>
      <c r="S1070" s="8">
        <v>11.612</v>
      </c>
      <c r="T1070" s="8">
        <v>7.9109999999999996</v>
      </c>
      <c r="U1070" s="8">
        <v>6.3639999999999999</v>
      </c>
      <c r="V1070" s="8">
        <v>4.1509999999999998</v>
      </c>
      <c r="W1070" s="8">
        <v>2.8380000000000001</v>
      </c>
      <c r="X1070" s="8">
        <v>1.7330000000000001</v>
      </c>
      <c r="Y1070" s="8">
        <v>0.745</v>
      </c>
      <c r="Z1070" s="8">
        <v>0.20200000000000001</v>
      </c>
      <c r="AA1070" s="8">
        <v>2.5999999999999999E-2</v>
      </c>
      <c r="AB1070" s="8">
        <v>3.0000000000000001E-3</v>
      </c>
      <c r="AC1070" s="8">
        <v>0</v>
      </c>
    </row>
    <row r="1071" spans="1:29" ht="11.65" x14ac:dyDescent="0.35">
      <c r="A1071" s="12">
        <v>1054</v>
      </c>
      <c r="B1071" s="10" t="s">
        <v>1015</v>
      </c>
      <c r="C1071" s="11" t="s">
        <v>1094</v>
      </c>
      <c r="D1071" s="9"/>
      <c r="E1071" s="9">
        <v>624</v>
      </c>
      <c r="F1071" s="10" t="s">
        <v>1066</v>
      </c>
      <c r="G1071" s="9">
        <v>914</v>
      </c>
      <c r="H1071" s="9">
        <v>1965</v>
      </c>
      <c r="I1071" s="8">
        <v>51.116999999999997</v>
      </c>
      <c r="J1071" s="8">
        <v>41.710999999999999</v>
      </c>
      <c r="K1071" s="8">
        <v>38.058999999999997</v>
      </c>
      <c r="L1071" s="8">
        <v>30.024999999999999</v>
      </c>
      <c r="M1071" s="8">
        <v>26.530999999999999</v>
      </c>
      <c r="N1071" s="8">
        <v>21.614000000000001</v>
      </c>
      <c r="O1071" s="8">
        <v>19.571999999999999</v>
      </c>
      <c r="P1071" s="8">
        <v>18.219000000000001</v>
      </c>
      <c r="Q1071" s="8">
        <v>17.238</v>
      </c>
      <c r="R1071" s="8">
        <v>15.221</v>
      </c>
      <c r="S1071" s="8">
        <v>12.959</v>
      </c>
      <c r="T1071" s="8">
        <v>9.9600000000000009</v>
      </c>
      <c r="U1071" s="8">
        <v>6.55</v>
      </c>
      <c r="V1071" s="8">
        <v>4.9870000000000001</v>
      </c>
      <c r="W1071" s="8">
        <v>2.9460000000000002</v>
      </c>
      <c r="X1071" s="8">
        <v>1.7230000000000001</v>
      </c>
      <c r="Y1071" s="8">
        <v>0.81699999999999995</v>
      </c>
      <c r="Z1071" s="8">
        <v>0.23599999999999999</v>
      </c>
      <c r="AA1071" s="8">
        <v>3.6999999999999998E-2</v>
      </c>
      <c r="AB1071" s="8">
        <v>2E-3</v>
      </c>
      <c r="AC1071" s="8">
        <v>0</v>
      </c>
    </row>
    <row r="1072" spans="1:29" ht="11.65" x14ac:dyDescent="0.35">
      <c r="A1072" s="12">
        <v>1055</v>
      </c>
      <c r="B1072" s="10" t="s">
        <v>1015</v>
      </c>
      <c r="C1072" s="11" t="s">
        <v>1094</v>
      </c>
      <c r="D1072" s="9"/>
      <c r="E1072" s="9">
        <v>624</v>
      </c>
      <c r="F1072" s="10" t="s">
        <v>1066</v>
      </c>
      <c r="G1072" s="9">
        <v>914</v>
      </c>
      <c r="H1072" s="9">
        <v>1970</v>
      </c>
      <c r="I1072" s="8">
        <v>56.261000000000003</v>
      </c>
      <c r="J1072" s="8">
        <v>44.722000000000001</v>
      </c>
      <c r="K1072" s="8">
        <v>39.445999999999998</v>
      </c>
      <c r="L1072" s="8">
        <v>36.44</v>
      </c>
      <c r="M1072" s="8">
        <v>28.422999999999998</v>
      </c>
      <c r="N1072" s="8">
        <v>24.88</v>
      </c>
      <c r="O1072" s="8">
        <v>20.177</v>
      </c>
      <c r="P1072" s="8">
        <v>18.152000000000001</v>
      </c>
      <c r="Q1072" s="8">
        <v>16.728000000000002</v>
      </c>
      <c r="R1072" s="8">
        <v>15.664</v>
      </c>
      <c r="S1072" s="8">
        <v>13.63</v>
      </c>
      <c r="T1072" s="8">
        <v>11.369</v>
      </c>
      <c r="U1072" s="8">
        <v>8.4450000000000003</v>
      </c>
      <c r="V1072" s="8">
        <v>5.2279999999999998</v>
      </c>
      <c r="W1072" s="8">
        <v>3.609</v>
      </c>
      <c r="X1072" s="8">
        <v>1.8149999999999999</v>
      </c>
      <c r="Y1072" s="8">
        <v>0.81899999999999995</v>
      </c>
      <c r="Z1072" s="8">
        <v>0.25600000000000001</v>
      </c>
      <c r="AA1072" s="8">
        <v>4.1000000000000002E-2</v>
      </c>
      <c r="AB1072" s="8">
        <v>3.0000000000000001E-3</v>
      </c>
      <c r="AC1072" s="8">
        <v>0</v>
      </c>
    </row>
    <row r="1073" spans="1:29" ht="11.65" x14ac:dyDescent="0.35">
      <c r="A1073" s="12">
        <v>1056</v>
      </c>
      <c r="B1073" s="10" t="s">
        <v>1015</v>
      </c>
      <c r="C1073" s="11" t="s">
        <v>1094</v>
      </c>
      <c r="D1073" s="9"/>
      <c r="E1073" s="9">
        <v>624</v>
      </c>
      <c r="F1073" s="10" t="s">
        <v>1066</v>
      </c>
      <c r="G1073" s="9">
        <v>914</v>
      </c>
      <c r="H1073" s="9">
        <v>1975</v>
      </c>
      <c r="I1073" s="8">
        <v>63.725000000000001</v>
      </c>
      <c r="J1073" s="8">
        <v>49.32</v>
      </c>
      <c r="K1073" s="8">
        <v>42.061999999999998</v>
      </c>
      <c r="L1073" s="8">
        <v>37.475000000000001</v>
      </c>
      <c r="M1073" s="8">
        <v>34.292000000000002</v>
      </c>
      <c r="N1073" s="8">
        <v>26.446999999999999</v>
      </c>
      <c r="O1073" s="8">
        <v>23.079000000000001</v>
      </c>
      <c r="P1073" s="8">
        <v>18.574999999999999</v>
      </c>
      <c r="Q1073" s="8">
        <v>16.555</v>
      </c>
      <c r="R1073" s="8">
        <v>15.09</v>
      </c>
      <c r="S1073" s="8">
        <v>13.926</v>
      </c>
      <c r="T1073" s="8">
        <v>11.864000000000001</v>
      </c>
      <c r="U1073" s="8">
        <v>9.5649999999999995</v>
      </c>
      <c r="V1073" s="8">
        <v>6.694</v>
      </c>
      <c r="W1073" s="8">
        <v>3.746</v>
      </c>
      <c r="X1073" s="8">
        <v>2.2010000000000001</v>
      </c>
      <c r="Y1073" s="8">
        <v>0.84899999999999998</v>
      </c>
      <c r="Z1073" s="8">
        <v>0.252</v>
      </c>
      <c r="AA1073" s="8">
        <v>4.3999999999999997E-2</v>
      </c>
      <c r="AB1073" s="8">
        <v>3.0000000000000001E-3</v>
      </c>
      <c r="AC1073" s="8">
        <v>0</v>
      </c>
    </row>
    <row r="1074" spans="1:29" ht="11.65" x14ac:dyDescent="0.35">
      <c r="A1074" s="12">
        <v>1057</v>
      </c>
      <c r="B1074" s="10" t="s">
        <v>1015</v>
      </c>
      <c r="C1074" s="11" t="s">
        <v>1094</v>
      </c>
      <c r="D1074" s="9"/>
      <c r="E1074" s="9">
        <v>624</v>
      </c>
      <c r="F1074" s="10" t="s">
        <v>1066</v>
      </c>
      <c r="G1074" s="9">
        <v>914</v>
      </c>
      <c r="H1074" s="9">
        <v>1980</v>
      </c>
      <c r="I1074" s="8">
        <v>72.224999999999994</v>
      </c>
      <c r="J1074" s="8">
        <v>54.552</v>
      </c>
      <c r="K1074" s="8">
        <v>43.319000000000003</v>
      </c>
      <c r="L1074" s="8">
        <v>37.470999999999997</v>
      </c>
      <c r="M1074" s="8">
        <v>33.052999999999997</v>
      </c>
      <c r="N1074" s="8">
        <v>29.46</v>
      </c>
      <c r="O1074" s="8">
        <v>21.305</v>
      </c>
      <c r="P1074" s="8">
        <v>17.841999999999999</v>
      </c>
      <c r="Q1074" s="8">
        <v>13.845000000000001</v>
      </c>
      <c r="R1074" s="8">
        <v>12.212</v>
      </c>
      <c r="S1074" s="8">
        <v>10.708</v>
      </c>
      <c r="T1074" s="8">
        <v>9.1210000000000004</v>
      </c>
      <c r="U1074" s="8">
        <v>7.806</v>
      </c>
      <c r="V1074" s="8">
        <v>6.1829999999999998</v>
      </c>
      <c r="W1074" s="8">
        <v>4.0220000000000002</v>
      </c>
      <c r="X1074" s="8">
        <v>2.0329999999999999</v>
      </c>
      <c r="Y1074" s="8">
        <v>0.99099999999999999</v>
      </c>
      <c r="Z1074" s="8">
        <v>0.25800000000000001</v>
      </c>
      <c r="AA1074" s="8">
        <v>0.04</v>
      </c>
      <c r="AB1074" s="8">
        <v>3.0000000000000001E-3</v>
      </c>
      <c r="AC1074" s="8">
        <v>0</v>
      </c>
    </row>
    <row r="1075" spans="1:29" ht="11.65" x14ac:dyDescent="0.35">
      <c r="A1075" s="12">
        <v>1058</v>
      </c>
      <c r="B1075" s="10" t="s">
        <v>1015</v>
      </c>
      <c r="C1075" s="11" t="s">
        <v>1094</v>
      </c>
      <c r="D1075" s="9"/>
      <c r="E1075" s="9">
        <v>624</v>
      </c>
      <c r="F1075" s="10" t="s">
        <v>1066</v>
      </c>
      <c r="G1075" s="9">
        <v>914</v>
      </c>
      <c r="H1075" s="9">
        <v>1985</v>
      </c>
      <c r="I1075" s="8">
        <v>84.194000000000003</v>
      </c>
      <c r="J1075" s="8">
        <v>63.643000000000001</v>
      </c>
      <c r="K1075" s="8">
        <v>50.920999999999999</v>
      </c>
      <c r="L1075" s="8">
        <v>40.671999999999997</v>
      </c>
      <c r="M1075" s="8">
        <v>34.847000000000001</v>
      </c>
      <c r="N1075" s="8">
        <v>30.466000000000001</v>
      </c>
      <c r="O1075" s="8">
        <v>27.055</v>
      </c>
      <c r="P1075" s="8">
        <v>19.315999999999999</v>
      </c>
      <c r="Q1075" s="8">
        <v>16.032</v>
      </c>
      <c r="R1075" s="8">
        <v>12.272</v>
      </c>
      <c r="S1075" s="8">
        <v>10.672000000000001</v>
      </c>
      <c r="T1075" s="8">
        <v>9.1449999999999996</v>
      </c>
      <c r="U1075" s="8">
        <v>7.5110000000000001</v>
      </c>
      <c r="V1075" s="8">
        <v>6.06</v>
      </c>
      <c r="W1075" s="8">
        <v>4.3550000000000004</v>
      </c>
      <c r="X1075" s="8">
        <v>2.4060000000000001</v>
      </c>
      <c r="Y1075" s="8">
        <v>0.92700000000000005</v>
      </c>
      <c r="Z1075" s="8">
        <v>0.29699999999999999</v>
      </c>
      <c r="AA1075" s="8">
        <v>0.04</v>
      </c>
      <c r="AB1075" s="8">
        <v>3.0000000000000001E-3</v>
      </c>
      <c r="AC1075" s="8">
        <v>0</v>
      </c>
    </row>
    <row r="1076" spans="1:29" ht="11.65" x14ac:dyDescent="0.35">
      <c r="A1076" s="12">
        <v>1059</v>
      </c>
      <c r="B1076" s="10" t="s">
        <v>1015</v>
      </c>
      <c r="C1076" s="11" t="s">
        <v>1094</v>
      </c>
      <c r="D1076" s="9"/>
      <c r="E1076" s="9">
        <v>624</v>
      </c>
      <c r="F1076" s="10" t="s">
        <v>1066</v>
      </c>
      <c r="G1076" s="9">
        <v>914</v>
      </c>
      <c r="H1076" s="9">
        <v>1990</v>
      </c>
      <c r="I1076" s="8">
        <v>90.668999999999997</v>
      </c>
      <c r="J1076" s="8">
        <v>75.132000000000005</v>
      </c>
      <c r="K1076" s="8">
        <v>59.926000000000002</v>
      </c>
      <c r="L1076" s="8">
        <v>48.234999999999999</v>
      </c>
      <c r="M1076" s="8">
        <v>38.11</v>
      </c>
      <c r="N1076" s="8">
        <v>32.384</v>
      </c>
      <c r="O1076" s="8">
        <v>28.189</v>
      </c>
      <c r="P1076" s="8">
        <v>24.876000000000001</v>
      </c>
      <c r="Q1076" s="8">
        <v>17.498999999999999</v>
      </c>
      <c r="R1076" s="8">
        <v>14.378</v>
      </c>
      <c r="S1076" s="8">
        <v>10.808999999999999</v>
      </c>
      <c r="T1076" s="8">
        <v>9.2070000000000007</v>
      </c>
      <c r="U1076" s="8">
        <v>7.6159999999999997</v>
      </c>
      <c r="V1076" s="8">
        <v>5.8769999999999998</v>
      </c>
      <c r="W1076" s="8">
        <v>4.2949999999999999</v>
      </c>
      <c r="X1076" s="8">
        <v>2.6230000000000002</v>
      </c>
      <c r="Y1076" s="8">
        <v>1.1040000000000001</v>
      </c>
      <c r="Z1076" s="8">
        <v>0.27700000000000002</v>
      </c>
      <c r="AA1076" s="8">
        <v>4.4999999999999998E-2</v>
      </c>
      <c r="AB1076" s="8">
        <v>3.0000000000000001E-3</v>
      </c>
      <c r="AC1076" s="8">
        <v>0</v>
      </c>
    </row>
    <row r="1077" spans="1:29" ht="11.65" x14ac:dyDescent="0.35">
      <c r="A1077" s="12">
        <v>1060</v>
      </c>
      <c r="B1077" s="10" t="s">
        <v>1015</v>
      </c>
      <c r="C1077" s="11" t="s">
        <v>1094</v>
      </c>
      <c r="D1077" s="9"/>
      <c r="E1077" s="9">
        <v>624</v>
      </c>
      <c r="F1077" s="10" t="s">
        <v>1066</v>
      </c>
      <c r="G1077" s="9">
        <v>914</v>
      </c>
      <c r="H1077" s="9">
        <v>1995</v>
      </c>
      <c r="I1077" s="8">
        <v>97.447000000000003</v>
      </c>
      <c r="J1077" s="8">
        <v>81.570999999999998</v>
      </c>
      <c r="K1077" s="8">
        <v>71.096000000000004</v>
      </c>
      <c r="L1077" s="8">
        <v>56.970999999999997</v>
      </c>
      <c r="M1077" s="8">
        <v>45.417000000000002</v>
      </c>
      <c r="N1077" s="8">
        <v>35.542999999999999</v>
      </c>
      <c r="O1077" s="8">
        <v>30.076000000000001</v>
      </c>
      <c r="P1077" s="8">
        <v>25.991</v>
      </c>
      <c r="Q1077" s="8">
        <v>22.728000000000002</v>
      </c>
      <c r="R1077" s="8">
        <v>15.731999999999999</v>
      </c>
      <c r="S1077" s="8">
        <v>12.737</v>
      </c>
      <c r="T1077" s="8">
        <v>9.3469999999999995</v>
      </c>
      <c r="U1077" s="8">
        <v>7.702</v>
      </c>
      <c r="V1077" s="8">
        <v>5.99</v>
      </c>
      <c r="W1077" s="8">
        <v>4.1740000000000004</v>
      </c>
      <c r="X1077" s="8">
        <v>2.5880000000000001</v>
      </c>
      <c r="Y1077" s="8">
        <v>1.2030000000000001</v>
      </c>
      <c r="Z1077" s="8">
        <v>0.32800000000000001</v>
      </c>
      <c r="AA1077" s="8">
        <v>4.2000000000000003E-2</v>
      </c>
      <c r="AB1077" s="8">
        <v>3.0000000000000001E-3</v>
      </c>
      <c r="AC1077" s="8">
        <v>0</v>
      </c>
    </row>
    <row r="1078" spans="1:29" ht="11.65" x14ac:dyDescent="0.35">
      <c r="A1078" s="12">
        <v>1061</v>
      </c>
      <c r="B1078" s="10" t="s">
        <v>1015</v>
      </c>
      <c r="C1078" s="11" t="s">
        <v>1094</v>
      </c>
      <c r="D1078" s="9"/>
      <c r="E1078" s="9">
        <v>624</v>
      </c>
      <c r="F1078" s="10" t="s">
        <v>1066</v>
      </c>
      <c r="G1078" s="9">
        <v>914</v>
      </c>
      <c r="H1078" s="9">
        <v>2000</v>
      </c>
      <c r="I1078" s="8">
        <v>104.02800000000001</v>
      </c>
      <c r="J1078" s="8">
        <v>89.552999999999997</v>
      </c>
      <c r="K1078" s="8">
        <v>78.200999999999993</v>
      </c>
      <c r="L1078" s="8">
        <v>67.296000000000006</v>
      </c>
      <c r="M1078" s="8">
        <v>52.484000000000002</v>
      </c>
      <c r="N1078" s="8">
        <v>41.399000000000001</v>
      </c>
      <c r="O1078" s="8">
        <v>32.104999999999997</v>
      </c>
      <c r="P1078" s="8">
        <v>26.643000000000001</v>
      </c>
      <c r="Q1078" s="8">
        <v>22.356999999999999</v>
      </c>
      <c r="R1078" s="8">
        <v>19.748999999999999</v>
      </c>
      <c r="S1078" s="8">
        <v>13.622</v>
      </c>
      <c r="T1078" s="8">
        <v>10.994999999999999</v>
      </c>
      <c r="U1078" s="8">
        <v>7.8929999999999998</v>
      </c>
      <c r="V1078" s="8">
        <v>6.1189999999999998</v>
      </c>
      <c r="W1078" s="8">
        <v>4.2930000000000001</v>
      </c>
      <c r="X1078" s="8">
        <v>2.524</v>
      </c>
      <c r="Y1078" s="8">
        <v>1.1830000000000001</v>
      </c>
      <c r="Z1078" s="8">
        <v>0.35099999999999998</v>
      </c>
      <c r="AA1078" s="8">
        <v>4.8000000000000001E-2</v>
      </c>
      <c r="AB1078" s="8">
        <v>3.0000000000000001E-3</v>
      </c>
      <c r="AC1078" s="8">
        <v>0</v>
      </c>
    </row>
    <row r="1079" spans="1:29" ht="11.65" x14ac:dyDescent="0.35">
      <c r="A1079" s="12">
        <v>1062</v>
      </c>
      <c r="B1079" s="10" t="s">
        <v>1015</v>
      </c>
      <c r="C1079" s="11" t="s">
        <v>1094</v>
      </c>
      <c r="D1079" s="9"/>
      <c r="E1079" s="9">
        <v>624</v>
      </c>
      <c r="F1079" s="10" t="s">
        <v>1066</v>
      </c>
      <c r="G1079" s="9">
        <v>914</v>
      </c>
      <c r="H1079" s="9">
        <v>2005</v>
      </c>
      <c r="I1079" s="8">
        <v>113.33499999999999</v>
      </c>
      <c r="J1079" s="8">
        <v>96.260999999999996</v>
      </c>
      <c r="K1079" s="8">
        <v>85.65</v>
      </c>
      <c r="L1079" s="8">
        <v>74.337000000000003</v>
      </c>
      <c r="M1079" s="8">
        <v>62.598999999999997</v>
      </c>
      <c r="N1079" s="8">
        <v>48.597000000000001</v>
      </c>
      <c r="O1079" s="8">
        <v>39.125999999999998</v>
      </c>
      <c r="P1079" s="8">
        <v>30.041</v>
      </c>
      <c r="Q1079" s="8">
        <v>24.651</v>
      </c>
      <c r="R1079" s="8">
        <v>20.437999999999999</v>
      </c>
      <c r="S1079" s="8">
        <v>17.783000000000001</v>
      </c>
      <c r="T1079" s="8">
        <v>11.959</v>
      </c>
      <c r="U1079" s="8">
        <v>9.3320000000000007</v>
      </c>
      <c r="V1079" s="8">
        <v>6.2910000000000004</v>
      </c>
      <c r="W1079" s="8">
        <v>4.4050000000000002</v>
      </c>
      <c r="X1079" s="8">
        <v>2.6080000000000001</v>
      </c>
      <c r="Y1079" s="8">
        <v>1.153</v>
      </c>
      <c r="Z1079" s="8">
        <v>0.34200000000000003</v>
      </c>
      <c r="AA1079" s="8">
        <v>4.9000000000000002E-2</v>
      </c>
      <c r="AB1079" s="8">
        <v>3.0000000000000001E-3</v>
      </c>
      <c r="AC1079" s="8">
        <v>0</v>
      </c>
    </row>
    <row r="1080" spans="1:29" ht="11.65" x14ac:dyDescent="0.35">
      <c r="A1080" s="12">
        <v>1063</v>
      </c>
      <c r="B1080" s="10" t="s">
        <v>1015</v>
      </c>
      <c r="C1080" s="11" t="s">
        <v>1094</v>
      </c>
      <c r="D1080" s="9"/>
      <c r="E1080" s="9">
        <v>624</v>
      </c>
      <c r="F1080" s="10" t="s">
        <v>1066</v>
      </c>
      <c r="G1080" s="9">
        <v>914</v>
      </c>
      <c r="H1080" s="9">
        <v>2010</v>
      </c>
      <c r="I1080" s="8">
        <v>128.31100000000001</v>
      </c>
      <c r="J1080" s="8">
        <v>107.36499999999999</v>
      </c>
      <c r="K1080" s="8">
        <v>93.433000000000007</v>
      </c>
      <c r="L1080" s="8">
        <v>83.3</v>
      </c>
      <c r="M1080" s="8">
        <v>71.713999999999999</v>
      </c>
      <c r="N1080" s="8">
        <v>59.905000000000001</v>
      </c>
      <c r="O1080" s="8">
        <v>46.179000000000002</v>
      </c>
      <c r="P1080" s="8">
        <v>36.835999999999999</v>
      </c>
      <c r="Q1080" s="8">
        <v>27.937999999999999</v>
      </c>
      <c r="R1080" s="8">
        <v>22.652999999999999</v>
      </c>
      <c r="S1080" s="8">
        <v>18.46</v>
      </c>
      <c r="T1080" s="8">
        <v>15.7</v>
      </c>
      <c r="U1080" s="8">
        <v>10.153</v>
      </c>
      <c r="V1080" s="8">
        <v>7.4329999999999998</v>
      </c>
      <c r="W1080" s="8">
        <v>4.4989999999999997</v>
      </c>
      <c r="X1080" s="8">
        <v>2.6419999999999999</v>
      </c>
      <c r="Y1080" s="8">
        <v>1.1619999999999999</v>
      </c>
      <c r="Z1080" s="8">
        <v>0.317</v>
      </c>
      <c r="AA1080" s="8">
        <v>4.4999999999999998E-2</v>
      </c>
      <c r="AB1080" s="8">
        <v>3.0000000000000001E-3</v>
      </c>
      <c r="AC1080" s="8">
        <v>0</v>
      </c>
    </row>
    <row r="1081" spans="1:29" ht="11.65" x14ac:dyDescent="0.35">
      <c r="A1081" s="12">
        <v>1064</v>
      </c>
      <c r="B1081" s="10" t="s">
        <v>1015</v>
      </c>
      <c r="C1081" s="11" t="s">
        <v>1094</v>
      </c>
      <c r="D1081" s="9"/>
      <c r="E1081" s="9">
        <v>624</v>
      </c>
      <c r="F1081" s="10" t="s">
        <v>1066</v>
      </c>
      <c r="G1081" s="9">
        <v>914</v>
      </c>
      <c r="H1081" s="9">
        <v>2015</v>
      </c>
      <c r="I1081" s="8">
        <v>143.48500000000001</v>
      </c>
      <c r="J1081" s="8">
        <v>123.786</v>
      </c>
      <c r="K1081" s="8">
        <v>105.301</v>
      </c>
      <c r="L1081" s="8">
        <v>91.73</v>
      </c>
      <c r="M1081" s="8">
        <v>81.162000000000006</v>
      </c>
      <c r="N1081" s="8">
        <v>69.369</v>
      </c>
      <c r="O1081" s="8">
        <v>57.616999999999997</v>
      </c>
      <c r="P1081" s="8">
        <v>44.031999999999996</v>
      </c>
      <c r="Q1081" s="8">
        <v>34.753999999999998</v>
      </c>
      <c r="R1081" s="8">
        <v>26.045999999999999</v>
      </c>
      <c r="S1081" s="8">
        <v>20.754999999999999</v>
      </c>
      <c r="T1081" s="8">
        <v>16.510999999999999</v>
      </c>
      <c r="U1081" s="8">
        <v>13.528</v>
      </c>
      <c r="V1081" s="8">
        <v>8.1839999999999993</v>
      </c>
      <c r="W1081" s="8">
        <v>5.3769999999999998</v>
      </c>
      <c r="X1081" s="8">
        <v>2.7189999999999999</v>
      </c>
      <c r="Y1081" s="8">
        <v>1.18</v>
      </c>
      <c r="Z1081" s="8">
        <v>0.316</v>
      </c>
      <c r="AA1081" s="8">
        <v>0.04</v>
      </c>
      <c r="AB1081" s="8">
        <v>2E-3</v>
      </c>
      <c r="AC1081" s="8">
        <v>0</v>
      </c>
    </row>
    <row r="1082" spans="1:29" ht="11.65" x14ac:dyDescent="0.35">
      <c r="A1082" s="12">
        <v>1065</v>
      </c>
      <c r="B1082" s="10" t="s">
        <v>1015</v>
      </c>
      <c r="C1082" s="11" t="s">
        <v>1094</v>
      </c>
      <c r="D1082" s="9"/>
      <c r="E1082" s="9">
        <v>624</v>
      </c>
      <c r="F1082" s="10" t="s">
        <v>1066</v>
      </c>
      <c r="G1082" s="9">
        <v>914</v>
      </c>
      <c r="H1082" s="9">
        <v>2020</v>
      </c>
      <c r="I1082" s="8">
        <v>153.94200000000001</v>
      </c>
      <c r="J1082" s="8">
        <v>139.57499999999999</v>
      </c>
      <c r="K1082" s="8">
        <v>121.86</v>
      </c>
      <c r="L1082" s="8">
        <v>103.64100000000001</v>
      </c>
      <c r="M1082" s="8">
        <v>89.632999999999996</v>
      </c>
      <c r="N1082" s="8">
        <v>78.805999999999997</v>
      </c>
      <c r="O1082" s="8">
        <v>66.994</v>
      </c>
      <c r="P1082" s="8">
        <v>55.195999999999998</v>
      </c>
      <c r="Q1082" s="8">
        <v>41.750999999999998</v>
      </c>
      <c r="R1082" s="8">
        <v>32.576000000000001</v>
      </c>
      <c r="S1082" s="8">
        <v>23.975000000000001</v>
      </c>
      <c r="T1082" s="8">
        <v>18.638000000000002</v>
      </c>
      <c r="U1082" s="8">
        <v>14.276999999999999</v>
      </c>
      <c r="V1082" s="8">
        <v>10.956</v>
      </c>
      <c r="W1082" s="8">
        <v>5.9569999999999999</v>
      </c>
      <c r="X1082" s="8">
        <v>3.2909999999999999</v>
      </c>
      <c r="Y1082" s="8">
        <v>1.2450000000000001</v>
      </c>
      <c r="Z1082" s="8">
        <v>0.33800000000000002</v>
      </c>
      <c r="AA1082" s="8">
        <v>4.2000000000000003E-2</v>
      </c>
      <c r="AB1082" s="8">
        <v>2E-3</v>
      </c>
      <c r="AC1082" s="8">
        <v>0</v>
      </c>
    </row>
    <row r="1083" spans="1:29" ht="11.65" x14ac:dyDescent="0.35">
      <c r="A1083" s="12">
        <v>1066</v>
      </c>
      <c r="B1083" s="10" t="s">
        <v>1015</v>
      </c>
      <c r="C1083" s="11" t="s">
        <v>1095</v>
      </c>
      <c r="D1083" s="9"/>
      <c r="E1083" s="9">
        <v>430</v>
      </c>
      <c r="F1083" s="10" t="s">
        <v>1066</v>
      </c>
      <c r="G1083" s="9">
        <v>914</v>
      </c>
      <c r="H1083" s="9">
        <v>1950</v>
      </c>
      <c r="I1083" s="8">
        <v>73.024000000000001</v>
      </c>
      <c r="J1083" s="8">
        <v>65.748999999999995</v>
      </c>
      <c r="K1083" s="8">
        <v>57.194000000000003</v>
      </c>
      <c r="L1083" s="8">
        <v>49.881</v>
      </c>
      <c r="M1083" s="8">
        <v>43.414999999999999</v>
      </c>
      <c r="N1083" s="8">
        <v>38.923999999999999</v>
      </c>
      <c r="O1083" s="8">
        <v>33.540999999999997</v>
      </c>
      <c r="P1083" s="8">
        <v>28.669</v>
      </c>
      <c r="Q1083" s="8">
        <v>23.609000000000002</v>
      </c>
      <c r="R1083" s="8">
        <v>19.434999999999999</v>
      </c>
      <c r="S1083" s="8">
        <v>15.441000000000001</v>
      </c>
      <c r="T1083" s="8">
        <v>12.146000000000001</v>
      </c>
      <c r="U1083" s="8">
        <v>9.0519999999999996</v>
      </c>
      <c r="V1083" s="8">
        <v>6.5140000000000002</v>
      </c>
      <c r="W1083" s="8">
        <v>4.13</v>
      </c>
      <c r="X1083" s="8">
        <v>2.1280000000000001</v>
      </c>
      <c r="Y1083" s="8">
        <v>0.73599999999999999</v>
      </c>
      <c r="Z1083" s="8">
        <v>0.24299999999999999</v>
      </c>
      <c r="AA1083" s="8">
        <v>4.7E-2</v>
      </c>
      <c r="AB1083" s="8">
        <v>5.0000000000000001E-3</v>
      </c>
      <c r="AC1083" s="8">
        <v>0</v>
      </c>
    </row>
    <row r="1084" spans="1:29" ht="11.65" x14ac:dyDescent="0.35">
      <c r="A1084" s="12">
        <v>1067</v>
      </c>
      <c r="B1084" s="10" t="s">
        <v>1015</v>
      </c>
      <c r="C1084" s="11" t="s">
        <v>1095</v>
      </c>
      <c r="D1084" s="9"/>
      <c r="E1084" s="9">
        <v>430</v>
      </c>
      <c r="F1084" s="10" t="s">
        <v>1066</v>
      </c>
      <c r="G1084" s="9">
        <v>914</v>
      </c>
      <c r="H1084" s="9">
        <v>1955</v>
      </c>
      <c r="I1084" s="8">
        <v>86.103999999999999</v>
      </c>
      <c r="J1084" s="8">
        <v>60.281999999999996</v>
      </c>
      <c r="K1084" s="8">
        <v>60.777000000000001</v>
      </c>
      <c r="L1084" s="8">
        <v>54.268999999999998</v>
      </c>
      <c r="M1084" s="8">
        <v>46.808999999999997</v>
      </c>
      <c r="N1084" s="8">
        <v>40.159999999999997</v>
      </c>
      <c r="O1084" s="8">
        <v>35.801000000000002</v>
      </c>
      <c r="P1084" s="8">
        <v>30.596</v>
      </c>
      <c r="Q1084" s="8">
        <v>25.849</v>
      </c>
      <c r="R1084" s="8">
        <v>21.061</v>
      </c>
      <c r="S1084" s="8">
        <v>17.131</v>
      </c>
      <c r="T1084" s="8">
        <v>13.36</v>
      </c>
      <c r="U1084" s="8">
        <v>10.169</v>
      </c>
      <c r="V1084" s="8">
        <v>7.1529999999999996</v>
      </c>
      <c r="W1084" s="8">
        <v>4.6710000000000003</v>
      </c>
      <c r="X1084" s="8">
        <v>2.536</v>
      </c>
      <c r="Y1084" s="8">
        <v>1.026</v>
      </c>
      <c r="Z1084" s="8">
        <v>0.24299999999999999</v>
      </c>
      <c r="AA1084" s="8">
        <v>4.9000000000000002E-2</v>
      </c>
      <c r="AB1084" s="8">
        <v>6.0000000000000001E-3</v>
      </c>
      <c r="AC1084" s="8">
        <v>0</v>
      </c>
    </row>
    <row r="1085" spans="1:29" ht="11.65" x14ac:dyDescent="0.35">
      <c r="A1085" s="12">
        <v>1068</v>
      </c>
      <c r="B1085" s="10" t="s">
        <v>1015</v>
      </c>
      <c r="C1085" s="11" t="s">
        <v>1095</v>
      </c>
      <c r="D1085" s="9"/>
      <c r="E1085" s="9">
        <v>430</v>
      </c>
      <c r="F1085" s="10" t="s">
        <v>1066</v>
      </c>
      <c r="G1085" s="9">
        <v>914</v>
      </c>
      <c r="H1085" s="9">
        <v>1960</v>
      </c>
      <c r="I1085" s="8">
        <v>98.418000000000006</v>
      </c>
      <c r="J1085" s="8">
        <v>72.424999999999997</v>
      </c>
      <c r="K1085" s="8">
        <v>56.545000000000002</v>
      </c>
      <c r="L1085" s="8">
        <v>58.311</v>
      </c>
      <c r="M1085" s="8">
        <v>51.506</v>
      </c>
      <c r="N1085" s="8">
        <v>43.838999999999999</v>
      </c>
      <c r="O1085" s="8">
        <v>37.421999999999997</v>
      </c>
      <c r="P1085" s="8">
        <v>33.097999999999999</v>
      </c>
      <c r="Q1085" s="8">
        <v>27.972999999999999</v>
      </c>
      <c r="R1085" s="8">
        <v>23.382999999999999</v>
      </c>
      <c r="S1085" s="8">
        <v>18.817</v>
      </c>
      <c r="T1085" s="8">
        <v>15.016999999999999</v>
      </c>
      <c r="U1085" s="8">
        <v>11.33</v>
      </c>
      <c r="V1085" s="8">
        <v>8.1349999999999998</v>
      </c>
      <c r="W1085" s="8">
        <v>5.1929999999999996</v>
      </c>
      <c r="X1085" s="8">
        <v>2.9</v>
      </c>
      <c r="Y1085" s="8">
        <v>1.2330000000000001</v>
      </c>
      <c r="Z1085" s="8">
        <v>0.34</v>
      </c>
      <c r="AA1085" s="8">
        <v>4.7E-2</v>
      </c>
      <c r="AB1085" s="8">
        <v>5.0000000000000001E-3</v>
      </c>
      <c r="AC1085" s="8">
        <v>0</v>
      </c>
    </row>
    <row r="1086" spans="1:29" ht="11.65" x14ac:dyDescent="0.35">
      <c r="A1086" s="12">
        <v>1069</v>
      </c>
      <c r="B1086" s="10" t="s">
        <v>1015</v>
      </c>
      <c r="C1086" s="11" t="s">
        <v>1095</v>
      </c>
      <c r="D1086" s="9"/>
      <c r="E1086" s="9">
        <v>430</v>
      </c>
      <c r="F1086" s="10" t="s">
        <v>1066</v>
      </c>
      <c r="G1086" s="9">
        <v>914</v>
      </c>
      <c r="H1086" s="9">
        <v>1965</v>
      </c>
      <c r="I1086" s="8">
        <v>111.137</v>
      </c>
      <c r="J1086" s="8">
        <v>83.828999999999994</v>
      </c>
      <c r="K1086" s="8">
        <v>68.355000000000004</v>
      </c>
      <c r="L1086" s="8">
        <v>54.488</v>
      </c>
      <c r="M1086" s="8">
        <v>55.536000000000001</v>
      </c>
      <c r="N1086" s="8">
        <v>48.468000000000004</v>
      </c>
      <c r="O1086" s="8">
        <v>41.067999999999998</v>
      </c>
      <c r="P1086" s="8">
        <v>34.805999999999997</v>
      </c>
      <c r="Q1086" s="8">
        <v>30.456</v>
      </c>
      <c r="R1086" s="8">
        <v>25.472999999999999</v>
      </c>
      <c r="S1086" s="8">
        <v>21.015999999999998</v>
      </c>
      <c r="T1086" s="8">
        <v>16.588000000000001</v>
      </c>
      <c r="U1086" s="8">
        <v>12.804</v>
      </c>
      <c r="V1086" s="8">
        <v>9.1140000000000008</v>
      </c>
      <c r="W1086" s="8">
        <v>5.9359999999999999</v>
      </c>
      <c r="X1086" s="8">
        <v>3.2389999999999999</v>
      </c>
      <c r="Y1086" s="8">
        <v>1.413</v>
      </c>
      <c r="Z1086" s="8">
        <v>0.40699999999999997</v>
      </c>
      <c r="AA1086" s="8">
        <v>6.4000000000000001E-2</v>
      </c>
      <c r="AB1086" s="8">
        <v>5.0000000000000001E-3</v>
      </c>
      <c r="AC1086" s="8">
        <v>0</v>
      </c>
    </row>
    <row r="1087" spans="1:29" ht="11.65" x14ac:dyDescent="0.35">
      <c r="A1087" s="12">
        <v>1070</v>
      </c>
      <c r="B1087" s="10" t="s">
        <v>1015</v>
      </c>
      <c r="C1087" s="11" t="s">
        <v>1095</v>
      </c>
      <c r="D1087" s="9"/>
      <c r="E1087" s="9">
        <v>430</v>
      </c>
      <c r="F1087" s="10" t="s">
        <v>1066</v>
      </c>
      <c r="G1087" s="9">
        <v>914</v>
      </c>
      <c r="H1087" s="9">
        <v>1970</v>
      </c>
      <c r="I1087" s="8">
        <v>126.36199999999999</v>
      </c>
      <c r="J1087" s="8">
        <v>97.150999999999996</v>
      </c>
      <c r="K1087" s="8">
        <v>80.072999999999993</v>
      </c>
      <c r="L1087" s="8">
        <v>66.275000000000006</v>
      </c>
      <c r="M1087" s="8">
        <v>52.29</v>
      </c>
      <c r="N1087" s="8">
        <v>52.698</v>
      </c>
      <c r="O1087" s="8">
        <v>45.813000000000002</v>
      </c>
      <c r="P1087" s="8">
        <v>38.561999999999998</v>
      </c>
      <c r="Q1087" s="8">
        <v>32.359000000000002</v>
      </c>
      <c r="R1087" s="8">
        <v>28.015000000000001</v>
      </c>
      <c r="S1087" s="8">
        <v>23.108000000000001</v>
      </c>
      <c r="T1087" s="8">
        <v>18.684000000000001</v>
      </c>
      <c r="U1087" s="8">
        <v>14.26</v>
      </c>
      <c r="V1087" s="8">
        <v>10.375</v>
      </c>
      <c r="W1087" s="8">
        <v>6.6929999999999996</v>
      </c>
      <c r="X1087" s="8">
        <v>3.7160000000000002</v>
      </c>
      <c r="Y1087" s="8">
        <v>1.573</v>
      </c>
      <c r="Z1087" s="8">
        <v>0.45800000000000002</v>
      </c>
      <c r="AA1087" s="8">
        <v>7.3999999999999996E-2</v>
      </c>
      <c r="AB1087" s="8">
        <v>6.0000000000000001E-3</v>
      </c>
      <c r="AC1087" s="8">
        <v>0</v>
      </c>
    </row>
    <row r="1088" spans="1:29" ht="11.65" x14ac:dyDescent="0.35">
      <c r="A1088" s="12">
        <v>1071</v>
      </c>
      <c r="B1088" s="10" t="s">
        <v>1015</v>
      </c>
      <c r="C1088" s="11" t="s">
        <v>1095</v>
      </c>
      <c r="D1088" s="9"/>
      <c r="E1088" s="9">
        <v>430</v>
      </c>
      <c r="F1088" s="10" t="s">
        <v>1066</v>
      </c>
      <c r="G1088" s="9">
        <v>914</v>
      </c>
      <c r="H1088" s="9">
        <v>1975</v>
      </c>
      <c r="I1088" s="8">
        <v>147.536</v>
      </c>
      <c r="J1088" s="8">
        <v>113.191</v>
      </c>
      <c r="K1088" s="8">
        <v>93.888000000000005</v>
      </c>
      <c r="L1088" s="8">
        <v>78.230999999999995</v>
      </c>
      <c r="M1088" s="8">
        <v>64.094999999999999</v>
      </c>
      <c r="N1088" s="8">
        <v>50.133000000000003</v>
      </c>
      <c r="O1088" s="8">
        <v>50.305999999999997</v>
      </c>
      <c r="P1088" s="8">
        <v>43.478999999999999</v>
      </c>
      <c r="Q1088" s="8">
        <v>36.262999999999998</v>
      </c>
      <c r="R1088" s="8">
        <v>30.12</v>
      </c>
      <c r="S1088" s="8">
        <v>25.7</v>
      </c>
      <c r="T1088" s="8">
        <v>20.768000000000001</v>
      </c>
      <c r="U1088" s="8">
        <v>16.234000000000002</v>
      </c>
      <c r="V1088" s="8">
        <v>11.675000000000001</v>
      </c>
      <c r="W1088" s="8">
        <v>7.6989999999999998</v>
      </c>
      <c r="X1088" s="8">
        <v>4.2270000000000003</v>
      </c>
      <c r="Y1088" s="8">
        <v>1.81</v>
      </c>
      <c r="Z1088" s="8">
        <v>0.50600000000000001</v>
      </c>
      <c r="AA1088" s="8">
        <v>7.9000000000000001E-2</v>
      </c>
      <c r="AB1088" s="8">
        <v>6.0000000000000001E-3</v>
      </c>
      <c r="AC1088" s="8">
        <v>0</v>
      </c>
    </row>
    <row r="1089" spans="1:29" ht="11.65" x14ac:dyDescent="0.35">
      <c r="A1089" s="12">
        <v>1072</v>
      </c>
      <c r="B1089" s="10" t="s">
        <v>1015</v>
      </c>
      <c r="C1089" s="11" t="s">
        <v>1095</v>
      </c>
      <c r="D1089" s="9"/>
      <c r="E1089" s="9">
        <v>430</v>
      </c>
      <c r="F1089" s="10" t="s">
        <v>1066</v>
      </c>
      <c r="G1089" s="9">
        <v>914</v>
      </c>
      <c r="H1089" s="9">
        <v>1980</v>
      </c>
      <c r="I1089" s="8">
        <v>172.81399999999999</v>
      </c>
      <c r="J1089" s="8">
        <v>134.71799999999999</v>
      </c>
      <c r="K1089" s="8">
        <v>110.43</v>
      </c>
      <c r="L1089" s="8">
        <v>92.286000000000001</v>
      </c>
      <c r="M1089" s="8">
        <v>76.197999999999993</v>
      </c>
      <c r="N1089" s="8">
        <v>61.975999999999999</v>
      </c>
      <c r="O1089" s="8">
        <v>48.38</v>
      </c>
      <c r="P1089" s="8">
        <v>48.283000000000001</v>
      </c>
      <c r="Q1089" s="8">
        <v>41.417000000000002</v>
      </c>
      <c r="R1089" s="8">
        <v>34.220999999999997</v>
      </c>
      <c r="S1089" s="8">
        <v>28.029</v>
      </c>
      <c r="T1089" s="8">
        <v>23.437000000000001</v>
      </c>
      <c r="U1089" s="8">
        <v>18.337</v>
      </c>
      <c r="V1089" s="8">
        <v>13.532</v>
      </c>
      <c r="W1089" s="8">
        <v>8.85</v>
      </c>
      <c r="X1089" s="8">
        <v>4.9790000000000001</v>
      </c>
      <c r="Y1089" s="8">
        <v>2.1120000000000001</v>
      </c>
      <c r="Z1089" s="8">
        <v>0.59599999999999997</v>
      </c>
      <c r="AA1089" s="8">
        <v>8.7999999999999995E-2</v>
      </c>
      <c r="AB1089" s="8">
        <v>6.0000000000000001E-3</v>
      </c>
      <c r="AC1089" s="8">
        <v>0</v>
      </c>
    </row>
    <row r="1090" spans="1:29" ht="11.65" x14ac:dyDescent="0.35">
      <c r="A1090" s="12">
        <v>1073</v>
      </c>
      <c r="B1090" s="10" t="s">
        <v>1015</v>
      </c>
      <c r="C1090" s="11" t="s">
        <v>1095</v>
      </c>
      <c r="D1090" s="9"/>
      <c r="E1090" s="9">
        <v>430</v>
      </c>
      <c r="F1090" s="10" t="s">
        <v>1066</v>
      </c>
      <c r="G1090" s="9">
        <v>914</v>
      </c>
      <c r="H1090" s="9">
        <v>1985</v>
      </c>
      <c r="I1090" s="8">
        <v>200.68199999999999</v>
      </c>
      <c r="J1090" s="8">
        <v>158.655</v>
      </c>
      <c r="K1090" s="8">
        <v>131.255</v>
      </c>
      <c r="L1090" s="8">
        <v>108.205</v>
      </c>
      <c r="M1090" s="8">
        <v>89.679000000000002</v>
      </c>
      <c r="N1090" s="8">
        <v>73.578000000000003</v>
      </c>
      <c r="O1090" s="8">
        <v>59.713999999999999</v>
      </c>
      <c r="P1090" s="8">
        <v>46.412999999999997</v>
      </c>
      <c r="Q1090" s="8">
        <v>45.991999999999997</v>
      </c>
      <c r="R1090" s="8">
        <v>39.100999999999999</v>
      </c>
      <c r="S1090" s="8">
        <v>31.872</v>
      </c>
      <c r="T1090" s="8">
        <v>25.605</v>
      </c>
      <c r="U1090" s="8">
        <v>20.751999999999999</v>
      </c>
      <c r="V1090" s="8">
        <v>15.359</v>
      </c>
      <c r="W1090" s="8">
        <v>10.332000000000001</v>
      </c>
      <c r="X1090" s="8">
        <v>5.7850000000000001</v>
      </c>
      <c r="Y1090" s="8">
        <v>2.5219999999999998</v>
      </c>
      <c r="Z1090" s="8">
        <v>0.70599999999999996</v>
      </c>
      <c r="AA1090" s="8">
        <v>0.104</v>
      </c>
      <c r="AB1090" s="8">
        <v>6.0000000000000001E-3</v>
      </c>
      <c r="AC1090" s="8">
        <v>0</v>
      </c>
    </row>
    <row r="1091" spans="1:29" ht="11.65" x14ac:dyDescent="0.35">
      <c r="A1091" s="12">
        <v>1074</v>
      </c>
      <c r="B1091" s="10" t="s">
        <v>1015</v>
      </c>
      <c r="C1091" s="11" t="s">
        <v>1095</v>
      </c>
      <c r="D1091" s="9"/>
      <c r="E1091" s="9">
        <v>430</v>
      </c>
      <c r="F1091" s="10" t="s">
        <v>1066</v>
      </c>
      <c r="G1091" s="9">
        <v>914</v>
      </c>
      <c r="H1091" s="9">
        <v>1990</v>
      </c>
      <c r="I1091" s="8">
        <v>185.08199999999999</v>
      </c>
      <c r="J1091" s="8">
        <v>155.01</v>
      </c>
      <c r="K1091" s="8">
        <v>130.57300000000001</v>
      </c>
      <c r="L1091" s="8">
        <v>108.556</v>
      </c>
      <c r="M1091" s="8">
        <v>88.709000000000003</v>
      </c>
      <c r="N1091" s="8">
        <v>73.120999999999995</v>
      </c>
      <c r="O1091" s="8">
        <v>59.851999999999997</v>
      </c>
      <c r="P1091" s="8">
        <v>48.402999999999999</v>
      </c>
      <c r="Q1091" s="8">
        <v>36.880000000000003</v>
      </c>
      <c r="R1091" s="8">
        <v>36.938000000000002</v>
      </c>
      <c r="S1091" s="8">
        <v>30.831</v>
      </c>
      <c r="T1091" s="8">
        <v>24.634</v>
      </c>
      <c r="U1091" s="8">
        <v>19.187999999999999</v>
      </c>
      <c r="V1091" s="8">
        <v>14.808999999999999</v>
      </c>
      <c r="W1091" s="8">
        <v>10.019</v>
      </c>
      <c r="X1091" s="8">
        <v>5.82</v>
      </c>
      <c r="Y1091" s="8">
        <v>2.5489999999999999</v>
      </c>
      <c r="Z1091" s="8">
        <v>0.747</v>
      </c>
      <c r="AA1091" s="8">
        <v>0.113</v>
      </c>
      <c r="AB1091" s="8">
        <v>8.0000000000000002E-3</v>
      </c>
      <c r="AC1091" s="8">
        <v>0</v>
      </c>
    </row>
    <row r="1092" spans="1:29" ht="11.65" x14ac:dyDescent="0.35">
      <c r="A1092" s="12">
        <v>1075</v>
      </c>
      <c r="B1092" s="10" t="s">
        <v>1015</v>
      </c>
      <c r="C1092" s="11" t="s">
        <v>1095</v>
      </c>
      <c r="D1092" s="9"/>
      <c r="E1092" s="9">
        <v>430</v>
      </c>
      <c r="F1092" s="10" t="s">
        <v>1066</v>
      </c>
      <c r="G1092" s="9">
        <v>914</v>
      </c>
      <c r="H1092" s="9">
        <v>1995</v>
      </c>
      <c r="I1092" s="8">
        <v>171.7</v>
      </c>
      <c r="J1092" s="8">
        <v>146.54300000000001</v>
      </c>
      <c r="K1092" s="8">
        <v>131.80799999999999</v>
      </c>
      <c r="L1092" s="8">
        <v>111.401</v>
      </c>
      <c r="M1092" s="8">
        <v>91.893000000000001</v>
      </c>
      <c r="N1092" s="8">
        <v>74.533000000000001</v>
      </c>
      <c r="O1092" s="8">
        <v>61.293999999999997</v>
      </c>
      <c r="P1092" s="8">
        <v>49.917999999999999</v>
      </c>
      <c r="Q1092" s="8">
        <v>40.125999999999998</v>
      </c>
      <c r="R1092" s="8">
        <v>29.948</v>
      </c>
      <c r="S1092" s="8">
        <v>30.167999999999999</v>
      </c>
      <c r="T1092" s="8">
        <v>24.606999999999999</v>
      </c>
      <c r="U1092" s="8">
        <v>19.091999999999999</v>
      </c>
      <c r="V1092" s="8">
        <v>14.122</v>
      </c>
      <c r="W1092" s="8">
        <v>10.045</v>
      </c>
      <c r="X1092" s="8">
        <v>5.8869999999999996</v>
      </c>
      <c r="Y1092" s="8">
        <v>2.7029999999999998</v>
      </c>
      <c r="Z1092" s="8">
        <v>0.80200000000000005</v>
      </c>
      <c r="AA1092" s="8">
        <v>0.13</v>
      </c>
      <c r="AB1092" s="8">
        <v>8.9999999999999993E-3</v>
      </c>
      <c r="AC1092" s="8">
        <v>0</v>
      </c>
    </row>
    <row r="1093" spans="1:29" ht="11.65" x14ac:dyDescent="0.35">
      <c r="A1093" s="12">
        <v>1076</v>
      </c>
      <c r="B1093" s="10" t="s">
        <v>1015</v>
      </c>
      <c r="C1093" s="11" t="s">
        <v>1095</v>
      </c>
      <c r="D1093" s="9"/>
      <c r="E1093" s="9">
        <v>430</v>
      </c>
      <c r="F1093" s="10" t="s">
        <v>1066</v>
      </c>
      <c r="G1093" s="9">
        <v>914</v>
      </c>
      <c r="H1093" s="9">
        <v>2000</v>
      </c>
      <c r="I1093" s="8">
        <v>245.92400000000001</v>
      </c>
      <c r="J1093" s="8">
        <v>195.124</v>
      </c>
      <c r="K1093" s="8">
        <v>174.56100000000001</v>
      </c>
      <c r="L1093" s="8">
        <v>157.08000000000001</v>
      </c>
      <c r="M1093" s="8">
        <v>132.255</v>
      </c>
      <c r="N1093" s="8">
        <v>108.575</v>
      </c>
      <c r="O1093" s="8">
        <v>87.933000000000007</v>
      </c>
      <c r="P1093" s="8">
        <v>71.912999999999997</v>
      </c>
      <c r="Q1093" s="8">
        <v>58.188000000000002</v>
      </c>
      <c r="R1093" s="8">
        <v>46.317999999999998</v>
      </c>
      <c r="S1093" s="8">
        <v>34.707000000000001</v>
      </c>
      <c r="T1093" s="8">
        <v>33.591999999999999</v>
      </c>
      <c r="U1093" s="8">
        <v>26.87</v>
      </c>
      <c r="V1093" s="8">
        <v>19.87</v>
      </c>
      <c r="W1093" s="8">
        <v>13.551</v>
      </c>
      <c r="X1093" s="8">
        <v>8.3409999999999993</v>
      </c>
      <c r="Y1093" s="8">
        <v>3.8660000000000001</v>
      </c>
      <c r="Z1093" s="8">
        <v>1.194</v>
      </c>
      <c r="AA1093" s="8">
        <v>0.191</v>
      </c>
      <c r="AB1093" s="8">
        <v>1.4999999999999999E-2</v>
      </c>
      <c r="AC1093" s="8">
        <v>1E-3</v>
      </c>
    </row>
    <row r="1094" spans="1:29" ht="11.65" x14ac:dyDescent="0.35">
      <c r="A1094" s="12">
        <v>1077</v>
      </c>
      <c r="B1094" s="10" t="s">
        <v>1015</v>
      </c>
      <c r="C1094" s="11" t="s">
        <v>1095</v>
      </c>
      <c r="D1094" s="9"/>
      <c r="E1094" s="9">
        <v>430</v>
      </c>
      <c r="F1094" s="10" t="s">
        <v>1066</v>
      </c>
      <c r="G1094" s="9">
        <v>914</v>
      </c>
      <c r="H1094" s="9">
        <v>2005</v>
      </c>
      <c r="I1094" s="8">
        <v>281.01</v>
      </c>
      <c r="J1094" s="8">
        <v>230.834</v>
      </c>
      <c r="K1094" s="8">
        <v>188.76300000000001</v>
      </c>
      <c r="L1094" s="8">
        <v>169.29</v>
      </c>
      <c r="M1094" s="8">
        <v>151.28800000000001</v>
      </c>
      <c r="N1094" s="8">
        <v>126.533</v>
      </c>
      <c r="O1094" s="8">
        <v>103.41500000000001</v>
      </c>
      <c r="P1094" s="8">
        <v>83.180999999999997</v>
      </c>
      <c r="Q1094" s="8">
        <v>67.438000000000002</v>
      </c>
      <c r="R1094" s="8">
        <v>54.03</v>
      </c>
      <c r="S1094" s="8">
        <v>42.383000000000003</v>
      </c>
      <c r="T1094" s="8">
        <v>31.07</v>
      </c>
      <c r="U1094" s="8">
        <v>29.152000000000001</v>
      </c>
      <c r="V1094" s="8">
        <v>21.98</v>
      </c>
      <c r="W1094" s="8">
        <v>14.741</v>
      </c>
      <c r="X1094" s="8">
        <v>8.5350000000000001</v>
      </c>
      <c r="Y1094" s="8">
        <v>3.9929999999999999</v>
      </c>
      <c r="Z1094" s="8">
        <v>1.17</v>
      </c>
      <c r="AA1094" s="8">
        <v>0.17499999999999999</v>
      </c>
      <c r="AB1094" s="8">
        <v>1.2E-2</v>
      </c>
      <c r="AC1094" s="8">
        <v>1E-3</v>
      </c>
    </row>
    <row r="1095" spans="1:29" ht="11.65" x14ac:dyDescent="0.35">
      <c r="A1095" s="12">
        <v>1078</v>
      </c>
      <c r="B1095" s="10" t="s">
        <v>1015</v>
      </c>
      <c r="C1095" s="11" t="s">
        <v>1095</v>
      </c>
      <c r="D1095" s="9"/>
      <c r="E1095" s="9">
        <v>430</v>
      </c>
      <c r="F1095" s="10" t="s">
        <v>1066</v>
      </c>
      <c r="G1095" s="9">
        <v>914</v>
      </c>
      <c r="H1095" s="9">
        <v>2010</v>
      </c>
      <c r="I1095" s="8">
        <v>327.20100000000002</v>
      </c>
      <c r="J1095" s="8">
        <v>285.37099999999998</v>
      </c>
      <c r="K1095" s="8">
        <v>238.95599999999999</v>
      </c>
      <c r="L1095" s="8">
        <v>195.95599999999999</v>
      </c>
      <c r="M1095" s="8">
        <v>174.24700000000001</v>
      </c>
      <c r="N1095" s="8">
        <v>155.01599999999999</v>
      </c>
      <c r="O1095" s="8">
        <v>129.65899999999999</v>
      </c>
      <c r="P1095" s="8">
        <v>105.715</v>
      </c>
      <c r="Q1095" s="8">
        <v>84.623000000000005</v>
      </c>
      <c r="R1095" s="8">
        <v>68.043000000000006</v>
      </c>
      <c r="S1095" s="8">
        <v>53.735999999999997</v>
      </c>
      <c r="T1095" s="8">
        <v>41.265999999999998</v>
      </c>
      <c r="U1095" s="8">
        <v>29.376000000000001</v>
      </c>
      <c r="V1095" s="8">
        <v>25.809000000000001</v>
      </c>
      <c r="W1095" s="8">
        <v>17.638999999999999</v>
      </c>
      <c r="X1095" s="8">
        <v>9.9830000000000005</v>
      </c>
      <c r="Y1095" s="8">
        <v>4.3470000000000004</v>
      </c>
      <c r="Z1095" s="8">
        <v>1.27</v>
      </c>
      <c r="AA1095" s="8">
        <v>0.17199999999999999</v>
      </c>
      <c r="AB1095" s="8">
        <v>8.9999999999999993E-3</v>
      </c>
      <c r="AC1095" s="8">
        <v>1E-3</v>
      </c>
    </row>
    <row r="1096" spans="1:29" ht="11.65" x14ac:dyDescent="0.35">
      <c r="A1096" s="12">
        <v>1079</v>
      </c>
      <c r="B1096" s="10" t="s">
        <v>1015</v>
      </c>
      <c r="C1096" s="11" t="s">
        <v>1095</v>
      </c>
      <c r="D1096" s="9"/>
      <c r="E1096" s="9">
        <v>430</v>
      </c>
      <c r="F1096" s="10" t="s">
        <v>1066</v>
      </c>
      <c r="G1096" s="9">
        <v>914</v>
      </c>
      <c r="H1096" s="9">
        <v>2015</v>
      </c>
      <c r="I1096" s="8">
        <v>353.93799999999999</v>
      </c>
      <c r="J1096" s="8">
        <v>321.05700000000002</v>
      </c>
      <c r="K1096" s="8">
        <v>283.803</v>
      </c>
      <c r="L1096" s="8">
        <v>237.80799999999999</v>
      </c>
      <c r="M1096" s="8">
        <v>193.81299999999999</v>
      </c>
      <c r="N1096" s="8">
        <v>171.703</v>
      </c>
      <c r="O1096" s="8">
        <v>152.571</v>
      </c>
      <c r="P1096" s="8">
        <v>127.254</v>
      </c>
      <c r="Q1096" s="8">
        <v>103.22799999999999</v>
      </c>
      <c r="R1096" s="8">
        <v>82.004000000000005</v>
      </c>
      <c r="S1096" s="8">
        <v>65.034000000000006</v>
      </c>
      <c r="T1096" s="8">
        <v>50.347000000000001</v>
      </c>
      <c r="U1096" s="8">
        <v>37.462000000000003</v>
      </c>
      <c r="V1096" s="8">
        <v>25.190999999999999</v>
      </c>
      <c r="W1096" s="8">
        <v>20.11</v>
      </c>
      <c r="X1096" s="8">
        <v>11.689</v>
      </c>
      <c r="Y1096" s="8">
        <v>5.0330000000000004</v>
      </c>
      <c r="Z1096" s="8">
        <v>1.3939999999999999</v>
      </c>
      <c r="AA1096" s="8">
        <v>0.192</v>
      </c>
      <c r="AB1096" s="8">
        <v>8.9999999999999993E-3</v>
      </c>
      <c r="AC1096" s="8">
        <v>0</v>
      </c>
    </row>
    <row r="1097" spans="1:29" ht="11.65" x14ac:dyDescent="0.35">
      <c r="A1097" s="12">
        <v>1080</v>
      </c>
      <c r="B1097" s="10" t="s">
        <v>1015</v>
      </c>
      <c r="C1097" s="11" t="s">
        <v>1095</v>
      </c>
      <c r="D1097" s="9"/>
      <c r="E1097" s="9">
        <v>430</v>
      </c>
      <c r="F1097" s="10" t="s">
        <v>1066</v>
      </c>
      <c r="G1097" s="9">
        <v>914</v>
      </c>
      <c r="H1097" s="9">
        <v>2020</v>
      </c>
      <c r="I1097" s="8">
        <v>377.95100000000002</v>
      </c>
      <c r="J1097" s="8">
        <v>346.02800000000002</v>
      </c>
      <c r="K1097" s="8">
        <v>317.30200000000002</v>
      </c>
      <c r="L1097" s="8">
        <v>280.36500000000001</v>
      </c>
      <c r="M1097" s="8">
        <v>233.827</v>
      </c>
      <c r="N1097" s="8">
        <v>189.88300000000001</v>
      </c>
      <c r="O1097" s="8">
        <v>167.81700000000001</v>
      </c>
      <c r="P1097" s="8">
        <v>148.5</v>
      </c>
      <c r="Q1097" s="8">
        <v>123.14100000000001</v>
      </c>
      <c r="R1097" s="8">
        <v>99.141999999999996</v>
      </c>
      <c r="S1097" s="8">
        <v>77.751999999999995</v>
      </c>
      <c r="T1097" s="8">
        <v>60.555999999999997</v>
      </c>
      <c r="U1097" s="8">
        <v>45.575000000000003</v>
      </c>
      <c r="V1097" s="8">
        <v>32.249000000000002</v>
      </c>
      <c r="W1097" s="8">
        <v>19.972999999999999</v>
      </c>
      <c r="X1097" s="8">
        <v>13.907</v>
      </c>
      <c r="Y1097" s="8">
        <v>6.407</v>
      </c>
      <c r="Z1097" s="8">
        <v>1.873</v>
      </c>
      <c r="AA1097" s="8">
        <v>0.27500000000000002</v>
      </c>
      <c r="AB1097" s="8">
        <v>1.6E-2</v>
      </c>
      <c r="AC1097" s="8">
        <v>0</v>
      </c>
    </row>
    <row r="1098" spans="1:29" ht="11.65" x14ac:dyDescent="0.35">
      <c r="A1098" s="12">
        <v>1081</v>
      </c>
      <c r="B1098" s="10" t="s">
        <v>1015</v>
      </c>
      <c r="C1098" s="11" t="s">
        <v>1096</v>
      </c>
      <c r="D1098" s="9"/>
      <c r="E1098" s="9">
        <v>466</v>
      </c>
      <c r="F1098" s="10" t="s">
        <v>1066</v>
      </c>
      <c r="G1098" s="9">
        <v>914</v>
      </c>
      <c r="H1098" s="9">
        <v>1950</v>
      </c>
      <c r="I1098" s="8">
        <v>371.35399999999998</v>
      </c>
      <c r="J1098" s="8">
        <v>297.70499999999998</v>
      </c>
      <c r="K1098" s="8">
        <v>250.94</v>
      </c>
      <c r="L1098" s="8">
        <v>231.42099999999999</v>
      </c>
      <c r="M1098" s="8">
        <v>216.13200000000001</v>
      </c>
      <c r="N1098" s="8">
        <v>199.5</v>
      </c>
      <c r="O1098" s="8">
        <v>183.221</v>
      </c>
      <c r="P1098" s="8">
        <v>159.601</v>
      </c>
      <c r="Q1098" s="8">
        <v>132.35400000000001</v>
      </c>
      <c r="R1098" s="8">
        <v>106.4</v>
      </c>
      <c r="S1098" s="8">
        <v>78.768000000000001</v>
      </c>
      <c r="T1098" s="8">
        <v>61.18</v>
      </c>
      <c r="U1098" s="8">
        <v>48.500999999999998</v>
      </c>
      <c r="V1098" s="8">
        <v>34.579000000000001</v>
      </c>
      <c r="W1098" s="8">
        <v>22.611000000000001</v>
      </c>
      <c r="X1098" s="8">
        <v>10.916</v>
      </c>
      <c r="Y1098" s="8">
        <v>3.5790000000000002</v>
      </c>
      <c r="Z1098" s="8">
        <v>0.433</v>
      </c>
      <c r="AA1098" s="8">
        <v>2.5000000000000001E-2</v>
      </c>
      <c r="AB1098" s="8">
        <v>0</v>
      </c>
      <c r="AC1098" s="8">
        <v>0</v>
      </c>
    </row>
    <row r="1099" spans="1:29" ht="11.65" x14ac:dyDescent="0.35">
      <c r="A1099" s="12">
        <v>1082</v>
      </c>
      <c r="B1099" s="10" t="s">
        <v>1015</v>
      </c>
      <c r="C1099" s="11" t="s">
        <v>1096</v>
      </c>
      <c r="D1099" s="9"/>
      <c r="E1099" s="9">
        <v>466</v>
      </c>
      <c r="F1099" s="10" t="s">
        <v>1066</v>
      </c>
      <c r="G1099" s="9">
        <v>914</v>
      </c>
      <c r="H1099" s="9">
        <v>1955</v>
      </c>
      <c r="I1099" s="8">
        <v>427.16300000000001</v>
      </c>
      <c r="J1099" s="8">
        <v>302.846</v>
      </c>
      <c r="K1099" s="8">
        <v>280.92899999999997</v>
      </c>
      <c r="L1099" s="8">
        <v>238.76900000000001</v>
      </c>
      <c r="M1099" s="8">
        <v>212.60499999999999</v>
      </c>
      <c r="N1099" s="8">
        <v>194.45099999999999</v>
      </c>
      <c r="O1099" s="8">
        <v>180.19300000000001</v>
      </c>
      <c r="P1099" s="8">
        <v>165.57499999999999</v>
      </c>
      <c r="Q1099" s="8">
        <v>142.798</v>
      </c>
      <c r="R1099" s="8">
        <v>116.619</v>
      </c>
      <c r="S1099" s="8">
        <v>91.546999999999997</v>
      </c>
      <c r="T1099" s="8">
        <v>65.013000000000005</v>
      </c>
      <c r="U1099" s="8">
        <v>46.795999999999999</v>
      </c>
      <c r="V1099" s="8">
        <v>32.634</v>
      </c>
      <c r="W1099" s="8">
        <v>18.89</v>
      </c>
      <c r="X1099" s="8">
        <v>8.7309999999999999</v>
      </c>
      <c r="Y1099" s="8">
        <v>2.5089999999999999</v>
      </c>
      <c r="Z1099" s="8">
        <v>0.42799999999999999</v>
      </c>
      <c r="AA1099" s="8">
        <v>2.5000000000000001E-2</v>
      </c>
      <c r="AB1099" s="8">
        <v>0</v>
      </c>
      <c r="AC1099" s="8">
        <v>0</v>
      </c>
    </row>
    <row r="1100" spans="1:29" ht="11.65" x14ac:dyDescent="0.35">
      <c r="A1100" s="12">
        <v>1083</v>
      </c>
      <c r="B1100" s="10" t="s">
        <v>1015</v>
      </c>
      <c r="C1100" s="11" t="s">
        <v>1096</v>
      </c>
      <c r="D1100" s="9"/>
      <c r="E1100" s="9">
        <v>466</v>
      </c>
      <c r="F1100" s="10" t="s">
        <v>1066</v>
      </c>
      <c r="G1100" s="9">
        <v>914</v>
      </c>
      <c r="H1100" s="9">
        <v>1960</v>
      </c>
      <c r="I1100" s="8">
        <v>451.22199999999998</v>
      </c>
      <c r="J1100" s="8">
        <v>349.27100000000002</v>
      </c>
      <c r="K1100" s="8">
        <v>286.28899999999999</v>
      </c>
      <c r="L1100" s="8">
        <v>267.39600000000002</v>
      </c>
      <c r="M1100" s="8">
        <v>218.828</v>
      </c>
      <c r="N1100" s="8">
        <v>190.33199999999999</v>
      </c>
      <c r="O1100" s="8">
        <v>174.79599999999999</v>
      </c>
      <c r="P1100" s="8">
        <v>162.36099999999999</v>
      </c>
      <c r="Q1100" s="8">
        <v>148.078</v>
      </c>
      <c r="R1100" s="8">
        <v>125.976</v>
      </c>
      <c r="S1100" s="8">
        <v>100.581</v>
      </c>
      <c r="T1100" s="8">
        <v>75.873999999999995</v>
      </c>
      <c r="U1100" s="8">
        <v>50.026000000000003</v>
      </c>
      <c r="V1100" s="8">
        <v>31.789000000000001</v>
      </c>
      <c r="W1100" s="8">
        <v>18.120999999999999</v>
      </c>
      <c r="X1100" s="8">
        <v>7.4870000000000001</v>
      </c>
      <c r="Y1100" s="8">
        <v>2.0870000000000002</v>
      </c>
      <c r="Z1100" s="8">
        <v>0.318</v>
      </c>
      <c r="AA1100" s="8">
        <v>2.7E-2</v>
      </c>
      <c r="AB1100" s="8">
        <v>0</v>
      </c>
      <c r="AC1100" s="8">
        <v>0</v>
      </c>
    </row>
    <row r="1101" spans="1:29" ht="11.65" x14ac:dyDescent="0.35">
      <c r="A1101" s="12">
        <v>1084</v>
      </c>
      <c r="B1101" s="10" t="s">
        <v>1015</v>
      </c>
      <c r="C1101" s="11" t="s">
        <v>1096</v>
      </c>
      <c r="D1101" s="9"/>
      <c r="E1101" s="9">
        <v>466</v>
      </c>
      <c r="F1101" s="10" t="s">
        <v>1066</v>
      </c>
      <c r="G1101" s="9">
        <v>914</v>
      </c>
      <c r="H1101" s="9">
        <v>1965</v>
      </c>
      <c r="I1101" s="8">
        <v>480.4</v>
      </c>
      <c r="J1101" s="8">
        <v>367.02199999999999</v>
      </c>
      <c r="K1101" s="8">
        <v>330.346</v>
      </c>
      <c r="L1101" s="8">
        <v>271.93200000000002</v>
      </c>
      <c r="M1101" s="8">
        <v>243.988</v>
      </c>
      <c r="N1101" s="8">
        <v>194.01300000000001</v>
      </c>
      <c r="O1101" s="8">
        <v>169.22800000000001</v>
      </c>
      <c r="P1101" s="8">
        <v>156.15199999999999</v>
      </c>
      <c r="Q1101" s="8">
        <v>144.38300000000001</v>
      </c>
      <c r="R1101" s="8">
        <v>130.245</v>
      </c>
      <c r="S1101" s="8">
        <v>108.498</v>
      </c>
      <c r="T1101" s="8">
        <v>83.334000000000003</v>
      </c>
      <c r="U1101" s="8">
        <v>58.453000000000003</v>
      </c>
      <c r="V1101" s="8">
        <v>34.051000000000002</v>
      </c>
      <c r="W1101" s="8">
        <v>17.71</v>
      </c>
      <c r="X1101" s="8">
        <v>7.2320000000000002</v>
      </c>
      <c r="Y1101" s="8">
        <v>1.7949999999999999</v>
      </c>
      <c r="Z1101" s="8">
        <v>0.26800000000000002</v>
      </c>
      <c r="AA1101" s="8">
        <v>2.1000000000000001E-2</v>
      </c>
      <c r="AB1101" s="8">
        <v>0</v>
      </c>
      <c r="AC1101" s="8">
        <v>0</v>
      </c>
    </row>
    <row r="1102" spans="1:29" ht="11.65" x14ac:dyDescent="0.35">
      <c r="A1102" s="12">
        <v>1085</v>
      </c>
      <c r="B1102" s="10" t="s">
        <v>1015</v>
      </c>
      <c r="C1102" s="11" t="s">
        <v>1096</v>
      </c>
      <c r="D1102" s="9"/>
      <c r="E1102" s="9">
        <v>466</v>
      </c>
      <c r="F1102" s="10" t="s">
        <v>1066</v>
      </c>
      <c r="G1102" s="9">
        <v>914</v>
      </c>
      <c r="H1102" s="9">
        <v>1970</v>
      </c>
      <c r="I1102" s="8">
        <v>524.09100000000001</v>
      </c>
      <c r="J1102" s="8">
        <v>395.03100000000001</v>
      </c>
      <c r="K1102" s="8">
        <v>349.24400000000003</v>
      </c>
      <c r="L1102" s="8">
        <v>314.82400000000001</v>
      </c>
      <c r="M1102" s="8">
        <v>247.88800000000001</v>
      </c>
      <c r="N1102" s="8">
        <v>216.41900000000001</v>
      </c>
      <c r="O1102" s="8">
        <v>171.71899999999999</v>
      </c>
      <c r="P1102" s="8">
        <v>150.614</v>
      </c>
      <c r="Q1102" s="8">
        <v>138.976</v>
      </c>
      <c r="R1102" s="8">
        <v>127.666</v>
      </c>
      <c r="S1102" s="8">
        <v>113.26600000000001</v>
      </c>
      <c r="T1102" s="8">
        <v>91.186000000000007</v>
      </c>
      <c r="U1102" s="8">
        <v>65.605999999999995</v>
      </c>
      <c r="V1102" s="8">
        <v>41.191000000000003</v>
      </c>
      <c r="W1102" s="8">
        <v>20.007999999999999</v>
      </c>
      <c r="X1102" s="8">
        <v>7.6870000000000003</v>
      </c>
      <c r="Y1102" s="8">
        <v>1.964</v>
      </c>
      <c r="Z1102" s="8">
        <v>0.27300000000000002</v>
      </c>
      <c r="AA1102" s="8">
        <v>2.1000000000000001E-2</v>
      </c>
      <c r="AB1102" s="8">
        <v>0</v>
      </c>
      <c r="AC1102" s="8">
        <v>0</v>
      </c>
    </row>
    <row r="1103" spans="1:29" ht="11.65" x14ac:dyDescent="0.35">
      <c r="A1103" s="12">
        <v>1086</v>
      </c>
      <c r="B1103" s="10" t="s">
        <v>1015</v>
      </c>
      <c r="C1103" s="11" t="s">
        <v>1096</v>
      </c>
      <c r="D1103" s="9"/>
      <c r="E1103" s="9">
        <v>466</v>
      </c>
      <c r="F1103" s="10" t="s">
        <v>1066</v>
      </c>
      <c r="G1103" s="9">
        <v>914</v>
      </c>
      <c r="H1103" s="9">
        <v>1975</v>
      </c>
      <c r="I1103" s="8">
        <v>586.29999999999995</v>
      </c>
      <c r="J1103" s="8">
        <v>442.25</v>
      </c>
      <c r="K1103" s="8">
        <v>378.94799999999998</v>
      </c>
      <c r="L1103" s="8">
        <v>335.15300000000002</v>
      </c>
      <c r="M1103" s="8">
        <v>291.35700000000003</v>
      </c>
      <c r="N1103" s="8">
        <v>222.976</v>
      </c>
      <c r="O1103" s="8">
        <v>195.053</v>
      </c>
      <c r="P1103" s="8">
        <v>154.84100000000001</v>
      </c>
      <c r="Q1103" s="8">
        <v>135.703</v>
      </c>
      <c r="R1103" s="8">
        <v>124.596</v>
      </c>
      <c r="S1103" s="8">
        <v>112.848</v>
      </c>
      <c r="T1103" s="8">
        <v>97.19</v>
      </c>
      <c r="U1103" s="8">
        <v>73.879000000000005</v>
      </c>
      <c r="V1103" s="8">
        <v>48.232999999999997</v>
      </c>
      <c r="W1103" s="8">
        <v>25.823</v>
      </c>
      <c r="X1103" s="8">
        <v>9.5869999999999997</v>
      </c>
      <c r="Y1103" s="8">
        <v>2.4220000000000002</v>
      </c>
      <c r="Z1103" s="8">
        <v>0.36</v>
      </c>
      <c r="AA1103" s="8">
        <v>2.5000000000000001E-2</v>
      </c>
      <c r="AB1103" s="8">
        <v>0</v>
      </c>
      <c r="AC1103" s="8">
        <v>0</v>
      </c>
    </row>
    <row r="1104" spans="1:29" ht="11.65" x14ac:dyDescent="0.35">
      <c r="A1104" s="12">
        <v>1087</v>
      </c>
      <c r="B1104" s="10" t="s">
        <v>1015</v>
      </c>
      <c r="C1104" s="11" t="s">
        <v>1096</v>
      </c>
      <c r="D1104" s="9"/>
      <c r="E1104" s="9">
        <v>466</v>
      </c>
      <c r="F1104" s="10" t="s">
        <v>1066</v>
      </c>
      <c r="G1104" s="9">
        <v>914</v>
      </c>
      <c r="H1104" s="9">
        <v>1980</v>
      </c>
      <c r="I1104" s="8">
        <v>652.87699999999995</v>
      </c>
      <c r="J1104" s="8">
        <v>504.62200000000001</v>
      </c>
      <c r="K1104" s="8">
        <v>426.58100000000002</v>
      </c>
      <c r="L1104" s="8">
        <v>363.05900000000003</v>
      </c>
      <c r="M1104" s="8">
        <v>306.45699999999999</v>
      </c>
      <c r="N1104" s="8">
        <v>258.012</v>
      </c>
      <c r="O1104" s="8">
        <v>195.768</v>
      </c>
      <c r="P1104" s="8">
        <v>173.101</v>
      </c>
      <c r="Q1104" s="8">
        <v>137.501</v>
      </c>
      <c r="R1104" s="8">
        <v>120.673</v>
      </c>
      <c r="S1104" s="8">
        <v>110.086</v>
      </c>
      <c r="T1104" s="8">
        <v>97.524000000000001</v>
      </c>
      <c r="U1104" s="8">
        <v>80.09</v>
      </c>
      <c r="V1104" s="8">
        <v>55.963999999999999</v>
      </c>
      <c r="W1104" s="8">
        <v>31.709</v>
      </c>
      <c r="X1104" s="8">
        <v>13.321</v>
      </c>
      <c r="Y1104" s="8">
        <v>3.34</v>
      </c>
      <c r="Z1104" s="8">
        <v>0.50600000000000001</v>
      </c>
      <c r="AA1104" s="8">
        <v>0.04</v>
      </c>
      <c r="AB1104" s="8">
        <v>0</v>
      </c>
      <c r="AC1104" s="8">
        <v>0</v>
      </c>
    </row>
    <row r="1105" spans="1:29" ht="11.65" x14ac:dyDescent="0.35">
      <c r="A1105" s="12">
        <v>1088</v>
      </c>
      <c r="B1105" s="10" t="s">
        <v>1015</v>
      </c>
      <c r="C1105" s="11" t="s">
        <v>1096</v>
      </c>
      <c r="D1105" s="9"/>
      <c r="E1105" s="9">
        <v>466</v>
      </c>
      <c r="F1105" s="10" t="s">
        <v>1066</v>
      </c>
      <c r="G1105" s="9">
        <v>914</v>
      </c>
      <c r="H1105" s="9">
        <v>1985</v>
      </c>
      <c r="I1105" s="8">
        <v>729.80899999999997</v>
      </c>
      <c r="J1105" s="8">
        <v>574.23599999999999</v>
      </c>
      <c r="K1105" s="8">
        <v>489.928</v>
      </c>
      <c r="L1105" s="8">
        <v>409.80500000000001</v>
      </c>
      <c r="M1105" s="8">
        <v>331.613</v>
      </c>
      <c r="N1105" s="8">
        <v>269.63099999999997</v>
      </c>
      <c r="O1105" s="8">
        <v>226.57400000000001</v>
      </c>
      <c r="P1105" s="8">
        <v>171.95699999999999</v>
      </c>
      <c r="Q1105" s="8">
        <v>153.959</v>
      </c>
      <c r="R1105" s="8">
        <v>122.22</v>
      </c>
      <c r="S1105" s="8">
        <v>106.92</v>
      </c>
      <c r="T1105" s="8">
        <v>95.983000000000004</v>
      </c>
      <c r="U1105" s="8">
        <v>81.756</v>
      </c>
      <c r="V1105" s="8">
        <v>63.593000000000004</v>
      </c>
      <c r="W1105" s="8">
        <v>40.021999999999998</v>
      </c>
      <c r="X1105" s="8">
        <v>18.413</v>
      </c>
      <c r="Y1105" s="8">
        <v>5.3410000000000002</v>
      </c>
      <c r="Z1105" s="8">
        <v>0.79300000000000004</v>
      </c>
      <c r="AA1105" s="8">
        <v>6.6000000000000003E-2</v>
      </c>
      <c r="AB1105" s="8">
        <v>3.0000000000000001E-3</v>
      </c>
      <c r="AC1105" s="8">
        <v>0</v>
      </c>
    </row>
    <row r="1106" spans="1:29" ht="11.65" x14ac:dyDescent="0.35">
      <c r="A1106" s="12">
        <v>1089</v>
      </c>
      <c r="B1106" s="10" t="s">
        <v>1015</v>
      </c>
      <c r="C1106" s="11" t="s">
        <v>1096</v>
      </c>
      <c r="D1106" s="9"/>
      <c r="E1106" s="9">
        <v>466</v>
      </c>
      <c r="F1106" s="10" t="s">
        <v>1066</v>
      </c>
      <c r="G1106" s="9">
        <v>914</v>
      </c>
      <c r="H1106" s="9">
        <v>1990</v>
      </c>
      <c r="I1106" s="8">
        <v>801.39599999999996</v>
      </c>
      <c r="J1106" s="8">
        <v>646.68200000000002</v>
      </c>
      <c r="K1106" s="8">
        <v>555.41800000000001</v>
      </c>
      <c r="L1106" s="8">
        <v>461.24799999999999</v>
      </c>
      <c r="M1106" s="8">
        <v>353.06599999999997</v>
      </c>
      <c r="N1106" s="8">
        <v>263.69600000000003</v>
      </c>
      <c r="O1106" s="8">
        <v>211.19399999999999</v>
      </c>
      <c r="P1106" s="8">
        <v>182.51</v>
      </c>
      <c r="Q1106" s="8">
        <v>140.20400000000001</v>
      </c>
      <c r="R1106" s="8">
        <v>130.03700000000001</v>
      </c>
      <c r="S1106" s="8">
        <v>104.04</v>
      </c>
      <c r="T1106" s="8">
        <v>90.94</v>
      </c>
      <c r="U1106" s="8">
        <v>79.915000000000006</v>
      </c>
      <c r="V1106" s="8">
        <v>67.040999999999997</v>
      </c>
      <c r="W1106" s="8">
        <v>48.701000000000001</v>
      </c>
      <c r="X1106" s="8">
        <v>25.413</v>
      </c>
      <c r="Y1106" s="8">
        <v>8.1069999999999993</v>
      </c>
      <c r="Z1106" s="8">
        <v>1.4</v>
      </c>
      <c r="AA1106" s="8">
        <v>0.11899999999999999</v>
      </c>
      <c r="AB1106" s="8">
        <v>5.0000000000000001E-3</v>
      </c>
      <c r="AC1106" s="8">
        <v>0</v>
      </c>
    </row>
    <row r="1107" spans="1:29" ht="11.65" x14ac:dyDescent="0.35">
      <c r="A1107" s="12">
        <v>1090</v>
      </c>
      <c r="B1107" s="10" t="s">
        <v>1015</v>
      </c>
      <c r="C1107" s="11" t="s">
        <v>1096</v>
      </c>
      <c r="D1107" s="9"/>
      <c r="E1107" s="9">
        <v>466</v>
      </c>
      <c r="F1107" s="10" t="s">
        <v>1066</v>
      </c>
      <c r="G1107" s="9">
        <v>914</v>
      </c>
      <c r="H1107" s="9">
        <v>1995</v>
      </c>
      <c r="I1107" s="8">
        <v>912.43399999999997</v>
      </c>
      <c r="J1107" s="8">
        <v>724.096</v>
      </c>
      <c r="K1107" s="8">
        <v>630.86800000000005</v>
      </c>
      <c r="L1107" s="8">
        <v>538.404</v>
      </c>
      <c r="M1107" s="8">
        <v>433.233</v>
      </c>
      <c r="N1107" s="8">
        <v>322.03500000000003</v>
      </c>
      <c r="O1107" s="8">
        <v>237.69399999999999</v>
      </c>
      <c r="P1107" s="8">
        <v>191.21700000000001</v>
      </c>
      <c r="Q1107" s="8">
        <v>166.6</v>
      </c>
      <c r="R1107" s="8">
        <v>128.00299999999999</v>
      </c>
      <c r="S1107" s="8">
        <v>118.828</v>
      </c>
      <c r="T1107" s="8">
        <v>93.314999999999998</v>
      </c>
      <c r="U1107" s="8">
        <v>80.346999999999994</v>
      </c>
      <c r="V1107" s="8">
        <v>67.596000000000004</v>
      </c>
      <c r="W1107" s="8">
        <v>50.901000000000003</v>
      </c>
      <c r="X1107" s="8">
        <v>30.684999999999999</v>
      </c>
      <c r="Y1107" s="8">
        <v>11.656000000000001</v>
      </c>
      <c r="Z1107" s="8">
        <v>2.33</v>
      </c>
      <c r="AA1107" s="8">
        <v>0.219</v>
      </c>
      <c r="AB1107" s="8">
        <v>8.9999999999999993E-3</v>
      </c>
      <c r="AC1107" s="8">
        <v>0</v>
      </c>
    </row>
    <row r="1108" spans="1:29" ht="11.65" x14ac:dyDescent="0.35">
      <c r="A1108" s="12">
        <v>1091</v>
      </c>
      <c r="B1108" s="10" t="s">
        <v>1015</v>
      </c>
      <c r="C1108" s="11" t="s">
        <v>1096</v>
      </c>
      <c r="D1108" s="9"/>
      <c r="E1108" s="9">
        <v>466</v>
      </c>
      <c r="F1108" s="10" t="s">
        <v>1066</v>
      </c>
      <c r="G1108" s="9">
        <v>914</v>
      </c>
      <c r="H1108" s="9">
        <v>2000</v>
      </c>
      <c r="I1108" s="8">
        <v>1047.751</v>
      </c>
      <c r="J1108" s="8">
        <v>829.70799999999997</v>
      </c>
      <c r="K1108" s="8">
        <v>705.70399999999995</v>
      </c>
      <c r="L1108" s="8">
        <v>612.84100000000001</v>
      </c>
      <c r="M1108" s="8">
        <v>510.38400000000001</v>
      </c>
      <c r="N1108" s="8">
        <v>402.63099999999997</v>
      </c>
      <c r="O1108" s="8">
        <v>296.69400000000002</v>
      </c>
      <c r="P1108" s="8">
        <v>218.64699999999999</v>
      </c>
      <c r="Q1108" s="8">
        <v>176.148</v>
      </c>
      <c r="R1108" s="8">
        <v>153.91499999999999</v>
      </c>
      <c r="S1108" s="8">
        <v>117.33</v>
      </c>
      <c r="T1108" s="8">
        <v>107.083</v>
      </c>
      <c r="U1108" s="8">
        <v>82.186000000000007</v>
      </c>
      <c r="V1108" s="8">
        <v>67.400999999999996</v>
      </c>
      <c r="W1108" s="8">
        <v>50.801000000000002</v>
      </c>
      <c r="X1108" s="8">
        <v>31.635000000000002</v>
      </c>
      <c r="Y1108" s="8">
        <v>13.884</v>
      </c>
      <c r="Z1108" s="8">
        <v>3.3130000000000002</v>
      </c>
      <c r="AA1108" s="8">
        <v>0.35799999999999998</v>
      </c>
      <c r="AB1108" s="8">
        <v>1.6E-2</v>
      </c>
      <c r="AC1108" s="8">
        <v>0</v>
      </c>
    </row>
    <row r="1109" spans="1:29" ht="11.65" x14ac:dyDescent="0.35">
      <c r="A1109" s="12">
        <v>1092</v>
      </c>
      <c r="B1109" s="10" t="s">
        <v>1015</v>
      </c>
      <c r="C1109" s="11" t="s">
        <v>1096</v>
      </c>
      <c r="D1109" s="9"/>
      <c r="E1109" s="9">
        <v>466</v>
      </c>
      <c r="F1109" s="10" t="s">
        <v>1066</v>
      </c>
      <c r="G1109" s="9">
        <v>914</v>
      </c>
      <c r="H1109" s="9">
        <v>2005</v>
      </c>
      <c r="I1109" s="8">
        <v>1250.8209999999999</v>
      </c>
      <c r="J1109" s="8">
        <v>972.10299999999995</v>
      </c>
      <c r="K1109" s="8">
        <v>811.93299999999999</v>
      </c>
      <c r="L1109" s="8">
        <v>689.49</v>
      </c>
      <c r="M1109" s="8">
        <v>589.505</v>
      </c>
      <c r="N1109" s="8">
        <v>486.94099999999997</v>
      </c>
      <c r="O1109" s="8">
        <v>383.947</v>
      </c>
      <c r="P1109" s="8">
        <v>282.68599999999998</v>
      </c>
      <c r="Q1109" s="8">
        <v>207.483</v>
      </c>
      <c r="R1109" s="8">
        <v>166.49799999999999</v>
      </c>
      <c r="S1109" s="8">
        <v>144.155</v>
      </c>
      <c r="T1109" s="8">
        <v>107.435</v>
      </c>
      <c r="U1109" s="8">
        <v>94.664000000000001</v>
      </c>
      <c r="V1109" s="8">
        <v>68.472999999999999</v>
      </c>
      <c r="W1109" s="8">
        <v>50.726999999999997</v>
      </c>
      <c r="X1109" s="8">
        <v>31.856000000000002</v>
      </c>
      <c r="Y1109" s="8">
        <v>14.715999999999999</v>
      </c>
      <c r="Z1109" s="8">
        <v>4.125</v>
      </c>
      <c r="AA1109" s="8">
        <v>0.53100000000000003</v>
      </c>
      <c r="AB1109" s="8">
        <v>2.5000000000000001E-2</v>
      </c>
      <c r="AC1109" s="8">
        <v>1E-3</v>
      </c>
    </row>
    <row r="1110" spans="1:29" ht="11.65" x14ac:dyDescent="0.35">
      <c r="A1110" s="12">
        <v>1093</v>
      </c>
      <c r="B1110" s="10" t="s">
        <v>1015</v>
      </c>
      <c r="C1110" s="11" t="s">
        <v>1096</v>
      </c>
      <c r="D1110" s="9"/>
      <c r="E1110" s="9">
        <v>466</v>
      </c>
      <c r="F1110" s="10" t="s">
        <v>1066</v>
      </c>
      <c r="G1110" s="9">
        <v>914</v>
      </c>
      <c r="H1110" s="9">
        <v>2010</v>
      </c>
      <c r="I1110" s="8">
        <v>1489.2729999999999</v>
      </c>
      <c r="J1110" s="8">
        <v>1184.481</v>
      </c>
      <c r="K1110" s="8">
        <v>954.20799999999997</v>
      </c>
      <c r="L1110" s="8">
        <v>796.03</v>
      </c>
      <c r="M1110" s="8">
        <v>665.97699999999998</v>
      </c>
      <c r="N1110" s="8">
        <v>563.49400000000003</v>
      </c>
      <c r="O1110" s="8">
        <v>464.19299999999998</v>
      </c>
      <c r="P1110" s="8">
        <v>365.85199999999998</v>
      </c>
      <c r="Q1110" s="8">
        <v>268.40300000000002</v>
      </c>
      <c r="R1110" s="8">
        <v>196.15</v>
      </c>
      <c r="S1110" s="8">
        <v>156.07599999999999</v>
      </c>
      <c r="T1110" s="8">
        <v>132.547</v>
      </c>
      <c r="U1110" s="8">
        <v>95.457999999999998</v>
      </c>
      <c r="V1110" s="8">
        <v>79.656000000000006</v>
      </c>
      <c r="W1110" s="8">
        <v>52.265000000000001</v>
      </c>
      <c r="X1110" s="8">
        <v>32.469000000000001</v>
      </c>
      <c r="Y1110" s="8">
        <v>15.234999999999999</v>
      </c>
      <c r="Z1110" s="8">
        <v>4.5279999999999996</v>
      </c>
      <c r="AA1110" s="8">
        <v>0.68700000000000006</v>
      </c>
      <c r="AB1110" s="8">
        <v>0.04</v>
      </c>
      <c r="AC1110" s="8">
        <v>1E-3</v>
      </c>
    </row>
    <row r="1111" spans="1:29" ht="11.65" x14ac:dyDescent="0.35">
      <c r="A1111" s="12">
        <v>1094</v>
      </c>
      <c r="B1111" s="10" t="s">
        <v>1015</v>
      </c>
      <c r="C1111" s="11" t="s">
        <v>1096</v>
      </c>
      <c r="D1111" s="9"/>
      <c r="E1111" s="9">
        <v>466</v>
      </c>
      <c r="F1111" s="10" t="s">
        <v>1066</v>
      </c>
      <c r="G1111" s="9">
        <v>914</v>
      </c>
      <c r="H1111" s="9">
        <v>2015</v>
      </c>
      <c r="I1111" s="8">
        <v>1664.307</v>
      </c>
      <c r="J1111" s="8">
        <v>1423.962</v>
      </c>
      <c r="K1111" s="8">
        <v>1162.136</v>
      </c>
      <c r="L1111" s="8">
        <v>929.69299999999998</v>
      </c>
      <c r="M1111" s="8">
        <v>753.31399999999996</v>
      </c>
      <c r="N1111" s="8">
        <v>616.38199999999995</v>
      </c>
      <c r="O1111" s="8">
        <v>520.05700000000002</v>
      </c>
      <c r="P1111" s="8">
        <v>430.28800000000001</v>
      </c>
      <c r="Q1111" s="8">
        <v>339.608</v>
      </c>
      <c r="R1111" s="8">
        <v>248.56299999999999</v>
      </c>
      <c r="S1111" s="8">
        <v>180.25299999999999</v>
      </c>
      <c r="T1111" s="8">
        <v>141.09299999999999</v>
      </c>
      <c r="U1111" s="8">
        <v>116.452</v>
      </c>
      <c r="V1111" s="8">
        <v>79.438999999999993</v>
      </c>
      <c r="W1111" s="8">
        <v>60.415999999999997</v>
      </c>
      <c r="X1111" s="8">
        <v>33.238999999999997</v>
      </c>
      <c r="Y1111" s="8">
        <v>15.412000000000001</v>
      </c>
      <c r="Z1111" s="8">
        <v>4.6920000000000002</v>
      </c>
      <c r="AA1111" s="8">
        <v>0.76300000000000001</v>
      </c>
      <c r="AB1111" s="8">
        <v>5.3999999999999999E-2</v>
      </c>
      <c r="AC1111" s="8">
        <v>2E-3</v>
      </c>
    </row>
    <row r="1112" spans="1:29" ht="11.65" x14ac:dyDescent="0.35">
      <c r="A1112" s="12">
        <v>1095</v>
      </c>
      <c r="B1112" s="10" t="s">
        <v>1015</v>
      </c>
      <c r="C1112" s="11" t="s">
        <v>1096</v>
      </c>
      <c r="D1112" s="9"/>
      <c r="E1112" s="9">
        <v>466</v>
      </c>
      <c r="F1112" s="10" t="s">
        <v>1066</v>
      </c>
      <c r="G1112" s="9">
        <v>914</v>
      </c>
      <c r="H1112" s="9">
        <v>2020</v>
      </c>
      <c r="I1112" s="8">
        <v>1833.5319999999999</v>
      </c>
      <c r="J1112" s="8">
        <v>1604.1849999999999</v>
      </c>
      <c r="K1112" s="8">
        <v>1402.261</v>
      </c>
      <c r="L1112" s="8">
        <v>1140.8499999999999</v>
      </c>
      <c r="M1112" s="8">
        <v>896.03300000000002</v>
      </c>
      <c r="N1112" s="8">
        <v>715.54100000000005</v>
      </c>
      <c r="O1112" s="8">
        <v>583.49599999999998</v>
      </c>
      <c r="P1112" s="8">
        <v>493.55200000000002</v>
      </c>
      <c r="Q1112" s="8">
        <v>408.46600000000001</v>
      </c>
      <c r="R1112" s="8">
        <v>321.64</v>
      </c>
      <c r="S1112" s="8">
        <v>233.285</v>
      </c>
      <c r="T1112" s="8">
        <v>165.88399999999999</v>
      </c>
      <c r="U1112" s="8">
        <v>125.80800000000001</v>
      </c>
      <c r="V1112" s="8">
        <v>98.581999999999994</v>
      </c>
      <c r="W1112" s="8">
        <v>61.113</v>
      </c>
      <c r="X1112" s="8">
        <v>39.152999999999999</v>
      </c>
      <c r="Y1112" s="8">
        <v>16.105</v>
      </c>
      <c r="Z1112" s="8">
        <v>4.8239999999999998</v>
      </c>
      <c r="AA1112" s="8">
        <v>0.80200000000000005</v>
      </c>
      <c r="AB1112" s="8">
        <v>5.8999999999999997E-2</v>
      </c>
      <c r="AC1112" s="8">
        <v>3.0000000000000001E-3</v>
      </c>
    </row>
    <row r="1113" spans="1:29" ht="11.65" x14ac:dyDescent="0.35">
      <c r="A1113" s="12">
        <v>1096</v>
      </c>
      <c r="B1113" s="10" t="s">
        <v>1015</v>
      </c>
      <c r="C1113" s="11" t="s">
        <v>1097</v>
      </c>
      <c r="D1113" s="9"/>
      <c r="E1113" s="9">
        <v>478</v>
      </c>
      <c r="F1113" s="10" t="s">
        <v>1066</v>
      </c>
      <c r="G1113" s="9">
        <v>914</v>
      </c>
      <c r="H1113" s="9">
        <v>1950</v>
      </c>
      <c r="I1113" s="8">
        <v>55.904000000000003</v>
      </c>
      <c r="J1113" s="8">
        <v>44.238999999999997</v>
      </c>
      <c r="K1113" s="8">
        <v>38.755000000000003</v>
      </c>
      <c r="L1113" s="8">
        <v>34.005000000000003</v>
      </c>
      <c r="M1113" s="8">
        <v>29.343</v>
      </c>
      <c r="N1113" s="8">
        <v>25.045000000000002</v>
      </c>
      <c r="O1113" s="8">
        <v>21.317</v>
      </c>
      <c r="P1113" s="8">
        <v>18</v>
      </c>
      <c r="Q1113" s="8">
        <v>14.959</v>
      </c>
      <c r="R1113" s="8">
        <v>12.122999999999999</v>
      </c>
      <c r="S1113" s="8">
        <v>9.5609999999999999</v>
      </c>
      <c r="T1113" s="8">
        <v>7.0590000000000002</v>
      </c>
      <c r="U1113" s="8">
        <v>4.8029999999999999</v>
      </c>
      <c r="V1113" s="8">
        <v>2.91</v>
      </c>
      <c r="W1113" s="8">
        <v>1.4770000000000001</v>
      </c>
      <c r="X1113" s="8">
        <v>0.56299999999999994</v>
      </c>
      <c r="Y1113" s="8">
        <v>0.125</v>
      </c>
      <c r="Z1113" s="8">
        <v>3.7999999999999999E-2</v>
      </c>
      <c r="AA1113" s="8">
        <v>7.0000000000000001E-3</v>
      </c>
      <c r="AB1113" s="8">
        <v>0</v>
      </c>
      <c r="AC1113" s="8">
        <v>0</v>
      </c>
    </row>
    <row r="1114" spans="1:29" ht="11.65" x14ac:dyDescent="0.35">
      <c r="A1114" s="12">
        <v>1097</v>
      </c>
      <c r="B1114" s="10" t="s">
        <v>1015</v>
      </c>
      <c r="C1114" s="11" t="s">
        <v>1097</v>
      </c>
      <c r="D1114" s="9"/>
      <c r="E1114" s="9">
        <v>478</v>
      </c>
      <c r="F1114" s="10" t="s">
        <v>1066</v>
      </c>
      <c r="G1114" s="9">
        <v>914</v>
      </c>
      <c r="H1114" s="9">
        <v>1955</v>
      </c>
      <c r="I1114" s="8">
        <v>66.875</v>
      </c>
      <c r="J1114" s="8">
        <v>49.537999999999997</v>
      </c>
      <c r="K1114" s="8">
        <v>43.179000000000002</v>
      </c>
      <c r="L1114" s="8">
        <v>37.81</v>
      </c>
      <c r="M1114" s="8">
        <v>32.709000000000003</v>
      </c>
      <c r="N1114" s="8">
        <v>27.917000000000002</v>
      </c>
      <c r="O1114" s="8">
        <v>23.736000000000001</v>
      </c>
      <c r="P1114" s="8">
        <v>20.062999999999999</v>
      </c>
      <c r="Q1114" s="8">
        <v>16.722000000000001</v>
      </c>
      <c r="R1114" s="8">
        <v>13.724</v>
      </c>
      <c r="S1114" s="8">
        <v>10.919</v>
      </c>
      <c r="T1114" s="8">
        <v>8.3390000000000004</v>
      </c>
      <c r="U1114" s="8">
        <v>5.859</v>
      </c>
      <c r="V1114" s="8">
        <v>3.6930000000000001</v>
      </c>
      <c r="W1114" s="8">
        <v>2.0019999999999998</v>
      </c>
      <c r="X1114" s="8">
        <v>0.84899999999999998</v>
      </c>
      <c r="Y1114" s="8">
        <v>0.248</v>
      </c>
      <c r="Z1114" s="8">
        <v>3.9E-2</v>
      </c>
      <c r="AA1114" s="8">
        <v>7.0000000000000001E-3</v>
      </c>
      <c r="AB1114" s="8">
        <v>0</v>
      </c>
      <c r="AC1114" s="8">
        <v>0</v>
      </c>
    </row>
    <row r="1115" spans="1:29" ht="11.65" x14ac:dyDescent="0.35">
      <c r="A1115" s="12">
        <v>1098</v>
      </c>
      <c r="B1115" s="10" t="s">
        <v>1015</v>
      </c>
      <c r="C1115" s="11" t="s">
        <v>1097</v>
      </c>
      <c r="D1115" s="9"/>
      <c r="E1115" s="9">
        <v>478</v>
      </c>
      <c r="F1115" s="10" t="s">
        <v>1066</v>
      </c>
      <c r="G1115" s="9">
        <v>914</v>
      </c>
      <c r="H1115" s="9">
        <v>1960</v>
      </c>
      <c r="I1115" s="8">
        <v>80.507999999999996</v>
      </c>
      <c r="J1115" s="8">
        <v>60.408000000000001</v>
      </c>
      <c r="K1115" s="8">
        <v>48.503</v>
      </c>
      <c r="L1115" s="8">
        <v>42.305999999999997</v>
      </c>
      <c r="M1115" s="8">
        <v>36.533999999999999</v>
      </c>
      <c r="N1115" s="8">
        <v>31.108000000000001</v>
      </c>
      <c r="O1115" s="8">
        <v>26.491</v>
      </c>
      <c r="P1115" s="8">
        <v>22.559000000000001</v>
      </c>
      <c r="Q1115" s="8">
        <v>18.902999999999999</v>
      </c>
      <c r="R1115" s="8">
        <v>15.539</v>
      </c>
      <c r="S1115" s="8">
        <v>12.494</v>
      </c>
      <c r="T1115" s="8">
        <v>9.6389999999999993</v>
      </c>
      <c r="U1115" s="8">
        <v>7.0229999999999997</v>
      </c>
      <c r="V1115" s="8">
        <v>4.59</v>
      </c>
      <c r="W1115" s="8">
        <v>2.5990000000000002</v>
      </c>
      <c r="X1115" s="8">
        <v>1.1850000000000001</v>
      </c>
      <c r="Y1115" s="8">
        <v>0.38900000000000001</v>
      </c>
      <c r="Z1115" s="8">
        <v>7.9000000000000001E-2</v>
      </c>
      <c r="AA1115" s="8">
        <v>7.0000000000000001E-3</v>
      </c>
      <c r="AB1115" s="8">
        <v>0</v>
      </c>
      <c r="AC1115" s="8">
        <v>0</v>
      </c>
    </row>
    <row r="1116" spans="1:29" ht="11.65" x14ac:dyDescent="0.35">
      <c r="A1116" s="12">
        <v>1099</v>
      </c>
      <c r="B1116" s="10" t="s">
        <v>1015</v>
      </c>
      <c r="C1116" s="11" t="s">
        <v>1097</v>
      </c>
      <c r="D1116" s="9"/>
      <c r="E1116" s="9">
        <v>478</v>
      </c>
      <c r="F1116" s="10" t="s">
        <v>1066</v>
      </c>
      <c r="G1116" s="9">
        <v>914</v>
      </c>
      <c r="H1116" s="9">
        <v>1965</v>
      </c>
      <c r="I1116" s="8">
        <v>93.361000000000004</v>
      </c>
      <c r="J1116" s="8">
        <v>73.718999999999994</v>
      </c>
      <c r="K1116" s="8">
        <v>59.353999999999999</v>
      </c>
      <c r="L1116" s="8">
        <v>47.54</v>
      </c>
      <c r="M1116" s="8">
        <v>40.959000000000003</v>
      </c>
      <c r="N1116" s="8">
        <v>35.067999999999998</v>
      </c>
      <c r="O1116" s="8">
        <v>29.716000000000001</v>
      </c>
      <c r="P1116" s="8">
        <v>25.178000000000001</v>
      </c>
      <c r="Q1116" s="8">
        <v>21.327000000000002</v>
      </c>
      <c r="R1116" s="8">
        <v>17.722999999999999</v>
      </c>
      <c r="S1116" s="8">
        <v>14.292999999999999</v>
      </c>
      <c r="T1116" s="8">
        <v>11.162000000000001</v>
      </c>
      <c r="U1116" s="8">
        <v>8.234</v>
      </c>
      <c r="V1116" s="8">
        <v>5.5990000000000002</v>
      </c>
      <c r="W1116" s="8">
        <v>3.3010000000000002</v>
      </c>
      <c r="X1116" s="8">
        <v>1.5840000000000001</v>
      </c>
      <c r="Y1116" s="8">
        <v>0.56299999999999994</v>
      </c>
      <c r="Z1116" s="8">
        <v>0.13</v>
      </c>
      <c r="AA1116" s="8">
        <v>1.6E-2</v>
      </c>
      <c r="AB1116" s="8">
        <v>0</v>
      </c>
      <c r="AC1116" s="8">
        <v>0</v>
      </c>
    </row>
    <row r="1117" spans="1:29" ht="11.65" x14ac:dyDescent="0.35">
      <c r="A1117" s="12">
        <v>1100</v>
      </c>
      <c r="B1117" s="10" t="s">
        <v>1015</v>
      </c>
      <c r="C1117" s="11" t="s">
        <v>1097</v>
      </c>
      <c r="D1117" s="9"/>
      <c r="E1117" s="9">
        <v>478</v>
      </c>
      <c r="F1117" s="10" t="s">
        <v>1066</v>
      </c>
      <c r="G1117" s="9">
        <v>914</v>
      </c>
      <c r="H1117" s="9">
        <v>1970</v>
      </c>
      <c r="I1117" s="8">
        <v>107.76600000000001</v>
      </c>
      <c r="J1117" s="8">
        <v>86.816999999999993</v>
      </c>
      <c r="K1117" s="8">
        <v>72.597999999999999</v>
      </c>
      <c r="L1117" s="8">
        <v>58.170999999999999</v>
      </c>
      <c r="M1117" s="8">
        <v>45.89</v>
      </c>
      <c r="N1117" s="8">
        <v>39.15</v>
      </c>
      <c r="O1117" s="8">
        <v>33.335999999999999</v>
      </c>
      <c r="P1117" s="8">
        <v>28.263000000000002</v>
      </c>
      <c r="Q1117" s="8">
        <v>24.135999999999999</v>
      </c>
      <c r="R1117" s="8">
        <v>20.297000000000001</v>
      </c>
      <c r="S1117" s="8">
        <v>16.411999999999999</v>
      </c>
      <c r="T1117" s="8">
        <v>12.868</v>
      </c>
      <c r="U1117" s="8">
        <v>9.6219999999999999</v>
      </c>
      <c r="V1117" s="8">
        <v>6.6379999999999999</v>
      </c>
      <c r="W1117" s="8">
        <v>4.0789999999999997</v>
      </c>
      <c r="X1117" s="8">
        <v>2.0459999999999998</v>
      </c>
      <c r="Y1117" s="8">
        <v>0.76900000000000002</v>
      </c>
      <c r="Z1117" s="8">
        <v>0.191</v>
      </c>
      <c r="AA1117" s="8">
        <v>2.8000000000000001E-2</v>
      </c>
      <c r="AB1117" s="8">
        <v>2E-3</v>
      </c>
      <c r="AC1117" s="8">
        <v>0</v>
      </c>
    </row>
    <row r="1118" spans="1:29" ht="11.65" x14ac:dyDescent="0.35">
      <c r="A1118" s="12">
        <v>1101</v>
      </c>
      <c r="B1118" s="10" t="s">
        <v>1015</v>
      </c>
      <c r="C1118" s="11" t="s">
        <v>1097</v>
      </c>
      <c r="D1118" s="9"/>
      <c r="E1118" s="9">
        <v>478</v>
      </c>
      <c r="F1118" s="10" t="s">
        <v>1066</v>
      </c>
      <c r="G1118" s="9">
        <v>914</v>
      </c>
      <c r="H1118" s="9">
        <v>1975</v>
      </c>
      <c r="I1118" s="8">
        <v>122.982</v>
      </c>
      <c r="J1118" s="8">
        <v>100.911</v>
      </c>
      <c r="K1118" s="8">
        <v>85.641999999999996</v>
      </c>
      <c r="L1118" s="8">
        <v>71.358999999999995</v>
      </c>
      <c r="M1118" s="8">
        <v>56.344999999999999</v>
      </c>
      <c r="N1118" s="8">
        <v>43.609000000000002</v>
      </c>
      <c r="O1118" s="8">
        <v>36.332000000000001</v>
      </c>
      <c r="P1118" s="8">
        <v>31.123999999999999</v>
      </c>
      <c r="Q1118" s="8">
        <v>27.277000000000001</v>
      </c>
      <c r="R1118" s="8">
        <v>23.18</v>
      </c>
      <c r="S1118" s="8">
        <v>18.901</v>
      </c>
      <c r="T1118" s="8">
        <v>14.869</v>
      </c>
      <c r="U1118" s="8">
        <v>11.172000000000001</v>
      </c>
      <c r="V1118" s="8">
        <v>7.827</v>
      </c>
      <c r="W1118" s="8">
        <v>4.8899999999999997</v>
      </c>
      <c r="X1118" s="8">
        <v>2.5649999999999999</v>
      </c>
      <c r="Y1118" s="8">
        <v>1.01</v>
      </c>
      <c r="Z1118" s="8">
        <v>0.26600000000000001</v>
      </c>
      <c r="AA1118" s="8">
        <v>4.1000000000000002E-2</v>
      </c>
      <c r="AB1118" s="8">
        <v>3.0000000000000001E-3</v>
      </c>
      <c r="AC1118" s="8">
        <v>0</v>
      </c>
    </row>
    <row r="1119" spans="1:29" ht="11.65" x14ac:dyDescent="0.35">
      <c r="A1119" s="12">
        <v>1102</v>
      </c>
      <c r="B1119" s="10" t="s">
        <v>1015</v>
      </c>
      <c r="C1119" s="11" t="s">
        <v>1097</v>
      </c>
      <c r="D1119" s="9"/>
      <c r="E1119" s="9">
        <v>478</v>
      </c>
      <c r="F1119" s="10" t="s">
        <v>1066</v>
      </c>
      <c r="G1119" s="9">
        <v>914</v>
      </c>
      <c r="H1119" s="9">
        <v>1980</v>
      </c>
      <c r="I1119" s="8">
        <v>139.631</v>
      </c>
      <c r="J1119" s="8">
        <v>115.777</v>
      </c>
      <c r="K1119" s="8">
        <v>99.626000000000005</v>
      </c>
      <c r="L1119" s="8">
        <v>84.221999999999994</v>
      </c>
      <c r="M1119" s="8">
        <v>69.108999999999995</v>
      </c>
      <c r="N1119" s="8">
        <v>53.899000000000001</v>
      </c>
      <c r="O1119" s="8">
        <v>41.512</v>
      </c>
      <c r="P1119" s="8">
        <v>34.555999999999997</v>
      </c>
      <c r="Q1119" s="8">
        <v>29.518000000000001</v>
      </c>
      <c r="R1119" s="8">
        <v>25.663</v>
      </c>
      <c r="S1119" s="8">
        <v>21.477</v>
      </c>
      <c r="T1119" s="8">
        <v>17.100000000000001</v>
      </c>
      <c r="U1119" s="8">
        <v>12.922000000000001</v>
      </c>
      <c r="V1119" s="8">
        <v>9.09</v>
      </c>
      <c r="W1119" s="8">
        <v>5.8010000000000002</v>
      </c>
      <c r="X1119" s="8">
        <v>3.1240000000000001</v>
      </c>
      <c r="Y1119" s="8">
        <v>1.2929999999999999</v>
      </c>
      <c r="Z1119" s="8">
        <v>0.35899999999999999</v>
      </c>
      <c r="AA1119" s="8">
        <v>5.8000000000000003E-2</v>
      </c>
      <c r="AB1119" s="8">
        <v>5.0000000000000001E-3</v>
      </c>
      <c r="AC1119" s="8">
        <v>0</v>
      </c>
    </row>
    <row r="1120" spans="1:29" ht="11.65" x14ac:dyDescent="0.35">
      <c r="A1120" s="12">
        <v>1103</v>
      </c>
      <c r="B1120" s="10" t="s">
        <v>1015</v>
      </c>
      <c r="C1120" s="11" t="s">
        <v>1097</v>
      </c>
      <c r="D1120" s="9"/>
      <c r="E1120" s="9">
        <v>478</v>
      </c>
      <c r="F1120" s="10" t="s">
        <v>1066</v>
      </c>
      <c r="G1120" s="9">
        <v>914</v>
      </c>
      <c r="H1120" s="9">
        <v>1985</v>
      </c>
      <c r="I1120" s="8">
        <v>158.768</v>
      </c>
      <c r="J1120" s="8">
        <v>132.74700000000001</v>
      </c>
      <c r="K1120" s="8">
        <v>114.47199999999999</v>
      </c>
      <c r="L1120" s="8">
        <v>97.995000000000005</v>
      </c>
      <c r="M1120" s="8">
        <v>81.385999999999996</v>
      </c>
      <c r="N1120" s="8">
        <v>65.891999999999996</v>
      </c>
      <c r="O1120" s="8">
        <v>51.137</v>
      </c>
      <c r="P1120" s="8">
        <v>39.295999999999999</v>
      </c>
      <c r="Q1120" s="8">
        <v>32.676000000000002</v>
      </c>
      <c r="R1120" s="8">
        <v>27.741</v>
      </c>
      <c r="S1120" s="8">
        <v>23.84</v>
      </c>
      <c r="T1120" s="8">
        <v>19.523</v>
      </c>
      <c r="U1120" s="8">
        <v>14.984</v>
      </c>
      <c r="V1120" s="8">
        <v>10.663</v>
      </c>
      <c r="W1120" s="8">
        <v>6.8</v>
      </c>
      <c r="X1120" s="8">
        <v>3.7509999999999999</v>
      </c>
      <c r="Y1120" s="8">
        <v>1.615</v>
      </c>
      <c r="Z1120" s="8">
        <v>0.47199999999999998</v>
      </c>
      <c r="AA1120" s="8">
        <v>8.1000000000000003E-2</v>
      </c>
      <c r="AB1120" s="8">
        <v>6.0000000000000001E-3</v>
      </c>
      <c r="AC1120" s="8">
        <v>0</v>
      </c>
    </row>
    <row r="1121" spans="1:29" ht="11.65" x14ac:dyDescent="0.35">
      <c r="A1121" s="12">
        <v>1104</v>
      </c>
      <c r="B1121" s="10" t="s">
        <v>1015</v>
      </c>
      <c r="C1121" s="11" t="s">
        <v>1097</v>
      </c>
      <c r="D1121" s="9"/>
      <c r="E1121" s="9">
        <v>478</v>
      </c>
      <c r="F1121" s="10" t="s">
        <v>1066</v>
      </c>
      <c r="G1121" s="9">
        <v>914</v>
      </c>
      <c r="H1121" s="9">
        <v>1990</v>
      </c>
      <c r="I1121" s="8">
        <v>179.68899999999999</v>
      </c>
      <c r="J1121" s="8">
        <v>152.33099999999999</v>
      </c>
      <c r="K1121" s="8">
        <v>131.25700000000001</v>
      </c>
      <c r="L1121" s="8">
        <v>112.035</v>
      </c>
      <c r="M1121" s="8">
        <v>93.128</v>
      </c>
      <c r="N1121" s="8">
        <v>75.555000000000007</v>
      </c>
      <c r="O1121" s="8">
        <v>60.829000000000001</v>
      </c>
      <c r="P1121" s="8">
        <v>47.213000000000001</v>
      </c>
      <c r="Q1121" s="8">
        <v>36.299999999999997</v>
      </c>
      <c r="R1121" s="8">
        <v>30.195</v>
      </c>
      <c r="S1121" s="8">
        <v>25.477</v>
      </c>
      <c r="T1121" s="8">
        <v>21.547000000000001</v>
      </c>
      <c r="U1121" s="8">
        <v>17.062999999999999</v>
      </c>
      <c r="V1121" s="8">
        <v>12.327</v>
      </c>
      <c r="W1121" s="8">
        <v>7.992</v>
      </c>
      <c r="X1121" s="8">
        <v>4.3819999999999997</v>
      </c>
      <c r="Y1121" s="8">
        <v>1.9330000000000001</v>
      </c>
      <c r="Z1121" s="8">
        <v>0.60099999999999998</v>
      </c>
      <c r="AA1121" s="8">
        <v>0.108</v>
      </c>
      <c r="AB1121" s="8">
        <v>8.9999999999999993E-3</v>
      </c>
      <c r="AC1121" s="8">
        <v>0</v>
      </c>
    </row>
    <row r="1122" spans="1:29" ht="11.65" x14ac:dyDescent="0.35">
      <c r="A1122" s="12">
        <v>1105</v>
      </c>
      <c r="B1122" s="10" t="s">
        <v>1015</v>
      </c>
      <c r="C1122" s="11" t="s">
        <v>1097</v>
      </c>
      <c r="D1122" s="9"/>
      <c r="E1122" s="9">
        <v>478</v>
      </c>
      <c r="F1122" s="10" t="s">
        <v>1066</v>
      </c>
      <c r="G1122" s="9">
        <v>914</v>
      </c>
      <c r="H1122" s="9">
        <v>1995</v>
      </c>
      <c r="I1122" s="8">
        <v>197.62799999999999</v>
      </c>
      <c r="J1122" s="8">
        <v>173.25200000000001</v>
      </c>
      <c r="K1122" s="8">
        <v>150.71100000000001</v>
      </c>
      <c r="L1122" s="8">
        <v>128.36000000000001</v>
      </c>
      <c r="M1122" s="8">
        <v>106.18</v>
      </c>
      <c r="N1122" s="8">
        <v>86.075999999999993</v>
      </c>
      <c r="O1122" s="8">
        <v>69.460999999999999</v>
      </c>
      <c r="P1122" s="8">
        <v>56.164999999999999</v>
      </c>
      <c r="Q1122" s="8">
        <v>43.756999999999998</v>
      </c>
      <c r="R1122" s="8">
        <v>33.54</v>
      </c>
      <c r="S1122" s="8">
        <v>27.706</v>
      </c>
      <c r="T1122" s="8">
        <v>22.972999999999999</v>
      </c>
      <c r="U1122" s="8">
        <v>18.853999999999999</v>
      </c>
      <c r="V1122" s="8">
        <v>14.118</v>
      </c>
      <c r="W1122" s="8">
        <v>9.2379999999999995</v>
      </c>
      <c r="X1122" s="8">
        <v>5.22</v>
      </c>
      <c r="Y1122" s="8">
        <v>2.319</v>
      </c>
      <c r="Z1122" s="8">
        <v>0.72399999999999998</v>
      </c>
      <c r="AA1122" s="8">
        <v>0.13900000000000001</v>
      </c>
      <c r="AB1122" s="8">
        <v>1.4999999999999999E-2</v>
      </c>
      <c r="AC1122" s="8">
        <v>1E-3</v>
      </c>
    </row>
    <row r="1123" spans="1:29" ht="11.65" x14ac:dyDescent="0.35">
      <c r="A1123" s="12">
        <v>1106</v>
      </c>
      <c r="B1123" s="10" t="s">
        <v>1015</v>
      </c>
      <c r="C1123" s="11" t="s">
        <v>1097</v>
      </c>
      <c r="D1123" s="9"/>
      <c r="E1123" s="9">
        <v>478</v>
      </c>
      <c r="F1123" s="10" t="s">
        <v>1066</v>
      </c>
      <c r="G1123" s="9">
        <v>914</v>
      </c>
      <c r="H1123" s="9">
        <v>2000</v>
      </c>
      <c r="I1123" s="8">
        <v>220.005</v>
      </c>
      <c r="J1123" s="8">
        <v>190.511</v>
      </c>
      <c r="K1123" s="8">
        <v>171.624</v>
      </c>
      <c r="L1123" s="8">
        <v>148.267</v>
      </c>
      <c r="M1123" s="8">
        <v>123.197</v>
      </c>
      <c r="N1123" s="8">
        <v>99.828999999999994</v>
      </c>
      <c r="O1123" s="8">
        <v>80.983000000000004</v>
      </c>
      <c r="P1123" s="8">
        <v>65.822999999999993</v>
      </c>
      <c r="Q1123" s="8">
        <v>53.179000000000002</v>
      </c>
      <c r="R1123" s="8">
        <v>41.213999999999999</v>
      </c>
      <c r="S1123" s="8">
        <v>31.204000000000001</v>
      </c>
      <c r="T1123" s="8">
        <v>25.206</v>
      </c>
      <c r="U1123" s="8">
        <v>20.196000000000002</v>
      </c>
      <c r="V1123" s="8">
        <v>15.759</v>
      </c>
      <c r="W1123" s="8">
        <v>10.884</v>
      </c>
      <c r="X1123" s="8">
        <v>6.1580000000000004</v>
      </c>
      <c r="Y1123" s="8">
        <v>2.7730000000000001</v>
      </c>
      <c r="Z1123" s="8">
        <v>0.874</v>
      </c>
      <c r="AA1123" s="8">
        <v>0.17</v>
      </c>
      <c r="AB1123" s="8">
        <v>1.7999999999999999E-2</v>
      </c>
      <c r="AC1123" s="8">
        <v>1E-3</v>
      </c>
    </row>
    <row r="1124" spans="1:29" ht="11.65" x14ac:dyDescent="0.35">
      <c r="A1124" s="12">
        <v>1107</v>
      </c>
      <c r="B1124" s="10" t="s">
        <v>1015</v>
      </c>
      <c r="C1124" s="11" t="s">
        <v>1097</v>
      </c>
      <c r="D1124" s="9"/>
      <c r="E1124" s="9">
        <v>478</v>
      </c>
      <c r="F1124" s="10" t="s">
        <v>1066</v>
      </c>
      <c r="G1124" s="9">
        <v>914</v>
      </c>
      <c r="H1124" s="9">
        <v>2005</v>
      </c>
      <c r="I1124" s="8">
        <v>247.095</v>
      </c>
      <c r="J1124" s="8">
        <v>212.738</v>
      </c>
      <c r="K1124" s="8">
        <v>189.065</v>
      </c>
      <c r="L1124" s="8">
        <v>170.02199999999999</v>
      </c>
      <c r="M1124" s="8">
        <v>145.74700000000001</v>
      </c>
      <c r="N1124" s="8">
        <v>120.497</v>
      </c>
      <c r="O1124" s="8">
        <v>97.494</v>
      </c>
      <c r="P1124" s="8">
        <v>78.924000000000007</v>
      </c>
      <c r="Q1124" s="8">
        <v>63.866999999999997</v>
      </c>
      <c r="R1124" s="8">
        <v>51.167000000000002</v>
      </c>
      <c r="S1124" s="8">
        <v>39.081000000000003</v>
      </c>
      <c r="T1124" s="8">
        <v>28.893000000000001</v>
      </c>
      <c r="U1124" s="8">
        <v>22.498000000000001</v>
      </c>
      <c r="V1124" s="8">
        <v>17.035</v>
      </c>
      <c r="W1124" s="8">
        <v>12.15</v>
      </c>
      <c r="X1124" s="8">
        <v>7.2530000000000001</v>
      </c>
      <c r="Y1124" s="8">
        <v>3.2749999999999999</v>
      </c>
      <c r="Z1124" s="8">
        <v>1.048</v>
      </c>
      <c r="AA1124" s="8">
        <v>0.20399999999999999</v>
      </c>
      <c r="AB1124" s="8">
        <v>2.1999999999999999E-2</v>
      </c>
      <c r="AC1124" s="8">
        <v>1E-3</v>
      </c>
    </row>
    <row r="1125" spans="1:29" ht="11.65" x14ac:dyDescent="0.35">
      <c r="A1125" s="12">
        <v>1108</v>
      </c>
      <c r="B1125" s="10" t="s">
        <v>1015</v>
      </c>
      <c r="C1125" s="11" t="s">
        <v>1097</v>
      </c>
      <c r="D1125" s="9"/>
      <c r="E1125" s="9">
        <v>478</v>
      </c>
      <c r="F1125" s="10" t="s">
        <v>1066</v>
      </c>
      <c r="G1125" s="9">
        <v>914</v>
      </c>
      <c r="H1125" s="9">
        <v>2010</v>
      </c>
      <c r="I1125" s="8">
        <v>280.34199999999998</v>
      </c>
      <c r="J1125" s="8">
        <v>240.029</v>
      </c>
      <c r="K1125" s="8">
        <v>211.46</v>
      </c>
      <c r="L1125" s="8">
        <v>188.07300000000001</v>
      </c>
      <c r="M1125" s="8">
        <v>168.89599999999999</v>
      </c>
      <c r="N1125" s="8">
        <v>144.75899999999999</v>
      </c>
      <c r="O1125" s="8">
        <v>119.61799999999999</v>
      </c>
      <c r="P1125" s="8">
        <v>96.445999999999998</v>
      </c>
      <c r="Q1125" s="8">
        <v>77.585999999999999</v>
      </c>
      <c r="R1125" s="8">
        <v>62.152999999999999</v>
      </c>
      <c r="S1125" s="8">
        <v>49.02</v>
      </c>
      <c r="T1125" s="8">
        <v>36.555999999999997</v>
      </c>
      <c r="U1125" s="8">
        <v>26.041</v>
      </c>
      <c r="V1125" s="8">
        <v>19.135000000000002</v>
      </c>
      <c r="W1125" s="8">
        <v>13.227</v>
      </c>
      <c r="X1125" s="8">
        <v>8.1769999999999996</v>
      </c>
      <c r="Y1125" s="8">
        <v>3.8980000000000001</v>
      </c>
      <c r="Z1125" s="8">
        <v>1.2490000000000001</v>
      </c>
      <c r="AA1125" s="8">
        <v>0.248</v>
      </c>
      <c r="AB1125" s="8">
        <v>2.7E-2</v>
      </c>
      <c r="AC1125" s="8">
        <v>2E-3</v>
      </c>
    </row>
    <row r="1126" spans="1:29" ht="11.65" x14ac:dyDescent="0.35">
      <c r="A1126" s="12">
        <v>1109</v>
      </c>
      <c r="B1126" s="10" t="s">
        <v>1015</v>
      </c>
      <c r="C1126" s="11" t="s">
        <v>1097</v>
      </c>
      <c r="D1126" s="9"/>
      <c r="E1126" s="9">
        <v>478</v>
      </c>
      <c r="F1126" s="10" t="s">
        <v>1066</v>
      </c>
      <c r="G1126" s="9">
        <v>914</v>
      </c>
      <c r="H1126" s="9">
        <v>2015</v>
      </c>
      <c r="I1126" s="8">
        <v>319.52199999999999</v>
      </c>
      <c r="J1126" s="8">
        <v>273.577</v>
      </c>
      <c r="K1126" s="8">
        <v>238.87299999999999</v>
      </c>
      <c r="L1126" s="8">
        <v>210.917</v>
      </c>
      <c r="M1126" s="8">
        <v>188.07</v>
      </c>
      <c r="N1126" s="8">
        <v>169.21700000000001</v>
      </c>
      <c r="O1126" s="8">
        <v>144.941</v>
      </c>
      <c r="P1126" s="8">
        <v>119.254</v>
      </c>
      <c r="Q1126" s="8">
        <v>95.498000000000005</v>
      </c>
      <c r="R1126" s="8">
        <v>76.003</v>
      </c>
      <c r="S1126" s="8">
        <v>59.912999999999997</v>
      </c>
      <c r="T1126" s="8">
        <v>46.143999999999998</v>
      </c>
      <c r="U1126" s="8">
        <v>33.161000000000001</v>
      </c>
      <c r="V1126" s="8">
        <v>22.295000000000002</v>
      </c>
      <c r="W1126" s="8">
        <v>14.936999999999999</v>
      </c>
      <c r="X1126" s="8">
        <v>8.9629999999999992</v>
      </c>
      <c r="Y1126" s="8">
        <v>4.4320000000000004</v>
      </c>
      <c r="Z1126" s="8">
        <v>1.5</v>
      </c>
      <c r="AA1126" s="8">
        <v>0.29599999999999999</v>
      </c>
      <c r="AB1126" s="8">
        <v>3.3000000000000002E-2</v>
      </c>
      <c r="AC1126" s="8">
        <v>2E-3</v>
      </c>
    </row>
    <row r="1127" spans="1:29" ht="11.65" x14ac:dyDescent="0.35">
      <c r="A1127" s="12">
        <v>1110</v>
      </c>
      <c r="B1127" s="10" t="s">
        <v>1015</v>
      </c>
      <c r="C1127" s="11" t="s">
        <v>1097</v>
      </c>
      <c r="D1127" s="9"/>
      <c r="E1127" s="9">
        <v>478</v>
      </c>
      <c r="F1127" s="10" t="s">
        <v>1066</v>
      </c>
      <c r="G1127" s="9">
        <v>914</v>
      </c>
      <c r="H1127" s="9">
        <v>2020</v>
      </c>
      <c r="I1127" s="8">
        <v>351.30500000000001</v>
      </c>
      <c r="J1127" s="8">
        <v>313.83800000000002</v>
      </c>
      <c r="K1127" s="8">
        <v>272.37799999999999</v>
      </c>
      <c r="L1127" s="8">
        <v>238.27500000000001</v>
      </c>
      <c r="M1127" s="8">
        <v>210.83799999999999</v>
      </c>
      <c r="N1127" s="8">
        <v>188.33</v>
      </c>
      <c r="O1127" s="8">
        <v>169.25899999999999</v>
      </c>
      <c r="P1127" s="8">
        <v>144.363</v>
      </c>
      <c r="Q1127" s="8">
        <v>118.009</v>
      </c>
      <c r="R1127" s="8">
        <v>93.549000000000007</v>
      </c>
      <c r="S1127" s="8">
        <v>73.308999999999997</v>
      </c>
      <c r="T1127" s="8">
        <v>56.457000000000001</v>
      </c>
      <c r="U1127" s="8">
        <v>41.923000000000002</v>
      </c>
      <c r="V1127" s="8">
        <v>28.47</v>
      </c>
      <c r="W1127" s="8">
        <v>17.481999999999999</v>
      </c>
      <c r="X1127" s="8">
        <v>10.182</v>
      </c>
      <c r="Y1127" s="8">
        <v>4.8940000000000001</v>
      </c>
      <c r="Z1127" s="8">
        <v>1.7190000000000001</v>
      </c>
      <c r="AA1127" s="8">
        <v>0.36</v>
      </c>
      <c r="AB1127" s="8">
        <v>3.9E-2</v>
      </c>
      <c r="AC1127" s="8">
        <v>2E-3</v>
      </c>
    </row>
    <row r="1128" spans="1:29" ht="11.65" x14ac:dyDescent="0.35">
      <c r="A1128" s="12">
        <v>1111</v>
      </c>
      <c r="B1128" s="10" t="s">
        <v>1015</v>
      </c>
      <c r="C1128" s="11" t="s">
        <v>1098</v>
      </c>
      <c r="D1128" s="9"/>
      <c r="E1128" s="9">
        <v>562</v>
      </c>
      <c r="F1128" s="10" t="s">
        <v>1066</v>
      </c>
      <c r="G1128" s="9">
        <v>914</v>
      </c>
      <c r="H1128" s="9">
        <v>1950</v>
      </c>
      <c r="I1128" s="8">
        <v>229.07599999999999</v>
      </c>
      <c r="J1128" s="8">
        <v>190.642</v>
      </c>
      <c r="K1128" s="8">
        <v>154.238</v>
      </c>
      <c r="L1128" s="8">
        <v>126.33</v>
      </c>
      <c r="M1128" s="8">
        <v>102.813</v>
      </c>
      <c r="N1128" s="8">
        <v>86.135000000000005</v>
      </c>
      <c r="O1128" s="8">
        <v>71.290000000000006</v>
      </c>
      <c r="P1128" s="8">
        <v>58.570999999999998</v>
      </c>
      <c r="Q1128" s="8">
        <v>46.688000000000002</v>
      </c>
      <c r="R1128" s="8">
        <v>35.601999999999997</v>
      </c>
      <c r="S1128" s="8">
        <v>21.962</v>
      </c>
      <c r="T1128" s="8">
        <v>14.93</v>
      </c>
      <c r="U1128" s="8">
        <v>7.5759999999999996</v>
      </c>
      <c r="V1128" s="8">
        <v>4.5940000000000003</v>
      </c>
      <c r="W1128" s="8">
        <v>2.2970000000000002</v>
      </c>
      <c r="X1128" s="8">
        <v>1.665</v>
      </c>
      <c r="Y1128" s="8">
        <v>0.82199999999999995</v>
      </c>
      <c r="Z1128" s="8">
        <v>0.154</v>
      </c>
      <c r="AA1128" s="8">
        <v>1.4999999999999999E-2</v>
      </c>
      <c r="AB1128" s="8">
        <v>0</v>
      </c>
      <c r="AC1128" s="8">
        <v>0</v>
      </c>
    </row>
    <row r="1129" spans="1:29" ht="11.65" x14ac:dyDescent="0.35">
      <c r="A1129" s="12">
        <v>1112</v>
      </c>
      <c r="B1129" s="10" t="s">
        <v>1015</v>
      </c>
      <c r="C1129" s="11" t="s">
        <v>1098</v>
      </c>
      <c r="D1129" s="9"/>
      <c r="E1129" s="9">
        <v>562</v>
      </c>
      <c r="F1129" s="10" t="s">
        <v>1066</v>
      </c>
      <c r="G1129" s="9">
        <v>914</v>
      </c>
      <c r="H1129" s="9">
        <v>1955</v>
      </c>
      <c r="I1129" s="8">
        <v>307.01499999999999</v>
      </c>
      <c r="J1129" s="8">
        <v>196.89500000000001</v>
      </c>
      <c r="K1129" s="8">
        <v>181.27600000000001</v>
      </c>
      <c r="L1129" s="8">
        <v>148.52500000000001</v>
      </c>
      <c r="M1129" s="8">
        <v>120.184</v>
      </c>
      <c r="N1129" s="8">
        <v>97.135000000000005</v>
      </c>
      <c r="O1129" s="8">
        <v>81.12</v>
      </c>
      <c r="P1129" s="8">
        <v>66.875</v>
      </c>
      <c r="Q1129" s="8">
        <v>54.555999999999997</v>
      </c>
      <c r="R1129" s="8">
        <v>42.963999999999999</v>
      </c>
      <c r="S1129" s="8">
        <v>32.061999999999998</v>
      </c>
      <c r="T1129" s="8">
        <v>19.117999999999999</v>
      </c>
      <c r="U1129" s="8">
        <v>12.237</v>
      </c>
      <c r="V1129" s="8">
        <v>5.6319999999999997</v>
      </c>
      <c r="W1129" s="8">
        <v>2.9119999999999999</v>
      </c>
      <c r="X1129" s="8">
        <v>1.1200000000000001</v>
      </c>
      <c r="Y1129" s="8">
        <v>0.54500000000000004</v>
      </c>
      <c r="Z1129" s="8">
        <v>0.155</v>
      </c>
      <c r="AA1129" s="8">
        <v>1.4E-2</v>
      </c>
      <c r="AB1129" s="8">
        <v>0</v>
      </c>
      <c r="AC1129" s="8">
        <v>0</v>
      </c>
    </row>
    <row r="1130" spans="1:29" ht="11.65" x14ac:dyDescent="0.35">
      <c r="A1130" s="12">
        <v>1113</v>
      </c>
      <c r="B1130" s="10" t="s">
        <v>1015</v>
      </c>
      <c r="C1130" s="11" t="s">
        <v>1098</v>
      </c>
      <c r="D1130" s="9"/>
      <c r="E1130" s="9">
        <v>562</v>
      </c>
      <c r="F1130" s="10" t="s">
        <v>1066</v>
      </c>
      <c r="G1130" s="9">
        <v>914</v>
      </c>
      <c r="H1130" s="9">
        <v>1960</v>
      </c>
      <c r="I1130" s="8">
        <v>357.399</v>
      </c>
      <c r="J1130" s="8">
        <v>264.01900000000001</v>
      </c>
      <c r="K1130" s="8">
        <v>187.08099999999999</v>
      </c>
      <c r="L1130" s="8">
        <v>173.017</v>
      </c>
      <c r="M1130" s="8">
        <v>137.298</v>
      </c>
      <c r="N1130" s="8">
        <v>108.465</v>
      </c>
      <c r="O1130" s="8">
        <v>87.141000000000005</v>
      </c>
      <c r="P1130" s="8">
        <v>72.951999999999998</v>
      </c>
      <c r="Q1130" s="8">
        <v>60.167999999999999</v>
      </c>
      <c r="R1130" s="8">
        <v>49.901000000000003</v>
      </c>
      <c r="S1130" s="8">
        <v>39.499000000000002</v>
      </c>
      <c r="T1130" s="8">
        <v>28.436</v>
      </c>
      <c r="U1130" s="8">
        <v>16.024999999999999</v>
      </c>
      <c r="V1130" s="8">
        <v>9.3230000000000004</v>
      </c>
      <c r="W1130" s="8">
        <v>3.7149999999999999</v>
      </c>
      <c r="X1130" s="8">
        <v>1.504</v>
      </c>
      <c r="Y1130" s="8">
        <v>0.41399999999999998</v>
      </c>
      <c r="Z1130" s="8">
        <v>0.109</v>
      </c>
      <c r="AA1130" s="8">
        <v>1.6E-2</v>
      </c>
      <c r="AB1130" s="8">
        <v>0</v>
      </c>
      <c r="AC1130" s="8">
        <v>0</v>
      </c>
    </row>
    <row r="1131" spans="1:29" ht="11.65" x14ac:dyDescent="0.35">
      <c r="A1131" s="12">
        <v>1114</v>
      </c>
      <c r="B1131" s="10" t="s">
        <v>1015</v>
      </c>
      <c r="C1131" s="11" t="s">
        <v>1098</v>
      </c>
      <c r="D1131" s="9"/>
      <c r="E1131" s="9">
        <v>562</v>
      </c>
      <c r="F1131" s="10" t="s">
        <v>1066</v>
      </c>
      <c r="G1131" s="9">
        <v>914</v>
      </c>
      <c r="H1131" s="9">
        <v>1965</v>
      </c>
      <c r="I1131" s="8">
        <v>415.25</v>
      </c>
      <c r="J1131" s="8">
        <v>307.56099999999998</v>
      </c>
      <c r="K1131" s="8">
        <v>251.62700000000001</v>
      </c>
      <c r="L1131" s="8">
        <v>179.63800000000001</v>
      </c>
      <c r="M1131" s="8">
        <v>162.80699999999999</v>
      </c>
      <c r="N1131" s="8">
        <v>127.303</v>
      </c>
      <c r="O1131" s="8">
        <v>100.104</v>
      </c>
      <c r="P1131" s="8">
        <v>80.311000000000007</v>
      </c>
      <c r="Q1131" s="8">
        <v>67.021000000000001</v>
      </c>
      <c r="R1131" s="8">
        <v>55.335999999999999</v>
      </c>
      <c r="S1131" s="8">
        <v>45.478999999999999</v>
      </c>
      <c r="T1131" s="8">
        <v>34.773000000000003</v>
      </c>
      <c r="U1131" s="8">
        <v>23.591999999999999</v>
      </c>
      <c r="V1131" s="8">
        <v>12.098000000000001</v>
      </c>
      <c r="W1131" s="8">
        <v>6.0439999999999996</v>
      </c>
      <c r="X1131" s="8">
        <v>1.88</v>
      </c>
      <c r="Y1131" s="8">
        <v>0.52700000000000002</v>
      </c>
      <c r="Z1131" s="8">
        <v>8.4000000000000005E-2</v>
      </c>
      <c r="AA1131" s="8">
        <v>1.2E-2</v>
      </c>
      <c r="AB1131" s="8">
        <v>0</v>
      </c>
      <c r="AC1131" s="8">
        <v>0</v>
      </c>
    </row>
    <row r="1132" spans="1:29" ht="11.65" x14ac:dyDescent="0.35">
      <c r="A1132" s="12">
        <v>1115</v>
      </c>
      <c r="B1132" s="10" t="s">
        <v>1015</v>
      </c>
      <c r="C1132" s="11" t="s">
        <v>1098</v>
      </c>
      <c r="D1132" s="9"/>
      <c r="E1132" s="9">
        <v>562</v>
      </c>
      <c r="F1132" s="10" t="s">
        <v>1066</v>
      </c>
      <c r="G1132" s="9">
        <v>914</v>
      </c>
      <c r="H1132" s="9">
        <v>1970</v>
      </c>
      <c r="I1132" s="8">
        <v>473.68299999999999</v>
      </c>
      <c r="J1132" s="8">
        <v>356.827</v>
      </c>
      <c r="K1132" s="8">
        <v>293.62299999999999</v>
      </c>
      <c r="L1132" s="8">
        <v>242.11199999999999</v>
      </c>
      <c r="M1132" s="8">
        <v>169.36699999999999</v>
      </c>
      <c r="N1132" s="8">
        <v>151.61000000000001</v>
      </c>
      <c r="O1132" s="8">
        <v>118.01600000000001</v>
      </c>
      <c r="P1132" s="8">
        <v>92.620999999999995</v>
      </c>
      <c r="Q1132" s="8">
        <v>74.061000000000007</v>
      </c>
      <c r="R1132" s="8">
        <v>61.927</v>
      </c>
      <c r="S1132" s="8">
        <v>50.616999999999997</v>
      </c>
      <c r="T1132" s="8">
        <v>40.11</v>
      </c>
      <c r="U1132" s="8">
        <v>28.913</v>
      </c>
      <c r="V1132" s="8">
        <v>17.87</v>
      </c>
      <c r="W1132" s="8">
        <v>7.883</v>
      </c>
      <c r="X1132" s="8">
        <v>3.07</v>
      </c>
      <c r="Y1132" s="8">
        <v>0.66500000000000004</v>
      </c>
      <c r="Z1132" s="8">
        <v>0.108</v>
      </c>
      <c r="AA1132" s="8">
        <v>8.9999999999999993E-3</v>
      </c>
      <c r="AB1132" s="8">
        <v>0</v>
      </c>
      <c r="AC1132" s="8">
        <v>0</v>
      </c>
    </row>
    <row r="1133" spans="1:29" ht="11.65" x14ac:dyDescent="0.35">
      <c r="A1133" s="12">
        <v>1116</v>
      </c>
      <c r="B1133" s="10" t="s">
        <v>1015</v>
      </c>
      <c r="C1133" s="11" t="s">
        <v>1098</v>
      </c>
      <c r="D1133" s="9"/>
      <c r="E1133" s="9">
        <v>562</v>
      </c>
      <c r="F1133" s="10" t="s">
        <v>1066</v>
      </c>
      <c r="G1133" s="9">
        <v>914</v>
      </c>
      <c r="H1133" s="9">
        <v>1975</v>
      </c>
      <c r="I1133" s="8">
        <v>535.23800000000006</v>
      </c>
      <c r="J1133" s="8">
        <v>406.41699999999997</v>
      </c>
      <c r="K1133" s="8">
        <v>341.798</v>
      </c>
      <c r="L1133" s="8">
        <v>264.52100000000002</v>
      </c>
      <c r="M1133" s="8">
        <v>198.333</v>
      </c>
      <c r="N1133" s="8">
        <v>155.208</v>
      </c>
      <c r="O1133" s="8">
        <v>157.441</v>
      </c>
      <c r="P1133" s="8">
        <v>121.874</v>
      </c>
      <c r="Q1133" s="8">
        <v>94.783000000000001</v>
      </c>
      <c r="R1133" s="8">
        <v>75.146000000000001</v>
      </c>
      <c r="S1133" s="8">
        <v>61.6</v>
      </c>
      <c r="T1133" s="8">
        <v>46.781999999999996</v>
      </c>
      <c r="U1133" s="8">
        <v>33.58</v>
      </c>
      <c r="V1133" s="8">
        <v>22.135000000000002</v>
      </c>
      <c r="W1133" s="8">
        <v>11.842000000000001</v>
      </c>
      <c r="X1133" s="8">
        <v>4.1109999999999998</v>
      </c>
      <c r="Y1133" s="8">
        <v>1.1140000000000001</v>
      </c>
      <c r="Z1133" s="8">
        <v>0.14299999999999999</v>
      </c>
      <c r="AA1133" s="8">
        <v>1.2E-2</v>
      </c>
      <c r="AB1133" s="8">
        <v>0</v>
      </c>
      <c r="AC1133" s="8">
        <v>0</v>
      </c>
    </row>
    <row r="1134" spans="1:29" ht="11.65" x14ac:dyDescent="0.35">
      <c r="A1134" s="12">
        <v>1117</v>
      </c>
      <c r="B1134" s="10" t="s">
        <v>1015</v>
      </c>
      <c r="C1134" s="11" t="s">
        <v>1098</v>
      </c>
      <c r="D1134" s="9"/>
      <c r="E1134" s="9">
        <v>562</v>
      </c>
      <c r="F1134" s="10" t="s">
        <v>1066</v>
      </c>
      <c r="G1134" s="9">
        <v>914</v>
      </c>
      <c r="H1134" s="9">
        <v>1980</v>
      </c>
      <c r="I1134" s="8">
        <v>620.86</v>
      </c>
      <c r="J1134" s="8">
        <v>458.31700000000001</v>
      </c>
      <c r="K1134" s="8">
        <v>391.3</v>
      </c>
      <c r="L1134" s="8">
        <v>265.44</v>
      </c>
      <c r="M1134" s="8">
        <v>175.297</v>
      </c>
      <c r="N1134" s="8">
        <v>220.19900000000001</v>
      </c>
      <c r="O1134" s="8">
        <v>198.53</v>
      </c>
      <c r="P1134" s="8">
        <v>163.172</v>
      </c>
      <c r="Q1134" s="8">
        <v>126.34</v>
      </c>
      <c r="R1134" s="8">
        <v>98.828999999999994</v>
      </c>
      <c r="S1134" s="8">
        <v>78.433000000000007</v>
      </c>
      <c r="T1134" s="8">
        <v>59.024999999999999</v>
      </c>
      <c r="U1134" s="8">
        <v>39.81</v>
      </c>
      <c r="V1134" s="8">
        <v>26.303000000000001</v>
      </c>
      <c r="W1134" s="8">
        <v>15.151999999999999</v>
      </c>
      <c r="X1134" s="8">
        <v>6.4720000000000004</v>
      </c>
      <c r="Y1134" s="8">
        <v>1.585</v>
      </c>
      <c r="Z1134" s="8">
        <v>0.25700000000000001</v>
      </c>
      <c r="AA1134" s="8">
        <v>1.7000000000000001E-2</v>
      </c>
      <c r="AB1134" s="8">
        <v>0</v>
      </c>
      <c r="AC1134" s="8">
        <v>0</v>
      </c>
    </row>
    <row r="1135" spans="1:29" ht="11.65" x14ac:dyDescent="0.35">
      <c r="A1135" s="12">
        <v>1118</v>
      </c>
      <c r="B1135" s="10" t="s">
        <v>1015</v>
      </c>
      <c r="C1135" s="11" t="s">
        <v>1098</v>
      </c>
      <c r="D1135" s="9"/>
      <c r="E1135" s="9">
        <v>562</v>
      </c>
      <c r="F1135" s="10" t="s">
        <v>1066</v>
      </c>
      <c r="G1135" s="9">
        <v>914</v>
      </c>
      <c r="H1135" s="9">
        <v>1985</v>
      </c>
      <c r="I1135" s="8">
        <v>729.16499999999996</v>
      </c>
      <c r="J1135" s="8">
        <v>536.39499999999998</v>
      </c>
      <c r="K1135" s="8">
        <v>444.45699999999999</v>
      </c>
      <c r="L1135" s="8">
        <v>367.46600000000001</v>
      </c>
      <c r="M1135" s="8">
        <v>232.738</v>
      </c>
      <c r="N1135" s="8">
        <v>171.89</v>
      </c>
      <c r="O1135" s="8">
        <v>214.7</v>
      </c>
      <c r="P1135" s="8">
        <v>172.58500000000001</v>
      </c>
      <c r="Q1135" s="8">
        <v>139.536</v>
      </c>
      <c r="R1135" s="8">
        <v>106.667</v>
      </c>
      <c r="S1135" s="8">
        <v>85.793000000000006</v>
      </c>
      <c r="T1135" s="8">
        <v>70.239000000000004</v>
      </c>
      <c r="U1135" s="8">
        <v>51.314</v>
      </c>
      <c r="V1135" s="8">
        <v>32.173000000000002</v>
      </c>
      <c r="W1135" s="8">
        <v>18.832000000000001</v>
      </c>
      <c r="X1135" s="8">
        <v>8.8290000000000006</v>
      </c>
      <c r="Y1135" s="8">
        <v>2.738</v>
      </c>
      <c r="Z1135" s="8">
        <v>0.41599999999999998</v>
      </c>
      <c r="AA1135" s="8">
        <v>3.5999999999999997E-2</v>
      </c>
      <c r="AB1135" s="8">
        <v>0</v>
      </c>
      <c r="AC1135" s="8">
        <v>0</v>
      </c>
    </row>
    <row r="1136" spans="1:29" ht="11.65" x14ac:dyDescent="0.35">
      <c r="A1136" s="12">
        <v>1119</v>
      </c>
      <c r="B1136" s="10" t="s">
        <v>1015</v>
      </c>
      <c r="C1136" s="11" t="s">
        <v>1098</v>
      </c>
      <c r="D1136" s="9"/>
      <c r="E1136" s="9">
        <v>562</v>
      </c>
      <c r="F1136" s="10" t="s">
        <v>1066</v>
      </c>
      <c r="G1136" s="9">
        <v>914</v>
      </c>
      <c r="H1136" s="9">
        <v>1990</v>
      </c>
      <c r="I1136" s="8">
        <v>823.50900000000001</v>
      </c>
      <c r="J1136" s="8">
        <v>631.88099999999997</v>
      </c>
      <c r="K1136" s="8">
        <v>524.38699999999994</v>
      </c>
      <c r="L1136" s="8">
        <v>363.56400000000002</v>
      </c>
      <c r="M1136" s="8">
        <v>277.601</v>
      </c>
      <c r="N1136" s="8">
        <v>275.649</v>
      </c>
      <c r="O1136" s="8">
        <v>218.57300000000001</v>
      </c>
      <c r="P1136" s="8">
        <v>198.69499999999999</v>
      </c>
      <c r="Q1136" s="8">
        <v>160.15899999999999</v>
      </c>
      <c r="R1136" s="8">
        <v>129.24799999999999</v>
      </c>
      <c r="S1136" s="8">
        <v>98.307000000000002</v>
      </c>
      <c r="T1136" s="8">
        <v>78.38</v>
      </c>
      <c r="U1136" s="8">
        <v>62.134</v>
      </c>
      <c r="V1136" s="8">
        <v>42.555</v>
      </c>
      <c r="W1136" s="8">
        <v>23.934999999999999</v>
      </c>
      <c r="X1136" s="8">
        <v>11.579000000000001</v>
      </c>
      <c r="Y1136" s="8">
        <v>4.0049999999999999</v>
      </c>
      <c r="Z1136" s="8">
        <v>0.78300000000000003</v>
      </c>
      <c r="AA1136" s="8">
        <v>6.3E-2</v>
      </c>
      <c r="AB1136" s="8">
        <v>3.0000000000000001E-3</v>
      </c>
      <c r="AC1136" s="8">
        <v>0</v>
      </c>
    </row>
    <row r="1137" spans="1:29" ht="11.65" x14ac:dyDescent="0.35">
      <c r="A1137" s="12">
        <v>1120</v>
      </c>
      <c r="B1137" s="10" t="s">
        <v>1015</v>
      </c>
      <c r="C1137" s="11" t="s">
        <v>1098</v>
      </c>
      <c r="D1137" s="9"/>
      <c r="E1137" s="9">
        <v>562</v>
      </c>
      <c r="F1137" s="10" t="s">
        <v>1066</v>
      </c>
      <c r="G1137" s="9">
        <v>914</v>
      </c>
      <c r="H1137" s="9">
        <v>1995</v>
      </c>
      <c r="I1137" s="8">
        <v>975.42399999999998</v>
      </c>
      <c r="J1137" s="8">
        <v>725.81600000000003</v>
      </c>
      <c r="K1137" s="8">
        <v>620.24099999999999</v>
      </c>
      <c r="L1137" s="8">
        <v>489.596</v>
      </c>
      <c r="M1137" s="8">
        <v>317.23700000000002</v>
      </c>
      <c r="N1137" s="8">
        <v>258.25099999999998</v>
      </c>
      <c r="O1137" s="8">
        <v>276.90100000000001</v>
      </c>
      <c r="P1137" s="8">
        <v>234.46700000000001</v>
      </c>
      <c r="Q1137" s="8">
        <v>212.535</v>
      </c>
      <c r="R1137" s="8">
        <v>165.05</v>
      </c>
      <c r="S1137" s="8">
        <v>128.36500000000001</v>
      </c>
      <c r="T1137" s="8">
        <v>92.554000000000002</v>
      </c>
      <c r="U1137" s="8">
        <v>69.715999999999994</v>
      </c>
      <c r="V1137" s="8">
        <v>52.021000000000001</v>
      </c>
      <c r="W1137" s="8">
        <v>32.128</v>
      </c>
      <c r="X1137" s="8">
        <v>15.04</v>
      </c>
      <c r="Y1137" s="8">
        <v>5.4</v>
      </c>
      <c r="Z1137" s="8">
        <v>1.1890000000000001</v>
      </c>
      <c r="AA1137" s="8">
        <v>0.125</v>
      </c>
      <c r="AB1137" s="8">
        <v>5.0000000000000001E-3</v>
      </c>
      <c r="AC1137" s="8">
        <v>0</v>
      </c>
    </row>
    <row r="1138" spans="1:29" ht="11.65" x14ac:dyDescent="0.35">
      <c r="A1138" s="12">
        <v>1121</v>
      </c>
      <c r="B1138" s="10" t="s">
        <v>1015</v>
      </c>
      <c r="C1138" s="11" t="s">
        <v>1098</v>
      </c>
      <c r="D1138" s="9"/>
      <c r="E1138" s="9">
        <v>562</v>
      </c>
      <c r="F1138" s="10" t="s">
        <v>1066</v>
      </c>
      <c r="G1138" s="9">
        <v>914</v>
      </c>
      <c r="H1138" s="9">
        <v>2000</v>
      </c>
      <c r="I1138" s="8">
        <v>1194.9780000000001</v>
      </c>
      <c r="J1138" s="8">
        <v>879.44500000000005</v>
      </c>
      <c r="K1138" s="8">
        <v>712.51199999999994</v>
      </c>
      <c r="L1138" s="8">
        <v>550.37199999999996</v>
      </c>
      <c r="M1138" s="8">
        <v>409.96100000000001</v>
      </c>
      <c r="N1138" s="8">
        <v>329.2</v>
      </c>
      <c r="O1138" s="8">
        <v>297.35399999999998</v>
      </c>
      <c r="P1138" s="8">
        <v>295.45</v>
      </c>
      <c r="Q1138" s="8">
        <v>241.21299999999999</v>
      </c>
      <c r="R1138" s="8">
        <v>211.43</v>
      </c>
      <c r="S1138" s="8">
        <v>160.89099999999999</v>
      </c>
      <c r="T1138" s="8">
        <v>120.45699999999999</v>
      </c>
      <c r="U1138" s="8">
        <v>82.512</v>
      </c>
      <c r="V1138" s="8">
        <v>58.613999999999997</v>
      </c>
      <c r="W1138" s="8">
        <v>39.527999999999999</v>
      </c>
      <c r="X1138" s="8">
        <v>20.375</v>
      </c>
      <c r="Y1138" s="8">
        <v>7.101</v>
      </c>
      <c r="Z1138" s="8">
        <v>1.629</v>
      </c>
      <c r="AA1138" s="8">
        <v>0.191</v>
      </c>
      <c r="AB1138" s="8">
        <v>0.01</v>
      </c>
      <c r="AC1138" s="8">
        <v>0</v>
      </c>
    </row>
    <row r="1139" spans="1:29" ht="11.65" x14ac:dyDescent="0.35">
      <c r="A1139" s="12">
        <v>1122</v>
      </c>
      <c r="B1139" s="10" t="s">
        <v>1015</v>
      </c>
      <c r="C1139" s="11" t="s">
        <v>1098</v>
      </c>
      <c r="D1139" s="9"/>
      <c r="E1139" s="9">
        <v>562</v>
      </c>
      <c r="F1139" s="10" t="s">
        <v>1066</v>
      </c>
      <c r="G1139" s="9">
        <v>914</v>
      </c>
      <c r="H1139" s="9">
        <v>2005</v>
      </c>
      <c r="I1139" s="8">
        <v>1446.7090000000001</v>
      </c>
      <c r="J1139" s="8">
        <v>1102.6579999999999</v>
      </c>
      <c r="K1139" s="8">
        <v>863.74599999999998</v>
      </c>
      <c r="L1139" s="8">
        <v>656.33199999999999</v>
      </c>
      <c r="M1139" s="8">
        <v>481.90499999999997</v>
      </c>
      <c r="N1139" s="8">
        <v>427.44900000000001</v>
      </c>
      <c r="O1139" s="8">
        <v>364.55700000000002</v>
      </c>
      <c r="P1139" s="8">
        <v>299.154</v>
      </c>
      <c r="Q1139" s="8">
        <v>292.45999999999998</v>
      </c>
      <c r="R1139" s="8">
        <v>234.63499999999999</v>
      </c>
      <c r="S1139" s="8">
        <v>203.20099999999999</v>
      </c>
      <c r="T1139" s="8">
        <v>150.62899999999999</v>
      </c>
      <c r="U1139" s="8">
        <v>107.9</v>
      </c>
      <c r="V1139" s="8">
        <v>69.766999999999996</v>
      </c>
      <c r="W1139" s="8">
        <v>44.851999999999997</v>
      </c>
      <c r="X1139" s="8">
        <v>25.303000000000001</v>
      </c>
      <c r="Y1139" s="8">
        <v>9.7430000000000003</v>
      </c>
      <c r="Z1139" s="8">
        <v>2.1709999999999998</v>
      </c>
      <c r="AA1139" s="8">
        <v>0.26600000000000001</v>
      </c>
      <c r="AB1139" s="8">
        <v>1.7000000000000001E-2</v>
      </c>
      <c r="AC1139" s="8">
        <v>0</v>
      </c>
    </row>
    <row r="1140" spans="1:29" ht="11.65" x14ac:dyDescent="0.35">
      <c r="A1140" s="12">
        <v>1123</v>
      </c>
      <c r="B1140" s="10" t="s">
        <v>1015</v>
      </c>
      <c r="C1140" s="11" t="s">
        <v>1098</v>
      </c>
      <c r="D1140" s="9"/>
      <c r="E1140" s="9">
        <v>562</v>
      </c>
      <c r="F1140" s="10" t="s">
        <v>1066</v>
      </c>
      <c r="G1140" s="9">
        <v>914</v>
      </c>
      <c r="H1140" s="9">
        <v>2010</v>
      </c>
      <c r="I1140" s="8">
        <v>1743.0719999999999</v>
      </c>
      <c r="J1140" s="8">
        <v>1365.009</v>
      </c>
      <c r="K1140" s="8">
        <v>1084.8430000000001</v>
      </c>
      <c r="L1140" s="8">
        <v>851.13800000000003</v>
      </c>
      <c r="M1140" s="8">
        <v>641.68399999999997</v>
      </c>
      <c r="N1140" s="8">
        <v>468.315</v>
      </c>
      <c r="O1140" s="8">
        <v>414.70100000000002</v>
      </c>
      <c r="P1140" s="8">
        <v>353.25099999999998</v>
      </c>
      <c r="Q1140" s="8">
        <v>289.10700000000003</v>
      </c>
      <c r="R1140" s="8">
        <v>281</v>
      </c>
      <c r="S1140" s="8">
        <v>222.35499999999999</v>
      </c>
      <c r="T1140" s="8">
        <v>188.446</v>
      </c>
      <c r="U1140" s="8">
        <v>134.88499999999999</v>
      </c>
      <c r="V1140" s="8">
        <v>91.3</v>
      </c>
      <c r="W1140" s="8">
        <v>53.521000000000001</v>
      </c>
      <c r="X1140" s="8">
        <v>28.835000000000001</v>
      </c>
      <c r="Y1140" s="8">
        <v>12.161</v>
      </c>
      <c r="Z1140" s="8">
        <v>3.0049999999999999</v>
      </c>
      <c r="AA1140" s="8">
        <v>0.36</v>
      </c>
      <c r="AB1140" s="8">
        <v>2.3E-2</v>
      </c>
      <c r="AC1140" s="8">
        <v>1E-3</v>
      </c>
    </row>
    <row r="1141" spans="1:29" ht="11.65" x14ac:dyDescent="0.35">
      <c r="A1141" s="12">
        <v>1124</v>
      </c>
      <c r="B1141" s="10" t="s">
        <v>1015</v>
      </c>
      <c r="C1141" s="11" t="s">
        <v>1098</v>
      </c>
      <c r="D1141" s="9"/>
      <c r="E1141" s="9">
        <v>562</v>
      </c>
      <c r="F1141" s="10" t="s">
        <v>1066</v>
      </c>
      <c r="G1141" s="9">
        <v>914</v>
      </c>
      <c r="H1141" s="9">
        <v>2015</v>
      </c>
      <c r="I1141" s="8">
        <v>2079.3209999999999</v>
      </c>
      <c r="J1141" s="8">
        <v>1674.6420000000001</v>
      </c>
      <c r="K1141" s="8">
        <v>1350.788</v>
      </c>
      <c r="L1141" s="8">
        <v>1075.0989999999999</v>
      </c>
      <c r="M1141" s="8">
        <v>842.346</v>
      </c>
      <c r="N1141" s="8">
        <v>634.89499999999998</v>
      </c>
      <c r="O1141" s="8">
        <v>461.51400000000001</v>
      </c>
      <c r="P1141" s="8">
        <v>406.53199999999998</v>
      </c>
      <c r="Q1141" s="8">
        <v>343.67500000000001</v>
      </c>
      <c r="R1141" s="8">
        <v>278.15199999999999</v>
      </c>
      <c r="S1141" s="8">
        <v>266.613</v>
      </c>
      <c r="T1141" s="8">
        <v>206.21199999999999</v>
      </c>
      <c r="U1141" s="8">
        <v>169.05</v>
      </c>
      <c r="V1141" s="8">
        <v>115.25700000000001</v>
      </c>
      <c r="W1141" s="8">
        <v>71.388000000000005</v>
      </c>
      <c r="X1141" s="8">
        <v>35.323999999999998</v>
      </c>
      <c r="Y1141" s="8">
        <v>14.352</v>
      </c>
      <c r="Z1141" s="8">
        <v>3.9119999999999999</v>
      </c>
      <c r="AA1141" s="8">
        <v>0.52100000000000002</v>
      </c>
      <c r="AB1141" s="8">
        <v>3.3000000000000002E-2</v>
      </c>
      <c r="AC1141" s="8">
        <v>1E-3</v>
      </c>
    </row>
    <row r="1142" spans="1:29" ht="11.65" x14ac:dyDescent="0.35">
      <c r="A1142" s="12">
        <v>1125</v>
      </c>
      <c r="B1142" s="10" t="s">
        <v>1015</v>
      </c>
      <c r="C1142" s="11" t="s">
        <v>1098</v>
      </c>
      <c r="D1142" s="9"/>
      <c r="E1142" s="9">
        <v>562</v>
      </c>
      <c r="F1142" s="10" t="s">
        <v>1066</v>
      </c>
      <c r="G1142" s="9">
        <v>914</v>
      </c>
      <c r="H1142" s="9">
        <v>2020</v>
      </c>
      <c r="I1142" s="8">
        <v>2440.373</v>
      </c>
      <c r="J1142" s="8">
        <v>2018.6569999999999</v>
      </c>
      <c r="K1142" s="8">
        <v>1659.4449999999999</v>
      </c>
      <c r="L1142" s="8">
        <v>1339.8869999999999</v>
      </c>
      <c r="M1142" s="8">
        <v>1063.0329999999999</v>
      </c>
      <c r="N1142" s="8">
        <v>830.85799999999995</v>
      </c>
      <c r="O1142" s="8">
        <v>624.97799999999995</v>
      </c>
      <c r="P1142" s="8">
        <v>453.44799999999998</v>
      </c>
      <c r="Q1142" s="8">
        <v>397.51100000000002</v>
      </c>
      <c r="R1142" s="8">
        <v>333.31400000000002</v>
      </c>
      <c r="S1142" s="8">
        <v>265.84399999999999</v>
      </c>
      <c r="T1142" s="8">
        <v>249.047</v>
      </c>
      <c r="U1142" s="8">
        <v>186.38200000000001</v>
      </c>
      <c r="V1142" s="8">
        <v>145.601</v>
      </c>
      <c r="W1142" s="8">
        <v>90.932000000000002</v>
      </c>
      <c r="X1142" s="8">
        <v>47.621000000000002</v>
      </c>
      <c r="Y1142" s="8">
        <v>17.818999999999999</v>
      </c>
      <c r="Z1142" s="8">
        <v>4.68</v>
      </c>
      <c r="AA1142" s="8">
        <v>0.68700000000000006</v>
      </c>
      <c r="AB1142" s="8">
        <v>4.7E-2</v>
      </c>
      <c r="AC1142" s="8">
        <v>1E-3</v>
      </c>
    </row>
    <row r="1143" spans="1:29" ht="11.65" x14ac:dyDescent="0.35">
      <c r="A1143" s="12">
        <v>1126</v>
      </c>
      <c r="B1143" s="10" t="s">
        <v>1015</v>
      </c>
      <c r="C1143" s="11" t="s">
        <v>1099</v>
      </c>
      <c r="D1143" s="9"/>
      <c r="E1143" s="9">
        <v>566</v>
      </c>
      <c r="F1143" s="10" t="s">
        <v>1066</v>
      </c>
      <c r="G1143" s="9">
        <v>914</v>
      </c>
      <c r="H1143" s="9">
        <v>1950</v>
      </c>
      <c r="I1143" s="8">
        <v>3228.75</v>
      </c>
      <c r="J1143" s="8">
        <v>2583</v>
      </c>
      <c r="K1143" s="8">
        <v>2226</v>
      </c>
      <c r="L1143" s="8">
        <v>1929.9</v>
      </c>
      <c r="M1143" s="8">
        <v>1672.6489999999999</v>
      </c>
      <c r="N1143" s="8">
        <v>1444.8</v>
      </c>
      <c r="O1143" s="8">
        <v>1231.6510000000001</v>
      </c>
      <c r="P1143" s="8">
        <v>1019.552</v>
      </c>
      <c r="Q1143" s="8">
        <v>858.899</v>
      </c>
      <c r="R1143" s="8">
        <v>717.15</v>
      </c>
      <c r="S1143" s="8">
        <v>632.1</v>
      </c>
      <c r="T1143" s="8">
        <v>502.95</v>
      </c>
      <c r="U1143" s="8">
        <v>364.351</v>
      </c>
      <c r="V1143" s="8">
        <v>241.501</v>
      </c>
      <c r="W1143" s="8">
        <v>140.69999999999999</v>
      </c>
      <c r="X1143" s="8">
        <v>66.150000000000006</v>
      </c>
      <c r="Y1143" s="8">
        <v>22.163</v>
      </c>
      <c r="Z1143" s="8">
        <v>3.7610000000000001</v>
      </c>
      <c r="AA1143" s="8">
        <v>0.31</v>
      </c>
      <c r="AB1143" s="8">
        <v>1.7000000000000001E-2</v>
      </c>
      <c r="AC1143" s="8">
        <v>0</v>
      </c>
    </row>
    <row r="1144" spans="1:29" ht="11.65" x14ac:dyDescent="0.35">
      <c r="A1144" s="12">
        <v>1127</v>
      </c>
      <c r="B1144" s="10" t="s">
        <v>1015</v>
      </c>
      <c r="C1144" s="11" t="s">
        <v>1099</v>
      </c>
      <c r="D1144" s="9"/>
      <c r="E1144" s="9">
        <v>566</v>
      </c>
      <c r="F1144" s="10" t="s">
        <v>1066</v>
      </c>
      <c r="G1144" s="9">
        <v>914</v>
      </c>
      <c r="H1144" s="9">
        <v>1955</v>
      </c>
      <c r="I1144" s="8">
        <v>3402.2869999999998</v>
      </c>
      <c r="J1144" s="8">
        <v>2793.4639999999999</v>
      </c>
      <c r="K1144" s="8">
        <v>2457.491</v>
      </c>
      <c r="L1144" s="8">
        <v>2138.2930000000001</v>
      </c>
      <c r="M1144" s="8">
        <v>1824.9390000000001</v>
      </c>
      <c r="N1144" s="8">
        <v>1568.03</v>
      </c>
      <c r="O1144" s="8">
        <v>1353.3</v>
      </c>
      <c r="P1144" s="8">
        <v>1150.107</v>
      </c>
      <c r="Q1144" s="8">
        <v>941.77200000000005</v>
      </c>
      <c r="R1144" s="8">
        <v>781.67100000000005</v>
      </c>
      <c r="S1144" s="8">
        <v>638.50800000000004</v>
      </c>
      <c r="T1144" s="8">
        <v>542.78099999999995</v>
      </c>
      <c r="U1144" s="8">
        <v>405.07900000000001</v>
      </c>
      <c r="V1144" s="8">
        <v>263.99200000000002</v>
      </c>
      <c r="W1144" s="8">
        <v>147.535</v>
      </c>
      <c r="X1144" s="8">
        <v>64.822999999999993</v>
      </c>
      <c r="Y1144" s="8">
        <v>19.954000000000001</v>
      </c>
      <c r="Z1144" s="8">
        <v>3.7610000000000001</v>
      </c>
      <c r="AA1144" s="8">
        <v>0.31</v>
      </c>
      <c r="AB1144" s="8">
        <v>1.7000000000000001E-2</v>
      </c>
      <c r="AC1144" s="8">
        <v>0</v>
      </c>
    </row>
    <row r="1145" spans="1:29" ht="11.65" x14ac:dyDescent="0.35">
      <c r="A1145" s="12">
        <v>1128</v>
      </c>
      <c r="B1145" s="10" t="s">
        <v>1015</v>
      </c>
      <c r="C1145" s="11" t="s">
        <v>1099</v>
      </c>
      <c r="D1145" s="9"/>
      <c r="E1145" s="9">
        <v>566</v>
      </c>
      <c r="F1145" s="10" t="s">
        <v>1066</v>
      </c>
      <c r="G1145" s="9">
        <v>914</v>
      </c>
      <c r="H1145" s="9">
        <v>1960</v>
      </c>
      <c r="I1145" s="8">
        <v>3829.828</v>
      </c>
      <c r="J1145" s="8">
        <v>2981.7159999999999</v>
      </c>
      <c r="K1145" s="8">
        <v>2667.98</v>
      </c>
      <c r="L1145" s="8">
        <v>2367.558</v>
      </c>
      <c r="M1145" s="8">
        <v>2030.3689999999999</v>
      </c>
      <c r="N1145" s="8">
        <v>1719.364</v>
      </c>
      <c r="O1145" s="8">
        <v>1476.002</v>
      </c>
      <c r="P1145" s="8">
        <v>1269.9580000000001</v>
      </c>
      <c r="Q1145" s="8">
        <v>1068.2929999999999</v>
      </c>
      <c r="R1145" s="8">
        <v>862.48599999999999</v>
      </c>
      <c r="S1145" s="8">
        <v>700.99699999999996</v>
      </c>
      <c r="T1145" s="8">
        <v>553.17700000000002</v>
      </c>
      <c r="U1145" s="8">
        <v>442.57900000000001</v>
      </c>
      <c r="V1145" s="8">
        <v>298.93400000000003</v>
      </c>
      <c r="W1145" s="8">
        <v>165.81399999999999</v>
      </c>
      <c r="X1145" s="8">
        <v>70.933999999999997</v>
      </c>
      <c r="Y1145" s="8">
        <v>20.821000000000002</v>
      </c>
      <c r="Z1145" s="8">
        <v>3.68</v>
      </c>
      <c r="AA1145" s="8">
        <v>0.33900000000000002</v>
      </c>
      <c r="AB1145" s="8">
        <v>1.7999999999999999E-2</v>
      </c>
      <c r="AC1145" s="8">
        <v>0</v>
      </c>
    </row>
    <row r="1146" spans="1:29" ht="11.65" x14ac:dyDescent="0.35">
      <c r="A1146" s="12">
        <v>1129</v>
      </c>
      <c r="B1146" s="10" t="s">
        <v>1015</v>
      </c>
      <c r="C1146" s="11" t="s">
        <v>1099</v>
      </c>
      <c r="D1146" s="9"/>
      <c r="E1146" s="9">
        <v>566</v>
      </c>
      <c r="F1146" s="10" t="s">
        <v>1066</v>
      </c>
      <c r="G1146" s="9">
        <v>914</v>
      </c>
      <c r="H1146" s="9">
        <v>1965</v>
      </c>
      <c r="I1146" s="8">
        <v>4336.6059999999998</v>
      </c>
      <c r="J1146" s="8">
        <v>3406.6680000000001</v>
      </c>
      <c r="K1146" s="8">
        <v>2859.8249999999998</v>
      </c>
      <c r="L1146" s="8">
        <v>2578.61</v>
      </c>
      <c r="M1146" s="8">
        <v>2258.2260000000001</v>
      </c>
      <c r="N1146" s="8">
        <v>1923.33</v>
      </c>
      <c r="O1146" s="8">
        <v>1627.135</v>
      </c>
      <c r="P1146" s="8">
        <v>1392.5429999999999</v>
      </c>
      <c r="Q1146" s="8">
        <v>1186.7840000000001</v>
      </c>
      <c r="R1146" s="8">
        <v>985.04300000000001</v>
      </c>
      <c r="S1146" s="8">
        <v>779.56500000000005</v>
      </c>
      <c r="T1146" s="8">
        <v>613.20399999999995</v>
      </c>
      <c r="U1146" s="8">
        <v>457.09800000000001</v>
      </c>
      <c r="V1146" s="8">
        <v>333.096</v>
      </c>
      <c r="W1146" s="8">
        <v>193.36600000000001</v>
      </c>
      <c r="X1146" s="8">
        <v>83.344999999999999</v>
      </c>
      <c r="Y1146" s="8">
        <v>24.3</v>
      </c>
      <c r="Z1146" s="8">
        <v>4.1749999999999998</v>
      </c>
      <c r="AA1146" s="8">
        <v>0.36599999999999999</v>
      </c>
      <c r="AB1146" s="8">
        <v>2.1000000000000001E-2</v>
      </c>
      <c r="AC1146" s="8">
        <v>1E-3</v>
      </c>
    </row>
    <row r="1147" spans="1:29" ht="11.65" x14ac:dyDescent="0.35">
      <c r="A1147" s="12">
        <v>1130</v>
      </c>
      <c r="B1147" s="10" t="s">
        <v>1015</v>
      </c>
      <c r="C1147" s="11" t="s">
        <v>1099</v>
      </c>
      <c r="D1147" s="9"/>
      <c r="E1147" s="9">
        <v>566</v>
      </c>
      <c r="F1147" s="10" t="s">
        <v>1066</v>
      </c>
      <c r="G1147" s="9">
        <v>914</v>
      </c>
      <c r="H1147" s="9">
        <v>1970</v>
      </c>
      <c r="I1147" s="8">
        <v>4888.5889999999999</v>
      </c>
      <c r="J1147" s="8">
        <v>3890.6970000000001</v>
      </c>
      <c r="K1147" s="8">
        <v>3276.4</v>
      </c>
      <c r="L1147" s="8">
        <v>2768.1379999999999</v>
      </c>
      <c r="M1147" s="8">
        <v>2463.69</v>
      </c>
      <c r="N1147" s="8">
        <v>2143.33</v>
      </c>
      <c r="O1147" s="8">
        <v>1823.028</v>
      </c>
      <c r="P1147" s="8">
        <v>1538.2470000000001</v>
      </c>
      <c r="Q1147" s="8">
        <v>1305.751</v>
      </c>
      <c r="R1147" s="8">
        <v>1098.8420000000001</v>
      </c>
      <c r="S1147" s="8">
        <v>894.79899999999998</v>
      </c>
      <c r="T1147" s="8">
        <v>686.47199999999998</v>
      </c>
      <c r="U1147" s="8">
        <v>511.553</v>
      </c>
      <c r="V1147" s="8">
        <v>348.92500000000001</v>
      </c>
      <c r="W1147" s="8">
        <v>220.07400000000001</v>
      </c>
      <c r="X1147" s="8">
        <v>100.32899999999999</v>
      </c>
      <c r="Y1147" s="8">
        <v>29.882000000000001</v>
      </c>
      <c r="Z1147" s="8">
        <v>5.1680000000000001</v>
      </c>
      <c r="AA1147" s="8">
        <v>0.44800000000000001</v>
      </c>
      <c r="AB1147" s="8">
        <v>2.4E-2</v>
      </c>
      <c r="AC1147" s="8">
        <v>1E-3</v>
      </c>
    </row>
    <row r="1148" spans="1:29" ht="11.65" x14ac:dyDescent="0.35">
      <c r="A1148" s="12">
        <v>1131</v>
      </c>
      <c r="B1148" s="10" t="s">
        <v>1015</v>
      </c>
      <c r="C1148" s="11" t="s">
        <v>1099</v>
      </c>
      <c r="D1148" s="9"/>
      <c r="E1148" s="9">
        <v>566</v>
      </c>
      <c r="F1148" s="10" t="s">
        <v>1066</v>
      </c>
      <c r="G1148" s="9">
        <v>914</v>
      </c>
      <c r="H1148" s="9">
        <v>1975</v>
      </c>
      <c r="I1148" s="8">
        <v>5756.643</v>
      </c>
      <c r="J1148" s="8">
        <v>4428.7920000000004</v>
      </c>
      <c r="K1148" s="8">
        <v>3754.86</v>
      </c>
      <c r="L1148" s="8">
        <v>3180.2</v>
      </c>
      <c r="M1148" s="8">
        <v>2654.9830000000002</v>
      </c>
      <c r="N1148" s="8">
        <v>2349.17</v>
      </c>
      <c r="O1148" s="8">
        <v>2041.0930000000001</v>
      </c>
      <c r="P1148" s="8">
        <v>1731.3679999999999</v>
      </c>
      <c r="Q1148" s="8">
        <v>1449.4480000000001</v>
      </c>
      <c r="R1148" s="8">
        <v>1215.576</v>
      </c>
      <c r="S1148" s="8">
        <v>1004.379</v>
      </c>
      <c r="T1148" s="8">
        <v>793.87099999999998</v>
      </c>
      <c r="U1148" s="8">
        <v>578.53700000000003</v>
      </c>
      <c r="V1148" s="8">
        <v>396.351</v>
      </c>
      <c r="W1148" s="8">
        <v>235.64500000000001</v>
      </c>
      <c r="X1148" s="8">
        <v>117.94499999999999</v>
      </c>
      <c r="Y1148" s="8">
        <v>37.659999999999997</v>
      </c>
      <c r="Z1148" s="8">
        <v>6.7460000000000004</v>
      </c>
      <c r="AA1148" s="8">
        <v>0.59699999999999998</v>
      </c>
      <c r="AB1148" s="8">
        <v>0.03</v>
      </c>
      <c r="AC1148" s="8">
        <v>1E-3</v>
      </c>
    </row>
    <row r="1149" spans="1:29" ht="11.65" x14ac:dyDescent="0.35">
      <c r="A1149" s="12">
        <v>1132</v>
      </c>
      <c r="B1149" s="10" t="s">
        <v>1015</v>
      </c>
      <c r="C1149" s="11" t="s">
        <v>1099</v>
      </c>
      <c r="D1149" s="9"/>
      <c r="E1149" s="9">
        <v>566</v>
      </c>
      <c r="F1149" s="10" t="s">
        <v>1066</v>
      </c>
      <c r="G1149" s="9">
        <v>914</v>
      </c>
      <c r="H1149" s="9">
        <v>1980</v>
      </c>
      <c r="I1149" s="8">
        <v>6803.2359999999999</v>
      </c>
      <c r="J1149" s="8">
        <v>5299.1490000000003</v>
      </c>
      <c r="K1149" s="8">
        <v>4316.1509999999998</v>
      </c>
      <c r="L1149" s="8">
        <v>3705.2109999999998</v>
      </c>
      <c r="M1149" s="8">
        <v>3142.7080000000001</v>
      </c>
      <c r="N1149" s="8">
        <v>2630.085</v>
      </c>
      <c r="O1149" s="8">
        <v>2332.9110000000001</v>
      </c>
      <c r="P1149" s="8">
        <v>2005.796</v>
      </c>
      <c r="Q1149" s="8">
        <v>1666.8440000000001</v>
      </c>
      <c r="R1149" s="8">
        <v>1375.425</v>
      </c>
      <c r="S1149" s="8">
        <v>1131.501</v>
      </c>
      <c r="T1149" s="8">
        <v>903.80200000000002</v>
      </c>
      <c r="U1149" s="8">
        <v>677.904</v>
      </c>
      <c r="V1149" s="8">
        <v>456.09899999999999</v>
      </c>
      <c r="W1149" s="8">
        <v>273.947</v>
      </c>
      <c r="X1149" s="8">
        <v>130.44300000000001</v>
      </c>
      <c r="Y1149" s="8">
        <v>46.329000000000001</v>
      </c>
      <c r="Z1149" s="8">
        <v>9.0150000000000006</v>
      </c>
      <c r="AA1149" s="8">
        <v>0.83599999999999997</v>
      </c>
      <c r="AB1149" s="8">
        <v>4.2999999999999997E-2</v>
      </c>
      <c r="AC1149" s="8">
        <v>1E-3</v>
      </c>
    </row>
    <row r="1150" spans="1:29" ht="11.65" x14ac:dyDescent="0.35">
      <c r="A1150" s="12">
        <v>1133</v>
      </c>
      <c r="B1150" s="10" t="s">
        <v>1015</v>
      </c>
      <c r="C1150" s="11" t="s">
        <v>1099</v>
      </c>
      <c r="D1150" s="9"/>
      <c r="E1150" s="9">
        <v>566</v>
      </c>
      <c r="F1150" s="10" t="s">
        <v>1066</v>
      </c>
      <c r="G1150" s="9">
        <v>914</v>
      </c>
      <c r="H1150" s="9">
        <v>1985</v>
      </c>
      <c r="I1150" s="8">
        <v>7751.38</v>
      </c>
      <c r="J1150" s="8">
        <v>6255.6009999999997</v>
      </c>
      <c r="K1150" s="8">
        <v>5127.5839999999998</v>
      </c>
      <c r="L1150" s="8">
        <v>4171.8220000000001</v>
      </c>
      <c r="M1150" s="8">
        <v>3517.4160000000002</v>
      </c>
      <c r="N1150" s="8">
        <v>2955.8270000000002</v>
      </c>
      <c r="O1150" s="8">
        <v>2460.4349999999999</v>
      </c>
      <c r="P1150" s="8">
        <v>2189.0390000000002</v>
      </c>
      <c r="Q1150" s="8">
        <v>1885.646</v>
      </c>
      <c r="R1150" s="8">
        <v>1552.45</v>
      </c>
      <c r="S1150" s="8">
        <v>1260.74</v>
      </c>
      <c r="T1150" s="8">
        <v>1012.676</v>
      </c>
      <c r="U1150" s="8">
        <v>773.94399999999996</v>
      </c>
      <c r="V1150" s="8">
        <v>538.20500000000004</v>
      </c>
      <c r="W1150" s="8">
        <v>319.59699999999998</v>
      </c>
      <c r="X1150" s="8">
        <v>155.06</v>
      </c>
      <c r="Y1150" s="8">
        <v>52.843000000000004</v>
      </c>
      <c r="Z1150" s="8">
        <v>11.535</v>
      </c>
      <c r="AA1150" s="8">
        <v>1.17</v>
      </c>
      <c r="AB1150" s="8">
        <v>6.2E-2</v>
      </c>
      <c r="AC1150" s="8">
        <v>1E-3</v>
      </c>
    </row>
    <row r="1151" spans="1:29" ht="11.65" x14ac:dyDescent="0.35">
      <c r="A1151" s="12">
        <v>1134</v>
      </c>
      <c r="B1151" s="10" t="s">
        <v>1015</v>
      </c>
      <c r="C1151" s="11" t="s">
        <v>1099</v>
      </c>
      <c r="D1151" s="9"/>
      <c r="E1151" s="9">
        <v>566</v>
      </c>
      <c r="F1151" s="10" t="s">
        <v>1066</v>
      </c>
      <c r="G1151" s="9">
        <v>914</v>
      </c>
      <c r="H1151" s="9">
        <v>1990</v>
      </c>
      <c r="I1151" s="8">
        <v>8558.7579999999998</v>
      </c>
      <c r="J1151" s="8">
        <v>7150.3379999999997</v>
      </c>
      <c r="K1151" s="8">
        <v>6074.1949999999997</v>
      </c>
      <c r="L1151" s="8">
        <v>4997.7030000000004</v>
      </c>
      <c r="M1151" s="8">
        <v>4023.2049999999999</v>
      </c>
      <c r="N1151" s="8">
        <v>3375.5970000000002</v>
      </c>
      <c r="O1151" s="8">
        <v>2831.7979999999998</v>
      </c>
      <c r="P1151" s="8">
        <v>2351.0880000000002</v>
      </c>
      <c r="Q1151" s="8">
        <v>2078.3939999999998</v>
      </c>
      <c r="R1151" s="8">
        <v>1770.723</v>
      </c>
      <c r="S1151" s="8">
        <v>1433.385</v>
      </c>
      <c r="T1151" s="8">
        <v>1132.7249999999999</v>
      </c>
      <c r="U1151" s="8">
        <v>868.44200000000001</v>
      </c>
      <c r="V1151" s="8">
        <v>615.06799999999998</v>
      </c>
      <c r="W1151" s="8">
        <v>377.197</v>
      </c>
      <c r="X1151" s="8">
        <v>180.78</v>
      </c>
      <c r="Y1151" s="8">
        <v>62.761000000000003</v>
      </c>
      <c r="Z1151" s="8">
        <v>13.144</v>
      </c>
      <c r="AA1151" s="8">
        <v>1.4970000000000001</v>
      </c>
      <c r="AB1151" s="8">
        <v>8.6999999999999994E-2</v>
      </c>
      <c r="AC1151" s="8">
        <v>2E-3</v>
      </c>
    </row>
    <row r="1152" spans="1:29" ht="11.65" x14ac:dyDescent="0.35">
      <c r="A1152" s="12">
        <v>1135</v>
      </c>
      <c r="B1152" s="10" t="s">
        <v>1015</v>
      </c>
      <c r="C1152" s="11" t="s">
        <v>1099</v>
      </c>
      <c r="D1152" s="9"/>
      <c r="E1152" s="9">
        <v>566</v>
      </c>
      <c r="F1152" s="10" t="s">
        <v>1066</v>
      </c>
      <c r="G1152" s="9">
        <v>914</v>
      </c>
      <c r="H1152" s="9">
        <v>1995</v>
      </c>
      <c r="I1152" s="8">
        <v>9469.598</v>
      </c>
      <c r="J1152" s="8">
        <v>7889.1260000000002</v>
      </c>
      <c r="K1152" s="8">
        <v>6942.61</v>
      </c>
      <c r="L1152" s="8">
        <v>5920.6469999999999</v>
      </c>
      <c r="M1152" s="8">
        <v>4820.3100000000004</v>
      </c>
      <c r="N1152" s="8">
        <v>3861.24</v>
      </c>
      <c r="O1152" s="8">
        <v>3234.3420000000001</v>
      </c>
      <c r="P1152" s="8">
        <v>2706.1950000000002</v>
      </c>
      <c r="Q1152" s="8">
        <v>2231.9780000000001</v>
      </c>
      <c r="R1152" s="8">
        <v>1951.501</v>
      </c>
      <c r="S1152" s="8">
        <v>1634.7149999999999</v>
      </c>
      <c r="T1152" s="8">
        <v>1287.5820000000001</v>
      </c>
      <c r="U1152" s="8">
        <v>971.09199999999998</v>
      </c>
      <c r="V1152" s="8">
        <v>689.84699999999998</v>
      </c>
      <c r="W1152" s="8">
        <v>430.779</v>
      </c>
      <c r="X1152" s="8">
        <v>213.15799999999999</v>
      </c>
      <c r="Y1152" s="8">
        <v>73.075000000000003</v>
      </c>
      <c r="Z1152" s="8">
        <v>15.585000000000001</v>
      </c>
      <c r="AA1152" s="8">
        <v>1.702</v>
      </c>
      <c r="AB1152" s="8">
        <v>0.111</v>
      </c>
      <c r="AC1152" s="8">
        <v>3.0000000000000001E-3</v>
      </c>
    </row>
    <row r="1153" spans="1:29" ht="11.65" x14ac:dyDescent="0.35">
      <c r="A1153" s="12">
        <v>1136</v>
      </c>
      <c r="B1153" s="10" t="s">
        <v>1015</v>
      </c>
      <c r="C1153" s="11" t="s">
        <v>1099</v>
      </c>
      <c r="D1153" s="9"/>
      <c r="E1153" s="9">
        <v>566</v>
      </c>
      <c r="F1153" s="10" t="s">
        <v>1066</v>
      </c>
      <c r="G1153" s="9">
        <v>914</v>
      </c>
      <c r="H1153" s="9">
        <v>2000</v>
      </c>
      <c r="I1153" s="8">
        <v>10746.689</v>
      </c>
      <c r="J1153" s="8">
        <v>8753.5939999999991</v>
      </c>
      <c r="K1153" s="8">
        <v>7640.3050000000003</v>
      </c>
      <c r="L1153" s="8">
        <v>6755.6040000000003</v>
      </c>
      <c r="M1153" s="8">
        <v>5706.1350000000002</v>
      </c>
      <c r="N1153" s="8">
        <v>4627.2929999999997</v>
      </c>
      <c r="O1153" s="8">
        <v>3698.4540000000002</v>
      </c>
      <c r="P1153" s="8">
        <v>3089.866</v>
      </c>
      <c r="Q1153" s="8">
        <v>2567.6880000000001</v>
      </c>
      <c r="R1153" s="8">
        <v>2094.181</v>
      </c>
      <c r="S1153" s="8">
        <v>1800.079</v>
      </c>
      <c r="T1153" s="8">
        <v>1466.8630000000001</v>
      </c>
      <c r="U1153" s="8">
        <v>1102.181</v>
      </c>
      <c r="V1153" s="8">
        <v>769.69</v>
      </c>
      <c r="W1153" s="8">
        <v>481.63299999999998</v>
      </c>
      <c r="X1153" s="8">
        <v>242.34399999999999</v>
      </c>
      <c r="Y1153" s="8">
        <v>85.635000000000005</v>
      </c>
      <c r="Z1153" s="8">
        <v>18.007000000000001</v>
      </c>
      <c r="AA1153" s="8">
        <v>2.0019999999999998</v>
      </c>
      <c r="AB1153" s="8">
        <v>0.127</v>
      </c>
      <c r="AC1153" s="8">
        <v>4.0000000000000001E-3</v>
      </c>
    </row>
    <row r="1154" spans="1:29" ht="11.65" x14ac:dyDescent="0.35">
      <c r="A1154" s="12">
        <v>1137</v>
      </c>
      <c r="B1154" s="10" t="s">
        <v>1015</v>
      </c>
      <c r="C1154" s="11" t="s">
        <v>1099</v>
      </c>
      <c r="D1154" s="9"/>
      <c r="E1154" s="9">
        <v>566</v>
      </c>
      <c r="F1154" s="10" t="s">
        <v>1066</v>
      </c>
      <c r="G1154" s="9">
        <v>914</v>
      </c>
      <c r="H1154" s="9">
        <v>2005</v>
      </c>
      <c r="I1154" s="8">
        <v>12416.268</v>
      </c>
      <c r="J1154" s="8">
        <v>10023.977000000001</v>
      </c>
      <c r="K1154" s="8">
        <v>8455.8389999999999</v>
      </c>
      <c r="L1154" s="8">
        <v>7419.0460000000003</v>
      </c>
      <c r="M1154" s="8">
        <v>6494.6540000000005</v>
      </c>
      <c r="N1154" s="8">
        <v>5464.5150000000003</v>
      </c>
      <c r="O1154" s="8">
        <v>4419.3999999999996</v>
      </c>
      <c r="P1154" s="8">
        <v>3523.5169999999998</v>
      </c>
      <c r="Q1154" s="8">
        <v>2924.6030000000001</v>
      </c>
      <c r="R1154" s="8">
        <v>2403.0990000000002</v>
      </c>
      <c r="S1154" s="8">
        <v>1926.2439999999999</v>
      </c>
      <c r="T1154" s="8">
        <v>1610.3150000000001</v>
      </c>
      <c r="U1154" s="8">
        <v>1250.7739999999999</v>
      </c>
      <c r="V1154" s="8">
        <v>868.74599999999998</v>
      </c>
      <c r="W1154" s="8">
        <v>533.1</v>
      </c>
      <c r="X1154" s="8">
        <v>267.851</v>
      </c>
      <c r="Y1154" s="8">
        <v>95.817999999999998</v>
      </c>
      <c r="Z1154" s="8">
        <v>20.672999999999998</v>
      </c>
      <c r="AA1154" s="8">
        <v>2.2570000000000001</v>
      </c>
      <c r="AB1154" s="8">
        <v>0.14499999999999999</v>
      </c>
      <c r="AC1154" s="8">
        <v>4.0000000000000001E-3</v>
      </c>
    </row>
    <row r="1155" spans="1:29" ht="11.65" x14ac:dyDescent="0.35">
      <c r="A1155" s="12">
        <v>1138</v>
      </c>
      <c r="B1155" s="10" t="s">
        <v>1015</v>
      </c>
      <c r="C1155" s="11" t="s">
        <v>1099</v>
      </c>
      <c r="D1155" s="9"/>
      <c r="E1155" s="9">
        <v>566</v>
      </c>
      <c r="F1155" s="10" t="s">
        <v>1066</v>
      </c>
      <c r="G1155" s="9">
        <v>914</v>
      </c>
      <c r="H1155" s="9">
        <v>2010</v>
      </c>
      <c r="I1155" s="8">
        <v>14157.089</v>
      </c>
      <c r="J1155" s="8">
        <v>11733.373</v>
      </c>
      <c r="K1155" s="8">
        <v>9711.8430000000008</v>
      </c>
      <c r="L1155" s="8">
        <v>8223.9040000000005</v>
      </c>
      <c r="M1155" s="8">
        <v>7147.433</v>
      </c>
      <c r="N1155" s="8">
        <v>6237.7979999999998</v>
      </c>
      <c r="O1155" s="8">
        <v>5231.6030000000001</v>
      </c>
      <c r="P1155" s="8">
        <v>4221.2299999999996</v>
      </c>
      <c r="Q1155" s="8">
        <v>3347.288</v>
      </c>
      <c r="R1155" s="8">
        <v>2749.047</v>
      </c>
      <c r="S1155" s="8">
        <v>2222.0410000000002</v>
      </c>
      <c r="T1155" s="8">
        <v>1735.0150000000001</v>
      </c>
      <c r="U1155" s="8">
        <v>1386.5150000000001</v>
      </c>
      <c r="V1155" s="8">
        <v>999.96</v>
      </c>
      <c r="W1155" s="8">
        <v>614.154</v>
      </c>
      <c r="X1155" s="8">
        <v>305.33800000000002</v>
      </c>
      <c r="Y1155" s="8">
        <v>110.282</v>
      </c>
      <c r="Z1155" s="8">
        <v>24.35</v>
      </c>
      <c r="AA1155" s="8">
        <v>2.7509999999999999</v>
      </c>
      <c r="AB1155" s="8">
        <v>0.17199999999999999</v>
      </c>
      <c r="AC1155" s="8">
        <v>5.0000000000000001E-3</v>
      </c>
    </row>
    <row r="1156" spans="1:29" ht="11.65" x14ac:dyDescent="0.35">
      <c r="A1156" s="12">
        <v>1139</v>
      </c>
      <c r="B1156" s="10" t="s">
        <v>1015</v>
      </c>
      <c r="C1156" s="11" t="s">
        <v>1099</v>
      </c>
      <c r="D1156" s="9"/>
      <c r="E1156" s="9">
        <v>566</v>
      </c>
      <c r="F1156" s="10" t="s">
        <v>1066</v>
      </c>
      <c r="G1156" s="9">
        <v>914</v>
      </c>
      <c r="H1156" s="9">
        <v>2015</v>
      </c>
      <c r="I1156" s="8">
        <v>15927.009</v>
      </c>
      <c r="J1156" s="8">
        <v>13487.302</v>
      </c>
      <c r="K1156" s="8">
        <v>11408.402</v>
      </c>
      <c r="L1156" s="8">
        <v>9470.6010000000006</v>
      </c>
      <c r="M1156" s="8">
        <v>7942.7209999999995</v>
      </c>
      <c r="N1156" s="8">
        <v>6878.1689999999999</v>
      </c>
      <c r="O1156" s="8">
        <v>5985.6930000000002</v>
      </c>
      <c r="P1156" s="8">
        <v>5009.6090000000004</v>
      </c>
      <c r="Q1156" s="8">
        <v>4021.491</v>
      </c>
      <c r="R1156" s="8">
        <v>3157.5709999999999</v>
      </c>
      <c r="S1156" s="8">
        <v>2554.107</v>
      </c>
      <c r="T1156" s="8">
        <v>2014.22</v>
      </c>
      <c r="U1156" s="8">
        <v>1506.6320000000001</v>
      </c>
      <c r="V1156" s="8">
        <v>1121.0519999999999</v>
      </c>
      <c r="W1156" s="8">
        <v>717.24800000000005</v>
      </c>
      <c r="X1156" s="8">
        <v>358.21100000000001</v>
      </c>
      <c r="Y1156" s="8">
        <v>128.38900000000001</v>
      </c>
      <c r="Z1156" s="8">
        <v>28.632000000000001</v>
      </c>
      <c r="AA1156" s="8">
        <v>3.2930000000000001</v>
      </c>
      <c r="AB1156" s="8">
        <v>0.20699999999999999</v>
      </c>
      <c r="AC1156" s="8">
        <v>5.0000000000000001E-3</v>
      </c>
    </row>
    <row r="1157" spans="1:29" ht="11.65" x14ac:dyDescent="0.35">
      <c r="A1157" s="12">
        <v>1140</v>
      </c>
      <c r="B1157" s="10" t="s">
        <v>1015</v>
      </c>
      <c r="C1157" s="11" t="s">
        <v>1099</v>
      </c>
      <c r="D1157" s="9"/>
      <c r="E1157" s="9">
        <v>566</v>
      </c>
      <c r="F1157" s="10" t="s">
        <v>1066</v>
      </c>
      <c r="G1157" s="9">
        <v>914</v>
      </c>
      <c r="H1157" s="9">
        <v>2020</v>
      </c>
      <c r="I1157" s="8">
        <v>17377.466</v>
      </c>
      <c r="J1157" s="8">
        <v>15287.661</v>
      </c>
      <c r="K1157" s="8">
        <v>13159.355</v>
      </c>
      <c r="L1157" s="8">
        <v>11151.483</v>
      </c>
      <c r="M1157" s="8">
        <v>9170.2810000000009</v>
      </c>
      <c r="N1157" s="8">
        <v>7660.61</v>
      </c>
      <c r="O1157" s="8">
        <v>6613.9719999999998</v>
      </c>
      <c r="P1157" s="8">
        <v>5745.3530000000001</v>
      </c>
      <c r="Q1157" s="8">
        <v>4785.7659999999996</v>
      </c>
      <c r="R1157" s="8">
        <v>3807.4180000000001</v>
      </c>
      <c r="S1157" s="8">
        <v>2947.8989999999999</v>
      </c>
      <c r="T1157" s="8">
        <v>2330.3679999999999</v>
      </c>
      <c r="U1157" s="8">
        <v>1764.5360000000001</v>
      </c>
      <c r="V1157" s="8">
        <v>1232.451</v>
      </c>
      <c r="W1157" s="8">
        <v>816.32399999999996</v>
      </c>
      <c r="X1157" s="8">
        <v>426.43299999999999</v>
      </c>
      <c r="Y1157" s="8">
        <v>153.999</v>
      </c>
      <c r="Z1157" s="8">
        <v>34.067999999999998</v>
      </c>
      <c r="AA1157" s="8">
        <v>3.9390000000000001</v>
      </c>
      <c r="AB1157" s="8">
        <v>0.24299999999999999</v>
      </c>
      <c r="AC1157" s="8">
        <v>1.2E-2</v>
      </c>
    </row>
    <row r="1158" spans="1:29" ht="11.65" x14ac:dyDescent="0.35">
      <c r="A1158" s="12">
        <v>1141</v>
      </c>
      <c r="B1158" s="10" t="s">
        <v>1015</v>
      </c>
      <c r="C1158" s="11" t="s">
        <v>1100</v>
      </c>
      <c r="D1158" s="9"/>
      <c r="E1158" s="9">
        <v>686</v>
      </c>
      <c r="F1158" s="10" t="s">
        <v>1066</v>
      </c>
      <c r="G1158" s="9">
        <v>914</v>
      </c>
      <c r="H1158" s="9">
        <v>1950</v>
      </c>
      <c r="I1158" s="8">
        <v>212.04900000000001</v>
      </c>
      <c r="J1158" s="8">
        <v>161.167</v>
      </c>
      <c r="K1158" s="8">
        <v>140.55799999999999</v>
      </c>
      <c r="L1158" s="8">
        <v>123.155</v>
      </c>
      <c r="M1158" s="8">
        <v>107.489</v>
      </c>
      <c r="N1158" s="8">
        <v>91.867000000000004</v>
      </c>
      <c r="O1158" s="8">
        <v>78.480999999999995</v>
      </c>
      <c r="P1158" s="8">
        <v>66.957999999999998</v>
      </c>
      <c r="Q1158" s="8">
        <v>56.161999999999999</v>
      </c>
      <c r="R1158" s="8">
        <v>46.780999999999999</v>
      </c>
      <c r="S1158" s="8">
        <v>38.085000000000001</v>
      </c>
      <c r="T1158" s="8">
        <v>29.402999999999999</v>
      </c>
      <c r="U1158" s="8">
        <v>23.478999999999999</v>
      </c>
      <c r="V1158" s="8">
        <v>17.504000000000001</v>
      </c>
      <c r="W1158" s="8">
        <v>11.753</v>
      </c>
      <c r="X1158" s="8">
        <v>6.0579999999999998</v>
      </c>
      <c r="Y1158" s="8">
        <v>2.3559999999999999</v>
      </c>
      <c r="Z1158" s="8">
        <v>0.433</v>
      </c>
      <c r="AA1158" s="8">
        <v>3.9E-2</v>
      </c>
      <c r="AB1158" s="8">
        <v>2E-3</v>
      </c>
      <c r="AC1158" s="8">
        <v>0</v>
      </c>
    </row>
    <row r="1159" spans="1:29" ht="11.65" x14ac:dyDescent="0.35">
      <c r="A1159" s="12">
        <v>1142</v>
      </c>
      <c r="B1159" s="10" t="s">
        <v>1015</v>
      </c>
      <c r="C1159" s="11" t="s">
        <v>1100</v>
      </c>
      <c r="D1159" s="9"/>
      <c r="E1159" s="9">
        <v>686</v>
      </c>
      <c r="F1159" s="10" t="s">
        <v>1066</v>
      </c>
      <c r="G1159" s="9">
        <v>914</v>
      </c>
      <c r="H1159" s="9">
        <v>1955</v>
      </c>
      <c r="I1159" s="8">
        <v>265.952</v>
      </c>
      <c r="J1159" s="8">
        <v>180.363</v>
      </c>
      <c r="K1159" s="8">
        <v>155.179</v>
      </c>
      <c r="L1159" s="8">
        <v>137.46600000000001</v>
      </c>
      <c r="M1159" s="8">
        <v>120.31</v>
      </c>
      <c r="N1159" s="8">
        <v>105.105</v>
      </c>
      <c r="O1159" s="8">
        <v>89.965999999999994</v>
      </c>
      <c r="P1159" s="8">
        <v>76.180000000000007</v>
      </c>
      <c r="Q1159" s="8">
        <v>63.914999999999999</v>
      </c>
      <c r="R1159" s="8">
        <v>52.567999999999998</v>
      </c>
      <c r="S1159" s="8">
        <v>42.691000000000003</v>
      </c>
      <c r="T1159" s="8">
        <v>33.470999999999997</v>
      </c>
      <c r="U1159" s="8">
        <v>24.273</v>
      </c>
      <c r="V1159" s="8">
        <v>17.507000000000001</v>
      </c>
      <c r="W1159" s="8">
        <v>11.098000000000001</v>
      </c>
      <c r="X1159" s="8">
        <v>5.71</v>
      </c>
      <c r="Y1159" s="8">
        <v>1.9790000000000001</v>
      </c>
      <c r="Z1159" s="8">
        <v>0.438</v>
      </c>
      <c r="AA1159" s="8">
        <v>3.9E-2</v>
      </c>
      <c r="AB1159" s="8">
        <v>2E-3</v>
      </c>
      <c r="AC1159" s="8">
        <v>0</v>
      </c>
    </row>
    <row r="1160" spans="1:29" ht="11.65" x14ac:dyDescent="0.35">
      <c r="A1160" s="12">
        <v>1143</v>
      </c>
      <c r="B1160" s="10" t="s">
        <v>1015</v>
      </c>
      <c r="C1160" s="11" t="s">
        <v>1100</v>
      </c>
      <c r="D1160" s="9"/>
      <c r="E1160" s="9">
        <v>686</v>
      </c>
      <c r="F1160" s="10" t="s">
        <v>1066</v>
      </c>
      <c r="G1160" s="9">
        <v>914</v>
      </c>
      <c r="H1160" s="9">
        <v>1960</v>
      </c>
      <c r="I1160" s="8">
        <v>303.08999999999997</v>
      </c>
      <c r="J1160" s="8">
        <v>229.54</v>
      </c>
      <c r="K1160" s="8">
        <v>174.38</v>
      </c>
      <c r="L1160" s="8">
        <v>152.50700000000001</v>
      </c>
      <c r="M1160" s="8">
        <v>135.602</v>
      </c>
      <c r="N1160" s="8">
        <v>119.166</v>
      </c>
      <c r="O1160" s="8">
        <v>104.13800000000001</v>
      </c>
      <c r="P1160" s="8">
        <v>88.266999999999996</v>
      </c>
      <c r="Q1160" s="8">
        <v>73.491</v>
      </c>
      <c r="R1160" s="8">
        <v>60.451999999999998</v>
      </c>
      <c r="S1160" s="8">
        <v>48.502000000000002</v>
      </c>
      <c r="T1160" s="8">
        <v>37.978000000000002</v>
      </c>
      <c r="U1160" s="8">
        <v>28.050999999999998</v>
      </c>
      <c r="V1160" s="8">
        <v>18.507999999999999</v>
      </c>
      <c r="W1160" s="8">
        <v>11.462999999999999</v>
      </c>
      <c r="X1160" s="8">
        <v>5.6580000000000004</v>
      </c>
      <c r="Y1160" s="8">
        <v>2.0019999999999998</v>
      </c>
      <c r="Z1160" s="8">
        <v>0.40200000000000002</v>
      </c>
      <c r="AA1160" s="8">
        <v>4.4999999999999998E-2</v>
      </c>
      <c r="AB1160" s="8">
        <v>2E-3</v>
      </c>
      <c r="AC1160" s="8">
        <v>0</v>
      </c>
    </row>
    <row r="1161" spans="1:29" ht="11.65" x14ac:dyDescent="0.35">
      <c r="A1161" s="12">
        <v>1144</v>
      </c>
      <c r="B1161" s="10" t="s">
        <v>1015</v>
      </c>
      <c r="C1161" s="11" t="s">
        <v>1100</v>
      </c>
      <c r="D1161" s="9"/>
      <c r="E1161" s="9">
        <v>686</v>
      </c>
      <c r="F1161" s="10" t="s">
        <v>1066</v>
      </c>
      <c r="G1161" s="9">
        <v>914</v>
      </c>
      <c r="H1161" s="9">
        <v>1965</v>
      </c>
      <c r="I1161" s="8">
        <v>348.65199999999999</v>
      </c>
      <c r="J1161" s="8">
        <v>262.92099999999999</v>
      </c>
      <c r="K1161" s="8">
        <v>222.35400000000001</v>
      </c>
      <c r="L1161" s="8">
        <v>171.68799999999999</v>
      </c>
      <c r="M1161" s="8">
        <v>150.94200000000001</v>
      </c>
      <c r="N1161" s="8">
        <v>134.78800000000001</v>
      </c>
      <c r="O1161" s="8">
        <v>118.438</v>
      </c>
      <c r="P1161" s="8">
        <v>102.411</v>
      </c>
      <c r="Q1161" s="8">
        <v>85.391999999999996</v>
      </c>
      <c r="R1161" s="8">
        <v>69.756</v>
      </c>
      <c r="S1161" s="8">
        <v>56.01</v>
      </c>
      <c r="T1161" s="8">
        <v>43.383000000000003</v>
      </c>
      <c r="U1161" s="8">
        <v>32.070999999999998</v>
      </c>
      <c r="V1161" s="8">
        <v>21.623000000000001</v>
      </c>
      <c r="W1161" s="8">
        <v>12.333</v>
      </c>
      <c r="X1161" s="8">
        <v>5.9969999999999999</v>
      </c>
      <c r="Y1161" s="8">
        <v>2.0630000000000002</v>
      </c>
      <c r="Z1161" s="8">
        <v>0.42599999999999999</v>
      </c>
      <c r="AA1161" s="8">
        <v>4.2000000000000003E-2</v>
      </c>
      <c r="AB1161" s="8">
        <v>3.0000000000000001E-3</v>
      </c>
      <c r="AC1161" s="8">
        <v>0</v>
      </c>
    </row>
    <row r="1162" spans="1:29" ht="11.65" x14ac:dyDescent="0.35">
      <c r="A1162" s="12">
        <v>1145</v>
      </c>
      <c r="B1162" s="10" t="s">
        <v>1015</v>
      </c>
      <c r="C1162" s="11" t="s">
        <v>1100</v>
      </c>
      <c r="D1162" s="9"/>
      <c r="E1162" s="9">
        <v>686</v>
      </c>
      <c r="F1162" s="10" t="s">
        <v>1066</v>
      </c>
      <c r="G1162" s="9">
        <v>914</v>
      </c>
      <c r="H1162" s="9">
        <v>1970</v>
      </c>
      <c r="I1162" s="8">
        <v>400.428</v>
      </c>
      <c r="J1162" s="8">
        <v>300.65199999999999</v>
      </c>
      <c r="K1162" s="8">
        <v>255.01300000000001</v>
      </c>
      <c r="L1162" s="8">
        <v>219.869</v>
      </c>
      <c r="M1162" s="8">
        <v>172.95</v>
      </c>
      <c r="N1162" s="8">
        <v>153.90899999999999</v>
      </c>
      <c r="O1162" s="8">
        <v>137.19900000000001</v>
      </c>
      <c r="P1162" s="8">
        <v>118.81</v>
      </c>
      <c r="Q1162" s="8">
        <v>100.61199999999999</v>
      </c>
      <c r="R1162" s="8">
        <v>82.076999999999998</v>
      </c>
      <c r="S1162" s="8">
        <v>65.317999999999998</v>
      </c>
      <c r="T1162" s="8">
        <v>50.548999999999999</v>
      </c>
      <c r="U1162" s="8">
        <v>36.938000000000002</v>
      </c>
      <c r="V1162" s="8">
        <v>24.917999999999999</v>
      </c>
      <c r="W1162" s="8">
        <v>14.53</v>
      </c>
      <c r="X1162" s="8">
        <v>6.5359999999999996</v>
      </c>
      <c r="Y1162" s="8">
        <v>2.2330000000000001</v>
      </c>
      <c r="Z1162" s="8">
        <v>0.44700000000000001</v>
      </c>
      <c r="AA1162" s="8">
        <v>4.4999999999999998E-2</v>
      </c>
      <c r="AB1162" s="8">
        <v>2E-3</v>
      </c>
      <c r="AC1162" s="8">
        <v>0</v>
      </c>
    </row>
    <row r="1163" spans="1:29" ht="11.65" x14ac:dyDescent="0.35">
      <c r="A1163" s="12">
        <v>1146</v>
      </c>
      <c r="B1163" s="10" t="s">
        <v>1015</v>
      </c>
      <c r="C1163" s="11" t="s">
        <v>1100</v>
      </c>
      <c r="D1163" s="9"/>
      <c r="E1163" s="9">
        <v>686</v>
      </c>
      <c r="F1163" s="10" t="s">
        <v>1066</v>
      </c>
      <c r="G1163" s="9">
        <v>914</v>
      </c>
      <c r="H1163" s="9">
        <v>1975</v>
      </c>
      <c r="I1163" s="8">
        <v>466.065</v>
      </c>
      <c r="J1163" s="8">
        <v>350.79700000000003</v>
      </c>
      <c r="K1163" s="8">
        <v>292.42</v>
      </c>
      <c r="L1163" s="8">
        <v>251.54599999999999</v>
      </c>
      <c r="M1163" s="8">
        <v>218.018</v>
      </c>
      <c r="N1163" s="8">
        <v>173.15100000000001</v>
      </c>
      <c r="O1163" s="8">
        <v>153.93600000000001</v>
      </c>
      <c r="P1163" s="8">
        <v>135.66200000000001</v>
      </c>
      <c r="Q1163" s="8">
        <v>115.577</v>
      </c>
      <c r="R1163" s="8">
        <v>96.081999999999994</v>
      </c>
      <c r="S1163" s="8">
        <v>76.619</v>
      </c>
      <c r="T1163" s="8">
        <v>58.987000000000002</v>
      </c>
      <c r="U1163" s="8">
        <v>43.273000000000003</v>
      </c>
      <c r="V1163" s="8">
        <v>29.053000000000001</v>
      </c>
      <c r="W1163" s="8">
        <v>17.100999999999999</v>
      </c>
      <c r="X1163" s="8">
        <v>7.95</v>
      </c>
      <c r="Y1163" s="8">
        <v>2.544</v>
      </c>
      <c r="Z1163" s="8">
        <v>0.51800000000000002</v>
      </c>
      <c r="AA1163" s="8">
        <v>5.1999999999999998E-2</v>
      </c>
      <c r="AB1163" s="8">
        <v>3.0000000000000001E-3</v>
      </c>
      <c r="AC1163" s="8">
        <v>0</v>
      </c>
    </row>
    <row r="1164" spans="1:29" ht="11.65" x14ac:dyDescent="0.35">
      <c r="A1164" s="12">
        <v>1147</v>
      </c>
      <c r="B1164" s="10" t="s">
        <v>1015</v>
      </c>
      <c r="C1164" s="11" t="s">
        <v>1100</v>
      </c>
      <c r="D1164" s="9"/>
      <c r="E1164" s="9">
        <v>686</v>
      </c>
      <c r="F1164" s="10" t="s">
        <v>1066</v>
      </c>
      <c r="G1164" s="9">
        <v>914</v>
      </c>
      <c r="H1164" s="9">
        <v>1980</v>
      </c>
      <c r="I1164" s="8">
        <v>541.67100000000005</v>
      </c>
      <c r="J1164" s="8">
        <v>420.03800000000001</v>
      </c>
      <c r="K1164" s="8">
        <v>341.85700000000003</v>
      </c>
      <c r="L1164" s="8">
        <v>281.601</v>
      </c>
      <c r="M1164" s="8">
        <v>230.78899999999999</v>
      </c>
      <c r="N1164" s="8">
        <v>193.38399999999999</v>
      </c>
      <c r="O1164" s="8">
        <v>152.42699999999999</v>
      </c>
      <c r="P1164" s="8">
        <v>137.34899999999999</v>
      </c>
      <c r="Q1164" s="8">
        <v>122.212</v>
      </c>
      <c r="R1164" s="8">
        <v>104.274</v>
      </c>
      <c r="S1164" s="8">
        <v>86.042000000000002</v>
      </c>
      <c r="T1164" s="8">
        <v>67.195999999999998</v>
      </c>
      <c r="U1164" s="8">
        <v>49.646000000000001</v>
      </c>
      <c r="V1164" s="8">
        <v>33.917999999999999</v>
      </c>
      <c r="W1164" s="8">
        <v>20.151</v>
      </c>
      <c r="X1164" s="8">
        <v>9.5719999999999992</v>
      </c>
      <c r="Y1164" s="8">
        <v>3.1339999999999999</v>
      </c>
      <c r="Z1164" s="8">
        <v>0.628</v>
      </c>
      <c r="AA1164" s="8">
        <v>6.9000000000000006E-2</v>
      </c>
      <c r="AB1164" s="8">
        <v>4.0000000000000001E-3</v>
      </c>
      <c r="AC1164" s="8">
        <v>0</v>
      </c>
    </row>
    <row r="1165" spans="1:29" ht="11.65" x14ac:dyDescent="0.35">
      <c r="A1165" s="12">
        <v>1148</v>
      </c>
      <c r="B1165" s="10" t="s">
        <v>1015</v>
      </c>
      <c r="C1165" s="11" t="s">
        <v>1100</v>
      </c>
      <c r="D1165" s="9"/>
      <c r="E1165" s="9">
        <v>686</v>
      </c>
      <c r="F1165" s="10" t="s">
        <v>1066</v>
      </c>
      <c r="G1165" s="9">
        <v>914</v>
      </c>
      <c r="H1165" s="9">
        <v>1985</v>
      </c>
      <c r="I1165" s="8">
        <v>628.11300000000006</v>
      </c>
      <c r="J1165" s="8">
        <v>500.67</v>
      </c>
      <c r="K1165" s="8">
        <v>412.26100000000002</v>
      </c>
      <c r="L1165" s="8">
        <v>333.49900000000002</v>
      </c>
      <c r="M1165" s="8">
        <v>266.68900000000002</v>
      </c>
      <c r="N1165" s="8">
        <v>213.685</v>
      </c>
      <c r="O1165" s="8">
        <v>178.678</v>
      </c>
      <c r="P1165" s="8">
        <v>140.89699999999999</v>
      </c>
      <c r="Q1165" s="8">
        <v>127.57</v>
      </c>
      <c r="R1165" s="8">
        <v>113.35599999999999</v>
      </c>
      <c r="S1165" s="8">
        <v>95.793000000000006</v>
      </c>
      <c r="T1165" s="8">
        <v>77.412000000000006</v>
      </c>
      <c r="U1165" s="8">
        <v>58.177999999999997</v>
      </c>
      <c r="V1165" s="8">
        <v>40.295000000000002</v>
      </c>
      <c r="W1165" s="8">
        <v>24.634</v>
      </c>
      <c r="X1165" s="8">
        <v>12.019</v>
      </c>
      <c r="Y1165" s="8">
        <v>4.1399999999999997</v>
      </c>
      <c r="Z1165" s="8">
        <v>0.85799999999999998</v>
      </c>
      <c r="AA1165" s="8">
        <v>9.5000000000000001E-2</v>
      </c>
      <c r="AB1165" s="8">
        <v>5.0000000000000001E-3</v>
      </c>
      <c r="AC1165" s="8">
        <v>0</v>
      </c>
    </row>
    <row r="1166" spans="1:29" ht="11.65" x14ac:dyDescent="0.35">
      <c r="A1166" s="12">
        <v>1149</v>
      </c>
      <c r="B1166" s="10" t="s">
        <v>1015</v>
      </c>
      <c r="C1166" s="11" t="s">
        <v>1100</v>
      </c>
      <c r="D1166" s="9"/>
      <c r="E1166" s="9">
        <v>686</v>
      </c>
      <c r="F1166" s="10" t="s">
        <v>1066</v>
      </c>
      <c r="G1166" s="9">
        <v>914</v>
      </c>
      <c r="H1166" s="9">
        <v>1990</v>
      </c>
      <c r="I1166" s="8">
        <v>692.25599999999997</v>
      </c>
      <c r="J1166" s="8">
        <v>593.30799999999999</v>
      </c>
      <c r="K1166" s="8">
        <v>494.02</v>
      </c>
      <c r="L1166" s="8">
        <v>405.13400000000001</v>
      </c>
      <c r="M1166" s="8">
        <v>321.20999999999998</v>
      </c>
      <c r="N1166" s="8">
        <v>252.833</v>
      </c>
      <c r="O1166" s="8">
        <v>201.875</v>
      </c>
      <c r="P1166" s="8">
        <v>169.02199999999999</v>
      </c>
      <c r="Q1166" s="8">
        <v>133.05500000000001</v>
      </c>
      <c r="R1166" s="8">
        <v>120.185</v>
      </c>
      <c r="S1166" s="8">
        <v>105.789</v>
      </c>
      <c r="T1166" s="8">
        <v>87.647000000000006</v>
      </c>
      <c r="U1166" s="8">
        <v>68.418000000000006</v>
      </c>
      <c r="V1166" s="8">
        <v>48.527999999999999</v>
      </c>
      <c r="W1166" s="8">
        <v>30.382000000000001</v>
      </c>
      <c r="X1166" s="8">
        <v>15.484</v>
      </c>
      <c r="Y1166" s="8">
        <v>5.5910000000000002</v>
      </c>
      <c r="Z1166" s="8">
        <v>1.2330000000000001</v>
      </c>
      <c r="AA1166" s="8">
        <v>0.13800000000000001</v>
      </c>
      <c r="AB1166" s="8">
        <v>8.0000000000000002E-3</v>
      </c>
      <c r="AC1166" s="8">
        <v>0</v>
      </c>
    </row>
    <row r="1167" spans="1:29" ht="11.65" x14ac:dyDescent="0.35">
      <c r="A1167" s="12">
        <v>1150</v>
      </c>
      <c r="B1167" s="10" t="s">
        <v>1015</v>
      </c>
      <c r="C1167" s="11" t="s">
        <v>1100</v>
      </c>
      <c r="D1167" s="9"/>
      <c r="E1167" s="9">
        <v>686</v>
      </c>
      <c r="F1167" s="10" t="s">
        <v>1066</v>
      </c>
      <c r="G1167" s="9">
        <v>914</v>
      </c>
      <c r="H1167" s="9">
        <v>1995</v>
      </c>
      <c r="I1167" s="8">
        <v>766.72199999999998</v>
      </c>
      <c r="J1167" s="8">
        <v>657.80100000000004</v>
      </c>
      <c r="K1167" s="8">
        <v>586.16499999999996</v>
      </c>
      <c r="L1167" s="8">
        <v>484.42200000000003</v>
      </c>
      <c r="M1167" s="8">
        <v>388.34199999999998</v>
      </c>
      <c r="N1167" s="8">
        <v>303.02999999999997</v>
      </c>
      <c r="O1167" s="8">
        <v>238.08799999999999</v>
      </c>
      <c r="P1167" s="8">
        <v>190.87899999999999</v>
      </c>
      <c r="Q1167" s="8">
        <v>159.898</v>
      </c>
      <c r="R1167" s="8">
        <v>125.248</v>
      </c>
      <c r="S1167" s="8">
        <v>112.232</v>
      </c>
      <c r="T1167" s="8">
        <v>97.016000000000005</v>
      </c>
      <c r="U1167" s="8">
        <v>77.772000000000006</v>
      </c>
      <c r="V1167" s="8">
        <v>57.436999999999998</v>
      </c>
      <c r="W1167" s="8">
        <v>36.94</v>
      </c>
      <c r="X1167" s="8">
        <v>19.358000000000001</v>
      </c>
      <c r="Y1167" s="8">
        <v>7.343</v>
      </c>
      <c r="Z1167" s="8">
        <v>1.7050000000000001</v>
      </c>
      <c r="AA1167" s="8">
        <v>0.20399999999999999</v>
      </c>
      <c r="AB1167" s="8">
        <v>1.2E-2</v>
      </c>
      <c r="AC1167" s="8">
        <v>0</v>
      </c>
    </row>
    <row r="1168" spans="1:29" ht="11.65" x14ac:dyDescent="0.35">
      <c r="A1168" s="12">
        <v>1151</v>
      </c>
      <c r="B1168" s="10" t="s">
        <v>1015</v>
      </c>
      <c r="C1168" s="11" t="s">
        <v>1100</v>
      </c>
      <c r="D1168" s="9"/>
      <c r="E1168" s="9">
        <v>686</v>
      </c>
      <c r="F1168" s="10" t="s">
        <v>1066</v>
      </c>
      <c r="G1168" s="9">
        <v>914</v>
      </c>
      <c r="H1168" s="9">
        <v>2000</v>
      </c>
      <c r="I1168" s="8">
        <v>838.91899999999998</v>
      </c>
      <c r="J1168" s="8">
        <v>724.673</v>
      </c>
      <c r="K1168" s="8">
        <v>648.84299999999996</v>
      </c>
      <c r="L1168" s="8">
        <v>569.20899999999995</v>
      </c>
      <c r="M1168" s="8">
        <v>448.06400000000002</v>
      </c>
      <c r="N1168" s="8">
        <v>344.57900000000001</v>
      </c>
      <c r="O1168" s="8">
        <v>267.86099999999999</v>
      </c>
      <c r="P1168" s="8">
        <v>213.49100000000001</v>
      </c>
      <c r="Q1168" s="8">
        <v>172.404</v>
      </c>
      <c r="R1168" s="8">
        <v>145.27600000000001</v>
      </c>
      <c r="S1168" s="8">
        <v>113.202</v>
      </c>
      <c r="T1168" s="8">
        <v>100.476</v>
      </c>
      <c r="U1168" s="8">
        <v>84.513000000000005</v>
      </c>
      <c r="V1168" s="8">
        <v>64.271000000000001</v>
      </c>
      <c r="W1168" s="8">
        <v>43.079000000000001</v>
      </c>
      <c r="X1168" s="8">
        <v>23.145</v>
      </c>
      <c r="Y1168" s="8">
        <v>8.9619999999999997</v>
      </c>
      <c r="Z1168" s="8">
        <v>2.198</v>
      </c>
      <c r="AA1168" s="8">
        <v>0.28199999999999997</v>
      </c>
      <c r="AB1168" s="8">
        <v>1.7999999999999999E-2</v>
      </c>
      <c r="AC1168" s="8">
        <v>1E-3</v>
      </c>
    </row>
    <row r="1169" spans="1:29" ht="11.65" x14ac:dyDescent="0.35">
      <c r="A1169" s="12">
        <v>1152</v>
      </c>
      <c r="B1169" s="10" t="s">
        <v>1015</v>
      </c>
      <c r="C1169" s="11" t="s">
        <v>1100</v>
      </c>
      <c r="D1169" s="9"/>
      <c r="E1169" s="9">
        <v>686</v>
      </c>
      <c r="F1169" s="10" t="s">
        <v>1066</v>
      </c>
      <c r="G1169" s="9">
        <v>914</v>
      </c>
      <c r="H1169" s="9">
        <v>2005</v>
      </c>
      <c r="I1169" s="8">
        <v>933.21500000000003</v>
      </c>
      <c r="J1169" s="8">
        <v>802.61300000000006</v>
      </c>
      <c r="K1169" s="8">
        <v>714.90800000000002</v>
      </c>
      <c r="L1169" s="8">
        <v>631.12699999999995</v>
      </c>
      <c r="M1169" s="8">
        <v>531.346</v>
      </c>
      <c r="N1169" s="8">
        <v>402.99900000000002</v>
      </c>
      <c r="O1169" s="8">
        <v>311.649</v>
      </c>
      <c r="P1169" s="8">
        <v>247.81299999999999</v>
      </c>
      <c r="Q1169" s="8">
        <v>197.92699999999999</v>
      </c>
      <c r="R1169" s="8">
        <v>159.66</v>
      </c>
      <c r="S1169" s="8">
        <v>133.73400000000001</v>
      </c>
      <c r="T1169" s="8">
        <v>102.346</v>
      </c>
      <c r="U1169" s="8">
        <v>88.203999999999994</v>
      </c>
      <c r="V1169" s="8">
        <v>70.311999999999998</v>
      </c>
      <c r="W1169" s="8">
        <v>48.497999999999998</v>
      </c>
      <c r="X1169" s="8">
        <v>27.178000000000001</v>
      </c>
      <c r="Y1169" s="8">
        <v>10.834</v>
      </c>
      <c r="Z1169" s="8">
        <v>2.702</v>
      </c>
      <c r="AA1169" s="8">
        <v>0.36299999999999999</v>
      </c>
      <c r="AB1169" s="8">
        <v>2.4E-2</v>
      </c>
      <c r="AC1169" s="8">
        <v>1E-3</v>
      </c>
    </row>
    <row r="1170" spans="1:29" ht="11.65" x14ac:dyDescent="0.35">
      <c r="A1170" s="12">
        <v>1153</v>
      </c>
      <c r="B1170" s="10" t="s">
        <v>1015</v>
      </c>
      <c r="C1170" s="11" t="s">
        <v>1100</v>
      </c>
      <c r="D1170" s="9"/>
      <c r="E1170" s="9">
        <v>686</v>
      </c>
      <c r="F1170" s="10" t="s">
        <v>1066</v>
      </c>
      <c r="G1170" s="9">
        <v>914</v>
      </c>
      <c r="H1170" s="9">
        <v>2010</v>
      </c>
      <c r="I1170" s="8">
        <v>1087.9659999999999</v>
      </c>
      <c r="J1170" s="8">
        <v>907.72799999999995</v>
      </c>
      <c r="K1170" s="8">
        <v>793.8</v>
      </c>
      <c r="L1170" s="8">
        <v>697.73699999999997</v>
      </c>
      <c r="M1170" s="8">
        <v>593.95399999999995</v>
      </c>
      <c r="N1170" s="8">
        <v>486.34300000000002</v>
      </c>
      <c r="O1170" s="8">
        <v>368.12299999999999</v>
      </c>
      <c r="P1170" s="8">
        <v>288.255</v>
      </c>
      <c r="Q1170" s="8">
        <v>229.88300000000001</v>
      </c>
      <c r="R1170" s="8">
        <v>183.512</v>
      </c>
      <c r="S1170" s="8">
        <v>147.137</v>
      </c>
      <c r="T1170" s="8">
        <v>121.49299999999999</v>
      </c>
      <c r="U1170" s="8">
        <v>90.203999999999994</v>
      </c>
      <c r="V1170" s="8">
        <v>74.036000000000001</v>
      </c>
      <c r="W1170" s="8">
        <v>53.857999999999997</v>
      </c>
      <c r="X1170" s="8">
        <v>31.285</v>
      </c>
      <c r="Y1170" s="8">
        <v>13.115</v>
      </c>
      <c r="Z1170" s="8">
        <v>3.3919999999999999</v>
      </c>
      <c r="AA1170" s="8">
        <v>0.46400000000000002</v>
      </c>
      <c r="AB1170" s="8">
        <v>2.9000000000000001E-2</v>
      </c>
      <c r="AC1170" s="8">
        <v>0</v>
      </c>
    </row>
    <row r="1171" spans="1:29" ht="11.65" x14ac:dyDescent="0.35">
      <c r="A1171" s="12">
        <v>1154</v>
      </c>
      <c r="B1171" s="10" t="s">
        <v>1015</v>
      </c>
      <c r="C1171" s="11" t="s">
        <v>1100</v>
      </c>
      <c r="D1171" s="9"/>
      <c r="E1171" s="9">
        <v>686</v>
      </c>
      <c r="F1171" s="10" t="s">
        <v>1066</v>
      </c>
      <c r="G1171" s="9">
        <v>914</v>
      </c>
      <c r="H1171" s="9">
        <v>2015</v>
      </c>
      <c r="I1171" s="8">
        <v>1240.0039999999999</v>
      </c>
      <c r="J1171" s="8">
        <v>1069.079</v>
      </c>
      <c r="K1171" s="8">
        <v>899.572</v>
      </c>
      <c r="L1171" s="8">
        <v>777.01499999999999</v>
      </c>
      <c r="M1171" s="8">
        <v>661.17700000000002</v>
      </c>
      <c r="N1171" s="8">
        <v>549.46199999999999</v>
      </c>
      <c r="O1171" s="8">
        <v>452.72</v>
      </c>
      <c r="P1171" s="8">
        <v>347.029</v>
      </c>
      <c r="Q1171" s="8">
        <v>271.84100000000001</v>
      </c>
      <c r="R1171" s="8">
        <v>216.28200000000001</v>
      </c>
      <c r="S1171" s="8">
        <v>171.286</v>
      </c>
      <c r="T1171" s="8">
        <v>135.125</v>
      </c>
      <c r="U1171" s="8">
        <v>108.517</v>
      </c>
      <c r="V1171" s="8">
        <v>76.686999999999998</v>
      </c>
      <c r="W1171" s="8">
        <v>57.667000000000002</v>
      </c>
      <c r="X1171" s="8">
        <v>35.549999999999997</v>
      </c>
      <c r="Y1171" s="8">
        <v>15.58</v>
      </c>
      <c r="Z1171" s="8">
        <v>4.2539999999999996</v>
      </c>
      <c r="AA1171" s="8">
        <v>0.60199999999999998</v>
      </c>
      <c r="AB1171" s="8">
        <v>3.7999999999999999E-2</v>
      </c>
      <c r="AC1171" s="8">
        <v>1E-3</v>
      </c>
    </row>
    <row r="1172" spans="1:29" ht="11.65" x14ac:dyDescent="0.35">
      <c r="A1172" s="12">
        <v>1155</v>
      </c>
      <c r="B1172" s="10" t="s">
        <v>1015</v>
      </c>
      <c r="C1172" s="11" t="s">
        <v>1100</v>
      </c>
      <c r="D1172" s="9"/>
      <c r="E1172" s="9">
        <v>686</v>
      </c>
      <c r="F1172" s="10" t="s">
        <v>1066</v>
      </c>
      <c r="G1172" s="9">
        <v>914</v>
      </c>
      <c r="H1172" s="9">
        <v>2020</v>
      </c>
      <c r="I1172" s="8">
        <v>1326.412</v>
      </c>
      <c r="J1172" s="8">
        <v>1224.809</v>
      </c>
      <c r="K1172" s="8">
        <v>1061.953</v>
      </c>
      <c r="L1172" s="8">
        <v>890.072</v>
      </c>
      <c r="M1172" s="8">
        <v>759.44</v>
      </c>
      <c r="N1172" s="8">
        <v>640.55399999999997</v>
      </c>
      <c r="O1172" s="8">
        <v>531.25300000000004</v>
      </c>
      <c r="P1172" s="8">
        <v>437.49299999999999</v>
      </c>
      <c r="Q1172" s="8">
        <v>334.46100000000001</v>
      </c>
      <c r="R1172" s="8">
        <v>260.55399999999997</v>
      </c>
      <c r="S1172" s="8">
        <v>205.17599999999999</v>
      </c>
      <c r="T1172" s="8">
        <v>159.53899999999999</v>
      </c>
      <c r="U1172" s="8">
        <v>122.15600000000001</v>
      </c>
      <c r="V1172" s="8">
        <v>93.448999999999998</v>
      </c>
      <c r="W1172" s="8">
        <v>60.475999999999999</v>
      </c>
      <c r="X1172" s="8">
        <v>38.709000000000003</v>
      </c>
      <c r="Y1172" s="8">
        <v>18.190000000000001</v>
      </c>
      <c r="Z1172" s="8">
        <v>5.2450000000000001</v>
      </c>
      <c r="AA1172" s="8">
        <v>0.78800000000000003</v>
      </c>
      <c r="AB1172" s="8">
        <v>5.5E-2</v>
      </c>
      <c r="AC1172" s="8">
        <v>1E-3</v>
      </c>
    </row>
    <row r="1173" spans="1:29" ht="11.65" x14ac:dyDescent="0.35">
      <c r="A1173" s="12">
        <v>1156</v>
      </c>
      <c r="B1173" s="10" t="s">
        <v>1015</v>
      </c>
      <c r="C1173" s="11" t="s">
        <v>1101</v>
      </c>
      <c r="D1173" s="9"/>
      <c r="E1173" s="9">
        <v>694</v>
      </c>
      <c r="F1173" s="10" t="s">
        <v>1066</v>
      </c>
      <c r="G1173" s="9">
        <v>914</v>
      </c>
      <c r="H1173" s="9">
        <v>1950</v>
      </c>
      <c r="I1173" s="8">
        <v>163.16999999999999</v>
      </c>
      <c r="J1173" s="8">
        <v>126.10599999999999</v>
      </c>
      <c r="K1173" s="8">
        <v>111.09099999999999</v>
      </c>
      <c r="L1173" s="8">
        <v>100.17</v>
      </c>
      <c r="M1173" s="8">
        <v>89.144999999999996</v>
      </c>
      <c r="N1173" s="8">
        <v>78.540000000000006</v>
      </c>
      <c r="O1173" s="8">
        <v>68.774000000000001</v>
      </c>
      <c r="P1173" s="8">
        <v>59.64</v>
      </c>
      <c r="Q1173" s="8">
        <v>51.136000000000003</v>
      </c>
      <c r="R1173" s="8">
        <v>42.841000000000001</v>
      </c>
      <c r="S1173" s="8">
        <v>34.965000000000003</v>
      </c>
      <c r="T1173" s="8">
        <v>27.405000000000001</v>
      </c>
      <c r="U1173" s="8">
        <v>20.369</v>
      </c>
      <c r="V1173" s="8">
        <v>13.755000000000001</v>
      </c>
      <c r="W1173" s="8">
        <v>7.8760000000000003</v>
      </c>
      <c r="X1173" s="8">
        <v>3.5710000000000002</v>
      </c>
      <c r="Y1173" s="8">
        <v>0.81499999999999995</v>
      </c>
      <c r="Z1173" s="8">
        <v>0.27100000000000002</v>
      </c>
      <c r="AA1173" s="8">
        <v>0.06</v>
      </c>
      <c r="AB1173" s="8">
        <v>8.9999999999999993E-3</v>
      </c>
      <c r="AC1173" s="8">
        <v>1E-3</v>
      </c>
    </row>
    <row r="1174" spans="1:29" ht="11.65" x14ac:dyDescent="0.35">
      <c r="A1174" s="12">
        <v>1157</v>
      </c>
      <c r="B1174" s="10" t="s">
        <v>1015</v>
      </c>
      <c r="C1174" s="11" t="s">
        <v>1101</v>
      </c>
      <c r="D1174" s="9"/>
      <c r="E1174" s="9">
        <v>694</v>
      </c>
      <c r="F1174" s="10" t="s">
        <v>1066</v>
      </c>
      <c r="G1174" s="9">
        <v>914</v>
      </c>
      <c r="H1174" s="9">
        <v>1955</v>
      </c>
      <c r="I1174" s="8">
        <v>163.06899999999999</v>
      </c>
      <c r="J1174" s="8">
        <v>131.28200000000001</v>
      </c>
      <c r="K1174" s="8">
        <v>119.18600000000001</v>
      </c>
      <c r="L1174" s="8">
        <v>106.6</v>
      </c>
      <c r="M1174" s="8">
        <v>94.578000000000003</v>
      </c>
      <c r="N1174" s="8">
        <v>83.082999999999998</v>
      </c>
      <c r="O1174" s="8">
        <v>73.078000000000003</v>
      </c>
      <c r="P1174" s="8">
        <v>63.66</v>
      </c>
      <c r="Q1174" s="8">
        <v>54.677</v>
      </c>
      <c r="R1174" s="8">
        <v>46.381</v>
      </c>
      <c r="S1174" s="8">
        <v>38.304000000000002</v>
      </c>
      <c r="T1174" s="8">
        <v>30.632999999999999</v>
      </c>
      <c r="U1174" s="8">
        <v>23.096</v>
      </c>
      <c r="V1174" s="8">
        <v>16.052</v>
      </c>
      <c r="W1174" s="8">
        <v>9.6869999999999994</v>
      </c>
      <c r="X1174" s="8">
        <v>4.6609999999999996</v>
      </c>
      <c r="Y1174" s="8">
        <v>1.651</v>
      </c>
      <c r="Z1174" s="8">
        <v>0.27</v>
      </c>
      <c r="AA1174" s="8">
        <v>0.06</v>
      </c>
      <c r="AB1174" s="8">
        <v>8.9999999999999993E-3</v>
      </c>
      <c r="AC1174" s="8">
        <v>1E-3</v>
      </c>
    </row>
    <row r="1175" spans="1:29" ht="11.65" x14ac:dyDescent="0.35">
      <c r="A1175" s="12">
        <v>1158</v>
      </c>
      <c r="B1175" s="10" t="s">
        <v>1015</v>
      </c>
      <c r="C1175" s="11" t="s">
        <v>1101</v>
      </c>
      <c r="D1175" s="9"/>
      <c r="E1175" s="9">
        <v>694</v>
      </c>
      <c r="F1175" s="10" t="s">
        <v>1066</v>
      </c>
      <c r="G1175" s="9">
        <v>914</v>
      </c>
      <c r="H1175" s="9">
        <v>1960</v>
      </c>
      <c r="I1175" s="8">
        <v>178.34800000000001</v>
      </c>
      <c r="J1175" s="8">
        <v>134.59700000000001</v>
      </c>
      <c r="K1175" s="8">
        <v>124.65900000000001</v>
      </c>
      <c r="L1175" s="8">
        <v>114.666</v>
      </c>
      <c r="M1175" s="8">
        <v>100.982</v>
      </c>
      <c r="N1175" s="8">
        <v>88.503</v>
      </c>
      <c r="O1175" s="8">
        <v>77.605999999999995</v>
      </c>
      <c r="P1175" s="8">
        <v>67.896000000000001</v>
      </c>
      <c r="Q1175" s="8">
        <v>58.573999999999998</v>
      </c>
      <c r="R1175" s="8">
        <v>49.753999999999998</v>
      </c>
      <c r="S1175" s="8">
        <v>41.575000000000003</v>
      </c>
      <c r="T1175" s="8">
        <v>33.612000000000002</v>
      </c>
      <c r="U1175" s="8">
        <v>25.841000000000001</v>
      </c>
      <c r="V1175" s="8">
        <v>18.209</v>
      </c>
      <c r="W1175" s="8">
        <v>11.313000000000001</v>
      </c>
      <c r="X1175" s="8">
        <v>5.7409999999999997</v>
      </c>
      <c r="Y1175" s="8">
        <v>2.16</v>
      </c>
      <c r="Z1175" s="8">
        <v>0.54900000000000004</v>
      </c>
      <c r="AA1175" s="8">
        <v>0.06</v>
      </c>
      <c r="AB1175" s="8">
        <v>8.9999999999999993E-3</v>
      </c>
      <c r="AC1175" s="8">
        <v>1E-3</v>
      </c>
    </row>
    <row r="1176" spans="1:29" ht="11.65" x14ac:dyDescent="0.35">
      <c r="A1176" s="12">
        <v>1159</v>
      </c>
      <c r="B1176" s="10" t="s">
        <v>1015</v>
      </c>
      <c r="C1176" s="11" t="s">
        <v>1101</v>
      </c>
      <c r="D1176" s="9"/>
      <c r="E1176" s="9">
        <v>694</v>
      </c>
      <c r="F1176" s="10" t="s">
        <v>1066</v>
      </c>
      <c r="G1176" s="9">
        <v>914</v>
      </c>
      <c r="H1176" s="9">
        <v>1965</v>
      </c>
      <c r="I1176" s="8">
        <v>201.458</v>
      </c>
      <c r="J1176" s="8">
        <v>150.08799999999999</v>
      </c>
      <c r="K1176" s="8">
        <v>128.327</v>
      </c>
      <c r="L1176" s="8">
        <v>120.21899999999999</v>
      </c>
      <c r="M1176" s="8">
        <v>108.98099999999999</v>
      </c>
      <c r="N1176" s="8">
        <v>94.899000000000001</v>
      </c>
      <c r="O1176" s="8">
        <v>83.022000000000006</v>
      </c>
      <c r="P1176" s="8">
        <v>72.412000000000006</v>
      </c>
      <c r="Q1176" s="8">
        <v>62.747</v>
      </c>
      <c r="R1176" s="8">
        <v>53.52</v>
      </c>
      <c r="S1176" s="8">
        <v>44.753999999999998</v>
      </c>
      <c r="T1176" s="8">
        <v>36.582000000000001</v>
      </c>
      <c r="U1176" s="8">
        <v>28.414999999999999</v>
      </c>
      <c r="V1176" s="8">
        <v>20.416</v>
      </c>
      <c r="W1176" s="8">
        <v>12.864000000000001</v>
      </c>
      <c r="X1176" s="8">
        <v>6.7229999999999999</v>
      </c>
      <c r="Y1176" s="8">
        <v>2.6669999999999998</v>
      </c>
      <c r="Z1176" s="8">
        <v>0.71699999999999997</v>
      </c>
      <c r="AA1176" s="8">
        <v>0.121</v>
      </c>
      <c r="AB1176" s="8">
        <v>8.9999999999999993E-3</v>
      </c>
      <c r="AC1176" s="8">
        <v>1E-3</v>
      </c>
    </row>
    <row r="1177" spans="1:29" ht="11.65" x14ac:dyDescent="0.35">
      <c r="A1177" s="12">
        <v>1160</v>
      </c>
      <c r="B1177" s="10" t="s">
        <v>1015</v>
      </c>
      <c r="C1177" s="11" t="s">
        <v>1101</v>
      </c>
      <c r="D1177" s="9"/>
      <c r="E1177" s="9">
        <v>694</v>
      </c>
      <c r="F1177" s="10" t="s">
        <v>1066</v>
      </c>
      <c r="G1177" s="9">
        <v>914</v>
      </c>
      <c r="H1177" s="9">
        <v>1970</v>
      </c>
      <c r="I1177" s="8">
        <v>227.34100000000001</v>
      </c>
      <c r="J1177" s="8">
        <v>173.49600000000001</v>
      </c>
      <c r="K1177" s="8">
        <v>143.83199999999999</v>
      </c>
      <c r="L1177" s="8">
        <v>124.142</v>
      </c>
      <c r="M1177" s="8">
        <v>114.749</v>
      </c>
      <c r="N1177" s="8">
        <v>102.977</v>
      </c>
      <c r="O1177" s="8">
        <v>89.512</v>
      </c>
      <c r="P1177" s="8">
        <v>77.900000000000006</v>
      </c>
      <c r="Q1177" s="8">
        <v>67.304000000000002</v>
      </c>
      <c r="R1177" s="8">
        <v>57.643000000000001</v>
      </c>
      <c r="S1177" s="8">
        <v>48.369</v>
      </c>
      <c r="T1177" s="8">
        <v>39.53</v>
      </c>
      <c r="U1177" s="8">
        <v>31.024999999999999</v>
      </c>
      <c r="V1177" s="8">
        <v>22.515000000000001</v>
      </c>
      <c r="W1177" s="8">
        <v>14.468</v>
      </c>
      <c r="X1177" s="8">
        <v>7.6740000000000004</v>
      </c>
      <c r="Y1177" s="8">
        <v>3.1360000000000001</v>
      </c>
      <c r="Z1177" s="8">
        <v>0.89100000000000001</v>
      </c>
      <c r="AA1177" s="8">
        <v>0.159</v>
      </c>
      <c r="AB1177" s="8">
        <v>1.4999999999999999E-2</v>
      </c>
      <c r="AC1177" s="8">
        <v>1E-3</v>
      </c>
    </row>
    <row r="1178" spans="1:29" ht="11.65" x14ac:dyDescent="0.35">
      <c r="A1178" s="12">
        <v>1161</v>
      </c>
      <c r="B1178" s="10" t="s">
        <v>1015</v>
      </c>
      <c r="C1178" s="11" t="s">
        <v>1101</v>
      </c>
      <c r="D1178" s="9"/>
      <c r="E1178" s="9">
        <v>694</v>
      </c>
      <c r="F1178" s="10" t="s">
        <v>1066</v>
      </c>
      <c r="G1178" s="9">
        <v>914</v>
      </c>
      <c r="H1178" s="9">
        <v>1975</v>
      </c>
      <c r="I1178" s="8">
        <v>257.23200000000003</v>
      </c>
      <c r="J1178" s="8">
        <v>199.69</v>
      </c>
      <c r="K1178" s="8">
        <v>167.02199999999999</v>
      </c>
      <c r="L1178" s="8">
        <v>139.535</v>
      </c>
      <c r="M1178" s="8">
        <v>118.95399999999999</v>
      </c>
      <c r="N1178" s="8">
        <v>108.964</v>
      </c>
      <c r="O1178" s="8">
        <v>97.619</v>
      </c>
      <c r="P1178" s="8">
        <v>84.418999999999997</v>
      </c>
      <c r="Q1178" s="8">
        <v>72.787000000000006</v>
      </c>
      <c r="R1178" s="8">
        <v>62.139000000000003</v>
      </c>
      <c r="S1178" s="8">
        <v>52.331000000000003</v>
      </c>
      <c r="T1178" s="8">
        <v>42.881</v>
      </c>
      <c r="U1178" s="8">
        <v>33.627000000000002</v>
      </c>
      <c r="V1178" s="8">
        <v>24.652999999999999</v>
      </c>
      <c r="W1178" s="8">
        <v>16.010999999999999</v>
      </c>
      <c r="X1178" s="8">
        <v>8.6679999999999993</v>
      </c>
      <c r="Y1178" s="8">
        <v>3.597</v>
      </c>
      <c r="Z1178" s="8">
        <v>1.0529999999999999</v>
      </c>
      <c r="AA1178" s="8">
        <v>0.19800000000000001</v>
      </c>
      <c r="AB1178" s="8">
        <v>2.1000000000000001E-2</v>
      </c>
      <c r="AC1178" s="8">
        <v>1E-3</v>
      </c>
    </row>
    <row r="1179" spans="1:29" ht="11.65" x14ac:dyDescent="0.35">
      <c r="A1179" s="12">
        <v>1162</v>
      </c>
      <c r="B1179" s="10" t="s">
        <v>1015</v>
      </c>
      <c r="C1179" s="11" t="s">
        <v>1101</v>
      </c>
      <c r="D1179" s="9"/>
      <c r="E1179" s="9">
        <v>694</v>
      </c>
      <c r="F1179" s="10" t="s">
        <v>1066</v>
      </c>
      <c r="G1179" s="9">
        <v>914</v>
      </c>
      <c r="H1179" s="9">
        <v>1980</v>
      </c>
      <c r="I1179" s="8">
        <v>291.56599999999997</v>
      </c>
      <c r="J1179" s="8">
        <v>229.64699999999999</v>
      </c>
      <c r="K1179" s="8">
        <v>193.01499999999999</v>
      </c>
      <c r="L1179" s="8">
        <v>162.45400000000001</v>
      </c>
      <c r="M1179" s="8">
        <v>134.18600000000001</v>
      </c>
      <c r="N1179" s="8">
        <v>113.48099999999999</v>
      </c>
      <c r="O1179" s="8">
        <v>103.78400000000001</v>
      </c>
      <c r="P1179" s="8">
        <v>92.516999999999996</v>
      </c>
      <c r="Q1179" s="8">
        <v>79.284000000000006</v>
      </c>
      <c r="R1179" s="8">
        <v>67.542000000000002</v>
      </c>
      <c r="S1179" s="8">
        <v>56.676000000000002</v>
      </c>
      <c r="T1179" s="8">
        <v>46.578000000000003</v>
      </c>
      <c r="U1179" s="8">
        <v>36.607999999999997</v>
      </c>
      <c r="V1179" s="8">
        <v>26.818000000000001</v>
      </c>
      <c r="W1179" s="8">
        <v>17.605</v>
      </c>
      <c r="X1179" s="8">
        <v>9.6389999999999993</v>
      </c>
      <c r="Y1179" s="8">
        <v>4.085</v>
      </c>
      <c r="Z1179" s="8">
        <v>1.212</v>
      </c>
      <c r="AA1179" s="8">
        <v>0.23499999999999999</v>
      </c>
      <c r="AB1179" s="8">
        <v>2.7E-2</v>
      </c>
      <c r="AC1179" s="8">
        <v>2E-3</v>
      </c>
    </row>
    <row r="1180" spans="1:29" ht="11.65" x14ac:dyDescent="0.35">
      <c r="A1180" s="12">
        <v>1163</v>
      </c>
      <c r="B1180" s="10" t="s">
        <v>1015</v>
      </c>
      <c r="C1180" s="11" t="s">
        <v>1101</v>
      </c>
      <c r="D1180" s="9"/>
      <c r="E1180" s="9">
        <v>694</v>
      </c>
      <c r="F1180" s="10" t="s">
        <v>1066</v>
      </c>
      <c r="G1180" s="9">
        <v>914</v>
      </c>
      <c r="H1180" s="9">
        <v>1985</v>
      </c>
      <c r="I1180" s="8">
        <v>333.66899999999998</v>
      </c>
      <c r="J1180" s="8">
        <v>262.97500000000002</v>
      </c>
      <c r="K1180" s="8">
        <v>222.4</v>
      </c>
      <c r="L1180" s="8">
        <v>187.93</v>
      </c>
      <c r="M1180" s="8">
        <v>156.386</v>
      </c>
      <c r="N1180" s="8">
        <v>128.137</v>
      </c>
      <c r="O1180" s="8">
        <v>108.15900000000001</v>
      </c>
      <c r="P1180" s="8">
        <v>98.406000000000006</v>
      </c>
      <c r="Q1180" s="8">
        <v>86.912999999999997</v>
      </c>
      <c r="R1180" s="8">
        <v>73.570999999999998</v>
      </c>
      <c r="S1180" s="8">
        <v>61.578000000000003</v>
      </c>
      <c r="T1180" s="8">
        <v>50.399000000000001</v>
      </c>
      <c r="U1180" s="8">
        <v>39.706000000000003</v>
      </c>
      <c r="V1180" s="8">
        <v>29.14</v>
      </c>
      <c r="W1180" s="8">
        <v>19.114999999999998</v>
      </c>
      <c r="X1180" s="8">
        <v>10.584</v>
      </c>
      <c r="Y1180" s="8">
        <v>4.54</v>
      </c>
      <c r="Z1180" s="8">
        <v>1.3779999999999999</v>
      </c>
      <c r="AA1180" s="8">
        <v>0.27</v>
      </c>
      <c r="AB1180" s="8">
        <v>3.3000000000000002E-2</v>
      </c>
      <c r="AC1180" s="8">
        <v>2E-3</v>
      </c>
    </row>
    <row r="1181" spans="1:29" ht="11.65" x14ac:dyDescent="0.35">
      <c r="A1181" s="12">
        <v>1164</v>
      </c>
      <c r="B1181" s="10" t="s">
        <v>1015</v>
      </c>
      <c r="C1181" s="11" t="s">
        <v>1101</v>
      </c>
      <c r="D1181" s="9"/>
      <c r="E1181" s="9">
        <v>694</v>
      </c>
      <c r="F1181" s="10" t="s">
        <v>1066</v>
      </c>
      <c r="G1181" s="9">
        <v>914</v>
      </c>
      <c r="H1181" s="9">
        <v>1990</v>
      </c>
      <c r="I1181" s="8">
        <v>378.03399999999999</v>
      </c>
      <c r="J1181" s="8">
        <v>307.01499999999999</v>
      </c>
      <c r="K1181" s="8">
        <v>258.37900000000002</v>
      </c>
      <c r="L1181" s="8">
        <v>219.57499999999999</v>
      </c>
      <c r="M1181" s="8">
        <v>183.04499999999999</v>
      </c>
      <c r="N1181" s="8">
        <v>150.73500000000001</v>
      </c>
      <c r="O1181" s="8">
        <v>123.114</v>
      </c>
      <c r="P1181" s="8">
        <v>103.27</v>
      </c>
      <c r="Q1181" s="8">
        <v>92.94</v>
      </c>
      <c r="R1181" s="8">
        <v>81.007999999999996</v>
      </c>
      <c r="S1181" s="8">
        <v>67.332999999999998</v>
      </c>
      <c r="T1181" s="8">
        <v>54.933999999999997</v>
      </c>
      <c r="U1181" s="8">
        <v>43.055</v>
      </c>
      <c r="V1181" s="8">
        <v>31.625</v>
      </c>
      <c r="W1181" s="8">
        <v>20.765000000000001</v>
      </c>
      <c r="X1181" s="8">
        <v>11.494999999999999</v>
      </c>
      <c r="Y1181" s="8">
        <v>4.9969999999999999</v>
      </c>
      <c r="Z1181" s="8">
        <v>1.5429999999999999</v>
      </c>
      <c r="AA1181" s="8">
        <v>0.313</v>
      </c>
      <c r="AB1181" s="8">
        <v>3.6999999999999998E-2</v>
      </c>
      <c r="AC1181" s="8">
        <v>3.0000000000000001E-3</v>
      </c>
    </row>
    <row r="1182" spans="1:29" ht="11.65" x14ac:dyDescent="0.35">
      <c r="A1182" s="12">
        <v>1165</v>
      </c>
      <c r="B1182" s="10" t="s">
        <v>1015</v>
      </c>
      <c r="C1182" s="11" t="s">
        <v>1101</v>
      </c>
      <c r="D1182" s="9"/>
      <c r="E1182" s="9">
        <v>694</v>
      </c>
      <c r="F1182" s="10" t="s">
        <v>1066</v>
      </c>
      <c r="G1182" s="9">
        <v>914</v>
      </c>
      <c r="H1182" s="9">
        <v>1995</v>
      </c>
      <c r="I1182" s="8">
        <v>374.55099999999999</v>
      </c>
      <c r="J1182" s="8">
        <v>308.83600000000001</v>
      </c>
      <c r="K1182" s="8">
        <v>266.79199999999997</v>
      </c>
      <c r="L1182" s="8">
        <v>225.358</v>
      </c>
      <c r="M1182" s="8">
        <v>188.143</v>
      </c>
      <c r="N1182" s="8">
        <v>154.42400000000001</v>
      </c>
      <c r="O1182" s="8">
        <v>126.387</v>
      </c>
      <c r="P1182" s="8">
        <v>102.22799999999999</v>
      </c>
      <c r="Q1182" s="8">
        <v>84.585999999999999</v>
      </c>
      <c r="R1182" s="8">
        <v>75.257999999999996</v>
      </c>
      <c r="S1182" s="8">
        <v>64.382999999999996</v>
      </c>
      <c r="T1182" s="8">
        <v>52.107999999999997</v>
      </c>
      <c r="U1182" s="8">
        <v>40.679000000000002</v>
      </c>
      <c r="V1182" s="8">
        <v>29.667999999999999</v>
      </c>
      <c r="W1182" s="8">
        <v>19.483000000000001</v>
      </c>
      <c r="X1182" s="8">
        <v>10.802</v>
      </c>
      <c r="Y1182" s="8">
        <v>4.71</v>
      </c>
      <c r="Z1182" s="8">
        <v>1.4870000000000001</v>
      </c>
      <c r="AA1182" s="8">
        <v>0.31</v>
      </c>
      <c r="AB1182" s="8">
        <v>3.6999999999999998E-2</v>
      </c>
      <c r="AC1182" s="8">
        <v>3.0000000000000001E-3</v>
      </c>
    </row>
    <row r="1183" spans="1:29" ht="11.65" x14ac:dyDescent="0.35">
      <c r="A1183" s="12">
        <v>1166</v>
      </c>
      <c r="B1183" s="10" t="s">
        <v>1015</v>
      </c>
      <c r="C1183" s="11" t="s">
        <v>1101</v>
      </c>
      <c r="D1183" s="9"/>
      <c r="E1183" s="9">
        <v>694</v>
      </c>
      <c r="F1183" s="10" t="s">
        <v>1066</v>
      </c>
      <c r="G1183" s="9">
        <v>914</v>
      </c>
      <c r="H1183" s="9">
        <v>2000</v>
      </c>
      <c r="I1183" s="8">
        <v>391.52199999999999</v>
      </c>
      <c r="J1183" s="8">
        <v>329.80700000000002</v>
      </c>
      <c r="K1183" s="8">
        <v>287.94799999999998</v>
      </c>
      <c r="L1183" s="8">
        <v>249.779</v>
      </c>
      <c r="M1183" s="8">
        <v>206.941</v>
      </c>
      <c r="N1183" s="8">
        <v>169.90199999999999</v>
      </c>
      <c r="O1183" s="8">
        <v>138.42500000000001</v>
      </c>
      <c r="P1183" s="8">
        <v>112.215</v>
      </c>
      <c r="Q1183" s="8">
        <v>89.537999999999997</v>
      </c>
      <c r="R1183" s="8">
        <v>72.971000000000004</v>
      </c>
      <c r="S1183" s="8">
        <v>63.747999999999998</v>
      </c>
      <c r="T1183" s="8">
        <v>53.148000000000003</v>
      </c>
      <c r="U1183" s="8">
        <v>41.125</v>
      </c>
      <c r="V1183" s="8">
        <v>29.86</v>
      </c>
      <c r="W1183" s="8">
        <v>19.465</v>
      </c>
      <c r="X1183" s="8">
        <v>10.802</v>
      </c>
      <c r="Y1183" s="8">
        <v>4.7240000000000002</v>
      </c>
      <c r="Z1183" s="8">
        <v>1.4990000000000001</v>
      </c>
      <c r="AA1183" s="8">
        <v>0.32100000000000001</v>
      </c>
      <c r="AB1183" s="8">
        <v>4.1000000000000002E-2</v>
      </c>
      <c r="AC1183" s="8">
        <v>3.0000000000000001E-3</v>
      </c>
    </row>
    <row r="1184" spans="1:29" ht="11.65" x14ac:dyDescent="0.35">
      <c r="A1184" s="12">
        <v>1167</v>
      </c>
      <c r="B1184" s="10" t="s">
        <v>1015</v>
      </c>
      <c r="C1184" s="11" t="s">
        <v>1101</v>
      </c>
      <c r="D1184" s="9"/>
      <c r="E1184" s="9">
        <v>694</v>
      </c>
      <c r="F1184" s="10" t="s">
        <v>1066</v>
      </c>
      <c r="G1184" s="9">
        <v>914</v>
      </c>
      <c r="H1184" s="9">
        <v>2005</v>
      </c>
      <c r="I1184" s="8">
        <v>477.089</v>
      </c>
      <c r="J1184" s="8">
        <v>400.791</v>
      </c>
      <c r="K1184" s="8">
        <v>353.42200000000003</v>
      </c>
      <c r="L1184" s="8">
        <v>309.32799999999997</v>
      </c>
      <c r="M1184" s="8">
        <v>264.226</v>
      </c>
      <c r="N1184" s="8">
        <v>216.43299999999999</v>
      </c>
      <c r="O1184" s="8">
        <v>176.73699999999999</v>
      </c>
      <c r="P1184" s="8">
        <v>142.86500000000001</v>
      </c>
      <c r="Q1184" s="8">
        <v>114.42700000000001</v>
      </c>
      <c r="R1184" s="8">
        <v>90.048000000000002</v>
      </c>
      <c r="S1184" s="8">
        <v>71.998000000000005</v>
      </c>
      <c r="T1184" s="8">
        <v>61.033999999999999</v>
      </c>
      <c r="U1184" s="8">
        <v>48.62</v>
      </c>
      <c r="V1184" s="8">
        <v>35.040999999999997</v>
      </c>
      <c r="W1184" s="8">
        <v>22.763000000000002</v>
      </c>
      <c r="X1184" s="8">
        <v>12.553000000000001</v>
      </c>
      <c r="Y1184" s="8">
        <v>5.4909999999999997</v>
      </c>
      <c r="Z1184" s="8">
        <v>1.742</v>
      </c>
      <c r="AA1184" s="8">
        <v>0.372</v>
      </c>
      <c r="AB1184" s="8">
        <v>4.9000000000000002E-2</v>
      </c>
      <c r="AC1184" s="8">
        <v>4.0000000000000001E-3</v>
      </c>
    </row>
    <row r="1185" spans="1:29" ht="11.65" x14ac:dyDescent="0.35">
      <c r="A1185" s="12">
        <v>1168</v>
      </c>
      <c r="B1185" s="10" t="s">
        <v>1015</v>
      </c>
      <c r="C1185" s="11" t="s">
        <v>1101</v>
      </c>
      <c r="D1185" s="9"/>
      <c r="E1185" s="9">
        <v>694</v>
      </c>
      <c r="F1185" s="10" t="s">
        <v>1066</v>
      </c>
      <c r="G1185" s="9">
        <v>914</v>
      </c>
      <c r="H1185" s="9">
        <v>2010</v>
      </c>
      <c r="I1185" s="8">
        <v>526.63400000000001</v>
      </c>
      <c r="J1185" s="8">
        <v>455.262</v>
      </c>
      <c r="K1185" s="8">
        <v>396.04899999999998</v>
      </c>
      <c r="L1185" s="8">
        <v>349.54399999999998</v>
      </c>
      <c r="M1185" s="8">
        <v>302.48399999999998</v>
      </c>
      <c r="N1185" s="8">
        <v>256.202</v>
      </c>
      <c r="O1185" s="8">
        <v>209.13399999999999</v>
      </c>
      <c r="P1185" s="8">
        <v>169.678</v>
      </c>
      <c r="Q1185" s="8">
        <v>135.75200000000001</v>
      </c>
      <c r="R1185" s="8">
        <v>107.21</v>
      </c>
      <c r="S1185" s="8">
        <v>82.688999999999993</v>
      </c>
      <c r="T1185" s="8">
        <v>64.275000000000006</v>
      </c>
      <c r="U1185" s="8">
        <v>52.046999999999997</v>
      </c>
      <c r="V1185" s="8">
        <v>38.622</v>
      </c>
      <c r="W1185" s="8">
        <v>24.956</v>
      </c>
      <c r="X1185" s="8">
        <v>13.741</v>
      </c>
      <c r="Y1185" s="8">
        <v>5.976</v>
      </c>
      <c r="Z1185" s="8">
        <v>1.8919999999999999</v>
      </c>
      <c r="AA1185" s="8">
        <v>0.40200000000000002</v>
      </c>
      <c r="AB1185" s="8">
        <v>5.1999999999999998E-2</v>
      </c>
      <c r="AC1185" s="8">
        <v>4.0000000000000001E-3</v>
      </c>
    </row>
    <row r="1186" spans="1:29" ht="11.65" x14ac:dyDescent="0.35">
      <c r="A1186" s="12">
        <v>1169</v>
      </c>
      <c r="B1186" s="10" t="s">
        <v>1015</v>
      </c>
      <c r="C1186" s="11" t="s">
        <v>1101</v>
      </c>
      <c r="D1186" s="9"/>
      <c r="E1186" s="9">
        <v>694</v>
      </c>
      <c r="F1186" s="10" t="s">
        <v>1066</v>
      </c>
      <c r="G1186" s="9">
        <v>914</v>
      </c>
      <c r="H1186" s="9">
        <v>2015</v>
      </c>
      <c r="I1186" s="8">
        <v>551.88</v>
      </c>
      <c r="J1186" s="8">
        <v>504.89400000000001</v>
      </c>
      <c r="K1186" s="8">
        <v>446.52800000000002</v>
      </c>
      <c r="L1186" s="8">
        <v>388.21699999999998</v>
      </c>
      <c r="M1186" s="8">
        <v>339.33199999999999</v>
      </c>
      <c r="N1186" s="8">
        <v>291.62</v>
      </c>
      <c r="O1186" s="8">
        <v>246.18899999999999</v>
      </c>
      <c r="P1186" s="8">
        <v>199.739</v>
      </c>
      <c r="Q1186" s="8">
        <v>160.47399999999999</v>
      </c>
      <c r="R1186" s="8">
        <v>126.601</v>
      </c>
      <c r="S1186" s="8">
        <v>97.935000000000002</v>
      </c>
      <c r="T1186" s="8">
        <v>73.346999999999994</v>
      </c>
      <c r="U1186" s="8">
        <v>54.44</v>
      </c>
      <c r="V1186" s="8">
        <v>41.08</v>
      </c>
      <c r="W1186" s="8">
        <v>27.388000000000002</v>
      </c>
      <c r="X1186" s="8">
        <v>15.053000000000001</v>
      </c>
      <c r="Y1186" s="8">
        <v>6.5629999999999997</v>
      </c>
      <c r="Z1186" s="8">
        <v>2.0720000000000001</v>
      </c>
      <c r="AA1186" s="8">
        <v>0.437</v>
      </c>
      <c r="AB1186" s="8">
        <v>5.6000000000000001E-2</v>
      </c>
      <c r="AC1186" s="8">
        <v>4.0000000000000001E-3</v>
      </c>
    </row>
    <row r="1187" spans="1:29" ht="11.65" x14ac:dyDescent="0.35">
      <c r="A1187" s="12">
        <v>1170</v>
      </c>
      <c r="B1187" s="10" t="s">
        <v>1015</v>
      </c>
      <c r="C1187" s="11" t="s">
        <v>1101</v>
      </c>
      <c r="D1187" s="9"/>
      <c r="E1187" s="9">
        <v>694</v>
      </c>
      <c r="F1187" s="10" t="s">
        <v>1066</v>
      </c>
      <c r="G1187" s="9">
        <v>914</v>
      </c>
      <c r="H1187" s="9">
        <v>2020</v>
      </c>
      <c r="I1187" s="8">
        <v>580.904</v>
      </c>
      <c r="J1187" s="8">
        <v>534.48599999999999</v>
      </c>
      <c r="K1187" s="8">
        <v>496.964</v>
      </c>
      <c r="L1187" s="8">
        <v>438.90800000000002</v>
      </c>
      <c r="M1187" s="8">
        <v>378.24200000000002</v>
      </c>
      <c r="N1187" s="8">
        <v>328.58100000000002</v>
      </c>
      <c r="O1187" s="8">
        <v>281.48099999999999</v>
      </c>
      <c r="P1187" s="8">
        <v>236.24700000000001</v>
      </c>
      <c r="Q1187" s="8">
        <v>189.857</v>
      </c>
      <c r="R1187" s="8">
        <v>150.41900000000001</v>
      </c>
      <c r="S1187" s="8">
        <v>116.214</v>
      </c>
      <c r="T1187" s="8">
        <v>87.251999999999995</v>
      </c>
      <c r="U1187" s="8">
        <v>62.38</v>
      </c>
      <c r="V1187" s="8">
        <v>43.161000000000001</v>
      </c>
      <c r="W1187" s="8">
        <v>29.315000000000001</v>
      </c>
      <c r="X1187" s="8">
        <v>16.678000000000001</v>
      </c>
      <c r="Y1187" s="8">
        <v>7.2830000000000004</v>
      </c>
      <c r="Z1187" s="8">
        <v>2.3119999999999998</v>
      </c>
      <c r="AA1187" s="8">
        <v>0.48799999999999999</v>
      </c>
      <c r="AB1187" s="8">
        <v>6.2E-2</v>
      </c>
      <c r="AC1187" s="8">
        <v>5.0000000000000001E-3</v>
      </c>
    </row>
    <row r="1188" spans="1:29" ht="11.65" x14ac:dyDescent="0.35">
      <c r="A1188" s="12">
        <v>1171</v>
      </c>
      <c r="B1188" s="10" t="s">
        <v>1015</v>
      </c>
      <c r="C1188" s="11" t="s">
        <v>1102</v>
      </c>
      <c r="D1188" s="9"/>
      <c r="E1188" s="9">
        <v>768</v>
      </c>
      <c r="F1188" s="10" t="s">
        <v>1066</v>
      </c>
      <c r="G1188" s="9">
        <v>914</v>
      </c>
      <c r="H1188" s="9">
        <v>1950</v>
      </c>
      <c r="I1188" s="8">
        <v>116.733</v>
      </c>
      <c r="J1188" s="8">
        <v>91.539000000000001</v>
      </c>
      <c r="K1188" s="8">
        <v>77.608000000000004</v>
      </c>
      <c r="L1188" s="8">
        <v>67.667000000000002</v>
      </c>
      <c r="M1188" s="8">
        <v>58.524000000000001</v>
      </c>
      <c r="N1188" s="8">
        <v>50.273000000000003</v>
      </c>
      <c r="O1188" s="8">
        <v>43.661999999999999</v>
      </c>
      <c r="P1188" s="8">
        <v>37.290999999999997</v>
      </c>
      <c r="Q1188" s="8">
        <v>30.91</v>
      </c>
      <c r="R1188" s="8">
        <v>25.474</v>
      </c>
      <c r="S1188" s="8">
        <v>21.491</v>
      </c>
      <c r="T1188" s="8">
        <v>18.684000000000001</v>
      </c>
      <c r="U1188" s="8">
        <v>17.254000000000001</v>
      </c>
      <c r="V1188" s="8">
        <v>13.707000000000001</v>
      </c>
      <c r="W1188" s="8">
        <v>9.234</v>
      </c>
      <c r="X1188" s="8">
        <v>5.1890000000000001</v>
      </c>
      <c r="Y1188" s="8">
        <v>2.1019999999999999</v>
      </c>
      <c r="Z1188" s="8">
        <v>0.38300000000000001</v>
      </c>
      <c r="AA1188" s="8">
        <v>3.3000000000000002E-2</v>
      </c>
      <c r="AB1188" s="8">
        <v>2E-3</v>
      </c>
      <c r="AC1188" s="8">
        <v>0</v>
      </c>
    </row>
    <row r="1189" spans="1:29" ht="11.65" x14ac:dyDescent="0.35">
      <c r="A1189" s="12">
        <v>1172</v>
      </c>
      <c r="B1189" s="10" t="s">
        <v>1015</v>
      </c>
      <c r="C1189" s="11" t="s">
        <v>1102</v>
      </c>
      <c r="D1189" s="9"/>
      <c r="E1189" s="9">
        <v>768</v>
      </c>
      <c r="F1189" s="10" t="s">
        <v>1066</v>
      </c>
      <c r="G1189" s="9">
        <v>914</v>
      </c>
      <c r="H1189" s="9">
        <v>1955</v>
      </c>
      <c r="I1189" s="8">
        <v>125.946</v>
      </c>
      <c r="J1189" s="8">
        <v>98.884</v>
      </c>
      <c r="K1189" s="8">
        <v>85.081000000000003</v>
      </c>
      <c r="L1189" s="8">
        <v>72.713999999999999</v>
      </c>
      <c r="M1189" s="8">
        <v>62.21</v>
      </c>
      <c r="N1189" s="8">
        <v>53.2</v>
      </c>
      <c r="O1189" s="8">
        <v>45.761000000000003</v>
      </c>
      <c r="P1189" s="8">
        <v>39.625</v>
      </c>
      <c r="Q1189" s="8">
        <v>33.497999999999998</v>
      </c>
      <c r="R1189" s="8">
        <v>27.366</v>
      </c>
      <c r="S1189" s="8">
        <v>22.079000000000001</v>
      </c>
      <c r="T1189" s="8">
        <v>17.988</v>
      </c>
      <c r="U1189" s="8">
        <v>14.702</v>
      </c>
      <c r="V1189" s="8">
        <v>12.298</v>
      </c>
      <c r="W1189" s="8">
        <v>8.3010000000000002</v>
      </c>
      <c r="X1189" s="8">
        <v>4.2690000000000001</v>
      </c>
      <c r="Y1189" s="8">
        <v>1.5920000000000001</v>
      </c>
      <c r="Z1189" s="8">
        <v>0.377</v>
      </c>
      <c r="AA1189" s="8">
        <v>3.4000000000000002E-2</v>
      </c>
      <c r="AB1189" s="8">
        <v>2E-3</v>
      </c>
      <c r="AC1189" s="8">
        <v>0</v>
      </c>
    </row>
    <row r="1190" spans="1:29" ht="11.65" x14ac:dyDescent="0.35">
      <c r="A1190" s="12">
        <v>1173</v>
      </c>
      <c r="B1190" s="10" t="s">
        <v>1015</v>
      </c>
      <c r="C1190" s="11" t="s">
        <v>1102</v>
      </c>
      <c r="D1190" s="9"/>
      <c r="E1190" s="9">
        <v>768</v>
      </c>
      <c r="F1190" s="10" t="s">
        <v>1066</v>
      </c>
      <c r="G1190" s="9">
        <v>914</v>
      </c>
      <c r="H1190" s="9">
        <v>1960</v>
      </c>
      <c r="I1190" s="8">
        <v>138.22399999999999</v>
      </c>
      <c r="J1190" s="8">
        <v>107.968</v>
      </c>
      <c r="K1190" s="8">
        <v>91.986000000000004</v>
      </c>
      <c r="L1190" s="8">
        <v>79.706999999999994</v>
      </c>
      <c r="M1190" s="8">
        <v>66.989000000000004</v>
      </c>
      <c r="N1190" s="8">
        <v>56.765999999999998</v>
      </c>
      <c r="O1190" s="8">
        <v>48.593000000000004</v>
      </c>
      <c r="P1190" s="8">
        <v>41.662999999999997</v>
      </c>
      <c r="Q1190" s="8">
        <v>35.750999999999998</v>
      </c>
      <c r="R1190" s="8">
        <v>29.832000000000001</v>
      </c>
      <c r="S1190" s="8">
        <v>23.893000000000001</v>
      </c>
      <c r="T1190" s="8">
        <v>18.661999999999999</v>
      </c>
      <c r="U1190" s="8">
        <v>14.382</v>
      </c>
      <c r="V1190" s="8">
        <v>10.727</v>
      </c>
      <c r="W1190" s="8">
        <v>7.7530000000000001</v>
      </c>
      <c r="X1190" s="8">
        <v>4.0880000000000001</v>
      </c>
      <c r="Y1190" s="8">
        <v>1.4350000000000001</v>
      </c>
      <c r="Z1190" s="8">
        <v>0.32300000000000001</v>
      </c>
      <c r="AA1190" s="8">
        <v>3.9E-2</v>
      </c>
      <c r="AB1190" s="8">
        <v>2E-3</v>
      </c>
      <c r="AC1190" s="8">
        <v>0</v>
      </c>
    </row>
    <row r="1191" spans="1:29" ht="11.65" x14ac:dyDescent="0.35">
      <c r="A1191" s="12">
        <v>1174</v>
      </c>
      <c r="B1191" s="10" t="s">
        <v>1015</v>
      </c>
      <c r="C1191" s="11" t="s">
        <v>1102</v>
      </c>
      <c r="D1191" s="9"/>
      <c r="E1191" s="9">
        <v>768</v>
      </c>
      <c r="F1191" s="10" t="s">
        <v>1066</v>
      </c>
      <c r="G1191" s="9">
        <v>914</v>
      </c>
      <c r="H1191" s="9">
        <v>1965</v>
      </c>
      <c r="I1191" s="8">
        <v>154.07400000000001</v>
      </c>
      <c r="J1191" s="8">
        <v>118.916</v>
      </c>
      <c r="K1191" s="8">
        <v>99.933000000000007</v>
      </c>
      <c r="L1191" s="8">
        <v>85.629000000000005</v>
      </c>
      <c r="M1191" s="8">
        <v>73.168000000000006</v>
      </c>
      <c r="N1191" s="8">
        <v>60.957999999999998</v>
      </c>
      <c r="O1191" s="8">
        <v>51.689</v>
      </c>
      <c r="P1191" s="8">
        <v>44.109000000000002</v>
      </c>
      <c r="Q1191" s="8">
        <v>37.499000000000002</v>
      </c>
      <c r="R1191" s="8">
        <v>31.798999999999999</v>
      </c>
      <c r="S1191" s="8">
        <v>26.053999999999998</v>
      </c>
      <c r="T1191" s="8">
        <v>20.248999999999999</v>
      </c>
      <c r="U1191" s="8">
        <v>15.023999999999999</v>
      </c>
      <c r="V1191" s="8">
        <v>10.651</v>
      </c>
      <c r="W1191" s="8">
        <v>6.9290000000000003</v>
      </c>
      <c r="X1191" s="8">
        <v>3.99</v>
      </c>
      <c r="Y1191" s="8">
        <v>1.468</v>
      </c>
      <c r="Z1191" s="8">
        <v>0.318</v>
      </c>
      <c r="AA1191" s="8">
        <v>3.7999999999999999E-2</v>
      </c>
      <c r="AB1191" s="8">
        <v>2E-3</v>
      </c>
      <c r="AC1191" s="8">
        <v>0</v>
      </c>
    </row>
    <row r="1192" spans="1:29" ht="11.65" x14ac:dyDescent="0.35">
      <c r="A1192" s="12">
        <v>1175</v>
      </c>
      <c r="B1192" s="10" t="s">
        <v>1015</v>
      </c>
      <c r="C1192" s="11" t="s">
        <v>1102</v>
      </c>
      <c r="D1192" s="9"/>
      <c r="E1192" s="9">
        <v>768</v>
      </c>
      <c r="F1192" s="10" t="s">
        <v>1066</v>
      </c>
      <c r="G1192" s="9">
        <v>914</v>
      </c>
      <c r="H1192" s="9">
        <v>1970</v>
      </c>
      <c r="I1192" s="8">
        <v>195.74299999999999</v>
      </c>
      <c r="J1192" s="8">
        <v>151.399</v>
      </c>
      <c r="K1192" s="8">
        <v>124.836</v>
      </c>
      <c r="L1192" s="8">
        <v>105.34699999999999</v>
      </c>
      <c r="M1192" s="8">
        <v>89.138999999999996</v>
      </c>
      <c r="N1192" s="8">
        <v>75.584000000000003</v>
      </c>
      <c r="O1192" s="8">
        <v>63.021999999999998</v>
      </c>
      <c r="P1192" s="8">
        <v>53.256999999999998</v>
      </c>
      <c r="Q1192" s="8">
        <v>45.093000000000004</v>
      </c>
      <c r="R1192" s="8">
        <v>37.905000000000001</v>
      </c>
      <c r="S1192" s="8">
        <v>31.582999999999998</v>
      </c>
      <c r="T1192" s="8">
        <v>25.163</v>
      </c>
      <c r="U1192" s="8">
        <v>18.661999999999999</v>
      </c>
      <c r="V1192" s="8">
        <v>12.83</v>
      </c>
      <c r="W1192" s="8">
        <v>8.0129999999999999</v>
      </c>
      <c r="X1192" s="8">
        <v>4.2050000000000001</v>
      </c>
      <c r="Y1192" s="8">
        <v>1.7390000000000001</v>
      </c>
      <c r="Z1192" s="8">
        <v>0.38100000000000001</v>
      </c>
      <c r="AA1192" s="8">
        <v>4.1000000000000002E-2</v>
      </c>
      <c r="AB1192" s="8">
        <v>3.0000000000000001E-3</v>
      </c>
      <c r="AC1192" s="8">
        <v>0</v>
      </c>
    </row>
    <row r="1193" spans="1:29" ht="11.65" x14ac:dyDescent="0.35">
      <c r="A1193" s="12">
        <v>1176</v>
      </c>
      <c r="B1193" s="10" t="s">
        <v>1015</v>
      </c>
      <c r="C1193" s="11" t="s">
        <v>1102</v>
      </c>
      <c r="D1193" s="9"/>
      <c r="E1193" s="9">
        <v>768</v>
      </c>
      <c r="F1193" s="10" t="s">
        <v>1066</v>
      </c>
      <c r="G1193" s="9">
        <v>914</v>
      </c>
      <c r="H1193" s="9">
        <v>1975</v>
      </c>
      <c r="I1193" s="8">
        <v>227.71899999999999</v>
      </c>
      <c r="J1193" s="8">
        <v>176.57900000000001</v>
      </c>
      <c r="K1193" s="8">
        <v>144.994</v>
      </c>
      <c r="L1193" s="8">
        <v>119.935</v>
      </c>
      <c r="M1193" s="8">
        <v>100.139</v>
      </c>
      <c r="N1193" s="8">
        <v>84.213999999999999</v>
      </c>
      <c r="O1193" s="8">
        <v>71.397999999999996</v>
      </c>
      <c r="P1193" s="8">
        <v>59.323</v>
      </c>
      <c r="Q1193" s="8">
        <v>49.777999999999999</v>
      </c>
      <c r="R1193" s="8">
        <v>41.695</v>
      </c>
      <c r="S1193" s="8">
        <v>34.481999999999999</v>
      </c>
      <c r="T1193" s="8">
        <v>27.984999999999999</v>
      </c>
      <c r="U1193" s="8">
        <v>21.332999999999998</v>
      </c>
      <c r="V1193" s="8">
        <v>14.726000000000001</v>
      </c>
      <c r="W1193" s="8">
        <v>8.984</v>
      </c>
      <c r="X1193" s="8">
        <v>4.569</v>
      </c>
      <c r="Y1193" s="8">
        <v>1.7290000000000001</v>
      </c>
      <c r="Z1193" s="8">
        <v>0.44900000000000001</v>
      </c>
      <c r="AA1193" s="8">
        <v>5.2999999999999999E-2</v>
      </c>
      <c r="AB1193" s="8">
        <v>3.0000000000000001E-3</v>
      </c>
      <c r="AC1193" s="8">
        <v>0</v>
      </c>
    </row>
    <row r="1194" spans="1:29" ht="11.65" x14ac:dyDescent="0.35">
      <c r="A1194" s="12">
        <v>1177</v>
      </c>
      <c r="B1194" s="10" t="s">
        <v>1015</v>
      </c>
      <c r="C1194" s="11" t="s">
        <v>1102</v>
      </c>
      <c r="D1194" s="9"/>
      <c r="E1194" s="9">
        <v>768</v>
      </c>
      <c r="F1194" s="10" t="s">
        <v>1066</v>
      </c>
      <c r="G1194" s="9">
        <v>914</v>
      </c>
      <c r="H1194" s="9">
        <v>1980</v>
      </c>
      <c r="I1194" s="8">
        <v>258.38299999999998</v>
      </c>
      <c r="J1194" s="8">
        <v>204.14500000000001</v>
      </c>
      <c r="K1194" s="8">
        <v>166.78899999999999</v>
      </c>
      <c r="L1194" s="8">
        <v>137.29499999999999</v>
      </c>
      <c r="M1194" s="8">
        <v>112.521</v>
      </c>
      <c r="N1194" s="8">
        <v>93.463999999999999</v>
      </c>
      <c r="O1194" s="8">
        <v>78.561000000000007</v>
      </c>
      <c r="P1194" s="8">
        <v>66.400000000000006</v>
      </c>
      <c r="Q1194" s="8">
        <v>54.786000000000001</v>
      </c>
      <c r="R1194" s="8">
        <v>45.503999999999998</v>
      </c>
      <c r="S1194" s="8">
        <v>37.524999999999999</v>
      </c>
      <c r="T1194" s="8">
        <v>30.257999999999999</v>
      </c>
      <c r="U1194" s="8">
        <v>23.562000000000001</v>
      </c>
      <c r="V1194" s="8">
        <v>16.795000000000002</v>
      </c>
      <c r="W1194" s="8">
        <v>10.351000000000001</v>
      </c>
      <c r="X1194" s="8">
        <v>5.1849999999999996</v>
      </c>
      <c r="Y1194" s="8">
        <v>1.9179999999999999</v>
      </c>
      <c r="Z1194" s="8">
        <v>0.46200000000000002</v>
      </c>
      <c r="AA1194" s="8">
        <v>6.6000000000000003E-2</v>
      </c>
      <c r="AB1194" s="8">
        <v>4.0000000000000001E-3</v>
      </c>
      <c r="AC1194" s="8">
        <v>0</v>
      </c>
    </row>
    <row r="1195" spans="1:29" ht="11.65" x14ac:dyDescent="0.35">
      <c r="A1195" s="12">
        <v>1178</v>
      </c>
      <c r="B1195" s="10" t="s">
        <v>1015</v>
      </c>
      <c r="C1195" s="11" t="s">
        <v>1102</v>
      </c>
      <c r="D1195" s="9"/>
      <c r="E1195" s="9">
        <v>768</v>
      </c>
      <c r="F1195" s="10" t="s">
        <v>1066</v>
      </c>
      <c r="G1195" s="9">
        <v>914</v>
      </c>
      <c r="H1195" s="9">
        <v>1985</v>
      </c>
      <c r="I1195" s="8">
        <v>303.39999999999998</v>
      </c>
      <c r="J1195" s="8">
        <v>247.30099999999999</v>
      </c>
      <c r="K1195" s="8">
        <v>204.536</v>
      </c>
      <c r="L1195" s="8">
        <v>167.42699999999999</v>
      </c>
      <c r="M1195" s="8">
        <v>136.74600000000001</v>
      </c>
      <c r="N1195" s="8">
        <v>111.572</v>
      </c>
      <c r="O1195" s="8">
        <v>92.596000000000004</v>
      </c>
      <c r="P1195" s="8">
        <v>77.578999999999994</v>
      </c>
      <c r="Q1195" s="8">
        <v>65.156999999999996</v>
      </c>
      <c r="R1195" s="8">
        <v>53.243000000000002</v>
      </c>
      <c r="S1195" s="8">
        <v>43.558999999999997</v>
      </c>
      <c r="T1195" s="8">
        <v>35.064999999999998</v>
      </c>
      <c r="U1195" s="8">
        <v>27.189</v>
      </c>
      <c r="V1195" s="8">
        <v>19.873999999999999</v>
      </c>
      <c r="W1195" s="8">
        <v>12.725</v>
      </c>
      <c r="X1195" s="8">
        <v>6.4939999999999998</v>
      </c>
      <c r="Y1195" s="8">
        <v>2.4049999999999998</v>
      </c>
      <c r="Z1195" s="8">
        <v>0.55800000000000005</v>
      </c>
      <c r="AA1195" s="8">
        <v>7.0000000000000007E-2</v>
      </c>
      <c r="AB1195" s="8">
        <v>5.0000000000000001E-3</v>
      </c>
      <c r="AC1195" s="8">
        <v>0</v>
      </c>
    </row>
    <row r="1196" spans="1:29" ht="11.65" x14ac:dyDescent="0.35">
      <c r="A1196" s="12">
        <v>1179</v>
      </c>
      <c r="B1196" s="10" t="s">
        <v>1015</v>
      </c>
      <c r="C1196" s="11" t="s">
        <v>1102</v>
      </c>
      <c r="D1196" s="9"/>
      <c r="E1196" s="9">
        <v>768</v>
      </c>
      <c r="F1196" s="10" t="s">
        <v>1066</v>
      </c>
      <c r="G1196" s="9">
        <v>914</v>
      </c>
      <c r="H1196" s="9">
        <v>1990</v>
      </c>
      <c r="I1196" s="8">
        <v>335.48599999999999</v>
      </c>
      <c r="J1196" s="8">
        <v>287.41199999999998</v>
      </c>
      <c r="K1196" s="8">
        <v>243.94399999999999</v>
      </c>
      <c r="L1196" s="8">
        <v>201.28899999999999</v>
      </c>
      <c r="M1196" s="8">
        <v>162.12899999999999</v>
      </c>
      <c r="N1196" s="8">
        <v>130.874</v>
      </c>
      <c r="O1196" s="8">
        <v>106.544</v>
      </c>
      <c r="P1196" s="8">
        <v>88.39</v>
      </c>
      <c r="Q1196" s="8">
        <v>73.897999999999996</v>
      </c>
      <c r="R1196" s="8">
        <v>61.691000000000003</v>
      </c>
      <c r="S1196" s="8">
        <v>49.808</v>
      </c>
      <c r="T1196" s="8">
        <v>39.896999999999998</v>
      </c>
      <c r="U1196" s="8">
        <v>30.988</v>
      </c>
      <c r="V1196" s="8">
        <v>22.652999999999999</v>
      </c>
      <c r="W1196" s="8">
        <v>14.95</v>
      </c>
      <c r="X1196" s="8">
        <v>7.9720000000000004</v>
      </c>
      <c r="Y1196" s="8">
        <v>3.01</v>
      </c>
      <c r="Z1196" s="8">
        <v>0.71099999999999997</v>
      </c>
      <c r="AA1196" s="8">
        <v>8.7999999999999995E-2</v>
      </c>
      <c r="AB1196" s="8">
        <v>6.0000000000000001E-3</v>
      </c>
      <c r="AC1196" s="8">
        <v>0</v>
      </c>
    </row>
    <row r="1197" spans="1:29" ht="11.65" x14ac:dyDescent="0.35">
      <c r="A1197" s="12">
        <v>1180</v>
      </c>
      <c r="B1197" s="10" t="s">
        <v>1015</v>
      </c>
      <c r="C1197" s="11" t="s">
        <v>1102</v>
      </c>
      <c r="D1197" s="9"/>
      <c r="E1197" s="9">
        <v>768</v>
      </c>
      <c r="F1197" s="10" t="s">
        <v>1066</v>
      </c>
      <c r="G1197" s="9">
        <v>914</v>
      </c>
      <c r="H1197" s="9">
        <v>1995</v>
      </c>
      <c r="I1197" s="8">
        <v>356.77100000000002</v>
      </c>
      <c r="J1197" s="8">
        <v>317.12700000000001</v>
      </c>
      <c r="K1197" s="8">
        <v>281.98500000000001</v>
      </c>
      <c r="L1197" s="8">
        <v>235.27799999999999</v>
      </c>
      <c r="M1197" s="8">
        <v>186.92500000000001</v>
      </c>
      <c r="N1197" s="8">
        <v>146.90299999999999</v>
      </c>
      <c r="O1197" s="8">
        <v>117.831</v>
      </c>
      <c r="P1197" s="8">
        <v>96.477999999999994</v>
      </c>
      <c r="Q1197" s="8">
        <v>80.650000000000006</v>
      </c>
      <c r="R1197" s="8">
        <v>67.638000000000005</v>
      </c>
      <c r="S1197" s="8">
        <v>56.223999999999997</v>
      </c>
      <c r="T1197" s="8">
        <v>44.677</v>
      </c>
      <c r="U1197" s="8">
        <v>34.688000000000002</v>
      </c>
      <c r="V1197" s="8">
        <v>25.501000000000001</v>
      </c>
      <c r="W1197" s="8">
        <v>16.878</v>
      </c>
      <c r="X1197" s="8">
        <v>9.2840000000000007</v>
      </c>
      <c r="Y1197" s="8">
        <v>3.649</v>
      </c>
      <c r="Z1197" s="8">
        <v>0.89</v>
      </c>
      <c r="AA1197" s="8">
        <v>0.115</v>
      </c>
      <c r="AB1197" s="8">
        <v>8.0000000000000002E-3</v>
      </c>
      <c r="AC1197" s="8">
        <v>0</v>
      </c>
    </row>
    <row r="1198" spans="1:29" ht="11.65" x14ac:dyDescent="0.35">
      <c r="A1198" s="12">
        <v>1181</v>
      </c>
      <c r="B1198" s="10" t="s">
        <v>1015</v>
      </c>
      <c r="C1198" s="11" t="s">
        <v>1102</v>
      </c>
      <c r="D1198" s="9"/>
      <c r="E1198" s="9">
        <v>768</v>
      </c>
      <c r="F1198" s="10" t="s">
        <v>1066</v>
      </c>
      <c r="G1198" s="9">
        <v>914</v>
      </c>
      <c r="H1198" s="9">
        <v>2000</v>
      </c>
      <c r="I1198" s="8">
        <v>409.11099999999999</v>
      </c>
      <c r="J1198" s="8">
        <v>342.33100000000002</v>
      </c>
      <c r="K1198" s="8">
        <v>312.81900000000002</v>
      </c>
      <c r="L1198" s="8">
        <v>280.36200000000002</v>
      </c>
      <c r="M1198" s="8">
        <v>235.636</v>
      </c>
      <c r="N1198" s="8">
        <v>188.95099999999999</v>
      </c>
      <c r="O1198" s="8">
        <v>148.941</v>
      </c>
      <c r="P1198" s="8">
        <v>118.625</v>
      </c>
      <c r="Q1198" s="8">
        <v>95.894999999999996</v>
      </c>
      <c r="R1198" s="8">
        <v>78.840999999999994</v>
      </c>
      <c r="S1198" s="8">
        <v>64.754000000000005</v>
      </c>
      <c r="T1198" s="8">
        <v>52.283000000000001</v>
      </c>
      <c r="U1198" s="8">
        <v>39.774000000000001</v>
      </c>
      <c r="V1198" s="8">
        <v>28.853000000000002</v>
      </c>
      <c r="W1198" s="8">
        <v>18.96</v>
      </c>
      <c r="X1198" s="8">
        <v>10.34</v>
      </c>
      <c r="Y1198" s="8">
        <v>4.1900000000000004</v>
      </c>
      <c r="Z1198" s="8">
        <v>1.03</v>
      </c>
      <c r="AA1198" s="8">
        <v>0.13200000000000001</v>
      </c>
      <c r="AB1198" s="8">
        <v>8.9999999999999993E-3</v>
      </c>
      <c r="AC1198" s="8">
        <v>0</v>
      </c>
    </row>
    <row r="1199" spans="1:29" ht="11.65" x14ac:dyDescent="0.35">
      <c r="A1199" s="12">
        <v>1182</v>
      </c>
      <c r="B1199" s="10" t="s">
        <v>1015</v>
      </c>
      <c r="C1199" s="11" t="s">
        <v>1102</v>
      </c>
      <c r="D1199" s="9"/>
      <c r="E1199" s="9">
        <v>768</v>
      </c>
      <c r="F1199" s="10" t="s">
        <v>1066</v>
      </c>
      <c r="G1199" s="9">
        <v>914</v>
      </c>
      <c r="H1199" s="9">
        <v>2005</v>
      </c>
      <c r="I1199" s="8">
        <v>473.46899999999999</v>
      </c>
      <c r="J1199" s="8">
        <v>391.27100000000002</v>
      </c>
      <c r="K1199" s="8">
        <v>335.96</v>
      </c>
      <c r="L1199" s="8">
        <v>306.19900000000001</v>
      </c>
      <c r="M1199" s="8">
        <v>270.048</v>
      </c>
      <c r="N1199" s="8">
        <v>225.38399999999999</v>
      </c>
      <c r="O1199" s="8">
        <v>180.887</v>
      </c>
      <c r="P1199" s="8">
        <v>142.285</v>
      </c>
      <c r="Q1199" s="8">
        <v>112.758</v>
      </c>
      <c r="R1199" s="8">
        <v>90.372</v>
      </c>
      <c r="S1199" s="8">
        <v>73.263000000000005</v>
      </c>
      <c r="T1199" s="8">
        <v>58.747</v>
      </c>
      <c r="U1199" s="8">
        <v>45.536999999999999</v>
      </c>
      <c r="V1199" s="8">
        <v>32.401000000000003</v>
      </c>
      <c r="W1199" s="8">
        <v>20.991</v>
      </c>
      <c r="X1199" s="8">
        <v>11.321</v>
      </c>
      <c r="Y1199" s="8">
        <v>4.5010000000000003</v>
      </c>
      <c r="Z1199" s="8">
        <v>1.1459999999999999</v>
      </c>
      <c r="AA1199" s="8">
        <v>0.15</v>
      </c>
      <c r="AB1199" s="8">
        <v>8.9999999999999993E-3</v>
      </c>
      <c r="AC1199" s="8">
        <v>0</v>
      </c>
    </row>
    <row r="1200" spans="1:29" ht="11.65" x14ac:dyDescent="0.35">
      <c r="A1200" s="12">
        <v>1183</v>
      </c>
      <c r="B1200" s="10" t="s">
        <v>1015</v>
      </c>
      <c r="C1200" s="11" t="s">
        <v>1102</v>
      </c>
      <c r="D1200" s="9"/>
      <c r="E1200" s="9">
        <v>768</v>
      </c>
      <c r="F1200" s="10" t="s">
        <v>1066</v>
      </c>
      <c r="G1200" s="9">
        <v>914</v>
      </c>
      <c r="H1200" s="9">
        <v>2010</v>
      </c>
      <c r="I1200" s="8">
        <v>533.65599999999995</v>
      </c>
      <c r="J1200" s="8">
        <v>457.88499999999999</v>
      </c>
      <c r="K1200" s="8">
        <v>384.786</v>
      </c>
      <c r="L1200" s="8">
        <v>330.56799999999998</v>
      </c>
      <c r="M1200" s="8">
        <v>298.10700000000003</v>
      </c>
      <c r="N1200" s="8">
        <v>261.38400000000001</v>
      </c>
      <c r="O1200" s="8">
        <v>218.071</v>
      </c>
      <c r="P1200" s="8">
        <v>174.53200000000001</v>
      </c>
      <c r="Q1200" s="8">
        <v>136.44800000000001</v>
      </c>
      <c r="R1200" s="8">
        <v>107.081</v>
      </c>
      <c r="S1200" s="8">
        <v>84.536000000000001</v>
      </c>
      <c r="T1200" s="8">
        <v>66.866</v>
      </c>
      <c r="U1200" s="8">
        <v>51.475999999999999</v>
      </c>
      <c r="V1200" s="8">
        <v>37.353999999999999</v>
      </c>
      <c r="W1200" s="8">
        <v>23.774000000000001</v>
      </c>
      <c r="X1200" s="8">
        <v>12.675000000000001</v>
      </c>
      <c r="Y1200" s="8">
        <v>5.0030000000000001</v>
      </c>
      <c r="Z1200" s="8">
        <v>1.252</v>
      </c>
      <c r="AA1200" s="8">
        <v>0.17</v>
      </c>
      <c r="AB1200" s="8">
        <v>8.9999999999999993E-3</v>
      </c>
      <c r="AC1200" s="8">
        <v>0</v>
      </c>
    </row>
    <row r="1201" spans="1:29" ht="11.65" x14ac:dyDescent="0.35">
      <c r="A1201" s="12">
        <v>1184</v>
      </c>
      <c r="B1201" s="10" t="s">
        <v>1015</v>
      </c>
      <c r="C1201" s="11" t="s">
        <v>1102</v>
      </c>
      <c r="D1201" s="9"/>
      <c r="E1201" s="9">
        <v>768</v>
      </c>
      <c r="F1201" s="10" t="s">
        <v>1066</v>
      </c>
      <c r="G1201" s="9">
        <v>914</v>
      </c>
      <c r="H1201" s="9">
        <v>2015</v>
      </c>
      <c r="I1201" s="8">
        <v>575.17200000000003</v>
      </c>
      <c r="J1201" s="8">
        <v>519.673</v>
      </c>
      <c r="K1201" s="8">
        <v>452.20600000000002</v>
      </c>
      <c r="L1201" s="8">
        <v>380.02100000000002</v>
      </c>
      <c r="M1201" s="8">
        <v>323.654</v>
      </c>
      <c r="N1201" s="8">
        <v>290.37200000000001</v>
      </c>
      <c r="O1201" s="8">
        <v>254.37700000000001</v>
      </c>
      <c r="P1201" s="8">
        <v>211.666</v>
      </c>
      <c r="Q1201" s="8">
        <v>168.51599999999999</v>
      </c>
      <c r="R1201" s="8">
        <v>130.57300000000001</v>
      </c>
      <c r="S1201" s="8">
        <v>101.03700000000001</v>
      </c>
      <c r="T1201" s="8">
        <v>77.971000000000004</v>
      </c>
      <c r="U1201" s="8">
        <v>59.441000000000003</v>
      </c>
      <c r="V1201" s="8">
        <v>43.115000000000002</v>
      </c>
      <c r="W1201" s="8">
        <v>28.245000000000001</v>
      </c>
      <c r="X1201" s="8">
        <v>14.978999999999999</v>
      </c>
      <c r="Y1201" s="8">
        <v>5.931</v>
      </c>
      <c r="Z1201" s="8">
        <v>1.4930000000000001</v>
      </c>
      <c r="AA1201" s="8">
        <v>0.20200000000000001</v>
      </c>
      <c r="AB1201" s="8">
        <v>1.4E-2</v>
      </c>
      <c r="AC1201" s="8">
        <v>0</v>
      </c>
    </row>
    <row r="1202" spans="1:29" ht="11.65" x14ac:dyDescent="0.35">
      <c r="A1202" s="12">
        <v>1185</v>
      </c>
      <c r="B1202" s="10" t="s">
        <v>1015</v>
      </c>
      <c r="C1202" s="11" t="s">
        <v>1102</v>
      </c>
      <c r="D1202" s="9"/>
      <c r="E1202" s="9">
        <v>768</v>
      </c>
      <c r="F1202" s="10" t="s">
        <v>1066</v>
      </c>
      <c r="G1202" s="9">
        <v>914</v>
      </c>
      <c r="H1202" s="9">
        <v>2020</v>
      </c>
      <c r="I1202" s="8">
        <v>611.67399999999998</v>
      </c>
      <c r="J1202" s="8">
        <v>561.62099999999998</v>
      </c>
      <c r="K1202" s="8">
        <v>513.86500000000001</v>
      </c>
      <c r="L1202" s="8">
        <v>447.28800000000001</v>
      </c>
      <c r="M1202" s="8">
        <v>373.14100000000002</v>
      </c>
      <c r="N1202" s="8">
        <v>316.36500000000001</v>
      </c>
      <c r="O1202" s="8">
        <v>283.60399999999998</v>
      </c>
      <c r="P1202" s="8">
        <v>247.80500000000001</v>
      </c>
      <c r="Q1202" s="8">
        <v>205.16200000000001</v>
      </c>
      <c r="R1202" s="8">
        <v>161.90700000000001</v>
      </c>
      <c r="S1202" s="8">
        <v>123.729</v>
      </c>
      <c r="T1202" s="8">
        <v>93.632000000000005</v>
      </c>
      <c r="U1202" s="8">
        <v>69.662000000000006</v>
      </c>
      <c r="V1202" s="8">
        <v>50.085000000000001</v>
      </c>
      <c r="W1202" s="8">
        <v>32.819000000000003</v>
      </c>
      <c r="X1202" s="8">
        <v>17.933</v>
      </c>
      <c r="Y1202" s="8">
        <v>7.0679999999999996</v>
      </c>
      <c r="Z1202" s="8">
        <v>1.788</v>
      </c>
      <c r="AA1202" s="8">
        <v>0.24</v>
      </c>
      <c r="AB1202" s="8">
        <v>1.6E-2</v>
      </c>
      <c r="AC1202" s="8">
        <v>0</v>
      </c>
    </row>
    <row r="1203" spans="1:29" ht="11.65" x14ac:dyDescent="0.35">
      <c r="A1203" s="28">
        <v>1186</v>
      </c>
      <c r="B1203" s="26" t="s">
        <v>1015</v>
      </c>
      <c r="C1203" s="27" t="s">
        <v>1103</v>
      </c>
      <c r="D1203" s="25"/>
      <c r="E1203" s="25">
        <v>1833</v>
      </c>
      <c r="F1203" s="26" t="s">
        <v>1063</v>
      </c>
      <c r="G1203" s="25">
        <v>1828</v>
      </c>
      <c r="H1203" s="25">
        <v>1950</v>
      </c>
      <c r="I1203" s="24">
        <v>8156.9340000000002</v>
      </c>
      <c r="J1203" s="24">
        <v>6095.3310000000001</v>
      </c>
      <c r="K1203" s="24">
        <v>5746.0029999999997</v>
      </c>
      <c r="L1203" s="24">
        <v>5406.9840000000004</v>
      </c>
      <c r="M1203" s="24">
        <v>4671.72</v>
      </c>
      <c r="N1203" s="24">
        <v>3711.0639999999999</v>
      </c>
      <c r="O1203" s="24">
        <v>2988.9050000000002</v>
      </c>
      <c r="P1203" s="24">
        <v>2895.819</v>
      </c>
      <c r="Q1203" s="24">
        <v>2522.6289999999999</v>
      </c>
      <c r="R1203" s="24">
        <v>2170.8449999999998</v>
      </c>
      <c r="S1203" s="24">
        <v>1800.5160000000001</v>
      </c>
      <c r="T1203" s="24">
        <v>1336.3119999999999</v>
      </c>
      <c r="U1203" s="24">
        <v>1096.338</v>
      </c>
      <c r="V1203" s="24">
        <v>770.54600000000005</v>
      </c>
      <c r="W1203" s="24">
        <v>519.73500000000001</v>
      </c>
      <c r="X1203" s="24">
        <v>263.892</v>
      </c>
      <c r="Y1203" s="24">
        <v>109.279</v>
      </c>
      <c r="Z1203" s="24">
        <v>35.514000000000003</v>
      </c>
      <c r="AA1203" s="24">
        <v>10.143000000000001</v>
      </c>
      <c r="AB1203" s="24">
        <v>1.4179999999999999</v>
      </c>
      <c r="AC1203" s="24">
        <v>0.12</v>
      </c>
    </row>
    <row r="1204" spans="1:29" ht="11.65" x14ac:dyDescent="0.35">
      <c r="A1204" s="28">
        <v>1187</v>
      </c>
      <c r="B1204" s="26" t="s">
        <v>1015</v>
      </c>
      <c r="C1204" s="27" t="s">
        <v>1103</v>
      </c>
      <c r="D1204" s="25"/>
      <c r="E1204" s="25">
        <v>1833</v>
      </c>
      <c r="F1204" s="26" t="s">
        <v>1063</v>
      </c>
      <c r="G1204" s="25">
        <v>1828</v>
      </c>
      <c r="H1204" s="25">
        <v>1955</v>
      </c>
      <c r="I1204" s="24">
        <v>9945.0360000000001</v>
      </c>
      <c r="J1204" s="24">
        <v>7380.433</v>
      </c>
      <c r="K1204" s="24">
        <v>5950.0969999999998</v>
      </c>
      <c r="L1204" s="24">
        <v>5641.8450000000003</v>
      </c>
      <c r="M1204" s="24">
        <v>5237.8639999999996</v>
      </c>
      <c r="N1204" s="24">
        <v>4473.1350000000002</v>
      </c>
      <c r="O1204" s="24">
        <v>3533.3919999999998</v>
      </c>
      <c r="P1204" s="24">
        <v>2837</v>
      </c>
      <c r="Q1204" s="24">
        <v>2741.1559999999999</v>
      </c>
      <c r="R1204" s="24">
        <v>2371.7359999999999</v>
      </c>
      <c r="S1204" s="24">
        <v>2007.0640000000001</v>
      </c>
      <c r="T1204" s="24">
        <v>1621.0429999999999</v>
      </c>
      <c r="U1204" s="24">
        <v>1157.2650000000001</v>
      </c>
      <c r="V1204" s="24">
        <v>887.09699999999998</v>
      </c>
      <c r="W1204" s="24">
        <v>558.58299999999997</v>
      </c>
      <c r="X1204" s="24">
        <v>314.12799999999999</v>
      </c>
      <c r="Y1204" s="24">
        <v>122.75</v>
      </c>
      <c r="Z1204" s="24">
        <v>34.505000000000003</v>
      </c>
      <c r="AA1204" s="24">
        <v>6.7389999999999999</v>
      </c>
      <c r="AB1204" s="24">
        <v>1.1100000000000001</v>
      </c>
      <c r="AC1204" s="24">
        <v>8.7999999999999995E-2</v>
      </c>
    </row>
    <row r="1205" spans="1:29" ht="11.65" x14ac:dyDescent="0.35">
      <c r="A1205" s="28">
        <v>1188</v>
      </c>
      <c r="B1205" s="26" t="s">
        <v>1015</v>
      </c>
      <c r="C1205" s="27" t="s">
        <v>1103</v>
      </c>
      <c r="D1205" s="25"/>
      <c r="E1205" s="25">
        <v>1833</v>
      </c>
      <c r="F1205" s="26" t="s">
        <v>1063</v>
      </c>
      <c r="G1205" s="25">
        <v>1828</v>
      </c>
      <c r="H1205" s="25">
        <v>1960</v>
      </c>
      <c r="I1205" s="24">
        <v>11384.075999999999</v>
      </c>
      <c r="J1205" s="24">
        <v>9170.57</v>
      </c>
      <c r="K1205" s="24">
        <v>7231.0950000000003</v>
      </c>
      <c r="L1205" s="24">
        <v>5809.8440000000001</v>
      </c>
      <c r="M1205" s="24">
        <v>5465.9080000000004</v>
      </c>
      <c r="N1205" s="24">
        <v>5064.1660000000002</v>
      </c>
      <c r="O1205" s="24">
        <v>4331.2889999999998</v>
      </c>
      <c r="P1205" s="24">
        <v>3408.5749999999998</v>
      </c>
      <c r="Q1205" s="24">
        <v>2713.395</v>
      </c>
      <c r="R1205" s="24">
        <v>2601.0569999999998</v>
      </c>
      <c r="S1205" s="24">
        <v>2212</v>
      </c>
      <c r="T1205" s="24">
        <v>1822.671</v>
      </c>
      <c r="U1205" s="24">
        <v>1414.038</v>
      </c>
      <c r="V1205" s="24">
        <v>946.00900000000001</v>
      </c>
      <c r="W1205" s="24">
        <v>653.86400000000003</v>
      </c>
      <c r="X1205" s="24">
        <v>347.02</v>
      </c>
      <c r="Y1205" s="24">
        <v>150.785</v>
      </c>
      <c r="Z1205" s="24">
        <v>41.613999999999997</v>
      </c>
      <c r="AA1205" s="24">
        <v>7.2679999999999998</v>
      </c>
      <c r="AB1205" s="24">
        <v>0.85199999999999998</v>
      </c>
      <c r="AC1205" s="24">
        <v>9.2999999999999999E-2</v>
      </c>
    </row>
    <row r="1206" spans="1:29" ht="11.65" x14ac:dyDescent="0.35">
      <c r="A1206" s="28">
        <v>1189</v>
      </c>
      <c r="B1206" s="26" t="s">
        <v>1015</v>
      </c>
      <c r="C1206" s="27" t="s">
        <v>1103</v>
      </c>
      <c r="D1206" s="25"/>
      <c r="E1206" s="25">
        <v>1833</v>
      </c>
      <c r="F1206" s="26" t="s">
        <v>1063</v>
      </c>
      <c r="G1206" s="25">
        <v>1828</v>
      </c>
      <c r="H1206" s="25">
        <v>1965</v>
      </c>
      <c r="I1206" s="24">
        <v>12999.004000000001</v>
      </c>
      <c r="J1206" s="24">
        <v>10642.031000000001</v>
      </c>
      <c r="K1206" s="24">
        <v>9023.7839999999997</v>
      </c>
      <c r="L1206" s="24">
        <v>7023.9</v>
      </c>
      <c r="M1206" s="24">
        <v>5581.05</v>
      </c>
      <c r="N1206" s="24">
        <v>5255.3609999999999</v>
      </c>
      <c r="O1206" s="24">
        <v>4895.2950000000001</v>
      </c>
      <c r="P1206" s="24">
        <v>4182.2889999999998</v>
      </c>
      <c r="Q1206" s="24">
        <v>3270.04</v>
      </c>
      <c r="R1206" s="24">
        <v>2581.1660000000002</v>
      </c>
      <c r="S1206" s="24">
        <v>2439.8530000000001</v>
      </c>
      <c r="T1206" s="24">
        <v>2028.374</v>
      </c>
      <c r="U1206" s="24">
        <v>1602.8720000000001</v>
      </c>
      <c r="V1206" s="24">
        <v>1168.0029999999999</v>
      </c>
      <c r="W1206" s="24">
        <v>706.13599999999997</v>
      </c>
      <c r="X1206" s="24">
        <v>413.57400000000001</v>
      </c>
      <c r="Y1206" s="24">
        <v>171.22499999999999</v>
      </c>
      <c r="Z1206" s="24">
        <v>52.853999999999999</v>
      </c>
      <c r="AA1206" s="24">
        <v>9.2889999999999997</v>
      </c>
      <c r="AB1206" s="24">
        <v>0.96499999999999997</v>
      </c>
      <c r="AC1206" s="24">
        <v>7.4999999999999997E-2</v>
      </c>
    </row>
    <row r="1207" spans="1:29" ht="11.65" x14ac:dyDescent="0.35">
      <c r="A1207" s="28">
        <v>1190</v>
      </c>
      <c r="B1207" s="26" t="s">
        <v>1015</v>
      </c>
      <c r="C1207" s="27" t="s">
        <v>1103</v>
      </c>
      <c r="D1207" s="25"/>
      <c r="E1207" s="25">
        <v>1833</v>
      </c>
      <c r="F1207" s="26" t="s">
        <v>1063</v>
      </c>
      <c r="G1207" s="25">
        <v>1828</v>
      </c>
      <c r="H1207" s="25">
        <v>1970</v>
      </c>
      <c r="I1207" s="24">
        <v>14503.404</v>
      </c>
      <c r="J1207" s="24">
        <v>12263.897000000001</v>
      </c>
      <c r="K1207" s="24">
        <v>10484.742</v>
      </c>
      <c r="L1207" s="24">
        <v>8827.2929999999997</v>
      </c>
      <c r="M1207" s="24">
        <v>6747.058</v>
      </c>
      <c r="N1207" s="24">
        <v>5352.7719999999999</v>
      </c>
      <c r="O1207" s="24">
        <v>5080.7449999999999</v>
      </c>
      <c r="P1207" s="24">
        <v>4732.5540000000001</v>
      </c>
      <c r="Q1207" s="24">
        <v>4024.1060000000002</v>
      </c>
      <c r="R1207" s="24">
        <v>3117.8409999999999</v>
      </c>
      <c r="S1207" s="24">
        <v>2427.06</v>
      </c>
      <c r="T1207" s="24">
        <v>2236.7269999999999</v>
      </c>
      <c r="U1207" s="24">
        <v>1798.057</v>
      </c>
      <c r="V1207" s="24">
        <v>1338.384</v>
      </c>
      <c r="W1207" s="24">
        <v>885.81899999999996</v>
      </c>
      <c r="X1207" s="24">
        <v>456.63400000000001</v>
      </c>
      <c r="Y1207" s="24">
        <v>210.148</v>
      </c>
      <c r="Z1207" s="24">
        <v>61.521999999999998</v>
      </c>
      <c r="AA1207" s="24">
        <v>12.2</v>
      </c>
      <c r="AB1207" s="24">
        <v>1.3089999999999999</v>
      </c>
      <c r="AC1207" s="24">
        <v>9.0999999999999998E-2</v>
      </c>
    </row>
    <row r="1208" spans="1:29" ht="11.65" x14ac:dyDescent="0.35">
      <c r="A1208" s="28">
        <v>1191</v>
      </c>
      <c r="B1208" s="26" t="s">
        <v>1015</v>
      </c>
      <c r="C1208" s="27" t="s">
        <v>1103</v>
      </c>
      <c r="D1208" s="25"/>
      <c r="E1208" s="25">
        <v>1833</v>
      </c>
      <c r="F1208" s="26" t="s">
        <v>1063</v>
      </c>
      <c r="G1208" s="25">
        <v>1828</v>
      </c>
      <c r="H1208" s="25">
        <v>1975</v>
      </c>
      <c r="I1208" s="24">
        <v>16110.786</v>
      </c>
      <c r="J1208" s="24">
        <v>13813.324000000001</v>
      </c>
      <c r="K1208" s="24">
        <v>12078.405000000001</v>
      </c>
      <c r="L1208" s="24">
        <v>10244.535</v>
      </c>
      <c r="M1208" s="24">
        <v>8433.6090000000004</v>
      </c>
      <c r="N1208" s="24">
        <v>6424.2349999999997</v>
      </c>
      <c r="O1208" s="24">
        <v>5166.5720000000001</v>
      </c>
      <c r="P1208" s="24">
        <v>4986.0749999999998</v>
      </c>
      <c r="Q1208" s="24">
        <v>4652.6790000000001</v>
      </c>
      <c r="R1208" s="24">
        <v>3920.5079999999998</v>
      </c>
      <c r="S1208" s="24">
        <v>2992.6779999999999</v>
      </c>
      <c r="T1208" s="24">
        <v>2255.7330000000002</v>
      </c>
      <c r="U1208" s="24">
        <v>2024.279</v>
      </c>
      <c r="V1208" s="24">
        <v>1525.0889999999999</v>
      </c>
      <c r="W1208" s="24">
        <v>1042.0440000000001</v>
      </c>
      <c r="X1208" s="24">
        <v>586.42700000000002</v>
      </c>
      <c r="Y1208" s="24">
        <v>239.273</v>
      </c>
      <c r="Z1208" s="24">
        <v>78.936999999999998</v>
      </c>
      <c r="AA1208" s="24">
        <v>14.79</v>
      </c>
      <c r="AB1208" s="24">
        <v>1.8160000000000001</v>
      </c>
      <c r="AC1208" s="24">
        <v>0.13</v>
      </c>
    </row>
    <row r="1209" spans="1:29" ht="11.65" x14ac:dyDescent="0.35">
      <c r="A1209" s="28">
        <v>1192</v>
      </c>
      <c r="B1209" s="26" t="s">
        <v>1015</v>
      </c>
      <c r="C1209" s="27" t="s">
        <v>1103</v>
      </c>
      <c r="D1209" s="25"/>
      <c r="E1209" s="25">
        <v>1833</v>
      </c>
      <c r="F1209" s="26" t="s">
        <v>1063</v>
      </c>
      <c r="G1209" s="25">
        <v>1828</v>
      </c>
      <c r="H1209" s="25">
        <v>1980</v>
      </c>
      <c r="I1209" s="24">
        <v>18169.702000000001</v>
      </c>
      <c r="J1209" s="24">
        <v>15508.295</v>
      </c>
      <c r="K1209" s="24">
        <v>13652.278</v>
      </c>
      <c r="L1209" s="24">
        <v>11848.549000000001</v>
      </c>
      <c r="M1209" s="24">
        <v>9953.6270000000004</v>
      </c>
      <c r="N1209" s="24">
        <v>8293.1710000000003</v>
      </c>
      <c r="O1209" s="24">
        <v>6406.2759999999998</v>
      </c>
      <c r="P1209" s="24">
        <v>5134.6970000000001</v>
      </c>
      <c r="Q1209" s="24">
        <v>4915.1509999999998</v>
      </c>
      <c r="R1209" s="24">
        <v>4496.3159999999998</v>
      </c>
      <c r="S1209" s="24">
        <v>3726.672</v>
      </c>
      <c r="T1209" s="24">
        <v>2780.4</v>
      </c>
      <c r="U1209" s="24">
        <v>2027.817</v>
      </c>
      <c r="V1209" s="24">
        <v>1720.8910000000001</v>
      </c>
      <c r="W1209" s="24">
        <v>1182.981</v>
      </c>
      <c r="X1209" s="24">
        <v>697.70699999999999</v>
      </c>
      <c r="Y1209" s="24">
        <v>310.75200000000001</v>
      </c>
      <c r="Z1209" s="24">
        <v>91.665999999999997</v>
      </c>
      <c r="AA1209" s="24">
        <v>19.683</v>
      </c>
      <c r="AB1209" s="24">
        <v>2.2709999999999999</v>
      </c>
      <c r="AC1209" s="24">
        <v>0.189</v>
      </c>
    </row>
    <row r="1210" spans="1:29" ht="11.65" x14ac:dyDescent="0.35">
      <c r="A1210" s="28">
        <v>1193</v>
      </c>
      <c r="B1210" s="26" t="s">
        <v>1015</v>
      </c>
      <c r="C1210" s="27" t="s">
        <v>1103</v>
      </c>
      <c r="D1210" s="25"/>
      <c r="E1210" s="25">
        <v>1833</v>
      </c>
      <c r="F1210" s="26" t="s">
        <v>1063</v>
      </c>
      <c r="G1210" s="25">
        <v>1828</v>
      </c>
      <c r="H1210" s="25">
        <v>1985</v>
      </c>
      <c r="I1210" s="24">
        <v>20431.751</v>
      </c>
      <c r="J1210" s="24">
        <v>17662.257000000001</v>
      </c>
      <c r="K1210" s="24">
        <v>15365.802</v>
      </c>
      <c r="L1210" s="24">
        <v>13434.332</v>
      </c>
      <c r="M1210" s="24">
        <v>11589.093000000001</v>
      </c>
      <c r="N1210" s="24">
        <v>9900.0490000000009</v>
      </c>
      <c r="O1210" s="24">
        <v>8353.3690000000006</v>
      </c>
      <c r="P1210" s="24">
        <v>6486.2049999999999</v>
      </c>
      <c r="Q1210" s="24">
        <v>5111.1130000000003</v>
      </c>
      <c r="R1210" s="24">
        <v>4799.0540000000001</v>
      </c>
      <c r="S1210" s="24">
        <v>4300.5249999999996</v>
      </c>
      <c r="T1210" s="24">
        <v>3458.5160000000001</v>
      </c>
      <c r="U1210" s="24">
        <v>2513.9969999999998</v>
      </c>
      <c r="V1210" s="24">
        <v>1735.6030000000001</v>
      </c>
      <c r="W1210" s="24">
        <v>1360.175</v>
      </c>
      <c r="X1210" s="24">
        <v>807.09500000000003</v>
      </c>
      <c r="Y1210" s="24">
        <v>377.40199999999999</v>
      </c>
      <c r="Z1210" s="24">
        <v>120.315</v>
      </c>
      <c r="AA1210" s="24">
        <v>22.873999999999999</v>
      </c>
      <c r="AB1210" s="24">
        <v>3.032</v>
      </c>
      <c r="AC1210" s="24">
        <v>0.23400000000000001</v>
      </c>
    </row>
    <row r="1211" spans="1:29" ht="11.65" x14ac:dyDescent="0.35">
      <c r="A1211" s="28">
        <v>1194</v>
      </c>
      <c r="B1211" s="26" t="s">
        <v>1015</v>
      </c>
      <c r="C1211" s="27" t="s">
        <v>1103</v>
      </c>
      <c r="D1211" s="25"/>
      <c r="E1211" s="25">
        <v>1833</v>
      </c>
      <c r="F1211" s="26" t="s">
        <v>1063</v>
      </c>
      <c r="G1211" s="25">
        <v>1828</v>
      </c>
      <c r="H1211" s="25">
        <v>1990</v>
      </c>
      <c r="I1211" s="24">
        <v>21901.896000000001</v>
      </c>
      <c r="J1211" s="24">
        <v>20007.108</v>
      </c>
      <c r="K1211" s="24">
        <v>17511.260999999999</v>
      </c>
      <c r="L1211" s="24">
        <v>15142.314</v>
      </c>
      <c r="M1211" s="24">
        <v>13312.003000000001</v>
      </c>
      <c r="N1211" s="24">
        <v>11654.826999999999</v>
      </c>
      <c r="O1211" s="24">
        <v>9900.2039999999997</v>
      </c>
      <c r="P1211" s="24">
        <v>8226.9959999999992</v>
      </c>
      <c r="Q1211" s="24">
        <v>6226.5870000000004</v>
      </c>
      <c r="R1211" s="24">
        <v>4899.0259999999998</v>
      </c>
      <c r="S1211" s="24">
        <v>4553.808</v>
      </c>
      <c r="T1211" s="24">
        <v>4023.4250000000002</v>
      </c>
      <c r="U1211" s="24">
        <v>3165.3409999999999</v>
      </c>
      <c r="V1211" s="24">
        <v>2198.2190000000001</v>
      </c>
      <c r="W1211" s="24">
        <v>1380.019</v>
      </c>
      <c r="X1211" s="24">
        <v>930.77499999999998</v>
      </c>
      <c r="Y1211" s="24">
        <v>441.83600000000001</v>
      </c>
      <c r="Z1211" s="24">
        <v>148.97300000000001</v>
      </c>
      <c r="AA1211" s="24">
        <v>30.420999999999999</v>
      </c>
      <c r="AB1211" s="24">
        <v>3.5249999999999999</v>
      </c>
      <c r="AC1211" s="24">
        <v>0.30199999999999999</v>
      </c>
    </row>
    <row r="1212" spans="1:29" ht="11.65" x14ac:dyDescent="0.35">
      <c r="A1212" s="28">
        <v>1195</v>
      </c>
      <c r="B1212" s="26" t="s">
        <v>1015</v>
      </c>
      <c r="C1212" s="27" t="s">
        <v>1103</v>
      </c>
      <c r="D1212" s="25"/>
      <c r="E1212" s="25">
        <v>1833</v>
      </c>
      <c r="F1212" s="26" t="s">
        <v>1063</v>
      </c>
      <c r="G1212" s="25">
        <v>1828</v>
      </c>
      <c r="H1212" s="25">
        <v>1995</v>
      </c>
      <c r="I1212" s="24">
        <v>22250.727999999999</v>
      </c>
      <c r="J1212" s="24">
        <v>21434.053</v>
      </c>
      <c r="K1212" s="24">
        <v>19881.809000000001</v>
      </c>
      <c r="L1212" s="24">
        <v>17267.545999999998</v>
      </c>
      <c r="M1212" s="24">
        <v>14677.42</v>
      </c>
      <c r="N1212" s="24">
        <v>13160.628000000001</v>
      </c>
      <c r="O1212" s="24">
        <v>11720.397999999999</v>
      </c>
      <c r="P1212" s="24">
        <v>9912.9390000000003</v>
      </c>
      <c r="Q1212" s="24">
        <v>8150.942</v>
      </c>
      <c r="R1212" s="24">
        <v>6081.7280000000001</v>
      </c>
      <c r="S1212" s="24">
        <v>4755.45</v>
      </c>
      <c r="T1212" s="24">
        <v>4274.29</v>
      </c>
      <c r="U1212" s="24">
        <v>3719.4589999999998</v>
      </c>
      <c r="V1212" s="24">
        <v>2780.6039999999998</v>
      </c>
      <c r="W1212" s="24">
        <v>1797.0039999999999</v>
      </c>
      <c r="X1212" s="24">
        <v>1009.598</v>
      </c>
      <c r="Y1212" s="24">
        <v>528.02099999999996</v>
      </c>
      <c r="Z1212" s="24">
        <v>178.55500000000001</v>
      </c>
      <c r="AA1212" s="24">
        <v>37.954000000000001</v>
      </c>
      <c r="AB1212" s="24">
        <v>4.6289999999999996</v>
      </c>
      <c r="AC1212" s="24">
        <v>0.35399999999999998</v>
      </c>
    </row>
    <row r="1213" spans="1:29" ht="11.65" x14ac:dyDescent="0.35">
      <c r="A1213" s="28">
        <v>1196</v>
      </c>
      <c r="B1213" s="26" t="s">
        <v>1015</v>
      </c>
      <c r="C1213" s="27" t="s">
        <v>1103</v>
      </c>
      <c r="D1213" s="25"/>
      <c r="E1213" s="25">
        <v>1833</v>
      </c>
      <c r="F1213" s="26" t="s">
        <v>1063</v>
      </c>
      <c r="G1213" s="25">
        <v>1828</v>
      </c>
      <c r="H1213" s="25">
        <v>2000</v>
      </c>
      <c r="I1213" s="24">
        <v>22529.968000000001</v>
      </c>
      <c r="J1213" s="24">
        <v>21924.473000000002</v>
      </c>
      <c r="K1213" s="24">
        <v>21194.228999999999</v>
      </c>
      <c r="L1213" s="24">
        <v>19372.481</v>
      </c>
      <c r="M1213" s="24">
        <v>17048.398000000001</v>
      </c>
      <c r="N1213" s="24">
        <v>14827.775</v>
      </c>
      <c r="O1213" s="24">
        <v>12957.696</v>
      </c>
      <c r="P1213" s="24">
        <v>11323.21</v>
      </c>
      <c r="Q1213" s="24">
        <v>9528.7710000000006</v>
      </c>
      <c r="R1213" s="24">
        <v>7715.3119999999999</v>
      </c>
      <c r="S1213" s="24">
        <v>5667.75</v>
      </c>
      <c r="T1213" s="24">
        <v>4340.549</v>
      </c>
      <c r="U1213" s="24">
        <v>3916.1729999999998</v>
      </c>
      <c r="V1213" s="24">
        <v>3250.2869999999998</v>
      </c>
      <c r="W1213" s="24">
        <v>2236.5540000000001</v>
      </c>
      <c r="X1213" s="24">
        <v>1280.492</v>
      </c>
      <c r="Y1213" s="24">
        <v>560.27300000000002</v>
      </c>
      <c r="Z1213" s="24">
        <v>213.52199999999999</v>
      </c>
      <c r="AA1213" s="24">
        <v>47.143999999999998</v>
      </c>
      <c r="AB1213" s="24">
        <v>6.0309999999999997</v>
      </c>
      <c r="AC1213" s="24">
        <v>0.46800000000000003</v>
      </c>
    </row>
    <row r="1214" spans="1:29" ht="11.65" x14ac:dyDescent="0.35">
      <c r="A1214" s="28">
        <v>1197</v>
      </c>
      <c r="B1214" s="26" t="s">
        <v>1015</v>
      </c>
      <c r="C1214" s="27" t="s">
        <v>1103</v>
      </c>
      <c r="D1214" s="25"/>
      <c r="E1214" s="25">
        <v>1833</v>
      </c>
      <c r="F1214" s="26" t="s">
        <v>1063</v>
      </c>
      <c r="G1214" s="25">
        <v>1828</v>
      </c>
      <c r="H1214" s="25">
        <v>2005</v>
      </c>
      <c r="I1214" s="24">
        <v>23215.300999999999</v>
      </c>
      <c r="J1214" s="24">
        <v>22225.344000000001</v>
      </c>
      <c r="K1214" s="24">
        <v>21786.883000000002</v>
      </c>
      <c r="L1214" s="24">
        <v>20935.917000000001</v>
      </c>
      <c r="M1214" s="24">
        <v>19401.132000000001</v>
      </c>
      <c r="N1214" s="24">
        <v>17551.288</v>
      </c>
      <c r="O1214" s="24">
        <v>15077.334999999999</v>
      </c>
      <c r="P1214" s="24">
        <v>12928.112999999999</v>
      </c>
      <c r="Q1214" s="24">
        <v>11225.236000000001</v>
      </c>
      <c r="R1214" s="24">
        <v>9214.6350000000002</v>
      </c>
      <c r="S1214" s="24">
        <v>7339.0919999999996</v>
      </c>
      <c r="T1214" s="24">
        <v>5375.6580000000004</v>
      </c>
      <c r="U1214" s="24">
        <v>4094.8539999999998</v>
      </c>
      <c r="V1214" s="24">
        <v>3485.3760000000002</v>
      </c>
      <c r="W1214" s="24">
        <v>2644.5140000000001</v>
      </c>
      <c r="X1214" s="24">
        <v>1594.453</v>
      </c>
      <c r="Y1214" s="24">
        <v>734.46600000000001</v>
      </c>
      <c r="Z1214" s="24">
        <v>237.083</v>
      </c>
      <c r="AA1214" s="24">
        <v>58.259</v>
      </c>
      <c r="AB1214" s="24">
        <v>7.8419999999999996</v>
      </c>
      <c r="AC1214" s="24">
        <v>0.63700000000000001</v>
      </c>
    </row>
    <row r="1215" spans="1:29" ht="11.65" x14ac:dyDescent="0.35">
      <c r="A1215" s="28">
        <v>1198</v>
      </c>
      <c r="B1215" s="26" t="s">
        <v>1015</v>
      </c>
      <c r="C1215" s="27" t="s">
        <v>1103</v>
      </c>
      <c r="D1215" s="25"/>
      <c r="E1215" s="25">
        <v>1833</v>
      </c>
      <c r="F1215" s="26" t="s">
        <v>1063</v>
      </c>
      <c r="G1215" s="25">
        <v>1828</v>
      </c>
      <c r="H1215" s="25">
        <v>2010</v>
      </c>
      <c r="I1215" s="24">
        <v>25338.333999999999</v>
      </c>
      <c r="J1215" s="24">
        <v>22955.161</v>
      </c>
      <c r="K1215" s="24">
        <v>22073.573</v>
      </c>
      <c r="L1215" s="24">
        <v>21542.775000000001</v>
      </c>
      <c r="M1215" s="24">
        <v>21275.537</v>
      </c>
      <c r="N1215" s="24">
        <v>20415.976999999999</v>
      </c>
      <c r="O1215" s="24">
        <v>18455.853999999999</v>
      </c>
      <c r="P1215" s="24">
        <v>15698.522999999999</v>
      </c>
      <c r="Q1215" s="24">
        <v>13195.968999999999</v>
      </c>
      <c r="R1215" s="24">
        <v>11161.511</v>
      </c>
      <c r="S1215" s="24">
        <v>8901.3430000000008</v>
      </c>
      <c r="T1215" s="24">
        <v>6954.1989999999996</v>
      </c>
      <c r="U1215" s="24">
        <v>4995.0190000000002</v>
      </c>
      <c r="V1215" s="24">
        <v>3636.12</v>
      </c>
      <c r="W1215" s="24">
        <v>2863.348</v>
      </c>
      <c r="X1215" s="24">
        <v>1919.2139999999999</v>
      </c>
      <c r="Y1215" s="24">
        <v>943.73599999999999</v>
      </c>
      <c r="Z1215" s="24">
        <v>320.01799999999997</v>
      </c>
      <c r="AA1215" s="24">
        <v>68.944999999999993</v>
      </c>
      <c r="AB1215" s="24">
        <v>10.46</v>
      </c>
      <c r="AC1215" s="24">
        <v>0.89600000000000002</v>
      </c>
    </row>
    <row r="1216" spans="1:29" ht="11.65" x14ac:dyDescent="0.35">
      <c r="A1216" s="28">
        <v>1199</v>
      </c>
      <c r="B1216" s="26" t="s">
        <v>1015</v>
      </c>
      <c r="C1216" s="27" t="s">
        <v>1103</v>
      </c>
      <c r="D1216" s="25"/>
      <c r="E1216" s="25">
        <v>1833</v>
      </c>
      <c r="F1216" s="26" t="s">
        <v>1063</v>
      </c>
      <c r="G1216" s="25">
        <v>1828</v>
      </c>
      <c r="H1216" s="25">
        <v>2015</v>
      </c>
      <c r="I1216" s="24">
        <v>28346.474999999999</v>
      </c>
      <c r="J1216" s="24">
        <v>24940.254000000001</v>
      </c>
      <c r="K1216" s="24">
        <v>22631.267</v>
      </c>
      <c r="L1216" s="24">
        <v>21747.641</v>
      </c>
      <c r="M1216" s="24">
        <v>21751.477999999999</v>
      </c>
      <c r="N1216" s="24">
        <v>22223.837</v>
      </c>
      <c r="O1216" s="24">
        <v>21093.385999999999</v>
      </c>
      <c r="P1216" s="24">
        <v>18557.973000000002</v>
      </c>
      <c r="Q1216" s="24">
        <v>15551.339</v>
      </c>
      <c r="R1216" s="24">
        <v>12847.868</v>
      </c>
      <c r="S1216" s="24">
        <v>10778.543</v>
      </c>
      <c r="T1216" s="24">
        <v>8514.5490000000009</v>
      </c>
      <c r="U1216" s="24">
        <v>6474.7349999999997</v>
      </c>
      <c r="V1216" s="24">
        <v>4452.3819999999996</v>
      </c>
      <c r="W1216" s="24">
        <v>3039.6990000000001</v>
      </c>
      <c r="X1216" s="24">
        <v>2127.1039999999998</v>
      </c>
      <c r="Y1216" s="24">
        <v>1180.126</v>
      </c>
      <c r="Z1216" s="24">
        <v>427.59199999999998</v>
      </c>
      <c r="AA1216" s="24">
        <v>98.625</v>
      </c>
      <c r="AB1216" s="24">
        <v>13.819000000000001</v>
      </c>
      <c r="AC1216" s="24">
        <v>1.327</v>
      </c>
    </row>
    <row r="1217" spans="1:29" ht="11.65" x14ac:dyDescent="0.35">
      <c r="A1217" s="28">
        <v>1200</v>
      </c>
      <c r="B1217" s="26" t="s">
        <v>1015</v>
      </c>
      <c r="C1217" s="27" t="s">
        <v>1103</v>
      </c>
      <c r="D1217" s="25"/>
      <c r="E1217" s="25">
        <v>1833</v>
      </c>
      <c r="F1217" s="26" t="s">
        <v>1063</v>
      </c>
      <c r="G1217" s="25">
        <v>1828</v>
      </c>
      <c r="H1217" s="25">
        <v>2020</v>
      </c>
      <c r="I1217" s="24">
        <v>28698.846000000001</v>
      </c>
      <c r="J1217" s="24">
        <v>28047.236000000001</v>
      </c>
      <c r="K1217" s="24">
        <v>24747.968000000001</v>
      </c>
      <c r="L1217" s="24">
        <v>22340.297999999999</v>
      </c>
      <c r="M1217" s="24">
        <v>22083.976999999999</v>
      </c>
      <c r="N1217" s="24">
        <v>23113.330999999998</v>
      </c>
      <c r="O1217" s="24">
        <v>22935.399000000001</v>
      </c>
      <c r="P1217" s="24">
        <v>20806.491999999998</v>
      </c>
      <c r="Q1217" s="24">
        <v>18086.814999999999</v>
      </c>
      <c r="R1217" s="24">
        <v>15022.376</v>
      </c>
      <c r="S1217" s="24">
        <v>12347.513000000001</v>
      </c>
      <c r="T1217" s="24">
        <v>10249.214</v>
      </c>
      <c r="U1217" s="24">
        <v>7864.7790000000005</v>
      </c>
      <c r="V1217" s="24">
        <v>5747.567</v>
      </c>
      <c r="W1217" s="24">
        <v>3726.2339999999999</v>
      </c>
      <c r="X1217" s="24">
        <v>2297.6219999999998</v>
      </c>
      <c r="Y1217" s="24">
        <v>1341.2829999999999</v>
      </c>
      <c r="Z1217" s="24">
        <v>560.99099999999999</v>
      </c>
      <c r="AA1217" s="24">
        <v>138.68700000000001</v>
      </c>
      <c r="AB1217" s="24">
        <v>20.983000000000001</v>
      </c>
      <c r="AC1217" s="24">
        <v>1.85</v>
      </c>
    </row>
    <row r="1218" spans="1:29" ht="11.65" x14ac:dyDescent="0.35">
      <c r="A1218" s="23">
        <v>1201</v>
      </c>
      <c r="B1218" s="21" t="s">
        <v>1015</v>
      </c>
      <c r="C1218" s="29" t="s">
        <v>1104</v>
      </c>
      <c r="D1218" s="20"/>
      <c r="E1218" s="20">
        <v>912</v>
      </c>
      <c r="F1218" s="21" t="s">
        <v>1065</v>
      </c>
      <c r="G1218" s="20">
        <v>1833</v>
      </c>
      <c r="H1218" s="20">
        <v>1950</v>
      </c>
      <c r="I1218" s="19">
        <v>4215.7700000000004</v>
      </c>
      <c r="J1218" s="19">
        <v>2982.1390000000001</v>
      </c>
      <c r="K1218" s="19">
        <v>2741.9479999999999</v>
      </c>
      <c r="L1218" s="19">
        <v>2594.14</v>
      </c>
      <c r="M1218" s="19">
        <v>2273.6439999999998</v>
      </c>
      <c r="N1218" s="19">
        <v>1903.2360000000001</v>
      </c>
      <c r="O1218" s="19">
        <v>1591.3150000000001</v>
      </c>
      <c r="P1218" s="19">
        <v>1343.133</v>
      </c>
      <c r="Q1218" s="19">
        <v>1189.672</v>
      </c>
      <c r="R1218" s="19">
        <v>1003.948</v>
      </c>
      <c r="S1218" s="19">
        <v>852.14200000000005</v>
      </c>
      <c r="T1218" s="19">
        <v>659.125</v>
      </c>
      <c r="U1218" s="19">
        <v>502.96100000000001</v>
      </c>
      <c r="V1218" s="19">
        <v>361.92500000000001</v>
      </c>
      <c r="W1218" s="19">
        <v>220.2</v>
      </c>
      <c r="X1218" s="19">
        <v>106.727</v>
      </c>
      <c r="Y1218" s="19">
        <v>46.456000000000003</v>
      </c>
      <c r="Z1218" s="19">
        <v>13.25</v>
      </c>
      <c r="AA1218" s="19">
        <v>4.1589999999999998</v>
      </c>
      <c r="AB1218" s="19">
        <v>0.69899999999999995</v>
      </c>
      <c r="AC1218" s="19">
        <v>5.3999999999999999E-2</v>
      </c>
    </row>
    <row r="1219" spans="1:29" ht="11.65" x14ac:dyDescent="0.35">
      <c r="A1219" s="23">
        <v>1202</v>
      </c>
      <c r="B1219" s="21" t="s">
        <v>1015</v>
      </c>
      <c r="C1219" s="29" t="s">
        <v>1104</v>
      </c>
      <c r="D1219" s="20"/>
      <c r="E1219" s="20">
        <v>912</v>
      </c>
      <c r="F1219" s="21" t="s">
        <v>1065</v>
      </c>
      <c r="G1219" s="20">
        <v>1833</v>
      </c>
      <c r="H1219" s="20">
        <v>1955</v>
      </c>
      <c r="I1219" s="19">
        <v>5012.3389999999999</v>
      </c>
      <c r="J1219" s="19">
        <v>3775.1039999999998</v>
      </c>
      <c r="K1219" s="19">
        <v>2918.433</v>
      </c>
      <c r="L1219" s="19">
        <v>2680.9290000000001</v>
      </c>
      <c r="M1219" s="19">
        <v>2494</v>
      </c>
      <c r="N1219" s="19">
        <v>2153.3989999999999</v>
      </c>
      <c r="O1219" s="19">
        <v>1793.982</v>
      </c>
      <c r="P1219" s="19">
        <v>1498.18</v>
      </c>
      <c r="Q1219" s="19">
        <v>1261.07</v>
      </c>
      <c r="R1219" s="19">
        <v>1115.7080000000001</v>
      </c>
      <c r="S1219" s="19">
        <v>928.10400000000004</v>
      </c>
      <c r="T1219" s="19">
        <v>769.25300000000004</v>
      </c>
      <c r="U1219" s="19">
        <v>572.61400000000003</v>
      </c>
      <c r="V1219" s="19">
        <v>408.14699999999999</v>
      </c>
      <c r="W1219" s="19">
        <v>261.80099999999999</v>
      </c>
      <c r="X1219" s="19">
        <v>131.52600000000001</v>
      </c>
      <c r="Y1219" s="19">
        <v>48.12</v>
      </c>
      <c r="Z1219" s="19">
        <v>13.766</v>
      </c>
      <c r="AA1219" s="19">
        <v>2.169</v>
      </c>
      <c r="AB1219" s="19">
        <v>0.33900000000000002</v>
      </c>
      <c r="AC1219" s="19">
        <v>2.8000000000000001E-2</v>
      </c>
    </row>
    <row r="1220" spans="1:29" ht="11.65" x14ac:dyDescent="0.35">
      <c r="A1220" s="23">
        <v>1203</v>
      </c>
      <c r="B1220" s="21" t="s">
        <v>1015</v>
      </c>
      <c r="C1220" s="29" t="s">
        <v>1104</v>
      </c>
      <c r="D1220" s="20"/>
      <c r="E1220" s="20">
        <v>912</v>
      </c>
      <c r="F1220" s="21" t="s">
        <v>1065</v>
      </c>
      <c r="G1220" s="20">
        <v>1833</v>
      </c>
      <c r="H1220" s="20">
        <v>1960</v>
      </c>
      <c r="I1220" s="19">
        <v>5817.5450000000001</v>
      </c>
      <c r="J1220" s="19">
        <v>4588.7650000000003</v>
      </c>
      <c r="K1220" s="19">
        <v>3701.7069999999999</v>
      </c>
      <c r="L1220" s="19">
        <v>2818.6329999999998</v>
      </c>
      <c r="M1220" s="19">
        <v>2562.9479999999999</v>
      </c>
      <c r="N1220" s="19">
        <v>2389.0569999999998</v>
      </c>
      <c r="O1220" s="19">
        <v>2075.3409999999999</v>
      </c>
      <c r="P1220" s="19">
        <v>1727.2059999999999</v>
      </c>
      <c r="Q1220" s="19">
        <v>1428.0070000000001</v>
      </c>
      <c r="R1220" s="19">
        <v>1194.8520000000001</v>
      </c>
      <c r="S1220" s="19">
        <v>1037.6880000000001</v>
      </c>
      <c r="T1220" s="19">
        <v>842.09900000000005</v>
      </c>
      <c r="U1220" s="19">
        <v>672.32899999999995</v>
      </c>
      <c r="V1220" s="19">
        <v>468.334</v>
      </c>
      <c r="W1220" s="19">
        <v>299.02</v>
      </c>
      <c r="X1220" s="19">
        <v>160.161</v>
      </c>
      <c r="Y1220" s="19">
        <v>61.27</v>
      </c>
      <c r="Z1220" s="19">
        <v>15.143000000000001</v>
      </c>
      <c r="AA1220" s="19">
        <v>2.5779999999999998</v>
      </c>
      <c r="AB1220" s="19">
        <v>0.21299999999999999</v>
      </c>
      <c r="AC1220" s="19">
        <v>1.9E-2</v>
      </c>
    </row>
    <row r="1221" spans="1:29" ht="11.65" x14ac:dyDescent="0.35">
      <c r="A1221" s="23">
        <v>1204</v>
      </c>
      <c r="B1221" s="21" t="s">
        <v>1015</v>
      </c>
      <c r="C1221" s="29" t="s">
        <v>1104</v>
      </c>
      <c r="D1221" s="20"/>
      <c r="E1221" s="20">
        <v>912</v>
      </c>
      <c r="F1221" s="21" t="s">
        <v>1065</v>
      </c>
      <c r="G1221" s="20">
        <v>1833</v>
      </c>
      <c r="H1221" s="20">
        <v>1965</v>
      </c>
      <c r="I1221" s="19">
        <v>6636.2740000000003</v>
      </c>
      <c r="J1221" s="19">
        <v>5408.0590000000002</v>
      </c>
      <c r="K1221" s="19">
        <v>4516.4629999999997</v>
      </c>
      <c r="L1221" s="19">
        <v>3526.8760000000002</v>
      </c>
      <c r="M1221" s="19">
        <v>2630.1120000000001</v>
      </c>
      <c r="N1221" s="19">
        <v>2409.4140000000002</v>
      </c>
      <c r="O1221" s="19">
        <v>2288.4290000000001</v>
      </c>
      <c r="P1221" s="19">
        <v>1987.279</v>
      </c>
      <c r="Q1221" s="19">
        <v>1642.481</v>
      </c>
      <c r="R1221" s="19">
        <v>1354.1410000000001</v>
      </c>
      <c r="S1221" s="19">
        <v>1115.952</v>
      </c>
      <c r="T1221" s="19">
        <v>950.923</v>
      </c>
      <c r="U1221" s="19">
        <v>738.779</v>
      </c>
      <c r="V1221" s="19">
        <v>554.41800000000001</v>
      </c>
      <c r="W1221" s="19">
        <v>345.71800000000002</v>
      </c>
      <c r="X1221" s="19">
        <v>186.42699999999999</v>
      </c>
      <c r="Y1221" s="19">
        <v>76.347999999999999</v>
      </c>
      <c r="Z1221" s="19">
        <v>19.849</v>
      </c>
      <c r="AA1221" s="19">
        <v>2.98</v>
      </c>
      <c r="AB1221" s="19">
        <v>0.28299999999999997</v>
      </c>
      <c r="AC1221" s="19">
        <v>8.9999999999999993E-3</v>
      </c>
    </row>
    <row r="1222" spans="1:29" ht="11.65" x14ac:dyDescent="0.35">
      <c r="A1222" s="23">
        <v>1205</v>
      </c>
      <c r="B1222" s="21" t="s">
        <v>1015</v>
      </c>
      <c r="C1222" s="29" t="s">
        <v>1104</v>
      </c>
      <c r="D1222" s="20"/>
      <c r="E1222" s="20">
        <v>912</v>
      </c>
      <c r="F1222" s="21" t="s">
        <v>1065</v>
      </c>
      <c r="G1222" s="20">
        <v>1833</v>
      </c>
      <c r="H1222" s="20">
        <v>1970</v>
      </c>
      <c r="I1222" s="19">
        <v>7365.4920000000002</v>
      </c>
      <c r="J1222" s="19">
        <v>6219.4750000000004</v>
      </c>
      <c r="K1222" s="19">
        <v>5327.366</v>
      </c>
      <c r="L1222" s="19">
        <v>4376.0290000000005</v>
      </c>
      <c r="M1222" s="19">
        <v>3315.6669999999999</v>
      </c>
      <c r="N1222" s="19">
        <v>2478.9520000000002</v>
      </c>
      <c r="O1222" s="19">
        <v>2310.2739999999999</v>
      </c>
      <c r="P1222" s="19">
        <v>2192.96</v>
      </c>
      <c r="Q1222" s="19">
        <v>1899.086</v>
      </c>
      <c r="R1222" s="19">
        <v>1560.8</v>
      </c>
      <c r="S1222" s="19">
        <v>1265.8209999999999</v>
      </c>
      <c r="T1222" s="19">
        <v>1018.7430000000001</v>
      </c>
      <c r="U1222" s="19">
        <v>838.00400000000002</v>
      </c>
      <c r="V1222" s="19">
        <v>612.09</v>
      </c>
      <c r="W1222" s="19">
        <v>414.72</v>
      </c>
      <c r="X1222" s="19">
        <v>218.22399999999999</v>
      </c>
      <c r="Y1222" s="19">
        <v>90.882999999999996</v>
      </c>
      <c r="Z1222" s="19">
        <v>25.436</v>
      </c>
      <c r="AA1222" s="19">
        <v>4.024</v>
      </c>
      <c r="AB1222" s="19">
        <v>0.33</v>
      </c>
      <c r="AC1222" s="19">
        <v>1.6E-2</v>
      </c>
    </row>
    <row r="1223" spans="1:29" ht="11.65" x14ac:dyDescent="0.35">
      <c r="A1223" s="23">
        <v>1206</v>
      </c>
      <c r="B1223" s="21" t="s">
        <v>1015</v>
      </c>
      <c r="C1223" s="29" t="s">
        <v>1104</v>
      </c>
      <c r="D1223" s="20"/>
      <c r="E1223" s="20">
        <v>912</v>
      </c>
      <c r="F1223" s="21" t="s">
        <v>1065</v>
      </c>
      <c r="G1223" s="20">
        <v>1833</v>
      </c>
      <c r="H1223" s="20">
        <v>1975</v>
      </c>
      <c r="I1223" s="19">
        <v>8054.9560000000001</v>
      </c>
      <c r="J1223" s="19">
        <v>6945.0079999999998</v>
      </c>
      <c r="K1223" s="19">
        <v>6117.59</v>
      </c>
      <c r="L1223" s="19">
        <v>5166.1679999999997</v>
      </c>
      <c r="M1223" s="19">
        <v>4072.933</v>
      </c>
      <c r="N1223" s="19">
        <v>3017.1590000000001</v>
      </c>
      <c r="O1223" s="19">
        <v>2320.087</v>
      </c>
      <c r="P1223" s="19">
        <v>2249.105</v>
      </c>
      <c r="Q1223" s="19">
        <v>2132.4270000000001</v>
      </c>
      <c r="R1223" s="19">
        <v>1846.501</v>
      </c>
      <c r="S1223" s="19">
        <v>1483.3409999999999</v>
      </c>
      <c r="T1223" s="19">
        <v>1163.8800000000001</v>
      </c>
      <c r="U1223" s="19">
        <v>908.22199999999998</v>
      </c>
      <c r="V1223" s="19">
        <v>698.22500000000002</v>
      </c>
      <c r="W1223" s="19">
        <v>463.827</v>
      </c>
      <c r="X1223" s="19">
        <v>267.08</v>
      </c>
      <c r="Y1223" s="19">
        <v>110.038</v>
      </c>
      <c r="Z1223" s="19">
        <v>31.818000000000001</v>
      </c>
      <c r="AA1223" s="19">
        <v>5.4080000000000004</v>
      </c>
      <c r="AB1223" s="19">
        <v>0.48199999999999998</v>
      </c>
      <c r="AC1223" s="19">
        <v>1.6E-2</v>
      </c>
    </row>
    <row r="1224" spans="1:29" ht="11.65" x14ac:dyDescent="0.35">
      <c r="A1224" s="23">
        <v>1207</v>
      </c>
      <c r="B1224" s="21" t="s">
        <v>1015</v>
      </c>
      <c r="C1224" s="29" t="s">
        <v>1104</v>
      </c>
      <c r="D1224" s="20"/>
      <c r="E1224" s="20">
        <v>912</v>
      </c>
      <c r="F1224" s="21" t="s">
        <v>1065</v>
      </c>
      <c r="G1224" s="20">
        <v>1833</v>
      </c>
      <c r="H1224" s="20">
        <v>1980</v>
      </c>
      <c r="I1224" s="19">
        <v>9114.6309999999994</v>
      </c>
      <c r="J1224" s="19">
        <v>7703.7489999999998</v>
      </c>
      <c r="K1224" s="19">
        <v>6870.527</v>
      </c>
      <c r="L1224" s="19">
        <v>5939.4949999999999</v>
      </c>
      <c r="M1224" s="19">
        <v>4838.8639999999996</v>
      </c>
      <c r="N1224" s="19">
        <v>3832.6350000000002</v>
      </c>
      <c r="O1224" s="19">
        <v>2932.739</v>
      </c>
      <c r="P1224" s="19">
        <v>2284.81</v>
      </c>
      <c r="Q1224" s="19">
        <v>2212.4870000000001</v>
      </c>
      <c r="R1224" s="19">
        <v>2069.9569999999999</v>
      </c>
      <c r="S1224" s="19">
        <v>1750.444</v>
      </c>
      <c r="T1224" s="19">
        <v>1372.971</v>
      </c>
      <c r="U1224" s="19">
        <v>1046.5039999999999</v>
      </c>
      <c r="V1224" s="19">
        <v>768.35699999999997</v>
      </c>
      <c r="W1224" s="19">
        <v>534.52800000000002</v>
      </c>
      <c r="X1224" s="19">
        <v>303.2</v>
      </c>
      <c r="Y1224" s="19">
        <v>137.227</v>
      </c>
      <c r="Z1224" s="19">
        <v>39.895000000000003</v>
      </c>
      <c r="AA1224" s="19">
        <v>7.1790000000000003</v>
      </c>
      <c r="AB1224" s="19">
        <v>0.66900000000000004</v>
      </c>
      <c r="AC1224" s="19">
        <v>0.03</v>
      </c>
    </row>
    <row r="1225" spans="1:29" ht="11.65" x14ac:dyDescent="0.35">
      <c r="A1225" s="23">
        <v>1208</v>
      </c>
      <c r="B1225" s="21" t="s">
        <v>1015</v>
      </c>
      <c r="C1225" s="29" t="s">
        <v>1104</v>
      </c>
      <c r="D1225" s="20"/>
      <c r="E1225" s="20">
        <v>912</v>
      </c>
      <c r="F1225" s="21" t="s">
        <v>1065</v>
      </c>
      <c r="G1225" s="20">
        <v>1833</v>
      </c>
      <c r="H1225" s="20">
        <v>1985</v>
      </c>
      <c r="I1225" s="19">
        <v>10257.842000000001</v>
      </c>
      <c r="J1225" s="19">
        <v>8821.7250000000004</v>
      </c>
      <c r="K1225" s="19">
        <v>7640.13</v>
      </c>
      <c r="L1225" s="19">
        <v>6724.9480000000003</v>
      </c>
      <c r="M1225" s="19">
        <v>5664.7759999999998</v>
      </c>
      <c r="N1225" s="19">
        <v>4609.2070000000003</v>
      </c>
      <c r="O1225" s="19">
        <v>3753.7959999999998</v>
      </c>
      <c r="P1225" s="19">
        <v>2934.6610000000001</v>
      </c>
      <c r="Q1225" s="19">
        <v>2261.3490000000002</v>
      </c>
      <c r="R1225" s="19">
        <v>2149.9459999999999</v>
      </c>
      <c r="S1225" s="19">
        <v>1976.4480000000001</v>
      </c>
      <c r="T1225" s="19">
        <v>1638.5150000000001</v>
      </c>
      <c r="U1225" s="19">
        <v>1253.752</v>
      </c>
      <c r="V1225" s="19">
        <v>898.226</v>
      </c>
      <c r="W1225" s="19">
        <v>606.67899999999997</v>
      </c>
      <c r="X1225" s="19">
        <v>357.86200000000002</v>
      </c>
      <c r="Y1225" s="19">
        <v>159.542</v>
      </c>
      <c r="Z1225" s="19">
        <v>50.811999999999998</v>
      </c>
      <c r="AA1225" s="19">
        <v>9.1649999999999991</v>
      </c>
      <c r="AB1225" s="19">
        <v>0.91400000000000003</v>
      </c>
      <c r="AC1225" s="19">
        <v>3.5999999999999997E-2</v>
      </c>
    </row>
    <row r="1226" spans="1:29" ht="11.65" x14ac:dyDescent="0.35">
      <c r="A1226" s="23">
        <v>1209</v>
      </c>
      <c r="B1226" s="21" t="s">
        <v>1015</v>
      </c>
      <c r="C1226" s="29" t="s">
        <v>1104</v>
      </c>
      <c r="D1226" s="20"/>
      <c r="E1226" s="20">
        <v>912</v>
      </c>
      <c r="F1226" s="21" t="s">
        <v>1065</v>
      </c>
      <c r="G1226" s="20">
        <v>1833</v>
      </c>
      <c r="H1226" s="20">
        <v>1990</v>
      </c>
      <c r="I1226" s="19">
        <v>10908.41</v>
      </c>
      <c r="J1226" s="19">
        <v>10006.1</v>
      </c>
      <c r="K1226" s="19">
        <v>8749.9930000000004</v>
      </c>
      <c r="L1226" s="19">
        <v>7443.3090000000002</v>
      </c>
      <c r="M1226" s="19">
        <v>6392.33</v>
      </c>
      <c r="N1226" s="19">
        <v>5448.5320000000002</v>
      </c>
      <c r="O1226" s="19">
        <v>4556.835</v>
      </c>
      <c r="P1226" s="19">
        <v>3753.5129999999999</v>
      </c>
      <c r="Q1226" s="19">
        <v>2917.5030000000002</v>
      </c>
      <c r="R1226" s="19">
        <v>2236.3119999999999</v>
      </c>
      <c r="S1226" s="19">
        <v>2070.6</v>
      </c>
      <c r="T1226" s="19">
        <v>1862.181</v>
      </c>
      <c r="U1226" s="19">
        <v>1504.2059999999999</v>
      </c>
      <c r="V1226" s="19">
        <v>1090.82</v>
      </c>
      <c r="W1226" s="19">
        <v>707.73599999999999</v>
      </c>
      <c r="X1226" s="19">
        <v>410.827</v>
      </c>
      <c r="Y1226" s="19">
        <v>192.8</v>
      </c>
      <c r="Z1226" s="19">
        <v>60.981999999999999</v>
      </c>
      <c r="AA1226" s="19">
        <v>12.055</v>
      </c>
      <c r="AB1226" s="19">
        <v>1.21</v>
      </c>
      <c r="AC1226" s="19">
        <v>6.9000000000000006E-2</v>
      </c>
    </row>
    <row r="1227" spans="1:29" ht="11.65" x14ac:dyDescent="0.35">
      <c r="A1227" s="23">
        <v>1210</v>
      </c>
      <c r="B1227" s="21" t="s">
        <v>1015</v>
      </c>
      <c r="C1227" s="29" t="s">
        <v>1104</v>
      </c>
      <c r="D1227" s="20"/>
      <c r="E1227" s="20">
        <v>912</v>
      </c>
      <c r="F1227" s="21" t="s">
        <v>1065</v>
      </c>
      <c r="G1227" s="20">
        <v>1833</v>
      </c>
      <c r="H1227" s="20">
        <v>1995</v>
      </c>
      <c r="I1227" s="19">
        <v>10852.36</v>
      </c>
      <c r="J1227" s="19">
        <v>10717.457</v>
      </c>
      <c r="K1227" s="19">
        <v>9961.9779999999992</v>
      </c>
      <c r="L1227" s="19">
        <v>8639.6029999999992</v>
      </c>
      <c r="M1227" s="19">
        <v>7140.3469999999998</v>
      </c>
      <c r="N1227" s="19">
        <v>6087.0879999999997</v>
      </c>
      <c r="O1227" s="19">
        <v>5340.4530000000004</v>
      </c>
      <c r="P1227" s="19">
        <v>4548.01</v>
      </c>
      <c r="Q1227" s="19">
        <v>3734.88</v>
      </c>
      <c r="R1227" s="19">
        <v>2890.203</v>
      </c>
      <c r="S1227" s="19">
        <v>2171.6410000000001</v>
      </c>
      <c r="T1227" s="19">
        <v>1964.3910000000001</v>
      </c>
      <c r="U1227" s="19">
        <v>1730.453</v>
      </c>
      <c r="V1227" s="19">
        <v>1324.1849999999999</v>
      </c>
      <c r="W1227" s="19">
        <v>881.44100000000003</v>
      </c>
      <c r="X1227" s="19">
        <v>491.255</v>
      </c>
      <c r="Y1227" s="19">
        <v>229.423</v>
      </c>
      <c r="Z1227" s="19">
        <v>76.168999999999997</v>
      </c>
      <c r="AA1227" s="19">
        <v>14.66</v>
      </c>
      <c r="AB1227" s="19">
        <v>1.621</v>
      </c>
      <c r="AC1227" s="19">
        <v>9.1999999999999998E-2</v>
      </c>
    </row>
    <row r="1228" spans="1:29" ht="11.65" x14ac:dyDescent="0.35">
      <c r="A1228" s="23">
        <v>1211</v>
      </c>
      <c r="B1228" s="21" t="s">
        <v>1015</v>
      </c>
      <c r="C1228" s="29" t="s">
        <v>1104</v>
      </c>
      <c r="D1228" s="20"/>
      <c r="E1228" s="20">
        <v>912</v>
      </c>
      <c r="F1228" s="21" t="s">
        <v>1065</v>
      </c>
      <c r="G1228" s="20">
        <v>1833</v>
      </c>
      <c r="H1228" s="20">
        <v>2000</v>
      </c>
      <c r="I1228" s="19">
        <v>10667.63</v>
      </c>
      <c r="J1228" s="19">
        <v>10643.011</v>
      </c>
      <c r="K1228" s="19">
        <v>10609.749</v>
      </c>
      <c r="L1228" s="19">
        <v>9792.5079999999998</v>
      </c>
      <c r="M1228" s="19">
        <v>8335.7620000000006</v>
      </c>
      <c r="N1228" s="19">
        <v>6798.4030000000002</v>
      </c>
      <c r="O1228" s="19">
        <v>5838.8440000000001</v>
      </c>
      <c r="P1228" s="19">
        <v>5191.3739999999998</v>
      </c>
      <c r="Q1228" s="19">
        <v>4435.6419999999998</v>
      </c>
      <c r="R1228" s="19">
        <v>3624.1790000000001</v>
      </c>
      <c r="S1228" s="19">
        <v>2758.59</v>
      </c>
      <c r="T1228" s="19">
        <v>2055.3180000000002</v>
      </c>
      <c r="U1228" s="19">
        <v>1815.5160000000001</v>
      </c>
      <c r="V1228" s="19">
        <v>1514.241</v>
      </c>
      <c r="W1228" s="19">
        <v>1070.5719999999999</v>
      </c>
      <c r="X1228" s="19">
        <v>619.22699999999998</v>
      </c>
      <c r="Y1228" s="19">
        <v>276.51</v>
      </c>
      <c r="Z1228" s="19">
        <v>93.061999999999998</v>
      </c>
      <c r="AA1228" s="19">
        <v>19.635999999999999</v>
      </c>
      <c r="AB1228" s="19">
        <v>2.1619999999999999</v>
      </c>
      <c r="AC1228" s="19">
        <v>0.13200000000000001</v>
      </c>
    </row>
    <row r="1229" spans="1:29" ht="11.65" x14ac:dyDescent="0.35">
      <c r="A1229" s="23">
        <v>1212</v>
      </c>
      <c r="B1229" s="21" t="s">
        <v>1015</v>
      </c>
      <c r="C1229" s="29" t="s">
        <v>1104</v>
      </c>
      <c r="D1229" s="20"/>
      <c r="E1229" s="20">
        <v>912</v>
      </c>
      <c r="F1229" s="21" t="s">
        <v>1065</v>
      </c>
      <c r="G1229" s="20">
        <v>1833</v>
      </c>
      <c r="H1229" s="20">
        <v>2005</v>
      </c>
      <c r="I1229" s="19">
        <v>10976.425999999999</v>
      </c>
      <c r="J1229" s="19">
        <v>10475.793</v>
      </c>
      <c r="K1229" s="19">
        <v>10542.09</v>
      </c>
      <c r="L1229" s="19">
        <v>10442.82</v>
      </c>
      <c r="M1229" s="19">
        <v>9518.5740000000005</v>
      </c>
      <c r="N1229" s="19">
        <v>8003.4049999999997</v>
      </c>
      <c r="O1229" s="19">
        <v>6507.5649999999996</v>
      </c>
      <c r="P1229" s="19">
        <v>5669.82</v>
      </c>
      <c r="Q1229" s="19">
        <v>5082.0919999999996</v>
      </c>
      <c r="R1229" s="19">
        <v>4320.1210000000001</v>
      </c>
      <c r="S1229" s="19">
        <v>3497.5830000000001</v>
      </c>
      <c r="T1229" s="19">
        <v>2641.2689999999998</v>
      </c>
      <c r="U1229" s="19">
        <v>1941.626</v>
      </c>
      <c r="V1229" s="19">
        <v>1607.627</v>
      </c>
      <c r="W1229" s="19">
        <v>1218.0609999999999</v>
      </c>
      <c r="X1229" s="19">
        <v>756.34100000000001</v>
      </c>
      <c r="Y1229" s="19">
        <v>355.54700000000003</v>
      </c>
      <c r="Z1229" s="19">
        <v>116.761</v>
      </c>
      <c r="AA1229" s="19">
        <v>25.649000000000001</v>
      </c>
      <c r="AB1229" s="19">
        <v>3.246</v>
      </c>
      <c r="AC1229" s="19">
        <v>0.2</v>
      </c>
    </row>
    <row r="1230" spans="1:29" ht="11.65" x14ac:dyDescent="0.35">
      <c r="A1230" s="23">
        <v>1213</v>
      </c>
      <c r="B1230" s="21" t="s">
        <v>1015</v>
      </c>
      <c r="C1230" s="29" t="s">
        <v>1104</v>
      </c>
      <c r="D1230" s="20"/>
      <c r="E1230" s="20">
        <v>912</v>
      </c>
      <c r="F1230" s="21" t="s">
        <v>1065</v>
      </c>
      <c r="G1230" s="20">
        <v>1833</v>
      </c>
      <c r="H1230" s="20">
        <v>2010</v>
      </c>
      <c r="I1230" s="19">
        <v>12237.456</v>
      </c>
      <c r="J1230" s="19">
        <v>10792.03</v>
      </c>
      <c r="K1230" s="19">
        <v>10371.591</v>
      </c>
      <c r="L1230" s="19">
        <v>10360.668</v>
      </c>
      <c r="M1230" s="19">
        <v>10066.504000000001</v>
      </c>
      <c r="N1230" s="19">
        <v>9057.0840000000007</v>
      </c>
      <c r="O1230" s="19">
        <v>7633.8379999999997</v>
      </c>
      <c r="P1230" s="19">
        <v>6315.4440000000004</v>
      </c>
      <c r="Q1230" s="19">
        <v>5563.8639999999996</v>
      </c>
      <c r="R1230" s="19">
        <v>4972.3919999999998</v>
      </c>
      <c r="S1230" s="19">
        <v>4164.9009999999998</v>
      </c>
      <c r="T1230" s="19">
        <v>3317.0050000000001</v>
      </c>
      <c r="U1230" s="19">
        <v>2452.4940000000001</v>
      </c>
      <c r="V1230" s="19">
        <v>1721.7639999999999</v>
      </c>
      <c r="W1230" s="19">
        <v>1319.4960000000001</v>
      </c>
      <c r="X1230" s="19">
        <v>882.97900000000004</v>
      </c>
      <c r="Y1230" s="19">
        <v>446.25700000000001</v>
      </c>
      <c r="Z1230" s="19">
        <v>152.816</v>
      </c>
      <c r="AA1230" s="19">
        <v>33.311999999999998</v>
      </c>
      <c r="AB1230" s="19">
        <v>4.6050000000000004</v>
      </c>
      <c r="AC1230" s="19">
        <v>0.34100000000000003</v>
      </c>
    </row>
    <row r="1231" spans="1:29" ht="11.65" x14ac:dyDescent="0.35">
      <c r="A1231" s="23">
        <v>1214</v>
      </c>
      <c r="B1231" s="21" t="s">
        <v>1015</v>
      </c>
      <c r="C1231" s="29" t="s">
        <v>1104</v>
      </c>
      <c r="D1231" s="20"/>
      <c r="E1231" s="20">
        <v>912</v>
      </c>
      <c r="F1231" s="21" t="s">
        <v>1065</v>
      </c>
      <c r="G1231" s="20">
        <v>1833</v>
      </c>
      <c r="H1231" s="20">
        <v>2015</v>
      </c>
      <c r="I1231" s="19">
        <v>14418.816999999999</v>
      </c>
      <c r="J1231" s="19">
        <v>12082.429</v>
      </c>
      <c r="K1231" s="19">
        <v>10706.858</v>
      </c>
      <c r="L1231" s="19">
        <v>10263.744000000001</v>
      </c>
      <c r="M1231" s="19">
        <v>10108.584000000001</v>
      </c>
      <c r="N1231" s="19">
        <v>9703.366</v>
      </c>
      <c r="O1231" s="19">
        <v>8837.56</v>
      </c>
      <c r="P1231" s="19">
        <v>7487.9780000000001</v>
      </c>
      <c r="Q1231" s="19">
        <v>6185.4040000000005</v>
      </c>
      <c r="R1231" s="19">
        <v>5423.42</v>
      </c>
      <c r="S1231" s="19">
        <v>4793.558</v>
      </c>
      <c r="T1231" s="19">
        <v>3967.5450000000001</v>
      </c>
      <c r="U1231" s="19">
        <v>3100.6350000000002</v>
      </c>
      <c r="V1231" s="19">
        <v>2183.6849999999999</v>
      </c>
      <c r="W1231" s="19">
        <v>1428.1220000000001</v>
      </c>
      <c r="X1231" s="19">
        <v>971.25199999999995</v>
      </c>
      <c r="Y1231" s="19">
        <v>532.82799999999997</v>
      </c>
      <c r="Z1231" s="19">
        <v>195.92500000000001</v>
      </c>
      <c r="AA1231" s="19">
        <v>44.76</v>
      </c>
      <c r="AB1231" s="19">
        <v>6.5880000000000001</v>
      </c>
      <c r="AC1231" s="19">
        <v>0.55900000000000005</v>
      </c>
    </row>
    <row r="1232" spans="1:29" ht="11.65" x14ac:dyDescent="0.35">
      <c r="A1232" s="23">
        <v>1215</v>
      </c>
      <c r="B1232" s="21" t="s">
        <v>1015</v>
      </c>
      <c r="C1232" s="29" t="s">
        <v>1104</v>
      </c>
      <c r="D1232" s="20"/>
      <c r="E1232" s="20">
        <v>912</v>
      </c>
      <c r="F1232" s="21" t="s">
        <v>1065</v>
      </c>
      <c r="G1232" s="20">
        <v>1833</v>
      </c>
      <c r="H1232" s="20">
        <v>2020</v>
      </c>
      <c r="I1232" s="19">
        <v>14888.933000000001</v>
      </c>
      <c r="J1232" s="19">
        <v>14303.571</v>
      </c>
      <c r="K1232" s="19">
        <v>12024.617</v>
      </c>
      <c r="L1232" s="19">
        <v>10628.556</v>
      </c>
      <c r="M1232" s="19">
        <v>10136.379999999999</v>
      </c>
      <c r="N1232" s="19">
        <v>9941.5310000000009</v>
      </c>
      <c r="O1232" s="19">
        <v>9527.7260000000006</v>
      </c>
      <c r="P1232" s="19">
        <v>8701.8279999999995</v>
      </c>
      <c r="Q1232" s="19">
        <v>7381.4579999999996</v>
      </c>
      <c r="R1232" s="19">
        <v>6062.6440000000002</v>
      </c>
      <c r="S1232" s="19">
        <v>5254.3130000000001</v>
      </c>
      <c r="T1232" s="19">
        <v>4575.1049999999996</v>
      </c>
      <c r="U1232" s="19">
        <v>3702.39</v>
      </c>
      <c r="V1232" s="19">
        <v>2782.1129999999998</v>
      </c>
      <c r="W1232" s="19">
        <v>1822.2249999999999</v>
      </c>
      <c r="X1232" s="19">
        <v>1069.1569999999999</v>
      </c>
      <c r="Y1232" s="19">
        <v>601.95699999999999</v>
      </c>
      <c r="Z1232" s="19">
        <v>246.49600000000001</v>
      </c>
      <c r="AA1232" s="19">
        <v>61.356000000000002</v>
      </c>
      <c r="AB1232" s="19">
        <v>9.3629999999999995</v>
      </c>
      <c r="AC1232" s="19">
        <v>0.88200000000000001</v>
      </c>
    </row>
    <row r="1233" spans="1:29" ht="11.65" x14ac:dyDescent="0.35">
      <c r="A1233" s="12">
        <v>1216</v>
      </c>
      <c r="B1233" s="10" t="s">
        <v>1015</v>
      </c>
      <c r="C1233" s="11" t="s">
        <v>1105</v>
      </c>
      <c r="D1233" s="9"/>
      <c r="E1233" s="9">
        <v>12</v>
      </c>
      <c r="F1233" s="10" t="s">
        <v>1066</v>
      </c>
      <c r="G1233" s="9">
        <v>912</v>
      </c>
      <c r="H1233" s="9">
        <v>1950</v>
      </c>
      <c r="I1233" s="8">
        <v>715.10699999999997</v>
      </c>
      <c r="J1233" s="8">
        <v>580.29600000000005</v>
      </c>
      <c r="K1233" s="8">
        <v>529.93799999999999</v>
      </c>
      <c r="L1233" s="8">
        <v>488.34899999999999</v>
      </c>
      <c r="M1233" s="8">
        <v>396.39400000000001</v>
      </c>
      <c r="N1233" s="8">
        <v>317.32600000000002</v>
      </c>
      <c r="O1233" s="8">
        <v>285.471</v>
      </c>
      <c r="P1233" s="8">
        <v>238.07900000000001</v>
      </c>
      <c r="Q1233" s="8">
        <v>224.55799999999999</v>
      </c>
      <c r="R1233" s="8">
        <v>182.33699999999999</v>
      </c>
      <c r="S1233" s="8">
        <v>175.988</v>
      </c>
      <c r="T1233" s="8">
        <v>119.997</v>
      </c>
      <c r="U1233" s="8">
        <v>96.379000000000005</v>
      </c>
      <c r="V1233" s="8">
        <v>68.972999999999999</v>
      </c>
      <c r="W1233" s="8">
        <v>48.892000000000003</v>
      </c>
      <c r="X1233" s="8">
        <v>21.936</v>
      </c>
      <c r="Y1233" s="8">
        <v>13.662000000000001</v>
      </c>
      <c r="Z1233" s="8">
        <v>4.84</v>
      </c>
      <c r="AA1233" s="8">
        <v>2.5070000000000001</v>
      </c>
      <c r="AB1233" s="8">
        <v>0.52500000000000002</v>
      </c>
      <c r="AC1233" s="8">
        <v>4.3999999999999997E-2</v>
      </c>
    </row>
    <row r="1234" spans="1:29" ht="11.65" x14ac:dyDescent="0.35">
      <c r="A1234" s="12">
        <v>1217</v>
      </c>
      <c r="B1234" s="10" t="s">
        <v>1015</v>
      </c>
      <c r="C1234" s="11" t="s">
        <v>1105</v>
      </c>
      <c r="D1234" s="9"/>
      <c r="E1234" s="9">
        <v>12</v>
      </c>
      <c r="F1234" s="10" t="s">
        <v>1066</v>
      </c>
      <c r="G1234" s="9">
        <v>912</v>
      </c>
      <c r="H1234" s="9">
        <v>1955</v>
      </c>
      <c r="I1234" s="8">
        <v>927.33600000000001</v>
      </c>
      <c r="J1234" s="8">
        <v>635.88300000000004</v>
      </c>
      <c r="K1234" s="8">
        <v>563.98199999999997</v>
      </c>
      <c r="L1234" s="8">
        <v>508.14400000000001</v>
      </c>
      <c r="M1234" s="8">
        <v>442.839</v>
      </c>
      <c r="N1234" s="8">
        <v>336.16300000000001</v>
      </c>
      <c r="O1234" s="8">
        <v>261.93599999999998</v>
      </c>
      <c r="P1234" s="8">
        <v>242.126</v>
      </c>
      <c r="Q1234" s="8">
        <v>206.42500000000001</v>
      </c>
      <c r="R1234" s="8">
        <v>201.964</v>
      </c>
      <c r="S1234" s="8">
        <v>165.23500000000001</v>
      </c>
      <c r="T1234" s="8">
        <v>157.82300000000001</v>
      </c>
      <c r="U1234" s="8">
        <v>103.444</v>
      </c>
      <c r="V1234" s="8">
        <v>77.186000000000007</v>
      </c>
      <c r="W1234" s="8">
        <v>48.865000000000002</v>
      </c>
      <c r="X1234" s="8">
        <v>28.065999999999999</v>
      </c>
      <c r="Y1234" s="8">
        <v>9.0630000000000006</v>
      </c>
      <c r="Z1234" s="8">
        <v>3.4780000000000002</v>
      </c>
      <c r="AA1234" s="8">
        <v>0.65900000000000003</v>
      </c>
      <c r="AB1234" s="8">
        <v>0.16800000000000001</v>
      </c>
      <c r="AC1234" s="8">
        <v>1.9E-2</v>
      </c>
    </row>
    <row r="1235" spans="1:29" ht="11.65" x14ac:dyDescent="0.35">
      <c r="A1235" s="12">
        <v>1218</v>
      </c>
      <c r="B1235" s="10" t="s">
        <v>1015</v>
      </c>
      <c r="C1235" s="11" t="s">
        <v>1105</v>
      </c>
      <c r="D1235" s="9"/>
      <c r="E1235" s="9">
        <v>12</v>
      </c>
      <c r="F1235" s="10" t="s">
        <v>1066</v>
      </c>
      <c r="G1235" s="9">
        <v>912</v>
      </c>
      <c r="H1235" s="9">
        <v>1960</v>
      </c>
      <c r="I1235" s="8">
        <v>1052.973</v>
      </c>
      <c r="J1235" s="8">
        <v>844.96400000000006</v>
      </c>
      <c r="K1235" s="8">
        <v>616.02499999999998</v>
      </c>
      <c r="L1235" s="8">
        <v>535.298</v>
      </c>
      <c r="M1235" s="8">
        <v>468.03800000000001</v>
      </c>
      <c r="N1235" s="8">
        <v>408.29599999999999</v>
      </c>
      <c r="O1235" s="8">
        <v>314.61700000000002</v>
      </c>
      <c r="P1235" s="8">
        <v>245.16200000000001</v>
      </c>
      <c r="Q1235" s="8">
        <v>226.66499999999999</v>
      </c>
      <c r="R1235" s="8">
        <v>192.023</v>
      </c>
      <c r="S1235" s="8">
        <v>185.89699999999999</v>
      </c>
      <c r="T1235" s="8">
        <v>148.97399999999999</v>
      </c>
      <c r="U1235" s="8">
        <v>136.66800000000001</v>
      </c>
      <c r="V1235" s="8">
        <v>83.45</v>
      </c>
      <c r="W1235" s="8">
        <v>55.369</v>
      </c>
      <c r="X1235" s="8">
        <v>28.643999999999998</v>
      </c>
      <c r="Y1235" s="8">
        <v>11.993</v>
      </c>
      <c r="Z1235" s="8">
        <v>2.4260000000000002</v>
      </c>
      <c r="AA1235" s="8">
        <v>0.505</v>
      </c>
      <c r="AB1235" s="8">
        <v>4.8000000000000001E-2</v>
      </c>
      <c r="AC1235" s="8">
        <v>7.0000000000000001E-3</v>
      </c>
    </row>
    <row r="1236" spans="1:29" ht="11.65" x14ac:dyDescent="0.35">
      <c r="A1236" s="12">
        <v>1219</v>
      </c>
      <c r="B1236" s="10" t="s">
        <v>1015</v>
      </c>
      <c r="C1236" s="11" t="s">
        <v>1105</v>
      </c>
      <c r="D1236" s="9"/>
      <c r="E1236" s="9">
        <v>12</v>
      </c>
      <c r="F1236" s="10" t="s">
        <v>1066</v>
      </c>
      <c r="G1236" s="9">
        <v>912</v>
      </c>
      <c r="H1236" s="9">
        <v>1965</v>
      </c>
      <c r="I1236" s="8">
        <v>1215.7629999999999</v>
      </c>
      <c r="J1236" s="8">
        <v>970.80899999999997</v>
      </c>
      <c r="K1236" s="8">
        <v>828.68</v>
      </c>
      <c r="L1236" s="8">
        <v>583.53599999999994</v>
      </c>
      <c r="M1236" s="8">
        <v>473</v>
      </c>
      <c r="N1236" s="8">
        <v>414.15100000000001</v>
      </c>
      <c r="O1236" s="8">
        <v>377.88799999999998</v>
      </c>
      <c r="P1236" s="8">
        <v>295.88299999999998</v>
      </c>
      <c r="Q1236" s="8">
        <v>229.816</v>
      </c>
      <c r="R1236" s="8">
        <v>211.15299999999999</v>
      </c>
      <c r="S1236" s="8">
        <v>176.66200000000001</v>
      </c>
      <c r="T1236" s="8">
        <v>168.23400000000001</v>
      </c>
      <c r="U1236" s="8">
        <v>129.679</v>
      </c>
      <c r="V1236" s="8">
        <v>111.145</v>
      </c>
      <c r="W1236" s="8">
        <v>60.655999999999999</v>
      </c>
      <c r="X1236" s="8">
        <v>33.167999999999999</v>
      </c>
      <c r="Y1236" s="8">
        <v>12.667999999999999</v>
      </c>
      <c r="Z1236" s="8">
        <v>3.379</v>
      </c>
      <c r="AA1236" s="8">
        <v>0.377</v>
      </c>
      <c r="AB1236" s="8">
        <v>3.9E-2</v>
      </c>
      <c r="AC1236" s="8">
        <v>2E-3</v>
      </c>
    </row>
    <row r="1237" spans="1:29" ht="11.65" x14ac:dyDescent="0.35">
      <c r="A1237" s="12">
        <v>1220</v>
      </c>
      <c r="B1237" s="10" t="s">
        <v>1015</v>
      </c>
      <c r="C1237" s="11" t="s">
        <v>1105</v>
      </c>
      <c r="D1237" s="9"/>
      <c r="E1237" s="9">
        <v>12</v>
      </c>
      <c r="F1237" s="10" t="s">
        <v>1066</v>
      </c>
      <c r="G1237" s="9">
        <v>912</v>
      </c>
      <c r="H1237" s="9">
        <v>1970</v>
      </c>
      <c r="I1237" s="8">
        <v>1367.615</v>
      </c>
      <c r="J1237" s="8">
        <v>1138.423</v>
      </c>
      <c r="K1237" s="8">
        <v>956.06399999999996</v>
      </c>
      <c r="L1237" s="8">
        <v>812.17100000000005</v>
      </c>
      <c r="M1237" s="8">
        <v>551.93899999999996</v>
      </c>
      <c r="N1237" s="8">
        <v>439.41399999999999</v>
      </c>
      <c r="O1237" s="8">
        <v>393.36900000000003</v>
      </c>
      <c r="P1237" s="8">
        <v>361.45100000000002</v>
      </c>
      <c r="Q1237" s="8">
        <v>281.15100000000001</v>
      </c>
      <c r="R1237" s="8">
        <v>216.42500000000001</v>
      </c>
      <c r="S1237" s="8">
        <v>196.214</v>
      </c>
      <c r="T1237" s="8">
        <v>160.58199999999999</v>
      </c>
      <c r="U1237" s="8">
        <v>147.14699999999999</v>
      </c>
      <c r="V1237" s="8">
        <v>106.23</v>
      </c>
      <c r="W1237" s="8">
        <v>81.738</v>
      </c>
      <c r="X1237" s="8">
        <v>37.042999999999999</v>
      </c>
      <c r="Y1237" s="8">
        <v>15.125</v>
      </c>
      <c r="Z1237" s="8">
        <v>3.734</v>
      </c>
      <c r="AA1237" s="8">
        <v>0.55900000000000005</v>
      </c>
      <c r="AB1237" s="8">
        <v>3.2000000000000001E-2</v>
      </c>
      <c r="AC1237" s="8">
        <v>2E-3</v>
      </c>
    </row>
    <row r="1238" spans="1:29" ht="11.65" x14ac:dyDescent="0.35">
      <c r="A1238" s="12">
        <v>1221</v>
      </c>
      <c r="B1238" s="10" t="s">
        <v>1015</v>
      </c>
      <c r="C1238" s="11" t="s">
        <v>1105</v>
      </c>
      <c r="D1238" s="9"/>
      <c r="E1238" s="9">
        <v>12</v>
      </c>
      <c r="F1238" s="10" t="s">
        <v>1066</v>
      </c>
      <c r="G1238" s="9">
        <v>912</v>
      </c>
      <c r="H1238" s="9">
        <v>1975</v>
      </c>
      <c r="I1238" s="8">
        <v>1566.9770000000001</v>
      </c>
      <c r="J1238" s="8">
        <v>1285.6300000000001</v>
      </c>
      <c r="K1238" s="8">
        <v>1116.1279999999999</v>
      </c>
      <c r="L1238" s="8">
        <v>929.44500000000005</v>
      </c>
      <c r="M1238" s="8">
        <v>773.62800000000004</v>
      </c>
      <c r="N1238" s="8">
        <v>511.238</v>
      </c>
      <c r="O1238" s="8">
        <v>401.64299999999997</v>
      </c>
      <c r="P1238" s="8">
        <v>366.05500000000001</v>
      </c>
      <c r="Q1238" s="8">
        <v>341.00099999999998</v>
      </c>
      <c r="R1238" s="8">
        <v>261.95999999999998</v>
      </c>
      <c r="S1238" s="8">
        <v>198.32</v>
      </c>
      <c r="T1238" s="8">
        <v>181.07599999999999</v>
      </c>
      <c r="U1238" s="8">
        <v>145.197</v>
      </c>
      <c r="V1238" s="8">
        <v>122.583</v>
      </c>
      <c r="W1238" s="8">
        <v>79.652000000000001</v>
      </c>
      <c r="X1238" s="8">
        <v>51.38</v>
      </c>
      <c r="Y1238" s="8">
        <v>17.858000000000001</v>
      </c>
      <c r="Z1238" s="8">
        <v>4.742</v>
      </c>
      <c r="AA1238" s="8">
        <v>0.65100000000000002</v>
      </c>
      <c r="AB1238" s="8">
        <v>5.0999999999999997E-2</v>
      </c>
      <c r="AC1238" s="8">
        <v>2E-3</v>
      </c>
    </row>
    <row r="1239" spans="1:29" ht="11.65" x14ac:dyDescent="0.35">
      <c r="A1239" s="12">
        <v>1222</v>
      </c>
      <c r="B1239" s="10" t="s">
        <v>1015</v>
      </c>
      <c r="C1239" s="11" t="s">
        <v>1105</v>
      </c>
      <c r="D1239" s="9"/>
      <c r="E1239" s="9">
        <v>12</v>
      </c>
      <c r="F1239" s="10" t="s">
        <v>1066</v>
      </c>
      <c r="G1239" s="9">
        <v>912</v>
      </c>
      <c r="H1239" s="9">
        <v>1980</v>
      </c>
      <c r="I1239" s="8">
        <v>1792.24</v>
      </c>
      <c r="J1239" s="8">
        <v>1490.633</v>
      </c>
      <c r="K1239" s="8">
        <v>1265.5360000000001</v>
      </c>
      <c r="L1239" s="8">
        <v>1092.7090000000001</v>
      </c>
      <c r="M1239" s="8">
        <v>894.67399999999998</v>
      </c>
      <c r="N1239" s="8">
        <v>737.30200000000002</v>
      </c>
      <c r="O1239" s="8">
        <v>482.178</v>
      </c>
      <c r="P1239" s="8">
        <v>375.17200000000003</v>
      </c>
      <c r="Q1239" s="8">
        <v>341.81099999999998</v>
      </c>
      <c r="R1239" s="8">
        <v>318.505</v>
      </c>
      <c r="S1239" s="8">
        <v>242.65600000000001</v>
      </c>
      <c r="T1239" s="8">
        <v>184.56700000000001</v>
      </c>
      <c r="U1239" s="8">
        <v>164.51</v>
      </c>
      <c r="V1239" s="8">
        <v>122.413</v>
      </c>
      <c r="W1239" s="8">
        <v>93.402000000000001</v>
      </c>
      <c r="X1239" s="8">
        <v>51.423999999999999</v>
      </c>
      <c r="Y1239" s="8">
        <v>25.541</v>
      </c>
      <c r="Z1239" s="8">
        <v>5.8940000000000001</v>
      </c>
      <c r="AA1239" s="8">
        <v>0.88500000000000001</v>
      </c>
      <c r="AB1239" s="8">
        <v>6.3E-2</v>
      </c>
      <c r="AC1239" s="8">
        <v>3.0000000000000001E-3</v>
      </c>
    </row>
    <row r="1240" spans="1:29" ht="11.65" x14ac:dyDescent="0.35">
      <c r="A1240" s="12">
        <v>1223</v>
      </c>
      <c r="B1240" s="10" t="s">
        <v>1015</v>
      </c>
      <c r="C1240" s="11" t="s">
        <v>1105</v>
      </c>
      <c r="D1240" s="9"/>
      <c r="E1240" s="9">
        <v>12</v>
      </c>
      <c r="F1240" s="10" t="s">
        <v>1066</v>
      </c>
      <c r="G1240" s="9">
        <v>912</v>
      </c>
      <c r="H1240" s="9">
        <v>1985</v>
      </c>
      <c r="I1240" s="8">
        <v>1975.29</v>
      </c>
      <c r="J1240" s="8">
        <v>1743.2090000000001</v>
      </c>
      <c r="K1240" s="8">
        <v>1478.155</v>
      </c>
      <c r="L1240" s="8">
        <v>1255.2439999999999</v>
      </c>
      <c r="M1240" s="8">
        <v>1071.6590000000001</v>
      </c>
      <c r="N1240" s="8">
        <v>868.47500000000002</v>
      </c>
      <c r="O1240" s="8">
        <v>718.35599999999999</v>
      </c>
      <c r="P1240" s="8">
        <v>469.94900000000001</v>
      </c>
      <c r="Q1240" s="8">
        <v>364.12599999999998</v>
      </c>
      <c r="R1240" s="8">
        <v>329.86700000000002</v>
      </c>
      <c r="S1240" s="8">
        <v>303.47199999999998</v>
      </c>
      <c r="T1240" s="8">
        <v>229.76900000000001</v>
      </c>
      <c r="U1240" s="8">
        <v>170.459</v>
      </c>
      <c r="V1240" s="8">
        <v>141.75700000000001</v>
      </c>
      <c r="W1240" s="8">
        <v>96.278999999999996</v>
      </c>
      <c r="X1240" s="8">
        <v>63.002000000000002</v>
      </c>
      <c r="Y1240" s="8">
        <v>27.219000000000001</v>
      </c>
      <c r="Z1240" s="8">
        <v>9.093</v>
      </c>
      <c r="AA1240" s="8">
        <v>1.208</v>
      </c>
      <c r="AB1240" s="8">
        <v>9.4E-2</v>
      </c>
      <c r="AC1240" s="8">
        <v>3.0000000000000001E-3</v>
      </c>
    </row>
    <row r="1241" spans="1:29" ht="11.65" x14ac:dyDescent="0.35">
      <c r="A1241" s="12">
        <v>1224</v>
      </c>
      <c r="B1241" s="10" t="s">
        <v>1015</v>
      </c>
      <c r="C1241" s="11" t="s">
        <v>1105</v>
      </c>
      <c r="D1241" s="9"/>
      <c r="E1241" s="9">
        <v>12</v>
      </c>
      <c r="F1241" s="10" t="s">
        <v>1066</v>
      </c>
      <c r="G1241" s="9">
        <v>912</v>
      </c>
      <c r="H1241" s="9">
        <v>1990</v>
      </c>
      <c r="I1241" s="8">
        <v>2028.375</v>
      </c>
      <c r="J1241" s="8">
        <v>1940.7460000000001</v>
      </c>
      <c r="K1241" s="8">
        <v>1730.6389999999999</v>
      </c>
      <c r="L1241" s="8">
        <v>1466.856</v>
      </c>
      <c r="M1241" s="8">
        <v>1240.598</v>
      </c>
      <c r="N1241" s="8">
        <v>1049.8979999999999</v>
      </c>
      <c r="O1241" s="8">
        <v>844.64700000000005</v>
      </c>
      <c r="P1241" s="8">
        <v>699.86400000000003</v>
      </c>
      <c r="Q1241" s="8">
        <v>455.69400000000002</v>
      </c>
      <c r="R1241" s="8">
        <v>351.35300000000001</v>
      </c>
      <c r="S1241" s="8">
        <v>315.89</v>
      </c>
      <c r="T1241" s="8">
        <v>293.69799999999998</v>
      </c>
      <c r="U1241" s="8">
        <v>223.23099999999999</v>
      </c>
      <c r="V1241" s="8">
        <v>157.66399999999999</v>
      </c>
      <c r="W1241" s="8">
        <v>119.708</v>
      </c>
      <c r="X1241" s="8">
        <v>69.314999999999998</v>
      </c>
      <c r="Y1241" s="8">
        <v>35.561999999999998</v>
      </c>
      <c r="Z1241" s="8">
        <v>10.481999999999999</v>
      </c>
      <c r="AA1241" s="8">
        <v>2.0019999999999998</v>
      </c>
      <c r="AB1241" s="8">
        <v>0.13800000000000001</v>
      </c>
      <c r="AC1241" s="8">
        <v>5.0000000000000001E-3</v>
      </c>
    </row>
    <row r="1242" spans="1:29" ht="11.65" x14ac:dyDescent="0.35">
      <c r="A1242" s="12">
        <v>1225</v>
      </c>
      <c r="B1242" s="10" t="s">
        <v>1015</v>
      </c>
      <c r="C1242" s="11" t="s">
        <v>1105</v>
      </c>
      <c r="D1242" s="9"/>
      <c r="E1242" s="9">
        <v>12</v>
      </c>
      <c r="F1242" s="10" t="s">
        <v>1066</v>
      </c>
      <c r="G1242" s="9">
        <v>912</v>
      </c>
      <c r="H1242" s="9">
        <v>1995</v>
      </c>
      <c r="I1242" s="8">
        <v>1906.501</v>
      </c>
      <c r="J1242" s="8">
        <v>2000.354</v>
      </c>
      <c r="K1242" s="8">
        <v>1927.664</v>
      </c>
      <c r="L1242" s="8">
        <v>1713.837</v>
      </c>
      <c r="M1242" s="8">
        <v>1431.6089999999999</v>
      </c>
      <c r="N1242" s="8">
        <v>1198.319</v>
      </c>
      <c r="O1242" s="8">
        <v>1020.174</v>
      </c>
      <c r="P1242" s="8">
        <v>825.476</v>
      </c>
      <c r="Q1242" s="8">
        <v>682.48900000000003</v>
      </c>
      <c r="R1242" s="8">
        <v>441.29399999999998</v>
      </c>
      <c r="S1242" s="8">
        <v>337.17099999999999</v>
      </c>
      <c r="T1242" s="8">
        <v>305.99599999999998</v>
      </c>
      <c r="U1242" s="8">
        <v>282.15499999999997</v>
      </c>
      <c r="V1242" s="8">
        <v>204.81299999999999</v>
      </c>
      <c r="W1242" s="8">
        <v>136.02699999999999</v>
      </c>
      <c r="X1242" s="8">
        <v>89.828999999999994</v>
      </c>
      <c r="Y1242" s="8">
        <v>42.603999999999999</v>
      </c>
      <c r="Z1242" s="8">
        <v>14.696999999999999</v>
      </c>
      <c r="AA1242" s="8">
        <v>2.3780000000000001</v>
      </c>
      <c r="AB1242" s="8">
        <v>0.23899999999999999</v>
      </c>
      <c r="AC1242" s="8">
        <v>8.9999999999999993E-3</v>
      </c>
    </row>
    <row r="1243" spans="1:29" ht="11.65" x14ac:dyDescent="0.35">
      <c r="A1243" s="12">
        <v>1226</v>
      </c>
      <c r="B1243" s="10" t="s">
        <v>1015</v>
      </c>
      <c r="C1243" s="11" t="s">
        <v>1105</v>
      </c>
      <c r="D1243" s="9"/>
      <c r="E1243" s="9">
        <v>12</v>
      </c>
      <c r="F1243" s="10" t="s">
        <v>1066</v>
      </c>
      <c r="G1243" s="9">
        <v>912</v>
      </c>
      <c r="H1243" s="9">
        <v>2000</v>
      </c>
      <c r="I1243" s="8">
        <v>1576.1310000000001</v>
      </c>
      <c r="J1243" s="8">
        <v>1882.7819999999999</v>
      </c>
      <c r="K1243" s="8">
        <v>1987.9490000000001</v>
      </c>
      <c r="L1243" s="8">
        <v>1910.894</v>
      </c>
      <c r="M1243" s="8">
        <v>1673.171</v>
      </c>
      <c r="N1243" s="8">
        <v>1378.992</v>
      </c>
      <c r="O1243" s="8">
        <v>1153.4059999999999</v>
      </c>
      <c r="P1243" s="8">
        <v>982.899</v>
      </c>
      <c r="Q1243" s="8">
        <v>800.25199999999995</v>
      </c>
      <c r="R1243" s="8">
        <v>663.12699999999995</v>
      </c>
      <c r="S1243" s="8">
        <v>424.37099999999998</v>
      </c>
      <c r="T1243" s="8">
        <v>340.98599999999999</v>
      </c>
      <c r="U1243" s="8">
        <v>313.495</v>
      </c>
      <c r="V1243" s="8">
        <v>271.90800000000002</v>
      </c>
      <c r="W1243" s="8">
        <v>183.517</v>
      </c>
      <c r="X1243" s="8">
        <v>105.473</v>
      </c>
      <c r="Y1243" s="8">
        <v>57.32</v>
      </c>
      <c r="Z1243" s="8">
        <v>19.658000000000001</v>
      </c>
      <c r="AA1243" s="8">
        <v>4.3170000000000002</v>
      </c>
      <c r="AB1243" s="8">
        <v>0.42799999999999999</v>
      </c>
      <c r="AC1243" s="8">
        <v>2.3E-2</v>
      </c>
    </row>
    <row r="1244" spans="1:29" ht="11.65" x14ac:dyDescent="0.35">
      <c r="A1244" s="12">
        <v>1227</v>
      </c>
      <c r="B1244" s="10" t="s">
        <v>1015</v>
      </c>
      <c r="C1244" s="11" t="s">
        <v>1105</v>
      </c>
      <c r="D1244" s="9"/>
      <c r="E1244" s="9">
        <v>12</v>
      </c>
      <c r="F1244" s="10" t="s">
        <v>1066</v>
      </c>
      <c r="G1244" s="9">
        <v>912</v>
      </c>
      <c r="H1244" s="9">
        <v>2005</v>
      </c>
      <c r="I1244" s="8">
        <v>1511.79</v>
      </c>
      <c r="J1244" s="8">
        <v>1557.547</v>
      </c>
      <c r="K1244" s="8">
        <v>1871.701</v>
      </c>
      <c r="L1244" s="8">
        <v>1976.991</v>
      </c>
      <c r="M1244" s="8">
        <v>1895.8440000000001</v>
      </c>
      <c r="N1244" s="8">
        <v>1630.248</v>
      </c>
      <c r="O1244" s="8">
        <v>1313.9870000000001</v>
      </c>
      <c r="P1244" s="8">
        <v>1103.8240000000001</v>
      </c>
      <c r="Q1244" s="8">
        <v>947.38599999999997</v>
      </c>
      <c r="R1244" s="8">
        <v>775.23699999999997</v>
      </c>
      <c r="S1244" s="8">
        <v>644.02499999999998</v>
      </c>
      <c r="T1244" s="8">
        <v>419.73399999999998</v>
      </c>
      <c r="U1244" s="8">
        <v>342.834</v>
      </c>
      <c r="V1244" s="8">
        <v>294.14</v>
      </c>
      <c r="W1244" s="8">
        <v>232.815</v>
      </c>
      <c r="X1244" s="8">
        <v>141.56399999999999</v>
      </c>
      <c r="Y1244" s="8">
        <v>68.992999999999995</v>
      </c>
      <c r="Z1244" s="8">
        <v>29.152999999999999</v>
      </c>
      <c r="AA1244" s="8">
        <v>7.1120000000000001</v>
      </c>
      <c r="AB1244" s="8">
        <v>1.04</v>
      </c>
      <c r="AC1244" s="8">
        <v>6.2E-2</v>
      </c>
    </row>
    <row r="1245" spans="1:29" ht="11.65" x14ac:dyDescent="0.35">
      <c r="A1245" s="12">
        <v>1228</v>
      </c>
      <c r="B1245" s="10" t="s">
        <v>1015</v>
      </c>
      <c r="C1245" s="11" t="s">
        <v>1105</v>
      </c>
      <c r="D1245" s="9"/>
      <c r="E1245" s="9">
        <v>12</v>
      </c>
      <c r="F1245" s="10" t="s">
        <v>1066</v>
      </c>
      <c r="G1245" s="9">
        <v>912</v>
      </c>
      <c r="H1245" s="9">
        <v>2010</v>
      </c>
      <c r="I1245" s="8">
        <v>1966.415</v>
      </c>
      <c r="J1245" s="8">
        <v>1495.8820000000001</v>
      </c>
      <c r="K1245" s="8">
        <v>1548.06</v>
      </c>
      <c r="L1245" s="8">
        <v>1852.7670000000001</v>
      </c>
      <c r="M1245" s="8">
        <v>1941.2729999999999</v>
      </c>
      <c r="N1245" s="8">
        <v>1838.7560000000001</v>
      </c>
      <c r="O1245" s="8">
        <v>1551.8689999999999</v>
      </c>
      <c r="P1245" s="8">
        <v>1250.0550000000001</v>
      </c>
      <c r="Q1245" s="8">
        <v>1064.421</v>
      </c>
      <c r="R1245" s="8">
        <v>914.02700000000004</v>
      </c>
      <c r="S1245" s="8">
        <v>746.14599999999996</v>
      </c>
      <c r="T1245" s="8">
        <v>631.79</v>
      </c>
      <c r="U1245" s="8">
        <v>421.68400000000003</v>
      </c>
      <c r="V1245" s="8">
        <v>327.173</v>
      </c>
      <c r="W1245" s="8">
        <v>264.86099999999999</v>
      </c>
      <c r="X1245" s="8">
        <v>194.19</v>
      </c>
      <c r="Y1245" s="8">
        <v>100.73</v>
      </c>
      <c r="Z1245" s="8">
        <v>37.985999999999997</v>
      </c>
      <c r="AA1245" s="8">
        <v>11.286</v>
      </c>
      <c r="AB1245" s="8">
        <v>1.83</v>
      </c>
      <c r="AC1245" s="8">
        <v>0.159</v>
      </c>
    </row>
    <row r="1246" spans="1:29" ht="11.65" x14ac:dyDescent="0.35">
      <c r="A1246" s="12">
        <v>1229</v>
      </c>
      <c r="B1246" s="10" t="s">
        <v>1015</v>
      </c>
      <c r="C1246" s="11" t="s">
        <v>1105</v>
      </c>
      <c r="D1246" s="9"/>
      <c r="E1246" s="9">
        <v>12</v>
      </c>
      <c r="F1246" s="10" t="s">
        <v>1066</v>
      </c>
      <c r="G1246" s="9">
        <v>912</v>
      </c>
      <c r="H1246" s="9">
        <v>2015</v>
      </c>
      <c r="I1246" s="8">
        <v>2376.8679999999999</v>
      </c>
      <c r="J1246" s="8">
        <v>1954.5740000000001</v>
      </c>
      <c r="K1246" s="8">
        <v>1490.203</v>
      </c>
      <c r="L1246" s="8">
        <v>1541.126</v>
      </c>
      <c r="M1246" s="8">
        <v>1826.115</v>
      </c>
      <c r="N1246" s="8">
        <v>1892.2929999999999</v>
      </c>
      <c r="O1246" s="8">
        <v>1797.623</v>
      </c>
      <c r="P1246" s="8">
        <v>1526.278</v>
      </c>
      <c r="Q1246" s="8">
        <v>1230.2139999999999</v>
      </c>
      <c r="R1246" s="8">
        <v>1046.6489999999999</v>
      </c>
      <c r="S1246" s="8">
        <v>893.48199999999997</v>
      </c>
      <c r="T1246" s="8">
        <v>736.10699999999997</v>
      </c>
      <c r="U1246" s="8">
        <v>625.65899999999999</v>
      </c>
      <c r="V1246" s="8">
        <v>402.11799999999999</v>
      </c>
      <c r="W1246" s="8">
        <v>291.62799999999999</v>
      </c>
      <c r="X1246" s="8">
        <v>217.63</v>
      </c>
      <c r="Y1246" s="8">
        <v>138.80000000000001</v>
      </c>
      <c r="Z1246" s="8">
        <v>57.484999999999999</v>
      </c>
      <c r="AA1246" s="8">
        <v>15.672000000000001</v>
      </c>
      <c r="AB1246" s="8">
        <v>3.073</v>
      </c>
      <c r="AC1246" s="8">
        <v>0.29399999999999998</v>
      </c>
    </row>
    <row r="1247" spans="1:29" ht="11.65" x14ac:dyDescent="0.35">
      <c r="A1247" s="12">
        <v>1230</v>
      </c>
      <c r="B1247" s="10" t="s">
        <v>1015</v>
      </c>
      <c r="C1247" s="11" t="s">
        <v>1105</v>
      </c>
      <c r="D1247" s="9"/>
      <c r="E1247" s="9">
        <v>12</v>
      </c>
      <c r="F1247" s="10" t="s">
        <v>1066</v>
      </c>
      <c r="G1247" s="9">
        <v>912</v>
      </c>
      <c r="H1247" s="9">
        <v>2020</v>
      </c>
      <c r="I1247" s="8">
        <v>2574.0619999999999</v>
      </c>
      <c r="J1247" s="8">
        <v>2366.6370000000002</v>
      </c>
      <c r="K1247" s="8">
        <v>1949.2929999999999</v>
      </c>
      <c r="L1247" s="8">
        <v>1484.482</v>
      </c>
      <c r="M1247" s="8">
        <v>1531.0250000000001</v>
      </c>
      <c r="N1247" s="8">
        <v>1812.011</v>
      </c>
      <c r="O1247" s="8">
        <v>1877.52</v>
      </c>
      <c r="P1247" s="8">
        <v>1782.7750000000001</v>
      </c>
      <c r="Q1247" s="8">
        <v>1511.22</v>
      </c>
      <c r="R1247" s="8">
        <v>1214.095</v>
      </c>
      <c r="S1247" s="8">
        <v>1026.74</v>
      </c>
      <c r="T1247" s="8">
        <v>867.90300000000002</v>
      </c>
      <c r="U1247" s="8">
        <v>703.30700000000002</v>
      </c>
      <c r="V1247" s="8">
        <v>583.04</v>
      </c>
      <c r="W1247" s="8">
        <v>359.71699999999998</v>
      </c>
      <c r="X1247" s="8">
        <v>241.81299999999999</v>
      </c>
      <c r="Y1247" s="8">
        <v>157.78299999999999</v>
      </c>
      <c r="Z1247" s="8">
        <v>80.994</v>
      </c>
      <c r="AA1247" s="8">
        <v>24.471</v>
      </c>
      <c r="AB1247" s="8">
        <v>4.4089999999999998</v>
      </c>
      <c r="AC1247" s="8">
        <v>0.51100000000000001</v>
      </c>
    </row>
    <row r="1248" spans="1:29" ht="11.65" x14ac:dyDescent="0.35">
      <c r="A1248" s="12">
        <v>1231</v>
      </c>
      <c r="B1248" s="10" t="s">
        <v>1015</v>
      </c>
      <c r="C1248" s="11" t="s">
        <v>1106</v>
      </c>
      <c r="D1248" s="9"/>
      <c r="E1248" s="9">
        <v>818</v>
      </c>
      <c r="F1248" s="10" t="s">
        <v>1066</v>
      </c>
      <c r="G1248" s="9">
        <v>912</v>
      </c>
      <c r="H1248" s="9">
        <v>1950</v>
      </c>
      <c r="I1248" s="8">
        <v>1886.491</v>
      </c>
      <c r="J1248" s="8">
        <v>1138.07</v>
      </c>
      <c r="K1248" s="8">
        <v>1085.8599999999999</v>
      </c>
      <c r="L1248" s="8">
        <v>1073.4000000000001</v>
      </c>
      <c r="M1248" s="8">
        <v>951.61900000000003</v>
      </c>
      <c r="N1248" s="8">
        <v>830.20399999999995</v>
      </c>
      <c r="O1248" s="8">
        <v>716.52300000000002</v>
      </c>
      <c r="P1248" s="8">
        <v>616.63</v>
      </c>
      <c r="Q1248" s="8">
        <v>525.78399999999999</v>
      </c>
      <c r="R1248" s="8">
        <v>432.63200000000001</v>
      </c>
      <c r="S1248" s="8">
        <v>354.62700000000001</v>
      </c>
      <c r="T1248" s="8">
        <v>276.791</v>
      </c>
      <c r="U1248" s="8">
        <v>214.04900000000001</v>
      </c>
      <c r="V1248" s="8">
        <v>144.43899999999999</v>
      </c>
      <c r="W1248" s="8">
        <v>83.058000000000007</v>
      </c>
      <c r="X1248" s="8">
        <v>37.094999999999999</v>
      </c>
      <c r="Y1248" s="8">
        <v>10.157</v>
      </c>
      <c r="Z1248" s="8">
        <v>3.5110000000000001</v>
      </c>
      <c r="AA1248" s="8">
        <v>0.73399999999999999</v>
      </c>
      <c r="AB1248" s="8">
        <v>8.2000000000000003E-2</v>
      </c>
      <c r="AC1248" s="8">
        <v>4.0000000000000001E-3</v>
      </c>
    </row>
    <row r="1249" spans="1:29" ht="11.65" x14ac:dyDescent="0.35">
      <c r="A1249" s="12">
        <v>1232</v>
      </c>
      <c r="B1249" s="10" t="s">
        <v>1015</v>
      </c>
      <c r="C1249" s="11" t="s">
        <v>1106</v>
      </c>
      <c r="D1249" s="9"/>
      <c r="E1249" s="9">
        <v>818</v>
      </c>
      <c r="F1249" s="10" t="s">
        <v>1066</v>
      </c>
      <c r="G1249" s="9">
        <v>912</v>
      </c>
      <c r="H1249" s="9">
        <v>1955</v>
      </c>
      <c r="I1249" s="8">
        <v>2034.3969999999999</v>
      </c>
      <c r="J1249" s="8">
        <v>1669.693</v>
      </c>
      <c r="K1249" s="8">
        <v>1121.0029999999999</v>
      </c>
      <c r="L1249" s="8">
        <v>1069.932</v>
      </c>
      <c r="M1249" s="8">
        <v>1052.925</v>
      </c>
      <c r="N1249" s="8">
        <v>927.89300000000003</v>
      </c>
      <c r="O1249" s="8">
        <v>807.428</v>
      </c>
      <c r="P1249" s="8">
        <v>694.38900000000001</v>
      </c>
      <c r="Q1249" s="8">
        <v>594.44000000000005</v>
      </c>
      <c r="R1249" s="8">
        <v>503.17200000000003</v>
      </c>
      <c r="S1249" s="8">
        <v>405.09300000000002</v>
      </c>
      <c r="T1249" s="8">
        <v>323.81099999999998</v>
      </c>
      <c r="U1249" s="8">
        <v>245.06399999999999</v>
      </c>
      <c r="V1249" s="8">
        <v>178.01</v>
      </c>
      <c r="W1249" s="8">
        <v>107.77</v>
      </c>
      <c r="X1249" s="8">
        <v>51.988</v>
      </c>
      <c r="Y1249" s="8">
        <v>18.132999999999999</v>
      </c>
      <c r="Z1249" s="8">
        <v>3.4940000000000002</v>
      </c>
      <c r="AA1249" s="8">
        <v>0.73499999999999999</v>
      </c>
      <c r="AB1249" s="8">
        <v>8.2000000000000003E-2</v>
      </c>
      <c r="AC1249" s="8">
        <v>4.0000000000000001E-3</v>
      </c>
    </row>
    <row r="1250" spans="1:29" ht="11.65" x14ac:dyDescent="0.35">
      <c r="A1250" s="12">
        <v>1233</v>
      </c>
      <c r="B1250" s="10" t="s">
        <v>1015</v>
      </c>
      <c r="C1250" s="11" t="s">
        <v>1106</v>
      </c>
      <c r="D1250" s="9"/>
      <c r="E1250" s="9">
        <v>818</v>
      </c>
      <c r="F1250" s="10" t="s">
        <v>1066</v>
      </c>
      <c r="G1250" s="9">
        <v>912</v>
      </c>
      <c r="H1250" s="9">
        <v>1960</v>
      </c>
      <c r="I1250" s="8">
        <v>2360.933</v>
      </c>
      <c r="J1250" s="8">
        <v>1855.6959999999999</v>
      </c>
      <c r="K1250" s="8">
        <v>1648.008</v>
      </c>
      <c r="L1250" s="8">
        <v>1106.2380000000001</v>
      </c>
      <c r="M1250" s="8">
        <v>1050.82</v>
      </c>
      <c r="N1250" s="8">
        <v>1028.9639999999999</v>
      </c>
      <c r="O1250" s="8">
        <v>904.63800000000003</v>
      </c>
      <c r="P1250" s="8">
        <v>784.68499999999995</v>
      </c>
      <c r="Q1250" s="8">
        <v>671.45299999999997</v>
      </c>
      <c r="R1250" s="8">
        <v>570.221</v>
      </c>
      <c r="S1250" s="8">
        <v>472.18400000000003</v>
      </c>
      <c r="T1250" s="8">
        <v>370.62299999999999</v>
      </c>
      <c r="U1250" s="8">
        <v>287.24900000000002</v>
      </c>
      <c r="V1250" s="8">
        <v>204.23099999999999</v>
      </c>
      <c r="W1250" s="8">
        <v>133.495</v>
      </c>
      <c r="X1250" s="8">
        <v>68.468000000000004</v>
      </c>
      <c r="Y1250" s="8">
        <v>25.817</v>
      </c>
      <c r="Z1250" s="8">
        <v>6.2910000000000004</v>
      </c>
      <c r="AA1250" s="8">
        <v>0.745</v>
      </c>
      <c r="AB1250" s="8">
        <v>8.5999999999999993E-2</v>
      </c>
      <c r="AC1250" s="8">
        <v>5.0000000000000001E-3</v>
      </c>
    </row>
    <row r="1251" spans="1:29" ht="11.65" x14ac:dyDescent="0.35">
      <c r="A1251" s="12">
        <v>1234</v>
      </c>
      <c r="B1251" s="10" t="s">
        <v>1015</v>
      </c>
      <c r="C1251" s="11" t="s">
        <v>1106</v>
      </c>
      <c r="D1251" s="9"/>
      <c r="E1251" s="9">
        <v>818</v>
      </c>
      <c r="F1251" s="10" t="s">
        <v>1066</v>
      </c>
      <c r="G1251" s="9">
        <v>912</v>
      </c>
      <c r="H1251" s="9">
        <v>1965</v>
      </c>
      <c r="I1251" s="8">
        <v>2604.3679999999999</v>
      </c>
      <c r="J1251" s="8">
        <v>2186.645</v>
      </c>
      <c r="K1251" s="8">
        <v>1834.674</v>
      </c>
      <c r="L1251" s="8">
        <v>1629.348</v>
      </c>
      <c r="M1251" s="8">
        <v>1087.884</v>
      </c>
      <c r="N1251" s="8">
        <v>1028.3630000000001</v>
      </c>
      <c r="O1251" s="8">
        <v>1005.3680000000001</v>
      </c>
      <c r="P1251" s="8">
        <v>881.37400000000002</v>
      </c>
      <c r="Q1251" s="8">
        <v>760.90300000000002</v>
      </c>
      <c r="R1251" s="8">
        <v>645.52499999999998</v>
      </c>
      <c r="S1251" s="8">
        <v>536.07799999999997</v>
      </c>
      <c r="T1251" s="8">
        <v>432.66199999999998</v>
      </c>
      <c r="U1251" s="8">
        <v>328.911</v>
      </c>
      <c r="V1251" s="8">
        <v>239.822</v>
      </c>
      <c r="W1251" s="8">
        <v>154.46799999999999</v>
      </c>
      <c r="X1251" s="8">
        <v>85.569000000000003</v>
      </c>
      <c r="Y1251" s="8">
        <v>34.024000000000001</v>
      </c>
      <c r="Z1251" s="8">
        <v>8.8960000000000008</v>
      </c>
      <c r="AA1251" s="8">
        <v>1.339</v>
      </c>
      <c r="AB1251" s="8">
        <v>8.3000000000000004E-2</v>
      </c>
      <c r="AC1251" s="8">
        <v>2E-3</v>
      </c>
    </row>
    <row r="1252" spans="1:29" ht="11.65" x14ac:dyDescent="0.35">
      <c r="A1252" s="12">
        <v>1235</v>
      </c>
      <c r="B1252" s="10" t="s">
        <v>1015</v>
      </c>
      <c r="C1252" s="11" t="s">
        <v>1106</v>
      </c>
      <c r="D1252" s="9"/>
      <c r="E1252" s="9">
        <v>818</v>
      </c>
      <c r="F1252" s="10" t="s">
        <v>1066</v>
      </c>
      <c r="G1252" s="9">
        <v>912</v>
      </c>
      <c r="H1252" s="9">
        <v>1970</v>
      </c>
      <c r="I1252" s="8">
        <v>2883.6260000000002</v>
      </c>
      <c r="J1252" s="8">
        <v>2435.1909999999998</v>
      </c>
      <c r="K1252" s="8">
        <v>2163.2979999999998</v>
      </c>
      <c r="L1252" s="8">
        <v>1808.51</v>
      </c>
      <c r="M1252" s="8">
        <v>1587.356</v>
      </c>
      <c r="N1252" s="8">
        <v>1042.278</v>
      </c>
      <c r="O1252" s="8">
        <v>985.53499999999997</v>
      </c>
      <c r="P1252" s="8">
        <v>966.61699999999996</v>
      </c>
      <c r="Q1252" s="8">
        <v>846.55499999999995</v>
      </c>
      <c r="R1252" s="8">
        <v>726.23099999999999</v>
      </c>
      <c r="S1252" s="8">
        <v>603.56700000000001</v>
      </c>
      <c r="T1252" s="8">
        <v>489.09</v>
      </c>
      <c r="U1252" s="8">
        <v>382.67</v>
      </c>
      <c r="V1252" s="8">
        <v>273.92</v>
      </c>
      <c r="W1252" s="8">
        <v>180.92</v>
      </c>
      <c r="X1252" s="8">
        <v>98.819000000000003</v>
      </c>
      <c r="Y1252" s="8">
        <v>42.726999999999997</v>
      </c>
      <c r="Z1252" s="8">
        <v>11.852</v>
      </c>
      <c r="AA1252" s="8">
        <v>1.895</v>
      </c>
      <c r="AB1252" s="8">
        <v>0.14899999999999999</v>
      </c>
      <c r="AC1252" s="8">
        <v>2E-3</v>
      </c>
    </row>
    <row r="1253" spans="1:29" ht="11.65" x14ac:dyDescent="0.35">
      <c r="A1253" s="12">
        <v>1236</v>
      </c>
      <c r="B1253" s="10" t="s">
        <v>1015</v>
      </c>
      <c r="C1253" s="11" t="s">
        <v>1106</v>
      </c>
      <c r="D1253" s="9"/>
      <c r="E1253" s="9">
        <v>818</v>
      </c>
      <c r="F1253" s="10" t="s">
        <v>1066</v>
      </c>
      <c r="G1253" s="9">
        <v>912</v>
      </c>
      <c r="H1253" s="9">
        <v>1975</v>
      </c>
      <c r="I1253" s="8">
        <v>3069.7240000000002</v>
      </c>
      <c r="J1253" s="8">
        <v>2708.5540000000001</v>
      </c>
      <c r="K1253" s="8">
        <v>2409.5889999999999</v>
      </c>
      <c r="L1253" s="8">
        <v>2105.3069999999998</v>
      </c>
      <c r="M1253" s="8">
        <v>1659.9849999999999</v>
      </c>
      <c r="N1253" s="8">
        <v>1419.338</v>
      </c>
      <c r="O1253" s="8">
        <v>979.32899999999995</v>
      </c>
      <c r="P1253" s="8">
        <v>981.81500000000005</v>
      </c>
      <c r="Q1253" s="8">
        <v>960.78099999999995</v>
      </c>
      <c r="R1253" s="8">
        <v>845.18799999999999</v>
      </c>
      <c r="S1253" s="8">
        <v>701.41800000000001</v>
      </c>
      <c r="T1253" s="8">
        <v>551.61199999999997</v>
      </c>
      <c r="U1253" s="8">
        <v>430.529</v>
      </c>
      <c r="V1253" s="8">
        <v>318.315</v>
      </c>
      <c r="W1253" s="8">
        <v>207.779</v>
      </c>
      <c r="X1253" s="8">
        <v>117.706</v>
      </c>
      <c r="Y1253" s="8">
        <v>50.764000000000003</v>
      </c>
      <c r="Z1253" s="8">
        <v>15.404999999999999</v>
      </c>
      <c r="AA1253" s="8">
        <v>2.5950000000000002</v>
      </c>
      <c r="AB1253" s="8">
        <v>0.217</v>
      </c>
      <c r="AC1253" s="8">
        <v>2E-3</v>
      </c>
    </row>
    <row r="1254" spans="1:29" ht="11.65" x14ac:dyDescent="0.35">
      <c r="A1254" s="12">
        <v>1237</v>
      </c>
      <c r="B1254" s="10" t="s">
        <v>1015</v>
      </c>
      <c r="C1254" s="11" t="s">
        <v>1106</v>
      </c>
      <c r="D1254" s="9"/>
      <c r="E1254" s="9">
        <v>818</v>
      </c>
      <c r="F1254" s="10" t="s">
        <v>1066</v>
      </c>
      <c r="G1254" s="9">
        <v>912</v>
      </c>
      <c r="H1254" s="9">
        <v>1980</v>
      </c>
      <c r="I1254" s="8">
        <v>3484.6080000000002</v>
      </c>
      <c r="J1254" s="8">
        <v>2931.9380000000001</v>
      </c>
      <c r="K1254" s="8">
        <v>2683.6149999999998</v>
      </c>
      <c r="L1254" s="8">
        <v>2313.1350000000002</v>
      </c>
      <c r="M1254" s="8">
        <v>1908.7829999999999</v>
      </c>
      <c r="N1254" s="8">
        <v>1512.4960000000001</v>
      </c>
      <c r="O1254" s="8">
        <v>1381.318</v>
      </c>
      <c r="P1254" s="8">
        <v>990.51800000000003</v>
      </c>
      <c r="Q1254" s="8">
        <v>992.971</v>
      </c>
      <c r="R1254" s="8">
        <v>948.99199999999996</v>
      </c>
      <c r="S1254" s="8">
        <v>803.31500000000005</v>
      </c>
      <c r="T1254" s="8">
        <v>639.875</v>
      </c>
      <c r="U1254" s="8">
        <v>485.25799999999998</v>
      </c>
      <c r="V1254" s="8">
        <v>358.47500000000002</v>
      </c>
      <c r="W1254" s="8">
        <v>242.542</v>
      </c>
      <c r="X1254" s="8">
        <v>136.084</v>
      </c>
      <c r="Y1254" s="8">
        <v>61.139000000000003</v>
      </c>
      <c r="Z1254" s="8">
        <v>19.007000000000001</v>
      </c>
      <c r="AA1254" s="8">
        <v>3.5720000000000001</v>
      </c>
      <c r="AB1254" s="8">
        <v>0.307</v>
      </c>
      <c r="AC1254" s="8">
        <v>8.0000000000000002E-3</v>
      </c>
    </row>
    <row r="1255" spans="1:29" ht="11.65" x14ac:dyDescent="0.35">
      <c r="A1255" s="12">
        <v>1238</v>
      </c>
      <c r="B1255" s="10" t="s">
        <v>1015</v>
      </c>
      <c r="C1255" s="11" t="s">
        <v>1106</v>
      </c>
      <c r="D1255" s="9"/>
      <c r="E1255" s="9">
        <v>818</v>
      </c>
      <c r="F1255" s="10" t="s">
        <v>1066</v>
      </c>
      <c r="G1255" s="9">
        <v>912</v>
      </c>
      <c r="H1255" s="9">
        <v>1985</v>
      </c>
      <c r="I1255" s="8">
        <v>4034.89</v>
      </c>
      <c r="J1255" s="8">
        <v>3364.951</v>
      </c>
      <c r="K1255" s="8">
        <v>2907.404</v>
      </c>
      <c r="L1255" s="8">
        <v>2589.9870000000001</v>
      </c>
      <c r="M1255" s="8">
        <v>2135.9490000000001</v>
      </c>
      <c r="N1255" s="8">
        <v>1761.6289999999999</v>
      </c>
      <c r="O1255" s="8">
        <v>1477.893</v>
      </c>
      <c r="P1255" s="8">
        <v>1406.4649999999999</v>
      </c>
      <c r="Q1255" s="8">
        <v>993.08699999999999</v>
      </c>
      <c r="R1255" s="8">
        <v>960.476</v>
      </c>
      <c r="S1255" s="8">
        <v>894.37199999999996</v>
      </c>
      <c r="T1255" s="8">
        <v>738.69500000000005</v>
      </c>
      <c r="U1255" s="8">
        <v>569.62900000000002</v>
      </c>
      <c r="V1255" s="8">
        <v>407.959</v>
      </c>
      <c r="W1255" s="8">
        <v>275.51799999999997</v>
      </c>
      <c r="X1255" s="8">
        <v>160.58000000000001</v>
      </c>
      <c r="Y1255" s="8">
        <v>71.236000000000004</v>
      </c>
      <c r="Z1255" s="8">
        <v>22.826000000000001</v>
      </c>
      <c r="AA1255" s="8">
        <v>4.3869999999999996</v>
      </c>
      <c r="AB1255" s="8">
        <v>0.42299999999999999</v>
      </c>
      <c r="AC1255" s="8">
        <v>7.0000000000000001E-3</v>
      </c>
    </row>
    <row r="1256" spans="1:29" ht="11.65" x14ac:dyDescent="0.35">
      <c r="A1256" s="12">
        <v>1239</v>
      </c>
      <c r="B1256" s="10" t="s">
        <v>1015</v>
      </c>
      <c r="C1256" s="11" t="s">
        <v>1106</v>
      </c>
      <c r="D1256" s="9"/>
      <c r="E1256" s="9">
        <v>818</v>
      </c>
      <c r="F1256" s="10" t="s">
        <v>1066</v>
      </c>
      <c r="G1256" s="9">
        <v>912</v>
      </c>
      <c r="H1256" s="9">
        <v>1990</v>
      </c>
      <c r="I1256" s="8">
        <v>4462.3190000000004</v>
      </c>
      <c r="J1256" s="8">
        <v>3943.9009999999998</v>
      </c>
      <c r="K1256" s="8">
        <v>3342.5329999999999</v>
      </c>
      <c r="L1256" s="8">
        <v>2783.0279999999998</v>
      </c>
      <c r="M1256" s="8">
        <v>2403.3510000000001</v>
      </c>
      <c r="N1256" s="8">
        <v>2048.3560000000002</v>
      </c>
      <c r="O1256" s="8">
        <v>1780.6410000000001</v>
      </c>
      <c r="P1256" s="8">
        <v>1521.3389999999999</v>
      </c>
      <c r="Q1256" s="8">
        <v>1420.989</v>
      </c>
      <c r="R1256" s="8">
        <v>1001.948</v>
      </c>
      <c r="S1256" s="8">
        <v>924.01700000000005</v>
      </c>
      <c r="T1256" s="8">
        <v>821.15</v>
      </c>
      <c r="U1256" s="8">
        <v>659.05399999999997</v>
      </c>
      <c r="V1256" s="8">
        <v>480.80799999999999</v>
      </c>
      <c r="W1256" s="8">
        <v>313.75299999999999</v>
      </c>
      <c r="X1256" s="8">
        <v>182.11799999999999</v>
      </c>
      <c r="Y1256" s="8">
        <v>84.403999999999996</v>
      </c>
      <c r="Z1256" s="8">
        <v>26.928999999999998</v>
      </c>
      <c r="AA1256" s="8">
        <v>5.3730000000000002</v>
      </c>
      <c r="AB1256" s="8">
        <v>0.53900000000000003</v>
      </c>
      <c r="AC1256" s="8">
        <v>2.5999999999999999E-2</v>
      </c>
    </row>
    <row r="1257" spans="1:29" ht="11.65" x14ac:dyDescent="0.35">
      <c r="A1257" s="12">
        <v>1240</v>
      </c>
      <c r="B1257" s="10" t="s">
        <v>1015</v>
      </c>
      <c r="C1257" s="11" t="s">
        <v>1106</v>
      </c>
      <c r="D1257" s="9"/>
      <c r="E1257" s="9">
        <v>818</v>
      </c>
      <c r="F1257" s="10" t="s">
        <v>1066</v>
      </c>
      <c r="G1257" s="9">
        <v>912</v>
      </c>
      <c r="H1257" s="9">
        <v>1995</v>
      </c>
      <c r="I1257" s="8">
        <v>4305.7240000000002</v>
      </c>
      <c r="J1257" s="8">
        <v>4386.0630000000001</v>
      </c>
      <c r="K1257" s="8">
        <v>3921.1060000000002</v>
      </c>
      <c r="L1257" s="8">
        <v>3301.3110000000001</v>
      </c>
      <c r="M1257" s="8">
        <v>2643.4920000000002</v>
      </c>
      <c r="N1257" s="8">
        <v>2258.4879999999998</v>
      </c>
      <c r="O1257" s="8">
        <v>2030.8789999999999</v>
      </c>
      <c r="P1257" s="8">
        <v>1802.682</v>
      </c>
      <c r="Q1257" s="8">
        <v>1521.0340000000001</v>
      </c>
      <c r="R1257" s="8">
        <v>1402.423</v>
      </c>
      <c r="S1257" s="8">
        <v>957.63300000000004</v>
      </c>
      <c r="T1257" s="8">
        <v>849.52099999999996</v>
      </c>
      <c r="U1257" s="8">
        <v>733.98199999999997</v>
      </c>
      <c r="V1257" s="8">
        <v>557.58199999999999</v>
      </c>
      <c r="W1257" s="8">
        <v>371.04700000000003</v>
      </c>
      <c r="X1257" s="8">
        <v>208.98400000000001</v>
      </c>
      <c r="Y1257" s="8">
        <v>97.35</v>
      </c>
      <c r="Z1257" s="8">
        <v>32.441000000000003</v>
      </c>
      <c r="AA1257" s="8">
        <v>6.42</v>
      </c>
      <c r="AB1257" s="8">
        <v>0.69499999999999995</v>
      </c>
      <c r="AC1257" s="8">
        <v>3.7999999999999999E-2</v>
      </c>
    </row>
    <row r="1258" spans="1:29" ht="11.65" x14ac:dyDescent="0.35">
      <c r="A1258" s="12">
        <v>1241</v>
      </c>
      <c r="B1258" s="10" t="s">
        <v>1015</v>
      </c>
      <c r="C1258" s="11" t="s">
        <v>1106</v>
      </c>
      <c r="D1258" s="9"/>
      <c r="E1258" s="9">
        <v>818</v>
      </c>
      <c r="F1258" s="10" t="s">
        <v>1066</v>
      </c>
      <c r="G1258" s="9">
        <v>912</v>
      </c>
      <c r="H1258" s="9">
        <v>2000</v>
      </c>
      <c r="I1258" s="8">
        <v>4396.1480000000001</v>
      </c>
      <c r="J1258" s="8">
        <v>4260.4319999999998</v>
      </c>
      <c r="K1258" s="8">
        <v>4365.3519999999999</v>
      </c>
      <c r="L1258" s="8">
        <v>3897.873</v>
      </c>
      <c r="M1258" s="8">
        <v>3235.1660000000002</v>
      </c>
      <c r="N1258" s="8">
        <v>2540.91</v>
      </c>
      <c r="O1258" s="8">
        <v>2202.3440000000001</v>
      </c>
      <c r="P1258" s="8">
        <v>2023.684</v>
      </c>
      <c r="Q1258" s="8">
        <v>1792.6659999999999</v>
      </c>
      <c r="R1258" s="8">
        <v>1496.752</v>
      </c>
      <c r="S1258" s="8">
        <v>1338.807</v>
      </c>
      <c r="T1258" s="8">
        <v>881.27499999999998</v>
      </c>
      <c r="U1258" s="8">
        <v>759.952</v>
      </c>
      <c r="V1258" s="8">
        <v>621.65700000000004</v>
      </c>
      <c r="W1258" s="8">
        <v>431.50299999999999</v>
      </c>
      <c r="X1258" s="8">
        <v>248.38399999999999</v>
      </c>
      <c r="Y1258" s="8">
        <v>111.66500000000001</v>
      </c>
      <c r="Z1258" s="8">
        <v>37.177999999999997</v>
      </c>
      <c r="AA1258" s="8">
        <v>7.7759999999999998</v>
      </c>
      <c r="AB1258" s="8">
        <v>0.85099999999999998</v>
      </c>
      <c r="AC1258" s="8">
        <v>4.9000000000000002E-2</v>
      </c>
    </row>
    <row r="1259" spans="1:29" ht="11.65" x14ac:dyDescent="0.35">
      <c r="A1259" s="12">
        <v>1242</v>
      </c>
      <c r="B1259" s="10" t="s">
        <v>1015</v>
      </c>
      <c r="C1259" s="11" t="s">
        <v>1106</v>
      </c>
      <c r="D1259" s="9"/>
      <c r="E1259" s="9">
        <v>818</v>
      </c>
      <c r="F1259" s="10" t="s">
        <v>1066</v>
      </c>
      <c r="G1259" s="9">
        <v>912</v>
      </c>
      <c r="H1259" s="9">
        <v>2005</v>
      </c>
      <c r="I1259" s="8">
        <v>4532.1229999999996</v>
      </c>
      <c r="J1259" s="8">
        <v>4360.1040000000003</v>
      </c>
      <c r="K1259" s="8">
        <v>4242.5940000000001</v>
      </c>
      <c r="L1259" s="8">
        <v>4345.8119999999999</v>
      </c>
      <c r="M1259" s="8">
        <v>3865.8629999999998</v>
      </c>
      <c r="N1259" s="8">
        <v>3188.5940000000001</v>
      </c>
      <c r="O1259" s="8">
        <v>2508.8719999999998</v>
      </c>
      <c r="P1259" s="8">
        <v>2198.8159999999998</v>
      </c>
      <c r="Q1259" s="8">
        <v>2022.663</v>
      </c>
      <c r="R1259" s="8">
        <v>1770.921</v>
      </c>
      <c r="S1259" s="8">
        <v>1433.0329999999999</v>
      </c>
      <c r="T1259" s="8">
        <v>1235.9659999999999</v>
      </c>
      <c r="U1259" s="8">
        <v>788.55399999999997</v>
      </c>
      <c r="V1259" s="8">
        <v>643.57899999999995</v>
      </c>
      <c r="W1259" s="8">
        <v>481.93200000000002</v>
      </c>
      <c r="X1259" s="8">
        <v>289.50799999999998</v>
      </c>
      <c r="Y1259" s="8">
        <v>134.47</v>
      </c>
      <c r="Z1259" s="8">
        <v>43.942999999999998</v>
      </c>
      <c r="AA1259" s="8">
        <v>9.1579999999999995</v>
      </c>
      <c r="AB1259" s="8">
        <v>1.0589999999999999</v>
      </c>
      <c r="AC1259" s="8">
        <v>6.0999999999999999E-2</v>
      </c>
    </row>
    <row r="1260" spans="1:29" ht="11.65" x14ac:dyDescent="0.35">
      <c r="A1260" s="12">
        <v>1243</v>
      </c>
      <c r="B1260" s="10" t="s">
        <v>1015</v>
      </c>
      <c r="C1260" s="11" t="s">
        <v>1106</v>
      </c>
      <c r="D1260" s="9"/>
      <c r="E1260" s="9">
        <v>818</v>
      </c>
      <c r="F1260" s="10" t="s">
        <v>1066</v>
      </c>
      <c r="G1260" s="9">
        <v>912</v>
      </c>
      <c r="H1260" s="9">
        <v>2010</v>
      </c>
      <c r="I1260" s="8">
        <v>5020.7389999999996</v>
      </c>
      <c r="J1260" s="8">
        <v>4499.2420000000002</v>
      </c>
      <c r="K1260" s="8">
        <v>4342.3559999999998</v>
      </c>
      <c r="L1260" s="8">
        <v>4216.7669999999998</v>
      </c>
      <c r="M1260" s="8">
        <v>4263.598</v>
      </c>
      <c r="N1260" s="8">
        <v>3749.4870000000001</v>
      </c>
      <c r="O1260" s="8">
        <v>3127.5990000000002</v>
      </c>
      <c r="P1260" s="8">
        <v>2506.7750000000001</v>
      </c>
      <c r="Q1260" s="8">
        <v>2205.0239999999999</v>
      </c>
      <c r="R1260" s="8">
        <v>2009.1969999999999</v>
      </c>
      <c r="S1260" s="8">
        <v>1705.8330000000001</v>
      </c>
      <c r="T1260" s="8">
        <v>1329.3050000000001</v>
      </c>
      <c r="U1260" s="8">
        <v>1112.4000000000001</v>
      </c>
      <c r="V1260" s="8">
        <v>670.15200000000004</v>
      </c>
      <c r="W1260" s="8">
        <v>500.79599999999999</v>
      </c>
      <c r="X1260" s="8">
        <v>324.39100000000002</v>
      </c>
      <c r="Y1260" s="8">
        <v>157.036</v>
      </c>
      <c r="Z1260" s="8">
        <v>53.139000000000003</v>
      </c>
      <c r="AA1260" s="8">
        <v>10.997</v>
      </c>
      <c r="AB1260" s="8">
        <v>1.3080000000000001</v>
      </c>
      <c r="AC1260" s="8">
        <v>7.9000000000000001E-2</v>
      </c>
    </row>
    <row r="1261" spans="1:29" ht="11.65" x14ac:dyDescent="0.35">
      <c r="A1261" s="12">
        <v>1244</v>
      </c>
      <c r="B1261" s="10" t="s">
        <v>1015</v>
      </c>
      <c r="C1261" s="11" t="s">
        <v>1106</v>
      </c>
      <c r="D1261" s="9"/>
      <c r="E1261" s="9">
        <v>818</v>
      </c>
      <c r="F1261" s="10" t="s">
        <v>1066</v>
      </c>
      <c r="G1261" s="9">
        <v>912</v>
      </c>
      <c r="H1261" s="9">
        <v>2015</v>
      </c>
      <c r="I1261" s="8">
        <v>6379.3630000000003</v>
      </c>
      <c r="J1261" s="8">
        <v>4997.2420000000002</v>
      </c>
      <c r="K1261" s="8">
        <v>4487.4080000000004</v>
      </c>
      <c r="L1261" s="8">
        <v>4329.4160000000002</v>
      </c>
      <c r="M1261" s="8">
        <v>4151.5209999999997</v>
      </c>
      <c r="N1261" s="8">
        <v>4153.915</v>
      </c>
      <c r="O1261" s="8">
        <v>3678.674</v>
      </c>
      <c r="P1261" s="8">
        <v>3095.0390000000002</v>
      </c>
      <c r="Q1261" s="8">
        <v>2477.2710000000002</v>
      </c>
      <c r="R1261" s="8">
        <v>2157.2620000000002</v>
      </c>
      <c r="S1261" s="8">
        <v>1923.3430000000001</v>
      </c>
      <c r="T1261" s="8">
        <v>1594.8530000000001</v>
      </c>
      <c r="U1261" s="8">
        <v>1206.2639999999999</v>
      </c>
      <c r="V1261" s="8">
        <v>955.58399999999995</v>
      </c>
      <c r="W1261" s="8">
        <v>528.42700000000002</v>
      </c>
      <c r="X1261" s="8">
        <v>342.74900000000002</v>
      </c>
      <c r="Y1261" s="8">
        <v>179.732</v>
      </c>
      <c r="Z1261" s="8">
        <v>63.768000000000001</v>
      </c>
      <c r="AA1261" s="8">
        <v>13.942</v>
      </c>
      <c r="AB1261" s="8">
        <v>1.782</v>
      </c>
      <c r="AC1261" s="8">
        <v>0.123</v>
      </c>
    </row>
    <row r="1262" spans="1:29" ht="11.65" x14ac:dyDescent="0.35">
      <c r="A1262" s="12">
        <v>1245</v>
      </c>
      <c r="B1262" s="10" t="s">
        <v>1015</v>
      </c>
      <c r="C1262" s="11" t="s">
        <v>1106</v>
      </c>
      <c r="D1262" s="9"/>
      <c r="E1262" s="9">
        <v>818</v>
      </c>
      <c r="F1262" s="10" t="s">
        <v>1066</v>
      </c>
      <c r="G1262" s="9">
        <v>912</v>
      </c>
      <c r="H1262" s="9">
        <v>2020</v>
      </c>
      <c r="I1262" s="8">
        <v>6528.6090000000004</v>
      </c>
      <c r="J1262" s="8">
        <v>6354.8019999999997</v>
      </c>
      <c r="K1262" s="8">
        <v>4985.9979999999996</v>
      </c>
      <c r="L1262" s="8">
        <v>4475.741</v>
      </c>
      <c r="M1262" s="8">
        <v>4311.277</v>
      </c>
      <c r="N1262" s="8">
        <v>4096.3069999999998</v>
      </c>
      <c r="O1262" s="8">
        <v>4065.9949999999999</v>
      </c>
      <c r="P1262" s="8">
        <v>3621.1280000000002</v>
      </c>
      <c r="Q1262" s="8">
        <v>3061.1790000000001</v>
      </c>
      <c r="R1262" s="8">
        <v>2426.7339999999999</v>
      </c>
      <c r="S1262" s="8">
        <v>2069.5279999999998</v>
      </c>
      <c r="T1262" s="8">
        <v>1803.211</v>
      </c>
      <c r="U1262" s="8">
        <v>1451.809</v>
      </c>
      <c r="V1262" s="8">
        <v>1040.463</v>
      </c>
      <c r="W1262" s="8">
        <v>757.87300000000005</v>
      </c>
      <c r="X1262" s="8">
        <v>365.017</v>
      </c>
      <c r="Y1262" s="8">
        <v>192.66</v>
      </c>
      <c r="Z1262" s="8">
        <v>74.665999999999997</v>
      </c>
      <c r="AA1262" s="8">
        <v>17.327999999999999</v>
      </c>
      <c r="AB1262" s="8">
        <v>2.3580000000000001</v>
      </c>
      <c r="AC1262" s="8">
        <v>0.17899999999999999</v>
      </c>
    </row>
    <row r="1263" spans="1:29" ht="11.65" x14ac:dyDescent="0.35">
      <c r="A1263" s="12">
        <v>1246</v>
      </c>
      <c r="B1263" s="10" t="s">
        <v>1015</v>
      </c>
      <c r="C1263" s="11" t="s">
        <v>1107</v>
      </c>
      <c r="D1263" s="9"/>
      <c r="E1263" s="9">
        <v>434</v>
      </c>
      <c r="F1263" s="10" t="s">
        <v>1066</v>
      </c>
      <c r="G1263" s="9">
        <v>912</v>
      </c>
      <c r="H1263" s="9">
        <v>1950</v>
      </c>
      <c r="I1263" s="8">
        <v>90.424999999999997</v>
      </c>
      <c r="J1263" s="8">
        <v>72.619</v>
      </c>
      <c r="K1263" s="8">
        <v>59.771999999999998</v>
      </c>
      <c r="L1263" s="8">
        <v>54.176000000000002</v>
      </c>
      <c r="M1263" s="8">
        <v>49.637999999999998</v>
      </c>
      <c r="N1263" s="8">
        <v>44.914999999999999</v>
      </c>
      <c r="O1263" s="8">
        <v>35.817999999999998</v>
      </c>
      <c r="P1263" s="8">
        <v>30.657</v>
      </c>
      <c r="Q1263" s="8">
        <v>27.818999999999999</v>
      </c>
      <c r="R1263" s="8">
        <v>22.271999999999998</v>
      </c>
      <c r="S1263" s="8">
        <v>21.436</v>
      </c>
      <c r="T1263" s="8">
        <v>20.620999999999999</v>
      </c>
      <c r="U1263" s="8">
        <v>17.68</v>
      </c>
      <c r="V1263" s="8">
        <v>14.087</v>
      </c>
      <c r="W1263" s="8">
        <v>10.661</v>
      </c>
      <c r="X1263" s="8">
        <v>5.92</v>
      </c>
      <c r="Y1263" s="8">
        <v>2.3069999999999999</v>
      </c>
      <c r="Z1263" s="8">
        <v>0.72399999999999998</v>
      </c>
      <c r="AA1263" s="8">
        <v>0.16700000000000001</v>
      </c>
      <c r="AB1263" s="8">
        <v>2.5999999999999999E-2</v>
      </c>
      <c r="AC1263" s="8">
        <v>3.0000000000000001E-3</v>
      </c>
    </row>
    <row r="1264" spans="1:29" ht="11.65" x14ac:dyDescent="0.35">
      <c r="A1264" s="12">
        <v>1247</v>
      </c>
      <c r="B1264" s="10" t="s">
        <v>1015</v>
      </c>
      <c r="C1264" s="11" t="s">
        <v>1107</v>
      </c>
      <c r="D1264" s="9"/>
      <c r="E1264" s="9">
        <v>434</v>
      </c>
      <c r="F1264" s="10" t="s">
        <v>1066</v>
      </c>
      <c r="G1264" s="9">
        <v>912</v>
      </c>
      <c r="H1264" s="9">
        <v>1955</v>
      </c>
      <c r="I1264" s="8">
        <v>107.761</v>
      </c>
      <c r="J1264" s="8">
        <v>81.275000000000006</v>
      </c>
      <c r="K1264" s="8">
        <v>70.923000000000002</v>
      </c>
      <c r="L1264" s="8">
        <v>58.527999999999999</v>
      </c>
      <c r="M1264" s="8">
        <v>52.332999999999998</v>
      </c>
      <c r="N1264" s="8">
        <v>47.639000000000003</v>
      </c>
      <c r="O1264" s="8">
        <v>43.024999999999999</v>
      </c>
      <c r="P1264" s="8">
        <v>34.045999999999999</v>
      </c>
      <c r="Q1264" s="8">
        <v>28.776</v>
      </c>
      <c r="R1264" s="8">
        <v>25.693999999999999</v>
      </c>
      <c r="S1264" s="8">
        <v>20.120999999999999</v>
      </c>
      <c r="T1264" s="8">
        <v>18.742000000000001</v>
      </c>
      <c r="U1264" s="8">
        <v>17.143000000000001</v>
      </c>
      <c r="V1264" s="8">
        <v>13.523999999999999</v>
      </c>
      <c r="W1264" s="8">
        <v>9.4269999999999996</v>
      </c>
      <c r="X1264" s="8">
        <v>5.7910000000000004</v>
      </c>
      <c r="Y1264" s="8">
        <v>2.3519999999999999</v>
      </c>
      <c r="Z1264" s="8">
        <v>0.59</v>
      </c>
      <c r="AA1264" s="8">
        <v>0.105</v>
      </c>
      <c r="AB1264" s="8">
        <v>1.2999999999999999E-2</v>
      </c>
      <c r="AC1264" s="8">
        <v>1E-3</v>
      </c>
    </row>
    <row r="1265" spans="1:29" ht="11.65" x14ac:dyDescent="0.35">
      <c r="A1265" s="12">
        <v>1248</v>
      </c>
      <c r="B1265" s="10" t="s">
        <v>1015</v>
      </c>
      <c r="C1265" s="11" t="s">
        <v>1107</v>
      </c>
      <c r="D1265" s="9"/>
      <c r="E1265" s="9">
        <v>434</v>
      </c>
      <c r="F1265" s="10" t="s">
        <v>1066</v>
      </c>
      <c r="G1265" s="9">
        <v>912</v>
      </c>
      <c r="H1265" s="9">
        <v>1960</v>
      </c>
      <c r="I1265" s="8">
        <v>127.61199999999999</v>
      </c>
      <c r="J1265" s="8">
        <v>98.57</v>
      </c>
      <c r="K1265" s="8">
        <v>79.959999999999994</v>
      </c>
      <c r="L1265" s="8">
        <v>71.38</v>
      </c>
      <c r="M1265" s="8">
        <v>61.213999999999999</v>
      </c>
      <c r="N1265" s="8">
        <v>56.094999999999999</v>
      </c>
      <c r="O1265" s="8">
        <v>50.686999999999998</v>
      </c>
      <c r="P1265" s="8">
        <v>44.604999999999997</v>
      </c>
      <c r="Q1265" s="8">
        <v>34.51</v>
      </c>
      <c r="R1265" s="8">
        <v>28.305</v>
      </c>
      <c r="S1265" s="8">
        <v>24.378</v>
      </c>
      <c r="T1265" s="8">
        <v>18.369</v>
      </c>
      <c r="U1265" s="8">
        <v>16.122</v>
      </c>
      <c r="V1265" s="8">
        <v>13.513999999999999</v>
      </c>
      <c r="W1265" s="8">
        <v>9.3569999999999993</v>
      </c>
      <c r="X1265" s="8">
        <v>5.34</v>
      </c>
      <c r="Y1265" s="8">
        <v>2.4390000000000001</v>
      </c>
      <c r="Z1265" s="8">
        <v>0.63900000000000001</v>
      </c>
      <c r="AA1265" s="8">
        <v>0.09</v>
      </c>
      <c r="AB1265" s="8">
        <v>8.9999999999999993E-3</v>
      </c>
      <c r="AC1265" s="8">
        <v>1E-3</v>
      </c>
    </row>
    <row r="1266" spans="1:29" ht="11.65" x14ac:dyDescent="0.35">
      <c r="A1266" s="12">
        <v>1249</v>
      </c>
      <c r="B1266" s="10" t="s">
        <v>1015</v>
      </c>
      <c r="C1266" s="11" t="s">
        <v>1107</v>
      </c>
      <c r="D1266" s="9"/>
      <c r="E1266" s="9">
        <v>434</v>
      </c>
      <c r="F1266" s="10" t="s">
        <v>1066</v>
      </c>
      <c r="G1266" s="9">
        <v>912</v>
      </c>
      <c r="H1266" s="9">
        <v>1965</v>
      </c>
      <c r="I1266" s="8">
        <v>164.07400000000001</v>
      </c>
      <c r="J1266" s="8">
        <v>120.55200000000001</v>
      </c>
      <c r="K1266" s="8">
        <v>97.480999999999995</v>
      </c>
      <c r="L1266" s="8">
        <v>80.593000000000004</v>
      </c>
      <c r="M1266" s="8">
        <v>74.173000000000002</v>
      </c>
      <c r="N1266" s="8">
        <v>65.179000000000002</v>
      </c>
      <c r="O1266" s="8">
        <v>59.323</v>
      </c>
      <c r="P1266" s="8">
        <v>52.46</v>
      </c>
      <c r="Q1266" s="8">
        <v>45.042999999999999</v>
      </c>
      <c r="R1266" s="8">
        <v>34.140999999999998</v>
      </c>
      <c r="S1266" s="8">
        <v>27.207000000000001</v>
      </c>
      <c r="T1266" s="8">
        <v>22.541</v>
      </c>
      <c r="U1266" s="8">
        <v>16.181999999999999</v>
      </c>
      <c r="V1266" s="8">
        <v>13.132999999999999</v>
      </c>
      <c r="W1266" s="8">
        <v>9.7780000000000005</v>
      </c>
      <c r="X1266" s="8">
        <v>5.6429999999999998</v>
      </c>
      <c r="Y1266" s="8">
        <v>2.4550000000000001</v>
      </c>
      <c r="Z1266" s="8">
        <v>0.74</v>
      </c>
      <c r="AA1266" s="8">
        <v>0.112</v>
      </c>
      <c r="AB1266" s="8">
        <v>8.0000000000000002E-3</v>
      </c>
      <c r="AC1266" s="8">
        <v>0</v>
      </c>
    </row>
    <row r="1267" spans="1:29" ht="11.65" x14ac:dyDescent="0.35">
      <c r="A1267" s="12">
        <v>1250</v>
      </c>
      <c r="B1267" s="10" t="s">
        <v>1015</v>
      </c>
      <c r="C1267" s="11" t="s">
        <v>1107</v>
      </c>
      <c r="D1267" s="9"/>
      <c r="E1267" s="9">
        <v>434</v>
      </c>
      <c r="F1267" s="10" t="s">
        <v>1066</v>
      </c>
      <c r="G1267" s="9">
        <v>912</v>
      </c>
      <c r="H1267" s="9">
        <v>1970</v>
      </c>
      <c r="I1267" s="8">
        <v>220.24199999999999</v>
      </c>
      <c r="J1267" s="8">
        <v>159.036</v>
      </c>
      <c r="K1267" s="8">
        <v>120.249</v>
      </c>
      <c r="L1267" s="8">
        <v>98.582999999999998</v>
      </c>
      <c r="M1267" s="8">
        <v>83.834000000000003</v>
      </c>
      <c r="N1267" s="8">
        <v>78.549000000000007</v>
      </c>
      <c r="O1267" s="8">
        <v>68.841999999999999</v>
      </c>
      <c r="P1267" s="8">
        <v>61.457999999999998</v>
      </c>
      <c r="Q1267" s="8">
        <v>53.179000000000002</v>
      </c>
      <c r="R1267" s="8">
        <v>44.643999999999998</v>
      </c>
      <c r="S1267" s="8">
        <v>33.058999999999997</v>
      </c>
      <c r="T1267" s="8">
        <v>25.466000000000001</v>
      </c>
      <c r="U1267" s="8">
        <v>20.114000000000001</v>
      </c>
      <c r="V1267" s="8">
        <v>13.499000000000001</v>
      </c>
      <c r="W1267" s="8">
        <v>9.8219999999999992</v>
      </c>
      <c r="X1267" s="8">
        <v>6.1630000000000003</v>
      </c>
      <c r="Y1267" s="8">
        <v>2.7530000000000001</v>
      </c>
      <c r="Z1267" s="8">
        <v>0.80500000000000005</v>
      </c>
      <c r="AA1267" s="8">
        <v>0.14199999999999999</v>
      </c>
      <c r="AB1267" s="8">
        <v>1.2E-2</v>
      </c>
      <c r="AC1267" s="8">
        <v>0</v>
      </c>
    </row>
    <row r="1268" spans="1:29" ht="11.65" x14ac:dyDescent="0.35">
      <c r="A1268" s="12">
        <v>1251</v>
      </c>
      <c r="B1268" s="10" t="s">
        <v>1015</v>
      </c>
      <c r="C1268" s="11" t="s">
        <v>1107</v>
      </c>
      <c r="D1268" s="9"/>
      <c r="E1268" s="9">
        <v>434</v>
      </c>
      <c r="F1268" s="10" t="s">
        <v>1066</v>
      </c>
      <c r="G1268" s="9">
        <v>912</v>
      </c>
      <c r="H1268" s="9">
        <v>1975</v>
      </c>
      <c r="I1268" s="8">
        <v>270.47399999999999</v>
      </c>
      <c r="J1268" s="8">
        <v>215.46</v>
      </c>
      <c r="K1268" s="8">
        <v>158.749</v>
      </c>
      <c r="L1268" s="8">
        <v>122.236</v>
      </c>
      <c r="M1268" s="8">
        <v>104.288</v>
      </c>
      <c r="N1268" s="8">
        <v>91.462000000000003</v>
      </c>
      <c r="O1268" s="8">
        <v>84.930999999999997</v>
      </c>
      <c r="P1268" s="8">
        <v>73.037999999999997</v>
      </c>
      <c r="Q1268" s="8">
        <v>63.598999999999997</v>
      </c>
      <c r="R1268" s="8">
        <v>53.692999999999998</v>
      </c>
      <c r="S1268" s="8">
        <v>43.847000000000001</v>
      </c>
      <c r="T1268" s="8">
        <v>31.484999999999999</v>
      </c>
      <c r="U1268" s="8">
        <v>23.198</v>
      </c>
      <c r="V1268" s="8">
        <v>17.148</v>
      </c>
      <c r="W1268" s="8">
        <v>10.423</v>
      </c>
      <c r="X1268" s="8">
        <v>6.452</v>
      </c>
      <c r="Y1268" s="8">
        <v>3.17</v>
      </c>
      <c r="Z1268" s="8">
        <v>0.95799999999999996</v>
      </c>
      <c r="AA1268" s="8">
        <v>0.16400000000000001</v>
      </c>
      <c r="AB1268" s="8">
        <v>1.4999999999999999E-2</v>
      </c>
      <c r="AC1268" s="8">
        <v>1E-3</v>
      </c>
    </row>
    <row r="1269" spans="1:29" ht="11.65" x14ac:dyDescent="0.35">
      <c r="A1269" s="12">
        <v>1252</v>
      </c>
      <c r="B1269" s="10" t="s">
        <v>1015</v>
      </c>
      <c r="C1269" s="11" t="s">
        <v>1107</v>
      </c>
      <c r="D1269" s="9"/>
      <c r="E1269" s="9">
        <v>434</v>
      </c>
      <c r="F1269" s="10" t="s">
        <v>1066</v>
      </c>
      <c r="G1269" s="9">
        <v>912</v>
      </c>
      <c r="H1269" s="9">
        <v>1980</v>
      </c>
      <c r="I1269" s="8">
        <v>303.142</v>
      </c>
      <c r="J1269" s="8">
        <v>266.41699999999997</v>
      </c>
      <c r="K1269" s="8">
        <v>214.79300000000001</v>
      </c>
      <c r="L1269" s="8">
        <v>160.495</v>
      </c>
      <c r="M1269" s="8">
        <v>130.52000000000001</v>
      </c>
      <c r="N1269" s="8">
        <v>117.953</v>
      </c>
      <c r="O1269" s="8">
        <v>101.399</v>
      </c>
      <c r="P1269" s="8">
        <v>88.260999999999996</v>
      </c>
      <c r="Q1269" s="8">
        <v>73.789000000000001</v>
      </c>
      <c r="R1269" s="8">
        <v>62.947000000000003</v>
      </c>
      <c r="S1269" s="8">
        <v>51.863999999999997</v>
      </c>
      <c r="T1269" s="8">
        <v>41.116999999999997</v>
      </c>
      <c r="U1269" s="8">
        <v>28.34</v>
      </c>
      <c r="V1269" s="8">
        <v>19.675000000000001</v>
      </c>
      <c r="W1269" s="8">
        <v>13.2</v>
      </c>
      <c r="X1269" s="8">
        <v>6.88</v>
      </c>
      <c r="Y1269" s="8">
        <v>3.347</v>
      </c>
      <c r="Z1269" s="8">
        <v>1.135</v>
      </c>
      <c r="AA1269" s="8">
        <v>0.20699999999999999</v>
      </c>
      <c r="AB1269" s="8">
        <v>1.9E-2</v>
      </c>
      <c r="AC1269" s="8">
        <v>1E-3</v>
      </c>
    </row>
    <row r="1270" spans="1:29" ht="11.65" x14ac:dyDescent="0.35">
      <c r="A1270" s="12">
        <v>1253</v>
      </c>
      <c r="B1270" s="10" t="s">
        <v>1015</v>
      </c>
      <c r="C1270" s="11" t="s">
        <v>1107</v>
      </c>
      <c r="D1270" s="9"/>
      <c r="E1270" s="9">
        <v>434</v>
      </c>
      <c r="F1270" s="10" t="s">
        <v>1066</v>
      </c>
      <c r="G1270" s="9">
        <v>912</v>
      </c>
      <c r="H1270" s="9">
        <v>1985</v>
      </c>
      <c r="I1270" s="8">
        <v>317.41899999999998</v>
      </c>
      <c r="J1270" s="8">
        <v>300.85700000000003</v>
      </c>
      <c r="K1270" s="8">
        <v>266.017</v>
      </c>
      <c r="L1270" s="8">
        <v>218.92699999999999</v>
      </c>
      <c r="M1270" s="8">
        <v>180.15799999999999</v>
      </c>
      <c r="N1270" s="8">
        <v>163.773</v>
      </c>
      <c r="O1270" s="8">
        <v>140.727</v>
      </c>
      <c r="P1270" s="8">
        <v>107.486</v>
      </c>
      <c r="Q1270" s="8">
        <v>89.703999999999994</v>
      </c>
      <c r="R1270" s="8">
        <v>73.518000000000001</v>
      </c>
      <c r="S1270" s="8">
        <v>61.207999999999998</v>
      </c>
      <c r="T1270" s="8">
        <v>49.033999999999999</v>
      </c>
      <c r="U1270" s="8">
        <v>37.381</v>
      </c>
      <c r="V1270" s="8">
        <v>24.318000000000001</v>
      </c>
      <c r="W1270" s="8">
        <v>15.38</v>
      </c>
      <c r="X1270" s="8">
        <v>8.9109999999999996</v>
      </c>
      <c r="Y1270" s="8">
        <v>3.681</v>
      </c>
      <c r="Z1270" s="8">
        <v>1.246</v>
      </c>
      <c r="AA1270" s="8">
        <v>0.25600000000000001</v>
      </c>
      <c r="AB1270" s="8">
        <v>2.4E-2</v>
      </c>
      <c r="AC1270" s="8">
        <v>1E-3</v>
      </c>
    </row>
    <row r="1271" spans="1:29" ht="11.65" x14ac:dyDescent="0.35">
      <c r="A1271" s="12">
        <v>1254</v>
      </c>
      <c r="B1271" s="10" t="s">
        <v>1015</v>
      </c>
      <c r="C1271" s="11" t="s">
        <v>1107</v>
      </c>
      <c r="D1271" s="9"/>
      <c r="E1271" s="9">
        <v>434</v>
      </c>
      <c r="F1271" s="10" t="s">
        <v>1066</v>
      </c>
      <c r="G1271" s="9">
        <v>912</v>
      </c>
      <c r="H1271" s="9">
        <v>1990</v>
      </c>
      <c r="I1271" s="8">
        <v>329.392</v>
      </c>
      <c r="J1271" s="8">
        <v>315.69</v>
      </c>
      <c r="K1271" s="8">
        <v>300.36</v>
      </c>
      <c r="L1271" s="8">
        <v>265.255</v>
      </c>
      <c r="M1271" s="8">
        <v>218.565</v>
      </c>
      <c r="N1271" s="8">
        <v>180.239</v>
      </c>
      <c r="O1271" s="8">
        <v>163.077</v>
      </c>
      <c r="P1271" s="8">
        <v>138.745</v>
      </c>
      <c r="Q1271" s="8">
        <v>104.554</v>
      </c>
      <c r="R1271" s="8">
        <v>86.234999999999999</v>
      </c>
      <c r="S1271" s="8">
        <v>69.308000000000007</v>
      </c>
      <c r="T1271" s="8">
        <v>56.219000000000001</v>
      </c>
      <c r="U1271" s="8">
        <v>43.48</v>
      </c>
      <c r="V1271" s="8">
        <v>31.67</v>
      </c>
      <c r="W1271" s="8">
        <v>19.061</v>
      </c>
      <c r="X1271" s="8">
        <v>10.492000000000001</v>
      </c>
      <c r="Y1271" s="8">
        <v>4.8579999999999997</v>
      </c>
      <c r="Z1271" s="8">
        <v>1.41</v>
      </c>
      <c r="AA1271" s="8">
        <v>0.28999999999999998</v>
      </c>
      <c r="AB1271" s="8">
        <v>3.3000000000000002E-2</v>
      </c>
      <c r="AC1271" s="8">
        <v>2E-3</v>
      </c>
    </row>
    <row r="1272" spans="1:29" ht="11.65" x14ac:dyDescent="0.35">
      <c r="A1272" s="12">
        <v>1255</v>
      </c>
      <c r="B1272" s="10" t="s">
        <v>1015</v>
      </c>
      <c r="C1272" s="11" t="s">
        <v>1107</v>
      </c>
      <c r="D1272" s="9"/>
      <c r="E1272" s="9">
        <v>434</v>
      </c>
      <c r="F1272" s="10" t="s">
        <v>1066</v>
      </c>
      <c r="G1272" s="9">
        <v>912</v>
      </c>
      <c r="H1272" s="9">
        <v>1995</v>
      </c>
      <c r="I1272" s="8">
        <v>308.51499999999999</v>
      </c>
      <c r="J1272" s="8">
        <v>328.29700000000003</v>
      </c>
      <c r="K1272" s="8">
        <v>315.375</v>
      </c>
      <c r="L1272" s="8">
        <v>299.68599999999998</v>
      </c>
      <c r="M1272" s="8">
        <v>264.88200000000001</v>
      </c>
      <c r="N1272" s="8">
        <v>218.65</v>
      </c>
      <c r="O1272" s="8">
        <v>179.69800000000001</v>
      </c>
      <c r="P1272" s="8">
        <v>161.04499999999999</v>
      </c>
      <c r="Q1272" s="8">
        <v>135.423</v>
      </c>
      <c r="R1272" s="8">
        <v>100.797</v>
      </c>
      <c r="S1272" s="8">
        <v>81.611000000000004</v>
      </c>
      <c r="T1272" s="8">
        <v>63.93</v>
      </c>
      <c r="U1272" s="8">
        <v>50.161000000000001</v>
      </c>
      <c r="V1272" s="8">
        <v>37.168999999999997</v>
      </c>
      <c r="W1272" s="8">
        <v>25.166</v>
      </c>
      <c r="X1272" s="8">
        <v>13.250999999999999</v>
      </c>
      <c r="Y1272" s="8">
        <v>5.8630000000000004</v>
      </c>
      <c r="Z1272" s="8">
        <v>1.917</v>
      </c>
      <c r="AA1272" s="8">
        <v>0.34</v>
      </c>
      <c r="AB1272" s="8">
        <v>3.7999999999999999E-2</v>
      </c>
      <c r="AC1272" s="8">
        <v>2E-3</v>
      </c>
    </row>
    <row r="1273" spans="1:29" ht="11.65" x14ac:dyDescent="0.35">
      <c r="A1273" s="12">
        <v>1256</v>
      </c>
      <c r="B1273" s="10" t="s">
        <v>1015</v>
      </c>
      <c r="C1273" s="11" t="s">
        <v>1107</v>
      </c>
      <c r="D1273" s="9"/>
      <c r="E1273" s="9">
        <v>434</v>
      </c>
      <c r="F1273" s="10" t="s">
        <v>1066</v>
      </c>
      <c r="G1273" s="9">
        <v>912</v>
      </c>
      <c r="H1273" s="9">
        <v>2000</v>
      </c>
      <c r="I1273" s="8">
        <v>293.06099999999998</v>
      </c>
      <c r="J1273" s="8">
        <v>307.839</v>
      </c>
      <c r="K1273" s="8">
        <v>327.98500000000001</v>
      </c>
      <c r="L1273" s="8">
        <v>314.767</v>
      </c>
      <c r="M1273" s="8">
        <v>304.28100000000001</v>
      </c>
      <c r="N1273" s="8">
        <v>274.74700000000001</v>
      </c>
      <c r="O1273" s="8">
        <v>227.62100000000001</v>
      </c>
      <c r="P1273" s="8">
        <v>172.98400000000001</v>
      </c>
      <c r="Q1273" s="8">
        <v>138.654</v>
      </c>
      <c r="R1273" s="8">
        <v>113.366</v>
      </c>
      <c r="S1273" s="8">
        <v>83.07</v>
      </c>
      <c r="T1273" s="8">
        <v>69.346999999999994</v>
      </c>
      <c r="U1273" s="8">
        <v>54.232999999999997</v>
      </c>
      <c r="V1273" s="8">
        <v>41.598999999999997</v>
      </c>
      <c r="W1273" s="8">
        <v>29.431000000000001</v>
      </c>
      <c r="X1273" s="8">
        <v>17.626999999999999</v>
      </c>
      <c r="Y1273" s="8">
        <v>7.4950000000000001</v>
      </c>
      <c r="Z1273" s="8">
        <v>2.3540000000000001</v>
      </c>
      <c r="AA1273" s="8">
        <v>0.47</v>
      </c>
      <c r="AB1273" s="8">
        <v>4.4999999999999998E-2</v>
      </c>
      <c r="AC1273" s="8">
        <v>3.0000000000000001E-3</v>
      </c>
    </row>
    <row r="1274" spans="1:29" ht="11.65" x14ac:dyDescent="0.35">
      <c r="A1274" s="12">
        <v>1257</v>
      </c>
      <c r="B1274" s="10" t="s">
        <v>1015</v>
      </c>
      <c r="C1274" s="11" t="s">
        <v>1107</v>
      </c>
      <c r="D1274" s="9"/>
      <c r="E1274" s="9">
        <v>434</v>
      </c>
      <c r="F1274" s="10" t="s">
        <v>1066</v>
      </c>
      <c r="G1274" s="9">
        <v>912</v>
      </c>
      <c r="H1274" s="9">
        <v>2005</v>
      </c>
      <c r="I1274" s="8">
        <v>296.71100000000001</v>
      </c>
      <c r="J1274" s="8">
        <v>292.68900000000002</v>
      </c>
      <c r="K1274" s="8">
        <v>307.637</v>
      </c>
      <c r="L1274" s="8">
        <v>327.39</v>
      </c>
      <c r="M1274" s="8">
        <v>324.363</v>
      </c>
      <c r="N1274" s="8">
        <v>320.94200000000001</v>
      </c>
      <c r="O1274" s="8">
        <v>285.38799999999998</v>
      </c>
      <c r="P1274" s="8">
        <v>230.29599999999999</v>
      </c>
      <c r="Q1274" s="8">
        <v>160.547</v>
      </c>
      <c r="R1274" s="8">
        <v>115.73099999999999</v>
      </c>
      <c r="S1274" s="8">
        <v>91.804000000000002</v>
      </c>
      <c r="T1274" s="8">
        <v>66.733000000000004</v>
      </c>
      <c r="U1274" s="8">
        <v>57.292000000000002</v>
      </c>
      <c r="V1274" s="8">
        <v>44.835000000000001</v>
      </c>
      <c r="W1274" s="8">
        <v>32.905999999999999</v>
      </c>
      <c r="X1274" s="8">
        <v>20.706</v>
      </c>
      <c r="Y1274" s="8">
        <v>10.032</v>
      </c>
      <c r="Z1274" s="8">
        <v>3.03</v>
      </c>
      <c r="AA1274" s="8">
        <v>0.58199999999999996</v>
      </c>
      <c r="AB1274" s="8">
        <v>6.3E-2</v>
      </c>
      <c r="AC1274" s="8">
        <v>3.0000000000000001E-3</v>
      </c>
    </row>
    <row r="1275" spans="1:29" ht="11.65" x14ac:dyDescent="0.35">
      <c r="A1275" s="12">
        <v>1258</v>
      </c>
      <c r="B1275" s="10" t="s">
        <v>1015</v>
      </c>
      <c r="C1275" s="11" t="s">
        <v>1107</v>
      </c>
      <c r="D1275" s="9"/>
      <c r="E1275" s="9">
        <v>434</v>
      </c>
      <c r="F1275" s="10" t="s">
        <v>1066</v>
      </c>
      <c r="G1275" s="9">
        <v>912</v>
      </c>
      <c r="H1275" s="9">
        <v>2010</v>
      </c>
      <c r="I1275" s="8">
        <v>328.12200000000001</v>
      </c>
      <c r="J1275" s="8">
        <v>294.58100000000002</v>
      </c>
      <c r="K1275" s="8">
        <v>291.327</v>
      </c>
      <c r="L1275" s="8">
        <v>306.101</v>
      </c>
      <c r="M1275" s="8">
        <v>324.61799999999999</v>
      </c>
      <c r="N1275" s="8">
        <v>320.983</v>
      </c>
      <c r="O1275" s="8">
        <v>317.67700000000002</v>
      </c>
      <c r="P1275" s="8">
        <v>278.56799999999998</v>
      </c>
      <c r="Q1275" s="8">
        <v>215.63900000000001</v>
      </c>
      <c r="R1275" s="8">
        <v>140.68899999999999</v>
      </c>
      <c r="S1275" s="8">
        <v>95.486999999999995</v>
      </c>
      <c r="T1275" s="8">
        <v>74.134</v>
      </c>
      <c r="U1275" s="8">
        <v>53.701000000000001</v>
      </c>
      <c r="V1275" s="8">
        <v>47.100999999999999</v>
      </c>
      <c r="W1275" s="8">
        <v>35.497999999999998</v>
      </c>
      <c r="X1275" s="8">
        <v>23.245000000000001</v>
      </c>
      <c r="Y1275" s="8">
        <v>11.852</v>
      </c>
      <c r="Z1275" s="8">
        <v>4.0860000000000003</v>
      </c>
      <c r="AA1275" s="8">
        <v>0.75600000000000001</v>
      </c>
      <c r="AB1275" s="8">
        <v>7.8E-2</v>
      </c>
      <c r="AC1275" s="8">
        <v>5.0000000000000001E-3</v>
      </c>
    </row>
    <row r="1276" spans="1:29" ht="11.65" x14ac:dyDescent="0.35">
      <c r="A1276" s="12">
        <v>1259</v>
      </c>
      <c r="B1276" s="10" t="s">
        <v>1015</v>
      </c>
      <c r="C1276" s="11" t="s">
        <v>1107</v>
      </c>
      <c r="D1276" s="9"/>
      <c r="E1276" s="9">
        <v>434</v>
      </c>
      <c r="F1276" s="10" t="s">
        <v>1066</v>
      </c>
      <c r="G1276" s="9">
        <v>912</v>
      </c>
      <c r="H1276" s="9">
        <v>2015</v>
      </c>
      <c r="I1276" s="8">
        <v>340.69400000000002</v>
      </c>
      <c r="J1276" s="8">
        <v>320.678</v>
      </c>
      <c r="K1276" s="8">
        <v>289.62400000000002</v>
      </c>
      <c r="L1276" s="8">
        <v>279.291</v>
      </c>
      <c r="M1276" s="8">
        <v>282.94299999999998</v>
      </c>
      <c r="N1276" s="8">
        <v>296.83999999999997</v>
      </c>
      <c r="O1276" s="8">
        <v>294.31700000000001</v>
      </c>
      <c r="P1276" s="8">
        <v>292.05099999999999</v>
      </c>
      <c r="Q1276" s="8">
        <v>253.68799999999999</v>
      </c>
      <c r="R1276" s="8">
        <v>195.97900000000001</v>
      </c>
      <c r="S1276" s="8">
        <v>126.746</v>
      </c>
      <c r="T1276" s="8">
        <v>85.156000000000006</v>
      </c>
      <c r="U1276" s="8">
        <v>64.819999999999993</v>
      </c>
      <c r="V1276" s="8">
        <v>45.061999999999998</v>
      </c>
      <c r="W1276" s="8">
        <v>37.174999999999997</v>
      </c>
      <c r="X1276" s="8">
        <v>24.59</v>
      </c>
      <c r="Y1276" s="8">
        <v>12.96</v>
      </c>
      <c r="Z1276" s="8">
        <v>4.7510000000000003</v>
      </c>
      <c r="AA1276" s="8">
        <v>1.018</v>
      </c>
      <c r="AB1276" s="8">
        <v>0.10100000000000001</v>
      </c>
      <c r="AC1276" s="8">
        <v>6.0000000000000001E-3</v>
      </c>
    </row>
    <row r="1277" spans="1:29" ht="11.65" x14ac:dyDescent="0.35">
      <c r="A1277" s="12">
        <v>1260</v>
      </c>
      <c r="B1277" s="10" t="s">
        <v>1015</v>
      </c>
      <c r="C1277" s="11" t="s">
        <v>1107</v>
      </c>
      <c r="D1277" s="9"/>
      <c r="E1277" s="9">
        <v>434</v>
      </c>
      <c r="F1277" s="10" t="s">
        <v>1066</v>
      </c>
      <c r="G1277" s="9">
        <v>912</v>
      </c>
      <c r="H1277" s="9">
        <v>2020</v>
      </c>
      <c r="I1277" s="8">
        <v>320.512</v>
      </c>
      <c r="J1277" s="8">
        <v>339.62700000000001</v>
      </c>
      <c r="K1277" s="8">
        <v>319.79899999999998</v>
      </c>
      <c r="L1277" s="8">
        <v>287.88</v>
      </c>
      <c r="M1277" s="8">
        <v>275.74900000000002</v>
      </c>
      <c r="N1277" s="8">
        <v>278.77100000000002</v>
      </c>
      <c r="O1277" s="8">
        <v>292.65600000000001</v>
      </c>
      <c r="P1277" s="8">
        <v>290.09100000000001</v>
      </c>
      <c r="Q1277" s="8">
        <v>287.06799999999998</v>
      </c>
      <c r="R1277" s="8">
        <v>248.084</v>
      </c>
      <c r="S1277" s="8">
        <v>189.732</v>
      </c>
      <c r="T1277" s="8">
        <v>120.203</v>
      </c>
      <c r="U1277" s="8">
        <v>78.168999999999997</v>
      </c>
      <c r="V1277" s="8">
        <v>56.579000000000001</v>
      </c>
      <c r="W1277" s="8">
        <v>36.405000000000001</v>
      </c>
      <c r="X1277" s="8">
        <v>26.512</v>
      </c>
      <c r="Y1277" s="8">
        <v>14.193</v>
      </c>
      <c r="Z1277" s="8">
        <v>5.35</v>
      </c>
      <c r="AA1277" s="8">
        <v>1.2050000000000001</v>
      </c>
      <c r="AB1277" s="8">
        <v>0.14399999999999999</v>
      </c>
      <c r="AC1277" s="8">
        <v>8.0000000000000002E-3</v>
      </c>
    </row>
    <row r="1278" spans="1:29" ht="11.65" x14ac:dyDescent="0.35">
      <c r="A1278" s="12">
        <v>1261</v>
      </c>
      <c r="B1278" s="10" t="s">
        <v>1015</v>
      </c>
      <c r="C1278" s="11" t="s">
        <v>1108</v>
      </c>
      <c r="D1278" s="9"/>
      <c r="E1278" s="9">
        <v>504</v>
      </c>
      <c r="F1278" s="10" t="s">
        <v>1066</v>
      </c>
      <c r="G1278" s="9">
        <v>912</v>
      </c>
      <c r="H1278" s="9">
        <v>1950</v>
      </c>
      <c r="I1278" s="8">
        <v>709.07500000000005</v>
      </c>
      <c r="J1278" s="8">
        <v>546.51199999999994</v>
      </c>
      <c r="K1278" s="8">
        <v>534.524</v>
      </c>
      <c r="L1278" s="8">
        <v>516.18899999999996</v>
      </c>
      <c r="M1278" s="8">
        <v>477.74900000000002</v>
      </c>
      <c r="N1278" s="8">
        <v>364.71300000000002</v>
      </c>
      <c r="O1278" s="8">
        <v>255.93199999999999</v>
      </c>
      <c r="P1278" s="8">
        <v>199.971</v>
      </c>
      <c r="Q1278" s="8">
        <v>198.25800000000001</v>
      </c>
      <c r="R1278" s="8">
        <v>191.87299999999999</v>
      </c>
      <c r="S1278" s="8">
        <v>155.96199999999999</v>
      </c>
      <c r="T1278" s="8">
        <v>122.26900000000001</v>
      </c>
      <c r="U1278" s="8">
        <v>77.882999999999996</v>
      </c>
      <c r="V1278" s="8">
        <v>66.204999999999998</v>
      </c>
      <c r="W1278" s="8">
        <v>28.806000000000001</v>
      </c>
      <c r="X1278" s="8">
        <v>16.382000000000001</v>
      </c>
      <c r="Y1278" s="8">
        <v>5.3170000000000002</v>
      </c>
      <c r="Z1278" s="8">
        <v>1.5620000000000001</v>
      </c>
      <c r="AA1278" s="8">
        <v>0.26100000000000001</v>
      </c>
      <c r="AB1278" s="8">
        <v>2.3E-2</v>
      </c>
      <c r="AC1278" s="8">
        <v>1E-3</v>
      </c>
    </row>
    <row r="1279" spans="1:29" ht="11.65" x14ac:dyDescent="0.35">
      <c r="A1279" s="12">
        <v>1262</v>
      </c>
      <c r="B1279" s="10" t="s">
        <v>1015</v>
      </c>
      <c r="C1279" s="11" t="s">
        <v>1108</v>
      </c>
      <c r="D1279" s="9"/>
      <c r="E1279" s="9">
        <v>504</v>
      </c>
      <c r="F1279" s="10" t="s">
        <v>1066</v>
      </c>
      <c r="G1279" s="9">
        <v>912</v>
      </c>
      <c r="H1279" s="9">
        <v>1955</v>
      </c>
      <c r="I1279" s="8">
        <v>1016.24</v>
      </c>
      <c r="J1279" s="8">
        <v>647.03899999999999</v>
      </c>
      <c r="K1279" s="8">
        <v>536.70799999999997</v>
      </c>
      <c r="L1279" s="8">
        <v>525.36099999999999</v>
      </c>
      <c r="M1279" s="8">
        <v>501.57499999999999</v>
      </c>
      <c r="N1279" s="8">
        <v>461.71699999999998</v>
      </c>
      <c r="O1279" s="8">
        <v>352.33100000000002</v>
      </c>
      <c r="P1279" s="8">
        <v>246.40100000000001</v>
      </c>
      <c r="Q1279" s="8">
        <v>191.16</v>
      </c>
      <c r="R1279" s="8">
        <v>187.48699999999999</v>
      </c>
      <c r="S1279" s="8">
        <v>178.52600000000001</v>
      </c>
      <c r="T1279" s="8">
        <v>141.34800000000001</v>
      </c>
      <c r="U1279" s="8">
        <v>106.015</v>
      </c>
      <c r="V1279" s="8">
        <v>62.893999999999998</v>
      </c>
      <c r="W1279" s="8">
        <v>47.47</v>
      </c>
      <c r="X1279" s="8">
        <v>16.818000000000001</v>
      </c>
      <c r="Y1279" s="8">
        <v>6.9249999999999998</v>
      </c>
      <c r="Z1279" s="8">
        <v>1.393</v>
      </c>
      <c r="AA1279" s="8">
        <v>0.219</v>
      </c>
      <c r="AB1279" s="8">
        <v>1.7999999999999999E-2</v>
      </c>
      <c r="AC1279" s="8">
        <v>1E-3</v>
      </c>
    </row>
    <row r="1280" spans="1:29" ht="11.65" x14ac:dyDescent="0.35">
      <c r="A1280" s="12">
        <v>1263</v>
      </c>
      <c r="B1280" s="10" t="s">
        <v>1015</v>
      </c>
      <c r="C1280" s="11" t="s">
        <v>1108</v>
      </c>
      <c r="D1280" s="9"/>
      <c r="E1280" s="9">
        <v>504</v>
      </c>
      <c r="F1280" s="10" t="s">
        <v>1066</v>
      </c>
      <c r="G1280" s="9">
        <v>912</v>
      </c>
      <c r="H1280" s="9">
        <v>1960</v>
      </c>
      <c r="I1280" s="8">
        <v>1216.33</v>
      </c>
      <c r="J1280" s="8">
        <v>937.12699999999995</v>
      </c>
      <c r="K1280" s="8">
        <v>636.22900000000004</v>
      </c>
      <c r="L1280" s="8">
        <v>527.70500000000004</v>
      </c>
      <c r="M1280" s="8">
        <v>510.65899999999999</v>
      </c>
      <c r="N1280" s="8">
        <v>484.779</v>
      </c>
      <c r="O1280" s="8">
        <v>445.97199999999998</v>
      </c>
      <c r="P1280" s="8">
        <v>339.11500000000001</v>
      </c>
      <c r="Q1280" s="8">
        <v>235.49199999999999</v>
      </c>
      <c r="R1280" s="8">
        <v>180.803</v>
      </c>
      <c r="S1280" s="8">
        <v>174.57900000000001</v>
      </c>
      <c r="T1280" s="8">
        <v>162.042</v>
      </c>
      <c r="U1280" s="8">
        <v>122.90600000000001</v>
      </c>
      <c r="V1280" s="8">
        <v>86.057000000000002</v>
      </c>
      <c r="W1280" s="8">
        <v>45.524999999999999</v>
      </c>
      <c r="X1280" s="8">
        <v>28.189</v>
      </c>
      <c r="Y1280" s="8">
        <v>7.3090000000000002</v>
      </c>
      <c r="Z1280" s="8">
        <v>1.895</v>
      </c>
      <c r="AA1280" s="8">
        <v>0.20799999999999999</v>
      </c>
      <c r="AB1280" s="8">
        <v>1.4999999999999999E-2</v>
      </c>
      <c r="AC1280" s="8">
        <v>1E-3</v>
      </c>
    </row>
    <row r="1281" spans="1:29" ht="11.65" x14ac:dyDescent="0.35">
      <c r="A1281" s="12">
        <v>1264</v>
      </c>
      <c r="B1281" s="10" t="s">
        <v>1015</v>
      </c>
      <c r="C1281" s="11" t="s">
        <v>1108</v>
      </c>
      <c r="D1281" s="9"/>
      <c r="E1281" s="9">
        <v>504</v>
      </c>
      <c r="F1281" s="10" t="s">
        <v>1066</v>
      </c>
      <c r="G1281" s="9">
        <v>912</v>
      </c>
      <c r="H1281" s="9">
        <v>1965</v>
      </c>
      <c r="I1281" s="8">
        <v>1396.4390000000001</v>
      </c>
      <c r="J1281" s="8">
        <v>1130.971</v>
      </c>
      <c r="K1281" s="8">
        <v>918.827</v>
      </c>
      <c r="L1281" s="8">
        <v>599.62599999999998</v>
      </c>
      <c r="M1281" s="8">
        <v>464.00400000000002</v>
      </c>
      <c r="N1281" s="8">
        <v>450.15600000000001</v>
      </c>
      <c r="O1281" s="8">
        <v>440.01</v>
      </c>
      <c r="P1281" s="8">
        <v>412.92599999999999</v>
      </c>
      <c r="Q1281" s="8">
        <v>314.77600000000001</v>
      </c>
      <c r="R1281" s="8">
        <v>219.53100000000001</v>
      </c>
      <c r="S1281" s="8">
        <v>169.11500000000001</v>
      </c>
      <c r="T1281" s="8">
        <v>159.29599999999999</v>
      </c>
      <c r="U1281" s="8">
        <v>141.935</v>
      </c>
      <c r="V1281" s="8">
        <v>100.864</v>
      </c>
      <c r="W1281" s="8">
        <v>63.365000000000002</v>
      </c>
      <c r="X1281" s="8">
        <v>27.766999999999999</v>
      </c>
      <c r="Y1281" s="8">
        <v>12.77</v>
      </c>
      <c r="Z1281" s="8">
        <v>2.1190000000000002</v>
      </c>
      <c r="AA1281" s="8">
        <v>0.30499999999999999</v>
      </c>
      <c r="AB1281" s="8">
        <v>1.7000000000000001E-2</v>
      </c>
      <c r="AC1281" s="8">
        <v>1E-3</v>
      </c>
    </row>
    <row r="1282" spans="1:29" ht="11.65" x14ac:dyDescent="0.35">
      <c r="A1282" s="12">
        <v>1265</v>
      </c>
      <c r="B1282" s="10" t="s">
        <v>1015</v>
      </c>
      <c r="C1282" s="11" t="s">
        <v>1108</v>
      </c>
      <c r="D1282" s="9"/>
      <c r="E1282" s="9">
        <v>504</v>
      </c>
      <c r="F1282" s="10" t="s">
        <v>1066</v>
      </c>
      <c r="G1282" s="9">
        <v>912</v>
      </c>
      <c r="H1282" s="9">
        <v>1970</v>
      </c>
      <c r="I1282" s="8">
        <v>1465.95</v>
      </c>
      <c r="J1282" s="8">
        <v>1304.3630000000001</v>
      </c>
      <c r="K1282" s="8">
        <v>1107.9559999999999</v>
      </c>
      <c r="L1282" s="8">
        <v>844.51400000000001</v>
      </c>
      <c r="M1282" s="8">
        <v>488.91899999999998</v>
      </c>
      <c r="N1282" s="8">
        <v>411.52100000000002</v>
      </c>
      <c r="O1282" s="8">
        <v>431.68200000000002</v>
      </c>
      <c r="P1282" s="8">
        <v>416.60599999999999</v>
      </c>
      <c r="Q1282" s="8">
        <v>391.34300000000002</v>
      </c>
      <c r="R1282" s="8">
        <v>298.14499999999998</v>
      </c>
      <c r="S1282" s="8">
        <v>206.33099999999999</v>
      </c>
      <c r="T1282" s="8">
        <v>155.858</v>
      </c>
      <c r="U1282" s="8">
        <v>141.065</v>
      </c>
      <c r="V1282" s="8">
        <v>118.00700000000001</v>
      </c>
      <c r="W1282" s="8">
        <v>75.594999999999999</v>
      </c>
      <c r="X1282" s="8">
        <v>39.572000000000003</v>
      </c>
      <c r="Y1282" s="8">
        <v>13.041</v>
      </c>
      <c r="Z1282" s="8">
        <v>3.8860000000000001</v>
      </c>
      <c r="AA1282" s="8">
        <v>0.36</v>
      </c>
      <c r="AB1282" s="8">
        <v>2.5000000000000001E-2</v>
      </c>
      <c r="AC1282" s="8">
        <v>1E-3</v>
      </c>
    </row>
    <row r="1283" spans="1:29" ht="11.65" x14ac:dyDescent="0.35">
      <c r="A1283" s="12">
        <v>1266</v>
      </c>
      <c r="B1283" s="10" t="s">
        <v>1015</v>
      </c>
      <c r="C1283" s="11" t="s">
        <v>1108</v>
      </c>
      <c r="D1283" s="9"/>
      <c r="E1283" s="9">
        <v>504</v>
      </c>
      <c r="F1283" s="10" t="s">
        <v>1066</v>
      </c>
      <c r="G1283" s="9">
        <v>912</v>
      </c>
      <c r="H1283" s="9">
        <v>1975</v>
      </c>
      <c r="I1283" s="8">
        <v>1507.4549999999999</v>
      </c>
      <c r="J1283" s="8">
        <v>1377.395</v>
      </c>
      <c r="K1283" s="8">
        <v>1278.204</v>
      </c>
      <c r="L1283" s="8">
        <v>1056.153</v>
      </c>
      <c r="M1283" s="8">
        <v>754.54499999999996</v>
      </c>
      <c r="N1283" s="8">
        <v>421.11099999999999</v>
      </c>
      <c r="O1283" s="8">
        <v>375.96</v>
      </c>
      <c r="P1283" s="8">
        <v>402.06</v>
      </c>
      <c r="Q1283" s="8">
        <v>392.07600000000002</v>
      </c>
      <c r="R1283" s="8">
        <v>372.00299999999999</v>
      </c>
      <c r="S1283" s="8">
        <v>280.858</v>
      </c>
      <c r="T1283" s="8">
        <v>190.51300000000001</v>
      </c>
      <c r="U1283" s="8">
        <v>138.583</v>
      </c>
      <c r="V1283" s="8">
        <v>117.962</v>
      </c>
      <c r="W1283" s="8">
        <v>89.168000000000006</v>
      </c>
      <c r="X1283" s="8">
        <v>47.896999999999998</v>
      </c>
      <c r="Y1283" s="8">
        <v>19.010999999999999</v>
      </c>
      <c r="Z1283" s="8">
        <v>4.1189999999999998</v>
      </c>
      <c r="AA1283" s="8">
        <v>0.69399999999999995</v>
      </c>
      <c r="AB1283" s="8">
        <v>3.3000000000000002E-2</v>
      </c>
      <c r="AC1283" s="8">
        <v>1E-3</v>
      </c>
    </row>
    <row r="1284" spans="1:29" ht="11.65" x14ac:dyDescent="0.35">
      <c r="A1284" s="12">
        <v>1267</v>
      </c>
      <c r="B1284" s="10" t="s">
        <v>1015</v>
      </c>
      <c r="C1284" s="11" t="s">
        <v>1108</v>
      </c>
      <c r="D1284" s="9"/>
      <c r="E1284" s="9">
        <v>504</v>
      </c>
      <c r="F1284" s="10" t="s">
        <v>1066</v>
      </c>
      <c r="G1284" s="9">
        <v>912</v>
      </c>
      <c r="H1284" s="9">
        <v>1980</v>
      </c>
      <c r="I1284" s="8">
        <v>1628.4829999999999</v>
      </c>
      <c r="J1284" s="8">
        <v>1434.1179999999999</v>
      </c>
      <c r="K1284" s="8">
        <v>1356.047</v>
      </c>
      <c r="L1284" s="8">
        <v>1232.625</v>
      </c>
      <c r="M1284" s="8">
        <v>973.83699999999999</v>
      </c>
      <c r="N1284" s="8">
        <v>699.48400000000004</v>
      </c>
      <c r="O1284" s="8">
        <v>404.51499999999999</v>
      </c>
      <c r="P1284" s="8">
        <v>360.23700000000002</v>
      </c>
      <c r="Q1284" s="8">
        <v>385.084</v>
      </c>
      <c r="R1284" s="8">
        <v>374.24299999999999</v>
      </c>
      <c r="S1284" s="8">
        <v>351.69299999999998</v>
      </c>
      <c r="T1284" s="8">
        <v>264.375</v>
      </c>
      <c r="U1284" s="8">
        <v>178.227</v>
      </c>
      <c r="V1284" s="8">
        <v>120.88800000000001</v>
      </c>
      <c r="W1284" s="8">
        <v>90.495999999999995</v>
      </c>
      <c r="X1284" s="8">
        <v>57.43</v>
      </c>
      <c r="Y1284" s="8">
        <v>23.603999999999999</v>
      </c>
      <c r="Z1284" s="8">
        <v>6.2329999999999997</v>
      </c>
      <c r="AA1284" s="8">
        <v>0.77500000000000002</v>
      </c>
      <c r="AB1284" s="8">
        <v>6.9000000000000006E-2</v>
      </c>
      <c r="AC1284" s="8">
        <v>2E-3</v>
      </c>
    </row>
    <row r="1285" spans="1:29" ht="11.65" x14ac:dyDescent="0.35">
      <c r="A1285" s="12">
        <v>1268</v>
      </c>
      <c r="B1285" s="10" t="s">
        <v>1015</v>
      </c>
      <c r="C1285" s="11" t="s">
        <v>1108</v>
      </c>
      <c r="D1285" s="9"/>
      <c r="E1285" s="9">
        <v>504</v>
      </c>
      <c r="F1285" s="10" t="s">
        <v>1066</v>
      </c>
      <c r="G1285" s="9">
        <v>912</v>
      </c>
      <c r="H1285" s="9">
        <v>1985</v>
      </c>
      <c r="I1285" s="8">
        <v>1785.2760000000001</v>
      </c>
      <c r="J1285" s="8">
        <v>1570.634</v>
      </c>
      <c r="K1285" s="8">
        <v>1416.8720000000001</v>
      </c>
      <c r="L1285" s="8">
        <v>1316.914</v>
      </c>
      <c r="M1285" s="8">
        <v>1157.0999999999999</v>
      </c>
      <c r="N1285" s="8">
        <v>907.96500000000003</v>
      </c>
      <c r="O1285" s="8">
        <v>668.20899999999995</v>
      </c>
      <c r="P1285" s="8">
        <v>390.40600000000001</v>
      </c>
      <c r="Q1285" s="8">
        <v>346.452</v>
      </c>
      <c r="R1285" s="8">
        <v>369.57600000000002</v>
      </c>
      <c r="S1285" s="8">
        <v>355.86900000000003</v>
      </c>
      <c r="T1285" s="8">
        <v>331.6</v>
      </c>
      <c r="U1285" s="8">
        <v>245.357</v>
      </c>
      <c r="V1285" s="8">
        <v>155.57900000000001</v>
      </c>
      <c r="W1285" s="8">
        <v>94.197000000000003</v>
      </c>
      <c r="X1285" s="8">
        <v>59.737000000000002</v>
      </c>
      <c r="Y1285" s="8">
        <v>29.327999999999999</v>
      </c>
      <c r="Z1285" s="8">
        <v>8.1280000000000001</v>
      </c>
      <c r="AA1285" s="8">
        <v>1.25</v>
      </c>
      <c r="AB1285" s="8">
        <v>8.1000000000000003E-2</v>
      </c>
      <c r="AC1285" s="8">
        <v>4.0000000000000001E-3</v>
      </c>
    </row>
    <row r="1286" spans="1:29" ht="11.65" x14ac:dyDescent="0.35">
      <c r="A1286" s="12">
        <v>1269</v>
      </c>
      <c r="B1286" s="10" t="s">
        <v>1015</v>
      </c>
      <c r="C1286" s="11" t="s">
        <v>1108</v>
      </c>
      <c r="D1286" s="9"/>
      <c r="E1286" s="9">
        <v>504</v>
      </c>
      <c r="F1286" s="10" t="s">
        <v>1066</v>
      </c>
      <c r="G1286" s="9">
        <v>912</v>
      </c>
      <c r="H1286" s="9">
        <v>1990</v>
      </c>
      <c r="I1286" s="8">
        <v>1733.85</v>
      </c>
      <c r="J1286" s="8">
        <v>1733.8409999999999</v>
      </c>
      <c r="K1286" s="8">
        <v>1550.35</v>
      </c>
      <c r="L1286" s="8">
        <v>1368.5530000000001</v>
      </c>
      <c r="M1286" s="8">
        <v>1223.4079999999999</v>
      </c>
      <c r="N1286" s="8">
        <v>1075.723</v>
      </c>
      <c r="O1286" s="8">
        <v>870.11</v>
      </c>
      <c r="P1286" s="8">
        <v>652.55899999999997</v>
      </c>
      <c r="Q1286" s="8">
        <v>383.09100000000001</v>
      </c>
      <c r="R1286" s="8">
        <v>337.1</v>
      </c>
      <c r="S1286" s="8">
        <v>354.44400000000002</v>
      </c>
      <c r="T1286" s="8">
        <v>338</v>
      </c>
      <c r="U1286" s="8">
        <v>308.59899999999999</v>
      </c>
      <c r="V1286" s="8">
        <v>215.2</v>
      </c>
      <c r="W1286" s="8">
        <v>123.081</v>
      </c>
      <c r="X1286" s="8">
        <v>63.798999999999999</v>
      </c>
      <c r="Y1286" s="8">
        <v>31.678000000000001</v>
      </c>
      <c r="Z1286" s="8">
        <v>10.624000000000001</v>
      </c>
      <c r="AA1286" s="8">
        <v>1.7330000000000001</v>
      </c>
      <c r="AB1286" s="8">
        <v>0.14000000000000001</v>
      </c>
      <c r="AC1286" s="8">
        <v>5.0000000000000001E-3</v>
      </c>
    </row>
    <row r="1287" spans="1:29" ht="11.65" x14ac:dyDescent="0.35">
      <c r="A1287" s="12">
        <v>1270</v>
      </c>
      <c r="B1287" s="10" t="s">
        <v>1015</v>
      </c>
      <c r="C1287" s="11" t="s">
        <v>1108</v>
      </c>
      <c r="D1287" s="9"/>
      <c r="E1287" s="9">
        <v>504</v>
      </c>
      <c r="F1287" s="10" t="s">
        <v>1066</v>
      </c>
      <c r="G1287" s="9">
        <v>912</v>
      </c>
      <c r="H1287" s="9">
        <v>1995</v>
      </c>
      <c r="I1287" s="8">
        <v>1701.1379999999999</v>
      </c>
      <c r="J1287" s="8">
        <v>1694.82</v>
      </c>
      <c r="K1287" s="8">
        <v>1713.7739999999999</v>
      </c>
      <c r="L1287" s="8">
        <v>1492.066</v>
      </c>
      <c r="M1287" s="8">
        <v>1258.5640000000001</v>
      </c>
      <c r="N1287" s="8">
        <v>1110.808</v>
      </c>
      <c r="O1287" s="8">
        <v>1013.028</v>
      </c>
      <c r="P1287" s="8">
        <v>849.36199999999997</v>
      </c>
      <c r="Q1287" s="8">
        <v>642.52300000000002</v>
      </c>
      <c r="R1287" s="8">
        <v>381.98700000000002</v>
      </c>
      <c r="S1287" s="8">
        <v>333.04199999999997</v>
      </c>
      <c r="T1287" s="8">
        <v>342.38900000000001</v>
      </c>
      <c r="U1287" s="8">
        <v>316.12799999999999</v>
      </c>
      <c r="V1287" s="8">
        <v>271.517</v>
      </c>
      <c r="W1287" s="8">
        <v>171.858</v>
      </c>
      <c r="X1287" s="8">
        <v>84.817999999999998</v>
      </c>
      <c r="Y1287" s="8">
        <v>34.75</v>
      </c>
      <c r="Z1287" s="8">
        <v>11.919</v>
      </c>
      <c r="AA1287" s="8">
        <v>2.375</v>
      </c>
      <c r="AB1287" s="8">
        <v>0.20499999999999999</v>
      </c>
      <c r="AC1287" s="8">
        <v>8.0000000000000002E-3</v>
      </c>
    </row>
    <row r="1288" spans="1:29" ht="11.65" x14ac:dyDescent="0.35">
      <c r="A1288" s="12">
        <v>1271</v>
      </c>
      <c r="B1288" s="10" t="s">
        <v>1015</v>
      </c>
      <c r="C1288" s="11" t="s">
        <v>1108</v>
      </c>
      <c r="D1288" s="9"/>
      <c r="E1288" s="9">
        <v>504</v>
      </c>
      <c r="F1288" s="10" t="s">
        <v>1066</v>
      </c>
      <c r="G1288" s="9">
        <v>912</v>
      </c>
      <c r="H1288" s="9">
        <v>2000</v>
      </c>
      <c r="I1288" s="8">
        <v>1578.1479999999999</v>
      </c>
      <c r="J1288" s="8">
        <v>1676.5250000000001</v>
      </c>
      <c r="K1288" s="8">
        <v>1678.808</v>
      </c>
      <c r="L1288" s="8">
        <v>1649.489</v>
      </c>
      <c r="M1288" s="8">
        <v>1376.298</v>
      </c>
      <c r="N1288" s="8">
        <v>1149.645</v>
      </c>
      <c r="O1288" s="8">
        <v>1020.953</v>
      </c>
      <c r="P1288" s="8">
        <v>962.20899999999995</v>
      </c>
      <c r="Q1288" s="8">
        <v>831.68100000000004</v>
      </c>
      <c r="R1288" s="8">
        <v>630.10900000000004</v>
      </c>
      <c r="S1288" s="8">
        <v>382.27</v>
      </c>
      <c r="T1288" s="8">
        <v>333.79199999999997</v>
      </c>
      <c r="U1288" s="8">
        <v>322.37599999999998</v>
      </c>
      <c r="V1288" s="8">
        <v>275.43799999999999</v>
      </c>
      <c r="W1288" s="8">
        <v>217.714</v>
      </c>
      <c r="X1288" s="8">
        <v>119.71599999999999</v>
      </c>
      <c r="Y1288" s="8">
        <v>47.045000000000002</v>
      </c>
      <c r="Z1288" s="8">
        <v>13.442</v>
      </c>
      <c r="AA1288" s="8">
        <v>2.766</v>
      </c>
      <c r="AB1288" s="8">
        <v>0.29399999999999998</v>
      </c>
      <c r="AC1288" s="8">
        <v>1.2999999999999999E-2</v>
      </c>
    </row>
    <row r="1289" spans="1:29" ht="11.65" x14ac:dyDescent="0.35">
      <c r="A1289" s="12">
        <v>1272</v>
      </c>
      <c r="B1289" s="10" t="s">
        <v>1015</v>
      </c>
      <c r="C1289" s="11" t="s">
        <v>1108</v>
      </c>
      <c r="D1289" s="9"/>
      <c r="E1289" s="9">
        <v>504</v>
      </c>
      <c r="F1289" s="10" t="s">
        <v>1066</v>
      </c>
      <c r="G1289" s="9">
        <v>912</v>
      </c>
      <c r="H1289" s="9">
        <v>2005</v>
      </c>
      <c r="I1289" s="8">
        <v>1580.0309999999999</v>
      </c>
      <c r="J1289" s="8">
        <v>1553.5260000000001</v>
      </c>
      <c r="K1289" s="8">
        <v>1664.941</v>
      </c>
      <c r="L1289" s="8">
        <v>1598.1569999999999</v>
      </c>
      <c r="M1289" s="8">
        <v>1482.473</v>
      </c>
      <c r="N1289" s="8">
        <v>1212.682</v>
      </c>
      <c r="O1289" s="8">
        <v>1026.4749999999999</v>
      </c>
      <c r="P1289" s="8">
        <v>956.24599999999998</v>
      </c>
      <c r="Q1289" s="8">
        <v>941.23099999999999</v>
      </c>
      <c r="R1289" s="8">
        <v>820.96500000000003</v>
      </c>
      <c r="S1289" s="8">
        <v>644.77</v>
      </c>
      <c r="T1289" s="8">
        <v>421.39299999999997</v>
      </c>
      <c r="U1289" s="8">
        <v>361.57799999999997</v>
      </c>
      <c r="V1289" s="8">
        <v>308.089</v>
      </c>
      <c r="W1289" s="8">
        <v>226.2</v>
      </c>
      <c r="X1289" s="8">
        <v>157.09800000000001</v>
      </c>
      <c r="Y1289" s="8">
        <v>68.272999999999996</v>
      </c>
      <c r="Z1289" s="8">
        <v>17.841000000000001</v>
      </c>
      <c r="AA1289" s="8">
        <v>2.8149999999999999</v>
      </c>
      <c r="AB1289" s="8">
        <v>0.30199999999999999</v>
      </c>
      <c r="AC1289" s="8">
        <v>1.7999999999999999E-2</v>
      </c>
    </row>
    <row r="1290" spans="1:29" ht="11.65" x14ac:dyDescent="0.35">
      <c r="A1290" s="12">
        <v>1273</v>
      </c>
      <c r="B1290" s="10" t="s">
        <v>1015</v>
      </c>
      <c r="C1290" s="11" t="s">
        <v>1108</v>
      </c>
      <c r="D1290" s="9"/>
      <c r="E1290" s="9">
        <v>504</v>
      </c>
      <c r="F1290" s="10" t="s">
        <v>1066</v>
      </c>
      <c r="G1290" s="9">
        <v>912</v>
      </c>
      <c r="H1290" s="9">
        <v>2010</v>
      </c>
      <c r="I1290" s="8">
        <v>1632.1469999999999</v>
      </c>
      <c r="J1290" s="8">
        <v>1555.808</v>
      </c>
      <c r="K1290" s="8">
        <v>1541.961</v>
      </c>
      <c r="L1290" s="8">
        <v>1612.1949999999999</v>
      </c>
      <c r="M1290" s="8">
        <v>1486.133</v>
      </c>
      <c r="N1290" s="8">
        <v>1362.84</v>
      </c>
      <c r="O1290" s="8">
        <v>1136.3009999999999</v>
      </c>
      <c r="P1290" s="8">
        <v>994.22699999999998</v>
      </c>
      <c r="Q1290" s="8">
        <v>937.06</v>
      </c>
      <c r="R1290" s="8">
        <v>933.34699999999998</v>
      </c>
      <c r="S1290" s="8">
        <v>819.40099999999995</v>
      </c>
      <c r="T1290" s="8">
        <v>639.92999999999995</v>
      </c>
      <c r="U1290" s="8">
        <v>410.89699999999999</v>
      </c>
      <c r="V1290" s="8">
        <v>335.411</v>
      </c>
      <c r="W1290" s="8">
        <v>262.67899999999997</v>
      </c>
      <c r="X1290" s="8">
        <v>166.90799999999999</v>
      </c>
      <c r="Y1290" s="8">
        <v>90.551000000000002</v>
      </c>
      <c r="Z1290" s="8">
        <v>25.256</v>
      </c>
      <c r="AA1290" s="8">
        <v>3.464</v>
      </c>
      <c r="AB1290" s="8">
        <v>0.28499999999999998</v>
      </c>
      <c r="AC1290" s="8">
        <v>1.7999999999999999E-2</v>
      </c>
    </row>
    <row r="1291" spans="1:29" ht="11.65" x14ac:dyDescent="0.35">
      <c r="A1291" s="12">
        <v>1274</v>
      </c>
      <c r="B1291" s="10" t="s">
        <v>1015</v>
      </c>
      <c r="C1291" s="11" t="s">
        <v>1108</v>
      </c>
      <c r="D1291" s="9"/>
      <c r="E1291" s="9">
        <v>504</v>
      </c>
      <c r="F1291" s="10" t="s">
        <v>1066</v>
      </c>
      <c r="G1291" s="9">
        <v>912</v>
      </c>
      <c r="H1291" s="9">
        <v>2015</v>
      </c>
      <c r="I1291" s="8">
        <v>1773.421</v>
      </c>
      <c r="J1291" s="8">
        <v>1616.201</v>
      </c>
      <c r="K1291" s="8">
        <v>1545.7739999999999</v>
      </c>
      <c r="L1291" s="8">
        <v>1514.5239999999999</v>
      </c>
      <c r="M1291" s="8">
        <v>1562.3989999999999</v>
      </c>
      <c r="N1291" s="8">
        <v>1440.039</v>
      </c>
      <c r="O1291" s="8">
        <v>1335.922</v>
      </c>
      <c r="P1291" s="8">
        <v>1121.9639999999999</v>
      </c>
      <c r="Q1291" s="8">
        <v>984.322</v>
      </c>
      <c r="R1291" s="8">
        <v>927.32399999999996</v>
      </c>
      <c r="S1291" s="8">
        <v>920.42600000000004</v>
      </c>
      <c r="T1291" s="8">
        <v>801.86900000000003</v>
      </c>
      <c r="U1291" s="8">
        <v>616.49900000000002</v>
      </c>
      <c r="V1291" s="8">
        <v>383.93299999999999</v>
      </c>
      <c r="W1291" s="8">
        <v>292.31400000000002</v>
      </c>
      <c r="X1291" s="8">
        <v>201.22900000000001</v>
      </c>
      <c r="Y1291" s="8">
        <v>97.370999999999995</v>
      </c>
      <c r="Z1291" s="8">
        <v>31.155000000000001</v>
      </c>
      <c r="AA1291" s="8">
        <v>4.0759999999999996</v>
      </c>
      <c r="AB1291" s="8">
        <v>0.27</v>
      </c>
      <c r="AC1291" s="8">
        <v>7.0000000000000001E-3</v>
      </c>
    </row>
    <row r="1292" spans="1:29" ht="11.65" x14ac:dyDescent="0.35">
      <c r="A1292" s="12">
        <v>1275</v>
      </c>
      <c r="B1292" s="10" t="s">
        <v>1015</v>
      </c>
      <c r="C1292" s="11" t="s">
        <v>1108</v>
      </c>
      <c r="D1292" s="9"/>
      <c r="E1292" s="9">
        <v>504</v>
      </c>
      <c r="F1292" s="10" t="s">
        <v>1066</v>
      </c>
      <c r="G1292" s="9">
        <v>912</v>
      </c>
      <c r="H1292" s="9">
        <v>2020</v>
      </c>
      <c r="I1292" s="8">
        <v>1706.33</v>
      </c>
      <c r="J1292" s="8">
        <v>1757.751</v>
      </c>
      <c r="K1292" s="8">
        <v>1605.973</v>
      </c>
      <c r="L1292" s="8">
        <v>1518.5129999999999</v>
      </c>
      <c r="M1292" s="8">
        <v>1465.6220000000001</v>
      </c>
      <c r="N1292" s="8">
        <v>1521.6759999999999</v>
      </c>
      <c r="O1292" s="8">
        <v>1418.44</v>
      </c>
      <c r="P1292" s="8">
        <v>1321.046</v>
      </c>
      <c r="Q1292" s="8">
        <v>1111.7529999999999</v>
      </c>
      <c r="R1292" s="8">
        <v>975.16</v>
      </c>
      <c r="S1292" s="8">
        <v>916</v>
      </c>
      <c r="T1292" s="8">
        <v>903.13</v>
      </c>
      <c r="U1292" s="8">
        <v>776.03599999999994</v>
      </c>
      <c r="V1292" s="8">
        <v>580.69200000000001</v>
      </c>
      <c r="W1292" s="8">
        <v>340.255</v>
      </c>
      <c r="X1292" s="8">
        <v>230.94499999999999</v>
      </c>
      <c r="Y1292" s="8">
        <v>124.233</v>
      </c>
      <c r="Z1292" s="8">
        <v>37.082000000000001</v>
      </c>
      <c r="AA1292" s="8">
        <v>5.86</v>
      </c>
      <c r="AB1292" s="8">
        <v>0.377</v>
      </c>
      <c r="AC1292" s="8">
        <v>1.2999999999999999E-2</v>
      </c>
    </row>
    <row r="1293" spans="1:29" ht="11.65" x14ac:dyDescent="0.35">
      <c r="A1293" s="12">
        <v>1276</v>
      </c>
      <c r="B1293" s="10" t="s">
        <v>1015</v>
      </c>
      <c r="C1293" s="11" t="s">
        <v>1109</v>
      </c>
      <c r="D1293" s="9"/>
      <c r="E1293" s="9">
        <v>729</v>
      </c>
      <c r="F1293" s="10" t="s">
        <v>1066</v>
      </c>
      <c r="G1293" s="9">
        <v>912</v>
      </c>
      <c r="H1293" s="9">
        <v>1950</v>
      </c>
      <c r="I1293" s="8">
        <v>518.82399999999996</v>
      </c>
      <c r="J1293" s="8">
        <v>401.68299999999999</v>
      </c>
      <c r="K1293" s="8">
        <v>339.34500000000003</v>
      </c>
      <c r="L1293" s="8">
        <v>290.52</v>
      </c>
      <c r="M1293" s="8">
        <v>247.55</v>
      </c>
      <c r="N1293" s="8">
        <v>211.46899999999999</v>
      </c>
      <c r="O1293" s="8">
        <v>177.87100000000001</v>
      </c>
      <c r="P1293" s="8">
        <v>150.501</v>
      </c>
      <c r="Q1293" s="8">
        <v>124.956</v>
      </c>
      <c r="R1293" s="8">
        <v>101.29900000000001</v>
      </c>
      <c r="S1293" s="8">
        <v>83.052000000000007</v>
      </c>
      <c r="T1293" s="8">
        <v>69.335999999999999</v>
      </c>
      <c r="U1293" s="8">
        <v>57.067</v>
      </c>
      <c r="V1293" s="8">
        <v>41.841000000000001</v>
      </c>
      <c r="W1293" s="8">
        <v>27.306999999999999</v>
      </c>
      <c r="X1293" s="8">
        <v>14.723000000000001</v>
      </c>
      <c r="Y1293" s="8">
        <v>5.4370000000000003</v>
      </c>
      <c r="Z1293" s="8">
        <v>1.569</v>
      </c>
      <c r="AA1293" s="8">
        <v>0.26600000000000001</v>
      </c>
      <c r="AB1293" s="8">
        <v>2.4E-2</v>
      </c>
      <c r="AC1293" s="8">
        <v>1E-3</v>
      </c>
    </row>
    <row r="1294" spans="1:29" ht="11.65" x14ac:dyDescent="0.35">
      <c r="A1294" s="12">
        <v>1277</v>
      </c>
      <c r="B1294" s="10" t="s">
        <v>1015</v>
      </c>
      <c r="C1294" s="11" t="s">
        <v>1109</v>
      </c>
      <c r="D1294" s="9"/>
      <c r="E1294" s="9">
        <v>729</v>
      </c>
      <c r="F1294" s="10" t="s">
        <v>1066</v>
      </c>
      <c r="G1294" s="9">
        <v>912</v>
      </c>
      <c r="H1294" s="9">
        <v>1955</v>
      </c>
      <c r="I1294" s="8">
        <v>602.35900000000004</v>
      </c>
      <c r="J1294" s="8">
        <v>469.80599999999998</v>
      </c>
      <c r="K1294" s="8">
        <v>388.77300000000002</v>
      </c>
      <c r="L1294" s="8">
        <v>330.92500000000001</v>
      </c>
      <c r="M1294" s="8">
        <v>280.76400000000001</v>
      </c>
      <c r="N1294" s="8">
        <v>237.41200000000001</v>
      </c>
      <c r="O1294" s="8">
        <v>202.40199999999999</v>
      </c>
      <c r="P1294" s="8">
        <v>169.529</v>
      </c>
      <c r="Q1294" s="8">
        <v>142.25800000000001</v>
      </c>
      <c r="R1294" s="8">
        <v>116.747</v>
      </c>
      <c r="S1294" s="8">
        <v>93.11</v>
      </c>
      <c r="T1294" s="8">
        <v>74.478999999999999</v>
      </c>
      <c r="U1294" s="8">
        <v>59.783999999999999</v>
      </c>
      <c r="V1294" s="8">
        <v>46.122</v>
      </c>
      <c r="W1294" s="8">
        <v>30.359000000000002</v>
      </c>
      <c r="X1294" s="8">
        <v>16.687999999999999</v>
      </c>
      <c r="Y1294" s="8">
        <v>6.9429999999999996</v>
      </c>
      <c r="Z1294" s="8">
        <v>1.7430000000000001</v>
      </c>
      <c r="AA1294" s="8">
        <v>0.30099999999999999</v>
      </c>
      <c r="AB1294" s="8">
        <v>2.7E-2</v>
      </c>
      <c r="AC1294" s="8">
        <v>1E-3</v>
      </c>
    </row>
    <row r="1295" spans="1:29" ht="11.65" x14ac:dyDescent="0.35">
      <c r="A1295" s="12">
        <v>1278</v>
      </c>
      <c r="B1295" s="10" t="s">
        <v>1015</v>
      </c>
      <c r="C1295" s="11" t="s">
        <v>1109</v>
      </c>
      <c r="D1295" s="9"/>
      <c r="E1295" s="9">
        <v>729</v>
      </c>
      <c r="F1295" s="10" t="s">
        <v>1066</v>
      </c>
      <c r="G1295" s="9">
        <v>912</v>
      </c>
      <c r="H1295" s="9">
        <v>1960</v>
      </c>
      <c r="I1295" s="8">
        <v>701.78300000000002</v>
      </c>
      <c r="J1295" s="8">
        <v>552.255</v>
      </c>
      <c r="K1295" s="8">
        <v>456.36399999999998</v>
      </c>
      <c r="L1295" s="8">
        <v>380.01900000000001</v>
      </c>
      <c r="M1295" s="8">
        <v>320.71800000000002</v>
      </c>
      <c r="N1295" s="8">
        <v>270.20699999999999</v>
      </c>
      <c r="O1295" s="8">
        <v>228.072</v>
      </c>
      <c r="P1295" s="8">
        <v>193.70099999999999</v>
      </c>
      <c r="Q1295" s="8">
        <v>161.02799999999999</v>
      </c>
      <c r="R1295" s="8">
        <v>133.70400000000001</v>
      </c>
      <c r="S1295" s="8">
        <v>108.048</v>
      </c>
      <c r="T1295" s="8">
        <v>84.204999999999998</v>
      </c>
      <c r="U1295" s="8">
        <v>64.924000000000007</v>
      </c>
      <c r="V1295" s="8">
        <v>48.999000000000002</v>
      </c>
      <c r="W1295" s="8">
        <v>34.139000000000003</v>
      </c>
      <c r="X1295" s="8">
        <v>19.103999999999999</v>
      </c>
      <c r="Y1295" s="8">
        <v>8.2010000000000005</v>
      </c>
      <c r="Z1295" s="8">
        <v>2.3559999999999999</v>
      </c>
      <c r="AA1295" s="8">
        <v>0.35799999999999998</v>
      </c>
      <c r="AB1295" s="8">
        <v>3.3000000000000002E-2</v>
      </c>
      <c r="AC1295" s="8">
        <v>2E-3</v>
      </c>
    </row>
    <row r="1296" spans="1:29" ht="11.65" x14ac:dyDescent="0.35">
      <c r="A1296" s="12">
        <v>1279</v>
      </c>
      <c r="B1296" s="10" t="s">
        <v>1015</v>
      </c>
      <c r="C1296" s="11" t="s">
        <v>1109</v>
      </c>
      <c r="D1296" s="9"/>
      <c r="E1296" s="9">
        <v>729</v>
      </c>
      <c r="F1296" s="10" t="s">
        <v>1066</v>
      </c>
      <c r="G1296" s="9">
        <v>912</v>
      </c>
      <c r="H1296" s="9">
        <v>1965</v>
      </c>
      <c r="I1296" s="8">
        <v>831.10400000000004</v>
      </c>
      <c r="J1296" s="8">
        <v>650.27200000000005</v>
      </c>
      <c r="K1296" s="8">
        <v>538.06799999999998</v>
      </c>
      <c r="L1296" s="8">
        <v>446.91699999999997</v>
      </c>
      <c r="M1296" s="8">
        <v>369.08499999999998</v>
      </c>
      <c r="N1296" s="8">
        <v>309.47500000000002</v>
      </c>
      <c r="O1296" s="8">
        <v>260.315</v>
      </c>
      <c r="P1296" s="8">
        <v>218.94900000000001</v>
      </c>
      <c r="Q1296" s="8">
        <v>184.66300000000001</v>
      </c>
      <c r="R1296" s="8">
        <v>152</v>
      </c>
      <c r="S1296" s="8">
        <v>124.33</v>
      </c>
      <c r="T1296" s="8">
        <v>98.257000000000005</v>
      </c>
      <c r="U1296" s="8">
        <v>73.914000000000001</v>
      </c>
      <c r="V1296" s="8">
        <v>53.686999999999998</v>
      </c>
      <c r="W1296" s="8">
        <v>36.729999999999997</v>
      </c>
      <c r="X1296" s="8">
        <v>21.875</v>
      </c>
      <c r="Y1296" s="8">
        <v>9.6259999999999994</v>
      </c>
      <c r="Z1296" s="8">
        <v>2.8780000000000001</v>
      </c>
      <c r="AA1296" s="8">
        <v>0.504</v>
      </c>
      <c r="AB1296" s="8">
        <v>0.04</v>
      </c>
      <c r="AC1296" s="8">
        <v>2E-3</v>
      </c>
    </row>
    <row r="1297" spans="1:29" ht="11.65" x14ac:dyDescent="0.35">
      <c r="A1297" s="12">
        <v>1280</v>
      </c>
      <c r="B1297" s="10" t="s">
        <v>1015</v>
      </c>
      <c r="C1297" s="11" t="s">
        <v>1109</v>
      </c>
      <c r="D1297" s="9"/>
      <c r="E1297" s="9">
        <v>729</v>
      </c>
      <c r="F1297" s="10" t="s">
        <v>1066</v>
      </c>
      <c r="G1297" s="9">
        <v>912</v>
      </c>
      <c r="H1297" s="9">
        <v>1970</v>
      </c>
      <c r="I1297" s="8">
        <v>991.67100000000005</v>
      </c>
      <c r="J1297" s="8">
        <v>777.09100000000001</v>
      </c>
      <c r="K1297" s="8">
        <v>635.28200000000004</v>
      </c>
      <c r="L1297" s="8">
        <v>527.85</v>
      </c>
      <c r="M1297" s="8">
        <v>434.97199999999998</v>
      </c>
      <c r="N1297" s="8">
        <v>357.08100000000002</v>
      </c>
      <c r="O1297" s="8">
        <v>298.964</v>
      </c>
      <c r="P1297" s="8">
        <v>250.64599999999999</v>
      </c>
      <c r="Q1297" s="8">
        <v>209.45500000000001</v>
      </c>
      <c r="R1297" s="8">
        <v>175.011</v>
      </c>
      <c r="S1297" s="8">
        <v>141.96600000000001</v>
      </c>
      <c r="T1297" s="8">
        <v>113.651</v>
      </c>
      <c r="U1297" s="8">
        <v>86.817999999999998</v>
      </c>
      <c r="V1297" s="8">
        <v>61.64</v>
      </c>
      <c r="W1297" s="8">
        <v>40.728000000000002</v>
      </c>
      <c r="X1297" s="8">
        <v>23.940999999999999</v>
      </c>
      <c r="Y1297" s="8">
        <v>11.282999999999999</v>
      </c>
      <c r="Z1297" s="8">
        <v>3.4849999999999999</v>
      </c>
      <c r="AA1297" s="8">
        <v>0.64</v>
      </c>
      <c r="AB1297" s="8">
        <v>6.0999999999999999E-2</v>
      </c>
      <c r="AC1297" s="8">
        <v>3.0000000000000001E-3</v>
      </c>
    </row>
    <row r="1298" spans="1:29" ht="11.65" x14ac:dyDescent="0.35">
      <c r="A1298" s="12">
        <v>1281</v>
      </c>
      <c r="B1298" s="10" t="s">
        <v>1015</v>
      </c>
      <c r="C1298" s="11" t="s">
        <v>1109</v>
      </c>
      <c r="D1298" s="9"/>
      <c r="E1298" s="9">
        <v>729</v>
      </c>
      <c r="F1298" s="10" t="s">
        <v>1066</v>
      </c>
      <c r="G1298" s="9">
        <v>912</v>
      </c>
      <c r="H1298" s="9">
        <v>1975</v>
      </c>
      <c r="I1298" s="8">
        <v>1179.143</v>
      </c>
      <c r="J1298" s="8">
        <v>936.32899999999995</v>
      </c>
      <c r="K1298" s="8">
        <v>762.16099999999994</v>
      </c>
      <c r="L1298" s="8">
        <v>624.84199999999998</v>
      </c>
      <c r="M1298" s="8">
        <v>515.75</v>
      </c>
      <c r="N1298" s="8">
        <v>422.72899999999998</v>
      </c>
      <c r="O1298" s="8">
        <v>346.428</v>
      </c>
      <c r="P1298" s="8">
        <v>289.12200000000001</v>
      </c>
      <c r="Q1298" s="8">
        <v>240.94800000000001</v>
      </c>
      <c r="R1298" s="8">
        <v>199.54499999999999</v>
      </c>
      <c r="S1298" s="8">
        <v>164.38900000000001</v>
      </c>
      <c r="T1298" s="8">
        <v>130.58600000000001</v>
      </c>
      <c r="U1298" s="8">
        <v>101.18300000000001</v>
      </c>
      <c r="V1298" s="8">
        <v>73.138000000000005</v>
      </c>
      <c r="W1298" s="8">
        <v>47.488999999999997</v>
      </c>
      <c r="X1298" s="8">
        <v>26.998999999999999</v>
      </c>
      <c r="Y1298" s="8">
        <v>12.775</v>
      </c>
      <c r="Z1298" s="8">
        <v>4.383</v>
      </c>
      <c r="AA1298" s="8">
        <v>0.88700000000000001</v>
      </c>
      <c r="AB1298" s="8">
        <v>9.7000000000000003E-2</v>
      </c>
      <c r="AC1298" s="8">
        <v>5.0000000000000001E-3</v>
      </c>
    </row>
    <row r="1299" spans="1:29" ht="11.65" x14ac:dyDescent="0.35">
      <c r="A1299" s="12">
        <v>1282</v>
      </c>
      <c r="B1299" s="10" t="s">
        <v>1015</v>
      </c>
      <c r="C1299" s="11" t="s">
        <v>1109</v>
      </c>
      <c r="D1299" s="9"/>
      <c r="E1299" s="9">
        <v>729</v>
      </c>
      <c r="F1299" s="10" t="s">
        <v>1066</v>
      </c>
      <c r="G1299" s="9">
        <v>912</v>
      </c>
      <c r="H1299" s="9">
        <v>1980</v>
      </c>
      <c r="I1299" s="8">
        <v>1393.4390000000001</v>
      </c>
      <c r="J1299" s="8">
        <v>1130.395</v>
      </c>
      <c r="K1299" s="8">
        <v>930.20899999999995</v>
      </c>
      <c r="L1299" s="8">
        <v>759.11800000000005</v>
      </c>
      <c r="M1299" s="8">
        <v>618.35400000000004</v>
      </c>
      <c r="N1299" s="8">
        <v>507.77300000000002</v>
      </c>
      <c r="O1299" s="8">
        <v>415.536</v>
      </c>
      <c r="P1299" s="8">
        <v>339.536</v>
      </c>
      <c r="Q1299" s="8">
        <v>281.714</v>
      </c>
      <c r="R1299" s="8">
        <v>232.72300000000001</v>
      </c>
      <c r="S1299" s="8">
        <v>190.07499999999999</v>
      </c>
      <c r="T1299" s="8">
        <v>153.37799999999999</v>
      </c>
      <c r="U1299" s="8">
        <v>117.997</v>
      </c>
      <c r="V1299" s="8">
        <v>86.582999999999998</v>
      </c>
      <c r="W1299" s="8">
        <v>57.32</v>
      </c>
      <c r="X1299" s="8">
        <v>32.1</v>
      </c>
      <c r="Y1299" s="8">
        <v>14.77</v>
      </c>
      <c r="Z1299" s="8">
        <v>5.0780000000000003</v>
      </c>
      <c r="AA1299" s="8">
        <v>1.1379999999999999</v>
      </c>
      <c r="AB1299" s="8">
        <v>0.13700000000000001</v>
      </c>
      <c r="AC1299" s="8">
        <v>8.0000000000000002E-3</v>
      </c>
    </row>
    <row r="1300" spans="1:29" ht="11.65" x14ac:dyDescent="0.35">
      <c r="A1300" s="12">
        <v>1283</v>
      </c>
      <c r="B1300" s="10" t="s">
        <v>1015</v>
      </c>
      <c r="C1300" s="11" t="s">
        <v>1109</v>
      </c>
      <c r="D1300" s="9"/>
      <c r="E1300" s="9">
        <v>729</v>
      </c>
      <c r="F1300" s="10" t="s">
        <v>1066</v>
      </c>
      <c r="G1300" s="9">
        <v>912</v>
      </c>
      <c r="H1300" s="9">
        <v>1985</v>
      </c>
      <c r="I1300" s="8">
        <v>1592.847</v>
      </c>
      <c r="J1300" s="8">
        <v>1338.566</v>
      </c>
      <c r="K1300" s="8">
        <v>1123.9939999999999</v>
      </c>
      <c r="L1300" s="8">
        <v>927.14400000000001</v>
      </c>
      <c r="M1300" s="8">
        <v>751.83699999999999</v>
      </c>
      <c r="N1300" s="8">
        <v>609.35500000000002</v>
      </c>
      <c r="O1300" s="8">
        <v>499.553</v>
      </c>
      <c r="P1300" s="8">
        <v>407.63400000000001</v>
      </c>
      <c r="Q1300" s="8">
        <v>331.233</v>
      </c>
      <c r="R1300" s="8">
        <v>272.44400000000002</v>
      </c>
      <c r="S1300" s="8">
        <v>221.98099999999999</v>
      </c>
      <c r="T1300" s="8">
        <v>177.648</v>
      </c>
      <c r="U1300" s="8">
        <v>138.84399999999999</v>
      </c>
      <c r="V1300" s="8">
        <v>101.209</v>
      </c>
      <c r="W1300" s="8">
        <v>68.061999999999998</v>
      </c>
      <c r="X1300" s="8">
        <v>38.905999999999999</v>
      </c>
      <c r="Y1300" s="8">
        <v>17.663</v>
      </c>
      <c r="Z1300" s="8">
        <v>5.9169999999999998</v>
      </c>
      <c r="AA1300" s="8">
        <v>1.33</v>
      </c>
      <c r="AB1300" s="8">
        <v>0.17599999999999999</v>
      </c>
      <c r="AC1300" s="8">
        <v>1.2E-2</v>
      </c>
    </row>
    <row r="1301" spans="1:29" ht="11.65" x14ac:dyDescent="0.35">
      <c r="A1301" s="12">
        <v>1284</v>
      </c>
      <c r="B1301" s="10" t="s">
        <v>1015</v>
      </c>
      <c r="C1301" s="11" t="s">
        <v>1109</v>
      </c>
      <c r="D1301" s="9"/>
      <c r="E1301" s="9">
        <v>729</v>
      </c>
      <c r="F1301" s="10" t="s">
        <v>1066</v>
      </c>
      <c r="G1301" s="9">
        <v>912</v>
      </c>
      <c r="H1301" s="9">
        <v>1990</v>
      </c>
      <c r="I1301" s="8">
        <v>1790.3009999999999</v>
      </c>
      <c r="J1301" s="8">
        <v>1525.2929999999999</v>
      </c>
      <c r="K1301" s="8">
        <v>1324.2919999999999</v>
      </c>
      <c r="L1301" s="8">
        <v>1114.373</v>
      </c>
      <c r="M1301" s="8">
        <v>913.44</v>
      </c>
      <c r="N1301" s="8">
        <v>737.07299999999998</v>
      </c>
      <c r="O1301" s="8">
        <v>596.38699999999994</v>
      </c>
      <c r="P1301" s="8">
        <v>487.47399999999999</v>
      </c>
      <c r="Q1301" s="8">
        <v>395.62099999999998</v>
      </c>
      <c r="R1301" s="8">
        <v>318.815</v>
      </c>
      <c r="S1301" s="8">
        <v>258.67</v>
      </c>
      <c r="T1301" s="8">
        <v>206.57400000000001</v>
      </c>
      <c r="U1301" s="8">
        <v>160.21</v>
      </c>
      <c r="V1301" s="8">
        <v>118.7</v>
      </c>
      <c r="W1301" s="8">
        <v>79.414000000000001</v>
      </c>
      <c r="X1301" s="8">
        <v>46.195</v>
      </c>
      <c r="Y1301" s="8">
        <v>21.433</v>
      </c>
      <c r="Z1301" s="8">
        <v>7.1230000000000002</v>
      </c>
      <c r="AA1301" s="8">
        <v>1.571</v>
      </c>
      <c r="AB1301" s="8">
        <v>0.21099999999999999</v>
      </c>
      <c r="AC1301" s="8">
        <v>1.6E-2</v>
      </c>
    </row>
    <row r="1302" spans="1:29" ht="11.65" x14ac:dyDescent="0.35">
      <c r="A1302" s="12">
        <v>1285</v>
      </c>
      <c r="B1302" s="10" t="s">
        <v>1015</v>
      </c>
      <c r="C1302" s="11" t="s">
        <v>1109</v>
      </c>
      <c r="D1302" s="9"/>
      <c r="E1302" s="9">
        <v>729</v>
      </c>
      <c r="F1302" s="10" t="s">
        <v>1066</v>
      </c>
      <c r="G1302" s="9">
        <v>912</v>
      </c>
      <c r="H1302" s="9">
        <v>1995</v>
      </c>
      <c r="I1302" s="8">
        <v>2117.3249999999998</v>
      </c>
      <c r="J1302" s="8">
        <v>1740.9870000000001</v>
      </c>
      <c r="K1302" s="8">
        <v>1530.2339999999999</v>
      </c>
      <c r="L1302" s="8">
        <v>1326.4659999999999</v>
      </c>
      <c r="M1302" s="8">
        <v>1105.8009999999999</v>
      </c>
      <c r="N1302" s="8">
        <v>913.37400000000002</v>
      </c>
      <c r="O1302" s="8">
        <v>746.03499999999997</v>
      </c>
      <c r="P1302" s="8">
        <v>605.29300000000001</v>
      </c>
      <c r="Q1302" s="8">
        <v>495.57600000000002</v>
      </c>
      <c r="R1302" s="8">
        <v>399.41800000000001</v>
      </c>
      <c r="S1302" s="8">
        <v>317.85300000000001</v>
      </c>
      <c r="T1302" s="8">
        <v>252.80699999999999</v>
      </c>
      <c r="U1302" s="8">
        <v>195.70400000000001</v>
      </c>
      <c r="V1302" s="8">
        <v>143.96600000000001</v>
      </c>
      <c r="W1302" s="8">
        <v>98.105000000000004</v>
      </c>
      <c r="X1302" s="8">
        <v>56.98</v>
      </c>
      <c r="Y1302" s="8">
        <v>27.254000000000001</v>
      </c>
      <c r="Z1302" s="8">
        <v>9.1389999999999993</v>
      </c>
      <c r="AA1302" s="8">
        <v>1.9410000000000001</v>
      </c>
      <c r="AB1302" s="8">
        <v>0.25800000000000001</v>
      </c>
      <c r="AC1302" s="8">
        <v>0.02</v>
      </c>
    </row>
    <row r="1303" spans="1:29" ht="11.65" x14ac:dyDescent="0.35">
      <c r="A1303" s="12">
        <v>1286</v>
      </c>
      <c r="B1303" s="10" t="s">
        <v>1015</v>
      </c>
      <c r="C1303" s="11" t="s">
        <v>1109</v>
      </c>
      <c r="D1303" s="9"/>
      <c r="E1303" s="9">
        <v>729</v>
      </c>
      <c r="F1303" s="10" t="s">
        <v>1066</v>
      </c>
      <c r="G1303" s="9">
        <v>912</v>
      </c>
      <c r="H1303" s="9">
        <v>2000</v>
      </c>
      <c r="I1303" s="8">
        <v>2368.8589999999999</v>
      </c>
      <c r="J1303" s="8">
        <v>2002.558</v>
      </c>
      <c r="K1303" s="8">
        <v>1679.9970000000001</v>
      </c>
      <c r="L1303" s="8">
        <v>1474.9490000000001</v>
      </c>
      <c r="M1303" s="8">
        <v>1262.181</v>
      </c>
      <c r="N1303" s="8">
        <v>1039.8820000000001</v>
      </c>
      <c r="O1303" s="8">
        <v>856.44500000000005</v>
      </c>
      <c r="P1303" s="8">
        <v>696.97900000000004</v>
      </c>
      <c r="Q1303" s="8">
        <v>564.26599999999996</v>
      </c>
      <c r="R1303" s="8">
        <v>462.565</v>
      </c>
      <c r="S1303" s="8">
        <v>369.84800000000001</v>
      </c>
      <c r="T1303" s="8">
        <v>288.988</v>
      </c>
      <c r="U1303" s="8">
        <v>222.827</v>
      </c>
      <c r="V1303" s="8">
        <v>163.87799999999999</v>
      </c>
      <c r="W1303" s="8">
        <v>111.047</v>
      </c>
      <c r="X1303" s="8">
        <v>66.364000000000004</v>
      </c>
      <c r="Y1303" s="8">
        <v>31.36</v>
      </c>
      <c r="Z1303" s="8">
        <v>11.292</v>
      </c>
      <c r="AA1303" s="8">
        <v>2.5880000000000001</v>
      </c>
      <c r="AB1303" s="8">
        <v>0.33500000000000002</v>
      </c>
      <c r="AC1303" s="8">
        <v>2.5000000000000001E-2</v>
      </c>
    </row>
    <row r="1304" spans="1:29" ht="11.65" x14ac:dyDescent="0.35">
      <c r="A1304" s="12">
        <v>1287</v>
      </c>
      <c r="B1304" s="10" t="s">
        <v>1015</v>
      </c>
      <c r="C1304" s="11" t="s">
        <v>1109</v>
      </c>
      <c r="D1304" s="9"/>
      <c r="E1304" s="9">
        <v>729</v>
      </c>
      <c r="F1304" s="10" t="s">
        <v>1066</v>
      </c>
      <c r="G1304" s="9">
        <v>912</v>
      </c>
      <c r="H1304" s="9">
        <v>2005</v>
      </c>
      <c r="I1304" s="8">
        <v>2618.444</v>
      </c>
      <c r="J1304" s="8">
        <v>2257.4110000000001</v>
      </c>
      <c r="K1304" s="8">
        <v>1940.748</v>
      </c>
      <c r="L1304" s="8">
        <v>1624.6849999999999</v>
      </c>
      <c r="M1304" s="8">
        <v>1411.46</v>
      </c>
      <c r="N1304" s="8">
        <v>1199.4870000000001</v>
      </c>
      <c r="O1304" s="8">
        <v>989.61599999999999</v>
      </c>
      <c r="P1304" s="8">
        <v>813.85799999999995</v>
      </c>
      <c r="Q1304" s="8">
        <v>657.63900000000001</v>
      </c>
      <c r="R1304" s="8">
        <v>529.25400000000002</v>
      </c>
      <c r="S1304" s="8">
        <v>430.10700000000003</v>
      </c>
      <c r="T1304" s="8">
        <v>338.47399999999999</v>
      </c>
      <c r="U1304" s="8">
        <v>256.82900000000001</v>
      </c>
      <c r="V1304" s="8">
        <v>188.44300000000001</v>
      </c>
      <c r="W1304" s="8">
        <v>127.886</v>
      </c>
      <c r="X1304" s="8">
        <v>76.272000000000006</v>
      </c>
      <c r="Y1304" s="8">
        <v>37.366999999999997</v>
      </c>
      <c r="Z1304" s="8">
        <v>13.393000000000001</v>
      </c>
      <c r="AA1304" s="8">
        <v>3.327</v>
      </c>
      <c r="AB1304" s="8">
        <v>0.47099999999999997</v>
      </c>
      <c r="AC1304" s="8">
        <v>3.4000000000000002E-2</v>
      </c>
    </row>
    <row r="1305" spans="1:29" ht="11.65" x14ac:dyDescent="0.35">
      <c r="A1305" s="12">
        <v>1288</v>
      </c>
      <c r="B1305" s="10" t="s">
        <v>1015</v>
      </c>
      <c r="C1305" s="11" t="s">
        <v>1109</v>
      </c>
      <c r="D1305" s="9"/>
      <c r="E1305" s="9">
        <v>729</v>
      </c>
      <c r="F1305" s="10" t="s">
        <v>1066</v>
      </c>
      <c r="G1305" s="9">
        <v>912</v>
      </c>
      <c r="H1305" s="9">
        <v>2010</v>
      </c>
      <c r="I1305" s="8">
        <v>2819.6849999999999</v>
      </c>
      <c r="J1305" s="8">
        <v>2511.7109999999998</v>
      </c>
      <c r="K1305" s="8">
        <v>2194.4690000000001</v>
      </c>
      <c r="L1305" s="8">
        <v>1858.32</v>
      </c>
      <c r="M1305" s="8">
        <v>1500.9390000000001</v>
      </c>
      <c r="N1305" s="8">
        <v>1269.058</v>
      </c>
      <c r="O1305" s="8">
        <v>1062.4079999999999</v>
      </c>
      <c r="P1305" s="8">
        <v>905.24699999999996</v>
      </c>
      <c r="Q1305" s="8">
        <v>772.75699999999995</v>
      </c>
      <c r="R1305" s="8">
        <v>620.43299999999999</v>
      </c>
      <c r="S1305" s="8">
        <v>494.875</v>
      </c>
      <c r="T1305" s="8">
        <v>396.25900000000001</v>
      </c>
      <c r="U1305" s="8">
        <v>303.40499999999997</v>
      </c>
      <c r="V1305" s="8">
        <v>219.584</v>
      </c>
      <c r="W1305" s="8">
        <v>149.03899999999999</v>
      </c>
      <c r="X1305" s="8">
        <v>89.28</v>
      </c>
      <c r="Y1305" s="8">
        <v>43.807000000000002</v>
      </c>
      <c r="Z1305" s="8">
        <v>16.312999999999999</v>
      </c>
      <c r="AA1305" s="8">
        <v>4.0289999999999999</v>
      </c>
      <c r="AB1305" s="8">
        <v>0.61599999999999999</v>
      </c>
      <c r="AC1305" s="8">
        <v>4.8000000000000001E-2</v>
      </c>
    </row>
    <row r="1306" spans="1:29" ht="11.65" x14ac:dyDescent="0.35">
      <c r="A1306" s="12">
        <v>1289</v>
      </c>
      <c r="B1306" s="10" t="s">
        <v>1015</v>
      </c>
      <c r="C1306" s="11" t="s">
        <v>1109</v>
      </c>
      <c r="D1306" s="9"/>
      <c r="E1306" s="9">
        <v>729</v>
      </c>
      <c r="F1306" s="10" t="s">
        <v>1066</v>
      </c>
      <c r="G1306" s="9">
        <v>912</v>
      </c>
      <c r="H1306" s="9">
        <v>2015</v>
      </c>
      <c r="I1306" s="8">
        <v>2998.01</v>
      </c>
      <c r="J1306" s="8">
        <v>2726.3879999999999</v>
      </c>
      <c r="K1306" s="8">
        <v>2460.154</v>
      </c>
      <c r="L1306" s="8">
        <v>2147.1759999999999</v>
      </c>
      <c r="M1306" s="8">
        <v>1800.4960000000001</v>
      </c>
      <c r="N1306" s="8">
        <v>1440.798</v>
      </c>
      <c r="O1306" s="8">
        <v>1215.5029999999999</v>
      </c>
      <c r="P1306" s="8">
        <v>1016.9589999999999</v>
      </c>
      <c r="Q1306" s="8">
        <v>863.41200000000003</v>
      </c>
      <c r="R1306" s="8">
        <v>733.072</v>
      </c>
      <c r="S1306" s="8">
        <v>583.52800000000002</v>
      </c>
      <c r="T1306" s="8">
        <v>458.78899999999999</v>
      </c>
      <c r="U1306" s="8">
        <v>357.964</v>
      </c>
      <c r="V1306" s="8">
        <v>262.03899999999999</v>
      </c>
      <c r="W1306" s="8">
        <v>176.047</v>
      </c>
      <c r="X1306" s="8">
        <v>105.989</v>
      </c>
      <c r="Y1306" s="8">
        <v>52.454999999999998</v>
      </c>
      <c r="Z1306" s="8">
        <v>19.722999999999999</v>
      </c>
      <c r="AA1306" s="8">
        <v>5.2060000000000004</v>
      </c>
      <c r="AB1306" s="8">
        <v>0.84099999999999997</v>
      </c>
      <c r="AC1306" s="8">
        <v>7.8E-2</v>
      </c>
    </row>
    <row r="1307" spans="1:29" ht="11.65" x14ac:dyDescent="0.35">
      <c r="A1307" s="12">
        <v>1290</v>
      </c>
      <c r="B1307" s="10" t="s">
        <v>1015</v>
      </c>
      <c r="C1307" s="11" t="s">
        <v>1109</v>
      </c>
      <c r="D1307" s="9"/>
      <c r="E1307" s="9">
        <v>729</v>
      </c>
      <c r="F1307" s="10" t="s">
        <v>1066</v>
      </c>
      <c r="G1307" s="9">
        <v>912</v>
      </c>
      <c r="H1307" s="9">
        <v>2020</v>
      </c>
      <c r="I1307" s="8">
        <v>3215.817</v>
      </c>
      <c r="J1307" s="8">
        <v>2934.3939999999998</v>
      </c>
      <c r="K1307" s="8">
        <v>2696.4279999999999</v>
      </c>
      <c r="L1307" s="8">
        <v>2428.9409999999998</v>
      </c>
      <c r="M1307" s="8">
        <v>2101.0839999999998</v>
      </c>
      <c r="N1307" s="8">
        <v>1747.912</v>
      </c>
      <c r="O1307" s="8">
        <v>1393.9649999999999</v>
      </c>
      <c r="P1307" s="8">
        <v>1172.941</v>
      </c>
      <c r="Q1307" s="8">
        <v>977.60599999999999</v>
      </c>
      <c r="R1307" s="8">
        <v>826.52499999999998</v>
      </c>
      <c r="S1307" s="8">
        <v>696.75699999999995</v>
      </c>
      <c r="T1307" s="8">
        <v>547.16099999999994</v>
      </c>
      <c r="U1307" s="8">
        <v>419.49700000000001</v>
      </c>
      <c r="V1307" s="8">
        <v>313.23899999999998</v>
      </c>
      <c r="W1307" s="8">
        <v>213.08699999999999</v>
      </c>
      <c r="X1307" s="8">
        <v>126.992</v>
      </c>
      <c r="Y1307" s="8">
        <v>63.402999999999999</v>
      </c>
      <c r="Z1307" s="8">
        <v>23.989000000000001</v>
      </c>
      <c r="AA1307" s="8">
        <v>6.3540000000000001</v>
      </c>
      <c r="AB1307" s="8">
        <v>1.093</v>
      </c>
      <c r="AC1307" s="8">
        <v>0.11</v>
      </c>
    </row>
    <row r="1308" spans="1:29" ht="11.65" x14ac:dyDescent="0.35">
      <c r="A1308" s="12">
        <v>1291</v>
      </c>
      <c r="B1308" s="10" t="s">
        <v>1015</v>
      </c>
      <c r="C1308" s="11" t="s">
        <v>1110</v>
      </c>
      <c r="D1308" s="9"/>
      <c r="E1308" s="9">
        <v>788</v>
      </c>
      <c r="F1308" s="10" t="s">
        <v>1066</v>
      </c>
      <c r="G1308" s="9">
        <v>912</v>
      </c>
      <c r="H1308" s="9">
        <v>1950</v>
      </c>
      <c r="I1308" s="8">
        <v>294.654</v>
      </c>
      <c r="J1308" s="8">
        <v>242.02500000000001</v>
      </c>
      <c r="K1308" s="8">
        <v>191.70500000000001</v>
      </c>
      <c r="L1308" s="8">
        <v>170.80600000000001</v>
      </c>
      <c r="M1308" s="8">
        <v>150.08699999999999</v>
      </c>
      <c r="N1308" s="8">
        <v>134.09100000000001</v>
      </c>
      <c r="O1308" s="8">
        <v>119.259</v>
      </c>
      <c r="P1308" s="8">
        <v>106.92</v>
      </c>
      <c r="Q1308" s="8">
        <v>87.983999999999995</v>
      </c>
      <c r="R1308" s="8">
        <v>73.275000000000006</v>
      </c>
      <c r="S1308" s="8">
        <v>60.866999999999997</v>
      </c>
      <c r="T1308" s="8">
        <v>49.947000000000003</v>
      </c>
      <c r="U1308" s="8">
        <v>39.780999999999999</v>
      </c>
      <c r="V1308" s="8">
        <v>26.295999999999999</v>
      </c>
      <c r="W1308" s="8">
        <v>21.425000000000001</v>
      </c>
      <c r="X1308" s="8">
        <v>10.646000000000001</v>
      </c>
      <c r="Y1308" s="8">
        <v>9.5679999999999996</v>
      </c>
      <c r="Z1308" s="8">
        <v>1.042</v>
      </c>
      <c r="AA1308" s="8">
        <v>0.224</v>
      </c>
      <c r="AB1308" s="8">
        <v>1.9E-2</v>
      </c>
      <c r="AC1308" s="8">
        <v>1E-3</v>
      </c>
    </row>
    <row r="1309" spans="1:29" ht="11.65" x14ac:dyDescent="0.35">
      <c r="A1309" s="12">
        <v>1292</v>
      </c>
      <c r="B1309" s="10" t="s">
        <v>1015</v>
      </c>
      <c r="C1309" s="11" t="s">
        <v>1110</v>
      </c>
      <c r="D1309" s="9"/>
      <c r="E1309" s="9">
        <v>788</v>
      </c>
      <c r="F1309" s="10" t="s">
        <v>1066</v>
      </c>
      <c r="G1309" s="9">
        <v>912</v>
      </c>
      <c r="H1309" s="9">
        <v>1955</v>
      </c>
      <c r="I1309" s="8">
        <v>322.62700000000001</v>
      </c>
      <c r="J1309" s="8">
        <v>270.15600000000001</v>
      </c>
      <c r="K1309" s="8">
        <v>235.846</v>
      </c>
      <c r="L1309" s="8">
        <v>186.779</v>
      </c>
      <c r="M1309" s="8">
        <v>162.28700000000001</v>
      </c>
      <c r="N1309" s="8">
        <v>141.53299999999999</v>
      </c>
      <c r="O1309" s="8">
        <v>126.08199999999999</v>
      </c>
      <c r="P1309" s="8">
        <v>111.05200000000001</v>
      </c>
      <c r="Q1309" s="8">
        <v>97.475999999999999</v>
      </c>
      <c r="R1309" s="8">
        <v>80.236000000000004</v>
      </c>
      <c r="S1309" s="8">
        <v>65.707999999999998</v>
      </c>
      <c r="T1309" s="8">
        <v>52.802999999999997</v>
      </c>
      <c r="U1309" s="8">
        <v>40.969000000000001</v>
      </c>
      <c r="V1309" s="8">
        <v>30.271000000000001</v>
      </c>
      <c r="W1309" s="8">
        <v>17.821999999999999</v>
      </c>
      <c r="X1309" s="8">
        <v>12.138999999999999</v>
      </c>
      <c r="Y1309" s="8">
        <v>4.694</v>
      </c>
      <c r="Z1309" s="8">
        <v>3.0659999999999998</v>
      </c>
      <c r="AA1309" s="8">
        <v>0.15</v>
      </c>
      <c r="AB1309" s="8">
        <v>3.1E-2</v>
      </c>
      <c r="AC1309" s="8">
        <v>2E-3</v>
      </c>
    </row>
    <row r="1310" spans="1:29" ht="11.65" x14ac:dyDescent="0.35">
      <c r="A1310" s="12">
        <v>1293</v>
      </c>
      <c r="B1310" s="10" t="s">
        <v>1015</v>
      </c>
      <c r="C1310" s="11" t="s">
        <v>1110</v>
      </c>
      <c r="D1310" s="9"/>
      <c r="E1310" s="9">
        <v>788</v>
      </c>
      <c r="F1310" s="10" t="s">
        <v>1066</v>
      </c>
      <c r="G1310" s="9">
        <v>912</v>
      </c>
      <c r="H1310" s="9">
        <v>1960</v>
      </c>
      <c r="I1310" s="8">
        <v>355.23099999999999</v>
      </c>
      <c r="J1310" s="8">
        <v>298.41899999999998</v>
      </c>
      <c r="K1310" s="8">
        <v>263.47199999999998</v>
      </c>
      <c r="L1310" s="8">
        <v>196.114</v>
      </c>
      <c r="M1310" s="8">
        <v>149.38900000000001</v>
      </c>
      <c r="N1310" s="8">
        <v>138.80600000000001</v>
      </c>
      <c r="O1310" s="8">
        <v>129.93899999999999</v>
      </c>
      <c r="P1310" s="8">
        <v>118.875</v>
      </c>
      <c r="Q1310" s="8">
        <v>97.989000000000004</v>
      </c>
      <c r="R1310" s="8">
        <v>89.126999999999995</v>
      </c>
      <c r="S1310" s="8">
        <v>72.126999999999995</v>
      </c>
      <c r="T1310" s="8">
        <v>57.527999999999999</v>
      </c>
      <c r="U1310" s="8">
        <v>44.168999999999997</v>
      </c>
      <c r="V1310" s="8">
        <v>31.863</v>
      </c>
      <c r="W1310" s="8">
        <v>20.994</v>
      </c>
      <c r="X1310" s="8">
        <v>10.355</v>
      </c>
      <c r="Y1310" s="8">
        <v>5.4950000000000001</v>
      </c>
      <c r="Z1310" s="8">
        <v>1.5329999999999999</v>
      </c>
      <c r="AA1310" s="8">
        <v>0.67200000000000004</v>
      </c>
      <c r="AB1310" s="8">
        <v>2.1999999999999999E-2</v>
      </c>
      <c r="AC1310" s="8">
        <v>3.0000000000000001E-3</v>
      </c>
    </row>
    <row r="1311" spans="1:29" ht="11.65" x14ac:dyDescent="0.35">
      <c r="A1311" s="12">
        <v>1294</v>
      </c>
      <c r="B1311" s="10" t="s">
        <v>1015</v>
      </c>
      <c r="C1311" s="11" t="s">
        <v>1110</v>
      </c>
      <c r="D1311" s="9"/>
      <c r="E1311" s="9">
        <v>788</v>
      </c>
      <c r="F1311" s="10" t="s">
        <v>1066</v>
      </c>
      <c r="G1311" s="9">
        <v>912</v>
      </c>
      <c r="H1311" s="9">
        <v>1965</v>
      </c>
      <c r="I1311" s="8">
        <v>420.16800000000001</v>
      </c>
      <c r="J1311" s="8">
        <v>345.952</v>
      </c>
      <c r="K1311" s="8">
        <v>296.39100000000002</v>
      </c>
      <c r="L1311" s="8">
        <v>184.17400000000001</v>
      </c>
      <c r="M1311" s="8">
        <v>158.798</v>
      </c>
      <c r="N1311" s="8">
        <v>139.02500000000001</v>
      </c>
      <c r="O1311" s="8">
        <v>143.06200000000001</v>
      </c>
      <c r="P1311" s="8">
        <v>123.899</v>
      </c>
      <c r="Q1311" s="8">
        <v>105.899</v>
      </c>
      <c r="R1311" s="8">
        <v>90.69</v>
      </c>
      <c r="S1311" s="8">
        <v>81.778000000000006</v>
      </c>
      <c r="T1311" s="8">
        <v>69.385000000000005</v>
      </c>
      <c r="U1311" s="8">
        <v>47.73</v>
      </c>
      <c r="V1311" s="8">
        <v>35.436</v>
      </c>
      <c r="W1311" s="8">
        <v>20.498000000000001</v>
      </c>
      <c r="X1311" s="8">
        <v>12.305999999999999</v>
      </c>
      <c r="Y1311" s="8">
        <v>4.7789999999999999</v>
      </c>
      <c r="Z1311" s="8">
        <v>1.833</v>
      </c>
      <c r="AA1311" s="8">
        <v>0.34300000000000003</v>
      </c>
      <c r="AB1311" s="8">
        <v>9.6000000000000002E-2</v>
      </c>
      <c r="AC1311" s="8">
        <v>2E-3</v>
      </c>
    </row>
    <row r="1312" spans="1:29" ht="11.65" x14ac:dyDescent="0.35">
      <c r="A1312" s="12">
        <v>1295</v>
      </c>
      <c r="B1312" s="10" t="s">
        <v>1015</v>
      </c>
      <c r="C1312" s="11" t="s">
        <v>1110</v>
      </c>
      <c r="D1312" s="9"/>
      <c r="E1312" s="9">
        <v>788</v>
      </c>
      <c r="F1312" s="10" t="s">
        <v>1066</v>
      </c>
      <c r="G1312" s="9">
        <v>912</v>
      </c>
      <c r="H1312" s="9">
        <v>1970</v>
      </c>
      <c r="I1312" s="8">
        <v>429.81099999999998</v>
      </c>
      <c r="J1312" s="8">
        <v>400.44299999999998</v>
      </c>
      <c r="K1312" s="8">
        <v>340.27100000000002</v>
      </c>
      <c r="L1312" s="8">
        <v>280.58199999999999</v>
      </c>
      <c r="M1312" s="8">
        <v>164.59399999999999</v>
      </c>
      <c r="N1312" s="8">
        <v>145.869</v>
      </c>
      <c r="O1312" s="8">
        <v>128.197</v>
      </c>
      <c r="P1312" s="8">
        <v>133.24</v>
      </c>
      <c r="Q1312" s="8">
        <v>115.17</v>
      </c>
      <c r="R1312" s="8">
        <v>98.712999999999994</v>
      </c>
      <c r="S1312" s="8">
        <v>83.450999999999993</v>
      </c>
      <c r="T1312" s="8">
        <v>73.221999999999994</v>
      </c>
      <c r="U1312" s="8">
        <v>59.545999999999999</v>
      </c>
      <c r="V1312" s="8">
        <v>38.308999999999997</v>
      </c>
      <c r="W1312" s="8">
        <v>25.585999999999999</v>
      </c>
      <c r="X1312" s="8">
        <v>12.531000000000001</v>
      </c>
      <c r="Y1312" s="8">
        <v>5.9109999999999996</v>
      </c>
      <c r="Z1312" s="8">
        <v>1.665</v>
      </c>
      <c r="AA1312" s="8">
        <v>0.42799999999999999</v>
      </c>
      <c r="AB1312" s="8">
        <v>5.0999999999999997E-2</v>
      </c>
      <c r="AC1312" s="8">
        <v>8.0000000000000002E-3</v>
      </c>
    </row>
    <row r="1313" spans="1:29" ht="11.65" x14ac:dyDescent="0.35">
      <c r="A1313" s="12">
        <v>1296</v>
      </c>
      <c r="B1313" s="10" t="s">
        <v>1015</v>
      </c>
      <c r="C1313" s="11" t="s">
        <v>1110</v>
      </c>
      <c r="D1313" s="9"/>
      <c r="E1313" s="9">
        <v>788</v>
      </c>
      <c r="F1313" s="10" t="s">
        <v>1066</v>
      </c>
      <c r="G1313" s="9">
        <v>912</v>
      </c>
      <c r="H1313" s="9">
        <v>1975</v>
      </c>
      <c r="I1313" s="8">
        <v>454.56</v>
      </c>
      <c r="J1313" s="8">
        <v>415.81099999999998</v>
      </c>
      <c r="K1313" s="8">
        <v>387.81400000000002</v>
      </c>
      <c r="L1313" s="8">
        <v>323.54399999999998</v>
      </c>
      <c r="M1313" s="8">
        <v>260.81200000000001</v>
      </c>
      <c r="N1313" s="8">
        <v>148.36500000000001</v>
      </c>
      <c r="O1313" s="8">
        <v>129.506</v>
      </c>
      <c r="P1313" s="8">
        <v>135.16399999999999</v>
      </c>
      <c r="Q1313" s="8">
        <v>132.405</v>
      </c>
      <c r="R1313" s="8">
        <v>112.51300000000001</v>
      </c>
      <c r="S1313" s="8">
        <v>93.194999999999993</v>
      </c>
      <c r="T1313" s="8">
        <v>77.62</v>
      </c>
      <c r="U1313" s="8">
        <v>68.855999999999995</v>
      </c>
      <c r="V1313" s="8">
        <v>48.613999999999997</v>
      </c>
      <c r="W1313" s="8">
        <v>29</v>
      </c>
      <c r="X1313" s="8">
        <v>16.468</v>
      </c>
      <c r="Y1313" s="8">
        <v>6.4</v>
      </c>
      <c r="Z1313" s="8">
        <v>2.1989999999999998</v>
      </c>
      <c r="AA1313" s="8">
        <v>0.41499999999999998</v>
      </c>
      <c r="AB1313" s="8">
        <v>6.9000000000000006E-2</v>
      </c>
      <c r="AC1313" s="8">
        <v>5.0000000000000001E-3</v>
      </c>
    </row>
    <row r="1314" spans="1:29" ht="11.65" x14ac:dyDescent="0.35">
      <c r="A1314" s="12">
        <v>1297</v>
      </c>
      <c r="B1314" s="10" t="s">
        <v>1015</v>
      </c>
      <c r="C1314" s="11" t="s">
        <v>1110</v>
      </c>
      <c r="D1314" s="9"/>
      <c r="E1314" s="9">
        <v>788</v>
      </c>
      <c r="F1314" s="10" t="s">
        <v>1066</v>
      </c>
      <c r="G1314" s="9">
        <v>912</v>
      </c>
      <c r="H1314" s="9">
        <v>1980</v>
      </c>
      <c r="I1314" s="8">
        <v>501.214</v>
      </c>
      <c r="J1314" s="8">
        <v>441.98599999999999</v>
      </c>
      <c r="K1314" s="8">
        <v>412.29</v>
      </c>
      <c r="L1314" s="8">
        <v>373.18299999999999</v>
      </c>
      <c r="M1314" s="8">
        <v>303.64299999999997</v>
      </c>
      <c r="N1314" s="8">
        <v>249.19499999999999</v>
      </c>
      <c r="O1314" s="8">
        <v>141.34700000000001</v>
      </c>
      <c r="P1314" s="8">
        <v>126.212</v>
      </c>
      <c r="Q1314" s="8">
        <v>133.17400000000001</v>
      </c>
      <c r="R1314" s="8">
        <v>129.38800000000001</v>
      </c>
      <c r="S1314" s="8">
        <v>108.14</v>
      </c>
      <c r="T1314" s="8">
        <v>87.501999999999995</v>
      </c>
      <c r="U1314" s="8">
        <v>70.507999999999996</v>
      </c>
      <c r="V1314" s="8">
        <v>59.222999999999999</v>
      </c>
      <c r="W1314" s="8">
        <v>36.834000000000003</v>
      </c>
      <c r="X1314" s="8">
        <v>18.806000000000001</v>
      </c>
      <c r="Y1314" s="8">
        <v>8.5980000000000008</v>
      </c>
      <c r="Z1314" s="8">
        <v>2.5049999999999999</v>
      </c>
      <c r="AA1314" s="8">
        <v>0.60099999999999998</v>
      </c>
      <c r="AB1314" s="8">
        <v>7.3999999999999996E-2</v>
      </c>
      <c r="AC1314" s="8">
        <v>8.0000000000000002E-3</v>
      </c>
    </row>
    <row r="1315" spans="1:29" ht="11.65" x14ac:dyDescent="0.35">
      <c r="A1315" s="12">
        <v>1298</v>
      </c>
      <c r="B1315" s="10" t="s">
        <v>1015</v>
      </c>
      <c r="C1315" s="11" t="s">
        <v>1110</v>
      </c>
      <c r="D1315" s="9"/>
      <c r="E1315" s="9">
        <v>788</v>
      </c>
      <c r="F1315" s="10" t="s">
        <v>1066</v>
      </c>
      <c r="G1315" s="9">
        <v>912</v>
      </c>
      <c r="H1315" s="9">
        <v>1985</v>
      </c>
      <c r="I1315" s="8">
        <v>537.44500000000005</v>
      </c>
      <c r="J1315" s="8">
        <v>492.10199999999998</v>
      </c>
      <c r="K1315" s="8">
        <v>438.94099999999997</v>
      </c>
      <c r="L1315" s="8">
        <v>408.23500000000001</v>
      </c>
      <c r="M1315" s="8">
        <v>359.274</v>
      </c>
      <c r="N1315" s="8">
        <v>288.34500000000003</v>
      </c>
      <c r="O1315" s="8">
        <v>240.21100000000001</v>
      </c>
      <c r="P1315" s="8">
        <v>146.066</v>
      </c>
      <c r="Q1315" s="8">
        <v>131.78800000000001</v>
      </c>
      <c r="R1315" s="8">
        <v>140.11099999999999</v>
      </c>
      <c r="S1315" s="8">
        <v>136.46799999999999</v>
      </c>
      <c r="T1315" s="8">
        <v>109.23699999999999</v>
      </c>
      <c r="U1315" s="8">
        <v>90.158000000000001</v>
      </c>
      <c r="V1315" s="8">
        <v>66.022000000000006</v>
      </c>
      <c r="W1315" s="8">
        <v>56.415999999999997</v>
      </c>
      <c r="X1315" s="8">
        <v>26.254999999999999</v>
      </c>
      <c r="Y1315" s="8">
        <v>10.173999999999999</v>
      </c>
      <c r="Z1315" s="8">
        <v>3.5219999999999998</v>
      </c>
      <c r="AA1315" s="8">
        <v>0.72499999999999998</v>
      </c>
      <c r="AB1315" s="8">
        <v>0.11600000000000001</v>
      </c>
      <c r="AC1315" s="8">
        <v>8.9999999999999993E-3</v>
      </c>
    </row>
    <row r="1316" spans="1:29" ht="11.65" x14ac:dyDescent="0.35">
      <c r="A1316" s="12">
        <v>1299</v>
      </c>
      <c r="B1316" s="10" t="s">
        <v>1015</v>
      </c>
      <c r="C1316" s="11" t="s">
        <v>1110</v>
      </c>
      <c r="D1316" s="9"/>
      <c r="E1316" s="9">
        <v>788</v>
      </c>
      <c r="F1316" s="10" t="s">
        <v>1066</v>
      </c>
      <c r="G1316" s="9">
        <v>912</v>
      </c>
      <c r="H1316" s="9">
        <v>1990</v>
      </c>
      <c r="I1316" s="8">
        <v>548.16200000000003</v>
      </c>
      <c r="J1316" s="8">
        <v>532.24400000000003</v>
      </c>
      <c r="K1316" s="8">
        <v>489.94799999999998</v>
      </c>
      <c r="L1316" s="8">
        <v>435.13499999999999</v>
      </c>
      <c r="M1316" s="8">
        <v>382.63499999999999</v>
      </c>
      <c r="N1316" s="8">
        <v>347.02300000000002</v>
      </c>
      <c r="O1316" s="8">
        <v>291.38099999999997</v>
      </c>
      <c r="P1316" s="8">
        <v>243.83500000000001</v>
      </c>
      <c r="Q1316" s="8">
        <v>151.001</v>
      </c>
      <c r="R1316" s="8">
        <v>136.917</v>
      </c>
      <c r="S1316" s="8">
        <v>145.34299999999999</v>
      </c>
      <c r="T1316" s="8">
        <v>144.34800000000001</v>
      </c>
      <c r="U1316" s="8">
        <v>107.762</v>
      </c>
      <c r="V1316" s="8">
        <v>85.424999999999997</v>
      </c>
      <c r="W1316" s="8">
        <v>51.783000000000001</v>
      </c>
      <c r="X1316" s="8">
        <v>38.381</v>
      </c>
      <c r="Y1316" s="8">
        <v>14.629</v>
      </c>
      <c r="Z1316" s="8">
        <v>4.3289999999999997</v>
      </c>
      <c r="AA1316" s="8">
        <v>1.0680000000000001</v>
      </c>
      <c r="AB1316" s="8">
        <v>0.14899999999999999</v>
      </c>
      <c r="AC1316" s="8">
        <v>1.4999999999999999E-2</v>
      </c>
    </row>
    <row r="1317" spans="1:29" ht="11.65" x14ac:dyDescent="0.35">
      <c r="A1317" s="12">
        <v>1300</v>
      </c>
      <c r="B1317" s="10" t="s">
        <v>1015</v>
      </c>
      <c r="C1317" s="11" t="s">
        <v>1110</v>
      </c>
      <c r="D1317" s="9"/>
      <c r="E1317" s="9">
        <v>788</v>
      </c>
      <c r="F1317" s="10" t="s">
        <v>1066</v>
      </c>
      <c r="G1317" s="9">
        <v>912</v>
      </c>
      <c r="H1317" s="9">
        <v>1995</v>
      </c>
      <c r="I1317" s="8">
        <v>495.72399999999999</v>
      </c>
      <c r="J1317" s="8">
        <v>550.76199999999994</v>
      </c>
      <c r="K1317" s="8">
        <v>538.83500000000004</v>
      </c>
      <c r="L1317" s="8">
        <v>493.11900000000003</v>
      </c>
      <c r="M1317" s="8">
        <v>424.25400000000002</v>
      </c>
      <c r="N1317" s="8">
        <v>375.54199999999997</v>
      </c>
      <c r="O1317" s="8">
        <v>339.17399999999998</v>
      </c>
      <c r="P1317" s="8">
        <v>292.81799999999998</v>
      </c>
      <c r="Q1317" s="8">
        <v>248.548</v>
      </c>
      <c r="R1317" s="8">
        <v>158.88499999999999</v>
      </c>
      <c r="S1317" s="8">
        <v>141.29300000000001</v>
      </c>
      <c r="T1317" s="8">
        <v>147.535</v>
      </c>
      <c r="U1317" s="8">
        <v>150.71600000000001</v>
      </c>
      <c r="V1317" s="8">
        <v>107.812</v>
      </c>
      <c r="W1317" s="8">
        <v>78.343000000000004</v>
      </c>
      <c r="X1317" s="8">
        <v>36.817999999999998</v>
      </c>
      <c r="Y1317" s="8">
        <v>21.331</v>
      </c>
      <c r="Z1317" s="8">
        <v>5.97</v>
      </c>
      <c r="AA1317" s="8">
        <v>1.1870000000000001</v>
      </c>
      <c r="AB1317" s="8">
        <v>0.184</v>
      </c>
      <c r="AC1317" s="8">
        <v>1.4999999999999999E-2</v>
      </c>
    </row>
    <row r="1318" spans="1:29" ht="11.65" x14ac:dyDescent="0.35">
      <c r="A1318" s="12">
        <v>1301</v>
      </c>
      <c r="B1318" s="10" t="s">
        <v>1015</v>
      </c>
      <c r="C1318" s="11" t="s">
        <v>1110</v>
      </c>
      <c r="D1318" s="9"/>
      <c r="E1318" s="9">
        <v>788</v>
      </c>
      <c r="F1318" s="10" t="s">
        <v>1066</v>
      </c>
      <c r="G1318" s="9">
        <v>912</v>
      </c>
      <c r="H1318" s="9">
        <v>2000</v>
      </c>
      <c r="I1318" s="8">
        <v>436.13499999999999</v>
      </c>
      <c r="J1318" s="8">
        <v>494.02800000000002</v>
      </c>
      <c r="K1318" s="8">
        <v>552.09900000000005</v>
      </c>
      <c r="L1318" s="8">
        <v>527.90800000000002</v>
      </c>
      <c r="M1318" s="8">
        <v>468.81700000000001</v>
      </c>
      <c r="N1318" s="8">
        <v>398.97800000000001</v>
      </c>
      <c r="O1318" s="8">
        <v>363.11</v>
      </c>
      <c r="P1318" s="8">
        <v>338.95499999999998</v>
      </c>
      <c r="Q1318" s="8">
        <v>296.69</v>
      </c>
      <c r="R1318" s="8">
        <v>250.31800000000001</v>
      </c>
      <c r="S1318" s="8">
        <v>155.78299999999999</v>
      </c>
      <c r="T1318" s="8">
        <v>138.25299999999999</v>
      </c>
      <c r="U1318" s="8">
        <v>140.476</v>
      </c>
      <c r="V1318" s="8">
        <v>138.22900000000001</v>
      </c>
      <c r="W1318" s="8">
        <v>96.194999999999993</v>
      </c>
      <c r="X1318" s="8">
        <v>60.947000000000003</v>
      </c>
      <c r="Y1318" s="8">
        <v>21.283999999999999</v>
      </c>
      <c r="Z1318" s="8">
        <v>9.0380000000000003</v>
      </c>
      <c r="AA1318" s="8">
        <v>1.6990000000000001</v>
      </c>
      <c r="AB1318" s="8">
        <v>0.20699999999999999</v>
      </c>
      <c r="AC1318" s="8">
        <v>1.9E-2</v>
      </c>
    </row>
    <row r="1319" spans="1:29" ht="11.65" x14ac:dyDescent="0.35">
      <c r="A1319" s="12">
        <v>1302</v>
      </c>
      <c r="B1319" s="10" t="s">
        <v>1015</v>
      </c>
      <c r="C1319" s="11" t="s">
        <v>1110</v>
      </c>
      <c r="D1319" s="9"/>
      <c r="E1319" s="9">
        <v>788</v>
      </c>
      <c r="F1319" s="10" t="s">
        <v>1066</v>
      </c>
      <c r="G1319" s="9">
        <v>912</v>
      </c>
      <c r="H1319" s="9">
        <v>2005</v>
      </c>
      <c r="I1319" s="8">
        <v>413.78500000000003</v>
      </c>
      <c r="J1319" s="8">
        <v>431.44</v>
      </c>
      <c r="K1319" s="8">
        <v>491.58100000000002</v>
      </c>
      <c r="L1319" s="8">
        <v>547.42100000000005</v>
      </c>
      <c r="M1319" s="8">
        <v>515.50199999999995</v>
      </c>
      <c r="N1319" s="8">
        <v>428.12099999999998</v>
      </c>
      <c r="O1319" s="8">
        <v>361.41699999999997</v>
      </c>
      <c r="P1319" s="8">
        <v>347.40300000000002</v>
      </c>
      <c r="Q1319" s="8">
        <v>336.51799999999997</v>
      </c>
      <c r="R1319" s="8">
        <v>295.19600000000003</v>
      </c>
      <c r="S1319" s="8">
        <v>245.03</v>
      </c>
      <c r="T1319" s="8">
        <v>154.011</v>
      </c>
      <c r="U1319" s="8">
        <v>131.518</v>
      </c>
      <c r="V1319" s="8">
        <v>126.232</v>
      </c>
      <c r="W1319" s="8">
        <v>114.815</v>
      </c>
      <c r="X1319" s="8">
        <v>70.204999999999998</v>
      </c>
      <c r="Y1319" s="8">
        <v>35.902999999999999</v>
      </c>
      <c r="Z1319" s="8">
        <v>9.2439999999999998</v>
      </c>
      <c r="AA1319" s="8">
        <v>2.6309999999999998</v>
      </c>
      <c r="AB1319" s="8">
        <v>0.308</v>
      </c>
      <c r="AC1319" s="8">
        <v>2.1999999999999999E-2</v>
      </c>
    </row>
    <row r="1320" spans="1:29" ht="11.65" x14ac:dyDescent="0.35">
      <c r="A1320" s="12">
        <v>1303</v>
      </c>
      <c r="B1320" s="10" t="s">
        <v>1015</v>
      </c>
      <c r="C1320" s="11" t="s">
        <v>1110</v>
      </c>
      <c r="D1320" s="9"/>
      <c r="E1320" s="9">
        <v>788</v>
      </c>
      <c r="F1320" s="10" t="s">
        <v>1066</v>
      </c>
      <c r="G1320" s="9">
        <v>912</v>
      </c>
      <c r="H1320" s="9">
        <v>2010</v>
      </c>
      <c r="I1320" s="8">
        <v>445.84500000000003</v>
      </c>
      <c r="J1320" s="8">
        <v>411.18400000000003</v>
      </c>
      <c r="K1320" s="8">
        <v>430.48200000000003</v>
      </c>
      <c r="L1320" s="8">
        <v>490.95</v>
      </c>
      <c r="M1320" s="8">
        <v>525.38099999999997</v>
      </c>
      <c r="N1320" s="8">
        <v>490.20400000000001</v>
      </c>
      <c r="O1320" s="8">
        <v>413.10300000000001</v>
      </c>
      <c r="P1320" s="8">
        <v>359.15899999999999</v>
      </c>
      <c r="Q1320" s="8">
        <v>351.19499999999999</v>
      </c>
      <c r="R1320" s="8">
        <v>340.21199999999999</v>
      </c>
      <c r="S1320" s="8">
        <v>291.55399999999997</v>
      </c>
      <c r="T1320" s="8">
        <v>237.76400000000001</v>
      </c>
      <c r="U1320" s="8">
        <v>146.25700000000001</v>
      </c>
      <c r="V1320" s="8">
        <v>119.988</v>
      </c>
      <c r="W1320" s="8">
        <v>104.94199999999999</v>
      </c>
      <c r="X1320" s="8">
        <v>83.972999999999999</v>
      </c>
      <c r="Y1320" s="8">
        <v>41.743000000000002</v>
      </c>
      <c r="Z1320" s="8">
        <v>15.837</v>
      </c>
      <c r="AA1320" s="8">
        <v>2.7429999999999999</v>
      </c>
      <c r="AB1320" s="8">
        <v>0.48499999999999999</v>
      </c>
      <c r="AC1320" s="8">
        <v>3.2000000000000001E-2</v>
      </c>
    </row>
    <row r="1321" spans="1:29" ht="11.65" x14ac:dyDescent="0.35">
      <c r="A1321" s="12">
        <v>1304</v>
      </c>
      <c r="B1321" s="10" t="s">
        <v>1015</v>
      </c>
      <c r="C1321" s="11" t="s">
        <v>1110</v>
      </c>
      <c r="D1321" s="9"/>
      <c r="E1321" s="9">
        <v>788</v>
      </c>
      <c r="F1321" s="10" t="s">
        <v>1066</v>
      </c>
      <c r="G1321" s="9">
        <v>912</v>
      </c>
      <c r="H1321" s="9">
        <v>2015</v>
      </c>
      <c r="I1321" s="8">
        <v>522.86199999999997</v>
      </c>
      <c r="J1321" s="8">
        <v>442.66300000000001</v>
      </c>
      <c r="K1321" s="8">
        <v>410.26</v>
      </c>
      <c r="L1321" s="8">
        <v>429.161</v>
      </c>
      <c r="M1321" s="8">
        <v>460.04700000000003</v>
      </c>
      <c r="N1321" s="8">
        <v>452.43700000000001</v>
      </c>
      <c r="O1321" s="8">
        <v>488.27600000000001</v>
      </c>
      <c r="P1321" s="8">
        <v>411.178</v>
      </c>
      <c r="Q1321" s="8">
        <v>356.66</v>
      </c>
      <c r="R1321" s="8">
        <v>346.964</v>
      </c>
      <c r="S1321" s="8">
        <v>332.75799999999998</v>
      </c>
      <c r="T1321" s="8">
        <v>280.26499999999999</v>
      </c>
      <c r="U1321" s="8">
        <v>222.63300000000001</v>
      </c>
      <c r="V1321" s="8">
        <v>131.59</v>
      </c>
      <c r="W1321" s="8">
        <v>100.789</v>
      </c>
      <c r="X1321" s="8">
        <v>77.933000000000007</v>
      </c>
      <c r="Y1321" s="8">
        <v>50.957000000000001</v>
      </c>
      <c r="Z1321" s="8">
        <v>18.829000000000001</v>
      </c>
      <c r="AA1321" s="8">
        <v>4.7969999999999997</v>
      </c>
      <c r="AB1321" s="8">
        <v>0.51600000000000001</v>
      </c>
      <c r="AC1321" s="8">
        <v>5.0999999999999997E-2</v>
      </c>
    </row>
    <row r="1322" spans="1:29" ht="11.65" x14ac:dyDescent="0.35">
      <c r="A1322" s="12">
        <v>1305</v>
      </c>
      <c r="B1322" s="10" t="s">
        <v>1015</v>
      </c>
      <c r="C1322" s="11" t="s">
        <v>1110</v>
      </c>
      <c r="D1322" s="9"/>
      <c r="E1322" s="9">
        <v>788</v>
      </c>
      <c r="F1322" s="10" t="s">
        <v>1066</v>
      </c>
      <c r="G1322" s="9">
        <v>912</v>
      </c>
      <c r="H1322" s="9">
        <v>2020</v>
      </c>
      <c r="I1322" s="8">
        <v>515.06299999999999</v>
      </c>
      <c r="J1322" s="8">
        <v>522.024</v>
      </c>
      <c r="K1322" s="8">
        <v>441.98899999999998</v>
      </c>
      <c r="L1322" s="8">
        <v>408.536</v>
      </c>
      <c r="M1322" s="8">
        <v>426.108</v>
      </c>
      <c r="N1322" s="8">
        <v>456.673</v>
      </c>
      <c r="O1322" s="8">
        <v>449.41399999999999</v>
      </c>
      <c r="P1322" s="8">
        <v>485.20499999999998</v>
      </c>
      <c r="Q1322" s="8">
        <v>407.87900000000002</v>
      </c>
      <c r="R1322" s="8">
        <v>352.25799999999998</v>
      </c>
      <c r="S1322" s="8">
        <v>339.69499999999999</v>
      </c>
      <c r="T1322" s="8">
        <v>320.786</v>
      </c>
      <c r="U1322" s="8">
        <v>263.858</v>
      </c>
      <c r="V1322" s="8">
        <v>202.12899999999999</v>
      </c>
      <c r="W1322" s="8">
        <v>112.16200000000001</v>
      </c>
      <c r="X1322" s="8">
        <v>76.635999999999996</v>
      </c>
      <c r="Y1322" s="8">
        <v>49.027000000000001</v>
      </c>
      <c r="Z1322" s="8">
        <v>24.187000000000001</v>
      </c>
      <c r="AA1322" s="8">
        <v>6.0860000000000003</v>
      </c>
      <c r="AB1322" s="8">
        <v>0.97599999999999998</v>
      </c>
      <c r="AC1322" s="8">
        <v>6.0999999999999999E-2</v>
      </c>
    </row>
    <row r="1323" spans="1:29" ht="11.65" x14ac:dyDescent="0.35">
      <c r="A1323" s="12">
        <v>1306</v>
      </c>
      <c r="B1323" s="10" t="s">
        <v>1015</v>
      </c>
      <c r="C1323" s="11" t="s">
        <v>1111</v>
      </c>
      <c r="D1323" s="9"/>
      <c r="E1323" s="9">
        <v>732</v>
      </c>
      <c r="F1323" s="10" t="s">
        <v>1066</v>
      </c>
      <c r="G1323" s="9">
        <v>912</v>
      </c>
      <c r="H1323" s="9">
        <v>1950</v>
      </c>
      <c r="I1323" s="8">
        <v>1.194</v>
      </c>
      <c r="J1323" s="8">
        <v>0.93400000000000005</v>
      </c>
      <c r="K1323" s="8">
        <v>0.80400000000000005</v>
      </c>
      <c r="L1323" s="8">
        <v>0.7</v>
      </c>
      <c r="M1323" s="8">
        <v>0.60699999999999998</v>
      </c>
      <c r="N1323" s="8">
        <v>0.51800000000000002</v>
      </c>
      <c r="O1323" s="8">
        <v>0.441</v>
      </c>
      <c r="P1323" s="8">
        <v>0.375</v>
      </c>
      <c r="Q1323" s="8">
        <v>0.313</v>
      </c>
      <c r="R1323" s="8">
        <v>0.26</v>
      </c>
      <c r="S1323" s="8">
        <v>0.21</v>
      </c>
      <c r="T1323" s="8">
        <v>0.16400000000000001</v>
      </c>
      <c r="U1323" s="8">
        <v>0.122</v>
      </c>
      <c r="V1323" s="8">
        <v>8.4000000000000005E-2</v>
      </c>
      <c r="W1323" s="8">
        <v>5.0999999999999997E-2</v>
      </c>
      <c r="X1323" s="8">
        <v>2.5000000000000001E-2</v>
      </c>
      <c r="Y1323" s="8">
        <v>8.0000000000000002E-3</v>
      </c>
      <c r="Z1323" s="8">
        <v>2E-3</v>
      </c>
      <c r="AA1323" s="8">
        <v>0</v>
      </c>
      <c r="AB1323" s="8">
        <v>0</v>
      </c>
      <c r="AC1323" s="8">
        <v>0</v>
      </c>
    </row>
    <row r="1324" spans="1:29" ht="11.65" x14ac:dyDescent="0.35">
      <c r="A1324" s="12">
        <v>1307</v>
      </c>
      <c r="B1324" s="10" t="s">
        <v>1015</v>
      </c>
      <c r="C1324" s="11" t="s">
        <v>1111</v>
      </c>
      <c r="D1324" s="9"/>
      <c r="E1324" s="9">
        <v>732</v>
      </c>
      <c r="F1324" s="10" t="s">
        <v>1066</v>
      </c>
      <c r="G1324" s="9">
        <v>912</v>
      </c>
      <c r="H1324" s="9">
        <v>1955</v>
      </c>
      <c r="I1324" s="8">
        <v>1.619</v>
      </c>
      <c r="J1324" s="8">
        <v>1.252</v>
      </c>
      <c r="K1324" s="8">
        <v>1.198</v>
      </c>
      <c r="L1324" s="8">
        <v>1.26</v>
      </c>
      <c r="M1324" s="8">
        <v>1.2769999999999999</v>
      </c>
      <c r="N1324" s="8">
        <v>1.042</v>
      </c>
      <c r="O1324" s="8">
        <v>0.77800000000000002</v>
      </c>
      <c r="P1324" s="8">
        <v>0.63700000000000001</v>
      </c>
      <c r="Q1324" s="8">
        <v>0.53500000000000003</v>
      </c>
      <c r="R1324" s="8">
        <v>0.40799999999999997</v>
      </c>
      <c r="S1324" s="8">
        <v>0.311</v>
      </c>
      <c r="T1324" s="8">
        <v>0.247</v>
      </c>
      <c r="U1324" s="8">
        <v>0.19500000000000001</v>
      </c>
      <c r="V1324" s="8">
        <v>0.14000000000000001</v>
      </c>
      <c r="W1324" s="8">
        <v>8.7999999999999995E-2</v>
      </c>
      <c r="X1324" s="8">
        <v>3.5999999999999997E-2</v>
      </c>
      <c r="Y1324" s="8">
        <v>0.01</v>
      </c>
      <c r="Z1324" s="8">
        <v>2E-3</v>
      </c>
      <c r="AA1324" s="8">
        <v>0</v>
      </c>
      <c r="AB1324" s="8">
        <v>0</v>
      </c>
      <c r="AC1324" s="8">
        <v>0</v>
      </c>
    </row>
    <row r="1325" spans="1:29" ht="11.65" x14ac:dyDescent="0.35">
      <c r="A1325" s="12">
        <v>1308</v>
      </c>
      <c r="B1325" s="10" t="s">
        <v>1015</v>
      </c>
      <c r="C1325" s="11" t="s">
        <v>1111</v>
      </c>
      <c r="D1325" s="9"/>
      <c r="E1325" s="9">
        <v>732</v>
      </c>
      <c r="F1325" s="10" t="s">
        <v>1066</v>
      </c>
      <c r="G1325" s="9">
        <v>912</v>
      </c>
      <c r="H1325" s="9">
        <v>1960</v>
      </c>
      <c r="I1325" s="8">
        <v>2.6829999999999998</v>
      </c>
      <c r="J1325" s="8">
        <v>1.734</v>
      </c>
      <c r="K1325" s="8">
        <v>1.649</v>
      </c>
      <c r="L1325" s="8">
        <v>1.879</v>
      </c>
      <c r="M1325" s="8">
        <v>2.11</v>
      </c>
      <c r="N1325" s="8">
        <v>1.91</v>
      </c>
      <c r="O1325" s="8">
        <v>1.4159999999999999</v>
      </c>
      <c r="P1325" s="8">
        <v>1.0629999999999999</v>
      </c>
      <c r="Q1325" s="8">
        <v>0.87</v>
      </c>
      <c r="R1325" s="8">
        <v>0.66900000000000004</v>
      </c>
      <c r="S1325" s="8">
        <v>0.47499999999999998</v>
      </c>
      <c r="T1325" s="8">
        <v>0.35799999999999998</v>
      </c>
      <c r="U1325" s="8">
        <v>0.29099999999999998</v>
      </c>
      <c r="V1325" s="8">
        <v>0.22</v>
      </c>
      <c r="W1325" s="8">
        <v>0.14099999999999999</v>
      </c>
      <c r="X1325" s="8">
        <v>6.0999999999999999E-2</v>
      </c>
      <c r="Y1325" s="8">
        <v>1.6E-2</v>
      </c>
      <c r="Z1325" s="8">
        <v>3.0000000000000001E-3</v>
      </c>
      <c r="AA1325" s="8">
        <v>0</v>
      </c>
      <c r="AB1325" s="8">
        <v>0</v>
      </c>
      <c r="AC1325" s="8">
        <v>0</v>
      </c>
    </row>
    <row r="1326" spans="1:29" ht="11.65" x14ac:dyDescent="0.35">
      <c r="A1326" s="12">
        <v>1309</v>
      </c>
      <c r="B1326" s="10" t="s">
        <v>1015</v>
      </c>
      <c r="C1326" s="11" t="s">
        <v>1111</v>
      </c>
      <c r="D1326" s="9"/>
      <c r="E1326" s="9">
        <v>732</v>
      </c>
      <c r="F1326" s="10" t="s">
        <v>1066</v>
      </c>
      <c r="G1326" s="9">
        <v>912</v>
      </c>
      <c r="H1326" s="9">
        <v>1965</v>
      </c>
      <c r="I1326" s="8">
        <v>4.3579999999999997</v>
      </c>
      <c r="J1326" s="8">
        <v>2.8580000000000001</v>
      </c>
      <c r="K1326" s="8">
        <v>2.3420000000000001</v>
      </c>
      <c r="L1326" s="8">
        <v>2.6819999999999999</v>
      </c>
      <c r="M1326" s="8">
        <v>3.1680000000000001</v>
      </c>
      <c r="N1326" s="8">
        <v>3.0649999999999999</v>
      </c>
      <c r="O1326" s="8">
        <v>2.4630000000000001</v>
      </c>
      <c r="P1326" s="8">
        <v>1.788</v>
      </c>
      <c r="Q1326" s="8">
        <v>1.381</v>
      </c>
      <c r="R1326" s="8">
        <v>1.101</v>
      </c>
      <c r="S1326" s="8">
        <v>0.78200000000000003</v>
      </c>
      <c r="T1326" s="8">
        <v>0.54800000000000004</v>
      </c>
      <c r="U1326" s="8">
        <v>0.42799999999999999</v>
      </c>
      <c r="V1326" s="8">
        <v>0.33100000000000002</v>
      </c>
      <c r="W1326" s="8">
        <v>0.223</v>
      </c>
      <c r="X1326" s="8">
        <v>9.9000000000000005E-2</v>
      </c>
      <c r="Y1326" s="8">
        <v>2.5999999999999999E-2</v>
      </c>
      <c r="Z1326" s="8">
        <v>4.0000000000000001E-3</v>
      </c>
      <c r="AA1326" s="8">
        <v>0</v>
      </c>
      <c r="AB1326" s="8">
        <v>0</v>
      </c>
      <c r="AC1326" s="8">
        <v>0</v>
      </c>
    </row>
    <row r="1327" spans="1:29" ht="11.65" x14ac:dyDescent="0.35">
      <c r="A1327" s="12">
        <v>1310</v>
      </c>
      <c r="B1327" s="10" t="s">
        <v>1015</v>
      </c>
      <c r="C1327" s="11" t="s">
        <v>1111</v>
      </c>
      <c r="D1327" s="9"/>
      <c r="E1327" s="9">
        <v>732</v>
      </c>
      <c r="F1327" s="10" t="s">
        <v>1066</v>
      </c>
      <c r="G1327" s="9">
        <v>912</v>
      </c>
      <c r="H1327" s="9">
        <v>1970</v>
      </c>
      <c r="I1327" s="8">
        <v>6.577</v>
      </c>
      <c r="J1327" s="8">
        <v>4.9279999999999999</v>
      </c>
      <c r="K1327" s="8">
        <v>4.2460000000000004</v>
      </c>
      <c r="L1327" s="8">
        <v>3.819</v>
      </c>
      <c r="M1327" s="8">
        <v>4.0529999999999999</v>
      </c>
      <c r="N1327" s="8">
        <v>4.24</v>
      </c>
      <c r="O1327" s="8">
        <v>3.6850000000000001</v>
      </c>
      <c r="P1327" s="8">
        <v>2.9420000000000002</v>
      </c>
      <c r="Q1327" s="8">
        <v>2.2330000000000001</v>
      </c>
      <c r="R1327" s="8">
        <v>1.631</v>
      </c>
      <c r="S1327" s="8">
        <v>1.2330000000000001</v>
      </c>
      <c r="T1327" s="8">
        <v>0.874</v>
      </c>
      <c r="U1327" s="8">
        <v>0.64400000000000002</v>
      </c>
      <c r="V1327" s="8">
        <v>0.48499999999999999</v>
      </c>
      <c r="W1327" s="8">
        <v>0.33100000000000002</v>
      </c>
      <c r="X1327" s="8">
        <v>0.155</v>
      </c>
      <c r="Y1327" s="8">
        <v>4.2999999999999997E-2</v>
      </c>
      <c r="Z1327" s="8">
        <v>8.9999999999999993E-3</v>
      </c>
      <c r="AA1327" s="8">
        <v>0</v>
      </c>
      <c r="AB1327" s="8">
        <v>0</v>
      </c>
      <c r="AC1327" s="8">
        <v>0</v>
      </c>
    </row>
    <row r="1328" spans="1:29" ht="11.65" x14ac:dyDescent="0.35">
      <c r="A1328" s="12">
        <v>1311</v>
      </c>
      <c r="B1328" s="10" t="s">
        <v>1015</v>
      </c>
      <c r="C1328" s="11" t="s">
        <v>1111</v>
      </c>
      <c r="D1328" s="9"/>
      <c r="E1328" s="9">
        <v>732</v>
      </c>
      <c r="F1328" s="10" t="s">
        <v>1066</v>
      </c>
      <c r="G1328" s="9">
        <v>912</v>
      </c>
      <c r="H1328" s="9">
        <v>1975</v>
      </c>
      <c r="I1328" s="8">
        <v>6.6230000000000002</v>
      </c>
      <c r="J1328" s="8">
        <v>5.8289999999999997</v>
      </c>
      <c r="K1328" s="8">
        <v>4.9450000000000003</v>
      </c>
      <c r="L1328" s="8">
        <v>4.641</v>
      </c>
      <c r="M1328" s="8">
        <v>3.9249999999999998</v>
      </c>
      <c r="N1328" s="8">
        <v>2.9159999999999999</v>
      </c>
      <c r="O1328" s="8">
        <v>2.29</v>
      </c>
      <c r="P1328" s="8">
        <v>1.851</v>
      </c>
      <c r="Q1328" s="8">
        <v>1.617</v>
      </c>
      <c r="R1328" s="8">
        <v>1.599</v>
      </c>
      <c r="S1328" s="8">
        <v>1.3140000000000001</v>
      </c>
      <c r="T1328" s="8">
        <v>0.98799999999999999</v>
      </c>
      <c r="U1328" s="8">
        <v>0.67600000000000005</v>
      </c>
      <c r="V1328" s="8">
        <v>0.46500000000000002</v>
      </c>
      <c r="W1328" s="8">
        <v>0.316</v>
      </c>
      <c r="X1328" s="8">
        <v>0.17799999999999999</v>
      </c>
      <c r="Y1328" s="8">
        <v>0.06</v>
      </c>
      <c r="Z1328" s="8">
        <v>1.2E-2</v>
      </c>
      <c r="AA1328" s="8">
        <v>2E-3</v>
      </c>
      <c r="AB1328" s="8">
        <v>0</v>
      </c>
      <c r="AC1328" s="8">
        <v>0</v>
      </c>
    </row>
    <row r="1329" spans="1:29" ht="11.65" x14ac:dyDescent="0.35">
      <c r="A1329" s="12">
        <v>1312</v>
      </c>
      <c r="B1329" s="10" t="s">
        <v>1015</v>
      </c>
      <c r="C1329" s="11" t="s">
        <v>1111</v>
      </c>
      <c r="D1329" s="9"/>
      <c r="E1329" s="9">
        <v>732</v>
      </c>
      <c r="F1329" s="10" t="s">
        <v>1066</v>
      </c>
      <c r="G1329" s="9">
        <v>912</v>
      </c>
      <c r="H1329" s="9">
        <v>1980</v>
      </c>
      <c r="I1329" s="8">
        <v>11.505000000000001</v>
      </c>
      <c r="J1329" s="8">
        <v>8.2620000000000005</v>
      </c>
      <c r="K1329" s="8">
        <v>8.0370000000000008</v>
      </c>
      <c r="L1329" s="8">
        <v>8.23</v>
      </c>
      <c r="M1329" s="8">
        <v>9.0530000000000008</v>
      </c>
      <c r="N1329" s="8">
        <v>8.4320000000000004</v>
      </c>
      <c r="O1329" s="8">
        <v>6.4459999999999997</v>
      </c>
      <c r="P1329" s="8">
        <v>4.8739999999999997</v>
      </c>
      <c r="Q1329" s="8">
        <v>3.944</v>
      </c>
      <c r="R1329" s="8">
        <v>3.1589999999999998</v>
      </c>
      <c r="S1329" s="8">
        <v>2.7010000000000001</v>
      </c>
      <c r="T1329" s="8">
        <v>2.157</v>
      </c>
      <c r="U1329" s="8">
        <v>1.6639999999999999</v>
      </c>
      <c r="V1329" s="8">
        <v>1.1000000000000001</v>
      </c>
      <c r="W1329" s="8">
        <v>0.73399999999999999</v>
      </c>
      <c r="X1329" s="8">
        <v>0.47599999999999998</v>
      </c>
      <c r="Y1329" s="8">
        <v>0.22800000000000001</v>
      </c>
      <c r="Z1329" s="8">
        <v>4.2999999999999997E-2</v>
      </c>
      <c r="AA1329" s="8">
        <v>1E-3</v>
      </c>
      <c r="AB1329" s="8">
        <v>0</v>
      </c>
      <c r="AC1329" s="8">
        <v>0</v>
      </c>
    </row>
    <row r="1330" spans="1:29" ht="11.65" x14ac:dyDescent="0.35">
      <c r="A1330" s="12">
        <v>1313</v>
      </c>
      <c r="B1330" s="10" t="s">
        <v>1015</v>
      </c>
      <c r="C1330" s="11" t="s">
        <v>1111</v>
      </c>
      <c r="D1330" s="9"/>
      <c r="E1330" s="9">
        <v>732</v>
      </c>
      <c r="F1330" s="10" t="s">
        <v>1066</v>
      </c>
      <c r="G1330" s="9">
        <v>912</v>
      </c>
      <c r="H1330" s="9">
        <v>1985</v>
      </c>
      <c r="I1330" s="8">
        <v>14.675000000000001</v>
      </c>
      <c r="J1330" s="8">
        <v>11.406000000000001</v>
      </c>
      <c r="K1330" s="8">
        <v>8.7469999999999999</v>
      </c>
      <c r="L1330" s="8">
        <v>8.4969999999999999</v>
      </c>
      <c r="M1330" s="8">
        <v>8.7989999999999995</v>
      </c>
      <c r="N1330" s="8">
        <v>9.6649999999999991</v>
      </c>
      <c r="O1330" s="8">
        <v>8.8469999999999995</v>
      </c>
      <c r="P1330" s="8">
        <v>6.6550000000000002</v>
      </c>
      <c r="Q1330" s="8">
        <v>4.9589999999999996</v>
      </c>
      <c r="R1330" s="8">
        <v>3.9540000000000002</v>
      </c>
      <c r="S1330" s="8">
        <v>3.0779999999999998</v>
      </c>
      <c r="T1330" s="8">
        <v>2.532</v>
      </c>
      <c r="U1330" s="8">
        <v>1.9239999999999999</v>
      </c>
      <c r="V1330" s="8">
        <v>1.3819999999999999</v>
      </c>
      <c r="W1330" s="8">
        <v>0.82699999999999996</v>
      </c>
      <c r="X1330" s="8">
        <v>0.47099999999999997</v>
      </c>
      <c r="Y1330" s="8">
        <v>0.24099999999999999</v>
      </c>
      <c r="Z1330" s="8">
        <v>0.08</v>
      </c>
      <c r="AA1330" s="8">
        <v>8.9999999999999993E-3</v>
      </c>
      <c r="AB1330" s="8">
        <v>0</v>
      </c>
      <c r="AC1330" s="8">
        <v>0</v>
      </c>
    </row>
    <row r="1331" spans="1:29" ht="11.65" x14ac:dyDescent="0.35">
      <c r="A1331" s="12">
        <v>1314</v>
      </c>
      <c r="B1331" s="10" t="s">
        <v>1015</v>
      </c>
      <c r="C1331" s="11" t="s">
        <v>1111</v>
      </c>
      <c r="D1331" s="9"/>
      <c r="E1331" s="9">
        <v>732</v>
      </c>
      <c r="F1331" s="10" t="s">
        <v>1066</v>
      </c>
      <c r="G1331" s="9">
        <v>912</v>
      </c>
      <c r="H1331" s="9">
        <v>1990</v>
      </c>
      <c r="I1331" s="8">
        <v>16.010999999999999</v>
      </c>
      <c r="J1331" s="8">
        <v>14.385</v>
      </c>
      <c r="K1331" s="8">
        <v>11.871</v>
      </c>
      <c r="L1331" s="8">
        <v>10.109</v>
      </c>
      <c r="M1331" s="8">
        <v>10.333</v>
      </c>
      <c r="N1331" s="8">
        <v>10.220000000000001</v>
      </c>
      <c r="O1331" s="8">
        <v>10.592000000000001</v>
      </c>
      <c r="P1331" s="8">
        <v>9.6969999999999992</v>
      </c>
      <c r="Q1331" s="8">
        <v>6.5529999999999999</v>
      </c>
      <c r="R1331" s="8">
        <v>3.944</v>
      </c>
      <c r="S1331" s="8">
        <v>2.9279999999999999</v>
      </c>
      <c r="T1331" s="8">
        <v>2.1920000000000002</v>
      </c>
      <c r="U1331" s="8">
        <v>1.87</v>
      </c>
      <c r="V1331" s="8">
        <v>1.353</v>
      </c>
      <c r="W1331" s="8">
        <v>0.93600000000000005</v>
      </c>
      <c r="X1331" s="8">
        <v>0.52700000000000002</v>
      </c>
      <c r="Y1331" s="8">
        <v>0.23599999999999999</v>
      </c>
      <c r="Z1331" s="8">
        <v>8.5000000000000006E-2</v>
      </c>
      <c r="AA1331" s="8">
        <v>1.7999999999999999E-2</v>
      </c>
      <c r="AB1331" s="8">
        <v>0</v>
      </c>
      <c r="AC1331" s="8">
        <v>0</v>
      </c>
    </row>
    <row r="1332" spans="1:29" ht="11.65" x14ac:dyDescent="0.35">
      <c r="A1332" s="12">
        <v>1315</v>
      </c>
      <c r="B1332" s="10" t="s">
        <v>1015</v>
      </c>
      <c r="C1332" s="11" t="s">
        <v>1111</v>
      </c>
      <c r="D1332" s="9"/>
      <c r="E1332" s="9">
        <v>732</v>
      </c>
      <c r="F1332" s="10" t="s">
        <v>1066</v>
      </c>
      <c r="G1332" s="9">
        <v>912</v>
      </c>
      <c r="H1332" s="9">
        <v>1995</v>
      </c>
      <c r="I1332" s="8">
        <v>17.433</v>
      </c>
      <c r="J1332" s="8">
        <v>16.173999999999999</v>
      </c>
      <c r="K1332" s="8">
        <v>14.99</v>
      </c>
      <c r="L1332" s="8">
        <v>13.118</v>
      </c>
      <c r="M1332" s="8">
        <v>11.744999999999999</v>
      </c>
      <c r="N1332" s="8">
        <v>11.907</v>
      </c>
      <c r="O1332" s="8">
        <v>11.465</v>
      </c>
      <c r="P1332" s="8">
        <v>11.334</v>
      </c>
      <c r="Q1332" s="8">
        <v>9.2870000000000008</v>
      </c>
      <c r="R1332" s="8">
        <v>5.399</v>
      </c>
      <c r="S1332" s="8">
        <v>3.0379999999999998</v>
      </c>
      <c r="T1332" s="8">
        <v>2.2130000000000001</v>
      </c>
      <c r="U1332" s="8">
        <v>1.607</v>
      </c>
      <c r="V1332" s="8">
        <v>1.3260000000000001</v>
      </c>
      <c r="W1332" s="8">
        <v>0.89500000000000002</v>
      </c>
      <c r="X1332" s="8">
        <v>0.57499999999999996</v>
      </c>
      <c r="Y1332" s="8">
        <v>0.27100000000000002</v>
      </c>
      <c r="Z1332" s="8">
        <v>8.5999999999999993E-2</v>
      </c>
      <c r="AA1332" s="8">
        <v>1.9E-2</v>
      </c>
      <c r="AB1332" s="8">
        <v>2E-3</v>
      </c>
      <c r="AC1332" s="8">
        <v>0</v>
      </c>
    </row>
    <row r="1333" spans="1:29" ht="11.65" x14ac:dyDescent="0.35">
      <c r="A1333" s="12">
        <v>1316</v>
      </c>
      <c r="B1333" s="10" t="s">
        <v>1015</v>
      </c>
      <c r="C1333" s="11" t="s">
        <v>1111</v>
      </c>
      <c r="D1333" s="9"/>
      <c r="E1333" s="9">
        <v>732</v>
      </c>
      <c r="F1333" s="10" t="s">
        <v>1066</v>
      </c>
      <c r="G1333" s="9">
        <v>912</v>
      </c>
      <c r="H1333" s="9">
        <v>2000</v>
      </c>
      <c r="I1333" s="8">
        <v>19.148</v>
      </c>
      <c r="J1333" s="8">
        <v>18.847000000000001</v>
      </c>
      <c r="K1333" s="8">
        <v>17.559000000000001</v>
      </c>
      <c r="L1333" s="8">
        <v>16.628</v>
      </c>
      <c r="M1333" s="8">
        <v>15.848000000000001</v>
      </c>
      <c r="N1333" s="8">
        <v>15.249000000000001</v>
      </c>
      <c r="O1333" s="8">
        <v>14.965</v>
      </c>
      <c r="P1333" s="8">
        <v>13.664</v>
      </c>
      <c r="Q1333" s="8">
        <v>11.433</v>
      </c>
      <c r="R1333" s="8">
        <v>7.9420000000000002</v>
      </c>
      <c r="S1333" s="8">
        <v>4.4409999999999998</v>
      </c>
      <c r="T1333" s="8">
        <v>2.677</v>
      </c>
      <c r="U1333" s="8">
        <v>2.157</v>
      </c>
      <c r="V1333" s="8">
        <v>1.532</v>
      </c>
      <c r="W1333" s="8">
        <v>1.165</v>
      </c>
      <c r="X1333" s="8">
        <v>0.71599999999999997</v>
      </c>
      <c r="Y1333" s="8">
        <v>0.34100000000000003</v>
      </c>
      <c r="Z1333" s="8">
        <v>0.1</v>
      </c>
      <c r="AA1333" s="8">
        <v>0.02</v>
      </c>
      <c r="AB1333" s="8">
        <v>2E-3</v>
      </c>
      <c r="AC1333" s="8">
        <v>0</v>
      </c>
    </row>
    <row r="1334" spans="1:29" ht="11.65" x14ac:dyDescent="0.35">
      <c r="A1334" s="12">
        <v>1317</v>
      </c>
      <c r="B1334" s="10" t="s">
        <v>1015</v>
      </c>
      <c r="C1334" s="11" t="s">
        <v>1111</v>
      </c>
      <c r="D1334" s="9"/>
      <c r="E1334" s="9">
        <v>732</v>
      </c>
      <c r="F1334" s="10" t="s">
        <v>1066</v>
      </c>
      <c r="G1334" s="9">
        <v>912</v>
      </c>
      <c r="H1334" s="9">
        <v>2005</v>
      </c>
      <c r="I1334" s="8">
        <v>23.542000000000002</v>
      </c>
      <c r="J1334" s="8">
        <v>23.076000000000001</v>
      </c>
      <c r="K1334" s="8">
        <v>22.888000000000002</v>
      </c>
      <c r="L1334" s="8">
        <v>22.364000000000001</v>
      </c>
      <c r="M1334" s="8">
        <v>23.068999999999999</v>
      </c>
      <c r="N1334" s="8">
        <v>23.331</v>
      </c>
      <c r="O1334" s="8">
        <v>21.81</v>
      </c>
      <c r="P1334" s="8">
        <v>19.376999999999999</v>
      </c>
      <c r="Q1334" s="8">
        <v>16.108000000000001</v>
      </c>
      <c r="R1334" s="8">
        <v>12.817</v>
      </c>
      <c r="S1334" s="8">
        <v>8.8140000000000001</v>
      </c>
      <c r="T1334" s="8">
        <v>4.9580000000000002</v>
      </c>
      <c r="U1334" s="8">
        <v>3.0209999999999999</v>
      </c>
      <c r="V1334" s="8">
        <v>2.3090000000000002</v>
      </c>
      <c r="W1334" s="8">
        <v>1.5069999999999999</v>
      </c>
      <c r="X1334" s="8">
        <v>0.98799999999999999</v>
      </c>
      <c r="Y1334" s="8">
        <v>0.50900000000000001</v>
      </c>
      <c r="Z1334" s="8">
        <v>0.157</v>
      </c>
      <c r="AA1334" s="8">
        <v>2.4E-2</v>
      </c>
      <c r="AB1334" s="8">
        <v>3.0000000000000001E-3</v>
      </c>
      <c r="AC1334" s="8">
        <v>0</v>
      </c>
    </row>
    <row r="1335" spans="1:29" ht="11.65" x14ac:dyDescent="0.35">
      <c r="A1335" s="12">
        <v>1318</v>
      </c>
      <c r="B1335" s="10" t="s">
        <v>1015</v>
      </c>
      <c r="C1335" s="11" t="s">
        <v>1111</v>
      </c>
      <c r="D1335" s="9"/>
      <c r="E1335" s="9">
        <v>732</v>
      </c>
      <c r="F1335" s="10" t="s">
        <v>1066</v>
      </c>
      <c r="G1335" s="9">
        <v>912</v>
      </c>
      <c r="H1335" s="9">
        <v>2010</v>
      </c>
      <c r="I1335" s="8">
        <v>24.503</v>
      </c>
      <c r="J1335" s="8">
        <v>23.622</v>
      </c>
      <c r="K1335" s="8">
        <v>22.936</v>
      </c>
      <c r="L1335" s="8">
        <v>23.568000000000001</v>
      </c>
      <c r="M1335" s="8">
        <v>24.562000000000001</v>
      </c>
      <c r="N1335" s="8">
        <v>25.756</v>
      </c>
      <c r="O1335" s="8">
        <v>24.881</v>
      </c>
      <c r="P1335" s="8">
        <v>21.413</v>
      </c>
      <c r="Q1335" s="8">
        <v>17.768000000000001</v>
      </c>
      <c r="R1335" s="8">
        <v>14.487</v>
      </c>
      <c r="S1335" s="8">
        <v>11.605</v>
      </c>
      <c r="T1335" s="8">
        <v>7.8230000000000004</v>
      </c>
      <c r="U1335" s="8">
        <v>4.1500000000000004</v>
      </c>
      <c r="V1335" s="8">
        <v>2.355</v>
      </c>
      <c r="W1335" s="8">
        <v>1.681</v>
      </c>
      <c r="X1335" s="8">
        <v>0.99199999999999999</v>
      </c>
      <c r="Y1335" s="8">
        <v>0.53800000000000003</v>
      </c>
      <c r="Z1335" s="8">
        <v>0.19900000000000001</v>
      </c>
      <c r="AA1335" s="8">
        <v>3.6999999999999998E-2</v>
      </c>
      <c r="AB1335" s="8">
        <v>3.0000000000000001E-3</v>
      </c>
      <c r="AC1335" s="8">
        <v>0</v>
      </c>
    </row>
    <row r="1336" spans="1:29" ht="11.65" x14ac:dyDescent="0.35">
      <c r="A1336" s="12">
        <v>1319</v>
      </c>
      <c r="B1336" s="10" t="s">
        <v>1015</v>
      </c>
      <c r="C1336" s="11" t="s">
        <v>1111</v>
      </c>
      <c r="D1336" s="9"/>
      <c r="E1336" s="9">
        <v>732</v>
      </c>
      <c r="F1336" s="10" t="s">
        <v>1066</v>
      </c>
      <c r="G1336" s="9">
        <v>912</v>
      </c>
      <c r="H1336" s="9">
        <v>2015</v>
      </c>
      <c r="I1336" s="8">
        <v>27.599</v>
      </c>
      <c r="J1336" s="8">
        <v>24.683</v>
      </c>
      <c r="K1336" s="8">
        <v>23.434999999999999</v>
      </c>
      <c r="L1336" s="8">
        <v>23.05</v>
      </c>
      <c r="M1336" s="8">
        <v>25.062999999999999</v>
      </c>
      <c r="N1336" s="8">
        <v>27.044</v>
      </c>
      <c r="O1336" s="8">
        <v>27.245000000000001</v>
      </c>
      <c r="P1336" s="8">
        <v>24.509</v>
      </c>
      <c r="Q1336" s="8">
        <v>19.837</v>
      </c>
      <c r="R1336" s="8">
        <v>16.170000000000002</v>
      </c>
      <c r="S1336" s="8">
        <v>13.275</v>
      </c>
      <c r="T1336" s="8">
        <v>10.506</v>
      </c>
      <c r="U1336" s="8">
        <v>6.7960000000000003</v>
      </c>
      <c r="V1336" s="8">
        <v>3.359</v>
      </c>
      <c r="W1336" s="8">
        <v>1.742</v>
      </c>
      <c r="X1336" s="8">
        <v>1.1319999999999999</v>
      </c>
      <c r="Y1336" s="8">
        <v>0.55300000000000005</v>
      </c>
      <c r="Z1336" s="8">
        <v>0.214</v>
      </c>
      <c r="AA1336" s="8">
        <v>4.9000000000000002E-2</v>
      </c>
      <c r="AB1336" s="8">
        <v>5.0000000000000001E-3</v>
      </c>
      <c r="AC1336" s="8">
        <v>0</v>
      </c>
    </row>
    <row r="1337" spans="1:29" ht="11.65" x14ac:dyDescent="0.35">
      <c r="A1337" s="12">
        <v>1320</v>
      </c>
      <c r="B1337" s="10" t="s">
        <v>1015</v>
      </c>
      <c r="C1337" s="11" t="s">
        <v>1111</v>
      </c>
      <c r="D1337" s="9"/>
      <c r="E1337" s="9">
        <v>732</v>
      </c>
      <c r="F1337" s="10" t="s">
        <v>1066</v>
      </c>
      <c r="G1337" s="9">
        <v>912</v>
      </c>
      <c r="H1337" s="9">
        <v>2020</v>
      </c>
      <c r="I1337" s="8">
        <v>28.54</v>
      </c>
      <c r="J1337" s="8">
        <v>28.335999999999999</v>
      </c>
      <c r="K1337" s="8">
        <v>25.137</v>
      </c>
      <c r="L1337" s="8">
        <v>24.463000000000001</v>
      </c>
      <c r="M1337" s="8">
        <v>25.515000000000001</v>
      </c>
      <c r="N1337" s="8">
        <v>28.181000000000001</v>
      </c>
      <c r="O1337" s="8">
        <v>29.736000000000001</v>
      </c>
      <c r="P1337" s="8">
        <v>28.641999999999999</v>
      </c>
      <c r="Q1337" s="8">
        <v>24.753</v>
      </c>
      <c r="R1337" s="8">
        <v>19.788</v>
      </c>
      <c r="S1337" s="8">
        <v>15.861000000000001</v>
      </c>
      <c r="T1337" s="8">
        <v>12.711</v>
      </c>
      <c r="U1337" s="8">
        <v>9.7140000000000004</v>
      </c>
      <c r="V1337" s="8">
        <v>5.9710000000000001</v>
      </c>
      <c r="W1337" s="8">
        <v>2.726</v>
      </c>
      <c r="X1337" s="8">
        <v>1.242</v>
      </c>
      <c r="Y1337" s="8">
        <v>0.65800000000000003</v>
      </c>
      <c r="Z1337" s="8">
        <v>0.22800000000000001</v>
      </c>
      <c r="AA1337" s="8">
        <v>5.1999999999999998E-2</v>
      </c>
      <c r="AB1337" s="8">
        <v>6.0000000000000001E-3</v>
      </c>
      <c r="AC1337" s="8">
        <v>0</v>
      </c>
    </row>
    <row r="1338" spans="1:29" ht="11.65" x14ac:dyDescent="0.35">
      <c r="A1338" s="23">
        <v>1321</v>
      </c>
      <c r="B1338" s="21" t="s">
        <v>1015</v>
      </c>
      <c r="C1338" s="29" t="s">
        <v>1112</v>
      </c>
      <c r="D1338" s="20"/>
      <c r="E1338" s="20">
        <v>922</v>
      </c>
      <c r="F1338" s="21" t="s">
        <v>1065</v>
      </c>
      <c r="G1338" s="20">
        <v>1833</v>
      </c>
      <c r="H1338" s="20">
        <v>1950</v>
      </c>
      <c r="I1338" s="19">
        <v>3941.1640000000002</v>
      </c>
      <c r="J1338" s="19">
        <v>3113.192</v>
      </c>
      <c r="K1338" s="19">
        <v>3004.0549999999998</v>
      </c>
      <c r="L1338" s="19">
        <v>2812.8440000000001</v>
      </c>
      <c r="M1338" s="19">
        <v>2398.076</v>
      </c>
      <c r="N1338" s="19">
        <v>1807.828</v>
      </c>
      <c r="O1338" s="19">
        <v>1397.59</v>
      </c>
      <c r="P1338" s="19">
        <v>1552.6859999999999</v>
      </c>
      <c r="Q1338" s="19">
        <v>1332.9570000000001</v>
      </c>
      <c r="R1338" s="19">
        <v>1166.8969999999999</v>
      </c>
      <c r="S1338" s="19">
        <v>948.37400000000002</v>
      </c>
      <c r="T1338" s="19">
        <v>677.18700000000001</v>
      </c>
      <c r="U1338" s="19">
        <v>593.37699999999995</v>
      </c>
      <c r="V1338" s="19">
        <v>408.62099999999998</v>
      </c>
      <c r="W1338" s="19">
        <v>299.53500000000003</v>
      </c>
      <c r="X1338" s="19">
        <v>157.16499999999999</v>
      </c>
      <c r="Y1338" s="19">
        <v>62.823</v>
      </c>
      <c r="Z1338" s="19">
        <v>22.263999999999999</v>
      </c>
      <c r="AA1338" s="19">
        <v>5.984</v>
      </c>
      <c r="AB1338" s="19">
        <v>0.71899999999999997</v>
      </c>
      <c r="AC1338" s="19">
        <v>6.6000000000000003E-2</v>
      </c>
    </row>
    <row r="1339" spans="1:29" ht="11.65" x14ac:dyDescent="0.35">
      <c r="A1339" s="23">
        <v>1322</v>
      </c>
      <c r="B1339" s="21" t="s">
        <v>1015</v>
      </c>
      <c r="C1339" s="29" t="s">
        <v>1112</v>
      </c>
      <c r="D1339" s="20"/>
      <c r="E1339" s="20">
        <v>922</v>
      </c>
      <c r="F1339" s="21" t="s">
        <v>1065</v>
      </c>
      <c r="G1339" s="20">
        <v>1833</v>
      </c>
      <c r="H1339" s="20">
        <v>1955</v>
      </c>
      <c r="I1339" s="19">
        <v>4932.6970000000001</v>
      </c>
      <c r="J1339" s="19">
        <v>3605.3290000000002</v>
      </c>
      <c r="K1339" s="19">
        <v>3031.6640000000002</v>
      </c>
      <c r="L1339" s="19">
        <v>2960.9160000000002</v>
      </c>
      <c r="M1339" s="19">
        <v>2743.864</v>
      </c>
      <c r="N1339" s="19">
        <v>2319.7359999999999</v>
      </c>
      <c r="O1339" s="19">
        <v>1739.41</v>
      </c>
      <c r="P1339" s="19">
        <v>1338.82</v>
      </c>
      <c r="Q1339" s="19">
        <v>1480.086</v>
      </c>
      <c r="R1339" s="19">
        <v>1256.028</v>
      </c>
      <c r="S1339" s="19">
        <v>1078.96</v>
      </c>
      <c r="T1339" s="19">
        <v>851.79</v>
      </c>
      <c r="U1339" s="19">
        <v>584.65099999999995</v>
      </c>
      <c r="V1339" s="19">
        <v>478.95</v>
      </c>
      <c r="W1339" s="19">
        <v>296.78199999999998</v>
      </c>
      <c r="X1339" s="19">
        <v>182.602</v>
      </c>
      <c r="Y1339" s="19">
        <v>74.63</v>
      </c>
      <c r="Z1339" s="19">
        <v>20.739000000000001</v>
      </c>
      <c r="AA1339" s="19">
        <v>4.57</v>
      </c>
      <c r="AB1339" s="19">
        <v>0.77100000000000002</v>
      </c>
      <c r="AC1339" s="19">
        <v>0.06</v>
      </c>
    </row>
    <row r="1340" spans="1:29" ht="11.65" x14ac:dyDescent="0.35">
      <c r="A1340" s="23">
        <v>1323</v>
      </c>
      <c r="B1340" s="21" t="s">
        <v>1015</v>
      </c>
      <c r="C1340" s="29" t="s">
        <v>1112</v>
      </c>
      <c r="D1340" s="20"/>
      <c r="E1340" s="20">
        <v>922</v>
      </c>
      <c r="F1340" s="21" t="s">
        <v>1065</v>
      </c>
      <c r="G1340" s="20">
        <v>1833</v>
      </c>
      <c r="H1340" s="20">
        <v>1960</v>
      </c>
      <c r="I1340" s="19">
        <v>5566.5309999999999</v>
      </c>
      <c r="J1340" s="19">
        <v>4581.8050000000003</v>
      </c>
      <c r="K1340" s="19">
        <v>3529.3879999999999</v>
      </c>
      <c r="L1340" s="19">
        <v>2991.2109999999998</v>
      </c>
      <c r="M1340" s="19">
        <v>2902.96</v>
      </c>
      <c r="N1340" s="19">
        <v>2675.1089999999999</v>
      </c>
      <c r="O1340" s="19">
        <v>2255.9479999999999</v>
      </c>
      <c r="P1340" s="19">
        <v>1681.3689999999999</v>
      </c>
      <c r="Q1340" s="19">
        <v>1285.3879999999999</v>
      </c>
      <c r="R1340" s="19">
        <v>1406.2049999999999</v>
      </c>
      <c r="S1340" s="19">
        <v>1174.3119999999999</v>
      </c>
      <c r="T1340" s="19">
        <v>980.572</v>
      </c>
      <c r="U1340" s="19">
        <v>741.70899999999995</v>
      </c>
      <c r="V1340" s="19">
        <v>477.67500000000001</v>
      </c>
      <c r="W1340" s="19">
        <v>354.84399999999999</v>
      </c>
      <c r="X1340" s="19">
        <v>186.85900000000001</v>
      </c>
      <c r="Y1340" s="19">
        <v>89.515000000000001</v>
      </c>
      <c r="Z1340" s="19">
        <v>26.471</v>
      </c>
      <c r="AA1340" s="19">
        <v>4.6900000000000004</v>
      </c>
      <c r="AB1340" s="19">
        <v>0.63900000000000001</v>
      </c>
      <c r="AC1340" s="19">
        <v>7.3999999999999996E-2</v>
      </c>
    </row>
    <row r="1341" spans="1:29" ht="11.65" x14ac:dyDescent="0.35">
      <c r="A1341" s="23">
        <v>1324</v>
      </c>
      <c r="B1341" s="21" t="s">
        <v>1015</v>
      </c>
      <c r="C1341" s="29" t="s">
        <v>1112</v>
      </c>
      <c r="D1341" s="20"/>
      <c r="E1341" s="20">
        <v>922</v>
      </c>
      <c r="F1341" s="21" t="s">
        <v>1065</v>
      </c>
      <c r="G1341" s="20">
        <v>1833</v>
      </c>
      <c r="H1341" s="20">
        <v>1965</v>
      </c>
      <c r="I1341" s="19">
        <v>6362.73</v>
      </c>
      <c r="J1341" s="19">
        <v>5233.9719999999998</v>
      </c>
      <c r="K1341" s="19">
        <v>4507.3209999999999</v>
      </c>
      <c r="L1341" s="19">
        <v>3497.0239999999999</v>
      </c>
      <c r="M1341" s="19">
        <v>2950.9380000000001</v>
      </c>
      <c r="N1341" s="19">
        <v>2845.9470000000001</v>
      </c>
      <c r="O1341" s="19">
        <v>2606.866</v>
      </c>
      <c r="P1341" s="19">
        <v>2195.0100000000002</v>
      </c>
      <c r="Q1341" s="19">
        <v>1627.559</v>
      </c>
      <c r="R1341" s="19">
        <v>1227.0250000000001</v>
      </c>
      <c r="S1341" s="19">
        <v>1323.9010000000001</v>
      </c>
      <c r="T1341" s="19">
        <v>1077.451</v>
      </c>
      <c r="U1341" s="19">
        <v>864.09299999999996</v>
      </c>
      <c r="V1341" s="19">
        <v>613.58500000000004</v>
      </c>
      <c r="W1341" s="19">
        <v>360.41800000000001</v>
      </c>
      <c r="X1341" s="19">
        <v>227.14699999999999</v>
      </c>
      <c r="Y1341" s="19">
        <v>94.876999999999995</v>
      </c>
      <c r="Z1341" s="19">
        <v>33.005000000000003</v>
      </c>
      <c r="AA1341" s="19">
        <v>6.3090000000000002</v>
      </c>
      <c r="AB1341" s="19">
        <v>0.68200000000000005</v>
      </c>
      <c r="AC1341" s="19">
        <v>6.6000000000000003E-2</v>
      </c>
    </row>
    <row r="1342" spans="1:29" ht="11.65" x14ac:dyDescent="0.35">
      <c r="A1342" s="23">
        <v>1325</v>
      </c>
      <c r="B1342" s="21" t="s">
        <v>1015</v>
      </c>
      <c r="C1342" s="29" t="s">
        <v>1112</v>
      </c>
      <c r="D1342" s="20"/>
      <c r="E1342" s="20">
        <v>922</v>
      </c>
      <c r="F1342" s="21" t="s">
        <v>1065</v>
      </c>
      <c r="G1342" s="20">
        <v>1833</v>
      </c>
      <c r="H1342" s="20">
        <v>1970</v>
      </c>
      <c r="I1342" s="19">
        <v>7137.9120000000003</v>
      </c>
      <c r="J1342" s="19">
        <v>6044.4219999999996</v>
      </c>
      <c r="K1342" s="19">
        <v>5157.3760000000002</v>
      </c>
      <c r="L1342" s="19">
        <v>4451.2640000000001</v>
      </c>
      <c r="M1342" s="19">
        <v>3431.3910000000001</v>
      </c>
      <c r="N1342" s="19">
        <v>2873.82</v>
      </c>
      <c r="O1342" s="19">
        <v>2770.471</v>
      </c>
      <c r="P1342" s="19">
        <v>2539.5940000000001</v>
      </c>
      <c r="Q1342" s="19">
        <v>2125.02</v>
      </c>
      <c r="R1342" s="19">
        <v>1557.0409999999999</v>
      </c>
      <c r="S1342" s="19">
        <v>1161.239</v>
      </c>
      <c r="T1342" s="19">
        <v>1217.9839999999999</v>
      </c>
      <c r="U1342" s="19">
        <v>960.053</v>
      </c>
      <c r="V1342" s="19">
        <v>726.29399999999998</v>
      </c>
      <c r="W1342" s="19">
        <v>471.09899999999999</v>
      </c>
      <c r="X1342" s="19">
        <v>238.41</v>
      </c>
      <c r="Y1342" s="19">
        <v>119.265</v>
      </c>
      <c r="Z1342" s="19">
        <v>36.085999999999999</v>
      </c>
      <c r="AA1342" s="19">
        <v>8.1760000000000002</v>
      </c>
      <c r="AB1342" s="19">
        <v>0.97899999999999998</v>
      </c>
      <c r="AC1342" s="19">
        <v>7.4999999999999997E-2</v>
      </c>
    </row>
    <row r="1343" spans="1:29" ht="11.65" x14ac:dyDescent="0.35">
      <c r="A1343" s="23">
        <v>1326</v>
      </c>
      <c r="B1343" s="21" t="s">
        <v>1015</v>
      </c>
      <c r="C1343" s="29" t="s">
        <v>1112</v>
      </c>
      <c r="D1343" s="20"/>
      <c r="E1343" s="20">
        <v>922</v>
      </c>
      <c r="F1343" s="21" t="s">
        <v>1065</v>
      </c>
      <c r="G1343" s="20">
        <v>1833</v>
      </c>
      <c r="H1343" s="20">
        <v>1975</v>
      </c>
      <c r="I1343" s="19">
        <v>8055.83</v>
      </c>
      <c r="J1343" s="19">
        <v>6868.3159999999998</v>
      </c>
      <c r="K1343" s="19">
        <v>5960.8149999999996</v>
      </c>
      <c r="L1343" s="19">
        <v>5078.3670000000002</v>
      </c>
      <c r="M1343" s="19">
        <v>4360.6760000000004</v>
      </c>
      <c r="N1343" s="19">
        <v>3407.076</v>
      </c>
      <c r="O1343" s="19">
        <v>2846.4850000000001</v>
      </c>
      <c r="P1343" s="19">
        <v>2736.97</v>
      </c>
      <c r="Q1343" s="19">
        <v>2520.252</v>
      </c>
      <c r="R1343" s="19">
        <v>2074.0070000000001</v>
      </c>
      <c r="S1343" s="19">
        <v>1509.337</v>
      </c>
      <c r="T1343" s="19">
        <v>1091.8530000000001</v>
      </c>
      <c r="U1343" s="19">
        <v>1116.057</v>
      </c>
      <c r="V1343" s="19">
        <v>826.86400000000003</v>
      </c>
      <c r="W1343" s="19">
        <v>578.21699999999998</v>
      </c>
      <c r="X1343" s="19">
        <v>319.34699999999998</v>
      </c>
      <c r="Y1343" s="19">
        <v>129.23500000000001</v>
      </c>
      <c r="Z1343" s="19">
        <v>47.119</v>
      </c>
      <c r="AA1343" s="19">
        <v>9.3819999999999997</v>
      </c>
      <c r="AB1343" s="19">
        <v>1.3340000000000001</v>
      </c>
      <c r="AC1343" s="19">
        <v>0.114</v>
      </c>
    </row>
    <row r="1344" spans="1:29" ht="11.65" x14ac:dyDescent="0.35">
      <c r="A1344" s="23">
        <v>1327</v>
      </c>
      <c r="B1344" s="21" t="s">
        <v>1015</v>
      </c>
      <c r="C1344" s="29" t="s">
        <v>1112</v>
      </c>
      <c r="D1344" s="20"/>
      <c r="E1344" s="20">
        <v>922</v>
      </c>
      <c r="F1344" s="21" t="s">
        <v>1065</v>
      </c>
      <c r="G1344" s="20">
        <v>1833</v>
      </c>
      <c r="H1344" s="20">
        <v>1980</v>
      </c>
      <c r="I1344" s="19">
        <v>9055.0709999999999</v>
      </c>
      <c r="J1344" s="19">
        <v>7804.5460000000003</v>
      </c>
      <c r="K1344" s="19">
        <v>6781.7510000000002</v>
      </c>
      <c r="L1344" s="19">
        <v>5909.0540000000001</v>
      </c>
      <c r="M1344" s="19">
        <v>5114.7629999999999</v>
      </c>
      <c r="N1344" s="19">
        <v>4460.5360000000001</v>
      </c>
      <c r="O1344" s="19">
        <v>3473.5369999999998</v>
      </c>
      <c r="P1344" s="19">
        <v>2849.8870000000002</v>
      </c>
      <c r="Q1344" s="19">
        <v>2702.6640000000002</v>
      </c>
      <c r="R1344" s="19">
        <v>2426.3589999999999</v>
      </c>
      <c r="S1344" s="19">
        <v>1976.2280000000001</v>
      </c>
      <c r="T1344" s="19">
        <v>1407.4290000000001</v>
      </c>
      <c r="U1344" s="19">
        <v>981.31299999999999</v>
      </c>
      <c r="V1344" s="19">
        <v>952.53399999999999</v>
      </c>
      <c r="W1344" s="19">
        <v>648.45299999999997</v>
      </c>
      <c r="X1344" s="19">
        <v>394.50700000000001</v>
      </c>
      <c r="Y1344" s="19">
        <v>173.52500000000001</v>
      </c>
      <c r="Z1344" s="19">
        <v>51.771000000000001</v>
      </c>
      <c r="AA1344" s="19">
        <v>12.504</v>
      </c>
      <c r="AB1344" s="19">
        <v>1.6020000000000001</v>
      </c>
      <c r="AC1344" s="19">
        <v>0.159</v>
      </c>
    </row>
    <row r="1345" spans="1:29" ht="11.65" x14ac:dyDescent="0.35">
      <c r="A1345" s="23">
        <v>1328</v>
      </c>
      <c r="B1345" s="21" t="s">
        <v>1015</v>
      </c>
      <c r="C1345" s="29" t="s">
        <v>1112</v>
      </c>
      <c r="D1345" s="20"/>
      <c r="E1345" s="20">
        <v>922</v>
      </c>
      <c r="F1345" s="21" t="s">
        <v>1065</v>
      </c>
      <c r="G1345" s="20">
        <v>1833</v>
      </c>
      <c r="H1345" s="20">
        <v>1985</v>
      </c>
      <c r="I1345" s="19">
        <v>10173.909</v>
      </c>
      <c r="J1345" s="19">
        <v>8840.5319999999992</v>
      </c>
      <c r="K1345" s="19">
        <v>7725.6719999999996</v>
      </c>
      <c r="L1345" s="19">
        <v>6709.384</v>
      </c>
      <c r="M1345" s="19">
        <v>5924.317</v>
      </c>
      <c r="N1345" s="19">
        <v>5290.8419999999996</v>
      </c>
      <c r="O1345" s="19">
        <v>4599.5730000000003</v>
      </c>
      <c r="P1345" s="19">
        <v>3551.5439999999999</v>
      </c>
      <c r="Q1345" s="19">
        <v>2849.7640000000001</v>
      </c>
      <c r="R1345" s="19">
        <v>2649.1080000000002</v>
      </c>
      <c r="S1345" s="19">
        <v>2324.0770000000002</v>
      </c>
      <c r="T1345" s="19">
        <v>1820.001</v>
      </c>
      <c r="U1345" s="19">
        <v>1260.2449999999999</v>
      </c>
      <c r="V1345" s="19">
        <v>837.37699999999995</v>
      </c>
      <c r="W1345" s="19">
        <v>753.49599999999998</v>
      </c>
      <c r="X1345" s="19">
        <v>449.233</v>
      </c>
      <c r="Y1345" s="19">
        <v>217.86</v>
      </c>
      <c r="Z1345" s="19">
        <v>69.503</v>
      </c>
      <c r="AA1345" s="19">
        <v>13.709</v>
      </c>
      <c r="AB1345" s="19">
        <v>2.1179999999999999</v>
      </c>
      <c r="AC1345" s="19">
        <v>0.19800000000000001</v>
      </c>
    </row>
    <row r="1346" spans="1:29" ht="11.65" x14ac:dyDescent="0.35">
      <c r="A1346" s="23">
        <v>1329</v>
      </c>
      <c r="B1346" s="21" t="s">
        <v>1015</v>
      </c>
      <c r="C1346" s="29" t="s">
        <v>1112</v>
      </c>
      <c r="D1346" s="20"/>
      <c r="E1346" s="20">
        <v>922</v>
      </c>
      <c r="F1346" s="21" t="s">
        <v>1065</v>
      </c>
      <c r="G1346" s="20">
        <v>1833</v>
      </c>
      <c r="H1346" s="20">
        <v>1990</v>
      </c>
      <c r="I1346" s="19">
        <v>10993.486000000001</v>
      </c>
      <c r="J1346" s="19">
        <v>10001.008</v>
      </c>
      <c r="K1346" s="19">
        <v>8761.268</v>
      </c>
      <c r="L1346" s="19">
        <v>7699.0050000000001</v>
      </c>
      <c r="M1346" s="19">
        <v>6919.6729999999998</v>
      </c>
      <c r="N1346" s="19">
        <v>6206.2950000000001</v>
      </c>
      <c r="O1346" s="19">
        <v>5343.3689999999997</v>
      </c>
      <c r="P1346" s="19">
        <v>4473.4830000000002</v>
      </c>
      <c r="Q1346" s="19">
        <v>3309.0839999999998</v>
      </c>
      <c r="R1346" s="19">
        <v>2662.7139999999999</v>
      </c>
      <c r="S1346" s="19">
        <v>2483.2080000000001</v>
      </c>
      <c r="T1346" s="19">
        <v>2161.2440000000001</v>
      </c>
      <c r="U1346" s="19">
        <v>1661.135</v>
      </c>
      <c r="V1346" s="19">
        <v>1107.3989999999999</v>
      </c>
      <c r="W1346" s="19">
        <v>672.28300000000002</v>
      </c>
      <c r="X1346" s="19">
        <v>519.94799999999998</v>
      </c>
      <c r="Y1346" s="19">
        <v>249.036</v>
      </c>
      <c r="Z1346" s="19">
        <v>87.991</v>
      </c>
      <c r="AA1346" s="19">
        <v>18.366</v>
      </c>
      <c r="AB1346" s="19">
        <v>2.3149999999999999</v>
      </c>
      <c r="AC1346" s="19">
        <v>0.23300000000000001</v>
      </c>
    </row>
    <row r="1347" spans="1:29" ht="11.65" x14ac:dyDescent="0.35">
      <c r="A1347" s="23">
        <v>1330</v>
      </c>
      <c r="B1347" s="21" t="s">
        <v>1015</v>
      </c>
      <c r="C1347" s="29" t="s">
        <v>1112</v>
      </c>
      <c r="D1347" s="20"/>
      <c r="E1347" s="20">
        <v>922</v>
      </c>
      <c r="F1347" s="21" t="s">
        <v>1065</v>
      </c>
      <c r="G1347" s="20">
        <v>1833</v>
      </c>
      <c r="H1347" s="20">
        <v>1995</v>
      </c>
      <c r="I1347" s="19">
        <v>11398.368</v>
      </c>
      <c r="J1347" s="19">
        <v>10716.596</v>
      </c>
      <c r="K1347" s="19">
        <v>9919.8310000000001</v>
      </c>
      <c r="L1347" s="19">
        <v>8627.9429999999993</v>
      </c>
      <c r="M1347" s="19">
        <v>7537.0730000000003</v>
      </c>
      <c r="N1347" s="19">
        <v>7073.54</v>
      </c>
      <c r="O1347" s="19">
        <v>6379.9449999999997</v>
      </c>
      <c r="P1347" s="19">
        <v>5364.9290000000001</v>
      </c>
      <c r="Q1347" s="19">
        <v>4416.0619999999999</v>
      </c>
      <c r="R1347" s="19">
        <v>3191.5250000000001</v>
      </c>
      <c r="S1347" s="19">
        <v>2583.8090000000002</v>
      </c>
      <c r="T1347" s="19">
        <v>2309.8989999999999</v>
      </c>
      <c r="U1347" s="19">
        <v>1989.0060000000001</v>
      </c>
      <c r="V1347" s="19">
        <v>1456.4190000000001</v>
      </c>
      <c r="W1347" s="19">
        <v>915.56299999999999</v>
      </c>
      <c r="X1347" s="19">
        <v>518.34299999999996</v>
      </c>
      <c r="Y1347" s="19">
        <v>298.59800000000001</v>
      </c>
      <c r="Z1347" s="19">
        <v>102.386</v>
      </c>
      <c r="AA1347" s="19">
        <v>23.294</v>
      </c>
      <c r="AB1347" s="19">
        <v>3.008</v>
      </c>
      <c r="AC1347" s="19">
        <v>0.26200000000000001</v>
      </c>
    </row>
    <row r="1348" spans="1:29" ht="11.65" x14ac:dyDescent="0.35">
      <c r="A1348" s="23">
        <v>1331</v>
      </c>
      <c r="B1348" s="21" t="s">
        <v>1015</v>
      </c>
      <c r="C1348" s="29" t="s">
        <v>1112</v>
      </c>
      <c r="D1348" s="20"/>
      <c r="E1348" s="20">
        <v>922</v>
      </c>
      <c r="F1348" s="21" t="s">
        <v>1065</v>
      </c>
      <c r="G1348" s="20">
        <v>1833</v>
      </c>
      <c r="H1348" s="20">
        <v>2000</v>
      </c>
      <c r="I1348" s="19">
        <v>11862.338</v>
      </c>
      <c r="J1348" s="19">
        <v>11281.462</v>
      </c>
      <c r="K1348" s="19">
        <v>10584.48</v>
      </c>
      <c r="L1348" s="19">
        <v>9579.973</v>
      </c>
      <c r="M1348" s="19">
        <v>8712.6360000000004</v>
      </c>
      <c r="N1348" s="19">
        <v>8029.3720000000003</v>
      </c>
      <c r="O1348" s="19">
        <v>7118.8519999999999</v>
      </c>
      <c r="P1348" s="19">
        <v>6131.8360000000002</v>
      </c>
      <c r="Q1348" s="19">
        <v>5093.1289999999999</v>
      </c>
      <c r="R1348" s="19">
        <v>4091.1329999999998</v>
      </c>
      <c r="S1348" s="19">
        <v>2909.16</v>
      </c>
      <c r="T1348" s="19">
        <v>2285.2310000000002</v>
      </c>
      <c r="U1348" s="19">
        <v>2100.6570000000002</v>
      </c>
      <c r="V1348" s="19">
        <v>1736.046</v>
      </c>
      <c r="W1348" s="19">
        <v>1165.982</v>
      </c>
      <c r="X1348" s="19">
        <v>661.26499999999999</v>
      </c>
      <c r="Y1348" s="19">
        <v>283.76299999999998</v>
      </c>
      <c r="Z1348" s="19">
        <v>120.46</v>
      </c>
      <c r="AA1348" s="19">
        <v>27.507999999999999</v>
      </c>
      <c r="AB1348" s="19">
        <v>3.8690000000000002</v>
      </c>
      <c r="AC1348" s="19">
        <v>0.33600000000000002</v>
      </c>
    </row>
    <row r="1349" spans="1:29" ht="11.65" x14ac:dyDescent="0.35">
      <c r="A1349" s="23">
        <v>1332</v>
      </c>
      <c r="B1349" s="21" t="s">
        <v>1015</v>
      </c>
      <c r="C1349" s="29" t="s">
        <v>1112</v>
      </c>
      <c r="D1349" s="20"/>
      <c r="E1349" s="20">
        <v>922</v>
      </c>
      <c r="F1349" s="21" t="s">
        <v>1065</v>
      </c>
      <c r="G1349" s="20">
        <v>1833</v>
      </c>
      <c r="H1349" s="20">
        <v>2005</v>
      </c>
      <c r="I1349" s="19">
        <v>12238.875</v>
      </c>
      <c r="J1349" s="19">
        <v>11749.550999999999</v>
      </c>
      <c r="K1349" s="19">
        <v>11244.793</v>
      </c>
      <c r="L1349" s="19">
        <v>10493.097</v>
      </c>
      <c r="M1349" s="19">
        <v>9882.5580000000009</v>
      </c>
      <c r="N1349" s="19">
        <v>9547.8829999999998</v>
      </c>
      <c r="O1349" s="19">
        <v>8569.77</v>
      </c>
      <c r="P1349" s="19">
        <v>7258.2929999999997</v>
      </c>
      <c r="Q1349" s="19">
        <v>6143.1440000000002</v>
      </c>
      <c r="R1349" s="19">
        <v>4894.5140000000001</v>
      </c>
      <c r="S1349" s="19">
        <v>3841.509</v>
      </c>
      <c r="T1349" s="19">
        <v>2734.3890000000001</v>
      </c>
      <c r="U1349" s="19">
        <v>2153.2280000000001</v>
      </c>
      <c r="V1349" s="19">
        <v>1877.749</v>
      </c>
      <c r="W1349" s="19">
        <v>1426.453</v>
      </c>
      <c r="X1349" s="19">
        <v>838.11199999999997</v>
      </c>
      <c r="Y1349" s="19">
        <v>378.91899999999998</v>
      </c>
      <c r="Z1349" s="19">
        <v>120.322</v>
      </c>
      <c r="AA1349" s="19">
        <v>32.61</v>
      </c>
      <c r="AB1349" s="19">
        <v>4.5960000000000001</v>
      </c>
      <c r="AC1349" s="19">
        <v>0.437</v>
      </c>
    </row>
    <row r="1350" spans="1:29" ht="11.65" x14ac:dyDescent="0.35">
      <c r="A1350" s="23">
        <v>1333</v>
      </c>
      <c r="B1350" s="21" t="s">
        <v>1015</v>
      </c>
      <c r="C1350" s="29" t="s">
        <v>1112</v>
      </c>
      <c r="D1350" s="20"/>
      <c r="E1350" s="20">
        <v>922</v>
      </c>
      <c r="F1350" s="21" t="s">
        <v>1065</v>
      </c>
      <c r="G1350" s="20">
        <v>1833</v>
      </c>
      <c r="H1350" s="20">
        <v>2010</v>
      </c>
      <c r="I1350" s="19">
        <v>13100.878000000001</v>
      </c>
      <c r="J1350" s="19">
        <v>12163.130999999999</v>
      </c>
      <c r="K1350" s="19">
        <v>11701.982</v>
      </c>
      <c r="L1350" s="19">
        <v>11182.107</v>
      </c>
      <c r="M1350" s="19">
        <v>11209.032999999999</v>
      </c>
      <c r="N1350" s="19">
        <v>11358.893</v>
      </c>
      <c r="O1350" s="19">
        <v>10822.016</v>
      </c>
      <c r="P1350" s="19">
        <v>9383.0789999999997</v>
      </c>
      <c r="Q1350" s="19">
        <v>7632.1049999999996</v>
      </c>
      <c r="R1350" s="19">
        <v>6189.1189999999997</v>
      </c>
      <c r="S1350" s="19">
        <v>4736.442</v>
      </c>
      <c r="T1350" s="19">
        <v>3637.194</v>
      </c>
      <c r="U1350" s="19">
        <v>2542.5250000000001</v>
      </c>
      <c r="V1350" s="19">
        <v>1914.356</v>
      </c>
      <c r="W1350" s="19">
        <v>1543.8520000000001</v>
      </c>
      <c r="X1350" s="19">
        <v>1036.2349999999999</v>
      </c>
      <c r="Y1350" s="19">
        <v>497.47899999999998</v>
      </c>
      <c r="Z1350" s="19">
        <v>167.202</v>
      </c>
      <c r="AA1350" s="19">
        <v>35.633000000000003</v>
      </c>
      <c r="AB1350" s="19">
        <v>5.8550000000000004</v>
      </c>
      <c r="AC1350" s="19">
        <v>0.55500000000000005</v>
      </c>
    </row>
    <row r="1351" spans="1:29" ht="11.65" x14ac:dyDescent="0.35">
      <c r="A1351" s="23">
        <v>1334</v>
      </c>
      <c r="B1351" s="21" t="s">
        <v>1015</v>
      </c>
      <c r="C1351" s="29" t="s">
        <v>1112</v>
      </c>
      <c r="D1351" s="20"/>
      <c r="E1351" s="20">
        <v>922</v>
      </c>
      <c r="F1351" s="21" t="s">
        <v>1065</v>
      </c>
      <c r="G1351" s="20">
        <v>1833</v>
      </c>
      <c r="H1351" s="20">
        <v>2015</v>
      </c>
      <c r="I1351" s="19">
        <v>13927.657999999999</v>
      </c>
      <c r="J1351" s="19">
        <v>12857.825000000001</v>
      </c>
      <c r="K1351" s="19">
        <v>11924.409</v>
      </c>
      <c r="L1351" s="19">
        <v>11483.897000000001</v>
      </c>
      <c r="M1351" s="19">
        <v>11642.894</v>
      </c>
      <c r="N1351" s="19">
        <v>12520.471</v>
      </c>
      <c r="O1351" s="19">
        <v>12255.825999999999</v>
      </c>
      <c r="P1351" s="19">
        <v>11069.995000000001</v>
      </c>
      <c r="Q1351" s="19">
        <v>9365.9349999999995</v>
      </c>
      <c r="R1351" s="19">
        <v>7424.4480000000003</v>
      </c>
      <c r="S1351" s="19">
        <v>5984.9849999999997</v>
      </c>
      <c r="T1351" s="19">
        <v>4547.0039999999999</v>
      </c>
      <c r="U1351" s="19">
        <v>3374.1</v>
      </c>
      <c r="V1351" s="19">
        <v>2268.6970000000001</v>
      </c>
      <c r="W1351" s="19">
        <v>1611.577</v>
      </c>
      <c r="X1351" s="19">
        <v>1155.8520000000001</v>
      </c>
      <c r="Y1351" s="19">
        <v>647.298</v>
      </c>
      <c r="Z1351" s="19">
        <v>231.667</v>
      </c>
      <c r="AA1351" s="19">
        <v>53.865000000000002</v>
      </c>
      <c r="AB1351" s="19">
        <v>7.2309999999999999</v>
      </c>
      <c r="AC1351" s="19">
        <v>0.76800000000000002</v>
      </c>
    </row>
    <row r="1352" spans="1:29" ht="11.65" x14ac:dyDescent="0.35">
      <c r="A1352" s="23">
        <v>1335</v>
      </c>
      <c r="B1352" s="21" t="s">
        <v>1015</v>
      </c>
      <c r="C1352" s="29" t="s">
        <v>1112</v>
      </c>
      <c r="D1352" s="20"/>
      <c r="E1352" s="20">
        <v>922</v>
      </c>
      <c r="F1352" s="21" t="s">
        <v>1065</v>
      </c>
      <c r="G1352" s="20">
        <v>1833</v>
      </c>
      <c r="H1352" s="20">
        <v>2020</v>
      </c>
      <c r="I1352" s="19">
        <v>13809.913</v>
      </c>
      <c r="J1352" s="19">
        <v>13743.665000000001</v>
      </c>
      <c r="K1352" s="19">
        <v>12723.351000000001</v>
      </c>
      <c r="L1352" s="19">
        <v>11711.742</v>
      </c>
      <c r="M1352" s="19">
        <v>11947.597</v>
      </c>
      <c r="N1352" s="19">
        <v>13171.8</v>
      </c>
      <c r="O1352" s="19">
        <v>13407.673000000001</v>
      </c>
      <c r="P1352" s="19">
        <v>12104.664000000001</v>
      </c>
      <c r="Q1352" s="19">
        <v>10705.357</v>
      </c>
      <c r="R1352" s="19">
        <v>8959.732</v>
      </c>
      <c r="S1352" s="19">
        <v>7093.2</v>
      </c>
      <c r="T1352" s="19">
        <v>5674.1090000000004</v>
      </c>
      <c r="U1352" s="19">
        <v>4162.3890000000001</v>
      </c>
      <c r="V1352" s="19">
        <v>2965.4540000000002</v>
      </c>
      <c r="W1352" s="19">
        <v>1904.009</v>
      </c>
      <c r="X1352" s="19">
        <v>1228.4649999999999</v>
      </c>
      <c r="Y1352" s="19">
        <v>739.32600000000002</v>
      </c>
      <c r="Z1352" s="19">
        <v>314.495</v>
      </c>
      <c r="AA1352" s="19">
        <v>77.331000000000003</v>
      </c>
      <c r="AB1352" s="19">
        <v>11.62</v>
      </c>
      <c r="AC1352" s="19">
        <v>0.96799999999999997</v>
      </c>
    </row>
    <row r="1353" spans="1:29" ht="11.65" x14ac:dyDescent="0.35">
      <c r="A1353" s="12">
        <v>1336</v>
      </c>
      <c r="B1353" s="10" t="s">
        <v>1015</v>
      </c>
      <c r="C1353" s="11" t="s">
        <v>1113</v>
      </c>
      <c r="D1353" s="9"/>
      <c r="E1353" s="9">
        <v>51</v>
      </c>
      <c r="F1353" s="10" t="s">
        <v>1066</v>
      </c>
      <c r="G1353" s="9">
        <v>922</v>
      </c>
      <c r="H1353" s="9">
        <v>1950</v>
      </c>
      <c r="I1353" s="8">
        <v>73.040999999999997</v>
      </c>
      <c r="J1353" s="8">
        <v>51.277999999999999</v>
      </c>
      <c r="K1353" s="8">
        <v>93.709000000000003</v>
      </c>
      <c r="L1353" s="8">
        <v>76.022000000000006</v>
      </c>
      <c r="M1353" s="8">
        <v>80.195999999999998</v>
      </c>
      <c r="N1353" s="8">
        <v>36.271999999999998</v>
      </c>
      <c r="O1353" s="8">
        <v>19.875</v>
      </c>
      <c r="P1353" s="8">
        <v>31.303999999999998</v>
      </c>
      <c r="Q1353" s="8">
        <v>32.994</v>
      </c>
      <c r="R1353" s="8">
        <v>29.117000000000001</v>
      </c>
      <c r="S1353" s="8">
        <v>22.657</v>
      </c>
      <c r="T1353" s="8">
        <v>20.87</v>
      </c>
      <c r="U1353" s="8">
        <v>25.937000000000001</v>
      </c>
      <c r="V1353" s="8">
        <v>19.777000000000001</v>
      </c>
      <c r="W1353" s="8">
        <v>14.41</v>
      </c>
      <c r="X1353" s="8">
        <v>8.5459999999999994</v>
      </c>
      <c r="Y1353" s="8">
        <v>3.9129999999999998</v>
      </c>
      <c r="Z1353" s="8">
        <v>1.651</v>
      </c>
      <c r="AA1353" s="8">
        <v>0.49199999999999999</v>
      </c>
      <c r="AB1353" s="8">
        <v>9.6000000000000002E-2</v>
      </c>
      <c r="AC1353" s="8">
        <v>1.2E-2</v>
      </c>
    </row>
    <row r="1354" spans="1:29" ht="11.65" x14ac:dyDescent="0.35">
      <c r="A1354" s="12">
        <v>1337</v>
      </c>
      <c r="B1354" s="10" t="s">
        <v>1015</v>
      </c>
      <c r="C1354" s="11" t="s">
        <v>1113</v>
      </c>
      <c r="D1354" s="9"/>
      <c r="E1354" s="9">
        <v>51</v>
      </c>
      <c r="F1354" s="10" t="s">
        <v>1066</v>
      </c>
      <c r="G1354" s="9">
        <v>922</v>
      </c>
      <c r="H1354" s="9">
        <v>1955</v>
      </c>
      <c r="I1354" s="8">
        <v>120.801</v>
      </c>
      <c r="J1354" s="8">
        <v>74.751000000000005</v>
      </c>
      <c r="K1354" s="8">
        <v>53.222999999999999</v>
      </c>
      <c r="L1354" s="8">
        <v>95.781000000000006</v>
      </c>
      <c r="M1354" s="8">
        <v>77.941000000000003</v>
      </c>
      <c r="N1354" s="8">
        <v>81.33</v>
      </c>
      <c r="O1354" s="8">
        <v>36.978000000000002</v>
      </c>
      <c r="P1354" s="8">
        <v>20.332000000000001</v>
      </c>
      <c r="Q1354" s="8">
        <v>31.295999999999999</v>
      </c>
      <c r="R1354" s="8">
        <v>32.491999999999997</v>
      </c>
      <c r="S1354" s="8">
        <v>28.207000000000001</v>
      </c>
      <c r="T1354" s="8">
        <v>21.43</v>
      </c>
      <c r="U1354" s="8">
        <v>18.835999999999999</v>
      </c>
      <c r="V1354" s="8">
        <v>21.925999999999998</v>
      </c>
      <c r="W1354" s="8">
        <v>15.247</v>
      </c>
      <c r="X1354" s="8">
        <v>9.5670000000000002</v>
      </c>
      <c r="Y1354" s="8">
        <v>4.6390000000000002</v>
      </c>
      <c r="Z1354" s="8">
        <v>1.7190000000000001</v>
      </c>
      <c r="AA1354" s="8">
        <v>0.51300000000000001</v>
      </c>
      <c r="AB1354" s="8">
        <v>9.9000000000000005E-2</v>
      </c>
      <c r="AC1354" s="8">
        <v>1.2999999999999999E-2</v>
      </c>
    </row>
    <row r="1355" spans="1:29" ht="11.65" x14ac:dyDescent="0.35">
      <c r="A1355" s="12">
        <v>1338</v>
      </c>
      <c r="B1355" s="10" t="s">
        <v>1015</v>
      </c>
      <c r="C1355" s="11" t="s">
        <v>1113</v>
      </c>
      <c r="D1355" s="9"/>
      <c r="E1355" s="9">
        <v>51</v>
      </c>
      <c r="F1355" s="10" t="s">
        <v>1066</v>
      </c>
      <c r="G1355" s="9">
        <v>922</v>
      </c>
      <c r="H1355" s="9">
        <v>1960</v>
      </c>
      <c r="I1355" s="8">
        <v>165.32599999999999</v>
      </c>
      <c r="J1355" s="8">
        <v>123.961</v>
      </c>
      <c r="K1355" s="8">
        <v>77.349999999999994</v>
      </c>
      <c r="L1355" s="8">
        <v>55.491999999999997</v>
      </c>
      <c r="M1355" s="8">
        <v>98.012</v>
      </c>
      <c r="N1355" s="8">
        <v>80.046000000000006</v>
      </c>
      <c r="O1355" s="8">
        <v>82.641000000000005</v>
      </c>
      <c r="P1355" s="8">
        <v>37.927</v>
      </c>
      <c r="Q1355" s="8">
        <v>20.76</v>
      </c>
      <c r="R1355" s="8">
        <v>31.042000000000002</v>
      </c>
      <c r="S1355" s="8">
        <v>31.74</v>
      </c>
      <c r="T1355" s="8">
        <v>26.948</v>
      </c>
      <c r="U1355" s="8">
        <v>19.663</v>
      </c>
      <c r="V1355" s="8">
        <v>16.266999999999999</v>
      </c>
      <c r="W1355" s="8">
        <v>17.266999999999999</v>
      </c>
      <c r="X1355" s="8">
        <v>10.48</v>
      </c>
      <c r="Y1355" s="8">
        <v>5.2110000000000003</v>
      </c>
      <c r="Z1355" s="8">
        <v>2.157</v>
      </c>
      <c r="AA1355" s="8">
        <v>0.57999999999999996</v>
      </c>
      <c r="AB1355" s="8">
        <v>0.11600000000000001</v>
      </c>
      <c r="AC1355" s="8">
        <v>1.4999999999999999E-2</v>
      </c>
    </row>
    <row r="1356" spans="1:29" ht="11.65" x14ac:dyDescent="0.35">
      <c r="A1356" s="12">
        <v>1339</v>
      </c>
      <c r="B1356" s="10" t="s">
        <v>1015</v>
      </c>
      <c r="C1356" s="11" t="s">
        <v>1113</v>
      </c>
      <c r="D1356" s="9"/>
      <c r="E1356" s="9">
        <v>51</v>
      </c>
      <c r="F1356" s="10" t="s">
        <v>1066</v>
      </c>
      <c r="G1356" s="9">
        <v>922</v>
      </c>
      <c r="H1356" s="9">
        <v>1965</v>
      </c>
      <c r="I1356" s="8">
        <v>178.1</v>
      </c>
      <c r="J1356" s="8">
        <v>169.161</v>
      </c>
      <c r="K1356" s="8">
        <v>127.499</v>
      </c>
      <c r="L1356" s="8">
        <v>79.885999999999996</v>
      </c>
      <c r="M1356" s="8">
        <v>57.473999999999997</v>
      </c>
      <c r="N1356" s="8">
        <v>99.709000000000003</v>
      </c>
      <c r="O1356" s="8">
        <v>81.879000000000005</v>
      </c>
      <c r="P1356" s="8">
        <v>83.572000000000003</v>
      </c>
      <c r="Q1356" s="8">
        <v>38.448999999999998</v>
      </c>
      <c r="R1356" s="8">
        <v>20.917000000000002</v>
      </c>
      <c r="S1356" s="8">
        <v>30.381</v>
      </c>
      <c r="T1356" s="8">
        <v>30.382000000000001</v>
      </c>
      <c r="U1356" s="8">
        <v>24.802</v>
      </c>
      <c r="V1356" s="8">
        <v>17.134</v>
      </c>
      <c r="W1356" s="8">
        <v>13.15</v>
      </c>
      <c r="X1356" s="8">
        <v>12.153</v>
      </c>
      <c r="Y1356" s="8">
        <v>5.7460000000000004</v>
      </c>
      <c r="Z1356" s="8">
        <v>2.5640000000000001</v>
      </c>
      <c r="AA1356" s="8">
        <v>0.78800000000000003</v>
      </c>
      <c r="AB1356" s="8">
        <v>0.14499999999999999</v>
      </c>
      <c r="AC1356" s="8">
        <v>0.02</v>
      </c>
    </row>
    <row r="1357" spans="1:29" ht="11.65" x14ac:dyDescent="0.35">
      <c r="A1357" s="12">
        <v>1340</v>
      </c>
      <c r="B1357" s="10" t="s">
        <v>1015</v>
      </c>
      <c r="C1357" s="11" t="s">
        <v>1113</v>
      </c>
      <c r="D1357" s="9"/>
      <c r="E1357" s="9">
        <v>51</v>
      </c>
      <c r="F1357" s="10" t="s">
        <v>1066</v>
      </c>
      <c r="G1357" s="9">
        <v>922</v>
      </c>
      <c r="H1357" s="9">
        <v>1970</v>
      </c>
      <c r="I1357" s="8">
        <v>149.726</v>
      </c>
      <c r="J1357" s="8">
        <v>184.21600000000001</v>
      </c>
      <c r="K1357" s="8">
        <v>175.50299999999999</v>
      </c>
      <c r="L1357" s="8">
        <v>132.44300000000001</v>
      </c>
      <c r="M1357" s="8">
        <v>83.052999999999997</v>
      </c>
      <c r="N1357" s="8">
        <v>60.133000000000003</v>
      </c>
      <c r="O1357" s="8">
        <v>102.345</v>
      </c>
      <c r="P1357" s="8">
        <v>84.393000000000001</v>
      </c>
      <c r="Q1357" s="8">
        <v>85.025999999999996</v>
      </c>
      <c r="R1357" s="8">
        <v>39.145000000000003</v>
      </c>
      <c r="S1357" s="8">
        <v>21.15</v>
      </c>
      <c r="T1357" s="8">
        <v>29.632999999999999</v>
      </c>
      <c r="U1357" s="8">
        <v>28.536000000000001</v>
      </c>
      <c r="V1357" s="8">
        <v>22.071000000000002</v>
      </c>
      <c r="W1357" s="8">
        <v>14.179</v>
      </c>
      <c r="X1357" s="8">
        <v>9.6129999999999995</v>
      </c>
      <c r="Y1357" s="8">
        <v>6.64</v>
      </c>
      <c r="Z1357" s="8">
        <v>3.05</v>
      </c>
      <c r="AA1357" s="8">
        <v>1.0449999999999999</v>
      </c>
      <c r="AB1357" s="8">
        <v>0.22800000000000001</v>
      </c>
      <c r="AC1357" s="8">
        <v>0.03</v>
      </c>
    </row>
    <row r="1358" spans="1:29" ht="11.65" x14ac:dyDescent="0.35">
      <c r="A1358" s="12">
        <v>1341</v>
      </c>
      <c r="B1358" s="10" t="s">
        <v>1015</v>
      </c>
      <c r="C1358" s="11" t="s">
        <v>1113</v>
      </c>
      <c r="D1358" s="9"/>
      <c r="E1358" s="9">
        <v>51</v>
      </c>
      <c r="F1358" s="10" t="s">
        <v>1066</v>
      </c>
      <c r="G1358" s="9">
        <v>922</v>
      </c>
      <c r="H1358" s="9">
        <v>1975</v>
      </c>
      <c r="I1358" s="8">
        <v>153.84800000000001</v>
      </c>
      <c r="J1358" s="8">
        <v>156.28200000000001</v>
      </c>
      <c r="K1358" s="8">
        <v>186.791</v>
      </c>
      <c r="L1358" s="8">
        <v>175.143</v>
      </c>
      <c r="M1358" s="8">
        <v>133.04900000000001</v>
      </c>
      <c r="N1358" s="8">
        <v>87.022999999999996</v>
      </c>
      <c r="O1358" s="8">
        <v>63.213000000000001</v>
      </c>
      <c r="P1358" s="8">
        <v>103.895</v>
      </c>
      <c r="Q1358" s="8">
        <v>84.501000000000005</v>
      </c>
      <c r="R1358" s="8">
        <v>84.251000000000005</v>
      </c>
      <c r="S1358" s="8">
        <v>38.697000000000003</v>
      </c>
      <c r="T1358" s="8">
        <v>20.916</v>
      </c>
      <c r="U1358" s="8">
        <v>28.352</v>
      </c>
      <c r="V1358" s="8">
        <v>25.1</v>
      </c>
      <c r="W1358" s="8">
        <v>17.984999999999999</v>
      </c>
      <c r="X1358" s="8">
        <v>10.555999999999999</v>
      </c>
      <c r="Y1358" s="8">
        <v>6.0069999999999997</v>
      </c>
      <c r="Z1358" s="8">
        <v>3.6949999999999998</v>
      </c>
      <c r="AA1358" s="8">
        <v>1.33</v>
      </c>
      <c r="AB1358" s="8">
        <v>0.33200000000000002</v>
      </c>
      <c r="AC1358" s="8">
        <v>5.1999999999999998E-2</v>
      </c>
    </row>
    <row r="1359" spans="1:29" ht="11.65" x14ac:dyDescent="0.35">
      <c r="A1359" s="12">
        <v>1342</v>
      </c>
      <c r="B1359" s="10" t="s">
        <v>1015</v>
      </c>
      <c r="C1359" s="11" t="s">
        <v>1113</v>
      </c>
      <c r="D1359" s="9"/>
      <c r="E1359" s="9">
        <v>51</v>
      </c>
      <c r="F1359" s="10" t="s">
        <v>1066</v>
      </c>
      <c r="G1359" s="9">
        <v>922</v>
      </c>
      <c r="H1359" s="9">
        <v>1980</v>
      </c>
      <c r="I1359" s="8">
        <v>166.80500000000001</v>
      </c>
      <c r="J1359" s="8">
        <v>155.03</v>
      </c>
      <c r="K1359" s="8">
        <v>156.78299999999999</v>
      </c>
      <c r="L1359" s="8">
        <v>184.001</v>
      </c>
      <c r="M1359" s="8">
        <v>177.309</v>
      </c>
      <c r="N1359" s="8">
        <v>127.026</v>
      </c>
      <c r="O1359" s="8">
        <v>87.897999999999996</v>
      </c>
      <c r="P1359" s="8">
        <v>57.518999999999998</v>
      </c>
      <c r="Q1359" s="8">
        <v>100.46</v>
      </c>
      <c r="R1359" s="8">
        <v>82.292000000000002</v>
      </c>
      <c r="S1359" s="8">
        <v>83.64</v>
      </c>
      <c r="T1359" s="8">
        <v>39.968000000000004</v>
      </c>
      <c r="U1359" s="8">
        <v>19.512</v>
      </c>
      <c r="V1359" s="8">
        <v>24.42</v>
      </c>
      <c r="W1359" s="8">
        <v>20.91</v>
      </c>
      <c r="X1359" s="8">
        <v>13.711</v>
      </c>
      <c r="Y1359" s="8">
        <v>6.6420000000000003</v>
      </c>
      <c r="Z1359" s="8">
        <v>3.2509999999999999</v>
      </c>
      <c r="AA1359" s="8">
        <v>1.554</v>
      </c>
      <c r="AB1359" s="8">
        <v>0.40400000000000003</v>
      </c>
      <c r="AC1359" s="8">
        <v>7.2999999999999995E-2</v>
      </c>
    </row>
    <row r="1360" spans="1:29" ht="11.65" x14ac:dyDescent="0.35">
      <c r="A1360" s="12">
        <v>1343</v>
      </c>
      <c r="B1360" s="10" t="s">
        <v>1015</v>
      </c>
      <c r="C1360" s="11" t="s">
        <v>1113</v>
      </c>
      <c r="D1360" s="9"/>
      <c r="E1360" s="9">
        <v>51</v>
      </c>
      <c r="F1360" s="10" t="s">
        <v>1066</v>
      </c>
      <c r="G1360" s="9">
        <v>922</v>
      </c>
      <c r="H1360" s="9">
        <v>1985</v>
      </c>
      <c r="I1360" s="8">
        <v>189.047</v>
      </c>
      <c r="J1360" s="8">
        <v>164.006</v>
      </c>
      <c r="K1360" s="8">
        <v>155.614</v>
      </c>
      <c r="L1360" s="8">
        <v>154.18199999999999</v>
      </c>
      <c r="M1360" s="8">
        <v>172.345</v>
      </c>
      <c r="N1360" s="8">
        <v>166.52600000000001</v>
      </c>
      <c r="O1360" s="8">
        <v>124.318</v>
      </c>
      <c r="P1360" s="8">
        <v>84.975999999999999</v>
      </c>
      <c r="Q1360" s="8">
        <v>56.423999999999999</v>
      </c>
      <c r="R1360" s="8">
        <v>97.649000000000001</v>
      </c>
      <c r="S1360" s="8">
        <v>79.768000000000001</v>
      </c>
      <c r="T1360" s="8">
        <v>79.548000000000002</v>
      </c>
      <c r="U1360" s="8">
        <v>36.996000000000002</v>
      </c>
      <c r="V1360" s="8">
        <v>17.202999999999999</v>
      </c>
      <c r="W1360" s="8">
        <v>20.135999999999999</v>
      </c>
      <c r="X1360" s="8">
        <v>15.403</v>
      </c>
      <c r="Y1360" s="8">
        <v>8.7230000000000008</v>
      </c>
      <c r="Z1360" s="8">
        <v>3.581</v>
      </c>
      <c r="AA1360" s="8">
        <v>1.359</v>
      </c>
      <c r="AB1360" s="8">
        <v>0.46899999999999997</v>
      </c>
      <c r="AC1360" s="8">
        <v>0.09</v>
      </c>
    </row>
    <row r="1361" spans="1:29" ht="11.65" x14ac:dyDescent="0.35">
      <c r="A1361" s="12">
        <v>1344</v>
      </c>
      <c r="B1361" s="10" t="s">
        <v>1015</v>
      </c>
      <c r="C1361" s="11" t="s">
        <v>1113</v>
      </c>
      <c r="D1361" s="9"/>
      <c r="E1361" s="9">
        <v>51</v>
      </c>
      <c r="F1361" s="10" t="s">
        <v>1066</v>
      </c>
      <c r="G1361" s="9">
        <v>922</v>
      </c>
      <c r="H1361" s="9">
        <v>1990</v>
      </c>
      <c r="I1361" s="8">
        <v>197.35599999999999</v>
      </c>
      <c r="J1361" s="8">
        <v>182.86500000000001</v>
      </c>
      <c r="K1361" s="8">
        <v>159.10300000000001</v>
      </c>
      <c r="L1361" s="8">
        <v>144.16800000000001</v>
      </c>
      <c r="M1361" s="8">
        <v>140.71199999999999</v>
      </c>
      <c r="N1361" s="8">
        <v>161.738</v>
      </c>
      <c r="O1361" s="8">
        <v>161.05000000000001</v>
      </c>
      <c r="P1361" s="8">
        <v>120.262</v>
      </c>
      <c r="Q1361" s="8">
        <v>80.834999999999994</v>
      </c>
      <c r="R1361" s="8">
        <v>53.643000000000001</v>
      </c>
      <c r="S1361" s="8">
        <v>92.894999999999996</v>
      </c>
      <c r="T1361" s="8">
        <v>74.950999999999993</v>
      </c>
      <c r="U1361" s="8">
        <v>72.040999999999997</v>
      </c>
      <c r="V1361" s="8">
        <v>31.524000000000001</v>
      </c>
      <c r="W1361" s="8">
        <v>13.454000000000001</v>
      </c>
      <c r="X1361" s="8">
        <v>14.036</v>
      </c>
      <c r="Y1361" s="8">
        <v>8.3190000000000008</v>
      </c>
      <c r="Z1361" s="8">
        <v>4.22</v>
      </c>
      <c r="AA1361" s="8">
        <v>1.25</v>
      </c>
      <c r="AB1361" s="8">
        <v>0.314</v>
      </c>
      <c r="AC1361" s="8">
        <v>7.5999999999999998E-2</v>
      </c>
    </row>
    <row r="1362" spans="1:29" ht="11.65" x14ac:dyDescent="0.35">
      <c r="A1362" s="12">
        <v>1345</v>
      </c>
      <c r="B1362" s="10" t="s">
        <v>1015</v>
      </c>
      <c r="C1362" s="11" t="s">
        <v>1113</v>
      </c>
      <c r="D1362" s="9"/>
      <c r="E1362" s="9">
        <v>51</v>
      </c>
      <c r="F1362" s="10" t="s">
        <v>1066</v>
      </c>
      <c r="G1362" s="9">
        <v>922</v>
      </c>
      <c r="H1362" s="9">
        <v>1995</v>
      </c>
      <c r="I1362" s="8">
        <v>149.08699999999999</v>
      </c>
      <c r="J1362" s="8">
        <v>173.44399999999999</v>
      </c>
      <c r="K1362" s="8">
        <v>153.626</v>
      </c>
      <c r="L1362" s="8">
        <v>124.431</v>
      </c>
      <c r="M1362" s="8">
        <v>106.379</v>
      </c>
      <c r="N1362" s="8">
        <v>102.637</v>
      </c>
      <c r="O1362" s="8">
        <v>127.202</v>
      </c>
      <c r="P1362" s="8">
        <v>131.209</v>
      </c>
      <c r="Q1362" s="8">
        <v>98.346999999999994</v>
      </c>
      <c r="R1362" s="8">
        <v>64.863</v>
      </c>
      <c r="S1362" s="8">
        <v>42.546999999999997</v>
      </c>
      <c r="T1362" s="8">
        <v>81.046999999999997</v>
      </c>
      <c r="U1362" s="8">
        <v>62.837000000000003</v>
      </c>
      <c r="V1362" s="8">
        <v>59.427999999999997</v>
      </c>
      <c r="W1362" s="8">
        <v>23.658000000000001</v>
      </c>
      <c r="X1362" s="8">
        <v>9.2140000000000004</v>
      </c>
      <c r="Y1362" s="8">
        <v>8.3369999999999997</v>
      </c>
      <c r="Z1362" s="8">
        <v>3.9079999999999999</v>
      </c>
      <c r="AA1362" s="8">
        <v>1.462</v>
      </c>
      <c r="AB1362" s="8">
        <v>0.29499999999999998</v>
      </c>
      <c r="AC1362" s="8">
        <v>5.6000000000000001E-2</v>
      </c>
    </row>
    <row r="1363" spans="1:29" ht="11.65" x14ac:dyDescent="0.35">
      <c r="A1363" s="12">
        <v>1346</v>
      </c>
      <c r="B1363" s="10" t="s">
        <v>1015</v>
      </c>
      <c r="C1363" s="11" t="s">
        <v>1113</v>
      </c>
      <c r="D1363" s="9"/>
      <c r="E1363" s="9">
        <v>51</v>
      </c>
      <c r="F1363" s="10" t="s">
        <v>1066</v>
      </c>
      <c r="G1363" s="9">
        <v>922</v>
      </c>
      <c r="H1363" s="9">
        <v>2000</v>
      </c>
      <c r="I1363" s="8">
        <v>104.76600000000001</v>
      </c>
      <c r="J1363" s="8">
        <v>140.44800000000001</v>
      </c>
      <c r="K1363" s="8">
        <v>164.66</v>
      </c>
      <c r="L1363" s="8">
        <v>143.09399999999999</v>
      </c>
      <c r="M1363" s="8">
        <v>111.027</v>
      </c>
      <c r="N1363" s="8">
        <v>91.122</v>
      </c>
      <c r="O1363" s="8">
        <v>86.108000000000004</v>
      </c>
      <c r="P1363" s="8">
        <v>111.503</v>
      </c>
      <c r="Q1363" s="8">
        <v>116.01900000000001</v>
      </c>
      <c r="R1363" s="8">
        <v>86.694999999999993</v>
      </c>
      <c r="S1363" s="8">
        <v>55.527999999999999</v>
      </c>
      <c r="T1363" s="8">
        <v>35.459000000000003</v>
      </c>
      <c r="U1363" s="8">
        <v>70.024000000000001</v>
      </c>
      <c r="V1363" s="8">
        <v>50.933</v>
      </c>
      <c r="W1363" s="8">
        <v>45.899000000000001</v>
      </c>
      <c r="X1363" s="8">
        <v>16.538</v>
      </c>
      <c r="Y1363" s="8">
        <v>5.2030000000000003</v>
      </c>
      <c r="Z1363" s="8">
        <v>4.0389999999999997</v>
      </c>
      <c r="AA1363" s="8">
        <v>1.4279999999999999</v>
      </c>
      <c r="AB1363" s="8">
        <v>0.372</v>
      </c>
      <c r="AC1363" s="8">
        <v>5.5E-2</v>
      </c>
    </row>
    <row r="1364" spans="1:29" ht="11.65" x14ac:dyDescent="0.35">
      <c r="A1364" s="12">
        <v>1347</v>
      </c>
      <c r="B1364" s="10" t="s">
        <v>1015</v>
      </c>
      <c r="C1364" s="11" t="s">
        <v>1113</v>
      </c>
      <c r="D1364" s="9"/>
      <c r="E1364" s="9">
        <v>51</v>
      </c>
      <c r="F1364" s="10" t="s">
        <v>1066</v>
      </c>
      <c r="G1364" s="9">
        <v>922</v>
      </c>
      <c r="H1364" s="9">
        <v>2005</v>
      </c>
      <c r="I1364" s="8">
        <v>100.423</v>
      </c>
      <c r="J1364" s="8">
        <v>102.003</v>
      </c>
      <c r="K1364" s="8">
        <v>133.363</v>
      </c>
      <c r="L1364" s="8">
        <v>150.357</v>
      </c>
      <c r="M1364" s="8">
        <v>127.72199999999999</v>
      </c>
      <c r="N1364" s="8">
        <v>100.884</v>
      </c>
      <c r="O1364" s="8">
        <v>84.299000000000007</v>
      </c>
      <c r="P1364" s="8">
        <v>81.259</v>
      </c>
      <c r="Q1364" s="8">
        <v>103.705</v>
      </c>
      <c r="R1364" s="8">
        <v>108.09</v>
      </c>
      <c r="S1364" s="8">
        <v>78.960999999999999</v>
      </c>
      <c r="T1364" s="8">
        <v>52.552</v>
      </c>
      <c r="U1364" s="8">
        <v>31.925000000000001</v>
      </c>
      <c r="V1364" s="8">
        <v>60.643999999999998</v>
      </c>
      <c r="W1364" s="8">
        <v>39.951000000000001</v>
      </c>
      <c r="X1364" s="8">
        <v>32.270000000000003</v>
      </c>
      <c r="Y1364" s="8">
        <v>8.8460000000000001</v>
      </c>
      <c r="Z1364" s="8">
        <v>2.6080000000000001</v>
      </c>
      <c r="AA1364" s="8">
        <v>1.55</v>
      </c>
      <c r="AB1364" s="8">
        <v>0.38600000000000001</v>
      </c>
      <c r="AC1364" s="8">
        <v>7.1999999999999995E-2</v>
      </c>
    </row>
    <row r="1365" spans="1:29" ht="11.65" x14ac:dyDescent="0.35">
      <c r="A1365" s="12">
        <v>1348</v>
      </c>
      <c r="B1365" s="10" t="s">
        <v>1015</v>
      </c>
      <c r="C1365" s="11" t="s">
        <v>1113</v>
      </c>
      <c r="D1365" s="9"/>
      <c r="E1365" s="9">
        <v>51</v>
      </c>
      <c r="F1365" s="10" t="s">
        <v>1066</v>
      </c>
      <c r="G1365" s="9">
        <v>922</v>
      </c>
      <c r="H1365" s="9">
        <v>2010</v>
      </c>
      <c r="I1365" s="8">
        <v>107.36799999999999</v>
      </c>
      <c r="J1365" s="8">
        <v>94.093999999999994</v>
      </c>
      <c r="K1365" s="8">
        <v>97.628</v>
      </c>
      <c r="L1365" s="8">
        <v>121.279</v>
      </c>
      <c r="M1365" s="8">
        <v>130.87299999999999</v>
      </c>
      <c r="N1365" s="8">
        <v>112.3</v>
      </c>
      <c r="O1365" s="8">
        <v>90.635999999999996</v>
      </c>
      <c r="P1365" s="8">
        <v>77.275000000000006</v>
      </c>
      <c r="Q1365" s="8">
        <v>76.015000000000001</v>
      </c>
      <c r="R1365" s="8">
        <v>94.968000000000004</v>
      </c>
      <c r="S1365" s="8">
        <v>98.480999999999995</v>
      </c>
      <c r="T1365" s="8">
        <v>69.207999999999998</v>
      </c>
      <c r="U1365" s="8">
        <v>47.84</v>
      </c>
      <c r="V1365" s="8">
        <v>27.231000000000002</v>
      </c>
      <c r="W1365" s="8">
        <v>48.820999999999998</v>
      </c>
      <c r="X1365" s="8">
        <v>27.568999999999999</v>
      </c>
      <c r="Y1365" s="8">
        <v>18.68</v>
      </c>
      <c r="Z1365" s="8">
        <v>4.5350000000000001</v>
      </c>
      <c r="AA1365" s="8">
        <v>1.0329999999999999</v>
      </c>
      <c r="AB1365" s="8">
        <v>0.436</v>
      </c>
      <c r="AC1365" s="8">
        <v>8.1000000000000003E-2</v>
      </c>
    </row>
    <row r="1366" spans="1:29" ht="11.65" x14ac:dyDescent="0.35">
      <c r="A1366" s="12">
        <v>1349</v>
      </c>
      <c r="B1366" s="10" t="s">
        <v>1015</v>
      </c>
      <c r="C1366" s="11" t="s">
        <v>1113</v>
      </c>
      <c r="D1366" s="9"/>
      <c r="E1366" s="9">
        <v>51</v>
      </c>
      <c r="F1366" s="10" t="s">
        <v>1066</v>
      </c>
      <c r="G1366" s="9">
        <v>922</v>
      </c>
      <c r="H1366" s="9">
        <v>2015</v>
      </c>
      <c r="I1366" s="8">
        <v>114.129</v>
      </c>
      <c r="J1366" s="8">
        <v>106.30200000000001</v>
      </c>
      <c r="K1366" s="8">
        <v>93.286000000000001</v>
      </c>
      <c r="L1366" s="8">
        <v>96.691000000000003</v>
      </c>
      <c r="M1366" s="8">
        <v>114.919</v>
      </c>
      <c r="N1366" s="8">
        <v>129.25299999999999</v>
      </c>
      <c r="O1366" s="8">
        <v>110.736</v>
      </c>
      <c r="P1366" s="8">
        <v>89.105000000000004</v>
      </c>
      <c r="Q1366" s="8">
        <v>75.5</v>
      </c>
      <c r="R1366" s="8">
        <v>73.578000000000003</v>
      </c>
      <c r="S1366" s="8">
        <v>90.72</v>
      </c>
      <c r="T1366" s="8">
        <v>92.162999999999997</v>
      </c>
      <c r="U1366" s="8">
        <v>62.363999999999997</v>
      </c>
      <c r="V1366" s="8">
        <v>41.189</v>
      </c>
      <c r="W1366" s="8">
        <v>21.959</v>
      </c>
      <c r="X1366" s="8">
        <v>34.957999999999998</v>
      </c>
      <c r="Y1366" s="8">
        <v>16.768999999999998</v>
      </c>
      <c r="Z1366" s="8">
        <v>9.5220000000000002</v>
      </c>
      <c r="AA1366" s="8">
        <v>1.79</v>
      </c>
      <c r="AB1366" s="8">
        <v>0.3</v>
      </c>
      <c r="AC1366" s="8">
        <v>0.1</v>
      </c>
    </row>
    <row r="1367" spans="1:29" ht="11.65" x14ac:dyDescent="0.35">
      <c r="A1367" s="12">
        <v>1350</v>
      </c>
      <c r="B1367" s="10" t="s">
        <v>1015</v>
      </c>
      <c r="C1367" s="11" t="s">
        <v>1113</v>
      </c>
      <c r="D1367" s="9"/>
      <c r="E1367" s="9">
        <v>51</v>
      </c>
      <c r="F1367" s="10" t="s">
        <v>1066</v>
      </c>
      <c r="G1367" s="9">
        <v>922</v>
      </c>
      <c r="H1367" s="9">
        <v>2020</v>
      </c>
      <c r="I1367" s="8">
        <v>107.883</v>
      </c>
      <c r="J1367" s="8">
        <v>113.643</v>
      </c>
      <c r="K1367" s="8">
        <v>105.88800000000001</v>
      </c>
      <c r="L1367" s="8">
        <v>91.230999999999995</v>
      </c>
      <c r="M1367" s="8">
        <v>92.927000000000007</v>
      </c>
      <c r="N1367" s="8">
        <v>111.248</v>
      </c>
      <c r="O1367" s="8">
        <v>126.226</v>
      </c>
      <c r="P1367" s="8">
        <v>108.316</v>
      </c>
      <c r="Q1367" s="8">
        <v>86.905000000000001</v>
      </c>
      <c r="R1367" s="8">
        <v>73.106999999999999</v>
      </c>
      <c r="S1367" s="8">
        <v>70.400999999999996</v>
      </c>
      <c r="T1367" s="8">
        <v>85.257000000000005</v>
      </c>
      <c r="U1367" s="8">
        <v>84.195999999999998</v>
      </c>
      <c r="V1367" s="8">
        <v>54.591999999999999</v>
      </c>
      <c r="W1367" s="8">
        <v>33.795999999999999</v>
      </c>
      <c r="X1367" s="8">
        <v>15.945</v>
      </c>
      <c r="Y1367" s="8">
        <v>21.033000000000001</v>
      </c>
      <c r="Z1367" s="8">
        <v>7.8129999999999997</v>
      </c>
      <c r="AA1367" s="8">
        <v>2.9769999999999999</v>
      </c>
      <c r="AB1367" s="8">
        <v>0.32300000000000001</v>
      </c>
      <c r="AC1367" s="8">
        <v>0.04</v>
      </c>
    </row>
    <row r="1368" spans="1:29" ht="11.65" x14ac:dyDescent="0.35">
      <c r="A1368" s="12">
        <v>1351</v>
      </c>
      <c r="B1368" s="10" t="s">
        <v>1015</v>
      </c>
      <c r="C1368" s="11" t="s">
        <v>1114</v>
      </c>
      <c r="D1368" s="9">
        <v>4</v>
      </c>
      <c r="E1368" s="9">
        <v>31</v>
      </c>
      <c r="F1368" s="10" t="s">
        <v>1066</v>
      </c>
      <c r="G1368" s="9">
        <v>922</v>
      </c>
      <c r="H1368" s="9">
        <v>1950</v>
      </c>
      <c r="I1368" s="8">
        <v>178.47800000000001</v>
      </c>
      <c r="J1368" s="8">
        <v>127.8</v>
      </c>
      <c r="K1368" s="8">
        <v>190.96100000000001</v>
      </c>
      <c r="L1368" s="8">
        <v>180.21</v>
      </c>
      <c r="M1368" s="8">
        <v>164.24199999999999</v>
      </c>
      <c r="N1368" s="8">
        <v>81.606999999999999</v>
      </c>
      <c r="O1368" s="8">
        <v>49.165999999999997</v>
      </c>
      <c r="P1368" s="8">
        <v>67.983000000000004</v>
      </c>
      <c r="Q1368" s="8">
        <v>61.56</v>
      </c>
      <c r="R1368" s="8">
        <v>50.530999999999999</v>
      </c>
      <c r="S1368" s="8">
        <v>51.558</v>
      </c>
      <c r="T1368" s="8">
        <v>37.97</v>
      </c>
      <c r="U1368" s="8">
        <v>41.944000000000003</v>
      </c>
      <c r="V1368" s="8">
        <v>34.003</v>
      </c>
      <c r="W1368" s="8">
        <v>25.663</v>
      </c>
      <c r="X1368" s="8">
        <v>15.347</v>
      </c>
      <c r="Y1368" s="8">
        <v>7.4320000000000004</v>
      </c>
      <c r="Z1368" s="8">
        <v>3.5019999999999998</v>
      </c>
      <c r="AA1368" s="8">
        <v>1.8340000000000001</v>
      </c>
      <c r="AB1368" s="8">
        <v>0.156</v>
      </c>
      <c r="AC1368" s="8">
        <v>1.7000000000000001E-2</v>
      </c>
    </row>
    <row r="1369" spans="1:29" ht="11.65" x14ac:dyDescent="0.35">
      <c r="A1369" s="12">
        <v>1352</v>
      </c>
      <c r="B1369" s="10" t="s">
        <v>1015</v>
      </c>
      <c r="C1369" s="11" t="s">
        <v>1114</v>
      </c>
      <c r="D1369" s="9">
        <v>4</v>
      </c>
      <c r="E1369" s="9">
        <v>31</v>
      </c>
      <c r="F1369" s="10" t="s">
        <v>1066</v>
      </c>
      <c r="G1369" s="9">
        <v>922</v>
      </c>
      <c r="H1369" s="9">
        <v>1955</v>
      </c>
      <c r="I1369" s="8">
        <v>274.01900000000001</v>
      </c>
      <c r="J1369" s="8">
        <v>170.82900000000001</v>
      </c>
      <c r="K1369" s="8">
        <v>126.746</v>
      </c>
      <c r="L1369" s="8">
        <v>189.441</v>
      </c>
      <c r="M1369" s="8">
        <v>177.66200000000001</v>
      </c>
      <c r="N1369" s="8">
        <v>161.68799999999999</v>
      </c>
      <c r="O1369" s="8">
        <v>80.468000000000004</v>
      </c>
      <c r="P1369" s="8">
        <v>48.423000000000002</v>
      </c>
      <c r="Q1369" s="8">
        <v>66.664000000000001</v>
      </c>
      <c r="R1369" s="8">
        <v>59.771000000000001</v>
      </c>
      <c r="S1369" s="8">
        <v>48.281999999999996</v>
      </c>
      <c r="T1369" s="8">
        <v>48.006999999999998</v>
      </c>
      <c r="U1369" s="8">
        <v>33.868000000000002</v>
      </c>
      <c r="V1369" s="8">
        <v>35.216000000000001</v>
      </c>
      <c r="W1369" s="8">
        <v>25.972000000000001</v>
      </c>
      <c r="X1369" s="8">
        <v>16.631</v>
      </c>
      <c r="Y1369" s="8">
        <v>7.7489999999999997</v>
      </c>
      <c r="Z1369" s="8">
        <v>2.64</v>
      </c>
      <c r="AA1369" s="8">
        <v>0.79</v>
      </c>
      <c r="AB1369" s="8">
        <v>0.28599999999999998</v>
      </c>
      <c r="AC1369" s="8">
        <v>1.7999999999999999E-2</v>
      </c>
    </row>
    <row r="1370" spans="1:29" ht="11.65" x14ac:dyDescent="0.35">
      <c r="A1370" s="12">
        <v>1353</v>
      </c>
      <c r="B1370" s="10" t="s">
        <v>1015</v>
      </c>
      <c r="C1370" s="11" t="s">
        <v>1114</v>
      </c>
      <c r="D1370" s="9">
        <v>4</v>
      </c>
      <c r="E1370" s="9">
        <v>31</v>
      </c>
      <c r="F1370" s="10" t="s">
        <v>1066</v>
      </c>
      <c r="G1370" s="9">
        <v>922</v>
      </c>
      <c r="H1370" s="9">
        <v>1960</v>
      </c>
      <c r="I1370" s="8">
        <v>358.18200000000002</v>
      </c>
      <c r="J1370" s="8">
        <v>263.81700000000001</v>
      </c>
      <c r="K1370" s="8">
        <v>169.63800000000001</v>
      </c>
      <c r="L1370" s="8">
        <v>125.889</v>
      </c>
      <c r="M1370" s="8">
        <v>187.15299999999999</v>
      </c>
      <c r="N1370" s="8">
        <v>175.29499999999999</v>
      </c>
      <c r="O1370" s="8">
        <v>159.744</v>
      </c>
      <c r="P1370" s="8">
        <v>79.411000000000001</v>
      </c>
      <c r="Q1370" s="8">
        <v>47.597000000000001</v>
      </c>
      <c r="R1370" s="8">
        <v>64.935000000000002</v>
      </c>
      <c r="S1370" s="8">
        <v>57.359000000000002</v>
      </c>
      <c r="T1370" s="8">
        <v>45.222999999999999</v>
      </c>
      <c r="U1370" s="8">
        <v>43.176000000000002</v>
      </c>
      <c r="V1370" s="8">
        <v>28.763000000000002</v>
      </c>
      <c r="W1370" s="8">
        <v>27.343</v>
      </c>
      <c r="X1370" s="8">
        <v>17.254999999999999</v>
      </c>
      <c r="Y1370" s="8">
        <v>8.7159999999999993</v>
      </c>
      <c r="Z1370" s="8">
        <v>2.91</v>
      </c>
      <c r="AA1370" s="8">
        <v>0.64400000000000002</v>
      </c>
      <c r="AB1370" s="8">
        <v>0.13400000000000001</v>
      </c>
      <c r="AC1370" s="8">
        <v>3.4000000000000002E-2</v>
      </c>
    </row>
    <row r="1371" spans="1:29" ht="11.65" x14ac:dyDescent="0.35">
      <c r="A1371" s="12">
        <v>1354</v>
      </c>
      <c r="B1371" s="10" t="s">
        <v>1015</v>
      </c>
      <c r="C1371" s="11" t="s">
        <v>1114</v>
      </c>
      <c r="D1371" s="9">
        <v>4</v>
      </c>
      <c r="E1371" s="9">
        <v>31</v>
      </c>
      <c r="F1371" s="10" t="s">
        <v>1066</v>
      </c>
      <c r="G1371" s="9">
        <v>922</v>
      </c>
      <c r="H1371" s="9">
        <v>1965</v>
      </c>
      <c r="I1371" s="8">
        <v>429.65699999999998</v>
      </c>
      <c r="J1371" s="8">
        <v>346.572</v>
      </c>
      <c r="K1371" s="8">
        <v>262.14299999999997</v>
      </c>
      <c r="L1371" s="8">
        <v>168.6</v>
      </c>
      <c r="M1371" s="8">
        <v>124.52800000000001</v>
      </c>
      <c r="N1371" s="8">
        <v>184.88200000000001</v>
      </c>
      <c r="O1371" s="8">
        <v>173.297</v>
      </c>
      <c r="P1371" s="8">
        <v>157.684</v>
      </c>
      <c r="Q1371" s="8">
        <v>78.057000000000002</v>
      </c>
      <c r="R1371" s="8">
        <v>46.353999999999999</v>
      </c>
      <c r="S1371" s="8">
        <v>62.265999999999998</v>
      </c>
      <c r="T1371" s="8">
        <v>53.639000000000003</v>
      </c>
      <c r="U1371" s="8">
        <v>40.607999999999997</v>
      </c>
      <c r="V1371" s="8">
        <v>36.637</v>
      </c>
      <c r="W1371" s="8">
        <v>22.352</v>
      </c>
      <c r="X1371" s="8">
        <v>18.260999999999999</v>
      </c>
      <c r="Y1371" s="8">
        <v>9.2539999999999996</v>
      </c>
      <c r="Z1371" s="8">
        <v>3.411</v>
      </c>
      <c r="AA1371" s="8">
        <v>0.72699999999999998</v>
      </c>
      <c r="AB1371" s="8">
        <v>0.109</v>
      </c>
      <c r="AC1371" s="8">
        <v>1.7000000000000001E-2</v>
      </c>
    </row>
    <row r="1372" spans="1:29" ht="11.65" x14ac:dyDescent="0.35">
      <c r="A1372" s="12">
        <v>1355</v>
      </c>
      <c r="B1372" s="10" t="s">
        <v>1015</v>
      </c>
      <c r="C1372" s="11" t="s">
        <v>1114</v>
      </c>
      <c r="D1372" s="9">
        <v>4</v>
      </c>
      <c r="E1372" s="9">
        <v>31</v>
      </c>
      <c r="F1372" s="10" t="s">
        <v>1066</v>
      </c>
      <c r="G1372" s="9">
        <v>922</v>
      </c>
      <c r="H1372" s="9">
        <v>1970</v>
      </c>
      <c r="I1372" s="8">
        <v>398.339</v>
      </c>
      <c r="J1372" s="8">
        <v>417.73</v>
      </c>
      <c r="K1372" s="8">
        <v>344.601</v>
      </c>
      <c r="L1372" s="8">
        <v>260.70999999999998</v>
      </c>
      <c r="M1372" s="8">
        <v>156.989</v>
      </c>
      <c r="N1372" s="8">
        <v>113.16200000000001</v>
      </c>
      <c r="O1372" s="8">
        <v>182.893</v>
      </c>
      <c r="P1372" s="8">
        <v>171.1</v>
      </c>
      <c r="Q1372" s="8">
        <v>154.994</v>
      </c>
      <c r="R1372" s="8">
        <v>76.007999999999996</v>
      </c>
      <c r="S1372" s="8">
        <v>44.414999999999999</v>
      </c>
      <c r="T1372" s="8">
        <v>58.137999999999998</v>
      </c>
      <c r="U1372" s="8">
        <v>48.087000000000003</v>
      </c>
      <c r="V1372" s="8">
        <v>34.426000000000002</v>
      </c>
      <c r="W1372" s="8">
        <v>28.5</v>
      </c>
      <c r="X1372" s="8">
        <v>15.01</v>
      </c>
      <c r="Y1372" s="8">
        <v>10.026</v>
      </c>
      <c r="Z1372" s="8">
        <v>3.7749999999999999</v>
      </c>
      <c r="AA1372" s="8">
        <v>0.876</v>
      </c>
      <c r="AB1372" s="8">
        <v>0.124</v>
      </c>
      <c r="AC1372" s="8">
        <v>1.2E-2</v>
      </c>
    </row>
    <row r="1373" spans="1:29" ht="11.65" x14ac:dyDescent="0.35">
      <c r="A1373" s="12">
        <v>1356</v>
      </c>
      <c r="B1373" s="10" t="s">
        <v>1015</v>
      </c>
      <c r="C1373" s="11" t="s">
        <v>1114</v>
      </c>
      <c r="D1373" s="9">
        <v>4</v>
      </c>
      <c r="E1373" s="9">
        <v>31</v>
      </c>
      <c r="F1373" s="10" t="s">
        <v>1066</v>
      </c>
      <c r="G1373" s="9">
        <v>922</v>
      </c>
      <c r="H1373" s="9">
        <v>1975</v>
      </c>
      <c r="I1373" s="8">
        <v>360.529</v>
      </c>
      <c r="J1373" s="8">
        <v>389.572</v>
      </c>
      <c r="K1373" s="8">
        <v>415.62</v>
      </c>
      <c r="L1373" s="8">
        <v>342.93700000000001</v>
      </c>
      <c r="M1373" s="8">
        <v>244.48699999999999</v>
      </c>
      <c r="N1373" s="8">
        <v>149.99100000000001</v>
      </c>
      <c r="O1373" s="8">
        <v>113.426</v>
      </c>
      <c r="P1373" s="8">
        <v>183.04400000000001</v>
      </c>
      <c r="Q1373" s="8">
        <v>164.45699999999999</v>
      </c>
      <c r="R1373" s="8">
        <v>145.88999999999999</v>
      </c>
      <c r="S1373" s="8">
        <v>70.87</v>
      </c>
      <c r="T1373" s="8">
        <v>40.743000000000002</v>
      </c>
      <c r="U1373" s="8">
        <v>50.572000000000003</v>
      </c>
      <c r="V1373" s="8">
        <v>39.881</v>
      </c>
      <c r="W1373" s="8">
        <v>27.367000000000001</v>
      </c>
      <c r="X1373" s="8">
        <v>19.244</v>
      </c>
      <c r="Y1373" s="8">
        <v>8.4329999999999998</v>
      </c>
      <c r="Z1373" s="8">
        <v>4.2619999999999996</v>
      </c>
      <c r="AA1373" s="8">
        <v>0.996</v>
      </c>
      <c r="AB1373" s="8">
        <v>0.15</v>
      </c>
      <c r="AC1373" s="8">
        <v>1.0999999999999999E-2</v>
      </c>
    </row>
    <row r="1374" spans="1:29" ht="11.65" x14ac:dyDescent="0.35">
      <c r="A1374" s="12">
        <v>1357</v>
      </c>
      <c r="B1374" s="10" t="s">
        <v>1015</v>
      </c>
      <c r="C1374" s="11" t="s">
        <v>1114</v>
      </c>
      <c r="D1374" s="9">
        <v>4</v>
      </c>
      <c r="E1374" s="9">
        <v>31</v>
      </c>
      <c r="F1374" s="10" t="s">
        <v>1066</v>
      </c>
      <c r="G1374" s="9">
        <v>922</v>
      </c>
      <c r="H1374" s="9">
        <v>1980</v>
      </c>
      <c r="I1374" s="8">
        <v>356.83</v>
      </c>
      <c r="J1374" s="8">
        <v>352.44400000000002</v>
      </c>
      <c r="K1374" s="8">
        <v>387.85399999999998</v>
      </c>
      <c r="L1374" s="8">
        <v>413.87400000000002</v>
      </c>
      <c r="M1374" s="8">
        <v>340.52199999999999</v>
      </c>
      <c r="N1374" s="8">
        <v>228.321</v>
      </c>
      <c r="O1374" s="8">
        <v>143.10400000000001</v>
      </c>
      <c r="P1374" s="8">
        <v>113.447</v>
      </c>
      <c r="Q1374" s="8">
        <v>182.35599999999999</v>
      </c>
      <c r="R1374" s="8">
        <v>156.36199999999999</v>
      </c>
      <c r="S1374" s="8">
        <v>134.553</v>
      </c>
      <c r="T1374" s="8">
        <v>64.06</v>
      </c>
      <c r="U1374" s="8">
        <v>35.741</v>
      </c>
      <c r="V1374" s="8">
        <v>41.326000000000001</v>
      </c>
      <c r="W1374" s="8">
        <v>30.222000000000001</v>
      </c>
      <c r="X1374" s="8">
        <v>19.117000000000001</v>
      </c>
      <c r="Y1374" s="8">
        <v>11.073</v>
      </c>
      <c r="Z1374" s="8">
        <v>3.7320000000000002</v>
      </c>
      <c r="AA1374" s="8">
        <v>1.169</v>
      </c>
      <c r="AB1374" s="8">
        <v>0.17799999999999999</v>
      </c>
      <c r="AC1374" s="8">
        <v>1.4E-2</v>
      </c>
    </row>
    <row r="1375" spans="1:29" ht="11.65" x14ac:dyDescent="0.35">
      <c r="A1375" s="12">
        <v>1358</v>
      </c>
      <c r="B1375" s="10" t="s">
        <v>1015</v>
      </c>
      <c r="C1375" s="11" t="s">
        <v>1114</v>
      </c>
      <c r="D1375" s="9">
        <v>4</v>
      </c>
      <c r="E1375" s="9">
        <v>31</v>
      </c>
      <c r="F1375" s="10" t="s">
        <v>1066</v>
      </c>
      <c r="G1375" s="9">
        <v>922</v>
      </c>
      <c r="H1375" s="9">
        <v>1985</v>
      </c>
      <c r="I1375" s="8">
        <v>409.60399999999998</v>
      </c>
      <c r="J1375" s="8">
        <v>348.95699999999999</v>
      </c>
      <c r="K1375" s="8">
        <v>351.11599999999999</v>
      </c>
      <c r="L1375" s="8">
        <v>371.59699999999998</v>
      </c>
      <c r="M1375" s="8">
        <v>383.89600000000002</v>
      </c>
      <c r="N1375" s="8">
        <v>323.90199999999999</v>
      </c>
      <c r="O1375" s="8">
        <v>224.31299999999999</v>
      </c>
      <c r="P1375" s="8">
        <v>136.19399999999999</v>
      </c>
      <c r="Q1375" s="8">
        <v>110.675</v>
      </c>
      <c r="R1375" s="8">
        <v>176.34399999999999</v>
      </c>
      <c r="S1375" s="8">
        <v>151.214</v>
      </c>
      <c r="T1375" s="8">
        <v>123.54600000000001</v>
      </c>
      <c r="U1375" s="8">
        <v>57.045000000000002</v>
      </c>
      <c r="V1375" s="8">
        <v>30.061</v>
      </c>
      <c r="W1375" s="8">
        <v>31.9</v>
      </c>
      <c r="X1375" s="8">
        <v>20.396999999999998</v>
      </c>
      <c r="Y1375" s="8">
        <v>11.257</v>
      </c>
      <c r="Z1375" s="8">
        <v>5.0940000000000003</v>
      </c>
      <c r="AA1375" s="8">
        <v>1.0609999999999999</v>
      </c>
      <c r="AB1375" s="8">
        <v>0.215</v>
      </c>
      <c r="AC1375" s="8">
        <v>1.6E-2</v>
      </c>
    </row>
    <row r="1376" spans="1:29" ht="11.65" x14ac:dyDescent="0.35">
      <c r="A1376" s="12">
        <v>1359</v>
      </c>
      <c r="B1376" s="10" t="s">
        <v>1015</v>
      </c>
      <c r="C1376" s="11" t="s">
        <v>1114</v>
      </c>
      <c r="D1376" s="9">
        <v>4</v>
      </c>
      <c r="E1376" s="9">
        <v>31</v>
      </c>
      <c r="F1376" s="10" t="s">
        <v>1066</v>
      </c>
      <c r="G1376" s="9">
        <v>922</v>
      </c>
      <c r="H1376" s="9">
        <v>1990</v>
      </c>
      <c r="I1376" s="8">
        <v>480.608</v>
      </c>
      <c r="J1376" s="8">
        <v>401.57299999999998</v>
      </c>
      <c r="K1376" s="8">
        <v>347.86399999999998</v>
      </c>
      <c r="L1376" s="8">
        <v>350.09</v>
      </c>
      <c r="M1376" s="8">
        <v>315.03800000000001</v>
      </c>
      <c r="N1376" s="8">
        <v>353.91399999999999</v>
      </c>
      <c r="O1376" s="8">
        <v>307.13799999999998</v>
      </c>
      <c r="P1376" s="8">
        <v>219.69</v>
      </c>
      <c r="Q1376" s="8">
        <v>128.68100000000001</v>
      </c>
      <c r="R1376" s="8">
        <v>106.86199999999999</v>
      </c>
      <c r="S1376" s="8">
        <v>167.29900000000001</v>
      </c>
      <c r="T1376" s="8">
        <v>142.041</v>
      </c>
      <c r="U1376" s="8">
        <v>108.535</v>
      </c>
      <c r="V1376" s="8">
        <v>48.079000000000001</v>
      </c>
      <c r="W1376" s="8">
        <v>23.303000000000001</v>
      </c>
      <c r="X1376" s="8">
        <v>21.527000000000001</v>
      </c>
      <c r="Y1376" s="8">
        <v>12.11</v>
      </c>
      <c r="Z1376" s="8">
        <v>5.3849999999999998</v>
      </c>
      <c r="AA1376" s="8">
        <v>1.494</v>
      </c>
      <c r="AB1376" s="8">
        <v>0.19700000000000001</v>
      </c>
      <c r="AC1376" s="8">
        <v>1.9E-2</v>
      </c>
    </row>
    <row r="1377" spans="1:29" ht="11.65" x14ac:dyDescent="0.35">
      <c r="A1377" s="12">
        <v>1360</v>
      </c>
      <c r="B1377" s="10" t="s">
        <v>1015</v>
      </c>
      <c r="C1377" s="11" t="s">
        <v>1114</v>
      </c>
      <c r="D1377" s="9">
        <v>4</v>
      </c>
      <c r="E1377" s="9">
        <v>31</v>
      </c>
      <c r="F1377" s="10" t="s">
        <v>1066</v>
      </c>
      <c r="G1377" s="9">
        <v>922</v>
      </c>
      <c r="H1377" s="9">
        <v>1995</v>
      </c>
      <c r="I1377" s="8">
        <v>460.37299999999999</v>
      </c>
      <c r="J1377" s="8">
        <v>473.62700000000001</v>
      </c>
      <c r="K1377" s="8">
        <v>401.34300000000002</v>
      </c>
      <c r="L1377" s="8">
        <v>331.36599999999999</v>
      </c>
      <c r="M1377" s="8">
        <v>327.012</v>
      </c>
      <c r="N1377" s="8">
        <v>313.25200000000001</v>
      </c>
      <c r="O1377" s="8">
        <v>346.22</v>
      </c>
      <c r="P1377" s="8">
        <v>294.51499999999999</v>
      </c>
      <c r="Q1377" s="8">
        <v>207.441</v>
      </c>
      <c r="R1377" s="8">
        <v>120.033</v>
      </c>
      <c r="S1377" s="8">
        <v>97.293999999999997</v>
      </c>
      <c r="T1377" s="8">
        <v>148.51499999999999</v>
      </c>
      <c r="U1377" s="8">
        <v>120.654</v>
      </c>
      <c r="V1377" s="8">
        <v>85.715000000000003</v>
      </c>
      <c r="W1377" s="8">
        <v>36.296999999999997</v>
      </c>
      <c r="X1377" s="8">
        <v>15.077</v>
      </c>
      <c r="Y1377" s="8">
        <v>11.776</v>
      </c>
      <c r="Z1377" s="8">
        <v>5.1879999999999997</v>
      </c>
      <c r="AA1377" s="8">
        <v>1.391</v>
      </c>
      <c r="AB1377" s="8">
        <v>0.224</v>
      </c>
      <c r="AC1377" s="8">
        <v>1.7999999999999999E-2</v>
      </c>
    </row>
    <row r="1378" spans="1:29" ht="11.65" x14ac:dyDescent="0.35">
      <c r="A1378" s="12">
        <v>1361</v>
      </c>
      <c r="B1378" s="10" t="s">
        <v>1015</v>
      </c>
      <c r="C1378" s="11" t="s">
        <v>1114</v>
      </c>
      <c r="D1378" s="9">
        <v>4</v>
      </c>
      <c r="E1378" s="9">
        <v>31</v>
      </c>
      <c r="F1378" s="10" t="s">
        <v>1066</v>
      </c>
      <c r="G1378" s="9">
        <v>922</v>
      </c>
      <c r="H1378" s="9">
        <v>2000</v>
      </c>
      <c r="I1378" s="8">
        <v>376.06799999999998</v>
      </c>
      <c r="J1378" s="8">
        <v>456.62700000000001</v>
      </c>
      <c r="K1378" s="8">
        <v>474.07100000000003</v>
      </c>
      <c r="L1378" s="8">
        <v>400.863</v>
      </c>
      <c r="M1378" s="8">
        <v>314.87200000000001</v>
      </c>
      <c r="N1378" s="8">
        <v>306.16699999999997</v>
      </c>
      <c r="O1378" s="8">
        <v>313.24700000000001</v>
      </c>
      <c r="P1378" s="8">
        <v>338.98099999999999</v>
      </c>
      <c r="Q1378" s="8">
        <v>280.96499999999997</v>
      </c>
      <c r="R1378" s="8">
        <v>193.166</v>
      </c>
      <c r="S1378" s="8">
        <v>109.05500000000001</v>
      </c>
      <c r="T1378" s="8">
        <v>85.394999999999996</v>
      </c>
      <c r="U1378" s="8">
        <v>126.36199999999999</v>
      </c>
      <c r="V1378" s="8">
        <v>97.078999999999994</v>
      </c>
      <c r="W1378" s="8">
        <v>61.469000000000001</v>
      </c>
      <c r="X1378" s="8">
        <v>23.399000000000001</v>
      </c>
      <c r="Y1378" s="8">
        <v>7.4640000000000004</v>
      </c>
      <c r="Z1378" s="8">
        <v>4.66</v>
      </c>
      <c r="AA1378" s="8">
        <v>1.3180000000000001</v>
      </c>
      <c r="AB1378" s="8">
        <v>0.20699999999999999</v>
      </c>
      <c r="AC1378" s="8">
        <v>0.02</v>
      </c>
    </row>
    <row r="1379" spans="1:29" ht="11.65" x14ac:dyDescent="0.35">
      <c r="A1379" s="12">
        <v>1362</v>
      </c>
      <c r="B1379" s="10" t="s">
        <v>1015</v>
      </c>
      <c r="C1379" s="11" t="s">
        <v>1114</v>
      </c>
      <c r="D1379" s="9">
        <v>4</v>
      </c>
      <c r="E1379" s="9">
        <v>31</v>
      </c>
      <c r="F1379" s="10" t="s">
        <v>1066</v>
      </c>
      <c r="G1379" s="9">
        <v>922</v>
      </c>
      <c r="H1379" s="9">
        <v>2005</v>
      </c>
      <c r="I1379" s="8">
        <v>345.39</v>
      </c>
      <c r="J1379" s="8">
        <v>372.02</v>
      </c>
      <c r="K1379" s="8">
        <v>455.13799999999998</v>
      </c>
      <c r="L1379" s="8">
        <v>471.97699999999998</v>
      </c>
      <c r="M1379" s="8">
        <v>409.17500000000001</v>
      </c>
      <c r="N1379" s="8">
        <v>324.536</v>
      </c>
      <c r="O1379" s="8">
        <v>305.74900000000002</v>
      </c>
      <c r="P1379" s="8">
        <v>312.80700000000002</v>
      </c>
      <c r="Q1379" s="8">
        <v>336.93</v>
      </c>
      <c r="R1379" s="8">
        <v>273.77199999999999</v>
      </c>
      <c r="S1379" s="8">
        <v>184.80500000000001</v>
      </c>
      <c r="T1379" s="8">
        <v>101.857</v>
      </c>
      <c r="U1379" s="8">
        <v>76.03</v>
      </c>
      <c r="V1379" s="8">
        <v>104.629</v>
      </c>
      <c r="W1379" s="8">
        <v>74.424000000000007</v>
      </c>
      <c r="X1379" s="8">
        <v>40.435000000000002</v>
      </c>
      <c r="Y1379" s="8">
        <v>12.837</v>
      </c>
      <c r="Z1379" s="8">
        <v>2.9239999999999999</v>
      </c>
      <c r="AA1379" s="8">
        <v>1.167</v>
      </c>
      <c r="AB1379" s="8">
        <v>0.189</v>
      </c>
      <c r="AC1379" s="8">
        <v>1.7999999999999999E-2</v>
      </c>
    </row>
    <row r="1380" spans="1:29" ht="11.65" x14ac:dyDescent="0.35">
      <c r="A1380" s="12">
        <v>1363</v>
      </c>
      <c r="B1380" s="10" t="s">
        <v>1015</v>
      </c>
      <c r="C1380" s="11" t="s">
        <v>1114</v>
      </c>
      <c r="D1380" s="9">
        <v>4</v>
      </c>
      <c r="E1380" s="9">
        <v>31</v>
      </c>
      <c r="F1380" s="10" t="s">
        <v>1066</v>
      </c>
      <c r="G1380" s="9">
        <v>922</v>
      </c>
      <c r="H1380" s="9">
        <v>2010</v>
      </c>
      <c r="I1380" s="8">
        <v>376.935</v>
      </c>
      <c r="J1380" s="8">
        <v>343.01</v>
      </c>
      <c r="K1380" s="8">
        <v>379.976</v>
      </c>
      <c r="L1380" s="8">
        <v>453.76900000000001</v>
      </c>
      <c r="M1380" s="8">
        <v>469.56599999999997</v>
      </c>
      <c r="N1380" s="8">
        <v>417.59100000000001</v>
      </c>
      <c r="O1380" s="8">
        <v>334.04700000000003</v>
      </c>
      <c r="P1380" s="8">
        <v>304.97899999999998</v>
      </c>
      <c r="Q1380" s="8">
        <v>311.75299999999999</v>
      </c>
      <c r="R1380" s="8">
        <v>333.59800000000001</v>
      </c>
      <c r="S1380" s="8">
        <v>264.19499999999999</v>
      </c>
      <c r="T1380" s="8">
        <v>172.78899999999999</v>
      </c>
      <c r="U1380" s="8">
        <v>91.707999999999998</v>
      </c>
      <c r="V1380" s="8">
        <v>64.156999999999996</v>
      </c>
      <c r="W1380" s="8">
        <v>79.400999999999996</v>
      </c>
      <c r="X1380" s="8">
        <v>49.963999999999999</v>
      </c>
      <c r="Y1380" s="8">
        <v>21.535</v>
      </c>
      <c r="Z1380" s="8">
        <v>5.1509999999999998</v>
      </c>
      <c r="AA1380" s="8">
        <v>0.76700000000000002</v>
      </c>
      <c r="AB1380" s="8">
        <v>0.18099999999999999</v>
      </c>
      <c r="AC1380" s="8">
        <v>1.7999999999999999E-2</v>
      </c>
    </row>
    <row r="1381" spans="1:29" ht="11.65" x14ac:dyDescent="0.35">
      <c r="A1381" s="12">
        <v>1364</v>
      </c>
      <c r="B1381" s="10" t="s">
        <v>1015</v>
      </c>
      <c r="C1381" s="11" t="s">
        <v>1114</v>
      </c>
      <c r="D1381" s="9">
        <v>4</v>
      </c>
      <c r="E1381" s="9">
        <v>31</v>
      </c>
      <c r="F1381" s="10" t="s">
        <v>1066</v>
      </c>
      <c r="G1381" s="9">
        <v>922</v>
      </c>
      <c r="H1381" s="9">
        <v>2015</v>
      </c>
      <c r="I1381" s="8">
        <v>462.23399999999998</v>
      </c>
      <c r="J1381" s="8">
        <v>375.02100000000002</v>
      </c>
      <c r="K1381" s="8">
        <v>342.21899999999999</v>
      </c>
      <c r="L1381" s="8">
        <v>379.56599999999997</v>
      </c>
      <c r="M1381" s="8">
        <v>452.94600000000003</v>
      </c>
      <c r="N1381" s="8">
        <v>468.05</v>
      </c>
      <c r="O1381" s="8">
        <v>415.03300000000002</v>
      </c>
      <c r="P1381" s="8">
        <v>330.97699999999998</v>
      </c>
      <c r="Q1381" s="8">
        <v>300.96100000000001</v>
      </c>
      <c r="R1381" s="8">
        <v>305.495</v>
      </c>
      <c r="S1381" s="8">
        <v>322.60599999999999</v>
      </c>
      <c r="T1381" s="8">
        <v>249.452</v>
      </c>
      <c r="U1381" s="8">
        <v>157.815</v>
      </c>
      <c r="V1381" s="8">
        <v>79.674000000000007</v>
      </c>
      <c r="W1381" s="8">
        <v>51.313000000000002</v>
      </c>
      <c r="X1381" s="8">
        <v>55.554000000000002</v>
      </c>
      <c r="Y1381" s="8">
        <v>28.675999999999998</v>
      </c>
      <c r="Z1381" s="8">
        <v>9.2629999999999999</v>
      </c>
      <c r="AA1381" s="8">
        <v>1.5</v>
      </c>
      <c r="AB1381" s="8">
        <v>0.13900000000000001</v>
      </c>
      <c r="AC1381" s="8">
        <v>1.9E-2</v>
      </c>
    </row>
    <row r="1382" spans="1:29" ht="11.65" x14ac:dyDescent="0.35">
      <c r="A1382" s="12">
        <v>1365</v>
      </c>
      <c r="B1382" s="10" t="s">
        <v>1015</v>
      </c>
      <c r="C1382" s="11" t="s">
        <v>1114</v>
      </c>
      <c r="D1382" s="9">
        <v>4</v>
      </c>
      <c r="E1382" s="9">
        <v>31</v>
      </c>
      <c r="F1382" s="10" t="s">
        <v>1066</v>
      </c>
      <c r="G1382" s="9">
        <v>922</v>
      </c>
      <c r="H1382" s="9">
        <v>2020</v>
      </c>
      <c r="I1382" s="8">
        <v>435.899</v>
      </c>
      <c r="J1382" s="8">
        <v>460.346</v>
      </c>
      <c r="K1382" s="8">
        <v>374.22800000000001</v>
      </c>
      <c r="L1382" s="8">
        <v>341.404</v>
      </c>
      <c r="M1382" s="8">
        <v>377.96800000000002</v>
      </c>
      <c r="N1382" s="8">
        <v>450.73200000000003</v>
      </c>
      <c r="O1382" s="8">
        <v>465.572</v>
      </c>
      <c r="P1382" s="8">
        <v>412.18200000000002</v>
      </c>
      <c r="Q1382" s="8">
        <v>327.65699999999998</v>
      </c>
      <c r="R1382" s="8">
        <v>296.10500000000002</v>
      </c>
      <c r="S1382" s="8">
        <v>297.20100000000002</v>
      </c>
      <c r="T1382" s="8">
        <v>307.86799999999999</v>
      </c>
      <c r="U1382" s="8">
        <v>230.66399999999999</v>
      </c>
      <c r="V1382" s="8">
        <v>138.744</v>
      </c>
      <c r="W1382" s="8">
        <v>64.62</v>
      </c>
      <c r="X1382" s="8">
        <v>36.503999999999998</v>
      </c>
      <c r="Y1382" s="8">
        <v>32.143000000000001</v>
      </c>
      <c r="Z1382" s="8">
        <v>12.081</v>
      </c>
      <c r="AA1382" s="8">
        <v>2.4900000000000002</v>
      </c>
      <c r="AB1382" s="8">
        <v>0.24199999999999999</v>
      </c>
      <c r="AC1382" s="8">
        <v>1.4E-2</v>
      </c>
    </row>
    <row r="1383" spans="1:29" ht="11.65" x14ac:dyDescent="0.35">
      <c r="A1383" s="12">
        <v>1366</v>
      </c>
      <c r="B1383" s="10" t="s">
        <v>1015</v>
      </c>
      <c r="C1383" s="11" t="s">
        <v>1115</v>
      </c>
      <c r="D1383" s="9"/>
      <c r="E1383" s="9">
        <v>48</v>
      </c>
      <c r="F1383" s="10" t="s">
        <v>1066</v>
      </c>
      <c r="G1383" s="9">
        <v>922</v>
      </c>
      <c r="H1383" s="9">
        <v>1950</v>
      </c>
      <c r="I1383" s="8">
        <v>10.292999999999999</v>
      </c>
      <c r="J1383" s="8">
        <v>8.0410000000000004</v>
      </c>
      <c r="K1383" s="8">
        <v>6.5819999999999999</v>
      </c>
      <c r="L1383" s="8">
        <v>6.2110000000000003</v>
      </c>
      <c r="M1383" s="8">
        <v>6.1559999999999997</v>
      </c>
      <c r="N1383" s="8">
        <v>5.9740000000000002</v>
      </c>
      <c r="O1383" s="8">
        <v>4.5030000000000001</v>
      </c>
      <c r="P1383" s="8">
        <v>3.68</v>
      </c>
      <c r="Q1383" s="8">
        <v>2.8370000000000002</v>
      </c>
      <c r="R1383" s="8">
        <v>2.214</v>
      </c>
      <c r="S1383" s="8">
        <v>1.7430000000000001</v>
      </c>
      <c r="T1383" s="8">
        <v>1.2969999999999999</v>
      </c>
      <c r="U1383" s="8">
        <v>1.0029999999999999</v>
      </c>
      <c r="V1383" s="8">
        <v>0.70699999999999996</v>
      </c>
      <c r="W1383" s="8">
        <v>0.47299999999999998</v>
      </c>
      <c r="X1383" s="8">
        <v>0.26900000000000002</v>
      </c>
      <c r="Y1383" s="8">
        <v>9.8000000000000004E-2</v>
      </c>
      <c r="Z1383" s="8">
        <v>2.9000000000000001E-2</v>
      </c>
      <c r="AA1383" s="8">
        <v>5.0000000000000001E-3</v>
      </c>
      <c r="AB1383" s="8">
        <v>0</v>
      </c>
      <c r="AC1383" s="8">
        <v>0</v>
      </c>
    </row>
    <row r="1384" spans="1:29" ht="11.65" x14ac:dyDescent="0.35">
      <c r="A1384" s="12">
        <v>1367</v>
      </c>
      <c r="B1384" s="10" t="s">
        <v>1015</v>
      </c>
      <c r="C1384" s="11" t="s">
        <v>1115</v>
      </c>
      <c r="D1384" s="9"/>
      <c r="E1384" s="9">
        <v>48</v>
      </c>
      <c r="F1384" s="10" t="s">
        <v>1066</v>
      </c>
      <c r="G1384" s="9">
        <v>922</v>
      </c>
      <c r="H1384" s="9">
        <v>1955</v>
      </c>
      <c r="I1384" s="8">
        <v>10.964</v>
      </c>
      <c r="J1384" s="8">
        <v>9.3650000000000002</v>
      </c>
      <c r="K1384" s="8">
        <v>7.9160000000000004</v>
      </c>
      <c r="L1384" s="8">
        <v>6.4359999999999999</v>
      </c>
      <c r="M1384" s="8">
        <v>6.3979999999999997</v>
      </c>
      <c r="N1384" s="8">
        <v>6.6390000000000002</v>
      </c>
      <c r="O1384" s="8">
        <v>6.0650000000000004</v>
      </c>
      <c r="P1384" s="8">
        <v>4.4400000000000004</v>
      </c>
      <c r="Q1384" s="8">
        <v>3.6539999999999999</v>
      </c>
      <c r="R1384" s="8">
        <v>2.6930000000000001</v>
      </c>
      <c r="S1384" s="8">
        <v>2.0470000000000002</v>
      </c>
      <c r="T1384" s="8">
        <v>1.5629999999999999</v>
      </c>
      <c r="U1384" s="8">
        <v>1.1419999999999999</v>
      </c>
      <c r="V1384" s="8">
        <v>0.874</v>
      </c>
      <c r="W1384" s="8">
        <v>0.52700000000000002</v>
      </c>
      <c r="X1384" s="8">
        <v>0.26700000000000002</v>
      </c>
      <c r="Y1384" s="8">
        <v>0.115</v>
      </c>
      <c r="Z1384" s="8">
        <v>2.8000000000000001E-2</v>
      </c>
      <c r="AA1384" s="8">
        <v>5.0000000000000001E-3</v>
      </c>
      <c r="AB1384" s="8">
        <v>0</v>
      </c>
      <c r="AC1384" s="8">
        <v>0</v>
      </c>
    </row>
    <row r="1385" spans="1:29" ht="11.65" x14ac:dyDescent="0.35">
      <c r="A1385" s="12">
        <v>1368</v>
      </c>
      <c r="B1385" s="10" t="s">
        <v>1015</v>
      </c>
      <c r="C1385" s="11" t="s">
        <v>1115</v>
      </c>
      <c r="D1385" s="9"/>
      <c r="E1385" s="9">
        <v>48</v>
      </c>
      <c r="F1385" s="10" t="s">
        <v>1066</v>
      </c>
      <c r="G1385" s="9">
        <v>922</v>
      </c>
      <c r="H1385" s="9">
        <v>1960</v>
      </c>
      <c r="I1385" s="8">
        <v>13.821999999999999</v>
      </c>
      <c r="J1385" s="8">
        <v>10.361000000000001</v>
      </c>
      <c r="K1385" s="8">
        <v>9.4480000000000004</v>
      </c>
      <c r="L1385" s="8">
        <v>7.7949999999999999</v>
      </c>
      <c r="M1385" s="8">
        <v>7.2969999999999997</v>
      </c>
      <c r="N1385" s="8">
        <v>8.093</v>
      </c>
      <c r="O1385" s="8">
        <v>7.3220000000000001</v>
      </c>
      <c r="P1385" s="8">
        <v>6.2320000000000002</v>
      </c>
      <c r="Q1385" s="8">
        <v>4.7069999999999999</v>
      </c>
      <c r="R1385" s="8">
        <v>3.5779999999999998</v>
      </c>
      <c r="S1385" s="8">
        <v>2.5390000000000001</v>
      </c>
      <c r="T1385" s="8">
        <v>1.8740000000000001</v>
      </c>
      <c r="U1385" s="8">
        <v>1.454</v>
      </c>
      <c r="V1385" s="8">
        <v>1.204</v>
      </c>
      <c r="W1385" s="8">
        <v>0.77</v>
      </c>
      <c r="X1385" s="8">
        <v>0.311</v>
      </c>
      <c r="Y1385" s="8">
        <v>0.11700000000000001</v>
      </c>
      <c r="Z1385" s="8">
        <v>3.3000000000000002E-2</v>
      </c>
      <c r="AA1385" s="8">
        <v>5.0000000000000001E-3</v>
      </c>
      <c r="AB1385" s="8">
        <v>0</v>
      </c>
      <c r="AC1385" s="8">
        <v>0</v>
      </c>
    </row>
    <row r="1386" spans="1:29" ht="11.65" x14ac:dyDescent="0.35">
      <c r="A1386" s="12">
        <v>1369</v>
      </c>
      <c r="B1386" s="10" t="s">
        <v>1015</v>
      </c>
      <c r="C1386" s="11" t="s">
        <v>1115</v>
      </c>
      <c r="D1386" s="9"/>
      <c r="E1386" s="9">
        <v>48</v>
      </c>
      <c r="F1386" s="10" t="s">
        <v>1066</v>
      </c>
      <c r="G1386" s="9">
        <v>922</v>
      </c>
      <c r="H1386" s="9">
        <v>1965</v>
      </c>
      <c r="I1386" s="8">
        <v>15.911</v>
      </c>
      <c r="J1386" s="8">
        <v>15.138999999999999</v>
      </c>
      <c r="K1386" s="8">
        <v>13.51</v>
      </c>
      <c r="L1386" s="8">
        <v>8.8960000000000008</v>
      </c>
      <c r="M1386" s="8">
        <v>10.489000000000001</v>
      </c>
      <c r="N1386" s="8">
        <v>9.7200000000000006</v>
      </c>
      <c r="O1386" s="8">
        <v>7.4870000000000001</v>
      </c>
      <c r="P1386" s="8">
        <v>6.2859999999999996</v>
      </c>
      <c r="Q1386" s="8">
        <v>4.4960000000000004</v>
      </c>
      <c r="R1386" s="8">
        <v>3.75</v>
      </c>
      <c r="S1386" s="8">
        <v>2.5790000000000002</v>
      </c>
      <c r="T1386" s="8">
        <v>1.4790000000000001</v>
      </c>
      <c r="U1386" s="8">
        <v>1.0629999999999999</v>
      </c>
      <c r="V1386" s="8">
        <v>0.69599999999999995</v>
      </c>
      <c r="W1386" s="8">
        <v>0.52600000000000002</v>
      </c>
      <c r="X1386" s="8">
        <v>0.317</v>
      </c>
      <c r="Y1386" s="8">
        <v>0.14899999999999999</v>
      </c>
      <c r="Z1386" s="8">
        <v>3.6999999999999998E-2</v>
      </c>
      <c r="AA1386" s="8">
        <v>6.0000000000000001E-3</v>
      </c>
      <c r="AB1386" s="8">
        <v>0</v>
      </c>
      <c r="AC1386" s="8">
        <v>0</v>
      </c>
    </row>
    <row r="1387" spans="1:29" ht="11.65" x14ac:dyDescent="0.35">
      <c r="A1387" s="12">
        <v>1370</v>
      </c>
      <c r="B1387" s="10" t="s">
        <v>1015</v>
      </c>
      <c r="C1387" s="11" t="s">
        <v>1115</v>
      </c>
      <c r="D1387" s="9"/>
      <c r="E1387" s="9">
        <v>48</v>
      </c>
      <c r="F1387" s="10" t="s">
        <v>1066</v>
      </c>
      <c r="G1387" s="9">
        <v>922</v>
      </c>
      <c r="H1387" s="9">
        <v>1970</v>
      </c>
      <c r="I1387" s="8">
        <v>17.864000000000001</v>
      </c>
      <c r="J1387" s="8">
        <v>15.266</v>
      </c>
      <c r="K1387" s="8">
        <v>14.596</v>
      </c>
      <c r="L1387" s="8">
        <v>12.113</v>
      </c>
      <c r="M1387" s="8">
        <v>9.4139999999999997</v>
      </c>
      <c r="N1387" s="8">
        <v>9.19</v>
      </c>
      <c r="O1387" s="8">
        <v>7.7409999999999997</v>
      </c>
      <c r="P1387" s="8">
        <v>7.0350000000000001</v>
      </c>
      <c r="Q1387" s="8">
        <v>5.883</v>
      </c>
      <c r="R1387" s="8">
        <v>4.7249999999999996</v>
      </c>
      <c r="S1387" s="8">
        <v>4.0789999999999997</v>
      </c>
      <c r="T1387" s="8">
        <v>2.319</v>
      </c>
      <c r="U1387" s="8">
        <v>1.89</v>
      </c>
      <c r="V1387" s="8">
        <v>1.3460000000000001</v>
      </c>
      <c r="W1387" s="8">
        <v>0.77400000000000002</v>
      </c>
      <c r="X1387" s="8">
        <v>0.47199999999999998</v>
      </c>
      <c r="Y1387" s="8">
        <v>0.156</v>
      </c>
      <c r="Z1387" s="8">
        <v>5.1999999999999998E-2</v>
      </c>
      <c r="AA1387" s="8">
        <v>8.0000000000000002E-3</v>
      </c>
      <c r="AB1387" s="8">
        <v>0</v>
      </c>
      <c r="AC1387" s="8">
        <v>0</v>
      </c>
    </row>
    <row r="1388" spans="1:29" ht="11.65" x14ac:dyDescent="0.35">
      <c r="A1388" s="12">
        <v>1371</v>
      </c>
      <c r="B1388" s="10" t="s">
        <v>1015</v>
      </c>
      <c r="C1388" s="11" t="s">
        <v>1115</v>
      </c>
      <c r="D1388" s="9"/>
      <c r="E1388" s="9">
        <v>48</v>
      </c>
      <c r="F1388" s="10" t="s">
        <v>1066</v>
      </c>
      <c r="G1388" s="9">
        <v>922</v>
      </c>
      <c r="H1388" s="9">
        <v>1975</v>
      </c>
      <c r="I1388" s="8">
        <v>20.332999999999998</v>
      </c>
      <c r="J1388" s="8">
        <v>17.579000000000001</v>
      </c>
      <c r="K1388" s="8">
        <v>15.175000000000001</v>
      </c>
      <c r="L1388" s="8">
        <v>17.8</v>
      </c>
      <c r="M1388" s="8">
        <v>18.343</v>
      </c>
      <c r="N1388" s="8">
        <v>13.228</v>
      </c>
      <c r="O1388" s="8">
        <v>10.913</v>
      </c>
      <c r="P1388" s="8">
        <v>8.7050000000000001</v>
      </c>
      <c r="Q1388" s="8">
        <v>7.1520000000000001</v>
      </c>
      <c r="R1388" s="8">
        <v>5.9009999999999998</v>
      </c>
      <c r="S1388" s="8">
        <v>4.5620000000000003</v>
      </c>
      <c r="T1388" s="8">
        <v>3.8119999999999998</v>
      </c>
      <c r="U1388" s="8">
        <v>2.0710000000000002</v>
      </c>
      <c r="V1388" s="8">
        <v>1.5760000000000001</v>
      </c>
      <c r="W1388" s="8">
        <v>1.028</v>
      </c>
      <c r="X1388" s="8">
        <v>0.505</v>
      </c>
      <c r="Y1388" s="8">
        <v>0.249</v>
      </c>
      <c r="Z1388" s="8">
        <v>5.8000000000000003E-2</v>
      </c>
      <c r="AA1388" s="8">
        <v>1.2999999999999999E-2</v>
      </c>
      <c r="AB1388" s="8">
        <v>0</v>
      </c>
      <c r="AC1388" s="8">
        <v>0</v>
      </c>
    </row>
    <row r="1389" spans="1:29" ht="11.65" x14ac:dyDescent="0.35">
      <c r="A1389" s="12">
        <v>1372</v>
      </c>
      <c r="B1389" s="10" t="s">
        <v>1015</v>
      </c>
      <c r="C1389" s="11" t="s">
        <v>1115</v>
      </c>
      <c r="D1389" s="9"/>
      <c r="E1389" s="9">
        <v>48</v>
      </c>
      <c r="F1389" s="10" t="s">
        <v>1066</v>
      </c>
      <c r="G1389" s="9">
        <v>922</v>
      </c>
      <c r="H1389" s="9">
        <v>1980</v>
      </c>
      <c r="I1389" s="8">
        <v>25.488</v>
      </c>
      <c r="J1389" s="8">
        <v>20.155999999999999</v>
      </c>
      <c r="K1389" s="8">
        <v>17.504000000000001</v>
      </c>
      <c r="L1389" s="8">
        <v>17.89</v>
      </c>
      <c r="M1389" s="8">
        <v>27.018999999999998</v>
      </c>
      <c r="N1389" s="8">
        <v>30.856000000000002</v>
      </c>
      <c r="O1389" s="8">
        <v>20.972000000000001</v>
      </c>
      <c r="P1389" s="8">
        <v>14.459</v>
      </c>
      <c r="Q1389" s="8">
        <v>10.7</v>
      </c>
      <c r="R1389" s="8">
        <v>7.4359999999999999</v>
      </c>
      <c r="S1389" s="8">
        <v>5.9889999999999999</v>
      </c>
      <c r="T1389" s="8">
        <v>4.4009999999999998</v>
      </c>
      <c r="U1389" s="8">
        <v>3.4390000000000001</v>
      </c>
      <c r="V1389" s="8">
        <v>1.75</v>
      </c>
      <c r="W1389" s="8">
        <v>1.228</v>
      </c>
      <c r="X1389" s="8">
        <v>0.69099999999999995</v>
      </c>
      <c r="Y1389" s="8">
        <v>0.27200000000000002</v>
      </c>
      <c r="Z1389" s="8">
        <v>9.2999999999999999E-2</v>
      </c>
      <c r="AA1389" s="8">
        <v>1.4999999999999999E-2</v>
      </c>
      <c r="AB1389" s="8">
        <v>2E-3</v>
      </c>
      <c r="AC1389" s="8">
        <v>0</v>
      </c>
    </row>
    <row r="1390" spans="1:29" ht="11.65" x14ac:dyDescent="0.35">
      <c r="A1390" s="12">
        <v>1373</v>
      </c>
      <c r="B1390" s="10" t="s">
        <v>1015</v>
      </c>
      <c r="C1390" s="11" t="s">
        <v>1115</v>
      </c>
      <c r="D1390" s="9"/>
      <c r="E1390" s="9">
        <v>48</v>
      </c>
      <c r="F1390" s="10" t="s">
        <v>1066</v>
      </c>
      <c r="G1390" s="9">
        <v>922</v>
      </c>
      <c r="H1390" s="9">
        <v>1985</v>
      </c>
      <c r="I1390" s="8">
        <v>29.995999999999999</v>
      </c>
      <c r="J1390" s="8">
        <v>22.995000000000001</v>
      </c>
      <c r="K1390" s="8">
        <v>19.062999999999999</v>
      </c>
      <c r="L1390" s="8">
        <v>15.339</v>
      </c>
      <c r="M1390" s="8">
        <v>20.056000000000001</v>
      </c>
      <c r="N1390" s="8">
        <v>30.146000000000001</v>
      </c>
      <c r="O1390" s="8">
        <v>31.719000000000001</v>
      </c>
      <c r="P1390" s="8">
        <v>26.225000000000001</v>
      </c>
      <c r="Q1390" s="8">
        <v>16.332000000000001</v>
      </c>
      <c r="R1390" s="8">
        <v>7.585</v>
      </c>
      <c r="S1390" s="8">
        <v>6.6859999999999999</v>
      </c>
      <c r="T1390" s="8">
        <v>4.6479999999999997</v>
      </c>
      <c r="U1390" s="8">
        <v>2.9020000000000001</v>
      </c>
      <c r="V1390" s="8">
        <v>2.4710000000000001</v>
      </c>
      <c r="W1390" s="8">
        <v>1.288</v>
      </c>
      <c r="X1390" s="8">
        <v>1.5189999999999999</v>
      </c>
      <c r="Y1390" s="8">
        <v>0.59599999999999997</v>
      </c>
      <c r="Z1390" s="8">
        <v>0.11700000000000001</v>
      </c>
      <c r="AA1390" s="8">
        <v>2.8000000000000001E-2</v>
      </c>
      <c r="AB1390" s="8">
        <v>3.0000000000000001E-3</v>
      </c>
      <c r="AC1390" s="8">
        <v>0</v>
      </c>
    </row>
    <row r="1391" spans="1:29" ht="11.65" x14ac:dyDescent="0.35">
      <c r="A1391" s="12">
        <v>1374</v>
      </c>
      <c r="B1391" s="10" t="s">
        <v>1015</v>
      </c>
      <c r="C1391" s="11" t="s">
        <v>1115</v>
      </c>
      <c r="D1391" s="9"/>
      <c r="E1391" s="9">
        <v>48</v>
      </c>
      <c r="F1391" s="10" t="s">
        <v>1066</v>
      </c>
      <c r="G1391" s="9">
        <v>922</v>
      </c>
      <c r="H1391" s="9">
        <v>1990</v>
      </c>
      <c r="I1391" s="8">
        <v>33.811</v>
      </c>
      <c r="J1391" s="8">
        <v>27.331</v>
      </c>
      <c r="K1391" s="8">
        <v>22.18</v>
      </c>
      <c r="L1391" s="8">
        <v>19.077999999999999</v>
      </c>
      <c r="M1391" s="8">
        <v>23.923999999999999</v>
      </c>
      <c r="N1391" s="8">
        <v>35.423999999999999</v>
      </c>
      <c r="O1391" s="8">
        <v>40.072000000000003</v>
      </c>
      <c r="P1391" s="8">
        <v>32.226999999999997</v>
      </c>
      <c r="Q1391" s="8">
        <v>19.027000000000001</v>
      </c>
      <c r="R1391" s="8">
        <v>10.326000000000001</v>
      </c>
      <c r="S1391" s="8">
        <v>7.8040000000000003</v>
      </c>
      <c r="T1391" s="8">
        <v>5.0780000000000003</v>
      </c>
      <c r="U1391" s="8">
        <v>3.9969999999999999</v>
      </c>
      <c r="V1391" s="8">
        <v>2.73</v>
      </c>
      <c r="W1391" s="8">
        <v>1.2250000000000001</v>
      </c>
      <c r="X1391" s="8">
        <v>0.95199999999999996</v>
      </c>
      <c r="Y1391" s="8">
        <v>0.68200000000000005</v>
      </c>
      <c r="Z1391" s="8">
        <v>0.25900000000000001</v>
      </c>
      <c r="AA1391" s="8">
        <v>3.5999999999999997E-2</v>
      </c>
      <c r="AB1391" s="8">
        <v>5.0000000000000001E-3</v>
      </c>
      <c r="AC1391" s="8">
        <v>0</v>
      </c>
    </row>
    <row r="1392" spans="1:29" ht="11.65" x14ac:dyDescent="0.35">
      <c r="A1392" s="12">
        <v>1375</v>
      </c>
      <c r="B1392" s="10" t="s">
        <v>1015</v>
      </c>
      <c r="C1392" s="11" t="s">
        <v>1115</v>
      </c>
      <c r="D1392" s="9"/>
      <c r="E1392" s="9">
        <v>48</v>
      </c>
      <c r="F1392" s="10" t="s">
        <v>1066</v>
      </c>
      <c r="G1392" s="9">
        <v>922</v>
      </c>
      <c r="H1392" s="9">
        <v>1995</v>
      </c>
      <c r="I1392" s="8">
        <v>31.483000000000001</v>
      </c>
      <c r="J1392" s="8">
        <v>29.183</v>
      </c>
      <c r="K1392" s="8">
        <v>26.559000000000001</v>
      </c>
      <c r="L1392" s="8">
        <v>21.303000000000001</v>
      </c>
      <c r="M1392" s="8">
        <v>28.081</v>
      </c>
      <c r="N1392" s="8">
        <v>39.353000000000002</v>
      </c>
      <c r="O1392" s="8">
        <v>42.691000000000003</v>
      </c>
      <c r="P1392" s="8">
        <v>36.725000000000001</v>
      </c>
      <c r="Q1392" s="8">
        <v>25.687000000000001</v>
      </c>
      <c r="R1392" s="8">
        <v>16.236000000000001</v>
      </c>
      <c r="S1392" s="8">
        <v>10.208</v>
      </c>
      <c r="T1392" s="8">
        <v>6.0890000000000004</v>
      </c>
      <c r="U1392" s="8">
        <v>4.16</v>
      </c>
      <c r="V1392" s="8">
        <v>3.0840000000000001</v>
      </c>
      <c r="W1392" s="8">
        <v>1.823</v>
      </c>
      <c r="X1392" s="8">
        <v>1.264</v>
      </c>
      <c r="Y1392" s="8">
        <v>0.496</v>
      </c>
      <c r="Z1392" s="8">
        <v>0.38600000000000001</v>
      </c>
      <c r="AA1392" s="8">
        <v>0.08</v>
      </c>
      <c r="AB1392" s="8">
        <v>6.0000000000000001E-3</v>
      </c>
      <c r="AC1392" s="8">
        <v>0</v>
      </c>
    </row>
    <row r="1393" spans="1:29" ht="11.65" x14ac:dyDescent="0.35">
      <c r="A1393" s="12">
        <v>1376</v>
      </c>
      <c r="B1393" s="10" t="s">
        <v>1015</v>
      </c>
      <c r="C1393" s="11" t="s">
        <v>1115</v>
      </c>
      <c r="D1393" s="9"/>
      <c r="E1393" s="9">
        <v>48</v>
      </c>
      <c r="F1393" s="10" t="s">
        <v>1066</v>
      </c>
      <c r="G1393" s="9">
        <v>922</v>
      </c>
      <c r="H1393" s="9">
        <v>2000</v>
      </c>
      <c r="I1393" s="8">
        <v>38.219000000000001</v>
      </c>
      <c r="J1393" s="8">
        <v>36.39</v>
      </c>
      <c r="K1393" s="8">
        <v>29.123000000000001</v>
      </c>
      <c r="L1393" s="8">
        <v>26.498999999999999</v>
      </c>
      <c r="M1393" s="8">
        <v>32.709000000000003</v>
      </c>
      <c r="N1393" s="8">
        <v>41.423999999999999</v>
      </c>
      <c r="O1393" s="8">
        <v>44.807000000000002</v>
      </c>
      <c r="P1393" s="8">
        <v>39.918999999999997</v>
      </c>
      <c r="Q1393" s="8">
        <v>33.75</v>
      </c>
      <c r="R1393" s="8">
        <v>24.76</v>
      </c>
      <c r="S1393" s="8">
        <v>13.631</v>
      </c>
      <c r="T1393" s="8">
        <v>7.0359999999999996</v>
      </c>
      <c r="U1393" s="8">
        <v>4.6159999999999997</v>
      </c>
      <c r="V1393" s="8">
        <v>3.3690000000000002</v>
      </c>
      <c r="W1393" s="8">
        <v>2.3250000000000002</v>
      </c>
      <c r="X1393" s="8">
        <v>1.4510000000000001</v>
      </c>
      <c r="Y1393" s="8">
        <v>0.74099999999999999</v>
      </c>
      <c r="Z1393" s="8">
        <v>0.32200000000000001</v>
      </c>
      <c r="AA1393" s="8">
        <v>0.11799999999999999</v>
      </c>
      <c r="AB1393" s="8">
        <v>1.4999999999999999E-2</v>
      </c>
      <c r="AC1393" s="8">
        <v>1E-3</v>
      </c>
    </row>
    <row r="1394" spans="1:29" ht="11.65" x14ac:dyDescent="0.35">
      <c r="A1394" s="12">
        <v>1377</v>
      </c>
      <c r="B1394" s="10" t="s">
        <v>1015</v>
      </c>
      <c r="C1394" s="11" t="s">
        <v>1115</v>
      </c>
      <c r="D1394" s="9"/>
      <c r="E1394" s="9">
        <v>48</v>
      </c>
      <c r="F1394" s="10" t="s">
        <v>1066</v>
      </c>
      <c r="G1394" s="9">
        <v>922</v>
      </c>
      <c r="H1394" s="9">
        <v>2005</v>
      </c>
      <c r="I1394" s="8">
        <v>41.758000000000003</v>
      </c>
      <c r="J1394" s="8">
        <v>41.619</v>
      </c>
      <c r="K1394" s="8">
        <v>35.576999999999998</v>
      </c>
      <c r="L1394" s="8">
        <v>35.558</v>
      </c>
      <c r="M1394" s="8">
        <v>56.866999999999997</v>
      </c>
      <c r="N1394" s="8">
        <v>66.998000000000005</v>
      </c>
      <c r="O1394" s="8">
        <v>63.204999999999998</v>
      </c>
      <c r="P1394" s="8">
        <v>59.56</v>
      </c>
      <c r="Q1394" s="8">
        <v>51.639000000000003</v>
      </c>
      <c r="R1394" s="8">
        <v>36.860999999999997</v>
      </c>
      <c r="S1394" s="8">
        <v>19.407</v>
      </c>
      <c r="T1394" s="8">
        <v>9.5820000000000007</v>
      </c>
      <c r="U1394" s="8">
        <v>5.4850000000000003</v>
      </c>
      <c r="V1394" s="8">
        <v>4.1669999999999998</v>
      </c>
      <c r="W1394" s="8">
        <v>2.8140000000000001</v>
      </c>
      <c r="X1394" s="8">
        <v>1.7110000000000001</v>
      </c>
      <c r="Y1394" s="8">
        <v>0.876</v>
      </c>
      <c r="Z1394" s="8">
        <v>0.33300000000000002</v>
      </c>
      <c r="AA1394" s="8">
        <v>9.8000000000000004E-2</v>
      </c>
      <c r="AB1394" s="8">
        <v>2.3E-2</v>
      </c>
      <c r="AC1394" s="8">
        <v>2E-3</v>
      </c>
    </row>
    <row r="1395" spans="1:29" ht="11.65" x14ac:dyDescent="0.35">
      <c r="A1395" s="12">
        <v>1378</v>
      </c>
      <c r="B1395" s="10" t="s">
        <v>1015</v>
      </c>
      <c r="C1395" s="11" t="s">
        <v>1115</v>
      </c>
      <c r="D1395" s="9"/>
      <c r="E1395" s="9">
        <v>48</v>
      </c>
      <c r="F1395" s="10" t="s">
        <v>1066</v>
      </c>
      <c r="G1395" s="9">
        <v>922</v>
      </c>
      <c r="H1395" s="9">
        <v>2010</v>
      </c>
      <c r="I1395" s="8">
        <v>46.536000000000001</v>
      </c>
      <c r="J1395" s="8">
        <v>42.661999999999999</v>
      </c>
      <c r="K1395" s="8">
        <v>39.808999999999997</v>
      </c>
      <c r="L1395" s="8">
        <v>36.253999999999998</v>
      </c>
      <c r="M1395" s="8">
        <v>69.915999999999997</v>
      </c>
      <c r="N1395" s="8">
        <v>123.053</v>
      </c>
      <c r="O1395" s="8">
        <v>113.64</v>
      </c>
      <c r="P1395" s="8">
        <v>88.411000000000001</v>
      </c>
      <c r="Q1395" s="8">
        <v>73.677999999999997</v>
      </c>
      <c r="R1395" s="8">
        <v>53.707000000000001</v>
      </c>
      <c r="S1395" s="8">
        <v>39.604999999999997</v>
      </c>
      <c r="T1395" s="8">
        <v>22.420999999999999</v>
      </c>
      <c r="U1395" s="8">
        <v>11.744</v>
      </c>
      <c r="V1395" s="8">
        <v>5.43</v>
      </c>
      <c r="W1395" s="8">
        <v>3.5270000000000001</v>
      </c>
      <c r="X1395" s="8">
        <v>2.0990000000000002</v>
      </c>
      <c r="Y1395" s="8">
        <v>1.04</v>
      </c>
      <c r="Z1395" s="8">
        <v>0.39500000000000002</v>
      </c>
      <c r="AA1395" s="8">
        <v>0.10299999999999999</v>
      </c>
      <c r="AB1395" s="8">
        <v>1.9E-2</v>
      </c>
      <c r="AC1395" s="8">
        <v>2E-3</v>
      </c>
    </row>
    <row r="1396" spans="1:29" ht="11.65" x14ac:dyDescent="0.35">
      <c r="A1396" s="12">
        <v>1379</v>
      </c>
      <c r="B1396" s="10" t="s">
        <v>1015</v>
      </c>
      <c r="C1396" s="11" t="s">
        <v>1115</v>
      </c>
      <c r="D1396" s="9"/>
      <c r="E1396" s="9">
        <v>48</v>
      </c>
      <c r="F1396" s="10" t="s">
        <v>1066</v>
      </c>
      <c r="G1396" s="9">
        <v>922</v>
      </c>
      <c r="H1396" s="9">
        <v>2015</v>
      </c>
      <c r="I1396" s="8">
        <v>54.591999999999999</v>
      </c>
      <c r="J1396" s="8">
        <v>48.697000000000003</v>
      </c>
      <c r="K1396" s="8">
        <v>43.606999999999999</v>
      </c>
      <c r="L1396" s="8">
        <v>38.472999999999999</v>
      </c>
      <c r="M1396" s="8">
        <v>64.137</v>
      </c>
      <c r="N1396" s="8">
        <v>119.086</v>
      </c>
      <c r="O1396" s="8">
        <v>132.08799999999999</v>
      </c>
      <c r="P1396" s="8">
        <v>98.260999999999996</v>
      </c>
      <c r="Q1396" s="8">
        <v>80.504999999999995</v>
      </c>
      <c r="R1396" s="8">
        <v>59.128</v>
      </c>
      <c r="S1396" s="8">
        <v>42.19</v>
      </c>
      <c r="T1396" s="8">
        <v>34.207999999999998</v>
      </c>
      <c r="U1396" s="8">
        <v>15.122</v>
      </c>
      <c r="V1396" s="8">
        <v>7.37</v>
      </c>
      <c r="W1396" s="8">
        <v>4.4320000000000004</v>
      </c>
      <c r="X1396" s="8">
        <v>2.8119999999999998</v>
      </c>
      <c r="Y1396" s="8">
        <v>1.1850000000000001</v>
      </c>
      <c r="Z1396" s="8">
        <v>0.71599999999999997</v>
      </c>
      <c r="AA1396" s="8">
        <v>0.126</v>
      </c>
      <c r="AB1396" s="8">
        <v>1.9E-2</v>
      </c>
      <c r="AC1396" s="8">
        <v>2E-3</v>
      </c>
    </row>
    <row r="1397" spans="1:29" ht="11.65" x14ac:dyDescent="0.35">
      <c r="A1397" s="12">
        <v>1380</v>
      </c>
      <c r="B1397" s="10" t="s">
        <v>1015</v>
      </c>
      <c r="C1397" s="11" t="s">
        <v>1115</v>
      </c>
      <c r="D1397" s="9"/>
      <c r="E1397" s="9">
        <v>48</v>
      </c>
      <c r="F1397" s="10" t="s">
        <v>1066</v>
      </c>
      <c r="G1397" s="9">
        <v>922</v>
      </c>
      <c r="H1397" s="9">
        <v>2020</v>
      </c>
      <c r="I1397" s="8">
        <v>54.607999999999997</v>
      </c>
      <c r="J1397" s="8">
        <v>58.503</v>
      </c>
      <c r="K1397" s="8">
        <v>46.133000000000003</v>
      </c>
      <c r="L1397" s="8">
        <v>48.536999999999999</v>
      </c>
      <c r="M1397" s="8">
        <v>52.816000000000003</v>
      </c>
      <c r="N1397" s="8">
        <v>146.43100000000001</v>
      </c>
      <c r="O1397" s="8">
        <v>220.22399999999999</v>
      </c>
      <c r="P1397" s="8">
        <v>160.05600000000001</v>
      </c>
      <c r="Q1397" s="8">
        <v>101.279</v>
      </c>
      <c r="R1397" s="8">
        <v>73.44</v>
      </c>
      <c r="S1397" s="8">
        <v>51.982999999999997</v>
      </c>
      <c r="T1397" s="8">
        <v>34.121000000000002</v>
      </c>
      <c r="U1397" s="8">
        <v>27.655999999999999</v>
      </c>
      <c r="V1397" s="8">
        <v>12.509</v>
      </c>
      <c r="W1397" s="8">
        <v>6.141</v>
      </c>
      <c r="X1397" s="8">
        <v>3.415</v>
      </c>
      <c r="Y1397" s="8">
        <v>1.7889999999999999</v>
      </c>
      <c r="Z1397" s="8">
        <v>0.56899999999999995</v>
      </c>
      <c r="AA1397" s="8">
        <v>0.23699999999999999</v>
      </c>
      <c r="AB1397" s="8">
        <v>2.5000000000000001E-2</v>
      </c>
      <c r="AC1397" s="8">
        <v>2E-3</v>
      </c>
    </row>
    <row r="1398" spans="1:29" ht="11.65" x14ac:dyDescent="0.35">
      <c r="A1398" s="12">
        <v>1381</v>
      </c>
      <c r="B1398" s="10" t="s">
        <v>1015</v>
      </c>
      <c r="C1398" s="11" t="s">
        <v>1116</v>
      </c>
      <c r="D1398" s="9">
        <v>5</v>
      </c>
      <c r="E1398" s="9">
        <v>196</v>
      </c>
      <c r="F1398" s="10" t="s">
        <v>1066</v>
      </c>
      <c r="G1398" s="9">
        <v>922</v>
      </c>
      <c r="H1398" s="9">
        <v>1950</v>
      </c>
      <c r="I1398" s="8">
        <v>34.340000000000003</v>
      </c>
      <c r="J1398" s="8">
        <v>26.85</v>
      </c>
      <c r="K1398" s="8">
        <v>25.87</v>
      </c>
      <c r="L1398" s="8">
        <v>22.831</v>
      </c>
      <c r="M1398" s="8">
        <v>19.89</v>
      </c>
      <c r="N1398" s="8">
        <v>17.41</v>
      </c>
      <c r="O1398" s="8">
        <v>15.531000000000001</v>
      </c>
      <c r="P1398" s="8">
        <v>14.861000000000001</v>
      </c>
      <c r="Q1398" s="8">
        <v>13.29</v>
      </c>
      <c r="R1398" s="8">
        <v>11.73</v>
      </c>
      <c r="S1398" s="8">
        <v>10.69</v>
      </c>
      <c r="T1398" s="8">
        <v>8.4809999999999999</v>
      </c>
      <c r="U1398" s="8">
        <v>7.4809999999999999</v>
      </c>
      <c r="V1398" s="8">
        <v>5.9390000000000001</v>
      </c>
      <c r="W1398" s="8">
        <v>4.4980000000000002</v>
      </c>
      <c r="X1398" s="8">
        <v>2.528</v>
      </c>
      <c r="Y1398" s="8">
        <v>0.96199999999999997</v>
      </c>
      <c r="Z1398" s="8">
        <v>0.36799999999999999</v>
      </c>
      <c r="AA1398" s="8">
        <v>7.9000000000000001E-2</v>
      </c>
      <c r="AB1398" s="8">
        <v>8.9999999999999993E-3</v>
      </c>
      <c r="AC1398" s="8">
        <v>1E-3</v>
      </c>
    </row>
    <row r="1399" spans="1:29" ht="11.65" x14ac:dyDescent="0.35">
      <c r="A1399" s="12">
        <v>1382</v>
      </c>
      <c r="B1399" s="10" t="s">
        <v>1015</v>
      </c>
      <c r="C1399" s="11" t="s">
        <v>1116</v>
      </c>
      <c r="D1399" s="9">
        <v>5</v>
      </c>
      <c r="E1399" s="9">
        <v>196</v>
      </c>
      <c r="F1399" s="10" t="s">
        <v>1066</v>
      </c>
      <c r="G1399" s="9">
        <v>922</v>
      </c>
      <c r="H1399" s="9">
        <v>1955</v>
      </c>
      <c r="I1399" s="8">
        <v>33.323999999999998</v>
      </c>
      <c r="J1399" s="8">
        <v>33.377000000000002</v>
      </c>
      <c r="K1399" s="8">
        <v>26.132000000000001</v>
      </c>
      <c r="L1399" s="8">
        <v>23.77</v>
      </c>
      <c r="M1399" s="8">
        <v>19.91</v>
      </c>
      <c r="N1399" s="8">
        <v>17.68</v>
      </c>
      <c r="O1399" s="8">
        <v>16.248000000000001</v>
      </c>
      <c r="P1399" s="8">
        <v>14.859</v>
      </c>
      <c r="Q1399" s="8">
        <v>14.18</v>
      </c>
      <c r="R1399" s="8">
        <v>13.109</v>
      </c>
      <c r="S1399" s="8">
        <v>11.3</v>
      </c>
      <c r="T1399" s="8">
        <v>10.308</v>
      </c>
      <c r="U1399" s="8">
        <v>8.1389999999999993</v>
      </c>
      <c r="V1399" s="8">
        <v>6.81</v>
      </c>
      <c r="W1399" s="8">
        <v>5.4050000000000002</v>
      </c>
      <c r="X1399" s="8">
        <v>3.1070000000000002</v>
      </c>
      <c r="Y1399" s="8">
        <v>1.4079999999999999</v>
      </c>
      <c r="Z1399" s="8">
        <v>0.378</v>
      </c>
      <c r="AA1399" s="8">
        <v>8.8999999999999996E-2</v>
      </c>
      <c r="AB1399" s="8">
        <v>0.01</v>
      </c>
      <c r="AC1399" s="8">
        <v>1E-3</v>
      </c>
    </row>
    <row r="1400" spans="1:29" ht="11.65" x14ac:dyDescent="0.35">
      <c r="A1400" s="12">
        <v>1383</v>
      </c>
      <c r="B1400" s="10" t="s">
        <v>1015</v>
      </c>
      <c r="C1400" s="11" t="s">
        <v>1116</v>
      </c>
      <c r="D1400" s="9">
        <v>5</v>
      </c>
      <c r="E1400" s="9">
        <v>196</v>
      </c>
      <c r="F1400" s="10" t="s">
        <v>1066</v>
      </c>
      <c r="G1400" s="9">
        <v>922</v>
      </c>
      <c r="H1400" s="9">
        <v>1960</v>
      </c>
      <c r="I1400" s="8">
        <v>38.393999999999998</v>
      </c>
      <c r="J1400" s="8">
        <v>34.859000000000002</v>
      </c>
      <c r="K1400" s="8">
        <v>34.183</v>
      </c>
      <c r="L1400" s="8">
        <v>23.4</v>
      </c>
      <c r="M1400" s="8">
        <v>22.631</v>
      </c>
      <c r="N1400" s="8">
        <v>17.780999999999999</v>
      </c>
      <c r="O1400" s="8">
        <v>16.940000000000001</v>
      </c>
      <c r="P1400" s="8">
        <v>15.448</v>
      </c>
      <c r="Q1400" s="8">
        <v>14.861000000000001</v>
      </c>
      <c r="R1400" s="8">
        <v>13.971</v>
      </c>
      <c r="S1400" s="8">
        <v>13.01</v>
      </c>
      <c r="T1400" s="8">
        <v>10.189</v>
      </c>
      <c r="U1400" s="8">
        <v>9.3770000000000007</v>
      </c>
      <c r="V1400" s="8">
        <v>5.9180000000000001</v>
      </c>
      <c r="W1400" s="8">
        <v>5.63</v>
      </c>
      <c r="X1400" s="8">
        <v>3.2</v>
      </c>
      <c r="Y1400" s="8">
        <v>1.202</v>
      </c>
      <c r="Z1400" s="8">
        <v>0.56599999999999995</v>
      </c>
      <c r="AA1400" s="8">
        <v>9.4E-2</v>
      </c>
      <c r="AB1400" s="8">
        <v>1.2E-2</v>
      </c>
      <c r="AC1400" s="8">
        <v>1E-3</v>
      </c>
    </row>
    <row r="1401" spans="1:29" ht="11.65" x14ac:dyDescent="0.35">
      <c r="A1401" s="12">
        <v>1384</v>
      </c>
      <c r="B1401" s="10" t="s">
        <v>1015</v>
      </c>
      <c r="C1401" s="11" t="s">
        <v>1116</v>
      </c>
      <c r="D1401" s="9">
        <v>5</v>
      </c>
      <c r="E1401" s="9">
        <v>196</v>
      </c>
      <c r="F1401" s="10" t="s">
        <v>1066</v>
      </c>
      <c r="G1401" s="9">
        <v>922</v>
      </c>
      <c r="H1401" s="9">
        <v>1965</v>
      </c>
      <c r="I1401" s="8">
        <v>35.115000000000002</v>
      </c>
      <c r="J1401" s="8">
        <v>33.414999999999999</v>
      </c>
      <c r="K1401" s="8">
        <v>32.710999999999999</v>
      </c>
      <c r="L1401" s="8">
        <v>29.861000000000001</v>
      </c>
      <c r="M1401" s="8">
        <v>23.28</v>
      </c>
      <c r="N1401" s="8">
        <v>18.911999999999999</v>
      </c>
      <c r="O1401" s="8">
        <v>17</v>
      </c>
      <c r="P1401" s="8">
        <v>15.1</v>
      </c>
      <c r="Q1401" s="8">
        <v>14.997999999999999</v>
      </c>
      <c r="R1401" s="8">
        <v>12.5</v>
      </c>
      <c r="S1401" s="8">
        <v>13.500999999999999</v>
      </c>
      <c r="T1401" s="8">
        <v>11.398</v>
      </c>
      <c r="U1401" s="8">
        <v>9.8979999999999997</v>
      </c>
      <c r="V1401" s="8">
        <v>6.1959999999999997</v>
      </c>
      <c r="W1401" s="8">
        <v>5.9</v>
      </c>
      <c r="X1401" s="8">
        <v>3.274</v>
      </c>
      <c r="Y1401" s="8">
        <v>1.403</v>
      </c>
      <c r="Z1401" s="8">
        <v>0.49299999999999999</v>
      </c>
      <c r="AA1401" s="8">
        <v>0.14599999999999999</v>
      </c>
      <c r="AB1401" s="8">
        <v>1.2999999999999999E-2</v>
      </c>
      <c r="AC1401" s="8">
        <v>1E-3</v>
      </c>
    </row>
    <row r="1402" spans="1:29" ht="11.65" x14ac:dyDescent="0.35">
      <c r="A1402" s="12">
        <v>1385</v>
      </c>
      <c r="B1402" s="10" t="s">
        <v>1015</v>
      </c>
      <c r="C1402" s="11" t="s">
        <v>1116</v>
      </c>
      <c r="D1402" s="9">
        <v>5</v>
      </c>
      <c r="E1402" s="9">
        <v>196</v>
      </c>
      <c r="F1402" s="10" t="s">
        <v>1066</v>
      </c>
      <c r="G1402" s="9">
        <v>922</v>
      </c>
      <c r="H1402" s="9">
        <v>1970</v>
      </c>
      <c r="I1402" s="8">
        <v>30.498999999999999</v>
      </c>
      <c r="J1402" s="8">
        <v>32.948999999999998</v>
      </c>
      <c r="K1402" s="8">
        <v>34.566000000000003</v>
      </c>
      <c r="L1402" s="8">
        <v>29.492999999999999</v>
      </c>
      <c r="M1402" s="8">
        <v>25.373000000000001</v>
      </c>
      <c r="N1402" s="8">
        <v>20.311</v>
      </c>
      <c r="O1402" s="8">
        <v>18.309000000000001</v>
      </c>
      <c r="P1402" s="8">
        <v>16.263000000000002</v>
      </c>
      <c r="Q1402" s="8">
        <v>15.249000000000001</v>
      </c>
      <c r="R1402" s="8">
        <v>14.228</v>
      </c>
      <c r="S1402" s="8">
        <v>13.215</v>
      </c>
      <c r="T1402" s="8">
        <v>12.199</v>
      </c>
      <c r="U1402" s="8">
        <v>12.194000000000001</v>
      </c>
      <c r="V1402" s="8">
        <v>10.162000000000001</v>
      </c>
      <c r="W1402" s="8">
        <v>8.1319999999999997</v>
      </c>
      <c r="X1402" s="8">
        <v>5.056</v>
      </c>
      <c r="Y1402" s="8">
        <v>4.282</v>
      </c>
      <c r="Z1402" s="8">
        <v>0.60099999999999998</v>
      </c>
      <c r="AA1402" s="8">
        <v>0.128</v>
      </c>
      <c r="AB1402" s="8">
        <v>2.1000000000000001E-2</v>
      </c>
      <c r="AC1402" s="8">
        <v>1E-3</v>
      </c>
    </row>
    <row r="1403" spans="1:29" ht="11.65" x14ac:dyDescent="0.35">
      <c r="A1403" s="12">
        <v>1386</v>
      </c>
      <c r="B1403" s="10" t="s">
        <v>1015</v>
      </c>
      <c r="C1403" s="11" t="s">
        <v>1116</v>
      </c>
      <c r="D1403" s="9">
        <v>5</v>
      </c>
      <c r="E1403" s="9">
        <v>196</v>
      </c>
      <c r="F1403" s="10" t="s">
        <v>1066</v>
      </c>
      <c r="G1403" s="9">
        <v>922</v>
      </c>
      <c r="H1403" s="9">
        <v>1975</v>
      </c>
      <c r="I1403" s="8">
        <v>30.689</v>
      </c>
      <c r="J1403" s="8">
        <v>30.648</v>
      </c>
      <c r="K1403" s="8">
        <v>31.408000000000001</v>
      </c>
      <c r="L1403" s="8">
        <v>30.733000000000001</v>
      </c>
      <c r="M1403" s="8">
        <v>31.338000000000001</v>
      </c>
      <c r="N1403" s="8">
        <v>25.986999999999998</v>
      </c>
      <c r="O1403" s="8">
        <v>22.294</v>
      </c>
      <c r="P1403" s="8">
        <v>20.007000000000001</v>
      </c>
      <c r="Q1403" s="8">
        <v>17.367000000000001</v>
      </c>
      <c r="R1403" s="8">
        <v>15.561</v>
      </c>
      <c r="S1403" s="8">
        <v>14.324</v>
      </c>
      <c r="T1403" s="8">
        <v>12.802</v>
      </c>
      <c r="U1403" s="8">
        <v>12.14</v>
      </c>
      <c r="V1403" s="8">
        <v>10.231999999999999</v>
      </c>
      <c r="W1403" s="8">
        <v>8.3170000000000002</v>
      </c>
      <c r="X1403" s="8">
        <v>5.2679999999999998</v>
      </c>
      <c r="Y1403" s="8">
        <v>3.177</v>
      </c>
      <c r="Z1403" s="8">
        <v>1.8320000000000001</v>
      </c>
      <c r="AA1403" s="8">
        <v>0.157</v>
      </c>
      <c r="AB1403" s="8">
        <v>1.9E-2</v>
      </c>
      <c r="AC1403" s="8">
        <v>2E-3</v>
      </c>
    </row>
    <row r="1404" spans="1:29" ht="11.65" x14ac:dyDescent="0.35">
      <c r="A1404" s="12">
        <v>1387</v>
      </c>
      <c r="B1404" s="10" t="s">
        <v>1015</v>
      </c>
      <c r="C1404" s="11" t="s">
        <v>1116</v>
      </c>
      <c r="D1404" s="9">
        <v>5</v>
      </c>
      <c r="E1404" s="9">
        <v>196</v>
      </c>
      <c r="F1404" s="10" t="s">
        <v>1066</v>
      </c>
      <c r="G1404" s="9">
        <v>922</v>
      </c>
      <c r="H1404" s="9">
        <v>1980</v>
      </c>
      <c r="I1404" s="8">
        <v>30.873999999999999</v>
      </c>
      <c r="J1404" s="8">
        <v>27.751000000000001</v>
      </c>
      <c r="K1404" s="8">
        <v>29.440999999999999</v>
      </c>
      <c r="L1404" s="8">
        <v>31.372</v>
      </c>
      <c r="M1404" s="8">
        <v>37.243000000000002</v>
      </c>
      <c r="N1404" s="8">
        <v>31.731000000000002</v>
      </c>
      <c r="O1404" s="8">
        <v>26.295999999999999</v>
      </c>
      <c r="P1404" s="8">
        <v>23.71</v>
      </c>
      <c r="Q1404" s="8">
        <v>19.497</v>
      </c>
      <c r="R1404" s="8">
        <v>16.887</v>
      </c>
      <c r="S1404" s="8">
        <v>15.435</v>
      </c>
      <c r="T1404" s="8">
        <v>13.404</v>
      </c>
      <c r="U1404" s="8">
        <v>12.077999999999999</v>
      </c>
      <c r="V1404" s="8">
        <v>10.303000000000001</v>
      </c>
      <c r="W1404" s="8">
        <v>8.4939999999999998</v>
      </c>
      <c r="X1404" s="8">
        <v>5.4889999999999999</v>
      </c>
      <c r="Y1404" s="8">
        <v>3.21</v>
      </c>
      <c r="Z1404" s="8">
        <v>1.3859999999999999</v>
      </c>
      <c r="AA1404" s="8">
        <v>0.504</v>
      </c>
      <c r="AB1404" s="8">
        <v>2.4E-2</v>
      </c>
      <c r="AC1404" s="8">
        <v>2E-3</v>
      </c>
    </row>
    <row r="1405" spans="1:29" ht="11.65" x14ac:dyDescent="0.35">
      <c r="A1405" s="12">
        <v>1388</v>
      </c>
      <c r="B1405" s="10" t="s">
        <v>1015</v>
      </c>
      <c r="C1405" s="11" t="s">
        <v>1116</v>
      </c>
      <c r="D1405" s="9">
        <v>5</v>
      </c>
      <c r="E1405" s="9">
        <v>196</v>
      </c>
      <c r="F1405" s="10" t="s">
        <v>1066</v>
      </c>
      <c r="G1405" s="9">
        <v>922</v>
      </c>
      <c r="H1405" s="9">
        <v>1985</v>
      </c>
      <c r="I1405" s="8">
        <v>33.421999999999997</v>
      </c>
      <c r="J1405" s="8">
        <v>28.716000000000001</v>
      </c>
      <c r="K1405" s="8">
        <v>28.38</v>
      </c>
      <c r="L1405" s="8">
        <v>30.119</v>
      </c>
      <c r="M1405" s="8">
        <v>36.152000000000001</v>
      </c>
      <c r="N1405" s="8">
        <v>32.173999999999999</v>
      </c>
      <c r="O1405" s="8">
        <v>28.126000000000001</v>
      </c>
      <c r="P1405" s="8">
        <v>25.073</v>
      </c>
      <c r="Q1405" s="8">
        <v>21.265999999999998</v>
      </c>
      <c r="R1405" s="8">
        <v>18.437000000000001</v>
      </c>
      <c r="S1405" s="8">
        <v>16.009</v>
      </c>
      <c r="T1405" s="8">
        <v>14.02</v>
      </c>
      <c r="U1405" s="8">
        <v>11.992000000000001</v>
      </c>
      <c r="V1405" s="8">
        <v>10.872999999999999</v>
      </c>
      <c r="W1405" s="8">
        <v>9.0440000000000005</v>
      </c>
      <c r="X1405" s="8">
        <v>5.9989999999999997</v>
      </c>
      <c r="Y1405" s="8">
        <v>3.754</v>
      </c>
      <c r="Z1405" s="8">
        <v>1.43</v>
      </c>
      <c r="AA1405" s="8">
        <v>0.39100000000000001</v>
      </c>
      <c r="AB1405" s="8">
        <v>7.8E-2</v>
      </c>
      <c r="AC1405" s="8">
        <v>2E-3</v>
      </c>
    </row>
    <row r="1406" spans="1:29" ht="11.65" x14ac:dyDescent="0.35">
      <c r="A1406" s="12">
        <v>1389</v>
      </c>
      <c r="B1406" s="10" t="s">
        <v>1015</v>
      </c>
      <c r="C1406" s="11" t="s">
        <v>1116</v>
      </c>
      <c r="D1406" s="9">
        <v>5</v>
      </c>
      <c r="E1406" s="9">
        <v>196</v>
      </c>
      <c r="F1406" s="10" t="s">
        <v>1066</v>
      </c>
      <c r="G1406" s="9">
        <v>922</v>
      </c>
      <c r="H1406" s="9">
        <v>1990</v>
      </c>
      <c r="I1406" s="8">
        <v>36.36</v>
      </c>
      <c r="J1406" s="8">
        <v>34.366999999999997</v>
      </c>
      <c r="K1406" s="8">
        <v>30.334</v>
      </c>
      <c r="L1406" s="8">
        <v>29.832999999999998</v>
      </c>
      <c r="M1406" s="8">
        <v>36.715000000000003</v>
      </c>
      <c r="N1406" s="8">
        <v>33.530999999999999</v>
      </c>
      <c r="O1406" s="8">
        <v>31.638999999999999</v>
      </c>
      <c r="P1406" s="8">
        <v>27.998000000000001</v>
      </c>
      <c r="Q1406" s="8">
        <v>24.885999999999999</v>
      </c>
      <c r="R1406" s="8">
        <v>21.786999999999999</v>
      </c>
      <c r="S1406" s="8">
        <v>18.109000000000002</v>
      </c>
      <c r="T1406" s="8">
        <v>15.605</v>
      </c>
      <c r="U1406" s="8">
        <v>13.068</v>
      </c>
      <c r="V1406" s="8">
        <v>11.573</v>
      </c>
      <c r="W1406" s="8">
        <v>9.2639999999999993</v>
      </c>
      <c r="X1406" s="8">
        <v>6.6580000000000004</v>
      </c>
      <c r="Y1406" s="8">
        <v>4.7149999999999999</v>
      </c>
      <c r="Z1406" s="8">
        <v>1.7070000000000001</v>
      </c>
      <c r="AA1406" s="8">
        <v>0.41299999999999998</v>
      </c>
      <c r="AB1406" s="8">
        <v>6.3E-2</v>
      </c>
      <c r="AC1406" s="8">
        <v>6.0000000000000001E-3</v>
      </c>
    </row>
    <row r="1407" spans="1:29" ht="11.65" x14ac:dyDescent="0.35">
      <c r="A1407" s="12">
        <v>1390</v>
      </c>
      <c r="B1407" s="10" t="s">
        <v>1015</v>
      </c>
      <c r="C1407" s="11" t="s">
        <v>1116</v>
      </c>
      <c r="D1407" s="9">
        <v>5</v>
      </c>
      <c r="E1407" s="9">
        <v>196</v>
      </c>
      <c r="F1407" s="10" t="s">
        <v>1066</v>
      </c>
      <c r="G1407" s="9">
        <v>922</v>
      </c>
      <c r="H1407" s="9">
        <v>1995</v>
      </c>
      <c r="I1407" s="8">
        <v>36.930999999999997</v>
      </c>
      <c r="J1407" s="8">
        <v>35.832000000000001</v>
      </c>
      <c r="K1407" s="8">
        <v>34.786000000000001</v>
      </c>
      <c r="L1407" s="8">
        <v>33.106999999999999</v>
      </c>
      <c r="M1407" s="8">
        <v>38.293999999999997</v>
      </c>
      <c r="N1407" s="8">
        <v>36.042000000000002</v>
      </c>
      <c r="O1407" s="8">
        <v>34.249000000000002</v>
      </c>
      <c r="P1407" s="8">
        <v>32.762999999999998</v>
      </c>
      <c r="Q1407" s="8">
        <v>29.379000000000001</v>
      </c>
      <c r="R1407" s="8">
        <v>25.853999999999999</v>
      </c>
      <c r="S1407" s="8">
        <v>22.291</v>
      </c>
      <c r="T1407" s="8">
        <v>18.361000000000001</v>
      </c>
      <c r="U1407" s="8">
        <v>15.092000000000001</v>
      </c>
      <c r="V1407" s="8">
        <v>12.676</v>
      </c>
      <c r="W1407" s="8">
        <v>10.303000000000001</v>
      </c>
      <c r="X1407" s="8">
        <v>7.3259999999999996</v>
      </c>
      <c r="Y1407" s="8">
        <v>5.7439999999999998</v>
      </c>
      <c r="Z1407" s="8">
        <v>2.1859999999999999</v>
      </c>
      <c r="AA1407" s="8">
        <v>0.505</v>
      </c>
      <c r="AB1407" s="8">
        <v>6.7000000000000004E-2</v>
      </c>
      <c r="AC1407" s="8">
        <v>5.0000000000000001E-3</v>
      </c>
    </row>
    <row r="1408" spans="1:29" ht="11.65" x14ac:dyDescent="0.35">
      <c r="A1408" s="12">
        <v>1391</v>
      </c>
      <c r="B1408" s="10" t="s">
        <v>1015</v>
      </c>
      <c r="C1408" s="11" t="s">
        <v>1116</v>
      </c>
      <c r="D1408" s="9">
        <v>5</v>
      </c>
      <c r="E1408" s="9">
        <v>196</v>
      </c>
      <c r="F1408" s="10" t="s">
        <v>1066</v>
      </c>
      <c r="G1408" s="9">
        <v>922</v>
      </c>
      <c r="H1408" s="9">
        <v>2000</v>
      </c>
      <c r="I1408" s="8">
        <v>34.988999999999997</v>
      </c>
      <c r="J1408" s="8">
        <v>37.390999999999998</v>
      </c>
      <c r="K1408" s="8">
        <v>36.345999999999997</v>
      </c>
      <c r="L1408" s="8">
        <v>40.017000000000003</v>
      </c>
      <c r="M1408" s="8">
        <v>44.101999999999997</v>
      </c>
      <c r="N1408" s="8">
        <v>38.518000000000001</v>
      </c>
      <c r="O1408" s="8">
        <v>35.475999999999999</v>
      </c>
      <c r="P1408" s="8">
        <v>34.959000000000003</v>
      </c>
      <c r="Q1408" s="8">
        <v>34.298999999999999</v>
      </c>
      <c r="R1408" s="8">
        <v>29.449000000000002</v>
      </c>
      <c r="S1408" s="8">
        <v>26.581</v>
      </c>
      <c r="T1408" s="8">
        <v>22.867999999999999</v>
      </c>
      <c r="U1408" s="8">
        <v>17.600999999999999</v>
      </c>
      <c r="V1408" s="8">
        <v>14.22</v>
      </c>
      <c r="W1408" s="8">
        <v>11.321</v>
      </c>
      <c r="X1408" s="8">
        <v>8.0749999999999993</v>
      </c>
      <c r="Y1408" s="8">
        <v>5.742</v>
      </c>
      <c r="Z1408" s="8">
        <v>2.7160000000000002</v>
      </c>
      <c r="AA1408" s="8">
        <v>0.66400000000000003</v>
      </c>
      <c r="AB1408" s="8">
        <v>8.6999999999999994E-2</v>
      </c>
      <c r="AC1408" s="8">
        <v>6.0000000000000001E-3</v>
      </c>
    </row>
    <row r="1409" spans="1:29" ht="11.65" x14ac:dyDescent="0.35">
      <c r="A1409" s="12">
        <v>1392</v>
      </c>
      <c r="B1409" s="10" t="s">
        <v>1015</v>
      </c>
      <c r="C1409" s="11" t="s">
        <v>1116</v>
      </c>
      <c r="D1409" s="9">
        <v>5</v>
      </c>
      <c r="E1409" s="9">
        <v>196</v>
      </c>
      <c r="F1409" s="10" t="s">
        <v>1066</v>
      </c>
      <c r="G1409" s="9">
        <v>922</v>
      </c>
      <c r="H1409" s="9">
        <v>2005</v>
      </c>
      <c r="I1409" s="8">
        <v>31.7</v>
      </c>
      <c r="J1409" s="8">
        <v>35.706000000000003</v>
      </c>
      <c r="K1409" s="8">
        <v>38.398000000000003</v>
      </c>
      <c r="L1409" s="8">
        <v>42.851999999999997</v>
      </c>
      <c r="M1409" s="8">
        <v>52.085999999999999</v>
      </c>
      <c r="N1409" s="8">
        <v>46.037999999999997</v>
      </c>
      <c r="O1409" s="8">
        <v>39.415999999999997</v>
      </c>
      <c r="P1409" s="8">
        <v>35.954999999999998</v>
      </c>
      <c r="Q1409" s="8">
        <v>36.588000000000001</v>
      </c>
      <c r="R1409" s="8">
        <v>34.383000000000003</v>
      </c>
      <c r="S1409" s="8">
        <v>30.585000000000001</v>
      </c>
      <c r="T1409" s="8">
        <v>26.36</v>
      </c>
      <c r="U1409" s="8">
        <v>20.803000000000001</v>
      </c>
      <c r="V1409" s="8">
        <v>17.466000000000001</v>
      </c>
      <c r="W1409" s="8">
        <v>13.037000000000001</v>
      </c>
      <c r="X1409" s="8">
        <v>9.2070000000000007</v>
      </c>
      <c r="Y1409" s="8">
        <v>6.1589999999999998</v>
      </c>
      <c r="Z1409" s="8">
        <v>2.766</v>
      </c>
      <c r="AA1409" s="8">
        <v>0.84499999999999997</v>
      </c>
      <c r="AB1409" s="8">
        <v>0.11600000000000001</v>
      </c>
      <c r="AC1409" s="8">
        <v>8.0000000000000002E-3</v>
      </c>
    </row>
    <row r="1410" spans="1:29" ht="11.65" x14ac:dyDescent="0.35">
      <c r="A1410" s="12">
        <v>1393</v>
      </c>
      <c r="B1410" s="10" t="s">
        <v>1015</v>
      </c>
      <c r="C1410" s="11" t="s">
        <v>1116</v>
      </c>
      <c r="D1410" s="9">
        <v>5</v>
      </c>
      <c r="E1410" s="9">
        <v>196</v>
      </c>
      <c r="F1410" s="10" t="s">
        <v>1066</v>
      </c>
      <c r="G1410" s="9">
        <v>922</v>
      </c>
      <c r="H1410" s="9">
        <v>2010</v>
      </c>
      <c r="I1410" s="8">
        <v>33.055999999999997</v>
      </c>
      <c r="J1410" s="8">
        <v>33.185000000000002</v>
      </c>
      <c r="K1410" s="8">
        <v>36.015000000000001</v>
      </c>
      <c r="L1410" s="8">
        <v>45.069000000000003</v>
      </c>
      <c r="M1410" s="8">
        <v>54.231999999999999</v>
      </c>
      <c r="N1410" s="8">
        <v>50.762999999999998</v>
      </c>
      <c r="O1410" s="8">
        <v>47.167000000000002</v>
      </c>
      <c r="P1410" s="8">
        <v>38.292999999999999</v>
      </c>
      <c r="Q1410" s="8">
        <v>35.258000000000003</v>
      </c>
      <c r="R1410" s="8">
        <v>35.578000000000003</v>
      </c>
      <c r="S1410" s="8">
        <v>34.137999999999998</v>
      </c>
      <c r="T1410" s="8">
        <v>30.187000000000001</v>
      </c>
      <c r="U1410" s="8">
        <v>25.37</v>
      </c>
      <c r="V1410" s="8">
        <v>19.853000000000002</v>
      </c>
      <c r="W1410" s="8">
        <v>15.739000000000001</v>
      </c>
      <c r="X1410" s="8">
        <v>10.547000000000001</v>
      </c>
      <c r="Y1410" s="8">
        <v>7.0659999999999998</v>
      </c>
      <c r="Z1410" s="8">
        <v>3.0219999999999998</v>
      </c>
      <c r="AA1410" s="8">
        <v>0.88300000000000001</v>
      </c>
      <c r="AB1410" s="8">
        <v>0.15</v>
      </c>
      <c r="AC1410" s="8">
        <v>1.0999999999999999E-2</v>
      </c>
    </row>
    <row r="1411" spans="1:29" ht="11.65" x14ac:dyDescent="0.35">
      <c r="A1411" s="12">
        <v>1394</v>
      </c>
      <c r="B1411" s="10" t="s">
        <v>1015</v>
      </c>
      <c r="C1411" s="11" t="s">
        <v>1116</v>
      </c>
      <c r="D1411" s="9">
        <v>5</v>
      </c>
      <c r="E1411" s="9">
        <v>196</v>
      </c>
      <c r="F1411" s="10" t="s">
        <v>1066</v>
      </c>
      <c r="G1411" s="9">
        <v>922</v>
      </c>
      <c r="H1411" s="9">
        <v>2015</v>
      </c>
      <c r="I1411" s="8">
        <v>33.963999999999999</v>
      </c>
      <c r="J1411" s="8">
        <v>33.719000000000001</v>
      </c>
      <c r="K1411" s="8">
        <v>33.570999999999998</v>
      </c>
      <c r="L1411" s="8">
        <v>40.119</v>
      </c>
      <c r="M1411" s="8">
        <v>57.871000000000002</v>
      </c>
      <c r="N1411" s="8">
        <v>55.371000000000002</v>
      </c>
      <c r="O1411" s="8">
        <v>46.883000000000003</v>
      </c>
      <c r="P1411" s="8">
        <v>41.987000000000002</v>
      </c>
      <c r="Q1411" s="8">
        <v>37.838999999999999</v>
      </c>
      <c r="R1411" s="8">
        <v>36.237000000000002</v>
      </c>
      <c r="S1411" s="8">
        <v>35.978000000000002</v>
      </c>
      <c r="T1411" s="8">
        <v>32.335000000000001</v>
      </c>
      <c r="U1411" s="8">
        <v>28.169</v>
      </c>
      <c r="V1411" s="8">
        <v>23.86</v>
      </c>
      <c r="W1411" s="8">
        <v>17.785</v>
      </c>
      <c r="X1411" s="8">
        <v>12.898999999999999</v>
      </c>
      <c r="Y1411" s="8">
        <v>7.95</v>
      </c>
      <c r="Z1411" s="8">
        <v>3.64</v>
      </c>
      <c r="AA1411" s="8">
        <v>1.0309999999999999</v>
      </c>
      <c r="AB1411" s="8">
        <v>0.17199999999999999</v>
      </c>
      <c r="AC1411" s="8">
        <v>1.4999999999999999E-2</v>
      </c>
    </row>
    <row r="1412" spans="1:29" ht="11.65" x14ac:dyDescent="0.35">
      <c r="A1412" s="12">
        <v>1395</v>
      </c>
      <c r="B1412" s="10" t="s">
        <v>1015</v>
      </c>
      <c r="C1412" s="11" t="s">
        <v>1116</v>
      </c>
      <c r="D1412" s="9">
        <v>5</v>
      </c>
      <c r="E1412" s="9">
        <v>196</v>
      </c>
      <c r="F1412" s="10" t="s">
        <v>1066</v>
      </c>
      <c r="G1412" s="9">
        <v>922</v>
      </c>
      <c r="H1412" s="9">
        <v>2020</v>
      </c>
      <c r="I1412" s="8">
        <v>33.386000000000003</v>
      </c>
      <c r="J1412" s="8">
        <v>34.761000000000003</v>
      </c>
      <c r="K1412" s="8">
        <v>34.917000000000002</v>
      </c>
      <c r="L1412" s="8">
        <v>38.438000000000002</v>
      </c>
      <c r="M1412" s="8">
        <v>49.613</v>
      </c>
      <c r="N1412" s="8">
        <v>51.892000000000003</v>
      </c>
      <c r="O1412" s="8">
        <v>49.887</v>
      </c>
      <c r="P1412" s="8">
        <v>45.302</v>
      </c>
      <c r="Q1412" s="8">
        <v>42.313000000000002</v>
      </c>
      <c r="R1412" s="8">
        <v>39.015999999999998</v>
      </c>
      <c r="S1412" s="8">
        <v>36.917999999999999</v>
      </c>
      <c r="T1412" s="8">
        <v>36.218000000000004</v>
      </c>
      <c r="U1412" s="8">
        <v>31.495000000000001</v>
      </c>
      <c r="V1412" s="8">
        <v>27.053000000000001</v>
      </c>
      <c r="W1412" s="8">
        <v>21.628</v>
      </c>
      <c r="X1412" s="8">
        <v>14.885999999999999</v>
      </c>
      <c r="Y1412" s="8">
        <v>9.9670000000000005</v>
      </c>
      <c r="Z1412" s="8">
        <v>4.2809999999999997</v>
      </c>
      <c r="AA1412" s="8">
        <v>1.3120000000000001</v>
      </c>
      <c r="AB1412" s="8">
        <v>0.21299999999999999</v>
      </c>
      <c r="AC1412" s="8">
        <v>1.7999999999999999E-2</v>
      </c>
    </row>
    <row r="1413" spans="1:29" ht="11.65" x14ac:dyDescent="0.35">
      <c r="A1413" s="12">
        <v>1396</v>
      </c>
      <c r="B1413" s="10" t="s">
        <v>1015</v>
      </c>
      <c r="C1413" s="11" t="s">
        <v>1117</v>
      </c>
      <c r="D1413" s="9">
        <v>6</v>
      </c>
      <c r="E1413" s="9">
        <v>268</v>
      </c>
      <c r="F1413" s="10" t="s">
        <v>1066</v>
      </c>
      <c r="G1413" s="9">
        <v>922</v>
      </c>
      <c r="H1413" s="9">
        <v>1950</v>
      </c>
      <c r="I1413" s="8">
        <v>140.864</v>
      </c>
      <c r="J1413" s="8">
        <v>123.351</v>
      </c>
      <c r="K1413" s="8">
        <v>189.80699999999999</v>
      </c>
      <c r="L1413" s="8">
        <v>170.4</v>
      </c>
      <c r="M1413" s="8">
        <v>185.358</v>
      </c>
      <c r="N1413" s="8">
        <v>103.565</v>
      </c>
      <c r="O1413" s="8">
        <v>73.272000000000006</v>
      </c>
      <c r="P1413" s="8">
        <v>96.275999999999996</v>
      </c>
      <c r="Q1413" s="8">
        <v>95.14</v>
      </c>
      <c r="R1413" s="8">
        <v>86.052999999999997</v>
      </c>
      <c r="S1413" s="8">
        <v>68.823999999999998</v>
      </c>
      <c r="T1413" s="8">
        <v>70.337000000000003</v>
      </c>
      <c r="U1413" s="8">
        <v>80.846000000000004</v>
      </c>
      <c r="V1413" s="8">
        <v>60.587000000000003</v>
      </c>
      <c r="W1413" s="8">
        <v>42.598999999999997</v>
      </c>
      <c r="X1413" s="8">
        <v>24.803000000000001</v>
      </c>
      <c r="Y1413" s="8">
        <v>11.497999999999999</v>
      </c>
      <c r="Z1413" s="8">
        <v>4.33</v>
      </c>
      <c r="AA1413" s="8">
        <v>1.1100000000000001</v>
      </c>
      <c r="AB1413" s="8">
        <v>0.18099999999999999</v>
      </c>
      <c r="AC1413" s="8">
        <v>1.7999999999999999E-2</v>
      </c>
    </row>
    <row r="1414" spans="1:29" ht="11.65" x14ac:dyDescent="0.35">
      <c r="A1414" s="12">
        <v>1397</v>
      </c>
      <c r="B1414" s="10" t="s">
        <v>1015</v>
      </c>
      <c r="C1414" s="11" t="s">
        <v>1117</v>
      </c>
      <c r="D1414" s="9">
        <v>6</v>
      </c>
      <c r="E1414" s="9">
        <v>268</v>
      </c>
      <c r="F1414" s="10" t="s">
        <v>1066</v>
      </c>
      <c r="G1414" s="9">
        <v>922</v>
      </c>
      <c r="H1414" s="9">
        <v>1955</v>
      </c>
      <c r="I1414" s="8">
        <v>195.19900000000001</v>
      </c>
      <c r="J1414" s="8">
        <v>142.542</v>
      </c>
      <c r="K1414" s="8">
        <v>124.259</v>
      </c>
      <c r="L1414" s="8">
        <v>189.64099999999999</v>
      </c>
      <c r="M1414" s="8">
        <v>170.31100000000001</v>
      </c>
      <c r="N1414" s="8">
        <v>184.464</v>
      </c>
      <c r="O1414" s="8">
        <v>103.383</v>
      </c>
      <c r="P1414" s="8">
        <v>72.052000000000007</v>
      </c>
      <c r="Q1414" s="8">
        <v>92.358999999999995</v>
      </c>
      <c r="R1414" s="8">
        <v>89.825000000000003</v>
      </c>
      <c r="S1414" s="8">
        <v>79.665999999999997</v>
      </c>
      <c r="T1414" s="8">
        <v>62.402999999999999</v>
      </c>
      <c r="U1414" s="8">
        <v>61.838999999999999</v>
      </c>
      <c r="V1414" s="8">
        <v>66.188000000000002</v>
      </c>
      <c r="W1414" s="8">
        <v>44.301000000000002</v>
      </c>
      <c r="X1414" s="8">
        <v>26.382999999999999</v>
      </c>
      <c r="Y1414" s="8">
        <v>11.848000000000001</v>
      </c>
      <c r="Z1414" s="8">
        <v>3.6139999999999999</v>
      </c>
      <c r="AA1414" s="8">
        <v>0.73799999999999999</v>
      </c>
      <c r="AB1414" s="8">
        <v>9.8000000000000004E-2</v>
      </c>
      <c r="AC1414" s="8">
        <v>8.9999999999999993E-3</v>
      </c>
    </row>
    <row r="1415" spans="1:29" ht="11.65" x14ac:dyDescent="0.35">
      <c r="A1415" s="12">
        <v>1398</v>
      </c>
      <c r="B1415" s="10" t="s">
        <v>1015</v>
      </c>
      <c r="C1415" s="11" t="s">
        <v>1117</v>
      </c>
      <c r="D1415" s="9">
        <v>6</v>
      </c>
      <c r="E1415" s="9">
        <v>268</v>
      </c>
      <c r="F1415" s="10" t="s">
        <v>1066</v>
      </c>
      <c r="G1415" s="9">
        <v>922</v>
      </c>
      <c r="H1415" s="9">
        <v>1960</v>
      </c>
      <c r="I1415" s="8">
        <v>233.10499999999999</v>
      </c>
      <c r="J1415" s="8">
        <v>200.28399999999999</v>
      </c>
      <c r="K1415" s="8">
        <v>145.83699999999999</v>
      </c>
      <c r="L1415" s="8">
        <v>125.405</v>
      </c>
      <c r="M1415" s="8">
        <v>189.32599999999999</v>
      </c>
      <c r="N1415" s="8">
        <v>169.85400000000001</v>
      </c>
      <c r="O1415" s="8">
        <v>182.90899999999999</v>
      </c>
      <c r="P1415" s="8">
        <v>103.104</v>
      </c>
      <c r="Q1415" s="8">
        <v>70.754000000000005</v>
      </c>
      <c r="R1415" s="8">
        <v>88.052000000000007</v>
      </c>
      <c r="S1415" s="8">
        <v>83.923000000000002</v>
      </c>
      <c r="T1415" s="8">
        <v>72.819000000000003</v>
      </c>
      <c r="U1415" s="8">
        <v>55.332999999999998</v>
      </c>
      <c r="V1415" s="8">
        <v>51.454999999999998</v>
      </c>
      <c r="W1415" s="8">
        <v>49.027000000000001</v>
      </c>
      <c r="X1415" s="8">
        <v>28.010999999999999</v>
      </c>
      <c r="Y1415" s="8">
        <v>13.21</v>
      </c>
      <c r="Z1415" s="8">
        <v>3.9740000000000002</v>
      </c>
      <c r="AA1415" s="8">
        <v>0.67600000000000005</v>
      </c>
      <c r="AB1415" s="8">
        <v>7.3999999999999996E-2</v>
      </c>
      <c r="AC1415" s="8">
        <v>5.0000000000000001E-3</v>
      </c>
    </row>
    <row r="1416" spans="1:29" ht="11.65" x14ac:dyDescent="0.35">
      <c r="A1416" s="12">
        <v>1399</v>
      </c>
      <c r="B1416" s="10" t="s">
        <v>1015</v>
      </c>
      <c r="C1416" s="11" t="s">
        <v>1117</v>
      </c>
      <c r="D1416" s="9">
        <v>6</v>
      </c>
      <c r="E1416" s="9">
        <v>268</v>
      </c>
      <c r="F1416" s="10" t="s">
        <v>1066</v>
      </c>
      <c r="G1416" s="9">
        <v>922</v>
      </c>
      <c r="H1416" s="9">
        <v>1965</v>
      </c>
      <c r="I1416" s="8">
        <v>250.482</v>
      </c>
      <c r="J1416" s="8">
        <v>241.649</v>
      </c>
      <c r="K1416" s="8">
        <v>206.934</v>
      </c>
      <c r="L1416" s="8">
        <v>150.53100000000001</v>
      </c>
      <c r="M1416" s="8">
        <v>126.387</v>
      </c>
      <c r="N1416" s="8">
        <v>188.50299999999999</v>
      </c>
      <c r="O1416" s="8">
        <v>168.697</v>
      </c>
      <c r="P1416" s="8">
        <v>180.81899999999999</v>
      </c>
      <c r="Q1416" s="8">
        <v>102.482</v>
      </c>
      <c r="R1416" s="8">
        <v>69.061000000000007</v>
      </c>
      <c r="S1416" s="8">
        <v>83.094999999999999</v>
      </c>
      <c r="T1416" s="8">
        <v>77.427000000000007</v>
      </c>
      <c r="U1416" s="8">
        <v>65.116</v>
      </c>
      <c r="V1416" s="8">
        <v>46.526000000000003</v>
      </c>
      <c r="W1416" s="8">
        <v>38.973999999999997</v>
      </c>
      <c r="X1416" s="8">
        <v>31.489000000000001</v>
      </c>
      <c r="Y1416" s="8">
        <v>14.406000000000001</v>
      </c>
      <c r="Z1416" s="8">
        <v>4.718</v>
      </c>
      <c r="AA1416" s="8">
        <v>0.81499999999999995</v>
      </c>
      <c r="AB1416" s="8">
        <v>7.4999999999999997E-2</v>
      </c>
      <c r="AC1416" s="8">
        <v>5.0000000000000001E-3</v>
      </c>
    </row>
    <row r="1417" spans="1:29" ht="11.65" x14ac:dyDescent="0.35">
      <c r="A1417" s="12">
        <v>1400</v>
      </c>
      <c r="B1417" s="10" t="s">
        <v>1015</v>
      </c>
      <c r="C1417" s="11" t="s">
        <v>1117</v>
      </c>
      <c r="D1417" s="9">
        <v>6</v>
      </c>
      <c r="E1417" s="9">
        <v>268</v>
      </c>
      <c r="F1417" s="10" t="s">
        <v>1066</v>
      </c>
      <c r="G1417" s="9">
        <v>922</v>
      </c>
      <c r="H1417" s="9">
        <v>1970</v>
      </c>
      <c r="I1417" s="8">
        <v>233.892</v>
      </c>
      <c r="J1417" s="8">
        <v>256.42500000000001</v>
      </c>
      <c r="K1417" s="8">
        <v>249.54400000000001</v>
      </c>
      <c r="L1417" s="8">
        <v>212.178</v>
      </c>
      <c r="M1417" s="8">
        <v>153.988</v>
      </c>
      <c r="N1417" s="8">
        <v>126.669</v>
      </c>
      <c r="O1417" s="8">
        <v>186.661</v>
      </c>
      <c r="P1417" s="8">
        <v>166.59800000000001</v>
      </c>
      <c r="Q1417" s="8">
        <v>177.57900000000001</v>
      </c>
      <c r="R1417" s="8">
        <v>100.651</v>
      </c>
      <c r="S1417" s="8">
        <v>66.453999999999994</v>
      </c>
      <c r="T1417" s="8">
        <v>77.378</v>
      </c>
      <c r="U1417" s="8">
        <v>69.944000000000003</v>
      </c>
      <c r="V1417" s="8">
        <v>55.445999999999998</v>
      </c>
      <c r="W1417" s="8">
        <v>35.909999999999997</v>
      </c>
      <c r="X1417" s="8">
        <v>26.045000000000002</v>
      </c>
      <c r="Y1417" s="8">
        <v>16.736000000000001</v>
      </c>
      <c r="Z1417" s="8">
        <v>5.4569999999999999</v>
      </c>
      <c r="AA1417" s="8">
        <v>1.115</v>
      </c>
      <c r="AB1417" s="8">
        <v>0.11</v>
      </c>
      <c r="AC1417" s="8">
        <v>6.0000000000000001E-3</v>
      </c>
    </row>
    <row r="1418" spans="1:29" ht="11.65" x14ac:dyDescent="0.35">
      <c r="A1418" s="12">
        <v>1401</v>
      </c>
      <c r="B1418" s="10" t="s">
        <v>1015</v>
      </c>
      <c r="C1418" s="11" t="s">
        <v>1117</v>
      </c>
      <c r="D1418" s="9">
        <v>6</v>
      </c>
      <c r="E1418" s="9">
        <v>268</v>
      </c>
      <c r="F1418" s="10" t="s">
        <v>1066</v>
      </c>
      <c r="G1418" s="9">
        <v>922</v>
      </c>
      <c r="H1418" s="9">
        <v>1975</v>
      </c>
      <c r="I1418" s="8">
        <v>218.27799999999999</v>
      </c>
      <c r="J1418" s="8">
        <v>227.721</v>
      </c>
      <c r="K1418" s="8">
        <v>250.52</v>
      </c>
      <c r="L1418" s="8">
        <v>236.17</v>
      </c>
      <c r="M1418" s="8">
        <v>195.19900000000001</v>
      </c>
      <c r="N1418" s="8">
        <v>144.196</v>
      </c>
      <c r="O1418" s="8">
        <v>123.291</v>
      </c>
      <c r="P1418" s="8">
        <v>184.21100000000001</v>
      </c>
      <c r="Q1418" s="8">
        <v>161.61600000000001</v>
      </c>
      <c r="R1418" s="8">
        <v>171.327</v>
      </c>
      <c r="S1418" s="8">
        <v>95.784000000000006</v>
      </c>
      <c r="T1418" s="8">
        <v>61.862000000000002</v>
      </c>
      <c r="U1418" s="8">
        <v>70.147999999999996</v>
      </c>
      <c r="V1418" s="8">
        <v>59.284999999999997</v>
      </c>
      <c r="W1418" s="8">
        <v>43.545000000000002</v>
      </c>
      <c r="X1418" s="8">
        <v>24.818999999999999</v>
      </c>
      <c r="Y1418" s="8">
        <v>15.15</v>
      </c>
      <c r="Z1418" s="8">
        <v>7.0190000000000001</v>
      </c>
      <c r="AA1418" s="8">
        <v>1.403</v>
      </c>
      <c r="AB1418" s="8">
        <v>0.17</v>
      </c>
      <c r="AC1418" s="8">
        <v>0.01</v>
      </c>
    </row>
    <row r="1419" spans="1:29" ht="11.65" x14ac:dyDescent="0.35">
      <c r="A1419" s="12">
        <v>1402</v>
      </c>
      <c r="B1419" s="10" t="s">
        <v>1015</v>
      </c>
      <c r="C1419" s="11" t="s">
        <v>1117</v>
      </c>
      <c r="D1419" s="9">
        <v>6</v>
      </c>
      <c r="E1419" s="9">
        <v>268</v>
      </c>
      <c r="F1419" s="10" t="s">
        <v>1066</v>
      </c>
      <c r="G1419" s="9">
        <v>922</v>
      </c>
      <c r="H1419" s="9">
        <v>1980</v>
      </c>
      <c r="I1419" s="8">
        <v>216.87100000000001</v>
      </c>
      <c r="J1419" s="8">
        <v>210.029</v>
      </c>
      <c r="K1419" s="8">
        <v>222.41</v>
      </c>
      <c r="L1419" s="8">
        <v>244.62700000000001</v>
      </c>
      <c r="M1419" s="8">
        <v>222.59700000000001</v>
      </c>
      <c r="N1419" s="8">
        <v>177.917</v>
      </c>
      <c r="O1419" s="8">
        <v>134.02500000000001</v>
      </c>
      <c r="P1419" s="8">
        <v>119.583</v>
      </c>
      <c r="Q1419" s="8">
        <v>181.11</v>
      </c>
      <c r="R1419" s="8">
        <v>155.751</v>
      </c>
      <c r="S1419" s="8">
        <v>163.68100000000001</v>
      </c>
      <c r="T1419" s="8">
        <v>90.067999999999998</v>
      </c>
      <c r="U1419" s="8">
        <v>56.496000000000002</v>
      </c>
      <c r="V1419" s="8">
        <v>60.841000000000001</v>
      </c>
      <c r="W1419" s="8">
        <v>46.442999999999998</v>
      </c>
      <c r="X1419" s="8">
        <v>30.7</v>
      </c>
      <c r="Y1419" s="8">
        <v>14.673999999999999</v>
      </c>
      <c r="Z1419" s="8">
        <v>6.5780000000000003</v>
      </c>
      <c r="AA1419" s="8">
        <v>2.0249999999999999</v>
      </c>
      <c r="AB1419" s="8">
        <v>0.248</v>
      </c>
      <c r="AC1419" s="8">
        <v>1.7999999999999999E-2</v>
      </c>
    </row>
    <row r="1420" spans="1:29" ht="11.65" x14ac:dyDescent="0.35">
      <c r="A1420" s="12">
        <v>1403</v>
      </c>
      <c r="B1420" s="10" t="s">
        <v>1015</v>
      </c>
      <c r="C1420" s="11" t="s">
        <v>1117</v>
      </c>
      <c r="D1420" s="9">
        <v>6</v>
      </c>
      <c r="E1420" s="9">
        <v>268</v>
      </c>
      <c r="F1420" s="10" t="s">
        <v>1066</v>
      </c>
      <c r="G1420" s="9">
        <v>922</v>
      </c>
      <c r="H1420" s="9">
        <v>1985</v>
      </c>
      <c r="I1420" s="8">
        <v>233.96</v>
      </c>
      <c r="J1420" s="8">
        <v>215.80799999999999</v>
      </c>
      <c r="K1420" s="8">
        <v>210.44300000000001</v>
      </c>
      <c r="L1420" s="8">
        <v>215.53200000000001</v>
      </c>
      <c r="M1420" s="8">
        <v>231.846</v>
      </c>
      <c r="N1420" s="8">
        <v>213.952</v>
      </c>
      <c r="O1420" s="8">
        <v>176.286</v>
      </c>
      <c r="P1420" s="8">
        <v>135.298</v>
      </c>
      <c r="Q1420" s="8">
        <v>119.629</v>
      </c>
      <c r="R1420" s="8">
        <v>175.852</v>
      </c>
      <c r="S1420" s="8">
        <v>146.34700000000001</v>
      </c>
      <c r="T1420" s="8">
        <v>152.541</v>
      </c>
      <c r="U1420" s="8">
        <v>81.320999999999998</v>
      </c>
      <c r="V1420" s="8">
        <v>48.009</v>
      </c>
      <c r="W1420" s="8">
        <v>47.509</v>
      </c>
      <c r="X1420" s="8">
        <v>31.553999999999998</v>
      </c>
      <c r="Y1420" s="8">
        <v>17.257000000000001</v>
      </c>
      <c r="Z1420" s="8">
        <v>6.2130000000000001</v>
      </c>
      <c r="AA1420" s="8">
        <v>1.8520000000000001</v>
      </c>
      <c r="AB1420" s="8">
        <v>0.34499999999999997</v>
      </c>
      <c r="AC1420" s="8">
        <v>2.5000000000000001E-2</v>
      </c>
    </row>
    <row r="1421" spans="1:29" ht="11.65" x14ac:dyDescent="0.35">
      <c r="A1421" s="12">
        <v>1404</v>
      </c>
      <c r="B1421" s="10" t="s">
        <v>1015</v>
      </c>
      <c r="C1421" s="11" t="s">
        <v>1117</v>
      </c>
      <c r="D1421" s="9">
        <v>6</v>
      </c>
      <c r="E1421" s="9">
        <v>268</v>
      </c>
      <c r="F1421" s="10" t="s">
        <v>1066</v>
      </c>
      <c r="G1421" s="9">
        <v>922</v>
      </c>
      <c r="H1421" s="9">
        <v>1990</v>
      </c>
      <c r="I1421" s="8">
        <v>239.79300000000001</v>
      </c>
      <c r="J1421" s="8">
        <v>232.94800000000001</v>
      </c>
      <c r="K1421" s="8">
        <v>216.434</v>
      </c>
      <c r="L1421" s="8">
        <v>211.886</v>
      </c>
      <c r="M1421" s="8">
        <v>208.40199999999999</v>
      </c>
      <c r="N1421" s="8">
        <v>218.59299999999999</v>
      </c>
      <c r="O1421" s="8">
        <v>204.595</v>
      </c>
      <c r="P1421" s="8">
        <v>174.01300000000001</v>
      </c>
      <c r="Q1421" s="8">
        <v>135.89099999999999</v>
      </c>
      <c r="R1421" s="8">
        <v>118.765</v>
      </c>
      <c r="S1421" s="8">
        <v>168.78899999999999</v>
      </c>
      <c r="T1421" s="8">
        <v>135.42099999999999</v>
      </c>
      <c r="U1421" s="8">
        <v>139.00800000000001</v>
      </c>
      <c r="V1421" s="8">
        <v>69.933999999999997</v>
      </c>
      <c r="W1421" s="8">
        <v>37.502000000000002</v>
      </c>
      <c r="X1421" s="8">
        <v>32.764000000000003</v>
      </c>
      <c r="Y1421" s="8">
        <v>17.742000000000001</v>
      </c>
      <c r="Z1421" s="8">
        <v>7.4480000000000004</v>
      </c>
      <c r="AA1421" s="8">
        <v>1.8320000000000001</v>
      </c>
      <c r="AB1421" s="8">
        <v>0.33500000000000002</v>
      </c>
      <c r="AC1421" s="8">
        <v>3.6999999999999998E-2</v>
      </c>
    </row>
    <row r="1422" spans="1:29" ht="11.65" x14ac:dyDescent="0.35">
      <c r="A1422" s="12">
        <v>1405</v>
      </c>
      <c r="B1422" s="10" t="s">
        <v>1015</v>
      </c>
      <c r="C1422" s="11" t="s">
        <v>1117</v>
      </c>
      <c r="D1422" s="9">
        <v>6</v>
      </c>
      <c r="E1422" s="9">
        <v>268</v>
      </c>
      <c r="F1422" s="10" t="s">
        <v>1066</v>
      </c>
      <c r="G1422" s="9">
        <v>922</v>
      </c>
      <c r="H1422" s="9">
        <v>1995</v>
      </c>
      <c r="I1422" s="8">
        <v>175.70500000000001</v>
      </c>
      <c r="J1422" s="8">
        <v>185.489</v>
      </c>
      <c r="K1422" s="8">
        <v>211.30799999999999</v>
      </c>
      <c r="L1422" s="8">
        <v>209.08699999999999</v>
      </c>
      <c r="M1422" s="8">
        <v>181.68600000000001</v>
      </c>
      <c r="N1422" s="8">
        <v>188.68899999999999</v>
      </c>
      <c r="O1422" s="8">
        <v>179.148</v>
      </c>
      <c r="P1422" s="8">
        <v>160.512</v>
      </c>
      <c r="Q1422" s="8">
        <v>156.27600000000001</v>
      </c>
      <c r="R1422" s="8">
        <v>140.66499999999999</v>
      </c>
      <c r="S1422" s="8">
        <v>141.541</v>
      </c>
      <c r="T1422" s="8">
        <v>102.506</v>
      </c>
      <c r="U1422" s="8">
        <v>109.568</v>
      </c>
      <c r="V1422" s="8">
        <v>100.121</v>
      </c>
      <c r="W1422" s="8">
        <v>44.003</v>
      </c>
      <c r="X1422" s="8">
        <v>48.442</v>
      </c>
      <c r="Y1422" s="8">
        <v>12.401999999999999</v>
      </c>
      <c r="Z1422" s="8">
        <v>5.7169999999999996</v>
      </c>
      <c r="AA1422" s="8">
        <v>2.19</v>
      </c>
      <c r="AB1422" s="8">
        <v>0.33300000000000002</v>
      </c>
      <c r="AC1422" s="8">
        <v>3.7999999999999999E-2</v>
      </c>
    </row>
    <row r="1423" spans="1:29" ht="11.65" x14ac:dyDescent="0.35">
      <c r="A1423" s="12">
        <v>1406</v>
      </c>
      <c r="B1423" s="10" t="s">
        <v>1015</v>
      </c>
      <c r="C1423" s="11" t="s">
        <v>1117</v>
      </c>
      <c r="D1423" s="9">
        <v>6</v>
      </c>
      <c r="E1423" s="9">
        <v>268</v>
      </c>
      <c r="F1423" s="10" t="s">
        <v>1066</v>
      </c>
      <c r="G1423" s="9">
        <v>922</v>
      </c>
      <c r="H1423" s="9">
        <v>2000</v>
      </c>
      <c r="I1423" s="8">
        <v>136.376</v>
      </c>
      <c r="J1423" s="8">
        <v>153.48500000000001</v>
      </c>
      <c r="K1423" s="8">
        <v>185.94200000000001</v>
      </c>
      <c r="L1423" s="8">
        <v>183.44399999999999</v>
      </c>
      <c r="M1423" s="8">
        <v>165.56399999999999</v>
      </c>
      <c r="N1423" s="8">
        <v>155.73400000000001</v>
      </c>
      <c r="O1423" s="8">
        <v>141.51900000000001</v>
      </c>
      <c r="P1423" s="8">
        <v>154.511</v>
      </c>
      <c r="Q1423" s="8">
        <v>153.92599999999999</v>
      </c>
      <c r="R1423" s="8">
        <v>128.66200000000001</v>
      </c>
      <c r="S1423" s="8">
        <v>115.07899999999999</v>
      </c>
      <c r="T1423" s="8">
        <v>69.572999999999993</v>
      </c>
      <c r="U1423" s="8">
        <v>108.61499999999999</v>
      </c>
      <c r="V1423" s="8">
        <v>89.102999999999994</v>
      </c>
      <c r="W1423" s="8">
        <v>68.278000000000006</v>
      </c>
      <c r="X1423" s="8">
        <v>42.99</v>
      </c>
      <c r="Y1423" s="8">
        <v>14.696999999999999</v>
      </c>
      <c r="Z1423" s="8">
        <v>2.7309999999999999</v>
      </c>
      <c r="AA1423" s="8">
        <v>1.621</v>
      </c>
      <c r="AB1423" s="8">
        <v>0.35599999999999998</v>
      </c>
      <c r="AC1423" s="8">
        <v>3.3000000000000002E-2</v>
      </c>
    </row>
    <row r="1424" spans="1:29" ht="11.65" x14ac:dyDescent="0.35">
      <c r="A1424" s="12">
        <v>1407</v>
      </c>
      <c r="B1424" s="10" t="s">
        <v>1015</v>
      </c>
      <c r="C1424" s="11" t="s">
        <v>1117</v>
      </c>
      <c r="D1424" s="9">
        <v>6</v>
      </c>
      <c r="E1424" s="9">
        <v>268</v>
      </c>
      <c r="F1424" s="10" t="s">
        <v>1066</v>
      </c>
      <c r="G1424" s="9">
        <v>922</v>
      </c>
      <c r="H1424" s="9">
        <v>2005</v>
      </c>
      <c r="I1424" s="8">
        <v>123.82599999999999</v>
      </c>
      <c r="J1424" s="8">
        <v>135.958</v>
      </c>
      <c r="K1424" s="8">
        <v>163.43299999999999</v>
      </c>
      <c r="L1424" s="8">
        <v>178.29400000000001</v>
      </c>
      <c r="M1424" s="8">
        <v>165.45</v>
      </c>
      <c r="N1424" s="8">
        <v>150.215</v>
      </c>
      <c r="O1424" s="8">
        <v>139.04300000000001</v>
      </c>
      <c r="P1424" s="8">
        <v>135.81700000000001</v>
      </c>
      <c r="Q1424" s="8">
        <v>153.25800000000001</v>
      </c>
      <c r="R1424" s="8">
        <v>139.84700000000001</v>
      </c>
      <c r="S1424" s="8">
        <v>118.05800000000001</v>
      </c>
      <c r="T1424" s="8">
        <v>89.82</v>
      </c>
      <c r="U1424" s="8">
        <v>73.388000000000005</v>
      </c>
      <c r="V1424" s="8">
        <v>97.521000000000001</v>
      </c>
      <c r="W1424" s="8">
        <v>66.713999999999999</v>
      </c>
      <c r="X1424" s="8">
        <v>51.695999999999998</v>
      </c>
      <c r="Y1424" s="8">
        <v>18.55</v>
      </c>
      <c r="Z1424" s="8">
        <v>4.8659999999999997</v>
      </c>
      <c r="AA1424" s="8">
        <v>0.74</v>
      </c>
      <c r="AB1424" s="8">
        <v>0.245</v>
      </c>
      <c r="AC1424" s="8">
        <v>3.1E-2</v>
      </c>
    </row>
    <row r="1425" spans="1:29" ht="11.65" x14ac:dyDescent="0.35">
      <c r="A1425" s="12">
        <v>1408</v>
      </c>
      <c r="B1425" s="10" t="s">
        <v>1015</v>
      </c>
      <c r="C1425" s="11" t="s">
        <v>1117</v>
      </c>
      <c r="D1425" s="9">
        <v>6</v>
      </c>
      <c r="E1425" s="9">
        <v>268</v>
      </c>
      <c r="F1425" s="10" t="s">
        <v>1066</v>
      </c>
      <c r="G1425" s="9">
        <v>922</v>
      </c>
      <c r="H1425" s="9">
        <v>2010</v>
      </c>
      <c r="I1425" s="8">
        <v>137.92599999999999</v>
      </c>
      <c r="J1425" s="8">
        <v>119.52200000000001</v>
      </c>
      <c r="K1425" s="8">
        <v>132.25899999999999</v>
      </c>
      <c r="L1425" s="8">
        <v>154.988</v>
      </c>
      <c r="M1425" s="8">
        <v>163.93199999999999</v>
      </c>
      <c r="N1425" s="8">
        <v>150.77199999999999</v>
      </c>
      <c r="O1425" s="8">
        <v>139.63399999999999</v>
      </c>
      <c r="P1425" s="8">
        <v>132.83600000000001</v>
      </c>
      <c r="Q1425" s="8">
        <v>127.675</v>
      </c>
      <c r="R1425" s="8">
        <v>144.869</v>
      </c>
      <c r="S1425" s="8">
        <v>131.006</v>
      </c>
      <c r="T1425" s="8">
        <v>111.547</v>
      </c>
      <c r="U1425" s="8">
        <v>83.656000000000006</v>
      </c>
      <c r="V1425" s="8">
        <v>61.747999999999998</v>
      </c>
      <c r="W1425" s="8">
        <v>76.858000000000004</v>
      </c>
      <c r="X1425" s="8">
        <v>46.411000000000001</v>
      </c>
      <c r="Y1425" s="8">
        <v>28.114999999999998</v>
      </c>
      <c r="Z1425" s="8">
        <v>7.6539999999999999</v>
      </c>
      <c r="AA1425" s="8">
        <v>1.44</v>
      </c>
      <c r="AB1425" s="8">
        <v>0.13400000000000001</v>
      </c>
      <c r="AC1425" s="8">
        <v>2.8000000000000001E-2</v>
      </c>
    </row>
    <row r="1426" spans="1:29" ht="11.65" x14ac:dyDescent="0.35">
      <c r="A1426" s="12">
        <v>1409</v>
      </c>
      <c r="B1426" s="10" t="s">
        <v>1015</v>
      </c>
      <c r="C1426" s="11" t="s">
        <v>1117</v>
      </c>
      <c r="D1426" s="9">
        <v>6</v>
      </c>
      <c r="E1426" s="9">
        <v>268</v>
      </c>
      <c r="F1426" s="10" t="s">
        <v>1066</v>
      </c>
      <c r="G1426" s="9">
        <v>922</v>
      </c>
      <c r="H1426" s="9">
        <v>2015</v>
      </c>
      <c r="I1426" s="8">
        <v>148.96799999999999</v>
      </c>
      <c r="J1426" s="8">
        <v>134.15600000000001</v>
      </c>
      <c r="K1426" s="8">
        <v>117.322</v>
      </c>
      <c r="L1426" s="8">
        <v>127.782</v>
      </c>
      <c r="M1426" s="8">
        <v>141.405</v>
      </c>
      <c r="N1426" s="8">
        <v>149.66200000000001</v>
      </c>
      <c r="O1426" s="8">
        <v>140.602</v>
      </c>
      <c r="P1426" s="8">
        <v>133.042</v>
      </c>
      <c r="Q1426" s="8">
        <v>127.956</v>
      </c>
      <c r="R1426" s="8">
        <v>122.03</v>
      </c>
      <c r="S1426" s="8">
        <v>136.637</v>
      </c>
      <c r="T1426" s="8">
        <v>122.267</v>
      </c>
      <c r="U1426" s="8">
        <v>101.83</v>
      </c>
      <c r="V1426" s="8">
        <v>73.150999999999996</v>
      </c>
      <c r="W1426" s="8">
        <v>50.149000000000001</v>
      </c>
      <c r="X1426" s="8">
        <v>54.29</v>
      </c>
      <c r="Y1426" s="8">
        <v>26.507999999999999</v>
      </c>
      <c r="Z1426" s="8">
        <v>11.763999999999999</v>
      </c>
      <c r="AA1426" s="8">
        <v>2.0139999999999998</v>
      </c>
      <c r="AB1426" s="8">
        <v>0.20100000000000001</v>
      </c>
      <c r="AC1426" s="8">
        <v>1.2E-2</v>
      </c>
    </row>
    <row r="1427" spans="1:29" ht="11.65" x14ac:dyDescent="0.35">
      <c r="A1427" s="12">
        <v>1410</v>
      </c>
      <c r="B1427" s="10" t="s">
        <v>1015</v>
      </c>
      <c r="C1427" s="11" t="s">
        <v>1117</v>
      </c>
      <c r="D1427" s="9">
        <v>6</v>
      </c>
      <c r="E1427" s="9">
        <v>268</v>
      </c>
      <c r="F1427" s="10" t="s">
        <v>1066</v>
      </c>
      <c r="G1427" s="9">
        <v>922</v>
      </c>
      <c r="H1427" s="9">
        <v>2020</v>
      </c>
      <c r="I1427" s="8">
        <v>138.25800000000001</v>
      </c>
      <c r="J1427" s="8">
        <v>147.779</v>
      </c>
      <c r="K1427" s="8">
        <v>133.42099999999999</v>
      </c>
      <c r="L1427" s="8">
        <v>115.38800000000001</v>
      </c>
      <c r="M1427" s="8">
        <v>123.191</v>
      </c>
      <c r="N1427" s="8">
        <v>135.42099999999999</v>
      </c>
      <c r="O1427" s="8">
        <v>144</v>
      </c>
      <c r="P1427" s="8">
        <v>135.61600000000001</v>
      </c>
      <c r="Q1427" s="8">
        <v>128.334</v>
      </c>
      <c r="R1427" s="8">
        <v>122.568</v>
      </c>
      <c r="S1427" s="8">
        <v>115.229</v>
      </c>
      <c r="T1427" s="8">
        <v>126.465</v>
      </c>
      <c r="U1427" s="8">
        <v>109.571</v>
      </c>
      <c r="V1427" s="8">
        <v>87.361999999999995</v>
      </c>
      <c r="W1427" s="8">
        <v>58.298999999999999</v>
      </c>
      <c r="X1427" s="8">
        <v>34.874000000000002</v>
      </c>
      <c r="Y1427" s="8">
        <v>30.643999999999998</v>
      </c>
      <c r="Z1427" s="8">
        <v>11.225</v>
      </c>
      <c r="AA1427" s="8">
        <v>3.26</v>
      </c>
      <c r="AB1427" s="8">
        <v>0.30499999999999999</v>
      </c>
      <c r="AC1427" s="8">
        <v>1.7000000000000001E-2</v>
      </c>
    </row>
    <row r="1428" spans="1:29" ht="11.65" x14ac:dyDescent="0.35">
      <c r="A1428" s="12">
        <v>1411</v>
      </c>
      <c r="B1428" s="10" t="s">
        <v>1015</v>
      </c>
      <c r="C1428" s="11" t="s">
        <v>1118</v>
      </c>
      <c r="D1428" s="9"/>
      <c r="E1428" s="9">
        <v>368</v>
      </c>
      <c r="F1428" s="10" t="s">
        <v>1066</v>
      </c>
      <c r="G1428" s="9">
        <v>922</v>
      </c>
      <c r="H1428" s="9">
        <v>1950</v>
      </c>
      <c r="I1428" s="8">
        <v>423.87299999999999</v>
      </c>
      <c r="J1428" s="8">
        <v>362.27300000000002</v>
      </c>
      <c r="K1428" s="8">
        <v>304.38499999999999</v>
      </c>
      <c r="L1428" s="8">
        <v>265.05900000000003</v>
      </c>
      <c r="M1428" s="8">
        <v>229.30099999999999</v>
      </c>
      <c r="N1428" s="8">
        <v>212.542</v>
      </c>
      <c r="O1428" s="8">
        <v>210.32599999999999</v>
      </c>
      <c r="P1428" s="8">
        <v>194.75399999999999</v>
      </c>
      <c r="Q1428" s="8">
        <v>179.00700000000001</v>
      </c>
      <c r="R1428" s="8">
        <v>151.03100000000001</v>
      </c>
      <c r="S1428" s="8">
        <v>115.785</v>
      </c>
      <c r="T1428" s="8">
        <v>83.906999999999996</v>
      </c>
      <c r="U1428" s="8">
        <v>45.267000000000003</v>
      </c>
      <c r="V1428" s="8">
        <v>32.098999999999997</v>
      </c>
      <c r="W1428" s="8">
        <v>22.135999999999999</v>
      </c>
      <c r="X1428" s="8">
        <v>12.836</v>
      </c>
      <c r="Y1428" s="8">
        <v>5.66</v>
      </c>
      <c r="Z1428" s="8">
        <v>1.734</v>
      </c>
      <c r="AA1428" s="8">
        <v>0.32500000000000001</v>
      </c>
      <c r="AB1428" s="8">
        <v>3.4000000000000002E-2</v>
      </c>
      <c r="AC1428" s="8">
        <v>2E-3</v>
      </c>
    </row>
    <row r="1429" spans="1:29" ht="11.65" x14ac:dyDescent="0.35">
      <c r="A1429" s="12">
        <v>1412</v>
      </c>
      <c r="B1429" s="10" t="s">
        <v>1015</v>
      </c>
      <c r="C1429" s="11" t="s">
        <v>1118</v>
      </c>
      <c r="D1429" s="9"/>
      <c r="E1429" s="9">
        <v>368</v>
      </c>
      <c r="F1429" s="10" t="s">
        <v>1066</v>
      </c>
      <c r="G1429" s="9">
        <v>922</v>
      </c>
      <c r="H1429" s="9">
        <v>1955</v>
      </c>
      <c r="I1429" s="8">
        <v>608.58799999999997</v>
      </c>
      <c r="J1429" s="8">
        <v>381.31299999999999</v>
      </c>
      <c r="K1429" s="8">
        <v>353.697</v>
      </c>
      <c r="L1429" s="8">
        <v>297.483</v>
      </c>
      <c r="M1429" s="8">
        <v>256.22500000000002</v>
      </c>
      <c r="N1429" s="8">
        <v>219.81299999999999</v>
      </c>
      <c r="O1429" s="8">
        <v>202.803</v>
      </c>
      <c r="P1429" s="8">
        <v>199.107</v>
      </c>
      <c r="Q1429" s="8">
        <v>182.19200000000001</v>
      </c>
      <c r="R1429" s="8">
        <v>165.02699999999999</v>
      </c>
      <c r="S1429" s="8">
        <v>136.25700000000001</v>
      </c>
      <c r="T1429" s="8">
        <v>101.17700000000001</v>
      </c>
      <c r="U1429" s="8">
        <v>69.819000000000003</v>
      </c>
      <c r="V1429" s="8">
        <v>34.917000000000002</v>
      </c>
      <c r="W1429" s="8">
        <v>22.157</v>
      </c>
      <c r="X1429" s="8">
        <v>12.788</v>
      </c>
      <c r="Y1429" s="8">
        <v>5.6870000000000003</v>
      </c>
      <c r="Z1429" s="8">
        <v>1.7350000000000001</v>
      </c>
      <c r="AA1429" s="8">
        <v>0.32600000000000001</v>
      </c>
      <c r="AB1429" s="8">
        <v>3.4000000000000002E-2</v>
      </c>
      <c r="AC1429" s="8">
        <v>2E-3</v>
      </c>
    </row>
    <row r="1430" spans="1:29" ht="11.65" x14ac:dyDescent="0.35">
      <c r="A1430" s="12">
        <v>1413</v>
      </c>
      <c r="B1430" s="10" t="s">
        <v>1015</v>
      </c>
      <c r="C1430" s="11" t="s">
        <v>1118</v>
      </c>
      <c r="D1430" s="9"/>
      <c r="E1430" s="9">
        <v>368</v>
      </c>
      <c r="F1430" s="10" t="s">
        <v>1066</v>
      </c>
      <c r="G1430" s="9">
        <v>922</v>
      </c>
      <c r="H1430" s="9">
        <v>1960</v>
      </c>
      <c r="I1430" s="8">
        <v>603.05799999999999</v>
      </c>
      <c r="J1430" s="8">
        <v>566.61800000000005</v>
      </c>
      <c r="K1430" s="8">
        <v>375.22800000000001</v>
      </c>
      <c r="L1430" s="8">
        <v>348.10599999999999</v>
      </c>
      <c r="M1430" s="8">
        <v>290.31099999999998</v>
      </c>
      <c r="N1430" s="8">
        <v>248.59399999999999</v>
      </c>
      <c r="O1430" s="8">
        <v>212.63</v>
      </c>
      <c r="P1430" s="8">
        <v>195.08099999999999</v>
      </c>
      <c r="Q1430" s="8">
        <v>189.833</v>
      </c>
      <c r="R1430" s="8">
        <v>171.59399999999999</v>
      </c>
      <c r="S1430" s="8">
        <v>152.53899999999999</v>
      </c>
      <c r="T1430" s="8">
        <v>122.42</v>
      </c>
      <c r="U1430" s="8">
        <v>86.997</v>
      </c>
      <c r="V1430" s="8">
        <v>56.113</v>
      </c>
      <c r="W1430" s="8">
        <v>25.350999999999999</v>
      </c>
      <c r="X1430" s="8">
        <v>13.669</v>
      </c>
      <c r="Y1430" s="8">
        <v>6.1630000000000003</v>
      </c>
      <c r="Z1430" s="8">
        <v>1.92</v>
      </c>
      <c r="AA1430" s="8">
        <v>0.36099999999999999</v>
      </c>
      <c r="AB1430" s="8">
        <v>3.7999999999999999E-2</v>
      </c>
      <c r="AC1430" s="8">
        <v>2E-3</v>
      </c>
    </row>
    <row r="1431" spans="1:29" ht="11.65" x14ac:dyDescent="0.35">
      <c r="A1431" s="12">
        <v>1414</v>
      </c>
      <c r="B1431" s="10" t="s">
        <v>1015</v>
      </c>
      <c r="C1431" s="11" t="s">
        <v>1118</v>
      </c>
      <c r="D1431" s="9"/>
      <c r="E1431" s="9">
        <v>368</v>
      </c>
      <c r="F1431" s="10" t="s">
        <v>1066</v>
      </c>
      <c r="G1431" s="9">
        <v>922</v>
      </c>
      <c r="H1431" s="9">
        <v>1965</v>
      </c>
      <c r="I1431" s="8">
        <v>743.03599999999994</v>
      </c>
      <c r="J1431" s="8">
        <v>573.55799999999999</v>
      </c>
      <c r="K1431" s="8">
        <v>560.28599999999994</v>
      </c>
      <c r="L1431" s="8">
        <v>370.90899999999999</v>
      </c>
      <c r="M1431" s="8">
        <v>341.84300000000002</v>
      </c>
      <c r="N1431" s="8">
        <v>283.90600000000001</v>
      </c>
      <c r="O1431" s="8">
        <v>242.66300000000001</v>
      </c>
      <c r="P1431" s="8">
        <v>206.70400000000001</v>
      </c>
      <c r="Q1431" s="8">
        <v>188.297</v>
      </c>
      <c r="R1431" s="8">
        <v>181.26</v>
      </c>
      <c r="S1431" s="8">
        <v>161.071</v>
      </c>
      <c r="T1431" s="8">
        <v>139.45699999999999</v>
      </c>
      <c r="U1431" s="8">
        <v>107.447</v>
      </c>
      <c r="V1431" s="8">
        <v>71.736999999999995</v>
      </c>
      <c r="W1431" s="8">
        <v>42.037999999999997</v>
      </c>
      <c r="X1431" s="8">
        <v>16.286999999999999</v>
      </c>
      <c r="Y1431" s="8">
        <v>6.931</v>
      </c>
      <c r="Z1431" s="8">
        <v>2.2050000000000001</v>
      </c>
      <c r="AA1431" s="8">
        <v>0.42499999999999999</v>
      </c>
      <c r="AB1431" s="8">
        <v>4.4999999999999998E-2</v>
      </c>
      <c r="AC1431" s="8">
        <v>3.0000000000000001E-3</v>
      </c>
    </row>
    <row r="1432" spans="1:29" ht="11.65" x14ac:dyDescent="0.35">
      <c r="A1432" s="12">
        <v>1415</v>
      </c>
      <c r="B1432" s="10" t="s">
        <v>1015</v>
      </c>
      <c r="C1432" s="11" t="s">
        <v>1118</v>
      </c>
      <c r="D1432" s="9"/>
      <c r="E1432" s="9">
        <v>368</v>
      </c>
      <c r="F1432" s="10" t="s">
        <v>1066</v>
      </c>
      <c r="G1432" s="9">
        <v>922</v>
      </c>
      <c r="H1432" s="9">
        <v>1970</v>
      </c>
      <c r="I1432" s="8">
        <v>978.64499999999998</v>
      </c>
      <c r="J1432" s="8">
        <v>717.94500000000005</v>
      </c>
      <c r="K1432" s="8">
        <v>568.58900000000006</v>
      </c>
      <c r="L1432" s="8">
        <v>554.98800000000006</v>
      </c>
      <c r="M1432" s="8">
        <v>365.00700000000001</v>
      </c>
      <c r="N1432" s="8">
        <v>335.17700000000002</v>
      </c>
      <c r="O1432" s="8">
        <v>277.99400000000003</v>
      </c>
      <c r="P1432" s="8">
        <v>236.88800000000001</v>
      </c>
      <c r="Q1432" s="8">
        <v>200.60400000000001</v>
      </c>
      <c r="R1432" s="8">
        <v>180.99799999999999</v>
      </c>
      <c r="S1432" s="8">
        <v>171.529</v>
      </c>
      <c r="T1432" s="8">
        <v>148.68199999999999</v>
      </c>
      <c r="U1432" s="8">
        <v>123.84399999999999</v>
      </c>
      <c r="V1432" s="8">
        <v>89.924000000000007</v>
      </c>
      <c r="W1432" s="8">
        <v>54.738999999999997</v>
      </c>
      <c r="X1432" s="8">
        <v>27.661999999999999</v>
      </c>
      <c r="Y1432" s="8">
        <v>8.5069999999999997</v>
      </c>
      <c r="Z1432" s="8">
        <v>2.5649999999999999</v>
      </c>
      <c r="AA1432" s="8">
        <v>0.504</v>
      </c>
      <c r="AB1432" s="8">
        <v>5.3999999999999999E-2</v>
      </c>
      <c r="AC1432" s="8">
        <v>3.0000000000000001E-3</v>
      </c>
    </row>
    <row r="1433" spans="1:29" ht="11.65" x14ac:dyDescent="0.35">
      <c r="A1433" s="12">
        <v>1416</v>
      </c>
      <c r="B1433" s="10" t="s">
        <v>1015</v>
      </c>
      <c r="C1433" s="11" t="s">
        <v>1118</v>
      </c>
      <c r="D1433" s="9"/>
      <c r="E1433" s="9">
        <v>368</v>
      </c>
      <c r="F1433" s="10" t="s">
        <v>1066</v>
      </c>
      <c r="G1433" s="9">
        <v>922</v>
      </c>
      <c r="H1433" s="9">
        <v>1975</v>
      </c>
      <c r="I1433" s="8">
        <v>1108.68</v>
      </c>
      <c r="J1433" s="8">
        <v>953.62900000000002</v>
      </c>
      <c r="K1433" s="8">
        <v>712.52700000000004</v>
      </c>
      <c r="L1433" s="8">
        <v>563.71299999999997</v>
      </c>
      <c r="M1433" s="8">
        <v>547.13800000000003</v>
      </c>
      <c r="N1433" s="8">
        <v>358.40499999999997</v>
      </c>
      <c r="O1433" s="8">
        <v>328.84199999999998</v>
      </c>
      <c r="P1433" s="8">
        <v>271.99099999999999</v>
      </c>
      <c r="Q1433" s="8">
        <v>230.52500000000001</v>
      </c>
      <c r="R1433" s="8">
        <v>193.423</v>
      </c>
      <c r="S1433" s="8">
        <v>171.899</v>
      </c>
      <c r="T1433" s="8">
        <v>159.023</v>
      </c>
      <c r="U1433" s="8">
        <v>132.72900000000001</v>
      </c>
      <c r="V1433" s="8">
        <v>104.33799999999999</v>
      </c>
      <c r="W1433" s="8">
        <v>69.186000000000007</v>
      </c>
      <c r="X1433" s="8">
        <v>36.405999999999999</v>
      </c>
      <c r="Y1433" s="8">
        <v>14.646000000000001</v>
      </c>
      <c r="Z1433" s="8">
        <v>3.1920000000000002</v>
      </c>
      <c r="AA1433" s="8">
        <v>0.59599999999999997</v>
      </c>
      <c r="AB1433" s="8">
        <v>6.6000000000000003E-2</v>
      </c>
      <c r="AC1433" s="8">
        <v>4.0000000000000001E-3</v>
      </c>
    </row>
    <row r="1434" spans="1:29" ht="11.65" x14ac:dyDescent="0.35">
      <c r="A1434" s="12">
        <v>1417</v>
      </c>
      <c r="B1434" s="10" t="s">
        <v>1015</v>
      </c>
      <c r="C1434" s="11" t="s">
        <v>1118</v>
      </c>
      <c r="D1434" s="9"/>
      <c r="E1434" s="9">
        <v>368</v>
      </c>
      <c r="F1434" s="10" t="s">
        <v>1066</v>
      </c>
      <c r="G1434" s="9">
        <v>922</v>
      </c>
      <c r="H1434" s="9">
        <v>1980</v>
      </c>
      <c r="I1434" s="8">
        <v>1251.2059999999999</v>
      </c>
      <c r="J1434" s="8">
        <v>1086.1500000000001</v>
      </c>
      <c r="K1434" s="8">
        <v>946.46100000000001</v>
      </c>
      <c r="L1434" s="8">
        <v>705.12800000000004</v>
      </c>
      <c r="M1434" s="8">
        <v>552.08399999999995</v>
      </c>
      <c r="N1434" s="8">
        <v>533.12</v>
      </c>
      <c r="O1434" s="8">
        <v>347.642</v>
      </c>
      <c r="P1434" s="8">
        <v>318.983</v>
      </c>
      <c r="Q1434" s="8">
        <v>262.858</v>
      </c>
      <c r="R1434" s="8">
        <v>221.12700000000001</v>
      </c>
      <c r="S1434" s="8">
        <v>183.001</v>
      </c>
      <c r="T1434" s="8">
        <v>158.977</v>
      </c>
      <c r="U1434" s="8">
        <v>141.81100000000001</v>
      </c>
      <c r="V1434" s="8">
        <v>111.81100000000001</v>
      </c>
      <c r="W1434" s="8">
        <v>80.334000000000003</v>
      </c>
      <c r="X1434" s="8">
        <v>46.08</v>
      </c>
      <c r="Y1434" s="8">
        <v>19.303000000000001</v>
      </c>
      <c r="Z1434" s="8">
        <v>5.5110000000000001</v>
      </c>
      <c r="AA1434" s="8">
        <v>0.745</v>
      </c>
      <c r="AB1434" s="8">
        <v>7.4999999999999997E-2</v>
      </c>
      <c r="AC1434" s="8">
        <v>5.0000000000000001E-3</v>
      </c>
    </row>
    <row r="1435" spans="1:29" ht="11.65" x14ac:dyDescent="0.35">
      <c r="A1435" s="12">
        <v>1418</v>
      </c>
      <c r="B1435" s="10" t="s">
        <v>1015</v>
      </c>
      <c r="C1435" s="11" t="s">
        <v>1118</v>
      </c>
      <c r="D1435" s="9"/>
      <c r="E1435" s="9">
        <v>368</v>
      </c>
      <c r="F1435" s="10" t="s">
        <v>1066</v>
      </c>
      <c r="G1435" s="9">
        <v>922</v>
      </c>
      <c r="H1435" s="9">
        <v>1985</v>
      </c>
      <c r="I1435" s="8">
        <v>1377.2139999999999</v>
      </c>
      <c r="J1435" s="8">
        <v>1229.3869999999999</v>
      </c>
      <c r="K1435" s="8">
        <v>1075.7449999999999</v>
      </c>
      <c r="L1435" s="8">
        <v>913.26400000000001</v>
      </c>
      <c r="M1435" s="8">
        <v>634.76499999999999</v>
      </c>
      <c r="N1435" s="8">
        <v>485.71499999999997</v>
      </c>
      <c r="O1435" s="8">
        <v>477.666</v>
      </c>
      <c r="P1435" s="8">
        <v>317.529</v>
      </c>
      <c r="Q1435" s="8">
        <v>299.37</v>
      </c>
      <c r="R1435" s="8">
        <v>247.53100000000001</v>
      </c>
      <c r="S1435" s="8">
        <v>205.49199999999999</v>
      </c>
      <c r="T1435" s="8">
        <v>165.76599999999999</v>
      </c>
      <c r="U1435" s="8">
        <v>140.58500000000001</v>
      </c>
      <c r="V1435" s="8">
        <v>120.32899999999999</v>
      </c>
      <c r="W1435" s="8">
        <v>86.894999999999996</v>
      </c>
      <c r="X1435" s="8">
        <v>54.243000000000002</v>
      </c>
      <c r="Y1435" s="8">
        <v>24.850999999999999</v>
      </c>
      <c r="Z1435" s="8">
        <v>7.4189999999999996</v>
      </c>
      <c r="AA1435" s="8">
        <v>1.3029999999999999</v>
      </c>
      <c r="AB1435" s="8">
        <v>0.106</v>
      </c>
      <c r="AC1435" s="8">
        <v>7.0000000000000001E-3</v>
      </c>
    </row>
    <row r="1436" spans="1:29" ht="11.65" x14ac:dyDescent="0.35">
      <c r="A1436" s="12">
        <v>1419</v>
      </c>
      <c r="B1436" s="10" t="s">
        <v>1015</v>
      </c>
      <c r="C1436" s="11" t="s">
        <v>1118</v>
      </c>
      <c r="D1436" s="9"/>
      <c r="E1436" s="9">
        <v>368</v>
      </c>
      <c r="F1436" s="10" t="s">
        <v>1066</v>
      </c>
      <c r="G1436" s="9">
        <v>922</v>
      </c>
      <c r="H1436" s="9">
        <v>1990</v>
      </c>
      <c r="I1436" s="8">
        <v>1533.249</v>
      </c>
      <c r="J1436" s="8">
        <v>1347.606</v>
      </c>
      <c r="K1436" s="8">
        <v>1216.0119999999999</v>
      </c>
      <c r="L1436" s="8">
        <v>1038.7729999999999</v>
      </c>
      <c r="M1436" s="8">
        <v>826.09100000000001</v>
      </c>
      <c r="N1436" s="8">
        <v>545.47</v>
      </c>
      <c r="O1436" s="8">
        <v>415.25700000000001</v>
      </c>
      <c r="P1436" s="8">
        <v>426.48099999999999</v>
      </c>
      <c r="Q1436" s="8">
        <v>285.54399999999998</v>
      </c>
      <c r="R1436" s="8">
        <v>275.73</v>
      </c>
      <c r="S1436" s="8">
        <v>228.16499999999999</v>
      </c>
      <c r="T1436" s="8">
        <v>187.98699999999999</v>
      </c>
      <c r="U1436" s="8">
        <v>147.233</v>
      </c>
      <c r="V1436" s="8">
        <v>118.125</v>
      </c>
      <c r="W1436" s="8">
        <v>93.438999999999993</v>
      </c>
      <c r="X1436" s="8">
        <v>58.878</v>
      </c>
      <c r="Y1436" s="8">
        <v>29.425000000000001</v>
      </c>
      <c r="Z1436" s="8">
        <v>9.6820000000000004</v>
      </c>
      <c r="AA1436" s="8">
        <v>1.7929999999999999</v>
      </c>
      <c r="AB1436" s="8">
        <v>0.188</v>
      </c>
      <c r="AC1436" s="8">
        <v>0.01</v>
      </c>
    </row>
    <row r="1437" spans="1:29" ht="11.65" x14ac:dyDescent="0.35">
      <c r="A1437" s="12">
        <v>1420</v>
      </c>
      <c r="B1437" s="10" t="s">
        <v>1015</v>
      </c>
      <c r="C1437" s="11" t="s">
        <v>1118</v>
      </c>
      <c r="D1437" s="9"/>
      <c r="E1437" s="9">
        <v>368</v>
      </c>
      <c r="F1437" s="10" t="s">
        <v>1066</v>
      </c>
      <c r="G1437" s="9">
        <v>922</v>
      </c>
      <c r="H1437" s="9">
        <v>1995</v>
      </c>
      <c r="I1437" s="8">
        <v>1721.18</v>
      </c>
      <c r="J1437" s="8">
        <v>1515.5129999999999</v>
      </c>
      <c r="K1437" s="8">
        <v>1340.693</v>
      </c>
      <c r="L1437" s="8">
        <v>1199.473</v>
      </c>
      <c r="M1437" s="8">
        <v>1001.457</v>
      </c>
      <c r="N1437" s="8">
        <v>788.96</v>
      </c>
      <c r="O1437" s="8">
        <v>520.09299999999996</v>
      </c>
      <c r="P1437" s="8">
        <v>398.411</v>
      </c>
      <c r="Q1437" s="8">
        <v>413.459</v>
      </c>
      <c r="R1437" s="8">
        <v>275.63400000000001</v>
      </c>
      <c r="S1437" s="8">
        <v>264.27199999999999</v>
      </c>
      <c r="T1437" s="8">
        <v>215.054</v>
      </c>
      <c r="U1437" s="8">
        <v>171.524</v>
      </c>
      <c r="V1437" s="8">
        <v>127.188</v>
      </c>
      <c r="W1437" s="8">
        <v>94.070999999999998</v>
      </c>
      <c r="X1437" s="8">
        <v>65.144000000000005</v>
      </c>
      <c r="Y1437" s="8">
        <v>33.076999999999998</v>
      </c>
      <c r="Z1437" s="8">
        <v>11.823</v>
      </c>
      <c r="AA1437" s="8">
        <v>2.3969999999999998</v>
      </c>
      <c r="AB1437" s="8">
        <v>0.253</v>
      </c>
      <c r="AC1437" s="8">
        <v>1.7000000000000001E-2</v>
      </c>
    </row>
    <row r="1438" spans="1:29" ht="11.65" x14ac:dyDescent="0.35">
      <c r="A1438" s="12">
        <v>1421</v>
      </c>
      <c r="B1438" s="10" t="s">
        <v>1015</v>
      </c>
      <c r="C1438" s="11" t="s">
        <v>1118</v>
      </c>
      <c r="D1438" s="9"/>
      <c r="E1438" s="9">
        <v>368</v>
      </c>
      <c r="F1438" s="10" t="s">
        <v>1066</v>
      </c>
      <c r="G1438" s="9">
        <v>922</v>
      </c>
      <c r="H1438" s="9">
        <v>2000</v>
      </c>
      <c r="I1438" s="8">
        <v>1968.9469999999999</v>
      </c>
      <c r="J1438" s="8">
        <v>1706.21</v>
      </c>
      <c r="K1438" s="8">
        <v>1510.423</v>
      </c>
      <c r="L1438" s="8">
        <v>1331.433</v>
      </c>
      <c r="M1438" s="8">
        <v>1179.807</v>
      </c>
      <c r="N1438" s="8">
        <v>982.61599999999999</v>
      </c>
      <c r="O1438" s="8">
        <v>775.33699999999999</v>
      </c>
      <c r="P1438" s="8">
        <v>511.97</v>
      </c>
      <c r="Q1438" s="8">
        <v>392.22800000000001</v>
      </c>
      <c r="R1438" s="8">
        <v>405.05099999999999</v>
      </c>
      <c r="S1438" s="8">
        <v>266.875</v>
      </c>
      <c r="T1438" s="8">
        <v>251.089</v>
      </c>
      <c r="U1438" s="8">
        <v>197.797</v>
      </c>
      <c r="V1438" s="8">
        <v>149.76900000000001</v>
      </c>
      <c r="W1438" s="8">
        <v>102.44</v>
      </c>
      <c r="X1438" s="8">
        <v>66.456000000000003</v>
      </c>
      <c r="Y1438" s="8">
        <v>37.201000000000001</v>
      </c>
      <c r="Z1438" s="8">
        <v>13.505000000000001</v>
      </c>
      <c r="AA1438" s="8">
        <v>2.9740000000000002</v>
      </c>
      <c r="AB1438" s="8">
        <v>0.33300000000000002</v>
      </c>
      <c r="AC1438" s="8">
        <v>2.3E-2</v>
      </c>
    </row>
    <row r="1439" spans="1:29" ht="11.65" x14ac:dyDescent="0.35">
      <c r="A1439" s="12">
        <v>1422</v>
      </c>
      <c r="B1439" s="10" t="s">
        <v>1015</v>
      </c>
      <c r="C1439" s="11" t="s">
        <v>1118</v>
      </c>
      <c r="D1439" s="9"/>
      <c r="E1439" s="9">
        <v>368</v>
      </c>
      <c r="F1439" s="10" t="s">
        <v>1066</v>
      </c>
      <c r="G1439" s="9">
        <v>922</v>
      </c>
      <c r="H1439" s="9">
        <v>2005</v>
      </c>
      <c r="I1439" s="8">
        <v>2172.3510000000001</v>
      </c>
      <c r="J1439" s="8">
        <v>1947.0840000000001</v>
      </c>
      <c r="K1439" s="8">
        <v>1696.001</v>
      </c>
      <c r="L1439" s="8">
        <v>1494.626</v>
      </c>
      <c r="M1439" s="8">
        <v>1301.2180000000001</v>
      </c>
      <c r="N1439" s="8">
        <v>1144.02</v>
      </c>
      <c r="O1439" s="8">
        <v>951.60299999999995</v>
      </c>
      <c r="P1439" s="8">
        <v>750.52499999999998</v>
      </c>
      <c r="Q1439" s="8">
        <v>493.02600000000001</v>
      </c>
      <c r="R1439" s="8">
        <v>375.68700000000001</v>
      </c>
      <c r="S1439" s="8">
        <v>385.28500000000003</v>
      </c>
      <c r="T1439" s="8">
        <v>248.31700000000001</v>
      </c>
      <c r="U1439" s="8">
        <v>226.52799999999999</v>
      </c>
      <c r="V1439" s="8">
        <v>169.48099999999999</v>
      </c>
      <c r="W1439" s="8">
        <v>118.032</v>
      </c>
      <c r="X1439" s="8">
        <v>70.465000000000003</v>
      </c>
      <c r="Y1439" s="8">
        <v>36.765999999999998</v>
      </c>
      <c r="Z1439" s="8">
        <v>14.757</v>
      </c>
      <c r="AA1439" s="8">
        <v>3.3359999999999999</v>
      </c>
      <c r="AB1439" s="8">
        <v>0.40200000000000002</v>
      </c>
      <c r="AC1439" s="8">
        <v>2.7E-2</v>
      </c>
    </row>
    <row r="1440" spans="1:29" ht="11.65" x14ac:dyDescent="0.35">
      <c r="A1440" s="12">
        <v>1423</v>
      </c>
      <c r="B1440" s="10" t="s">
        <v>1015</v>
      </c>
      <c r="C1440" s="11" t="s">
        <v>1118</v>
      </c>
      <c r="D1440" s="9"/>
      <c r="E1440" s="9">
        <v>368</v>
      </c>
      <c r="F1440" s="10" t="s">
        <v>1066</v>
      </c>
      <c r="G1440" s="9">
        <v>922</v>
      </c>
      <c r="H1440" s="9">
        <v>2010</v>
      </c>
      <c r="I1440" s="8">
        <v>2334.6590000000001</v>
      </c>
      <c r="J1440" s="8">
        <v>2129.9810000000002</v>
      </c>
      <c r="K1440" s="8">
        <v>1922.5550000000001</v>
      </c>
      <c r="L1440" s="8">
        <v>1649.886</v>
      </c>
      <c r="M1440" s="8">
        <v>1397.817</v>
      </c>
      <c r="N1440" s="8">
        <v>1183.1020000000001</v>
      </c>
      <c r="O1440" s="8">
        <v>1041.2570000000001</v>
      </c>
      <c r="P1440" s="8">
        <v>872.58399999999995</v>
      </c>
      <c r="Q1440" s="8">
        <v>691.00300000000004</v>
      </c>
      <c r="R1440" s="8">
        <v>449.197</v>
      </c>
      <c r="S1440" s="8">
        <v>339.92899999999997</v>
      </c>
      <c r="T1440" s="8">
        <v>347.05399999999997</v>
      </c>
      <c r="U1440" s="8">
        <v>215.27600000000001</v>
      </c>
      <c r="V1440" s="8">
        <v>187.40100000000001</v>
      </c>
      <c r="W1440" s="8">
        <v>128.57</v>
      </c>
      <c r="X1440" s="8">
        <v>77.61</v>
      </c>
      <c r="Y1440" s="8">
        <v>36.781999999999996</v>
      </c>
      <c r="Z1440" s="8">
        <v>13.807</v>
      </c>
      <c r="AA1440" s="8">
        <v>3.4849999999999999</v>
      </c>
      <c r="AB1440" s="8">
        <v>0.432</v>
      </c>
      <c r="AC1440" s="8">
        <v>3.2000000000000001E-2</v>
      </c>
    </row>
    <row r="1441" spans="1:29" ht="11.65" x14ac:dyDescent="0.35">
      <c r="A1441" s="12">
        <v>1424</v>
      </c>
      <c r="B1441" s="10" t="s">
        <v>1015</v>
      </c>
      <c r="C1441" s="11" t="s">
        <v>1118</v>
      </c>
      <c r="D1441" s="9"/>
      <c r="E1441" s="9">
        <v>368</v>
      </c>
      <c r="F1441" s="10" t="s">
        <v>1066</v>
      </c>
      <c r="G1441" s="9">
        <v>922</v>
      </c>
      <c r="H1441" s="9">
        <v>2015</v>
      </c>
      <c r="I1441" s="8">
        <v>2699.3</v>
      </c>
      <c r="J1441" s="8">
        <v>2347.9450000000002</v>
      </c>
      <c r="K1441" s="8">
        <v>2136.578</v>
      </c>
      <c r="L1441" s="8">
        <v>1953.876</v>
      </c>
      <c r="M1441" s="8">
        <v>1731.873</v>
      </c>
      <c r="N1441" s="8">
        <v>1504.34</v>
      </c>
      <c r="O1441" s="8">
        <v>1274.3140000000001</v>
      </c>
      <c r="P1441" s="8">
        <v>1103.759</v>
      </c>
      <c r="Q1441" s="8">
        <v>909.51199999999994</v>
      </c>
      <c r="R1441" s="8">
        <v>708.28399999999999</v>
      </c>
      <c r="S1441" s="8">
        <v>454.79399999999998</v>
      </c>
      <c r="T1441" s="8">
        <v>334.721</v>
      </c>
      <c r="U1441" s="8">
        <v>325.233</v>
      </c>
      <c r="V1441" s="8">
        <v>191.85300000000001</v>
      </c>
      <c r="W1441" s="8">
        <v>152.46199999999999</v>
      </c>
      <c r="X1441" s="8">
        <v>91.373000000000005</v>
      </c>
      <c r="Y1441" s="8">
        <v>44.655000000000001</v>
      </c>
      <c r="Z1441" s="8">
        <v>14.951000000000001</v>
      </c>
      <c r="AA1441" s="8">
        <v>3.411</v>
      </c>
      <c r="AB1441" s="8">
        <v>0.47099999999999997</v>
      </c>
      <c r="AC1441" s="8">
        <v>3.5999999999999997E-2</v>
      </c>
    </row>
    <row r="1442" spans="1:29" ht="11.65" x14ac:dyDescent="0.35">
      <c r="A1442" s="12">
        <v>1425</v>
      </c>
      <c r="B1442" s="10" t="s">
        <v>1015</v>
      </c>
      <c r="C1442" s="11" t="s">
        <v>1118</v>
      </c>
      <c r="D1442" s="9"/>
      <c r="E1442" s="9">
        <v>368</v>
      </c>
      <c r="F1442" s="10" t="s">
        <v>1066</v>
      </c>
      <c r="G1442" s="9">
        <v>922</v>
      </c>
      <c r="H1442" s="9">
        <v>2020</v>
      </c>
      <c r="I1442" s="8">
        <v>2768.0659999999998</v>
      </c>
      <c r="J1442" s="8">
        <v>2687.4160000000002</v>
      </c>
      <c r="K1442" s="8">
        <v>2341.0479999999998</v>
      </c>
      <c r="L1442" s="8">
        <v>2128.81</v>
      </c>
      <c r="M1442" s="8">
        <v>1941.425</v>
      </c>
      <c r="N1442" s="8">
        <v>1718.989</v>
      </c>
      <c r="O1442" s="8">
        <v>1492.575</v>
      </c>
      <c r="P1442" s="8">
        <v>1262.0989999999999</v>
      </c>
      <c r="Q1442" s="8">
        <v>1088.847</v>
      </c>
      <c r="R1442" s="8">
        <v>890.35799999999995</v>
      </c>
      <c r="S1442" s="8">
        <v>684.40899999999999</v>
      </c>
      <c r="T1442" s="8">
        <v>430.29300000000001</v>
      </c>
      <c r="U1442" s="8">
        <v>306.31799999999998</v>
      </c>
      <c r="V1442" s="8">
        <v>282.69299999999998</v>
      </c>
      <c r="W1442" s="8">
        <v>153.58199999999999</v>
      </c>
      <c r="X1442" s="8">
        <v>106.824</v>
      </c>
      <c r="Y1442" s="8">
        <v>51.695999999999998</v>
      </c>
      <c r="Z1442" s="8">
        <v>18.071999999999999</v>
      </c>
      <c r="AA1442" s="8">
        <v>3.7509999999999999</v>
      </c>
      <c r="AB1442" s="8">
        <v>0.46700000000000003</v>
      </c>
      <c r="AC1442" s="8">
        <v>0.04</v>
      </c>
    </row>
    <row r="1443" spans="1:29" ht="11.65" x14ac:dyDescent="0.35">
      <c r="A1443" s="12">
        <v>1426</v>
      </c>
      <c r="B1443" s="10" t="s">
        <v>1015</v>
      </c>
      <c r="C1443" s="11" t="s">
        <v>1119</v>
      </c>
      <c r="D1443" s="9"/>
      <c r="E1443" s="9">
        <v>376</v>
      </c>
      <c r="F1443" s="10" t="s">
        <v>1066</v>
      </c>
      <c r="G1443" s="9">
        <v>922</v>
      </c>
      <c r="H1443" s="9">
        <v>1950</v>
      </c>
      <c r="I1443" s="8">
        <v>90.77</v>
      </c>
      <c r="J1443" s="8">
        <v>58.55</v>
      </c>
      <c r="K1443" s="8">
        <v>56.018999999999998</v>
      </c>
      <c r="L1443" s="8">
        <v>56.93</v>
      </c>
      <c r="M1443" s="8">
        <v>55.320999999999998</v>
      </c>
      <c r="N1443" s="8">
        <v>59.401000000000003</v>
      </c>
      <c r="O1443" s="8">
        <v>44.741</v>
      </c>
      <c r="P1443" s="8">
        <v>53.280999999999999</v>
      </c>
      <c r="Q1443" s="8">
        <v>49.22</v>
      </c>
      <c r="R1443" s="8">
        <v>37.569000000000003</v>
      </c>
      <c r="S1443" s="8">
        <v>28.89</v>
      </c>
      <c r="T1443" s="8">
        <v>18.78</v>
      </c>
      <c r="U1443" s="8">
        <v>14.000999999999999</v>
      </c>
      <c r="V1443" s="8">
        <v>9.9390000000000001</v>
      </c>
      <c r="W1443" s="8">
        <v>7.6890000000000001</v>
      </c>
      <c r="X1443" s="8">
        <v>3.9140000000000001</v>
      </c>
      <c r="Y1443" s="8">
        <v>1.1000000000000001</v>
      </c>
      <c r="Z1443" s="8">
        <v>0.48899999999999999</v>
      </c>
      <c r="AA1443" s="8">
        <v>0.15</v>
      </c>
      <c r="AB1443" s="8">
        <v>2.5999999999999999E-2</v>
      </c>
      <c r="AC1443" s="8">
        <v>2E-3</v>
      </c>
    </row>
    <row r="1444" spans="1:29" ht="11.65" x14ac:dyDescent="0.35">
      <c r="A1444" s="12">
        <v>1427</v>
      </c>
      <c r="B1444" s="10" t="s">
        <v>1015</v>
      </c>
      <c r="C1444" s="11" t="s">
        <v>1119</v>
      </c>
      <c r="D1444" s="9"/>
      <c r="E1444" s="9">
        <v>376</v>
      </c>
      <c r="F1444" s="10" t="s">
        <v>1066</v>
      </c>
      <c r="G1444" s="9">
        <v>922</v>
      </c>
      <c r="H1444" s="9">
        <v>1955</v>
      </c>
      <c r="I1444" s="8">
        <v>127.07</v>
      </c>
      <c r="J1444" s="8">
        <v>104.7</v>
      </c>
      <c r="K1444" s="8">
        <v>73.100999999999999</v>
      </c>
      <c r="L1444" s="8">
        <v>69.177000000000007</v>
      </c>
      <c r="M1444" s="8">
        <v>66.370999999999995</v>
      </c>
      <c r="N1444" s="8">
        <v>61.359000000000002</v>
      </c>
      <c r="O1444" s="8">
        <v>63.847999999999999</v>
      </c>
      <c r="P1444" s="8">
        <v>49.884</v>
      </c>
      <c r="Q1444" s="8">
        <v>59.692</v>
      </c>
      <c r="R1444" s="8">
        <v>55.39</v>
      </c>
      <c r="S1444" s="8">
        <v>42.875999999999998</v>
      </c>
      <c r="T1444" s="8">
        <v>32.494</v>
      </c>
      <c r="U1444" s="8">
        <v>21.033999999999999</v>
      </c>
      <c r="V1444" s="8">
        <v>14.817</v>
      </c>
      <c r="W1444" s="8">
        <v>8.8149999999999995</v>
      </c>
      <c r="X1444" s="8">
        <v>5.8689999999999998</v>
      </c>
      <c r="Y1444" s="8">
        <v>2.95</v>
      </c>
      <c r="Z1444" s="8">
        <v>0.68</v>
      </c>
      <c r="AA1444" s="8">
        <v>0.14899999999999999</v>
      </c>
      <c r="AB1444" s="8">
        <v>2.5999999999999999E-2</v>
      </c>
      <c r="AC1444" s="8">
        <v>2E-3</v>
      </c>
    </row>
    <row r="1445" spans="1:29" ht="11.65" x14ac:dyDescent="0.35">
      <c r="A1445" s="12">
        <v>1428</v>
      </c>
      <c r="B1445" s="10" t="s">
        <v>1015</v>
      </c>
      <c r="C1445" s="11" t="s">
        <v>1119</v>
      </c>
      <c r="D1445" s="9"/>
      <c r="E1445" s="9">
        <v>376</v>
      </c>
      <c r="F1445" s="10" t="s">
        <v>1066</v>
      </c>
      <c r="G1445" s="9">
        <v>922</v>
      </c>
      <c r="H1445" s="9">
        <v>1960</v>
      </c>
      <c r="I1445" s="8">
        <v>133.5</v>
      </c>
      <c r="J1445" s="8">
        <v>138.56399999999999</v>
      </c>
      <c r="K1445" s="8">
        <v>115.336</v>
      </c>
      <c r="L1445" s="8">
        <v>81.548000000000002</v>
      </c>
      <c r="M1445" s="8">
        <v>75.320999999999998</v>
      </c>
      <c r="N1445" s="8">
        <v>70.531000000000006</v>
      </c>
      <c r="O1445" s="8">
        <v>65.424999999999997</v>
      </c>
      <c r="P1445" s="8">
        <v>68.153999999999996</v>
      </c>
      <c r="Q1445" s="8">
        <v>54.378999999999998</v>
      </c>
      <c r="R1445" s="8">
        <v>63.853999999999999</v>
      </c>
      <c r="S1445" s="8">
        <v>58.106999999999999</v>
      </c>
      <c r="T1445" s="8">
        <v>43.747</v>
      </c>
      <c r="U1445" s="8">
        <v>31.8</v>
      </c>
      <c r="V1445" s="8">
        <v>19.504999999999999</v>
      </c>
      <c r="W1445" s="8">
        <v>12.802</v>
      </c>
      <c r="X1445" s="8">
        <v>7.1360000000000001</v>
      </c>
      <c r="Y1445" s="8">
        <v>4.0339999999999998</v>
      </c>
      <c r="Z1445" s="8">
        <v>1.4850000000000001</v>
      </c>
      <c r="AA1445" s="8">
        <v>0.219</v>
      </c>
      <c r="AB1445" s="8">
        <v>2.7E-2</v>
      </c>
      <c r="AC1445" s="8">
        <v>2E-3</v>
      </c>
    </row>
    <row r="1446" spans="1:29" ht="11.65" x14ac:dyDescent="0.35">
      <c r="A1446" s="12">
        <v>1429</v>
      </c>
      <c r="B1446" s="10" t="s">
        <v>1015</v>
      </c>
      <c r="C1446" s="11" t="s">
        <v>1119</v>
      </c>
      <c r="D1446" s="9"/>
      <c r="E1446" s="9">
        <v>376</v>
      </c>
      <c r="F1446" s="10" t="s">
        <v>1066</v>
      </c>
      <c r="G1446" s="9">
        <v>922</v>
      </c>
      <c r="H1446" s="9">
        <v>1965</v>
      </c>
      <c r="I1446" s="8">
        <v>151.667</v>
      </c>
      <c r="J1446" s="8">
        <v>146.47900000000001</v>
      </c>
      <c r="K1446" s="8">
        <v>154.40899999999999</v>
      </c>
      <c r="L1446" s="8">
        <v>128.97800000000001</v>
      </c>
      <c r="M1446" s="8">
        <v>86.272000000000006</v>
      </c>
      <c r="N1446" s="8">
        <v>76.188999999999993</v>
      </c>
      <c r="O1446" s="8">
        <v>72.171000000000006</v>
      </c>
      <c r="P1446" s="8">
        <v>69.188999999999993</v>
      </c>
      <c r="Q1446" s="8">
        <v>73.301000000000002</v>
      </c>
      <c r="R1446" s="8">
        <v>60.067999999999998</v>
      </c>
      <c r="S1446" s="8">
        <v>68.600999999999999</v>
      </c>
      <c r="T1446" s="8">
        <v>60.741</v>
      </c>
      <c r="U1446" s="8">
        <v>44.133000000000003</v>
      </c>
      <c r="V1446" s="8">
        <v>30.606000000000002</v>
      </c>
      <c r="W1446" s="8">
        <v>16.998000000000001</v>
      </c>
      <c r="X1446" s="8">
        <v>10.147</v>
      </c>
      <c r="Y1446" s="8">
        <v>5.2949999999999999</v>
      </c>
      <c r="Z1446" s="8">
        <v>2.137</v>
      </c>
      <c r="AA1446" s="8">
        <v>0.49</v>
      </c>
      <c r="AB1446" s="8">
        <v>3.7999999999999999E-2</v>
      </c>
      <c r="AC1446" s="8">
        <v>3.0000000000000001E-3</v>
      </c>
    </row>
    <row r="1447" spans="1:29" ht="11.65" x14ac:dyDescent="0.35">
      <c r="A1447" s="12">
        <v>1430</v>
      </c>
      <c r="B1447" s="10" t="s">
        <v>1015</v>
      </c>
      <c r="C1447" s="11" t="s">
        <v>1119</v>
      </c>
      <c r="D1447" s="9"/>
      <c r="E1447" s="9">
        <v>376</v>
      </c>
      <c r="F1447" s="10" t="s">
        <v>1066</v>
      </c>
      <c r="G1447" s="9">
        <v>922</v>
      </c>
      <c r="H1447" s="9">
        <v>1970</v>
      </c>
      <c r="I1447" s="8">
        <v>169.73500000000001</v>
      </c>
      <c r="J1447" s="8">
        <v>154.57599999999999</v>
      </c>
      <c r="K1447" s="8">
        <v>149.798</v>
      </c>
      <c r="L1447" s="8">
        <v>157.58799999999999</v>
      </c>
      <c r="M1447" s="8">
        <v>131.39599999999999</v>
      </c>
      <c r="N1447" s="8">
        <v>88.194000000000003</v>
      </c>
      <c r="O1447" s="8">
        <v>77.933000000000007</v>
      </c>
      <c r="P1447" s="8">
        <v>73.677000000000007</v>
      </c>
      <c r="Q1447" s="8">
        <v>70.088999999999999</v>
      </c>
      <c r="R1447" s="8">
        <v>73.400000000000006</v>
      </c>
      <c r="S1447" s="8">
        <v>60.037999999999997</v>
      </c>
      <c r="T1447" s="8">
        <v>67.174000000000007</v>
      </c>
      <c r="U1447" s="8">
        <v>57.56</v>
      </c>
      <c r="V1447" s="8">
        <v>39.671999999999997</v>
      </c>
      <c r="W1447" s="8">
        <v>25.24</v>
      </c>
      <c r="X1447" s="8">
        <v>13.06</v>
      </c>
      <c r="Y1447" s="8">
        <v>7.024</v>
      </c>
      <c r="Z1447" s="8">
        <v>2.7749999999999999</v>
      </c>
      <c r="AA1447" s="8">
        <v>0.71599999999999997</v>
      </c>
      <c r="AB1447" s="8">
        <v>8.7999999999999995E-2</v>
      </c>
      <c r="AC1447" s="8">
        <v>4.0000000000000001E-3</v>
      </c>
    </row>
    <row r="1448" spans="1:29" ht="11.65" x14ac:dyDescent="0.35">
      <c r="A1448" s="12">
        <v>1431</v>
      </c>
      <c r="B1448" s="10" t="s">
        <v>1015</v>
      </c>
      <c r="C1448" s="11" t="s">
        <v>1119</v>
      </c>
      <c r="D1448" s="9"/>
      <c r="E1448" s="9">
        <v>376</v>
      </c>
      <c r="F1448" s="10" t="s">
        <v>1066</v>
      </c>
      <c r="G1448" s="9">
        <v>922</v>
      </c>
      <c r="H1448" s="9">
        <v>1975</v>
      </c>
      <c r="I1448" s="8">
        <v>213.684</v>
      </c>
      <c r="J1448" s="8">
        <v>175.964</v>
      </c>
      <c r="K1448" s="8">
        <v>162.548</v>
      </c>
      <c r="L1448" s="8">
        <v>158.99799999999999</v>
      </c>
      <c r="M1448" s="8">
        <v>162.00899999999999</v>
      </c>
      <c r="N1448" s="8">
        <v>132.28</v>
      </c>
      <c r="O1448" s="8">
        <v>90.906999999999996</v>
      </c>
      <c r="P1448" s="8">
        <v>82.713999999999999</v>
      </c>
      <c r="Q1448" s="8">
        <v>78.7</v>
      </c>
      <c r="R1448" s="8">
        <v>73.763999999999996</v>
      </c>
      <c r="S1448" s="8">
        <v>74.876999999999995</v>
      </c>
      <c r="T1448" s="8">
        <v>59.713000000000001</v>
      </c>
      <c r="U1448" s="8">
        <v>64.653000000000006</v>
      </c>
      <c r="V1448" s="8">
        <v>53.274999999999999</v>
      </c>
      <c r="W1448" s="8">
        <v>34.597000000000001</v>
      </c>
      <c r="X1448" s="8">
        <v>20.234000000000002</v>
      </c>
      <c r="Y1448" s="8">
        <v>9.4529999999999994</v>
      </c>
      <c r="Z1448" s="8">
        <v>3.8290000000000002</v>
      </c>
      <c r="AA1448" s="8">
        <v>0.94199999999999995</v>
      </c>
      <c r="AB1448" s="8">
        <v>0.13100000000000001</v>
      </c>
      <c r="AC1448" s="8">
        <v>8.9999999999999993E-3</v>
      </c>
    </row>
    <row r="1449" spans="1:29" ht="11.65" x14ac:dyDescent="0.35">
      <c r="A1449" s="12">
        <v>1432</v>
      </c>
      <c r="B1449" s="10" t="s">
        <v>1015</v>
      </c>
      <c r="C1449" s="11" t="s">
        <v>1119</v>
      </c>
      <c r="D1449" s="9"/>
      <c r="E1449" s="9">
        <v>376</v>
      </c>
      <c r="F1449" s="10" t="s">
        <v>1066</v>
      </c>
      <c r="G1449" s="9">
        <v>922</v>
      </c>
      <c r="H1449" s="9">
        <v>1980</v>
      </c>
      <c r="I1449" s="8">
        <v>232.20500000000001</v>
      </c>
      <c r="J1449" s="8">
        <v>215.82499999999999</v>
      </c>
      <c r="K1449" s="8">
        <v>178.70400000000001</v>
      </c>
      <c r="L1449" s="8">
        <v>164.95400000000001</v>
      </c>
      <c r="M1449" s="8">
        <v>155.28800000000001</v>
      </c>
      <c r="N1449" s="8">
        <v>158.11099999999999</v>
      </c>
      <c r="O1449" s="8">
        <v>133.61799999999999</v>
      </c>
      <c r="P1449" s="8">
        <v>91.846000000000004</v>
      </c>
      <c r="Q1449" s="8">
        <v>83.152000000000001</v>
      </c>
      <c r="R1449" s="8">
        <v>78.841999999999999</v>
      </c>
      <c r="S1449" s="8">
        <v>72.820999999999998</v>
      </c>
      <c r="T1449" s="8">
        <v>73.266999999999996</v>
      </c>
      <c r="U1449" s="8">
        <v>57.478000000000002</v>
      </c>
      <c r="V1449" s="8">
        <v>59.551000000000002</v>
      </c>
      <c r="W1449" s="8">
        <v>45.707000000000001</v>
      </c>
      <c r="X1449" s="8">
        <v>26.498999999999999</v>
      </c>
      <c r="Y1449" s="8">
        <v>13.521000000000001</v>
      </c>
      <c r="Z1449" s="8">
        <v>4.931</v>
      </c>
      <c r="AA1449" s="8">
        <v>1.3169999999999999</v>
      </c>
      <c r="AB1449" s="8">
        <v>0.17499999999999999</v>
      </c>
      <c r="AC1449" s="8">
        <v>1.2999999999999999E-2</v>
      </c>
    </row>
    <row r="1450" spans="1:29" ht="11.65" x14ac:dyDescent="0.35">
      <c r="A1450" s="12">
        <v>1433</v>
      </c>
      <c r="B1450" s="10" t="s">
        <v>1015</v>
      </c>
      <c r="C1450" s="11" t="s">
        <v>1119</v>
      </c>
      <c r="D1450" s="9"/>
      <c r="E1450" s="9">
        <v>376</v>
      </c>
      <c r="F1450" s="10" t="s">
        <v>1066</v>
      </c>
      <c r="G1450" s="9">
        <v>922</v>
      </c>
      <c r="H1450" s="9">
        <v>1985</v>
      </c>
      <c r="I1450" s="8">
        <v>232.196</v>
      </c>
      <c r="J1450" s="8">
        <v>231.8</v>
      </c>
      <c r="K1450" s="8">
        <v>215.626</v>
      </c>
      <c r="L1450" s="8">
        <v>178.36699999999999</v>
      </c>
      <c r="M1450" s="8">
        <v>164.285</v>
      </c>
      <c r="N1450" s="8">
        <v>154.643</v>
      </c>
      <c r="O1450" s="8">
        <v>157.44999999999999</v>
      </c>
      <c r="P1450" s="8">
        <v>132.88399999999999</v>
      </c>
      <c r="Q1450" s="8">
        <v>91.100999999999999</v>
      </c>
      <c r="R1450" s="8">
        <v>82.015000000000001</v>
      </c>
      <c r="S1450" s="8">
        <v>76.962000000000003</v>
      </c>
      <c r="T1450" s="8">
        <v>69.84</v>
      </c>
      <c r="U1450" s="8">
        <v>68.367000000000004</v>
      </c>
      <c r="V1450" s="8">
        <v>51.390999999999998</v>
      </c>
      <c r="W1450" s="8">
        <v>49.688000000000002</v>
      </c>
      <c r="X1450" s="8">
        <v>34.213999999999999</v>
      </c>
      <c r="Y1450" s="8">
        <v>16.922000000000001</v>
      </c>
      <c r="Z1450" s="8">
        <v>6.9180000000000001</v>
      </c>
      <c r="AA1450" s="8">
        <v>1.732</v>
      </c>
      <c r="AB1450" s="8">
        <v>0.251</v>
      </c>
      <c r="AC1450" s="8">
        <v>1.7999999999999999E-2</v>
      </c>
    </row>
    <row r="1451" spans="1:29" ht="11.65" x14ac:dyDescent="0.35">
      <c r="A1451" s="12">
        <v>1434</v>
      </c>
      <c r="B1451" s="10" t="s">
        <v>1015</v>
      </c>
      <c r="C1451" s="11" t="s">
        <v>1119</v>
      </c>
      <c r="D1451" s="9"/>
      <c r="E1451" s="9">
        <v>376</v>
      </c>
      <c r="F1451" s="10" t="s">
        <v>1066</v>
      </c>
      <c r="G1451" s="9">
        <v>922</v>
      </c>
      <c r="H1451" s="9">
        <v>1990</v>
      </c>
      <c r="I1451" s="8">
        <v>244.36500000000001</v>
      </c>
      <c r="J1451" s="8">
        <v>234.01599999999999</v>
      </c>
      <c r="K1451" s="8">
        <v>233.82</v>
      </c>
      <c r="L1451" s="8">
        <v>216.96199999999999</v>
      </c>
      <c r="M1451" s="8">
        <v>179.08500000000001</v>
      </c>
      <c r="N1451" s="8">
        <v>165.03299999999999</v>
      </c>
      <c r="O1451" s="8">
        <v>156.26599999999999</v>
      </c>
      <c r="P1451" s="8">
        <v>159.87700000000001</v>
      </c>
      <c r="Q1451" s="8">
        <v>133.99700000000001</v>
      </c>
      <c r="R1451" s="8">
        <v>91.429000000000002</v>
      </c>
      <c r="S1451" s="8">
        <v>81.81</v>
      </c>
      <c r="T1451" s="8">
        <v>75.382999999999996</v>
      </c>
      <c r="U1451" s="8">
        <v>67.111999999999995</v>
      </c>
      <c r="V1451" s="8">
        <v>62.86</v>
      </c>
      <c r="W1451" s="8">
        <v>44.305</v>
      </c>
      <c r="X1451" s="8">
        <v>38.625</v>
      </c>
      <c r="Y1451" s="8">
        <v>22.739000000000001</v>
      </c>
      <c r="Z1451" s="8">
        <v>9.1389999999999993</v>
      </c>
      <c r="AA1451" s="8">
        <v>2.74</v>
      </c>
      <c r="AB1451" s="8">
        <v>0.45200000000000001</v>
      </c>
      <c r="AC1451" s="8">
        <v>3.9E-2</v>
      </c>
    </row>
    <row r="1452" spans="1:29" ht="11.65" x14ac:dyDescent="0.35">
      <c r="A1452" s="12">
        <v>1435</v>
      </c>
      <c r="B1452" s="10" t="s">
        <v>1015</v>
      </c>
      <c r="C1452" s="11" t="s">
        <v>1119</v>
      </c>
      <c r="D1452" s="9"/>
      <c r="E1452" s="9">
        <v>376</v>
      </c>
      <c r="F1452" s="10" t="s">
        <v>1066</v>
      </c>
      <c r="G1452" s="9">
        <v>922</v>
      </c>
      <c r="H1452" s="9">
        <v>1995</v>
      </c>
      <c r="I1452" s="8">
        <v>267.86700000000002</v>
      </c>
      <c r="J1452" s="8">
        <v>258.15300000000002</v>
      </c>
      <c r="K1452" s="8">
        <v>257.23599999999999</v>
      </c>
      <c r="L1452" s="8">
        <v>251.46700000000001</v>
      </c>
      <c r="M1452" s="8">
        <v>226.267</v>
      </c>
      <c r="N1452" s="8">
        <v>188.96700000000001</v>
      </c>
      <c r="O1452" s="8">
        <v>176.28200000000001</v>
      </c>
      <c r="P1452" s="8">
        <v>167.203</v>
      </c>
      <c r="Q1452" s="8">
        <v>172.77799999999999</v>
      </c>
      <c r="R1452" s="8">
        <v>148.16900000000001</v>
      </c>
      <c r="S1452" s="8">
        <v>97.900999999999996</v>
      </c>
      <c r="T1452" s="8">
        <v>86.828999999999994</v>
      </c>
      <c r="U1452" s="8">
        <v>83.203000000000003</v>
      </c>
      <c r="V1452" s="8">
        <v>71.046000000000006</v>
      </c>
      <c r="W1452" s="8">
        <v>63.113999999999997</v>
      </c>
      <c r="X1452" s="8">
        <v>40.929000000000002</v>
      </c>
      <c r="Y1452" s="8">
        <v>28.614999999999998</v>
      </c>
      <c r="Z1452" s="8">
        <v>12.944000000000001</v>
      </c>
      <c r="AA1452" s="8">
        <v>3.726</v>
      </c>
      <c r="AB1452" s="8">
        <v>0.72499999999999998</v>
      </c>
      <c r="AC1452" s="8">
        <v>6.9000000000000006E-2</v>
      </c>
    </row>
    <row r="1453" spans="1:29" ht="11.65" x14ac:dyDescent="0.35">
      <c r="A1453" s="12">
        <v>1436</v>
      </c>
      <c r="B1453" s="10" t="s">
        <v>1015</v>
      </c>
      <c r="C1453" s="11" t="s">
        <v>1119</v>
      </c>
      <c r="D1453" s="9"/>
      <c r="E1453" s="9">
        <v>376</v>
      </c>
      <c r="F1453" s="10" t="s">
        <v>1066</v>
      </c>
      <c r="G1453" s="9">
        <v>922</v>
      </c>
      <c r="H1453" s="9">
        <v>2000</v>
      </c>
      <c r="I1453" s="8">
        <v>311.904</v>
      </c>
      <c r="J1453" s="8">
        <v>277.53500000000003</v>
      </c>
      <c r="K1453" s="8">
        <v>266.78399999999999</v>
      </c>
      <c r="L1453" s="8">
        <v>268.55</v>
      </c>
      <c r="M1453" s="8">
        <v>262.06299999999999</v>
      </c>
      <c r="N1453" s="8">
        <v>231.35900000000001</v>
      </c>
      <c r="O1453" s="8">
        <v>189.33</v>
      </c>
      <c r="P1453" s="8">
        <v>177.31299999999999</v>
      </c>
      <c r="Q1453" s="8">
        <v>170.15899999999999</v>
      </c>
      <c r="R1453" s="8">
        <v>177.423</v>
      </c>
      <c r="S1453" s="8">
        <v>152.31899999999999</v>
      </c>
      <c r="T1453" s="8">
        <v>101.38</v>
      </c>
      <c r="U1453" s="8">
        <v>89.201999999999998</v>
      </c>
      <c r="V1453" s="8">
        <v>81.885999999999996</v>
      </c>
      <c r="W1453" s="8">
        <v>66.77</v>
      </c>
      <c r="X1453" s="8">
        <v>53.594000000000001</v>
      </c>
      <c r="Y1453" s="8">
        <v>29.71</v>
      </c>
      <c r="Z1453" s="8">
        <v>16.151</v>
      </c>
      <c r="AA1453" s="8">
        <v>5.258</v>
      </c>
      <c r="AB1453" s="8">
        <v>1.0229999999999999</v>
      </c>
      <c r="AC1453" s="8">
        <v>0.113</v>
      </c>
    </row>
    <row r="1454" spans="1:29" ht="11.65" x14ac:dyDescent="0.35">
      <c r="A1454" s="12">
        <v>1437</v>
      </c>
      <c r="B1454" s="10" t="s">
        <v>1015</v>
      </c>
      <c r="C1454" s="11" t="s">
        <v>1119</v>
      </c>
      <c r="D1454" s="9"/>
      <c r="E1454" s="9">
        <v>376</v>
      </c>
      <c r="F1454" s="10" t="s">
        <v>1066</v>
      </c>
      <c r="G1454" s="9">
        <v>922</v>
      </c>
      <c r="H1454" s="9">
        <v>2005</v>
      </c>
      <c r="I1454" s="8">
        <v>338.06099999999998</v>
      </c>
      <c r="J1454" s="8">
        <v>314.44900000000001</v>
      </c>
      <c r="K1454" s="8">
        <v>280.56</v>
      </c>
      <c r="L1454" s="8">
        <v>270.02999999999997</v>
      </c>
      <c r="M1454" s="8">
        <v>271.31099999999998</v>
      </c>
      <c r="N1454" s="8">
        <v>264.90899999999999</v>
      </c>
      <c r="O1454" s="8">
        <v>233.88200000000001</v>
      </c>
      <c r="P1454" s="8">
        <v>191.089</v>
      </c>
      <c r="Q1454" s="8">
        <v>178.79900000000001</v>
      </c>
      <c r="R1454" s="8">
        <v>171.05</v>
      </c>
      <c r="S1454" s="8">
        <v>177.113</v>
      </c>
      <c r="T1454" s="8">
        <v>150.53100000000001</v>
      </c>
      <c r="U1454" s="8">
        <v>99.563000000000002</v>
      </c>
      <c r="V1454" s="8">
        <v>85.057000000000002</v>
      </c>
      <c r="W1454" s="8">
        <v>73.519000000000005</v>
      </c>
      <c r="X1454" s="8">
        <v>55.173000000000002</v>
      </c>
      <c r="Y1454" s="8">
        <v>39.460999999999999</v>
      </c>
      <c r="Z1454" s="8">
        <v>17.856999999999999</v>
      </c>
      <c r="AA1454" s="8">
        <v>6.6909999999999998</v>
      </c>
      <c r="AB1454" s="8">
        <v>1.3759999999999999</v>
      </c>
      <c r="AC1454" s="8">
        <v>0.154</v>
      </c>
    </row>
    <row r="1455" spans="1:29" ht="11.65" x14ac:dyDescent="0.35">
      <c r="A1455" s="12">
        <v>1438</v>
      </c>
      <c r="B1455" s="10" t="s">
        <v>1015</v>
      </c>
      <c r="C1455" s="11" t="s">
        <v>1119</v>
      </c>
      <c r="D1455" s="9"/>
      <c r="E1455" s="9">
        <v>376</v>
      </c>
      <c r="F1455" s="10" t="s">
        <v>1066</v>
      </c>
      <c r="G1455" s="9">
        <v>922</v>
      </c>
      <c r="H1455" s="9">
        <v>2010</v>
      </c>
      <c r="I1455" s="8">
        <v>375.04500000000002</v>
      </c>
      <c r="J1455" s="8">
        <v>337.92399999999998</v>
      </c>
      <c r="K1455" s="8">
        <v>314.55099999999999</v>
      </c>
      <c r="L1455" s="8">
        <v>286.245</v>
      </c>
      <c r="M1455" s="8">
        <v>278.57900000000001</v>
      </c>
      <c r="N1455" s="8">
        <v>276.10000000000002</v>
      </c>
      <c r="O1455" s="8">
        <v>270.00200000000001</v>
      </c>
      <c r="P1455" s="8">
        <v>246.69300000000001</v>
      </c>
      <c r="Q1455" s="8">
        <v>207.524</v>
      </c>
      <c r="R1455" s="8">
        <v>188.643</v>
      </c>
      <c r="S1455" s="8">
        <v>176.43299999999999</v>
      </c>
      <c r="T1455" s="8">
        <v>184.04300000000001</v>
      </c>
      <c r="U1455" s="8">
        <v>156.988</v>
      </c>
      <c r="V1455" s="8">
        <v>101.251</v>
      </c>
      <c r="W1455" s="8">
        <v>80.353999999999999</v>
      </c>
      <c r="X1455" s="8">
        <v>66.171000000000006</v>
      </c>
      <c r="Y1455" s="8">
        <v>45.671999999999997</v>
      </c>
      <c r="Z1455" s="8">
        <v>25.789000000000001</v>
      </c>
      <c r="AA1455" s="8">
        <v>8.1809999999999992</v>
      </c>
      <c r="AB1455" s="8">
        <v>1.849</v>
      </c>
      <c r="AC1455" s="8">
        <v>0.21099999999999999</v>
      </c>
    </row>
    <row r="1456" spans="1:29" ht="11.65" x14ac:dyDescent="0.35">
      <c r="A1456" s="12">
        <v>1439</v>
      </c>
      <c r="B1456" s="10" t="s">
        <v>1015</v>
      </c>
      <c r="C1456" s="11" t="s">
        <v>1119</v>
      </c>
      <c r="D1456" s="9"/>
      <c r="E1456" s="9">
        <v>376</v>
      </c>
      <c r="F1456" s="10" t="s">
        <v>1066</v>
      </c>
      <c r="G1456" s="9">
        <v>922</v>
      </c>
      <c r="H1456" s="9">
        <v>2015</v>
      </c>
      <c r="I1456" s="8">
        <v>421.94600000000003</v>
      </c>
      <c r="J1456" s="8">
        <v>378.45</v>
      </c>
      <c r="K1456" s="8">
        <v>341.46199999999999</v>
      </c>
      <c r="L1456" s="8">
        <v>317.13200000000001</v>
      </c>
      <c r="M1456" s="8">
        <v>289.20800000000003</v>
      </c>
      <c r="N1456" s="8">
        <v>282.11700000000002</v>
      </c>
      <c r="O1456" s="8">
        <v>276.69</v>
      </c>
      <c r="P1456" s="8">
        <v>269.54500000000002</v>
      </c>
      <c r="Q1456" s="8">
        <v>246.42599999999999</v>
      </c>
      <c r="R1456" s="8">
        <v>207.042</v>
      </c>
      <c r="S1456" s="8">
        <v>186.58799999999999</v>
      </c>
      <c r="T1456" s="8">
        <v>171.059</v>
      </c>
      <c r="U1456" s="8">
        <v>174.001</v>
      </c>
      <c r="V1456" s="8">
        <v>145.988</v>
      </c>
      <c r="W1456" s="8">
        <v>88.721999999999994</v>
      </c>
      <c r="X1456" s="8">
        <v>66.152000000000001</v>
      </c>
      <c r="Y1456" s="8">
        <v>49.932000000000002</v>
      </c>
      <c r="Z1456" s="8">
        <v>28.484000000000002</v>
      </c>
      <c r="AA1456" s="8">
        <v>12.534000000000001</v>
      </c>
      <c r="AB1456" s="8">
        <v>2.5409999999999999</v>
      </c>
      <c r="AC1456" s="8">
        <v>0.315</v>
      </c>
    </row>
    <row r="1457" spans="1:29" ht="11.65" x14ac:dyDescent="0.35">
      <c r="A1457" s="12">
        <v>1440</v>
      </c>
      <c r="B1457" s="10" t="s">
        <v>1015</v>
      </c>
      <c r="C1457" s="11" t="s">
        <v>1119</v>
      </c>
      <c r="D1457" s="9"/>
      <c r="E1457" s="9">
        <v>376</v>
      </c>
      <c r="F1457" s="10" t="s">
        <v>1066</v>
      </c>
      <c r="G1457" s="9">
        <v>922</v>
      </c>
      <c r="H1457" s="9">
        <v>2020</v>
      </c>
      <c r="I1457" s="8">
        <v>434.62599999999998</v>
      </c>
      <c r="J1457" s="8">
        <v>422.77</v>
      </c>
      <c r="K1457" s="8">
        <v>378.84</v>
      </c>
      <c r="L1457" s="8">
        <v>342.69</v>
      </c>
      <c r="M1457" s="8">
        <v>320.12099999999998</v>
      </c>
      <c r="N1457" s="8">
        <v>293.13</v>
      </c>
      <c r="O1457" s="8">
        <v>285.404</v>
      </c>
      <c r="P1457" s="8">
        <v>278.73899999999998</v>
      </c>
      <c r="Q1457" s="8">
        <v>270.334</v>
      </c>
      <c r="R1457" s="8">
        <v>245.995</v>
      </c>
      <c r="S1457" s="8">
        <v>205.483</v>
      </c>
      <c r="T1457" s="8">
        <v>183.53100000000001</v>
      </c>
      <c r="U1457" s="8">
        <v>166.08600000000001</v>
      </c>
      <c r="V1457" s="8">
        <v>165.565</v>
      </c>
      <c r="W1457" s="8">
        <v>134.423</v>
      </c>
      <c r="X1457" s="8">
        <v>77.168000000000006</v>
      </c>
      <c r="Y1457" s="8">
        <v>51.896999999999998</v>
      </c>
      <c r="Z1457" s="8">
        <v>32.673000000000002</v>
      </c>
      <c r="AA1457" s="8">
        <v>14.093</v>
      </c>
      <c r="AB1457" s="8">
        <v>4.0919999999999996</v>
      </c>
      <c r="AC1457" s="8">
        <v>0.45700000000000002</v>
      </c>
    </row>
    <row r="1458" spans="1:29" ht="11.65" x14ac:dyDescent="0.35">
      <c r="A1458" s="12">
        <v>1441</v>
      </c>
      <c r="B1458" s="10" t="s">
        <v>1015</v>
      </c>
      <c r="C1458" s="11" t="s">
        <v>1120</v>
      </c>
      <c r="D1458" s="9"/>
      <c r="E1458" s="9">
        <v>400</v>
      </c>
      <c r="F1458" s="10" t="s">
        <v>1066</v>
      </c>
      <c r="G1458" s="9">
        <v>922</v>
      </c>
      <c r="H1458" s="9">
        <v>1950</v>
      </c>
      <c r="I1458" s="8">
        <v>47.591999999999999</v>
      </c>
      <c r="J1458" s="8">
        <v>36.923000000000002</v>
      </c>
      <c r="K1458" s="8">
        <v>30.677</v>
      </c>
      <c r="L1458" s="8">
        <v>24.297999999999998</v>
      </c>
      <c r="M1458" s="8">
        <v>18.236000000000001</v>
      </c>
      <c r="N1458" s="8">
        <v>14.307</v>
      </c>
      <c r="O1458" s="8">
        <v>11.946999999999999</v>
      </c>
      <c r="P1458" s="8">
        <v>10.541</v>
      </c>
      <c r="Q1458" s="8">
        <v>10.115</v>
      </c>
      <c r="R1458" s="8">
        <v>9.109</v>
      </c>
      <c r="S1458" s="8">
        <v>8.657</v>
      </c>
      <c r="T1458" s="8">
        <v>8.31</v>
      </c>
      <c r="U1458" s="8">
        <v>6.7080000000000002</v>
      </c>
      <c r="V1458" s="8">
        <v>5.1609999999999996</v>
      </c>
      <c r="W1458" s="8">
        <v>3.9390000000000001</v>
      </c>
      <c r="X1458" s="8">
        <v>2.137</v>
      </c>
      <c r="Y1458" s="8">
        <v>0.78300000000000003</v>
      </c>
      <c r="Z1458" s="8">
        <v>0.26200000000000001</v>
      </c>
      <c r="AA1458" s="8">
        <v>5.2999999999999999E-2</v>
      </c>
      <c r="AB1458" s="8">
        <v>6.0000000000000001E-3</v>
      </c>
      <c r="AC1458" s="8">
        <v>0</v>
      </c>
    </row>
    <row r="1459" spans="1:29" ht="11.65" x14ac:dyDescent="0.35">
      <c r="A1459" s="12">
        <v>1442</v>
      </c>
      <c r="B1459" s="10" t="s">
        <v>1015</v>
      </c>
      <c r="C1459" s="11" t="s">
        <v>1120</v>
      </c>
      <c r="D1459" s="9"/>
      <c r="E1459" s="9">
        <v>400</v>
      </c>
      <c r="F1459" s="10" t="s">
        <v>1066</v>
      </c>
      <c r="G1459" s="9">
        <v>922</v>
      </c>
      <c r="H1459" s="9">
        <v>1955</v>
      </c>
      <c r="I1459" s="8">
        <v>62.783999999999999</v>
      </c>
      <c r="J1459" s="8">
        <v>53.043999999999997</v>
      </c>
      <c r="K1459" s="8">
        <v>45.371000000000002</v>
      </c>
      <c r="L1459" s="8">
        <v>37.826000000000001</v>
      </c>
      <c r="M1459" s="8">
        <v>30.228999999999999</v>
      </c>
      <c r="N1459" s="8">
        <v>23.108000000000001</v>
      </c>
      <c r="O1459" s="8">
        <v>18.334</v>
      </c>
      <c r="P1459" s="8">
        <v>15.191000000000001</v>
      </c>
      <c r="Q1459" s="8">
        <v>13.103</v>
      </c>
      <c r="R1459" s="8">
        <v>12.122</v>
      </c>
      <c r="S1459" s="8">
        <v>10.609</v>
      </c>
      <c r="T1459" s="8">
        <v>9.6539999999999999</v>
      </c>
      <c r="U1459" s="8">
        <v>8.7899999999999991</v>
      </c>
      <c r="V1459" s="8">
        <v>6.7229999999999999</v>
      </c>
      <c r="W1459" s="8">
        <v>4.9109999999999996</v>
      </c>
      <c r="X1459" s="8">
        <v>3.004</v>
      </c>
      <c r="Y1459" s="8">
        <v>1.1000000000000001</v>
      </c>
      <c r="Z1459" s="8">
        <v>0.26200000000000001</v>
      </c>
      <c r="AA1459" s="8">
        <v>5.3999999999999999E-2</v>
      </c>
      <c r="AB1459" s="8">
        <v>6.0000000000000001E-3</v>
      </c>
      <c r="AC1459" s="8">
        <v>0</v>
      </c>
    </row>
    <row r="1460" spans="1:29" ht="11.65" x14ac:dyDescent="0.35">
      <c r="A1460" s="12">
        <v>1443</v>
      </c>
      <c r="B1460" s="10" t="s">
        <v>1015</v>
      </c>
      <c r="C1460" s="11" t="s">
        <v>1120</v>
      </c>
      <c r="D1460" s="9"/>
      <c r="E1460" s="9">
        <v>400</v>
      </c>
      <c r="F1460" s="10" t="s">
        <v>1066</v>
      </c>
      <c r="G1460" s="9">
        <v>922</v>
      </c>
      <c r="H1460" s="9">
        <v>1960</v>
      </c>
      <c r="I1460" s="8">
        <v>89.813000000000002</v>
      </c>
      <c r="J1460" s="8">
        <v>65.875</v>
      </c>
      <c r="K1460" s="8">
        <v>61.606999999999999</v>
      </c>
      <c r="L1460" s="8">
        <v>52.985999999999997</v>
      </c>
      <c r="M1460" s="8">
        <v>44.183</v>
      </c>
      <c r="N1460" s="8">
        <v>35.674999999999997</v>
      </c>
      <c r="O1460" s="8">
        <v>27.707999999999998</v>
      </c>
      <c r="P1460" s="8">
        <v>21.95</v>
      </c>
      <c r="Q1460" s="8">
        <v>17.925999999999998</v>
      </c>
      <c r="R1460" s="8">
        <v>15.098000000000001</v>
      </c>
      <c r="S1460" s="8">
        <v>13.464</v>
      </c>
      <c r="T1460" s="8">
        <v>11.420999999999999</v>
      </c>
      <c r="U1460" s="8">
        <v>9.8740000000000006</v>
      </c>
      <c r="V1460" s="8">
        <v>8.4060000000000006</v>
      </c>
      <c r="W1460" s="8">
        <v>6.1890000000000001</v>
      </c>
      <c r="X1460" s="8">
        <v>3.6419999999999999</v>
      </c>
      <c r="Y1460" s="8">
        <v>1.514</v>
      </c>
      <c r="Z1460" s="8">
        <v>0.376</v>
      </c>
      <c r="AA1460" s="8">
        <v>5.6000000000000001E-2</v>
      </c>
      <c r="AB1460" s="8">
        <v>6.0000000000000001E-3</v>
      </c>
      <c r="AC1460" s="8">
        <v>0</v>
      </c>
    </row>
    <row r="1461" spans="1:29" ht="11.65" x14ac:dyDescent="0.35">
      <c r="A1461" s="12">
        <v>1444</v>
      </c>
      <c r="B1461" s="10" t="s">
        <v>1015</v>
      </c>
      <c r="C1461" s="11" t="s">
        <v>1120</v>
      </c>
      <c r="D1461" s="9"/>
      <c r="E1461" s="9">
        <v>400</v>
      </c>
      <c r="F1461" s="10" t="s">
        <v>1066</v>
      </c>
      <c r="G1461" s="9">
        <v>922</v>
      </c>
      <c r="H1461" s="9">
        <v>1965</v>
      </c>
      <c r="I1461" s="8">
        <v>124.523</v>
      </c>
      <c r="J1461" s="8">
        <v>84.781000000000006</v>
      </c>
      <c r="K1461" s="8">
        <v>69.447000000000003</v>
      </c>
      <c r="L1461" s="8">
        <v>64.593000000000004</v>
      </c>
      <c r="M1461" s="8">
        <v>55.396999999999998</v>
      </c>
      <c r="N1461" s="8">
        <v>46.018000000000001</v>
      </c>
      <c r="O1461" s="8">
        <v>37.042000000000002</v>
      </c>
      <c r="P1461" s="8">
        <v>28.738</v>
      </c>
      <c r="Q1461" s="8">
        <v>22.681999999999999</v>
      </c>
      <c r="R1461" s="8">
        <v>18.155000000000001</v>
      </c>
      <c r="S1461" s="8">
        <v>14.869</v>
      </c>
      <c r="T1461" s="8">
        <v>12.862</v>
      </c>
      <c r="U1461" s="8">
        <v>10.493</v>
      </c>
      <c r="V1461" s="8">
        <v>8.7349999999999994</v>
      </c>
      <c r="W1461" s="8">
        <v>6.4359999999999999</v>
      </c>
      <c r="X1461" s="8">
        <v>4.1319999999999997</v>
      </c>
      <c r="Y1461" s="8">
        <v>2.1419999999999999</v>
      </c>
      <c r="Z1461" s="8">
        <v>0.59799999999999998</v>
      </c>
      <c r="AA1461" s="8">
        <v>8.1000000000000003E-2</v>
      </c>
      <c r="AB1461" s="8">
        <v>6.0000000000000001E-3</v>
      </c>
      <c r="AC1461" s="8">
        <v>0</v>
      </c>
    </row>
    <row r="1462" spans="1:29" ht="11.65" x14ac:dyDescent="0.35">
      <c r="A1462" s="12">
        <v>1445</v>
      </c>
      <c r="B1462" s="10" t="s">
        <v>1015</v>
      </c>
      <c r="C1462" s="11" t="s">
        <v>1120</v>
      </c>
      <c r="D1462" s="9"/>
      <c r="E1462" s="9">
        <v>400</v>
      </c>
      <c r="F1462" s="10" t="s">
        <v>1066</v>
      </c>
      <c r="G1462" s="9">
        <v>922</v>
      </c>
      <c r="H1462" s="9">
        <v>1970</v>
      </c>
      <c r="I1462" s="8">
        <v>174.54900000000001</v>
      </c>
      <c r="J1462" s="8">
        <v>131.023</v>
      </c>
      <c r="K1462" s="8">
        <v>105.42700000000001</v>
      </c>
      <c r="L1462" s="8">
        <v>87.097999999999999</v>
      </c>
      <c r="M1462" s="8">
        <v>79.802000000000007</v>
      </c>
      <c r="N1462" s="8">
        <v>68.427999999999997</v>
      </c>
      <c r="O1462" s="8">
        <v>56.765000000000001</v>
      </c>
      <c r="P1462" s="8">
        <v>45.720999999999997</v>
      </c>
      <c r="Q1462" s="8">
        <v>35.380000000000003</v>
      </c>
      <c r="R1462" s="8">
        <v>27.565000000000001</v>
      </c>
      <c r="S1462" s="8">
        <v>21.641999999999999</v>
      </c>
      <c r="T1462" s="8">
        <v>17.239000000000001</v>
      </c>
      <c r="U1462" s="8">
        <v>14.279</v>
      </c>
      <c r="V1462" s="8">
        <v>11.026</v>
      </c>
      <c r="W1462" s="8">
        <v>8.27</v>
      </c>
      <c r="X1462" s="8">
        <v>5.13</v>
      </c>
      <c r="Y1462" s="8">
        <v>2.4169999999999998</v>
      </c>
      <c r="Z1462" s="8">
        <v>0.80400000000000005</v>
      </c>
      <c r="AA1462" s="8">
        <v>0.13300000000000001</v>
      </c>
      <c r="AB1462" s="8">
        <v>8.9999999999999993E-3</v>
      </c>
      <c r="AC1462" s="8">
        <v>0</v>
      </c>
    </row>
    <row r="1463" spans="1:29" ht="11.65" x14ac:dyDescent="0.35">
      <c r="A1463" s="12">
        <v>1446</v>
      </c>
      <c r="B1463" s="10" t="s">
        <v>1015</v>
      </c>
      <c r="C1463" s="11" t="s">
        <v>1120</v>
      </c>
      <c r="D1463" s="9"/>
      <c r="E1463" s="9">
        <v>400</v>
      </c>
      <c r="F1463" s="10" t="s">
        <v>1066</v>
      </c>
      <c r="G1463" s="9">
        <v>922</v>
      </c>
      <c r="H1463" s="9">
        <v>1975</v>
      </c>
      <c r="I1463" s="8">
        <v>212.71700000000001</v>
      </c>
      <c r="J1463" s="8">
        <v>163.16499999999999</v>
      </c>
      <c r="K1463" s="8">
        <v>128.75700000000001</v>
      </c>
      <c r="L1463" s="8">
        <v>104.392</v>
      </c>
      <c r="M1463" s="8">
        <v>85.462999999999994</v>
      </c>
      <c r="N1463" s="8">
        <v>77.873000000000005</v>
      </c>
      <c r="O1463" s="8">
        <v>67.409000000000006</v>
      </c>
      <c r="P1463" s="8">
        <v>55.88</v>
      </c>
      <c r="Q1463" s="8">
        <v>44.857999999999997</v>
      </c>
      <c r="R1463" s="8">
        <v>34.383000000000003</v>
      </c>
      <c r="S1463" s="8">
        <v>26.469000000000001</v>
      </c>
      <c r="T1463" s="8">
        <v>20.469000000000001</v>
      </c>
      <c r="U1463" s="8">
        <v>15.762</v>
      </c>
      <c r="V1463" s="8">
        <v>12.103</v>
      </c>
      <c r="W1463" s="8">
        <v>8.7439999999999998</v>
      </c>
      <c r="X1463" s="8">
        <v>5.8460000000000001</v>
      </c>
      <c r="Y1463" s="8">
        <v>2.7679999999999998</v>
      </c>
      <c r="Z1463" s="8">
        <v>0.90300000000000002</v>
      </c>
      <c r="AA1463" s="8">
        <v>0.186</v>
      </c>
      <c r="AB1463" s="8">
        <v>1.7000000000000001E-2</v>
      </c>
      <c r="AC1463" s="8">
        <v>1E-3</v>
      </c>
    </row>
    <row r="1464" spans="1:29" ht="11.65" x14ac:dyDescent="0.35">
      <c r="A1464" s="12">
        <v>1447</v>
      </c>
      <c r="B1464" s="10" t="s">
        <v>1015</v>
      </c>
      <c r="C1464" s="11" t="s">
        <v>1120</v>
      </c>
      <c r="D1464" s="9"/>
      <c r="E1464" s="9">
        <v>400</v>
      </c>
      <c r="F1464" s="10" t="s">
        <v>1066</v>
      </c>
      <c r="G1464" s="9">
        <v>922</v>
      </c>
      <c r="H1464" s="9">
        <v>1980</v>
      </c>
      <c r="I1464" s="8">
        <v>227.74299999999999</v>
      </c>
      <c r="J1464" s="8">
        <v>209.99100000000001</v>
      </c>
      <c r="K1464" s="8">
        <v>171.89699999999999</v>
      </c>
      <c r="L1464" s="8">
        <v>143.29</v>
      </c>
      <c r="M1464" s="8">
        <v>107.627</v>
      </c>
      <c r="N1464" s="8">
        <v>72.200999999999993</v>
      </c>
      <c r="O1464" s="8">
        <v>58.121000000000002</v>
      </c>
      <c r="P1464" s="8">
        <v>51.734000000000002</v>
      </c>
      <c r="Q1464" s="8">
        <v>47.021999999999998</v>
      </c>
      <c r="R1464" s="8">
        <v>39.853999999999999</v>
      </c>
      <c r="S1464" s="8">
        <v>32.154000000000003</v>
      </c>
      <c r="T1464" s="8">
        <v>24.61</v>
      </c>
      <c r="U1464" s="8">
        <v>18.619</v>
      </c>
      <c r="V1464" s="8">
        <v>13.946</v>
      </c>
      <c r="W1464" s="8">
        <v>10.532999999999999</v>
      </c>
      <c r="X1464" s="8">
        <v>7.577</v>
      </c>
      <c r="Y1464" s="8">
        <v>4.1040000000000001</v>
      </c>
      <c r="Z1464" s="8">
        <v>1.238</v>
      </c>
      <c r="AA1464" s="8">
        <v>0.215</v>
      </c>
      <c r="AB1464" s="8">
        <v>2.4E-2</v>
      </c>
      <c r="AC1464" s="8">
        <v>1E-3</v>
      </c>
    </row>
    <row r="1465" spans="1:29" ht="11.65" x14ac:dyDescent="0.35">
      <c r="A1465" s="12">
        <v>1448</v>
      </c>
      <c r="B1465" s="10" t="s">
        <v>1015</v>
      </c>
      <c r="C1465" s="11" t="s">
        <v>1120</v>
      </c>
      <c r="D1465" s="9"/>
      <c r="E1465" s="9">
        <v>400</v>
      </c>
      <c r="F1465" s="10" t="s">
        <v>1066</v>
      </c>
      <c r="G1465" s="9">
        <v>922</v>
      </c>
      <c r="H1465" s="9">
        <v>1985</v>
      </c>
      <c r="I1465" s="8">
        <v>262.59399999999999</v>
      </c>
      <c r="J1465" s="8">
        <v>233.71600000000001</v>
      </c>
      <c r="K1465" s="8">
        <v>217.46600000000001</v>
      </c>
      <c r="L1465" s="8">
        <v>182.15299999999999</v>
      </c>
      <c r="M1465" s="8">
        <v>142.47499999999999</v>
      </c>
      <c r="N1465" s="8">
        <v>102.923</v>
      </c>
      <c r="O1465" s="8">
        <v>75.623000000000005</v>
      </c>
      <c r="P1465" s="8">
        <v>61.216999999999999</v>
      </c>
      <c r="Q1465" s="8">
        <v>53.402000000000001</v>
      </c>
      <c r="R1465" s="8">
        <v>48.530999999999999</v>
      </c>
      <c r="S1465" s="8">
        <v>38.762</v>
      </c>
      <c r="T1465" s="8">
        <v>30.149000000000001</v>
      </c>
      <c r="U1465" s="8">
        <v>23.588000000000001</v>
      </c>
      <c r="V1465" s="8">
        <v>16.670999999999999</v>
      </c>
      <c r="W1465" s="8">
        <v>15.54</v>
      </c>
      <c r="X1465" s="8">
        <v>13.217000000000001</v>
      </c>
      <c r="Y1465" s="8">
        <v>6.3890000000000002</v>
      </c>
      <c r="Z1465" s="8">
        <v>1.89</v>
      </c>
      <c r="AA1465" s="8">
        <v>0.30099999999999999</v>
      </c>
      <c r="AB1465" s="8">
        <v>0.03</v>
      </c>
      <c r="AC1465" s="8">
        <v>2E-3</v>
      </c>
    </row>
    <row r="1466" spans="1:29" ht="11.65" x14ac:dyDescent="0.35">
      <c r="A1466" s="12">
        <v>1449</v>
      </c>
      <c r="B1466" s="10" t="s">
        <v>1015</v>
      </c>
      <c r="C1466" s="11" t="s">
        <v>1120</v>
      </c>
      <c r="D1466" s="9"/>
      <c r="E1466" s="9">
        <v>400</v>
      </c>
      <c r="F1466" s="10" t="s">
        <v>1066</v>
      </c>
      <c r="G1466" s="9">
        <v>922</v>
      </c>
      <c r="H1466" s="9">
        <v>1990</v>
      </c>
      <c r="I1466" s="8">
        <v>308.964</v>
      </c>
      <c r="J1466" s="8">
        <v>288.59100000000001</v>
      </c>
      <c r="K1466" s="8">
        <v>246.99600000000001</v>
      </c>
      <c r="L1466" s="8">
        <v>228.39400000000001</v>
      </c>
      <c r="M1466" s="8">
        <v>188.35900000000001</v>
      </c>
      <c r="N1466" s="8">
        <v>144.32599999999999</v>
      </c>
      <c r="O1466" s="8">
        <v>102.73399999999999</v>
      </c>
      <c r="P1466" s="8">
        <v>75.557000000000002</v>
      </c>
      <c r="Q1466" s="8">
        <v>61.161999999999999</v>
      </c>
      <c r="R1466" s="8">
        <v>52.875</v>
      </c>
      <c r="S1466" s="8">
        <v>47.442</v>
      </c>
      <c r="T1466" s="8">
        <v>37.304000000000002</v>
      </c>
      <c r="U1466" s="8">
        <v>28.317</v>
      </c>
      <c r="V1466" s="8">
        <v>21.218</v>
      </c>
      <c r="W1466" s="8">
        <v>13.827999999999999</v>
      </c>
      <c r="X1466" s="8">
        <v>11.276999999999999</v>
      </c>
      <c r="Y1466" s="8">
        <v>7.6020000000000003</v>
      </c>
      <c r="Z1466" s="8">
        <v>2.573</v>
      </c>
      <c r="AA1466" s="8">
        <v>0.46899999999999997</v>
      </c>
      <c r="AB1466" s="8">
        <v>0.04</v>
      </c>
      <c r="AC1466" s="8">
        <v>2E-3</v>
      </c>
    </row>
    <row r="1467" spans="1:29" ht="11.65" x14ac:dyDescent="0.35">
      <c r="A1467" s="12">
        <v>1450</v>
      </c>
      <c r="B1467" s="10" t="s">
        <v>1015</v>
      </c>
      <c r="C1467" s="11" t="s">
        <v>1120</v>
      </c>
      <c r="D1467" s="9"/>
      <c r="E1467" s="9">
        <v>400</v>
      </c>
      <c r="F1467" s="10" t="s">
        <v>1066</v>
      </c>
      <c r="G1467" s="9">
        <v>922</v>
      </c>
      <c r="H1467" s="9">
        <v>1995</v>
      </c>
      <c r="I1467" s="8">
        <v>353.43</v>
      </c>
      <c r="J1467" s="8">
        <v>311.39999999999998</v>
      </c>
      <c r="K1467" s="8">
        <v>298</v>
      </c>
      <c r="L1467" s="8">
        <v>266.73700000000002</v>
      </c>
      <c r="M1467" s="8">
        <v>258.661</v>
      </c>
      <c r="N1467" s="8">
        <v>228.26900000000001</v>
      </c>
      <c r="O1467" s="8">
        <v>177.55199999999999</v>
      </c>
      <c r="P1467" s="8">
        <v>122.336</v>
      </c>
      <c r="Q1467" s="8">
        <v>88.070999999999998</v>
      </c>
      <c r="R1467" s="8">
        <v>71.212999999999994</v>
      </c>
      <c r="S1467" s="8">
        <v>62.633000000000003</v>
      </c>
      <c r="T1467" s="8">
        <v>54.895000000000003</v>
      </c>
      <c r="U1467" s="8">
        <v>41.154000000000003</v>
      </c>
      <c r="V1467" s="8">
        <v>27.920999999999999</v>
      </c>
      <c r="W1467" s="8">
        <v>17.553999999999998</v>
      </c>
      <c r="X1467" s="8">
        <v>9.8000000000000007</v>
      </c>
      <c r="Y1467" s="8">
        <v>6.4640000000000004</v>
      </c>
      <c r="Z1467" s="8">
        <v>3.117</v>
      </c>
      <c r="AA1467" s="8">
        <v>0.65100000000000002</v>
      </c>
      <c r="AB1467" s="8">
        <v>6.6000000000000003E-2</v>
      </c>
      <c r="AC1467" s="8">
        <v>3.0000000000000001E-3</v>
      </c>
    </row>
    <row r="1468" spans="1:29" ht="11.65" x14ac:dyDescent="0.35">
      <c r="A1468" s="12">
        <v>1451</v>
      </c>
      <c r="B1468" s="10" t="s">
        <v>1015</v>
      </c>
      <c r="C1468" s="11" t="s">
        <v>1120</v>
      </c>
      <c r="D1468" s="9"/>
      <c r="E1468" s="9">
        <v>400</v>
      </c>
      <c r="F1468" s="10" t="s">
        <v>1066</v>
      </c>
      <c r="G1468" s="9">
        <v>922</v>
      </c>
      <c r="H1468" s="9">
        <v>2000</v>
      </c>
      <c r="I1468" s="8">
        <v>384.47199999999998</v>
      </c>
      <c r="J1468" s="8">
        <v>344.76100000000002</v>
      </c>
      <c r="K1468" s="8">
        <v>312.89800000000002</v>
      </c>
      <c r="L1468" s="8">
        <v>300.20699999999999</v>
      </c>
      <c r="M1468" s="8">
        <v>264.05</v>
      </c>
      <c r="N1468" s="8">
        <v>245.50200000000001</v>
      </c>
      <c r="O1468" s="8">
        <v>207.934</v>
      </c>
      <c r="P1468" s="8">
        <v>157.078</v>
      </c>
      <c r="Q1468" s="8">
        <v>106.99299999999999</v>
      </c>
      <c r="R1468" s="8">
        <v>78.805000000000007</v>
      </c>
      <c r="S1468" s="8">
        <v>65.885000000000005</v>
      </c>
      <c r="T1468" s="8">
        <v>58.848999999999997</v>
      </c>
      <c r="U1468" s="8">
        <v>50.015000000000001</v>
      </c>
      <c r="V1468" s="8">
        <v>34.820999999999998</v>
      </c>
      <c r="W1468" s="8">
        <v>21.568999999999999</v>
      </c>
      <c r="X1468" s="8">
        <v>12.096</v>
      </c>
      <c r="Y1468" s="8">
        <v>5.6150000000000002</v>
      </c>
      <c r="Z1468" s="8">
        <v>2.6840000000000002</v>
      </c>
      <c r="AA1468" s="8">
        <v>0.8</v>
      </c>
      <c r="AB1468" s="8">
        <v>9.0999999999999998E-2</v>
      </c>
      <c r="AC1468" s="8">
        <v>5.0000000000000001E-3</v>
      </c>
    </row>
    <row r="1469" spans="1:29" ht="11.65" x14ac:dyDescent="0.35">
      <c r="A1469" s="12">
        <v>1452</v>
      </c>
      <c r="B1469" s="10" t="s">
        <v>1015</v>
      </c>
      <c r="C1469" s="11" t="s">
        <v>1120</v>
      </c>
      <c r="D1469" s="9"/>
      <c r="E1469" s="9">
        <v>400</v>
      </c>
      <c r="F1469" s="10" t="s">
        <v>1066</v>
      </c>
      <c r="G1469" s="9">
        <v>922</v>
      </c>
      <c r="H1469" s="9">
        <v>2005</v>
      </c>
      <c r="I1469" s="8">
        <v>416.60599999999999</v>
      </c>
      <c r="J1469" s="8">
        <v>372.80900000000003</v>
      </c>
      <c r="K1469" s="8">
        <v>341.11</v>
      </c>
      <c r="L1469" s="8">
        <v>313.46300000000002</v>
      </c>
      <c r="M1469" s="8">
        <v>300.19400000000002</v>
      </c>
      <c r="N1469" s="8">
        <v>262.024</v>
      </c>
      <c r="O1469" s="8">
        <v>238.85300000000001</v>
      </c>
      <c r="P1469" s="8">
        <v>197.93</v>
      </c>
      <c r="Q1469" s="8">
        <v>146.87</v>
      </c>
      <c r="R1469" s="8">
        <v>98.935000000000002</v>
      </c>
      <c r="S1469" s="8">
        <v>73.194999999999993</v>
      </c>
      <c r="T1469" s="8">
        <v>61.445</v>
      </c>
      <c r="U1469" s="8">
        <v>54.18</v>
      </c>
      <c r="V1469" s="8">
        <v>43.917999999999999</v>
      </c>
      <c r="W1469" s="8">
        <v>27.887</v>
      </c>
      <c r="X1469" s="8">
        <v>15.087999999999999</v>
      </c>
      <c r="Y1469" s="8">
        <v>6.923</v>
      </c>
      <c r="Z1469" s="8">
        <v>2.3460000000000001</v>
      </c>
      <c r="AA1469" s="8">
        <v>0.70099999999999996</v>
      </c>
      <c r="AB1469" s="8">
        <v>0.112</v>
      </c>
      <c r="AC1469" s="8">
        <v>7.0000000000000001E-3</v>
      </c>
    </row>
    <row r="1470" spans="1:29" ht="11.65" x14ac:dyDescent="0.35">
      <c r="A1470" s="12">
        <v>1453</v>
      </c>
      <c r="B1470" s="10" t="s">
        <v>1015</v>
      </c>
      <c r="C1470" s="11" t="s">
        <v>1120</v>
      </c>
      <c r="D1470" s="9"/>
      <c r="E1470" s="9">
        <v>400</v>
      </c>
      <c r="F1470" s="10" t="s">
        <v>1066</v>
      </c>
      <c r="G1470" s="9">
        <v>922</v>
      </c>
      <c r="H1470" s="9">
        <v>2010</v>
      </c>
      <c r="I1470" s="8">
        <v>511.88600000000002</v>
      </c>
      <c r="J1470" s="8">
        <v>460.83300000000003</v>
      </c>
      <c r="K1470" s="8">
        <v>411.85399999999998</v>
      </c>
      <c r="L1470" s="8">
        <v>375.10899999999998</v>
      </c>
      <c r="M1470" s="8">
        <v>342.74400000000003</v>
      </c>
      <c r="N1470" s="8">
        <v>325.56900000000002</v>
      </c>
      <c r="O1470" s="8">
        <v>283.91300000000001</v>
      </c>
      <c r="P1470" s="8">
        <v>256.375</v>
      </c>
      <c r="Q1470" s="8">
        <v>209.995</v>
      </c>
      <c r="R1470" s="8">
        <v>154.267</v>
      </c>
      <c r="S1470" s="8">
        <v>104.711</v>
      </c>
      <c r="T1470" s="8">
        <v>76.822000000000003</v>
      </c>
      <c r="U1470" s="8">
        <v>62.140999999999998</v>
      </c>
      <c r="V1470" s="8">
        <v>52.198999999999998</v>
      </c>
      <c r="W1470" s="8">
        <v>39.009</v>
      </c>
      <c r="X1470" s="8">
        <v>22.050999999999998</v>
      </c>
      <c r="Y1470" s="8">
        <v>10.067</v>
      </c>
      <c r="Z1470" s="8">
        <v>3.2320000000000002</v>
      </c>
      <c r="AA1470" s="8">
        <v>0.622</v>
      </c>
      <c r="AB1470" s="8">
        <v>0.10100000000000001</v>
      </c>
      <c r="AC1470" s="8">
        <v>8.9999999999999993E-3</v>
      </c>
    </row>
    <row r="1471" spans="1:29" ht="11.65" x14ac:dyDescent="0.35">
      <c r="A1471" s="12">
        <v>1454</v>
      </c>
      <c r="B1471" s="10" t="s">
        <v>1015</v>
      </c>
      <c r="C1471" s="11" t="s">
        <v>1120</v>
      </c>
      <c r="D1471" s="9"/>
      <c r="E1471" s="9">
        <v>400</v>
      </c>
      <c r="F1471" s="10" t="s">
        <v>1066</v>
      </c>
      <c r="G1471" s="9">
        <v>922</v>
      </c>
      <c r="H1471" s="9">
        <v>2015</v>
      </c>
      <c r="I1471" s="8">
        <v>588.625</v>
      </c>
      <c r="J1471" s="8">
        <v>577.15700000000004</v>
      </c>
      <c r="K1471" s="8">
        <v>524.69000000000005</v>
      </c>
      <c r="L1471" s="8">
        <v>472.19600000000003</v>
      </c>
      <c r="M1471" s="8">
        <v>431.84300000000002</v>
      </c>
      <c r="N1471" s="8">
        <v>390.74099999999999</v>
      </c>
      <c r="O1471" s="8">
        <v>362.01799999999997</v>
      </c>
      <c r="P1471" s="8">
        <v>311.745</v>
      </c>
      <c r="Q1471" s="8">
        <v>279.245</v>
      </c>
      <c r="R1471" s="8">
        <v>228.47300000000001</v>
      </c>
      <c r="S1471" s="8">
        <v>168.04900000000001</v>
      </c>
      <c r="T1471" s="8">
        <v>113.098</v>
      </c>
      <c r="U1471" s="8">
        <v>80.525999999999996</v>
      </c>
      <c r="V1471" s="8">
        <v>62.31</v>
      </c>
      <c r="W1471" s="8">
        <v>48.63</v>
      </c>
      <c r="X1471" s="8">
        <v>32.448999999999998</v>
      </c>
      <c r="Y1471" s="8">
        <v>15.647</v>
      </c>
      <c r="Z1471" s="8">
        <v>4.9800000000000004</v>
      </c>
      <c r="AA1471" s="8">
        <v>0.88600000000000001</v>
      </c>
      <c r="AB1471" s="8">
        <v>9.4E-2</v>
      </c>
      <c r="AC1471" s="8">
        <v>8.0000000000000002E-3</v>
      </c>
    </row>
    <row r="1472" spans="1:29" ht="11.65" x14ac:dyDescent="0.35">
      <c r="A1472" s="12">
        <v>1455</v>
      </c>
      <c r="B1472" s="10" t="s">
        <v>1015</v>
      </c>
      <c r="C1472" s="11" t="s">
        <v>1120</v>
      </c>
      <c r="D1472" s="9"/>
      <c r="E1472" s="9">
        <v>400</v>
      </c>
      <c r="F1472" s="10" t="s">
        <v>1066</v>
      </c>
      <c r="G1472" s="9">
        <v>922</v>
      </c>
      <c r="H1472" s="9">
        <v>2020</v>
      </c>
      <c r="I1472" s="8">
        <v>542.51800000000003</v>
      </c>
      <c r="J1472" s="8">
        <v>588.28099999999995</v>
      </c>
      <c r="K1472" s="8">
        <v>576.779</v>
      </c>
      <c r="L1472" s="8">
        <v>525.125</v>
      </c>
      <c r="M1472" s="8">
        <v>474.13400000000001</v>
      </c>
      <c r="N1472" s="8">
        <v>434.685</v>
      </c>
      <c r="O1472" s="8">
        <v>393.06200000000001</v>
      </c>
      <c r="P1472" s="8">
        <v>363.01299999999998</v>
      </c>
      <c r="Q1472" s="8">
        <v>311.30700000000002</v>
      </c>
      <c r="R1472" s="8">
        <v>276.87900000000002</v>
      </c>
      <c r="S1472" s="8">
        <v>224.09200000000001</v>
      </c>
      <c r="T1472" s="8">
        <v>161.95099999999999</v>
      </c>
      <c r="U1472" s="8">
        <v>106.011</v>
      </c>
      <c r="V1472" s="8">
        <v>72.23</v>
      </c>
      <c r="W1472" s="8">
        <v>51.93</v>
      </c>
      <c r="X1472" s="8">
        <v>35.957000000000001</v>
      </c>
      <c r="Y1472" s="8">
        <v>19.675000000000001</v>
      </c>
      <c r="Z1472" s="8">
        <v>6.8570000000000002</v>
      </c>
      <c r="AA1472" s="8">
        <v>1.3540000000000001</v>
      </c>
      <c r="AB1472" s="8">
        <v>0.13100000000000001</v>
      </c>
      <c r="AC1472" s="8">
        <v>8.0000000000000002E-3</v>
      </c>
    </row>
    <row r="1473" spans="1:29" ht="11.65" x14ac:dyDescent="0.35">
      <c r="A1473" s="12">
        <v>1456</v>
      </c>
      <c r="B1473" s="10" t="s">
        <v>1015</v>
      </c>
      <c r="C1473" s="11" t="s">
        <v>1121</v>
      </c>
      <c r="D1473" s="9"/>
      <c r="E1473" s="9">
        <v>414</v>
      </c>
      <c r="F1473" s="10" t="s">
        <v>1066</v>
      </c>
      <c r="G1473" s="9">
        <v>922</v>
      </c>
      <c r="H1473" s="9">
        <v>1950</v>
      </c>
      <c r="I1473" s="8">
        <v>12.250999999999999</v>
      </c>
      <c r="J1473" s="8">
        <v>9.5500000000000007</v>
      </c>
      <c r="K1473" s="8">
        <v>7.75</v>
      </c>
      <c r="L1473" s="8">
        <v>8.9499999999999993</v>
      </c>
      <c r="M1473" s="8">
        <v>11.651</v>
      </c>
      <c r="N1473" s="8">
        <v>11.4</v>
      </c>
      <c r="O1473" s="8">
        <v>8.65</v>
      </c>
      <c r="P1473" s="8">
        <v>6.6</v>
      </c>
      <c r="Q1473" s="8">
        <v>3.6509999999999998</v>
      </c>
      <c r="R1473" s="8">
        <v>3.3010000000000002</v>
      </c>
      <c r="S1473" s="8">
        <v>2.5499999999999998</v>
      </c>
      <c r="T1473" s="8">
        <v>1.5489999999999999</v>
      </c>
      <c r="U1473" s="8">
        <v>1.2</v>
      </c>
      <c r="V1473" s="8">
        <v>1.1000000000000001</v>
      </c>
      <c r="W1473" s="8">
        <v>0.70499999999999996</v>
      </c>
      <c r="X1473" s="8">
        <v>0.32500000000000001</v>
      </c>
      <c r="Y1473" s="8">
        <v>8.7999999999999995E-2</v>
      </c>
      <c r="Z1473" s="8">
        <v>2.8000000000000001E-2</v>
      </c>
      <c r="AA1473" s="8">
        <v>5.0000000000000001E-3</v>
      </c>
      <c r="AB1473" s="8">
        <v>0</v>
      </c>
      <c r="AC1473" s="8">
        <v>0</v>
      </c>
    </row>
    <row r="1474" spans="1:29" ht="11.65" x14ac:dyDescent="0.35">
      <c r="A1474" s="12">
        <v>1457</v>
      </c>
      <c r="B1474" s="10" t="s">
        <v>1015</v>
      </c>
      <c r="C1474" s="11" t="s">
        <v>1121</v>
      </c>
      <c r="D1474" s="9"/>
      <c r="E1474" s="9">
        <v>414</v>
      </c>
      <c r="F1474" s="10" t="s">
        <v>1066</v>
      </c>
      <c r="G1474" s="9">
        <v>922</v>
      </c>
      <c r="H1474" s="9">
        <v>1955</v>
      </c>
      <c r="I1474" s="8">
        <v>15.048999999999999</v>
      </c>
      <c r="J1474" s="8">
        <v>10.353</v>
      </c>
      <c r="K1474" s="8">
        <v>7.4550000000000001</v>
      </c>
      <c r="L1474" s="8">
        <v>9.4359999999999999</v>
      </c>
      <c r="M1474" s="8">
        <v>14.869</v>
      </c>
      <c r="N1474" s="8">
        <v>15.223000000000001</v>
      </c>
      <c r="O1474" s="8">
        <v>11.804</v>
      </c>
      <c r="P1474" s="8">
        <v>8.2520000000000007</v>
      </c>
      <c r="Q1474" s="8">
        <v>6.2149999999999999</v>
      </c>
      <c r="R1474" s="8">
        <v>3.5190000000000001</v>
      </c>
      <c r="S1474" s="8">
        <v>3.2280000000000002</v>
      </c>
      <c r="T1474" s="8">
        <v>2.367</v>
      </c>
      <c r="U1474" s="8">
        <v>1.3879999999999999</v>
      </c>
      <c r="V1474" s="8">
        <v>1.012</v>
      </c>
      <c r="W1474" s="8">
        <v>0.84</v>
      </c>
      <c r="X1474" s="8">
        <v>0.45500000000000002</v>
      </c>
      <c r="Y1474" s="8">
        <v>0.16</v>
      </c>
      <c r="Z1474" s="8">
        <v>0.03</v>
      </c>
      <c r="AA1474" s="8">
        <v>5.0000000000000001E-3</v>
      </c>
      <c r="AB1474" s="8">
        <v>0</v>
      </c>
      <c r="AC1474" s="8">
        <v>0</v>
      </c>
    </row>
    <row r="1475" spans="1:29" ht="11.65" x14ac:dyDescent="0.35">
      <c r="A1475" s="12">
        <v>1458</v>
      </c>
      <c r="B1475" s="10" t="s">
        <v>1015</v>
      </c>
      <c r="C1475" s="11" t="s">
        <v>1121</v>
      </c>
      <c r="D1475" s="9"/>
      <c r="E1475" s="9">
        <v>414</v>
      </c>
      <c r="F1475" s="10" t="s">
        <v>1066</v>
      </c>
      <c r="G1475" s="9">
        <v>922</v>
      </c>
      <c r="H1475" s="9">
        <v>1960</v>
      </c>
      <c r="I1475" s="8">
        <v>21.428999999999998</v>
      </c>
      <c r="J1475" s="8">
        <v>16.649999999999999</v>
      </c>
      <c r="K1475" s="8">
        <v>10.752000000000001</v>
      </c>
      <c r="L1475" s="8">
        <v>11.904999999999999</v>
      </c>
      <c r="M1475" s="8">
        <v>22.766999999999999</v>
      </c>
      <c r="N1475" s="8">
        <v>29.048999999999999</v>
      </c>
      <c r="O1475" s="8">
        <v>21.881</v>
      </c>
      <c r="P1475" s="8">
        <v>12.324999999999999</v>
      </c>
      <c r="Q1475" s="8">
        <v>8.5530000000000008</v>
      </c>
      <c r="R1475" s="8">
        <v>6.2569999999999997</v>
      </c>
      <c r="S1475" s="8">
        <v>3.3540000000000001</v>
      </c>
      <c r="T1475" s="8">
        <v>3.01</v>
      </c>
      <c r="U1475" s="8">
        <v>2.1240000000000001</v>
      </c>
      <c r="V1475" s="8">
        <v>1.173</v>
      </c>
      <c r="W1475" s="8">
        <v>0.77900000000000003</v>
      </c>
      <c r="X1475" s="8">
        <v>0.54800000000000004</v>
      </c>
      <c r="Y1475" s="8">
        <v>0.22900000000000001</v>
      </c>
      <c r="Z1475" s="8">
        <v>5.2999999999999999E-2</v>
      </c>
      <c r="AA1475" s="8">
        <v>5.0000000000000001E-3</v>
      </c>
      <c r="AB1475" s="8">
        <v>0</v>
      </c>
      <c r="AC1475" s="8">
        <v>0</v>
      </c>
    </row>
    <row r="1476" spans="1:29" ht="11.65" x14ac:dyDescent="0.35">
      <c r="A1476" s="12">
        <v>1459</v>
      </c>
      <c r="B1476" s="10" t="s">
        <v>1015</v>
      </c>
      <c r="C1476" s="11" t="s">
        <v>1121</v>
      </c>
      <c r="D1476" s="9"/>
      <c r="E1476" s="9">
        <v>414</v>
      </c>
      <c r="F1476" s="10" t="s">
        <v>1066</v>
      </c>
      <c r="G1476" s="9">
        <v>922</v>
      </c>
      <c r="H1476" s="9">
        <v>1965</v>
      </c>
      <c r="I1476" s="8">
        <v>44.515999999999998</v>
      </c>
      <c r="J1476" s="8">
        <v>29.068000000000001</v>
      </c>
      <c r="K1476" s="8">
        <v>21.928999999999998</v>
      </c>
      <c r="L1476" s="8">
        <v>23.161999999999999</v>
      </c>
      <c r="M1476" s="8">
        <v>37.229999999999997</v>
      </c>
      <c r="N1476" s="8">
        <v>42.09</v>
      </c>
      <c r="O1476" s="8">
        <v>30.145</v>
      </c>
      <c r="P1476" s="8">
        <v>22.811</v>
      </c>
      <c r="Q1476" s="8">
        <v>14.284000000000001</v>
      </c>
      <c r="R1476" s="8">
        <v>8.82</v>
      </c>
      <c r="S1476" s="8">
        <v>6.7</v>
      </c>
      <c r="T1476" s="8">
        <v>3.1379999999999999</v>
      </c>
      <c r="U1476" s="8">
        <v>2.911</v>
      </c>
      <c r="V1476" s="8">
        <v>2.17</v>
      </c>
      <c r="W1476" s="8">
        <v>1.0649999999999999</v>
      </c>
      <c r="X1476" s="8">
        <v>0.51400000000000001</v>
      </c>
      <c r="Y1476" s="8">
        <v>0.28000000000000003</v>
      </c>
      <c r="Z1476" s="8">
        <v>7.5999999999999998E-2</v>
      </c>
      <c r="AA1476" s="8">
        <v>0.01</v>
      </c>
      <c r="AB1476" s="8">
        <v>0</v>
      </c>
      <c r="AC1476" s="8">
        <v>0</v>
      </c>
    </row>
    <row r="1477" spans="1:29" ht="11.65" x14ac:dyDescent="0.35">
      <c r="A1477" s="12">
        <v>1460</v>
      </c>
      <c r="B1477" s="10" t="s">
        <v>1015</v>
      </c>
      <c r="C1477" s="11" t="s">
        <v>1121</v>
      </c>
      <c r="D1477" s="9"/>
      <c r="E1477" s="9">
        <v>414</v>
      </c>
      <c r="F1477" s="10" t="s">
        <v>1066</v>
      </c>
      <c r="G1477" s="9">
        <v>922</v>
      </c>
      <c r="H1477" s="9">
        <v>1970</v>
      </c>
      <c r="I1477" s="8">
        <v>70.725999999999999</v>
      </c>
      <c r="J1477" s="8">
        <v>56.484999999999999</v>
      </c>
      <c r="K1477" s="8">
        <v>39.101999999999997</v>
      </c>
      <c r="L1477" s="8">
        <v>31.076000000000001</v>
      </c>
      <c r="M1477" s="8">
        <v>44.68</v>
      </c>
      <c r="N1477" s="8">
        <v>45.304000000000002</v>
      </c>
      <c r="O1477" s="8">
        <v>39.164000000000001</v>
      </c>
      <c r="P1477" s="8">
        <v>31.745999999999999</v>
      </c>
      <c r="Q1477" s="8">
        <v>20.898</v>
      </c>
      <c r="R1477" s="8">
        <v>13.255000000000001</v>
      </c>
      <c r="S1477" s="8">
        <v>11.103999999999999</v>
      </c>
      <c r="T1477" s="8">
        <v>5.0309999999999997</v>
      </c>
      <c r="U1477" s="8">
        <v>4.4820000000000002</v>
      </c>
      <c r="V1477" s="8">
        <v>2.5329999999999999</v>
      </c>
      <c r="W1477" s="8">
        <v>1.8939999999999999</v>
      </c>
      <c r="X1477" s="8">
        <v>2.145</v>
      </c>
      <c r="Y1477" s="8">
        <v>0.28199999999999997</v>
      </c>
      <c r="Z1477" s="8">
        <v>9.0999999999999998E-2</v>
      </c>
      <c r="AA1477" s="8">
        <v>1.6E-2</v>
      </c>
      <c r="AB1477" s="8">
        <v>0</v>
      </c>
      <c r="AC1477" s="8">
        <v>0</v>
      </c>
    </row>
    <row r="1478" spans="1:29" ht="11.65" x14ac:dyDescent="0.35">
      <c r="A1478" s="12">
        <v>1461</v>
      </c>
      <c r="B1478" s="10" t="s">
        <v>1015</v>
      </c>
      <c r="C1478" s="11" t="s">
        <v>1121</v>
      </c>
      <c r="D1478" s="9"/>
      <c r="E1478" s="9">
        <v>414</v>
      </c>
      <c r="F1478" s="10" t="s">
        <v>1066</v>
      </c>
      <c r="G1478" s="9">
        <v>922</v>
      </c>
      <c r="H1478" s="9">
        <v>1975</v>
      </c>
      <c r="I1478" s="8">
        <v>102.22799999999999</v>
      </c>
      <c r="J1478" s="8">
        <v>74.891999999999996</v>
      </c>
      <c r="K1478" s="8">
        <v>56.231000000000002</v>
      </c>
      <c r="L1478" s="8">
        <v>46.447000000000003</v>
      </c>
      <c r="M1478" s="8">
        <v>48.34</v>
      </c>
      <c r="N1478" s="8">
        <v>50.290999999999997</v>
      </c>
      <c r="O1478" s="8">
        <v>47.396999999999998</v>
      </c>
      <c r="P1478" s="8">
        <v>42.179000000000002</v>
      </c>
      <c r="Q1478" s="8">
        <v>29.783999999999999</v>
      </c>
      <c r="R1478" s="8">
        <v>22.443000000000001</v>
      </c>
      <c r="S1478" s="8">
        <v>12.384</v>
      </c>
      <c r="T1478" s="8">
        <v>7.41</v>
      </c>
      <c r="U1478" s="8">
        <v>6.9329999999999998</v>
      </c>
      <c r="V1478" s="8">
        <v>2.875</v>
      </c>
      <c r="W1478" s="8">
        <v>1.96</v>
      </c>
      <c r="X1478" s="8">
        <v>2.835</v>
      </c>
      <c r="Y1478" s="8">
        <v>1.1080000000000001</v>
      </c>
      <c r="Z1478" s="8">
        <v>0.10199999999999999</v>
      </c>
      <c r="AA1478" s="8">
        <v>1.9E-2</v>
      </c>
      <c r="AB1478" s="8">
        <v>2E-3</v>
      </c>
      <c r="AC1478" s="8">
        <v>0</v>
      </c>
    </row>
    <row r="1479" spans="1:29" ht="11.65" x14ac:dyDescent="0.35">
      <c r="A1479" s="12">
        <v>1462</v>
      </c>
      <c r="B1479" s="10" t="s">
        <v>1015</v>
      </c>
      <c r="C1479" s="11" t="s">
        <v>1121</v>
      </c>
      <c r="D1479" s="9"/>
      <c r="E1479" s="9">
        <v>414</v>
      </c>
      <c r="F1479" s="10" t="s">
        <v>1066</v>
      </c>
      <c r="G1479" s="9">
        <v>922</v>
      </c>
      <c r="H1479" s="9">
        <v>1980</v>
      </c>
      <c r="I1479" s="8">
        <v>106.845</v>
      </c>
      <c r="J1479" s="8">
        <v>97.507000000000005</v>
      </c>
      <c r="K1479" s="8">
        <v>74.617999999999995</v>
      </c>
      <c r="L1479" s="8">
        <v>61.533000000000001</v>
      </c>
      <c r="M1479" s="8">
        <v>74.665000000000006</v>
      </c>
      <c r="N1479" s="8">
        <v>87.912000000000006</v>
      </c>
      <c r="O1479" s="8">
        <v>73.766999999999996</v>
      </c>
      <c r="P1479" s="8">
        <v>61.933</v>
      </c>
      <c r="Q1479" s="8">
        <v>55.033999999999999</v>
      </c>
      <c r="R1479" s="8">
        <v>32.656999999999996</v>
      </c>
      <c r="S1479" s="8">
        <v>25.152000000000001</v>
      </c>
      <c r="T1479" s="8">
        <v>12.615</v>
      </c>
      <c r="U1479" s="8">
        <v>6.9029999999999996</v>
      </c>
      <c r="V1479" s="8">
        <v>4.7640000000000002</v>
      </c>
      <c r="W1479" s="8">
        <v>2.4470000000000001</v>
      </c>
      <c r="X1479" s="8">
        <v>2.8010000000000002</v>
      </c>
      <c r="Y1479" s="8">
        <v>1.476</v>
      </c>
      <c r="Z1479" s="8">
        <v>0.36499999999999999</v>
      </c>
      <c r="AA1479" s="8">
        <v>1.7000000000000001E-2</v>
      </c>
      <c r="AB1479" s="8">
        <v>2E-3</v>
      </c>
      <c r="AC1479" s="8">
        <v>0</v>
      </c>
    </row>
    <row r="1480" spans="1:29" ht="11.65" x14ac:dyDescent="0.35">
      <c r="A1480" s="12">
        <v>1463</v>
      </c>
      <c r="B1480" s="10" t="s">
        <v>1015</v>
      </c>
      <c r="C1480" s="11" t="s">
        <v>1121</v>
      </c>
      <c r="D1480" s="9"/>
      <c r="E1480" s="9">
        <v>414</v>
      </c>
      <c r="F1480" s="10" t="s">
        <v>1066</v>
      </c>
      <c r="G1480" s="9">
        <v>922</v>
      </c>
      <c r="H1480" s="9">
        <v>1985</v>
      </c>
      <c r="I1480" s="8">
        <v>135.17699999999999</v>
      </c>
      <c r="J1480" s="8">
        <v>102.35299999999999</v>
      </c>
      <c r="K1480" s="8">
        <v>90.22</v>
      </c>
      <c r="L1480" s="8">
        <v>74.385000000000005</v>
      </c>
      <c r="M1480" s="8">
        <v>79.710999999999999</v>
      </c>
      <c r="N1480" s="8">
        <v>113.711</v>
      </c>
      <c r="O1480" s="8">
        <v>112.76300000000001</v>
      </c>
      <c r="P1480" s="8">
        <v>86.772000000000006</v>
      </c>
      <c r="Q1480" s="8">
        <v>63.213000000000001</v>
      </c>
      <c r="R1480" s="8">
        <v>48.128999999999998</v>
      </c>
      <c r="S1480" s="8">
        <v>34.801000000000002</v>
      </c>
      <c r="T1480" s="8">
        <v>16.167999999999999</v>
      </c>
      <c r="U1480" s="8">
        <v>10.933999999999999</v>
      </c>
      <c r="V1480" s="8">
        <v>4.99</v>
      </c>
      <c r="W1480" s="8">
        <v>2.4500000000000002</v>
      </c>
      <c r="X1480" s="8">
        <v>2.9359999999999999</v>
      </c>
      <c r="Y1480" s="8">
        <v>1.4570000000000001</v>
      </c>
      <c r="Z1480" s="8">
        <v>0.48499999999999999</v>
      </c>
      <c r="AA1480" s="8">
        <v>7.4999999999999997E-2</v>
      </c>
      <c r="AB1480" s="8">
        <v>2E-3</v>
      </c>
      <c r="AC1480" s="8">
        <v>0</v>
      </c>
    </row>
    <row r="1481" spans="1:29" ht="11.65" x14ac:dyDescent="0.35">
      <c r="A1481" s="12">
        <v>1464</v>
      </c>
      <c r="B1481" s="10" t="s">
        <v>1015</v>
      </c>
      <c r="C1481" s="11" t="s">
        <v>1121</v>
      </c>
      <c r="D1481" s="9"/>
      <c r="E1481" s="9">
        <v>414</v>
      </c>
      <c r="F1481" s="10" t="s">
        <v>1066</v>
      </c>
      <c r="G1481" s="9">
        <v>922</v>
      </c>
      <c r="H1481" s="9">
        <v>1990</v>
      </c>
      <c r="I1481" s="8">
        <v>126.375</v>
      </c>
      <c r="J1481" s="8">
        <v>133.74799999999999</v>
      </c>
      <c r="K1481" s="8">
        <v>110.57899999999999</v>
      </c>
      <c r="L1481" s="8">
        <v>89.927000000000007</v>
      </c>
      <c r="M1481" s="8">
        <v>102.053</v>
      </c>
      <c r="N1481" s="8">
        <v>141.21100000000001</v>
      </c>
      <c r="O1481" s="8">
        <v>143.06299999999999</v>
      </c>
      <c r="P1481" s="8">
        <v>109.16200000000001</v>
      </c>
      <c r="Q1481" s="8">
        <v>83.126000000000005</v>
      </c>
      <c r="R1481" s="8">
        <v>59.418999999999997</v>
      </c>
      <c r="S1481" s="8">
        <v>39.040999999999997</v>
      </c>
      <c r="T1481" s="8">
        <v>25.173999999999999</v>
      </c>
      <c r="U1481" s="8">
        <v>12.125</v>
      </c>
      <c r="V1481" s="8">
        <v>8.4250000000000007</v>
      </c>
      <c r="W1481" s="8">
        <v>3.544</v>
      </c>
      <c r="X1481" s="8">
        <v>1.5109999999999999</v>
      </c>
      <c r="Y1481" s="8">
        <v>1.526</v>
      </c>
      <c r="Z1481" s="8">
        <v>0.47899999999999998</v>
      </c>
      <c r="AA1481" s="8">
        <v>0.1</v>
      </c>
      <c r="AB1481" s="8">
        <v>8.9999999999999993E-3</v>
      </c>
      <c r="AC1481" s="8">
        <v>0</v>
      </c>
    </row>
    <row r="1482" spans="1:29" ht="11.65" x14ac:dyDescent="0.35">
      <c r="A1482" s="12">
        <v>1465</v>
      </c>
      <c r="B1482" s="10" t="s">
        <v>1015</v>
      </c>
      <c r="C1482" s="11" t="s">
        <v>1121</v>
      </c>
      <c r="D1482" s="9"/>
      <c r="E1482" s="9">
        <v>414</v>
      </c>
      <c r="F1482" s="10" t="s">
        <v>1066</v>
      </c>
      <c r="G1482" s="9">
        <v>922</v>
      </c>
      <c r="H1482" s="9">
        <v>1995</v>
      </c>
      <c r="I1482" s="8">
        <v>90.438000000000002</v>
      </c>
      <c r="J1482" s="8">
        <v>82.052000000000007</v>
      </c>
      <c r="K1482" s="8">
        <v>81.043000000000006</v>
      </c>
      <c r="L1482" s="8">
        <v>55.283999999999999</v>
      </c>
      <c r="M1482" s="8">
        <v>67.209999999999994</v>
      </c>
      <c r="N1482" s="8">
        <v>129.035</v>
      </c>
      <c r="O1482" s="8">
        <v>125.613</v>
      </c>
      <c r="P1482" s="8">
        <v>102.973</v>
      </c>
      <c r="Q1482" s="8">
        <v>77.522000000000006</v>
      </c>
      <c r="R1482" s="8">
        <v>50.817</v>
      </c>
      <c r="S1482" s="8">
        <v>28.556000000000001</v>
      </c>
      <c r="T1482" s="8">
        <v>18.096</v>
      </c>
      <c r="U1482" s="8">
        <v>11.484999999999999</v>
      </c>
      <c r="V1482" s="8">
        <v>3.7679999999999998</v>
      </c>
      <c r="W1482" s="8">
        <v>4.7720000000000002</v>
      </c>
      <c r="X1482" s="8">
        <v>2.4449999999999998</v>
      </c>
      <c r="Y1482" s="8">
        <v>0.78600000000000003</v>
      </c>
      <c r="Z1482" s="8">
        <v>0.501</v>
      </c>
      <c r="AA1482" s="8">
        <v>9.9000000000000005E-2</v>
      </c>
      <c r="AB1482" s="8">
        <v>1.2999999999999999E-2</v>
      </c>
      <c r="AC1482" s="8">
        <v>1E-3</v>
      </c>
    </row>
    <row r="1483" spans="1:29" ht="11.65" x14ac:dyDescent="0.35">
      <c r="A1483" s="12">
        <v>1466</v>
      </c>
      <c r="B1483" s="10" t="s">
        <v>1015</v>
      </c>
      <c r="C1483" s="11" t="s">
        <v>1121</v>
      </c>
      <c r="D1483" s="9"/>
      <c r="E1483" s="9">
        <v>414</v>
      </c>
      <c r="F1483" s="10" t="s">
        <v>1066</v>
      </c>
      <c r="G1483" s="9">
        <v>922</v>
      </c>
      <c r="H1483" s="9">
        <v>2000</v>
      </c>
      <c r="I1483" s="8">
        <v>115.95</v>
      </c>
      <c r="J1483" s="8">
        <v>100.22499999999999</v>
      </c>
      <c r="K1483" s="8">
        <v>81.884</v>
      </c>
      <c r="L1483" s="8">
        <v>88.311000000000007</v>
      </c>
      <c r="M1483" s="8">
        <v>94.95</v>
      </c>
      <c r="N1483" s="8">
        <v>109.298</v>
      </c>
      <c r="O1483" s="8">
        <v>149.696</v>
      </c>
      <c r="P1483" s="8">
        <v>137.45599999999999</v>
      </c>
      <c r="Q1483" s="8">
        <v>113.43600000000001</v>
      </c>
      <c r="R1483" s="8">
        <v>86.552999999999997</v>
      </c>
      <c r="S1483" s="8">
        <v>54.734999999999999</v>
      </c>
      <c r="T1483" s="8">
        <v>27.626999999999999</v>
      </c>
      <c r="U1483" s="8">
        <v>16.995000000000001</v>
      </c>
      <c r="V1483" s="8">
        <v>10.183</v>
      </c>
      <c r="W1483" s="8">
        <v>3.052</v>
      </c>
      <c r="X1483" s="8">
        <v>3.3069999999999999</v>
      </c>
      <c r="Y1483" s="8">
        <v>1.27</v>
      </c>
      <c r="Z1483" s="8">
        <v>0.25800000000000001</v>
      </c>
      <c r="AA1483" s="8">
        <v>0.10199999999999999</v>
      </c>
      <c r="AB1483" s="8">
        <v>1.2999999999999999E-2</v>
      </c>
      <c r="AC1483" s="8">
        <v>1E-3</v>
      </c>
    </row>
    <row r="1484" spans="1:29" ht="11.65" x14ac:dyDescent="0.35">
      <c r="A1484" s="12">
        <v>1467</v>
      </c>
      <c r="B1484" s="10" t="s">
        <v>1015</v>
      </c>
      <c r="C1484" s="11" t="s">
        <v>1121</v>
      </c>
      <c r="D1484" s="9"/>
      <c r="E1484" s="9">
        <v>414</v>
      </c>
      <c r="F1484" s="10" t="s">
        <v>1066</v>
      </c>
      <c r="G1484" s="9">
        <v>922</v>
      </c>
      <c r="H1484" s="9">
        <v>2005</v>
      </c>
      <c r="I1484" s="8">
        <v>108.19</v>
      </c>
      <c r="J1484" s="8">
        <v>103.726</v>
      </c>
      <c r="K1484" s="8">
        <v>91.564999999999998</v>
      </c>
      <c r="L1484" s="8">
        <v>79.150999999999996</v>
      </c>
      <c r="M1484" s="8">
        <v>121.381</v>
      </c>
      <c r="N1484" s="8">
        <v>173.87700000000001</v>
      </c>
      <c r="O1484" s="8">
        <v>171.62</v>
      </c>
      <c r="P1484" s="8">
        <v>155.815</v>
      </c>
      <c r="Q1484" s="8">
        <v>112.48399999999999</v>
      </c>
      <c r="R1484" s="8">
        <v>85.739000000000004</v>
      </c>
      <c r="S1484" s="8">
        <v>57.625999999999998</v>
      </c>
      <c r="T1484" s="8">
        <v>31.033999999999999</v>
      </c>
      <c r="U1484" s="8">
        <v>19.788</v>
      </c>
      <c r="V1484" s="8">
        <v>15.859</v>
      </c>
      <c r="W1484" s="8">
        <v>8.2959999999999994</v>
      </c>
      <c r="X1484" s="8">
        <v>2.1240000000000001</v>
      </c>
      <c r="Y1484" s="8">
        <v>1.716</v>
      </c>
      <c r="Z1484" s="8">
        <v>0.41699999999999998</v>
      </c>
      <c r="AA1484" s="8">
        <v>5.1999999999999998E-2</v>
      </c>
      <c r="AB1484" s="8">
        <v>1.4E-2</v>
      </c>
      <c r="AC1484" s="8">
        <v>1E-3</v>
      </c>
    </row>
    <row r="1485" spans="1:29" ht="11.65" x14ac:dyDescent="0.35">
      <c r="A1485" s="12">
        <v>1468</v>
      </c>
      <c r="B1485" s="10" t="s">
        <v>1015</v>
      </c>
      <c r="C1485" s="11" t="s">
        <v>1121</v>
      </c>
      <c r="D1485" s="9"/>
      <c r="E1485" s="9">
        <v>414</v>
      </c>
      <c r="F1485" s="10" t="s">
        <v>1066</v>
      </c>
      <c r="G1485" s="9">
        <v>922</v>
      </c>
      <c r="H1485" s="9">
        <v>2010</v>
      </c>
      <c r="I1485" s="8">
        <v>140.08600000000001</v>
      </c>
      <c r="J1485" s="8">
        <v>110.491</v>
      </c>
      <c r="K1485" s="8">
        <v>104.06699999999999</v>
      </c>
      <c r="L1485" s="8">
        <v>99.822999999999993</v>
      </c>
      <c r="M1485" s="8">
        <v>135.74100000000001</v>
      </c>
      <c r="N1485" s="8">
        <v>230.65700000000001</v>
      </c>
      <c r="O1485" s="8">
        <v>247.93600000000001</v>
      </c>
      <c r="P1485" s="8">
        <v>195.74199999999999</v>
      </c>
      <c r="Q1485" s="8">
        <v>168.66499999999999</v>
      </c>
      <c r="R1485" s="8">
        <v>110.76600000000001</v>
      </c>
      <c r="S1485" s="8">
        <v>77.227999999999994</v>
      </c>
      <c r="T1485" s="8">
        <v>48.701000000000001</v>
      </c>
      <c r="U1485" s="8">
        <v>25.693999999999999</v>
      </c>
      <c r="V1485" s="8">
        <v>14.965</v>
      </c>
      <c r="W1485" s="8">
        <v>11.760999999999999</v>
      </c>
      <c r="X1485" s="8">
        <v>5.79</v>
      </c>
      <c r="Y1485" s="8">
        <v>1.101</v>
      </c>
      <c r="Z1485" s="8">
        <v>0.56499999999999995</v>
      </c>
      <c r="AA1485" s="8">
        <v>8.5000000000000006E-2</v>
      </c>
      <c r="AB1485" s="8">
        <v>7.0000000000000001E-3</v>
      </c>
      <c r="AC1485" s="8">
        <v>1E-3</v>
      </c>
    </row>
    <row r="1486" spans="1:29" ht="11.65" x14ac:dyDescent="0.35">
      <c r="A1486" s="12">
        <v>1469</v>
      </c>
      <c r="B1486" s="10" t="s">
        <v>1015</v>
      </c>
      <c r="C1486" s="11" t="s">
        <v>1121</v>
      </c>
      <c r="D1486" s="9"/>
      <c r="E1486" s="9">
        <v>414</v>
      </c>
      <c r="F1486" s="10" t="s">
        <v>1066</v>
      </c>
      <c r="G1486" s="9">
        <v>922</v>
      </c>
      <c r="H1486" s="9">
        <v>2015</v>
      </c>
      <c r="I1486" s="8">
        <v>154.839</v>
      </c>
      <c r="J1486" s="8">
        <v>144.864</v>
      </c>
      <c r="K1486" s="8">
        <v>121.843</v>
      </c>
      <c r="L1486" s="8">
        <v>113.804</v>
      </c>
      <c r="M1486" s="8">
        <v>117.88200000000001</v>
      </c>
      <c r="N1486" s="8">
        <v>186.12100000000001</v>
      </c>
      <c r="O1486" s="8">
        <v>292.28899999999999</v>
      </c>
      <c r="P1486" s="8">
        <v>314.47300000000001</v>
      </c>
      <c r="Q1486" s="8">
        <v>269.56900000000002</v>
      </c>
      <c r="R1486" s="8">
        <v>210.81</v>
      </c>
      <c r="S1486" s="8">
        <v>129.143</v>
      </c>
      <c r="T1486" s="8">
        <v>99.141999999999996</v>
      </c>
      <c r="U1486" s="8">
        <v>54.610999999999997</v>
      </c>
      <c r="V1486" s="8">
        <v>21.146000000000001</v>
      </c>
      <c r="W1486" s="8">
        <v>13.597</v>
      </c>
      <c r="X1486" s="8">
        <v>8.2669999999999995</v>
      </c>
      <c r="Y1486" s="8">
        <v>3.0920000000000001</v>
      </c>
      <c r="Z1486" s="8">
        <v>0.38200000000000001</v>
      </c>
      <c r="AA1486" s="8">
        <v>0.107</v>
      </c>
      <c r="AB1486" s="8">
        <v>8.0000000000000002E-3</v>
      </c>
      <c r="AC1486" s="8">
        <v>0</v>
      </c>
    </row>
    <row r="1487" spans="1:29" ht="11.65" x14ac:dyDescent="0.35">
      <c r="A1487" s="12">
        <v>1470</v>
      </c>
      <c r="B1487" s="10" t="s">
        <v>1015</v>
      </c>
      <c r="C1487" s="11" t="s">
        <v>1121</v>
      </c>
      <c r="D1487" s="9"/>
      <c r="E1487" s="9">
        <v>414</v>
      </c>
      <c r="F1487" s="10" t="s">
        <v>1066</v>
      </c>
      <c r="G1487" s="9">
        <v>922</v>
      </c>
      <c r="H1487" s="9">
        <v>2020</v>
      </c>
      <c r="I1487" s="8">
        <v>148.19900000000001</v>
      </c>
      <c r="J1487" s="8">
        <v>170.63</v>
      </c>
      <c r="K1487" s="8">
        <v>172.93600000000001</v>
      </c>
      <c r="L1487" s="8">
        <v>124.29300000000001</v>
      </c>
      <c r="M1487" s="8">
        <v>113.361</v>
      </c>
      <c r="N1487" s="8">
        <v>148.35900000000001</v>
      </c>
      <c r="O1487" s="8">
        <v>226.45500000000001</v>
      </c>
      <c r="P1487" s="8">
        <v>326.22699999999998</v>
      </c>
      <c r="Q1487" s="8">
        <v>340.37700000000001</v>
      </c>
      <c r="R1487" s="8">
        <v>289.96899999999999</v>
      </c>
      <c r="S1487" s="8">
        <v>228.00800000000001</v>
      </c>
      <c r="T1487" s="8">
        <v>144.09800000000001</v>
      </c>
      <c r="U1487" s="8">
        <v>100.286</v>
      </c>
      <c r="V1487" s="8">
        <v>48.076000000000001</v>
      </c>
      <c r="W1487" s="8">
        <v>17.995000000000001</v>
      </c>
      <c r="X1487" s="8">
        <v>9.6059999999999999</v>
      </c>
      <c r="Y1487" s="8">
        <v>4.4169999999999998</v>
      </c>
      <c r="Z1487" s="8">
        <v>1.0740000000000001</v>
      </c>
      <c r="AA1487" s="8">
        <v>7.1999999999999995E-2</v>
      </c>
      <c r="AB1487" s="8">
        <v>8.0000000000000002E-3</v>
      </c>
      <c r="AC1487" s="8">
        <v>0</v>
      </c>
    </row>
    <row r="1488" spans="1:29" ht="11.65" x14ac:dyDescent="0.35">
      <c r="A1488" s="12">
        <v>1471</v>
      </c>
      <c r="B1488" s="10" t="s">
        <v>1015</v>
      </c>
      <c r="C1488" s="11" t="s">
        <v>1122</v>
      </c>
      <c r="D1488" s="9"/>
      <c r="E1488" s="9">
        <v>422</v>
      </c>
      <c r="F1488" s="10" t="s">
        <v>1066</v>
      </c>
      <c r="G1488" s="9">
        <v>922</v>
      </c>
      <c r="H1488" s="9">
        <v>1950</v>
      </c>
      <c r="I1488" s="8">
        <v>92.652000000000001</v>
      </c>
      <c r="J1488" s="8">
        <v>68.799000000000007</v>
      </c>
      <c r="K1488" s="8">
        <v>67.075999999999993</v>
      </c>
      <c r="L1488" s="8">
        <v>67.108000000000004</v>
      </c>
      <c r="M1488" s="8">
        <v>62.451000000000001</v>
      </c>
      <c r="N1488" s="8">
        <v>49.45</v>
      </c>
      <c r="O1488" s="8">
        <v>34.892000000000003</v>
      </c>
      <c r="P1488" s="8">
        <v>42.235999999999997</v>
      </c>
      <c r="Q1488" s="8">
        <v>36.497</v>
      </c>
      <c r="R1488" s="8">
        <v>31.227</v>
      </c>
      <c r="S1488" s="8">
        <v>26.532</v>
      </c>
      <c r="T1488" s="8">
        <v>24.907</v>
      </c>
      <c r="U1488" s="8">
        <v>20.684000000000001</v>
      </c>
      <c r="V1488" s="8">
        <v>18.471</v>
      </c>
      <c r="W1488" s="8">
        <v>14.202</v>
      </c>
      <c r="X1488" s="8">
        <v>8.83</v>
      </c>
      <c r="Y1488" s="8">
        <v>3.8820000000000001</v>
      </c>
      <c r="Z1488" s="8">
        <v>1.4279999999999999</v>
      </c>
      <c r="AA1488" s="8">
        <v>0.32700000000000001</v>
      </c>
      <c r="AB1488" s="8">
        <v>0.04</v>
      </c>
      <c r="AC1488" s="8">
        <v>3.0000000000000001E-3</v>
      </c>
    </row>
    <row r="1489" spans="1:29" ht="11.65" x14ac:dyDescent="0.35">
      <c r="A1489" s="12">
        <v>1472</v>
      </c>
      <c r="B1489" s="10" t="s">
        <v>1015</v>
      </c>
      <c r="C1489" s="11" t="s">
        <v>1122</v>
      </c>
      <c r="D1489" s="9"/>
      <c r="E1489" s="9">
        <v>422</v>
      </c>
      <c r="F1489" s="10" t="s">
        <v>1066</v>
      </c>
      <c r="G1489" s="9">
        <v>922</v>
      </c>
      <c r="H1489" s="9">
        <v>1955</v>
      </c>
      <c r="I1489" s="8">
        <v>134.363</v>
      </c>
      <c r="J1489" s="8">
        <v>89.688000000000002</v>
      </c>
      <c r="K1489" s="8">
        <v>68.209999999999994</v>
      </c>
      <c r="L1489" s="8">
        <v>66.516999999999996</v>
      </c>
      <c r="M1489" s="8">
        <v>66.239999999999995</v>
      </c>
      <c r="N1489" s="8">
        <v>61.487000000000002</v>
      </c>
      <c r="O1489" s="8">
        <v>48.664000000000001</v>
      </c>
      <c r="P1489" s="8">
        <v>34.323</v>
      </c>
      <c r="Q1489" s="8">
        <v>41.31</v>
      </c>
      <c r="R1489" s="8">
        <v>35.408999999999999</v>
      </c>
      <c r="S1489" s="8">
        <v>29.898</v>
      </c>
      <c r="T1489" s="8">
        <v>23.984000000000002</v>
      </c>
      <c r="U1489" s="8">
        <v>22.556999999999999</v>
      </c>
      <c r="V1489" s="8">
        <v>18.311</v>
      </c>
      <c r="W1489" s="8">
        <v>14.183</v>
      </c>
      <c r="X1489" s="8">
        <v>9.1780000000000008</v>
      </c>
      <c r="Y1489" s="8">
        <v>4.4770000000000003</v>
      </c>
      <c r="Z1489" s="8">
        <v>1.413</v>
      </c>
      <c r="AA1489" s="8">
        <v>0.32600000000000001</v>
      </c>
      <c r="AB1489" s="8">
        <v>4.1000000000000002E-2</v>
      </c>
      <c r="AC1489" s="8">
        <v>3.0000000000000001E-3</v>
      </c>
    </row>
    <row r="1490" spans="1:29" ht="11.65" x14ac:dyDescent="0.35">
      <c r="A1490" s="12">
        <v>1473</v>
      </c>
      <c r="B1490" s="10" t="s">
        <v>1015</v>
      </c>
      <c r="C1490" s="11" t="s">
        <v>1122</v>
      </c>
      <c r="D1490" s="9"/>
      <c r="E1490" s="9">
        <v>422</v>
      </c>
      <c r="F1490" s="10" t="s">
        <v>1066</v>
      </c>
      <c r="G1490" s="9">
        <v>922</v>
      </c>
      <c r="H1490" s="9">
        <v>1960</v>
      </c>
      <c r="I1490" s="8">
        <v>156.613</v>
      </c>
      <c r="J1490" s="8">
        <v>134.74199999999999</v>
      </c>
      <c r="K1490" s="8">
        <v>91.314999999999998</v>
      </c>
      <c r="L1490" s="8">
        <v>69.445999999999998</v>
      </c>
      <c r="M1490" s="8">
        <v>67.302000000000007</v>
      </c>
      <c r="N1490" s="8">
        <v>66.807000000000002</v>
      </c>
      <c r="O1490" s="8">
        <v>61.921999999999997</v>
      </c>
      <c r="P1490" s="8">
        <v>48.88</v>
      </c>
      <c r="Q1490" s="8">
        <v>34.405999999999999</v>
      </c>
      <c r="R1490" s="8">
        <v>40.777999999999999</v>
      </c>
      <c r="S1490" s="8">
        <v>34.475000000000001</v>
      </c>
      <c r="T1490" s="8">
        <v>28.401</v>
      </c>
      <c r="U1490" s="8">
        <v>21.952999999999999</v>
      </c>
      <c r="V1490" s="8">
        <v>19.434999999999999</v>
      </c>
      <c r="W1490" s="8">
        <v>14.422000000000001</v>
      </c>
      <c r="X1490" s="8">
        <v>9.65</v>
      </c>
      <c r="Y1490" s="8">
        <v>4.9880000000000004</v>
      </c>
      <c r="Z1490" s="8">
        <v>1.704</v>
      </c>
      <c r="AA1490" s="8">
        <v>0.32800000000000001</v>
      </c>
      <c r="AB1490" s="8">
        <v>4.1000000000000002E-2</v>
      </c>
      <c r="AC1490" s="8">
        <v>3.0000000000000001E-3</v>
      </c>
    </row>
    <row r="1491" spans="1:29" ht="11.65" x14ac:dyDescent="0.35">
      <c r="A1491" s="12">
        <v>1474</v>
      </c>
      <c r="B1491" s="10" t="s">
        <v>1015</v>
      </c>
      <c r="C1491" s="11" t="s">
        <v>1122</v>
      </c>
      <c r="D1491" s="9"/>
      <c r="E1491" s="9">
        <v>422</v>
      </c>
      <c r="F1491" s="10" t="s">
        <v>1066</v>
      </c>
      <c r="G1491" s="9">
        <v>922</v>
      </c>
      <c r="H1491" s="9">
        <v>1965</v>
      </c>
      <c r="I1491" s="8">
        <v>174.43100000000001</v>
      </c>
      <c r="J1491" s="8">
        <v>155.209</v>
      </c>
      <c r="K1491" s="8">
        <v>134.87799999999999</v>
      </c>
      <c r="L1491" s="8">
        <v>91.527000000000001</v>
      </c>
      <c r="M1491" s="8">
        <v>69.906999999999996</v>
      </c>
      <c r="N1491" s="8">
        <v>68.087000000000003</v>
      </c>
      <c r="O1491" s="8">
        <v>67.53</v>
      </c>
      <c r="P1491" s="8">
        <v>61.915999999999997</v>
      </c>
      <c r="Q1491" s="8">
        <v>48.237000000000002</v>
      </c>
      <c r="R1491" s="8">
        <v>33.744999999999997</v>
      </c>
      <c r="S1491" s="8">
        <v>39.273000000000003</v>
      </c>
      <c r="T1491" s="8">
        <v>32.427999999999997</v>
      </c>
      <c r="U1491" s="8">
        <v>25.748000000000001</v>
      </c>
      <c r="V1491" s="8">
        <v>18.821999999999999</v>
      </c>
      <c r="W1491" s="8">
        <v>15.228999999999999</v>
      </c>
      <c r="X1491" s="8">
        <v>9.7919999999999998</v>
      </c>
      <c r="Y1491" s="8">
        <v>5.2350000000000003</v>
      </c>
      <c r="Z1491" s="8">
        <v>1.9079999999999999</v>
      </c>
      <c r="AA1491" s="8">
        <v>0.40100000000000002</v>
      </c>
      <c r="AB1491" s="8">
        <v>4.2999999999999997E-2</v>
      </c>
      <c r="AC1491" s="8">
        <v>3.0000000000000001E-3</v>
      </c>
    </row>
    <row r="1492" spans="1:29" ht="11.65" x14ac:dyDescent="0.35">
      <c r="A1492" s="12">
        <v>1475</v>
      </c>
      <c r="B1492" s="10" t="s">
        <v>1015</v>
      </c>
      <c r="C1492" s="11" t="s">
        <v>1122</v>
      </c>
      <c r="D1492" s="9"/>
      <c r="E1492" s="9">
        <v>422</v>
      </c>
      <c r="F1492" s="10" t="s">
        <v>1066</v>
      </c>
      <c r="G1492" s="9">
        <v>922</v>
      </c>
      <c r="H1492" s="9">
        <v>1970</v>
      </c>
      <c r="I1492" s="8">
        <v>175.06299999999999</v>
      </c>
      <c r="J1492" s="8">
        <v>165.91900000000001</v>
      </c>
      <c r="K1492" s="8">
        <v>149.79900000000001</v>
      </c>
      <c r="L1492" s="8">
        <v>128.619</v>
      </c>
      <c r="M1492" s="8">
        <v>86.710999999999999</v>
      </c>
      <c r="N1492" s="8">
        <v>68.108999999999995</v>
      </c>
      <c r="O1492" s="8">
        <v>65.891000000000005</v>
      </c>
      <c r="P1492" s="8">
        <v>65.072999999999993</v>
      </c>
      <c r="Q1492" s="8">
        <v>59.384999999999998</v>
      </c>
      <c r="R1492" s="8">
        <v>45.884</v>
      </c>
      <c r="S1492" s="8">
        <v>31.481999999999999</v>
      </c>
      <c r="T1492" s="8">
        <v>34.981000000000002</v>
      </c>
      <c r="U1492" s="8">
        <v>28.609000000000002</v>
      </c>
      <c r="V1492" s="8">
        <v>22.03</v>
      </c>
      <c r="W1492" s="8">
        <v>14.509</v>
      </c>
      <c r="X1492" s="8">
        <v>10.397</v>
      </c>
      <c r="Y1492" s="8">
        <v>5.2610000000000001</v>
      </c>
      <c r="Z1492" s="8">
        <v>2.0009999999999999</v>
      </c>
      <c r="AA1492" s="8">
        <v>0.45300000000000001</v>
      </c>
      <c r="AB1492" s="8">
        <v>5.1999999999999998E-2</v>
      </c>
      <c r="AC1492" s="8">
        <v>3.0000000000000001E-3</v>
      </c>
    </row>
    <row r="1493" spans="1:29" ht="11.65" x14ac:dyDescent="0.35">
      <c r="A1493" s="12">
        <v>1476</v>
      </c>
      <c r="B1493" s="10" t="s">
        <v>1015</v>
      </c>
      <c r="C1493" s="11" t="s">
        <v>1122</v>
      </c>
      <c r="D1493" s="9"/>
      <c r="E1493" s="9">
        <v>422</v>
      </c>
      <c r="F1493" s="10" t="s">
        <v>1066</v>
      </c>
      <c r="G1493" s="9">
        <v>922</v>
      </c>
      <c r="H1493" s="9">
        <v>1975</v>
      </c>
      <c r="I1493" s="8">
        <v>185.429</v>
      </c>
      <c r="J1493" s="8">
        <v>172.48099999999999</v>
      </c>
      <c r="K1493" s="8">
        <v>164.477</v>
      </c>
      <c r="L1493" s="8">
        <v>148.33600000000001</v>
      </c>
      <c r="M1493" s="8">
        <v>126.93600000000001</v>
      </c>
      <c r="N1493" s="8">
        <v>85.388999999999996</v>
      </c>
      <c r="O1493" s="8">
        <v>67.034999999999997</v>
      </c>
      <c r="P1493" s="8">
        <v>64.718999999999994</v>
      </c>
      <c r="Q1493" s="8">
        <v>63.610999999999997</v>
      </c>
      <c r="R1493" s="8">
        <v>57.555</v>
      </c>
      <c r="S1493" s="8">
        <v>43.832000000000001</v>
      </c>
      <c r="T1493" s="8">
        <v>29.373000000000001</v>
      </c>
      <c r="U1493" s="8">
        <v>31.52</v>
      </c>
      <c r="V1493" s="8">
        <v>24.401</v>
      </c>
      <c r="W1493" s="8">
        <v>17.227</v>
      </c>
      <c r="X1493" s="8">
        <v>9.8670000000000009</v>
      </c>
      <c r="Y1493" s="8">
        <v>5.6630000000000003</v>
      </c>
      <c r="Z1493" s="8">
        <v>2.04</v>
      </c>
      <c r="AA1493" s="8">
        <v>0.48199999999999998</v>
      </c>
      <c r="AB1493" s="8">
        <v>5.8999999999999997E-2</v>
      </c>
      <c r="AC1493" s="8">
        <v>4.0000000000000001E-3</v>
      </c>
    </row>
    <row r="1494" spans="1:29" ht="11.65" x14ac:dyDescent="0.35">
      <c r="A1494" s="12">
        <v>1477</v>
      </c>
      <c r="B1494" s="10" t="s">
        <v>1015</v>
      </c>
      <c r="C1494" s="11" t="s">
        <v>1122</v>
      </c>
      <c r="D1494" s="9"/>
      <c r="E1494" s="9">
        <v>422</v>
      </c>
      <c r="F1494" s="10" t="s">
        <v>1066</v>
      </c>
      <c r="G1494" s="9">
        <v>922</v>
      </c>
      <c r="H1494" s="9">
        <v>1980</v>
      </c>
      <c r="I1494" s="8">
        <v>185.42099999999999</v>
      </c>
      <c r="J1494" s="8">
        <v>171.244</v>
      </c>
      <c r="K1494" s="8">
        <v>158.28299999999999</v>
      </c>
      <c r="L1494" s="8">
        <v>144.47499999999999</v>
      </c>
      <c r="M1494" s="8">
        <v>119.976</v>
      </c>
      <c r="N1494" s="8">
        <v>100.004</v>
      </c>
      <c r="O1494" s="8">
        <v>64.709999999999994</v>
      </c>
      <c r="P1494" s="8">
        <v>50.357999999999997</v>
      </c>
      <c r="Q1494" s="8">
        <v>53.636000000000003</v>
      </c>
      <c r="R1494" s="8">
        <v>55.604999999999997</v>
      </c>
      <c r="S1494" s="8">
        <v>50.427</v>
      </c>
      <c r="T1494" s="8">
        <v>37.447000000000003</v>
      </c>
      <c r="U1494" s="8">
        <v>24.518999999999998</v>
      </c>
      <c r="V1494" s="8">
        <v>26.532</v>
      </c>
      <c r="W1494" s="8">
        <v>19.263999999999999</v>
      </c>
      <c r="X1494" s="8">
        <v>11.848000000000001</v>
      </c>
      <c r="Y1494" s="8">
        <v>5.4470000000000001</v>
      </c>
      <c r="Z1494" s="8">
        <v>2.2240000000000002</v>
      </c>
      <c r="AA1494" s="8">
        <v>0.495</v>
      </c>
      <c r="AB1494" s="8">
        <v>6.4000000000000001E-2</v>
      </c>
      <c r="AC1494" s="8">
        <v>4.0000000000000001E-3</v>
      </c>
    </row>
    <row r="1495" spans="1:29" ht="11.65" x14ac:dyDescent="0.35">
      <c r="A1495" s="12">
        <v>1478</v>
      </c>
      <c r="B1495" s="10" t="s">
        <v>1015</v>
      </c>
      <c r="C1495" s="11" t="s">
        <v>1122</v>
      </c>
      <c r="D1495" s="9"/>
      <c r="E1495" s="9">
        <v>422</v>
      </c>
      <c r="F1495" s="10" t="s">
        <v>1066</v>
      </c>
      <c r="G1495" s="9">
        <v>922</v>
      </c>
      <c r="H1495" s="9">
        <v>1985</v>
      </c>
      <c r="I1495" s="8">
        <v>178.47200000000001</v>
      </c>
      <c r="J1495" s="8">
        <v>178.96</v>
      </c>
      <c r="K1495" s="8">
        <v>167.93899999999999</v>
      </c>
      <c r="L1495" s="8">
        <v>150.477</v>
      </c>
      <c r="M1495" s="8">
        <v>126.886</v>
      </c>
      <c r="N1495" s="8">
        <v>98.171000000000006</v>
      </c>
      <c r="O1495" s="8">
        <v>81.225999999999999</v>
      </c>
      <c r="P1495" s="8">
        <v>50.975999999999999</v>
      </c>
      <c r="Q1495" s="8">
        <v>40.697000000000003</v>
      </c>
      <c r="R1495" s="8">
        <v>46.463000000000001</v>
      </c>
      <c r="S1495" s="8">
        <v>49.674999999999997</v>
      </c>
      <c r="T1495" s="8">
        <v>44.981999999999999</v>
      </c>
      <c r="U1495" s="8">
        <v>32.457999999999998</v>
      </c>
      <c r="V1495" s="8">
        <v>20.128</v>
      </c>
      <c r="W1495" s="8">
        <v>20.395</v>
      </c>
      <c r="X1495" s="8">
        <v>12.933999999999999</v>
      </c>
      <c r="Y1495" s="8">
        <v>6.3570000000000002</v>
      </c>
      <c r="Z1495" s="8">
        <v>2.1059999999999999</v>
      </c>
      <c r="AA1495" s="8">
        <v>0.54500000000000004</v>
      </c>
      <c r="AB1495" s="8">
        <v>6.4000000000000001E-2</v>
      </c>
      <c r="AC1495" s="8">
        <v>5.0000000000000001E-3</v>
      </c>
    </row>
    <row r="1496" spans="1:29" ht="11.65" x14ac:dyDescent="0.35">
      <c r="A1496" s="12">
        <v>1479</v>
      </c>
      <c r="B1496" s="10" t="s">
        <v>1015</v>
      </c>
      <c r="C1496" s="11" t="s">
        <v>1122</v>
      </c>
      <c r="D1496" s="9"/>
      <c r="E1496" s="9">
        <v>422</v>
      </c>
      <c r="F1496" s="10" t="s">
        <v>1066</v>
      </c>
      <c r="G1496" s="9">
        <v>922</v>
      </c>
      <c r="H1496" s="9">
        <v>1990</v>
      </c>
      <c r="I1496" s="8">
        <v>180.797</v>
      </c>
      <c r="J1496" s="8">
        <v>174.286</v>
      </c>
      <c r="K1496" s="8">
        <v>176.76900000000001</v>
      </c>
      <c r="L1496" s="8">
        <v>162.95500000000001</v>
      </c>
      <c r="M1496" s="8">
        <v>139.44200000000001</v>
      </c>
      <c r="N1496" s="8">
        <v>113.28700000000001</v>
      </c>
      <c r="O1496" s="8">
        <v>86.519000000000005</v>
      </c>
      <c r="P1496" s="8">
        <v>72.509</v>
      </c>
      <c r="Q1496" s="8">
        <v>44.872</v>
      </c>
      <c r="R1496" s="8">
        <v>36.235999999999997</v>
      </c>
      <c r="S1496" s="8">
        <v>42.524000000000001</v>
      </c>
      <c r="T1496" s="8">
        <v>45.442</v>
      </c>
      <c r="U1496" s="8">
        <v>40.158000000000001</v>
      </c>
      <c r="V1496" s="8">
        <v>27.571999999999999</v>
      </c>
      <c r="W1496" s="8">
        <v>15.706</v>
      </c>
      <c r="X1496" s="8">
        <v>14.032</v>
      </c>
      <c r="Y1496" s="8">
        <v>7.1559999999999997</v>
      </c>
      <c r="Z1496" s="8">
        <v>2.528</v>
      </c>
      <c r="AA1496" s="8">
        <v>0.52300000000000002</v>
      </c>
      <c r="AB1496" s="8">
        <v>7.3999999999999996E-2</v>
      </c>
      <c r="AC1496" s="8">
        <v>5.0000000000000001E-3</v>
      </c>
    </row>
    <row r="1497" spans="1:29" ht="11.65" x14ac:dyDescent="0.35">
      <c r="A1497" s="12">
        <v>1480</v>
      </c>
      <c r="B1497" s="10" t="s">
        <v>1015</v>
      </c>
      <c r="C1497" s="11" t="s">
        <v>1122</v>
      </c>
      <c r="D1497" s="9"/>
      <c r="E1497" s="9">
        <v>422</v>
      </c>
      <c r="F1497" s="10" t="s">
        <v>1066</v>
      </c>
      <c r="G1497" s="9">
        <v>922</v>
      </c>
      <c r="H1497" s="9">
        <v>1995</v>
      </c>
      <c r="I1497" s="8">
        <v>219.953</v>
      </c>
      <c r="J1497" s="8">
        <v>188.74100000000001</v>
      </c>
      <c r="K1497" s="8">
        <v>178.57</v>
      </c>
      <c r="L1497" s="8">
        <v>188.68899999999999</v>
      </c>
      <c r="M1497" s="8">
        <v>191.30500000000001</v>
      </c>
      <c r="N1497" s="8">
        <v>175.386</v>
      </c>
      <c r="O1497" s="8">
        <v>144.24100000000001</v>
      </c>
      <c r="P1497" s="8">
        <v>108.93899999999999</v>
      </c>
      <c r="Q1497" s="8">
        <v>87.472999999999999</v>
      </c>
      <c r="R1497" s="8">
        <v>54.566000000000003</v>
      </c>
      <c r="S1497" s="8">
        <v>42.067</v>
      </c>
      <c r="T1497" s="8">
        <v>44.948999999999998</v>
      </c>
      <c r="U1497" s="8">
        <v>44.792999999999999</v>
      </c>
      <c r="V1497" s="8">
        <v>37.109000000000002</v>
      </c>
      <c r="W1497" s="8">
        <v>23.521000000000001</v>
      </c>
      <c r="X1497" s="8">
        <v>11.904999999999999</v>
      </c>
      <c r="Y1497" s="8">
        <v>8.5229999999999997</v>
      </c>
      <c r="Z1497" s="8">
        <v>3.0459999999999998</v>
      </c>
      <c r="AA1497" s="8">
        <v>0.64400000000000002</v>
      </c>
      <c r="AB1497" s="8">
        <v>7.0000000000000007E-2</v>
      </c>
      <c r="AC1497" s="8">
        <v>5.0000000000000001E-3</v>
      </c>
    </row>
    <row r="1498" spans="1:29" ht="11.65" x14ac:dyDescent="0.35">
      <c r="A1498" s="12">
        <v>1481</v>
      </c>
      <c r="B1498" s="10" t="s">
        <v>1015</v>
      </c>
      <c r="C1498" s="11" t="s">
        <v>1122</v>
      </c>
      <c r="D1498" s="9"/>
      <c r="E1498" s="9">
        <v>422</v>
      </c>
      <c r="F1498" s="10" t="s">
        <v>1066</v>
      </c>
      <c r="G1498" s="9">
        <v>922</v>
      </c>
      <c r="H1498" s="9">
        <v>2000</v>
      </c>
      <c r="I1498" s="8">
        <v>213.40199999999999</v>
      </c>
      <c r="J1498" s="8">
        <v>211.51400000000001</v>
      </c>
      <c r="K1498" s="8">
        <v>187.583</v>
      </c>
      <c r="L1498" s="8">
        <v>178.523</v>
      </c>
      <c r="M1498" s="8">
        <v>186.67</v>
      </c>
      <c r="N1498" s="8">
        <v>188.55799999999999</v>
      </c>
      <c r="O1498" s="8">
        <v>173.94900000000001</v>
      </c>
      <c r="P1498" s="8">
        <v>142.47499999999999</v>
      </c>
      <c r="Q1498" s="8">
        <v>106.43</v>
      </c>
      <c r="R1498" s="8">
        <v>87.716999999999999</v>
      </c>
      <c r="S1498" s="8">
        <v>53.405999999999999</v>
      </c>
      <c r="T1498" s="8">
        <v>38.954999999999998</v>
      </c>
      <c r="U1498" s="8">
        <v>43.405000000000001</v>
      </c>
      <c r="V1498" s="8">
        <v>42.298999999999999</v>
      </c>
      <c r="W1498" s="8">
        <v>31.614999999999998</v>
      </c>
      <c r="X1498" s="8">
        <v>16.881</v>
      </c>
      <c r="Y1498" s="8">
        <v>6.7450000000000001</v>
      </c>
      <c r="Z1498" s="8">
        <v>3.6749999999999998</v>
      </c>
      <c r="AA1498" s="8">
        <v>0.81299999999999994</v>
      </c>
      <c r="AB1498" s="8">
        <v>9.0999999999999998E-2</v>
      </c>
      <c r="AC1498" s="8">
        <v>5.0000000000000001E-3</v>
      </c>
    </row>
    <row r="1499" spans="1:29" ht="11.65" x14ac:dyDescent="0.35">
      <c r="A1499" s="12">
        <v>1482</v>
      </c>
      <c r="B1499" s="10" t="s">
        <v>1015</v>
      </c>
      <c r="C1499" s="11" t="s">
        <v>1122</v>
      </c>
      <c r="D1499" s="9"/>
      <c r="E1499" s="9">
        <v>422</v>
      </c>
      <c r="F1499" s="10" t="s">
        <v>1066</v>
      </c>
      <c r="G1499" s="9">
        <v>922</v>
      </c>
      <c r="H1499" s="9">
        <v>2005</v>
      </c>
      <c r="I1499" s="8">
        <v>214.29599999999999</v>
      </c>
      <c r="J1499" s="8">
        <v>242.01400000000001</v>
      </c>
      <c r="K1499" s="8">
        <v>253.82900000000001</v>
      </c>
      <c r="L1499" s="8">
        <v>219.93600000000001</v>
      </c>
      <c r="M1499" s="8">
        <v>200.32400000000001</v>
      </c>
      <c r="N1499" s="8">
        <v>192.55199999999999</v>
      </c>
      <c r="O1499" s="8">
        <v>182.63800000000001</v>
      </c>
      <c r="P1499" s="8">
        <v>198.09700000000001</v>
      </c>
      <c r="Q1499" s="8">
        <v>190.809</v>
      </c>
      <c r="R1499" s="8">
        <v>134.32599999999999</v>
      </c>
      <c r="S1499" s="8">
        <v>97.846999999999994</v>
      </c>
      <c r="T1499" s="8">
        <v>75.070999999999998</v>
      </c>
      <c r="U1499" s="8">
        <v>54.786999999999999</v>
      </c>
      <c r="V1499" s="8">
        <v>51.411000000000001</v>
      </c>
      <c r="W1499" s="8">
        <v>41.698</v>
      </c>
      <c r="X1499" s="8">
        <v>23.6</v>
      </c>
      <c r="Y1499" s="8">
        <v>12.069000000000001</v>
      </c>
      <c r="Z1499" s="8">
        <v>4.05</v>
      </c>
      <c r="AA1499" s="8">
        <v>1.0669999999999999</v>
      </c>
      <c r="AB1499" s="8">
        <v>0.128</v>
      </c>
      <c r="AC1499" s="8">
        <v>7.0000000000000001E-3</v>
      </c>
    </row>
    <row r="1500" spans="1:29" ht="11.65" x14ac:dyDescent="0.35">
      <c r="A1500" s="12">
        <v>1483</v>
      </c>
      <c r="B1500" s="10" t="s">
        <v>1015</v>
      </c>
      <c r="C1500" s="11" t="s">
        <v>1122</v>
      </c>
      <c r="D1500" s="9"/>
      <c r="E1500" s="9">
        <v>422</v>
      </c>
      <c r="F1500" s="10" t="s">
        <v>1066</v>
      </c>
      <c r="G1500" s="9">
        <v>922</v>
      </c>
      <c r="H1500" s="9">
        <v>2010</v>
      </c>
      <c r="I1500" s="8">
        <v>189.89500000000001</v>
      </c>
      <c r="J1500" s="8">
        <v>213.392</v>
      </c>
      <c r="K1500" s="8">
        <v>241.465</v>
      </c>
      <c r="L1500" s="8">
        <v>252.63900000000001</v>
      </c>
      <c r="M1500" s="8">
        <v>217.45099999999999</v>
      </c>
      <c r="N1500" s="8">
        <v>197.31700000000001</v>
      </c>
      <c r="O1500" s="8">
        <v>189.904</v>
      </c>
      <c r="P1500" s="8">
        <v>180.483</v>
      </c>
      <c r="Q1500" s="8">
        <v>196.065</v>
      </c>
      <c r="R1500" s="8">
        <v>188.46</v>
      </c>
      <c r="S1500" s="8">
        <v>131.77099999999999</v>
      </c>
      <c r="T1500" s="8">
        <v>94.801000000000002</v>
      </c>
      <c r="U1500" s="8">
        <v>71.257000000000005</v>
      </c>
      <c r="V1500" s="8">
        <v>50.280999999999999</v>
      </c>
      <c r="W1500" s="8">
        <v>44.51</v>
      </c>
      <c r="X1500" s="8">
        <v>32.746000000000002</v>
      </c>
      <c r="Y1500" s="8">
        <v>15.667999999999999</v>
      </c>
      <c r="Z1500" s="8">
        <v>6.0369999999999999</v>
      </c>
      <c r="AA1500" s="8">
        <v>1.3260000000000001</v>
      </c>
      <c r="AB1500" s="8">
        <v>0.19400000000000001</v>
      </c>
      <c r="AC1500" s="8">
        <v>1.2E-2</v>
      </c>
    </row>
    <row r="1501" spans="1:29" ht="11.65" x14ac:dyDescent="0.35">
      <c r="A1501" s="12">
        <v>1484</v>
      </c>
      <c r="B1501" s="10" t="s">
        <v>1015</v>
      </c>
      <c r="C1501" s="11" t="s">
        <v>1122</v>
      </c>
      <c r="D1501" s="9"/>
      <c r="E1501" s="9">
        <v>422</v>
      </c>
      <c r="F1501" s="10" t="s">
        <v>1066</v>
      </c>
      <c r="G1501" s="9">
        <v>922</v>
      </c>
      <c r="H1501" s="9">
        <v>2015</v>
      </c>
      <c r="I1501" s="8">
        <v>321.45</v>
      </c>
      <c r="J1501" s="8">
        <v>304.88099999999997</v>
      </c>
      <c r="K1501" s="8">
        <v>298.983</v>
      </c>
      <c r="L1501" s="8">
        <v>298.80799999999999</v>
      </c>
      <c r="M1501" s="8">
        <v>284.303</v>
      </c>
      <c r="N1501" s="8">
        <v>245.095</v>
      </c>
      <c r="O1501" s="8">
        <v>234.351</v>
      </c>
      <c r="P1501" s="8">
        <v>229.511</v>
      </c>
      <c r="Q1501" s="8">
        <v>211.791</v>
      </c>
      <c r="R1501" s="8">
        <v>218.57900000000001</v>
      </c>
      <c r="S1501" s="8">
        <v>204.42400000000001</v>
      </c>
      <c r="T1501" s="8">
        <v>141.602</v>
      </c>
      <c r="U1501" s="8">
        <v>99.786000000000001</v>
      </c>
      <c r="V1501" s="8">
        <v>72.421999999999997</v>
      </c>
      <c r="W1501" s="8">
        <v>48.783999999999999</v>
      </c>
      <c r="X1501" s="8">
        <v>38.954999999999998</v>
      </c>
      <c r="Y1501" s="8">
        <v>23.51</v>
      </c>
      <c r="Z1501" s="8">
        <v>8.2309999999999999</v>
      </c>
      <c r="AA1501" s="8">
        <v>2.077</v>
      </c>
      <c r="AB1501" s="8">
        <v>0.25800000000000001</v>
      </c>
      <c r="AC1501" s="8">
        <v>1.9E-2</v>
      </c>
    </row>
    <row r="1502" spans="1:29" ht="11.65" x14ac:dyDescent="0.35">
      <c r="A1502" s="12">
        <v>1485</v>
      </c>
      <c r="B1502" s="10" t="s">
        <v>1015</v>
      </c>
      <c r="C1502" s="11" t="s">
        <v>1122</v>
      </c>
      <c r="D1502" s="9"/>
      <c r="E1502" s="9">
        <v>422</v>
      </c>
      <c r="F1502" s="10" t="s">
        <v>1066</v>
      </c>
      <c r="G1502" s="9">
        <v>922</v>
      </c>
      <c r="H1502" s="9">
        <v>2020</v>
      </c>
      <c r="I1502" s="8">
        <v>289.06799999999998</v>
      </c>
      <c r="J1502" s="8">
        <v>306.54399999999998</v>
      </c>
      <c r="K1502" s="8">
        <v>293.83100000000002</v>
      </c>
      <c r="L1502" s="8">
        <v>291.37099999999998</v>
      </c>
      <c r="M1502" s="8">
        <v>294.13799999999998</v>
      </c>
      <c r="N1502" s="8">
        <v>280.101</v>
      </c>
      <c r="O1502" s="8">
        <v>239.80500000000001</v>
      </c>
      <c r="P1502" s="8">
        <v>228.624</v>
      </c>
      <c r="Q1502" s="8">
        <v>224.488</v>
      </c>
      <c r="R1502" s="8">
        <v>207.15700000000001</v>
      </c>
      <c r="S1502" s="8">
        <v>213.215</v>
      </c>
      <c r="T1502" s="8">
        <v>197.62899999999999</v>
      </c>
      <c r="U1502" s="8">
        <v>134.29300000000001</v>
      </c>
      <c r="V1502" s="8">
        <v>91.716999999999999</v>
      </c>
      <c r="W1502" s="8">
        <v>62.981000000000002</v>
      </c>
      <c r="X1502" s="8">
        <v>38.67</v>
      </c>
      <c r="Y1502" s="8">
        <v>26.526</v>
      </c>
      <c r="Z1502" s="8">
        <v>12.29</v>
      </c>
      <c r="AA1502" s="8">
        <v>2.8610000000000002</v>
      </c>
      <c r="AB1502" s="8">
        <v>0.41099999999999998</v>
      </c>
      <c r="AC1502" s="8">
        <v>2.5999999999999999E-2</v>
      </c>
    </row>
    <row r="1503" spans="1:29" ht="11.65" x14ac:dyDescent="0.35">
      <c r="A1503" s="12">
        <v>1486</v>
      </c>
      <c r="B1503" s="10" t="s">
        <v>1015</v>
      </c>
      <c r="C1503" s="11" t="s">
        <v>1123</v>
      </c>
      <c r="D1503" s="9"/>
      <c r="E1503" s="9">
        <v>512</v>
      </c>
      <c r="F1503" s="10" t="s">
        <v>1066</v>
      </c>
      <c r="G1503" s="9">
        <v>922</v>
      </c>
      <c r="H1503" s="9">
        <v>1950</v>
      </c>
      <c r="I1503" s="8">
        <v>39.790999999999997</v>
      </c>
      <c r="J1503" s="8">
        <v>31.390999999999998</v>
      </c>
      <c r="K1503" s="8">
        <v>27.081</v>
      </c>
      <c r="L1503" s="8">
        <v>23.542999999999999</v>
      </c>
      <c r="M1503" s="8">
        <v>20.227</v>
      </c>
      <c r="N1503" s="8">
        <v>17.353999999999999</v>
      </c>
      <c r="O1503" s="8">
        <v>14.811</v>
      </c>
      <c r="P1503" s="8">
        <v>12.821</v>
      </c>
      <c r="Q1503" s="8">
        <v>10.943</v>
      </c>
      <c r="R1503" s="8">
        <v>9.1720000000000006</v>
      </c>
      <c r="S1503" s="8">
        <v>7.516</v>
      </c>
      <c r="T1503" s="8">
        <v>5.7480000000000002</v>
      </c>
      <c r="U1503" s="8">
        <v>4.4210000000000003</v>
      </c>
      <c r="V1503" s="8">
        <v>3.2050000000000001</v>
      </c>
      <c r="W1503" s="8">
        <v>2.0990000000000002</v>
      </c>
      <c r="X1503" s="8">
        <v>1.1060000000000001</v>
      </c>
      <c r="Y1503" s="8">
        <v>0.35199999999999998</v>
      </c>
      <c r="Z1503" s="8">
        <v>0.08</v>
      </c>
      <c r="AA1503" s="8">
        <v>8.9999999999999993E-3</v>
      </c>
      <c r="AB1503" s="8">
        <v>0</v>
      </c>
      <c r="AC1503" s="8">
        <v>0</v>
      </c>
    </row>
    <row r="1504" spans="1:29" ht="11.65" x14ac:dyDescent="0.35">
      <c r="A1504" s="12">
        <v>1487</v>
      </c>
      <c r="B1504" s="10" t="s">
        <v>1015</v>
      </c>
      <c r="C1504" s="11" t="s">
        <v>1123</v>
      </c>
      <c r="D1504" s="9"/>
      <c r="E1504" s="9">
        <v>512</v>
      </c>
      <c r="F1504" s="10" t="s">
        <v>1066</v>
      </c>
      <c r="G1504" s="9">
        <v>922</v>
      </c>
      <c r="H1504" s="9">
        <v>1955</v>
      </c>
      <c r="I1504" s="8">
        <v>43.19</v>
      </c>
      <c r="J1504" s="8">
        <v>34.54</v>
      </c>
      <c r="K1504" s="8">
        <v>30.41</v>
      </c>
      <c r="L1504" s="8">
        <v>26.132999999999999</v>
      </c>
      <c r="M1504" s="8">
        <v>21.85</v>
      </c>
      <c r="N1504" s="8">
        <v>17.041</v>
      </c>
      <c r="O1504" s="8">
        <v>13.835000000000001</v>
      </c>
      <c r="P1504" s="8">
        <v>12.781000000000001</v>
      </c>
      <c r="Q1504" s="8">
        <v>11.515000000000001</v>
      </c>
      <c r="R1504" s="8">
        <v>9.8330000000000002</v>
      </c>
      <c r="S1504" s="8">
        <v>8.3140000000000001</v>
      </c>
      <c r="T1504" s="8">
        <v>6.6950000000000003</v>
      </c>
      <c r="U1504" s="8">
        <v>4.8869999999999996</v>
      </c>
      <c r="V1504" s="8">
        <v>3.4649999999999999</v>
      </c>
      <c r="W1504" s="8">
        <v>2.181</v>
      </c>
      <c r="X1504" s="8">
        <v>1.127</v>
      </c>
      <c r="Y1504" s="8">
        <v>0.41599999999999998</v>
      </c>
      <c r="Z1504" s="8">
        <v>8.1000000000000003E-2</v>
      </c>
      <c r="AA1504" s="8">
        <v>8.0000000000000002E-3</v>
      </c>
      <c r="AB1504" s="8">
        <v>0</v>
      </c>
      <c r="AC1504" s="8">
        <v>0</v>
      </c>
    </row>
    <row r="1505" spans="1:29" ht="11.65" x14ac:dyDescent="0.35">
      <c r="A1505" s="12">
        <v>1488</v>
      </c>
      <c r="B1505" s="10" t="s">
        <v>1015</v>
      </c>
      <c r="C1505" s="11" t="s">
        <v>1123</v>
      </c>
      <c r="D1505" s="9"/>
      <c r="E1505" s="9">
        <v>512</v>
      </c>
      <c r="F1505" s="10" t="s">
        <v>1066</v>
      </c>
      <c r="G1505" s="9">
        <v>922</v>
      </c>
      <c r="H1505" s="9">
        <v>1960</v>
      </c>
      <c r="I1505" s="8">
        <v>50.631</v>
      </c>
      <c r="J1505" s="8">
        <v>38.634999999999998</v>
      </c>
      <c r="K1505" s="8">
        <v>33.610999999999997</v>
      </c>
      <c r="L1505" s="8">
        <v>29.47</v>
      </c>
      <c r="M1505" s="8">
        <v>24.459</v>
      </c>
      <c r="N1505" s="8">
        <v>18.707000000000001</v>
      </c>
      <c r="O1505" s="8">
        <v>13.613</v>
      </c>
      <c r="P1505" s="8">
        <v>11.917</v>
      </c>
      <c r="Q1505" s="8">
        <v>11.545999999999999</v>
      </c>
      <c r="R1505" s="8">
        <v>10.430999999999999</v>
      </c>
      <c r="S1505" s="8">
        <v>8.98</v>
      </c>
      <c r="T1505" s="8">
        <v>7.4640000000000004</v>
      </c>
      <c r="U1505" s="8">
        <v>5.7480000000000002</v>
      </c>
      <c r="V1505" s="8">
        <v>3.8879999999999999</v>
      </c>
      <c r="W1505" s="8">
        <v>2.4129999999999998</v>
      </c>
      <c r="X1505" s="8">
        <v>1.21</v>
      </c>
      <c r="Y1505" s="8">
        <v>0.443</v>
      </c>
      <c r="Z1505" s="8">
        <v>0.1</v>
      </c>
      <c r="AA1505" s="8">
        <v>0.01</v>
      </c>
      <c r="AB1505" s="8">
        <v>0</v>
      </c>
      <c r="AC1505" s="8">
        <v>0</v>
      </c>
    </row>
    <row r="1506" spans="1:29" ht="11.65" x14ac:dyDescent="0.35">
      <c r="A1506" s="12">
        <v>1489</v>
      </c>
      <c r="B1506" s="10" t="s">
        <v>1015</v>
      </c>
      <c r="C1506" s="11" t="s">
        <v>1123</v>
      </c>
      <c r="D1506" s="9"/>
      <c r="E1506" s="9">
        <v>512</v>
      </c>
      <c r="F1506" s="10" t="s">
        <v>1066</v>
      </c>
      <c r="G1506" s="9">
        <v>922</v>
      </c>
      <c r="H1506" s="9">
        <v>1965</v>
      </c>
      <c r="I1506" s="8">
        <v>59.222999999999999</v>
      </c>
      <c r="J1506" s="8">
        <v>46.363</v>
      </c>
      <c r="K1506" s="8">
        <v>37.744</v>
      </c>
      <c r="L1506" s="8">
        <v>32.688000000000002</v>
      </c>
      <c r="M1506" s="8">
        <v>27.803000000000001</v>
      </c>
      <c r="N1506" s="8">
        <v>21.327000000000002</v>
      </c>
      <c r="O1506" s="8">
        <v>15.29</v>
      </c>
      <c r="P1506" s="8">
        <v>11.763</v>
      </c>
      <c r="Q1506" s="8">
        <v>10.782999999999999</v>
      </c>
      <c r="R1506" s="8">
        <v>10.521000000000001</v>
      </c>
      <c r="S1506" s="8">
        <v>9.5909999999999993</v>
      </c>
      <c r="T1506" s="8">
        <v>8.1210000000000004</v>
      </c>
      <c r="U1506" s="8">
        <v>6.4720000000000004</v>
      </c>
      <c r="V1506" s="8">
        <v>4.6369999999999996</v>
      </c>
      <c r="W1506" s="8">
        <v>2.7650000000000001</v>
      </c>
      <c r="X1506" s="8">
        <v>1.381</v>
      </c>
      <c r="Y1506" s="8">
        <v>0.496</v>
      </c>
      <c r="Z1506" s="8">
        <v>0.111</v>
      </c>
      <c r="AA1506" s="8">
        <v>1.4E-2</v>
      </c>
      <c r="AB1506" s="8">
        <v>0</v>
      </c>
      <c r="AC1506" s="8">
        <v>0</v>
      </c>
    </row>
    <row r="1507" spans="1:29" ht="11.65" x14ac:dyDescent="0.35">
      <c r="A1507" s="12">
        <v>1490</v>
      </c>
      <c r="B1507" s="10" t="s">
        <v>1015</v>
      </c>
      <c r="C1507" s="11" t="s">
        <v>1123</v>
      </c>
      <c r="D1507" s="9"/>
      <c r="E1507" s="9">
        <v>512</v>
      </c>
      <c r="F1507" s="10" t="s">
        <v>1066</v>
      </c>
      <c r="G1507" s="9">
        <v>922</v>
      </c>
      <c r="H1507" s="9">
        <v>1970</v>
      </c>
      <c r="I1507" s="8">
        <v>69.796000000000006</v>
      </c>
      <c r="J1507" s="8">
        <v>55.234000000000002</v>
      </c>
      <c r="K1507" s="8">
        <v>45.457999999999998</v>
      </c>
      <c r="L1507" s="8">
        <v>36.978000000000002</v>
      </c>
      <c r="M1507" s="8">
        <v>31.44</v>
      </c>
      <c r="N1507" s="8">
        <v>25.797000000000001</v>
      </c>
      <c r="O1507" s="8">
        <v>19.27</v>
      </c>
      <c r="P1507" s="8">
        <v>14.09</v>
      </c>
      <c r="Q1507" s="8">
        <v>10.976000000000001</v>
      </c>
      <c r="R1507" s="8">
        <v>10.036</v>
      </c>
      <c r="S1507" s="8">
        <v>9.7729999999999997</v>
      </c>
      <c r="T1507" s="8">
        <v>8.7270000000000003</v>
      </c>
      <c r="U1507" s="8">
        <v>7.0869999999999997</v>
      </c>
      <c r="V1507" s="8">
        <v>5.27</v>
      </c>
      <c r="W1507" s="8">
        <v>3.3540000000000001</v>
      </c>
      <c r="X1507" s="8">
        <v>1.6279999999999999</v>
      </c>
      <c r="Y1507" s="8">
        <v>0.59</v>
      </c>
      <c r="Z1507" s="8">
        <v>0.13300000000000001</v>
      </c>
      <c r="AA1507" s="8">
        <v>1.6E-2</v>
      </c>
      <c r="AB1507" s="8">
        <v>0</v>
      </c>
      <c r="AC1507" s="8">
        <v>0</v>
      </c>
    </row>
    <row r="1508" spans="1:29" ht="11.65" x14ac:dyDescent="0.35">
      <c r="A1508" s="12">
        <v>1491</v>
      </c>
      <c r="B1508" s="10" t="s">
        <v>1015</v>
      </c>
      <c r="C1508" s="11" t="s">
        <v>1123</v>
      </c>
      <c r="D1508" s="9"/>
      <c r="E1508" s="9">
        <v>512</v>
      </c>
      <c r="F1508" s="10" t="s">
        <v>1066</v>
      </c>
      <c r="G1508" s="9">
        <v>922</v>
      </c>
      <c r="H1508" s="9">
        <v>1975</v>
      </c>
      <c r="I1508" s="8">
        <v>85.054000000000002</v>
      </c>
      <c r="J1508" s="8">
        <v>66.105999999999995</v>
      </c>
      <c r="K1508" s="8">
        <v>54.383000000000003</v>
      </c>
      <c r="L1508" s="8">
        <v>45.546999999999997</v>
      </c>
      <c r="M1508" s="8">
        <v>38.124000000000002</v>
      </c>
      <c r="N1508" s="8">
        <v>36.216000000000001</v>
      </c>
      <c r="O1508" s="8">
        <v>31.952999999999999</v>
      </c>
      <c r="P1508" s="8">
        <v>21.975999999999999</v>
      </c>
      <c r="Q1508" s="8">
        <v>15.015000000000001</v>
      </c>
      <c r="R1508" s="8">
        <v>11.374000000000001</v>
      </c>
      <c r="S1508" s="8">
        <v>9.6120000000000001</v>
      </c>
      <c r="T1508" s="8">
        <v>8.9390000000000001</v>
      </c>
      <c r="U1508" s="8">
        <v>7.6639999999999997</v>
      </c>
      <c r="V1508" s="8">
        <v>5.8280000000000003</v>
      </c>
      <c r="W1508" s="8">
        <v>3.8780000000000001</v>
      </c>
      <c r="X1508" s="8">
        <v>2.032</v>
      </c>
      <c r="Y1508" s="8">
        <v>0.72399999999999998</v>
      </c>
      <c r="Z1508" s="8">
        <v>0.16500000000000001</v>
      </c>
      <c r="AA1508" s="8">
        <v>0.02</v>
      </c>
      <c r="AB1508" s="8">
        <v>0</v>
      </c>
      <c r="AC1508" s="8">
        <v>0</v>
      </c>
    </row>
    <row r="1509" spans="1:29" ht="11.65" x14ac:dyDescent="0.35">
      <c r="A1509" s="12">
        <v>1492</v>
      </c>
      <c r="B1509" s="10" t="s">
        <v>1015</v>
      </c>
      <c r="C1509" s="11" t="s">
        <v>1123</v>
      </c>
      <c r="D1509" s="9"/>
      <c r="E1509" s="9">
        <v>512</v>
      </c>
      <c r="F1509" s="10" t="s">
        <v>1066</v>
      </c>
      <c r="G1509" s="9">
        <v>922</v>
      </c>
      <c r="H1509" s="9">
        <v>1980</v>
      </c>
      <c r="I1509" s="8">
        <v>117.268</v>
      </c>
      <c r="J1509" s="8">
        <v>82.036000000000001</v>
      </c>
      <c r="K1509" s="8">
        <v>65.475999999999999</v>
      </c>
      <c r="L1509" s="8">
        <v>55.970999999999997</v>
      </c>
      <c r="M1509" s="8">
        <v>50.664000000000001</v>
      </c>
      <c r="N1509" s="8">
        <v>54.218000000000004</v>
      </c>
      <c r="O1509" s="8">
        <v>56.113999999999997</v>
      </c>
      <c r="P1509" s="8">
        <v>41.131999999999998</v>
      </c>
      <c r="Q1509" s="8">
        <v>25.690999999999999</v>
      </c>
      <c r="R1509" s="8">
        <v>17.193000000000001</v>
      </c>
      <c r="S1509" s="8">
        <v>11.361000000000001</v>
      </c>
      <c r="T1509" s="8">
        <v>8.8780000000000001</v>
      </c>
      <c r="U1509" s="8">
        <v>7.9480000000000004</v>
      </c>
      <c r="V1509" s="8">
        <v>6.3879999999999999</v>
      </c>
      <c r="W1509" s="8">
        <v>4.3840000000000003</v>
      </c>
      <c r="X1509" s="8">
        <v>2.4470000000000001</v>
      </c>
      <c r="Y1509" s="8">
        <v>0.96199999999999997</v>
      </c>
      <c r="Z1509" s="8">
        <v>0.22500000000000001</v>
      </c>
      <c r="AA1509" s="8">
        <v>2.9000000000000001E-2</v>
      </c>
      <c r="AB1509" s="8">
        <v>2E-3</v>
      </c>
      <c r="AC1509" s="8">
        <v>0</v>
      </c>
    </row>
    <row r="1510" spans="1:29" ht="11.65" x14ac:dyDescent="0.35">
      <c r="A1510" s="12">
        <v>1493</v>
      </c>
      <c r="B1510" s="10" t="s">
        <v>1015</v>
      </c>
      <c r="C1510" s="11" t="s">
        <v>1123</v>
      </c>
      <c r="D1510" s="9"/>
      <c r="E1510" s="9">
        <v>512</v>
      </c>
      <c r="F1510" s="10" t="s">
        <v>1066</v>
      </c>
      <c r="G1510" s="9">
        <v>922</v>
      </c>
      <c r="H1510" s="9">
        <v>1985</v>
      </c>
      <c r="I1510" s="8">
        <v>151.887</v>
      </c>
      <c r="J1510" s="8">
        <v>114.61</v>
      </c>
      <c r="K1510" s="8">
        <v>81.484999999999999</v>
      </c>
      <c r="L1510" s="8">
        <v>67.227999999999994</v>
      </c>
      <c r="M1510" s="8">
        <v>61.478000000000002</v>
      </c>
      <c r="N1510" s="8">
        <v>67.831000000000003</v>
      </c>
      <c r="O1510" s="8">
        <v>75.388000000000005</v>
      </c>
      <c r="P1510" s="8">
        <v>65.67</v>
      </c>
      <c r="Q1510" s="8">
        <v>44.802</v>
      </c>
      <c r="R1510" s="8">
        <v>27.811</v>
      </c>
      <c r="S1510" s="8">
        <v>17.035</v>
      </c>
      <c r="T1510" s="8">
        <v>10.59</v>
      </c>
      <c r="U1510" s="8">
        <v>7.984</v>
      </c>
      <c r="V1510" s="8">
        <v>6.7110000000000003</v>
      </c>
      <c r="W1510" s="8">
        <v>4.9080000000000004</v>
      </c>
      <c r="X1510" s="8">
        <v>2.8769999999999998</v>
      </c>
      <c r="Y1510" s="8">
        <v>1.2290000000000001</v>
      </c>
      <c r="Z1510" s="8">
        <v>0.33100000000000002</v>
      </c>
      <c r="AA1510" s="8">
        <v>4.5999999999999999E-2</v>
      </c>
      <c r="AB1510" s="8">
        <v>3.0000000000000001E-3</v>
      </c>
      <c r="AC1510" s="8">
        <v>0</v>
      </c>
    </row>
    <row r="1511" spans="1:29" ht="11.65" x14ac:dyDescent="0.35">
      <c r="A1511" s="12">
        <v>1494</v>
      </c>
      <c r="B1511" s="10" t="s">
        <v>1015</v>
      </c>
      <c r="C1511" s="11" t="s">
        <v>1123</v>
      </c>
      <c r="D1511" s="9"/>
      <c r="E1511" s="9">
        <v>512</v>
      </c>
      <c r="F1511" s="10" t="s">
        <v>1066</v>
      </c>
      <c r="G1511" s="9">
        <v>922</v>
      </c>
      <c r="H1511" s="9">
        <v>1990</v>
      </c>
      <c r="I1511" s="8">
        <v>165.27199999999999</v>
      </c>
      <c r="J1511" s="8">
        <v>142.33099999999999</v>
      </c>
      <c r="K1511" s="8">
        <v>110.83</v>
      </c>
      <c r="L1511" s="8">
        <v>77.125</v>
      </c>
      <c r="M1511" s="8">
        <v>78.106999999999999</v>
      </c>
      <c r="N1511" s="8">
        <v>85.358000000000004</v>
      </c>
      <c r="O1511" s="8">
        <v>89.128</v>
      </c>
      <c r="P1511" s="8">
        <v>84.156000000000006</v>
      </c>
      <c r="Q1511" s="8">
        <v>63.76</v>
      </c>
      <c r="R1511" s="8">
        <v>42.825000000000003</v>
      </c>
      <c r="S1511" s="8">
        <v>26.684000000000001</v>
      </c>
      <c r="T1511" s="8">
        <v>16.007000000000001</v>
      </c>
      <c r="U1511" s="8">
        <v>9.6229999999999993</v>
      </c>
      <c r="V1511" s="8">
        <v>6.8220000000000001</v>
      </c>
      <c r="W1511" s="8">
        <v>5.2569999999999997</v>
      </c>
      <c r="X1511" s="8">
        <v>3.335</v>
      </c>
      <c r="Y1511" s="8">
        <v>1.528</v>
      </c>
      <c r="Z1511" s="8">
        <v>0.46400000000000002</v>
      </c>
      <c r="AA1511" s="8">
        <v>7.8E-2</v>
      </c>
      <c r="AB1511" s="8">
        <v>6.0000000000000001E-3</v>
      </c>
      <c r="AC1511" s="8">
        <v>0</v>
      </c>
    </row>
    <row r="1512" spans="1:29" ht="11.65" x14ac:dyDescent="0.35">
      <c r="A1512" s="12">
        <v>1495</v>
      </c>
      <c r="B1512" s="10" t="s">
        <v>1015</v>
      </c>
      <c r="C1512" s="11" t="s">
        <v>1123</v>
      </c>
      <c r="D1512" s="9"/>
      <c r="E1512" s="9">
        <v>512</v>
      </c>
      <c r="F1512" s="10" t="s">
        <v>1066</v>
      </c>
      <c r="G1512" s="9">
        <v>922</v>
      </c>
      <c r="H1512" s="9">
        <v>1995</v>
      </c>
      <c r="I1512" s="8">
        <v>158.14500000000001</v>
      </c>
      <c r="J1512" s="8">
        <v>151.33099999999999</v>
      </c>
      <c r="K1512" s="8">
        <v>136.63300000000001</v>
      </c>
      <c r="L1512" s="8">
        <v>103.13</v>
      </c>
      <c r="M1512" s="8">
        <v>86.863</v>
      </c>
      <c r="N1512" s="8">
        <v>142.92599999999999</v>
      </c>
      <c r="O1512" s="8">
        <v>151.24299999999999</v>
      </c>
      <c r="P1512" s="8">
        <v>123.709</v>
      </c>
      <c r="Q1512" s="8">
        <v>97.009</v>
      </c>
      <c r="R1512" s="8">
        <v>57.332999999999998</v>
      </c>
      <c r="S1512" s="8">
        <v>38.911999999999999</v>
      </c>
      <c r="T1512" s="8">
        <v>25.251000000000001</v>
      </c>
      <c r="U1512" s="8">
        <v>14.683</v>
      </c>
      <c r="V1512" s="8">
        <v>8.3140000000000001</v>
      </c>
      <c r="W1512" s="8">
        <v>5.4409999999999998</v>
      </c>
      <c r="X1512" s="8">
        <v>3.69</v>
      </c>
      <c r="Y1512" s="8">
        <v>1.865</v>
      </c>
      <c r="Z1512" s="8">
        <v>0.627</v>
      </c>
      <c r="AA1512" s="8">
        <v>0.126</v>
      </c>
      <c r="AB1512" s="8">
        <v>1.4E-2</v>
      </c>
      <c r="AC1512" s="8">
        <v>0</v>
      </c>
    </row>
    <row r="1513" spans="1:29" ht="11.65" x14ac:dyDescent="0.35">
      <c r="A1513" s="12">
        <v>1496</v>
      </c>
      <c r="B1513" s="10" t="s">
        <v>1015</v>
      </c>
      <c r="C1513" s="11" t="s">
        <v>1123</v>
      </c>
      <c r="D1513" s="9"/>
      <c r="E1513" s="9">
        <v>512</v>
      </c>
      <c r="F1513" s="10" t="s">
        <v>1066</v>
      </c>
      <c r="G1513" s="9">
        <v>922</v>
      </c>
      <c r="H1513" s="9">
        <v>2000</v>
      </c>
      <c r="I1513" s="8">
        <v>144.80600000000001</v>
      </c>
      <c r="J1513" s="8">
        <v>147.27099999999999</v>
      </c>
      <c r="K1513" s="8">
        <v>138.77699999999999</v>
      </c>
      <c r="L1513" s="8">
        <v>125.468</v>
      </c>
      <c r="M1513" s="8">
        <v>130.23400000000001</v>
      </c>
      <c r="N1513" s="8">
        <v>126.59699999999999</v>
      </c>
      <c r="O1513" s="8">
        <v>124.343</v>
      </c>
      <c r="P1513" s="8">
        <v>100.26600000000001</v>
      </c>
      <c r="Q1513" s="8">
        <v>79.436999999999998</v>
      </c>
      <c r="R1513" s="8">
        <v>57.819000000000003</v>
      </c>
      <c r="S1513" s="8">
        <v>28.260999999999999</v>
      </c>
      <c r="T1513" s="8">
        <v>25.033999999999999</v>
      </c>
      <c r="U1513" s="8">
        <v>19.547999999999998</v>
      </c>
      <c r="V1513" s="8">
        <v>11.506</v>
      </c>
      <c r="W1513" s="8">
        <v>6.7409999999999997</v>
      </c>
      <c r="X1513" s="8">
        <v>3.9329999999999998</v>
      </c>
      <c r="Y1513" s="8">
        <v>2.1629999999999998</v>
      </c>
      <c r="Z1513" s="8">
        <v>0.82799999999999996</v>
      </c>
      <c r="AA1513" s="8">
        <v>0.19</v>
      </c>
      <c r="AB1513" s="8">
        <v>2.4E-2</v>
      </c>
      <c r="AC1513" s="8">
        <v>1E-3</v>
      </c>
    </row>
    <row r="1514" spans="1:29" ht="11.65" x14ac:dyDescent="0.35">
      <c r="A1514" s="12">
        <v>1497</v>
      </c>
      <c r="B1514" s="10" t="s">
        <v>1015</v>
      </c>
      <c r="C1514" s="11" t="s">
        <v>1123</v>
      </c>
      <c r="D1514" s="9"/>
      <c r="E1514" s="9">
        <v>512</v>
      </c>
      <c r="F1514" s="10" t="s">
        <v>1066</v>
      </c>
      <c r="G1514" s="9">
        <v>922</v>
      </c>
      <c r="H1514" s="9">
        <v>2005</v>
      </c>
      <c r="I1514" s="8">
        <v>130.97900000000001</v>
      </c>
      <c r="J1514" s="8">
        <v>136.79499999999999</v>
      </c>
      <c r="K1514" s="8">
        <v>150.61600000000001</v>
      </c>
      <c r="L1514" s="8">
        <v>149.166</v>
      </c>
      <c r="M1514" s="8">
        <v>136.75700000000001</v>
      </c>
      <c r="N1514" s="8">
        <v>151.59700000000001</v>
      </c>
      <c r="O1514" s="8">
        <v>139.25200000000001</v>
      </c>
      <c r="P1514" s="8">
        <v>119.30200000000001</v>
      </c>
      <c r="Q1514" s="8">
        <v>95.245999999999995</v>
      </c>
      <c r="R1514" s="8">
        <v>77.152000000000001</v>
      </c>
      <c r="S1514" s="8">
        <v>52.835000000000001</v>
      </c>
      <c r="T1514" s="8">
        <v>24.169</v>
      </c>
      <c r="U1514" s="8">
        <v>22.37</v>
      </c>
      <c r="V1514" s="8">
        <v>16.283000000000001</v>
      </c>
      <c r="W1514" s="8">
        <v>9.0609999999999999</v>
      </c>
      <c r="X1514" s="8">
        <v>5.0090000000000003</v>
      </c>
      <c r="Y1514" s="8">
        <v>2.4060000000000001</v>
      </c>
      <c r="Z1514" s="8">
        <v>1.0309999999999999</v>
      </c>
      <c r="AA1514" s="8">
        <v>0.27900000000000003</v>
      </c>
      <c r="AB1514" s="8">
        <v>4.2999999999999997E-2</v>
      </c>
      <c r="AC1514" s="8">
        <v>3.0000000000000001E-3</v>
      </c>
    </row>
    <row r="1515" spans="1:29" ht="11.65" x14ac:dyDescent="0.35">
      <c r="A1515" s="12">
        <v>1498</v>
      </c>
      <c r="B1515" s="10" t="s">
        <v>1015</v>
      </c>
      <c r="C1515" s="11" t="s">
        <v>1123</v>
      </c>
      <c r="D1515" s="9"/>
      <c r="E1515" s="9">
        <v>512</v>
      </c>
      <c r="F1515" s="10" t="s">
        <v>1066</v>
      </c>
      <c r="G1515" s="9">
        <v>922</v>
      </c>
      <c r="H1515" s="9">
        <v>2010</v>
      </c>
      <c r="I1515" s="8">
        <v>150.07400000000001</v>
      </c>
      <c r="J1515" s="8">
        <v>123.42700000000001</v>
      </c>
      <c r="K1515" s="8">
        <v>127.01300000000001</v>
      </c>
      <c r="L1515" s="8">
        <v>139.124</v>
      </c>
      <c r="M1515" s="8">
        <v>233.27600000000001</v>
      </c>
      <c r="N1515" s="8">
        <v>270.24700000000001</v>
      </c>
      <c r="O1515" s="8">
        <v>220.363</v>
      </c>
      <c r="P1515" s="8">
        <v>183.15199999999999</v>
      </c>
      <c r="Q1515" s="8">
        <v>130.61199999999999</v>
      </c>
      <c r="R1515" s="8">
        <v>81.563000000000002</v>
      </c>
      <c r="S1515" s="8">
        <v>65.525000000000006</v>
      </c>
      <c r="T1515" s="8">
        <v>45.033000000000001</v>
      </c>
      <c r="U1515" s="8">
        <v>21.245999999999999</v>
      </c>
      <c r="V1515" s="8">
        <v>18.939</v>
      </c>
      <c r="W1515" s="8">
        <v>13.179</v>
      </c>
      <c r="X1515" s="8">
        <v>6.899</v>
      </c>
      <c r="Y1515" s="8">
        <v>3.1890000000000001</v>
      </c>
      <c r="Z1515" s="8">
        <v>1.2230000000000001</v>
      </c>
      <c r="AA1515" s="8">
        <v>0.38500000000000001</v>
      </c>
      <c r="AB1515" s="8">
        <v>7.1999999999999995E-2</v>
      </c>
      <c r="AC1515" s="8">
        <v>7.0000000000000001E-3</v>
      </c>
    </row>
    <row r="1516" spans="1:29" ht="11.65" x14ac:dyDescent="0.35">
      <c r="A1516" s="12">
        <v>1499</v>
      </c>
      <c r="B1516" s="10" t="s">
        <v>1015</v>
      </c>
      <c r="C1516" s="11" t="s">
        <v>1123</v>
      </c>
      <c r="D1516" s="9"/>
      <c r="E1516" s="9">
        <v>512</v>
      </c>
      <c r="F1516" s="10" t="s">
        <v>1066</v>
      </c>
      <c r="G1516" s="9">
        <v>922</v>
      </c>
      <c r="H1516" s="9">
        <v>2015</v>
      </c>
      <c r="I1516" s="8">
        <v>196.387</v>
      </c>
      <c r="J1516" s="8">
        <v>154.126</v>
      </c>
      <c r="K1516" s="8">
        <v>124.017</v>
      </c>
      <c r="L1516" s="8">
        <v>120.699</v>
      </c>
      <c r="M1516" s="8">
        <v>244.02600000000001</v>
      </c>
      <c r="N1516" s="8">
        <v>532.46699999999998</v>
      </c>
      <c r="O1516" s="8">
        <v>488.63600000000002</v>
      </c>
      <c r="P1516" s="8">
        <v>298.48099999999999</v>
      </c>
      <c r="Q1516" s="8">
        <v>226.27799999999999</v>
      </c>
      <c r="R1516" s="8">
        <v>138.86000000000001</v>
      </c>
      <c r="S1516" s="8">
        <v>106.651</v>
      </c>
      <c r="T1516" s="8">
        <v>70.043999999999997</v>
      </c>
      <c r="U1516" s="8">
        <v>35.953000000000003</v>
      </c>
      <c r="V1516" s="8">
        <v>14.129</v>
      </c>
      <c r="W1516" s="8">
        <v>14.981999999999999</v>
      </c>
      <c r="X1516" s="8">
        <v>10.321999999999999</v>
      </c>
      <c r="Y1516" s="8">
        <v>4.5789999999999997</v>
      </c>
      <c r="Z1516" s="8">
        <v>1.706</v>
      </c>
      <c r="AA1516" s="8">
        <v>0.48599999999999999</v>
      </c>
      <c r="AB1516" s="8">
        <v>0.104</v>
      </c>
      <c r="AC1516" s="8">
        <v>1.2999999999999999E-2</v>
      </c>
    </row>
    <row r="1517" spans="1:29" ht="11.65" x14ac:dyDescent="0.35">
      <c r="A1517" s="12">
        <v>1500</v>
      </c>
      <c r="B1517" s="10" t="s">
        <v>1015</v>
      </c>
      <c r="C1517" s="11" t="s">
        <v>1123</v>
      </c>
      <c r="D1517" s="9"/>
      <c r="E1517" s="9">
        <v>512</v>
      </c>
      <c r="F1517" s="10" t="s">
        <v>1066</v>
      </c>
      <c r="G1517" s="9">
        <v>922</v>
      </c>
      <c r="H1517" s="9">
        <v>2020</v>
      </c>
      <c r="I1517" s="8">
        <v>231.91200000000001</v>
      </c>
      <c r="J1517" s="8">
        <v>191.62299999999999</v>
      </c>
      <c r="K1517" s="8">
        <v>165.92</v>
      </c>
      <c r="L1517" s="8">
        <v>93.682000000000002</v>
      </c>
      <c r="M1517" s="8">
        <v>200.34800000000001</v>
      </c>
      <c r="N1517" s="8">
        <v>579.65800000000002</v>
      </c>
      <c r="O1517" s="8">
        <v>668.86900000000003</v>
      </c>
      <c r="P1517" s="8">
        <v>411.483</v>
      </c>
      <c r="Q1517" s="8">
        <v>284.02300000000002</v>
      </c>
      <c r="R1517" s="8">
        <v>206.49199999999999</v>
      </c>
      <c r="S1517" s="8">
        <v>124.01</v>
      </c>
      <c r="T1517" s="8">
        <v>93.58</v>
      </c>
      <c r="U1517" s="8">
        <v>56.811</v>
      </c>
      <c r="V1517" s="8">
        <v>27.596</v>
      </c>
      <c r="W1517" s="8">
        <v>11.747</v>
      </c>
      <c r="X1517" s="8">
        <v>11.957000000000001</v>
      </c>
      <c r="Y1517" s="8">
        <v>7.0579999999999998</v>
      </c>
      <c r="Z1517" s="8">
        <v>2.5670000000000002</v>
      </c>
      <c r="AA1517" s="8">
        <v>0.72699999999999998</v>
      </c>
      <c r="AB1517" s="8">
        <v>0.14599999999999999</v>
      </c>
      <c r="AC1517" s="8">
        <v>2.1000000000000001E-2</v>
      </c>
    </row>
    <row r="1518" spans="1:29" ht="11.65" x14ac:dyDescent="0.35">
      <c r="A1518" s="12">
        <v>1501</v>
      </c>
      <c r="B1518" s="10" t="s">
        <v>1015</v>
      </c>
      <c r="C1518" s="11" t="s">
        <v>1124</v>
      </c>
      <c r="D1518" s="9"/>
      <c r="E1518" s="9">
        <v>634</v>
      </c>
      <c r="F1518" s="10" t="s">
        <v>1066</v>
      </c>
      <c r="G1518" s="9">
        <v>922</v>
      </c>
      <c r="H1518" s="9">
        <v>1950</v>
      </c>
      <c r="I1518" s="8">
        <v>2.1949999999999998</v>
      </c>
      <c r="J1518" s="8">
        <v>1.716</v>
      </c>
      <c r="K1518" s="8">
        <v>1.4590000000000001</v>
      </c>
      <c r="L1518" s="8">
        <v>1.27</v>
      </c>
      <c r="M1518" s="8">
        <v>1.0940000000000001</v>
      </c>
      <c r="N1518" s="8">
        <v>0.93200000000000005</v>
      </c>
      <c r="O1518" s="8">
        <v>0.79400000000000004</v>
      </c>
      <c r="P1518" s="8">
        <v>0.67200000000000004</v>
      </c>
      <c r="Q1518" s="8">
        <v>0.58699999999999997</v>
      </c>
      <c r="R1518" s="8">
        <v>0.499</v>
      </c>
      <c r="S1518" s="8">
        <v>0.42399999999999999</v>
      </c>
      <c r="T1518" s="8">
        <v>0.35</v>
      </c>
      <c r="U1518" s="8">
        <v>0.27400000000000002</v>
      </c>
      <c r="V1518" s="8">
        <v>0.19500000000000001</v>
      </c>
      <c r="W1518" s="8">
        <v>0.122</v>
      </c>
      <c r="X1518" s="8">
        <v>6.2E-2</v>
      </c>
      <c r="Y1518" s="8">
        <v>1.9E-2</v>
      </c>
      <c r="Z1518" s="8">
        <v>8.0000000000000002E-3</v>
      </c>
      <c r="AA1518" s="8">
        <v>2E-3</v>
      </c>
      <c r="AB1518" s="8">
        <v>0</v>
      </c>
      <c r="AC1518" s="8">
        <v>0</v>
      </c>
    </row>
    <row r="1519" spans="1:29" ht="11.65" x14ac:dyDescent="0.35">
      <c r="A1519" s="12">
        <v>1502</v>
      </c>
      <c r="B1519" s="10" t="s">
        <v>1015</v>
      </c>
      <c r="C1519" s="11" t="s">
        <v>1124</v>
      </c>
      <c r="D1519" s="9"/>
      <c r="E1519" s="9">
        <v>634</v>
      </c>
      <c r="F1519" s="10" t="s">
        <v>1066</v>
      </c>
      <c r="G1519" s="9">
        <v>922</v>
      </c>
      <c r="H1519" s="9">
        <v>1955</v>
      </c>
      <c r="I1519" s="8">
        <v>3.2970000000000002</v>
      </c>
      <c r="J1519" s="8">
        <v>2.3090000000000002</v>
      </c>
      <c r="K1519" s="8">
        <v>2.0179999999999998</v>
      </c>
      <c r="L1519" s="8">
        <v>1.9790000000000001</v>
      </c>
      <c r="M1519" s="8">
        <v>1.962</v>
      </c>
      <c r="N1519" s="8">
        <v>1.784</v>
      </c>
      <c r="O1519" s="8">
        <v>1.4790000000000001</v>
      </c>
      <c r="P1519" s="8">
        <v>1.179</v>
      </c>
      <c r="Q1519" s="8">
        <v>0.91500000000000004</v>
      </c>
      <c r="R1519" s="8">
        <v>0.72899999999999998</v>
      </c>
      <c r="S1519" s="8">
        <v>0.56599999999999995</v>
      </c>
      <c r="T1519" s="8">
        <v>0.439</v>
      </c>
      <c r="U1519" s="8">
        <v>0.33800000000000002</v>
      </c>
      <c r="V1519" s="8">
        <v>0.246</v>
      </c>
      <c r="W1519" s="8">
        <v>0.154</v>
      </c>
      <c r="X1519" s="8">
        <v>0.08</v>
      </c>
      <c r="Y1519" s="8">
        <v>3.4000000000000002E-2</v>
      </c>
      <c r="Z1519" s="8">
        <v>8.0000000000000002E-3</v>
      </c>
      <c r="AA1519" s="8">
        <v>2E-3</v>
      </c>
      <c r="AB1519" s="8">
        <v>0</v>
      </c>
      <c r="AC1519" s="8">
        <v>0</v>
      </c>
    </row>
    <row r="1520" spans="1:29" ht="11.65" x14ac:dyDescent="0.35">
      <c r="A1520" s="12">
        <v>1503</v>
      </c>
      <c r="B1520" s="10" t="s">
        <v>1015</v>
      </c>
      <c r="C1520" s="11" t="s">
        <v>1124</v>
      </c>
      <c r="D1520" s="9"/>
      <c r="E1520" s="9">
        <v>634</v>
      </c>
      <c r="F1520" s="10" t="s">
        <v>1066</v>
      </c>
      <c r="G1520" s="9">
        <v>922</v>
      </c>
      <c r="H1520" s="9">
        <v>1960</v>
      </c>
      <c r="I1520" s="8">
        <v>4.2069999999999999</v>
      </c>
      <c r="J1520" s="8">
        <v>3.2690000000000001</v>
      </c>
      <c r="K1520" s="8">
        <v>2.6419999999999999</v>
      </c>
      <c r="L1520" s="8">
        <v>2.7210000000000001</v>
      </c>
      <c r="M1520" s="8">
        <v>2.8370000000000002</v>
      </c>
      <c r="N1520" s="8">
        <v>2.6429999999999998</v>
      </c>
      <c r="O1520" s="8">
        <v>2.177</v>
      </c>
      <c r="P1520" s="8">
        <v>1.7030000000000001</v>
      </c>
      <c r="Q1520" s="8">
        <v>1.2809999999999999</v>
      </c>
      <c r="R1520" s="8">
        <v>0.96399999999999997</v>
      </c>
      <c r="S1520" s="8">
        <v>0.72399999999999998</v>
      </c>
      <c r="T1520" s="8">
        <v>0.53400000000000003</v>
      </c>
      <c r="U1520" s="8">
        <v>0.40300000000000002</v>
      </c>
      <c r="V1520" s="8">
        <v>0.29499999999999998</v>
      </c>
      <c r="W1520" s="8">
        <v>0.19500000000000001</v>
      </c>
      <c r="X1520" s="8">
        <v>0.10199999999999999</v>
      </c>
      <c r="Y1520" s="8">
        <v>4.5999999999999999E-2</v>
      </c>
      <c r="Z1520" s="8">
        <v>1.6E-2</v>
      </c>
      <c r="AA1520" s="8">
        <v>3.0000000000000001E-3</v>
      </c>
      <c r="AB1520" s="8">
        <v>0</v>
      </c>
      <c r="AC1520" s="8">
        <v>0</v>
      </c>
    </row>
    <row r="1521" spans="1:29" ht="11.65" x14ac:dyDescent="0.35">
      <c r="A1521" s="12">
        <v>1504</v>
      </c>
      <c r="B1521" s="10" t="s">
        <v>1015</v>
      </c>
      <c r="C1521" s="11" t="s">
        <v>1124</v>
      </c>
      <c r="D1521" s="9"/>
      <c r="E1521" s="9">
        <v>634</v>
      </c>
      <c r="F1521" s="10" t="s">
        <v>1066</v>
      </c>
      <c r="G1521" s="9">
        <v>922</v>
      </c>
      <c r="H1521" s="9">
        <v>1965</v>
      </c>
      <c r="I1521" s="8">
        <v>6.0449999999999999</v>
      </c>
      <c r="J1521" s="8">
        <v>4.6449999999999996</v>
      </c>
      <c r="K1521" s="8">
        <v>4.3739999999999997</v>
      </c>
      <c r="L1521" s="8">
        <v>4.7539999999999996</v>
      </c>
      <c r="M1521" s="8">
        <v>5.3979999999999997</v>
      </c>
      <c r="N1521" s="8">
        <v>5.1630000000000003</v>
      </c>
      <c r="O1521" s="8">
        <v>4.194</v>
      </c>
      <c r="P1521" s="8">
        <v>3.1669999999999998</v>
      </c>
      <c r="Q1521" s="8">
        <v>2.2509999999999999</v>
      </c>
      <c r="R1521" s="8">
        <v>1.601</v>
      </c>
      <c r="S1521" s="8">
        <v>1.089</v>
      </c>
      <c r="T1521" s="8">
        <v>0.746</v>
      </c>
      <c r="U1521" s="8">
        <v>0.53100000000000003</v>
      </c>
      <c r="V1521" s="8">
        <v>0.38100000000000001</v>
      </c>
      <c r="W1521" s="8">
        <v>0.245</v>
      </c>
      <c r="X1521" s="8">
        <v>0.13400000000000001</v>
      </c>
      <c r="Y1521" s="8">
        <v>6.0999999999999999E-2</v>
      </c>
      <c r="Z1521" s="8">
        <v>2.1999999999999999E-2</v>
      </c>
      <c r="AA1521" s="8">
        <v>6.0000000000000001E-3</v>
      </c>
      <c r="AB1521" s="8">
        <v>0</v>
      </c>
      <c r="AC1521" s="8">
        <v>0</v>
      </c>
    </row>
    <row r="1522" spans="1:29" ht="11.65" x14ac:dyDescent="0.35">
      <c r="A1522" s="12">
        <v>1505</v>
      </c>
      <c r="B1522" s="10" t="s">
        <v>1015</v>
      </c>
      <c r="C1522" s="11" t="s">
        <v>1124</v>
      </c>
      <c r="D1522" s="9"/>
      <c r="E1522" s="9">
        <v>634</v>
      </c>
      <c r="F1522" s="10" t="s">
        <v>1066</v>
      </c>
      <c r="G1522" s="9">
        <v>922</v>
      </c>
      <c r="H1522" s="9">
        <v>1970</v>
      </c>
      <c r="I1522" s="8">
        <v>8.6639999999999997</v>
      </c>
      <c r="J1522" s="8">
        <v>6.524</v>
      </c>
      <c r="K1522" s="8">
        <v>5.3310000000000004</v>
      </c>
      <c r="L1522" s="8">
        <v>6.6509999999999998</v>
      </c>
      <c r="M1522" s="8">
        <v>9.0609999999999999</v>
      </c>
      <c r="N1522" s="8">
        <v>9.2050000000000001</v>
      </c>
      <c r="O1522" s="8">
        <v>7.4790000000000001</v>
      </c>
      <c r="P1522" s="8">
        <v>5.6710000000000003</v>
      </c>
      <c r="Q1522" s="8">
        <v>3.9870000000000001</v>
      </c>
      <c r="R1522" s="8">
        <v>2.734</v>
      </c>
      <c r="S1522" s="8">
        <v>1.7509999999999999</v>
      </c>
      <c r="T1522" s="8">
        <v>1.038</v>
      </c>
      <c r="U1522" s="8">
        <v>0.71699999999999997</v>
      </c>
      <c r="V1522" s="8">
        <v>0.46800000000000003</v>
      </c>
      <c r="W1522" s="8">
        <v>0.316</v>
      </c>
      <c r="X1522" s="8">
        <v>0.17399999999999999</v>
      </c>
      <c r="Y1522" s="8">
        <v>8.5000000000000006E-2</v>
      </c>
      <c r="Z1522" s="8">
        <v>3.2000000000000001E-2</v>
      </c>
      <c r="AA1522" s="8">
        <v>8.9999999999999993E-3</v>
      </c>
      <c r="AB1522" s="8">
        <v>2E-3</v>
      </c>
      <c r="AC1522" s="8">
        <v>0</v>
      </c>
    </row>
    <row r="1523" spans="1:29" ht="11.65" x14ac:dyDescent="0.35">
      <c r="A1523" s="12">
        <v>1506</v>
      </c>
      <c r="B1523" s="10" t="s">
        <v>1015</v>
      </c>
      <c r="C1523" s="11" t="s">
        <v>1124</v>
      </c>
      <c r="D1523" s="9"/>
      <c r="E1523" s="9">
        <v>634</v>
      </c>
      <c r="F1523" s="10" t="s">
        <v>1066</v>
      </c>
      <c r="G1523" s="9">
        <v>922</v>
      </c>
      <c r="H1523" s="9">
        <v>1975</v>
      </c>
      <c r="I1523" s="8">
        <v>11.634</v>
      </c>
      <c r="J1523" s="8">
        <v>8.9169999999999998</v>
      </c>
      <c r="K1523" s="8">
        <v>7.8479999999999999</v>
      </c>
      <c r="L1523" s="8">
        <v>10.464</v>
      </c>
      <c r="M1523" s="8">
        <v>13.936999999999999</v>
      </c>
      <c r="N1523" s="8">
        <v>14.519</v>
      </c>
      <c r="O1523" s="8">
        <v>12.689</v>
      </c>
      <c r="P1523" s="8">
        <v>9.5559999999999992</v>
      </c>
      <c r="Q1523" s="8">
        <v>6.86</v>
      </c>
      <c r="R1523" s="8">
        <v>4.641</v>
      </c>
      <c r="S1523" s="8">
        <v>3.07</v>
      </c>
      <c r="T1523" s="8">
        <v>2.0270000000000001</v>
      </c>
      <c r="U1523" s="8">
        <v>1.228</v>
      </c>
      <c r="V1523" s="8">
        <v>0.83299999999999996</v>
      </c>
      <c r="W1523" s="8">
        <v>0.52200000000000002</v>
      </c>
      <c r="X1523" s="8">
        <v>0.28499999999999998</v>
      </c>
      <c r="Y1523" s="8">
        <v>0.125</v>
      </c>
      <c r="Z1523" s="8">
        <v>4.7E-2</v>
      </c>
      <c r="AA1523" s="8">
        <v>1.2999999999999999E-2</v>
      </c>
      <c r="AB1523" s="8">
        <v>3.0000000000000001E-3</v>
      </c>
      <c r="AC1523" s="8">
        <v>0</v>
      </c>
    </row>
    <row r="1524" spans="1:29" ht="11.65" x14ac:dyDescent="0.35">
      <c r="A1524" s="12">
        <v>1507</v>
      </c>
      <c r="B1524" s="10" t="s">
        <v>1015</v>
      </c>
      <c r="C1524" s="11" t="s">
        <v>1124</v>
      </c>
      <c r="D1524" s="9"/>
      <c r="E1524" s="9">
        <v>634</v>
      </c>
      <c r="F1524" s="10" t="s">
        <v>1066</v>
      </c>
      <c r="G1524" s="9">
        <v>922</v>
      </c>
      <c r="H1524" s="9">
        <v>1980</v>
      </c>
      <c r="I1524" s="8">
        <v>17.181999999999999</v>
      </c>
      <c r="J1524" s="8">
        <v>12.047000000000001</v>
      </c>
      <c r="K1524" s="8">
        <v>9.3889999999999993</v>
      </c>
      <c r="L1524" s="8">
        <v>11.315</v>
      </c>
      <c r="M1524" s="8">
        <v>17.43</v>
      </c>
      <c r="N1524" s="8">
        <v>20.088000000000001</v>
      </c>
      <c r="O1524" s="8">
        <v>16.795999999999999</v>
      </c>
      <c r="P1524" s="8">
        <v>12.262</v>
      </c>
      <c r="Q1524" s="8">
        <v>8.6679999999999993</v>
      </c>
      <c r="R1524" s="8">
        <v>6.04</v>
      </c>
      <c r="S1524" s="8">
        <v>3.8780000000000001</v>
      </c>
      <c r="T1524" s="8">
        <v>2.3410000000000002</v>
      </c>
      <c r="U1524" s="8">
        <v>1.5580000000000001</v>
      </c>
      <c r="V1524" s="8">
        <v>0.79400000000000004</v>
      </c>
      <c r="W1524" s="8">
        <v>0.54400000000000004</v>
      </c>
      <c r="X1524" s="8">
        <v>0.29299999999999998</v>
      </c>
      <c r="Y1524" s="8">
        <v>0.13900000000000001</v>
      </c>
      <c r="Z1524" s="8">
        <v>6.0999999999999999E-2</v>
      </c>
      <c r="AA1524" s="8">
        <v>2.1000000000000001E-2</v>
      </c>
      <c r="AB1524" s="8">
        <v>5.0000000000000001E-3</v>
      </c>
      <c r="AC1524" s="8">
        <v>1E-3</v>
      </c>
    </row>
    <row r="1525" spans="1:29" ht="11.65" x14ac:dyDescent="0.35">
      <c r="A1525" s="12">
        <v>1508</v>
      </c>
      <c r="B1525" s="10" t="s">
        <v>1015</v>
      </c>
      <c r="C1525" s="11" t="s">
        <v>1124</v>
      </c>
      <c r="D1525" s="9"/>
      <c r="E1525" s="9">
        <v>634</v>
      </c>
      <c r="F1525" s="10" t="s">
        <v>1066</v>
      </c>
      <c r="G1525" s="9">
        <v>922</v>
      </c>
      <c r="H1525" s="9">
        <v>1985</v>
      </c>
      <c r="I1525" s="8">
        <v>24.832999999999998</v>
      </c>
      <c r="J1525" s="8">
        <v>17.475000000000001</v>
      </c>
      <c r="K1525" s="8">
        <v>12.561999999999999</v>
      </c>
      <c r="L1525" s="8">
        <v>10.988</v>
      </c>
      <c r="M1525" s="8">
        <v>25.756</v>
      </c>
      <c r="N1525" s="8">
        <v>42.576999999999998</v>
      </c>
      <c r="O1525" s="8">
        <v>39.777999999999999</v>
      </c>
      <c r="P1525" s="8">
        <v>28.405000000000001</v>
      </c>
      <c r="Q1525" s="8">
        <v>17.741</v>
      </c>
      <c r="R1525" s="8">
        <v>12.112</v>
      </c>
      <c r="S1525" s="8">
        <v>7.1989999999999998</v>
      </c>
      <c r="T1525" s="8">
        <v>3.758</v>
      </c>
      <c r="U1525" s="8">
        <v>2.056</v>
      </c>
      <c r="V1525" s="8">
        <v>1.163</v>
      </c>
      <c r="W1525" s="8">
        <v>0.57399999999999995</v>
      </c>
      <c r="X1525" s="8">
        <v>0.40600000000000003</v>
      </c>
      <c r="Y1525" s="8">
        <v>0.39</v>
      </c>
      <c r="Z1525" s="8">
        <v>0.09</v>
      </c>
      <c r="AA1525" s="8">
        <v>2.9000000000000001E-2</v>
      </c>
      <c r="AB1525" s="8">
        <v>8.9999999999999993E-3</v>
      </c>
      <c r="AC1525" s="8">
        <v>2E-3</v>
      </c>
    </row>
    <row r="1526" spans="1:29" ht="11.65" x14ac:dyDescent="0.35">
      <c r="A1526" s="12">
        <v>1509</v>
      </c>
      <c r="B1526" s="10" t="s">
        <v>1015</v>
      </c>
      <c r="C1526" s="11" t="s">
        <v>1124</v>
      </c>
      <c r="D1526" s="9"/>
      <c r="E1526" s="9">
        <v>634</v>
      </c>
      <c r="F1526" s="10" t="s">
        <v>1066</v>
      </c>
      <c r="G1526" s="9">
        <v>922</v>
      </c>
      <c r="H1526" s="9">
        <v>1990</v>
      </c>
      <c r="I1526" s="8">
        <v>26.395</v>
      </c>
      <c r="J1526" s="8">
        <v>24.866</v>
      </c>
      <c r="K1526" s="8">
        <v>17.702999999999999</v>
      </c>
      <c r="L1526" s="8">
        <v>17.245999999999999</v>
      </c>
      <c r="M1526" s="8">
        <v>22.863</v>
      </c>
      <c r="N1526" s="8">
        <v>37.551000000000002</v>
      </c>
      <c r="O1526" s="8">
        <v>50.302</v>
      </c>
      <c r="P1526" s="8">
        <v>45.142000000000003</v>
      </c>
      <c r="Q1526" s="8">
        <v>31.616</v>
      </c>
      <c r="R1526" s="8">
        <v>19.352</v>
      </c>
      <c r="S1526" s="8">
        <v>12.053000000000001</v>
      </c>
      <c r="T1526" s="8">
        <v>6.4790000000000001</v>
      </c>
      <c r="U1526" s="8">
        <v>3.4550000000000001</v>
      </c>
      <c r="V1526" s="8">
        <v>1.7889999999999999</v>
      </c>
      <c r="W1526" s="8">
        <v>0.92</v>
      </c>
      <c r="X1526" s="8">
        <v>0.44700000000000001</v>
      </c>
      <c r="Y1526" s="8">
        <v>0.31900000000000001</v>
      </c>
      <c r="Z1526" s="8">
        <v>0.247</v>
      </c>
      <c r="AA1526" s="8">
        <v>4.5999999999999999E-2</v>
      </c>
      <c r="AB1526" s="8">
        <v>1.2999999999999999E-2</v>
      </c>
      <c r="AC1526" s="8">
        <v>3.0000000000000001E-3</v>
      </c>
    </row>
    <row r="1527" spans="1:29" ht="11.65" x14ac:dyDescent="0.35">
      <c r="A1527" s="12">
        <v>1510</v>
      </c>
      <c r="B1527" s="10" t="s">
        <v>1015</v>
      </c>
      <c r="C1527" s="11" t="s">
        <v>1124</v>
      </c>
      <c r="D1527" s="9"/>
      <c r="E1527" s="9">
        <v>634</v>
      </c>
      <c r="F1527" s="10" t="s">
        <v>1066</v>
      </c>
      <c r="G1527" s="9">
        <v>922</v>
      </c>
      <c r="H1527" s="9">
        <v>1995</v>
      </c>
      <c r="I1527" s="8">
        <v>25.629000000000001</v>
      </c>
      <c r="J1527" s="8">
        <v>24.826000000000001</v>
      </c>
      <c r="K1527" s="8">
        <v>21.567</v>
      </c>
      <c r="L1527" s="8">
        <v>15.653</v>
      </c>
      <c r="M1527" s="8">
        <v>30.157</v>
      </c>
      <c r="N1527" s="8">
        <v>42.707999999999998</v>
      </c>
      <c r="O1527" s="8">
        <v>45.628</v>
      </c>
      <c r="P1527" s="8">
        <v>47.598999999999997</v>
      </c>
      <c r="Q1527" s="8">
        <v>35.277000000000001</v>
      </c>
      <c r="R1527" s="8">
        <v>21.454000000000001</v>
      </c>
      <c r="S1527" s="8">
        <v>12.198</v>
      </c>
      <c r="T1527" s="8">
        <v>7.1180000000000003</v>
      </c>
      <c r="U1527" s="8">
        <v>3.9910000000000001</v>
      </c>
      <c r="V1527" s="8">
        <v>1.9950000000000001</v>
      </c>
      <c r="W1527" s="8">
        <v>1.1140000000000001</v>
      </c>
      <c r="X1527" s="8">
        <v>0.69499999999999995</v>
      </c>
      <c r="Y1527" s="8">
        <v>0.374</v>
      </c>
      <c r="Z1527" s="8">
        <v>0.20399999999999999</v>
      </c>
      <c r="AA1527" s="8">
        <v>0.13100000000000001</v>
      </c>
      <c r="AB1527" s="8">
        <v>0.02</v>
      </c>
      <c r="AC1527" s="8">
        <v>5.0000000000000001E-3</v>
      </c>
    </row>
    <row r="1528" spans="1:29" ht="11.65" x14ac:dyDescent="0.35">
      <c r="A1528" s="12">
        <v>1511</v>
      </c>
      <c r="B1528" s="10" t="s">
        <v>1015</v>
      </c>
      <c r="C1528" s="11" t="s">
        <v>1124</v>
      </c>
      <c r="D1528" s="9"/>
      <c r="E1528" s="9">
        <v>634</v>
      </c>
      <c r="F1528" s="10" t="s">
        <v>1066</v>
      </c>
      <c r="G1528" s="9">
        <v>922</v>
      </c>
      <c r="H1528" s="9">
        <v>2000</v>
      </c>
      <c r="I1528" s="8">
        <v>28.06</v>
      </c>
      <c r="J1528" s="8">
        <v>26.571999999999999</v>
      </c>
      <c r="K1528" s="8">
        <v>24.029</v>
      </c>
      <c r="L1528" s="8">
        <v>22.504999999999999</v>
      </c>
      <c r="M1528" s="8">
        <v>23.564</v>
      </c>
      <c r="N1528" s="8">
        <v>40.503</v>
      </c>
      <c r="O1528" s="8">
        <v>50.28</v>
      </c>
      <c r="P1528" s="8">
        <v>48.944000000000003</v>
      </c>
      <c r="Q1528" s="8">
        <v>47.616999999999997</v>
      </c>
      <c r="R1528" s="8">
        <v>33.44</v>
      </c>
      <c r="S1528" s="8">
        <v>19.02</v>
      </c>
      <c r="T1528" s="8">
        <v>9.8040000000000003</v>
      </c>
      <c r="U1528" s="8">
        <v>5.35</v>
      </c>
      <c r="V1528" s="8">
        <v>3.2210000000000001</v>
      </c>
      <c r="W1528" s="8">
        <v>1.663</v>
      </c>
      <c r="X1528" s="8">
        <v>0.85499999999999998</v>
      </c>
      <c r="Y1528" s="8">
        <v>0.495</v>
      </c>
      <c r="Z1528" s="8">
        <v>0.23400000000000001</v>
      </c>
      <c r="AA1528" s="8">
        <v>0.111</v>
      </c>
      <c r="AB1528" s="8">
        <v>5.8000000000000003E-2</v>
      </c>
      <c r="AC1528" s="8">
        <v>8.0000000000000002E-3</v>
      </c>
    </row>
    <row r="1529" spans="1:29" ht="11.65" x14ac:dyDescent="0.35">
      <c r="A1529" s="12">
        <v>1512</v>
      </c>
      <c r="B1529" s="10" t="s">
        <v>1015</v>
      </c>
      <c r="C1529" s="11" t="s">
        <v>1124</v>
      </c>
      <c r="D1529" s="9"/>
      <c r="E1529" s="9">
        <v>634</v>
      </c>
      <c r="F1529" s="10" t="s">
        <v>1066</v>
      </c>
      <c r="G1529" s="9">
        <v>922</v>
      </c>
      <c r="H1529" s="9">
        <v>2005</v>
      </c>
      <c r="I1529" s="8">
        <v>35.216000000000001</v>
      </c>
      <c r="J1529" s="8">
        <v>32.258000000000003</v>
      </c>
      <c r="K1529" s="8">
        <v>30.524000000000001</v>
      </c>
      <c r="L1529" s="8">
        <v>25.704999999999998</v>
      </c>
      <c r="M1529" s="8">
        <v>47.402999999999999</v>
      </c>
      <c r="N1529" s="8">
        <v>73.367999999999995</v>
      </c>
      <c r="O1529" s="8">
        <v>80.27</v>
      </c>
      <c r="P1529" s="8">
        <v>72.542000000000002</v>
      </c>
      <c r="Q1529" s="8">
        <v>63.691000000000003</v>
      </c>
      <c r="R1529" s="8">
        <v>54.811</v>
      </c>
      <c r="S1529" s="8">
        <v>34.340000000000003</v>
      </c>
      <c r="T1529" s="8">
        <v>19.645</v>
      </c>
      <c r="U1529" s="8">
        <v>8.0389999999999997</v>
      </c>
      <c r="V1529" s="8">
        <v>3.1480000000000001</v>
      </c>
      <c r="W1529" s="8">
        <v>2.0099999999999998</v>
      </c>
      <c r="X1529" s="8">
        <v>0.81200000000000006</v>
      </c>
      <c r="Y1529" s="8">
        <v>0.35799999999999998</v>
      </c>
      <c r="Z1529" s="8">
        <v>0.31</v>
      </c>
      <c r="AA1529" s="8">
        <v>0.126</v>
      </c>
      <c r="AB1529" s="8">
        <v>4.9000000000000002E-2</v>
      </c>
      <c r="AC1529" s="8">
        <v>2.1000000000000001E-2</v>
      </c>
    </row>
    <row r="1530" spans="1:29" ht="11.65" x14ac:dyDescent="0.35">
      <c r="A1530" s="12">
        <v>1513</v>
      </c>
      <c r="B1530" s="10" t="s">
        <v>1015</v>
      </c>
      <c r="C1530" s="11" t="s">
        <v>1124</v>
      </c>
      <c r="D1530" s="9"/>
      <c r="E1530" s="9">
        <v>634</v>
      </c>
      <c r="F1530" s="10" t="s">
        <v>1066</v>
      </c>
      <c r="G1530" s="9">
        <v>922</v>
      </c>
      <c r="H1530" s="9">
        <v>2010</v>
      </c>
      <c r="I1530" s="8">
        <v>47.848999999999997</v>
      </c>
      <c r="J1530" s="8">
        <v>40.853000000000002</v>
      </c>
      <c r="K1530" s="8">
        <v>33.774999999999999</v>
      </c>
      <c r="L1530" s="8">
        <v>34.529000000000003</v>
      </c>
      <c r="M1530" s="8">
        <v>165.44900000000001</v>
      </c>
      <c r="N1530" s="8">
        <v>266.54500000000002</v>
      </c>
      <c r="O1530" s="8">
        <v>237.34299999999999</v>
      </c>
      <c r="P1530" s="8">
        <v>221.024</v>
      </c>
      <c r="Q1530" s="8">
        <v>162.6</v>
      </c>
      <c r="R1530" s="8">
        <v>101.97</v>
      </c>
      <c r="S1530" s="8">
        <v>58.313000000000002</v>
      </c>
      <c r="T1530" s="8">
        <v>28.719000000000001</v>
      </c>
      <c r="U1530" s="8">
        <v>13.375999999999999</v>
      </c>
      <c r="V1530" s="8">
        <v>2.7</v>
      </c>
      <c r="W1530" s="8">
        <v>1.9059999999999999</v>
      </c>
      <c r="X1530" s="8">
        <v>1.1639999999999999</v>
      </c>
      <c r="Y1530" s="8">
        <v>0.69499999999999995</v>
      </c>
      <c r="Z1530" s="8">
        <v>0.22600000000000001</v>
      </c>
      <c r="AA1530" s="8">
        <v>0.17499999999999999</v>
      </c>
      <c r="AB1530" s="8">
        <v>5.7000000000000002E-2</v>
      </c>
      <c r="AC1530" s="8">
        <v>2.1000000000000001E-2</v>
      </c>
    </row>
    <row r="1531" spans="1:29" ht="11.65" x14ac:dyDescent="0.35">
      <c r="A1531" s="12">
        <v>1514</v>
      </c>
      <c r="B1531" s="10" t="s">
        <v>1015</v>
      </c>
      <c r="C1531" s="11" t="s">
        <v>1124</v>
      </c>
      <c r="D1531" s="9"/>
      <c r="E1531" s="9">
        <v>634</v>
      </c>
      <c r="F1531" s="10" t="s">
        <v>1066</v>
      </c>
      <c r="G1531" s="9">
        <v>922</v>
      </c>
      <c r="H1531" s="9">
        <v>2015</v>
      </c>
      <c r="I1531" s="8">
        <v>65.680999999999997</v>
      </c>
      <c r="J1531" s="8">
        <v>60.743000000000002</v>
      </c>
      <c r="K1531" s="8">
        <v>50.039000000000001</v>
      </c>
      <c r="L1531" s="8">
        <v>64.495999999999995</v>
      </c>
      <c r="M1531" s="8">
        <v>212.584</v>
      </c>
      <c r="N1531" s="8">
        <v>374.56700000000001</v>
      </c>
      <c r="O1531" s="8">
        <v>344.67500000000001</v>
      </c>
      <c r="P1531" s="8">
        <v>257.60899999999998</v>
      </c>
      <c r="Q1531" s="8">
        <v>200.74100000000001</v>
      </c>
      <c r="R1531" s="8">
        <v>135.39099999999999</v>
      </c>
      <c r="S1531" s="8">
        <v>90.203000000000003</v>
      </c>
      <c r="T1531" s="8">
        <v>51.621000000000002</v>
      </c>
      <c r="U1531" s="8">
        <v>25.594999999999999</v>
      </c>
      <c r="V1531" s="8">
        <v>10.641999999999999</v>
      </c>
      <c r="W1531" s="8">
        <v>2.665</v>
      </c>
      <c r="X1531" s="8">
        <v>1.464</v>
      </c>
      <c r="Y1531" s="8">
        <v>0.81799999999999995</v>
      </c>
      <c r="Z1531" s="8">
        <v>0.44400000000000001</v>
      </c>
      <c r="AA1531" s="8">
        <v>0.128</v>
      </c>
      <c r="AB1531" s="8">
        <v>0.08</v>
      </c>
      <c r="AC1531" s="8">
        <v>2.3E-2</v>
      </c>
    </row>
    <row r="1532" spans="1:29" ht="11.65" x14ac:dyDescent="0.35">
      <c r="A1532" s="12">
        <v>1515</v>
      </c>
      <c r="B1532" s="10" t="s">
        <v>1015</v>
      </c>
      <c r="C1532" s="11" t="s">
        <v>1124</v>
      </c>
      <c r="D1532" s="9"/>
      <c r="E1532" s="9">
        <v>634</v>
      </c>
      <c r="F1532" s="10" t="s">
        <v>1066</v>
      </c>
      <c r="G1532" s="9">
        <v>922</v>
      </c>
      <c r="H1532" s="9">
        <v>2020</v>
      </c>
      <c r="I1532" s="8">
        <v>69.262</v>
      </c>
      <c r="J1532" s="8">
        <v>69.594999999999999</v>
      </c>
      <c r="K1532" s="8">
        <v>62.926000000000002</v>
      </c>
      <c r="L1532" s="8">
        <v>58.195999999999998</v>
      </c>
      <c r="M1532" s="8">
        <v>189.30199999999999</v>
      </c>
      <c r="N1532" s="8">
        <v>406.81599999999997</v>
      </c>
      <c r="O1532" s="8">
        <v>401.06799999999998</v>
      </c>
      <c r="P1532" s="8">
        <v>263.94400000000002</v>
      </c>
      <c r="Q1532" s="8">
        <v>196.92099999999999</v>
      </c>
      <c r="R1532" s="8">
        <v>165.00299999999999</v>
      </c>
      <c r="S1532" s="8">
        <v>124.535</v>
      </c>
      <c r="T1532" s="8">
        <v>79.3</v>
      </c>
      <c r="U1532" s="8">
        <v>43.351999999999997</v>
      </c>
      <c r="V1532" s="8">
        <v>21.908000000000001</v>
      </c>
      <c r="W1532" s="8">
        <v>9.0570000000000004</v>
      </c>
      <c r="X1532" s="8">
        <v>2.0449999999999999</v>
      </c>
      <c r="Y1532" s="8">
        <v>1.0289999999999999</v>
      </c>
      <c r="Z1532" s="8">
        <v>0.53</v>
      </c>
      <c r="AA1532" s="8">
        <v>0.25700000000000001</v>
      </c>
      <c r="AB1532" s="8">
        <v>5.8999999999999997E-2</v>
      </c>
      <c r="AC1532" s="8">
        <v>0.03</v>
      </c>
    </row>
    <row r="1533" spans="1:29" ht="11.65" x14ac:dyDescent="0.35">
      <c r="A1533" s="12">
        <v>1516</v>
      </c>
      <c r="B1533" s="10" t="s">
        <v>1015</v>
      </c>
      <c r="C1533" s="11" t="s">
        <v>1125</v>
      </c>
      <c r="D1533" s="9"/>
      <c r="E1533" s="9">
        <v>682</v>
      </c>
      <c r="F1533" s="10" t="s">
        <v>1066</v>
      </c>
      <c r="G1533" s="9">
        <v>922</v>
      </c>
      <c r="H1533" s="9">
        <v>1950</v>
      </c>
      <c r="I1533" s="8">
        <v>272.661</v>
      </c>
      <c r="J1533" s="8">
        <v>211.886</v>
      </c>
      <c r="K1533" s="8">
        <v>181.86500000000001</v>
      </c>
      <c r="L1533" s="8">
        <v>157.905</v>
      </c>
      <c r="M1533" s="8">
        <v>135.68899999999999</v>
      </c>
      <c r="N1533" s="8">
        <v>115.399</v>
      </c>
      <c r="O1533" s="8">
        <v>98.873999999999995</v>
      </c>
      <c r="P1533" s="8">
        <v>85.745000000000005</v>
      </c>
      <c r="Q1533" s="8">
        <v>75.096000000000004</v>
      </c>
      <c r="R1533" s="8">
        <v>64.906000000000006</v>
      </c>
      <c r="S1533" s="8">
        <v>54.807000000000002</v>
      </c>
      <c r="T1533" s="8">
        <v>44.801000000000002</v>
      </c>
      <c r="U1533" s="8">
        <v>34.703000000000003</v>
      </c>
      <c r="V1533" s="8">
        <v>24.512</v>
      </c>
      <c r="W1533" s="8">
        <v>15.055999999999999</v>
      </c>
      <c r="X1533" s="8">
        <v>7.3440000000000003</v>
      </c>
      <c r="Y1533" s="8">
        <v>2.1040000000000001</v>
      </c>
      <c r="Z1533" s="8">
        <v>0.68500000000000005</v>
      </c>
      <c r="AA1533" s="8">
        <v>0.13800000000000001</v>
      </c>
      <c r="AB1533" s="8">
        <v>1.4999999999999999E-2</v>
      </c>
      <c r="AC1533" s="8">
        <v>1E-3</v>
      </c>
    </row>
    <row r="1534" spans="1:29" ht="11.65" x14ac:dyDescent="0.35">
      <c r="A1534" s="12">
        <v>1517</v>
      </c>
      <c r="B1534" s="10" t="s">
        <v>1015</v>
      </c>
      <c r="C1534" s="11" t="s">
        <v>1125</v>
      </c>
      <c r="D1534" s="9"/>
      <c r="E1534" s="9">
        <v>682</v>
      </c>
      <c r="F1534" s="10" t="s">
        <v>1066</v>
      </c>
      <c r="G1534" s="9">
        <v>922</v>
      </c>
      <c r="H1534" s="9">
        <v>1955</v>
      </c>
      <c r="I1534" s="8">
        <v>302.40199999999999</v>
      </c>
      <c r="J1534" s="8">
        <v>249.00899999999999</v>
      </c>
      <c r="K1534" s="8">
        <v>208.441</v>
      </c>
      <c r="L1534" s="8">
        <v>178.82</v>
      </c>
      <c r="M1534" s="8">
        <v>153.75399999999999</v>
      </c>
      <c r="N1534" s="8">
        <v>131.29</v>
      </c>
      <c r="O1534" s="8">
        <v>111.639</v>
      </c>
      <c r="P1534" s="8">
        <v>95.581000000000003</v>
      </c>
      <c r="Q1534" s="8">
        <v>82.506</v>
      </c>
      <c r="R1534" s="8">
        <v>71.555999999999997</v>
      </c>
      <c r="S1534" s="8">
        <v>60.872</v>
      </c>
      <c r="T1534" s="8">
        <v>50.131999999999998</v>
      </c>
      <c r="U1534" s="8">
        <v>39.25</v>
      </c>
      <c r="V1534" s="8">
        <v>28.338000000000001</v>
      </c>
      <c r="W1534" s="8">
        <v>17.896999999999998</v>
      </c>
      <c r="X1534" s="8">
        <v>9.1210000000000004</v>
      </c>
      <c r="Y1534" s="8">
        <v>3.2480000000000002</v>
      </c>
      <c r="Z1534" s="8">
        <v>0.63</v>
      </c>
      <c r="AA1534" s="8">
        <v>0.13700000000000001</v>
      </c>
      <c r="AB1534" s="8">
        <v>1.4999999999999999E-2</v>
      </c>
      <c r="AC1534" s="8">
        <v>1E-3</v>
      </c>
    </row>
    <row r="1535" spans="1:29" ht="11.65" x14ac:dyDescent="0.35">
      <c r="A1535" s="12">
        <v>1518</v>
      </c>
      <c r="B1535" s="10" t="s">
        <v>1015</v>
      </c>
      <c r="C1535" s="11" t="s">
        <v>1125</v>
      </c>
      <c r="D1535" s="9"/>
      <c r="E1535" s="9">
        <v>682</v>
      </c>
      <c r="F1535" s="10" t="s">
        <v>1066</v>
      </c>
      <c r="G1535" s="9">
        <v>922</v>
      </c>
      <c r="H1535" s="9">
        <v>1960</v>
      </c>
      <c r="I1535" s="8">
        <v>356.45299999999997</v>
      </c>
      <c r="J1535" s="8">
        <v>280.012</v>
      </c>
      <c r="K1535" s="8">
        <v>245.511</v>
      </c>
      <c r="L1535" s="8">
        <v>205.18199999999999</v>
      </c>
      <c r="M1535" s="8">
        <v>174.386</v>
      </c>
      <c r="N1535" s="8">
        <v>149.041</v>
      </c>
      <c r="O1535" s="8">
        <v>127.16</v>
      </c>
      <c r="P1535" s="8">
        <v>107.893</v>
      </c>
      <c r="Q1535" s="8">
        <v>91.882999999999996</v>
      </c>
      <c r="R1535" s="8">
        <v>78.608999999999995</v>
      </c>
      <c r="S1535" s="8">
        <v>67.167000000000002</v>
      </c>
      <c r="T1535" s="8">
        <v>55.713000000000001</v>
      </c>
      <c r="U1535" s="8">
        <v>43.981999999999999</v>
      </c>
      <c r="V1535" s="8">
        <v>32.183999999999997</v>
      </c>
      <c r="W1535" s="8">
        <v>20.818999999999999</v>
      </c>
      <c r="X1535" s="8">
        <v>10.946999999999999</v>
      </c>
      <c r="Y1535" s="8">
        <v>4.0999999999999996</v>
      </c>
      <c r="Z1535" s="8">
        <v>1.008</v>
      </c>
      <c r="AA1535" s="8">
        <v>0.129</v>
      </c>
      <c r="AB1535" s="8">
        <v>1.4999999999999999E-2</v>
      </c>
      <c r="AC1535" s="8">
        <v>1E-3</v>
      </c>
    </row>
    <row r="1536" spans="1:29" ht="11.65" x14ac:dyDescent="0.35">
      <c r="A1536" s="12">
        <v>1519</v>
      </c>
      <c r="B1536" s="10" t="s">
        <v>1015</v>
      </c>
      <c r="C1536" s="11" t="s">
        <v>1125</v>
      </c>
      <c r="D1536" s="9"/>
      <c r="E1536" s="9">
        <v>682</v>
      </c>
      <c r="F1536" s="10" t="s">
        <v>1066</v>
      </c>
      <c r="G1536" s="9">
        <v>922</v>
      </c>
      <c r="H1536" s="9">
        <v>1965</v>
      </c>
      <c r="I1536" s="8">
        <v>436.351</v>
      </c>
      <c r="J1536" s="8">
        <v>340.685</v>
      </c>
      <c r="K1536" s="8">
        <v>279.90800000000002</v>
      </c>
      <c r="L1536" s="8">
        <v>247.5</v>
      </c>
      <c r="M1536" s="8">
        <v>209.334</v>
      </c>
      <c r="N1536" s="8">
        <v>179.42400000000001</v>
      </c>
      <c r="O1536" s="8">
        <v>153.25700000000001</v>
      </c>
      <c r="P1536" s="8">
        <v>129.65199999999999</v>
      </c>
      <c r="Q1536" s="8">
        <v>108.66800000000001</v>
      </c>
      <c r="R1536" s="8">
        <v>90.733999999999995</v>
      </c>
      <c r="S1536" s="8">
        <v>75.89</v>
      </c>
      <c r="T1536" s="8">
        <v>62.761000000000003</v>
      </c>
      <c r="U1536" s="8">
        <v>49.744999999999997</v>
      </c>
      <c r="V1536" s="8">
        <v>36.694000000000003</v>
      </c>
      <c r="W1536" s="8">
        <v>24.036000000000001</v>
      </c>
      <c r="X1536" s="8">
        <v>13.015000000000001</v>
      </c>
      <c r="Y1536" s="8">
        <v>5.0540000000000003</v>
      </c>
      <c r="Z1536" s="8">
        <v>1.3080000000000001</v>
      </c>
      <c r="AA1536" s="8">
        <v>0.21</v>
      </c>
      <c r="AB1536" s="8">
        <v>1.4999999999999999E-2</v>
      </c>
      <c r="AC1536" s="8">
        <v>1E-3</v>
      </c>
    </row>
    <row r="1537" spans="1:29" ht="11.65" x14ac:dyDescent="0.35">
      <c r="A1537" s="12">
        <v>1520</v>
      </c>
      <c r="B1537" s="10" t="s">
        <v>1015</v>
      </c>
      <c r="C1537" s="11" t="s">
        <v>1125</v>
      </c>
      <c r="D1537" s="9"/>
      <c r="E1537" s="9">
        <v>682</v>
      </c>
      <c r="F1537" s="10" t="s">
        <v>1066</v>
      </c>
      <c r="G1537" s="9">
        <v>922</v>
      </c>
      <c r="H1537" s="9">
        <v>1970</v>
      </c>
      <c r="I1537" s="8">
        <v>535.18799999999999</v>
      </c>
      <c r="J1537" s="8">
        <v>421.95499999999998</v>
      </c>
      <c r="K1537" s="8">
        <v>341.387</v>
      </c>
      <c r="L1537" s="8">
        <v>288.07</v>
      </c>
      <c r="M1537" s="8">
        <v>261.66399999999999</v>
      </c>
      <c r="N1537" s="8">
        <v>223.96299999999999</v>
      </c>
      <c r="O1537" s="8">
        <v>189.691</v>
      </c>
      <c r="P1537" s="8">
        <v>159.22399999999999</v>
      </c>
      <c r="Q1537" s="8">
        <v>132.518</v>
      </c>
      <c r="R1537" s="8">
        <v>108.18899999999999</v>
      </c>
      <c r="S1537" s="8">
        <v>88.513999999999996</v>
      </c>
      <c r="T1537" s="8">
        <v>71.498000000000005</v>
      </c>
      <c r="U1537" s="8">
        <v>56.497999999999998</v>
      </c>
      <c r="V1537" s="8">
        <v>42.036999999999999</v>
      </c>
      <c r="W1537" s="8">
        <v>27.736000000000001</v>
      </c>
      <c r="X1537" s="8">
        <v>15.368</v>
      </c>
      <c r="Y1537" s="8">
        <v>6.1349999999999998</v>
      </c>
      <c r="Z1537" s="8">
        <v>1.6439999999999999</v>
      </c>
      <c r="AA1537" s="8">
        <v>0.27900000000000003</v>
      </c>
      <c r="AB1537" s="8">
        <v>2.4E-2</v>
      </c>
      <c r="AC1537" s="8">
        <v>1E-3</v>
      </c>
    </row>
    <row r="1538" spans="1:29" ht="11.65" x14ac:dyDescent="0.35">
      <c r="A1538" s="12">
        <v>1521</v>
      </c>
      <c r="B1538" s="10" t="s">
        <v>1015</v>
      </c>
      <c r="C1538" s="11" t="s">
        <v>1125</v>
      </c>
      <c r="D1538" s="9"/>
      <c r="E1538" s="9">
        <v>682</v>
      </c>
      <c r="F1538" s="10" t="s">
        <v>1066</v>
      </c>
      <c r="G1538" s="9">
        <v>922</v>
      </c>
      <c r="H1538" s="9">
        <v>1975</v>
      </c>
      <c r="I1538" s="8">
        <v>689.50900000000001</v>
      </c>
      <c r="J1538" s="8">
        <v>533.97199999999998</v>
      </c>
      <c r="K1538" s="8">
        <v>436.78100000000001</v>
      </c>
      <c r="L1538" s="8">
        <v>373</v>
      </c>
      <c r="M1538" s="8">
        <v>338.67899999999997</v>
      </c>
      <c r="N1538" s="8">
        <v>313.86399999999998</v>
      </c>
      <c r="O1538" s="8">
        <v>262.76100000000002</v>
      </c>
      <c r="P1538" s="8">
        <v>215.38300000000001</v>
      </c>
      <c r="Q1538" s="8">
        <v>175.81</v>
      </c>
      <c r="R1538" s="8">
        <v>139.84299999999999</v>
      </c>
      <c r="S1538" s="8">
        <v>111.45099999999999</v>
      </c>
      <c r="T1538" s="8">
        <v>87.236999999999995</v>
      </c>
      <c r="U1538" s="8">
        <v>67.168000000000006</v>
      </c>
      <c r="V1538" s="8">
        <v>50.220999999999997</v>
      </c>
      <c r="W1538" s="8">
        <v>33.238</v>
      </c>
      <c r="X1538" s="8">
        <v>18.937999999999999</v>
      </c>
      <c r="Y1538" s="8">
        <v>7.8540000000000001</v>
      </c>
      <c r="Z1538" s="8">
        <v>2.133</v>
      </c>
      <c r="AA1538" s="8">
        <v>0.36699999999999999</v>
      </c>
      <c r="AB1538" s="8">
        <v>3.4000000000000002E-2</v>
      </c>
      <c r="AC1538" s="8">
        <v>2E-3</v>
      </c>
    </row>
    <row r="1539" spans="1:29" ht="11.65" x14ac:dyDescent="0.35">
      <c r="A1539" s="12">
        <v>1522</v>
      </c>
      <c r="B1539" s="10" t="s">
        <v>1015</v>
      </c>
      <c r="C1539" s="11" t="s">
        <v>1125</v>
      </c>
      <c r="D1539" s="9"/>
      <c r="E1539" s="9">
        <v>682</v>
      </c>
      <c r="F1539" s="10" t="s">
        <v>1066</v>
      </c>
      <c r="G1539" s="9">
        <v>922</v>
      </c>
      <c r="H1539" s="9">
        <v>1980</v>
      </c>
      <c r="I1539" s="8">
        <v>886.53499999999997</v>
      </c>
      <c r="J1539" s="8">
        <v>695.43200000000002</v>
      </c>
      <c r="K1539" s="8">
        <v>556.56100000000004</v>
      </c>
      <c r="L1539" s="8">
        <v>467.85399999999998</v>
      </c>
      <c r="M1539" s="8">
        <v>455.04500000000002</v>
      </c>
      <c r="N1539" s="8">
        <v>480.12799999999999</v>
      </c>
      <c r="O1539" s="8">
        <v>431.82299999999998</v>
      </c>
      <c r="P1539" s="8">
        <v>321.17500000000001</v>
      </c>
      <c r="Q1539" s="8">
        <v>239.68299999999999</v>
      </c>
      <c r="R1539" s="8">
        <v>185.256</v>
      </c>
      <c r="S1539" s="8">
        <v>143.77600000000001</v>
      </c>
      <c r="T1539" s="8">
        <v>110.705</v>
      </c>
      <c r="U1539" s="8">
        <v>82.605000000000004</v>
      </c>
      <c r="V1539" s="8">
        <v>59.734999999999999</v>
      </c>
      <c r="W1539" s="8">
        <v>40.412999999999997</v>
      </c>
      <c r="X1539" s="8">
        <v>23.140999999999998</v>
      </c>
      <c r="Y1539" s="8">
        <v>10.239000000000001</v>
      </c>
      <c r="Z1539" s="8">
        <v>2.93</v>
      </c>
      <c r="AA1539" s="8">
        <v>0.496</v>
      </c>
      <c r="AB1539" s="8">
        <v>4.8000000000000001E-2</v>
      </c>
      <c r="AC1539" s="8">
        <v>3.0000000000000001E-3</v>
      </c>
    </row>
    <row r="1540" spans="1:29" ht="11.65" x14ac:dyDescent="0.35">
      <c r="A1540" s="12">
        <v>1523</v>
      </c>
      <c r="B1540" s="10" t="s">
        <v>1015</v>
      </c>
      <c r="C1540" s="11" t="s">
        <v>1125</v>
      </c>
      <c r="D1540" s="9"/>
      <c r="E1540" s="9">
        <v>682</v>
      </c>
      <c r="F1540" s="10" t="s">
        <v>1066</v>
      </c>
      <c r="G1540" s="9">
        <v>922</v>
      </c>
      <c r="H1540" s="9">
        <v>1985</v>
      </c>
      <c r="I1540" s="8">
        <v>1171.9670000000001</v>
      </c>
      <c r="J1540" s="8">
        <v>899.07399999999996</v>
      </c>
      <c r="K1540" s="8">
        <v>726.36599999999999</v>
      </c>
      <c r="L1540" s="8">
        <v>612.81600000000003</v>
      </c>
      <c r="M1540" s="8">
        <v>630.33500000000004</v>
      </c>
      <c r="N1540" s="8">
        <v>712.89499999999998</v>
      </c>
      <c r="O1540" s="8">
        <v>704.51</v>
      </c>
      <c r="P1540" s="8">
        <v>564.73199999999997</v>
      </c>
      <c r="Q1540" s="8">
        <v>375.43</v>
      </c>
      <c r="R1540" s="8">
        <v>243.744</v>
      </c>
      <c r="S1540" s="8">
        <v>172.803</v>
      </c>
      <c r="T1540" s="8">
        <v>127.76</v>
      </c>
      <c r="U1540" s="8">
        <v>95.784999999999997</v>
      </c>
      <c r="V1540" s="8">
        <v>69.765000000000001</v>
      </c>
      <c r="W1540" s="8">
        <v>46.877000000000002</v>
      </c>
      <c r="X1540" s="8">
        <v>27.576000000000001</v>
      </c>
      <c r="Y1540" s="8">
        <v>12.648</v>
      </c>
      <c r="Z1540" s="8">
        <v>3.9780000000000002</v>
      </c>
      <c r="AA1540" s="8">
        <v>0.70199999999999996</v>
      </c>
      <c r="AB1540" s="8">
        <v>6.6000000000000003E-2</v>
      </c>
      <c r="AC1540" s="8">
        <v>4.0000000000000001E-3</v>
      </c>
    </row>
    <row r="1541" spans="1:29" ht="11.65" x14ac:dyDescent="0.35">
      <c r="A1541" s="12">
        <v>1524</v>
      </c>
      <c r="B1541" s="10" t="s">
        <v>1015</v>
      </c>
      <c r="C1541" s="11" t="s">
        <v>1125</v>
      </c>
      <c r="D1541" s="9"/>
      <c r="E1541" s="9">
        <v>682</v>
      </c>
      <c r="F1541" s="10" t="s">
        <v>1066</v>
      </c>
      <c r="G1541" s="9">
        <v>922</v>
      </c>
      <c r="H1541" s="9">
        <v>1990</v>
      </c>
      <c r="I1541" s="8">
        <v>1363.9649999999999</v>
      </c>
      <c r="J1541" s="8">
        <v>1184.6610000000001</v>
      </c>
      <c r="K1541" s="8">
        <v>898.11099999999999</v>
      </c>
      <c r="L1541" s="8">
        <v>772.30399999999997</v>
      </c>
      <c r="M1541" s="8">
        <v>941.76900000000001</v>
      </c>
      <c r="N1541" s="8">
        <v>985.94299999999998</v>
      </c>
      <c r="O1541" s="8">
        <v>848.13</v>
      </c>
      <c r="P1541" s="8">
        <v>676.70899999999995</v>
      </c>
      <c r="Q1541" s="8">
        <v>424.92599999999999</v>
      </c>
      <c r="R1541" s="8">
        <v>284.86099999999999</v>
      </c>
      <c r="S1541" s="8">
        <v>199.18299999999999</v>
      </c>
      <c r="T1541" s="8">
        <v>156.483</v>
      </c>
      <c r="U1541" s="8">
        <v>130.96</v>
      </c>
      <c r="V1541" s="8">
        <v>101.378</v>
      </c>
      <c r="W1541" s="8">
        <v>63.454999999999998</v>
      </c>
      <c r="X1541" s="8">
        <v>32.665999999999997</v>
      </c>
      <c r="Y1541" s="8">
        <v>15.475</v>
      </c>
      <c r="Z1541" s="8">
        <v>5.0609999999999999</v>
      </c>
      <c r="AA1541" s="8">
        <v>0.98299999999999998</v>
      </c>
      <c r="AB1541" s="8">
        <v>9.2999999999999999E-2</v>
      </c>
      <c r="AC1541" s="8">
        <v>5.0000000000000001E-3</v>
      </c>
    </row>
    <row r="1542" spans="1:29" ht="11.65" x14ac:dyDescent="0.35">
      <c r="A1542" s="12">
        <v>1525</v>
      </c>
      <c r="B1542" s="10" t="s">
        <v>1015</v>
      </c>
      <c r="C1542" s="11" t="s">
        <v>1125</v>
      </c>
      <c r="D1542" s="9"/>
      <c r="E1542" s="9">
        <v>682</v>
      </c>
      <c r="F1542" s="10" t="s">
        <v>1066</v>
      </c>
      <c r="G1542" s="9">
        <v>922</v>
      </c>
      <c r="H1542" s="9">
        <v>1995</v>
      </c>
      <c r="I1542" s="8">
        <v>1388.992</v>
      </c>
      <c r="J1542" s="8">
        <v>1340.1010000000001</v>
      </c>
      <c r="K1542" s="8">
        <v>1237.319</v>
      </c>
      <c r="L1542" s="8">
        <v>880.93299999999999</v>
      </c>
      <c r="M1542" s="8">
        <v>681.59</v>
      </c>
      <c r="N1542" s="8">
        <v>959.74099999999999</v>
      </c>
      <c r="O1542" s="8">
        <v>1073.7170000000001</v>
      </c>
      <c r="P1542" s="8">
        <v>891.00400000000002</v>
      </c>
      <c r="Q1542" s="8">
        <v>654.01</v>
      </c>
      <c r="R1542" s="8">
        <v>362.77600000000001</v>
      </c>
      <c r="S1542" s="8">
        <v>259.58100000000002</v>
      </c>
      <c r="T1542" s="8">
        <v>196.714</v>
      </c>
      <c r="U1542" s="8">
        <v>143.57400000000001</v>
      </c>
      <c r="V1542" s="8">
        <v>113.869</v>
      </c>
      <c r="W1542" s="8">
        <v>80.918999999999997</v>
      </c>
      <c r="X1542" s="8">
        <v>44.307000000000002</v>
      </c>
      <c r="Y1542" s="8">
        <v>18.663</v>
      </c>
      <c r="Z1542" s="8">
        <v>6.3150000000000004</v>
      </c>
      <c r="AA1542" s="8">
        <v>1.276</v>
      </c>
      <c r="AB1542" s="8">
        <v>0.13300000000000001</v>
      </c>
      <c r="AC1542" s="8">
        <v>8.0000000000000002E-3</v>
      </c>
    </row>
    <row r="1543" spans="1:29" ht="11.65" x14ac:dyDescent="0.35">
      <c r="A1543" s="12">
        <v>1526</v>
      </c>
      <c r="B1543" s="10" t="s">
        <v>1015</v>
      </c>
      <c r="C1543" s="11" t="s">
        <v>1125</v>
      </c>
      <c r="D1543" s="9"/>
      <c r="E1543" s="9">
        <v>682</v>
      </c>
      <c r="F1543" s="10" t="s">
        <v>1066</v>
      </c>
      <c r="G1543" s="9">
        <v>922</v>
      </c>
      <c r="H1543" s="9">
        <v>2000</v>
      </c>
      <c r="I1543" s="8">
        <v>1365.671</v>
      </c>
      <c r="J1543" s="8">
        <v>1387.4659999999999</v>
      </c>
      <c r="K1543" s="8">
        <v>1255.173</v>
      </c>
      <c r="L1543" s="8">
        <v>984.27599999999995</v>
      </c>
      <c r="M1543" s="8">
        <v>922.99300000000005</v>
      </c>
      <c r="N1543" s="8">
        <v>1077.9739999999999</v>
      </c>
      <c r="O1543" s="8">
        <v>1091.0319999999999</v>
      </c>
      <c r="P1543" s="8">
        <v>952.601</v>
      </c>
      <c r="Q1543" s="8">
        <v>761.48599999999999</v>
      </c>
      <c r="R1543" s="8">
        <v>530.46799999999996</v>
      </c>
      <c r="S1543" s="8">
        <v>262.66300000000001</v>
      </c>
      <c r="T1543" s="8">
        <v>188.17500000000001</v>
      </c>
      <c r="U1543" s="8">
        <v>158.94999999999999</v>
      </c>
      <c r="V1543" s="8">
        <v>125.75700000000001</v>
      </c>
      <c r="W1543" s="8">
        <v>91.34</v>
      </c>
      <c r="X1543" s="8">
        <v>56.933</v>
      </c>
      <c r="Y1543" s="8">
        <v>25.898</v>
      </c>
      <c r="Z1543" s="8">
        <v>7.8120000000000003</v>
      </c>
      <c r="AA1543" s="8">
        <v>1.635</v>
      </c>
      <c r="AB1543" s="8">
        <v>0.17799999999999999</v>
      </c>
      <c r="AC1543" s="8">
        <v>1.0999999999999999E-2</v>
      </c>
    </row>
    <row r="1544" spans="1:29" ht="11.65" x14ac:dyDescent="0.35">
      <c r="A1544" s="12">
        <v>1527</v>
      </c>
      <c r="B1544" s="10" t="s">
        <v>1015</v>
      </c>
      <c r="C1544" s="11" t="s">
        <v>1125</v>
      </c>
      <c r="D1544" s="9"/>
      <c r="E1544" s="9">
        <v>682</v>
      </c>
      <c r="F1544" s="10" t="s">
        <v>1066</v>
      </c>
      <c r="G1544" s="9">
        <v>922</v>
      </c>
      <c r="H1544" s="9">
        <v>2005</v>
      </c>
      <c r="I1544" s="8">
        <v>1386.874</v>
      </c>
      <c r="J1544" s="8">
        <v>1340.297</v>
      </c>
      <c r="K1544" s="8">
        <v>1357.373</v>
      </c>
      <c r="L1544" s="8">
        <v>1185.5650000000001</v>
      </c>
      <c r="M1544" s="8">
        <v>1082.4359999999999</v>
      </c>
      <c r="N1544" s="8">
        <v>1377.6679999999999</v>
      </c>
      <c r="O1544" s="8">
        <v>1425.479</v>
      </c>
      <c r="P1544" s="8">
        <v>1166.931</v>
      </c>
      <c r="Q1544" s="8">
        <v>975.36300000000006</v>
      </c>
      <c r="R1544" s="8">
        <v>708.56799999999998</v>
      </c>
      <c r="S1544" s="8">
        <v>461.45400000000001</v>
      </c>
      <c r="T1544" s="8">
        <v>246.875</v>
      </c>
      <c r="U1544" s="8">
        <v>190.03800000000001</v>
      </c>
      <c r="V1544" s="8">
        <v>142.44800000000001</v>
      </c>
      <c r="W1544" s="8">
        <v>101.355</v>
      </c>
      <c r="X1544" s="8">
        <v>64.736000000000004</v>
      </c>
      <c r="Y1544" s="8">
        <v>34.015000000000001</v>
      </c>
      <c r="Z1544" s="8">
        <v>11.115</v>
      </c>
      <c r="AA1544" s="8">
        <v>2.08</v>
      </c>
      <c r="AB1544" s="8">
        <v>0.23599999999999999</v>
      </c>
      <c r="AC1544" s="8">
        <v>1.4999999999999999E-2</v>
      </c>
    </row>
    <row r="1545" spans="1:29" ht="11.65" x14ac:dyDescent="0.35">
      <c r="A1545" s="12">
        <v>1528</v>
      </c>
      <c r="B1545" s="10" t="s">
        <v>1015</v>
      </c>
      <c r="C1545" s="11" t="s">
        <v>1125</v>
      </c>
      <c r="D1545" s="9"/>
      <c r="E1545" s="9">
        <v>682</v>
      </c>
      <c r="F1545" s="10" t="s">
        <v>1066</v>
      </c>
      <c r="G1545" s="9">
        <v>922</v>
      </c>
      <c r="H1545" s="9">
        <v>2010</v>
      </c>
      <c r="I1545" s="8">
        <v>1480.58</v>
      </c>
      <c r="J1545" s="8">
        <v>1350.317</v>
      </c>
      <c r="K1545" s="8">
        <v>1297.9380000000001</v>
      </c>
      <c r="L1545" s="8">
        <v>1325.067</v>
      </c>
      <c r="M1545" s="8">
        <v>1272.0160000000001</v>
      </c>
      <c r="N1545" s="8">
        <v>1393.2190000000001</v>
      </c>
      <c r="O1545" s="8">
        <v>1721.867</v>
      </c>
      <c r="P1545" s="8">
        <v>1593.4639999999999</v>
      </c>
      <c r="Q1545" s="8">
        <v>1246.201</v>
      </c>
      <c r="R1545" s="8">
        <v>992.97</v>
      </c>
      <c r="S1545" s="8">
        <v>669.18499999999995</v>
      </c>
      <c r="T1545" s="8">
        <v>435.92</v>
      </c>
      <c r="U1545" s="8">
        <v>232.601</v>
      </c>
      <c r="V1545" s="8">
        <v>172.435</v>
      </c>
      <c r="W1545" s="8">
        <v>114.235</v>
      </c>
      <c r="X1545" s="8">
        <v>71.38</v>
      </c>
      <c r="Y1545" s="8">
        <v>38.762</v>
      </c>
      <c r="Z1545" s="8">
        <v>15.284000000000001</v>
      </c>
      <c r="AA1545" s="8">
        <v>3.6179999999999999</v>
      </c>
      <c r="AB1545" s="8">
        <v>0.40699999999999997</v>
      </c>
      <c r="AC1545" s="8">
        <v>2.5000000000000001E-2</v>
      </c>
    </row>
    <row r="1546" spans="1:29" ht="11.65" x14ac:dyDescent="0.35">
      <c r="A1546" s="12">
        <v>1529</v>
      </c>
      <c r="B1546" s="10" t="s">
        <v>1015</v>
      </c>
      <c r="C1546" s="11" t="s">
        <v>1125</v>
      </c>
      <c r="D1546" s="9"/>
      <c r="E1546" s="9">
        <v>682</v>
      </c>
      <c r="F1546" s="10" t="s">
        <v>1066</v>
      </c>
      <c r="G1546" s="9">
        <v>922</v>
      </c>
      <c r="H1546" s="9">
        <v>2015</v>
      </c>
      <c r="I1546" s="8">
        <v>1513.63</v>
      </c>
      <c r="J1546" s="8">
        <v>1398.492</v>
      </c>
      <c r="K1546" s="8">
        <v>1246.1780000000001</v>
      </c>
      <c r="L1546" s="8">
        <v>1173.1410000000001</v>
      </c>
      <c r="M1546" s="8">
        <v>1310.704</v>
      </c>
      <c r="N1546" s="8">
        <v>1558.6389999999999</v>
      </c>
      <c r="O1546" s="8">
        <v>1856.277</v>
      </c>
      <c r="P1546" s="8">
        <v>2148.6680000000001</v>
      </c>
      <c r="Q1546" s="8">
        <v>1875.97</v>
      </c>
      <c r="R1546" s="8">
        <v>1372.846</v>
      </c>
      <c r="S1546" s="8">
        <v>1013.397</v>
      </c>
      <c r="T1546" s="8">
        <v>648.16499999999996</v>
      </c>
      <c r="U1546" s="8">
        <v>420.06400000000002</v>
      </c>
      <c r="V1546" s="8">
        <v>214.15799999999999</v>
      </c>
      <c r="W1546" s="8">
        <v>141.87100000000001</v>
      </c>
      <c r="X1546" s="8">
        <v>81.626000000000005</v>
      </c>
      <c r="Y1546" s="8">
        <v>43.481999999999999</v>
      </c>
      <c r="Z1546" s="8">
        <v>17.766999999999999</v>
      </c>
      <c r="AA1546" s="8">
        <v>5.0679999999999996</v>
      </c>
      <c r="AB1546" s="8">
        <v>0.748</v>
      </c>
      <c r="AC1546" s="8">
        <v>4.2000000000000003E-2</v>
      </c>
    </row>
    <row r="1547" spans="1:29" ht="11.65" x14ac:dyDescent="0.35">
      <c r="A1547" s="12">
        <v>1530</v>
      </c>
      <c r="B1547" s="10" t="s">
        <v>1015</v>
      </c>
      <c r="C1547" s="11" t="s">
        <v>1125</v>
      </c>
      <c r="D1547" s="9"/>
      <c r="E1547" s="9">
        <v>682</v>
      </c>
      <c r="F1547" s="10" t="s">
        <v>1066</v>
      </c>
      <c r="G1547" s="9">
        <v>922</v>
      </c>
      <c r="H1547" s="9">
        <v>2020</v>
      </c>
      <c r="I1547" s="8">
        <v>1510.712</v>
      </c>
      <c r="J1547" s="8">
        <v>1510.498</v>
      </c>
      <c r="K1547" s="8">
        <v>1340.8389999999999</v>
      </c>
      <c r="L1547" s="8">
        <v>1128.96</v>
      </c>
      <c r="M1547" s="8">
        <v>1228.06</v>
      </c>
      <c r="N1547" s="8">
        <v>1663.7919999999999</v>
      </c>
      <c r="O1547" s="8">
        <v>2020.91</v>
      </c>
      <c r="P1547" s="8">
        <v>2209.6179999999999</v>
      </c>
      <c r="Q1547" s="8">
        <v>2293.87</v>
      </c>
      <c r="R1547" s="8">
        <v>1861.9079999999999</v>
      </c>
      <c r="S1547" s="8">
        <v>1284.9749999999999</v>
      </c>
      <c r="T1547" s="8">
        <v>898.452</v>
      </c>
      <c r="U1547" s="8">
        <v>532.16600000000005</v>
      </c>
      <c r="V1547" s="8">
        <v>315.25700000000001</v>
      </c>
      <c r="W1547" s="8">
        <v>151.011</v>
      </c>
      <c r="X1547" s="8">
        <v>101.58</v>
      </c>
      <c r="Y1547" s="8">
        <v>50.137</v>
      </c>
      <c r="Z1547" s="8">
        <v>20.619</v>
      </c>
      <c r="AA1547" s="8">
        <v>6.6029999999999998</v>
      </c>
      <c r="AB1547" s="8">
        <v>1.254</v>
      </c>
      <c r="AC1547" s="8">
        <v>8.6999999999999994E-2</v>
      </c>
    </row>
    <row r="1548" spans="1:29" ht="11.65" x14ac:dyDescent="0.35">
      <c r="A1548" s="12">
        <v>1531</v>
      </c>
      <c r="B1548" s="10" t="s">
        <v>1015</v>
      </c>
      <c r="C1548" s="11" t="s">
        <v>1126</v>
      </c>
      <c r="D1548" s="9">
        <v>7</v>
      </c>
      <c r="E1548" s="9">
        <v>275</v>
      </c>
      <c r="F1548" s="10" t="s">
        <v>1066</v>
      </c>
      <c r="G1548" s="9">
        <v>922</v>
      </c>
      <c r="H1548" s="9">
        <v>1950</v>
      </c>
      <c r="I1548" s="8">
        <v>91.275999999999996</v>
      </c>
      <c r="J1548" s="8">
        <v>70.816999999999993</v>
      </c>
      <c r="K1548" s="8">
        <v>59.423999999999999</v>
      </c>
      <c r="L1548" s="8">
        <v>47.302</v>
      </c>
      <c r="M1548" s="8">
        <v>35.673000000000002</v>
      </c>
      <c r="N1548" s="8">
        <v>28.126000000000001</v>
      </c>
      <c r="O1548" s="8">
        <v>23.484999999999999</v>
      </c>
      <c r="P1548" s="8">
        <v>20.72</v>
      </c>
      <c r="Q1548" s="8">
        <v>19.401</v>
      </c>
      <c r="R1548" s="8">
        <v>17.472999999999999</v>
      </c>
      <c r="S1548" s="8">
        <v>16.77</v>
      </c>
      <c r="T1548" s="8">
        <v>16.096</v>
      </c>
      <c r="U1548" s="8">
        <v>12.996</v>
      </c>
      <c r="V1548" s="8">
        <v>9.9979999999999993</v>
      </c>
      <c r="W1548" s="8">
        <v>7.63</v>
      </c>
      <c r="X1548" s="8">
        <v>4.1399999999999997</v>
      </c>
      <c r="Y1548" s="8">
        <v>1.544</v>
      </c>
      <c r="Z1548" s="8">
        <v>0.49399999999999999</v>
      </c>
      <c r="AA1548" s="8">
        <v>9.7000000000000003E-2</v>
      </c>
      <c r="AB1548" s="8">
        <v>1.0999999999999999E-2</v>
      </c>
      <c r="AC1548" s="8">
        <v>1E-3</v>
      </c>
    </row>
    <row r="1549" spans="1:29" ht="11.65" x14ac:dyDescent="0.35">
      <c r="A1549" s="12">
        <v>1532</v>
      </c>
      <c r="B1549" s="10" t="s">
        <v>1015</v>
      </c>
      <c r="C1549" s="11" t="s">
        <v>1126</v>
      </c>
      <c r="D1549" s="9">
        <v>7</v>
      </c>
      <c r="E1549" s="9">
        <v>275</v>
      </c>
      <c r="F1549" s="10" t="s">
        <v>1066</v>
      </c>
      <c r="G1549" s="9">
        <v>922</v>
      </c>
      <c r="H1549" s="9">
        <v>1955</v>
      </c>
      <c r="I1549" s="8">
        <v>89.198999999999998</v>
      </c>
      <c r="J1549" s="8">
        <v>79.570999999999998</v>
      </c>
      <c r="K1549" s="8">
        <v>64.638000000000005</v>
      </c>
      <c r="L1549" s="8">
        <v>54.238</v>
      </c>
      <c r="M1549" s="8">
        <v>42.737000000000002</v>
      </c>
      <c r="N1549" s="8">
        <v>31.942</v>
      </c>
      <c r="O1549" s="8">
        <v>25.093</v>
      </c>
      <c r="P1549" s="8">
        <v>20.811</v>
      </c>
      <c r="Q1549" s="8">
        <v>18.167000000000002</v>
      </c>
      <c r="R1549" s="8">
        <v>16.809000000000001</v>
      </c>
      <c r="S1549" s="8">
        <v>14.803000000000001</v>
      </c>
      <c r="T1549" s="8">
        <v>13.794</v>
      </c>
      <c r="U1549" s="8">
        <v>12.673</v>
      </c>
      <c r="V1549" s="8">
        <v>9.4920000000000009</v>
      </c>
      <c r="W1549" s="8">
        <v>6.556</v>
      </c>
      <c r="X1549" s="8">
        <v>4.2350000000000003</v>
      </c>
      <c r="Y1549" s="8">
        <v>1.7549999999999999</v>
      </c>
      <c r="Z1549" s="8">
        <v>0.46899999999999997</v>
      </c>
      <c r="AA1549" s="8">
        <v>9.7000000000000003E-2</v>
      </c>
      <c r="AB1549" s="8">
        <v>1.0999999999999999E-2</v>
      </c>
      <c r="AC1549" s="8">
        <v>1E-3</v>
      </c>
    </row>
    <row r="1550" spans="1:29" ht="11.65" x14ac:dyDescent="0.35">
      <c r="A1550" s="12">
        <v>1533</v>
      </c>
      <c r="B1550" s="10" t="s">
        <v>1015</v>
      </c>
      <c r="C1550" s="11" t="s">
        <v>1126</v>
      </c>
      <c r="D1550" s="9">
        <v>7</v>
      </c>
      <c r="E1550" s="9">
        <v>275</v>
      </c>
      <c r="F1550" s="10" t="s">
        <v>1066</v>
      </c>
      <c r="G1550" s="9">
        <v>922</v>
      </c>
      <c r="H1550" s="9">
        <v>1960</v>
      </c>
      <c r="I1550" s="8">
        <v>100.878</v>
      </c>
      <c r="J1550" s="8">
        <v>78.311000000000007</v>
      </c>
      <c r="K1550" s="8">
        <v>73.376000000000005</v>
      </c>
      <c r="L1550" s="8">
        <v>59.326000000000001</v>
      </c>
      <c r="M1550" s="8">
        <v>49.396000000000001</v>
      </c>
      <c r="N1550" s="8">
        <v>38.645000000000003</v>
      </c>
      <c r="O1550" s="8">
        <v>28.727</v>
      </c>
      <c r="P1550" s="8">
        <v>22.427</v>
      </c>
      <c r="Q1550" s="8">
        <v>18.417000000000002</v>
      </c>
      <c r="R1550" s="8">
        <v>15.87</v>
      </c>
      <c r="S1550" s="8">
        <v>14.417999999999999</v>
      </c>
      <c r="T1550" s="8">
        <v>12.304</v>
      </c>
      <c r="U1550" s="8">
        <v>10.962999999999999</v>
      </c>
      <c r="V1550" s="8">
        <v>9.4130000000000003</v>
      </c>
      <c r="W1550" s="8">
        <v>6.3339999999999996</v>
      </c>
      <c r="X1550" s="8">
        <v>3.69</v>
      </c>
      <c r="Y1550" s="8">
        <v>1.84</v>
      </c>
      <c r="Z1550" s="8">
        <v>0.54700000000000004</v>
      </c>
      <c r="AA1550" s="8">
        <v>9.4E-2</v>
      </c>
      <c r="AB1550" s="8">
        <v>1.0999999999999999E-2</v>
      </c>
      <c r="AC1550" s="8">
        <v>1E-3</v>
      </c>
    </row>
    <row r="1551" spans="1:29" ht="11.65" x14ac:dyDescent="0.35">
      <c r="A1551" s="12">
        <v>1534</v>
      </c>
      <c r="B1551" s="10" t="s">
        <v>1015</v>
      </c>
      <c r="C1551" s="11" t="s">
        <v>1126</v>
      </c>
      <c r="D1551" s="9">
        <v>7</v>
      </c>
      <c r="E1551" s="9">
        <v>275</v>
      </c>
      <c r="F1551" s="10" t="s">
        <v>1066</v>
      </c>
      <c r="G1551" s="9">
        <v>922</v>
      </c>
      <c r="H1551" s="9">
        <v>1965</v>
      </c>
      <c r="I1551" s="8">
        <v>124.301</v>
      </c>
      <c r="J1551" s="8">
        <v>89.197999999999993</v>
      </c>
      <c r="K1551" s="8">
        <v>71.819999999999993</v>
      </c>
      <c r="L1551" s="8">
        <v>67.545000000000002</v>
      </c>
      <c r="M1551" s="8">
        <v>53.966000000000001</v>
      </c>
      <c r="N1551" s="8">
        <v>44.741</v>
      </c>
      <c r="O1551" s="8">
        <v>34.872999999999998</v>
      </c>
      <c r="P1551" s="8">
        <v>25.722000000000001</v>
      </c>
      <c r="Q1551" s="8">
        <v>19.901</v>
      </c>
      <c r="R1551" s="8">
        <v>16.146999999999998</v>
      </c>
      <c r="S1551" s="8">
        <v>13.648</v>
      </c>
      <c r="T1551" s="8">
        <v>12.077</v>
      </c>
      <c r="U1551" s="8">
        <v>9.8350000000000009</v>
      </c>
      <c r="V1551" s="8">
        <v>8.1940000000000008</v>
      </c>
      <c r="W1551" s="8">
        <v>6.37</v>
      </c>
      <c r="X1551" s="8">
        <v>3.629</v>
      </c>
      <c r="Y1551" s="8">
        <v>1.623</v>
      </c>
      <c r="Z1551" s="8">
        <v>0.58899999999999997</v>
      </c>
      <c r="AA1551" s="8">
        <v>0.113</v>
      </c>
      <c r="AB1551" s="8">
        <v>1.0999999999999999E-2</v>
      </c>
      <c r="AC1551" s="8">
        <v>1E-3</v>
      </c>
    </row>
    <row r="1552" spans="1:29" ht="11.65" x14ac:dyDescent="0.35">
      <c r="A1552" s="12">
        <v>1535</v>
      </c>
      <c r="B1552" s="10" t="s">
        <v>1015</v>
      </c>
      <c r="C1552" s="11" t="s">
        <v>1126</v>
      </c>
      <c r="D1552" s="9">
        <v>7</v>
      </c>
      <c r="E1552" s="9">
        <v>275</v>
      </c>
      <c r="F1552" s="10" t="s">
        <v>1066</v>
      </c>
      <c r="G1552" s="9">
        <v>922</v>
      </c>
      <c r="H1552" s="9">
        <v>1970</v>
      </c>
      <c r="I1552" s="8">
        <v>118.76600000000001</v>
      </c>
      <c r="J1552" s="8">
        <v>93.897999999999996</v>
      </c>
      <c r="K1552" s="8">
        <v>68.484999999999999</v>
      </c>
      <c r="L1552" s="8">
        <v>54.951000000000001</v>
      </c>
      <c r="M1552" s="8">
        <v>52.426000000000002</v>
      </c>
      <c r="N1552" s="8">
        <v>41.087000000000003</v>
      </c>
      <c r="O1552" s="8">
        <v>34.206000000000003</v>
      </c>
      <c r="P1552" s="8">
        <v>26.469000000000001</v>
      </c>
      <c r="Q1552" s="8">
        <v>19.221</v>
      </c>
      <c r="R1552" s="8">
        <v>14.72</v>
      </c>
      <c r="S1552" s="8">
        <v>11.743</v>
      </c>
      <c r="T1552" s="8">
        <v>9.6560000000000006</v>
      </c>
      <c r="U1552" s="8">
        <v>8.2490000000000006</v>
      </c>
      <c r="V1552" s="8">
        <v>6.2389999999999999</v>
      </c>
      <c r="W1552" s="8">
        <v>4.7249999999999996</v>
      </c>
      <c r="X1552" s="8">
        <v>3.1720000000000002</v>
      </c>
      <c r="Y1552" s="8">
        <v>1.3260000000000001</v>
      </c>
      <c r="Z1552" s="8">
        <v>0.47299999999999998</v>
      </c>
      <c r="AA1552" s="8">
        <v>0.125</v>
      </c>
      <c r="AB1552" s="8">
        <v>1.2999999999999999E-2</v>
      </c>
      <c r="AC1552" s="8">
        <v>1E-3</v>
      </c>
    </row>
    <row r="1553" spans="1:29" ht="11.65" x14ac:dyDescent="0.35">
      <c r="A1553" s="12">
        <v>1536</v>
      </c>
      <c r="B1553" s="10" t="s">
        <v>1015</v>
      </c>
      <c r="C1553" s="11" t="s">
        <v>1126</v>
      </c>
      <c r="D1553" s="9">
        <v>7</v>
      </c>
      <c r="E1553" s="9">
        <v>275</v>
      </c>
      <c r="F1553" s="10" t="s">
        <v>1066</v>
      </c>
      <c r="G1553" s="9">
        <v>922</v>
      </c>
      <c r="H1553" s="9">
        <v>1975</v>
      </c>
      <c r="I1553" s="8">
        <v>135.25299999999999</v>
      </c>
      <c r="J1553" s="8">
        <v>112.09099999999999</v>
      </c>
      <c r="K1553" s="8">
        <v>90.561999999999998</v>
      </c>
      <c r="L1553" s="8">
        <v>65.867000000000004</v>
      </c>
      <c r="M1553" s="8">
        <v>52.512</v>
      </c>
      <c r="N1553" s="8">
        <v>50.026000000000003</v>
      </c>
      <c r="O1553" s="8">
        <v>39.061999999999998</v>
      </c>
      <c r="P1553" s="8">
        <v>32.414000000000001</v>
      </c>
      <c r="Q1553" s="8">
        <v>24.89</v>
      </c>
      <c r="R1553" s="8">
        <v>17.86</v>
      </c>
      <c r="S1553" s="8">
        <v>13.448</v>
      </c>
      <c r="T1553" s="8">
        <v>10.452</v>
      </c>
      <c r="U1553" s="8">
        <v>8.2479999999999993</v>
      </c>
      <c r="V1553" s="8">
        <v>6.625</v>
      </c>
      <c r="W1553" s="8">
        <v>4.548</v>
      </c>
      <c r="X1553" s="8">
        <v>2.9550000000000001</v>
      </c>
      <c r="Y1553" s="8">
        <v>1.5580000000000001</v>
      </c>
      <c r="Z1553" s="8">
        <v>0.46500000000000002</v>
      </c>
      <c r="AA1553" s="8">
        <v>0.104</v>
      </c>
      <c r="AB1553" s="8">
        <v>1.4999999999999999E-2</v>
      </c>
      <c r="AC1553" s="8">
        <v>1E-3</v>
      </c>
    </row>
    <row r="1554" spans="1:29" ht="11.65" x14ac:dyDescent="0.35">
      <c r="A1554" s="12">
        <v>1537</v>
      </c>
      <c r="B1554" s="10" t="s">
        <v>1015</v>
      </c>
      <c r="C1554" s="11" t="s">
        <v>1126</v>
      </c>
      <c r="D1554" s="9">
        <v>7</v>
      </c>
      <c r="E1554" s="9">
        <v>275</v>
      </c>
      <c r="F1554" s="10" t="s">
        <v>1066</v>
      </c>
      <c r="G1554" s="9">
        <v>922</v>
      </c>
      <c r="H1554" s="9">
        <v>1980</v>
      </c>
      <c r="I1554" s="8">
        <v>153.22200000000001</v>
      </c>
      <c r="J1554" s="8">
        <v>124.619</v>
      </c>
      <c r="K1554" s="8">
        <v>104.877</v>
      </c>
      <c r="L1554" s="8">
        <v>84.66</v>
      </c>
      <c r="M1554" s="8">
        <v>61.066000000000003</v>
      </c>
      <c r="N1554" s="8">
        <v>48.515999999999998</v>
      </c>
      <c r="O1554" s="8">
        <v>46.429000000000002</v>
      </c>
      <c r="P1554" s="8">
        <v>35.975999999999999</v>
      </c>
      <c r="Q1554" s="8">
        <v>29.728000000000002</v>
      </c>
      <c r="R1554" s="8">
        <v>22.58</v>
      </c>
      <c r="S1554" s="8">
        <v>15.917</v>
      </c>
      <c r="T1554" s="8">
        <v>11.694000000000001</v>
      </c>
      <c r="U1554" s="8">
        <v>8.7439999999999998</v>
      </c>
      <c r="V1554" s="8">
        <v>6.5039999999999996</v>
      </c>
      <c r="W1554" s="8">
        <v>4.7720000000000002</v>
      </c>
      <c r="X1554" s="8">
        <v>2.8180000000000001</v>
      </c>
      <c r="Y1554" s="8">
        <v>1.4379999999999999</v>
      </c>
      <c r="Z1554" s="8">
        <v>0.55300000000000005</v>
      </c>
      <c r="AA1554" s="8">
        <v>0.106</v>
      </c>
      <c r="AB1554" s="8">
        <v>1.2999999999999999E-2</v>
      </c>
      <c r="AC1554" s="8">
        <v>1E-3</v>
      </c>
    </row>
    <row r="1555" spans="1:29" ht="11.65" x14ac:dyDescent="0.35">
      <c r="A1555" s="12">
        <v>1538</v>
      </c>
      <c r="B1555" s="10" t="s">
        <v>1015</v>
      </c>
      <c r="C1555" s="11" t="s">
        <v>1126</v>
      </c>
      <c r="D1555" s="9">
        <v>7</v>
      </c>
      <c r="E1555" s="9">
        <v>275</v>
      </c>
      <c r="F1555" s="10" t="s">
        <v>1066</v>
      </c>
      <c r="G1555" s="9">
        <v>922</v>
      </c>
      <c r="H1555" s="9">
        <v>1985</v>
      </c>
      <c r="I1555" s="8">
        <v>173.333</v>
      </c>
      <c r="J1555" s="8">
        <v>145.43199999999999</v>
      </c>
      <c r="K1555" s="8">
        <v>119.28100000000001</v>
      </c>
      <c r="L1555" s="8">
        <v>100.32299999999999</v>
      </c>
      <c r="M1555" s="8">
        <v>80.680999999999997</v>
      </c>
      <c r="N1555" s="8">
        <v>57.948999999999998</v>
      </c>
      <c r="O1555" s="8">
        <v>45.988999999999997</v>
      </c>
      <c r="P1555" s="8">
        <v>44.057000000000002</v>
      </c>
      <c r="Q1555" s="8">
        <v>33.859000000000002</v>
      </c>
      <c r="R1555" s="8">
        <v>27.759</v>
      </c>
      <c r="S1555" s="8">
        <v>20.765000000000001</v>
      </c>
      <c r="T1555" s="8">
        <v>14.273999999999999</v>
      </c>
      <c r="U1555" s="8">
        <v>10.113</v>
      </c>
      <c r="V1555" s="8">
        <v>7.149</v>
      </c>
      <c r="W1555" s="8">
        <v>4.8609999999999998</v>
      </c>
      <c r="X1555" s="8">
        <v>3.0950000000000002</v>
      </c>
      <c r="Y1555" s="8">
        <v>1.446</v>
      </c>
      <c r="Z1555" s="8">
        <v>0.53300000000000003</v>
      </c>
      <c r="AA1555" s="8">
        <v>0.13200000000000001</v>
      </c>
      <c r="AB1555" s="8">
        <v>1.4999999999999999E-2</v>
      </c>
      <c r="AC1555" s="8">
        <v>1E-3</v>
      </c>
    </row>
    <row r="1556" spans="1:29" ht="11.65" x14ac:dyDescent="0.35">
      <c r="A1556" s="12">
        <v>1539</v>
      </c>
      <c r="B1556" s="10" t="s">
        <v>1015</v>
      </c>
      <c r="C1556" s="11" t="s">
        <v>1126</v>
      </c>
      <c r="D1556" s="9">
        <v>7</v>
      </c>
      <c r="E1556" s="9">
        <v>275</v>
      </c>
      <c r="F1556" s="10" t="s">
        <v>1066</v>
      </c>
      <c r="G1556" s="9">
        <v>922</v>
      </c>
      <c r="H1556" s="9">
        <v>1990</v>
      </c>
      <c r="I1556" s="8">
        <v>210.511</v>
      </c>
      <c r="J1556" s="8">
        <v>168.11600000000001</v>
      </c>
      <c r="K1556" s="8">
        <v>141.88499999999999</v>
      </c>
      <c r="L1556" s="8">
        <v>116.211</v>
      </c>
      <c r="M1556" s="8">
        <v>97.441000000000003</v>
      </c>
      <c r="N1556" s="8">
        <v>78.254000000000005</v>
      </c>
      <c r="O1556" s="8">
        <v>56.116</v>
      </c>
      <c r="P1556" s="8">
        <v>44.429000000000002</v>
      </c>
      <c r="Q1556" s="8">
        <v>42.451999999999998</v>
      </c>
      <c r="R1556" s="8">
        <v>32.296999999999997</v>
      </c>
      <c r="S1556" s="8">
        <v>26.132000000000001</v>
      </c>
      <c r="T1556" s="8">
        <v>19.106999999999999</v>
      </c>
      <c r="U1556" s="8">
        <v>12.670999999999999</v>
      </c>
      <c r="V1556" s="8">
        <v>8.5060000000000002</v>
      </c>
      <c r="W1556" s="8">
        <v>5.516</v>
      </c>
      <c r="X1556" s="8">
        <v>3.2679999999999998</v>
      </c>
      <c r="Y1556" s="8">
        <v>1.6639999999999999</v>
      </c>
      <c r="Z1556" s="8">
        <v>0.55600000000000005</v>
      </c>
      <c r="AA1556" s="8">
        <v>0.129</v>
      </c>
      <c r="AB1556" s="8">
        <v>1.7000000000000001E-2</v>
      </c>
      <c r="AC1556" s="8">
        <v>1E-3</v>
      </c>
    </row>
    <row r="1557" spans="1:29" ht="11.65" x14ac:dyDescent="0.35">
      <c r="A1557" s="12">
        <v>1540</v>
      </c>
      <c r="B1557" s="10" t="s">
        <v>1015</v>
      </c>
      <c r="C1557" s="11" t="s">
        <v>1126</v>
      </c>
      <c r="D1557" s="9">
        <v>7</v>
      </c>
      <c r="E1557" s="9">
        <v>275</v>
      </c>
      <c r="F1557" s="10" t="s">
        <v>1066</v>
      </c>
      <c r="G1557" s="9">
        <v>922</v>
      </c>
      <c r="H1557" s="9">
        <v>1995</v>
      </c>
      <c r="I1557" s="8">
        <v>267.10899999999998</v>
      </c>
      <c r="J1557" s="8">
        <v>212.18899999999999</v>
      </c>
      <c r="K1557" s="8">
        <v>170.10400000000001</v>
      </c>
      <c r="L1557" s="8">
        <v>143.36699999999999</v>
      </c>
      <c r="M1557" s="8">
        <v>117.12</v>
      </c>
      <c r="N1557" s="8">
        <v>98.06</v>
      </c>
      <c r="O1557" s="8">
        <v>78.709999999999994</v>
      </c>
      <c r="P1557" s="8">
        <v>56.387999999999998</v>
      </c>
      <c r="Q1557" s="8">
        <v>44.469000000000001</v>
      </c>
      <c r="R1557" s="8">
        <v>42.095999999999997</v>
      </c>
      <c r="S1557" s="8">
        <v>31.646999999999998</v>
      </c>
      <c r="T1557" s="8">
        <v>25.045000000000002</v>
      </c>
      <c r="U1557" s="8">
        <v>17.713000000000001</v>
      </c>
      <c r="V1557" s="8">
        <v>11.159000000000001</v>
      </c>
      <c r="W1557" s="8">
        <v>6.89</v>
      </c>
      <c r="X1557" s="8">
        <v>3.907</v>
      </c>
      <c r="Y1557" s="8">
        <v>1.87</v>
      </c>
      <c r="Z1557" s="8">
        <v>0.67400000000000004</v>
      </c>
      <c r="AA1557" s="8">
        <v>0.13800000000000001</v>
      </c>
      <c r="AB1557" s="8">
        <v>1.7000000000000001E-2</v>
      </c>
      <c r="AC1557" s="8">
        <v>1E-3</v>
      </c>
    </row>
    <row r="1558" spans="1:29" ht="11.65" x14ac:dyDescent="0.35">
      <c r="A1558" s="12">
        <v>1541</v>
      </c>
      <c r="B1558" s="10" t="s">
        <v>1015</v>
      </c>
      <c r="C1558" s="11" t="s">
        <v>1126</v>
      </c>
      <c r="D1558" s="9">
        <v>7</v>
      </c>
      <c r="E1558" s="9">
        <v>275</v>
      </c>
      <c r="F1558" s="10" t="s">
        <v>1066</v>
      </c>
      <c r="G1558" s="9">
        <v>922</v>
      </c>
      <c r="H1558" s="9">
        <v>2000</v>
      </c>
      <c r="I1558" s="8">
        <v>298.53300000000002</v>
      </c>
      <c r="J1558" s="8">
        <v>271.91500000000002</v>
      </c>
      <c r="K1558" s="8">
        <v>216.80099999999999</v>
      </c>
      <c r="L1558" s="8">
        <v>173.673</v>
      </c>
      <c r="M1558" s="8">
        <v>145.94800000000001</v>
      </c>
      <c r="N1558" s="8">
        <v>119.151</v>
      </c>
      <c r="O1558" s="8">
        <v>99.692999999999998</v>
      </c>
      <c r="P1558" s="8">
        <v>79.879000000000005</v>
      </c>
      <c r="Q1558" s="8">
        <v>57.095999999999997</v>
      </c>
      <c r="R1558" s="8">
        <v>44.713000000000001</v>
      </c>
      <c r="S1558" s="8">
        <v>41.707000000000001</v>
      </c>
      <c r="T1558" s="8">
        <v>30.777000000000001</v>
      </c>
      <c r="U1558" s="8">
        <v>23.564</v>
      </c>
      <c r="V1558" s="8">
        <v>15.86</v>
      </c>
      <c r="W1558" s="8">
        <v>9.2210000000000001</v>
      </c>
      <c r="X1558" s="8">
        <v>4.9930000000000003</v>
      </c>
      <c r="Y1558" s="8">
        <v>2.2989999999999999</v>
      </c>
      <c r="Z1558" s="8">
        <v>0.77800000000000002</v>
      </c>
      <c r="AA1558" s="8">
        <v>0.16900000000000001</v>
      </c>
      <c r="AB1558" s="8">
        <v>1.9E-2</v>
      </c>
      <c r="AC1558" s="8">
        <v>1E-3</v>
      </c>
    </row>
    <row r="1559" spans="1:29" ht="11.65" x14ac:dyDescent="0.35">
      <c r="A1559" s="12">
        <v>1542</v>
      </c>
      <c r="B1559" s="10" t="s">
        <v>1015</v>
      </c>
      <c r="C1559" s="11" t="s">
        <v>1126</v>
      </c>
      <c r="D1559" s="9">
        <v>7</v>
      </c>
      <c r="E1559" s="9">
        <v>275</v>
      </c>
      <c r="F1559" s="10" t="s">
        <v>1066</v>
      </c>
      <c r="G1559" s="9">
        <v>922</v>
      </c>
      <c r="H1559" s="9">
        <v>2005</v>
      </c>
      <c r="I1559" s="8">
        <v>293.91500000000002</v>
      </c>
      <c r="J1559" s="8">
        <v>281.23399999999998</v>
      </c>
      <c r="K1559" s="8">
        <v>256.96300000000002</v>
      </c>
      <c r="L1559" s="8">
        <v>204.23500000000001</v>
      </c>
      <c r="M1559" s="8">
        <v>163.184</v>
      </c>
      <c r="N1559" s="8">
        <v>137.191</v>
      </c>
      <c r="O1559" s="8">
        <v>111.89</v>
      </c>
      <c r="P1559" s="8">
        <v>93.573999999999998</v>
      </c>
      <c r="Q1559" s="8">
        <v>74.77</v>
      </c>
      <c r="R1559" s="8">
        <v>52.918999999999997</v>
      </c>
      <c r="S1559" s="8">
        <v>40.94</v>
      </c>
      <c r="T1559" s="8">
        <v>37.659999999999997</v>
      </c>
      <c r="U1559" s="8">
        <v>26.823</v>
      </c>
      <c r="V1559" s="8">
        <v>19.611000000000001</v>
      </c>
      <c r="W1559" s="8">
        <v>12.185</v>
      </c>
      <c r="X1559" s="8">
        <v>6.2210000000000001</v>
      </c>
      <c r="Y1559" s="8">
        <v>2.7040000000000002</v>
      </c>
      <c r="Z1559" s="8">
        <v>0.91200000000000003</v>
      </c>
      <c r="AA1559" s="8">
        <v>0.19900000000000001</v>
      </c>
      <c r="AB1559" s="8">
        <v>2.3E-2</v>
      </c>
      <c r="AC1559" s="8">
        <v>1E-3</v>
      </c>
    </row>
    <row r="1560" spans="1:29" ht="11.65" x14ac:dyDescent="0.35">
      <c r="A1560" s="12">
        <v>1543</v>
      </c>
      <c r="B1560" s="10" t="s">
        <v>1015</v>
      </c>
      <c r="C1560" s="11" t="s">
        <v>1126</v>
      </c>
      <c r="D1560" s="9">
        <v>7</v>
      </c>
      <c r="E1560" s="9">
        <v>275</v>
      </c>
      <c r="F1560" s="10" t="s">
        <v>1066</v>
      </c>
      <c r="G1560" s="9">
        <v>922</v>
      </c>
      <c r="H1560" s="9">
        <v>2010</v>
      </c>
      <c r="I1560" s="8">
        <v>319.42899999999997</v>
      </c>
      <c r="J1560" s="8">
        <v>283.7</v>
      </c>
      <c r="K1560" s="8">
        <v>272.49200000000002</v>
      </c>
      <c r="L1560" s="8">
        <v>249.46199999999999</v>
      </c>
      <c r="M1560" s="8">
        <v>197.803</v>
      </c>
      <c r="N1560" s="8">
        <v>157.80799999999999</v>
      </c>
      <c r="O1560" s="8">
        <v>132.70599999999999</v>
      </c>
      <c r="P1560" s="8">
        <v>108.07</v>
      </c>
      <c r="Q1560" s="8">
        <v>90.236000000000004</v>
      </c>
      <c r="R1560" s="8">
        <v>71.756</v>
      </c>
      <c r="S1560" s="8">
        <v>50.078000000000003</v>
      </c>
      <c r="T1560" s="8">
        <v>37.920999999999999</v>
      </c>
      <c r="U1560" s="8">
        <v>33.991</v>
      </c>
      <c r="V1560" s="8">
        <v>23.079000000000001</v>
      </c>
      <c r="W1560" s="8">
        <v>15.647</v>
      </c>
      <c r="X1560" s="8">
        <v>8.5839999999999996</v>
      </c>
      <c r="Y1560" s="8">
        <v>3.544</v>
      </c>
      <c r="Z1560" s="8">
        <v>1.1160000000000001</v>
      </c>
      <c r="AA1560" s="8">
        <v>0.23699999999999999</v>
      </c>
      <c r="AB1560" s="8">
        <v>2.9000000000000001E-2</v>
      </c>
      <c r="AC1560" s="8">
        <v>2E-3</v>
      </c>
    </row>
    <row r="1561" spans="1:29" ht="11.65" x14ac:dyDescent="0.35">
      <c r="A1561" s="12">
        <v>1544</v>
      </c>
      <c r="B1561" s="10" t="s">
        <v>1015</v>
      </c>
      <c r="C1561" s="11" t="s">
        <v>1126</v>
      </c>
      <c r="D1561" s="9">
        <v>7</v>
      </c>
      <c r="E1561" s="9">
        <v>275</v>
      </c>
      <c r="F1561" s="10" t="s">
        <v>1066</v>
      </c>
      <c r="G1561" s="9">
        <v>922</v>
      </c>
      <c r="H1561" s="9">
        <v>2015</v>
      </c>
      <c r="I1561" s="8">
        <v>346.678</v>
      </c>
      <c r="J1561" s="8">
        <v>305.14600000000002</v>
      </c>
      <c r="K1561" s="8">
        <v>271.32900000000001</v>
      </c>
      <c r="L1561" s="8">
        <v>261.95800000000003</v>
      </c>
      <c r="M1561" s="8">
        <v>240.44499999999999</v>
      </c>
      <c r="N1561" s="8">
        <v>190.30199999999999</v>
      </c>
      <c r="O1561" s="8">
        <v>151.608</v>
      </c>
      <c r="P1561" s="8">
        <v>127.43899999999999</v>
      </c>
      <c r="Q1561" s="8">
        <v>103.578</v>
      </c>
      <c r="R1561" s="8">
        <v>86.248000000000005</v>
      </c>
      <c r="S1561" s="8">
        <v>67.869</v>
      </c>
      <c r="T1561" s="8">
        <v>46.213000000000001</v>
      </c>
      <c r="U1561" s="8">
        <v>33.92</v>
      </c>
      <c r="V1561" s="8">
        <v>29.242999999999999</v>
      </c>
      <c r="W1561" s="8">
        <v>18.404</v>
      </c>
      <c r="X1561" s="8">
        <v>11.068</v>
      </c>
      <c r="Y1561" s="8">
        <v>4.931</v>
      </c>
      <c r="Z1561" s="8">
        <v>1.4750000000000001</v>
      </c>
      <c r="AA1561" s="8">
        <v>0.29499999999999998</v>
      </c>
      <c r="AB1561" s="8">
        <v>3.4000000000000002E-2</v>
      </c>
      <c r="AC1561" s="8">
        <v>2E-3</v>
      </c>
    </row>
    <row r="1562" spans="1:29" ht="11.65" x14ac:dyDescent="0.35">
      <c r="A1562" s="12">
        <v>1545</v>
      </c>
      <c r="B1562" s="10" t="s">
        <v>1015</v>
      </c>
      <c r="C1562" s="11" t="s">
        <v>1126</v>
      </c>
      <c r="D1562" s="9">
        <v>7</v>
      </c>
      <c r="E1562" s="9">
        <v>275</v>
      </c>
      <c r="F1562" s="10" t="s">
        <v>1066</v>
      </c>
      <c r="G1562" s="9">
        <v>922</v>
      </c>
      <c r="H1562" s="9">
        <v>2020</v>
      </c>
      <c r="I1562" s="8">
        <v>354.51</v>
      </c>
      <c r="J1562" s="8">
        <v>343.36</v>
      </c>
      <c r="K1562" s="8">
        <v>302.55500000000001</v>
      </c>
      <c r="L1562" s="8">
        <v>262.81</v>
      </c>
      <c r="M1562" s="8">
        <v>253.19800000000001</v>
      </c>
      <c r="N1562" s="8">
        <v>237.804</v>
      </c>
      <c r="O1562" s="8">
        <v>188.136</v>
      </c>
      <c r="P1562" s="8">
        <v>149.72</v>
      </c>
      <c r="Q1562" s="8">
        <v>125.55200000000001</v>
      </c>
      <c r="R1562" s="8">
        <v>101.465</v>
      </c>
      <c r="S1562" s="8">
        <v>83.644000000000005</v>
      </c>
      <c r="T1562" s="8">
        <v>64.680999999999997</v>
      </c>
      <c r="U1562" s="8">
        <v>42.801000000000002</v>
      </c>
      <c r="V1562" s="8">
        <v>30.053000000000001</v>
      </c>
      <c r="W1562" s="8">
        <v>24.082000000000001</v>
      </c>
      <c r="X1562" s="8">
        <v>13.423999999999999</v>
      </c>
      <c r="Y1562" s="8">
        <v>6.6040000000000001</v>
      </c>
      <c r="Z1562" s="8">
        <v>2.1280000000000001</v>
      </c>
      <c r="AA1562" s="8">
        <v>0.39800000000000002</v>
      </c>
      <c r="AB1562" s="8">
        <v>4.2999999999999997E-2</v>
      </c>
      <c r="AC1562" s="8">
        <v>3.0000000000000001E-3</v>
      </c>
    </row>
    <row r="1563" spans="1:29" ht="11.65" x14ac:dyDescent="0.35">
      <c r="A1563" s="12">
        <v>1546</v>
      </c>
      <c r="B1563" s="10" t="s">
        <v>1015</v>
      </c>
      <c r="C1563" s="11" t="s">
        <v>1127</v>
      </c>
      <c r="D1563" s="9"/>
      <c r="E1563" s="9">
        <v>760</v>
      </c>
      <c r="F1563" s="10" t="s">
        <v>1066</v>
      </c>
      <c r="G1563" s="9">
        <v>922</v>
      </c>
      <c r="H1563" s="9">
        <v>1950</v>
      </c>
      <c r="I1563" s="8">
        <v>285.98700000000002</v>
      </c>
      <c r="J1563" s="8">
        <v>213.93899999999999</v>
      </c>
      <c r="K1563" s="8">
        <v>186.67699999999999</v>
      </c>
      <c r="L1563" s="8">
        <v>182.93</v>
      </c>
      <c r="M1563" s="8">
        <v>167.47</v>
      </c>
      <c r="N1563" s="8">
        <v>145.33000000000001</v>
      </c>
      <c r="O1563" s="8">
        <v>108.861</v>
      </c>
      <c r="P1563" s="8">
        <v>89.849000000000004</v>
      </c>
      <c r="Q1563" s="8">
        <v>77.819000000000003</v>
      </c>
      <c r="R1563" s="8">
        <v>68.361000000000004</v>
      </c>
      <c r="S1563" s="8">
        <v>61.75</v>
      </c>
      <c r="T1563" s="8">
        <v>57.27</v>
      </c>
      <c r="U1563" s="8">
        <v>46.49</v>
      </c>
      <c r="V1563" s="8">
        <v>35.57</v>
      </c>
      <c r="W1563" s="8">
        <v>27.018000000000001</v>
      </c>
      <c r="X1563" s="8">
        <v>14.465</v>
      </c>
      <c r="Y1563" s="8">
        <v>5.0599999999999996</v>
      </c>
      <c r="Z1563" s="8">
        <v>1.778</v>
      </c>
      <c r="AA1563" s="8">
        <v>0.38600000000000001</v>
      </c>
      <c r="AB1563" s="8">
        <v>4.7E-2</v>
      </c>
      <c r="AC1563" s="8">
        <v>3.0000000000000001E-3</v>
      </c>
    </row>
    <row r="1564" spans="1:29" ht="11.65" x14ac:dyDescent="0.35">
      <c r="A1564" s="12">
        <v>1547</v>
      </c>
      <c r="B1564" s="10" t="s">
        <v>1015</v>
      </c>
      <c r="C1564" s="11" t="s">
        <v>1127</v>
      </c>
      <c r="D1564" s="9"/>
      <c r="E1564" s="9">
        <v>760</v>
      </c>
      <c r="F1564" s="10" t="s">
        <v>1066</v>
      </c>
      <c r="G1564" s="9">
        <v>922</v>
      </c>
      <c r="H1564" s="9">
        <v>1955</v>
      </c>
      <c r="I1564" s="8">
        <v>388.95</v>
      </c>
      <c r="J1564" s="8">
        <v>266.57400000000001</v>
      </c>
      <c r="K1564" s="8">
        <v>208.91200000000001</v>
      </c>
      <c r="L1564" s="8">
        <v>180.28200000000001</v>
      </c>
      <c r="M1564" s="8">
        <v>171.114</v>
      </c>
      <c r="N1564" s="8">
        <v>153.08500000000001</v>
      </c>
      <c r="O1564" s="8">
        <v>132.16900000000001</v>
      </c>
      <c r="P1564" s="8">
        <v>98.900999999999996</v>
      </c>
      <c r="Q1564" s="8">
        <v>82.308000000000007</v>
      </c>
      <c r="R1564" s="8">
        <v>71.563999999999993</v>
      </c>
      <c r="S1564" s="8">
        <v>63.067</v>
      </c>
      <c r="T1564" s="8">
        <v>56.177</v>
      </c>
      <c r="U1564" s="8">
        <v>49.963000000000001</v>
      </c>
      <c r="V1564" s="8">
        <v>38.036999999999999</v>
      </c>
      <c r="W1564" s="8">
        <v>26.395</v>
      </c>
      <c r="X1564" s="8">
        <v>17.140999999999998</v>
      </c>
      <c r="Y1564" s="8">
        <v>7.2220000000000004</v>
      </c>
      <c r="Z1564" s="8">
        <v>1.778</v>
      </c>
      <c r="AA1564" s="8">
        <v>0.38700000000000001</v>
      </c>
      <c r="AB1564" s="8">
        <v>4.7E-2</v>
      </c>
      <c r="AC1564" s="8">
        <v>3.0000000000000001E-3</v>
      </c>
    </row>
    <row r="1565" spans="1:29" ht="11.65" x14ac:dyDescent="0.35">
      <c r="A1565" s="12">
        <v>1548</v>
      </c>
      <c r="B1565" s="10" t="s">
        <v>1015</v>
      </c>
      <c r="C1565" s="11" t="s">
        <v>1127</v>
      </c>
      <c r="D1565" s="9"/>
      <c r="E1565" s="9">
        <v>760</v>
      </c>
      <c r="F1565" s="10" t="s">
        <v>1066</v>
      </c>
      <c r="G1565" s="9">
        <v>922</v>
      </c>
      <c r="H1565" s="9">
        <v>1960</v>
      </c>
      <c r="I1565" s="8">
        <v>450.17099999999999</v>
      </c>
      <c r="J1565" s="8">
        <v>367.62900000000002</v>
      </c>
      <c r="K1565" s="8">
        <v>261.70800000000003</v>
      </c>
      <c r="L1565" s="8">
        <v>204.50800000000001</v>
      </c>
      <c r="M1565" s="8">
        <v>174.11799999999999</v>
      </c>
      <c r="N1565" s="8">
        <v>163.80500000000001</v>
      </c>
      <c r="O1565" s="8">
        <v>146.01599999999999</v>
      </c>
      <c r="P1565" s="8">
        <v>125.83799999999999</v>
      </c>
      <c r="Q1565" s="8">
        <v>93.885000000000005</v>
      </c>
      <c r="R1565" s="8">
        <v>77.823999999999998</v>
      </c>
      <c r="S1565" s="8">
        <v>66.997</v>
      </c>
      <c r="T1565" s="8">
        <v>57.677999999999997</v>
      </c>
      <c r="U1565" s="8">
        <v>49.313000000000002</v>
      </c>
      <c r="V1565" s="8">
        <v>41.2</v>
      </c>
      <c r="W1565" s="8">
        <v>28.507999999999999</v>
      </c>
      <c r="X1565" s="8">
        <v>16.954999999999998</v>
      </c>
      <c r="Y1565" s="8">
        <v>8.6850000000000005</v>
      </c>
      <c r="Z1565" s="8">
        <v>2.5830000000000002</v>
      </c>
      <c r="AA1565" s="8">
        <v>0.39300000000000002</v>
      </c>
      <c r="AB1565" s="8">
        <v>4.9000000000000002E-2</v>
      </c>
      <c r="AC1565" s="8">
        <v>3.0000000000000001E-3</v>
      </c>
    </row>
    <row r="1566" spans="1:29" ht="11.65" x14ac:dyDescent="0.35">
      <c r="A1566" s="12">
        <v>1549</v>
      </c>
      <c r="B1566" s="10" t="s">
        <v>1015</v>
      </c>
      <c r="C1566" s="11" t="s">
        <v>1127</v>
      </c>
      <c r="D1566" s="9"/>
      <c r="E1566" s="9">
        <v>760</v>
      </c>
      <c r="F1566" s="10" t="s">
        <v>1066</v>
      </c>
      <c r="G1566" s="9">
        <v>922</v>
      </c>
      <c r="H1566" s="9">
        <v>1965</v>
      </c>
      <c r="I1566" s="8">
        <v>522.774</v>
      </c>
      <c r="J1566" s="8">
        <v>429.84800000000001</v>
      </c>
      <c r="K1566" s="8">
        <v>362.005</v>
      </c>
      <c r="L1566" s="8">
        <v>257.01799999999997</v>
      </c>
      <c r="M1566" s="8">
        <v>198.28800000000001</v>
      </c>
      <c r="N1566" s="8">
        <v>167.18100000000001</v>
      </c>
      <c r="O1566" s="8">
        <v>156.88300000000001</v>
      </c>
      <c r="P1566" s="8">
        <v>139.69499999999999</v>
      </c>
      <c r="Q1566" s="8">
        <v>120.194</v>
      </c>
      <c r="R1566" s="8">
        <v>89.188000000000002</v>
      </c>
      <c r="S1566" s="8">
        <v>73.16</v>
      </c>
      <c r="T1566" s="8">
        <v>61.558</v>
      </c>
      <c r="U1566" s="8">
        <v>50.926000000000002</v>
      </c>
      <c r="V1566" s="8">
        <v>40.963000000000001</v>
      </c>
      <c r="W1566" s="8">
        <v>31.141999999999999</v>
      </c>
      <c r="X1566" s="8">
        <v>18.524000000000001</v>
      </c>
      <c r="Y1566" s="8">
        <v>8.7189999999999994</v>
      </c>
      <c r="Z1566" s="8">
        <v>3.157</v>
      </c>
      <c r="AA1566" s="8">
        <v>0.58199999999999996</v>
      </c>
      <c r="AB1566" s="8">
        <v>4.8000000000000001E-2</v>
      </c>
      <c r="AC1566" s="8">
        <v>3.0000000000000001E-3</v>
      </c>
    </row>
    <row r="1567" spans="1:29" ht="11.65" x14ac:dyDescent="0.35">
      <c r="A1567" s="12">
        <v>1550</v>
      </c>
      <c r="B1567" s="10" t="s">
        <v>1015</v>
      </c>
      <c r="C1567" s="11" t="s">
        <v>1127</v>
      </c>
      <c r="D1567" s="9"/>
      <c r="E1567" s="9">
        <v>760</v>
      </c>
      <c r="F1567" s="10" t="s">
        <v>1066</v>
      </c>
      <c r="G1567" s="9">
        <v>922</v>
      </c>
      <c r="H1567" s="9">
        <v>1970</v>
      </c>
      <c r="I1567" s="8">
        <v>613.53899999999999</v>
      </c>
      <c r="J1567" s="8">
        <v>504.27600000000001</v>
      </c>
      <c r="K1567" s="8">
        <v>424.59</v>
      </c>
      <c r="L1567" s="8">
        <v>356.85599999999999</v>
      </c>
      <c r="M1567" s="8">
        <v>250.68600000000001</v>
      </c>
      <c r="N1567" s="8">
        <v>191.648</v>
      </c>
      <c r="O1567" s="8">
        <v>161.01</v>
      </c>
      <c r="P1567" s="8">
        <v>151.05500000000001</v>
      </c>
      <c r="Q1567" s="8">
        <v>134.31</v>
      </c>
      <c r="R1567" s="8">
        <v>114.94799999999999</v>
      </c>
      <c r="S1567" s="8">
        <v>84.304000000000002</v>
      </c>
      <c r="T1567" s="8">
        <v>67.622</v>
      </c>
      <c r="U1567" s="8">
        <v>54.737000000000002</v>
      </c>
      <c r="V1567" s="8">
        <v>42.680999999999997</v>
      </c>
      <c r="W1567" s="8">
        <v>31.308</v>
      </c>
      <c r="X1567" s="8">
        <v>20.527999999999999</v>
      </c>
      <c r="Y1567" s="8">
        <v>9.7029999999999994</v>
      </c>
      <c r="Z1567" s="8">
        <v>3.2360000000000002</v>
      </c>
      <c r="AA1567" s="8">
        <v>0.72499999999999998</v>
      </c>
      <c r="AB1567" s="8">
        <v>7.3999999999999996E-2</v>
      </c>
      <c r="AC1567" s="8">
        <v>4.0000000000000001E-3</v>
      </c>
    </row>
    <row r="1568" spans="1:29" ht="11.65" x14ac:dyDescent="0.35">
      <c r="A1568" s="12">
        <v>1551</v>
      </c>
      <c r="B1568" s="10" t="s">
        <v>1015</v>
      </c>
      <c r="C1568" s="11" t="s">
        <v>1127</v>
      </c>
      <c r="D1568" s="9"/>
      <c r="E1568" s="9">
        <v>760</v>
      </c>
      <c r="F1568" s="10" t="s">
        <v>1066</v>
      </c>
      <c r="G1568" s="9">
        <v>922</v>
      </c>
      <c r="H1568" s="9">
        <v>1975</v>
      </c>
      <c r="I1568" s="8">
        <v>749.18399999999997</v>
      </c>
      <c r="J1568" s="8">
        <v>597.649</v>
      </c>
      <c r="K1568" s="8">
        <v>499.267</v>
      </c>
      <c r="L1568" s="8">
        <v>417.96499999999997</v>
      </c>
      <c r="M1568" s="8">
        <v>344.78100000000001</v>
      </c>
      <c r="N1568" s="8">
        <v>236.87700000000001</v>
      </c>
      <c r="O1568" s="8">
        <v>179.52699999999999</v>
      </c>
      <c r="P1568" s="8">
        <v>151.57300000000001</v>
      </c>
      <c r="Q1568" s="8">
        <v>143.51300000000001</v>
      </c>
      <c r="R1568" s="8">
        <v>127.503</v>
      </c>
      <c r="S1568" s="8">
        <v>108.732</v>
      </c>
      <c r="T1568" s="8">
        <v>78.53</v>
      </c>
      <c r="U1568" s="8">
        <v>60.680999999999997</v>
      </c>
      <c r="V1568" s="8">
        <v>46.418999999999997</v>
      </c>
      <c r="W1568" s="8">
        <v>33.11</v>
      </c>
      <c r="X1568" s="8">
        <v>21.027000000000001</v>
      </c>
      <c r="Y1568" s="8">
        <v>11.000999999999999</v>
      </c>
      <c r="Z1568" s="8">
        <v>3.6880000000000002</v>
      </c>
      <c r="AA1568" s="8">
        <v>0.76100000000000001</v>
      </c>
      <c r="AB1568" s="8">
        <v>9.4E-2</v>
      </c>
      <c r="AC1568" s="8">
        <v>5.0000000000000001E-3</v>
      </c>
    </row>
    <row r="1569" spans="1:29" ht="11.65" x14ac:dyDescent="0.35">
      <c r="A1569" s="12">
        <v>1552</v>
      </c>
      <c r="B1569" s="10" t="s">
        <v>1015</v>
      </c>
      <c r="C1569" s="11" t="s">
        <v>1127</v>
      </c>
      <c r="D1569" s="9"/>
      <c r="E1569" s="9">
        <v>760</v>
      </c>
      <c r="F1569" s="10" t="s">
        <v>1066</v>
      </c>
      <c r="G1569" s="9">
        <v>922</v>
      </c>
      <c r="H1569" s="9">
        <v>1980</v>
      </c>
      <c r="I1569" s="8">
        <v>895.2</v>
      </c>
      <c r="J1569" s="8">
        <v>734.97799999999995</v>
      </c>
      <c r="K1569" s="8">
        <v>592.63900000000001</v>
      </c>
      <c r="L1569" s="8">
        <v>490.26</v>
      </c>
      <c r="M1569" s="8">
        <v>398.51600000000002</v>
      </c>
      <c r="N1569" s="8">
        <v>320.23200000000003</v>
      </c>
      <c r="O1569" s="8">
        <v>215.67500000000001</v>
      </c>
      <c r="P1569" s="8">
        <v>164.078</v>
      </c>
      <c r="Q1569" s="8">
        <v>140.80500000000001</v>
      </c>
      <c r="R1569" s="8">
        <v>134.49700000000001</v>
      </c>
      <c r="S1569" s="8">
        <v>120.378</v>
      </c>
      <c r="T1569" s="8">
        <v>101.974</v>
      </c>
      <c r="U1569" s="8">
        <v>71.084999999999994</v>
      </c>
      <c r="V1569" s="8">
        <v>52.006999999999998</v>
      </c>
      <c r="W1569" s="8">
        <v>36.462000000000003</v>
      </c>
      <c r="X1569" s="8">
        <v>22.63</v>
      </c>
      <c r="Y1569" s="8">
        <v>11.52</v>
      </c>
      <c r="Z1569" s="8">
        <v>4.2880000000000003</v>
      </c>
      <c r="AA1569" s="8">
        <v>0.88700000000000001</v>
      </c>
      <c r="AB1569" s="8">
        <v>0.10100000000000001</v>
      </c>
      <c r="AC1569" s="8">
        <v>7.0000000000000001E-3</v>
      </c>
    </row>
    <row r="1570" spans="1:29" ht="11.65" x14ac:dyDescent="0.35">
      <c r="A1570" s="12">
        <v>1553</v>
      </c>
      <c r="B1570" s="10" t="s">
        <v>1015</v>
      </c>
      <c r="C1570" s="11" t="s">
        <v>1127</v>
      </c>
      <c r="D1570" s="9"/>
      <c r="E1570" s="9">
        <v>760</v>
      </c>
      <c r="F1570" s="10" t="s">
        <v>1066</v>
      </c>
      <c r="G1570" s="9">
        <v>922</v>
      </c>
      <c r="H1570" s="9">
        <v>1985</v>
      </c>
      <c r="I1570" s="8">
        <v>1022.724</v>
      </c>
      <c r="J1570" s="8">
        <v>884.67200000000003</v>
      </c>
      <c r="K1570" s="8">
        <v>731.17100000000005</v>
      </c>
      <c r="L1570" s="8">
        <v>587.02499999999998</v>
      </c>
      <c r="M1570" s="8">
        <v>479.15699999999998</v>
      </c>
      <c r="N1570" s="8">
        <v>384.85700000000003</v>
      </c>
      <c r="O1570" s="8">
        <v>307.99799999999999</v>
      </c>
      <c r="P1570" s="8">
        <v>206.74199999999999</v>
      </c>
      <c r="Q1570" s="8">
        <v>157.59100000000001</v>
      </c>
      <c r="R1570" s="8">
        <v>135.05000000000001</v>
      </c>
      <c r="S1570" s="8">
        <v>128.77799999999999</v>
      </c>
      <c r="T1570" s="8">
        <v>113.65</v>
      </c>
      <c r="U1570" s="8">
        <v>93.106999999999999</v>
      </c>
      <c r="V1570" s="8">
        <v>61.63</v>
      </c>
      <c r="W1570" s="8">
        <v>41.469000000000001</v>
      </c>
      <c r="X1570" s="8">
        <v>25.414000000000001</v>
      </c>
      <c r="Y1570" s="8">
        <v>12.695</v>
      </c>
      <c r="Z1570" s="8">
        <v>4.6059999999999999</v>
      </c>
      <c r="AA1570" s="8">
        <v>1.0580000000000001</v>
      </c>
      <c r="AB1570" s="8">
        <v>0.12</v>
      </c>
      <c r="AC1570" s="8">
        <v>8.0000000000000002E-3</v>
      </c>
    </row>
    <row r="1571" spans="1:29" ht="11.65" x14ac:dyDescent="0.35">
      <c r="A1571" s="12">
        <v>1554</v>
      </c>
      <c r="B1571" s="10" t="s">
        <v>1015</v>
      </c>
      <c r="C1571" s="11" t="s">
        <v>1127</v>
      </c>
      <c r="D1571" s="9"/>
      <c r="E1571" s="9">
        <v>760</v>
      </c>
      <c r="F1571" s="10" t="s">
        <v>1066</v>
      </c>
      <c r="G1571" s="9">
        <v>922</v>
      </c>
      <c r="H1571" s="9">
        <v>1990</v>
      </c>
      <c r="I1571" s="8">
        <v>1095.4490000000001</v>
      </c>
      <c r="J1571" s="8">
        <v>1013.7809999999999</v>
      </c>
      <c r="K1571" s="8">
        <v>880.86800000000005</v>
      </c>
      <c r="L1571" s="8">
        <v>724.00900000000001</v>
      </c>
      <c r="M1571" s="8">
        <v>571.33600000000001</v>
      </c>
      <c r="N1571" s="8">
        <v>459.202</v>
      </c>
      <c r="O1571" s="8">
        <v>367.053</v>
      </c>
      <c r="P1571" s="8">
        <v>294.63299999999998</v>
      </c>
      <c r="Q1571" s="8">
        <v>197.666</v>
      </c>
      <c r="R1571" s="8">
        <v>150.315</v>
      </c>
      <c r="S1571" s="8">
        <v>129.20699999999999</v>
      </c>
      <c r="T1571" s="8">
        <v>122.254</v>
      </c>
      <c r="U1571" s="8">
        <v>104.488</v>
      </c>
      <c r="V1571" s="8">
        <v>81.460999999999999</v>
      </c>
      <c r="W1571" s="8">
        <v>49.725999999999999</v>
      </c>
      <c r="X1571" s="8">
        <v>29.353000000000002</v>
      </c>
      <c r="Y1571" s="8">
        <v>14.558</v>
      </c>
      <c r="Z1571" s="8">
        <v>5.2030000000000003</v>
      </c>
      <c r="AA1571" s="8">
        <v>1.165</v>
      </c>
      <c r="AB1571" s="8">
        <v>0.14599999999999999</v>
      </c>
      <c r="AC1571" s="8">
        <v>8.9999999999999993E-3</v>
      </c>
    </row>
    <row r="1572" spans="1:29" ht="11.65" x14ac:dyDescent="0.35">
      <c r="A1572" s="12">
        <v>1555</v>
      </c>
      <c r="B1572" s="10" t="s">
        <v>1015</v>
      </c>
      <c r="C1572" s="11" t="s">
        <v>1127</v>
      </c>
      <c r="D1572" s="9"/>
      <c r="E1572" s="9">
        <v>760</v>
      </c>
      <c r="F1572" s="10" t="s">
        <v>1066</v>
      </c>
      <c r="G1572" s="9">
        <v>922</v>
      </c>
      <c r="H1572" s="9">
        <v>1995</v>
      </c>
      <c r="I1572" s="8">
        <v>1116.9960000000001</v>
      </c>
      <c r="J1572" s="8">
        <v>1089.0740000000001</v>
      </c>
      <c r="K1572" s="8">
        <v>1010.489</v>
      </c>
      <c r="L1572" s="8">
        <v>875.92100000000005</v>
      </c>
      <c r="M1572" s="8">
        <v>714.60699999999997</v>
      </c>
      <c r="N1572" s="8">
        <v>559.92499999999995</v>
      </c>
      <c r="O1572" s="8">
        <v>448.947</v>
      </c>
      <c r="P1572" s="8">
        <v>359.05</v>
      </c>
      <c r="Q1572" s="8">
        <v>288.13299999999998</v>
      </c>
      <c r="R1572" s="8">
        <v>191.94300000000001</v>
      </c>
      <c r="S1572" s="8">
        <v>144.86199999999999</v>
      </c>
      <c r="T1572" s="8">
        <v>122.876</v>
      </c>
      <c r="U1572" s="8">
        <v>113.139</v>
      </c>
      <c r="V1572" s="8">
        <v>92.384</v>
      </c>
      <c r="W1572" s="8">
        <v>66.658000000000001</v>
      </c>
      <c r="X1572" s="8">
        <v>35.89</v>
      </c>
      <c r="Y1572" s="8">
        <v>17.236000000000001</v>
      </c>
      <c r="Z1572" s="8">
        <v>6.1390000000000002</v>
      </c>
      <c r="AA1572" s="8">
        <v>1.355</v>
      </c>
      <c r="AB1572" s="8">
        <v>0.16400000000000001</v>
      </c>
      <c r="AC1572" s="8">
        <v>1.0999999999999999E-2</v>
      </c>
    </row>
    <row r="1573" spans="1:29" ht="11.65" x14ac:dyDescent="0.35">
      <c r="A1573" s="12">
        <v>1556</v>
      </c>
      <c r="B1573" s="10" t="s">
        <v>1015</v>
      </c>
      <c r="C1573" s="11" t="s">
        <v>1127</v>
      </c>
      <c r="D1573" s="9"/>
      <c r="E1573" s="9">
        <v>760</v>
      </c>
      <c r="F1573" s="10" t="s">
        <v>1066</v>
      </c>
      <c r="G1573" s="9">
        <v>922</v>
      </c>
      <c r="H1573" s="9">
        <v>2000</v>
      </c>
      <c r="I1573" s="8">
        <v>1243.6030000000001</v>
      </c>
      <c r="J1573" s="8">
        <v>1111.2650000000001</v>
      </c>
      <c r="K1573" s="8">
        <v>1085.6880000000001</v>
      </c>
      <c r="L1573" s="8">
        <v>1003.723</v>
      </c>
      <c r="M1573" s="8">
        <v>861.17399999999998</v>
      </c>
      <c r="N1573" s="8">
        <v>695.84100000000001</v>
      </c>
      <c r="O1573" s="8">
        <v>543.04700000000003</v>
      </c>
      <c r="P1573" s="8">
        <v>436.13799999999998</v>
      </c>
      <c r="Q1573" s="8">
        <v>349.25900000000001</v>
      </c>
      <c r="R1573" s="8">
        <v>279.01</v>
      </c>
      <c r="S1573" s="8">
        <v>184.517</v>
      </c>
      <c r="T1573" s="8">
        <v>138.029</v>
      </c>
      <c r="U1573" s="8">
        <v>114.288</v>
      </c>
      <c r="V1573" s="8">
        <v>100.65300000000001</v>
      </c>
      <c r="W1573" s="8">
        <v>76.233000000000004</v>
      </c>
      <c r="X1573" s="8">
        <v>48.677</v>
      </c>
      <c r="Y1573" s="8">
        <v>21.402999999999999</v>
      </c>
      <c r="Z1573" s="8">
        <v>7.4139999999999997</v>
      </c>
      <c r="AA1573" s="8">
        <v>1.6379999999999999</v>
      </c>
      <c r="AB1573" s="8">
        <v>0.19700000000000001</v>
      </c>
      <c r="AC1573" s="8">
        <v>1.2999999999999999E-2</v>
      </c>
    </row>
    <row r="1574" spans="1:29" ht="11.65" x14ac:dyDescent="0.35">
      <c r="A1574" s="12">
        <v>1557</v>
      </c>
      <c r="B1574" s="10" t="s">
        <v>1015</v>
      </c>
      <c r="C1574" s="11" t="s">
        <v>1127</v>
      </c>
      <c r="D1574" s="9"/>
      <c r="E1574" s="9">
        <v>760</v>
      </c>
      <c r="F1574" s="10" t="s">
        <v>1066</v>
      </c>
      <c r="G1574" s="9">
        <v>922</v>
      </c>
      <c r="H1574" s="9">
        <v>2005</v>
      </c>
      <c r="I1574" s="8">
        <v>1327.827</v>
      </c>
      <c r="J1574" s="8">
        <v>1255.636</v>
      </c>
      <c r="K1574" s="8">
        <v>1131.154</v>
      </c>
      <c r="L1574" s="8">
        <v>1095.261</v>
      </c>
      <c r="M1574" s="8">
        <v>992.38900000000001</v>
      </c>
      <c r="N1574" s="8">
        <v>792.77200000000005</v>
      </c>
      <c r="O1574" s="8">
        <v>605.45899999999995</v>
      </c>
      <c r="P1574" s="8">
        <v>499.31900000000002</v>
      </c>
      <c r="Q1574" s="8">
        <v>428.97699999999998</v>
      </c>
      <c r="R1574" s="8">
        <v>338.983</v>
      </c>
      <c r="S1574" s="8">
        <v>266.488</v>
      </c>
      <c r="T1574" s="8">
        <v>183.21899999999999</v>
      </c>
      <c r="U1574" s="8">
        <v>142.464</v>
      </c>
      <c r="V1574" s="8">
        <v>111.92400000000001</v>
      </c>
      <c r="W1574" s="8">
        <v>93.412000000000006</v>
      </c>
      <c r="X1574" s="8">
        <v>60.55</v>
      </c>
      <c r="Y1574" s="8">
        <v>30.067</v>
      </c>
      <c r="Z1574" s="8">
        <v>10.098000000000001</v>
      </c>
      <c r="AA1574" s="8">
        <v>2.024</v>
      </c>
      <c r="AB1574" s="8">
        <v>0.24399999999999999</v>
      </c>
      <c r="AC1574" s="8">
        <v>1.6E-2</v>
      </c>
    </row>
    <row r="1575" spans="1:29" ht="11.65" x14ac:dyDescent="0.35">
      <c r="A1575" s="12">
        <v>1558</v>
      </c>
      <c r="B1575" s="10" t="s">
        <v>1015</v>
      </c>
      <c r="C1575" s="11" t="s">
        <v>1127</v>
      </c>
      <c r="D1575" s="9"/>
      <c r="E1575" s="9">
        <v>760</v>
      </c>
      <c r="F1575" s="10" t="s">
        <v>1066</v>
      </c>
      <c r="G1575" s="9">
        <v>922</v>
      </c>
      <c r="H1575" s="9">
        <v>2010</v>
      </c>
      <c r="I1575" s="8">
        <v>1502.298</v>
      </c>
      <c r="J1575" s="8">
        <v>1328.8820000000001</v>
      </c>
      <c r="K1575" s="8">
        <v>1255.836</v>
      </c>
      <c r="L1575" s="8">
        <v>1135.0429999999999</v>
      </c>
      <c r="M1575" s="8">
        <v>1106.1289999999999</v>
      </c>
      <c r="N1575" s="8">
        <v>1005.5410000000001</v>
      </c>
      <c r="O1575" s="8">
        <v>802.79600000000005</v>
      </c>
      <c r="P1575" s="8">
        <v>611.69399999999996</v>
      </c>
      <c r="Q1575" s="8">
        <v>501.09899999999999</v>
      </c>
      <c r="R1575" s="8">
        <v>425.95800000000003</v>
      </c>
      <c r="S1575" s="8">
        <v>331.67700000000002</v>
      </c>
      <c r="T1575" s="8">
        <v>257.14999999999998</v>
      </c>
      <c r="U1575" s="8">
        <v>173.41200000000001</v>
      </c>
      <c r="V1575" s="8">
        <v>129.06700000000001</v>
      </c>
      <c r="W1575" s="8">
        <v>94.376999999999995</v>
      </c>
      <c r="X1575" s="8">
        <v>70.052999999999997</v>
      </c>
      <c r="Y1575" s="8">
        <v>37.408999999999999</v>
      </c>
      <c r="Z1575" s="8">
        <v>13.483000000000001</v>
      </c>
      <c r="AA1575" s="8">
        <v>2.8180000000000001</v>
      </c>
      <c r="AB1575" s="8">
        <v>0.308</v>
      </c>
      <c r="AC1575" s="8">
        <v>0.02</v>
      </c>
    </row>
    <row r="1576" spans="1:29" ht="11.65" x14ac:dyDescent="0.35">
      <c r="A1576" s="12">
        <v>1559</v>
      </c>
      <c r="B1576" s="10" t="s">
        <v>1015</v>
      </c>
      <c r="C1576" s="11" t="s">
        <v>1127</v>
      </c>
      <c r="D1576" s="9"/>
      <c r="E1576" s="9">
        <v>760</v>
      </c>
      <c r="F1576" s="10" t="s">
        <v>1066</v>
      </c>
      <c r="G1576" s="9">
        <v>922</v>
      </c>
      <c r="H1576" s="9">
        <v>2015</v>
      </c>
      <c r="I1576" s="8">
        <v>1055.296</v>
      </c>
      <c r="J1576" s="8">
        <v>1047.46</v>
      </c>
      <c r="K1576" s="8">
        <v>935.11500000000001</v>
      </c>
      <c r="L1576" s="8">
        <v>937.57</v>
      </c>
      <c r="M1576" s="8">
        <v>874.22500000000002</v>
      </c>
      <c r="N1576" s="8">
        <v>881.53300000000002</v>
      </c>
      <c r="O1576" s="8">
        <v>777.85599999999999</v>
      </c>
      <c r="P1576" s="8">
        <v>600.51599999999996</v>
      </c>
      <c r="Q1576" s="8">
        <v>458.17</v>
      </c>
      <c r="R1576" s="8">
        <v>380.83499999999998</v>
      </c>
      <c r="S1576" s="8">
        <v>326.07</v>
      </c>
      <c r="T1576" s="8">
        <v>255.49600000000001</v>
      </c>
      <c r="U1576" s="8">
        <v>199.20400000000001</v>
      </c>
      <c r="V1576" s="8">
        <v>127.488</v>
      </c>
      <c r="W1576" s="8">
        <v>89.989000000000004</v>
      </c>
      <c r="X1576" s="8">
        <v>61.061999999999998</v>
      </c>
      <c r="Y1576" s="8">
        <v>38.155999999999999</v>
      </c>
      <c r="Z1576" s="8">
        <v>15.618</v>
      </c>
      <c r="AA1576" s="8">
        <v>3.8580000000000001</v>
      </c>
      <c r="AB1576" s="8">
        <v>0.436</v>
      </c>
      <c r="AC1576" s="8">
        <v>2.5000000000000001E-2</v>
      </c>
    </row>
    <row r="1577" spans="1:29" ht="11.65" x14ac:dyDescent="0.35">
      <c r="A1577" s="12">
        <v>1560</v>
      </c>
      <c r="B1577" s="10" t="s">
        <v>1015</v>
      </c>
      <c r="C1577" s="11" t="s">
        <v>1127</v>
      </c>
      <c r="D1577" s="9"/>
      <c r="E1577" s="9">
        <v>760</v>
      </c>
      <c r="F1577" s="10" t="s">
        <v>1066</v>
      </c>
      <c r="G1577" s="9">
        <v>922</v>
      </c>
      <c r="H1577" s="9">
        <v>2020</v>
      </c>
      <c r="I1577" s="8">
        <v>979.58799999999997</v>
      </c>
      <c r="J1577" s="8">
        <v>875.34100000000001</v>
      </c>
      <c r="K1577" s="8">
        <v>891.63900000000001</v>
      </c>
      <c r="L1577" s="8">
        <v>803.71799999999996</v>
      </c>
      <c r="M1577" s="8">
        <v>818.34299999999996</v>
      </c>
      <c r="N1577" s="8">
        <v>766.44899999999996</v>
      </c>
      <c r="O1577" s="8">
        <v>771.49199999999996</v>
      </c>
      <c r="P1577" s="8">
        <v>686.02</v>
      </c>
      <c r="Q1577" s="8">
        <v>533.14700000000005</v>
      </c>
      <c r="R1577" s="8">
        <v>405</v>
      </c>
      <c r="S1577" s="8">
        <v>333.827</v>
      </c>
      <c r="T1577" s="8">
        <v>286.46300000000002</v>
      </c>
      <c r="U1577" s="8">
        <v>222.416</v>
      </c>
      <c r="V1577" s="8">
        <v>166.71199999999999</v>
      </c>
      <c r="W1577" s="8">
        <v>98.402000000000001</v>
      </c>
      <c r="X1577" s="8">
        <v>63.206000000000003</v>
      </c>
      <c r="Y1577" s="8">
        <v>36.042000000000002</v>
      </c>
      <c r="Z1577" s="8">
        <v>17.036000000000001</v>
      </c>
      <c r="AA1577" s="8">
        <v>4.5830000000000002</v>
      </c>
      <c r="AB1577" s="8">
        <v>0.60599999999999998</v>
      </c>
      <c r="AC1577" s="8">
        <v>3.5000000000000003E-2</v>
      </c>
    </row>
    <row r="1578" spans="1:29" ht="11.65" x14ac:dyDescent="0.35">
      <c r="A1578" s="12">
        <v>1561</v>
      </c>
      <c r="B1578" s="10" t="s">
        <v>1015</v>
      </c>
      <c r="C1578" s="11" t="s">
        <v>1128</v>
      </c>
      <c r="D1578" s="9"/>
      <c r="E1578" s="9">
        <v>792</v>
      </c>
      <c r="F1578" s="10" t="s">
        <v>1066</v>
      </c>
      <c r="G1578" s="9">
        <v>922</v>
      </c>
      <c r="H1578" s="9">
        <v>1950</v>
      </c>
      <c r="I1578" s="8">
        <v>1725.57</v>
      </c>
      <c r="J1578" s="8">
        <v>1389.6780000000001</v>
      </c>
      <c r="K1578" s="8">
        <v>1298.598</v>
      </c>
      <c r="L1578" s="8">
        <v>1281.4960000000001</v>
      </c>
      <c r="M1578" s="8">
        <v>998.81899999999996</v>
      </c>
      <c r="N1578" s="8">
        <v>733.03800000000001</v>
      </c>
      <c r="O1578" s="8">
        <v>528.33900000000006</v>
      </c>
      <c r="P1578" s="8">
        <v>693.88699999999994</v>
      </c>
      <c r="Q1578" s="8">
        <v>556.46199999999999</v>
      </c>
      <c r="R1578" s="8">
        <v>503.79</v>
      </c>
      <c r="S1578" s="8">
        <v>392.76600000000002</v>
      </c>
      <c r="T1578" s="8">
        <v>216.03399999999999</v>
      </c>
      <c r="U1578" s="8">
        <v>198.66</v>
      </c>
      <c r="V1578" s="8">
        <v>108.363</v>
      </c>
      <c r="W1578" s="8">
        <v>84.385000000000005</v>
      </c>
      <c r="X1578" s="8">
        <v>36.515999999999998</v>
      </c>
      <c r="Y1578" s="8">
        <v>13.62</v>
      </c>
      <c r="Z1578" s="8">
        <v>3.84</v>
      </c>
      <c r="AA1578" s="8">
        <v>0.628</v>
      </c>
      <c r="AB1578" s="8">
        <v>5.2999999999999999E-2</v>
      </c>
      <c r="AC1578" s="8">
        <v>2E-3</v>
      </c>
    </row>
    <row r="1579" spans="1:29" ht="11.65" x14ac:dyDescent="0.35">
      <c r="A1579" s="12">
        <v>1562</v>
      </c>
      <c r="B1579" s="10" t="s">
        <v>1015</v>
      </c>
      <c r="C1579" s="11" t="s">
        <v>1128</v>
      </c>
      <c r="D1579" s="9"/>
      <c r="E1579" s="9">
        <v>792</v>
      </c>
      <c r="F1579" s="10" t="s">
        <v>1066</v>
      </c>
      <c r="G1579" s="9">
        <v>922</v>
      </c>
      <c r="H1579" s="9">
        <v>1955</v>
      </c>
      <c r="I1579" s="8">
        <v>2109.337</v>
      </c>
      <c r="J1579" s="8">
        <v>1551.2429999999999</v>
      </c>
      <c r="K1579" s="8">
        <v>1328.3240000000001</v>
      </c>
      <c r="L1579" s="8">
        <v>1270.6849999999999</v>
      </c>
      <c r="M1579" s="8">
        <v>1243.7550000000001</v>
      </c>
      <c r="N1579" s="8">
        <v>965.12599999999998</v>
      </c>
      <c r="O1579" s="8">
        <v>707.92</v>
      </c>
      <c r="P1579" s="8">
        <v>507.78899999999999</v>
      </c>
      <c r="Q1579" s="8">
        <v>659.48900000000003</v>
      </c>
      <c r="R1579" s="8">
        <v>519.45899999999995</v>
      </c>
      <c r="S1579" s="8">
        <v>458.78899999999999</v>
      </c>
      <c r="T1579" s="8">
        <v>344.86</v>
      </c>
      <c r="U1579" s="8">
        <v>179.60900000000001</v>
      </c>
      <c r="V1579" s="8">
        <v>152.87799999999999</v>
      </c>
      <c r="W1579" s="8">
        <v>73.97</v>
      </c>
      <c r="X1579" s="8">
        <v>47.841999999999999</v>
      </c>
      <c r="Y1579" s="8">
        <v>15.422000000000001</v>
      </c>
      <c r="Z1579" s="8">
        <v>3.7269999999999999</v>
      </c>
      <c r="AA1579" s="8">
        <v>0.60099999999999998</v>
      </c>
      <c r="AB1579" s="8">
        <v>5.2999999999999999E-2</v>
      </c>
      <c r="AC1579" s="8">
        <v>3.0000000000000001E-3</v>
      </c>
    </row>
    <row r="1580" spans="1:29" ht="11.65" x14ac:dyDescent="0.35">
      <c r="A1580" s="12">
        <v>1563</v>
      </c>
      <c r="B1580" s="10" t="s">
        <v>1015</v>
      </c>
      <c r="C1580" s="11" t="s">
        <v>1128</v>
      </c>
      <c r="D1580" s="9"/>
      <c r="E1580" s="9">
        <v>792</v>
      </c>
      <c r="F1580" s="10" t="s">
        <v>1066</v>
      </c>
      <c r="G1580" s="9">
        <v>922</v>
      </c>
      <c r="H1580" s="9">
        <v>1960</v>
      </c>
      <c r="I1580" s="8">
        <v>2330.152</v>
      </c>
      <c r="J1580" s="8">
        <v>1908.749</v>
      </c>
      <c r="K1580" s="8">
        <v>1488.8389999999999</v>
      </c>
      <c r="L1580" s="8">
        <v>1299.951</v>
      </c>
      <c r="M1580" s="8">
        <v>1231.548</v>
      </c>
      <c r="N1580" s="8">
        <v>1201.607</v>
      </c>
      <c r="O1580" s="8">
        <v>932.77800000000002</v>
      </c>
      <c r="P1580" s="8">
        <v>681.55100000000004</v>
      </c>
      <c r="Q1580" s="8">
        <v>484.55099999999999</v>
      </c>
      <c r="R1580" s="8">
        <v>621.91</v>
      </c>
      <c r="S1580" s="8">
        <v>480.67099999999999</v>
      </c>
      <c r="T1580" s="8">
        <v>411.69200000000001</v>
      </c>
      <c r="U1580" s="8">
        <v>294.42599999999999</v>
      </c>
      <c r="V1580" s="8">
        <v>143.15600000000001</v>
      </c>
      <c r="W1580" s="8">
        <v>109.35899999999999</v>
      </c>
      <c r="X1580" s="8">
        <v>44.106000000000002</v>
      </c>
      <c r="Y1580" s="8">
        <v>21.817</v>
      </c>
      <c r="Z1580" s="8">
        <v>4.9400000000000004</v>
      </c>
      <c r="AA1580" s="8">
        <v>0.752</v>
      </c>
      <c r="AB1580" s="8">
        <v>7.0999999999999994E-2</v>
      </c>
      <c r="AC1580" s="8">
        <v>3.0000000000000001E-3</v>
      </c>
    </row>
    <row r="1581" spans="1:29" ht="11.65" x14ac:dyDescent="0.35">
      <c r="A1581" s="12">
        <v>1564</v>
      </c>
      <c r="B1581" s="10" t="s">
        <v>1015</v>
      </c>
      <c r="C1581" s="11" t="s">
        <v>1128</v>
      </c>
      <c r="D1581" s="9"/>
      <c r="E1581" s="9">
        <v>792</v>
      </c>
      <c r="F1581" s="10" t="s">
        <v>1066</v>
      </c>
      <c r="G1581" s="9">
        <v>922</v>
      </c>
      <c r="H1581" s="9">
        <v>1965</v>
      </c>
      <c r="I1581" s="8">
        <v>2547.4169999999999</v>
      </c>
      <c r="J1581" s="8">
        <v>2134.3870000000002</v>
      </c>
      <c r="K1581" s="8">
        <v>1834.2380000000001</v>
      </c>
      <c r="L1581" s="8">
        <v>1449.4480000000001</v>
      </c>
      <c r="M1581" s="8">
        <v>1252.8579999999999</v>
      </c>
      <c r="N1581" s="8">
        <v>1189.5309999999999</v>
      </c>
      <c r="O1581" s="8">
        <v>1164.3030000000001</v>
      </c>
      <c r="P1581" s="8">
        <v>901.95</v>
      </c>
      <c r="Q1581" s="8">
        <v>653.55200000000002</v>
      </c>
      <c r="R1581" s="8">
        <v>457.63200000000001</v>
      </c>
      <c r="S1581" s="8">
        <v>579.29300000000001</v>
      </c>
      <c r="T1581" s="8">
        <v>436.48500000000001</v>
      </c>
      <c r="U1581" s="8">
        <v>357.45699999999999</v>
      </c>
      <c r="V1581" s="8">
        <v>240.84</v>
      </c>
      <c r="W1581" s="8">
        <v>105.93300000000001</v>
      </c>
      <c r="X1581" s="8">
        <v>67.986000000000004</v>
      </c>
      <c r="Y1581" s="8">
        <v>20.847000000000001</v>
      </c>
      <c r="Z1581" s="8">
        <v>7.3129999999999997</v>
      </c>
      <c r="AA1581" s="8">
        <v>1.032</v>
      </c>
      <c r="AB1581" s="8">
        <v>8.8999999999999996E-2</v>
      </c>
      <c r="AC1581" s="8">
        <v>5.0000000000000001E-3</v>
      </c>
    </row>
    <row r="1582" spans="1:29" ht="11.65" x14ac:dyDescent="0.35">
      <c r="A1582" s="12">
        <v>1565</v>
      </c>
      <c r="B1582" s="10" t="s">
        <v>1015</v>
      </c>
      <c r="C1582" s="11" t="s">
        <v>1128</v>
      </c>
      <c r="D1582" s="9"/>
      <c r="E1582" s="9">
        <v>792</v>
      </c>
      <c r="F1582" s="10" t="s">
        <v>1066</v>
      </c>
      <c r="G1582" s="9">
        <v>922</v>
      </c>
      <c r="H1582" s="9">
        <v>1970</v>
      </c>
      <c r="I1582" s="8">
        <v>2778.8470000000002</v>
      </c>
      <c r="J1582" s="8">
        <v>2376.6509999999998</v>
      </c>
      <c r="K1582" s="8">
        <v>2067.627</v>
      </c>
      <c r="L1582" s="8">
        <v>1788.12</v>
      </c>
      <c r="M1582" s="8">
        <v>1397.5129999999999</v>
      </c>
      <c r="N1582" s="8">
        <v>1210.056</v>
      </c>
      <c r="O1582" s="8">
        <v>1153.5039999999999</v>
      </c>
      <c r="P1582" s="8">
        <v>1129.4159999999999</v>
      </c>
      <c r="Q1582" s="8">
        <v>868.86199999999997</v>
      </c>
      <c r="R1582" s="8">
        <v>620.81899999999996</v>
      </c>
      <c r="S1582" s="8">
        <v>428.43599999999998</v>
      </c>
      <c r="T1582" s="8">
        <v>531.70000000000005</v>
      </c>
      <c r="U1582" s="8">
        <v>383.77</v>
      </c>
      <c r="V1582" s="8">
        <v>297.36099999999999</v>
      </c>
      <c r="W1582" s="8">
        <v>182.279</v>
      </c>
      <c r="X1582" s="8">
        <v>67.263999999999996</v>
      </c>
      <c r="Y1582" s="8">
        <v>32.914000000000001</v>
      </c>
      <c r="Z1582" s="8">
        <v>7.048</v>
      </c>
      <c r="AA1582" s="8">
        <v>1.5049999999999999</v>
      </c>
      <c r="AB1582" s="8">
        <v>0.11799999999999999</v>
      </c>
      <c r="AC1582" s="8">
        <v>6.0000000000000001E-3</v>
      </c>
    </row>
    <row r="1583" spans="1:29" ht="11.65" x14ac:dyDescent="0.35">
      <c r="A1583" s="12">
        <v>1566</v>
      </c>
      <c r="B1583" s="10" t="s">
        <v>1015</v>
      </c>
      <c r="C1583" s="11" t="s">
        <v>1128</v>
      </c>
      <c r="D1583" s="9"/>
      <c r="E1583" s="9">
        <v>792</v>
      </c>
      <c r="F1583" s="10" t="s">
        <v>1066</v>
      </c>
      <c r="G1583" s="9">
        <v>922</v>
      </c>
      <c r="H1583" s="9">
        <v>1975</v>
      </c>
      <c r="I1583" s="8">
        <v>3047.6439999999998</v>
      </c>
      <c r="J1583" s="8">
        <v>2629.88</v>
      </c>
      <c r="K1583" s="8">
        <v>2309.895</v>
      </c>
      <c r="L1583" s="8">
        <v>1982.873</v>
      </c>
      <c r="M1583" s="8">
        <v>1669.9929999999999</v>
      </c>
      <c r="N1583" s="8">
        <v>1342.7570000000001</v>
      </c>
      <c r="O1583" s="8">
        <v>1168.413</v>
      </c>
      <c r="P1583" s="8">
        <v>1115.6859999999999</v>
      </c>
      <c r="Q1583" s="8">
        <v>1130.8820000000001</v>
      </c>
      <c r="R1583" s="8">
        <v>854.02499999999998</v>
      </c>
      <c r="S1583" s="8">
        <v>610.91700000000003</v>
      </c>
      <c r="T1583" s="8">
        <v>411.05900000000003</v>
      </c>
      <c r="U1583" s="8">
        <v>492.863</v>
      </c>
      <c r="V1583" s="8">
        <v>335.88</v>
      </c>
      <c r="W1583" s="8">
        <v>243.13200000000001</v>
      </c>
      <c r="X1583" s="8">
        <v>121.72</v>
      </c>
      <c r="Y1583" s="8">
        <v>34.390999999999998</v>
      </c>
      <c r="Z1583" s="8">
        <v>11.36</v>
      </c>
      <c r="AA1583" s="8">
        <v>1.4670000000000001</v>
      </c>
      <c r="AB1583" s="8">
        <v>0.17100000000000001</v>
      </c>
      <c r="AC1583" s="8">
        <v>8.0000000000000002E-3</v>
      </c>
    </row>
    <row r="1584" spans="1:29" ht="11.65" x14ac:dyDescent="0.35">
      <c r="A1584" s="12">
        <v>1567</v>
      </c>
      <c r="B1584" s="10" t="s">
        <v>1015</v>
      </c>
      <c r="C1584" s="11" t="s">
        <v>1128</v>
      </c>
      <c r="D1584" s="9"/>
      <c r="E1584" s="9">
        <v>792</v>
      </c>
      <c r="F1584" s="10" t="s">
        <v>1066</v>
      </c>
      <c r="G1584" s="9">
        <v>922</v>
      </c>
      <c r="H1584" s="9">
        <v>1980</v>
      </c>
      <c r="I1584" s="8">
        <v>3291.4479999999999</v>
      </c>
      <c r="J1584" s="8">
        <v>2915.2649999999999</v>
      </c>
      <c r="K1584" s="8">
        <v>2560.835</v>
      </c>
      <c r="L1584" s="8">
        <v>2249.04</v>
      </c>
      <c r="M1584" s="8">
        <v>1913.749</v>
      </c>
      <c r="N1584" s="8">
        <v>1614.7249999999999</v>
      </c>
      <c r="O1584" s="8">
        <v>1301.473</v>
      </c>
      <c r="P1584" s="8">
        <v>1141.825</v>
      </c>
      <c r="Q1584" s="8">
        <v>1083.9490000000001</v>
      </c>
      <c r="R1584" s="8">
        <v>1082.848</v>
      </c>
      <c r="S1584" s="8">
        <v>808.048</v>
      </c>
      <c r="T1584" s="8">
        <v>566.69799999999998</v>
      </c>
      <c r="U1584" s="8">
        <v>367.31099999999998</v>
      </c>
      <c r="V1584" s="8">
        <v>419.59100000000001</v>
      </c>
      <c r="W1584" s="8">
        <v>261.72500000000002</v>
      </c>
      <c r="X1584" s="8">
        <v>160.61600000000001</v>
      </c>
      <c r="Y1584" s="8">
        <v>61.558999999999997</v>
      </c>
      <c r="Z1584" s="8">
        <v>12.051</v>
      </c>
      <c r="AA1584" s="8">
        <v>2.3820000000000001</v>
      </c>
      <c r="AB1584" s="8">
        <v>0.16600000000000001</v>
      </c>
      <c r="AC1584" s="8">
        <v>1.2E-2</v>
      </c>
    </row>
    <row r="1585" spans="1:29" ht="11.65" x14ac:dyDescent="0.35">
      <c r="A1585" s="12">
        <v>1568</v>
      </c>
      <c r="B1585" s="10" t="s">
        <v>1015</v>
      </c>
      <c r="C1585" s="11" t="s">
        <v>1128</v>
      </c>
      <c r="D1585" s="9"/>
      <c r="E1585" s="9">
        <v>792</v>
      </c>
      <c r="F1585" s="10" t="s">
        <v>1066</v>
      </c>
      <c r="G1585" s="9">
        <v>922</v>
      </c>
      <c r="H1585" s="9">
        <v>1985</v>
      </c>
      <c r="I1585" s="8">
        <v>3412.94</v>
      </c>
      <c r="J1585" s="8">
        <v>3162.0650000000001</v>
      </c>
      <c r="K1585" s="8">
        <v>2839.7139999999999</v>
      </c>
      <c r="L1585" s="8">
        <v>2502.152</v>
      </c>
      <c r="M1585" s="8">
        <v>2184.1579999999999</v>
      </c>
      <c r="N1585" s="8">
        <v>1860.039</v>
      </c>
      <c r="O1585" s="8">
        <v>1572.136</v>
      </c>
      <c r="P1585" s="8">
        <v>1286.8130000000001</v>
      </c>
      <c r="Q1585" s="8">
        <v>1130.069</v>
      </c>
      <c r="R1585" s="8">
        <v>1096.6679999999999</v>
      </c>
      <c r="S1585" s="8">
        <v>1051.482</v>
      </c>
      <c r="T1585" s="8">
        <v>755.06799999999998</v>
      </c>
      <c r="U1585" s="8">
        <v>511.74700000000001</v>
      </c>
      <c r="V1585" s="8">
        <v>315.83800000000002</v>
      </c>
      <c r="W1585" s="8">
        <v>331.51400000000001</v>
      </c>
      <c r="X1585" s="8">
        <v>175.89099999999999</v>
      </c>
      <c r="Y1585" s="8">
        <v>83.106999999999999</v>
      </c>
      <c r="Z1585" s="8">
        <v>21.942</v>
      </c>
      <c r="AA1585" s="8">
        <v>2.5550000000000002</v>
      </c>
      <c r="AB1585" s="8">
        <v>0.26900000000000002</v>
      </c>
      <c r="AC1585" s="8">
        <v>1.2E-2</v>
      </c>
    </row>
    <row r="1586" spans="1:29" ht="11.65" x14ac:dyDescent="0.35">
      <c r="A1586" s="12">
        <v>1569</v>
      </c>
      <c r="B1586" s="10" t="s">
        <v>1015</v>
      </c>
      <c r="C1586" s="11" t="s">
        <v>1128</v>
      </c>
      <c r="D1586" s="9"/>
      <c r="E1586" s="9">
        <v>792</v>
      </c>
      <c r="F1586" s="10" t="s">
        <v>1066</v>
      </c>
      <c r="G1586" s="9">
        <v>922</v>
      </c>
      <c r="H1586" s="9">
        <v>1990</v>
      </c>
      <c r="I1586" s="8">
        <v>3338.4549999999999</v>
      </c>
      <c r="J1586" s="8">
        <v>3312.3960000000002</v>
      </c>
      <c r="K1586" s="8">
        <v>3104.1489999999999</v>
      </c>
      <c r="L1586" s="8">
        <v>2798.1950000000002</v>
      </c>
      <c r="M1586" s="8">
        <v>2454.2550000000001</v>
      </c>
      <c r="N1586" s="8">
        <v>2140.3960000000002</v>
      </c>
      <c r="O1586" s="8">
        <v>1822.028</v>
      </c>
      <c r="P1586" s="8">
        <v>1537.395</v>
      </c>
      <c r="Q1586" s="8">
        <v>1252.9280000000001</v>
      </c>
      <c r="R1586" s="8">
        <v>1091.8989999999999</v>
      </c>
      <c r="S1586" s="8">
        <v>1049.367</v>
      </c>
      <c r="T1586" s="8">
        <v>989.19299999999998</v>
      </c>
      <c r="U1586" s="8">
        <v>688.22500000000002</v>
      </c>
      <c r="V1586" s="8">
        <v>445.16699999999997</v>
      </c>
      <c r="W1586" s="8">
        <v>252.54400000000001</v>
      </c>
      <c r="X1586" s="8">
        <v>226.14699999999999</v>
      </c>
      <c r="Y1586" s="8">
        <v>92.664000000000001</v>
      </c>
      <c r="Z1586" s="8">
        <v>29.896000000000001</v>
      </c>
      <c r="AA1586" s="8">
        <v>4.6639999999999997</v>
      </c>
      <c r="AB1586" s="8">
        <v>0.28599999999999998</v>
      </c>
      <c r="AC1586" s="8">
        <v>1.4999999999999999E-2</v>
      </c>
    </row>
    <row r="1587" spans="1:29" ht="11.65" x14ac:dyDescent="0.35">
      <c r="A1587" s="12">
        <v>1570</v>
      </c>
      <c r="B1587" s="10" t="s">
        <v>1015</v>
      </c>
      <c r="C1587" s="11" t="s">
        <v>1128</v>
      </c>
      <c r="D1587" s="9"/>
      <c r="E1587" s="9">
        <v>792</v>
      </c>
      <c r="F1587" s="10" t="s">
        <v>1066</v>
      </c>
      <c r="G1587" s="9">
        <v>922</v>
      </c>
      <c r="H1587" s="9">
        <v>1995</v>
      </c>
      <c r="I1587" s="8">
        <v>3271.7890000000002</v>
      </c>
      <c r="J1587" s="8">
        <v>3259.0610000000001</v>
      </c>
      <c r="K1587" s="8">
        <v>3253.9679999999998</v>
      </c>
      <c r="L1587" s="8">
        <v>3057.1129999999998</v>
      </c>
      <c r="M1587" s="8">
        <v>2745.8960000000002</v>
      </c>
      <c r="N1587" s="8">
        <v>2406.6869999999999</v>
      </c>
      <c r="O1587" s="8">
        <v>2098.2429999999999</v>
      </c>
      <c r="P1587" s="8">
        <v>1783.252</v>
      </c>
      <c r="Q1587" s="8">
        <v>1499.08</v>
      </c>
      <c r="R1587" s="8">
        <v>1213.518</v>
      </c>
      <c r="S1587" s="8">
        <v>1047.9010000000001</v>
      </c>
      <c r="T1587" s="8">
        <v>991.51300000000003</v>
      </c>
      <c r="U1587" s="8">
        <v>908.04899999999998</v>
      </c>
      <c r="V1587" s="8">
        <v>603.97500000000002</v>
      </c>
      <c r="W1587" s="8">
        <v>359.82900000000001</v>
      </c>
      <c r="X1587" s="8">
        <v>174.703</v>
      </c>
      <c r="Y1587" s="8">
        <v>121.124</v>
      </c>
      <c r="Z1587" s="8">
        <v>33.823999999999998</v>
      </c>
      <c r="AA1587" s="8">
        <v>6.3789999999999996</v>
      </c>
      <c r="AB1587" s="8">
        <v>0.51500000000000001</v>
      </c>
      <c r="AC1587" s="8">
        <v>1.9E-2</v>
      </c>
    </row>
    <row r="1588" spans="1:29" ht="11.65" x14ac:dyDescent="0.35">
      <c r="A1588" s="12">
        <v>1571</v>
      </c>
      <c r="B1588" s="10" t="s">
        <v>1015</v>
      </c>
      <c r="C1588" s="11" t="s">
        <v>1128</v>
      </c>
      <c r="D1588" s="9"/>
      <c r="E1588" s="9">
        <v>792</v>
      </c>
      <c r="F1588" s="10" t="s">
        <v>1066</v>
      </c>
      <c r="G1588" s="9">
        <v>922</v>
      </c>
      <c r="H1588" s="9">
        <v>2000</v>
      </c>
      <c r="I1588" s="8">
        <v>3384.221</v>
      </c>
      <c r="J1588" s="8">
        <v>3221.3919999999998</v>
      </c>
      <c r="K1588" s="8">
        <v>3218.096</v>
      </c>
      <c r="L1588" s="8">
        <v>3208.944</v>
      </c>
      <c r="M1588" s="8">
        <v>3009.0549999999998</v>
      </c>
      <c r="N1588" s="8">
        <v>2701.0729999999999</v>
      </c>
      <c r="O1588" s="8">
        <v>2365.502</v>
      </c>
      <c r="P1588" s="8">
        <v>2058.4369999999999</v>
      </c>
      <c r="Q1588" s="8">
        <v>1743.271</v>
      </c>
      <c r="R1588" s="8">
        <v>1456.8030000000001</v>
      </c>
      <c r="S1588" s="8">
        <v>1169.03</v>
      </c>
      <c r="T1588" s="8">
        <v>994.66499999999996</v>
      </c>
      <c r="U1588" s="8">
        <v>916.21500000000003</v>
      </c>
      <c r="V1588" s="8">
        <v>803.72500000000002</v>
      </c>
      <c r="W1588" s="8">
        <v>493.46600000000001</v>
      </c>
      <c r="X1588" s="8">
        <v>252.45099999999999</v>
      </c>
      <c r="Y1588" s="8">
        <v>94.980999999999995</v>
      </c>
      <c r="Z1588" s="8">
        <v>44.747999999999998</v>
      </c>
      <c r="AA1588" s="8">
        <v>7.2439999999999998</v>
      </c>
      <c r="AB1588" s="8">
        <v>0.69599999999999995</v>
      </c>
      <c r="AC1588" s="8">
        <v>3.3000000000000002E-2</v>
      </c>
    </row>
    <row r="1589" spans="1:29" ht="11.65" x14ac:dyDescent="0.35">
      <c r="A1589" s="12">
        <v>1572</v>
      </c>
      <c r="B1589" s="10" t="s">
        <v>1015</v>
      </c>
      <c r="C1589" s="11" t="s">
        <v>1128</v>
      </c>
      <c r="D1589" s="9"/>
      <c r="E1589" s="9">
        <v>792</v>
      </c>
      <c r="F1589" s="10" t="s">
        <v>1066</v>
      </c>
      <c r="G1589" s="9">
        <v>922</v>
      </c>
      <c r="H1589" s="9">
        <v>2005</v>
      </c>
      <c r="I1589" s="8">
        <v>3330.9780000000001</v>
      </c>
      <c r="J1589" s="8">
        <v>3353.0219999999999</v>
      </c>
      <c r="K1589" s="8">
        <v>3199.9989999999998</v>
      </c>
      <c r="L1589" s="8">
        <v>3192.3629999999998</v>
      </c>
      <c r="M1589" s="8">
        <v>3174.84</v>
      </c>
      <c r="N1589" s="8">
        <v>2971.1750000000002</v>
      </c>
      <c r="O1589" s="8">
        <v>2663.6039999999998</v>
      </c>
      <c r="P1589" s="8">
        <v>2328.6590000000001</v>
      </c>
      <c r="Q1589" s="8">
        <v>2021.4449999999999</v>
      </c>
      <c r="R1589" s="8">
        <v>1703.7550000000001</v>
      </c>
      <c r="S1589" s="8">
        <v>1412.3030000000001</v>
      </c>
      <c r="T1589" s="8">
        <v>1117.8230000000001</v>
      </c>
      <c r="U1589" s="8">
        <v>927.90899999999999</v>
      </c>
      <c r="V1589" s="8">
        <v>819.67499999999995</v>
      </c>
      <c r="W1589" s="8">
        <v>664.57399999999996</v>
      </c>
      <c r="X1589" s="8">
        <v>351.60500000000002</v>
      </c>
      <c r="Y1589" s="8">
        <v>139.797</v>
      </c>
      <c r="Z1589" s="8">
        <v>35.606000000000002</v>
      </c>
      <c r="AA1589" s="8">
        <v>9.6419999999999995</v>
      </c>
      <c r="AB1589" s="8">
        <v>0.78600000000000003</v>
      </c>
      <c r="AC1589" s="8">
        <v>4.3999999999999997E-2</v>
      </c>
    </row>
    <row r="1590" spans="1:29" ht="11.65" x14ac:dyDescent="0.35">
      <c r="A1590" s="12">
        <v>1573</v>
      </c>
      <c r="B1590" s="10" t="s">
        <v>1015</v>
      </c>
      <c r="C1590" s="11" t="s">
        <v>1128</v>
      </c>
      <c r="D1590" s="9"/>
      <c r="E1590" s="9">
        <v>792</v>
      </c>
      <c r="F1590" s="10" t="s">
        <v>1066</v>
      </c>
      <c r="G1590" s="9">
        <v>922</v>
      </c>
      <c r="H1590" s="9">
        <v>2010</v>
      </c>
      <c r="I1590" s="8">
        <v>3277.268</v>
      </c>
      <c r="J1590" s="8">
        <v>3308.5810000000001</v>
      </c>
      <c r="K1590" s="8">
        <v>3335.2660000000001</v>
      </c>
      <c r="L1590" s="8">
        <v>3177.047</v>
      </c>
      <c r="M1590" s="8">
        <v>3160.386</v>
      </c>
      <c r="N1590" s="8">
        <v>3138.413</v>
      </c>
      <c r="O1590" s="8">
        <v>2934.2310000000002</v>
      </c>
      <c r="P1590" s="8">
        <v>2625.951</v>
      </c>
      <c r="Q1590" s="8">
        <v>2289.3339999999998</v>
      </c>
      <c r="R1590" s="8">
        <v>1978.4590000000001</v>
      </c>
      <c r="S1590" s="8">
        <v>1656.0050000000001</v>
      </c>
      <c r="T1590" s="8">
        <v>1355.8620000000001</v>
      </c>
      <c r="U1590" s="8">
        <v>1049.049</v>
      </c>
      <c r="V1590" s="8">
        <v>837.62099999999998</v>
      </c>
      <c r="W1590" s="8">
        <v>687.54100000000005</v>
      </c>
      <c r="X1590" s="8">
        <v>485.24</v>
      </c>
      <c r="Y1590" s="8">
        <v>202.74299999999999</v>
      </c>
      <c r="Z1590" s="8">
        <v>55.710999999999999</v>
      </c>
      <c r="AA1590" s="8">
        <v>8.3360000000000003</v>
      </c>
      <c r="AB1590" s="8">
        <v>1.149</v>
      </c>
      <c r="AC1590" s="8">
        <v>5.2999999999999999E-2</v>
      </c>
    </row>
    <row r="1591" spans="1:29" ht="11.65" x14ac:dyDescent="0.35">
      <c r="A1591" s="12">
        <v>1574</v>
      </c>
      <c r="B1591" s="10" t="s">
        <v>1015</v>
      </c>
      <c r="C1591" s="11" t="s">
        <v>1128</v>
      </c>
      <c r="D1591" s="9"/>
      <c r="E1591" s="9">
        <v>792</v>
      </c>
      <c r="F1591" s="10" t="s">
        <v>1066</v>
      </c>
      <c r="G1591" s="9">
        <v>922</v>
      </c>
      <c r="H1591" s="9">
        <v>2015</v>
      </c>
      <c r="I1591" s="8">
        <v>3469.8490000000002</v>
      </c>
      <c r="J1591" s="8">
        <v>3388.855</v>
      </c>
      <c r="K1591" s="8">
        <v>3408.7060000000001</v>
      </c>
      <c r="L1591" s="8">
        <v>3400.1080000000002</v>
      </c>
      <c r="M1591" s="8">
        <v>3200.2339999999999</v>
      </c>
      <c r="N1591" s="8">
        <v>3177.989</v>
      </c>
      <c r="O1591" s="8">
        <v>3152.1840000000002</v>
      </c>
      <c r="P1591" s="8">
        <v>2945.1970000000001</v>
      </c>
      <c r="Q1591" s="8">
        <v>2634.2339999999999</v>
      </c>
      <c r="R1591" s="8">
        <v>2293.9940000000001</v>
      </c>
      <c r="S1591" s="8">
        <v>1977.65</v>
      </c>
      <c r="T1591" s="8">
        <v>1646.5</v>
      </c>
      <c r="U1591" s="8">
        <v>1298.6610000000001</v>
      </c>
      <c r="V1591" s="8">
        <v>972.94899999999996</v>
      </c>
      <c r="W1591" s="8">
        <v>731.39800000000002</v>
      </c>
      <c r="X1591" s="8">
        <v>532.88300000000004</v>
      </c>
      <c r="Y1591" s="8">
        <v>308.887</v>
      </c>
      <c r="Z1591" s="8">
        <v>92.531999999999996</v>
      </c>
      <c r="AA1591" s="8">
        <v>15.868</v>
      </c>
      <c r="AB1591" s="8">
        <v>1.282</v>
      </c>
      <c r="AC1591" s="8">
        <v>0.10199999999999999</v>
      </c>
    </row>
    <row r="1592" spans="1:29" ht="11.65" x14ac:dyDescent="0.35">
      <c r="A1592" s="12">
        <v>1575</v>
      </c>
      <c r="B1592" s="10" t="s">
        <v>1015</v>
      </c>
      <c r="C1592" s="11" t="s">
        <v>1128</v>
      </c>
      <c r="D1592" s="9"/>
      <c r="E1592" s="9">
        <v>792</v>
      </c>
      <c r="F1592" s="10" t="s">
        <v>1066</v>
      </c>
      <c r="G1592" s="9">
        <v>922</v>
      </c>
      <c r="H1592" s="9">
        <v>2020</v>
      </c>
      <c r="I1592" s="8">
        <v>3356.73</v>
      </c>
      <c r="J1592" s="8">
        <v>3502.739</v>
      </c>
      <c r="K1592" s="8">
        <v>3462.1030000000001</v>
      </c>
      <c r="L1592" s="8">
        <v>3488.9630000000002</v>
      </c>
      <c r="M1592" s="8">
        <v>3449.2660000000001</v>
      </c>
      <c r="N1592" s="8">
        <v>3244.6709999999998</v>
      </c>
      <c r="O1592" s="8">
        <v>3218.5210000000002</v>
      </c>
      <c r="P1592" s="8">
        <v>3188.2510000000002</v>
      </c>
      <c r="Q1592" s="8">
        <v>2977.2060000000001</v>
      </c>
      <c r="R1592" s="8">
        <v>2661.8220000000001</v>
      </c>
      <c r="S1592" s="8">
        <v>2315.9769999999999</v>
      </c>
      <c r="T1592" s="8">
        <v>1989.4469999999999</v>
      </c>
      <c r="U1592" s="8">
        <v>1580.771</v>
      </c>
      <c r="V1592" s="8">
        <v>1212.6189999999999</v>
      </c>
      <c r="W1592" s="8">
        <v>861.88199999999995</v>
      </c>
      <c r="X1592" s="8">
        <v>583.89099999999996</v>
      </c>
      <c r="Y1592" s="8">
        <v>355.83699999999999</v>
      </c>
      <c r="Z1592" s="8">
        <v>152.90299999999999</v>
      </c>
      <c r="AA1592" s="8">
        <v>29.562999999999999</v>
      </c>
      <c r="AB1592" s="8">
        <v>2.8290000000000002</v>
      </c>
      <c r="AC1592" s="8">
        <v>0.13400000000000001</v>
      </c>
    </row>
    <row r="1593" spans="1:29" ht="11.65" x14ac:dyDescent="0.35">
      <c r="A1593" s="12">
        <v>1576</v>
      </c>
      <c r="B1593" s="10" t="s">
        <v>1015</v>
      </c>
      <c r="C1593" s="11" t="s">
        <v>1129</v>
      </c>
      <c r="D1593" s="9"/>
      <c r="E1593" s="9">
        <v>784</v>
      </c>
      <c r="F1593" s="10" t="s">
        <v>1066</v>
      </c>
      <c r="G1593" s="9">
        <v>922</v>
      </c>
      <c r="H1593" s="9">
        <v>1950</v>
      </c>
      <c r="I1593" s="8">
        <v>6.1059999999999999</v>
      </c>
      <c r="J1593" s="8">
        <v>4.774</v>
      </c>
      <c r="K1593" s="8">
        <v>4.0629999999999997</v>
      </c>
      <c r="L1593" s="8">
        <v>3.536</v>
      </c>
      <c r="M1593" s="8">
        <v>3.0459999999999998</v>
      </c>
      <c r="N1593" s="8">
        <v>2.5979999999999999</v>
      </c>
      <c r="O1593" s="8">
        <v>2.2109999999999999</v>
      </c>
      <c r="P1593" s="8">
        <v>1.8720000000000001</v>
      </c>
      <c r="Q1593" s="8">
        <v>1.6339999999999999</v>
      </c>
      <c r="R1593" s="8">
        <v>1.389</v>
      </c>
      <c r="S1593" s="8">
        <v>1.179</v>
      </c>
      <c r="T1593" s="8">
        <v>0.97199999999999998</v>
      </c>
      <c r="U1593" s="8">
        <v>0.75900000000000001</v>
      </c>
      <c r="V1593" s="8">
        <v>0.54600000000000004</v>
      </c>
      <c r="W1593" s="8">
        <v>0.34300000000000003</v>
      </c>
      <c r="X1593" s="8">
        <v>0.17199999999999999</v>
      </c>
      <c r="Y1593" s="8">
        <v>5.2999999999999999E-2</v>
      </c>
      <c r="Z1593" s="8">
        <v>1.4999999999999999E-2</v>
      </c>
      <c r="AA1593" s="8">
        <v>3.0000000000000001E-3</v>
      </c>
      <c r="AB1593" s="8">
        <v>0</v>
      </c>
      <c r="AC1593" s="8">
        <v>0</v>
      </c>
    </row>
    <row r="1594" spans="1:29" ht="11.65" x14ac:dyDescent="0.35">
      <c r="A1594" s="12">
        <v>1577</v>
      </c>
      <c r="B1594" s="10" t="s">
        <v>1015</v>
      </c>
      <c r="C1594" s="11" t="s">
        <v>1129</v>
      </c>
      <c r="D1594" s="9"/>
      <c r="E1594" s="9">
        <v>784</v>
      </c>
      <c r="F1594" s="10" t="s">
        <v>1066</v>
      </c>
      <c r="G1594" s="9">
        <v>922</v>
      </c>
      <c r="H1594" s="9">
        <v>1955</v>
      </c>
      <c r="I1594" s="8">
        <v>7.1310000000000002</v>
      </c>
      <c r="J1594" s="8">
        <v>5.5309999999999997</v>
      </c>
      <c r="K1594" s="8">
        <v>4.6269999999999998</v>
      </c>
      <c r="L1594" s="8">
        <v>3.96</v>
      </c>
      <c r="M1594" s="8">
        <v>3.4129999999999998</v>
      </c>
      <c r="N1594" s="8">
        <v>2.9180000000000001</v>
      </c>
      <c r="O1594" s="8">
        <v>2.4910000000000001</v>
      </c>
      <c r="P1594" s="8">
        <v>2.12</v>
      </c>
      <c r="Q1594" s="8">
        <v>1.788</v>
      </c>
      <c r="R1594" s="8">
        <v>1.544</v>
      </c>
      <c r="S1594" s="8">
        <v>1.2929999999999999</v>
      </c>
      <c r="T1594" s="8">
        <v>1.07</v>
      </c>
      <c r="U1594" s="8">
        <v>0.84099999999999997</v>
      </c>
      <c r="V1594" s="8">
        <v>0.60599999999999998</v>
      </c>
      <c r="W1594" s="8">
        <v>0.38400000000000001</v>
      </c>
      <c r="X1594" s="8">
        <v>0.19400000000000001</v>
      </c>
      <c r="Y1594" s="8">
        <v>7.2999999999999995E-2</v>
      </c>
      <c r="Z1594" s="8">
        <v>1.6E-2</v>
      </c>
      <c r="AA1594" s="8">
        <v>3.0000000000000001E-3</v>
      </c>
      <c r="AB1594" s="8">
        <v>0</v>
      </c>
      <c r="AC1594" s="8">
        <v>0</v>
      </c>
    </row>
    <row r="1595" spans="1:29" ht="11.65" x14ac:dyDescent="0.35">
      <c r="A1595" s="12">
        <v>1578</v>
      </c>
      <c r="B1595" s="10" t="s">
        <v>1015</v>
      </c>
      <c r="C1595" s="11" t="s">
        <v>1129</v>
      </c>
      <c r="D1595" s="9"/>
      <c r="E1595" s="9">
        <v>784</v>
      </c>
      <c r="F1595" s="10" t="s">
        <v>1066</v>
      </c>
      <c r="G1595" s="9">
        <v>922</v>
      </c>
      <c r="H1595" s="9">
        <v>1960</v>
      </c>
      <c r="I1595" s="8">
        <v>8.5589999999999993</v>
      </c>
      <c r="J1595" s="8">
        <v>6.617</v>
      </c>
      <c r="K1595" s="8">
        <v>5.3979999999999997</v>
      </c>
      <c r="L1595" s="8">
        <v>4.5330000000000004</v>
      </c>
      <c r="M1595" s="8">
        <v>3.8540000000000001</v>
      </c>
      <c r="N1595" s="8">
        <v>3.306</v>
      </c>
      <c r="O1595" s="8">
        <v>2.8250000000000002</v>
      </c>
      <c r="P1595" s="8">
        <v>2.4089999999999998</v>
      </c>
      <c r="Q1595" s="8">
        <v>2.0430000000000001</v>
      </c>
      <c r="R1595" s="8">
        <v>1.7050000000000001</v>
      </c>
      <c r="S1595" s="8">
        <v>1.4470000000000001</v>
      </c>
      <c r="T1595" s="8">
        <v>1.181</v>
      </c>
      <c r="U1595" s="8">
        <v>0.93400000000000005</v>
      </c>
      <c r="V1595" s="8">
        <v>0.68</v>
      </c>
      <c r="W1595" s="8">
        <v>0.437</v>
      </c>
      <c r="X1595" s="8">
        <v>0.22700000000000001</v>
      </c>
      <c r="Y1595" s="8">
        <v>8.6999999999999994E-2</v>
      </c>
      <c r="Z1595" s="8">
        <v>2.3E-2</v>
      </c>
      <c r="AA1595" s="8">
        <v>3.0000000000000001E-3</v>
      </c>
      <c r="AB1595" s="8">
        <v>0</v>
      </c>
      <c r="AC1595" s="8">
        <v>0</v>
      </c>
    </row>
    <row r="1596" spans="1:29" ht="11.65" x14ac:dyDescent="0.35">
      <c r="A1596" s="12">
        <v>1579</v>
      </c>
      <c r="B1596" s="10" t="s">
        <v>1015</v>
      </c>
      <c r="C1596" s="11" t="s">
        <v>1129</v>
      </c>
      <c r="D1596" s="9"/>
      <c r="E1596" s="9">
        <v>784</v>
      </c>
      <c r="F1596" s="10" t="s">
        <v>1066</v>
      </c>
      <c r="G1596" s="9">
        <v>922</v>
      </c>
      <c r="H1596" s="9">
        <v>1965</v>
      </c>
      <c r="I1596" s="8">
        <v>11.853</v>
      </c>
      <c r="J1596" s="8">
        <v>9.5109999999999992</v>
      </c>
      <c r="K1596" s="8">
        <v>8.9629999999999992</v>
      </c>
      <c r="L1596" s="8">
        <v>9.9239999999999995</v>
      </c>
      <c r="M1596" s="8">
        <v>11.513999999999999</v>
      </c>
      <c r="N1596" s="8">
        <v>9.8819999999999997</v>
      </c>
      <c r="O1596" s="8">
        <v>7.8659999999999997</v>
      </c>
      <c r="P1596" s="8">
        <v>5.9909999999999997</v>
      </c>
      <c r="Q1596" s="8">
        <v>4.2460000000000004</v>
      </c>
      <c r="R1596" s="8">
        <v>2.806</v>
      </c>
      <c r="S1596" s="8">
        <v>1.9370000000000001</v>
      </c>
      <c r="T1596" s="8">
        <v>1.2110000000000001</v>
      </c>
      <c r="U1596" s="8">
        <v>0.68700000000000006</v>
      </c>
      <c r="V1596" s="8">
        <v>0.629</v>
      </c>
      <c r="W1596" s="8">
        <v>0.503</v>
      </c>
      <c r="X1596" s="8">
        <v>0.26800000000000002</v>
      </c>
      <c r="Y1596" s="8">
        <v>0.106</v>
      </c>
      <c r="Z1596" s="8">
        <v>2.8000000000000001E-2</v>
      </c>
      <c r="AA1596" s="8">
        <v>4.0000000000000001E-3</v>
      </c>
      <c r="AB1596" s="8">
        <v>0</v>
      </c>
      <c r="AC1596" s="8">
        <v>0</v>
      </c>
    </row>
    <row r="1597" spans="1:29" ht="11.65" x14ac:dyDescent="0.35">
      <c r="A1597" s="12">
        <v>1580</v>
      </c>
      <c r="B1597" s="10" t="s">
        <v>1015</v>
      </c>
      <c r="C1597" s="11" t="s">
        <v>1129</v>
      </c>
      <c r="D1597" s="9"/>
      <c r="E1597" s="9">
        <v>784</v>
      </c>
      <c r="F1597" s="10" t="s">
        <v>1066</v>
      </c>
      <c r="G1597" s="9">
        <v>922</v>
      </c>
      <c r="H1597" s="9">
        <v>1970</v>
      </c>
      <c r="I1597" s="8">
        <v>18.510999999999999</v>
      </c>
      <c r="J1597" s="8">
        <v>12.606</v>
      </c>
      <c r="K1597" s="8">
        <v>12.115</v>
      </c>
      <c r="L1597" s="8">
        <v>13.534000000000001</v>
      </c>
      <c r="M1597" s="8">
        <v>18.722000000000001</v>
      </c>
      <c r="N1597" s="8">
        <v>22.193000000000001</v>
      </c>
      <c r="O1597" s="8">
        <v>16.266999999999999</v>
      </c>
      <c r="P1597" s="8">
        <v>12.067</v>
      </c>
      <c r="Q1597" s="8">
        <v>8.7279999999999998</v>
      </c>
      <c r="R1597" s="8">
        <v>5.5860000000000003</v>
      </c>
      <c r="S1597" s="8">
        <v>3.5110000000000001</v>
      </c>
      <c r="T1597" s="8">
        <v>1.9119999999999999</v>
      </c>
      <c r="U1597" s="8">
        <v>1.359</v>
      </c>
      <c r="V1597" s="8">
        <v>0.64900000000000002</v>
      </c>
      <c r="W1597" s="8">
        <v>0.47499999999999998</v>
      </c>
      <c r="X1597" s="8">
        <v>0.318</v>
      </c>
      <c r="Y1597" s="8">
        <v>0.13100000000000001</v>
      </c>
      <c r="Z1597" s="8">
        <v>3.5999999999999997E-2</v>
      </c>
      <c r="AA1597" s="8">
        <v>5.0000000000000001E-3</v>
      </c>
      <c r="AB1597" s="8">
        <v>0</v>
      </c>
      <c r="AC1597" s="8">
        <v>0</v>
      </c>
    </row>
    <row r="1598" spans="1:29" ht="11.65" x14ac:dyDescent="0.35">
      <c r="A1598" s="12">
        <v>1581</v>
      </c>
      <c r="B1598" s="10" t="s">
        <v>1015</v>
      </c>
      <c r="C1598" s="11" t="s">
        <v>1129</v>
      </c>
      <c r="D1598" s="9"/>
      <c r="E1598" s="9">
        <v>784</v>
      </c>
      <c r="F1598" s="10" t="s">
        <v>1066</v>
      </c>
      <c r="G1598" s="9">
        <v>922</v>
      </c>
      <c r="H1598" s="9">
        <v>1975</v>
      </c>
      <c r="I1598" s="8">
        <v>33.415999999999997</v>
      </c>
      <c r="J1598" s="8">
        <v>25.99</v>
      </c>
      <c r="K1598" s="8">
        <v>20.817</v>
      </c>
      <c r="L1598" s="8">
        <v>26.001000000000001</v>
      </c>
      <c r="M1598" s="8">
        <v>56.113999999999997</v>
      </c>
      <c r="N1598" s="8">
        <v>70.099000000000004</v>
      </c>
      <c r="O1598" s="8">
        <v>49.218000000000004</v>
      </c>
      <c r="P1598" s="8">
        <v>35.584000000000003</v>
      </c>
      <c r="Q1598" s="8">
        <v>24.617999999999999</v>
      </c>
      <c r="R1598" s="8">
        <v>13.861000000000001</v>
      </c>
      <c r="S1598" s="8">
        <v>11.446</v>
      </c>
      <c r="T1598" s="8">
        <v>4.3250000000000002</v>
      </c>
      <c r="U1598" s="8">
        <v>4.3630000000000004</v>
      </c>
      <c r="V1598" s="8">
        <v>3.7450000000000001</v>
      </c>
      <c r="W1598" s="8">
        <v>0.51300000000000001</v>
      </c>
      <c r="X1598" s="8">
        <v>0.31</v>
      </c>
      <c r="Y1598" s="8">
        <v>0.16200000000000001</v>
      </c>
      <c r="Z1598" s="8">
        <v>4.7E-2</v>
      </c>
      <c r="AA1598" s="8">
        <v>8.9999999999999993E-3</v>
      </c>
      <c r="AB1598" s="8">
        <v>0</v>
      </c>
      <c r="AC1598" s="8">
        <v>0</v>
      </c>
    </row>
    <row r="1599" spans="1:29" ht="11.65" x14ac:dyDescent="0.35">
      <c r="A1599" s="12">
        <v>1582</v>
      </c>
      <c r="B1599" s="10" t="s">
        <v>1015</v>
      </c>
      <c r="C1599" s="11" t="s">
        <v>1129</v>
      </c>
      <c r="D1599" s="9"/>
      <c r="E1599" s="9">
        <v>784</v>
      </c>
      <c r="F1599" s="10" t="s">
        <v>1066</v>
      </c>
      <c r="G1599" s="9">
        <v>922</v>
      </c>
      <c r="H1599" s="9">
        <v>1980</v>
      </c>
      <c r="I1599" s="8">
        <v>66.894000000000005</v>
      </c>
      <c r="J1599" s="8">
        <v>49.002000000000002</v>
      </c>
      <c r="K1599" s="8">
        <v>30.408000000000001</v>
      </c>
      <c r="L1599" s="8">
        <v>33.643999999999998</v>
      </c>
      <c r="M1599" s="8">
        <v>89.322000000000003</v>
      </c>
      <c r="N1599" s="8">
        <v>139.44999999999999</v>
      </c>
      <c r="O1599" s="8">
        <v>112.994</v>
      </c>
      <c r="P1599" s="8">
        <v>74.465999999999994</v>
      </c>
      <c r="Q1599" s="8">
        <v>51.624000000000002</v>
      </c>
      <c r="R1599" s="8">
        <v>24.759</v>
      </c>
      <c r="S1599" s="8">
        <v>15.164999999999999</v>
      </c>
      <c r="T1599" s="8">
        <v>9.3030000000000008</v>
      </c>
      <c r="U1599" s="8">
        <v>3.1930000000000001</v>
      </c>
      <c r="V1599" s="8">
        <v>5.3010000000000002</v>
      </c>
      <c r="W1599" s="8">
        <v>2.9390000000000001</v>
      </c>
      <c r="X1599" s="8">
        <v>0.34799999999999998</v>
      </c>
      <c r="Y1599" s="8">
        <v>0.16300000000000001</v>
      </c>
      <c r="Z1599" s="8">
        <v>6.2E-2</v>
      </c>
      <c r="AA1599" s="8">
        <v>1.2999999999999999E-2</v>
      </c>
      <c r="AB1599" s="8">
        <v>0</v>
      </c>
      <c r="AC1599" s="8">
        <v>0</v>
      </c>
    </row>
    <row r="1600" spans="1:29" ht="11.65" x14ac:dyDescent="0.35">
      <c r="A1600" s="12">
        <v>1583</v>
      </c>
      <c r="B1600" s="10" t="s">
        <v>1015</v>
      </c>
      <c r="C1600" s="11" t="s">
        <v>1129</v>
      </c>
      <c r="D1600" s="9"/>
      <c r="E1600" s="9">
        <v>784</v>
      </c>
      <c r="F1600" s="10" t="s">
        <v>1066</v>
      </c>
      <c r="G1600" s="9">
        <v>922</v>
      </c>
      <c r="H1600" s="9">
        <v>1985</v>
      </c>
      <c r="I1600" s="8">
        <v>96.393000000000001</v>
      </c>
      <c r="J1600" s="8">
        <v>76.477999999999994</v>
      </c>
      <c r="K1600" s="8">
        <v>50.258000000000003</v>
      </c>
      <c r="L1600" s="8">
        <v>36.259</v>
      </c>
      <c r="M1600" s="8">
        <v>79.343999999999994</v>
      </c>
      <c r="N1600" s="8">
        <v>142.733</v>
      </c>
      <c r="O1600" s="8">
        <v>140.11699999999999</v>
      </c>
      <c r="P1600" s="8">
        <v>106.136</v>
      </c>
      <c r="Q1600" s="8">
        <v>71.427000000000007</v>
      </c>
      <c r="R1600" s="8">
        <v>38.802</v>
      </c>
      <c r="S1600" s="8">
        <v>22.164999999999999</v>
      </c>
      <c r="T1600" s="8">
        <v>11.849</v>
      </c>
      <c r="U1600" s="8">
        <v>6.657</v>
      </c>
      <c r="V1600" s="8">
        <v>2.5750000000000002</v>
      </c>
      <c r="W1600" s="8">
        <v>4.2380000000000004</v>
      </c>
      <c r="X1600" s="8">
        <v>2.028</v>
      </c>
      <c r="Y1600" s="8">
        <v>0.20899999999999999</v>
      </c>
      <c r="Z1600" s="8">
        <v>6.6000000000000003E-2</v>
      </c>
      <c r="AA1600" s="8">
        <v>1.6E-2</v>
      </c>
      <c r="AB1600" s="8">
        <v>2E-3</v>
      </c>
      <c r="AC1600" s="8">
        <v>0</v>
      </c>
    </row>
    <row r="1601" spans="1:29" ht="11.65" x14ac:dyDescent="0.35">
      <c r="A1601" s="12">
        <v>1584</v>
      </c>
      <c r="B1601" s="10" t="s">
        <v>1015</v>
      </c>
      <c r="C1601" s="11" t="s">
        <v>1129</v>
      </c>
      <c r="D1601" s="9"/>
      <c r="E1601" s="9">
        <v>784</v>
      </c>
      <c r="F1601" s="10" t="s">
        <v>1066</v>
      </c>
      <c r="G1601" s="9">
        <v>922</v>
      </c>
      <c r="H1601" s="9">
        <v>1990</v>
      </c>
      <c r="I1601" s="8">
        <v>117.565</v>
      </c>
      <c r="J1601" s="8">
        <v>98.471999999999994</v>
      </c>
      <c r="K1601" s="8">
        <v>74.259</v>
      </c>
      <c r="L1601" s="8">
        <v>78.769000000000005</v>
      </c>
      <c r="M1601" s="8">
        <v>101.06699999999999</v>
      </c>
      <c r="N1601" s="8">
        <v>130.46199999999999</v>
      </c>
      <c r="O1601" s="8">
        <v>174.047</v>
      </c>
      <c r="P1601" s="8">
        <v>158.60900000000001</v>
      </c>
      <c r="Q1601" s="8">
        <v>114.624</v>
      </c>
      <c r="R1601" s="8">
        <v>75.325999999999993</v>
      </c>
      <c r="S1601" s="8">
        <v>36.209000000000003</v>
      </c>
      <c r="T1601" s="8">
        <v>18.122</v>
      </c>
      <c r="U1601" s="8">
        <v>8.6750000000000007</v>
      </c>
      <c r="V1601" s="8">
        <v>5.7409999999999997</v>
      </c>
      <c r="W1601" s="8">
        <v>2.0920000000000001</v>
      </c>
      <c r="X1601" s="8">
        <v>2.9980000000000002</v>
      </c>
      <c r="Y1601" s="8">
        <v>1.1599999999999999</v>
      </c>
      <c r="Z1601" s="8">
        <v>0.1</v>
      </c>
      <c r="AA1601" s="8">
        <v>0.02</v>
      </c>
      <c r="AB1601" s="8">
        <v>3.0000000000000001E-3</v>
      </c>
      <c r="AC1601" s="8">
        <v>0</v>
      </c>
    </row>
    <row r="1602" spans="1:29" ht="11.65" x14ac:dyDescent="0.35">
      <c r="A1602" s="12">
        <v>1585</v>
      </c>
      <c r="B1602" s="10" t="s">
        <v>1015</v>
      </c>
      <c r="C1602" s="11" t="s">
        <v>1129</v>
      </c>
      <c r="D1602" s="9"/>
      <c r="E1602" s="9">
        <v>784</v>
      </c>
      <c r="F1602" s="10" t="s">
        <v>1066</v>
      </c>
      <c r="G1602" s="9">
        <v>922</v>
      </c>
      <c r="H1602" s="9">
        <v>1995</v>
      </c>
      <c r="I1602" s="8">
        <v>118.61799999999999</v>
      </c>
      <c r="J1602" s="8">
        <v>116.75</v>
      </c>
      <c r="K1602" s="8">
        <v>103.691</v>
      </c>
      <c r="L1602" s="8">
        <v>81.697000000000003</v>
      </c>
      <c r="M1602" s="8">
        <v>139.28100000000001</v>
      </c>
      <c r="N1602" s="8">
        <v>233.09100000000001</v>
      </c>
      <c r="O1602" s="8">
        <v>230.976</v>
      </c>
      <c r="P1602" s="8">
        <v>212.875</v>
      </c>
      <c r="Q1602" s="8">
        <v>165.14500000000001</v>
      </c>
      <c r="R1602" s="8">
        <v>98.090999999999994</v>
      </c>
      <c r="S1602" s="8">
        <v>55.521999999999998</v>
      </c>
      <c r="T1602" s="8">
        <v>21.105</v>
      </c>
      <c r="U1602" s="8">
        <v>12.138</v>
      </c>
      <c r="V1602" s="8">
        <v>6.0359999999999996</v>
      </c>
      <c r="W1602" s="8">
        <v>4.74</v>
      </c>
      <c r="X1602" s="8">
        <v>1.516</v>
      </c>
      <c r="Y1602" s="8">
        <v>1.7729999999999999</v>
      </c>
      <c r="Z1602" s="8">
        <v>0.51700000000000002</v>
      </c>
      <c r="AA1602" s="8">
        <v>2.5000000000000001E-2</v>
      </c>
      <c r="AB1602" s="8">
        <v>4.0000000000000001E-3</v>
      </c>
      <c r="AC1602" s="8">
        <v>0</v>
      </c>
    </row>
    <row r="1603" spans="1:29" ht="11.65" x14ac:dyDescent="0.35">
      <c r="A1603" s="12">
        <v>1586</v>
      </c>
      <c r="B1603" s="10" t="s">
        <v>1015</v>
      </c>
      <c r="C1603" s="11" t="s">
        <v>1129</v>
      </c>
      <c r="D1603" s="9"/>
      <c r="E1603" s="9">
        <v>784</v>
      </c>
      <c r="F1603" s="10" t="s">
        <v>1066</v>
      </c>
      <c r="G1603" s="9">
        <v>922</v>
      </c>
      <c r="H1603" s="9">
        <v>2000</v>
      </c>
      <c r="I1603" s="8">
        <v>136.697</v>
      </c>
      <c r="J1603" s="8">
        <v>147.65100000000001</v>
      </c>
      <c r="K1603" s="8">
        <v>139.608</v>
      </c>
      <c r="L1603" s="8">
        <v>111.851</v>
      </c>
      <c r="M1603" s="8">
        <v>196.17599999999999</v>
      </c>
      <c r="N1603" s="8">
        <v>305.18200000000002</v>
      </c>
      <c r="O1603" s="8">
        <v>306.17599999999999</v>
      </c>
      <c r="P1603" s="8">
        <v>285.92099999999999</v>
      </c>
      <c r="Q1603" s="8">
        <v>225.678</v>
      </c>
      <c r="R1603" s="8">
        <v>127.892</v>
      </c>
      <c r="S1603" s="8">
        <v>69.53</v>
      </c>
      <c r="T1603" s="8">
        <v>32.457000000000001</v>
      </c>
      <c r="U1603" s="8">
        <v>11.771000000000001</v>
      </c>
      <c r="V1603" s="8">
        <v>10.053000000000001</v>
      </c>
      <c r="W1603" s="8">
        <v>5.0549999999999997</v>
      </c>
      <c r="X1603" s="8">
        <v>3.508</v>
      </c>
      <c r="Y1603" s="8">
        <v>0.92500000000000004</v>
      </c>
      <c r="Z1603" s="8">
        <v>0.83</v>
      </c>
      <c r="AA1603" s="8">
        <v>0.16900000000000001</v>
      </c>
      <c r="AB1603" s="8">
        <v>5.0000000000000001E-3</v>
      </c>
      <c r="AC1603" s="8">
        <v>0</v>
      </c>
    </row>
    <row r="1604" spans="1:29" ht="11.65" x14ac:dyDescent="0.35">
      <c r="A1604" s="12">
        <v>1587</v>
      </c>
      <c r="B1604" s="10" t="s">
        <v>1015</v>
      </c>
      <c r="C1604" s="11" t="s">
        <v>1129</v>
      </c>
      <c r="D1604" s="9"/>
      <c r="E1604" s="9">
        <v>784</v>
      </c>
      <c r="F1604" s="10" t="s">
        <v>1066</v>
      </c>
      <c r="G1604" s="9">
        <v>922</v>
      </c>
      <c r="H1604" s="9">
        <v>2005</v>
      </c>
      <c r="I1604" s="8">
        <v>153.35300000000001</v>
      </c>
      <c r="J1604" s="8">
        <v>140.54599999999999</v>
      </c>
      <c r="K1604" s="8">
        <v>141.256</v>
      </c>
      <c r="L1604" s="8">
        <v>144.261</v>
      </c>
      <c r="M1604" s="8">
        <v>313.52800000000002</v>
      </c>
      <c r="N1604" s="8">
        <v>573.80200000000002</v>
      </c>
      <c r="O1604" s="8">
        <v>580.05200000000002</v>
      </c>
      <c r="P1604" s="8">
        <v>453.06700000000001</v>
      </c>
      <c r="Q1604" s="8">
        <v>329.93900000000002</v>
      </c>
      <c r="R1604" s="8">
        <v>192.74199999999999</v>
      </c>
      <c r="S1604" s="8">
        <v>102.72199999999999</v>
      </c>
      <c r="T1604" s="8">
        <v>54.758000000000003</v>
      </c>
      <c r="U1604" s="8">
        <v>24.527999999999999</v>
      </c>
      <c r="V1604" s="8">
        <v>9.6010000000000009</v>
      </c>
      <c r="W1604" s="8">
        <v>8.5340000000000007</v>
      </c>
      <c r="X1604" s="8">
        <v>3.819</v>
      </c>
      <c r="Y1604" s="8">
        <v>2.2090000000000001</v>
      </c>
      <c r="Z1604" s="8">
        <v>0.45300000000000001</v>
      </c>
      <c r="AA1604" s="8">
        <v>0.28899999999999998</v>
      </c>
      <c r="AB1604" s="8">
        <v>3.9E-2</v>
      </c>
      <c r="AC1604" s="8">
        <v>1E-3</v>
      </c>
    </row>
    <row r="1605" spans="1:29" ht="11.65" x14ac:dyDescent="0.35">
      <c r="A1605" s="12">
        <v>1588</v>
      </c>
      <c r="B1605" s="10" t="s">
        <v>1015</v>
      </c>
      <c r="C1605" s="11" t="s">
        <v>1129</v>
      </c>
      <c r="D1605" s="9"/>
      <c r="E1605" s="9">
        <v>784</v>
      </c>
      <c r="F1605" s="10" t="s">
        <v>1066</v>
      </c>
      <c r="G1605" s="9">
        <v>922</v>
      </c>
      <c r="H1605" s="9">
        <v>2010</v>
      </c>
      <c r="I1605" s="8">
        <v>225.23400000000001</v>
      </c>
      <c r="J1605" s="8">
        <v>180.071</v>
      </c>
      <c r="K1605" s="8">
        <v>170.011</v>
      </c>
      <c r="L1605" s="8">
        <v>173.10300000000001</v>
      </c>
      <c r="M1605" s="8">
        <v>590.97</v>
      </c>
      <c r="N1605" s="8">
        <v>1111.549</v>
      </c>
      <c r="O1605" s="8">
        <v>1285.1969999999999</v>
      </c>
      <c r="P1605" s="8">
        <v>1105.0039999999999</v>
      </c>
      <c r="Q1605" s="8">
        <v>719.31</v>
      </c>
      <c r="R1605" s="8">
        <v>444.83499999999998</v>
      </c>
      <c r="S1605" s="8">
        <v>216.19</v>
      </c>
      <c r="T1605" s="8">
        <v>89.35</v>
      </c>
      <c r="U1605" s="8">
        <v>45.36</v>
      </c>
      <c r="V1605" s="8">
        <v>21.117999999999999</v>
      </c>
      <c r="W1605" s="8">
        <v>8.2520000000000007</v>
      </c>
      <c r="X1605" s="8">
        <v>6.5709999999999997</v>
      </c>
      <c r="Y1605" s="8">
        <v>2.4729999999999999</v>
      </c>
      <c r="Z1605" s="8">
        <v>1.1240000000000001</v>
      </c>
      <c r="AA1605" s="8">
        <v>0.16700000000000001</v>
      </c>
      <c r="AB1605" s="8">
        <v>7.0999999999999994E-2</v>
      </c>
      <c r="AC1605" s="8">
        <v>6.0000000000000001E-3</v>
      </c>
    </row>
    <row r="1606" spans="1:29" ht="11.65" x14ac:dyDescent="0.35">
      <c r="A1606" s="12">
        <v>1589</v>
      </c>
      <c r="B1606" s="10" t="s">
        <v>1015</v>
      </c>
      <c r="C1606" s="11" t="s">
        <v>1129</v>
      </c>
      <c r="D1606" s="9"/>
      <c r="E1606" s="9">
        <v>784</v>
      </c>
      <c r="F1606" s="10" t="s">
        <v>1066</v>
      </c>
      <c r="G1606" s="9">
        <v>922</v>
      </c>
      <c r="H1606" s="9">
        <v>2015</v>
      </c>
      <c r="I1606" s="8">
        <v>258.07</v>
      </c>
      <c r="J1606" s="8">
        <v>228.715</v>
      </c>
      <c r="K1606" s="8">
        <v>182.393</v>
      </c>
      <c r="L1606" s="8">
        <v>170.73099999999999</v>
      </c>
      <c r="M1606" s="8">
        <v>422.185</v>
      </c>
      <c r="N1606" s="8">
        <v>1075.635</v>
      </c>
      <c r="O1606" s="8">
        <v>1270.1489999999999</v>
      </c>
      <c r="P1606" s="8">
        <v>1056.2750000000001</v>
      </c>
      <c r="Q1606" s="8">
        <v>800.69500000000005</v>
      </c>
      <c r="R1606" s="8">
        <v>464.93700000000001</v>
      </c>
      <c r="S1606" s="8">
        <v>310.27600000000001</v>
      </c>
      <c r="T1606" s="8">
        <v>166.958</v>
      </c>
      <c r="U1606" s="8">
        <v>55.313000000000002</v>
      </c>
      <c r="V1606" s="8">
        <v>27.538</v>
      </c>
      <c r="W1606" s="8">
        <v>18.353000000000002</v>
      </c>
      <c r="X1606" s="8">
        <v>6.4660000000000002</v>
      </c>
      <c r="Y1606" s="8">
        <v>4.3680000000000003</v>
      </c>
      <c r="Z1606" s="8">
        <v>1.3069999999999999</v>
      </c>
      <c r="AA1606" s="8">
        <v>0.435</v>
      </c>
      <c r="AB1606" s="8">
        <v>4.2999999999999997E-2</v>
      </c>
      <c r="AC1606" s="8">
        <v>1.2E-2</v>
      </c>
    </row>
    <row r="1607" spans="1:29" ht="11.65" x14ac:dyDescent="0.35">
      <c r="A1607" s="12">
        <v>1590</v>
      </c>
      <c r="B1607" s="10" t="s">
        <v>1015</v>
      </c>
      <c r="C1607" s="11" t="s">
        <v>1129</v>
      </c>
      <c r="D1607" s="9"/>
      <c r="E1607" s="9">
        <v>784</v>
      </c>
      <c r="F1607" s="10" t="s">
        <v>1066</v>
      </c>
      <c r="G1607" s="9">
        <v>922</v>
      </c>
      <c r="H1607" s="9">
        <v>2020</v>
      </c>
      <c r="I1607" s="8">
        <v>254.845</v>
      </c>
      <c r="J1607" s="8">
        <v>261.57</v>
      </c>
      <c r="K1607" s="8">
        <v>231.04300000000001</v>
      </c>
      <c r="L1607" s="8">
        <v>200.60499999999999</v>
      </c>
      <c r="M1607" s="8">
        <v>487.25</v>
      </c>
      <c r="N1607" s="8">
        <v>1082.433</v>
      </c>
      <c r="O1607" s="8">
        <v>1321.9380000000001</v>
      </c>
      <c r="P1607" s="8">
        <v>966.91899999999998</v>
      </c>
      <c r="Q1607" s="8">
        <v>677.91399999999999</v>
      </c>
      <c r="R1607" s="8">
        <v>534.173</v>
      </c>
      <c r="S1607" s="8">
        <v>335.61200000000002</v>
      </c>
      <c r="T1607" s="8">
        <v>255.27199999999999</v>
      </c>
      <c r="U1607" s="8">
        <v>143.69</v>
      </c>
      <c r="V1607" s="8">
        <v>36.817999999999998</v>
      </c>
      <c r="W1607" s="8">
        <v>24.189</v>
      </c>
      <c r="X1607" s="8">
        <v>14.618</v>
      </c>
      <c r="Y1607" s="8">
        <v>4.4050000000000002</v>
      </c>
      <c r="Z1607" s="8">
        <v>2.3940000000000001</v>
      </c>
      <c r="AA1607" s="8">
        <v>0.53100000000000003</v>
      </c>
      <c r="AB1607" s="8">
        <v>0.121</v>
      </c>
      <c r="AC1607" s="8">
        <v>8.9999999999999993E-3</v>
      </c>
    </row>
    <row r="1608" spans="1:29" ht="11.65" x14ac:dyDescent="0.35">
      <c r="A1608" s="12">
        <v>1591</v>
      </c>
      <c r="B1608" s="10" t="s">
        <v>1015</v>
      </c>
      <c r="C1608" s="11" t="s">
        <v>1130</v>
      </c>
      <c r="D1608" s="9"/>
      <c r="E1608" s="9">
        <v>887</v>
      </c>
      <c r="F1608" s="10" t="s">
        <v>1066</v>
      </c>
      <c r="G1608" s="9">
        <v>922</v>
      </c>
      <c r="H1608" s="9">
        <v>1950</v>
      </c>
      <c r="I1608" s="8">
        <v>413.42399999999998</v>
      </c>
      <c r="J1608" s="8">
        <v>315.57600000000002</v>
      </c>
      <c r="K1608" s="8">
        <v>272.05200000000002</v>
      </c>
      <c r="L1608" s="8">
        <v>236.84299999999999</v>
      </c>
      <c r="M1608" s="8">
        <v>203.256</v>
      </c>
      <c r="N1608" s="8">
        <v>173.12299999999999</v>
      </c>
      <c r="O1608" s="8">
        <v>147.31200000000001</v>
      </c>
      <c r="P1608" s="8">
        <v>125.604</v>
      </c>
      <c r="Q1608" s="8">
        <v>106.70399999999999</v>
      </c>
      <c r="R1608" s="8">
        <v>89.424999999999997</v>
      </c>
      <c r="S1608" s="8">
        <v>75.275999999999996</v>
      </c>
      <c r="T1608" s="8">
        <v>59.508000000000003</v>
      </c>
      <c r="U1608" s="8">
        <v>50.003</v>
      </c>
      <c r="V1608" s="8">
        <v>38.448999999999998</v>
      </c>
      <c r="W1608" s="8">
        <v>26.568000000000001</v>
      </c>
      <c r="X1608" s="8">
        <v>13.824999999999999</v>
      </c>
      <c r="Y1608" s="8">
        <v>4.6550000000000002</v>
      </c>
      <c r="Z1608" s="8">
        <v>1.5429999999999999</v>
      </c>
      <c r="AA1608" s="8">
        <v>0.34100000000000003</v>
      </c>
      <c r="AB1608" s="8">
        <v>4.4999999999999998E-2</v>
      </c>
      <c r="AC1608" s="8">
        <v>4.0000000000000001E-3</v>
      </c>
    </row>
    <row r="1609" spans="1:29" ht="11.65" x14ac:dyDescent="0.35">
      <c r="A1609" s="12">
        <v>1592</v>
      </c>
      <c r="B1609" s="10" t="s">
        <v>1015</v>
      </c>
      <c r="C1609" s="11" t="s">
        <v>1130</v>
      </c>
      <c r="D1609" s="9"/>
      <c r="E1609" s="9">
        <v>887</v>
      </c>
      <c r="F1609" s="10" t="s">
        <v>1066</v>
      </c>
      <c r="G1609" s="9">
        <v>922</v>
      </c>
      <c r="H1609" s="9">
        <v>1955</v>
      </c>
      <c r="I1609" s="8">
        <v>407.03</v>
      </c>
      <c r="J1609" s="8">
        <v>346.59</v>
      </c>
      <c r="K1609" s="8">
        <v>298.18400000000003</v>
      </c>
      <c r="L1609" s="8">
        <v>259.31099999999998</v>
      </c>
      <c r="M1609" s="8">
        <v>219.12299999999999</v>
      </c>
      <c r="N1609" s="8">
        <v>183.75899999999999</v>
      </c>
      <c r="O1609" s="8">
        <v>156.18899999999999</v>
      </c>
      <c r="P1609" s="8">
        <v>132.79499999999999</v>
      </c>
      <c r="Q1609" s="8">
        <v>112.733</v>
      </c>
      <c r="R1609" s="8">
        <v>95.177000000000007</v>
      </c>
      <c r="S1609" s="8">
        <v>78.885999999999996</v>
      </c>
      <c r="T1609" s="8">
        <v>65.236000000000004</v>
      </c>
      <c r="U1609" s="8">
        <v>49.677999999999997</v>
      </c>
      <c r="V1609" s="8">
        <v>39.094000000000001</v>
      </c>
      <c r="W1609" s="8">
        <v>26.887</v>
      </c>
      <c r="X1609" s="8">
        <v>15.613</v>
      </c>
      <c r="Y1609" s="8">
        <v>6.327</v>
      </c>
      <c r="Z1609" s="8">
        <v>1.5309999999999999</v>
      </c>
      <c r="AA1609" s="8">
        <v>0.34</v>
      </c>
      <c r="AB1609" s="8">
        <v>4.4999999999999998E-2</v>
      </c>
      <c r="AC1609" s="8">
        <v>4.0000000000000001E-3</v>
      </c>
    </row>
    <row r="1610" spans="1:29" ht="11.65" x14ac:dyDescent="0.35">
      <c r="A1610" s="12">
        <v>1593</v>
      </c>
      <c r="B1610" s="10" t="s">
        <v>1015</v>
      </c>
      <c r="C1610" s="11" t="s">
        <v>1130</v>
      </c>
      <c r="D1610" s="9"/>
      <c r="E1610" s="9">
        <v>887</v>
      </c>
      <c r="F1610" s="10" t="s">
        <v>1066</v>
      </c>
      <c r="G1610" s="9">
        <v>922</v>
      </c>
      <c r="H1610" s="9">
        <v>1960</v>
      </c>
      <c r="I1610" s="8">
        <v>452.238</v>
      </c>
      <c r="J1610" s="8">
        <v>342.85199999999998</v>
      </c>
      <c r="K1610" s="8">
        <v>327.60899999999998</v>
      </c>
      <c r="L1610" s="8">
        <v>283.548</v>
      </c>
      <c r="M1610" s="8">
        <v>238.059</v>
      </c>
      <c r="N1610" s="8">
        <v>195.63</v>
      </c>
      <c r="O1610" s="8">
        <v>163.53</v>
      </c>
      <c r="P1610" s="8">
        <v>139.119</v>
      </c>
      <c r="Q1610" s="8">
        <v>118.006</v>
      </c>
      <c r="R1610" s="8">
        <v>99.733000000000004</v>
      </c>
      <c r="S1610" s="8">
        <v>83.397999999999996</v>
      </c>
      <c r="T1610" s="8">
        <v>67.953999999999994</v>
      </c>
      <c r="U1610" s="8">
        <v>54.189</v>
      </c>
      <c r="V1610" s="8">
        <v>38.619999999999997</v>
      </c>
      <c r="W1610" s="8">
        <v>27.199000000000002</v>
      </c>
      <c r="X1610" s="8">
        <v>15.72</v>
      </c>
      <c r="Y1610" s="8">
        <v>7.1130000000000004</v>
      </c>
      <c r="Z1610" s="8">
        <v>2.0760000000000001</v>
      </c>
      <c r="AA1610" s="8">
        <v>0.33800000000000002</v>
      </c>
      <c r="AB1610" s="8">
        <v>4.4999999999999998E-2</v>
      </c>
      <c r="AC1610" s="8">
        <v>4.0000000000000001E-3</v>
      </c>
    </row>
    <row r="1611" spans="1:29" ht="11.65" x14ac:dyDescent="0.35">
      <c r="A1611" s="12">
        <v>1594</v>
      </c>
      <c r="B1611" s="10" t="s">
        <v>1015</v>
      </c>
      <c r="C1611" s="11" t="s">
        <v>1130</v>
      </c>
      <c r="D1611" s="9"/>
      <c r="E1611" s="9">
        <v>887</v>
      </c>
      <c r="F1611" s="10" t="s">
        <v>1066</v>
      </c>
      <c r="G1611" s="9">
        <v>922</v>
      </c>
      <c r="H1611" s="9">
        <v>1965</v>
      </c>
      <c r="I1611" s="8">
        <v>507.32799999999997</v>
      </c>
      <c r="J1611" s="8">
        <v>384.30399999999997</v>
      </c>
      <c r="K1611" s="8">
        <v>324.52300000000002</v>
      </c>
      <c r="L1611" s="8">
        <v>311.20400000000001</v>
      </c>
      <c r="M1611" s="8">
        <v>258.97000000000003</v>
      </c>
      <c r="N1611" s="8">
        <v>210.68199999999999</v>
      </c>
      <c r="O1611" s="8">
        <v>172.28899999999999</v>
      </c>
      <c r="P1611" s="8">
        <v>144.251</v>
      </c>
      <c r="Q1611" s="8">
        <v>122.681</v>
      </c>
      <c r="R1611" s="8">
        <v>103.76600000000001</v>
      </c>
      <c r="S1611" s="8">
        <v>86.956999999999994</v>
      </c>
      <c r="T1611" s="8">
        <v>71.540999999999997</v>
      </c>
      <c r="U1611" s="8">
        <v>56.220999999999997</v>
      </c>
      <c r="V1611" s="8">
        <v>41.988</v>
      </c>
      <c r="W1611" s="8">
        <v>26.756</v>
      </c>
      <c r="X1611" s="8">
        <v>15.843999999999999</v>
      </c>
      <c r="Y1611" s="8">
        <v>7.13</v>
      </c>
      <c r="Z1611" s="8">
        <v>2.33</v>
      </c>
      <c r="AA1611" s="8">
        <v>0.45900000000000002</v>
      </c>
      <c r="AB1611" s="8">
        <v>4.4999999999999998E-2</v>
      </c>
      <c r="AC1611" s="8">
        <v>4.0000000000000001E-3</v>
      </c>
    </row>
    <row r="1612" spans="1:29" ht="11.65" x14ac:dyDescent="0.35">
      <c r="A1612" s="12">
        <v>1595</v>
      </c>
      <c r="B1612" s="10" t="s">
        <v>1015</v>
      </c>
      <c r="C1612" s="11" t="s">
        <v>1130</v>
      </c>
      <c r="D1612" s="9"/>
      <c r="E1612" s="9">
        <v>887</v>
      </c>
      <c r="F1612" s="10" t="s">
        <v>1066</v>
      </c>
      <c r="G1612" s="9">
        <v>922</v>
      </c>
      <c r="H1612" s="9">
        <v>1970</v>
      </c>
      <c r="I1612" s="8">
        <v>595.56299999999999</v>
      </c>
      <c r="J1612" s="8">
        <v>440.74400000000003</v>
      </c>
      <c r="K1612" s="8">
        <v>360.858</v>
      </c>
      <c r="L1612" s="8">
        <v>299.798</v>
      </c>
      <c r="M1612" s="8">
        <v>273.46600000000001</v>
      </c>
      <c r="N1612" s="8">
        <v>215.19399999999999</v>
      </c>
      <c r="O1612" s="8">
        <v>173.34800000000001</v>
      </c>
      <c r="P1612" s="8">
        <v>143.108</v>
      </c>
      <c r="Q1612" s="8">
        <v>121.331</v>
      </c>
      <c r="R1612" s="8">
        <v>104.15</v>
      </c>
      <c r="S1612" s="8">
        <v>88.099000000000004</v>
      </c>
      <c r="T1612" s="8">
        <v>73.057000000000002</v>
      </c>
      <c r="U1612" s="8">
        <v>58.210999999999999</v>
      </c>
      <c r="V1612" s="8">
        <v>42.953000000000003</v>
      </c>
      <c r="W1612" s="8">
        <v>28.759</v>
      </c>
      <c r="X1612" s="8">
        <v>15.368</v>
      </c>
      <c r="Y1612" s="8">
        <v>7.05</v>
      </c>
      <c r="Z1612" s="8">
        <v>2.3130000000000002</v>
      </c>
      <c r="AA1612" s="8">
        <v>0.51800000000000002</v>
      </c>
      <c r="AB1612" s="8">
        <v>6.2E-2</v>
      </c>
      <c r="AC1612" s="8">
        <v>4.0000000000000001E-3</v>
      </c>
    </row>
    <row r="1613" spans="1:29" ht="11.65" x14ac:dyDescent="0.35">
      <c r="A1613" s="12">
        <v>1596</v>
      </c>
      <c r="B1613" s="10" t="s">
        <v>1015</v>
      </c>
      <c r="C1613" s="11" t="s">
        <v>1130</v>
      </c>
      <c r="D1613" s="9"/>
      <c r="E1613" s="9">
        <v>887</v>
      </c>
      <c r="F1613" s="10" t="s">
        <v>1066</v>
      </c>
      <c r="G1613" s="9">
        <v>922</v>
      </c>
      <c r="H1613" s="9">
        <v>1975</v>
      </c>
      <c r="I1613" s="8">
        <v>697.721</v>
      </c>
      <c r="J1613" s="8">
        <v>531.77800000000002</v>
      </c>
      <c r="K1613" s="8">
        <v>417.20800000000003</v>
      </c>
      <c r="L1613" s="8">
        <v>331.98099999999999</v>
      </c>
      <c r="M1613" s="8">
        <v>254.23400000000001</v>
      </c>
      <c r="N1613" s="8">
        <v>218.05500000000001</v>
      </c>
      <c r="O1613" s="8">
        <v>168.13499999999999</v>
      </c>
      <c r="P1613" s="8">
        <v>137.453</v>
      </c>
      <c r="Q1613" s="8">
        <v>116.093</v>
      </c>
      <c r="R1613" s="8">
        <v>100.402</v>
      </c>
      <c r="S1613" s="8">
        <v>86.962999999999994</v>
      </c>
      <c r="T1613" s="8">
        <v>73.161000000000001</v>
      </c>
      <c r="U1613" s="8">
        <v>58.962000000000003</v>
      </c>
      <c r="V1613" s="8">
        <v>44.247</v>
      </c>
      <c r="W1613" s="8">
        <v>29.32</v>
      </c>
      <c r="X1613" s="8">
        <v>16.5</v>
      </c>
      <c r="Y1613" s="8">
        <v>6.766</v>
      </c>
      <c r="Z1613" s="8">
        <v>2.282</v>
      </c>
      <c r="AA1613" s="8">
        <v>0.51700000000000002</v>
      </c>
      <c r="AB1613" s="8">
        <v>7.0999999999999994E-2</v>
      </c>
      <c r="AC1613" s="8">
        <v>5.0000000000000001E-3</v>
      </c>
    </row>
    <row r="1614" spans="1:29" ht="11.65" x14ac:dyDescent="0.35">
      <c r="A1614" s="12">
        <v>1597</v>
      </c>
      <c r="B1614" s="10" t="s">
        <v>1015</v>
      </c>
      <c r="C1614" s="11" t="s">
        <v>1130</v>
      </c>
      <c r="D1614" s="9"/>
      <c r="E1614" s="9">
        <v>887</v>
      </c>
      <c r="F1614" s="10" t="s">
        <v>1066</v>
      </c>
      <c r="G1614" s="9">
        <v>922</v>
      </c>
      <c r="H1614" s="9">
        <v>1980</v>
      </c>
      <c r="I1614" s="8">
        <v>827.03399999999999</v>
      </c>
      <c r="J1614" s="8">
        <v>645.04</v>
      </c>
      <c r="K1614" s="8">
        <v>517.61099999999999</v>
      </c>
      <c r="L1614" s="8">
        <v>405.166</v>
      </c>
      <c r="M1614" s="8">
        <v>314.64100000000002</v>
      </c>
      <c r="N1614" s="8">
        <v>235.98</v>
      </c>
      <c r="O1614" s="8">
        <v>202.08</v>
      </c>
      <c r="P1614" s="8">
        <v>155.40100000000001</v>
      </c>
      <c r="Q1614" s="8">
        <v>126.691</v>
      </c>
      <c r="R1614" s="8">
        <v>106.373</v>
      </c>
      <c r="S1614" s="8">
        <v>90.852000000000004</v>
      </c>
      <c r="T1614" s="8">
        <v>77.019000000000005</v>
      </c>
      <c r="U1614" s="8">
        <v>62.273000000000003</v>
      </c>
      <c r="V1614" s="8">
        <v>46.97</v>
      </c>
      <c r="W1614" s="8">
        <v>31.632000000000001</v>
      </c>
      <c r="X1614" s="8">
        <v>17.701000000000001</v>
      </c>
      <c r="Y1614" s="8">
        <v>7.7830000000000004</v>
      </c>
      <c r="Z1614" s="8">
        <v>2.2919999999999998</v>
      </c>
      <c r="AA1614" s="8">
        <v>0.51400000000000001</v>
      </c>
      <c r="AB1614" s="8">
        <v>7.0999999999999994E-2</v>
      </c>
      <c r="AC1614" s="8">
        <v>5.0000000000000001E-3</v>
      </c>
    </row>
    <row r="1615" spans="1:29" ht="11.65" x14ac:dyDescent="0.35">
      <c r="A1615" s="12">
        <v>1598</v>
      </c>
      <c r="B1615" s="10" t="s">
        <v>1015</v>
      </c>
      <c r="C1615" s="11" t="s">
        <v>1130</v>
      </c>
      <c r="D1615" s="9"/>
      <c r="E1615" s="9">
        <v>887</v>
      </c>
      <c r="F1615" s="10" t="s">
        <v>1066</v>
      </c>
      <c r="G1615" s="9">
        <v>922</v>
      </c>
      <c r="H1615" s="9">
        <v>1985</v>
      </c>
      <c r="I1615" s="8">
        <v>1038.1500000000001</v>
      </c>
      <c r="J1615" s="8">
        <v>784.02800000000002</v>
      </c>
      <c r="K1615" s="8">
        <v>633.22299999999996</v>
      </c>
      <c r="L1615" s="8">
        <v>507.178</v>
      </c>
      <c r="M1615" s="8">
        <v>390.99099999999999</v>
      </c>
      <c r="N1615" s="8">
        <v>300.09800000000001</v>
      </c>
      <c r="O1615" s="8">
        <v>224.167</v>
      </c>
      <c r="P1615" s="8">
        <v>191.845</v>
      </c>
      <c r="Q1615" s="8">
        <v>146.73599999999999</v>
      </c>
      <c r="R1615" s="8">
        <v>118.626</v>
      </c>
      <c r="S1615" s="8">
        <v>98.134</v>
      </c>
      <c r="T1615" s="8">
        <v>81.843999999999994</v>
      </c>
      <c r="U1615" s="8">
        <v>66.608000000000004</v>
      </c>
      <c r="V1615" s="8">
        <v>50.42</v>
      </c>
      <c r="W1615" s="8">
        <v>34.21</v>
      </c>
      <c r="X1615" s="8">
        <v>19.53</v>
      </c>
      <c r="Y1615" s="8">
        <v>8.5730000000000004</v>
      </c>
      <c r="Z1615" s="8">
        <v>2.7040000000000002</v>
      </c>
      <c r="AA1615" s="8">
        <v>0.52400000000000002</v>
      </c>
      <c r="AB1615" s="8">
        <v>7.0999999999999994E-2</v>
      </c>
      <c r="AC1615" s="8">
        <v>6.0000000000000001E-3</v>
      </c>
    </row>
    <row r="1616" spans="1:29" ht="11.65" x14ac:dyDescent="0.35">
      <c r="A1616" s="12">
        <v>1599</v>
      </c>
      <c r="B1616" s="10" t="s">
        <v>1015</v>
      </c>
      <c r="C1616" s="11" t="s">
        <v>1130</v>
      </c>
      <c r="D1616" s="9"/>
      <c r="E1616" s="9">
        <v>887</v>
      </c>
      <c r="F1616" s="10" t="s">
        <v>1066</v>
      </c>
      <c r="G1616" s="9">
        <v>922</v>
      </c>
      <c r="H1616" s="9">
        <v>1990</v>
      </c>
      <c r="I1616" s="8">
        <v>1294.1959999999999</v>
      </c>
      <c r="J1616" s="8">
        <v>999.05399999999997</v>
      </c>
      <c r="K1616" s="8">
        <v>773.37199999999996</v>
      </c>
      <c r="L1616" s="8">
        <v>623.08000000000004</v>
      </c>
      <c r="M1616" s="8">
        <v>493.01400000000001</v>
      </c>
      <c r="N1616" s="8">
        <v>376.60199999999998</v>
      </c>
      <c r="O1616" s="8">
        <v>288.23200000000003</v>
      </c>
      <c r="P1616" s="8">
        <v>214.63399999999999</v>
      </c>
      <c r="Q1616" s="8">
        <v>183.09100000000001</v>
      </c>
      <c r="R1616" s="8">
        <v>138.767</v>
      </c>
      <c r="S1616" s="8">
        <v>110.495</v>
      </c>
      <c r="T1616" s="8">
        <v>89.212999999999994</v>
      </c>
      <c r="U1616" s="8">
        <v>71.444000000000003</v>
      </c>
      <c r="V1616" s="8">
        <v>54.494999999999997</v>
      </c>
      <c r="W1616" s="8">
        <v>37.203000000000003</v>
      </c>
      <c r="X1616" s="8">
        <v>21.474</v>
      </c>
      <c r="Y1616" s="8">
        <v>9.6519999999999992</v>
      </c>
      <c r="Z1616" s="8">
        <v>3.044</v>
      </c>
      <c r="AA1616" s="8">
        <v>0.63100000000000001</v>
      </c>
      <c r="AB1616" s="8">
        <v>7.3999999999999996E-2</v>
      </c>
      <c r="AC1616" s="8">
        <v>6.0000000000000001E-3</v>
      </c>
    </row>
    <row r="1617" spans="1:29" ht="11.65" x14ac:dyDescent="0.35">
      <c r="A1617" s="12">
        <v>1600</v>
      </c>
      <c r="B1617" s="10" t="s">
        <v>1015</v>
      </c>
      <c r="C1617" s="11" t="s">
        <v>1130</v>
      </c>
      <c r="D1617" s="9"/>
      <c r="E1617" s="9">
        <v>887</v>
      </c>
      <c r="F1617" s="10" t="s">
        <v>1066</v>
      </c>
      <c r="G1617" s="9">
        <v>922</v>
      </c>
      <c r="H1617" s="9">
        <v>1995</v>
      </c>
      <c r="I1617" s="8">
        <v>1544.643</v>
      </c>
      <c r="J1617" s="8">
        <v>1269.83</v>
      </c>
      <c r="K1617" s="8">
        <v>1002.896</v>
      </c>
      <c r="L1617" s="8">
        <v>789.18499999999995</v>
      </c>
      <c r="M1617" s="8">
        <v>595.20699999999999</v>
      </c>
      <c r="N1617" s="8">
        <v>439.81200000000001</v>
      </c>
      <c r="O1617" s="8">
        <v>379.19</v>
      </c>
      <c r="P1617" s="8">
        <v>335.46600000000001</v>
      </c>
      <c r="Q1617" s="8">
        <v>276.50599999999997</v>
      </c>
      <c r="R1617" s="8">
        <v>236.26400000000001</v>
      </c>
      <c r="S1617" s="8">
        <v>183.876</v>
      </c>
      <c r="T1617" s="8">
        <v>143.93600000000001</v>
      </c>
      <c r="U1617" s="8">
        <v>111.249</v>
      </c>
      <c r="V1617" s="8">
        <v>90.631</v>
      </c>
      <c r="W1617" s="8">
        <v>70.855999999999995</v>
      </c>
      <c r="X1617" s="8">
        <v>42.088999999999999</v>
      </c>
      <c r="Y1617" s="8">
        <v>19.472999999999999</v>
      </c>
      <c r="Z1617" s="8">
        <v>5.27</v>
      </c>
      <c r="AA1617" s="8">
        <v>0.71899999999999997</v>
      </c>
      <c r="AB1617" s="8">
        <v>8.8999999999999996E-2</v>
      </c>
      <c r="AC1617" s="8">
        <v>6.0000000000000001E-3</v>
      </c>
    </row>
    <row r="1618" spans="1:29" ht="11.65" x14ac:dyDescent="0.35">
      <c r="A1618" s="12">
        <v>1601</v>
      </c>
      <c r="B1618" s="10" t="s">
        <v>1015</v>
      </c>
      <c r="C1618" s="11" t="s">
        <v>1130</v>
      </c>
      <c r="D1618" s="9"/>
      <c r="E1618" s="9">
        <v>887</v>
      </c>
      <c r="F1618" s="10" t="s">
        <v>1066</v>
      </c>
      <c r="G1618" s="9">
        <v>922</v>
      </c>
      <c r="H1618" s="9">
        <v>2000</v>
      </c>
      <c r="I1618" s="8">
        <v>1575.654</v>
      </c>
      <c r="J1618" s="8">
        <v>1503.3440000000001</v>
      </c>
      <c r="K1618" s="8">
        <v>1256.5940000000001</v>
      </c>
      <c r="L1618" s="8">
        <v>988.59199999999998</v>
      </c>
      <c r="M1618" s="8">
        <v>767.678</v>
      </c>
      <c r="N1618" s="8">
        <v>572.75300000000004</v>
      </c>
      <c r="O1618" s="8">
        <v>421.37599999999998</v>
      </c>
      <c r="P1618" s="8">
        <v>363.48500000000001</v>
      </c>
      <c r="Q1618" s="8">
        <v>321.08</v>
      </c>
      <c r="R1618" s="8">
        <v>262.70699999999999</v>
      </c>
      <c r="S1618" s="8">
        <v>221.33799999999999</v>
      </c>
      <c r="T1618" s="8">
        <v>168.059</v>
      </c>
      <c r="U1618" s="8">
        <v>126.339</v>
      </c>
      <c r="V1618" s="8">
        <v>91.608999999999995</v>
      </c>
      <c r="W1618" s="8">
        <v>67.525000000000006</v>
      </c>
      <c r="X1618" s="8">
        <v>45.128</v>
      </c>
      <c r="Y1618" s="8">
        <v>21.210999999999999</v>
      </c>
      <c r="Z1618" s="8">
        <v>7.0750000000000002</v>
      </c>
      <c r="AA1618" s="8">
        <v>1.256</v>
      </c>
      <c r="AB1618" s="8">
        <v>0.104</v>
      </c>
      <c r="AC1618" s="8">
        <v>7.0000000000000001E-3</v>
      </c>
    </row>
    <row r="1619" spans="1:29" ht="11.65" x14ac:dyDescent="0.35">
      <c r="A1619" s="12">
        <v>1602</v>
      </c>
      <c r="B1619" s="10" t="s">
        <v>1015</v>
      </c>
      <c r="C1619" s="11" t="s">
        <v>1130</v>
      </c>
      <c r="D1619" s="9"/>
      <c r="E1619" s="9">
        <v>887</v>
      </c>
      <c r="F1619" s="10" t="s">
        <v>1066</v>
      </c>
      <c r="G1619" s="9">
        <v>922</v>
      </c>
      <c r="H1619" s="9">
        <v>2005</v>
      </c>
      <c r="I1619" s="8">
        <v>1687.1320000000001</v>
      </c>
      <c r="J1619" s="8">
        <v>1542.375</v>
      </c>
      <c r="K1619" s="8">
        <v>1487.934</v>
      </c>
      <c r="L1619" s="8">
        <v>1240.297</v>
      </c>
      <c r="M1619" s="8">
        <v>966.29300000000001</v>
      </c>
      <c r="N1619" s="8">
        <v>744.25699999999995</v>
      </c>
      <c r="O1619" s="8">
        <v>553.45600000000002</v>
      </c>
      <c r="P1619" s="8">
        <v>406.04500000000002</v>
      </c>
      <c r="Q1619" s="8">
        <v>349.60500000000002</v>
      </c>
      <c r="R1619" s="8">
        <v>306.89400000000001</v>
      </c>
      <c r="S1619" s="8">
        <v>247.54499999999999</v>
      </c>
      <c r="T1619" s="8">
        <v>203.67099999999999</v>
      </c>
      <c r="U1619" s="8">
        <v>148.58000000000001</v>
      </c>
      <c r="V1619" s="8">
        <v>104.90600000000001</v>
      </c>
      <c r="W1619" s="8">
        <v>68.95</v>
      </c>
      <c r="X1619" s="8">
        <v>43.591000000000001</v>
      </c>
      <c r="Y1619" s="8">
        <v>23.16</v>
      </c>
      <c r="Z1619" s="8">
        <v>7.8730000000000002</v>
      </c>
      <c r="AA1619" s="8">
        <v>1.724</v>
      </c>
      <c r="AB1619" s="8">
        <v>0.185</v>
      </c>
      <c r="AC1619" s="8">
        <v>8.9999999999999993E-3</v>
      </c>
    </row>
    <row r="1620" spans="1:29" ht="11.65" x14ac:dyDescent="0.35">
      <c r="A1620" s="12">
        <v>1603</v>
      </c>
      <c r="B1620" s="10" t="s">
        <v>1015</v>
      </c>
      <c r="C1620" s="11" t="s">
        <v>1130</v>
      </c>
      <c r="D1620" s="9"/>
      <c r="E1620" s="9">
        <v>887</v>
      </c>
      <c r="F1620" s="10" t="s">
        <v>1066</v>
      </c>
      <c r="G1620" s="9">
        <v>922</v>
      </c>
      <c r="H1620" s="9">
        <v>2010</v>
      </c>
      <c r="I1620" s="8">
        <v>1844.7539999999999</v>
      </c>
      <c r="J1620" s="8">
        <v>1662.2059999999999</v>
      </c>
      <c r="K1620" s="8">
        <v>1529.472</v>
      </c>
      <c r="L1620" s="8">
        <v>1473.671</v>
      </c>
      <c r="M1620" s="8">
        <v>1222.153</v>
      </c>
      <c r="N1620" s="8">
        <v>948.34699999999998</v>
      </c>
      <c r="O1620" s="8">
        <v>729.37699999999995</v>
      </c>
      <c r="P1620" s="8">
        <v>541.04899999999998</v>
      </c>
      <c r="Q1620" s="8">
        <v>395.08199999999999</v>
      </c>
      <c r="R1620" s="8">
        <v>337.55500000000001</v>
      </c>
      <c r="S1620" s="8">
        <v>291.97199999999998</v>
      </c>
      <c r="T1620" s="8">
        <v>229.666</v>
      </c>
      <c r="U1620" s="8">
        <v>181.816</v>
      </c>
      <c r="V1620" s="8">
        <v>124.881</v>
      </c>
      <c r="W1620" s="8">
        <v>80.165000000000006</v>
      </c>
      <c r="X1620" s="8">
        <v>45.386000000000003</v>
      </c>
      <c r="Y1620" s="8">
        <v>22.937999999999999</v>
      </c>
      <c r="Z1620" s="8">
        <v>8.8480000000000008</v>
      </c>
      <c r="AA1620" s="8">
        <v>1.972</v>
      </c>
      <c r="AB1620" s="8">
        <v>0.25900000000000001</v>
      </c>
      <c r="AC1620" s="8">
        <v>1.6E-2</v>
      </c>
    </row>
    <row r="1621" spans="1:29" ht="11.65" x14ac:dyDescent="0.35">
      <c r="A1621" s="12">
        <v>1604</v>
      </c>
      <c r="B1621" s="10" t="s">
        <v>1015</v>
      </c>
      <c r="C1621" s="11" t="s">
        <v>1130</v>
      </c>
      <c r="D1621" s="9"/>
      <c r="E1621" s="9">
        <v>887</v>
      </c>
      <c r="F1621" s="10" t="s">
        <v>1066</v>
      </c>
      <c r="G1621" s="9">
        <v>922</v>
      </c>
      <c r="H1621" s="9">
        <v>2015</v>
      </c>
      <c r="I1621" s="8">
        <v>2022.02</v>
      </c>
      <c r="J1621" s="8">
        <v>1823.096</v>
      </c>
      <c r="K1621" s="8">
        <v>1653.0709999999999</v>
      </c>
      <c r="L1621" s="8">
        <v>1516.7470000000001</v>
      </c>
      <c r="M1621" s="8">
        <v>1452.104</v>
      </c>
      <c r="N1621" s="8">
        <v>1199.5029999999999</v>
      </c>
      <c r="O1621" s="8">
        <v>929.43700000000001</v>
      </c>
      <c r="P1621" s="8">
        <v>713.40499999999997</v>
      </c>
      <c r="Q1621" s="8">
        <v>526.96500000000003</v>
      </c>
      <c r="R1621" s="8">
        <v>381.68099999999998</v>
      </c>
      <c r="S1621" s="8">
        <v>321.74</v>
      </c>
      <c r="T1621" s="8">
        <v>271.95999999999998</v>
      </c>
      <c r="U1621" s="8">
        <v>205.93299999999999</v>
      </c>
      <c r="V1621" s="8">
        <v>153.58699999999999</v>
      </c>
      <c r="W1621" s="8">
        <v>96.081999999999994</v>
      </c>
      <c r="X1621" s="8">
        <v>53.252000000000002</v>
      </c>
      <c r="Y1621" s="8">
        <v>24.152999999999999</v>
      </c>
      <c r="Z1621" s="8">
        <v>8.8849999999999998</v>
      </c>
      <c r="AA1621" s="8">
        <v>2.2509999999999999</v>
      </c>
      <c r="AB1621" s="8">
        <v>0.30099999999999999</v>
      </c>
      <c r="AC1621" s="8">
        <v>2.3E-2</v>
      </c>
    </row>
    <row r="1622" spans="1:29" ht="11.65" x14ac:dyDescent="0.35">
      <c r="A1622" s="12">
        <v>1605</v>
      </c>
      <c r="B1622" s="10" t="s">
        <v>1015</v>
      </c>
      <c r="C1622" s="11" t="s">
        <v>1130</v>
      </c>
      <c r="D1622" s="9"/>
      <c r="E1622" s="9">
        <v>887</v>
      </c>
      <c r="F1622" s="10" t="s">
        <v>1066</v>
      </c>
      <c r="G1622" s="9">
        <v>922</v>
      </c>
      <c r="H1622" s="9">
        <v>2020</v>
      </c>
      <c r="I1622" s="8">
        <v>2099.8429999999998</v>
      </c>
      <c r="J1622" s="8">
        <v>1998.2660000000001</v>
      </c>
      <c r="K1622" s="8">
        <v>1808.3050000000001</v>
      </c>
      <c r="L1622" s="8">
        <v>1627.521</v>
      </c>
      <c r="M1622" s="8">
        <v>1482.136</v>
      </c>
      <c r="N1622" s="8">
        <v>1419.1890000000001</v>
      </c>
      <c r="O1622" s="8">
        <v>1173.529</v>
      </c>
      <c r="P1622" s="8">
        <v>908.53499999999997</v>
      </c>
      <c r="Q1622" s="8">
        <v>694.88300000000004</v>
      </c>
      <c r="R1622" s="8">
        <v>509.27499999999998</v>
      </c>
      <c r="S1622" s="8">
        <v>363.68099999999998</v>
      </c>
      <c r="T1622" s="8">
        <v>299.483</v>
      </c>
      <c r="U1622" s="8">
        <v>243.80600000000001</v>
      </c>
      <c r="V1622" s="8">
        <v>173.95</v>
      </c>
      <c r="W1622" s="8">
        <v>118.244</v>
      </c>
      <c r="X1622" s="8">
        <v>63.895000000000003</v>
      </c>
      <c r="Y1622" s="8">
        <v>28.427</v>
      </c>
      <c r="Z1622" s="8">
        <v>9.3829999999999991</v>
      </c>
      <c r="AA1622" s="8">
        <v>2.262</v>
      </c>
      <c r="AB1622" s="8">
        <v>0.34499999999999997</v>
      </c>
      <c r="AC1622" s="8">
        <v>2.7E-2</v>
      </c>
    </row>
    <row r="1623" spans="1:29" ht="11.65" x14ac:dyDescent="0.35">
      <c r="A1623" s="28">
        <v>1606</v>
      </c>
      <c r="B1623" s="26" t="s">
        <v>1015</v>
      </c>
      <c r="C1623" s="27" t="s">
        <v>1131</v>
      </c>
      <c r="D1623" s="25"/>
      <c r="E1623" s="25">
        <v>921</v>
      </c>
      <c r="F1623" s="26" t="s">
        <v>1063</v>
      </c>
      <c r="G1623" s="25">
        <v>1828</v>
      </c>
      <c r="H1623" s="25">
        <v>1950</v>
      </c>
      <c r="I1623" s="24">
        <v>37670.639999999999</v>
      </c>
      <c r="J1623" s="24">
        <v>31285.124</v>
      </c>
      <c r="K1623" s="24">
        <v>29331.008999999998</v>
      </c>
      <c r="L1623" s="24">
        <v>26631.838</v>
      </c>
      <c r="M1623" s="24">
        <v>24279.492999999999</v>
      </c>
      <c r="N1623" s="24">
        <v>21191.572</v>
      </c>
      <c r="O1623" s="24">
        <v>18487.797999999999</v>
      </c>
      <c r="P1623" s="24">
        <v>16171.618</v>
      </c>
      <c r="Q1623" s="24">
        <v>14186.54</v>
      </c>
      <c r="R1623" s="24">
        <v>11699.869000000001</v>
      </c>
      <c r="S1623" s="24">
        <v>9815.6659999999993</v>
      </c>
      <c r="T1623" s="24">
        <v>7200.3959999999997</v>
      </c>
      <c r="U1623" s="24">
        <v>5969.7089999999998</v>
      </c>
      <c r="V1623" s="24">
        <v>3776.97</v>
      </c>
      <c r="W1623" s="24">
        <v>2821.3090000000002</v>
      </c>
      <c r="X1623" s="24">
        <v>1664.8489999999999</v>
      </c>
      <c r="Y1623" s="24">
        <v>753.48199999999997</v>
      </c>
      <c r="Z1623" s="24">
        <v>241.35</v>
      </c>
      <c r="AA1623" s="24">
        <v>52.014000000000003</v>
      </c>
      <c r="AB1623" s="24">
        <v>8.3040000000000003</v>
      </c>
      <c r="AC1623" s="24">
        <v>8.5000000000000006E-2</v>
      </c>
    </row>
    <row r="1624" spans="1:29" ht="11.65" x14ac:dyDescent="0.35">
      <c r="A1624" s="28">
        <v>1607</v>
      </c>
      <c r="B1624" s="26" t="s">
        <v>1015</v>
      </c>
      <c r="C1624" s="27" t="s">
        <v>1131</v>
      </c>
      <c r="D1624" s="25"/>
      <c r="E1624" s="25">
        <v>921</v>
      </c>
      <c r="F1624" s="26" t="s">
        <v>1063</v>
      </c>
      <c r="G1624" s="25">
        <v>1828</v>
      </c>
      <c r="H1624" s="25">
        <v>1955</v>
      </c>
      <c r="I1624" s="24">
        <v>46576.491000000002</v>
      </c>
      <c r="J1624" s="24">
        <v>34531.953999999998</v>
      </c>
      <c r="K1624" s="24">
        <v>30218.084999999999</v>
      </c>
      <c r="L1624" s="24">
        <v>28407.466</v>
      </c>
      <c r="M1624" s="24">
        <v>25510.623</v>
      </c>
      <c r="N1624" s="24">
        <v>23094.476999999999</v>
      </c>
      <c r="O1624" s="24">
        <v>20066.689999999999</v>
      </c>
      <c r="P1624" s="24">
        <v>17372.093000000001</v>
      </c>
      <c r="Q1624" s="24">
        <v>15034.369000000001</v>
      </c>
      <c r="R1624" s="24">
        <v>12971.583000000001</v>
      </c>
      <c r="S1624" s="24">
        <v>10434.549000000001</v>
      </c>
      <c r="T1624" s="24">
        <v>8441.5849999999991</v>
      </c>
      <c r="U1624" s="24">
        <v>5867.1059999999998</v>
      </c>
      <c r="V1624" s="24">
        <v>4480.9830000000002</v>
      </c>
      <c r="W1624" s="24">
        <v>2530.6750000000002</v>
      </c>
      <c r="X1624" s="24">
        <v>1590.82</v>
      </c>
      <c r="Y1624" s="24">
        <v>716.58500000000004</v>
      </c>
      <c r="Z1624" s="24">
        <v>216.977</v>
      </c>
      <c r="AA1624" s="24">
        <v>41.673999999999999</v>
      </c>
      <c r="AB1624" s="24">
        <v>6.32</v>
      </c>
      <c r="AC1624" s="24">
        <v>0.73899999999999999</v>
      </c>
    </row>
    <row r="1625" spans="1:29" ht="11.65" x14ac:dyDescent="0.35">
      <c r="A1625" s="28">
        <v>1608</v>
      </c>
      <c r="B1625" s="26" t="s">
        <v>1015</v>
      </c>
      <c r="C1625" s="27" t="s">
        <v>1131</v>
      </c>
      <c r="D1625" s="25"/>
      <c r="E1625" s="25">
        <v>921</v>
      </c>
      <c r="F1625" s="26" t="s">
        <v>1063</v>
      </c>
      <c r="G1625" s="25">
        <v>1828</v>
      </c>
      <c r="H1625" s="25">
        <v>1960</v>
      </c>
      <c r="I1625" s="24">
        <v>52180.078999999998</v>
      </c>
      <c r="J1625" s="24">
        <v>43219.14</v>
      </c>
      <c r="K1625" s="24">
        <v>33556.339999999997</v>
      </c>
      <c r="L1625" s="24">
        <v>29435.058000000001</v>
      </c>
      <c r="M1625" s="24">
        <v>27439.922999999999</v>
      </c>
      <c r="N1625" s="24">
        <v>24492.946</v>
      </c>
      <c r="O1625" s="24">
        <v>22086.027999999998</v>
      </c>
      <c r="P1625" s="24">
        <v>19048.525000000001</v>
      </c>
      <c r="Q1625" s="24">
        <v>16308.273999999999</v>
      </c>
      <c r="R1625" s="24">
        <v>13893.138000000001</v>
      </c>
      <c r="S1625" s="24">
        <v>11705.88</v>
      </c>
      <c r="T1625" s="24">
        <v>9119.232</v>
      </c>
      <c r="U1625" s="24">
        <v>7007.9719999999998</v>
      </c>
      <c r="V1625" s="24">
        <v>4516.6319999999996</v>
      </c>
      <c r="W1625" s="24">
        <v>3077.8670000000002</v>
      </c>
      <c r="X1625" s="24">
        <v>1479.3530000000001</v>
      </c>
      <c r="Y1625" s="24">
        <v>719.149</v>
      </c>
      <c r="Z1625" s="24">
        <v>220.416</v>
      </c>
      <c r="AA1625" s="24">
        <v>41.768999999999998</v>
      </c>
      <c r="AB1625" s="24">
        <v>5.8440000000000003</v>
      </c>
      <c r="AC1625" s="24">
        <v>0.70799999999999996</v>
      </c>
    </row>
    <row r="1626" spans="1:29" ht="11.65" x14ac:dyDescent="0.35">
      <c r="A1626" s="28">
        <v>1609</v>
      </c>
      <c r="B1626" s="26" t="s">
        <v>1015</v>
      </c>
      <c r="C1626" s="27" t="s">
        <v>1131</v>
      </c>
      <c r="D1626" s="25"/>
      <c r="E1626" s="25">
        <v>921</v>
      </c>
      <c r="F1626" s="26" t="s">
        <v>1063</v>
      </c>
      <c r="G1626" s="25">
        <v>1828</v>
      </c>
      <c r="H1626" s="25">
        <v>1965</v>
      </c>
      <c r="I1626" s="24">
        <v>58030.114000000001</v>
      </c>
      <c r="J1626" s="24">
        <v>48848.864999999998</v>
      </c>
      <c r="K1626" s="24">
        <v>42132.862000000001</v>
      </c>
      <c r="L1626" s="24">
        <v>32791.108</v>
      </c>
      <c r="M1626" s="24">
        <v>28593.422999999999</v>
      </c>
      <c r="N1626" s="24">
        <v>26578.984</v>
      </c>
      <c r="O1626" s="24">
        <v>23624.268</v>
      </c>
      <c r="P1626" s="24">
        <v>21156.940999999999</v>
      </c>
      <c r="Q1626" s="24">
        <v>18058.118999999999</v>
      </c>
      <c r="R1626" s="24">
        <v>15209.794</v>
      </c>
      <c r="S1626" s="24">
        <v>12665.67</v>
      </c>
      <c r="T1626" s="24">
        <v>10357.342000000001</v>
      </c>
      <c r="U1626" s="24">
        <v>7690.4480000000003</v>
      </c>
      <c r="V1626" s="24">
        <v>5480.7650000000003</v>
      </c>
      <c r="W1626" s="24">
        <v>3169.1880000000001</v>
      </c>
      <c r="X1626" s="24">
        <v>1850.5119999999999</v>
      </c>
      <c r="Y1626" s="24">
        <v>700.00400000000002</v>
      </c>
      <c r="Z1626" s="24">
        <v>235.06100000000001</v>
      </c>
      <c r="AA1626" s="24">
        <v>45.365000000000002</v>
      </c>
      <c r="AB1626" s="24">
        <v>6.359</v>
      </c>
      <c r="AC1626" s="24">
        <v>0.72399999999999998</v>
      </c>
    </row>
    <row r="1627" spans="1:29" ht="11.65" x14ac:dyDescent="0.35">
      <c r="A1627" s="28">
        <v>1610</v>
      </c>
      <c r="B1627" s="26" t="s">
        <v>1015</v>
      </c>
      <c r="C1627" s="27" t="s">
        <v>1131</v>
      </c>
      <c r="D1627" s="25"/>
      <c r="E1627" s="25">
        <v>921</v>
      </c>
      <c r="F1627" s="26" t="s">
        <v>1063</v>
      </c>
      <c r="G1627" s="25">
        <v>1828</v>
      </c>
      <c r="H1627" s="25">
        <v>1970</v>
      </c>
      <c r="I1627" s="24">
        <v>63419.726999999999</v>
      </c>
      <c r="J1627" s="24">
        <v>54679.059000000001</v>
      </c>
      <c r="K1627" s="24">
        <v>47873.000999999997</v>
      </c>
      <c r="L1627" s="24">
        <v>41368.644999999997</v>
      </c>
      <c r="M1627" s="24">
        <v>32037.670999999998</v>
      </c>
      <c r="N1627" s="24">
        <v>27854.724999999999</v>
      </c>
      <c r="O1627" s="24">
        <v>25856.601999999999</v>
      </c>
      <c r="P1627" s="24">
        <v>22827.156999999999</v>
      </c>
      <c r="Q1627" s="24">
        <v>20242.713</v>
      </c>
      <c r="R1627" s="24">
        <v>17015.258999999998</v>
      </c>
      <c r="S1627" s="24">
        <v>14010.712</v>
      </c>
      <c r="T1627" s="24">
        <v>11328.31</v>
      </c>
      <c r="U1627" s="24">
        <v>8837.7839999999997</v>
      </c>
      <c r="V1627" s="24">
        <v>6114.1490000000003</v>
      </c>
      <c r="W1627" s="24">
        <v>3919.06</v>
      </c>
      <c r="X1627" s="24">
        <v>1952.9090000000001</v>
      </c>
      <c r="Y1627" s="24">
        <v>904.67499999999995</v>
      </c>
      <c r="Z1627" s="24">
        <v>243.005</v>
      </c>
      <c r="AA1627" s="24">
        <v>51.344999999999999</v>
      </c>
      <c r="AB1627" s="24">
        <v>7.3019999999999996</v>
      </c>
      <c r="AC1627" s="24">
        <v>0.80700000000000005</v>
      </c>
    </row>
    <row r="1628" spans="1:29" ht="11.65" x14ac:dyDescent="0.35">
      <c r="A1628" s="28">
        <v>1611</v>
      </c>
      <c r="B1628" s="26" t="s">
        <v>1015</v>
      </c>
      <c r="C1628" s="27" t="s">
        <v>1131</v>
      </c>
      <c r="D1628" s="25"/>
      <c r="E1628" s="25">
        <v>921</v>
      </c>
      <c r="F1628" s="26" t="s">
        <v>1063</v>
      </c>
      <c r="G1628" s="25">
        <v>1828</v>
      </c>
      <c r="H1628" s="25">
        <v>1975</v>
      </c>
      <c r="I1628" s="24">
        <v>69531.476999999999</v>
      </c>
      <c r="J1628" s="24">
        <v>59926.45</v>
      </c>
      <c r="K1628" s="24">
        <v>53676.411999999997</v>
      </c>
      <c r="L1628" s="24">
        <v>46802.93</v>
      </c>
      <c r="M1628" s="24">
        <v>40272.500999999997</v>
      </c>
      <c r="N1628" s="24">
        <v>31458.096000000001</v>
      </c>
      <c r="O1628" s="24">
        <v>27400.326000000001</v>
      </c>
      <c r="P1628" s="24">
        <v>25238.374</v>
      </c>
      <c r="Q1628" s="24">
        <v>22064.249</v>
      </c>
      <c r="R1628" s="24">
        <v>19282.851999999999</v>
      </c>
      <c r="S1628" s="24">
        <v>15888.290999999999</v>
      </c>
      <c r="T1628" s="24">
        <v>12699.36</v>
      </c>
      <c r="U1628" s="24">
        <v>9790.3019999999997</v>
      </c>
      <c r="V1628" s="24">
        <v>7116.201</v>
      </c>
      <c r="W1628" s="24">
        <v>4467.5060000000003</v>
      </c>
      <c r="X1628" s="24">
        <v>2475.6660000000002</v>
      </c>
      <c r="Y1628" s="24">
        <v>996.76099999999997</v>
      </c>
      <c r="Z1628" s="24">
        <v>327.21699999999998</v>
      </c>
      <c r="AA1628" s="24">
        <v>57.081000000000003</v>
      </c>
      <c r="AB1628" s="24">
        <v>8.8580000000000005</v>
      </c>
      <c r="AC1628" s="24">
        <v>1.022</v>
      </c>
    </row>
    <row r="1629" spans="1:29" ht="11.65" x14ac:dyDescent="0.35">
      <c r="A1629" s="28">
        <v>1612</v>
      </c>
      <c r="B1629" s="26" t="s">
        <v>1015</v>
      </c>
      <c r="C1629" s="27" t="s">
        <v>1131</v>
      </c>
      <c r="D1629" s="25"/>
      <c r="E1629" s="25">
        <v>921</v>
      </c>
      <c r="F1629" s="26" t="s">
        <v>1063</v>
      </c>
      <c r="G1629" s="25">
        <v>1828</v>
      </c>
      <c r="H1629" s="25">
        <v>1980</v>
      </c>
      <c r="I1629" s="24">
        <v>77453.293000000005</v>
      </c>
      <c r="J1629" s="24">
        <v>66432.83</v>
      </c>
      <c r="K1629" s="24">
        <v>59091.930999999997</v>
      </c>
      <c r="L1629" s="24">
        <v>53108.438000000002</v>
      </c>
      <c r="M1629" s="24">
        <v>46237.83</v>
      </c>
      <c r="N1629" s="24">
        <v>39681.245999999999</v>
      </c>
      <c r="O1629" s="24">
        <v>30805.276999999998</v>
      </c>
      <c r="P1629" s="24">
        <v>26703.577000000001</v>
      </c>
      <c r="Q1629" s="24">
        <v>24438.977999999999</v>
      </c>
      <c r="R1629" s="24">
        <v>21042.95</v>
      </c>
      <c r="S1629" s="24">
        <v>18058.253000000001</v>
      </c>
      <c r="T1629" s="24">
        <v>14464.124</v>
      </c>
      <c r="U1629" s="24">
        <v>11012.68</v>
      </c>
      <c r="V1629" s="24">
        <v>7918.3130000000001</v>
      </c>
      <c r="W1629" s="24">
        <v>5231.9549999999999</v>
      </c>
      <c r="X1629" s="24">
        <v>2863.22</v>
      </c>
      <c r="Y1629" s="24">
        <v>1284.0550000000001</v>
      </c>
      <c r="Z1629" s="24">
        <v>369.16699999999997</v>
      </c>
      <c r="AA1629" s="24">
        <v>78.025000000000006</v>
      </c>
      <c r="AB1629" s="24">
        <v>10.446999999999999</v>
      </c>
      <c r="AC1629" s="24">
        <v>1.3340000000000001</v>
      </c>
    </row>
    <row r="1630" spans="1:29" ht="11.65" x14ac:dyDescent="0.35">
      <c r="A1630" s="28">
        <v>1613</v>
      </c>
      <c r="B1630" s="26" t="s">
        <v>1015</v>
      </c>
      <c r="C1630" s="27" t="s">
        <v>1131</v>
      </c>
      <c r="D1630" s="25"/>
      <c r="E1630" s="25">
        <v>921</v>
      </c>
      <c r="F1630" s="26" t="s">
        <v>1063</v>
      </c>
      <c r="G1630" s="25">
        <v>1828</v>
      </c>
      <c r="H1630" s="25">
        <v>1985</v>
      </c>
      <c r="I1630" s="24">
        <v>87422.614000000001</v>
      </c>
      <c r="J1630" s="24">
        <v>74483.210999999996</v>
      </c>
      <c r="K1630" s="24">
        <v>65547.432000000001</v>
      </c>
      <c r="L1630" s="24">
        <v>58521.321000000004</v>
      </c>
      <c r="M1630" s="24">
        <v>52425.546999999999</v>
      </c>
      <c r="N1630" s="24">
        <v>45610.608</v>
      </c>
      <c r="O1630" s="24">
        <v>38950.853999999999</v>
      </c>
      <c r="P1630" s="24">
        <v>30140.877</v>
      </c>
      <c r="Q1630" s="24">
        <v>25871.917000000001</v>
      </c>
      <c r="R1630" s="24">
        <v>23285.039000000001</v>
      </c>
      <c r="S1630" s="24">
        <v>19687.644</v>
      </c>
      <c r="T1630" s="24">
        <v>16429.637999999999</v>
      </c>
      <c r="U1630" s="24">
        <v>12555.518</v>
      </c>
      <c r="V1630" s="24">
        <v>8894.6010000000006</v>
      </c>
      <c r="W1630" s="24">
        <v>5831.9709999999995</v>
      </c>
      <c r="X1630" s="24">
        <v>3371.28</v>
      </c>
      <c r="Y1630" s="24">
        <v>1502.117</v>
      </c>
      <c r="Z1630" s="24">
        <v>482.33800000000002</v>
      </c>
      <c r="AA1630" s="24">
        <v>89.99</v>
      </c>
      <c r="AB1630" s="24">
        <v>14.403</v>
      </c>
      <c r="AC1630" s="24">
        <v>1.64</v>
      </c>
    </row>
    <row r="1631" spans="1:29" ht="11.65" x14ac:dyDescent="0.35">
      <c r="A1631" s="28">
        <v>1614</v>
      </c>
      <c r="B1631" s="26" t="s">
        <v>1015</v>
      </c>
      <c r="C1631" s="27" t="s">
        <v>1131</v>
      </c>
      <c r="D1631" s="25"/>
      <c r="E1631" s="25">
        <v>921</v>
      </c>
      <c r="F1631" s="26" t="s">
        <v>1063</v>
      </c>
      <c r="G1631" s="25">
        <v>1828</v>
      </c>
      <c r="H1631" s="25">
        <v>1990</v>
      </c>
      <c r="I1631" s="24">
        <v>93486.452999999994</v>
      </c>
      <c r="J1631" s="24">
        <v>84568.31</v>
      </c>
      <c r="K1631" s="24">
        <v>73806.967999999993</v>
      </c>
      <c r="L1631" s="24">
        <v>64886.976000000002</v>
      </c>
      <c r="M1631" s="24">
        <v>57630.237000000001</v>
      </c>
      <c r="N1631" s="24">
        <v>51444.896000000001</v>
      </c>
      <c r="O1631" s="24">
        <v>44758.485000000001</v>
      </c>
      <c r="P1631" s="24">
        <v>38150.417000000001</v>
      </c>
      <c r="Q1631" s="24">
        <v>29332.991999999998</v>
      </c>
      <c r="R1631" s="24">
        <v>24840.406999999999</v>
      </c>
      <c r="S1631" s="24">
        <v>21946.106</v>
      </c>
      <c r="T1631" s="24">
        <v>18094.817999999999</v>
      </c>
      <c r="U1631" s="24">
        <v>14411.482</v>
      </c>
      <c r="V1631" s="24">
        <v>10241.135</v>
      </c>
      <c r="W1631" s="24">
        <v>6623.7939999999999</v>
      </c>
      <c r="X1631" s="24">
        <v>3810.3409999999999</v>
      </c>
      <c r="Y1631" s="24">
        <v>1780.7260000000001</v>
      </c>
      <c r="Z1631" s="24">
        <v>577.64300000000003</v>
      </c>
      <c r="AA1631" s="24">
        <v>119.87</v>
      </c>
      <c r="AB1631" s="24">
        <v>17.204000000000001</v>
      </c>
      <c r="AC1631" s="24">
        <v>2.3039999999999998</v>
      </c>
    </row>
    <row r="1632" spans="1:29" ht="11.65" x14ac:dyDescent="0.35">
      <c r="A1632" s="28">
        <v>1615</v>
      </c>
      <c r="B1632" s="26" t="s">
        <v>1015</v>
      </c>
      <c r="C1632" s="27" t="s">
        <v>1131</v>
      </c>
      <c r="D1632" s="25"/>
      <c r="E1632" s="25">
        <v>921</v>
      </c>
      <c r="F1632" s="26" t="s">
        <v>1063</v>
      </c>
      <c r="G1632" s="25">
        <v>1828</v>
      </c>
      <c r="H1632" s="25">
        <v>1995</v>
      </c>
      <c r="I1632" s="24">
        <v>96121.426999999996</v>
      </c>
      <c r="J1632" s="24">
        <v>91252.956000000006</v>
      </c>
      <c r="K1632" s="24">
        <v>83868.205000000002</v>
      </c>
      <c r="L1632" s="24">
        <v>73092.078999999998</v>
      </c>
      <c r="M1632" s="24">
        <v>63936.906000000003</v>
      </c>
      <c r="N1632" s="24">
        <v>56650.048000000003</v>
      </c>
      <c r="O1632" s="24">
        <v>50482.260999999999</v>
      </c>
      <c r="P1632" s="24">
        <v>43792.044999999998</v>
      </c>
      <c r="Q1632" s="24">
        <v>37124.53</v>
      </c>
      <c r="R1632" s="24">
        <v>28249.505000000001</v>
      </c>
      <c r="S1632" s="24">
        <v>23524.344000000001</v>
      </c>
      <c r="T1632" s="24">
        <v>20243.990000000002</v>
      </c>
      <c r="U1632" s="24">
        <v>15996.564</v>
      </c>
      <c r="V1632" s="24">
        <v>11941.352000000001</v>
      </c>
      <c r="W1632" s="24">
        <v>7783.0749999999998</v>
      </c>
      <c r="X1632" s="24">
        <v>4439.9189999999999</v>
      </c>
      <c r="Y1632" s="24">
        <v>2089.2759999999998</v>
      </c>
      <c r="Z1632" s="24">
        <v>714.37300000000005</v>
      </c>
      <c r="AA1632" s="24">
        <v>152.297</v>
      </c>
      <c r="AB1632" s="24">
        <v>23.344999999999999</v>
      </c>
      <c r="AC1632" s="24">
        <v>2.8069999999999999</v>
      </c>
    </row>
    <row r="1633" spans="1:29" ht="11.65" x14ac:dyDescent="0.35">
      <c r="A1633" s="28">
        <v>1616</v>
      </c>
      <c r="B1633" s="26" t="s">
        <v>1015</v>
      </c>
      <c r="C1633" s="27" t="s">
        <v>1131</v>
      </c>
      <c r="D1633" s="25"/>
      <c r="E1633" s="25">
        <v>921</v>
      </c>
      <c r="F1633" s="26" t="s">
        <v>1063</v>
      </c>
      <c r="G1633" s="25">
        <v>1828</v>
      </c>
      <c r="H1633" s="25">
        <v>2000</v>
      </c>
      <c r="I1633" s="24">
        <v>97949.648000000001</v>
      </c>
      <c r="J1633" s="24">
        <v>94024.789000000004</v>
      </c>
      <c r="K1633" s="24">
        <v>90375.744000000006</v>
      </c>
      <c r="L1633" s="24">
        <v>82974.892000000007</v>
      </c>
      <c r="M1633" s="24">
        <v>71926.990000000005</v>
      </c>
      <c r="N1633" s="24">
        <v>62696.712</v>
      </c>
      <c r="O1633" s="24">
        <v>55521.851000000002</v>
      </c>
      <c r="P1633" s="24">
        <v>49366.423000000003</v>
      </c>
      <c r="Q1633" s="24">
        <v>42587.072999999997</v>
      </c>
      <c r="R1633" s="24">
        <v>35798.487999999998</v>
      </c>
      <c r="S1633" s="24">
        <v>26826.741999999998</v>
      </c>
      <c r="T1633" s="24">
        <v>21814.143</v>
      </c>
      <c r="U1633" s="24">
        <v>18020.07</v>
      </c>
      <c r="V1633" s="24">
        <v>13412.187</v>
      </c>
      <c r="W1633" s="24">
        <v>9225.3610000000008</v>
      </c>
      <c r="X1633" s="24">
        <v>5361.6210000000001</v>
      </c>
      <c r="Y1633" s="24">
        <v>2528.9389999999999</v>
      </c>
      <c r="Z1633" s="24">
        <v>881.45500000000004</v>
      </c>
      <c r="AA1633" s="24">
        <v>198.23699999999999</v>
      </c>
      <c r="AB1633" s="24">
        <v>31.353000000000002</v>
      </c>
      <c r="AC1633" s="24">
        <v>3.96</v>
      </c>
    </row>
    <row r="1634" spans="1:29" ht="11.65" x14ac:dyDescent="0.35">
      <c r="A1634" s="28">
        <v>1617</v>
      </c>
      <c r="B1634" s="26" t="s">
        <v>1015</v>
      </c>
      <c r="C1634" s="27" t="s">
        <v>1131</v>
      </c>
      <c r="D1634" s="25"/>
      <c r="E1634" s="25">
        <v>921</v>
      </c>
      <c r="F1634" s="26" t="s">
        <v>1063</v>
      </c>
      <c r="G1634" s="25">
        <v>1828</v>
      </c>
      <c r="H1634" s="25">
        <v>2005</v>
      </c>
      <c r="I1634" s="24">
        <v>99457.17</v>
      </c>
      <c r="J1634" s="24">
        <v>96282.676000000007</v>
      </c>
      <c r="K1634" s="24">
        <v>93282.58</v>
      </c>
      <c r="L1634" s="24">
        <v>89367.267000000007</v>
      </c>
      <c r="M1634" s="24">
        <v>81517.093999999997</v>
      </c>
      <c r="N1634" s="24">
        <v>70458.475000000006</v>
      </c>
      <c r="O1634" s="24">
        <v>61507.546999999999</v>
      </c>
      <c r="P1634" s="24">
        <v>54519.385000000002</v>
      </c>
      <c r="Q1634" s="24">
        <v>48276.947</v>
      </c>
      <c r="R1634" s="24">
        <v>41214.483999999997</v>
      </c>
      <c r="S1634" s="24">
        <v>34046.607000000004</v>
      </c>
      <c r="T1634" s="24">
        <v>24991.562000000002</v>
      </c>
      <c r="U1634" s="24">
        <v>19634.576000000001</v>
      </c>
      <c r="V1634" s="24">
        <v>15298.34</v>
      </c>
      <c r="W1634" s="24">
        <v>10537.857</v>
      </c>
      <c r="X1634" s="24">
        <v>6476.24</v>
      </c>
      <c r="Y1634" s="24">
        <v>3146.0509999999999</v>
      </c>
      <c r="Z1634" s="24">
        <v>1110.335</v>
      </c>
      <c r="AA1634" s="24">
        <v>256.67399999999998</v>
      </c>
      <c r="AB1634" s="24">
        <v>42.73</v>
      </c>
      <c r="AC1634" s="24">
        <v>5.6550000000000002</v>
      </c>
    </row>
    <row r="1635" spans="1:29" ht="11.65" x14ac:dyDescent="0.35">
      <c r="A1635" s="28">
        <v>1618</v>
      </c>
      <c r="B1635" s="26" t="s">
        <v>1015</v>
      </c>
      <c r="C1635" s="27" t="s">
        <v>1131</v>
      </c>
      <c r="D1635" s="25"/>
      <c r="E1635" s="25">
        <v>921</v>
      </c>
      <c r="F1635" s="26" t="s">
        <v>1063</v>
      </c>
      <c r="G1635" s="25">
        <v>1828</v>
      </c>
      <c r="H1635" s="25">
        <v>2010</v>
      </c>
      <c r="I1635" s="24">
        <v>99426.21</v>
      </c>
      <c r="J1635" s="24">
        <v>98059.365999999995</v>
      </c>
      <c r="K1635" s="24">
        <v>95603.422000000006</v>
      </c>
      <c r="L1635" s="24">
        <v>92136.455000000002</v>
      </c>
      <c r="M1635" s="24">
        <v>87512.558000000005</v>
      </c>
      <c r="N1635" s="24">
        <v>79596.914999999994</v>
      </c>
      <c r="O1635" s="24">
        <v>68813.192999999999</v>
      </c>
      <c r="P1635" s="24">
        <v>59960.896000000001</v>
      </c>
      <c r="Q1635" s="24">
        <v>53003.591</v>
      </c>
      <c r="R1635" s="24">
        <v>46581.245000000003</v>
      </c>
      <c r="S1635" s="24">
        <v>39224.305</v>
      </c>
      <c r="T1635" s="24">
        <v>31734.038</v>
      </c>
      <c r="U1635" s="24">
        <v>22551.971000000001</v>
      </c>
      <c r="V1635" s="24">
        <v>16866.373</v>
      </c>
      <c r="W1635" s="24">
        <v>12183.550999999999</v>
      </c>
      <c r="X1635" s="24">
        <v>7497.924</v>
      </c>
      <c r="Y1635" s="24">
        <v>3875.8420000000001</v>
      </c>
      <c r="Z1635" s="24">
        <v>1427.5150000000001</v>
      </c>
      <c r="AA1635" s="24">
        <v>339.81799999999998</v>
      </c>
      <c r="AB1635" s="24">
        <v>58.645000000000003</v>
      </c>
      <c r="AC1635" s="24">
        <v>8.44</v>
      </c>
    </row>
    <row r="1636" spans="1:29" ht="11.65" x14ac:dyDescent="0.35">
      <c r="A1636" s="28">
        <v>1619</v>
      </c>
      <c r="B1636" s="26" t="s">
        <v>1015</v>
      </c>
      <c r="C1636" s="27" t="s">
        <v>1131</v>
      </c>
      <c r="D1636" s="25"/>
      <c r="E1636" s="25">
        <v>921</v>
      </c>
      <c r="F1636" s="26" t="s">
        <v>1063</v>
      </c>
      <c r="G1636" s="25">
        <v>1828</v>
      </c>
      <c r="H1636" s="25">
        <v>2015</v>
      </c>
      <c r="I1636" s="24">
        <v>96108.396999999997</v>
      </c>
      <c r="J1636" s="24">
        <v>98316.97</v>
      </c>
      <c r="K1636" s="24">
        <v>97351.691999999995</v>
      </c>
      <c r="L1636" s="24">
        <v>94690.528999999995</v>
      </c>
      <c r="M1636" s="24">
        <v>90664.320000000007</v>
      </c>
      <c r="N1636" s="24">
        <v>85750.536999999997</v>
      </c>
      <c r="O1636" s="24">
        <v>77970.751999999993</v>
      </c>
      <c r="P1636" s="24">
        <v>67246.448999999993</v>
      </c>
      <c r="Q1636" s="24">
        <v>58491.237999999998</v>
      </c>
      <c r="R1636" s="24">
        <v>51367.063999999998</v>
      </c>
      <c r="S1636" s="24">
        <v>44596.722000000002</v>
      </c>
      <c r="T1636" s="24">
        <v>36837.273000000001</v>
      </c>
      <c r="U1636" s="24">
        <v>28886.678</v>
      </c>
      <c r="V1636" s="24">
        <v>19578.43</v>
      </c>
      <c r="W1636" s="24">
        <v>13656.245999999999</v>
      </c>
      <c r="X1636" s="24">
        <v>8848.4240000000009</v>
      </c>
      <c r="Y1636" s="24">
        <v>4721.2089999999998</v>
      </c>
      <c r="Z1636" s="24">
        <v>1844.376</v>
      </c>
      <c r="AA1636" s="24">
        <v>470.81799999999998</v>
      </c>
      <c r="AB1636" s="24">
        <v>85.888999999999996</v>
      </c>
      <c r="AC1636" s="24">
        <v>13.105</v>
      </c>
    </row>
    <row r="1637" spans="1:29" ht="11.65" x14ac:dyDescent="0.35">
      <c r="A1637" s="28">
        <v>1620</v>
      </c>
      <c r="B1637" s="26" t="s">
        <v>1015</v>
      </c>
      <c r="C1637" s="27" t="s">
        <v>1131</v>
      </c>
      <c r="D1637" s="25"/>
      <c r="E1637" s="25">
        <v>921</v>
      </c>
      <c r="F1637" s="26" t="s">
        <v>1063</v>
      </c>
      <c r="G1637" s="25">
        <v>1828</v>
      </c>
      <c r="H1637" s="25">
        <v>2020</v>
      </c>
      <c r="I1637" s="24">
        <v>96340.024999999994</v>
      </c>
      <c r="J1637" s="24">
        <v>95260.895000000004</v>
      </c>
      <c r="K1637" s="24">
        <v>97791.476999999999</v>
      </c>
      <c r="L1637" s="24">
        <v>96565.349000000002</v>
      </c>
      <c r="M1637" s="24">
        <v>93427.573999999993</v>
      </c>
      <c r="N1637" s="24">
        <v>89366.637000000002</v>
      </c>
      <c r="O1637" s="24">
        <v>84540.282999999996</v>
      </c>
      <c r="P1637" s="24">
        <v>76621.929999999993</v>
      </c>
      <c r="Q1637" s="24">
        <v>65854.048999999999</v>
      </c>
      <c r="R1637" s="24">
        <v>56921.938000000002</v>
      </c>
      <c r="S1637" s="24">
        <v>49409.817999999999</v>
      </c>
      <c r="T1637" s="24">
        <v>42041.748</v>
      </c>
      <c r="U1637" s="24">
        <v>33713.231</v>
      </c>
      <c r="V1637" s="24">
        <v>25339.646000000001</v>
      </c>
      <c r="W1637" s="24">
        <v>15951.044</v>
      </c>
      <c r="X1637" s="24">
        <v>9945.2559999999994</v>
      </c>
      <c r="Y1637" s="24">
        <v>5468.8770000000004</v>
      </c>
      <c r="Z1637" s="24">
        <v>2274.6750000000002</v>
      </c>
      <c r="AA1637" s="24">
        <v>620.03099999999995</v>
      </c>
      <c r="AB1637" s="24">
        <v>122.70099999999999</v>
      </c>
      <c r="AC1637" s="24">
        <v>20.547999999999998</v>
      </c>
    </row>
    <row r="1638" spans="1:29" ht="11.65" x14ac:dyDescent="0.35">
      <c r="A1638" s="23">
        <v>1621</v>
      </c>
      <c r="B1638" s="21" t="s">
        <v>1015</v>
      </c>
      <c r="C1638" s="29" t="s">
        <v>1132</v>
      </c>
      <c r="D1638" s="20"/>
      <c r="E1638" s="20">
        <v>5500</v>
      </c>
      <c r="F1638" s="21" t="s">
        <v>1065</v>
      </c>
      <c r="G1638" s="20">
        <v>921</v>
      </c>
      <c r="H1638" s="20">
        <v>1950</v>
      </c>
      <c r="I1638" s="19">
        <v>970.50699999999995</v>
      </c>
      <c r="J1638" s="19">
        <v>779.90499999999997</v>
      </c>
      <c r="K1638" s="19">
        <v>1127.7190000000001</v>
      </c>
      <c r="L1638" s="19">
        <v>862.17700000000002</v>
      </c>
      <c r="M1638" s="19">
        <v>947.56</v>
      </c>
      <c r="N1638" s="19">
        <v>499.22199999999998</v>
      </c>
      <c r="O1638" s="19">
        <v>349.30399999999997</v>
      </c>
      <c r="P1638" s="19">
        <v>438.05099999999999</v>
      </c>
      <c r="Q1638" s="19">
        <v>434.49599999999998</v>
      </c>
      <c r="R1638" s="19">
        <v>429.435</v>
      </c>
      <c r="S1638" s="19">
        <v>390.77199999999999</v>
      </c>
      <c r="T1638" s="19">
        <v>329.05599999999998</v>
      </c>
      <c r="U1638" s="19">
        <v>323.19</v>
      </c>
      <c r="V1638" s="19">
        <v>233.35900000000001</v>
      </c>
      <c r="W1638" s="19">
        <v>151.23400000000001</v>
      </c>
      <c r="X1638" s="19">
        <v>83.418000000000006</v>
      </c>
      <c r="Y1638" s="19">
        <v>34.463999999999999</v>
      </c>
      <c r="Z1638" s="19">
        <v>13.420999999999999</v>
      </c>
      <c r="AA1638" s="19">
        <v>3.7490000000000001</v>
      </c>
      <c r="AB1638" s="19">
        <v>0.67600000000000005</v>
      </c>
      <c r="AC1638" s="19">
        <v>6.9000000000000006E-2</v>
      </c>
    </row>
    <row r="1639" spans="1:29" ht="11.65" x14ac:dyDescent="0.35">
      <c r="A1639" s="23">
        <v>1622</v>
      </c>
      <c r="B1639" s="21" t="s">
        <v>1015</v>
      </c>
      <c r="C1639" s="29" t="s">
        <v>1132</v>
      </c>
      <c r="D1639" s="20"/>
      <c r="E1639" s="20">
        <v>5500</v>
      </c>
      <c r="F1639" s="21" t="s">
        <v>1065</v>
      </c>
      <c r="G1639" s="20">
        <v>921</v>
      </c>
      <c r="H1639" s="20">
        <v>1955</v>
      </c>
      <c r="I1639" s="19">
        <v>1553.8720000000001</v>
      </c>
      <c r="J1639" s="19">
        <v>985.52300000000002</v>
      </c>
      <c r="K1639" s="19">
        <v>815.12699999999995</v>
      </c>
      <c r="L1639" s="19">
        <v>1164.684</v>
      </c>
      <c r="M1639" s="19">
        <v>892.18700000000001</v>
      </c>
      <c r="N1639" s="19">
        <v>961.12599999999998</v>
      </c>
      <c r="O1639" s="19">
        <v>508.245</v>
      </c>
      <c r="P1639" s="19">
        <v>354.10300000000001</v>
      </c>
      <c r="Q1639" s="19">
        <v>435.57299999999998</v>
      </c>
      <c r="R1639" s="19">
        <v>423.964</v>
      </c>
      <c r="S1639" s="19">
        <v>406.46699999999998</v>
      </c>
      <c r="T1639" s="19">
        <v>357.44600000000003</v>
      </c>
      <c r="U1639" s="19">
        <v>287.54300000000001</v>
      </c>
      <c r="V1639" s="19">
        <v>264.16899999999998</v>
      </c>
      <c r="W1639" s="19">
        <v>174.19399999999999</v>
      </c>
      <c r="X1639" s="19">
        <v>97.608000000000004</v>
      </c>
      <c r="Y1639" s="19">
        <v>43.786000000000001</v>
      </c>
      <c r="Z1639" s="19">
        <v>14.223000000000001</v>
      </c>
      <c r="AA1639" s="19">
        <v>4.1970000000000001</v>
      </c>
      <c r="AB1639" s="19">
        <v>0.85499999999999998</v>
      </c>
      <c r="AC1639" s="19">
        <v>0.115</v>
      </c>
    </row>
    <row r="1640" spans="1:29" ht="11.65" x14ac:dyDescent="0.35">
      <c r="A1640" s="23">
        <v>1623</v>
      </c>
      <c r="B1640" s="21" t="s">
        <v>1015</v>
      </c>
      <c r="C1640" s="29" t="s">
        <v>1132</v>
      </c>
      <c r="D1640" s="20"/>
      <c r="E1640" s="20">
        <v>5500</v>
      </c>
      <c r="F1640" s="21" t="s">
        <v>1065</v>
      </c>
      <c r="G1640" s="20">
        <v>921</v>
      </c>
      <c r="H1640" s="20">
        <v>1960</v>
      </c>
      <c r="I1640" s="19">
        <v>2061.17</v>
      </c>
      <c r="J1640" s="19">
        <v>1587.6579999999999</v>
      </c>
      <c r="K1640" s="19">
        <v>1036.713</v>
      </c>
      <c r="L1640" s="19">
        <v>863.25699999999995</v>
      </c>
      <c r="M1640" s="19">
        <v>1206.232</v>
      </c>
      <c r="N1640" s="19">
        <v>926.78800000000001</v>
      </c>
      <c r="O1640" s="19">
        <v>976.97299999999996</v>
      </c>
      <c r="P1640" s="19">
        <v>521.327</v>
      </c>
      <c r="Q1640" s="19">
        <v>360.67899999999997</v>
      </c>
      <c r="R1640" s="19">
        <v>430.334</v>
      </c>
      <c r="S1640" s="19">
        <v>407.48700000000002</v>
      </c>
      <c r="T1640" s="19">
        <v>376.49</v>
      </c>
      <c r="U1640" s="19">
        <v>316.55900000000003</v>
      </c>
      <c r="V1640" s="19">
        <v>240.8</v>
      </c>
      <c r="W1640" s="19">
        <v>200.869</v>
      </c>
      <c r="X1640" s="19">
        <v>115.39700000000001</v>
      </c>
      <c r="Y1640" s="19">
        <v>51.371000000000002</v>
      </c>
      <c r="Z1640" s="19">
        <v>18.884</v>
      </c>
      <c r="AA1640" s="19">
        <v>4.694</v>
      </c>
      <c r="AB1640" s="19">
        <v>1.0229999999999999</v>
      </c>
      <c r="AC1640" s="19">
        <v>0.16400000000000001</v>
      </c>
    </row>
    <row r="1641" spans="1:29" ht="11.65" x14ac:dyDescent="0.35">
      <c r="A1641" s="23">
        <v>1624</v>
      </c>
      <c r="B1641" s="21" t="s">
        <v>1015</v>
      </c>
      <c r="C1641" s="29" t="s">
        <v>1132</v>
      </c>
      <c r="D1641" s="20"/>
      <c r="E1641" s="20">
        <v>5500</v>
      </c>
      <c r="F1641" s="21" t="s">
        <v>1065</v>
      </c>
      <c r="G1641" s="20">
        <v>921</v>
      </c>
      <c r="H1641" s="20">
        <v>1965</v>
      </c>
      <c r="I1641" s="19">
        <v>2449.5140000000001</v>
      </c>
      <c r="J1641" s="19">
        <v>2095.2669999999998</v>
      </c>
      <c r="K1641" s="19">
        <v>1611.595</v>
      </c>
      <c r="L1641" s="19">
        <v>1058.0630000000001</v>
      </c>
      <c r="M1641" s="19">
        <v>889.22400000000005</v>
      </c>
      <c r="N1641" s="19">
        <v>1246.3589999999999</v>
      </c>
      <c r="O1641" s="19">
        <v>939.86300000000006</v>
      </c>
      <c r="P1641" s="19">
        <v>970.40700000000004</v>
      </c>
      <c r="Q1641" s="19">
        <v>520.73299999999995</v>
      </c>
      <c r="R1641" s="19">
        <v>356.36099999999999</v>
      </c>
      <c r="S1641" s="19">
        <v>414.976</v>
      </c>
      <c r="T1641" s="19">
        <v>387.25</v>
      </c>
      <c r="U1641" s="19">
        <v>341.50400000000002</v>
      </c>
      <c r="V1641" s="19">
        <v>263.41500000000002</v>
      </c>
      <c r="W1641" s="19">
        <v>184.43299999999999</v>
      </c>
      <c r="X1641" s="19">
        <v>134.90600000000001</v>
      </c>
      <c r="Y1641" s="19">
        <v>62.777000000000001</v>
      </c>
      <c r="Z1641" s="19">
        <v>23.03</v>
      </c>
      <c r="AA1641" s="19">
        <v>6.5220000000000002</v>
      </c>
      <c r="AB1641" s="19">
        <v>1.2090000000000001</v>
      </c>
      <c r="AC1641" s="19">
        <v>0.21299999999999999</v>
      </c>
    </row>
    <row r="1642" spans="1:29" ht="11.65" x14ac:dyDescent="0.35">
      <c r="A1642" s="23">
        <v>1625</v>
      </c>
      <c r="B1642" s="21" t="s">
        <v>1015</v>
      </c>
      <c r="C1642" s="29" t="s">
        <v>1132</v>
      </c>
      <c r="D1642" s="20"/>
      <c r="E1642" s="20">
        <v>5500</v>
      </c>
      <c r="F1642" s="21" t="s">
        <v>1065</v>
      </c>
      <c r="G1642" s="20">
        <v>921</v>
      </c>
      <c r="H1642" s="20">
        <v>1970</v>
      </c>
      <c r="I1642" s="19">
        <v>2438.6849999999999</v>
      </c>
      <c r="J1642" s="19">
        <v>2468.3180000000002</v>
      </c>
      <c r="K1642" s="19">
        <v>2150.9479999999999</v>
      </c>
      <c r="L1642" s="19">
        <v>1616.3889999999999</v>
      </c>
      <c r="M1642" s="19">
        <v>1057.126</v>
      </c>
      <c r="N1642" s="19">
        <v>895.428</v>
      </c>
      <c r="O1642" s="19">
        <v>1269.848</v>
      </c>
      <c r="P1642" s="19">
        <v>935.19</v>
      </c>
      <c r="Q1642" s="19">
        <v>946.86599999999999</v>
      </c>
      <c r="R1642" s="19">
        <v>505.18799999999999</v>
      </c>
      <c r="S1642" s="19">
        <v>338.529</v>
      </c>
      <c r="T1642" s="19">
        <v>384.87599999999998</v>
      </c>
      <c r="U1642" s="19">
        <v>351.71699999999998</v>
      </c>
      <c r="V1642" s="19">
        <v>293.72300000000001</v>
      </c>
      <c r="W1642" s="19">
        <v>200.67699999999999</v>
      </c>
      <c r="X1642" s="19">
        <v>123.163</v>
      </c>
      <c r="Y1642" s="19">
        <v>70.301000000000002</v>
      </c>
      <c r="Z1642" s="19">
        <v>29.152000000000001</v>
      </c>
      <c r="AA1642" s="19">
        <v>8.23</v>
      </c>
      <c r="AB1642" s="19">
        <v>1.742</v>
      </c>
      <c r="AC1642" s="19">
        <v>0.26</v>
      </c>
    </row>
    <row r="1643" spans="1:29" ht="11.65" x14ac:dyDescent="0.35">
      <c r="A1643" s="23">
        <v>1626</v>
      </c>
      <c r="B1643" s="21" t="s">
        <v>1015</v>
      </c>
      <c r="C1643" s="29" t="s">
        <v>1132</v>
      </c>
      <c r="D1643" s="20"/>
      <c r="E1643" s="20">
        <v>5500</v>
      </c>
      <c r="F1643" s="21" t="s">
        <v>1065</v>
      </c>
      <c r="G1643" s="20">
        <v>921</v>
      </c>
      <c r="H1643" s="20">
        <v>1975</v>
      </c>
      <c r="I1643" s="19">
        <v>2643.1280000000002</v>
      </c>
      <c r="J1643" s="19">
        <v>2392.4140000000002</v>
      </c>
      <c r="K1643" s="19">
        <v>2429.9740000000002</v>
      </c>
      <c r="L1643" s="19">
        <v>2105.5520000000001</v>
      </c>
      <c r="M1643" s="19">
        <v>1649.982</v>
      </c>
      <c r="N1643" s="19">
        <v>1076.7909999999999</v>
      </c>
      <c r="O1643" s="19">
        <v>882.64099999999996</v>
      </c>
      <c r="P1643" s="19">
        <v>1210.836</v>
      </c>
      <c r="Q1643" s="19">
        <v>883.00599999999997</v>
      </c>
      <c r="R1643" s="19">
        <v>886.18299999999999</v>
      </c>
      <c r="S1643" s="19">
        <v>472.45699999999999</v>
      </c>
      <c r="T1643" s="19">
        <v>310.84800000000001</v>
      </c>
      <c r="U1643" s="19">
        <v>341.83699999999999</v>
      </c>
      <c r="V1643" s="19">
        <v>285.43400000000003</v>
      </c>
      <c r="W1643" s="19">
        <v>229.07300000000001</v>
      </c>
      <c r="X1643" s="19">
        <v>134.55000000000001</v>
      </c>
      <c r="Y1643" s="19">
        <v>74.974000000000004</v>
      </c>
      <c r="Z1643" s="19">
        <v>32.725999999999999</v>
      </c>
      <c r="AA1643" s="19">
        <v>10.526999999999999</v>
      </c>
      <c r="AB1643" s="19">
        <v>2.2000000000000002</v>
      </c>
      <c r="AC1643" s="19">
        <v>0.36699999999999999</v>
      </c>
    </row>
    <row r="1644" spans="1:29" ht="11.65" x14ac:dyDescent="0.35">
      <c r="A1644" s="23">
        <v>1627</v>
      </c>
      <c r="B1644" s="21" t="s">
        <v>1015</v>
      </c>
      <c r="C1644" s="29" t="s">
        <v>1132</v>
      </c>
      <c r="D1644" s="20"/>
      <c r="E1644" s="20">
        <v>5500</v>
      </c>
      <c r="F1644" s="21" t="s">
        <v>1065</v>
      </c>
      <c r="G1644" s="20">
        <v>921</v>
      </c>
      <c r="H1644" s="20">
        <v>1980</v>
      </c>
      <c r="I1644" s="19">
        <v>2891.4780000000001</v>
      </c>
      <c r="J1644" s="19">
        <v>2585.3020000000001</v>
      </c>
      <c r="K1644" s="19">
        <v>2366.895</v>
      </c>
      <c r="L1644" s="19">
        <v>2337.5949999999998</v>
      </c>
      <c r="M1644" s="19">
        <v>2016.287</v>
      </c>
      <c r="N1644" s="19">
        <v>1626.4179999999999</v>
      </c>
      <c r="O1644" s="19">
        <v>1084.252</v>
      </c>
      <c r="P1644" s="19">
        <v>813.77599999999995</v>
      </c>
      <c r="Q1644" s="19">
        <v>1146.646</v>
      </c>
      <c r="R1644" s="19">
        <v>828.15300000000002</v>
      </c>
      <c r="S1644" s="19">
        <v>832.89599999999996</v>
      </c>
      <c r="T1644" s="19">
        <v>441.05900000000003</v>
      </c>
      <c r="U1644" s="19">
        <v>273.53399999999999</v>
      </c>
      <c r="V1644" s="19">
        <v>281.40499999999997</v>
      </c>
      <c r="W1644" s="19">
        <v>219.01900000000001</v>
      </c>
      <c r="X1644" s="19">
        <v>164.136</v>
      </c>
      <c r="Y1644" s="19">
        <v>84.738</v>
      </c>
      <c r="Z1644" s="19">
        <v>34.939</v>
      </c>
      <c r="AA1644" s="19">
        <v>11.725</v>
      </c>
      <c r="AB1644" s="19">
        <v>2.8140000000000001</v>
      </c>
      <c r="AC1644" s="19">
        <v>0.46400000000000002</v>
      </c>
    </row>
    <row r="1645" spans="1:29" ht="11.65" x14ac:dyDescent="0.35">
      <c r="A1645" s="23">
        <v>1628</v>
      </c>
      <c r="B1645" s="21" t="s">
        <v>1015</v>
      </c>
      <c r="C1645" s="29" t="s">
        <v>1132</v>
      </c>
      <c r="D1645" s="20"/>
      <c r="E1645" s="20">
        <v>5500</v>
      </c>
      <c r="F1645" s="21" t="s">
        <v>1065</v>
      </c>
      <c r="G1645" s="20">
        <v>921</v>
      </c>
      <c r="H1645" s="20">
        <v>1985</v>
      </c>
      <c r="I1645" s="19">
        <v>3289.5140000000001</v>
      </c>
      <c r="J1645" s="19">
        <v>2809.6619999999998</v>
      </c>
      <c r="K1645" s="19">
        <v>2549.8449999999998</v>
      </c>
      <c r="L1645" s="19">
        <v>2277.7109999999998</v>
      </c>
      <c r="M1645" s="19">
        <v>2284.489</v>
      </c>
      <c r="N1645" s="19">
        <v>1969.021</v>
      </c>
      <c r="O1645" s="19">
        <v>1568.056</v>
      </c>
      <c r="P1645" s="19">
        <v>1026.6880000000001</v>
      </c>
      <c r="Q1645" s="19">
        <v>776.62900000000002</v>
      </c>
      <c r="R1645" s="19">
        <v>1068.903</v>
      </c>
      <c r="S1645" s="19">
        <v>764.61900000000003</v>
      </c>
      <c r="T1645" s="19">
        <v>757.702</v>
      </c>
      <c r="U1645" s="19">
        <v>383.38200000000001</v>
      </c>
      <c r="V1645" s="19">
        <v>225.09899999999999</v>
      </c>
      <c r="W1645" s="19">
        <v>215.905</v>
      </c>
      <c r="X1645" s="19">
        <v>150.42099999999999</v>
      </c>
      <c r="Y1645" s="19">
        <v>100.289</v>
      </c>
      <c r="Z1645" s="19">
        <v>39.848999999999997</v>
      </c>
      <c r="AA1645" s="19">
        <v>12.728</v>
      </c>
      <c r="AB1645" s="19">
        <v>3.1659999999999999</v>
      </c>
      <c r="AC1645" s="19">
        <v>0.60199999999999998</v>
      </c>
    </row>
    <row r="1646" spans="1:29" ht="11.65" x14ac:dyDescent="0.35">
      <c r="A1646" s="23">
        <v>1629</v>
      </c>
      <c r="B1646" s="21" t="s">
        <v>1015</v>
      </c>
      <c r="C1646" s="29" t="s">
        <v>1132</v>
      </c>
      <c r="D1646" s="20"/>
      <c r="E1646" s="20">
        <v>5500</v>
      </c>
      <c r="F1646" s="21" t="s">
        <v>1065</v>
      </c>
      <c r="G1646" s="20">
        <v>921</v>
      </c>
      <c r="H1646" s="20">
        <v>1990</v>
      </c>
      <c r="I1646" s="19">
        <v>3663.3989999999999</v>
      </c>
      <c r="J1646" s="19">
        <v>3165.6060000000002</v>
      </c>
      <c r="K1646" s="19">
        <v>2762.3870000000002</v>
      </c>
      <c r="L1646" s="19">
        <v>2447.4929999999999</v>
      </c>
      <c r="M1646" s="19">
        <v>2158.8919999999998</v>
      </c>
      <c r="N1646" s="19">
        <v>2155.0329999999999</v>
      </c>
      <c r="O1646" s="19">
        <v>1915.7809999999999</v>
      </c>
      <c r="P1646" s="19">
        <v>1512.6690000000001</v>
      </c>
      <c r="Q1646" s="19">
        <v>974.18899999999996</v>
      </c>
      <c r="R1646" s="19">
        <v>736.08</v>
      </c>
      <c r="S1646" s="19">
        <v>988.49599999999998</v>
      </c>
      <c r="T1646" s="19">
        <v>690.94200000000001</v>
      </c>
      <c r="U1646" s="19">
        <v>661.67200000000003</v>
      </c>
      <c r="V1646" s="19">
        <v>315.25599999999997</v>
      </c>
      <c r="W1646" s="19">
        <v>171.34200000000001</v>
      </c>
      <c r="X1646" s="19">
        <v>146.89500000000001</v>
      </c>
      <c r="Y1646" s="19">
        <v>83.451999999999998</v>
      </c>
      <c r="Z1646" s="19">
        <v>48.28</v>
      </c>
      <c r="AA1646" s="19">
        <v>14.784000000000001</v>
      </c>
      <c r="AB1646" s="19">
        <v>3.53</v>
      </c>
      <c r="AC1646" s="19">
        <v>0.70099999999999996</v>
      </c>
    </row>
    <row r="1647" spans="1:29" ht="11.65" x14ac:dyDescent="0.35">
      <c r="A1647" s="23">
        <v>1630</v>
      </c>
      <c r="B1647" s="21" t="s">
        <v>1015</v>
      </c>
      <c r="C1647" s="29" t="s">
        <v>1132</v>
      </c>
      <c r="D1647" s="20"/>
      <c r="E1647" s="20">
        <v>5500</v>
      </c>
      <c r="F1647" s="21" t="s">
        <v>1065</v>
      </c>
      <c r="G1647" s="20">
        <v>921</v>
      </c>
      <c r="H1647" s="20">
        <v>1995</v>
      </c>
      <c r="I1647" s="19">
        <v>3502.723</v>
      </c>
      <c r="J1647" s="19">
        <v>3519.491</v>
      </c>
      <c r="K1647" s="19">
        <v>3050.8139999999999</v>
      </c>
      <c r="L1647" s="19">
        <v>2630.078</v>
      </c>
      <c r="M1647" s="19">
        <v>2313.16</v>
      </c>
      <c r="N1647" s="19">
        <v>2023.181</v>
      </c>
      <c r="O1647" s="19">
        <v>2004.461</v>
      </c>
      <c r="P1647" s="19">
        <v>1769.1479999999999</v>
      </c>
      <c r="Q1647" s="19">
        <v>1395.4860000000001</v>
      </c>
      <c r="R1647" s="19">
        <v>875.26400000000001</v>
      </c>
      <c r="S1647" s="19">
        <v>650.79200000000003</v>
      </c>
      <c r="T1647" s="19">
        <v>868.16499999999996</v>
      </c>
      <c r="U1647" s="19">
        <v>580.26599999999996</v>
      </c>
      <c r="V1647" s="19">
        <v>535.91200000000003</v>
      </c>
      <c r="W1647" s="19">
        <v>234.81200000000001</v>
      </c>
      <c r="X1647" s="19">
        <v>111.209</v>
      </c>
      <c r="Y1647" s="19">
        <v>82.650999999999996</v>
      </c>
      <c r="Z1647" s="19">
        <v>37.805</v>
      </c>
      <c r="AA1647" s="19">
        <v>16.82</v>
      </c>
      <c r="AB1647" s="19">
        <v>3.62</v>
      </c>
      <c r="AC1647" s="19">
        <v>0.65100000000000002</v>
      </c>
    </row>
    <row r="1648" spans="1:29" ht="11.65" x14ac:dyDescent="0.35">
      <c r="A1648" s="23">
        <v>1631</v>
      </c>
      <c r="B1648" s="21" t="s">
        <v>1015</v>
      </c>
      <c r="C1648" s="29" t="s">
        <v>1132</v>
      </c>
      <c r="D1648" s="20"/>
      <c r="E1648" s="20">
        <v>5500</v>
      </c>
      <c r="F1648" s="21" t="s">
        <v>1065</v>
      </c>
      <c r="G1648" s="20">
        <v>921</v>
      </c>
      <c r="H1648" s="20">
        <v>2000</v>
      </c>
      <c r="I1648" s="19">
        <v>3006.2260000000001</v>
      </c>
      <c r="J1648" s="19">
        <v>3421.6329999999998</v>
      </c>
      <c r="K1648" s="19">
        <v>3435.404</v>
      </c>
      <c r="L1648" s="19">
        <v>2939.0340000000001</v>
      </c>
      <c r="M1648" s="19">
        <v>2483.4760000000001</v>
      </c>
      <c r="N1648" s="19">
        <v>2183.201</v>
      </c>
      <c r="O1648" s="19">
        <v>1913.146</v>
      </c>
      <c r="P1648" s="19">
        <v>1872.896</v>
      </c>
      <c r="Q1648" s="19">
        <v>1614.0630000000001</v>
      </c>
      <c r="R1648" s="19">
        <v>1260.097</v>
      </c>
      <c r="S1648" s="19">
        <v>763.81100000000004</v>
      </c>
      <c r="T1648" s="19">
        <v>559.35</v>
      </c>
      <c r="U1648" s="19">
        <v>714.85</v>
      </c>
      <c r="V1648" s="19">
        <v>449.19</v>
      </c>
      <c r="W1648" s="19">
        <v>388.50599999999997</v>
      </c>
      <c r="X1648" s="19">
        <v>151.47900000000001</v>
      </c>
      <c r="Y1648" s="19">
        <v>57.029000000000003</v>
      </c>
      <c r="Z1648" s="19">
        <v>34.664999999999999</v>
      </c>
      <c r="AA1648" s="19">
        <v>11.569000000000001</v>
      </c>
      <c r="AB1648" s="19">
        <v>3.5880000000000001</v>
      </c>
      <c r="AC1648" s="19">
        <v>0.53900000000000003</v>
      </c>
    </row>
    <row r="1649" spans="1:29" ht="11.65" x14ac:dyDescent="0.35">
      <c r="A1649" s="23">
        <v>1632</v>
      </c>
      <c r="B1649" s="21" t="s">
        <v>1015</v>
      </c>
      <c r="C1649" s="29" t="s">
        <v>1132</v>
      </c>
      <c r="D1649" s="20"/>
      <c r="E1649" s="20">
        <v>5500</v>
      </c>
      <c r="F1649" s="21" t="s">
        <v>1065</v>
      </c>
      <c r="G1649" s="20">
        <v>921</v>
      </c>
      <c r="H1649" s="20">
        <v>2005</v>
      </c>
      <c r="I1649" s="19">
        <v>2886.7890000000002</v>
      </c>
      <c r="J1649" s="19">
        <v>2957.768</v>
      </c>
      <c r="K1649" s="19">
        <v>3399.3339999999998</v>
      </c>
      <c r="L1649" s="19">
        <v>3382.3919999999998</v>
      </c>
      <c r="M1649" s="19">
        <v>2861.4409999999998</v>
      </c>
      <c r="N1649" s="19">
        <v>2399.5590000000002</v>
      </c>
      <c r="O1649" s="19">
        <v>2110.37</v>
      </c>
      <c r="P1649" s="19">
        <v>1870.7529999999999</v>
      </c>
      <c r="Q1649" s="19">
        <v>1809.3530000000001</v>
      </c>
      <c r="R1649" s="19">
        <v>1535.0540000000001</v>
      </c>
      <c r="S1649" s="19">
        <v>1151.624</v>
      </c>
      <c r="T1649" s="19">
        <v>677.75800000000004</v>
      </c>
      <c r="U1649" s="19">
        <v>487.858</v>
      </c>
      <c r="V1649" s="19">
        <v>563.30399999999997</v>
      </c>
      <c r="W1649" s="19">
        <v>341.221</v>
      </c>
      <c r="X1649" s="19">
        <v>256.66699999999997</v>
      </c>
      <c r="Y1649" s="19">
        <v>87.888999999999996</v>
      </c>
      <c r="Z1649" s="19">
        <v>24.327999999999999</v>
      </c>
      <c r="AA1649" s="19">
        <v>10.791</v>
      </c>
      <c r="AB1649" s="19">
        <v>2.5510000000000002</v>
      </c>
      <c r="AC1649" s="19">
        <v>0.59699999999999998</v>
      </c>
    </row>
    <row r="1650" spans="1:29" ht="11.65" x14ac:dyDescent="0.35">
      <c r="A1650" s="23">
        <v>1633</v>
      </c>
      <c r="B1650" s="21" t="s">
        <v>1015</v>
      </c>
      <c r="C1650" s="29" t="s">
        <v>1132</v>
      </c>
      <c r="D1650" s="20"/>
      <c r="E1650" s="20">
        <v>5500</v>
      </c>
      <c r="F1650" s="21" t="s">
        <v>1065</v>
      </c>
      <c r="G1650" s="20">
        <v>921</v>
      </c>
      <c r="H1650" s="20">
        <v>2010</v>
      </c>
      <c r="I1650" s="19">
        <v>3419.665</v>
      </c>
      <c r="J1650" s="19">
        <v>2838.9929999999999</v>
      </c>
      <c r="K1650" s="19">
        <v>2968.23</v>
      </c>
      <c r="L1650" s="19">
        <v>3417.0990000000002</v>
      </c>
      <c r="M1650" s="19">
        <v>3365.857</v>
      </c>
      <c r="N1650" s="19">
        <v>2775.6370000000002</v>
      </c>
      <c r="O1650" s="19">
        <v>2324.6959999999999</v>
      </c>
      <c r="P1650" s="19">
        <v>2046.8879999999999</v>
      </c>
      <c r="Q1650" s="19">
        <v>1814.4749999999999</v>
      </c>
      <c r="R1650" s="19">
        <v>1761.6569999999999</v>
      </c>
      <c r="S1650" s="19">
        <v>1430.5930000000001</v>
      </c>
      <c r="T1650" s="19">
        <v>1025.739</v>
      </c>
      <c r="U1650" s="19">
        <v>576.88499999999999</v>
      </c>
      <c r="V1650" s="19">
        <v>404.70600000000002</v>
      </c>
      <c r="W1650" s="19">
        <v>428.00799999999998</v>
      </c>
      <c r="X1650" s="19">
        <v>222.68199999999999</v>
      </c>
      <c r="Y1650" s="19">
        <v>148.74199999999999</v>
      </c>
      <c r="Z1650" s="19">
        <v>36.896999999999998</v>
      </c>
      <c r="AA1650" s="19">
        <v>7.5510000000000002</v>
      </c>
      <c r="AB1650" s="19">
        <v>2.3149999999999999</v>
      </c>
      <c r="AC1650" s="19">
        <v>0.443</v>
      </c>
    </row>
    <row r="1651" spans="1:29" ht="11.65" x14ac:dyDescent="0.35">
      <c r="A1651" s="23">
        <v>1634</v>
      </c>
      <c r="B1651" s="21" t="s">
        <v>1015</v>
      </c>
      <c r="C1651" s="29" t="s">
        <v>1132</v>
      </c>
      <c r="D1651" s="20"/>
      <c r="E1651" s="20">
        <v>5500</v>
      </c>
      <c r="F1651" s="21" t="s">
        <v>1065</v>
      </c>
      <c r="G1651" s="20">
        <v>921</v>
      </c>
      <c r="H1651" s="20">
        <v>2015</v>
      </c>
      <c r="I1651" s="19">
        <v>4065.2809999999999</v>
      </c>
      <c r="J1651" s="19">
        <v>3409.2840000000001</v>
      </c>
      <c r="K1651" s="19">
        <v>2806.355</v>
      </c>
      <c r="L1651" s="19">
        <v>2943.6089999999999</v>
      </c>
      <c r="M1651" s="19">
        <v>3380.402</v>
      </c>
      <c r="N1651" s="19">
        <v>3326.1570000000002</v>
      </c>
      <c r="O1651" s="19">
        <v>2717.5529999999999</v>
      </c>
      <c r="P1651" s="19">
        <v>2270.9250000000002</v>
      </c>
      <c r="Q1651" s="19">
        <v>1994.422</v>
      </c>
      <c r="R1651" s="19">
        <v>1737.393</v>
      </c>
      <c r="S1651" s="19">
        <v>1695.124</v>
      </c>
      <c r="T1651" s="19">
        <v>1330.2180000000001</v>
      </c>
      <c r="U1651" s="19">
        <v>919.71500000000003</v>
      </c>
      <c r="V1651" s="19">
        <v>463.82900000000001</v>
      </c>
      <c r="W1651" s="19">
        <v>318.19799999999998</v>
      </c>
      <c r="X1651" s="19">
        <v>293.83199999999999</v>
      </c>
      <c r="Y1651" s="19">
        <v>129.876</v>
      </c>
      <c r="Z1651" s="19">
        <v>56.247</v>
      </c>
      <c r="AA1651" s="19">
        <v>8.8469999999999995</v>
      </c>
      <c r="AB1651" s="19">
        <v>1.117</v>
      </c>
      <c r="AC1651" s="19">
        <v>0.23499999999999999</v>
      </c>
    </row>
    <row r="1652" spans="1:29" ht="11.65" x14ac:dyDescent="0.35">
      <c r="A1652" s="23">
        <v>1635</v>
      </c>
      <c r="B1652" s="21" t="s">
        <v>1015</v>
      </c>
      <c r="C1652" s="29" t="s">
        <v>1132</v>
      </c>
      <c r="D1652" s="20"/>
      <c r="E1652" s="20">
        <v>5500</v>
      </c>
      <c r="F1652" s="21" t="s">
        <v>1065</v>
      </c>
      <c r="G1652" s="20">
        <v>921</v>
      </c>
      <c r="H1652" s="20">
        <v>2020</v>
      </c>
      <c r="I1652" s="19">
        <v>4180.5209999999997</v>
      </c>
      <c r="J1652" s="19">
        <v>4046.5349999999999</v>
      </c>
      <c r="K1652" s="19">
        <v>3399.8910000000001</v>
      </c>
      <c r="L1652" s="19">
        <v>2783.9470000000001</v>
      </c>
      <c r="M1652" s="19">
        <v>2904.0030000000002</v>
      </c>
      <c r="N1652" s="19">
        <v>3333.6</v>
      </c>
      <c r="O1652" s="19">
        <v>3277.1790000000001</v>
      </c>
      <c r="P1652" s="19">
        <v>2668.636</v>
      </c>
      <c r="Q1652" s="19">
        <v>2219.663</v>
      </c>
      <c r="R1652" s="19">
        <v>1935.991</v>
      </c>
      <c r="S1652" s="19">
        <v>1667.046</v>
      </c>
      <c r="T1652" s="19">
        <v>1592.943</v>
      </c>
      <c r="U1652" s="19">
        <v>1203.55</v>
      </c>
      <c r="V1652" s="19">
        <v>786.32600000000002</v>
      </c>
      <c r="W1652" s="19">
        <v>362.65100000000001</v>
      </c>
      <c r="X1652" s="19">
        <v>216.53299999999999</v>
      </c>
      <c r="Y1652" s="19">
        <v>162.83799999999999</v>
      </c>
      <c r="Z1652" s="19">
        <v>53.055999999999997</v>
      </c>
      <c r="AA1652" s="19">
        <v>15.657</v>
      </c>
      <c r="AB1652" s="19">
        <v>1.478</v>
      </c>
      <c r="AC1652" s="19">
        <v>0.13100000000000001</v>
      </c>
    </row>
    <row r="1653" spans="1:29" ht="11.65" x14ac:dyDescent="0.35">
      <c r="A1653" s="12">
        <v>1636</v>
      </c>
      <c r="B1653" s="10" t="s">
        <v>1015</v>
      </c>
      <c r="C1653" s="11" t="s">
        <v>1133</v>
      </c>
      <c r="D1653" s="9"/>
      <c r="E1653" s="9">
        <v>398</v>
      </c>
      <c r="F1653" s="10" t="s">
        <v>1066</v>
      </c>
      <c r="G1653" s="9">
        <v>5500</v>
      </c>
      <c r="H1653" s="9">
        <v>1950</v>
      </c>
      <c r="I1653" s="8">
        <v>382.08</v>
      </c>
      <c r="J1653" s="8">
        <v>287.42700000000002</v>
      </c>
      <c r="K1653" s="8">
        <v>514.23500000000001</v>
      </c>
      <c r="L1653" s="8">
        <v>304.19499999999999</v>
      </c>
      <c r="M1653" s="8">
        <v>366.7</v>
      </c>
      <c r="N1653" s="8">
        <v>178.38900000000001</v>
      </c>
      <c r="O1653" s="8">
        <v>139.596</v>
      </c>
      <c r="P1653" s="8">
        <v>183.251</v>
      </c>
      <c r="Q1653" s="8">
        <v>170.65100000000001</v>
      </c>
      <c r="R1653" s="8">
        <v>144.45599999999999</v>
      </c>
      <c r="S1653" s="8">
        <v>124.316</v>
      </c>
      <c r="T1653" s="8">
        <v>118.663</v>
      </c>
      <c r="U1653" s="8">
        <v>125.70699999999999</v>
      </c>
      <c r="V1653" s="8">
        <v>88.697999999999993</v>
      </c>
      <c r="W1653" s="8">
        <v>60.621000000000002</v>
      </c>
      <c r="X1653" s="8">
        <v>33.634</v>
      </c>
      <c r="Y1653" s="8">
        <v>14.782</v>
      </c>
      <c r="Z1653" s="8">
        <v>4.9649999999999999</v>
      </c>
      <c r="AA1653" s="8">
        <v>1.1830000000000001</v>
      </c>
      <c r="AB1653" s="8">
        <v>0.18</v>
      </c>
      <c r="AC1653" s="8">
        <v>1.4999999999999999E-2</v>
      </c>
    </row>
    <row r="1654" spans="1:29" ht="11.65" x14ac:dyDescent="0.35">
      <c r="A1654" s="12">
        <v>1637</v>
      </c>
      <c r="B1654" s="10" t="s">
        <v>1015</v>
      </c>
      <c r="C1654" s="11" t="s">
        <v>1133</v>
      </c>
      <c r="D1654" s="9"/>
      <c r="E1654" s="9">
        <v>398</v>
      </c>
      <c r="F1654" s="10" t="s">
        <v>1066</v>
      </c>
      <c r="G1654" s="9">
        <v>5500</v>
      </c>
      <c r="H1654" s="9">
        <v>1955</v>
      </c>
      <c r="I1654" s="8">
        <v>564.75900000000001</v>
      </c>
      <c r="J1654" s="8">
        <v>406.56900000000002</v>
      </c>
      <c r="K1654" s="8">
        <v>315.25799999999998</v>
      </c>
      <c r="L1654" s="8">
        <v>542.10500000000002</v>
      </c>
      <c r="M1654" s="8">
        <v>328.625</v>
      </c>
      <c r="N1654" s="8">
        <v>380.52</v>
      </c>
      <c r="O1654" s="8">
        <v>188.94399999999999</v>
      </c>
      <c r="P1654" s="8">
        <v>146.31899999999999</v>
      </c>
      <c r="Q1654" s="8">
        <v>186.69499999999999</v>
      </c>
      <c r="R1654" s="8">
        <v>170.50700000000001</v>
      </c>
      <c r="S1654" s="8">
        <v>139.86799999999999</v>
      </c>
      <c r="T1654" s="8">
        <v>115.952</v>
      </c>
      <c r="U1654" s="8">
        <v>104.622</v>
      </c>
      <c r="V1654" s="8">
        <v>102.60299999999999</v>
      </c>
      <c r="W1654" s="8">
        <v>66.436000000000007</v>
      </c>
      <c r="X1654" s="8">
        <v>39.067</v>
      </c>
      <c r="Y1654" s="8">
        <v>17.158999999999999</v>
      </c>
      <c r="Z1654" s="8">
        <v>5.7910000000000004</v>
      </c>
      <c r="AA1654" s="8">
        <v>1.456</v>
      </c>
      <c r="AB1654" s="8">
        <v>0.246</v>
      </c>
      <c r="AC1654" s="8">
        <v>2.5999999999999999E-2</v>
      </c>
    </row>
    <row r="1655" spans="1:29" ht="11.65" x14ac:dyDescent="0.35">
      <c r="A1655" s="12">
        <v>1638</v>
      </c>
      <c r="B1655" s="10" t="s">
        <v>1015</v>
      </c>
      <c r="C1655" s="11" t="s">
        <v>1133</v>
      </c>
      <c r="D1655" s="9"/>
      <c r="E1655" s="9">
        <v>398</v>
      </c>
      <c r="F1655" s="10" t="s">
        <v>1066</v>
      </c>
      <c r="G1655" s="9">
        <v>5500</v>
      </c>
      <c r="H1655" s="9">
        <v>1960</v>
      </c>
      <c r="I1655" s="8">
        <v>771.476</v>
      </c>
      <c r="J1655" s="8">
        <v>621.48900000000003</v>
      </c>
      <c r="K1655" s="8">
        <v>454.34699999999998</v>
      </c>
      <c r="L1655" s="8">
        <v>359.947</v>
      </c>
      <c r="M1655" s="8">
        <v>584.05700000000002</v>
      </c>
      <c r="N1655" s="8">
        <v>366.29</v>
      </c>
      <c r="O1655" s="8">
        <v>405.04700000000003</v>
      </c>
      <c r="P1655" s="8">
        <v>207.529</v>
      </c>
      <c r="Q1655" s="8">
        <v>158.53800000000001</v>
      </c>
      <c r="R1655" s="8">
        <v>193.12200000000001</v>
      </c>
      <c r="S1655" s="8">
        <v>171.66200000000001</v>
      </c>
      <c r="T1655" s="8">
        <v>136.166</v>
      </c>
      <c r="U1655" s="8">
        <v>107.035</v>
      </c>
      <c r="V1655" s="8">
        <v>90.566999999999993</v>
      </c>
      <c r="W1655" s="8">
        <v>80.144000000000005</v>
      </c>
      <c r="X1655" s="8">
        <v>45.267000000000003</v>
      </c>
      <c r="Y1655" s="8">
        <v>20.649000000000001</v>
      </c>
      <c r="Z1655" s="8">
        <v>7.0679999999999996</v>
      </c>
      <c r="AA1655" s="8">
        <v>1.7969999999999999</v>
      </c>
      <c r="AB1655" s="8">
        <v>0.32200000000000001</v>
      </c>
      <c r="AC1655" s="8">
        <v>3.9E-2</v>
      </c>
    </row>
    <row r="1656" spans="1:29" ht="11.65" x14ac:dyDescent="0.35">
      <c r="A1656" s="12">
        <v>1639</v>
      </c>
      <c r="B1656" s="10" t="s">
        <v>1015</v>
      </c>
      <c r="C1656" s="11" t="s">
        <v>1133</v>
      </c>
      <c r="D1656" s="9"/>
      <c r="E1656" s="9">
        <v>398</v>
      </c>
      <c r="F1656" s="10" t="s">
        <v>1066</v>
      </c>
      <c r="G1656" s="9">
        <v>5500</v>
      </c>
      <c r="H1656" s="9">
        <v>1965</v>
      </c>
      <c r="I1656" s="8">
        <v>887.82600000000002</v>
      </c>
      <c r="J1656" s="8">
        <v>809.13599999999997</v>
      </c>
      <c r="K1656" s="8">
        <v>657.73800000000006</v>
      </c>
      <c r="L1656" s="8">
        <v>481.95499999999998</v>
      </c>
      <c r="M1656" s="8">
        <v>383.67399999999998</v>
      </c>
      <c r="N1656" s="8">
        <v>600.50300000000004</v>
      </c>
      <c r="O1656" s="8">
        <v>383.322</v>
      </c>
      <c r="P1656" s="8">
        <v>412.26299999999998</v>
      </c>
      <c r="Q1656" s="8">
        <v>213.86500000000001</v>
      </c>
      <c r="R1656" s="8">
        <v>159.87299999999999</v>
      </c>
      <c r="S1656" s="8">
        <v>186.203</v>
      </c>
      <c r="T1656" s="8">
        <v>160.11500000000001</v>
      </c>
      <c r="U1656" s="8">
        <v>120.708</v>
      </c>
      <c r="V1656" s="8">
        <v>89.251999999999995</v>
      </c>
      <c r="W1656" s="8">
        <v>69.146000000000001</v>
      </c>
      <c r="X1656" s="8">
        <v>52.761000000000003</v>
      </c>
      <c r="Y1656" s="8">
        <v>22.931999999999999</v>
      </c>
      <c r="Z1656" s="8">
        <v>8.9190000000000005</v>
      </c>
      <c r="AA1656" s="8">
        <v>2.3140000000000001</v>
      </c>
      <c r="AB1656" s="8">
        <v>0.42</v>
      </c>
      <c r="AC1656" s="8">
        <v>5.5E-2</v>
      </c>
    </row>
    <row r="1657" spans="1:29" ht="11.65" x14ac:dyDescent="0.35">
      <c r="A1657" s="12">
        <v>1640</v>
      </c>
      <c r="B1657" s="10" t="s">
        <v>1015</v>
      </c>
      <c r="C1657" s="11" t="s">
        <v>1133</v>
      </c>
      <c r="D1657" s="9"/>
      <c r="E1657" s="9">
        <v>398</v>
      </c>
      <c r="F1657" s="10" t="s">
        <v>1066</v>
      </c>
      <c r="G1657" s="9">
        <v>5500</v>
      </c>
      <c r="H1657" s="9">
        <v>1970</v>
      </c>
      <c r="I1657" s="8">
        <v>786.20799999999997</v>
      </c>
      <c r="J1657" s="8">
        <v>886.43499999999995</v>
      </c>
      <c r="K1657" s="8">
        <v>813.68</v>
      </c>
      <c r="L1657" s="8">
        <v>660.73199999999997</v>
      </c>
      <c r="M1657" s="8">
        <v>481.41800000000001</v>
      </c>
      <c r="N1657" s="8">
        <v>381.483</v>
      </c>
      <c r="O1657" s="8">
        <v>590.44600000000003</v>
      </c>
      <c r="P1657" s="8">
        <v>376.577</v>
      </c>
      <c r="Q1657" s="8">
        <v>399.96899999999999</v>
      </c>
      <c r="R1657" s="8">
        <v>204.46899999999999</v>
      </c>
      <c r="S1657" s="8">
        <v>148.476</v>
      </c>
      <c r="T1657" s="8">
        <v>166.66</v>
      </c>
      <c r="U1657" s="8">
        <v>136.214</v>
      </c>
      <c r="V1657" s="8">
        <v>96.578000000000003</v>
      </c>
      <c r="W1657" s="8">
        <v>65.635999999999996</v>
      </c>
      <c r="X1657" s="8">
        <v>44.436999999999998</v>
      </c>
      <c r="Y1657" s="8">
        <v>25.41</v>
      </c>
      <c r="Z1657" s="8">
        <v>10.358000000000001</v>
      </c>
      <c r="AA1657" s="8">
        <v>3.0710000000000002</v>
      </c>
      <c r="AB1657" s="8">
        <v>0.56999999999999995</v>
      </c>
      <c r="AC1657" s="8">
        <v>7.5999999999999998E-2</v>
      </c>
    </row>
    <row r="1658" spans="1:29" ht="11.65" x14ac:dyDescent="0.35">
      <c r="A1658" s="12">
        <v>1641</v>
      </c>
      <c r="B1658" s="10" t="s">
        <v>1015</v>
      </c>
      <c r="C1658" s="11" t="s">
        <v>1133</v>
      </c>
      <c r="D1658" s="9"/>
      <c r="E1658" s="9">
        <v>398</v>
      </c>
      <c r="F1658" s="10" t="s">
        <v>1066</v>
      </c>
      <c r="G1658" s="9">
        <v>5500</v>
      </c>
      <c r="H1658" s="9">
        <v>1975</v>
      </c>
      <c r="I1658" s="8">
        <v>831.61599999999999</v>
      </c>
      <c r="J1658" s="8">
        <v>773.47699999999998</v>
      </c>
      <c r="K1658" s="8">
        <v>864.928</v>
      </c>
      <c r="L1658" s="8">
        <v>800.74800000000005</v>
      </c>
      <c r="M1658" s="8">
        <v>668.49300000000005</v>
      </c>
      <c r="N1658" s="8">
        <v>484.11799999999999</v>
      </c>
      <c r="O1658" s="8">
        <v>365.36799999999999</v>
      </c>
      <c r="P1658" s="8">
        <v>550.53899999999999</v>
      </c>
      <c r="Q1658" s="8">
        <v>346.209</v>
      </c>
      <c r="R1658" s="8">
        <v>365.38400000000001</v>
      </c>
      <c r="S1658" s="8">
        <v>187.196</v>
      </c>
      <c r="T1658" s="8">
        <v>133.029</v>
      </c>
      <c r="U1658" s="8">
        <v>144.33000000000001</v>
      </c>
      <c r="V1658" s="8">
        <v>108.346</v>
      </c>
      <c r="W1658" s="8">
        <v>72.614000000000004</v>
      </c>
      <c r="X1658" s="8">
        <v>43.512</v>
      </c>
      <c r="Y1658" s="8">
        <v>25.262</v>
      </c>
      <c r="Z1658" s="8">
        <v>11.585000000000001</v>
      </c>
      <c r="AA1658" s="8">
        <v>3.6</v>
      </c>
      <c r="AB1658" s="8">
        <v>0.76500000000000001</v>
      </c>
      <c r="AC1658" s="8">
        <v>0.104</v>
      </c>
    </row>
    <row r="1659" spans="1:29" ht="11.65" x14ac:dyDescent="0.35">
      <c r="A1659" s="12">
        <v>1642</v>
      </c>
      <c r="B1659" s="10" t="s">
        <v>1015</v>
      </c>
      <c r="C1659" s="11" t="s">
        <v>1133</v>
      </c>
      <c r="D1659" s="9"/>
      <c r="E1659" s="9">
        <v>398</v>
      </c>
      <c r="F1659" s="10" t="s">
        <v>1066</v>
      </c>
      <c r="G1659" s="9">
        <v>5500</v>
      </c>
      <c r="H1659" s="9">
        <v>1980</v>
      </c>
      <c r="I1659" s="8">
        <v>866.50699999999995</v>
      </c>
      <c r="J1659" s="8">
        <v>818.20699999999999</v>
      </c>
      <c r="K1659" s="8">
        <v>757.42899999999997</v>
      </c>
      <c r="L1659" s="8">
        <v>793.98500000000001</v>
      </c>
      <c r="M1659" s="8">
        <v>747.64400000000001</v>
      </c>
      <c r="N1659" s="8">
        <v>630.52700000000004</v>
      </c>
      <c r="O1659" s="8">
        <v>477.01900000000001</v>
      </c>
      <c r="P1659" s="8">
        <v>312.34300000000002</v>
      </c>
      <c r="Q1659" s="8">
        <v>510.99700000000001</v>
      </c>
      <c r="R1659" s="8">
        <v>314.69299999999998</v>
      </c>
      <c r="S1659" s="8">
        <v>337.36099999999999</v>
      </c>
      <c r="T1659" s="8">
        <v>174.696</v>
      </c>
      <c r="U1659" s="8">
        <v>111.31399999999999</v>
      </c>
      <c r="V1659" s="8">
        <v>113.101</v>
      </c>
      <c r="W1659" s="8">
        <v>80.911000000000001</v>
      </c>
      <c r="X1659" s="8">
        <v>49.652000000000001</v>
      </c>
      <c r="Y1659" s="8">
        <v>27.206</v>
      </c>
      <c r="Z1659" s="8">
        <v>11.457000000000001</v>
      </c>
      <c r="AA1659" s="8">
        <v>3.9889999999999999</v>
      </c>
      <c r="AB1659" s="8">
        <v>0.88300000000000001</v>
      </c>
      <c r="AC1659" s="8">
        <v>0.13700000000000001</v>
      </c>
    </row>
    <row r="1660" spans="1:29" ht="11.65" x14ac:dyDescent="0.35">
      <c r="A1660" s="12">
        <v>1643</v>
      </c>
      <c r="B1660" s="10" t="s">
        <v>1015</v>
      </c>
      <c r="C1660" s="11" t="s">
        <v>1133</v>
      </c>
      <c r="D1660" s="9"/>
      <c r="E1660" s="9">
        <v>398</v>
      </c>
      <c r="F1660" s="10" t="s">
        <v>1066</v>
      </c>
      <c r="G1660" s="9">
        <v>5500</v>
      </c>
      <c r="H1660" s="9">
        <v>1985</v>
      </c>
      <c r="I1660" s="8">
        <v>924.46500000000003</v>
      </c>
      <c r="J1660" s="8">
        <v>838.62400000000002</v>
      </c>
      <c r="K1660" s="8">
        <v>800.74</v>
      </c>
      <c r="L1660" s="8">
        <v>720.01499999999999</v>
      </c>
      <c r="M1660" s="8">
        <v>772.34400000000005</v>
      </c>
      <c r="N1660" s="8">
        <v>717.92</v>
      </c>
      <c r="O1660" s="8">
        <v>597.70699999999999</v>
      </c>
      <c r="P1660" s="8">
        <v>446.34</v>
      </c>
      <c r="Q1660" s="8">
        <v>290.94900000000001</v>
      </c>
      <c r="R1660" s="8">
        <v>469.06299999999999</v>
      </c>
      <c r="S1660" s="8">
        <v>283.18900000000002</v>
      </c>
      <c r="T1660" s="8">
        <v>298.11200000000002</v>
      </c>
      <c r="U1660" s="8">
        <v>147.828</v>
      </c>
      <c r="V1660" s="8">
        <v>88.61</v>
      </c>
      <c r="W1660" s="8">
        <v>83.644999999999996</v>
      </c>
      <c r="X1660" s="8">
        <v>52.811</v>
      </c>
      <c r="Y1660" s="8">
        <v>27.533999999999999</v>
      </c>
      <c r="Z1660" s="8">
        <v>12.430999999999999</v>
      </c>
      <c r="AA1660" s="8">
        <v>3.9670000000000001</v>
      </c>
      <c r="AB1660" s="8">
        <v>0.98</v>
      </c>
      <c r="AC1660" s="8">
        <v>0.16</v>
      </c>
    </row>
    <row r="1661" spans="1:29" ht="11.65" x14ac:dyDescent="0.35">
      <c r="A1661" s="12">
        <v>1644</v>
      </c>
      <c r="B1661" s="10" t="s">
        <v>1015</v>
      </c>
      <c r="C1661" s="11" t="s">
        <v>1133</v>
      </c>
      <c r="D1661" s="9"/>
      <c r="E1661" s="9">
        <v>398</v>
      </c>
      <c r="F1661" s="10" t="s">
        <v>1066</v>
      </c>
      <c r="G1661" s="9">
        <v>5500</v>
      </c>
      <c r="H1661" s="9">
        <v>1990</v>
      </c>
      <c r="I1661" s="8">
        <v>942.50800000000004</v>
      </c>
      <c r="J1661" s="8">
        <v>873.18600000000004</v>
      </c>
      <c r="K1661" s="8">
        <v>805.90700000000004</v>
      </c>
      <c r="L1661" s="8">
        <v>737.15499999999997</v>
      </c>
      <c r="M1661" s="8">
        <v>667.16899999999998</v>
      </c>
      <c r="N1661" s="8">
        <v>726.21500000000003</v>
      </c>
      <c r="O1661" s="8">
        <v>699.44899999999996</v>
      </c>
      <c r="P1661" s="8">
        <v>574.99</v>
      </c>
      <c r="Q1661" s="8">
        <v>424.69099999999997</v>
      </c>
      <c r="R1661" s="8">
        <v>274.05599999999998</v>
      </c>
      <c r="S1661" s="8">
        <v>431.56400000000002</v>
      </c>
      <c r="T1661" s="8">
        <v>252.261</v>
      </c>
      <c r="U1661" s="8">
        <v>256.012</v>
      </c>
      <c r="V1661" s="8">
        <v>119.82599999999999</v>
      </c>
      <c r="W1661" s="8">
        <v>66.225999999999999</v>
      </c>
      <c r="X1661" s="8">
        <v>55.628999999999998</v>
      </c>
      <c r="Y1661" s="8">
        <v>26.38</v>
      </c>
      <c r="Z1661" s="8">
        <v>12.856</v>
      </c>
      <c r="AA1661" s="8">
        <v>4.4130000000000003</v>
      </c>
      <c r="AB1661" s="8">
        <v>1.002</v>
      </c>
      <c r="AC1661" s="8">
        <v>0.184</v>
      </c>
    </row>
    <row r="1662" spans="1:29" ht="11.65" x14ac:dyDescent="0.35">
      <c r="A1662" s="12">
        <v>1645</v>
      </c>
      <c r="B1662" s="10" t="s">
        <v>1015</v>
      </c>
      <c r="C1662" s="11" t="s">
        <v>1133</v>
      </c>
      <c r="D1662" s="9"/>
      <c r="E1662" s="9">
        <v>398</v>
      </c>
      <c r="F1662" s="10" t="s">
        <v>1066</v>
      </c>
      <c r="G1662" s="9">
        <v>5500</v>
      </c>
      <c r="H1662" s="9">
        <v>1995</v>
      </c>
      <c r="I1662" s="8">
        <v>741.99900000000002</v>
      </c>
      <c r="J1662" s="8">
        <v>866.31399999999996</v>
      </c>
      <c r="K1662" s="8">
        <v>791.26599999999996</v>
      </c>
      <c r="L1662" s="8">
        <v>719.88300000000004</v>
      </c>
      <c r="M1662" s="8">
        <v>663.702</v>
      </c>
      <c r="N1662" s="8">
        <v>594.048</v>
      </c>
      <c r="O1662" s="8">
        <v>637.57799999999997</v>
      </c>
      <c r="P1662" s="8">
        <v>608.351</v>
      </c>
      <c r="Q1662" s="8">
        <v>509.887</v>
      </c>
      <c r="R1662" s="8">
        <v>366.78899999999999</v>
      </c>
      <c r="S1662" s="8">
        <v>229.09800000000001</v>
      </c>
      <c r="T1662" s="8">
        <v>368.036</v>
      </c>
      <c r="U1662" s="8">
        <v>200.03200000000001</v>
      </c>
      <c r="V1662" s="8">
        <v>200.471</v>
      </c>
      <c r="W1662" s="8">
        <v>86.76</v>
      </c>
      <c r="X1662" s="8">
        <v>41.725000000000001</v>
      </c>
      <c r="Y1662" s="8">
        <v>30.619</v>
      </c>
      <c r="Z1662" s="8">
        <v>11.36</v>
      </c>
      <c r="AA1662" s="8">
        <v>4.0540000000000003</v>
      </c>
      <c r="AB1662" s="8">
        <v>0.95899999999999996</v>
      </c>
      <c r="AC1662" s="8">
        <v>0.16300000000000001</v>
      </c>
    </row>
    <row r="1663" spans="1:29" ht="11.65" x14ac:dyDescent="0.35">
      <c r="A1663" s="12">
        <v>1646</v>
      </c>
      <c r="B1663" s="10" t="s">
        <v>1015</v>
      </c>
      <c r="C1663" s="11" t="s">
        <v>1133</v>
      </c>
      <c r="D1663" s="9"/>
      <c r="E1663" s="9">
        <v>398</v>
      </c>
      <c r="F1663" s="10" t="s">
        <v>1066</v>
      </c>
      <c r="G1663" s="9">
        <v>5500</v>
      </c>
      <c r="H1663" s="9">
        <v>2000</v>
      </c>
      <c r="I1663" s="8">
        <v>568.86500000000001</v>
      </c>
      <c r="J1663" s="8">
        <v>717.01499999999999</v>
      </c>
      <c r="K1663" s="8">
        <v>812.31500000000005</v>
      </c>
      <c r="L1663" s="8">
        <v>725.47400000000005</v>
      </c>
      <c r="M1663" s="8">
        <v>641.255</v>
      </c>
      <c r="N1663" s="8">
        <v>593.88699999999994</v>
      </c>
      <c r="O1663" s="8">
        <v>531.48900000000003</v>
      </c>
      <c r="P1663" s="8">
        <v>552.38599999999997</v>
      </c>
      <c r="Q1663" s="8">
        <v>509.358</v>
      </c>
      <c r="R1663" s="8">
        <v>428.34699999999998</v>
      </c>
      <c r="S1663" s="8">
        <v>294.88900000000001</v>
      </c>
      <c r="T1663" s="8">
        <v>177.947</v>
      </c>
      <c r="U1663" s="8">
        <v>277.57299999999998</v>
      </c>
      <c r="V1663" s="8">
        <v>134.82300000000001</v>
      </c>
      <c r="W1663" s="8">
        <v>129.607</v>
      </c>
      <c r="X1663" s="8">
        <v>49.819000000000003</v>
      </c>
      <c r="Y1663" s="8">
        <v>17.747</v>
      </c>
      <c r="Z1663" s="8">
        <v>11.035</v>
      </c>
      <c r="AA1663" s="8">
        <v>2.7010000000000001</v>
      </c>
      <c r="AB1663" s="8">
        <v>0.57999999999999996</v>
      </c>
      <c r="AC1663" s="8">
        <v>0.09</v>
      </c>
    </row>
    <row r="1664" spans="1:29" ht="11.65" x14ac:dyDescent="0.35">
      <c r="A1664" s="12">
        <v>1647</v>
      </c>
      <c r="B1664" s="10" t="s">
        <v>1015</v>
      </c>
      <c r="C1664" s="11" t="s">
        <v>1133</v>
      </c>
      <c r="D1664" s="9"/>
      <c r="E1664" s="9">
        <v>398</v>
      </c>
      <c r="F1664" s="10" t="s">
        <v>1066</v>
      </c>
      <c r="G1664" s="9">
        <v>5500</v>
      </c>
      <c r="H1664" s="9">
        <v>2005</v>
      </c>
      <c r="I1664" s="8">
        <v>630.54399999999998</v>
      </c>
      <c r="J1664" s="8">
        <v>583.92399999999998</v>
      </c>
      <c r="K1664" s="8">
        <v>713.65</v>
      </c>
      <c r="L1664" s="8">
        <v>801.00699999999995</v>
      </c>
      <c r="M1664" s="8">
        <v>722.48</v>
      </c>
      <c r="N1664" s="8">
        <v>635.48800000000006</v>
      </c>
      <c r="O1664" s="8">
        <v>582.35699999999997</v>
      </c>
      <c r="P1664" s="8">
        <v>532.11099999999999</v>
      </c>
      <c r="Q1664" s="8">
        <v>529.94000000000005</v>
      </c>
      <c r="R1664" s="8">
        <v>480.43099999999998</v>
      </c>
      <c r="S1664" s="8">
        <v>374.01100000000002</v>
      </c>
      <c r="T1664" s="8">
        <v>259.50799999999998</v>
      </c>
      <c r="U1664" s="8">
        <v>154.78299999999999</v>
      </c>
      <c r="V1664" s="8">
        <v>204.04499999999999</v>
      </c>
      <c r="W1664" s="8">
        <v>103.413</v>
      </c>
      <c r="X1664" s="8">
        <v>78.156999999999996</v>
      </c>
      <c r="Y1664" s="8">
        <v>23.791</v>
      </c>
      <c r="Z1664" s="8">
        <v>6.36</v>
      </c>
      <c r="AA1664" s="8">
        <v>2.754</v>
      </c>
      <c r="AB1664" s="8">
        <v>0.439</v>
      </c>
      <c r="AC1664" s="8">
        <v>6.6000000000000003E-2</v>
      </c>
    </row>
    <row r="1665" spans="1:29" ht="11.65" x14ac:dyDescent="0.35">
      <c r="A1665" s="12">
        <v>1648</v>
      </c>
      <c r="B1665" s="10" t="s">
        <v>1015</v>
      </c>
      <c r="C1665" s="11" t="s">
        <v>1133</v>
      </c>
      <c r="D1665" s="9"/>
      <c r="E1665" s="9">
        <v>398</v>
      </c>
      <c r="F1665" s="10" t="s">
        <v>1066</v>
      </c>
      <c r="G1665" s="9">
        <v>5500</v>
      </c>
      <c r="H1665" s="9">
        <v>2010</v>
      </c>
      <c r="I1665" s="8">
        <v>818.65200000000004</v>
      </c>
      <c r="J1665" s="8">
        <v>606.99699999999996</v>
      </c>
      <c r="K1665" s="8">
        <v>580.12199999999996</v>
      </c>
      <c r="L1665" s="8">
        <v>746.86300000000006</v>
      </c>
      <c r="M1665" s="8">
        <v>816.08900000000006</v>
      </c>
      <c r="N1665" s="8">
        <v>699.48099999999999</v>
      </c>
      <c r="O1665" s="8">
        <v>617.6</v>
      </c>
      <c r="P1665" s="8">
        <v>570.45299999999997</v>
      </c>
      <c r="Q1665" s="8">
        <v>510.62799999999999</v>
      </c>
      <c r="R1665" s="8">
        <v>531.274</v>
      </c>
      <c r="S1665" s="8">
        <v>430.46300000000002</v>
      </c>
      <c r="T1665" s="8">
        <v>323.524</v>
      </c>
      <c r="U1665" s="8">
        <v>209.75</v>
      </c>
      <c r="V1665" s="8">
        <v>127.496</v>
      </c>
      <c r="W1665" s="8">
        <v>153.67599999999999</v>
      </c>
      <c r="X1665" s="8">
        <v>59.567</v>
      </c>
      <c r="Y1665" s="8">
        <v>43.448</v>
      </c>
      <c r="Z1665" s="8">
        <v>7.7569999999999997</v>
      </c>
      <c r="AA1665" s="8">
        <v>1.3069999999999999</v>
      </c>
      <c r="AB1665" s="8">
        <v>0.33400000000000002</v>
      </c>
      <c r="AC1665" s="8">
        <v>3.6999999999999998E-2</v>
      </c>
    </row>
    <row r="1666" spans="1:29" ht="11.65" x14ac:dyDescent="0.35">
      <c r="A1666" s="12">
        <v>1649</v>
      </c>
      <c r="B1666" s="10" t="s">
        <v>1015</v>
      </c>
      <c r="C1666" s="11" t="s">
        <v>1133</v>
      </c>
      <c r="D1666" s="9"/>
      <c r="E1666" s="9">
        <v>398</v>
      </c>
      <c r="F1666" s="10" t="s">
        <v>1066</v>
      </c>
      <c r="G1666" s="9">
        <v>5500</v>
      </c>
      <c r="H1666" s="9">
        <v>2015</v>
      </c>
      <c r="I1666" s="8">
        <v>1004.702</v>
      </c>
      <c r="J1666" s="8">
        <v>827.53800000000001</v>
      </c>
      <c r="K1666" s="8">
        <v>578.245</v>
      </c>
      <c r="L1666" s="8">
        <v>575.04999999999995</v>
      </c>
      <c r="M1666" s="8">
        <v>753.64099999999996</v>
      </c>
      <c r="N1666" s="8">
        <v>829.78300000000002</v>
      </c>
      <c r="O1666" s="8">
        <v>681.49599999999998</v>
      </c>
      <c r="P1666" s="8">
        <v>598.27099999999996</v>
      </c>
      <c r="Q1666" s="8">
        <v>553.51700000000005</v>
      </c>
      <c r="R1666" s="8">
        <v>481.04899999999998</v>
      </c>
      <c r="S1666" s="8">
        <v>519.34799999999996</v>
      </c>
      <c r="T1666" s="8">
        <v>392.815</v>
      </c>
      <c r="U1666" s="8">
        <v>292.197</v>
      </c>
      <c r="V1666" s="8">
        <v>150.83799999999999</v>
      </c>
      <c r="W1666" s="8">
        <v>105.387</v>
      </c>
      <c r="X1666" s="8">
        <v>109.209</v>
      </c>
      <c r="Y1666" s="8">
        <v>37.33</v>
      </c>
      <c r="Z1666" s="8">
        <v>15.522</v>
      </c>
      <c r="AA1666" s="8">
        <v>1.7609999999999999</v>
      </c>
      <c r="AB1666" s="8">
        <v>0.16600000000000001</v>
      </c>
      <c r="AC1666" s="8">
        <v>2.3E-2</v>
      </c>
    </row>
    <row r="1667" spans="1:29" ht="11.65" x14ac:dyDescent="0.35">
      <c r="A1667" s="12">
        <v>1650</v>
      </c>
      <c r="B1667" s="10" t="s">
        <v>1015</v>
      </c>
      <c r="C1667" s="11" t="s">
        <v>1133</v>
      </c>
      <c r="D1667" s="9"/>
      <c r="E1667" s="9">
        <v>398</v>
      </c>
      <c r="F1667" s="10" t="s">
        <v>1066</v>
      </c>
      <c r="G1667" s="9">
        <v>5500</v>
      </c>
      <c r="H1667" s="9">
        <v>2020</v>
      </c>
      <c r="I1667" s="8">
        <v>990.43299999999999</v>
      </c>
      <c r="J1667" s="8">
        <v>1001.296</v>
      </c>
      <c r="K1667" s="8">
        <v>825.24</v>
      </c>
      <c r="L1667" s="8">
        <v>572.04399999999998</v>
      </c>
      <c r="M1667" s="8">
        <v>563.70899999999995</v>
      </c>
      <c r="N1667" s="8">
        <v>740.05399999999997</v>
      </c>
      <c r="O1667" s="8">
        <v>815.06100000000004</v>
      </c>
      <c r="P1667" s="8">
        <v>666.20699999999999</v>
      </c>
      <c r="Q1667" s="8">
        <v>581.17999999999995</v>
      </c>
      <c r="R1667" s="8">
        <v>533.91899999999998</v>
      </c>
      <c r="S1667" s="8">
        <v>458.68299999999999</v>
      </c>
      <c r="T1667" s="8">
        <v>485.27199999999999</v>
      </c>
      <c r="U1667" s="8">
        <v>353.476</v>
      </c>
      <c r="V1667" s="8">
        <v>247.84200000000001</v>
      </c>
      <c r="W1667" s="8">
        <v>118.75700000000001</v>
      </c>
      <c r="X1667" s="8">
        <v>73.998000000000005</v>
      </c>
      <c r="Y1667" s="8">
        <v>63.831000000000003</v>
      </c>
      <c r="Z1667" s="8">
        <v>16.87</v>
      </c>
      <c r="AA1667" s="8">
        <v>4.742</v>
      </c>
      <c r="AB1667" s="8">
        <v>0.308</v>
      </c>
      <c r="AC1667" s="8">
        <v>1.7000000000000001E-2</v>
      </c>
    </row>
    <row r="1668" spans="1:29" ht="11.65" x14ac:dyDescent="0.35">
      <c r="A1668" s="12">
        <v>1651</v>
      </c>
      <c r="B1668" s="10" t="s">
        <v>1015</v>
      </c>
      <c r="C1668" s="11" t="s">
        <v>1134</v>
      </c>
      <c r="D1668" s="9"/>
      <c r="E1668" s="9">
        <v>417</v>
      </c>
      <c r="F1668" s="10" t="s">
        <v>1066</v>
      </c>
      <c r="G1668" s="9">
        <v>5500</v>
      </c>
      <c r="H1668" s="9">
        <v>1950</v>
      </c>
      <c r="I1668" s="8">
        <v>79.679000000000002</v>
      </c>
      <c r="J1668" s="8">
        <v>67.343999999999994</v>
      </c>
      <c r="K1668" s="8">
        <v>103.253</v>
      </c>
      <c r="L1668" s="8">
        <v>88.531999999999996</v>
      </c>
      <c r="M1668" s="8">
        <v>92.411000000000001</v>
      </c>
      <c r="N1668" s="8">
        <v>52.024000000000001</v>
      </c>
      <c r="O1668" s="8">
        <v>35.512</v>
      </c>
      <c r="P1668" s="8">
        <v>44.962000000000003</v>
      </c>
      <c r="Q1668" s="8">
        <v>42.177999999999997</v>
      </c>
      <c r="R1668" s="8">
        <v>42.576000000000001</v>
      </c>
      <c r="S1668" s="8">
        <v>38.893000000000001</v>
      </c>
      <c r="T1668" s="8">
        <v>37.003999999999998</v>
      </c>
      <c r="U1668" s="8">
        <v>38.893999999999998</v>
      </c>
      <c r="V1668" s="8">
        <v>28.748999999999999</v>
      </c>
      <c r="W1668" s="8">
        <v>19.398</v>
      </c>
      <c r="X1668" s="8">
        <v>10.644</v>
      </c>
      <c r="Y1668" s="8">
        <v>4.3440000000000003</v>
      </c>
      <c r="Z1668" s="8">
        <v>1.78</v>
      </c>
      <c r="AA1668" s="8">
        <v>0.52900000000000003</v>
      </c>
      <c r="AB1668" s="8">
        <v>0.1</v>
      </c>
      <c r="AC1668" s="8">
        <v>1.0999999999999999E-2</v>
      </c>
    </row>
    <row r="1669" spans="1:29" ht="11.65" x14ac:dyDescent="0.35">
      <c r="A1669" s="12">
        <v>1652</v>
      </c>
      <c r="B1669" s="10" t="s">
        <v>1015</v>
      </c>
      <c r="C1669" s="11" t="s">
        <v>1134</v>
      </c>
      <c r="D1669" s="9"/>
      <c r="E1669" s="9">
        <v>417</v>
      </c>
      <c r="F1669" s="10" t="s">
        <v>1066</v>
      </c>
      <c r="G1669" s="9">
        <v>5500</v>
      </c>
      <c r="H1669" s="9">
        <v>1955</v>
      </c>
      <c r="I1669" s="8">
        <v>134.47800000000001</v>
      </c>
      <c r="J1669" s="8">
        <v>78.393000000000001</v>
      </c>
      <c r="K1669" s="8">
        <v>67.492000000000004</v>
      </c>
      <c r="L1669" s="8">
        <v>103.18899999999999</v>
      </c>
      <c r="M1669" s="8">
        <v>87.891999999999996</v>
      </c>
      <c r="N1669" s="8">
        <v>90.59</v>
      </c>
      <c r="O1669" s="8">
        <v>50.496000000000002</v>
      </c>
      <c r="P1669" s="8">
        <v>34.295999999999999</v>
      </c>
      <c r="Q1669" s="8">
        <v>42.695999999999998</v>
      </c>
      <c r="R1669" s="8">
        <v>38.997999999999998</v>
      </c>
      <c r="S1669" s="8">
        <v>38.496000000000002</v>
      </c>
      <c r="T1669" s="8">
        <v>34.295999999999999</v>
      </c>
      <c r="U1669" s="8">
        <v>31.497</v>
      </c>
      <c r="V1669" s="8">
        <v>31.096</v>
      </c>
      <c r="W1669" s="8">
        <v>20.498000000000001</v>
      </c>
      <c r="X1669" s="8">
        <v>11.798999999999999</v>
      </c>
      <c r="Y1669" s="8">
        <v>5.0709999999999997</v>
      </c>
      <c r="Z1669" s="8">
        <v>1.7989999999999999</v>
      </c>
      <c r="AA1669" s="8">
        <v>0.57799999999999996</v>
      </c>
      <c r="AB1669" s="8">
        <v>0.13200000000000001</v>
      </c>
      <c r="AC1669" s="8">
        <v>0.02</v>
      </c>
    </row>
    <row r="1670" spans="1:29" ht="11.65" x14ac:dyDescent="0.35">
      <c r="A1670" s="12">
        <v>1653</v>
      </c>
      <c r="B1670" s="10" t="s">
        <v>1015</v>
      </c>
      <c r="C1670" s="11" t="s">
        <v>1134</v>
      </c>
      <c r="D1670" s="9"/>
      <c r="E1670" s="9">
        <v>417</v>
      </c>
      <c r="F1670" s="10" t="s">
        <v>1066</v>
      </c>
      <c r="G1670" s="9">
        <v>5500</v>
      </c>
      <c r="H1670" s="9">
        <v>1960</v>
      </c>
      <c r="I1670" s="8">
        <v>181.142</v>
      </c>
      <c r="J1670" s="8">
        <v>133.077</v>
      </c>
      <c r="K1670" s="8">
        <v>79.093999999999994</v>
      </c>
      <c r="L1670" s="8">
        <v>68.094999999999999</v>
      </c>
      <c r="M1670" s="8">
        <v>102.889</v>
      </c>
      <c r="N1670" s="8">
        <v>86.992000000000004</v>
      </c>
      <c r="O1670" s="8">
        <v>88.492999999999995</v>
      </c>
      <c r="P1670" s="8">
        <v>49.195</v>
      </c>
      <c r="Q1670" s="8">
        <v>32.896999999999998</v>
      </c>
      <c r="R1670" s="8">
        <v>39.996000000000002</v>
      </c>
      <c r="S1670" s="8">
        <v>35.796999999999997</v>
      </c>
      <c r="T1670" s="8">
        <v>34.396999999999998</v>
      </c>
      <c r="U1670" s="8">
        <v>29.597999999999999</v>
      </c>
      <c r="V1670" s="8">
        <v>25.599</v>
      </c>
      <c r="W1670" s="8">
        <v>22.498000000000001</v>
      </c>
      <c r="X1670" s="8">
        <v>12.699</v>
      </c>
      <c r="Y1670" s="8">
        <v>5.5819999999999999</v>
      </c>
      <c r="Z1670" s="8">
        <v>2.214</v>
      </c>
      <c r="AA1670" s="8">
        <v>0.61899999999999999</v>
      </c>
      <c r="AB1670" s="8">
        <v>0.153</v>
      </c>
      <c r="AC1670" s="8">
        <v>2.9000000000000001E-2</v>
      </c>
    </row>
    <row r="1671" spans="1:29" ht="11.65" x14ac:dyDescent="0.35">
      <c r="A1671" s="12">
        <v>1654</v>
      </c>
      <c r="B1671" s="10" t="s">
        <v>1015</v>
      </c>
      <c r="C1671" s="11" t="s">
        <v>1134</v>
      </c>
      <c r="D1671" s="9"/>
      <c r="E1671" s="9">
        <v>417</v>
      </c>
      <c r="F1671" s="10" t="s">
        <v>1066</v>
      </c>
      <c r="G1671" s="9">
        <v>5500</v>
      </c>
      <c r="H1671" s="9">
        <v>1965</v>
      </c>
      <c r="I1671" s="8">
        <v>215.941</v>
      </c>
      <c r="J1671" s="8">
        <v>185.07300000000001</v>
      </c>
      <c r="K1671" s="8">
        <v>137.864</v>
      </c>
      <c r="L1671" s="8">
        <v>82.451999999999998</v>
      </c>
      <c r="M1671" s="8">
        <v>70.688000000000002</v>
      </c>
      <c r="N1671" s="8">
        <v>104.38800000000001</v>
      </c>
      <c r="O1671" s="8">
        <v>88.236999999999995</v>
      </c>
      <c r="P1671" s="8">
        <v>88.435000000000002</v>
      </c>
      <c r="Q1671" s="8">
        <v>49.052999999999997</v>
      </c>
      <c r="R1671" s="8">
        <v>32.302999999999997</v>
      </c>
      <c r="S1671" s="8">
        <v>37.985999999999997</v>
      </c>
      <c r="T1671" s="8">
        <v>33.301000000000002</v>
      </c>
      <c r="U1671" s="8">
        <v>30.808</v>
      </c>
      <c r="V1671" s="8">
        <v>25.026</v>
      </c>
      <c r="W1671" s="8">
        <v>19.442</v>
      </c>
      <c r="X1671" s="8">
        <v>14.654999999999999</v>
      </c>
      <c r="Y1671" s="8">
        <v>6.2880000000000003</v>
      </c>
      <c r="Z1671" s="8">
        <v>2.5640000000000001</v>
      </c>
      <c r="AA1671" s="8">
        <v>0.80600000000000005</v>
      </c>
      <c r="AB1671" s="8">
        <v>0.17499999999999999</v>
      </c>
      <c r="AC1671" s="8">
        <v>3.6999999999999998E-2</v>
      </c>
    </row>
    <row r="1672" spans="1:29" ht="11.65" x14ac:dyDescent="0.35">
      <c r="A1672" s="12">
        <v>1655</v>
      </c>
      <c r="B1672" s="10" t="s">
        <v>1015</v>
      </c>
      <c r="C1672" s="11" t="s">
        <v>1134</v>
      </c>
      <c r="D1672" s="9"/>
      <c r="E1672" s="9">
        <v>417</v>
      </c>
      <c r="F1672" s="10" t="s">
        <v>1066</v>
      </c>
      <c r="G1672" s="9">
        <v>5500</v>
      </c>
      <c r="H1672" s="9">
        <v>1970</v>
      </c>
      <c r="I1672" s="8">
        <v>216.73</v>
      </c>
      <c r="J1672" s="8">
        <v>219.89</v>
      </c>
      <c r="K1672" s="8">
        <v>190.86199999999999</v>
      </c>
      <c r="L1672" s="8">
        <v>142.047</v>
      </c>
      <c r="M1672" s="8">
        <v>84.963999999999999</v>
      </c>
      <c r="N1672" s="8">
        <v>72.406999999999996</v>
      </c>
      <c r="O1672" s="8">
        <v>104.989</v>
      </c>
      <c r="P1672" s="8">
        <v>88.757999999999996</v>
      </c>
      <c r="Q1672" s="8">
        <v>87.44</v>
      </c>
      <c r="R1672" s="8">
        <v>47.984000000000002</v>
      </c>
      <c r="S1672" s="8">
        <v>31.056000000000001</v>
      </c>
      <c r="T1672" s="8">
        <v>35.265000000000001</v>
      </c>
      <c r="U1672" s="8">
        <v>29.972000000000001</v>
      </c>
      <c r="V1672" s="8">
        <v>26.175999999999998</v>
      </c>
      <c r="W1672" s="8">
        <v>19.193999999999999</v>
      </c>
      <c r="X1672" s="8">
        <v>12.904</v>
      </c>
      <c r="Y1672" s="8">
        <v>7.2290000000000001</v>
      </c>
      <c r="Z1672" s="8">
        <v>3.0219999999999998</v>
      </c>
      <c r="AA1672" s="8">
        <v>0.98299999999999998</v>
      </c>
      <c r="AB1672" s="8">
        <v>0.24</v>
      </c>
      <c r="AC1672" s="8">
        <v>4.3999999999999997E-2</v>
      </c>
    </row>
    <row r="1673" spans="1:29" ht="11.65" x14ac:dyDescent="0.35">
      <c r="A1673" s="12">
        <v>1656</v>
      </c>
      <c r="B1673" s="10" t="s">
        <v>1015</v>
      </c>
      <c r="C1673" s="11" t="s">
        <v>1134</v>
      </c>
      <c r="D1673" s="9"/>
      <c r="E1673" s="9">
        <v>417</v>
      </c>
      <c r="F1673" s="10" t="s">
        <v>1066</v>
      </c>
      <c r="G1673" s="9">
        <v>5500</v>
      </c>
      <c r="H1673" s="9">
        <v>1975</v>
      </c>
      <c r="I1673" s="8">
        <v>232.04400000000001</v>
      </c>
      <c r="J1673" s="8">
        <v>214.922</v>
      </c>
      <c r="K1673" s="8">
        <v>216.36099999999999</v>
      </c>
      <c r="L1673" s="8">
        <v>187.96100000000001</v>
      </c>
      <c r="M1673" s="8">
        <v>141.768</v>
      </c>
      <c r="N1673" s="8">
        <v>88.49</v>
      </c>
      <c r="O1673" s="8">
        <v>70.504999999999995</v>
      </c>
      <c r="P1673" s="8">
        <v>101.729</v>
      </c>
      <c r="Q1673" s="8">
        <v>83.338999999999999</v>
      </c>
      <c r="R1673" s="8">
        <v>82.475999999999999</v>
      </c>
      <c r="S1673" s="8">
        <v>45.279000000000003</v>
      </c>
      <c r="T1673" s="8">
        <v>28.05</v>
      </c>
      <c r="U1673" s="8">
        <v>30.747</v>
      </c>
      <c r="V1673" s="8">
        <v>24.004000000000001</v>
      </c>
      <c r="W1673" s="8">
        <v>19.802</v>
      </c>
      <c r="X1673" s="8">
        <v>13.051</v>
      </c>
      <c r="Y1673" s="8">
        <v>8.09</v>
      </c>
      <c r="Z1673" s="8">
        <v>3.5089999999999999</v>
      </c>
      <c r="AA1673" s="8">
        <v>1.1719999999999999</v>
      </c>
      <c r="AB1673" s="8">
        <v>0.29599999999999999</v>
      </c>
      <c r="AC1673" s="8">
        <v>0.06</v>
      </c>
    </row>
    <row r="1674" spans="1:29" ht="11.65" x14ac:dyDescent="0.35">
      <c r="A1674" s="12">
        <v>1657</v>
      </c>
      <c r="B1674" s="10" t="s">
        <v>1015</v>
      </c>
      <c r="C1674" s="11" t="s">
        <v>1134</v>
      </c>
      <c r="D1674" s="9"/>
      <c r="E1674" s="9">
        <v>417</v>
      </c>
      <c r="F1674" s="10" t="s">
        <v>1066</v>
      </c>
      <c r="G1674" s="9">
        <v>5500</v>
      </c>
      <c r="H1674" s="9">
        <v>1980</v>
      </c>
      <c r="I1674" s="8">
        <v>243.49600000000001</v>
      </c>
      <c r="J1674" s="8">
        <v>221.79499999999999</v>
      </c>
      <c r="K1674" s="8">
        <v>211.35599999999999</v>
      </c>
      <c r="L1674" s="8">
        <v>204.97800000000001</v>
      </c>
      <c r="M1674" s="8">
        <v>177.53700000000001</v>
      </c>
      <c r="N1674" s="8">
        <v>140.95599999999999</v>
      </c>
      <c r="O1674" s="8">
        <v>96.5</v>
      </c>
      <c r="P1674" s="8">
        <v>63.412999999999997</v>
      </c>
      <c r="Q1674" s="8">
        <v>98.150999999999996</v>
      </c>
      <c r="R1674" s="8">
        <v>78.412000000000006</v>
      </c>
      <c r="S1674" s="8">
        <v>79.471000000000004</v>
      </c>
      <c r="T1674" s="8">
        <v>43.481000000000002</v>
      </c>
      <c r="U1674" s="8">
        <v>25.038</v>
      </c>
      <c r="V1674" s="8">
        <v>25.289000000000001</v>
      </c>
      <c r="W1674" s="8">
        <v>18.381</v>
      </c>
      <c r="X1674" s="8">
        <v>13.718</v>
      </c>
      <c r="Y1674" s="8">
        <v>7.9619999999999997</v>
      </c>
      <c r="Z1674" s="8">
        <v>3.91</v>
      </c>
      <c r="AA1674" s="8">
        <v>1.349</v>
      </c>
      <c r="AB1674" s="8">
        <v>0.34899999999999998</v>
      </c>
      <c r="AC1674" s="8">
        <v>7.3999999999999996E-2</v>
      </c>
    </row>
    <row r="1675" spans="1:29" ht="11.65" x14ac:dyDescent="0.35">
      <c r="A1675" s="12">
        <v>1658</v>
      </c>
      <c r="B1675" s="10" t="s">
        <v>1015</v>
      </c>
      <c r="C1675" s="11" t="s">
        <v>1134</v>
      </c>
      <c r="D1675" s="9"/>
      <c r="E1675" s="9">
        <v>417</v>
      </c>
      <c r="F1675" s="10" t="s">
        <v>1066</v>
      </c>
      <c r="G1675" s="9">
        <v>5500</v>
      </c>
      <c r="H1675" s="9">
        <v>1985</v>
      </c>
      <c r="I1675" s="8">
        <v>285.71300000000002</v>
      </c>
      <c r="J1675" s="8">
        <v>236.99299999999999</v>
      </c>
      <c r="K1675" s="8">
        <v>218.703</v>
      </c>
      <c r="L1675" s="8">
        <v>201.23</v>
      </c>
      <c r="M1675" s="8">
        <v>196.81</v>
      </c>
      <c r="N1675" s="8">
        <v>172.43</v>
      </c>
      <c r="O1675" s="8">
        <v>137.47499999999999</v>
      </c>
      <c r="P1675" s="8">
        <v>92.531000000000006</v>
      </c>
      <c r="Q1675" s="8">
        <v>61.302</v>
      </c>
      <c r="R1675" s="8">
        <v>92.394000000000005</v>
      </c>
      <c r="S1675" s="8">
        <v>72.763999999999996</v>
      </c>
      <c r="T1675" s="8">
        <v>72.716999999999999</v>
      </c>
      <c r="U1675" s="8">
        <v>37.82</v>
      </c>
      <c r="V1675" s="8">
        <v>20.812000000000001</v>
      </c>
      <c r="W1675" s="8">
        <v>19.609000000000002</v>
      </c>
      <c r="X1675" s="8">
        <v>12.763</v>
      </c>
      <c r="Y1675" s="8">
        <v>8.093</v>
      </c>
      <c r="Z1675" s="8">
        <v>3.8780000000000001</v>
      </c>
      <c r="AA1675" s="8">
        <v>1.514</v>
      </c>
      <c r="AB1675" s="8">
        <v>0.40400000000000003</v>
      </c>
      <c r="AC1675" s="8">
        <v>8.8999999999999996E-2</v>
      </c>
    </row>
    <row r="1676" spans="1:29" ht="11.65" x14ac:dyDescent="0.35">
      <c r="A1676" s="12">
        <v>1659</v>
      </c>
      <c r="B1676" s="10" t="s">
        <v>1015</v>
      </c>
      <c r="C1676" s="11" t="s">
        <v>1134</v>
      </c>
      <c r="D1676" s="9"/>
      <c r="E1676" s="9">
        <v>417</v>
      </c>
      <c r="F1676" s="10" t="s">
        <v>1066</v>
      </c>
      <c r="G1676" s="9">
        <v>5500</v>
      </c>
      <c r="H1676" s="9">
        <v>1990</v>
      </c>
      <c r="I1676" s="8">
        <v>319.20299999999997</v>
      </c>
      <c r="J1676" s="8">
        <v>275.91399999999999</v>
      </c>
      <c r="K1676" s="8">
        <v>234.83099999999999</v>
      </c>
      <c r="L1676" s="8">
        <v>210.98699999999999</v>
      </c>
      <c r="M1676" s="8">
        <v>192.667</v>
      </c>
      <c r="N1676" s="8">
        <v>184.92500000000001</v>
      </c>
      <c r="O1676" s="8">
        <v>164.29599999999999</v>
      </c>
      <c r="P1676" s="8">
        <v>131.745</v>
      </c>
      <c r="Q1676" s="8">
        <v>86.563000000000002</v>
      </c>
      <c r="R1676" s="8">
        <v>56.47</v>
      </c>
      <c r="S1676" s="8">
        <v>85.271000000000001</v>
      </c>
      <c r="T1676" s="8">
        <v>65.891000000000005</v>
      </c>
      <c r="U1676" s="8">
        <v>63.94</v>
      </c>
      <c r="V1676" s="8">
        <v>30.969000000000001</v>
      </c>
      <c r="W1676" s="8">
        <v>15.558</v>
      </c>
      <c r="X1676" s="8">
        <v>13.035</v>
      </c>
      <c r="Y1676" s="8">
        <v>6.21</v>
      </c>
      <c r="Z1676" s="8">
        <v>4.0449999999999999</v>
      </c>
      <c r="AA1676" s="8">
        <v>1.5489999999999999</v>
      </c>
      <c r="AB1676" s="8">
        <v>0.46899999999999997</v>
      </c>
      <c r="AC1676" s="8">
        <v>0.105</v>
      </c>
    </row>
    <row r="1677" spans="1:29" ht="11.65" x14ac:dyDescent="0.35">
      <c r="A1677" s="12">
        <v>1660</v>
      </c>
      <c r="B1677" s="10" t="s">
        <v>1015</v>
      </c>
      <c r="C1677" s="11" t="s">
        <v>1134</v>
      </c>
      <c r="D1677" s="9"/>
      <c r="E1677" s="9">
        <v>417</v>
      </c>
      <c r="F1677" s="10" t="s">
        <v>1066</v>
      </c>
      <c r="G1677" s="9">
        <v>5500</v>
      </c>
      <c r="H1677" s="9">
        <v>1995</v>
      </c>
      <c r="I1677" s="8">
        <v>301.93299999999999</v>
      </c>
      <c r="J1677" s="8">
        <v>304.58999999999997</v>
      </c>
      <c r="K1677" s="8">
        <v>264.54300000000001</v>
      </c>
      <c r="L1677" s="8">
        <v>224.042</v>
      </c>
      <c r="M1677" s="8">
        <v>200.17400000000001</v>
      </c>
      <c r="N1677" s="8">
        <v>180.38</v>
      </c>
      <c r="O1677" s="8">
        <v>170.661</v>
      </c>
      <c r="P1677" s="8">
        <v>149.785</v>
      </c>
      <c r="Q1677" s="8">
        <v>118.322</v>
      </c>
      <c r="R1677" s="8">
        <v>76.106999999999999</v>
      </c>
      <c r="S1677" s="8">
        <v>46.161000000000001</v>
      </c>
      <c r="T1677" s="8">
        <v>71.337999999999994</v>
      </c>
      <c r="U1677" s="8">
        <v>53.220999999999997</v>
      </c>
      <c r="V1677" s="8">
        <v>49.780999999999999</v>
      </c>
      <c r="W1677" s="8">
        <v>21.341000000000001</v>
      </c>
      <c r="X1677" s="8">
        <v>8.9190000000000005</v>
      </c>
      <c r="Y1677" s="8">
        <v>6.2859999999999996</v>
      </c>
      <c r="Z1677" s="8">
        <v>2.9140000000000001</v>
      </c>
      <c r="AA1677" s="8">
        <v>1.524</v>
      </c>
      <c r="AB1677" s="8">
        <v>0.441</v>
      </c>
      <c r="AC1677" s="8">
        <v>0.111</v>
      </c>
    </row>
    <row r="1678" spans="1:29" ht="11.65" x14ac:dyDescent="0.35">
      <c r="A1678" s="12">
        <v>1661</v>
      </c>
      <c r="B1678" s="10" t="s">
        <v>1015</v>
      </c>
      <c r="C1678" s="11" t="s">
        <v>1134</v>
      </c>
      <c r="D1678" s="9"/>
      <c r="E1678" s="9">
        <v>417</v>
      </c>
      <c r="F1678" s="10" t="s">
        <v>1066</v>
      </c>
      <c r="G1678" s="9">
        <v>5500</v>
      </c>
      <c r="H1678" s="9">
        <v>2000</v>
      </c>
      <c r="I1678" s="8">
        <v>275.99900000000002</v>
      </c>
      <c r="J1678" s="8">
        <v>298.12099999999998</v>
      </c>
      <c r="K1678" s="8">
        <v>302.52</v>
      </c>
      <c r="L1678" s="8">
        <v>262.38799999999998</v>
      </c>
      <c r="M1678" s="8">
        <v>221.316</v>
      </c>
      <c r="N1678" s="8">
        <v>196.727</v>
      </c>
      <c r="O1678" s="8">
        <v>176.50399999999999</v>
      </c>
      <c r="P1678" s="8">
        <v>165.79400000000001</v>
      </c>
      <c r="Q1678" s="8">
        <v>143.98400000000001</v>
      </c>
      <c r="R1678" s="8">
        <v>112.239</v>
      </c>
      <c r="S1678" s="8">
        <v>70.494</v>
      </c>
      <c r="T1678" s="8">
        <v>41.485999999999997</v>
      </c>
      <c r="U1678" s="8">
        <v>61.997999999999998</v>
      </c>
      <c r="V1678" s="8">
        <v>43.31</v>
      </c>
      <c r="W1678" s="8">
        <v>37.890999999999998</v>
      </c>
      <c r="X1678" s="8">
        <v>14.457000000000001</v>
      </c>
      <c r="Y1678" s="8">
        <v>4.5750000000000002</v>
      </c>
      <c r="Z1678" s="8">
        <v>2.3050000000000002</v>
      </c>
      <c r="AA1678" s="8">
        <v>0.66100000000000003</v>
      </c>
      <c r="AB1678" s="8">
        <v>0.184</v>
      </c>
      <c r="AC1678" s="8">
        <v>3.4000000000000002E-2</v>
      </c>
    </row>
    <row r="1679" spans="1:29" ht="11.65" x14ac:dyDescent="0.35">
      <c r="A1679" s="12">
        <v>1662</v>
      </c>
      <c r="B1679" s="10" t="s">
        <v>1015</v>
      </c>
      <c r="C1679" s="11" t="s">
        <v>1134</v>
      </c>
      <c r="D1679" s="9"/>
      <c r="E1679" s="9">
        <v>417</v>
      </c>
      <c r="F1679" s="10" t="s">
        <v>1066</v>
      </c>
      <c r="G1679" s="9">
        <v>5500</v>
      </c>
      <c r="H1679" s="9">
        <v>2005</v>
      </c>
      <c r="I1679" s="8">
        <v>246.74799999999999</v>
      </c>
      <c r="J1679" s="8">
        <v>258.18</v>
      </c>
      <c r="K1679" s="8">
        <v>294.40699999999998</v>
      </c>
      <c r="L1679" s="8">
        <v>296.99400000000003</v>
      </c>
      <c r="M1679" s="8">
        <v>248.52600000000001</v>
      </c>
      <c r="N1679" s="8">
        <v>210.43799999999999</v>
      </c>
      <c r="O1679" s="8">
        <v>186.46600000000001</v>
      </c>
      <c r="P1679" s="8">
        <v>174.69399999999999</v>
      </c>
      <c r="Q1679" s="8">
        <v>162.12700000000001</v>
      </c>
      <c r="R1679" s="8">
        <v>131.69399999999999</v>
      </c>
      <c r="S1679" s="8">
        <v>97.052000000000007</v>
      </c>
      <c r="T1679" s="8">
        <v>59.09</v>
      </c>
      <c r="U1679" s="8">
        <v>33.274999999999999</v>
      </c>
      <c r="V1679" s="8">
        <v>46.131</v>
      </c>
      <c r="W1679" s="8">
        <v>30.042999999999999</v>
      </c>
      <c r="X1679" s="8">
        <v>25.989000000000001</v>
      </c>
      <c r="Y1679" s="8">
        <v>11.593999999999999</v>
      </c>
      <c r="Z1679" s="8">
        <v>1.6719999999999999</v>
      </c>
      <c r="AA1679" s="8">
        <v>0.52</v>
      </c>
      <c r="AB1679" s="8">
        <v>7.9000000000000001E-2</v>
      </c>
      <c r="AC1679" s="8">
        <v>1.2999999999999999E-2</v>
      </c>
    </row>
    <row r="1680" spans="1:29" ht="11.65" x14ac:dyDescent="0.35">
      <c r="A1680" s="12">
        <v>1663</v>
      </c>
      <c r="B1680" s="10" t="s">
        <v>1015</v>
      </c>
      <c r="C1680" s="11" t="s">
        <v>1134</v>
      </c>
      <c r="D1680" s="9"/>
      <c r="E1680" s="9">
        <v>417</v>
      </c>
      <c r="F1680" s="10" t="s">
        <v>1066</v>
      </c>
      <c r="G1680" s="9">
        <v>5500</v>
      </c>
      <c r="H1680" s="9">
        <v>2010</v>
      </c>
      <c r="I1680" s="8">
        <v>308.90899999999999</v>
      </c>
      <c r="J1680" s="8">
        <v>252.15799999999999</v>
      </c>
      <c r="K1680" s="8">
        <v>265.85599999999999</v>
      </c>
      <c r="L1680" s="8">
        <v>303.73200000000003</v>
      </c>
      <c r="M1680" s="8">
        <v>306.65300000000002</v>
      </c>
      <c r="N1680" s="8">
        <v>233.036</v>
      </c>
      <c r="O1680" s="8">
        <v>186.59399999999999</v>
      </c>
      <c r="P1680" s="8">
        <v>166.97800000000001</v>
      </c>
      <c r="Q1680" s="8">
        <v>160.26300000000001</v>
      </c>
      <c r="R1680" s="8">
        <v>151.922</v>
      </c>
      <c r="S1680" s="8">
        <v>116.73</v>
      </c>
      <c r="T1680" s="8">
        <v>84.293000000000006</v>
      </c>
      <c r="U1680" s="8">
        <v>45.104999999999997</v>
      </c>
      <c r="V1680" s="8">
        <v>28.231999999999999</v>
      </c>
      <c r="W1680" s="8">
        <v>33.122</v>
      </c>
      <c r="X1680" s="8">
        <v>18.681999999999999</v>
      </c>
      <c r="Y1680" s="8">
        <v>12.393000000000001</v>
      </c>
      <c r="Z1680" s="8">
        <v>4.492</v>
      </c>
      <c r="AA1680" s="8">
        <v>0.438</v>
      </c>
      <c r="AB1680" s="8">
        <v>8.3000000000000004E-2</v>
      </c>
      <c r="AC1680" s="8">
        <v>8.0000000000000002E-3</v>
      </c>
    </row>
    <row r="1681" spans="1:29" ht="11.65" x14ac:dyDescent="0.35">
      <c r="A1681" s="12">
        <v>1664</v>
      </c>
      <c r="B1681" s="10" t="s">
        <v>1015</v>
      </c>
      <c r="C1681" s="11" t="s">
        <v>1134</v>
      </c>
      <c r="D1681" s="9"/>
      <c r="E1681" s="9">
        <v>417</v>
      </c>
      <c r="F1681" s="10" t="s">
        <v>1066</v>
      </c>
      <c r="G1681" s="9">
        <v>5500</v>
      </c>
      <c r="H1681" s="9">
        <v>2015</v>
      </c>
      <c r="I1681" s="8">
        <v>395.57400000000001</v>
      </c>
      <c r="J1681" s="8">
        <v>307.255</v>
      </c>
      <c r="K1681" s="8">
        <v>256.56</v>
      </c>
      <c r="L1681" s="8">
        <v>265.041</v>
      </c>
      <c r="M1681" s="8">
        <v>292.53500000000003</v>
      </c>
      <c r="N1681" s="8">
        <v>288.798</v>
      </c>
      <c r="O1681" s="8">
        <v>226.09899999999999</v>
      </c>
      <c r="P1681" s="8">
        <v>183.44800000000001</v>
      </c>
      <c r="Q1681" s="8">
        <v>162.65600000000001</v>
      </c>
      <c r="R1681" s="8">
        <v>147.63900000000001</v>
      </c>
      <c r="S1681" s="8">
        <v>141.643</v>
      </c>
      <c r="T1681" s="8">
        <v>108.89700000000001</v>
      </c>
      <c r="U1681" s="8">
        <v>70.924999999999997</v>
      </c>
      <c r="V1681" s="8">
        <v>39.776000000000003</v>
      </c>
      <c r="W1681" s="8">
        <v>19.774999999999999</v>
      </c>
      <c r="X1681" s="8">
        <v>22.786999999999999</v>
      </c>
      <c r="Y1681" s="8">
        <v>14.654999999999999</v>
      </c>
      <c r="Z1681" s="8">
        <v>3.7610000000000001</v>
      </c>
      <c r="AA1681" s="8">
        <v>0.63500000000000001</v>
      </c>
      <c r="AB1681" s="8">
        <v>0.03</v>
      </c>
      <c r="AC1681" s="8">
        <v>3.0000000000000001E-3</v>
      </c>
    </row>
    <row r="1682" spans="1:29" ht="11.65" x14ac:dyDescent="0.35">
      <c r="A1682" s="12">
        <v>1665</v>
      </c>
      <c r="B1682" s="10" t="s">
        <v>1015</v>
      </c>
      <c r="C1682" s="11" t="s">
        <v>1134</v>
      </c>
      <c r="D1682" s="9"/>
      <c r="E1682" s="9">
        <v>417</v>
      </c>
      <c r="F1682" s="10" t="s">
        <v>1066</v>
      </c>
      <c r="G1682" s="9">
        <v>5500</v>
      </c>
      <c r="H1682" s="9">
        <v>2020</v>
      </c>
      <c r="I1682" s="8">
        <v>390.19200000000001</v>
      </c>
      <c r="J1682" s="8">
        <v>394.09399999999999</v>
      </c>
      <c r="K1682" s="8">
        <v>306.38299999999998</v>
      </c>
      <c r="L1682" s="8">
        <v>254.78399999999999</v>
      </c>
      <c r="M1682" s="8">
        <v>261.99700000000001</v>
      </c>
      <c r="N1682" s="8">
        <v>288.99400000000003</v>
      </c>
      <c r="O1682" s="8">
        <v>284.86099999999999</v>
      </c>
      <c r="P1682" s="8">
        <v>222.02</v>
      </c>
      <c r="Q1682" s="8">
        <v>178.983</v>
      </c>
      <c r="R1682" s="8">
        <v>157.279</v>
      </c>
      <c r="S1682" s="8">
        <v>140.916</v>
      </c>
      <c r="T1682" s="8">
        <v>132.52000000000001</v>
      </c>
      <c r="U1682" s="8">
        <v>98.498999999999995</v>
      </c>
      <c r="V1682" s="8">
        <v>61.341999999999999</v>
      </c>
      <c r="W1682" s="8">
        <v>29.818000000000001</v>
      </c>
      <c r="X1682" s="8">
        <v>10.917999999999999</v>
      </c>
      <c r="Y1682" s="8">
        <v>8.8849999999999998</v>
      </c>
      <c r="Z1682" s="8">
        <v>3.9550000000000001</v>
      </c>
      <c r="AA1682" s="8">
        <v>0.73899999999999999</v>
      </c>
      <c r="AB1682" s="8">
        <v>8.7999999999999995E-2</v>
      </c>
      <c r="AC1682" s="8">
        <v>3.0000000000000001E-3</v>
      </c>
    </row>
    <row r="1683" spans="1:29" ht="11.65" x14ac:dyDescent="0.35">
      <c r="A1683" s="12">
        <v>1666</v>
      </c>
      <c r="B1683" s="10" t="s">
        <v>1015</v>
      </c>
      <c r="C1683" s="11" t="s">
        <v>1135</v>
      </c>
      <c r="D1683" s="9"/>
      <c r="E1683" s="9">
        <v>762</v>
      </c>
      <c r="F1683" s="10" t="s">
        <v>1066</v>
      </c>
      <c r="G1683" s="9">
        <v>5500</v>
      </c>
      <c r="H1683" s="9">
        <v>1950</v>
      </c>
      <c r="I1683" s="8">
        <v>80.703999999999994</v>
      </c>
      <c r="J1683" s="8">
        <v>77.262</v>
      </c>
      <c r="K1683" s="8">
        <v>99.968999999999994</v>
      </c>
      <c r="L1683" s="8">
        <v>85.224999999999994</v>
      </c>
      <c r="M1683" s="8">
        <v>82.963999999999999</v>
      </c>
      <c r="N1683" s="8">
        <v>46.396000000000001</v>
      </c>
      <c r="O1683" s="8">
        <v>31.652999999999999</v>
      </c>
      <c r="P1683" s="8">
        <v>38.436</v>
      </c>
      <c r="Q1683" s="8">
        <v>40.008000000000003</v>
      </c>
      <c r="R1683" s="8">
        <v>41.482999999999997</v>
      </c>
      <c r="S1683" s="8">
        <v>33.914000000000001</v>
      </c>
      <c r="T1683" s="8">
        <v>25.657</v>
      </c>
      <c r="U1683" s="8">
        <v>23.984999999999999</v>
      </c>
      <c r="V1683" s="8">
        <v>15.727</v>
      </c>
      <c r="W1683" s="8">
        <v>9.5350000000000001</v>
      </c>
      <c r="X1683" s="8">
        <v>5.1109999999999998</v>
      </c>
      <c r="Y1683" s="8">
        <v>2.0030000000000001</v>
      </c>
      <c r="Z1683" s="8">
        <v>0.83699999999999997</v>
      </c>
      <c r="AA1683" s="8">
        <v>0.255</v>
      </c>
      <c r="AB1683" s="8">
        <v>4.9000000000000002E-2</v>
      </c>
      <c r="AC1683" s="8">
        <v>5.0000000000000001E-3</v>
      </c>
    </row>
    <row r="1684" spans="1:29" ht="11.65" x14ac:dyDescent="0.35">
      <c r="A1684" s="12">
        <v>1667</v>
      </c>
      <c r="B1684" s="10" t="s">
        <v>1015</v>
      </c>
      <c r="C1684" s="11" t="s">
        <v>1135</v>
      </c>
      <c r="D1684" s="9"/>
      <c r="E1684" s="9">
        <v>762</v>
      </c>
      <c r="F1684" s="10" t="s">
        <v>1066</v>
      </c>
      <c r="G1684" s="9">
        <v>5500</v>
      </c>
      <c r="H1684" s="9">
        <v>1955</v>
      </c>
      <c r="I1684" s="8">
        <v>149.203</v>
      </c>
      <c r="J1684" s="8">
        <v>77.944000000000003</v>
      </c>
      <c r="K1684" s="8">
        <v>78.331999999999994</v>
      </c>
      <c r="L1684" s="8">
        <v>101.682</v>
      </c>
      <c r="M1684" s="8">
        <v>86.581000000000003</v>
      </c>
      <c r="N1684" s="8">
        <v>83.801000000000002</v>
      </c>
      <c r="O1684" s="8">
        <v>46.469000000000001</v>
      </c>
      <c r="P1684" s="8">
        <v>31.643999999999998</v>
      </c>
      <c r="Q1684" s="8">
        <v>38.018000000000001</v>
      </c>
      <c r="R1684" s="8">
        <v>39.04</v>
      </c>
      <c r="S1684" s="8">
        <v>39.654000000000003</v>
      </c>
      <c r="T1684" s="8">
        <v>31.472999999999999</v>
      </c>
      <c r="U1684" s="8">
        <v>22.876999999999999</v>
      </c>
      <c r="V1684" s="8">
        <v>20.224</v>
      </c>
      <c r="W1684" s="8">
        <v>12.246</v>
      </c>
      <c r="X1684" s="8">
        <v>6.52</v>
      </c>
      <c r="Y1684" s="8">
        <v>3.319</v>
      </c>
      <c r="Z1684" s="8">
        <v>0.67400000000000004</v>
      </c>
      <c r="AA1684" s="8">
        <v>0.17899999999999999</v>
      </c>
      <c r="AB1684" s="8">
        <v>3.4000000000000002E-2</v>
      </c>
      <c r="AC1684" s="8">
        <v>4.0000000000000001E-3</v>
      </c>
    </row>
    <row r="1685" spans="1:29" ht="11.65" x14ac:dyDescent="0.35">
      <c r="A1685" s="12">
        <v>1668</v>
      </c>
      <c r="B1685" s="10" t="s">
        <v>1015</v>
      </c>
      <c r="C1685" s="11" t="s">
        <v>1135</v>
      </c>
      <c r="D1685" s="9"/>
      <c r="E1685" s="9">
        <v>762</v>
      </c>
      <c r="F1685" s="10" t="s">
        <v>1066</v>
      </c>
      <c r="G1685" s="9">
        <v>5500</v>
      </c>
      <c r="H1685" s="9">
        <v>1960</v>
      </c>
      <c r="I1685" s="8">
        <v>195.28299999999999</v>
      </c>
      <c r="J1685" s="8">
        <v>140.93</v>
      </c>
      <c r="K1685" s="8">
        <v>76.709999999999994</v>
      </c>
      <c r="L1685" s="8">
        <v>77.192999999999998</v>
      </c>
      <c r="M1685" s="8">
        <v>100.152</v>
      </c>
      <c r="N1685" s="8">
        <v>84.772000000000006</v>
      </c>
      <c r="O1685" s="8">
        <v>81.513999999999996</v>
      </c>
      <c r="P1685" s="8">
        <v>44.99</v>
      </c>
      <c r="Q1685" s="8">
        <v>30.286999999999999</v>
      </c>
      <c r="R1685" s="8">
        <v>36.008000000000003</v>
      </c>
      <c r="S1685" s="8">
        <v>36.220999999999997</v>
      </c>
      <c r="T1685" s="8">
        <v>35.726999999999997</v>
      </c>
      <c r="U1685" s="8">
        <v>27.312000000000001</v>
      </c>
      <c r="V1685" s="8">
        <v>18.891999999999999</v>
      </c>
      <c r="W1685" s="8">
        <v>15.47</v>
      </c>
      <c r="X1685" s="8">
        <v>8.2639999999999993</v>
      </c>
      <c r="Y1685" s="8">
        <v>4.0730000000000004</v>
      </c>
      <c r="Z1685" s="8">
        <v>1.1240000000000001</v>
      </c>
      <c r="AA1685" s="8">
        <v>0.14599999999999999</v>
      </c>
      <c r="AB1685" s="8">
        <v>2.3E-2</v>
      </c>
      <c r="AC1685" s="8">
        <v>3.0000000000000001E-3</v>
      </c>
    </row>
    <row r="1686" spans="1:29" ht="11.65" x14ac:dyDescent="0.35">
      <c r="A1686" s="12">
        <v>1669</v>
      </c>
      <c r="B1686" s="10" t="s">
        <v>1015</v>
      </c>
      <c r="C1686" s="11" t="s">
        <v>1135</v>
      </c>
      <c r="D1686" s="9"/>
      <c r="E1686" s="9">
        <v>762</v>
      </c>
      <c r="F1686" s="10" t="s">
        <v>1066</v>
      </c>
      <c r="G1686" s="9">
        <v>5500</v>
      </c>
      <c r="H1686" s="9">
        <v>1965</v>
      </c>
      <c r="I1686" s="8">
        <v>236.79900000000001</v>
      </c>
      <c r="J1686" s="8">
        <v>189.01900000000001</v>
      </c>
      <c r="K1686" s="8">
        <v>141.05600000000001</v>
      </c>
      <c r="L1686" s="8">
        <v>77.138000000000005</v>
      </c>
      <c r="M1686" s="8">
        <v>77.421999999999997</v>
      </c>
      <c r="N1686" s="8">
        <v>99.787999999999997</v>
      </c>
      <c r="O1686" s="8">
        <v>84.100999999999999</v>
      </c>
      <c r="P1686" s="8">
        <v>80.343000000000004</v>
      </c>
      <c r="Q1686" s="8">
        <v>44.005000000000003</v>
      </c>
      <c r="R1686" s="8">
        <v>29.396999999999998</v>
      </c>
      <c r="S1686" s="8">
        <v>34.219000000000001</v>
      </c>
      <c r="T1686" s="8">
        <v>33.43</v>
      </c>
      <c r="U1686" s="8">
        <v>31.835000000000001</v>
      </c>
      <c r="V1686" s="8">
        <v>23.22</v>
      </c>
      <c r="W1686" s="8">
        <v>14.898999999999999</v>
      </c>
      <c r="X1686" s="8">
        <v>10.782999999999999</v>
      </c>
      <c r="Y1686" s="8">
        <v>5.4169999999999998</v>
      </c>
      <c r="Z1686" s="8">
        <v>1.387</v>
      </c>
      <c r="AA1686" s="8">
        <v>0.24299999999999999</v>
      </c>
      <c r="AB1686" s="8">
        <v>1.9E-2</v>
      </c>
      <c r="AC1686" s="8">
        <v>2E-3</v>
      </c>
    </row>
    <row r="1687" spans="1:29" ht="11.65" x14ac:dyDescent="0.35">
      <c r="A1687" s="12">
        <v>1670</v>
      </c>
      <c r="B1687" s="10" t="s">
        <v>1015</v>
      </c>
      <c r="C1687" s="11" t="s">
        <v>1135</v>
      </c>
      <c r="D1687" s="9"/>
      <c r="E1687" s="9">
        <v>762</v>
      </c>
      <c r="F1687" s="10" t="s">
        <v>1066</v>
      </c>
      <c r="G1687" s="9">
        <v>5500</v>
      </c>
      <c r="H1687" s="9">
        <v>1970</v>
      </c>
      <c r="I1687" s="8">
        <v>259.375</v>
      </c>
      <c r="J1687" s="8">
        <v>230.84899999999999</v>
      </c>
      <c r="K1687" s="8">
        <v>189.65299999999999</v>
      </c>
      <c r="L1687" s="8">
        <v>141.60900000000001</v>
      </c>
      <c r="M1687" s="8">
        <v>77.519000000000005</v>
      </c>
      <c r="N1687" s="8">
        <v>77.387</v>
      </c>
      <c r="O1687" s="8">
        <v>98.994</v>
      </c>
      <c r="P1687" s="8">
        <v>83.216999999999999</v>
      </c>
      <c r="Q1687" s="8">
        <v>78.766000000000005</v>
      </c>
      <c r="R1687" s="8">
        <v>42.865000000000002</v>
      </c>
      <c r="S1687" s="8">
        <v>28.077999999999999</v>
      </c>
      <c r="T1687" s="8">
        <v>31.75</v>
      </c>
      <c r="U1687" s="8">
        <v>30.042999999999999</v>
      </c>
      <c r="V1687" s="8">
        <v>27.207000000000001</v>
      </c>
      <c r="W1687" s="8">
        <v>18.457999999999998</v>
      </c>
      <c r="X1687" s="8">
        <v>10.561</v>
      </c>
      <c r="Y1687" s="8">
        <v>7.1070000000000002</v>
      </c>
      <c r="Z1687" s="8">
        <v>1.8560000000000001</v>
      </c>
      <c r="AA1687" s="8">
        <v>0.30099999999999999</v>
      </c>
      <c r="AB1687" s="8">
        <v>3.3000000000000002E-2</v>
      </c>
      <c r="AC1687" s="8">
        <v>1E-3</v>
      </c>
    </row>
    <row r="1688" spans="1:29" ht="11.65" x14ac:dyDescent="0.35">
      <c r="A1688" s="12">
        <v>1671</v>
      </c>
      <c r="B1688" s="10" t="s">
        <v>1015</v>
      </c>
      <c r="C1688" s="11" t="s">
        <v>1135</v>
      </c>
      <c r="D1688" s="9"/>
      <c r="E1688" s="9">
        <v>762</v>
      </c>
      <c r="F1688" s="10" t="s">
        <v>1066</v>
      </c>
      <c r="G1688" s="9">
        <v>5500</v>
      </c>
      <c r="H1688" s="9">
        <v>1975</v>
      </c>
      <c r="I1688" s="8">
        <v>287.69799999999998</v>
      </c>
      <c r="J1688" s="8">
        <v>249.505</v>
      </c>
      <c r="K1688" s="8">
        <v>223.54</v>
      </c>
      <c r="L1688" s="8">
        <v>179.51499999999999</v>
      </c>
      <c r="M1688" s="8">
        <v>143.92599999999999</v>
      </c>
      <c r="N1688" s="8">
        <v>87.087999999999994</v>
      </c>
      <c r="O1688" s="8">
        <v>79.292000000000002</v>
      </c>
      <c r="P1688" s="8">
        <v>97.816999999999993</v>
      </c>
      <c r="Q1688" s="8">
        <v>78.992999999999995</v>
      </c>
      <c r="R1688" s="8">
        <v>74.730999999999995</v>
      </c>
      <c r="S1688" s="8">
        <v>41.536000000000001</v>
      </c>
      <c r="T1688" s="8">
        <v>26.132999999999999</v>
      </c>
      <c r="U1688" s="8">
        <v>29.597999999999999</v>
      </c>
      <c r="V1688" s="8">
        <v>23.934999999999999</v>
      </c>
      <c r="W1688" s="8">
        <v>21.219000000000001</v>
      </c>
      <c r="X1688" s="8">
        <v>11.877000000000001</v>
      </c>
      <c r="Y1688" s="8">
        <v>8.07</v>
      </c>
      <c r="Z1688" s="8">
        <v>2.4580000000000002</v>
      </c>
      <c r="AA1688" s="8">
        <v>0.40699999999999997</v>
      </c>
      <c r="AB1688" s="8">
        <v>3.9E-2</v>
      </c>
      <c r="AC1688" s="8">
        <v>2E-3</v>
      </c>
    </row>
    <row r="1689" spans="1:29" ht="11.65" x14ac:dyDescent="0.35">
      <c r="A1689" s="12">
        <v>1672</v>
      </c>
      <c r="B1689" s="10" t="s">
        <v>1015</v>
      </c>
      <c r="C1689" s="11" t="s">
        <v>1135</v>
      </c>
      <c r="D1689" s="9"/>
      <c r="E1689" s="9">
        <v>762</v>
      </c>
      <c r="F1689" s="10" t="s">
        <v>1066</v>
      </c>
      <c r="G1689" s="9">
        <v>5500</v>
      </c>
      <c r="H1689" s="9">
        <v>1980</v>
      </c>
      <c r="I1689" s="8">
        <v>320.88400000000001</v>
      </c>
      <c r="J1689" s="8">
        <v>277.72399999999999</v>
      </c>
      <c r="K1689" s="8">
        <v>246.71899999999999</v>
      </c>
      <c r="L1689" s="8">
        <v>219.066</v>
      </c>
      <c r="M1689" s="8">
        <v>171.41800000000001</v>
      </c>
      <c r="N1689" s="8">
        <v>142.08799999999999</v>
      </c>
      <c r="O1689" s="8">
        <v>91.158000000000001</v>
      </c>
      <c r="P1689" s="8">
        <v>73.123999999999995</v>
      </c>
      <c r="Q1689" s="8">
        <v>95.539000000000001</v>
      </c>
      <c r="R1689" s="8">
        <v>76.826999999999998</v>
      </c>
      <c r="S1689" s="8">
        <v>72.733000000000004</v>
      </c>
      <c r="T1689" s="8">
        <v>39.5</v>
      </c>
      <c r="U1689" s="8">
        <v>24.181999999999999</v>
      </c>
      <c r="V1689" s="8">
        <v>25.01</v>
      </c>
      <c r="W1689" s="8">
        <v>19.710999999999999</v>
      </c>
      <c r="X1689" s="8">
        <v>16.170000000000002</v>
      </c>
      <c r="Y1689" s="8">
        <v>10.855</v>
      </c>
      <c r="Z1689" s="8">
        <v>2.8149999999999999</v>
      </c>
      <c r="AA1689" s="8">
        <v>0.54200000000000004</v>
      </c>
      <c r="AB1689" s="8">
        <v>5.3999999999999999E-2</v>
      </c>
      <c r="AC1689" s="8">
        <v>3.0000000000000001E-3</v>
      </c>
    </row>
    <row r="1690" spans="1:29" ht="11.65" x14ac:dyDescent="0.35">
      <c r="A1690" s="12">
        <v>1673</v>
      </c>
      <c r="B1690" s="10" t="s">
        <v>1015</v>
      </c>
      <c r="C1690" s="11" t="s">
        <v>1135</v>
      </c>
      <c r="D1690" s="9"/>
      <c r="E1690" s="9">
        <v>762</v>
      </c>
      <c r="F1690" s="10" t="s">
        <v>1066</v>
      </c>
      <c r="G1690" s="9">
        <v>5500</v>
      </c>
      <c r="H1690" s="9">
        <v>1985</v>
      </c>
      <c r="I1690" s="8">
        <v>396.661</v>
      </c>
      <c r="J1690" s="8">
        <v>313.53699999999998</v>
      </c>
      <c r="K1690" s="8">
        <v>275.72399999999999</v>
      </c>
      <c r="L1690" s="8">
        <v>238.744</v>
      </c>
      <c r="M1690" s="8">
        <v>214.83099999999999</v>
      </c>
      <c r="N1690" s="8">
        <v>172.65299999999999</v>
      </c>
      <c r="O1690" s="8">
        <v>139.17599999999999</v>
      </c>
      <c r="P1690" s="8">
        <v>87.96</v>
      </c>
      <c r="Q1690" s="8">
        <v>70.415000000000006</v>
      </c>
      <c r="R1690" s="8">
        <v>90.554000000000002</v>
      </c>
      <c r="S1690" s="8">
        <v>72.492000000000004</v>
      </c>
      <c r="T1690" s="8">
        <v>68.043999999999997</v>
      </c>
      <c r="U1690" s="8">
        <v>35.497</v>
      </c>
      <c r="V1690" s="8">
        <v>20.722999999999999</v>
      </c>
      <c r="W1690" s="8">
        <v>19.768000000000001</v>
      </c>
      <c r="X1690" s="8">
        <v>13.901999999999999</v>
      </c>
      <c r="Y1690" s="8">
        <v>12.832000000000001</v>
      </c>
      <c r="Z1690" s="8">
        <v>3.7959999999999998</v>
      </c>
      <c r="AA1690" s="8">
        <v>0.622</v>
      </c>
      <c r="AB1690" s="8">
        <v>7.2999999999999995E-2</v>
      </c>
      <c r="AC1690" s="8">
        <v>4.0000000000000001E-3</v>
      </c>
    </row>
    <row r="1691" spans="1:29" ht="11.65" x14ac:dyDescent="0.35">
      <c r="A1691" s="12">
        <v>1674</v>
      </c>
      <c r="B1691" s="10" t="s">
        <v>1015</v>
      </c>
      <c r="C1691" s="11" t="s">
        <v>1135</v>
      </c>
      <c r="D1691" s="9"/>
      <c r="E1691" s="9">
        <v>762</v>
      </c>
      <c r="F1691" s="10" t="s">
        <v>1066</v>
      </c>
      <c r="G1691" s="9">
        <v>5500</v>
      </c>
      <c r="H1691" s="9">
        <v>1990</v>
      </c>
      <c r="I1691" s="8">
        <v>476.05799999999999</v>
      </c>
      <c r="J1691" s="8">
        <v>385.49900000000002</v>
      </c>
      <c r="K1691" s="8">
        <v>311.33999999999997</v>
      </c>
      <c r="L1691" s="8">
        <v>268.25400000000002</v>
      </c>
      <c r="M1691" s="8">
        <v>225.57</v>
      </c>
      <c r="N1691" s="8">
        <v>202.53100000000001</v>
      </c>
      <c r="O1691" s="8">
        <v>171.38</v>
      </c>
      <c r="P1691" s="8">
        <v>134.94800000000001</v>
      </c>
      <c r="Q1691" s="8">
        <v>84.186000000000007</v>
      </c>
      <c r="R1691" s="8">
        <v>67.661000000000001</v>
      </c>
      <c r="S1691" s="8">
        <v>85.168999999999997</v>
      </c>
      <c r="T1691" s="8">
        <v>67.382000000000005</v>
      </c>
      <c r="U1691" s="8">
        <v>61.518000000000001</v>
      </c>
      <c r="V1691" s="8">
        <v>30.387</v>
      </c>
      <c r="W1691" s="8">
        <v>16.805</v>
      </c>
      <c r="X1691" s="8">
        <v>14.106</v>
      </c>
      <c r="Y1691" s="8">
        <v>10.858000000000001</v>
      </c>
      <c r="Z1691" s="8">
        <v>4.5570000000000004</v>
      </c>
      <c r="AA1691" s="8">
        <v>0.85199999999999998</v>
      </c>
      <c r="AB1691" s="8">
        <v>8.4000000000000005E-2</v>
      </c>
      <c r="AC1691" s="8">
        <v>6.0000000000000001E-3</v>
      </c>
    </row>
    <row r="1692" spans="1:29" ht="11.65" x14ac:dyDescent="0.35">
      <c r="A1692" s="12">
        <v>1675</v>
      </c>
      <c r="B1692" s="10" t="s">
        <v>1015</v>
      </c>
      <c r="C1692" s="11" t="s">
        <v>1135</v>
      </c>
      <c r="D1692" s="9"/>
      <c r="E1692" s="9">
        <v>762</v>
      </c>
      <c r="F1692" s="10" t="s">
        <v>1066</v>
      </c>
      <c r="G1692" s="9">
        <v>5500</v>
      </c>
      <c r="H1692" s="9">
        <v>1995</v>
      </c>
      <c r="I1692" s="8">
        <v>469.56400000000002</v>
      </c>
      <c r="J1692" s="8">
        <v>452.36200000000002</v>
      </c>
      <c r="K1692" s="8">
        <v>371.827</v>
      </c>
      <c r="L1692" s="8">
        <v>296.41800000000001</v>
      </c>
      <c r="M1692" s="8">
        <v>249.655</v>
      </c>
      <c r="N1692" s="8">
        <v>207.80199999999999</v>
      </c>
      <c r="O1692" s="8">
        <v>188.43</v>
      </c>
      <c r="P1692" s="8">
        <v>158.74199999999999</v>
      </c>
      <c r="Q1692" s="8">
        <v>121.724</v>
      </c>
      <c r="R1692" s="8">
        <v>73.856999999999999</v>
      </c>
      <c r="S1692" s="8">
        <v>59.64</v>
      </c>
      <c r="T1692" s="8">
        <v>74.453000000000003</v>
      </c>
      <c r="U1692" s="8">
        <v>56.493000000000002</v>
      </c>
      <c r="V1692" s="8">
        <v>49.966000000000001</v>
      </c>
      <c r="W1692" s="8">
        <v>22.638000000000002</v>
      </c>
      <c r="X1692" s="8">
        <v>10.135999999999999</v>
      </c>
      <c r="Y1692" s="8">
        <v>7.3129999999999997</v>
      </c>
      <c r="Z1692" s="8">
        <v>3.9809999999999999</v>
      </c>
      <c r="AA1692" s="8">
        <v>1.1339999999999999</v>
      </c>
      <c r="AB1692" s="8">
        <v>0.129</v>
      </c>
      <c r="AC1692" s="8">
        <v>7.0000000000000001E-3</v>
      </c>
    </row>
    <row r="1693" spans="1:29" ht="11.65" x14ac:dyDescent="0.35">
      <c r="A1693" s="12">
        <v>1676</v>
      </c>
      <c r="B1693" s="10" t="s">
        <v>1015</v>
      </c>
      <c r="C1693" s="11" t="s">
        <v>1135</v>
      </c>
      <c r="D1693" s="9"/>
      <c r="E1693" s="9">
        <v>762</v>
      </c>
      <c r="F1693" s="10" t="s">
        <v>1066</v>
      </c>
      <c r="G1693" s="9">
        <v>5500</v>
      </c>
      <c r="H1693" s="9">
        <v>2000</v>
      </c>
      <c r="I1693" s="8">
        <v>455.66800000000001</v>
      </c>
      <c r="J1693" s="8">
        <v>449.58499999999998</v>
      </c>
      <c r="K1693" s="8">
        <v>438.1</v>
      </c>
      <c r="L1693" s="8">
        <v>354.39</v>
      </c>
      <c r="M1693" s="8">
        <v>273.78199999999998</v>
      </c>
      <c r="N1693" s="8">
        <v>232.01900000000001</v>
      </c>
      <c r="O1693" s="8">
        <v>197.81299999999999</v>
      </c>
      <c r="P1693" s="8">
        <v>182.005</v>
      </c>
      <c r="Q1693" s="8">
        <v>141.46</v>
      </c>
      <c r="R1693" s="8">
        <v>105.411</v>
      </c>
      <c r="S1693" s="8">
        <v>64.338999999999999</v>
      </c>
      <c r="T1693" s="8">
        <v>51.66</v>
      </c>
      <c r="U1693" s="8">
        <v>61.914000000000001</v>
      </c>
      <c r="V1693" s="8">
        <v>43.981000000000002</v>
      </c>
      <c r="W1693" s="8">
        <v>37.750999999999998</v>
      </c>
      <c r="X1693" s="8">
        <v>15.118</v>
      </c>
      <c r="Y1693" s="8">
        <v>4.9169999999999998</v>
      </c>
      <c r="Z1693" s="8">
        <v>2.6720000000000002</v>
      </c>
      <c r="AA1693" s="8">
        <v>0.96499999999999997</v>
      </c>
      <c r="AB1693" s="8">
        <v>0.16300000000000001</v>
      </c>
      <c r="AC1693" s="8">
        <v>0.01</v>
      </c>
    </row>
    <row r="1694" spans="1:29" ht="11.65" x14ac:dyDescent="0.35">
      <c r="A1694" s="12">
        <v>1677</v>
      </c>
      <c r="B1694" s="10" t="s">
        <v>1015</v>
      </c>
      <c r="C1694" s="11" t="s">
        <v>1135</v>
      </c>
      <c r="D1694" s="9"/>
      <c r="E1694" s="9">
        <v>762</v>
      </c>
      <c r="F1694" s="10" t="s">
        <v>1066</v>
      </c>
      <c r="G1694" s="9">
        <v>5500</v>
      </c>
      <c r="H1694" s="9">
        <v>2005</v>
      </c>
      <c r="I1694" s="8">
        <v>440.03300000000002</v>
      </c>
      <c r="J1694" s="8">
        <v>431.35700000000003</v>
      </c>
      <c r="K1694" s="8">
        <v>447.45400000000001</v>
      </c>
      <c r="L1694" s="8">
        <v>432.65899999999999</v>
      </c>
      <c r="M1694" s="8">
        <v>343.70699999999999</v>
      </c>
      <c r="N1694" s="8">
        <v>258.428</v>
      </c>
      <c r="O1694" s="8">
        <v>221.09</v>
      </c>
      <c r="P1694" s="8">
        <v>189.381</v>
      </c>
      <c r="Q1694" s="8">
        <v>180.35499999999999</v>
      </c>
      <c r="R1694" s="8">
        <v>138.29400000000001</v>
      </c>
      <c r="S1694" s="8">
        <v>104.136</v>
      </c>
      <c r="T1694" s="8">
        <v>55.957999999999998</v>
      </c>
      <c r="U1694" s="8">
        <v>46.965000000000003</v>
      </c>
      <c r="V1694" s="8">
        <v>51.587000000000003</v>
      </c>
      <c r="W1694" s="8">
        <v>33.125999999999998</v>
      </c>
      <c r="X1694" s="8">
        <v>26.248999999999999</v>
      </c>
      <c r="Y1694" s="8">
        <v>9.7240000000000002</v>
      </c>
      <c r="Z1694" s="8">
        <v>1.8109999999999999</v>
      </c>
      <c r="AA1694" s="8">
        <v>0.623</v>
      </c>
      <c r="AB1694" s="8">
        <v>0.13600000000000001</v>
      </c>
      <c r="AC1694" s="8">
        <v>1.2999999999999999E-2</v>
      </c>
    </row>
    <row r="1695" spans="1:29" ht="11.65" x14ac:dyDescent="0.35">
      <c r="A1695" s="12">
        <v>1678</v>
      </c>
      <c r="B1695" s="10" t="s">
        <v>1015</v>
      </c>
      <c r="C1695" s="11" t="s">
        <v>1135</v>
      </c>
      <c r="D1695" s="9"/>
      <c r="E1695" s="9">
        <v>762</v>
      </c>
      <c r="F1695" s="10" t="s">
        <v>1066</v>
      </c>
      <c r="G1695" s="9">
        <v>5500</v>
      </c>
      <c r="H1695" s="9">
        <v>2010</v>
      </c>
      <c r="I1695" s="8">
        <v>507.91300000000001</v>
      </c>
      <c r="J1695" s="8">
        <v>424.85300000000001</v>
      </c>
      <c r="K1695" s="8">
        <v>445.62900000000002</v>
      </c>
      <c r="L1695" s="8">
        <v>438.91199999999998</v>
      </c>
      <c r="M1695" s="8">
        <v>416.84</v>
      </c>
      <c r="N1695" s="8">
        <v>323.65600000000001</v>
      </c>
      <c r="O1695" s="8">
        <v>252.18199999999999</v>
      </c>
      <c r="P1695" s="8">
        <v>214.863</v>
      </c>
      <c r="Q1695" s="8">
        <v>195.07300000000001</v>
      </c>
      <c r="R1695" s="8">
        <v>175.49600000000001</v>
      </c>
      <c r="S1695" s="8">
        <v>138.922</v>
      </c>
      <c r="T1695" s="8">
        <v>86.045000000000002</v>
      </c>
      <c r="U1695" s="8">
        <v>55.122999999999998</v>
      </c>
      <c r="V1695" s="8">
        <v>38.073999999999998</v>
      </c>
      <c r="W1695" s="8">
        <v>39.131</v>
      </c>
      <c r="X1695" s="8">
        <v>23.925999999999998</v>
      </c>
      <c r="Y1695" s="8">
        <v>16.899000000000001</v>
      </c>
      <c r="Z1695" s="8">
        <v>3.754</v>
      </c>
      <c r="AA1695" s="8">
        <v>0.44400000000000001</v>
      </c>
      <c r="AB1695" s="8">
        <v>9.0999999999999998E-2</v>
      </c>
      <c r="AC1695" s="8">
        <v>1.2E-2</v>
      </c>
    </row>
    <row r="1696" spans="1:29" ht="11.65" x14ac:dyDescent="0.35">
      <c r="A1696" s="12">
        <v>1679</v>
      </c>
      <c r="B1696" s="10" t="s">
        <v>1015</v>
      </c>
      <c r="C1696" s="11" t="s">
        <v>1135</v>
      </c>
      <c r="D1696" s="9"/>
      <c r="E1696" s="9">
        <v>762</v>
      </c>
      <c r="F1696" s="10" t="s">
        <v>1066</v>
      </c>
      <c r="G1696" s="9">
        <v>5500</v>
      </c>
      <c r="H1696" s="9">
        <v>2015</v>
      </c>
      <c r="I1696" s="8">
        <v>629.72799999999995</v>
      </c>
      <c r="J1696" s="8">
        <v>503.94900000000001</v>
      </c>
      <c r="K1696" s="8">
        <v>422.85199999999998</v>
      </c>
      <c r="L1696" s="8">
        <v>438.00099999999998</v>
      </c>
      <c r="M1696" s="8">
        <v>425.38200000000001</v>
      </c>
      <c r="N1696" s="8">
        <v>402.94099999999997</v>
      </c>
      <c r="O1696" s="8">
        <v>311.85399999999998</v>
      </c>
      <c r="P1696" s="8">
        <v>242.465</v>
      </c>
      <c r="Q1696" s="8">
        <v>206.78</v>
      </c>
      <c r="R1696" s="8">
        <v>187.809</v>
      </c>
      <c r="S1696" s="8">
        <v>167.71100000000001</v>
      </c>
      <c r="T1696" s="8">
        <v>130.01300000000001</v>
      </c>
      <c r="U1696" s="8">
        <v>77.239999999999995</v>
      </c>
      <c r="V1696" s="8">
        <v>46.482999999999997</v>
      </c>
      <c r="W1696" s="8">
        <v>28.943999999999999</v>
      </c>
      <c r="X1696" s="8">
        <v>24.914999999999999</v>
      </c>
      <c r="Y1696" s="8">
        <v>11.444000000000001</v>
      </c>
      <c r="Z1696" s="8">
        <v>5.9429999999999996</v>
      </c>
      <c r="AA1696" s="8">
        <v>0.82199999999999995</v>
      </c>
      <c r="AB1696" s="8">
        <v>5.3999999999999999E-2</v>
      </c>
      <c r="AC1696" s="8">
        <v>6.0000000000000001E-3</v>
      </c>
    </row>
    <row r="1697" spans="1:29" ht="11.65" x14ac:dyDescent="0.35">
      <c r="A1697" s="12">
        <v>1680</v>
      </c>
      <c r="B1697" s="10" t="s">
        <v>1015</v>
      </c>
      <c r="C1697" s="11" t="s">
        <v>1135</v>
      </c>
      <c r="D1697" s="9"/>
      <c r="E1697" s="9">
        <v>762</v>
      </c>
      <c r="F1697" s="10" t="s">
        <v>1066</v>
      </c>
      <c r="G1697" s="9">
        <v>5500</v>
      </c>
      <c r="H1697" s="9">
        <v>2020</v>
      </c>
      <c r="I1697" s="8">
        <v>697.53499999999997</v>
      </c>
      <c r="J1697" s="8">
        <v>626.64800000000002</v>
      </c>
      <c r="K1697" s="8">
        <v>502.33600000000001</v>
      </c>
      <c r="L1697" s="8">
        <v>415.923</v>
      </c>
      <c r="M1697" s="8">
        <v>425.447</v>
      </c>
      <c r="N1697" s="8">
        <v>412.512</v>
      </c>
      <c r="O1697" s="8">
        <v>391.55700000000002</v>
      </c>
      <c r="P1697" s="8">
        <v>302.351</v>
      </c>
      <c r="Q1697" s="8">
        <v>234.756</v>
      </c>
      <c r="R1697" s="8">
        <v>200.017</v>
      </c>
      <c r="S1697" s="8">
        <v>180.41300000000001</v>
      </c>
      <c r="T1697" s="8">
        <v>158.148</v>
      </c>
      <c r="U1697" s="8">
        <v>118.13500000000001</v>
      </c>
      <c r="V1697" s="8">
        <v>66.177000000000007</v>
      </c>
      <c r="W1697" s="8">
        <v>36.110999999999997</v>
      </c>
      <c r="X1697" s="8">
        <v>18.974</v>
      </c>
      <c r="Y1697" s="8">
        <v>12.86</v>
      </c>
      <c r="Z1697" s="8">
        <v>4.3049999999999997</v>
      </c>
      <c r="AA1697" s="8">
        <v>1.4179999999999999</v>
      </c>
      <c r="AB1697" s="8">
        <v>0.111</v>
      </c>
      <c r="AC1697" s="8">
        <v>4.0000000000000001E-3</v>
      </c>
    </row>
    <row r="1698" spans="1:29" ht="11.65" x14ac:dyDescent="0.35">
      <c r="A1698" s="12">
        <v>1681</v>
      </c>
      <c r="B1698" s="10" t="s">
        <v>1015</v>
      </c>
      <c r="C1698" s="11" t="s">
        <v>1136</v>
      </c>
      <c r="D1698" s="9"/>
      <c r="E1698" s="9">
        <v>795</v>
      </c>
      <c r="F1698" s="10" t="s">
        <v>1066</v>
      </c>
      <c r="G1698" s="9">
        <v>5500</v>
      </c>
      <c r="H1698" s="9">
        <v>1950</v>
      </c>
      <c r="I1698" s="8">
        <v>72.838999999999999</v>
      </c>
      <c r="J1698" s="8">
        <v>57.155000000000001</v>
      </c>
      <c r="K1698" s="8">
        <v>75.337999999999994</v>
      </c>
      <c r="L1698" s="8">
        <v>62.948999999999998</v>
      </c>
      <c r="M1698" s="8">
        <v>61.247999999999998</v>
      </c>
      <c r="N1698" s="8">
        <v>35.070999999999998</v>
      </c>
      <c r="O1698" s="8">
        <v>26.678000000000001</v>
      </c>
      <c r="P1698" s="8">
        <v>33.372999999999998</v>
      </c>
      <c r="Q1698" s="8">
        <v>33.371000000000002</v>
      </c>
      <c r="R1698" s="8">
        <v>32.173999999999999</v>
      </c>
      <c r="S1698" s="8">
        <v>24.978999999999999</v>
      </c>
      <c r="T1698" s="8">
        <v>21.681999999999999</v>
      </c>
      <c r="U1698" s="8">
        <v>22.88</v>
      </c>
      <c r="V1698" s="8">
        <v>15.887</v>
      </c>
      <c r="W1698" s="8">
        <v>9.5920000000000005</v>
      </c>
      <c r="X1698" s="8">
        <v>5.2969999999999997</v>
      </c>
      <c r="Y1698" s="8">
        <v>1.998</v>
      </c>
      <c r="Z1698" s="8">
        <v>0.81200000000000006</v>
      </c>
      <c r="AA1698" s="8">
        <v>0.23899999999999999</v>
      </c>
      <c r="AB1698" s="8">
        <v>4.3999999999999997E-2</v>
      </c>
      <c r="AC1698" s="8">
        <v>5.0000000000000001E-3</v>
      </c>
    </row>
    <row r="1699" spans="1:29" ht="11.65" x14ac:dyDescent="0.35">
      <c r="A1699" s="12">
        <v>1682</v>
      </c>
      <c r="B1699" s="10" t="s">
        <v>1015</v>
      </c>
      <c r="C1699" s="11" t="s">
        <v>1136</v>
      </c>
      <c r="D1699" s="9"/>
      <c r="E1699" s="9">
        <v>795</v>
      </c>
      <c r="F1699" s="10" t="s">
        <v>1066</v>
      </c>
      <c r="G1699" s="9">
        <v>5500</v>
      </c>
      <c r="H1699" s="9">
        <v>1955</v>
      </c>
      <c r="I1699" s="8">
        <v>108.705</v>
      </c>
      <c r="J1699" s="8">
        <v>70.245999999999995</v>
      </c>
      <c r="K1699" s="8">
        <v>57.173999999999999</v>
      </c>
      <c r="L1699" s="8">
        <v>75.134</v>
      </c>
      <c r="M1699" s="8">
        <v>62.462000000000003</v>
      </c>
      <c r="N1699" s="8">
        <v>60.366</v>
      </c>
      <c r="O1699" s="8">
        <v>34.424999999999997</v>
      </c>
      <c r="P1699" s="8">
        <v>25.943000000000001</v>
      </c>
      <c r="Q1699" s="8">
        <v>32.029000000000003</v>
      </c>
      <c r="R1699" s="8">
        <v>31.53</v>
      </c>
      <c r="S1699" s="8">
        <v>29.335000000000001</v>
      </c>
      <c r="T1699" s="8">
        <v>21.952000000000002</v>
      </c>
      <c r="U1699" s="8">
        <v>18.161000000000001</v>
      </c>
      <c r="V1699" s="8">
        <v>17.561</v>
      </c>
      <c r="W1699" s="8">
        <v>11.175000000000001</v>
      </c>
      <c r="X1699" s="8">
        <v>5.9870000000000001</v>
      </c>
      <c r="Y1699" s="8">
        <v>2.7389999999999999</v>
      </c>
      <c r="Z1699" s="8">
        <v>0.71399999999999997</v>
      </c>
      <c r="AA1699" s="8">
        <v>0.19900000000000001</v>
      </c>
      <c r="AB1699" s="8">
        <v>3.5000000000000003E-2</v>
      </c>
      <c r="AC1699" s="8">
        <v>4.0000000000000001E-3</v>
      </c>
    </row>
    <row r="1700" spans="1:29" ht="11.65" x14ac:dyDescent="0.35">
      <c r="A1700" s="12">
        <v>1683</v>
      </c>
      <c r="B1700" s="10" t="s">
        <v>1015</v>
      </c>
      <c r="C1700" s="11" t="s">
        <v>1136</v>
      </c>
      <c r="D1700" s="9"/>
      <c r="E1700" s="9">
        <v>795</v>
      </c>
      <c r="F1700" s="10" t="s">
        <v>1066</v>
      </c>
      <c r="G1700" s="9">
        <v>5500</v>
      </c>
      <c r="H1700" s="9">
        <v>1960</v>
      </c>
      <c r="I1700" s="8">
        <v>144.608</v>
      </c>
      <c r="J1700" s="8">
        <v>106.544</v>
      </c>
      <c r="K1700" s="8">
        <v>71.186999999999998</v>
      </c>
      <c r="L1700" s="8">
        <v>58.088000000000001</v>
      </c>
      <c r="M1700" s="8">
        <v>75.385999999999996</v>
      </c>
      <c r="N1700" s="8">
        <v>62.588000000000001</v>
      </c>
      <c r="O1700" s="8">
        <v>60.088999999999999</v>
      </c>
      <c r="P1700" s="8">
        <v>34.094000000000001</v>
      </c>
      <c r="Q1700" s="8">
        <v>25.395</v>
      </c>
      <c r="R1700" s="8">
        <v>30.794</v>
      </c>
      <c r="S1700" s="8">
        <v>29.294</v>
      </c>
      <c r="T1700" s="8">
        <v>26.295000000000002</v>
      </c>
      <c r="U1700" s="8">
        <v>18.797000000000001</v>
      </c>
      <c r="V1700" s="8">
        <v>14.297000000000001</v>
      </c>
      <c r="W1700" s="8">
        <v>12.599</v>
      </c>
      <c r="X1700" s="8">
        <v>7.1989999999999998</v>
      </c>
      <c r="Y1700" s="8">
        <v>3.242</v>
      </c>
      <c r="Z1700" s="8">
        <v>1.0349999999999999</v>
      </c>
      <c r="AA1700" s="8">
        <v>0.187</v>
      </c>
      <c r="AB1700" s="8">
        <v>3.2000000000000001E-2</v>
      </c>
      <c r="AC1700" s="8">
        <v>4.0000000000000001E-3</v>
      </c>
    </row>
    <row r="1701" spans="1:29" ht="11.65" x14ac:dyDescent="0.35">
      <c r="A1701" s="12">
        <v>1684</v>
      </c>
      <c r="B1701" s="10" t="s">
        <v>1015</v>
      </c>
      <c r="C1701" s="11" t="s">
        <v>1136</v>
      </c>
      <c r="D1701" s="9"/>
      <c r="E1701" s="9">
        <v>795</v>
      </c>
      <c r="F1701" s="10" t="s">
        <v>1066</v>
      </c>
      <c r="G1701" s="9">
        <v>5500</v>
      </c>
      <c r="H1701" s="9">
        <v>1965</v>
      </c>
      <c r="I1701" s="8">
        <v>173.53399999999999</v>
      </c>
      <c r="J1701" s="8">
        <v>141.84899999999999</v>
      </c>
      <c r="K1701" s="8">
        <v>107.408</v>
      </c>
      <c r="L1701" s="8">
        <v>71.872</v>
      </c>
      <c r="M1701" s="8">
        <v>58.378</v>
      </c>
      <c r="N1701" s="8">
        <v>75.072000000000003</v>
      </c>
      <c r="O1701" s="8">
        <v>62.276000000000003</v>
      </c>
      <c r="P1701" s="8">
        <v>59.079000000000001</v>
      </c>
      <c r="Q1701" s="8">
        <v>33.287999999999997</v>
      </c>
      <c r="R1701" s="8">
        <v>24.491</v>
      </c>
      <c r="S1701" s="8">
        <v>28.69</v>
      </c>
      <c r="T1701" s="8">
        <v>26.39</v>
      </c>
      <c r="U1701" s="8">
        <v>22.591999999999999</v>
      </c>
      <c r="V1701" s="8">
        <v>14.994</v>
      </c>
      <c r="W1701" s="8">
        <v>10.496</v>
      </c>
      <c r="X1701" s="8">
        <v>8.1969999999999992</v>
      </c>
      <c r="Y1701" s="8">
        <v>3.778</v>
      </c>
      <c r="Z1701" s="8">
        <v>1.2929999999999999</v>
      </c>
      <c r="AA1701" s="8">
        <v>0.28799999999999998</v>
      </c>
      <c r="AB1701" s="8">
        <v>3.4000000000000002E-2</v>
      </c>
      <c r="AC1701" s="8">
        <v>4.0000000000000001E-3</v>
      </c>
    </row>
    <row r="1702" spans="1:29" ht="11.65" x14ac:dyDescent="0.35">
      <c r="A1702" s="12">
        <v>1685</v>
      </c>
      <c r="B1702" s="10" t="s">
        <v>1015</v>
      </c>
      <c r="C1702" s="11" t="s">
        <v>1136</v>
      </c>
      <c r="D1702" s="9"/>
      <c r="E1702" s="9">
        <v>795</v>
      </c>
      <c r="F1702" s="10" t="s">
        <v>1066</v>
      </c>
      <c r="G1702" s="9">
        <v>5500</v>
      </c>
      <c r="H1702" s="9">
        <v>1970</v>
      </c>
      <c r="I1702" s="8">
        <v>180.72800000000001</v>
      </c>
      <c r="J1702" s="8">
        <v>170.696</v>
      </c>
      <c r="K1702" s="8">
        <v>142.97399999999999</v>
      </c>
      <c r="L1702" s="8">
        <v>108.21</v>
      </c>
      <c r="M1702" s="8">
        <v>72.141000000000005</v>
      </c>
      <c r="N1702" s="8">
        <v>58.360999999999997</v>
      </c>
      <c r="O1702" s="8">
        <v>74.688000000000002</v>
      </c>
      <c r="P1702" s="8">
        <v>61.512999999999998</v>
      </c>
      <c r="Q1702" s="8">
        <v>57.709000000000003</v>
      </c>
      <c r="R1702" s="8">
        <v>32.222999999999999</v>
      </c>
      <c r="S1702" s="8">
        <v>23.03</v>
      </c>
      <c r="T1702" s="8">
        <v>25.972000000000001</v>
      </c>
      <c r="U1702" s="8">
        <v>22.89</v>
      </c>
      <c r="V1702" s="8">
        <v>18.138000000000002</v>
      </c>
      <c r="W1702" s="8">
        <v>11.069000000000001</v>
      </c>
      <c r="X1702" s="8">
        <v>6.9560000000000004</v>
      </c>
      <c r="Y1702" s="8">
        <v>4.3810000000000002</v>
      </c>
      <c r="Z1702" s="8">
        <v>1.585</v>
      </c>
      <c r="AA1702" s="8">
        <v>0.38400000000000001</v>
      </c>
      <c r="AB1702" s="8">
        <v>5.2999999999999999E-2</v>
      </c>
      <c r="AC1702" s="8">
        <v>4.0000000000000001E-3</v>
      </c>
    </row>
    <row r="1703" spans="1:29" ht="11.65" x14ac:dyDescent="0.35">
      <c r="A1703" s="12">
        <v>1686</v>
      </c>
      <c r="B1703" s="10" t="s">
        <v>1015</v>
      </c>
      <c r="C1703" s="11" t="s">
        <v>1136</v>
      </c>
      <c r="D1703" s="9"/>
      <c r="E1703" s="9">
        <v>795</v>
      </c>
      <c r="F1703" s="10" t="s">
        <v>1066</v>
      </c>
      <c r="G1703" s="9">
        <v>5500</v>
      </c>
      <c r="H1703" s="9">
        <v>1975</v>
      </c>
      <c r="I1703" s="8">
        <v>200.74100000000001</v>
      </c>
      <c r="J1703" s="8">
        <v>180.99600000000001</v>
      </c>
      <c r="K1703" s="8">
        <v>167.953</v>
      </c>
      <c r="L1703" s="8">
        <v>141.584</v>
      </c>
      <c r="M1703" s="8">
        <v>110.072</v>
      </c>
      <c r="N1703" s="8">
        <v>73.253</v>
      </c>
      <c r="O1703" s="8">
        <v>57.241999999999997</v>
      </c>
      <c r="P1703" s="8">
        <v>72.986000000000004</v>
      </c>
      <c r="Q1703" s="8">
        <v>58.418999999999997</v>
      </c>
      <c r="R1703" s="8">
        <v>54.197000000000003</v>
      </c>
      <c r="S1703" s="8">
        <v>30.597999999999999</v>
      </c>
      <c r="T1703" s="8">
        <v>21.093</v>
      </c>
      <c r="U1703" s="8">
        <v>22.632999999999999</v>
      </c>
      <c r="V1703" s="8">
        <v>17.596</v>
      </c>
      <c r="W1703" s="8">
        <v>13.368</v>
      </c>
      <c r="X1703" s="8">
        <v>7.1040000000000001</v>
      </c>
      <c r="Y1703" s="8">
        <v>4.4349999999999996</v>
      </c>
      <c r="Z1703" s="8">
        <v>1.8839999999999999</v>
      </c>
      <c r="AA1703" s="8">
        <v>0.48299999999999998</v>
      </c>
      <c r="AB1703" s="8">
        <v>7.3999999999999996E-2</v>
      </c>
      <c r="AC1703" s="8">
        <v>7.0000000000000001E-3</v>
      </c>
    </row>
    <row r="1704" spans="1:29" ht="11.65" x14ac:dyDescent="0.35">
      <c r="A1704" s="12">
        <v>1687</v>
      </c>
      <c r="B1704" s="10" t="s">
        <v>1015</v>
      </c>
      <c r="C1704" s="11" t="s">
        <v>1136</v>
      </c>
      <c r="D1704" s="9"/>
      <c r="E1704" s="9">
        <v>795</v>
      </c>
      <c r="F1704" s="10" t="s">
        <v>1066</v>
      </c>
      <c r="G1704" s="9">
        <v>5500</v>
      </c>
      <c r="H1704" s="9">
        <v>1980</v>
      </c>
      <c r="I1704" s="8">
        <v>226.19399999999999</v>
      </c>
      <c r="J1704" s="8">
        <v>195.95500000000001</v>
      </c>
      <c r="K1704" s="8">
        <v>180.10599999999999</v>
      </c>
      <c r="L1704" s="8">
        <v>163.11600000000001</v>
      </c>
      <c r="M1704" s="8">
        <v>143.89400000000001</v>
      </c>
      <c r="N1704" s="8">
        <v>106.85899999999999</v>
      </c>
      <c r="O1704" s="8">
        <v>73.686000000000007</v>
      </c>
      <c r="P1704" s="8">
        <v>51.093000000000004</v>
      </c>
      <c r="Q1704" s="8">
        <v>69.016000000000005</v>
      </c>
      <c r="R1704" s="8">
        <v>54.021000000000001</v>
      </c>
      <c r="S1704" s="8">
        <v>51.448999999999998</v>
      </c>
      <c r="T1704" s="8">
        <v>28.265000000000001</v>
      </c>
      <c r="U1704" s="8">
        <v>18.405999999999999</v>
      </c>
      <c r="V1704" s="8">
        <v>17.86</v>
      </c>
      <c r="W1704" s="8">
        <v>12.840999999999999</v>
      </c>
      <c r="X1704" s="8">
        <v>8.7889999999999997</v>
      </c>
      <c r="Y1704" s="8">
        <v>4.3520000000000003</v>
      </c>
      <c r="Z1704" s="8">
        <v>1.8919999999999999</v>
      </c>
      <c r="AA1704" s="8">
        <v>0.56699999999999995</v>
      </c>
      <c r="AB1704" s="8">
        <v>9.1999999999999998E-2</v>
      </c>
      <c r="AC1704" s="8">
        <v>8.9999999999999993E-3</v>
      </c>
    </row>
    <row r="1705" spans="1:29" ht="11.65" x14ac:dyDescent="0.35">
      <c r="A1705" s="12">
        <v>1688</v>
      </c>
      <c r="B1705" s="10" t="s">
        <v>1015</v>
      </c>
      <c r="C1705" s="11" t="s">
        <v>1136</v>
      </c>
      <c r="D1705" s="9"/>
      <c r="E1705" s="9">
        <v>795</v>
      </c>
      <c r="F1705" s="10" t="s">
        <v>1066</v>
      </c>
      <c r="G1705" s="9">
        <v>5500</v>
      </c>
      <c r="H1705" s="9">
        <v>1985</v>
      </c>
      <c r="I1705" s="8">
        <v>251.11799999999999</v>
      </c>
      <c r="J1705" s="8">
        <v>220.32300000000001</v>
      </c>
      <c r="K1705" s="8">
        <v>193.42400000000001</v>
      </c>
      <c r="L1705" s="8">
        <v>175.66300000000001</v>
      </c>
      <c r="M1705" s="8">
        <v>160.97399999999999</v>
      </c>
      <c r="N1705" s="8">
        <v>138.952</v>
      </c>
      <c r="O1705" s="8">
        <v>102.413</v>
      </c>
      <c r="P1705" s="8">
        <v>68.739999999999995</v>
      </c>
      <c r="Q1705" s="8">
        <v>47.868000000000002</v>
      </c>
      <c r="R1705" s="8">
        <v>63.921999999999997</v>
      </c>
      <c r="S1705" s="8">
        <v>49.914999999999999</v>
      </c>
      <c r="T1705" s="8">
        <v>46.511000000000003</v>
      </c>
      <c r="U1705" s="8">
        <v>24.544</v>
      </c>
      <c r="V1705" s="8">
        <v>14.938000000000001</v>
      </c>
      <c r="W1705" s="8">
        <v>13.467000000000001</v>
      </c>
      <c r="X1705" s="8">
        <v>8.4600000000000009</v>
      </c>
      <c r="Y1705" s="8">
        <v>5.2140000000000004</v>
      </c>
      <c r="Z1705" s="8">
        <v>1.869</v>
      </c>
      <c r="AA1705" s="8">
        <v>0.57199999999999995</v>
      </c>
      <c r="AB1705" s="8">
        <v>0.107</v>
      </c>
      <c r="AC1705" s="8">
        <v>1.0999999999999999E-2</v>
      </c>
    </row>
    <row r="1706" spans="1:29" ht="11.65" x14ac:dyDescent="0.35">
      <c r="A1706" s="12">
        <v>1689</v>
      </c>
      <c r="B1706" s="10" t="s">
        <v>1015</v>
      </c>
      <c r="C1706" s="11" t="s">
        <v>1136</v>
      </c>
      <c r="D1706" s="9"/>
      <c r="E1706" s="9">
        <v>795</v>
      </c>
      <c r="F1706" s="10" t="s">
        <v>1066</v>
      </c>
      <c r="G1706" s="9">
        <v>5500</v>
      </c>
      <c r="H1706" s="9">
        <v>1990</v>
      </c>
      <c r="I1706" s="8">
        <v>294.084</v>
      </c>
      <c r="J1706" s="8">
        <v>243.815</v>
      </c>
      <c r="K1706" s="8">
        <v>218.642</v>
      </c>
      <c r="L1706" s="8">
        <v>188.44499999999999</v>
      </c>
      <c r="M1706" s="8">
        <v>173.61199999999999</v>
      </c>
      <c r="N1706" s="8">
        <v>153.261</v>
      </c>
      <c r="O1706" s="8">
        <v>133.91900000000001</v>
      </c>
      <c r="P1706" s="8">
        <v>99.537999999999997</v>
      </c>
      <c r="Q1706" s="8">
        <v>65.763000000000005</v>
      </c>
      <c r="R1706" s="8">
        <v>45.746000000000002</v>
      </c>
      <c r="S1706" s="8">
        <v>59.460999999999999</v>
      </c>
      <c r="T1706" s="8">
        <v>45.457999999999998</v>
      </c>
      <c r="U1706" s="8">
        <v>40.395000000000003</v>
      </c>
      <c r="V1706" s="8">
        <v>20.18</v>
      </c>
      <c r="W1706" s="8">
        <v>11.302</v>
      </c>
      <c r="X1706" s="8">
        <v>9.1340000000000003</v>
      </c>
      <c r="Y1706" s="8">
        <v>4.827</v>
      </c>
      <c r="Z1706" s="8">
        <v>2.2189999999999999</v>
      </c>
      <c r="AA1706" s="8">
        <v>0.55500000000000005</v>
      </c>
      <c r="AB1706" s="8">
        <v>0.105</v>
      </c>
      <c r="AC1706" s="8">
        <v>1.2E-2</v>
      </c>
    </row>
    <row r="1707" spans="1:29" ht="11.65" x14ac:dyDescent="0.35">
      <c r="A1707" s="12">
        <v>1690</v>
      </c>
      <c r="B1707" s="10" t="s">
        <v>1015</v>
      </c>
      <c r="C1707" s="11" t="s">
        <v>1136</v>
      </c>
      <c r="D1707" s="9"/>
      <c r="E1707" s="9">
        <v>795</v>
      </c>
      <c r="F1707" s="10" t="s">
        <v>1066</v>
      </c>
      <c r="G1707" s="9">
        <v>5500</v>
      </c>
      <c r="H1707" s="9">
        <v>1995</v>
      </c>
      <c r="I1707" s="8">
        <v>303.19</v>
      </c>
      <c r="J1707" s="8">
        <v>291.31799999999998</v>
      </c>
      <c r="K1707" s="8">
        <v>245.26599999999999</v>
      </c>
      <c r="L1707" s="8">
        <v>220.24799999999999</v>
      </c>
      <c r="M1707" s="8">
        <v>189.15799999999999</v>
      </c>
      <c r="N1707" s="8">
        <v>173.35400000000001</v>
      </c>
      <c r="O1707" s="8">
        <v>152.304</v>
      </c>
      <c r="P1707" s="8">
        <v>132.291</v>
      </c>
      <c r="Q1707" s="8">
        <v>97.388000000000005</v>
      </c>
      <c r="R1707" s="8">
        <v>63.441000000000003</v>
      </c>
      <c r="S1707" s="8">
        <v>43.508000000000003</v>
      </c>
      <c r="T1707" s="8">
        <v>55.011000000000003</v>
      </c>
      <c r="U1707" s="8">
        <v>40.573999999999998</v>
      </c>
      <c r="V1707" s="8">
        <v>33.832999999999998</v>
      </c>
      <c r="W1707" s="8">
        <v>15.393000000000001</v>
      </c>
      <c r="X1707" s="8">
        <v>7.5439999999999996</v>
      </c>
      <c r="Y1707" s="8">
        <v>5.22</v>
      </c>
      <c r="Z1707" s="8">
        <v>1.911</v>
      </c>
      <c r="AA1707" s="8">
        <v>0.59199999999999997</v>
      </c>
      <c r="AB1707" s="8">
        <v>9.0999999999999998E-2</v>
      </c>
      <c r="AC1707" s="8">
        <v>1.0999999999999999E-2</v>
      </c>
    </row>
    <row r="1708" spans="1:29" ht="11.65" x14ac:dyDescent="0.35">
      <c r="A1708" s="12">
        <v>1691</v>
      </c>
      <c r="B1708" s="10" t="s">
        <v>1015</v>
      </c>
      <c r="C1708" s="11" t="s">
        <v>1136</v>
      </c>
      <c r="D1708" s="9"/>
      <c r="E1708" s="9">
        <v>795</v>
      </c>
      <c r="F1708" s="10" t="s">
        <v>1066</v>
      </c>
      <c r="G1708" s="9">
        <v>5500</v>
      </c>
      <c r="H1708" s="9">
        <v>2000</v>
      </c>
      <c r="I1708" s="8">
        <v>247.72800000000001</v>
      </c>
      <c r="J1708" s="8">
        <v>294.13900000000001</v>
      </c>
      <c r="K1708" s="8">
        <v>286.15499999999997</v>
      </c>
      <c r="L1708" s="8">
        <v>241.24199999999999</v>
      </c>
      <c r="M1708" s="8">
        <v>215.721</v>
      </c>
      <c r="N1708" s="8">
        <v>184.16200000000001</v>
      </c>
      <c r="O1708" s="8">
        <v>167.92</v>
      </c>
      <c r="P1708" s="8">
        <v>146.75399999999999</v>
      </c>
      <c r="Q1708" s="8">
        <v>126.41200000000001</v>
      </c>
      <c r="R1708" s="8">
        <v>91.721999999999994</v>
      </c>
      <c r="S1708" s="8">
        <v>58.594999999999999</v>
      </c>
      <c r="T1708" s="8">
        <v>39.018999999999998</v>
      </c>
      <c r="U1708" s="8">
        <v>47.723999999999997</v>
      </c>
      <c r="V1708" s="8">
        <v>33.197000000000003</v>
      </c>
      <c r="W1708" s="8">
        <v>25.341999999999999</v>
      </c>
      <c r="X1708" s="8">
        <v>10.081</v>
      </c>
      <c r="Y1708" s="8">
        <v>4.1189999999999998</v>
      </c>
      <c r="Z1708" s="8">
        <v>2.14</v>
      </c>
      <c r="AA1708" s="8">
        <v>0.54300000000000004</v>
      </c>
      <c r="AB1708" s="8">
        <v>0.106</v>
      </c>
      <c r="AC1708" s="8">
        <v>1.0999999999999999E-2</v>
      </c>
    </row>
    <row r="1709" spans="1:29" ht="11.65" x14ac:dyDescent="0.35">
      <c r="A1709" s="12">
        <v>1692</v>
      </c>
      <c r="B1709" s="10" t="s">
        <v>1015</v>
      </c>
      <c r="C1709" s="11" t="s">
        <v>1136</v>
      </c>
      <c r="D1709" s="9"/>
      <c r="E1709" s="9">
        <v>795</v>
      </c>
      <c r="F1709" s="10" t="s">
        <v>1066</v>
      </c>
      <c r="G1709" s="9">
        <v>5500</v>
      </c>
      <c r="H1709" s="9">
        <v>2005</v>
      </c>
      <c r="I1709" s="8">
        <v>254.26599999999999</v>
      </c>
      <c r="J1709" s="8">
        <v>241.90199999999999</v>
      </c>
      <c r="K1709" s="8">
        <v>288.21800000000002</v>
      </c>
      <c r="L1709" s="8">
        <v>277.51499999999999</v>
      </c>
      <c r="M1709" s="8">
        <v>229.614</v>
      </c>
      <c r="N1709" s="8">
        <v>203.16800000000001</v>
      </c>
      <c r="O1709" s="8">
        <v>172.941</v>
      </c>
      <c r="P1709" s="8">
        <v>158.24299999999999</v>
      </c>
      <c r="Q1709" s="8">
        <v>137.91999999999999</v>
      </c>
      <c r="R1709" s="8">
        <v>117.30800000000001</v>
      </c>
      <c r="S1709" s="8">
        <v>83.539000000000001</v>
      </c>
      <c r="T1709" s="8">
        <v>52.097000000000001</v>
      </c>
      <c r="U1709" s="8">
        <v>33.497999999999998</v>
      </c>
      <c r="V1709" s="8">
        <v>39.045000000000002</v>
      </c>
      <c r="W1709" s="8">
        <v>24.63</v>
      </c>
      <c r="X1709" s="8">
        <v>16.838999999999999</v>
      </c>
      <c r="Y1709" s="8">
        <v>5.694</v>
      </c>
      <c r="Z1709" s="8">
        <v>1.718</v>
      </c>
      <c r="AA1709" s="8">
        <v>0.62</v>
      </c>
      <c r="AB1709" s="8">
        <v>0.1</v>
      </c>
      <c r="AC1709" s="8">
        <v>1.2999999999999999E-2</v>
      </c>
    </row>
    <row r="1710" spans="1:29" ht="11.65" x14ac:dyDescent="0.35">
      <c r="A1710" s="12">
        <v>1693</v>
      </c>
      <c r="B1710" s="10" t="s">
        <v>1015</v>
      </c>
      <c r="C1710" s="11" t="s">
        <v>1136</v>
      </c>
      <c r="D1710" s="9"/>
      <c r="E1710" s="9">
        <v>795</v>
      </c>
      <c r="F1710" s="10" t="s">
        <v>1066</v>
      </c>
      <c r="G1710" s="9">
        <v>5500</v>
      </c>
      <c r="H1710" s="9">
        <v>2010</v>
      </c>
      <c r="I1710" s="8">
        <v>271.72899999999998</v>
      </c>
      <c r="J1710" s="8">
        <v>249.73699999999999</v>
      </c>
      <c r="K1710" s="8">
        <v>238.697</v>
      </c>
      <c r="L1710" s="8">
        <v>283.72699999999998</v>
      </c>
      <c r="M1710" s="8">
        <v>271.23</v>
      </c>
      <c r="N1710" s="8">
        <v>223.03</v>
      </c>
      <c r="O1710" s="8">
        <v>196.77500000000001</v>
      </c>
      <c r="P1710" s="8">
        <v>166.92699999999999</v>
      </c>
      <c r="Q1710" s="8">
        <v>151.86600000000001</v>
      </c>
      <c r="R1710" s="8">
        <v>130.886</v>
      </c>
      <c r="S1710" s="8">
        <v>109.465</v>
      </c>
      <c r="T1710" s="8">
        <v>76.137</v>
      </c>
      <c r="U1710" s="8">
        <v>45.524999999999999</v>
      </c>
      <c r="V1710" s="8">
        <v>27.721</v>
      </c>
      <c r="W1710" s="8">
        <v>29.550999999999998</v>
      </c>
      <c r="X1710" s="8">
        <v>16.643999999999998</v>
      </c>
      <c r="Y1710" s="8">
        <v>9.7899999999999991</v>
      </c>
      <c r="Z1710" s="8">
        <v>2.4350000000000001</v>
      </c>
      <c r="AA1710" s="8">
        <v>0.51200000000000001</v>
      </c>
      <c r="AB1710" s="8">
        <v>0.11799999999999999</v>
      </c>
      <c r="AC1710" s="8">
        <v>1.2E-2</v>
      </c>
    </row>
    <row r="1711" spans="1:29" ht="11.65" x14ac:dyDescent="0.35">
      <c r="A1711" s="12">
        <v>1694</v>
      </c>
      <c r="B1711" s="10" t="s">
        <v>1015</v>
      </c>
      <c r="C1711" s="11" t="s">
        <v>1136</v>
      </c>
      <c r="D1711" s="9"/>
      <c r="E1711" s="9">
        <v>795</v>
      </c>
      <c r="F1711" s="10" t="s">
        <v>1066</v>
      </c>
      <c r="G1711" s="9">
        <v>5500</v>
      </c>
      <c r="H1711" s="9">
        <v>2015</v>
      </c>
      <c r="I1711" s="8">
        <v>344.43200000000002</v>
      </c>
      <c r="J1711" s="8">
        <v>267.06099999999998</v>
      </c>
      <c r="K1711" s="8">
        <v>246.86500000000001</v>
      </c>
      <c r="L1711" s="8">
        <v>235.703</v>
      </c>
      <c r="M1711" s="8">
        <v>279.64600000000002</v>
      </c>
      <c r="N1711" s="8">
        <v>266.32299999999998</v>
      </c>
      <c r="O1711" s="8">
        <v>218.07400000000001</v>
      </c>
      <c r="P1711" s="8">
        <v>191.405</v>
      </c>
      <c r="Q1711" s="8">
        <v>161.15100000000001</v>
      </c>
      <c r="R1711" s="8">
        <v>145.33500000000001</v>
      </c>
      <c r="S1711" s="8">
        <v>123.06699999999999</v>
      </c>
      <c r="T1711" s="8">
        <v>100.193</v>
      </c>
      <c r="U1711" s="8">
        <v>66.649000000000001</v>
      </c>
      <c r="V1711" s="8">
        <v>37.978000000000002</v>
      </c>
      <c r="W1711" s="8">
        <v>21</v>
      </c>
      <c r="X1711" s="8">
        <v>20.234999999999999</v>
      </c>
      <c r="Y1711" s="8">
        <v>9.7789999999999999</v>
      </c>
      <c r="Z1711" s="8">
        <v>4.3129999999999997</v>
      </c>
      <c r="AA1711" s="8">
        <v>0.746</v>
      </c>
      <c r="AB1711" s="8">
        <v>0.1</v>
      </c>
      <c r="AC1711" s="8">
        <v>1.4999999999999999E-2</v>
      </c>
    </row>
    <row r="1712" spans="1:29" ht="11.65" x14ac:dyDescent="0.35">
      <c r="A1712" s="12">
        <v>1695</v>
      </c>
      <c r="B1712" s="10" t="s">
        <v>1015</v>
      </c>
      <c r="C1712" s="11" t="s">
        <v>1136</v>
      </c>
      <c r="D1712" s="9"/>
      <c r="E1712" s="9">
        <v>795</v>
      </c>
      <c r="F1712" s="10" t="s">
        <v>1066</v>
      </c>
      <c r="G1712" s="9">
        <v>5500</v>
      </c>
      <c r="H1712" s="9">
        <v>2020</v>
      </c>
      <c r="I1712" s="8">
        <v>335.49099999999999</v>
      </c>
      <c r="J1712" s="8">
        <v>340.57499999999999</v>
      </c>
      <c r="K1712" s="8">
        <v>265.315</v>
      </c>
      <c r="L1712" s="8">
        <v>244.97900000000001</v>
      </c>
      <c r="M1712" s="8">
        <v>233.16300000000001</v>
      </c>
      <c r="N1712" s="8">
        <v>276.03500000000003</v>
      </c>
      <c r="O1712" s="8">
        <v>262.12</v>
      </c>
      <c r="P1712" s="8">
        <v>213.45</v>
      </c>
      <c r="Q1712" s="8">
        <v>186.02500000000001</v>
      </c>
      <c r="R1712" s="8">
        <v>155.19300000000001</v>
      </c>
      <c r="S1712" s="8">
        <v>137.59200000000001</v>
      </c>
      <c r="T1712" s="8">
        <v>113.456</v>
      </c>
      <c r="U1712" s="8">
        <v>88.454999999999998</v>
      </c>
      <c r="V1712" s="8">
        <v>56.121000000000002</v>
      </c>
      <c r="W1712" s="8">
        <v>29.035</v>
      </c>
      <c r="X1712" s="8">
        <v>14.452</v>
      </c>
      <c r="Y1712" s="8">
        <v>12.092000000000001</v>
      </c>
      <c r="Z1712" s="8">
        <v>4.274</v>
      </c>
      <c r="AA1712" s="8">
        <v>1.3280000000000001</v>
      </c>
      <c r="AB1712" s="8">
        <v>0.14599999999999999</v>
      </c>
      <c r="AC1712" s="8">
        <v>1.2999999999999999E-2</v>
      </c>
    </row>
    <row r="1713" spans="1:29" ht="11.65" x14ac:dyDescent="0.35">
      <c r="A1713" s="12">
        <v>1696</v>
      </c>
      <c r="B1713" s="10" t="s">
        <v>1015</v>
      </c>
      <c r="C1713" s="11" t="s">
        <v>1137</v>
      </c>
      <c r="D1713" s="9"/>
      <c r="E1713" s="9">
        <v>860</v>
      </c>
      <c r="F1713" s="10" t="s">
        <v>1066</v>
      </c>
      <c r="G1713" s="9">
        <v>5500</v>
      </c>
      <c r="H1713" s="9">
        <v>1950</v>
      </c>
      <c r="I1713" s="8">
        <v>355.20499999999998</v>
      </c>
      <c r="J1713" s="8">
        <v>290.71699999999998</v>
      </c>
      <c r="K1713" s="8">
        <v>334.92399999999998</v>
      </c>
      <c r="L1713" s="8">
        <v>321.27600000000001</v>
      </c>
      <c r="M1713" s="8">
        <v>344.23700000000002</v>
      </c>
      <c r="N1713" s="8">
        <v>187.34200000000001</v>
      </c>
      <c r="O1713" s="8">
        <v>115.86499999999999</v>
      </c>
      <c r="P1713" s="8">
        <v>138.029</v>
      </c>
      <c r="Q1713" s="8">
        <v>148.28800000000001</v>
      </c>
      <c r="R1713" s="8">
        <v>168.74600000000001</v>
      </c>
      <c r="S1713" s="8">
        <v>168.67</v>
      </c>
      <c r="T1713" s="8">
        <v>126.05</v>
      </c>
      <c r="U1713" s="8">
        <v>111.724</v>
      </c>
      <c r="V1713" s="8">
        <v>84.298000000000002</v>
      </c>
      <c r="W1713" s="8">
        <v>52.088000000000001</v>
      </c>
      <c r="X1713" s="8">
        <v>28.731999999999999</v>
      </c>
      <c r="Y1713" s="8">
        <v>11.337</v>
      </c>
      <c r="Z1713" s="8">
        <v>5.0270000000000001</v>
      </c>
      <c r="AA1713" s="8">
        <v>1.5429999999999999</v>
      </c>
      <c r="AB1713" s="8">
        <v>0.30299999999999999</v>
      </c>
      <c r="AC1713" s="8">
        <v>3.3000000000000002E-2</v>
      </c>
    </row>
    <row r="1714" spans="1:29" ht="11.65" x14ac:dyDescent="0.35">
      <c r="A1714" s="12">
        <v>1697</v>
      </c>
      <c r="B1714" s="10" t="s">
        <v>1015</v>
      </c>
      <c r="C1714" s="11" t="s">
        <v>1137</v>
      </c>
      <c r="D1714" s="9"/>
      <c r="E1714" s="9">
        <v>860</v>
      </c>
      <c r="F1714" s="10" t="s">
        <v>1066</v>
      </c>
      <c r="G1714" s="9">
        <v>5500</v>
      </c>
      <c r="H1714" s="9">
        <v>1955</v>
      </c>
      <c r="I1714" s="8">
        <v>596.72699999999998</v>
      </c>
      <c r="J1714" s="8">
        <v>352.37099999999998</v>
      </c>
      <c r="K1714" s="8">
        <v>296.87099999999998</v>
      </c>
      <c r="L1714" s="8">
        <v>342.57400000000001</v>
      </c>
      <c r="M1714" s="8">
        <v>326.62700000000001</v>
      </c>
      <c r="N1714" s="8">
        <v>345.84899999999999</v>
      </c>
      <c r="O1714" s="8">
        <v>187.911</v>
      </c>
      <c r="P1714" s="8">
        <v>115.901</v>
      </c>
      <c r="Q1714" s="8">
        <v>136.13499999999999</v>
      </c>
      <c r="R1714" s="8">
        <v>143.88900000000001</v>
      </c>
      <c r="S1714" s="8">
        <v>159.114</v>
      </c>
      <c r="T1714" s="8">
        <v>153.773</v>
      </c>
      <c r="U1714" s="8">
        <v>110.386</v>
      </c>
      <c r="V1714" s="8">
        <v>92.685000000000002</v>
      </c>
      <c r="W1714" s="8">
        <v>63.838999999999999</v>
      </c>
      <c r="X1714" s="8">
        <v>34.234999999999999</v>
      </c>
      <c r="Y1714" s="8">
        <v>15.497999999999999</v>
      </c>
      <c r="Z1714" s="8">
        <v>5.2450000000000001</v>
      </c>
      <c r="AA1714" s="8">
        <v>1.7849999999999999</v>
      </c>
      <c r="AB1714" s="8">
        <v>0.40799999999999997</v>
      </c>
      <c r="AC1714" s="8">
        <v>6.0999999999999999E-2</v>
      </c>
    </row>
    <row r="1715" spans="1:29" ht="11.65" x14ac:dyDescent="0.35">
      <c r="A1715" s="12">
        <v>1698</v>
      </c>
      <c r="B1715" s="10" t="s">
        <v>1015</v>
      </c>
      <c r="C1715" s="11" t="s">
        <v>1137</v>
      </c>
      <c r="D1715" s="9"/>
      <c r="E1715" s="9">
        <v>860</v>
      </c>
      <c r="F1715" s="10" t="s">
        <v>1066</v>
      </c>
      <c r="G1715" s="9">
        <v>5500</v>
      </c>
      <c r="H1715" s="9">
        <v>1960</v>
      </c>
      <c r="I1715" s="8">
        <v>768.66099999999994</v>
      </c>
      <c r="J1715" s="8">
        <v>585.61800000000005</v>
      </c>
      <c r="K1715" s="8">
        <v>355.375</v>
      </c>
      <c r="L1715" s="8">
        <v>299.93400000000003</v>
      </c>
      <c r="M1715" s="8">
        <v>343.74799999999999</v>
      </c>
      <c r="N1715" s="8">
        <v>326.14600000000002</v>
      </c>
      <c r="O1715" s="8">
        <v>341.83</v>
      </c>
      <c r="P1715" s="8">
        <v>185.51900000000001</v>
      </c>
      <c r="Q1715" s="8">
        <v>113.562</v>
      </c>
      <c r="R1715" s="8">
        <v>130.41399999999999</v>
      </c>
      <c r="S1715" s="8">
        <v>134.51300000000001</v>
      </c>
      <c r="T1715" s="8">
        <v>143.905</v>
      </c>
      <c r="U1715" s="8">
        <v>133.81700000000001</v>
      </c>
      <c r="V1715" s="8">
        <v>91.444999999999993</v>
      </c>
      <c r="W1715" s="8">
        <v>70.158000000000001</v>
      </c>
      <c r="X1715" s="8">
        <v>41.968000000000004</v>
      </c>
      <c r="Y1715" s="8">
        <v>17.824999999999999</v>
      </c>
      <c r="Z1715" s="8">
        <v>7.4429999999999996</v>
      </c>
      <c r="AA1715" s="8">
        <v>1.9450000000000001</v>
      </c>
      <c r="AB1715" s="8">
        <v>0.49299999999999999</v>
      </c>
      <c r="AC1715" s="8">
        <v>8.8999999999999996E-2</v>
      </c>
    </row>
    <row r="1716" spans="1:29" ht="11.65" x14ac:dyDescent="0.35">
      <c r="A1716" s="12">
        <v>1699</v>
      </c>
      <c r="B1716" s="10" t="s">
        <v>1015</v>
      </c>
      <c r="C1716" s="11" t="s">
        <v>1137</v>
      </c>
      <c r="D1716" s="9"/>
      <c r="E1716" s="9">
        <v>860</v>
      </c>
      <c r="F1716" s="10" t="s">
        <v>1066</v>
      </c>
      <c r="G1716" s="9">
        <v>5500</v>
      </c>
      <c r="H1716" s="9">
        <v>1965</v>
      </c>
      <c r="I1716" s="8">
        <v>935.41399999999999</v>
      </c>
      <c r="J1716" s="8">
        <v>770.19</v>
      </c>
      <c r="K1716" s="8">
        <v>567.529</v>
      </c>
      <c r="L1716" s="8">
        <v>344.64600000000002</v>
      </c>
      <c r="M1716" s="8">
        <v>299.06200000000001</v>
      </c>
      <c r="N1716" s="8">
        <v>366.608</v>
      </c>
      <c r="O1716" s="8">
        <v>321.92700000000002</v>
      </c>
      <c r="P1716" s="8">
        <v>330.28699999999998</v>
      </c>
      <c r="Q1716" s="8">
        <v>180.52199999999999</v>
      </c>
      <c r="R1716" s="8">
        <v>110.297</v>
      </c>
      <c r="S1716" s="8">
        <v>127.878</v>
      </c>
      <c r="T1716" s="8">
        <v>134.01400000000001</v>
      </c>
      <c r="U1716" s="8">
        <v>135.56100000000001</v>
      </c>
      <c r="V1716" s="8">
        <v>110.923</v>
      </c>
      <c r="W1716" s="8">
        <v>70.45</v>
      </c>
      <c r="X1716" s="8">
        <v>48.51</v>
      </c>
      <c r="Y1716" s="8">
        <v>24.361999999999998</v>
      </c>
      <c r="Z1716" s="8">
        <v>8.8670000000000009</v>
      </c>
      <c r="AA1716" s="8">
        <v>2.871</v>
      </c>
      <c r="AB1716" s="8">
        <v>0.56100000000000005</v>
      </c>
      <c r="AC1716" s="8">
        <v>0.115</v>
      </c>
    </row>
    <row r="1717" spans="1:29" ht="11.65" x14ac:dyDescent="0.35">
      <c r="A1717" s="12">
        <v>1700</v>
      </c>
      <c r="B1717" s="10" t="s">
        <v>1015</v>
      </c>
      <c r="C1717" s="11" t="s">
        <v>1137</v>
      </c>
      <c r="D1717" s="9"/>
      <c r="E1717" s="9">
        <v>860</v>
      </c>
      <c r="F1717" s="10" t="s">
        <v>1066</v>
      </c>
      <c r="G1717" s="9">
        <v>5500</v>
      </c>
      <c r="H1717" s="9">
        <v>1970</v>
      </c>
      <c r="I1717" s="8">
        <v>995.64400000000001</v>
      </c>
      <c r="J1717" s="8">
        <v>960.44799999999998</v>
      </c>
      <c r="K1717" s="8">
        <v>813.779</v>
      </c>
      <c r="L1717" s="8">
        <v>563.79100000000005</v>
      </c>
      <c r="M1717" s="8">
        <v>341.084</v>
      </c>
      <c r="N1717" s="8">
        <v>305.79000000000002</v>
      </c>
      <c r="O1717" s="8">
        <v>400.73099999999999</v>
      </c>
      <c r="P1717" s="8">
        <v>325.125</v>
      </c>
      <c r="Q1717" s="8">
        <v>322.98200000000003</v>
      </c>
      <c r="R1717" s="8">
        <v>177.64699999999999</v>
      </c>
      <c r="S1717" s="8">
        <v>107.889</v>
      </c>
      <c r="T1717" s="8">
        <v>125.229</v>
      </c>
      <c r="U1717" s="8">
        <v>132.59800000000001</v>
      </c>
      <c r="V1717" s="8">
        <v>125.624</v>
      </c>
      <c r="W1717" s="8">
        <v>86.32</v>
      </c>
      <c r="X1717" s="8">
        <v>48.305</v>
      </c>
      <c r="Y1717" s="8">
        <v>26.173999999999999</v>
      </c>
      <c r="Z1717" s="8">
        <v>12.331</v>
      </c>
      <c r="AA1717" s="8">
        <v>3.4910000000000001</v>
      </c>
      <c r="AB1717" s="8">
        <v>0.84599999999999997</v>
      </c>
      <c r="AC1717" s="8">
        <v>0.13500000000000001</v>
      </c>
    </row>
    <row r="1718" spans="1:29" ht="11.65" x14ac:dyDescent="0.35">
      <c r="A1718" s="12">
        <v>1701</v>
      </c>
      <c r="B1718" s="10" t="s">
        <v>1015</v>
      </c>
      <c r="C1718" s="11" t="s">
        <v>1137</v>
      </c>
      <c r="D1718" s="9"/>
      <c r="E1718" s="9">
        <v>860</v>
      </c>
      <c r="F1718" s="10" t="s">
        <v>1066</v>
      </c>
      <c r="G1718" s="9">
        <v>5500</v>
      </c>
      <c r="H1718" s="9">
        <v>1975</v>
      </c>
      <c r="I1718" s="8">
        <v>1091.029</v>
      </c>
      <c r="J1718" s="8">
        <v>973.51400000000001</v>
      </c>
      <c r="K1718" s="8">
        <v>957.19200000000001</v>
      </c>
      <c r="L1718" s="8">
        <v>795.74400000000003</v>
      </c>
      <c r="M1718" s="8">
        <v>585.72299999999996</v>
      </c>
      <c r="N1718" s="8">
        <v>343.84199999999998</v>
      </c>
      <c r="O1718" s="8">
        <v>310.23399999999998</v>
      </c>
      <c r="P1718" s="8">
        <v>387.76499999999999</v>
      </c>
      <c r="Q1718" s="8">
        <v>316.04599999999999</v>
      </c>
      <c r="R1718" s="8">
        <v>309.39499999999998</v>
      </c>
      <c r="S1718" s="8">
        <v>167.84800000000001</v>
      </c>
      <c r="T1718" s="8">
        <v>102.54300000000001</v>
      </c>
      <c r="U1718" s="8">
        <v>114.529</v>
      </c>
      <c r="V1718" s="8">
        <v>111.553</v>
      </c>
      <c r="W1718" s="8">
        <v>102.07</v>
      </c>
      <c r="X1718" s="8">
        <v>59.006</v>
      </c>
      <c r="Y1718" s="8">
        <v>29.117000000000001</v>
      </c>
      <c r="Z1718" s="8">
        <v>13.29</v>
      </c>
      <c r="AA1718" s="8">
        <v>4.8650000000000002</v>
      </c>
      <c r="AB1718" s="8">
        <v>1.026</v>
      </c>
      <c r="AC1718" s="8">
        <v>0.19400000000000001</v>
      </c>
    </row>
    <row r="1719" spans="1:29" ht="11.65" x14ac:dyDescent="0.35">
      <c r="A1719" s="12">
        <v>1702</v>
      </c>
      <c r="B1719" s="10" t="s">
        <v>1015</v>
      </c>
      <c r="C1719" s="11" t="s">
        <v>1137</v>
      </c>
      <c r="D1719" s="9"/>
      <c r="E1719" s="9">
        <v>860</v>
      </c>
      <c r="F1719" s="10" t="s">
        <v>1066</v>
      </c>
      <c r="G1719" s="9">
        <v>5500</v>
      </c>
      <c r="H1719" s="9">
        <v>1980</v>
      </c>
      <c r="I1719" s="8">
        <v>1234.3969999999999</v>
      </c>
      <c r="J1719" s="8">
        <v>1071.6210000000001</v>
      </c>
      <c r="K1719" s="8">
        <v>971.28499999999997</v>
      </c>
      <c r="L1719" s="8">
        <v>956.45</v>
      </c>
      <c r="M1719" s="8">
        <v>775.79399999999998</v>
      </c>
      <c r="N1719" s="8">
        <v>605.98800000000006</v>
      </c>
      <c r="O1719" s="8">
        <v>345.88900000000001</v>
      </c>
      <c r="P1719" s="8">
        <v>313.803</v>
      </c>
      <c r="Q1719" s="8">
        <v>372.94299999999998</v>
      </c>
      <c r="R1719" s="8">
        <v>304.2</v>
      </c>
      <c r="S1719" s="8">
        <v>291.88200000000001</v>
      </c>
      <c r="T1719" s="8">
        <v>155.11699999999999</v>
      </c>
      <c r="U1719" s="8">
        <v>94.593999999999994</v>
      </c>
      <c r="V1719" s="8">
        <v>100.145</v>
      </c>
      <c r="W1719" s="8">
        <v>87.174999999999997</v>
      </c>
      <c r="X1719" s="8">
        <v>75.807000000000002</v>
      </c>
      <c r="Y1719" s="8">
        <v>34.363</v>
      </c>
      <c r="Z1719" s="8">
        <v>14.865</v>
      </c>
      <c r="AA1719" s="8">
        <v>5.2779999999999996</v>
      </c>
      <c r="AB1719" s="8">
        <v>1.4359999999999999</v>
      </c>
      <c r="AC1719" s="8">
        <v>0.24099999999999999</v>
      </c>
    </row>
    <row r="1720" spans="1:29" ht="11.65" x14ac:dyDescent="0.35">
      <c r="A1720" s="12">
        <v>1703</v>
      </c>
      <c r="B1720" s="10" t="s">
        <v>1015</v>
      </c>
      <c r="C1720" s="11" t="s">
        <v>1137</v>
      </c>
      <c r="D1720" s="9"/>
      <c r="E1720" s="9">
        <v>860</v>
      </c>
      <c r="F1720" s="10" t="s">
        <v>1066</v>
      </c>
      <c r="G1720" s="9">
        <v>5500</v>
      </c>
      <c r="H1720" s="9">
        <v>1985</v>
      </c>
      <c r="I1720" s="8">
        <v>1431.557</v>
      </c>
      <c r="J1720" s="8">
        <v>1200.1849999999999</v>
      </c>
      <c r="K1720" s="8">
        <v>1061.2539999999999</v>
      </c>
      <c r="L1720" s="8">
        <v>942.05899999999997</v>
      </c>
      <c r="M1720" s="8">
        <v>939.53</v>
      </c>
      <c r="N1720" s="8">
        <v>767.06600000000003</v>
      </c>
      <c r="O1720" s="8">
        <v>591.28499999999997</v>
      </c>
      <c r="P1720" s="8">
        <v>331.11700000000002</v>
      </c>
      <c r="Q1720" s="8">
        <v>306.09500000000003</v>
      </c>
      <c r="R1720" s="8">
        <v>352.97</v>
      </c>
      <c r="S1720" s="8">
        <v>286.25900000000001</v>
      </c>
      <c r="T1720" s="8">
        <v>272.31799999999998</v>
      </c>
      <c r="U1720" s="8">
        <v>137.69300000000001</v>
      </c>
      <c r="V1720" s="8">
        <v>80.016000000000005</v>
      </c>
      <c r="W1720" s="8">
        <v>79.415999999999997</v>
      </c>
      <c r="X1720" s="8">
        <v>62.484999999999999</v>
      </c>
      <c r="Y1720" s="8">
        <v>46.616</v>
      </c>
      <c r="Z1720" s="8">
        <v>17.875</v>
      </c>
      <c r="AA1720" s="8">
        <v>6.0529999999999999</v>
      </c>
      <c r="AB1720" s="8">
        <v>1.6020000000000001</v>
      </c>
      <c r="AC1720" s="8">
        <v>0.33800000000000002</v>
      </c>
    </row>
    <row r="1721" spans="1:29" ht="11.65" x14ac:dyDescent="0.35">
      <c r="A1721" s="12">
        <v>1704</v>
      </c>
      <c r="B1721" s="10" t="s">
        <v>1015</v>
      </c>
      <c r="C1721" s="11" t="s">
        <v>1137</v>
      </c>
      <c r="D1721" s="9"/>
      <c r="E1721" s="9">
        <v>860</v>
      </c>
      <c r="F1721" s="10" t="s">
        <v>1066</v>
      </c>
      <c r="G1721" s="9">
        <v>5500</v>
      </c>
      <c r="H1721" s="9">
        <v>1990</v>
      </c>
      <c r="I1721" s="8">
        <v>1631.546</v>
      </c>
      <c r="J1721" s="8">
        <v>1387.192</v>
      </c>
      <c r="K1721" s="8">
        <v>1191.6669999999999</v>
      </c>
      <c r="L1721" s="8">
        <v>1042.652</v>
      </c>
      <c r="M1721" s="8">
        <v>899.87400000000002</v>
      </c>
      <c r="N1721" s="8">
        <v>888.101</v>
      </c>
      <c r="O1721" s="8">
        <v>746.73699999999997</v>
      </c>
      <c r="P1721" s="8">
        <v>571.44799999999998</v>
      </c>
      <c r="Q1721" s="8">
        <v>312.98599999999999</v>
      </c>
      <c r="R1721" s="8">
        <v>292.14699999999999</v>
      </c>
      <c r="S1721" s="8">
        <v>327.03100000000001</v>
      </c>
      <c r="T1721" s="8">
        <v>259.95</v>
      </c>
      <c r="U1721" s="8">
        <v>239.80699999999999</v>
      </c>
      <c r="V1721" s="8">
        <v>113.89400000000001</v>
      </c>
      <c r="W1721" s="8">
        <v>61.451000000000001</v>
      </c>
      <c r="X1721" s="8">
        <v>54.991</v>
      </c>
      <c r="Y1721" s="8">
        <v>35.177</v>
      </c>
      <c r="Z1721" s="8">
        <v>24.603000000000002</v>
      </c>
      <c r="AA1721" s="8">
        <v>7.415</v>
      </c>
      <c r="AB1721" s="8">
        <v>1.87</v>
      </c>
      <c r="AC1721" s="8">
        <v>0.39400000000000002</v>
      </c>
    </row>
    <row r="1722" spans="1:29" ht="11.65" x14ac:dyDescent="0.35">
      <c r="A1722" s="12">
        <v>1705</v>
      </c>
      <c r="B1722" s="10" t="s">
        <v>1015</v>
      </c>
      <c r="C1722" s="11" t="s">
        <v>1137</v>
      </c>
      <c r="D1722" s="9"/>
      <c r="E1722" s="9">
        <v>860</v>
      </c>
      <c r="F1722" s="10" t="s">
        <v>1066</v>
      </c>
      <c r="G1722" s="9">
        <v>5500</v>
      </c>
      <c r="H1722" s="9">
        <v>1995</v>
      </c>
      <c r="I1722" s="8">
        <v>1686.037</v>
      </c>
      <c r="J1722" s="8">
        <v>1604.9069999999999</v>
      </c>
      <c r="K1722" s="8">
        <v>1377.912</v>
      </c>
      <c r="L1722" s="8">
        <v>1169.4870000000001</v>
      </c>
      <c r="M1722" s="8">
        <v>1010.471</v>
      </c>
      <c r="N1722" s="8">
        <v>867.59699999999998</v>
      </c>
      <c r="O1722" s="8">
        <v>855.48800000000006</v>
      </c>
      <c r="P1722" s="8">
        <v>719.97900000000004</v>
      </c>
      <c r="Q1722" s="8">
        <v>548.16499999999996</v>
      </c>
      <c r="R1722" s="8">
        <v>295.07</v>
      </c>
      <c r="S1722" s="8">
        <v>272.38499999999999</v>
      </c>
      <c r="T1722" s="8">
        <v>299.327</v>
      </c>
      <c r="U1722" s="8">
        <v>229.946</v>
      </c>
      <c r="V1722" s="8">
        <v>201.86099999999999</v>
      </c>
      <c r="W1722" s="8">
        <v>88.68</v>
      </c>
      <c r="X1722" s="8">
        <v>42.884999999999998</v>
      </c>
      <c r="Y1722" s="8">
        <v>33.213000000000001</v>
      </c>
      <c r="Z1722" s="8">
        <v>17.638999999999999</v>
      </c>
      <c r="AA1722" s="8">
        <v>9.516</v>
      </c>
      <c r="AB1722" s="8">
        <v>2</v>
      </c>
      <c r="AC1722" s="8">
        <v>0.35899999999999999</v>
      </c>
    </row>
    <row r="1723" spans="1:29" ht="11.65" x14ac:dyDescent="0.35">
      <c r="A1723" s="12">
        <v>1706</v>
      </c>
      <c r="B1723" s="10" t="s">
        <v>1015</v>
      </c>
      <c r="C1723" s="11" t="s">
        <v>1137</v>
      </c>
      <c r="D1723" s="9"/>
      <c r="E1723" s="9">
        <v>860</v>
      </c>
      <c r="F1723" s="10" t="s">
        <v>1066</v>
      </c>
      <c r="G1723" s="9">
        <v>5500</v>
      </c>
      <c r="H1723" s="9">
        <v>2000</v>
      </c>
      <c r="I1723" s="8">
        <v>1457.9659999999999</v>
      </c>
      <c r="J1723" s="8">
        <v>1662.7729999999999</v>
      </c>
      <c r="K1723" s="8">
        <v>1596.3140000000001</v>
      </c>
      <c r="L1723" s="8">
        <v>1355.54</v>
      </c>
      <c r="M1723" s="8">
        <v>1131.402</v>
      </c>
      <c r="N1723" s="8">
        <v>976.40599999999995</v>
      </c>
      <c r="O1723" s="8">
        <v>839.42</v>
      </c>
      <c r="P1723" s="8">
        <v>825.95699999999999</v>
      </c>
      <c r="Q1723" s="8">
        <v>692.84900000000005</v>
      </c>
      <c r="R1723" s="8">
        <v>522.37800000000004</v>
      </c>
      <c r="S1723" s="8">
        <v>275.49400000000003</v>
      </c>
      <c r="T1723" s="8">
        <v>249.238</v>
      </c>
      <c r="U1723" s="8">
        <v>265.64100000000002</v>
      </c>
      <c r="V1723" s="8">
        <v>193.87899999999999</v>
      </c>
      <c r="W1723" s="8">
        <v>157.91499999999999</v>
      </c>
      <c r="X1723" s="8">
        <v>62.003999999999998</v>
      </c>
      <c r="Y1723" s="8">
        <v>25.670999999999999</v>
      </c>
      <c r="Z1723" s="8">
        <v>16.513000000000002</v>
      </c>
      <c r="AA1723" s="8">
        <v>6.6989999999999998</v>
      </c>
      <c r="AB1723" s="8">
        <v>2.5550000000000002</v>
      </c>
      <c r="AC1723" s="8">
        <v>0.39400000000000002</v>
      </c>
    </row>
    <row r="1724" spans="1:29" ht="11.65" x14ac:dyDescent="0.35">
      <c r="A1724" s="12">
        <v>1707</v>
      </c>
      <c r="B1724" s="10" t="s">
        <v>1015</v>
      </c>
      <c r="C1724" s="11" t="s">
        <v>1137</v>
      </c>
      <c r="D1724" s="9"/>
      <c r="E1724" s="9">
        <v>860</v>
      </c>
      <c r="F1724" s="10" t="s">
        <v>1066</v>
      </c>
      <c r="G1724" s="9">
        <v>5500</v>
      </c>
      <c r="H1724" s="9">
        <v>2005</v>
      </c>
      <c r="I1724" s="8">
        <v>1315.1980000000001</v>
      </c>
      <c r="J1724" s="8">
        <v>1442.405</v>
      </c>
      <c r="K1724" s="8">
        <v>1655.605</v>
      </c>
      <c r="L1724" s="8">
        <v>1574.2170000000001</v>
      </c>
      <c r="M1724" s="8">
        <v>1317.114</v>
      </c>
      <c r="N1724" s="8">
        <v>1092.037</v>
      </c>
      <c r="O1724" s="8">
        <v>947.51599999999996</v>
      </c>
      <c r="P1724" s="8">
        <v>816.32399999999996</v>
      </c>
      <c r="Q1724" s="8">
        <v>799.01099999999997</v>
      </c>
      <c r="R1724" s="8">
        <v>667.327</v>
      </c>
      <c r="S1724" s="8">
        <v>492.88600000000002</v>
      </c>
      <c r="T1724" s="8">
        <v>251.10499999999999</v>
      </c>
      <c r="U1724" s="8">
        <v>219.33699999999999</v>
      </c>
      <c r="V1724" s="8">
        <v>222.49600000000001</v>
      </c>
      <c r="W1724" s="8">
        <v>150.00899999999999</v>
      </c>
      <c r="X1724" s="8">
        <v>109.43300000000001</v>
      </c>
      <c r="Y1724" s="8">
        <v>37.085999999999999</v>
      </c>
      <c r="Z1724" s="8">
        <v>12.766999999999999</v>
      </c>
      <c r="AA1724" s="8">
        <v>6.274</v>
      </c>
      <c r="AB1724" s="8">
        <v>1.7969999999999999</v>
      </c>
      <c r="AC1724" s="8">
        <v>0.49199999999999999</v>
      </c>
    </row>
    <row r="1725" spans="1:29" ht="11.65" x14ac:dyDescent="0.35">
      <c r="A1725" s="12">
        <v>1708</v>
      </c>
      <c r="B1725" s="10" t="s">
        <v>1015</v>
      </c>
      <c r="C1725" s="11" t="s">
        <v>1137</v>
      </c>
      <c r="D1725" s="9"/>
      <c r="E1725" s="9">
        <v>860</v>
      </c>
      <c r="F1725" s="10" t="s">
        <v>1066</v>
      </c>
      <c r="G1725" s="9">
        <v>5500</v>
      </c>
      <c r="H1725" s="9">
        <v>2010</v>
      </c>
      <c r="I1725" s="8">
        <v>1512.462</v>
      </c>
      <c r="J1725" s="8">
        <v>1305.248</v>
      </c>
      <c r="K1725" s="8">
        <v>1437.9259999999999</v>
      </c>
      <c r="L1725" s="8">
        <v>1643.865</v>
      </c>
      <c r="M1725" s="8">
        <v>1555.0450000000001</v>
      </c>
      <c r="N1725" s="8">
        <v>1296.434</v>
      </c>
      <c r="O1725" s="8">
        <v>1071.5450000000001</v>
      </c>
      <c r="P1725" s="8">
        <v>927.66700000000003</v>
      </c>
      <c r="Q1725" s="8">
        <v>796.64499999999998</v>
      </c>
      <c r="R1725" s="8">
        <v>772.07899999999995</v>
      </c>
      <c r="S1725" s="8">
        <v>635.01300000000003</v>
      </c>
      <c r="T1725" s="8">
        <v>455.74</v>
      </c>
      <c r="U1725" s="8">
        <v>221.38200000000001</v>
      </c>
      <c r="V1725" s="8">
        <v>183.18299999999999</v>
      </c>
      <c r="W1725" s="8">
        <v>172.52799999999999</v>
      </c>
      <c r="X1725" s="8">
        <v>103.863</v>
      </c>
      <c r="Y1725" s="8">
        <v>66.212000000000003</v>
      </c>
      <c r="Z1725" s="8">
        <v>18.459</v>
      </c>
      <c r="AA1725" s="8">
        <v>4.8499999999999996</v>
      </c>
      <c r="AB1725" s="8">
        <v>1.6890000000000001</v>
      </c>
      <c r="AC1725" s="8">
        <v>0.374</v>
      </c>
    </row>
    <row r="1726" spans="1:29" ht="11.65" x14ac:dyDescent="0.35">
      <c r="A1726" s="12">
        <v>1709</v>
      </c>
      <c r="B1726" s="10" t="s">
        <v>1015</v>
      </c>
      <c r="C1726" s="11" t="s">
        <v>1137</v>
      </c>
      <c r="D1726" s="9"/>
      <c r="E1726" s="9">
        <v>860</v>
      </c>
      <c r="F1726" s="10" t="s">
        <v>1066</v>
      </c>
      <c r="G1726" s="9">
        <v>5500</v>
      </c>
      <c r="H1726" s="9">
        <v>2015</v>
      </c>
      <c r="I1726" s="8">
        <v>1690.845</v>
      </c>
      <c r="J1726" s="8">
        <v>1503.481</v>
      </c>
      <c r="K1726" s="8">
        <v>1301.8330000000001</v>
      </c>
      <c r="L1726" s="8">
        <v>1429.8140000000001</v>
      </c>
      <c r="M1726" s="8">
        <v>1629.1980000000001</v>
      </c>
      <c r="N1726" s="8">
        <v>1538.3119999999999</v>
      </c>
      <c r="O1726" s="8">
        <v>1280.03</v>
      </c>
      <c r="P1726" s="8">
        <v>1055.336</v>
      </c>
      <c r="Q1726" s="8">
        <v>910.31799999999998</v>
      </c>
      <c r="R1726" s="8">
        <v>775.56100000000004</v>
      </c>
      <c r="S1726" s="8">
        <v>743.35500000000002</v>
      </c>
      <c r="T1726" s="8">
        <v>598.29999999999995</v>
      </c>
      <c r="U1726" s="8">
        <v>412.70400000000001</v>
      </c>
      <c r="V1726" s="8">
        <v>188.75399999999999</v>
      </c>
      <c r="W1726" s="8">
        <v>143.09200000000001</v>
      </c>
      <c r="X1726" s="8">
        <v>116.68600000000001</v>
      </c>
      <c r="Y1726" s="8">
        <v>56.667999999999999</v>
      </c>
      <c r="Z1726" s="8">
        <v>26.707999999999998</v>
      </c>
      <c r="AA1726" s="8">
        <v>4.883</v>
      </c>
      <c r="AB1726" s="8">
        <v>0.76700000000000002</v>
      </c>
      <c r="AC1726" s="8">
        <v>0.188</v>
      </c>
    </row>
    <row r="1727" spans="1:29" ht="11.65" x14ac:dyDescent="0.35">
      <c r="A1727" s="12">
        <v>1710</v>
      </c>
      <c r="B1727" s="10" t="s">
        <v>1015</v>
      </c>
      <c r="C1727" s="11" t="s">
        <v>1137</v>
      </c>
      <c r="D1727" s="9"/>
      <c r="E1727" s="9">
        <v>860</v>
      </c>
      <c r="F1727" s="10" t="s">
        <v>1066</v>
      </c>
      <c r="G1727" s="9">
        <v>5500</v>
      </c>
      <c r="H1727" s="9">
        <v>2020</v>
      </c>
      <c r="I1727" s="8">
        <v>1766.87</v>
      </c>
      <c r="J1727" s="8">
        <v>1683.922</v>
      </c>
      <c r="K1727" s="8">
        <v>1500.617</v>
      </c>
      <c r="L1727" s="8">
        <v>1296.2170000000001</v>
      </c>
      <c r="M1727" s="8">
        <v>1419.6869999999999</v>
      </c>
      <c r="N1727" s="8">
        <v>1616.0050000000001</v>
      </c>
      <c r="O1727" s="8">
        <v>1523.58</v>
      </c>
      <c r="P1727" s="8">
        <v>1264.6079999999999</v>
      </c>
      <c r="Q1727" s="8">
        <v>1038.7190000000001</v>
      </c>
      <c r="R1727" s="8">
        <v>889.58299999999997</v>
      </c>
      <c r="S1727" s="8">
        <v>749.44200000000001</v>
      </c>
      <c r="T1727" s="8">
        <v>703.54700000000003</v>
      </c>
      <c r="U1727" s="8">
        <v>544.98500000000001</v>
      </c>
      <c r="V1727" s="8">
        <v>354.84399999999999</v>
      </c>
      <c r="W1727" s="8">
        <v>148.93</v>
      </c>
      <c r="X1727" s="8">
        <v>98.191000000000003</v>
      </c>
      <c r="Y1727" s="8">
        <v>65.17</v>
      </c>
      <c r="Z1727" s="8">
        <v>23.652000000000001</v>
      </c>
      <c r="AA1727" s="8">
        <v>7.43</v>
      </c>
      <c r="AB1727" s="8">
        <v>0.82499999999999996</v>
      </c>
      <c r="AC1727" s="8">
        <v>9.4E-2</v>
      </c>
    </row>
    <row r="1728" spans="1:29" ht="11.65" x14ac:dyDescent="0.35">
      <c r="A1728" s="23">
        <v>1711</v>
      </c>
      <c r="B1728" s="21" t="s">
        <v>1015</v>
      </c>
      <c r="C1728" s="29" t="s">
        <v>1138</v>
      </c>
      <c r="D1728" s="20"/>
      <c r="E1728" s="20">
        <v>5501</v>
      </c>
      <c r="F1728" s="21" t="s">
        <v>1065</v>
      </c>
      <c r="G1728" s="20">
        <v>921</v>
      </c>
      <c r="H1728" s="20">
        <v>1950</v>
      </c>
      <c r="I1728" s="19">
        <v>36700.133000000002</v>
      </c>
      <c r="J1728" s="19">
        <v>30505.219000000001</v>
      </c>
      <c r="K1728" s="19">
        <v>28203.29</v>
      </c>
      <c r="L1728" s="19">
        <v>25769.661</v>
      </c>
      <c r="M1728" s="19">
        <v>23331.933000000001</v>
      </c>
      <c r="N1728" s="19">
        <v>20692.349999999999</v>
      </c>
      <c r="O1728" s="19">
        <v>18138.493999999999</v>
      </c>
      <c r="P1728" s="19">
        <v>15733.566999999999</v>
      </c>
      <c r="Q1728" s="19">
        <v>13752.044</v>
      </c>
      <c r="R1728" s="19">
        <v>11270.433999999999</v>
      </c>
      <c r="S1728" s="19">
        <v>9424.8940000000002</v>
      </c>
      <c r="T1728" s="19">
        <v>6871.34</v>
      </c>
      <c r="U1728" s="19">
        <v>5646.5190000000002</v>
      </c>
      <c r="V1728" s="19">
        <v>3543.6109999999999</v>
      </c>
      <c r="W1728" s="19">
        <v>2670.0749999999998</v>
      </c>
      <c r="X1728" s="19">
        <v>1581.431</v>
      </c>
      <c r="Y1728" s="19">
        <v>719.01800000000003</v>
      </c>
      <c r="Z1728" s="19">
        <v>227.929</v>
      </c>
      <c r="AA1728" s="19">
        <v>48.265000000000001</v>
      </c>
      <c r="AB1728" s="19">
        <v>7.6280000000000001</v>
      </c>
      <c r="AC1728" s="19">
        <v>1.6E-2</v>
      </c>
    </row>
    <row r="1729" spans="1:29" ht="11.65" x14ac:dyDescent="0.35">
      <c r="A1729" s="23">
        <v>1712</v>
      </c>
      <c r="B1729" s="21" t="s">
        <v>1015</v>
      </c>
      <c r="C1729" s="29" t="s">
        <v>1138</v>
      </c>
      <c r="D1729" s="20"/>
      <c r="E1729" s="20">
        <v>5501</v>
      </c>
      <c r="F1729" s="21" t="s">
        <v>1065</v>
      </c>
      <c r="G1729" s="20">
        <v>921</v>
      </c>
      <c r="H1729" s="20">
        <v>1955</v>
      </c>
      <c r="I1729" s="19">
        <v>45022.618999999999</v>
      </c>
      <c r="J1729" s="19">
        <v>33546.430999999997</v>
      </c>
      <c r="K1729" s="19">
        <v>29402.957999999999</v>
      </c>
      <c r="L1729" s="19">
        <v>27242.781999999999</v>
      </c>
      <c r="M1729" s="19">
        <v>24618.436000000002</v>
      </c>
      <c r="N1729" s="19">
        <v>22133.350999999999</v>
      </c>
      <c r="O1729" s="19">
        <v>19558.445</v>
      </c>
      <c r="P1729" s="19">
        <v>17017.990000000002</v>
      </c>
      <c r="Q1729" s="19">
        <v>14598.796</v>
      </c>
      <c r="R1729" s="19">
        <v>12547.619000000001</v>
      </c>
      <c r="S1729" s="19">
        <v>10028.082</v>
      </c>
      <c r="T1729" s="19">
        <v>8084.1390000000001</v>
      </c>
      <c r="U1729" s="19">
        <v>5579.5630000000001</v>
      </c>
      <c r="V1729" s="19">
        <v>4216.8140000000003</v>
      </c>
      <c r="W1729" s="19">
        <v>2356.4810000000002</v>
      </c>
      <c r="X1729" s="19">
        <v>1493.212</v>
      </c>
      <c r="Y1729" s="19">
        <v>672.79899999999998</v>
      </c>
      <c r="Z1729" s="19">
        <v>202.75399999999999</v>
      </c>
      <c r="AA1729" s="19">
        <v>37.476999999999997</v>
      </c>
      <c r="AB1729" s="19">
        <v>5.4649999999999999</v>
      </c>
      <c r="AC1729" s="19">
        <v>0.624</v>
      </c>
    </row>
    <row r="1730" spans="1:29" ht="11.65" x14ac:dyDescent="0.35">
      <c r="A1730" s="23">
        <v>1713</v>
      </c>
      <c r="B1730" s="21" t="s">
        <v>1015</v>
      </c>
      <c r="C1730" s="29" t="s">
        <v>1138</v>
      </c>
      <c r="D1730" s="20"/>
      <c r="E1730" s="20">
        <v>5501</v>
      </c>
      <c r="F1730" s="21" t="s">
        <v>1065</v>
      </c>
      <c r="G1730" s="20">
        <v>921</v>
      </c>
      <c r="H1730" s="20">
        <v>1960</v>
      </c>
      <c r="I1730" s="19">
        <v>50118.909</v>
      </c>
      <c r="J1730" s="19">
        <v>41631.482000000004</v>
      </c>
      <c r="K1730" s="19">
        <v>32519.627</v>
      </c>
      <c r="L1730" s="19">
        <v>28571.800999999999</v>
      </c>
      <c r="M1730" s="19">
        <v>26233.690999999999</v>
      </c>
      <c r="N1730" s="19">
        <v>23566.157999999999</v>
      </c>
      <c r="O1730" s="19">
        <v>21109.055</v>
      </c>
      <c r="P1730" s="19">
        <v>18527.198</v>
      </c>
      <c r="Q1730" s="19">
        <v>15947.594999999999</v>
      </c>
      <c r="R1730" s="19">
        <v>13462.804</v>
      </c>
      <c r="S1730" s="19">
        <v>11298.393</v>
      </c>
      <c r="T1730" s="19">
        <v>8742.7420000000002</v>
      </c>
      <c r="U1730" s="19">
        <v>6691.4129999999996</v>
      </c>
      <c r="V1730" s="19">
        <v>4275.8320000000003</v>
      </c>
      <c r="W1730" s="19">
        <v>2876.998</v>
      </c>
      <c r="X1730" s="19">
        <v>1363.9559999999999</v>
      </c>
      <c r="Y1730" s="19">
        <v>667.77800000000002</v>
      </c>
      <c r="Z1730" s="19">
        <v>201.53200000000001</v>
      </c>
      <c r="AA1730" s="19">
        <v>37.075000000000003</v>
      </c>
      <c r="AB1730" s="19">
        <v>4.8209999999999997</v>
      </c>
      <c r="AC1730" s="19">
        <v>0.54400000000000004</v>
      </c>
    </row>
    <row r="1731" spans="1:29" ht="11.65" x14ac:dyDescent="0.35">
      <c r="A1731" s="23">
        <v>1714</v>
      </c>
      <c r="B1731" s="21" t="s">
        <v>1015</v>
      </c>
      <c r="C1731" s="29" t="s">
        <v>1138</v>
      </c>
      <c r="D1731" s="20"/>
      <c r="E1731" s="20">
        <v>5501</v>
      </c>
      <c r="F1731" s="21" t="s">
        <v>1065</v>
      </c>
      <c r="G1731" s="20">
        <v>921</v>
      </c>
      <c r="H1731" s="20">
        <v>1965</v>
      </c>
      <c r="I1731" s="19">
        <v>55580.6</v>
      </c>
      <c r="J1731" s="19">
        <v>46753.597999999998</v>
      </c>
      <c r="K1731" s="19">
        <v>40521.267</v>
      </c>
      <c r="L1731" s="19">
        <v>31733.044999999998</v>
      </c>
      <c r="M1731" s="19">
        <v>27704.199000000001</v>
      </c>
      <c r="N1731" s="19">
        <v>25332.625</v>
      </c>
      <c r="O1731" s="19">
        <v>22684.404999999999</v>
      </c>
      <c r="P1731" s="19">
        <v>20186.534</v>
      </c>
      <c r="Q1731" s="19">
        <v>17537.385999999999</v>
      </c>
      <c r="R1731" s="19">
        <v>14853.433000000001</v>
      </c>
      <c r="S1731" s="19">
        <v>12250.694</v>
      </c>
      <c r="T1731" s="19">
        <v>9970.0920000000006</v>
      </c>
      <c r="U1731" s="19">
        <v>7348.9440000000004</v>
      </c>
      <c r="V1731" s="19">
        <v>5217.3500000000004</v>
      </c>
      <c r="W1731" s="19">
        <v>2984.7550000000001</v>
      </c>
      <c r="X1731" s="19">
        <v>1715.606</v>
      </c>
      <c r="Y1731" s="19">
        <v>637.22699999999998</v>
      </c>
      <c r="Z1731" s="19">
        <v>212.03100000000001</v>
      </c>
      <c r="AA1731" s="19">
        <v>38.843000000000004</v>
      </c>
      <c r="AB1731" s="19">
        <v>5.15</v>
      </c>
      <c r="AC1731" s="19">
        <v>0.51100000000000001</v>
      </c>
    </row>
    <row r="1732" spans="1:29" ht="11.65" x14ac:dyDescent="0.35">
      <c r="A1732" s="23">
        <v>1715</v>
      </c>
      <c r="B1732" s="21" t="s">
        <v>1015</v>
      </c>
      <c r="C1732" s="29" t="s">
        <v>1138</v>
      </c>
      <c r="D1732" s="20"/>
      <c r="E1732" s="20">
        <v>5501</v>
      </c>
      <c r="F1732" s="21" t="s">
        <v>1065</v>
      </c>
      <c r="G1732" s="20">
        <v>921</v>
      </c>
      <c r="H1732" s="20">
        <v>1970</v>
      </c>
      <c r="I1732" s="19">
        <v>60981.042000000001</v>
      </c>
      <c r="J1732" s="19">
        <v>52210.741000000002</v>
      </c>
      <c r="K1732" s="19">
        <v>45722.053</v>
      </c>
      <c r="L1732" s="19">
        <v>39752.256000000001</v>
      </c>
      <c r="M1732" s="19">
        <v>30980.544999999998</v>
      </c>
      <c r="N1732" s="19">
        <v>26959.296999999999</v>
      </c>
      <c r="O1732" s="19">
        <v>24586.754000000001</v>
      </c>
      <c r="P1732" s="19">
        <v>21891.967000000001</v>
      </c>
      <c r="Q1732" s="19">
        <v>19295.847000000002</v>
      </c>
      <c r="R1732" s="19">
        <v>16510.071</v>
      </c>
      <c r="S1732" s="19">
        <v>13672.183000000001</v>
      </c>
      <c r="T1732" s="19">
        <v>10943.433999999999</v>
      </c>
      <c r="U1732" s="19">
        <v>8486.0669999999991</v>
      </c>
      <c r="V1732" s="19">
        <v>5820.4260000000004</v>
      </c>
      <c r="W1732" s="19">
        <v>3718.3829999999998</v>
      </c>
      <c r="X1732" s="19">
        <v>1829.7460000000001</v>
      </c>
      <c r="Y1732" s="19">
        <v>834.37400000000002</v>
      </c>
      <c r="Z1732" s="19">
        <v>213.85300000000001</v>
      </c>
      <c r="AA1732" s="19">
        <v>43.115000000000002</v>
      </c>
      <c r="AB1732" s="19">
        <v>5.56</v>
      </c>
      <c r="AC1732" s="19">
        <v>0.54700000000000004</v>
      </c>
    </row>
    <row r="1733" spans="1:29" ht="11.65" x14ac:dyDescent="0.35">
      <c r="A1733" s="23">
        <v>1716</v>
      </c>
      <c r="B1733" s="21" t="s">
        <v>1015</v>
      </c>
      <c r="C1733" s="29" t="s">
        <v>1138</v>
      </c>
      <c r="D1733" s="20"/>
      <c r="E1733" s="20">
        <v>5501</v>
      </c>
      <c r="F1733" s="21" t="s">
        <v>1065</v>
      </c>
      <c r="G1733" s="20">
        <v>921</v>
      </c>
      <c r="H1733" s="20">
        <v>1975</v>
      </c>
      <c r="I1733" s="19">
        <v>66888.349000000002</v>
      </c>
      <c r="J1733" s="19">
        <v>57534.036</v>
      </c>
      <c r="K1733" s="19">
        <v>51246.438000000002</v>
      </c>
      <c r="L1733" s="19">
        <v>44697.377999999997</v>
      </c>
      <c r="M1733" s="19">
        <v>38622.519</v>
      </c>
      <c r="N1733" s="19">
        <v>30381.305</v>
      </c>
      <c r="O1733" s="19">
        <v>26517.685000000001</v>
      </c>
      <c r="P1733" s="19">
        <v>24027.538</v>
      </c>
      <c r="Q1733" s="19">
        <v>21181.242999999999</v>
      </c>
      <c r="R1733" s="19">
        <v>18396.669000000002</v>
      </c>
      <c r="S1733" s="19">
        <v>15415.834000000001</v>
      </c>
      <c r="T1733" s="19">
        <v>12388.512000000001</v>
      </c>
      <c r="U1733" s="19">
        <v>9448.4650000000001</v>
      </c>
      <c r="V1733" s="19">
        <v>6830.7669999999998</v>
      </c>
      <c r="W1733" s="19">
        <v>4238.433</v>
      </c>
      <c r="X1733" s="19">
        <v>2341.116</v>
      </c>
      <c r="Y1733" s="19">
        <v>921.78700000000003</v>
      </c>
      <c r="Z1733" s="19">
        <v>294.49099999999999</v>
      </c>
      <c r="AA1733" s="19">
        <v>46.554000000000002</v>
      </c>
      <c r="AB1733" s="19">
        <v>6.6580000000000004</v>
      </c>
      <c r="AC1733" s="19">
        <v>0.65500000000000003</v>
      </c>
    </row>
    <row r="1734" spans="1:29" ht="11.65" x14ac:dyDescent="0.35">
      <c r="A1734" s="23">
        <v>1717</v>
      </c>
      <c r="B1734" s="21" t="s">
        <v>1015</v>
      </c>
      <c r="C1734" s="29" t="s">
        <v>1138</v>
      </c>
      <c r="D1734" s="20"/>
      <c r="E1734" s="20">
        <v>5501</v>
      </c>
      <c r="F1734" s="21" t="s">
        <v>1065</v>
      </c>
      <c r="G1734" s="20">
        <v>921</v>
      </c>
      <c r="H1734" s="20">
        <v>1980</v>
      </c>
      <c r="I1734" s="19">
        <v>74561.815000000002</v>
      </c>
      <c r="J1734" s="19">
        <v>63847.527999999998</v>
      </c>
      <c r="K1734" s="19">
        <v>56725.036</v>
      </c>
      <c r="L1734" s="19">
        <v>50770.843000000001</v>
      </c>
      <c r="M1734" s="19">
        <v>44221.542999999998</v>
      </c>
      <c r="N1734" s="19">
        <v>38054.828000000001</v>
      </c>
      <c r="O1734" s="19">
        <v>29721.025000000001</v>
      </c>
      <c r="P1734" s="19">
        <v>25889.800999999999</v>
      </c>
      <c r="Q1734" s="19">
        <v>23292.331999999999</v>
      </c>
      <c r="R1734" s="19">
        <v>20214.796999999999</v>
      </c>
      <c r="S1734" s="19">
        <v>17225.357</v>
      </c>
      <c r="T1734" s="19">
        <v>14023.065000000001</v>
      </c>
      <c r="U1734" s="19">
        <v>10739.146000000001</v>
      </c>
      <c r="V1734" s="19">
        <v>7636.9080000000004</v>
      </c>
      <c r="W1734" s="19">
        <v>5012.9359999999997</v>
      </c>
      <c r="X1734" s="19">
        <v>2699.0839999999998</v>
      </c>
      <c r="Y1734" s="19">
        <v>1199.317</v>
      </c>
      <c r="Z1734" s="19">
        <v>334.22800000000001</v>
      </c>
      <c r="AA1734" s="19">
        <v>66.3</v>
      </c>
      <c r="AB1734" s="19">
        <v>7.633</v>
      </c>
      <c r="AC1734" s="19">
        <v>0.87</v>
      </c>
    </row>
    <row r="1735" spans="1:29" ht="11.65" x14ac:dyDescent="0.35">
      <c r="A1735" s="23">
        <v>1718</v>
      </c>
      <c r="B1735" s="21" t="s">
        <v>1015</v>
      </c>
      <c r="C1735" s="29" t="s">
        <v>1138</v>
      </c>
      <c r="D1735" s="20"/>
      <c r="E1735" s="20">
        <v>5501</v>
      </c>
      <c r="F1735" s="21" t="s">
        <v>1065</v>
      </c>
      <c r="G1735" s="20">
        <v>921</v>
      </c>
      <c r="H1735" s="20">
        <v>1985</v>
      </c>
      <c r="I1735" s="19">
        <v>84133.1</v>
      </c>
      <c r="J1735" s="19">
        <v>71673.548999999999</v>
      </c>
      <c r="K1735" s="19">
        <v>62997.587</v>
      </c>
      <c r="L1735" s="19">
        <v>56243.61</v>
      </c>
      <c r="M1735" s="19">
        <v>50141.057999999997</v>
      </c>
      <c r="N1735" s="19">
        <v>43641.587</v>
      </c>
      <c r="O1735" s="19">
        <v>37382.798000000003</v>
      </c>
      <c r="P1735" s="19">
        <v>29114.188999999998</v>
      </c>
      <c r="Q1735" s="19">
        <v>25095.288</v>
      </c>
      <c r="R1735" s="19">
        <v>22216.135999999999</v>
      </c>
      <c r="S1735" s="19">
        <v>18923.025000000001</v>
      </c>
      <c r="T1735" s="19">
        <v>15671.936</v>
      </c>
      <c r="U1735" s="19">
        <v>12172.136</v>
      </c>
      <c r="V1735" s="19">
        <v>8669.5020000000004</v>
      </c>
      <c r="W1735" s="19">
        <v>5616.0659999999998</v>
      </c>
      <c r="X1735" s="19">
        <v>3220.8589999999999</v>
      </c>
      <c r="Y1735" s="19">
        <v>1401.828</v>
      </c>
      <c r="Z1735" s="19">
        <v>442.48899999999998</v>
      </c>
      <c r="AA1735" s="19">
        <v>77.262</v>
      </c>
      <c r="AB1735" s="19">
        <v>11.237</v>
      </c>
      <c r="AC1735" s="19">
        <v>1.038</v>
      </c>
    </row>
    <row r="1736" spans="1:29" ht="11.65" x14ac:dyDescent="0.35">
      <c r="A1736" s="23">
        <v>1719</v>
      </c>
      <c r="B1736" s="21" t="s">
        <v>1015</v>
      </c>
      <c r="C1736" s="29" t="s">
        <v>1138</v>
      </c>
      <c r="D1736" s="20"/>
      <c r="E1736" s="20">
        <v>5501</v>
      </c>
      <c r="F1736" s="21" t="s">
        <v>1065</v>
      </c>
      <c r="G1736" s="20">
        <v>921</v>
      </c>
      <c r="H1736" s="20">
        <v>1990</v>
      </c>
      <c r="I1736" s="19">
        <v>89823.054000000004</v>
      </c>
      <c r="J1736" s="19">
        <v>81402.703999999998</v>
      </c>
      <c r="K1736" s="19">
        <v>71044.581000000006</v>
      </c>
      <c r="L1736" s="19">
        <v>62439.483</v>
      </c>
      <c r="M1736" s="19">
        <v>55471.345000000001</v>
      </c>
      <c r="N1736" s="19">
        <v>49289.862999999998</v>
      </c>
      <c r="O1736" s="19">
        <v>42842.703999999998</v>
      </c>
      <c r="P1736" s="19">
        <v>36637.748</v>
      </c>
      <c r="Q1736" s="19">
        <v>28358.803</v>
      </c>
      <c r="R1736" s="19">
        <v>24104.327000000001</v>
      </c>
      <c r="S1736" s="19">
        <v>20957.61</v>
      </c>
      <c r="T1736" s="19">
        <v>17403.876</v>
      </c>
      <c r="U1736" s="19">
        <v>13749.81</v>
      </c>
      <c r="V1736" s="19">
        <v>9925.8790000000008</v>
      </c>
      <c r="W1736" s="19">
        <v>6452.4520000000002</v>
      </c>
      <c r="X1736" s="19">
        <v>3663.4459999999999</v>
      </c>
      <c r="Y1736" s="19">
        <v>1697.2739999999999</v>
      </c>
      <c r="Z1736" s="19">
        <v>529.36300000000006</v>
      </c>
      <c r="AA1736" s="19">
        <v>105.086</v>
      </c>
      <c r="AB1736" s="19">
        <v>13.673999999999999</v>
      </c>
      <c r="AC1736" s="19">
        <v>1.603</v>
      </c>
    </row>
    <row r="1737" spans="1:29" ht="11.65" x14ac:dyDescent="0.35">
      <c r="A1737" s="23">
        <v>1720</v>
      </c>
      <c r="B1737" s="21" t="s">
        <v>1015</v>
      </c>
      <c r="C1737" s="29" t="s">
        <v>1138</v>
      </c>
      <c r="D1737" s="20"/>
      <c r="E1737" s="20">
        <v>5501</v>
      </c>
      <c r="F1737" s="21" t="s">
        <v>1065</v>
      </c>
      <c r="G1737" s="20">
        <v>921</v>
      </c>
      <c r="H1737" s="20">
        <v>1995</v>
      </c>
      <c r="I1737" s="19">
        <v>92618.703999999998</v>
      </c>
      <c r="J1737" s="19">
        <v>87733.464999999997</v>
      </c>
      <c r="K1737" s="19">
        <v>80817.391000000003</v>
      </c>
      <c r="L1737" s="19">
        <v>70462.001000000004</v>
      </c>
      <c r="M1737" s="19">
        <v>61623.745999999999</v>
      </c>
      <c r="N1737" s="19">
        <v>54626.866999999998</v>
      </c>
      <c r="O1737" s="19">
        <v>48477.8</v>
      </c>
      <c r="P1737" s="19">
        <v>42022.896999999997</v>
      </c>
      <c r="Q1737" s="19">
        <v>35729.044000000002</v>
      </c>
      <c r="R1737" s="19">
        <v>27374.241000000002</v>
      </c>
      <c r="S1737" s="19">
        <v>22873.552</v>
      </c>
      <c r="T1737" s="19">
        <v>19375.825000000001</v>
      </c>
      <c r="U1737" s="19">
        <v>15416.298000000001</v>
      </c>
      <c r="V1737" s="19">
        <v>11405.44</v>
      </c>
      <c r="W1737" s="19">
        <v>7548.2629999999999</v>
      </c>
      <c r="X1737" s="19">
        <v>4328.71</v>
      </c>
      <c r="Y1737" s="19">
        <v>2006.625</v>
      </c>
      <c r="Z1737" s="19">
        <v>676.56799999999998</v>
      </c>
      <c r="AA1737" s="19">
        <v>135.477</v>
      </c>
      <c r="AB1737" s="19">
        <v>19.725000000000001</v>
      </c>
      <c r="AC1737" s="19">
        <v>2.1560000000000001</v>
      </c>
    </row>
    <row r="1738" spans="1:29" ht="11.65" x14ac:dyDescent="0.35">
      <c r="A1738" s="23">
        <v>1721</v>
      </c>
      <c r="B1738" s="21" t="s">
        <v>1015</v>
      </c>
      <c r="C1738" s="29" t="s">
        <v>1138</v>
      </c>
      <c r="D1738" s="20"/>
      <c r="E1738" s="20">
        <v>5501</v>
      </c>
      <c r="F1738" s="21" t="s">
        <v>1065</v>
      </c>
      <c r="G1738" s="20">
        <v>921</v>
      </c>
      <c r="H1738" s="20">
        <v>2000</v>
      </c>
      <c r="I1738" s="19">
        <v>94943.422000000006</v>
      </c>
      <c r="J1738" s="19">
        <v>90603.156000000003</v>
      </c>
      <c r="K1738" s="19">
        <v>86940.34</v>
      </c>
      <c r="L1738" s="19">
        <v>80035.857999999993</v>
      </c>
      <c r="M1738" s="19">
        <v>69443.513999999996</v>
      </c>
      <c r="N1738" s="19">
        <v>60513.510999999999</v>
      </c>
      <c r="O1738" s="19">
        <v>53608.705000000002</v>
      </c>
      <c r="P1738" s="19">
        <v>47493.527000000002</v>
      </c>
      <c r="Q1738" s="19">
        <v>40973.01</v>
      </c>
      <c r="R1738" s="19">
        <v>34538.391000000003</v>
      </c>
      <c r="S1738" s="19">
        <v>26062.931</v>
      </c>
      <c r="T1738" s="19">
        <v>21254.793000000001</v>
      </c>
      <c r="U1738" s="19">
        <v>17305.22</v>
      </c>
      <c r="V1738" s="19">
        <v>12962.996999999999</v>
      </c>
      <c r="W1738" s="19">
        <v>8836.8549999999996</v>
      </c>
      <c r="X1738" s="19">
        <v>5210.1419999999998</v>
      </c>
      <c r="Y1738" s="19">
        <v>2471.91</v>
      </c>
      <c r="Z1738" s="19">
        <v>846.79</v>
      </c>
      <c r="AA1738" s="19">
        <v>186.66800000000001</v>
      </c>
      <c r="AB1738" s="19">
        <v>27.765000000000001</v>
      </c>
      <c r="AC1738" s="19">
        <v>3.4209999999999998</v>
      </c>
    </row>
    <row r="1739" spans="1:29" ht="11.65" x14ac:dyDescent="0.35">
      <c r="A1739" s="23">
        <v>1722</v>
      </c>
      <c r="B1739" s="21" t="s">
        <v>1015</v>
      </c>
      <c r="C1739" s="29" t="s">
        <v>1138</v>
      </c>
      <c r="D1739" s="20"/>
      <c r="E1739" s="20">
        <v>5501</v>
      </c>
      <c r="F1739" s="21" t="s">
        <v>1065</v>
      </c>
      <c r="G1739" s="20">
        <v>921</v>
      </c>
      <c r="H1739" s="20">
        <v>2005</v>
      </c>
      <c r="I1739" s="19">
        <v>96570.380999999994</v>
      </c>
      <c r="J1739" s="19">
        <v>93324.907999999996</v>
      </c>
      <c r="K1739" s="19">
        <v>89883.245999999999</v>
      </c>
      <c r="L1739" s="19">
        <v>85984.875</v>
      </c>
      <c r="M1739" s="19">
        <v>78655.653000000006</v>
      </c>
      <c r="N1739" s="19">
        <v>68058.915999999997</v>
      </c>
      <c r="O1739" s="19">
        <v>59397.177000000003</v>
      </c>
      <c r="P1739" s="19">
        <v>52648.631999999998</v>
      </c>
      <c r="Q1739" s="19">
        <v>46467.593999999997</v>
      </c>
      <c r="R1739" s="19">
        <v>39679.43</v>
      </c>
      <c r="S1739" s="19">
        <v>32894.983</v>
      </c>
      <c r="T1739" s="19">
        <v>24313.804</v>
      </c>
      <c r="U1739" s="19">
        <v>19146.718000000001</v>
      </c>
      <c r="V1739" s="19">
        <v>14735.036</v>
      </c>
      <c r="W1739" s="19">
        <v>10196.636</v>
      </c>
      <c r="X1739" s="19">
        <v>6219.5730000000003</v>
      </c>
      <c r="Y1739" s="19">
        <v>3058.1619999999998</v>
      </c>
      <c r="Z1739" s="19">
        <v>1086.0070000000001</v>
      </c>
      <c r="AA1739" s="19">
        <v>245.88300000000001</v>
      </c>
      <c r="AB1739" s="19">
        <v>40.179000000000002</v>
      </c>
      <c r="AC1739" s="19">
        <v>5.0579999999999998</v>
      </c>
    </row>
    <row r="1740" spans="1:29" ht="11.65" x14ac:dyDescent="0.35">
      <c r="A1740" s="23">
        <v>1723</v>
      </c>
      <c r="B1740" s="21" t="s">
        <v>1015</v>
      </c>
      <c r="C1740" s="29" t="s">
        <v>1138</v>
      </c>
      <c r="D1740" s="20"/>
      <c r="E1740" s="20">
        <v>5501</v>
      </c>
      <c r="F1740" s="21" t="s">
        <v>1065</v>
      </c>
      <c r="G1740" s="20">
        <v>921</v>
      </c>
      <c r="H1740" s="20">
        <v>2010</v>
      </c>
      <c r="I1740" s="19">
        <v>96006.544999999998</v>
      </c>
      <c r="J1740" s="19">
        <v>95220.373000000007</v>
      </c>
      <c r="K1740" s="19">
        <v>92635.191999999995</v>
      </c>
      <c r="L1740" s="19">
        <v>88719.356</v>
      </c>
      <c r="M1740" s="19">
        <v>84146.701000000001</v>
      </c>
      <c r="N1740" s="19">
        <v>76821.278000000006</v>
      </c>
      <c r="O1740" s="19">
        <v>66488.497000000003</v>
      </c>
      <c r="P1740" s="19">
        <v>57914.008000000002</v>
      </c>
      <c r="Q1740" s="19">
        <v>51189.116000000002</v>
      </c>
      <c r="R1740" s="19">
        <v>44819.588000000003</v>
      </c>
      <c r="S1740" s="19">
        <v>37793.712</v>
      </c>
      <c r="T1740" s="19">
        <v>30708.298999999999</v>
      </c>
      <c r="U1740" s="19">
        <v>21975.085999999999</v>
      </c>
      <c r="V1740" s="19">
        <v>16461.667000000001</v>
      </c>
      <c r="W1740" s="19">
        <v>11755.543</v>
      </c>
      <c r="X1740" s="19">
        <v>7275.2420000000002</v>
      </c>
      <c r="Y1740" s="19">
        <v>3727.1</v>
      </c>
      <c r="Z1740" s="19">
        <v>1390.6179999999999</v>
      </c>
      <c r="AA1740" s="19">
        <v>332.267</v>
      </c>
      <c r="AB1740" s="19">
        <v>56.33</v>
      </c>
      <c r="AC1740" s="19">
        <v>7.9969999999999999</v>
      </c>
    </row>
    <row r="1741" spans="1:29" ht="11.65" x14ac:dyDescent="0.35">
      <c r="A1741" s="23">
        <v>1724</v>
      </c>
      <c r="B1741" s="21" t="s">
        <v>1015</v>
      </c>
      <c r="C1741" s="29" t="s">
        <v>1138</v>
      </c>
      <c r="D1741" s="20"/>
      <c r="E1741" s="20">
        <v>5501</v>
      </c>
      <c r="F1741" s="21" t="s">
        <v>1065</v>
      </c>
      <c r="G1741" s="20">
        <v>921</v>
      </c>
      <c r="H1741" s="20">
        <v>2015</v>
      </c>
      <c r="I1741" s="19">
        <v>92043.115999999995</v>
      </c>
      <c r="J1741" s="19">
        <v>94907.686000000002</v>
      </c>
      <c r="K1741" s="19">
        <v>94545.337</v>
      </c>
      <c r="L1741" s="19">
        <v>91746.92</v>
      </c>
      <c r="M1741" s="19">
        <v>87283.918000000005</v>
      </c>
      <c r="N1741" s="19">
        <v>82424.38</v>
      </c>
      <c r="O1741" s="19">
        <v>75253.198999999993</v>
      </c>
      <c r="P1741" s="19">
        <v>64975.523999999998</v>
      </c>
      <c r="Q1741" s="19">
        <v>56496.815999999999</v>
      </c>
      <c r="R1741" s="19">
        <v>49629.671000000002</v>
      </c>
      <c r="S1741" s="19">
        <v>42901.597999999998</v>
      </c>
      <c r="T1741" s="19">
        <v>35507.055</v>
      </c>
      <c r="U1741" s="19">
        <v>27966.963</v>
      </c>
      <c r="V1741" s="19">
        <v>19114.600999999999</v>
      </c>
      <c r="W1741" s="19">
        <v>13338.048000000001</v>
      </c>
      <c r="X1741" s="19">
        <v>8554.5920000000006</v>
      </c>
      <c r="Y1741" s="19">
        <v>4591.3329999999996</v>
      </c>
      <c r="Z1741" s="19">
        <v>1788.1289999999999</v>
      </c>
      <c r="AA1741" s="19">
        <v>461.971</v>
      </c>
      <c r="AB1741" s="19">
        <v>84.772000000000006</v>
      </c>
      <c r="AC1741" s="19">
        <v>12.87</v>
      </c>
    </row>
    <row r="1742" spans="1:29" ht="11.65" x14ac:dyDescent="0.35">
      <c r="A1742" s="23">
        <v>1725</v>
      </c>
      <c r="B1742" s="21" t="s">
        <v>1015</v>
      </c>
      <c r="C1742" s="29" t="s">
        <v>1138</v>
      </c>
      <c r="D1742" s="20"/>
      <c r="E1742" s="20">
        <v>5501</v>
      </c>
      <c r="F1742" s="21" t="s">
        <v>1065</v>
      </c>
      <c r="G1742" s="20">
        <v>921</v>
      </c>
      <c r="H1742" s="20">
        <v>2020</v>
      </c>
      <c r="I1742" s="19">
        <v>92159.504000000001</v>
      </c>
      <c r="J1742" s="19">
        <v>91214.36</v>
      </c>
      <c r="K1742" s="19">
        <v>94391.585999999996</v>
      </c>
      <c r="L1742" s="19">
        <v>93781.402000000002</v>
      </c>
      <c r="M1742" s="19">
        <v>90523.570999999996</v>
      </c>
      <c r="N1742" s="19">
        <v>86033.036999999997</v>
      </c>
      <c r="O1742" s="19">
        <v>81263.104000000007</v>
      </c>
      <c r="P1742" s="19">
        <v>73953.293999999994</v>
      </c>
      <c r="Q1742" s="19">
        <v>63634.385999999999</v>
      </c>
      <c r="R1742" s="19">
        <v>54985.947</v>
      </c>
      <c r="S1742" s="19">
        <v>47742.771999999997</v>
      </c>
      <c r="T1742" s="19">
        <v>40448.805</v>
      </c>
      <c r="U1742" s="19">
        <v>32509.681</v>
      </c>
      <c r="V1742" s="19">
        <v>24553.32</v>
      </c>
      <c r="W1742" s="19">
        <v>15588.393</v>
      </c>
      <c r="X1742" s="19">
        <v>9728.723</v>
      </c>
      <c r="Y1742" s="19">
        <v>5306.0389999999998</v>
      </c>
      <c r="Z1742" s="19">
        <v>2221.6190000000001</v>
      </c>
      <c r="AA1742" s="19">
        <v>604.37400000000002</v>
      </c>
      <c r="AB1742" s="19">
        <v>121.223</v>
      </c>
      <c r="AC1742" s="19">
        <v>20.417000000000002</v>
      </c>
    </row>
    <row r="1743" spans="1:29" ht="11.65" x14ac:dyDescent="0.35">
      <c r="A1743" s="12">
        <v>1726</v>
      </c>
      <c r="B1743" s="10" t="s">
        <v>1015</v>
      </c>
      <c r="C1743" s="11" t="s">
        <v>1139</v>
      </c>
      <c r="D1743" s="9"/>
      <c r="E1743" s="9">
        <v>4</v>
      </c>
      <c r="F1743" s="10" t="s">
        <v>1066</v>
      </c>
      <c r="G1743" s="9">
        <v>5501</v>
      </c>
      <c r="H1743" s="9">
        <v>1950</v>
      </c>
      <c r="I1743" s="8">
        <v>630.04399999999998</v>
      </c>
      <c r="J1743" s="8">
        <v>516.20600000000002</v>
      </c>
      <c r="K1743" s="8">
        <v>461.37799999999999</v>
      </c>
      <c r="L1743" s="8">
        <v>414.36900000000003</v>
      </c>
      <c r="M1743" s="8">
        <v>374.10899999999998</v>
      </c>
      <c r="N1743" s="8">
        <v>321.31099999999998</v>
      </c>
      <c r="O1743" s="8">
        <v>276.279</v>
      </c>
      <c r="P1743" s="8">
        <v>236.792</v>
      </c>
      <c r="Q1743" s="8">
        <v>200.61600000000001</v>
      </c>
      <c r="R1743" s="8">
        <v>176.52500000000001</v>
      </c>
      <c r="S1743" s="8">
        <v>147.126</v>
      </c>
      <c r="T1743" s="8">
        <v>123.896</v>
      </c>
      <c r="U1743" s="8">
        <v>94.572000000000003</v>
      </c>
      <c r="V1743" s="8">
        <v>65.057000000000002</v>
      </c>
      <c r="W1743" s="8">
        <v>37.982999999999997</v>
      </c>
      <c r="X1743" s="8">
        <v>17.012</v>
      </c>
      <c r="Y1743" s="8">
        <v>5.0229999999999997</v>
      </c>
      <c r="Z1743" s="8">
        <v>0.86299999999999999</v>
      </c>
      <c r="AA1743" s="8">
        <v>7.8E-2</v>
      </c>
      <c r="AB1743" s="8">
        <v>4.0000000000000001E-3</v>
      </c>
      <c r="AC1743" s="8">
        <v>0</v>
      </c>
    </row>
    <row r="1744" spans="1:29" ht="11.65" x14ac:dyDescent="0.35">
      <c r="A1744" s="12">
        <v>1727</v>
      </c>
      <c r="B1744" s="10" t="s">
        <v>1015</v>
      </c>
      <c r="C1744" s="11" t="s">
        <v>1139</v>
      </c>
      <c r="D1744" s="9"/>
      <c r="E1744" s="9">
        <v>4</v>
      </c>
      <c r="F1744" s="10" t="s">
        <v>1066</v>
      </c>
      <c r="G1744" s="9">
        <v>5501</v>
      </c>
      <c r="H1744" s="9">
        <v>1955</v>
      </c>
      <c r="I1744" s="8">
        <v>685.79700000000003</v>
      </c>
      <c r="J1744" s="8">
        <v>540.97400000000005</v>
      </c>
      <c r="K1744" s="8">
        <v>497.50400000000002</v>
      </c>
      <c r="L1744" s="8">
        <v>441.67500000000001</v>
      </c>
      <c r="M1744" s="8">
        <v>388.11500000000001</v>
      </c>
      <c r="N1744" s="8">
        <v>345.81799999999998</v>
      </c>
      <c r="O1744" s="8">
        <v>294.28199999999998</v>
      </c>
      <c r="P1744" s="8">
        <v>249.21199999999999</v>
      </c>
      <c r="Q1744" s="8">
        <v>209.28899999999999</v>
      </c>
      <c r="R1744" s="8">
        <v>173.488</v>
      </c>
      <c r="S1744" s="8">
        <v>148.428</v>
      </c>
      <c r="T1744" s="8">
        <v>119.383</v>
      </c>
      <c r="U1744" s="8">
        <v>94.802000000000007</v>
      </c>
      <c r="V1744" s="8">
        <v>65.537000000000006</v>
      </c>
      <c r="W1744" s="8">
        <v>39.238</v>
      </c>
      <c r="X1744" s="8">
        <v>18.266999999999999</v>
      </c>
      <c r="Y1744" s="8">
        <v>5.8849999999999998</v>
      </c>
      <c r="Z1744" s="8">
        <v>1.131</v>
      </c>
      <c r="AA1744" s="8">
        <v>0.114</v>
      </c>
      <c r="AB1744" s="8">
        <v>6.0000000000000001E-3</v>
      </c>
      <c r="AC1744" s="8">
        <v>0</v>
      </c>
    </row>
    <row r="1745" spans="1:29" ht="11.65" x14ac:dyDescent="0.35">
      <c r="A1745" s="12">
        <v>1728</v>
      </c>
      <c r="B1745" s="10" t="s">
        <v>1015</v>
      </c>
      <c r="C1745" s="11" t="s">
        <v>1139</v>
      </c>
      <c r="D1745" s="9"/>
      <c r="E1745" s="9">
        <v>4</v>
      </c>
      <c r="F1745" s="10" t="s">
        <v>1066</v>
      </c>
      <c r="G1745" s="9">
        <v>5501</v>
      </c>
      <c r="H1745" s="9">
        <v>1960</v>
      </c>
      <c r="I1745" s="8">
        <v>780.47</v>
      </c>
      <c r="J1745" s="8">
        <v>598.721</v>
      </c>
      <c r="K1745" s="8">
        <v>523.12199999999996</v>
      </c>
      <c r="L1745" s="8">
        <v>478.07499999999999</v>
      </c>
      <c r="M1745" s="8">
        <v>415.97</v>
      </c>
      <c r="N1745" s="8">
        <v>361.15</v>
      </c>
      <c r="O1745" s="8">
        <v>319.21600000000001</v>
      </c>
      <c r="P1745" s="8">
        <v>267.88200000000001</v>
      </c>
      <c r="Q1745" s="8">
        <v>222.625</v>
      </c>
      <c r="R1745" s="8">
        <v>183.17400000000001</v>
      </c>
      <c r="S1745" s="8">
        <v>147.80099999999999</v>
      </c>
      <c r="T1745" s="8">
        <v>122.306</v>
      </c>
      <c r="U1745" s="8">
        <v>93.052999999999997</v>
      </c>
      <c r="V1745" s="8">
        <v>67.283000000000001</v>
      </c>
      <c r="W1745" s="8">
        <v>40.747999999999998</v>
      </c>
      <c r="X1745" s="8">
        <v>19.683</v>
      </c>
      <c r="Y1745" s="8">
        <v>6.6970000000000001</v>
      </c>
      <c r="Z1745" s="8">
        <v>1.4259999999999999</v>
      </c>
      <c r="AA1745" s="8">
        <v>0.16200000000000001</v>
      </c>
      <c r="AB1745" s="8">
        <v>8.9999999999999993E-3</v>
      </c>
      <c r="AC1745" s="8">
        <v>0</v>
      </c>
    </row>
    <row r="1746" spans="1:29" ht="11.65" x14ac:dyDescent="0.35">
      <c r="A1746" s="12">
        <v>1729</v>
      </c>
      <c r="B1746" s="10" t="s">
        <v>1015</v>
      </c>
      <c r="C1746" s="11" t="s">
        <v>1139</v>
      </c>
      <c r="D1746" s="9"/>
      <c r="E1746" s="9">
        <v>4</v>
      </c>
      <c r="F1746" s="10" t="s">
        <v>1066</v>
      </c>
      <c r="G1746" s="9">
        <v>5501</v>
      </c>
      <c r="H1746" s="9">
        <v>1965</v>
      </c>
      <c r="I1746" s="8">
        <v>897.92600000000004</v>
      </c>
      <c r="J1746" s="8">
        <v>691.77700000000004</v>
      </c>
      <c r="K1746" s="8">
        <v>580.78899999999999</v>
      </c>
      <c r="L1746" s="8">
        <v>504.43900000000002</v>
      </c>
      <c r="M1746" s="8">
        <v>452.63499999999999</v>
      </c>
      <c r="N1746" s="8">
        <v>389.56200000000001</v>
      </c>
      <c r="O1746" s="8">
        <v>335.76299999999998</v>
      </c>
      <c r="P1746" s="8">
        <v>293.11500000000001</v>
      </c>
      <c r="Q1746" s="8">
        <v>241.745</v>
      </c>
      <c r="R1746" s="8">
        <v>197.08500000000001</v>
      </c>
      <c r="S1746" s="8">
        <v>158.08500000000001</v>
      </c>
      <c r="T1746" s="8">
        <v>123.535</v>
      </c>
      <c r="U1746" s="8">
        <v>96.984999999999999</v>
      </c>
      <c r="V1746" s="8">
        <v>67.510000000000005</v>
      </c>
      <c r="W1746" s="8">
        <v>43.012999999999998</v>
      </c>
      <c r="X1746" s="8">
        <v>21.231000000000002</v>
      </c>
      <c r="Y1746" s="8">
        <v>7.6020000000000003</v>
      </c>
      <c r="Z1746" s="8">
        <v>1.732</v>
      </c>
      <c r="AA1746" s="8">
        <v>0.22</v>
      </c>
      <c r="AB1746" s="8">
        <v>1.4999999999999999E-2</v>
      </c>
      <c r="AC1746" s="8">
        <v>1E-3</v>
      </c>
    </row>
    <row r="1747" spans="1:29" ht="11.65" x14ac:dyDescent="0.35">
      <c r="A1747" s="12">
        <v>1730</v>
      </c>
      <c r="B1747" s="10" t="s">
        <v>1015</v>
      </c>
      <c r="C1747" s="11" t="s">
        <v>1139</v>
      </c>
      <c r="D1747" s="9"/>
      <c r="E1747" s="9">
        <v>4</v>
      </c>
      <c r="F1747" s="10" t="s">
        <v>1066</v>
      </c>
      <c r="G1747" s="9">
        <v>5501</v>
      </c>
      <c r="H1747" s="9">
        <v>1970</v>
      </c>
      <c r="I1747" s="8">
        <v>1036.9770000000001</v>
      </c>
      <c r="J1747" s="8">
        <v>806.05100000000004</v>
      </c>
      <c r="K1747" s="8">
        <v>672.88499999999999</v>
      </c>
      <c r="L1747" s="8">
        <v>561.84500000000003</v>
      </c>
      <c r="M1747" s="8">
        <v>479.70699999999999</v>
      </c>
      <c r="N1747" s="8">
        <v>426.30799999999999</v>
      </c>
      <c r="O1747" s="8">
        <v>364.49</v>
      </c>
      <c r="P1747" s="8">
        <v>310.553</v>
      </c>
      <c r="Q1747" s="8">
        <v>266.88</v>
      </c>
      <c r="R1747" s="8">
        <v>216.167</v>
      </c>
      <c r="S1747" s="8">
        <v>172.01300000000001</v>
      </c>
      <c r="T1747" s="8">
        <v>133.785</v>
      </c>
      <c r="U1747" s="8">
        <v>99.402000000000001</v>
      </c>
      <c r="V1747" s="8">
        <v>71.691000000000003</v>
      </c>
      <c r="W1747" s="8">
        <v>44.188000000000002</v>
      </c>
      <c r="X1747" s="8">
        <v>23.141999999999999</v>
      </c>
      <c r="Y1747" s="8">
        <v>8.56</v>
      </c>
      <c r="Z1747" s="8">
        <v>2.0739999999999998</v>
      </c>
      <c r="AA1747" s="8">
        <v>0.28499999999999998</v>
      </c>
      <c r="AB1747" s="8">
        <v>0.02</v>
      </c>
      <c r="AC1747" s="8">
        <v>1E-3</v>
      </c>
    </row>
    <row r="1748" spans="1:29" ht="11.65" x14ac:dyDescent="0.35">
      <c r="A1748" s="12">
        <v>1731</v>
      </c>
      <c r="B1748" s="10" t="s">
        <v>1015</v>
      </c>
      <c r="C1748" s="11" t="s">
        <v>1139</v>
      </c>
      <c r="D1748" s="9"/>
      <c r="E1748" s="9">
        <v>4</v>
      </c>
      <c r="F1748" s="10" t="s">
        <v>1066</v>
      </c>
      <c r="G1748" s="9">
        <v>5501</v>
      </c>
      <c r="H1748" s="9">
        <v>1975</v>
      </c>
      <c r="I1748" s="8">
        <v>1198.819</v>
      </c>
      <c r="J1748" s="8">
        <v>942.45699999999999</v>
      </c>
      <c r="K1748" s="8">
        <v>786.15700000000004</v>
      </c>
      <c r="L1748" s="8">
        <v>653.09400000000005</v>
      </c>
      <c r="M1748" s="8">
        <v>536.83799999999997</v>
      </c>
      <c r="N1748" s="8">
        <v>454.26600000000002</v>
      </c>
      <c r="O1748" s="8">
        <v>401.42599999999999</v>
      </c>
      <c r="P1748" s="8">
        <v>339.63499999999999</v>
      </c>
      <c r="Q1748" s="8">
        <v>285.18</v>
      </c>
      <c r="R1748" s="8">
        <v>241.048</v>
      </c>
      <c r="S1748" s="8">
        <v>190.803</v>
      </c>
      <c r="T1748" s="8">
        <v>147.38900000000001</v>
      </c>
      <c r="U1748" s="8">
        <v>109.21599999999999</v>
      </c>
      <c r="V1748" s="8">
        <v>74.84</v>
      </c>
      <c r="W1748" s="8">
        <v>48.012999999999998</v>
      </c>
      <c r="X1748" s="8">
        <v>24.52</v>
      </c>
      <c r="Y1748" s="8">
        <v>9.7240000000000002</v>
      </c>
      <c r="Z1748" s="8">
        <v>2.456</v>
      </c>
      <c r="AA1748" s="8">
        <v>0.36199999999999999</v>
      </c>
      <c r="AB1748" s="8">
        <v>2.9000000000000001E-2</v>
      </c>
      <c r="AC1748" s="8">
        <v>1E-3</v>
      </c>
    </row>
    <row r="1749" spans="1:29" ht="11.65" x14ac:dyDescent="0.35">
      <c r="A1749" s="12">
        <v>1732</v>
      </c>
      <c r="B1749" s="10" t="s">
        <v>1015</v>
      </c>
      <c r="C1749" s="11" t="s">
        <v>1139</v>
      </c>
      <c r="D1749" s="9"/>
      <c r="E1749" s="9">
        <v>4</v>
      </c>
      <c r="F1749" s="10" t="s">
        <v>1066</v>
      </c>
      <c r="G1749" s="9">
        <v>5501</v>
      </c>
      <c r="H1749" s="9">
        <v>1980</v>
      </c>
      <c r="I1749" s="8">
        <v>1285.49</v>
      </c>
      <c r="J1749" s="8">
        <v>1016.764</v>
      </c>
      <c r="K1749" s="8">
        <v>845.38699999999994</v>
      </c>
      <c r="L1749" s="8">
        <v>703.33</v>
      </c>
      <c r="M1749" s="8">
        <v>581.12900000000002</v>
      </c>
      <c r="N1749" s="8">
        <v>477.10500000000002</v>
      </c>
      <c r="O1749" s="8">
        <v>400.29300000000001</v>
      </c>
      <c r="P1749" s="8">
        <v>345.91399999999999</v>
      </c>
      <c r="Q1749" s="8">
        <v>284.447</v>
      </c>
      <c r="R1749" s="8">
        <v>233.149</v>
      </c>
      <c r="S1749" s="8">
        <v>195.024</v>
      </c>
      <c r="T1749" s="8">
        <v>151.27500000000001</v>
      </c>
      <c r="U1749" s="8">
        <v>110.572</v>
      </c>
      <c r="V1749" s="8">
        <v>75.396000000000001</v>
      </c>
      <c r="W1749" s="8">
        <v>46.177</v>
      </c>
      <c r="X1749" s="8">
        <v>24.736999999999998</v>
      </c>
      <c r="Y1749" s="8">
        <v>8.9990000000000006</v>
      </c>
      <c r="Z1749" s="8">
        <v>2.5960000000000001</v>
      </c>
      <c r="AA1749" s="8">
        <v>0.45100000000000001</v>
      </c>
      <c r="AB1749" s="8">
        <v>3.5999999999999997E-2</v>
      </c>
      <c r="AC1749" s="8">
        <v>2E-3</v>
      </c>
    </row>
    <row r="1750" spans="1:29" ht="11.65" x14ac:dyDescent="0.35">
      <c r="A1750" s="12">
        <v>1733</v>
      </c>
      <c r="B1750" s="10" t="s">
        <v>1015</v>
      </c>
      <c r="C1750" s="11" t="s">
        <v>1139</v>
      </c>
      <c r="D1750" s="9"/>
      <c r="E1750" s="9">
        <v>4</v>
      </c>
      <c r="F1750" s="10" t="s">
        <v>1066</v>
      </c>
      <c r="G1750" s="9">
        <v>5501</v>
      </c>
      <c r="H1750" s="9">
        <v>1985</v>
      </c>
      <c r="I1750" s="8">
        <v>1187.5619999999999</v>
      </c>
      <c r="J1750" s="8">
        <v>951.81200000000001</v>
      </c>
      <c r="K1750" s="8">
        <v>776.84900000000005</v>
      </c>
      <c r="L1750" s="8">
        <v>636.38599999999997</v>
      </c>
      <c r="M1750" s="8">
        <v>521.51400000000001</v>
      </c>
      <c r="N1750" s="8">
        <v>435.75400000000002</v>
      </c>
      <c r="O1750" s="8">
        <v>365.34800000000001</v>
      </c>
      <c r="P1750" s="8">
        <v>300.15699999999998</v>
      </c>
      <c r="Q1750" s="8">
        <v>243.21799999999999</v>
      </c>
      <c r="R1750" s="8">
        <v>184.71299999999999</v>
      </c>
      <c r="S1750" s="8">
        <v>142.75399999999999</v>
      </c>
      <c r="T1750" s="8">
        <v>121.733</v>
      </c>
      <c r="U1750" s="8">
        <v>94.635000000000005</v>
      </c>
      <c r="V1750" s="8">
        <v>62.947000000000003</v>
      </c>
      <c r="W1750" s="8">
        <v>37.566000000000003</v>
      </c>
      <c r="X1750" s="8">
        <v>19.274999999999999</v>
      </c>
      <c r="Y1750" s="8">
        <v>7.0659999999999998</v>
      </c>
      <c r="Z1750" s="8">
        <v>2.044</v>
      </c>
      <c r="AA1750" s="8">
        <v>0.50600000000000001</v>
      </c>
      <c r="AB1750" s="8">
        <v>4.8000000000000001E-2</v>
      </c>
      <c r="AC1750" s="8">
        <v>2E-3</v>
      </c>
    </row>
    <row r="1751" spans="1:29" ht="11.65" x14ac:dyDescent="0.35">
      <c r="A1751" s="12">
        <v>1734</v>
      </c>
      <c r="B1751" s="10" t="s">
        <v>1015</v>
      </c>
      <c r="C1751" s="11" t="s">
        <v>1139</v>
      </c>
      <c r="D1751" s="9"/>
      <c r="E1751" s="9">
        <v>4</v>
      </c>
      <c r="F1751" s="10" t="s">
        <v>1066</v>
      </c>
      <c r="G1751" s="9">
        <v>5501</v>
      </c>
      <c r="H1751" s="9">
        <v>1990</v>
      </c>
      <c r="I1751" s="8">
        <v>1234.3050000000001</v>
      </c>
      <c r="J1751" s="8">
        <v>1007.595</v>
      </c>
      <c r="K1751" s="8">
        <v>839.65800000000002</v>
      </c>
      <c r="L1751" s="8">
        <v>677.505</v>
      </c>
      <c r="M1751" s="8">
        <v>544.96299999999997</v>
      </c>
      <c r="N1751" s="8">
        <v>441.63200000000001</v>
      </c>
      <c r="O1751" s="8">
        <v>371.67899999999997</v>
      </c>
      <c r="P1751" s="8">
        <v>314.48700000000002</v>
      </c>
      <c r="Q1751" s="8">
        <v>254.14599999999999</v>
      </c>
      <c r="R1751" s="8">
        <v>196.983</v>
      </c>
      <c r="S1751" s="8">
        <v>140.512</v>
      </c>
      <c r="T1751" s="8">
        <v>102.569</v>
      </c>
      <c r="U1751" s="8">
        <v>86.515000000000001</v>
      </c>
      <c r="V1751" s="8">
        <v>64.807000000000002</v>
      </c>
      <c r="W1751" s="8">
        <v>38.392000000000003</v>
      </c>
      <c r="X1751" s="8">
        <v>19.079999999999998</v>
      </c>
      <c r="Y1751" s="8">
        <v>7.298</v>
      </c>
      <c r="Z1751" s="8">
        <v>2.0139999999999998</v>
      </c>
      <c r="AA1751" s="8">
        <v>0.41699999999999998</v>
      </c>
      <c r="AB1751" s="8">
        <v>5.7000000000000002E-2</v>
      </c>
      <c r="AC1751" s="8">
        <v>3.0000000000000001E-3</v>
      </c>
    </row>
    <row r="1752" spans="1:29" ht="11.65" x14ac:dyDescent="0.35">
      <c r="A1752" s="12">
        <v>1735</v>
      </c>
      <c r="B1752" s="10" t="s">
        <v>1015</v>
      </c>
      <c r="C1752" s="11" t="s">
        <v>1139</v>
      </c>
      <c r="D1752" s="9"/>
      <c r="E1752" s="9">
        <v>4</v>
      </c>
      <c r="F1752" s="10" t="s">
        <v>1066</v>
      </c>
      <c r="G1752" s="9">
        <v>5501</v>
      </c>
      <c r="H1752" s="9">
        <v>1995</v>
      </c>
      <c r="I1752" s="8">
        <v>1811.6020000000001</v>
      </c>
      <c r="J1752" s="8">
        <v>1463.4490000000001</v>
      </c>
      <c r="K1752" s="8">
        <v>1222.135</v>
      </c>
      <c r="L1752" s="8">
        <v>1016.028</v>
      </c>
      <c r="M1752" s="8">
        <v>820.45299999999997</v>
      </c>
      <c r="N1752" s="8">
        <v>661.56700000000001</v>
      </c>
      <c r="O1752" s="8">
        <v>538.29899999999998</v>
      </c>
      <c r="P1752" s="8">
        <v>442.65800000000002</v>
      </c>
      <c r="Q1752" s="8">
        <v>363.77</v>
      </c>
      <c r="R1752" s="8">
        <v>295.75</v>
      </c>
      <c r="S1752" s="8">
        <v>237.86199999999999</v>
      </c>
      <c r="T1752" s="8">
        <v>176.98099999999999</v>
      </c>
      <c r="U1752" s="8">
        <v>130.44499999999999</v>
      </c>
      <c r="V1752" s="8">
        <v>98.706000000000003</v>
      </c>
      <c r="W1752" s="8">
        <v>63.241</v>
      </c>
      <c r="X1752" s="8">
        <v>32.393999999999998</v>
      </c>
      <c r="Y1752" s="8">
        <v>13.538</v>
      </c>
      <c r="Z1752" s="8">
        <v>3.2709999999999999</v>
      </c>
      <c r="AA1752" s="8">
        <v>0.42499999999999999</v>
      </c>
      <c r="AB1752" s="8">
        <v>4.9000000000000002E-2</v>
      </c>
      <c r="AC1752" s="8">
        <v>4.0000000000000001E-3</v>
      </c>
    </row>
    <row r="1753" spans="1:29" ht="11.65" x14ac:dyDescent="0.35">
      <c r="A1753" s="12">
        <v>1736</v>
      </c>
      <c r="B1753" s="10" t="s">
        <v>1015</v>
      </c>
      <c r="C1753" s="11" t="s">
        <v>1139</v>
      </c>
      <c r="D1753" s="9"/>
      <c r="E1753" s="9">
        <v>4</v>
      </c>
      <c r="F1753" s="10" t="s">
        <v>1066</v>
      </c>
      <c r="G1753" s="9">
        <v>5501</v>
      </c>
      <c r="H1753" s="9">
        <v>2000</v>
      </c>
      <c r="I1753" s="8">
        <v>2124.163</v>
      </c>
      <c r="J1753" s="8">
        <v>1688.904</v>
      </c>
      <c r="K1753" s="8">
        <v>1405.116</v>
      </c>
      <c r="L1753" s="8">
        <v>1149.7090000000001</v>
      </c>
      <c r="M1753" s="8">
        <v>921.62</v>
      </c>
      <c r="N1753" s="8">
        <v>734.77800000000002</v>
      </c>
      <c r="O1753" s="8">
        <v>599.49800000000005</v>
      </c>
      <c r="P1753" s="8">
        <v>492.82799999999997</v>
      </c>
      <c r="Q1753" s="8">
        <v>405.62299999999999</v>
      </c>
      <c r="R1753" s="8">
        <v>329.05399999999997</v>
      </c>
      <c r="S1753" s="8">
        <v>259.96899999999999</v>
      </c>
      <c r="T1753" s="8">
        <v>203.12799999999999</v>
      </c>
      <c r="U1753" s="8">
        <v>145.57</v>
      </c>
      <c r="V1753" s="8">
        <v>100.139</v>
      </c>
      <c r="W1753" s="8">
        <v>69.662999999999997</v>
      </c>
      <c r="X1753" s="8">
        <v>38.817</v>
      </c>
      <c r="Y1753" s="8">
        <v>15.536</v>
      </c>
      <c r="Z1753" s="8">
        <v>4.6310000000000002</v>
      </c>
      <c r="AA1753" s="8">
        <v>0.70799999999999996</v>
      </c>
      <c r="AB1753" s="8">
        <v>5.0999999999999997E-2</v>
      </c>
      <c r="AC1753" s="8">
        <v>3.0000000000000001E-3</v>
      </c>
    </row>
    <row r="1754" spans="1:29" ht="11.65" x14ac:dyDescent="0.35">
      <c r="A1754" s="12">
        <v>1737</v>
      </c>
      <c r="B1754" s="10" t="s">
        <v>1015</v>
      </c>
      <c r="C1754" s="11" t="s">
        <v>1139</v>
      </c>
      <c r="D1754" s="9"/>
      <c r="E1754" s="9">
        <v>4</v>
      </c>
      <c r="F1754" s="10" t="s">
        <v>1066</v>
      </c>
      <c r="G1754" s="9">
        <v>5501</v>
      </c>
      <c r="H1754" s="9">
        <v>2005</v>
      </c>
      <c r="I1754" s="8">
        <v>2517.1970000000001</v>
      </c>
      <c r="J1754" s="8">
        <v>2092.8670000000002</v>
      </c>
      <c r="K1754" s="8">
        <v>1691.895</v>
      </c>
      <c r="L1754" s="8">
        <v>1440.3209999999999</v>
      </c>
      <c r="M1754" s="8">
        <v>1216.7180000000001</v>
      </c>
      <c r="N1754" s="8">
        <v>980.79399999999998</v>
      </c>
      <c r="O1754" s="8">
        <v>768.15</v>
      </c>
      <c r="P1754" s="8">
        <v>613.42999999999995</v>
      </c>
      <c r="Q1754" s="8">
        <v>493.70299999999997</v>
      </c>
      <c r="R1754" s="8">
        <v>399.524</v>
      </c>
      <c r="S1754" s="8">
        <v>320.97500000000002</v>
      </c>
      <c r="T1754" s="8">
        <v>246.625</v>
      </c>
      <c r="U1754" s="8">
        <v>183.70599999999999</v>
      </c>
      <c r="V1754" s="8">
        <v>125.334</v>
      </c>
      <c r="W1754" s="8">
        <v>77.260000000000005</v>
      </c>
      <c r="X1754" s="8">
        <v>44.801000000000002</v>
      </c>
      <c r="Y1754" s="8">
        <v>19.709</v>
      </c>
      <c r="Z1754" s="8">
        <v>5.5609999999999999</v>
      </c>
      <c r="AA1754" s="8">
        <v>1.0249999999999999</v>
      </c>
      <c r="AB1754" s="8">
        <v>8.5000000000000006E-2</v>
      </c>
      <c r="AC1754" s="8">
        <v>4.0000000000000001E-3</v>
      </c>
    </row>
    <row r="1755" spans="1:29" ht="11.65" x14ac:dyDescent="0.35">
      <c r="A1755" s="12">
        <v>1738</v>
      </c>
      <c r="B1755" s="10" t="s">
        <v>1015</v>
      </c>
      <c r="C1755" s="11" t="s">
        <v>1139</v>
      </c>
      <c r="D1755" s="9"/>
      <c r="E1755" s="9">
        <v>4</v>
      </c>
      <c r="F1755" s="10" t="s">
        <v>1066</v>
      </c>
      <c r="G1755" s="9">
        <v>5501</v>
      </c>
      <c r="H1755" s="9">
        <v>2010</v>
      </c>
      <c r="I1755" s="8">
        <v>2715.07</v>
      </c>
      <c r="J1755" s="8">
        <v>2423.9630000000002</v>
      </c>
      <c r="K1755" s="8">
        <v>2053.1179999999999</v>
      </c>
      <c r="L1755" s="8">
        <v>1599.2360000000001</v>
      </c>
      <c r="M1755" s="8">
        <v>1278.489</v>
      </c>
      <c r="N1755" s="8">
        <v>1069.443</v>
      </c>
      <c r="O1755" s="8">
        <v>885.60500000000002</v>
      </c>
      <c r="P1755" s="8">
        <v>706.16200000000003</v>
      </c>
      <c r="Q1755" s="8">
        <v>569.59500000000003</v>
      </c>
      <c r="R1755" s="8">
        <v>457.35599999999999</v>
      </c>
      <c r="S1755" s="8">
        <v>360.12799999999999</v>
      </c>
      <c r="T1755" s="8">
        <v>283.23899999999998</v>
      </c>
      <c r="U1755" s="8">
        <v>212.29599999999999</v>
      </c>
      <c r="V1755" s="8">
        <v>147.19800000000001</v>
      </c>
      <c r="W1755" s="8">
        <v>92.623999999999995</v>
      </c>
      <c r="X1755" s="8">
        <v>50.444000000000003</v>
      </c>
      <c r="Y1755" s="8">
        <v>23.184000000000001</v>
      </c>
      <c r="Z1755" s="8">
        <v>7.2130000000000001</v>
      </c>
      <c r="AA1755" s="8">
        <v>1.2609999999999999</v>
      </c>
      <c r="AB1755" s="8">
        <v>0.126</v>
      </c>
      <c r="AC1755" s="8">
        <v>6.0000000000000001E-3</v>
      </c>
    </row>
    <row r="1756" spans="1:29" ht="11.65" x14ac:dyDescent="0.35">
      <c r="A1756" s="12">
        <v>1739</v>
      </c>
      <c r="B1756" s="10" t="s">
        <v>1015</v>
      </c>
      <c r="C1756" s="11" t="s">
        <v>1139</v>
      </c>
      <c r="D1756" s="9"/>
      <c r="E1756" s="9">
        <v>4</v>
      </c>
      <c r="F1756" s="10" t="s">
        <v>1066</v>
      </c>
      <c r="G1756" s="9">
        <v>5501</v>
      </c>
      <c r="H1756" s="9">
        <v>2015</v>
      </c>
      <c r="I1756" s="8">
        <v>2819.0619999999999</v>
      </c>
      <c r="J1756" s="8">
        <v>2670.8939999999998</v>
      </c>
      <c r="K1756" s="8">
        <v>2415.683</v>
      </c>
      <c r="L1756" s="8">
        <v>2081.9870000000001</v>
      </c>
      <c r="M1756" s="8">
        <v>1669.6369999999999</v>
      </c>
      <c r="N1756" s="8">
        <v>1339.11</v>
      </c>
      <c r="O1756" s="8">
        <v>1098.3869999999999</v>
      </c>
      <c r="P1756" s="8">
        <v>894.43299999999999</v>
      </c>
      <c r="Q1756" s="8">
        <v>703.15200000000004</v>
      </c>
      <c r="R1756" s="8">
        <v>559.04600000000005</v>
      </c>
      <c r="S1756" s="8">
        <v>444.60599999999999</v>
      </c>
      <c r="T1756" s="8">
        <v>340.77100000000002</v>
      </c>
      <c r="U1756" s="8">
        <v>255.226</v>
      </c>
      <c r="V1756" s="8">
        <v>181.15100000000001</v>
      </c>
      <c r="W1756" s="8">
        <v>114.205</v>
      </c>
      <c r="X1756" s="8">
        <v>61.582999999999998</v>
      </c>
      <c r="Y1756" s="8">
        <v>26.7</v>
      </c>
      <c r="Z1756" s="8">
        <v>8.6929999999999996</v>
      </c>
      <c r="AA1756" s="8">
        <v>1.673</v>
      </c>
      <c r="AB1756" s="8">
        <v>0.158</v>
      </c>
      <c r="AC1756" s="8">
        <v>8.9999999999999993E-3</v>
      </c>
    </row>
    <row r="1757" spans="1:29" ht="11.65" x14ac:dyDescent="0.35">
      <c r="A1757" s="12">
        <v>1740</v>
      </c>
      <c r="B1757" s="10" t="s">
        <v>1015</v>
      </c>
      <c r="C1757" s="11" t="s">
        <v>1139</v>
      </c>
      <c r="D1757" s="9"/>
      <c r="E1757" s="9">
        <v>4</v>
      </c>
      <c r="F1757" s="10" t="s">
        <v>1066</v>
      </c>
      <c r="G1757" s="9">
        <v>5501</v>
      </c>
      <c r="H1757" s="9">
        <v>2020</v>
      </c>
      <c r="I1757" s="8">
        <v>2907.4059999999999</v>
      </c>
      <c r="J1757" s="8">
        <v>2774.63</v>
      </c>
      <c r="K1757" s="8">
        <v>2651.6640000000002</v>
      </c>
      <c r="L1757" s="8">
        <v>2377.9409999999998</v>
      </c>
      <c r="M1757" s="8">
        <v>2017.279</v>
      </c>
      <c r="N1757" s="8">
        <v>1610.796</v>
      </c>
      <c r="O1757" s="8">
        <v>1299.1210000000001</v>
      </c>
      <c r="P1757" s="8">
        <v>1068.1669999999999</v>
      </c>
      <c r="Q1757" s="8">
        <v>868.02</v>
      </c>
      <c r="R1757" s="8">
        <v>677.226</v>
      </c>
      <c r="S1757" s="8">
        <v>529.18799999999999</v>
      </c>
      <c r="T1757" s="8">
        <v>411.37900000000002</v>
      </c>
      <c r="U1757" s="8">
        <v>305.08100000000002</v>
      </c>
      <c r="V1757" s="8">
        <v>215.637</v>
      </c>
      <c r="W1757" s="8">
        <v>140.25399999999999</v>
      </c>
      <c r="X1757" s="8">
        <v>76.897000000000006</v>
      </c>
      <c r="Y1757" s="8">
        <v>33.115000000000002</v>
      </c>
      <c r="Z1757" s="8">
        <v>10.185</v>
      </c>
      <c r="AA1757" s="8">
        <v>2.0529999999999999</v>
      </c>
      <c r="AB1757" s="8">
        <v>0.215</v>
      </c>
      <c r="AC1757" s="8">
        <v>1.0999999999999999E-2</v>
      </c>
    </row>
    <row r="1758" spans="1:29" ht="11.65" x14ac:dyDescent="0.35">
      <c r="A1758" s="12">
        <v>1741</v>
      </c>
      <c r="B1758" s="10" t="s">
        <v>1015</v>
      </c>
      <c r="C1758" s="11" t="s">
        <v>1140</v>
      </c>
      <c r="D1758" s="9"/>
      <c r="E1758" s="9">
        <v>50</v>
      </c>
      <c r="F1758" s="10" t="s">
        <v>1066</v>
      </c>
      <c r="G1758" s="9">
        <v>5501</v>
      </c>
      <c r="H1758" s="9">
        <v>1950</v>
      </c>
      <c r="I1758" s="8">
        <v>3169.3209999999999</v>
      </c>
      <c r="J1758" s="8">
        <v>2574.038</v>
      </c>
      <c r="K1758" s="8">
        <v>2271.6999999999998</v>
      </c>
      <c r="L1758" s="8">
        <v>1993.49</v>
      </c>
      <c r="M1758" s="8">
        <v>1703.9590000000001</v>
      </c>
      <c r="N1758" s="8">
        <v>1486.9939999999999</v>
      </c>
      <c r="O1758" s="8">
        <v>1295.816</v>
      </c>
      <c r="P1758" s="8">
        <v>1130.4639999999999</v>
      </c>
      <c r="Q1758" s="8">
        <v>987.13800000000003</v>
      </c>
      <c r="R1758" s="8">
        <v>829.36300000000006</v>
      </c>
      <c r="S1758" s="8">
        <v>655.39</v>
      </c>
      <c r="T1758" s="8">
        <v>519.35400000000004</v>
      </c>
      <c r="U1758" s="8">
        <v>376.29300000000001</v>
      </c>
      <c r="V1758" s="8">
        <v>303.11799999999999</v>
      </c>
      <c r="W1758" s="8">
        <v>255.273</v>
      </c>
      <c r="X1758" s="8">
        <v>165.268</v>
      </c>
      <c r="Y1758" s="8">
        <v>55.762999999999998</v>
      </c>
      <c r="Z1758" s="8">
        <v>10.663</v>
      </c>
      <c r="AA1758" s="8">
        <v>1.01</v>
      </c>
      <c r="AB1758" s="8">
        <v>4.9000000000000002E-2</v>
      </c>
      <c r="AC1758" s="8">
        <v>2E-3</v>
      </c>
    </row>
    <row r="1759" spans="1:29" ht="11.65" x14ac:dyDescent="0.35">
      <c r="A1759" s="12">
        <v>1742</v>
      </c>
      <c r="B1759" s="10" t="s">
        <v>1015</v>
      </c>
      <c r="C1759" s="11" t="s">
        <v>1140</v>
      </c>
      <c r="D1759" s="9"/>
      <c r="E1759" s="9">
        <v>50</v>
      </c>
      <c r="F1759" s="10" t="s">
        <v>1066</v>
      </c>
      <c r="G1759" s="9">
        <v>5501</v>
      </c>
      <c r="H1759" s="9">
        <v>1955</v>
      </c>
      <c r="I1759" s="8">
        <v>3479.373</v>
      </c>
      <c r="J1759" s="8">
        <v>2863.9369999999999</v>
      </c>
      <c r="K1759" s="8">
        <v>2509.7069999999999</v>
      </c>
      <c r="L1759" s="8">
        <v>2228.607</v>
      </c>
      <c r="M1759" s="8">
        <v>1946.7809999999999</v>
      </c>
      <c r="N1759" s="8">
        <v>1659.7470000000001</v>
      </c>
      <c r="O1759" s="8">
        <v>1447.047</v>
      </c>
      <c r="P1759" s="8">
        <v>1256.296</v>
      </c>
      <c r="Q1759" s="8">
        <v>1087.3420000000001</v>
      </c>
      <c r="R1759" s="8">
        <v>938.37400000000002</v>
      </c>
      <c r="S1759" s="8">
        <v>775.90899999999999</v>
      </c>
      <c r="T1759" s="8">
        <v>601.51900000000001</v>
      </c>
      <c r="U1759" s="8">
        <v>445.51499999999999</v>
      </c>
      <c r="V1759" s="8">
        <v>285.12099999999998</v>
      </c>
      <c r="W1759" s="8">
        <v>196.571</v>
      </c>
      <c r="X1759" s="8">
        <v>127.282</v>
      </c>
      <c r="Y1759" s="8">
        <v>55.764000000000003</v>
      </c>
      <c r="Z1759" s="8">
        <v>10.663</v>
      </c>
      <c r="AA1759" s="8">
        <v>1.01</v>
      </c>
      <c r="AB1759" s="8">
        <v>4.9000000000000002E-2</v>
      </c>
      <c r="AC1759" s="8">
        <v>2E-3</v>
      </c>
    </row>
    <row r="1760" spans="1:29" ht="11.65" x14ac:dyDescent="0.35">
      <c r="A1760" s="12">
        <v>1743</v>
      </c>
      <c r="B1760" s="10" t="s">
        <v>1015</v>
      </c>
      <c r="C1760" s="11" t="s">
        <v>1140</v>
      </c>
      <c r="D1760" s="9"/>
      <c r="E1760" s="9">
        <v>50</v>
      </c>
      <c r="F1760" s="10" t="s">
        <v>1066</v>
      </c>
      <c r="G1760" s="9">
        <v>5501</v>
      </c>
      <c r="H1760" s="9">
        <v>1960</v>
      </c>
      <c r="I1760" s="8">
        <v>4276.674</v>
      </c>
      <c r="J1760" s="8">
        <v>3195.9879999999998</v>
      </c>
      <c r="K1760" s="8">
        <v>2802.2370000000001</v>
      </c>
      <c r="L1760" s="8">
        <v>2477.1930000000002</v>
      </c>
      <c r="M1760" s="8">
        <v>2193.7739999999999</v>
      </c>
      <c r="N1760" s="8">
        <v>1909.569</v>
      </c>
      <c r="O1760" s="8">
        <v>1623.8579999999999</v>
      </c>
      <c r="P1760" s="8">
        <v>1409.37</v>
      </c>
      <c r="Q1760" s="8">
        <v>1213.8889999999999</v>
      </c>
      <c r="R1760" s="8">
        <v>1038.972</v>
      </c>
      <c r="S1760" s="8">
        <v>883.72500000000002</v>
      </c>
      <c r="T1760" s="8">
        <v>717.274</v>
      </c>
      <c r="U1760" s="8">
        <v>521.96900000000005</v>
      </c>
      <c r="V1760" s="8">
        <v>344.25400000000002</v>
      </c>
      <c r="W1760" s="8">
        <v>190.12799999999999</v>
      </c>
      <c r="X1760" s="8">
        <v>102.244</v>
      </c>
      <c r="Y1760" s="8">
        <v>45.664999999999999</v>
      </c>
      <c r="Z1760" s="8">
        <v>11.637</v>
      </c>
      <c r="AA1760" s="8">
        <v>1.1279999999999999</v>
      </c>
      <c r="AB1760" s="8">
        <v>5.5E-2</v>
      </c>
      <c r="AC1760" s="8">
        <v>2E-3</v>
      </c>
    </row>
    <row r="1761" spans="1:29" ht="11.65" x14ac:dyDescent="0.35">
      <c r="A1761" s="12">
        <v>1744</v>
      </c>
      <c r="B1761" s="10" t="s">
        <v>1015</v>
      </c>
      <c r="C1761" s="11" t="s">
        <v>1140</v>
      </c>
      <c r="D1761" s="9"/>
      <c r="E1761" s="9">
        <v>50</v>
      </c>
      <c r="F1761" s="10" t="s">
        <v>1066</v>
      </c>
      <c r="G1761" s="9">
        <v>5501</v>
      </c>
      <c r="H1761" s="9">
        <v>1965</v>
      </c>
      <c r="I1761" s="8">
        <v>5117.3280000000004</v>
      </c>
      <c r="J1761" s="8">
        <v>3973.8980000000001</v>
      </c>
      <c r="K1761" s="8">
        <v>3122.65</v>
      </c>
      <c r="L1761" s="8">
        <v>2741.0219999999999</v>
      </c>
      <c r="M1761" s="8">
        <v>2409.4209999999998</v>
      </c>
      <c r="N1761" s="8">
        <v>2133.8339999999998</v>
      </c>
      <c r="O1761" s="8">
        <v>1861.66</v>
      </c>
      <c r="P1761" s="8">
        <v>1581.49</v>
      </c>
      <c r="Q1761" s="8">
        <v>1364.7349999999999</v>
      </c>
      <c r="R1761" s="8">
        <v>1164.19</v>
      </c>
      <c r="S1761" s="8">
        <v>983.71</v>
      </c>
      <c r="T1761" s="8">
        <v>821.87900000000002</v>
      </c>
      <c r="U1761" s="8">
        <v>628.76400000000001</v>
      </c>
      <c r="V1761" s="8">
        <v>410.65800000000002</v>
      </c>
      <c r="W1761" s="8">
        <v>235.59</v>
      </c>
      <c r="X1761" s="8">
        <v>102.875</v>
      </c>
      <c r="Y1761" s="8">
        <v>38.872</v>
      </c>
      <c r="Z1761" s="8">
        <v>10.355</v>
      </c>
      <c r="AA1761" s="8">
        <v>1.369</v>
      </c>
      <c r="AB1761" s="8">
        <v>6.7000000000000004E-2</v>
      </c>
      <c r="AC1761" s="8">
        <v>2E-3</v>
      </c>
    </row>
    <row r="1762" spans="1:29" ht="11.65" x14ac:dyDescent="0.35">
      <c r="A1762" s="12">
        <v>1745</v>
      </c>
      <c r="B1762" s="10" t="s">
        <v>1015</v>
      </c>
      <c r="C1762" s="11" t="s">
        <v>1140</v>
      </c>
      <c r="D1762" s="9"/>
      <c r="E1762" s="9">
        <v>50</v>
      </c>
      <c r="F1762" s="10" t="s">
        <v>1066</v>
      </c>
      <c r="G1762" s="9">
        <v>5501</v>
      </c>
      <c r="H1762" s="9">
        <v>1970</v>
      </c>
      <c r="I1762" s="8">
        <v>5964.7740000000003</v>
      </c>
      <c r="J1762" s="8">
        <v>4786.848</v>
      </c>
      <c r="K1762" s="8">
        <v>3893.0210000000002</v>
      </c>
      <c r="L1762" s="8">
        <v>3063.8159999999998</v>
      </c>
      <c r="M1762" s="8">
        <v>2676.4029999999998</v>
      </c>
      <c r="N1762" s="8">
        <v>2352.0349999999999</v>
      </c>
      <c r="O1762" s="8">
        <v>2087.011</v>
      </c>
      <c r="P1762" s="8">
        <v>1818.8630000000001</v>
      </c>
      <c r="Q1762" s="8">
        <v>1536.4880000000001</v>
      </c>
      <c r="R1762" s="8">
        <v>1313.817</v>
      </c>
      <c r="S1762" s="8">
        <v>1107.4459999999999</v>
      </c>
      <c r="T1762" s="8">
        <v>919.99099999999999</v>
      </c>
      <c r="U1762" s="8">
        <v>727.75199999999995</v>
      </c>
      <c r="V1762" s="8">
        <v>503.197</v>
      </c>
      <c r="W1762" s="8">
        <v>287.589</v>
      </c>
      <c r="X1762" s="8">
        <v>131.66</v>
      </c>
      <c r="Y1762" s="8">
        <v>40.872</v>
      </c>
      <c r="Z1762" s="8">
        <v>9.343</v>
      </c>
      <c r="AA1762" s="8">
        <v>1.3069999999999999</v>
      </c>
      <c r="AB1762" s="8">
        <v>8.7999999999999995E-2</v>
      </c>
      <c r="AC1762" s="8">
        <v>3.0000000000000001E-3</v>
      </c>
    </row>
    <row r="1763" spans="1:29" ht="11.65" x14ac:dyDescent="0.35">
      <c r="A1763" s="12">
        <v>1746</v>
      </c>
      <c r="B1763" s="10" t="s">
        <v>1015</v>
      </c>
      <c r="C1763" s="11" t="s">
        <v>1140</v>
      </c>
      <c r="D1763" s="9"/>
      <c r="E1763" s="9">
        <v>50</v>
      </c>
      <c r="F1763" s="10" t="s">
        <v>1066</v>
      </c>
      <c r="G1763" s="9">
        <v>5501</v>
      </c>
      <c r="H1763" s="9">
        <v>1975</v>
      </c>
      <c r="I1763" s="8">
        <v>6176.07</v>
      </c>
      <c r="J1763" s="8">
        <v>5329.1189999999997</v>
      </c>
      <c r="K1763" s="8">
        <v>4531.527</v>
      </c>
      <c r="L1763" s="8">
        <v>3321.6419999999998</v>
      </c>
      <c r="M1763" s="8">
        <v>2407.3890000000001</v>
      </c>
      <c r="N1763" s="8">
        <v>2459.636</v>
      </c>
      <c r="O1763" s="8">
        <v>2313.9560000000001</v>
      </c>
      <c r="P1763" s="8">
        <v>2046.836</v>
      </c>
      <c r="Q1763" s="8">
        <v>1771.827</v>
      </c>
      <c r="R1763" s="8">
        <v>1481.7739999999999</v>
      </c>
      <c r="S1763" s="8">
        <v>1250.6489999999999</v>
      </c>
      <c r="T1763" s="8">
        <v>1036.183</v>
      </c>
      <c r="U1763" s="8">
        <v>819.84299999999996</v>
      </c>
      <c r="V1763" s="8">
        <v>591.41499999999996</v>
      </c>
      <c r="W1763" s="8">
        <v>359.7</v>
      </c>
      <c r="X1763" s="8">
        <v>165.452</v>
      </c>
      <c r="Y1763" s="8">
        <v>54.451999999999998</v>
      </c>
      <c r="Z1763" s="8">
        <v>10.368</v>
      </c>
      <c r="AA1763" s="8">
        <v>1.2629999999999999</v>
      </c>
      <c r="AB1763" s="8">
        <v>9.0999999999999998E-2</v>
      </c>
      <c r="AC1763" s="8">
        <v>4.0000000000000001E-3</v>
      </c>
    </row>
    <row r="1764" spans="1:29" ht="11.65" x14ac:dyDescent="0.35">
      <c r="A1764" s="12">
        <v>1747</v>
      </c>
      <c r="B1764" s="10" t="s">
        <v>1015</v>
      </c>
      <c r="C1764" s="11" t="s">
        <v>1140</v>
      </c>
      <c r="D1764" s="9"/>
      <c r="E1764" s="9">
        <v>50</v>
      </c>
      <c r="F1764" s="10" t="s">
        <v>1066</v>
      </c>
      <c r="G1764" s="9">
        <v>5501</v>
      </c>
      <c r="H1764" s="9">
        <v>1980</v>
      </c>
      <c r="I1764" s="8">
        <v>7027.7479999999996</v>
      </c>
      <c r="J1764" s="8">
        <v>5843.1970000000001</v>
      </c>
      <c r="K1764" s="8">
        <v>5250.7280000000001</v>
      </c>
      <c r="L1764" s="8">
        <v>4490.6989999999996</v>
      </c>
      <c r="M1764" s="8">
        <v>3285.9670000000001</v>
      </c>
      <c r="N1764" s="8">
        <v>2279.7840000000001</v>
      </c>
      <c r="O1764" s="8">
        <v>2244.9209999999998</v>
      </c>
      <c r="P1764" s="8">
        <v>2216.1750000000002</v>
      </c>
      <c r="Q1764" s="8">
        <v>1987.377</v>
      </c>
      <c r="R1764" s="8">
        <v>1650.6089999999999</v>
      </c>
      <c r="S1764" s="8">
        <v>1363.873</v>
      </c>
      <c r="T1764" s="8">
        <v>1136.403</v>
      </c>
      <c r="U1764" s="8">
        <v>895.53899999999999</v>
      </c>
      <c r="V1764" s="8">
        <v>646.96900000000005</v>
      </c>
      <c r="W1764" s="8">
        <v>413.392</v>
      </c>
      <c r="X1764" s="8">
        <v>206.38300000000001</v>
      </c>
      <c r="Y1764" s="8">
        <v>70.484999999999999</v>
      </c>
      <c r="Z1764" s="8">
        <v>14.372</v>
      </c>
      <c r="AA1764" s="8">
        <v>1.4730000000000001</v>
      </c>
      <c r="AB1764" s="8">
        <v>9.2999999999999999E-2</v>
      </c>
      <c r="AC1764" s="8">
        <v>4.0000000000000001E-3</v>
      </c>
    </row>
    <row r="1765" spans="1:29" ht="11.65" x14ac:dyDescent="0.35">
      <c r="A1765" s="12">
        <v>1748</v>
      </c>
      <c r="B1765" s="10" t="s">
        <v>1015</v>
      </c>
      <c r="C1765" s="11" t="s">
        <v>1140</v>
      </c>
      <c r="D1765" s="9"/>
      <c r="E1765" s="9">
        <v>50</v>
      </c>
      <c r="F1765" s="10" t="s">
        <v>1066</v>
      </c>
      <c r="G1765" s="9">
        <v>5501</v>
      </c>
      <c r="H1765" s="9">
        <v>1985</v>
      </c>
      <c r="I1765" s="8">
        <v>7720.87</v>
      </c>
      <c r="J1765" s="8">
        <v>6705.8119999999999</v>
      </c>
      <c r="K1765" s="8">
        <v>5767.4690000000001</v>
      </c>
      <c r="L1765" s="8">
        <v>5207.9870000000001</v>
      </c>
      <c r="M1765" s="8">
        <v>4447.2749999999996</v>
      </c>
      <c r="N1765" s="8">
        <v>3291.0770000000002</v>
      </c>
      <c r="O1765" s="8">
        <v>2330.607</v>
      </c>
      <c r="P1765" s="8">
        <v>2290.5880000000002</v>
      </c>
      <c r="Q1765" s="8">
        <v>2147.1610000000001</v>
      </c>
      <c r="R1765" s="8">
        <v>1813.3309999999999</v>
      </c>
      <c r="S1765" s="8">
        <v>1486.692</v>
      </c>
      <c r="T1765" s="8">
        <v>1213.8240000000001</v>
      </c>
      <c r="U1765" s="8">
        <v>962.82799999999997</v>
      </c>
      <c r="V1765" s="8">
        <v>693.875</v>
      </c>
      <c r="W1765" s="8">
        <v>445.96600000000001</v>
      </c>
      <c r="X1765" s="8">
        <v>237.24299999999999</v>
      </c>
      <c r="Y1765" s="8">
        <v>89.518000000000001</v>
      </c>
      <c r="Z1765" s="8">
        <v>19.033999999999999</v>
      </c>
      <c r="AA1765" s="8">
        <v>2.093</v>
      </c>
      <c r="AB1765" s="8">
        <v>0.11</v>
      </c>
      <c r="AC1765" s="8">
        <v>5.0000000000000001E-3</v>
      </c>
    </row>
    <row r="1766" spans="1:29" ht="11.65" x14ac:dyDescent="0.35">
      <c r="A1766" s="12">
        <v>1749</v>
      </c>
      <c r="B1766" s="10" t="s">
        <v>1015</v>
      </c>
      <c r="C1766" s="11" t="s">
        <v>1140</v>
      </c>
      <c r="D1766" s="9"/>
      <c r="E1766" s="9">
        <v>50</v>
      </c>
      <c r="F1766" s="10" t="s">
        <v>1066</v>
      </c>
      <c r="G1766" s="9">
        <v>5501</v>
      </c>
      <c r="H1766" s="9">
        <v>1990</v>
      </c>
      <c r="I1766" s="8">
        <v>8086.8779999999997</v>
      </c>
      <c r="J1766" s="8">
        <v>7415.2449999999999</v>
      </c>
      <c r="K1766" s="8">
        <v>6630.9750000000004</v>
      </c>
      <c r="L1766" s="8">
        <v>5725.2510000000002</v>
      </c>
      <c r="M1766" s="8">
        <v>5162.625</v>
      </c>
      <c r="N1766" s="8">
        <v>4379.9359999999997</v>
      </c>
      <c r="O1766" s="8">
        <v>3236.9110000000001</v>
      </c>
      <c r="P1766" s="8">
        <v>2308.86</v>
      </c>
      <c r="Q1766" s="8">
        <v>2244.0940000000001</v>
      </c>
      <c r="R1766" s="8">
        <v>2073.498</v>
      </c>
      <c r="S1766" s="8">
        <v>1731.3520000000001</v>
      </c>
      <c r="T1766" s="8">
        <v>1397.3920000000001</v>
      </c>
      <c r="U1766" s="8">
        <v>1093.43</v>
      </c>
      <c r="V1766" s="8">
        <v>800.93700000000001</v>
      </c>
      <c r="W1766" s="8">
        <v>515.66300000000001</v>
      </c>
      <c r="X1766" s="8">
        <v>274.25900000000001</v>
      </c>
      <c r="Y1766" s="8">
        <v>109.054</v>
      </c>
      <c r="Z1766" s="8">
        <v>26.443999999999999</v>
      </c>
      <c r="AA1766" s="8">
        <v>3.1469999999999998</v>
      </c>
      <c r="AB1766" s="8">
        <v>0.182</v>
      </c>
      <c r="AC1766" s="8">
        <v>6.0000000000000001E-3</v>
      </c>
    </row>
    <row r="1767" spans="1:29" ht="11.65" x14ac:dyDescent="0.35">
      <c r="A1767" s="12">
        <v>1750</v>
      </c>
      <c r="B1767" s="10" t="s">
        <v>1015</v>
      </c>
      <c r="C1767" s="11" t="s">
        <v>1140</v>
      </c>
      <c r="D1767" s="9"/>
      <c r="E1767" s="9">
        <v>50</v>
      </c>
      <c r="F1767" s="10" t="s">
        <v>1066</v>
      </c>
      <c r="G1767" s="9">
        <v>5501</v>
      </c>
      <c r="H1767" s="9">
        <v>1995</v>
      </c>
      <c r="I1767" s="8">
        <v>8191.5870000000004</v>
      </c>
      <c r="J1767" s="8">
        <v>7836.67</v>
      </c>
      <c r="K1767" s="8">
        <v>7317.6930000000002</v>
      </c>
      <c r="L1767" s="8">
        <v>6478.1639999999998</v>
      </c>
      <c r="M1767" s="8">
        <v>5556.96</v>
      </c>
      <c r="N1767" s="8">
        <v>5048.9750000000004</v>
      </c>
      <c r="O1767" s="8">
        <v>4304.82</v>
      </c>
      <c r="P1767" s="8">
        <v>3190.4920000000002</v>
      </c>
      <c r="Q1767" s="8">
        <v>2268.6170000000002</v>
      </c>
      <c r="R1767" s="8">
        <v>2183.8690000000001</v>
      </c>
      <c r="S1767" s="8">
        <v>1986.087</v>
      </c>
      <c r="T1767" s="8">
        <v>1626.616</v>
      </c>
      <c r="U1767" s="8">
        <v>1264.0239999999999</v>
      </c>
      <c r="V1767" s="8">
        <v>922.28700000000003</v>
      </c>
      <c r="W1767" s="8">
        <v>609.58900000000006</v>
      </c>
      <c r="X1767" s="8">
        <v>330.77300000000002</v>
      </c>
      <c r="Y1767" s="8">
        <v>135.18199999999999</v>
      </c>
      <c r="Z1767" s="8">
        <v>35.935000000000002</v>
      </c>
      <c r="AA1767" s="8">
        <v>5.1150000000000002</v>
      </c>
      <c r="AB1767" s="8">
        <v>0.33500000000000002</v>
      </c>
      <c r="AC1767" s="8">
        <v>1.0999999999999999E-2</v>
      </c>
    </row>
    <row r="1768" spans="1:29" ht="11.65" x14ac:dyDescent="0.35">
      <c r="A1768" s="12">
        <v>1751</v>
      </c>
      <c r="B1768" s="10" t="s">
        <v>1015</v>
      </c>
      <c r="C1768" s="11" t="s">
        <v>1140</v>
      </c>
      <c r="D1768" s="9"/>
      <c r="E1768" s="9">
        <v>50</v>
      </c>
      <c r="F1768" s="10" t="s">
        <v>1066</v>
      </c>
      <c r="G1768" s="9">
        <v>5501</v>
      </c>
      <c r="H1768" s="9">
        <v>2000</v>
      </c>
      <c r="I1768" s="8">
        <v>8302.9449999999997</v>
      </c>
      <c r="J1768" s="8">
        <v>8005.8010000000004</v>
      </c>
      <c r="K1768" s="8">
        <v>7749.9080000000004</v>
      </c>
      <c r="L1768" s="8">
        <v>7222.8590000000004</v>
      </c>
      <c r="M1768" s="8">
        <v>6356.9480000000003</v>
      </c>
      <c r="N1768" s="8">
        <v>5434.8320000000003</v>
      </c>
      <c r="O1768" s="8">
        <v>4956.6229999999996</v>
      </c>
      <c r="P1768" s="8">
        <v>4216.9539999999997</v>
      </c>
      <c r="Q1768" s="8">
        <v>3119.232</v>
      </c>
      <c r="R1768" s="8">
        <v>2209.114</v>
      </c>
      <c r="S1768" s="8">
        <v>2093.373</v>
      </c>
      <c r="T1768" s="8">
        <v>1873.49</v>
      </c>
      <c r="U1768" s="8">
        <v>1487.11</v>
      </c>
      <c r="V1768" s="8">
        <v>1102.7809999999999</v>
      </c>
      <c r="W1768" s="8">
        <v>747.72699999999998</v>
      </c>
      <c r="X1768" s="8">
        <v>443.86399999999998</v>
      </c>
      <c r="Y1768" s="8">
        <v>201.37899999999999</v>
      </c>
      <c r="Z1768" s="8">
        <v>58.6</v>
      </c>
      <c r="AA1768" s="8">
        <v>10.404</v>
      </c>
      <c r="AB1768" s="8">
        <v>1.0109999999999999</v>
      </c>
      <c r="AC1768" s="8">
        <v>4.2999999999999997E-2</v>
      </c>
    </row>
    <row r="1769" spans="1:29" ht="11.65" x14ac:dyDescent="0.35">
      <c r="A1769" s="12">
        <v>1752</v>
      </c>
      <c r="B1769" s="10" t="s">
        <v>1015</v>
      </c>
      <c r="C1769" s="11" t="s">
        <v>1140</v>
      </c>
      <c r="D1769" s="9"/>
      <c r="E1769" s="9">
        <v>50</v>
      </c>
      <c r="F1769" s="10" t="s">
        <v>1066</v>
      </c>
      <c r="G1769" s="9">
        <v>5501</v>
      </c>
      <c r="H1769" s="9">
        <v>2005</v>
      </c>
      <c r="I1769" s="8">
        <v>8243.8860000000004</v>
      </c>
      <c r="J1769" s="8">
        <v>8169.1859999999997</v>
      </c>
      <c r="K1769" s="8">
        <v>7955.3630000000003</v>
      </c>
      <c r="L1769" s="8">
        <v>7637.5190000000002</v>
      </c>
      <c r="M1769" s="8">
        <v>7008.5870000000004</v>
      </c>
      <c r="N1769" s="8">
        <v>6167.6670000000004</v>
      </c>
      <c r="O1769" s="8">
        <v>5282.4920000000002</v>
      </c>
      <c r="P1769" s="8">
        <v>4813.4830000000002</v>
      </c>
      <c r="Q1769" s="8">
        <v>4098.8999999999996</v>
      </c>
      <c r="R1769" s="8">
        <v>2990.3020000000001</v>
      </c>
      <c r="S1769" s="8">
        <v>2090.7629999999999</v>
      </c>
      <c r="T1769" s="8">
        <v>1961.115</v>
      </c>
      <c r="U1769" s="8">
        <v>1690.579</v>
      </c>
      <c r="V1769" s="8">
        <v>1279.623</v>
      </c>
      <c r="W1769" s="8">
        <v>890.09199999999998</v>
      </c>
      <c r="X1769" s="8">
        <v>548.59100000000001</v>
      </c>
      <c r="Y1769" s="8">
        <v>277.77699999999999</v>
      </c>
      <c r="Z1769" s="8">
        <v>94.537999999999997</v>
      </c>
      <c r="AA1769" s="8">
        <v>18.731999999999999</v>
      </c>
      <c r="AB1769" s="8">
        <v>2.2490000000000001</v>
      </c>
      <c r="AC1769" s="8">
        <v>0.15</v>
      </c>
    </row>
    <row r="1770" spans="1:29" ht="11.65" x14ac:dyDescent="0.35">
      <c r="A1770" s="12">
        <v>1753</v>
      </c>
      <c r="B1770" s="10" t="s">
        <v>1015</v>
      </c>
      <c r="C1770" s="11" t="s">
        <v>1140</v>
      </c>
      <c r="D1770" s="9"/>
      <c r="E1770" s="9">
        <v>50</v>
      </c>
      <c r="F1770" s="10" t="s">
        <v>1066</v>
      </c>
      <c r="G1770" s="9">
        <v>5501</v>
      </c>
      <c r="H1770" s="9">
        <v>2010</v>
      </c>
      <c r="I1770" s="8">
        <v>7803.759</v>
      </c>
      <c r="J1770" s="8">
        <v>8151.8829999999998</v>
      </c>
      <c r="K1770" s="8">
        <v>8126.95</v>
      </c>
      <c r="L1770" s="8">
        <v>7742.6930000000002</v>
      </c>
      <c r="M1770" s="8">
        <v>7183.817</v>
      </c>
      <c r="N1770" s="8">
        <v>6615.1620000000003</v>
      </c>
      <c r="O1770" s="8">
        <v>5860.0789999999997</v>
      </c>
      <c r="P1770" s="8">
        <v>5007.7439999999997</v>
      </c>
      <c r="Q1770" s="8">
        <v>4610.5309999999999</v>
      </c>
      <c r="R1770" s="8">
        <v>3867.89</v>
      </c>
      <c r="S1770" s="8">
        <v>2787.277</v>
      </c>
      <c r="T1770" s="8">
        <v>1919.4849999999999</v>
      </c>
      <c r="U1770" s="8">
        <v>1722.0219999999999</v>
      </c>
      <c r="V1770" s="8">
        <v>1418.8810000000001</v>
      </c>
      <c r="W1770" s="8">
        <v>1020.31</v>
      </c>
      <c r="X1770" s="8">
        <v>655.90800000000002</v>
      </c>
      <c r="Y1770" s="8">
        <v>347.05099999999999</v>
      </c>
      <c r="Z1770" s="8">
        <v>136.4</v>
      </c>
      <c r="AA1770" s="8">
        <v>32.97</v>
      </c>
      <c r="AB1770" s="8">
        <v>4.492</v>
      </c>
      <c r="AC1770" s="8">
        <v>0.38800000000000001</v>
      </c>
    </row>
    <row r="1771" spans="1:29" ht="11.65" x14ac:dyDescent="0.35">
      <c r="A1771" s="12">
        <v>1754</v>
      </c>
      <c r="B1771" s="10" t="s">
        <v>1015</v>
      </c>
      <c r="C1771" s="11" t="s">
        <v>1140</v>
      </c>
      <c r="D1771" s="9"/>
      <c r="E1771" s="9">
        <v>50</v>
      </c>
      <c r="F1771" s="10" t="s">
        <v>1066</v>
      </c>
      <c r="G1771" s="9">
        <v>5501</v>
      </c>
      <c r="H1771" s="9">
        <v>2015</v>
      </c>
      <c r="I1771" s="8">
        <v>7504.37</v>
      </c>
      <c r="J1771" s="8">
        <v>7744.06</v>
      </c>
      <c r="K1771" s="8">
        <v>8107.2489999999998</v>
      </c>
      <c r="L1771" s="8">
        <v>7981.8620000000001</v>
      </c>
      <c r="M1771" s="8">
        <v>7460.2629999999999</v>
      </c>
      <c r="N1771" s="8">
        <v>6933.9170000000004</v>
      </c>
      <c r="O1771" s="8">
        <v>6420.5460000000003</v>
      </c>
      <c r="P1771" s="8">
        <v>5679.3029999999999</v>
      </c>
      <c r="Q1771" s="8">
        <v>4867.3990000000003</v>
      </c>
      <c r="R1771" s="8">
        <v>4446.0749999999998</v>
      </c>
      <c r="S1771" s="8">
        <v>3690.221</v>
      </c>
      <c r="T1771" s="8">
        <v>2614.1610000000001</v>
      </c>
      <c r="U1771" s="8">
        <v>1724.453</v>
      </c>
      <c r="V1771" s="8">
        <v>1482.5889999999999</v>
      </c>
      <c r="W1771" s="8">
        <v>1150.74</v>
      </c>
      <c r="X1771" s="8">
        <v>754.90200000000004</v>
      </c>
      <c r="Y1771" s="8">
        <v>419.44099999999997</v>
      </c>
      <c r="Z1771" s="8">
        <v>175.39599999999999</v>
      </c>
      <c r="AA1771" s="8">
        <v>50.570999999999998</v>
      </c>
      <c r="AB1771" s="8">
        <v>8.7509999999999994</v>
      </c>
      <c r="AC1771" s="8">
        <v>0.88800000000000001</v>
      </c>
    </row>
    <row r="1772" spans="1:29" ht="11.65" x14ac:dyDescent="0.35">
      <c r="A1772" s="12">
        <v>1755</v>
      </c>
      <c r="B1772" s="10" t="s">
        <v>1015</v>
      </c>
      <c r="C1772" s="11" t="s">
        <v>1140</v>
      </c>
      <c r="D1772" s="9"/>
      <c r="E1772" s="9">
        <v>50</v>
      </c>
      <c r="F1772" s="10" t="s">
        <v>1066</v>
      </c>
      <c r="G1772" s="9">
        <v>5501</v>
      </c>
      <c r="H1772" s="9">
        <v>2020</v>
      </c>
      <c r="I1772" s="8">
        <v>7320.1930000000002</v>
      </c>
      <c r="J1772" s="8">
        <v>7476.9570000000003</v>
      </c>
      <c r="K1772" s="8">
        <v>7707.4359999999997</v>
      </c>
      <c r="L1772" s="8">
        <v>7975.2939999999999</v>
      </c>
      <c r="M1772" s="8">
        <v>7742.47</v>
      </c>
      <c r="N1772" s="8">
        <v>7257.6869999999999</v>
      </c>
      <c r="O1772" s="8">
        <v>6778.96</v>
      </c>
      <c r="P1772" s="8">
        <v>6271.1769999999997</v>
      </c>
      <c r="Q1772" s="8">
        <v>5553.52</v>
      </c>
      <c r="R1772" s="8">
        <v>4718.3810000000003</v>
      </c>
      <c r="S1772" s="8">
        <v>4264.7299999999996</v>
      </c>
      <c r="T1772" s="8">
        <v>3479.4949999999999</v>
      </c>
      <c r="U1772" s="8">
        <v>2371.855</v>
      </c>
      <c r="V1772" s="8">
        <v>1489.6089999999999</v>
      </c>
      <c r="W1772" s="8">
        <v>1206.8979999999999</v>
      </c>
      <c r="X1772" s="8">
        <v>855.12099999999998</v>
      </c>
      <c r="Y1772" s="8">
        <v>487.66199999999998</v>
      </c>
      <c r="Z1772" s="8">
        <v>217.066</v>
      </c>
      <c r="AA1772" s="8">
        <v>68.177999999999997</v>
      </c>
      <c r="AB1772" s="8">
        <v>14.497999999999999</v>
      </c>
      <c r="AC1772" s="8">
        <v>1.921</v>
      </c>
    </row>
    <row r="1773" spans="1:29" ht="11.65" x14ac:dyDescent="0.35">
      <c r="A1773" s="12">
        <v>1756</v>
      </c>
      <c r="B1773" s="10" t="s">
        <v>1015</v>
      </c>
      <c r="C1773" s="11" t="s">
        <v>1141</v>
      </c>
      <c r="D1773" s="9"/>
      <c r="E1773" s="9">
        <v>64</v>
      </c>
      <c r="F1773" s="10" t="s">
        <v>1066</v>
      </c>
      <c r="G1773" s="9">
        <v>5501</v>
      </c>
      <c r="H1773" s="9">
        <v>1950</v>
      </c>
      <c r="I1773" s="8">
        <v>16.236000000000001</v>
      </c>
      <c r="J1773" s="8">
        <v>12.667</v>
      </c>
      <c r="K1773" s="8">
        <v>10.849</v>
      </c>
      <c r="L1773" s="8">
        <v>9.3930000000000007</v>
      </c>
      <c r="M1773" s="8">
        <v>8.0570000000000004</v>
      </c>
      <c r="N1773" s="8">
        <v>6.843</v>
      </c>
      <c r="O1773" s="8">
        <v>5.7949999999999999</v>
      </c>
      <c r="P1773" s="8">
        <v>4.88</v>
      </c>
      <c r="Q1773" s="8">
        <v>4.0640000000000001</v>
      </c>
      <c r="R1773" s="8">
        <v>3.335</v>
      </c>
      <c r="S1773" s="8">
        <v>2.6840000000000002</v>
      </c>
      <c r="T1773" s="8">
        <v>2.0950000000000002</v>
      </c>
      <c r="U1773" s="8">
        <v>1.56</v>
      </c>
      <c r="V1773" s="8">
        <v>1.0760000000000001</v>
      </c>
      <c r="W1773" s="8">
        <v>0.65200000000000002</v>
      </c>
      <c r="X1773" s="8">
        <v>0.32100000000000001</v>
      </c>
      <c r="Y1773" s="8">
        <v>0.11600000000000001</v>
      </c>
      <c r="Z1773" s="8">
        <v>2.7E-2</v>
      </c>
      <c r="AA1773" s="8">
        <v>3.0000000000000001E-3</v>
      </c>
      <c r="AB1773" s="8">
        <v>0</v>
      </c>
      <c r="AC1773" s="8">
        <v>0</v>
      </c>
    </row>
    <row r="1774" spans="1:29" ht="11.65" x14ac:dyDescent="0.35">
      <c r="A1774" s="12">
        <v>1757</v>
      </c>
      <c r="B1774" s="10" t="s">
        <v>1015</v>
      </c>
      <c r="C1774" s="11" t="s">
        <v>1141</v>
      </c>
      <c r="D1774" s="9"/>
      <c r="E1774" s="9">
        <v>64</v>
      </c>
      <c r="F1774" s="10" t="s">
        <v>1066</v>
      </c>
      <c r="G1774" s="9">
        <v>5501</v>
      </c>
      <c r="H1774" s="9">
        <v>1955</v>
      </c>
      <c r="I1774" s="8">
        <v>16.193999999999999</v>
      </c>
      <c r="J1774" s="8">
        <v>14.444000000000001</v>
      </c>
      <c r="K1774" s="8">
        <v>12.265000000000001</v>
      </c>
      <c r="L1774" s="8">
        <v>10.647</v>
      </c>
      <c r="M1774" s="8">
        <v>9.3209999999999997</v>
      </c>
      <c r="N1774" s="8">
        <v>8.0399999999999991</v>
      </c>
      <c r="O1774" s="8">
        <v>6.7709999999999999</v>
      </c>
      <c r="P1774" s="8">
        <v>5.6189999999999998</v>
      </c>
      <c r="Q1774" s="8">
        <v>4.6109999999999998</v>
      </c>
      <c r="R1774" s="8">
        <v>3.7389999999999999</v>
      </c>
      <c r="S1774" s="8">
        <v>2.9710000000000001</v>
      </c>
      <c r="T1774" s="8">
        <v>2.2909999999999999</v>
      </c>
      <c r="U1774" s="8">
        <v>1.679</v>
      </c>
      <c r="V1774" s="8">
        <v>1.137</v>
      </c>
      <c r="W1774" s="8">
        <v>0.68899999999999995</v>
      </c>
      <c r="X1774" s="8">
        <v>0.33700000000000002</v>
      </c>
      <c r="Y1774" s="8">
        <v>0.123</v>
      </c>
      <c r="Z1774" s="8">
        <v>3.1E-2</v>
      </c>
      <c r="AA1774" s="8">
        <v>4.0000000000000001E-3</v>
      </c>
      <c r="AB1774" s="8">
        <v>0</v>
      </c>
      <c r="AC1774" s="8">
        <v>0</v>
      </c>
    </row>
    <row r="1775" spans="1:29" ht="11.65" x14ac:dyDescent="0.35">
      <c r="A1775" s="12">
        <v>1758</v>
      </c>
      <c r="B1775" s="10" t="s">
        <v>1015</v>
      </c>
      <c r="C1775" s="11" t="s">
        <v>1141</v>
      </c>
      <c r="D1775" s="9"/>
      <c r="E1775" s="9">
        <v>64</v>
      </c>
      <c r="F1775" s="10" t="s">
        <v>1066</v>
      </c>
      <c r="G1775" s="9">
        <v>5501</v>
      </c>
      <c r="H1775" s="9">
        <v>1960</v>
      </c>
      <c r="I1775" s="8">
        <v>19.210999999999999</v>
      </c>
      <c r="J1775" s="8">
        <v>14.499000000000001</v>
      </c>
      <c r="K1775" s="8">
        <v>13.999000000000001</v>
      </c>
      <c r="L1775" s="8">
        <v>12.031000000000001</v>
      </c>
      <c r="M1775" s="8">
        <v>10.537000000000001</v>
      </c>
      <c r="N1775" s="8">
        <v>9.2520000000000007</v>
      </c>
      <c r="O1775" s="8">
        <v>7.9089999999999998</v>
      </c>
      <c r="P1775" s="8">
        <v>6.5389999999999997</v>
      </c>
      <c r="Q1775" s="8">
        <v>5.3</v>
      </c>
      <c r="R1775" s="8">
        <v>4.2439999999999998</v>
      </c>
      <c r="S1775" s="8">
        <v>3.339</v>
      </c>
      <c r="T1775" s="8">
        <v>2.5499999999999998</v>
      </c>
      <c r="U1775" s="8">
        <v>1.857</v>
      </c>
      <c r="V1775" s="8">
        <v>1.248</v>
      </c>
      <c r="W1775" s="8">
        <v>0.748</v>
      </c>
      <c r="X1775" s="8">
        <v>0.372</v>
      </c>
      <c r="Y1775" s="8">
        <v>0.13700000000000001</v>
      </c>
      <c r="Z1775" s="8">
        <v>3.4000000000000002E-2</v>
      </c>
      <c r="AA1775" s="8">
        <v>5.0000000000000001E-3</v>
      </c>
      <c r="AB1775" s="8">
        <v>0</v>
      </c>
      <c r="AC1775" s="8">
        <v>0</v>
      </c>
    </row>
    <row r="1776" spans="1:29" ht="11.65" x14ac:dyDescent="0.35">
      <c r="A1776" s="12">
        <v>1759</v>
      </c>
      <c r="B1776" s="10" t="s">
        <v>1015</v>
      </c>
      <c r="C1776" s="11" t="s">
        <v>1141</v>
      </c>
      <c r="D1776" s="9"/>
      <c r="E1776" s="9">
        <v>64</v>
      </c>
      <c r="F1776" s="10" t="s">
        <v>1066</v>
      </c>
      <c r="G1776" s="9">
        <v>5501</v>
      </c>
      <c r="H1776" s="9">
        <v>1965</v>
      </c>
      <c r="I1776" s="8">
        <v>22.408000000000001</v>
      </c>
      <c r="J1776" s="8">
        <v>17.254000000000001</v>
      </c>
      <c r="K1776" s="8">
        <v>14.037000000000001</v>
      </c>
      <c r="L1776" s="8">
        <v>13.718999999999999</v>
      </c>
      <c r="M1776" s="8">
        <v>11.888999999999999</v>
      </c>
      <c r="N1776" s="8">
        <v>10.43</v>
      </c>
      <c r="O1776" s="8">
        <v>9.0640000000000001</v>
      </c>
      <c r="P1776" s="8">
        <v>7.6070000000000002</v>
      </c>
      <c r="Q1776" s="8">
        <v>6.1559999999999997</v>
      </c>
      <c r="R1776" s="8">
        <v>4.8810000000000002</v>
      </c>
      <c r="S1776" s="8">
        <v>3.806</v>
      </c>
      <c r="T1776" s="8">
        <v>2.891</v>
      </c>
      <c r="U1776" s="8">
        <v>2.0960000000000001</v>
      </c>
      <c r="V1776" s="8">
        <v>1.4079999999999999</v>
      </c>
      <c r="W1776" s="8">
        <v>0.84499999999999997</v>
      </c>
      <c r="X1776" s="8">
        <v>0.42199999999999999</v>
      </c>
      <c r="Y1776" s="8">
        <v>0.161</v>
      </c>
      <c r="Z1776" s="8">
        <v>4.2000000000000003E-2</v>
      </c>
      <c r="AA1776" s="8">
        <v>7.0000000000000001E-3</v>
      </c>
      <c r="AB1776" s="8">
        <v>0</v>
      </c>
      <c r="AC1776" s="8">
        <v>0</v>
      </c>
    </row>
    <row r="1777" spans="1:29" ht="11.65" x14ac:dyDescent="0.35">
      <c r="A1777" s="12">
        <v>1760</v>
      </c>
      <c r="B1777" s="10" t="s">
        <v>1015</v>
      </c>
      <c r="C1777" s="11" t="s">
        <v>1141</v>
      </c>
      <c r="D1777" s="9"/>
      <c r="E1777" s="9">
        <v>64</v>
      </c>
      <c r="F1777" s="10" t="s">
        <v>1066</v>
      </c>
      <c r="G1777" s="9">
        <v>5501</v>
      </c>
      <c r="H1777" s="9">
        <v>1970</v>
      </c>
      <c r="I1777" s="8">
        <v>26.928999999999998</v>
      </c>
      <c r="J1777" s="8">
        <v>20.436</v>
      </c>
      <c r="K1777" s="8">
        <v>16.780999999999999</v>
      </c>
      <c r="L1777" s="8">
        <v>13.948</v>
      </c>
      <c r="M1777" s="8">
        <v>13.929</v>
      </c>
      <c r="N1777" s="8">
        <v>12.224</v>
      </c>
      <c r="O1777" s="8">
        <v>10.61</v>
      </c>
      <c r="P1777" s="8">
        <v>9.0030000000000001</v>
      </c>
      <c r="Q1777" s="8">
        <v>7.3650000000000002</v>
      </c>
      <c r="R1777" s="8">
        <v>5.819</v>
      </c>
      <c r="S1777" s="8">
        <v>4.4909999999999997</v>
      </c>
      <c r="T1777" s="8">
        <v>3.3820000000000001</v>
      </c>
      <c r="U1777" s="8">
        <v>2.4470000000000001</v>
      </c>
      <c r="V1777" s="8">
        <v>1.6479999999999999</v>
      </c>
      <c r="W1777" s="8">
        <v>0.998</v>
      </c>
      <c r="X1777" s="8">
        <v>0.50700000000000001</v>
      </c>
      <c r="Y1777" s="8">
        <v>0.20100000000000001</v>
      </c>
      <c r="Z1777" s="8">
        <v>5.5E-2</v>
      </c>
      <c r="AA1777" s="8">
        <v>8.9999999999999993E-3</v>
      </c>
      <c r="AB1777" s="8">
        <v>0</v>
      </c>
      <c r="AC1777" s="8">
        <v>0</v>
      </c>
    </row>
    <row r="1778" spans="1:29" ht="11.65" x14ac:dyDescent="0.35">
      <c r="A1778" s="12">
        <v>1761</v>
      </c>
      <c r="B1778" s="10" t="s">
        <v>1015</v>
      </c>
      <c r="C1778" s="11" t="s">
        <v>1141</v>
      </c>
      <c r="D1778" s="9"/>
      <c r="E1778" s="9">
        <v>64</v>
      </c>
      <c r="F1778" s="10" t="s">
        <v>1066</v>
      </c>
      <c r="G1778" s="9">
        <v>5501</v>
      </c>
      <c r="H1778" s="9">
        <v>1975</v>
      </c>
      <c r="I1778" s="8">
        <v>31.585999999999999</v>
      </c>
      <c r="J1778" s="8">
        <v>24.74</v>
      </c>
      <c r="K1778" s="8">
        <v>19.888000000000002</v>
      </c>
      <c r="L1778" s="8">
        <v>16.802</v>
      </c>
      <c r="M1778" s="8">
        <v>14.615</v>
      </c>
      <c r="N1778" s="8">
        <v>14.763999999999999</v>
      </c>
      <c r="O1778" s="8">
        <v>12.815</v>
      </c>
      <c r="P1778" s="8">
        <v>10.826000000000001</v>
      </c>
      <c r="Q1778" s="8">
        <v>8.9280000000000008</v>
      </c>
      <c r="R1778" s="8">
        <v>7.1139999999999999</v>
      </c>
      <c r="S1778" s="8">
        <v>5.47</v>
      </c>
      <c r="T1778" s="8">
        <v>4.0860000000000003</v>
      </c>
      <c r="U1778" s="8">
        <v>2.9409999999999998</v>
      </c>
      <c r="V1778" s="8">
        <v>1.99</v>
      </c>
      <c r="W1778" s="8">
        <v>1.214</v>
      </c>
      <c r="X1778" s="8">
        <v>0.63400000000000001</v>
      </c>
      <c r="Y1778" s="8">
        <v>0.26100000000000001</v>
      </c>
      <c r="Z1778" s="8">
        <v>7.4999999999999997E-2</v>
      </c>
      <c r="AA1778" s="8">
        <v>1.4999999999999999E-2</v>
      </c>
      <c r="AB1778" s="8">
        <v>0</v>
      </c>
      <c r="AC1778" s="8">
        <v>0</v>
      </c>
    </row>
    <row r="1779" spans="1:29" ht="11.65" x14ac:dyDescent="0.35">
      <c r="A1779" s="12">
        <v>1762</v>
      </c>
      <c r="B1779" s="10" t="s">
        <v>1015</v>
      </c>
      <c r="C1779" s="11" t="s">
        <v>1141</v>
      </c>
      <c r="D1779" s="9"/>
      <c r="E1779" s="9">
        <v>64</v>
      </c>
      <c r="F1779" s="10" t="s">
        <v>1066</v>
      </c>
      <c r="G1779" s="9">
        <v>5501</v>
      </c>
      <c r="H1779" s="9">
        <v>1980</v>
      </c>
      <c r="I1779" s="8">
        <v>36.264000000000003</v>
      </c>
      <c r="J1779" s="8">
        <v>29.279</v>
      </c>
      <c r="K1779" s="8">
        <v>24.106999999999999</v>
      </c>
      <c r="L1779" s="8">
        <v>19.875</v>
      </c>
      <c r="M1779" s="8">
        <v>17.437000000000001</v>
      </c>
      <c r="N1779" s="8">
        <v>15.491</v>
      </c>
      <c r="O1779" s="8">
        <v>15.297000000000001</v>
      </c>
      <c r="P1779" s="8">
        <v>12.958</v>
      </c>
      <c r="Q1779" s="8">
        <v>10.677</v>
      </c>
      <c r="R1779" s="8">
        <v>8.5980000000000008</v>
      </c>
      <c r="S1779" s="8">
        <v>6.6870000000000003</v>
      </c>
      <c r="T1779" s="8">
        <v>4.9939999999999998</v>
      </c>
      <c r="U1779" s="8">
        <v>3.581</v>
      </c>
      <c r="V1779" s="8">
        <v>2.423</v>
      </c>
      <c r="W1779" s="8">
        <v>1.4970000000000001</v>
      </c>
      <c r="X1779" s="8">
        <v>0.79600000000000004</v>
      </c>
      <c r="Y1779" s="8">
        <v>0.33900000000000002</v>
      </c>
      <c r="Z1779" s="8">
        <v>0.106</v>
      </c>
      <c r="AA1779" s="8">
        <v>2.1000000000000001E-2</v>
      </c>
      <c r="AB1779" s="8">
        <v>3.0000000000000001E-3</v>
      </c>
      <c r="AC1779" s="8">
        <v>0</v>
      </c>
    </row>
    <row r="1780" spans="1:29" ht="11.65" x14ac:dyDescent="0.35">
      <c r="A1780" s="12">
        <v>1763</v>
      </c>
      <c r="B1780" s="10" t="s">
        <v>1015</v>
      </c>
      <c r="C1780" s="11" t="s">
        <v>1141</v>
      </c>
      <c r="D1780" s="9"/>
      <c r="E1780" s="9">
        <v>64</v>
      </c>
      <c r="F1780" s="10" t="s">
        <v>1066</v>
      </c>
      <c r="G1780" s="9">
        <v>5501</v>
      </c>
      <c r="H1780" s="9">
        <v>1985</v>
      </c>
      <c r="I1780" s="8">
        <v>40.542999999999999</v>
      </c>
      <c r="J1780" s="8">
        <v>33.923000000000002</v>
      </c>
      <c r="K1780" s="8">
        <v>28.527999999999999</v>
      </c>
      <c r="L1780" s="8">
        <v>23.649000000000001</v>
      </c>
      <c r="M1780" s="8">
        <v>19.454000000000001</v>
      </c>
      <c r="N1780" s="8">
        <v>16.971</v>
      </c>
      <c r="O1780" s="8">
        <v>14.946999999999999</v>
      </c>
      <c r="P1780" s="8">
        <v>14.579000000000001</v>
      </c>
      <c r="Q1780" s="8">
        <v>12.202</v>
      </c>
      <c r="R1780" s="8">
        <v>9.9220000000000006</v>
      </c>
      <c r="S1780" s="8">
        <v>7.8609999999999998</v>
      </c>
      <c r="T1780" s="8">
        <v>5.9790000000000001</v>
      </c>
      <c r="U1780" s="8">
        <v>4.3150000000000004</v>
      </c>
      <c r="V1780" s="8">
        <v>2.931</v>
      </c>
      <c r="W1780" s="8">
        <v>1.821</v>
      </c>
      <c r="X1780" s="8">
        <v>0.98599999999999999</v>
      </c>
      <c r="Y1780" s="8">
        <v>0.42799999999999999</v>
      </c>
      <c r="Z1780" s="8">
        <v>0.14099999999999999</v>
      </c>
      <c r="AA1780" s="8">
        <v>3.2000000000000001E-2</v>
      </c>
      <c r="AB1780" s="8">
        <v>4.0000000000000001E-3</v>
      </c>
      <c r="AC1780" s="8">
        <v>0</v>
      </c>
    </row>
    <row r="1781" spans="1:29" ht="11.65" x14ac:dyDescent="0.35">
      <c r="A1781" s="12">
        <v>1764</v>
      </c>
      <c r="B1781" s="10" t="s">
        <v>1015</v>
      </c>
      <c r="C1781" s="11" t="s">
        <v>1141</v>
      </c>
      <c r="D1781" s="9"/>
      <c r="E1781" s="9">
        <v>64</v>
      </c>
      <c r="F1781" s="10" t="s">
        <v>1066</v>
      </c>
      <c r="G1781" s="9">
        <v>5501</v>
      </c>
      <c r="H1781" s="9">
        <v>1990</v>
      </c>
      <c r="I1781" s="8">
        <v>44.941000000000003</v>
      </c>
      <c r="J1781" s="8">
        <v>38.401000000000003</v>
      </c>
      <c r="K1781" s="8">
        <v>33.186</v>
      </c>
      <c r="L1781" s="8">
        <v>28.1</v>
      </c>
      <c r="M1781" s="8">
        <v>23.312000000000001</v>
      </c>
      <c r="N1781" s="8">
        <v>19.126999999999999</v>
      </c>
      <c r="O1781" s="8">
        <v>16.556000000000001</v>
      </c>
      <c r="P1781" s="8">
        <v>14.41</v>
      </c>
      <c r="Q1781" s="8">
        <v>13.872999999999999</v>
      </c>
      <c r="R1781" s="8">
        <v>11.462</v>
      </c>
      <c r="S1781" s="8">
        <v>9.1750000000000007</v>
      </c>
      <c r="T1781" s="8">
        <v>7.1159999999999997</v>
      </c>
      <c r="U1781" s="8">
        <v>5.2439999999999998</v>
      </c>
      <c r="V1781" s="8">
        <v>3.601</v>
      </c>
      <c r="W1781" s="8">
        <v>2.2589999999999999</v>
      </c>
      <c r="X1781" s="8">
        <v>1.244</v>
      </c>
      <c r="Y1781" s="8">
        <v>0.56000000000000005</v>
      </c>
      <c r="Z1781" s="8">
        <v>0.19</v>
      </c>
      <c r="AA1781" s="8">
        <v>4.5999999999999999E-2</v>
      </c>
      <c r="AB1781" s="8">
        <v>7.0000000000000001E-3</v>
      </c>
      <c r="AC1781" s="8">
        <v>1E-3</v>
      </c>
    </row>
    <row r="1782" spans="1:29" ht="11.65" x14ac:dyDescent="0.35">
      <c r="A1782" s="12">
        <v>1765</v>
      </c>
      <c r="B1782" s="10" t="s">
        <v>1015</v>
      </c>
      <c r="C1782" s="11" t="s">
        <v>1141</v>
      </c>
      <c r="D1782" s="9"/>
      <c r="E1782" s="9">
        <v>64</v>
      </c>
      <c r="F1782" s="10" t="s">
        <v>1066</v>
      </c>
      <c r="G1782" s="9">
        <v>5501</v>
      </c>
      <c r="H1782" s="9">
        <v>1995</v>
      </c>
      <c r="I1782" s="8">
        <v>42.156999999999996</v>
      </c>
      <c r="J1782" s="8">
        <v>39.585000000000001</v>
      </c>
      <c r="K1782" s="8">
        <v>33.982999999999997</v>
      </c>
      <c r="L1782" s="8">
        <v>28.292000000000002</v>
      </c>
      <c r="M1782" s="8">
        <v>23.266999999999999</v>
      </c>
      <c r="N1782" s="8">
        <v>20.294</v>
      </c>
      <c r="O1782" s="8">
        <v>15.85</v>
      </c>
      <c r="P1782" s="8">
        <v>13.97</v>
      </c>
      <c r="Q1782" s="8">
        <v>11.548999999999999</v>
      </c>
      <c r="R1782" s="8">
        <v>11.053000000000001</v>
      </c>
      <c r="S1782" s="8">
        <v>9.907</v>
      </c>
      <c r="T1782" s="8">
        <v>7.9619999999999997</v>
      </c>
      <c r="U1782" s="8">
        <v>6.1420000000000003</v>
      </c>
      <c r="V1782" s="8">
        <v>4.3940000000000001</v>
      </c>
      <c r="W1782" s="8">
        <v>2.8410000000000002</v>
      </c>
      <c r="X1782" s="8">
        <v>1.5940000000000001</v>
      </c>
      <c r="Y1782" s="8">
        <v>0.73899999999999999</v>
      </c>
      <c r="Z1782" s="8">
        <v>0.26300000000000001</v>
      </c>
      <c r="AA1782" s="8">
        <v>6.7000000000000004E-2</v>
      </c>
      <c r="AB1782" s="8">
        <v>1.0999999999999999E-2</v>
      </c>
      <c r="AC1782" s="8">
        <v>1E-3</v>
      </c>
    </row>
    <row r="1783" spans="1:29" ht="11.65" x14ac:dyDescent="0.35">
      <c r="A1783" s="12">
        <v>1766</v>
      </c>
      <c r="B1783" s="10" t="s">
        <v>1015</v>
      </c>
      <c r="C1783" s="11" t="s">
        <v>1141</v>
      </c>
      <c r="D1783" s="9"/>
      <c r="E1783" s="9">
        <v>64</v>
      </c>
      <c r="F1783" s="10" t="s">
        <v>1066</v>
      </c>
      <c r="G1783" s="9">
        <v>5501</v>
      </c>
      <c r="H1783" s="9">
        <v>2000</v>
      </c>
      <c r="I1783" s="8">
        <v>39.398000000000003</v>
      </c>
      <c r="J1783" s="8">
        <v>40.767000000000003</v>
      </c>
      <c r="K1783" s="8">
        <v>39.003999999999998</v>
      </c>
      <c r="L1783" s="8">
        <v>33.603000000000002</v>
      </c>
      <c r="M1783" s="8">
        <v>27.931999999999999</v>
      </c>
      <c r="N1783" s="8">
        <v>22.876000000000001</v>
      </c>
      <c r="O1783" s="8">
        <v>19.832999999999998</v>
      </c>
      <c r="P1783" s="8">
        <v>15.369</v>
      </c>
      <c r="Q1783" s="8">
        <v>13.427</v>
      </c>
      <c r="R1783" s="8">
        <v>10.987</v>
      </c>
      <c r="S1783" s="8">
        <v>10.379</v>
      </c>
      <c r="T1783" s="8">
        <v>9.14</v>
      </c>
      <c r="U1783" s="8">
        <v>7.1580000000000004</v>
      </c>
      <c r="V1783" s="8">
        <v>5.3</v>
      </c>
      <c r="W1783" s="8">
        <v>3.5539999999999998</v>
      </c>
      <c r="X1783" s="8">
        <v>2.0760000000000001</v>
      </c>
      <c r="Y1783" s="8">
        <v>0.99399999999999999</v>
      </c>
      <c r="Z1783" s="8">
        <v>0.37</v>
      </c>
      <c r="AA1783" s="8">
        <v>9.9000000000000005E-2</v>
      </c>
      <c r="AB1783" s="8">
        <v>1.4999999999999999E-2</v>
      </c>
      <c r="AC1783" s="8">
        <v>2E-3</v>
      </c>
    </row>
    <row r="1784" spans="1:29" ht="11.65" x14ac:dyDescent="0.35">
      <c r="A1784" s="12">
        <v>1767</v>
      </c>
      <c r="B1784" s="10" t="s">
        <v>1015</v>
      </c>
      <c r="C1784" s="11" t="s">
        <v>1141</v>
      </c>
      <c r="D1784" s="9"/>
      <c r="E1784" s="9">
        <v>64</v>
      </c>
      <c r="F1784" s="10" t="s">
        <v>1066</v>
      </c>
      <c r="G1784" s="9">
        <v>5501</v>
      </c>
      <c r="H1784" s="9">
        <v>2005</v>
      </c>
      <c r="I1784" s="8">
        <v>36.283000000000001</v>
      </c>
      <c r="J1784" s="8">
        <v>38.698</v>
      </c>
      <c r="K1784" s="8">
        <v>40.362000000000002</v>
      </c>
      <c r="L1784" s="8">
        <v>39.645000000000003</v>
      </c>
      <c r="M1784" s="8">
        <v>36.692</v>
      </c>
      <c r="N1784" s="8">
        <v>31.178000000000001</v>
      </c>
      <c r="O1784" s="8">
        <v>24.111000000000001</v>
      </c>
      <c r="P1784" s="8">
        <v>20.170000000000002</v>
      </c>
      <c r="Q1784" s="8">
        <v>15.407999999999999</v>
      </c>
      <c r="R1784" s="8">
        <v>13.226000000000001</v>
      </c>
      <c r="S1784" s="8">
        <v>10.653</v>
      </c>
      <c r="T1784" s="8">
        <v>9.8469999999999995</v>
      </c>
      <c r="U1784" s="8">
        <v>8.4239999999999995</v>
      </c>
      <c r="V1784" s="8">
        <v>6.3159999999999998</v>
      </c>
      <c r="W1784" s="8">
        <v>4.391</v>
      </c>
      <c r="X1784" s="8">
        <v>2.6869999999999998</v>
      </c>
      <c r="Y1784" s="8">
        <v>1.3560000000000001</v>
      </c>
      <c r="Z1784" s="8">
        <v>0.53100000000000003</v>
      </c>
      <c r="AA1784" s="8">
        <v>0.152</v>
      </c>
      <c r="AB1784" s="8">
        <v>2.9000000000000001E-2</v>
      </c>
      <c r="AC1784" s="8">
        <v>3.0000000000000001E-3</v>
      </c>
    </row>
    <row r="1785" spans="1:29" ht="11.65" x14ac:dyDescent="0.35">
      <c r="A1785" s="12">
        <v>1768</v>
      </c>
      <c r="B1785" s="10" t="s">
        <v>1015</v>
      </c>
      <c r="C1785" s="11" t="s">
        <v>1141</v>
      </c>
      <c r="D1785" s="9"/>
      <c r="E1785" s="9">
        <v>64</v>
      </c>
      <c r="F1785" s="10" t="s">
        <v>1066</v>
      </c>
      <c r="G1785" s="9">
        <v>5501</v>
      </c>
      <c r="H1785" s="9">
        <v>2010</v>
      </c>
      <c r="I1785" s="8">
        <v>34.003</v>
      </c>
      <c r="J1785" s="8">
        <v>35.905999999999999</v>
      </c>
      <c r="K1785" s="8">
        <v>38.491</v>
      </c>
      <c r="L1785" s="8">
        <v>40.569000000000003</v>
      </c>
      <c r="M1785" s="8">
        <v>39.351999999999997</v>
      </c>
      <c r="N1785" s="8">
        <v>34.935000000000002</v>
      </c>
      <c r="O1785" s="8">
        <v>29.161000000000001</v>
      </c>
      <c r="P1785" s="8">
        <v>22.645</v>
      </c>
      <c r="Q1785" s="8">
        <v>19.244</v>
      </c>
      <c r="R1785" s="8">
        <v>14.858000000000001</v>
      </c>
      <c r="S1785" s="8">
        <v>12.616</v>
      </c>
      <c r="T1785" s="8">
        <v>10.019</v>
      </c>
      <c r="U1785" s="8">
        <v>9.0709999999999997</v>
      </c>
      <c r="V1785" s="8">
        <v>7.5149999999999997</v>
      </c>
      <c r="W1785" s="8">
        <v>5.359</v>
      </c>
      <c r="X1785" s="8">
        <v>3.4340000000000002</v>
      </c>
      <c r="Y1785" s="8">
        <v>1.841</v>
      </c>
      <c r="Z1785" s="8">
        <v>0.77200000000000002</v>
      </c>
      <c r="AA1785" s="8">
        <v>0.23699999999999999</v>
      </c>
      <c r="AB1785" s="8">
        <v>4.9000000000000002E-2</v>
      </c>
      <c r="AC1785" s="8">
        <v>6.0000000000000001E-3</v>
      </c>
    </row>
    <row r="1786" spans="1:29" ht="11.65" x14ac:dyDescent="0.35">
      <c r="A1786" s="12">
        <v>1769</v>
      </c>
      <c r="B1786" s="10" t="s">
        <v>1015</v>
      </c>
      <c r="C1786" s="11" t="s">
        <v>1141</v>
      </c>
      <c r="D1786" s="9"/>
      <c r="E1786" s="9">
        <v>64</v>
      </c>
      <c r="F1786" s="10" t="s">
        <v>1066</v>
      </c>
      <c r="G1786" s="9">
        <v>5501</v>
      </c>
      <c r="H1786" s="9">
        <v>2015</v>
      </c>
      <c r="I1786" s="8">
        <v>31.661000000000001</v>
      </c>
      <c r="J1786" s="8">
        <v>33.749000000000002</v>
      </c>
      <c r="K1786" s="8">
        <v>35.734999999999999</v>
      </c>
      <c r="L1786" s="8">
        <v>38.311</v>
      </c>
      <c r="M1786" s="8">
        <v>41.298999999999999</v>
      </c>
      <c r="N1786" s="8">
        <v>40.512999999999998</v>
      </c>
      <c r="O1786" s="8">
        <v>34.994</v>
      </c>
      <c r="P1786" s="8">
        <v>28.602</v>
      </c>
      <c r="Q1786" s="8">
        <v>22.073</v>
      </c>
      <c r="R1786" s="8">
        <v>18.614999999999998</v>
      </c>
      <c r="S1786" s="8">
        <v>14.241</v>
      </c>
      <c r="T1786" s="8">
        <v>11.942</v>
      </c>
      <c r="U1786" s="8">
        <v>9.3119999999999994</v>
      </c>
      <c r="V1786" s="8">
        <v>8.1929999999999996</v>
      </c>
      <c r="W1786" s="8">
        <v>6.4790000000000001</v>
      </c>
      <c r="X1786" s="8">
        <v>4.29</v>
      </c>
      <c r="Y1786" s="8">
        <v>2.4409999999999998</v>
      </c>
      <c r="Z1786" s="8">
        <v>1.1040000000000001</v>
      </c>
      <c r="AA1786" s="8">
        <v>0.37</v>
      </c>
      <c r="AB1786" s="8">
        <v>8.2000000000000003E-2</v>
      </c>
      <c r="AC1786" s="8">
        <v>1.2E-2</v>
      </c>
    </row>
    <row r="1787" spans="1:29" ht="11.65" x14ac:dyDescent="0.35">
      <c r="A1787" s="12">
        <v>1770</v>
      </c>
      <c r="B1787" s="10" t="s">
        <v>1015</v>
      </c>
      <c r="C1787" s="11" t="s">
        <v>1141</v>
      </c>
      <c r="D1787" s="9"/>
      <c r="E1787" s="9">
        <v>64</v>
      </c>
      <c r="F1787" s="10" t="s">
        <v>1066</v>
      </c>
      <c r="G1787" s="9">
        <v>5501</v>
      </c>
      <c r="H1787" s="9">
        <v>2020</v>
      </c>
      <c r="I1787" s="8">
        <v>32.463000000000001</v>
      </c>
      <c r="J1787" s="8">
        <v>31.475000000000001</v>
      </c>
      <c r="K1787" s="8">
        <v>33.625999999999998</v>
      </c>
      <c r="L1787" s="8">
        <v>35.6</v>
      </c>
      <c r="M1787" s="8">
        <v>39.585999999999999</v>
      </c>
      <c r="N1787" s="8">
        <v>43.615000000000002</v>
      </c>
      <c r="O1787" s="8">
        <v>41.173000000000002</v>
      </c>
      <c r="P1787" s="8">
        <v>34.365000000000002</v>
      </c>
      <c r="Q1787" s="8">
        <v>27.925999999999998</v>
      </c>
      <c r="R1787" s="8">
        <v>21.405000000000001</v>
      </c>
      <c r="S1787" s="8">
        <v>17.901</v>
      </c>
      <c r="T1787" s="8">
        <v>13.539</v>
      </c>
      <c r="U1787" s="8">
        <v>11.167</v>
      </c>
      <c r="V1787" s="8">
        <v>8.4849999999999994</v>
      </c>
      <c r="W1787" s="8">
        <v>7.1520000000000001</v>
      </c>
      <c r="X1787" s="8">
        <v>5.2779999999999996</v>
      </c>
      <c r="Y1787" s="8">
        <v>3.12</v>
      </c>
      <c r="Z1787" s="8">
        <v>1.508</v>
      </c>
      <c r="AA1787" s="8">
        <v>0.54600000000000004</v>
      </c>
      <c r="AB1787" s="8">
        <v>0.13600000000000001</v>
      </c>
      <c r="AC1787" s="8">
        <v>2.1000000000000001E-2</v>
      </c>
    </row>
    <row r="1788" spans="1:29" ht="11.65" x14ac:dyDescent="0.35">
      <c r="A1788" s="12">
        <v>1771</v>
      </c>
      <c r="B1788" s="10" t="s">
        <v>1015</v>
      </c>
      <c r="C1788" s="11" t="s">
        <v>1142</v>
      </c>
      <c r="D1788" s="9"/>
      <c r="E1788" s="9">
        <v>356</v>
      </c>
      <c r="F1788" s="10" t="s">
        <v>1066</v>
      </c>
      <c r="G1788" s="9">
        <v>5501</v>
      </c>
      <c r="H1788" s="9">
        <v>1950</v>
      </c>
      <c r="I1788" s="8">
        <v>27332.3</v>
      </c>
      <c r="J1788" s="8">
        <v>22769.9</v>
      </c>
      <c r="K1788" s="8">
        <v>21310</v>
      </c>
      <c r="L1788" s="8">
        <v>19611.099999999999</v>
      </c>
      <c r="M1788" s="8">
        <v>17894.599999999999</v>
      </c>
      <c r="N1788" s="8">
        <v>15889</v>
      </c>
      <c r="O1788" s="8">
        <v>14062.7</v>
      </c>
      <c r="P1788" s="8">
        <v>12204.501</v>
      </c>
      <c r="Q1788" s="8">
        <v>10722.9</v>
      </c>
      <c r="R1788" s="8">
        <v>8704.2000000000007</v>
      </c>
      <c r="S1788" s="8">
        <v>7380.8</v>
      </c>
      <c r="T1788" s="8">
        <v>5174.8990000000003</v>
      </c>
      <c r="U1788" s="8">
        <v>4246.5990000000002</v>
      </c>
      <c r="V1788" s="8">
        <v>2415.6990000000001</v>
      </c>
      <c r="W1788" s="8">
        <v>1795.8</v>
      </c>
      <c r="X1788" s="8">
        <v>989</v>
      </c>
      <c r="Y1788" s="8">
        <v>430.69900000000001</v>
      </c>
      <c r="Z1788" s="8">
        <v>137.80000000000001</v>
      </c>
      <c r="AA1788" s="8">
        <v>30.201000000000001</v>
      </c>
      <c r="AB1788" s="8">
        <v>5.4</v>
      </c>
      <c r="AC1788" s="8">
        <v>0</v>
      </c>
    </row>
    <row r="1789" spans="1:29" ht="11.65" x14ac:dyDescent="0.35">
      <c r="A1789" s="12">
        <v>1772</v>
      </c>
      <c r="B1789" s="10" t="s">
        <v>1015</v>
      </c>
      <c r="C1789" s="11" t="s">
        <v>1142</v>
      </c>
      <c r="D1789" s="9"/>
      <c r="E1789" s="9">
        <v>356</v>
      </c>
      <c r="F1789" s="10" t="s">
        <v>1066</v>
      </c>
      <c r="G1789" s="9">
        <v>5501</v>
      </c>
      <c r="H1789" s="9">
        <v>1955</v>
      </c>
      <c r="I1789" s="8">
        <v>34525.616999999998</v>
      </c>
      <c r="J1789" s="8">
        <v>25090.29</v>
      </c>
      <c r="K1789" s="8">
        <v>21909.609</v>
      </c>
      <c r="L1789" s="8">
        <v>20518.433000000001</v>
      </c>
      <c r="M1789" s="8">
        <v>18652.621999999999</v>
      </c>
      <c r="N1789" s="8">
        <v>16888.870999999999</v>
      </c>
      <c r="O1789" s="8">
        <v>14935.43</v>
      </c>
      <c r="P1789" s="8">
        <v>13118.084000000001</v>
      </c>
      <c r="Q1789" s="8">
        <v>11252.421</v>
      </c>
      <c r="R1789" s="8">
        <v>9712.8189999999995</v>
      </c>
      <c r="S1789" s="8">
        <v>7672.9139999999998</v>
      </c>
      <c r="T1789" s="8">
        <v>6258.7870000000003</v>
      </c>
      <c r="U1789" s="8">
        <v>4144.6779999999999</v>
      </c>
      <c r="V1789" s="8">
        <v>3130.9059999999999</v>
      </c>
      <c r="W1789" s="8">
        <v>1579.451</v>
      </c>
      <c r="X1789" s="8">
        <v>995.83799999999997</v>
      </c>
      <c r="Y1789" s="8">
        <v>417.52699999999999</v>
      </c>
      <c r="Z1789" s="8">
        <v>114.27500000000001</v>
      </c>
      <c r="AA1789" s="8">
        <v>18.783000000000001</v>
      </c>
      <c r="AB1789" s="8">
        <v>3.0379999999999998</v>
      </c>
      <c r="AC1789" s="8">
        <v>0.432</v>
      </c>
    </row>
    <row r="1790" spans="1:29" ht="11.65" x14ac:dyDescent="0.35">
      <c r="A1790" s="12">
        <v>1773</v>
      </c>
      <c r="B1790" s="10" t="s">
        <v>1015</v>
      </c>
      <c r="C1790" s="11" t="s">
        <v>1142</v>
      </c>
      <c r="D1790" s="9"/>
      <c r="E1790" s="9">
        <v>356</v>
      </c>
      <c r="F1790" s="10" t="s">
        <v>1066</v>
      </c>
      <c r="G1790" s="9">
        <v>5501</v>
      </c>
      <c r="H1790" s="9">
        <v>1960</v>
      </c>
      <c r="I1790" s="8">
        <v>37677.167999999998</v>
      </c>
      <c r="J1790" s="8">
        <v>31987.421999999999</v>
      </c>
      <c r="K1790" s="8">
        <v>24284.785</v>
      </c>
      <c r="L1790" s="8">
        <v>21231.95</v>
      </c>
      <c r="M1790" s="8">
        <v>19687.761999999999</v>
      </c>
      <c r="N1790" s="8">
        <v>17784.394</v>
      </c>
      <c r="O1790" s="8">
        <v>16042.621999999999</v>
      </c>
      <c r="P1790" s="8">
        <v>14083.447</v>
      </c>
      <c r="Q1790" s="8">
        <v>12231.828</v>
      </c>
      <c r="R1790" s="8">
        <v>10313.063</v>
      </c>
      <c r="S1790" s="8">
        <v>8677.2139999999999</v>
      </c>
      <c r="T1790" s="8">
        <v>6621.5519999999997</v>
      </c>
      <c r="U1790" s="8">
        <v>5129.4579999999996</v>
      </c>
      <c r="V1790" s="8">
        <v>3146.2739999999999</v>
      </c>
      <c r="W1790" s="8">
        <v>2113.4009999999998</v>
      </c>
      <c r="X1790" s="8">
        <v>907.85400000000004</v>
      </c>
      <c r="Y1790" s="8">
        <v>443.91399999999999</v>
      </c>
      <c r="Z1790" s="8">
        <v>120.50700000000001</v>
      </c>
      <c r="AA1790" s="8">
        <v>17.667000000000002</v>
      </c>
      <c r="AB1790" s="8">
        <v>2.141</v>
      </c>
      <c r="AC1790" s="8">
        <v>0.316</v>
      </c>
    </row>
    <row r="1791" spans="1:29" ht="11.65" x14ac:dyDescent="0.35">
      <c r="A1791" s="12">
        <v>1774</v>
      </c>
      <c r="B1791" s="10" t="s">
        <v>1015</v>
      </c>
      <c r="C1791" s="11" t="s">
        <v>1142</v>
      </c>
      <c r="D1791" s="9"/>
      <c r="E1791" s="9">
        <v>356</v>
      </c>
      <c r="F1791" s="10" t="s">
        <v>1066</v>
      </c>
      <c r="G1791" s="9">
        <v>5501</v>
      </c>
      <c r="H1791" s="9">
        <v>1965</v>
      </c>
      <c r="I1791" s="8">
        <v>41150.487999999998</v>
      </c>
      <c r="J1791" s="8">
        <v>35168.459000000003</v>
      </c>
      <c r="K1791" s="8">
        <v>31102.175999999999</v>
      </c>
      <c r="L1791" s="8">
        <v>23677.932000000001</v>
      </c>
      <c r="M1791" s="8">
        <v>20580.825000000001</v>
      </c>
      <c r="N1791" s="8">
        <v>18999.545999999998</v>
      </c>
      <c r="O1791" s="8">
        <v>17094.242999999999</v>
      </c>
      <c r="P1791" s="8">
        <v>15304.882</v>
      </c>
      <c r="Q1791" s="8">
        <v>13286.298000000001</v>
      </c>
      <c r="R1791" s="8">
        <v>11339.225</v>
      </c>
      <c r="S1791" s="8">
        <v>9320.4089999999997</v>
      </c>
      <c r="T1791" s="8">
        <v>7590.9719999999998</v>
      </c>
      <c r="U1791" s="8">
        <v>5513.6120000000001</v>
      </c>
      <c r="V1791" s="8">
        <v>3969.3490000000002</v>
      </c>
      <c r="W1791" s="8">
        <v>2178.643</v>
      </c>
      <c r="X1791" s="8">
        <v>1256.7460000000001</v>
      </c>
      <c r="Y1791" s="8">
        <v>425.32600000000002</v>
      </c>
      <c r="Z1791" s="8">
        <v>138.351</v>
      </c>
      <c r="AA1791" s="8">
        <v>20.902999999999999</v>
      </c>
      <c r="AB1791" s="8">
        <v>2.2709999999999999</v>
      </c>
      <c r="AC1791" s="8">
        <v>0.253</v>
      </c>
    </row>
    <row r="1792" spans="1:29" ht="11.65" x14ac:dyDescent="0.35">
      <c r="A1792" s="12">
        <v>1775</v>
      </c>
      <c r="B1792" s="10" t="s">
        <v>1015</v>
      </c>
      <c r="C1792" s="11" t="s">
        <v>1142</v>
      </c>
      <c r="D1792" s="9"/>
      <c r="E1792" s="9">
        <v>356</v>
      </c>
      <c r="F1792" s="10" t="s">
        <v>1066</v>
      </c>
      <c r="G1792" s="9">
        <v>5501</v>
      </c>
      <c r="H1792" s="9">
        <v>1970</v>
      </c>
      <c r="I1792" s="8">
        <v>44482.487999999998</v>
      </c>
      <c r="J1792" s="8">
        <v>38637.167000000001</v>
      </c>
      <c r="K1792" s="8">
        <v>34360.127999999997</v>
      </c>
      <c r="L1792" s="8">
        <v>30513.129000000001</v>
      </c>
      <c r="M1792" s="8">
        <v>23140.84</v>
      </c>
      <c r="N1792" s="8">
        <v>20046.527999999998</v>
      </c>
      <c r="O1792" s="8">
        <v>18440.171999999999</v>
      </c>
      <c r="P1792" s="8">
        <v>16479.73</v>
      </c>
      <c r="Q1792" s="8">
        <v>14602.437</v>
      </c>
      <c r="R1792" s="8">
        <v>12466.753000000001</v>
      </c>
      <c r="S1792" s="8">
        <v>10381.218999999999</v>
      </c>
      <c r="T1792" s="8">
        <v>8262.7639999999992</v>
      </c>
      <c r="U1792" s="8">
        <v>6404.0590000000002</v>
      </c>
      <c r="V1792" s="8">
        <v>4330.1970000000001</v>
      </c>
      <c r="W1792" s="8">
        <v>2809.0720000000001</v>
      </c>
      <c r="X1792" s="8">
        <v>1334.7629999999999</v>
      </c>
      <c r="Y1792" s="8">
        <v>614.26499999999999</v>
      </c>
      <c r="Z1792" s="8">
        <v>141.56100000000001</v>
      </c>
      <c r="AA1792" s="8">
        <v>26.492999999999999</v>
      </c>
      <c r="AB1792" s="8">
        <v>2.9950000000000001</v>
      </c>
      <c r="AC1792" s="8">
        <v>0.28999999999999998</v>
      </c>
    </row>
    <row r="1793" spans="1:29" ht="11.65" x14ac:dyDescent="0.35">
      <c r="A1793" s="12">
        <v>1776</v>
      </c>
      <c r="B1793" s="10" t="s">
        <v>1015</v>
      </c>
      <c r="C1793" s="11" t="s">
        <v>1142</v>
      </c>
      <c r="D1793" s="9"/>
      <c r="E1793" s="9">
        <v>356</v>
      </c>
      <c r="F1793" s="10" t="s">
        <v>1066</v>
      </c>
      <c r="G1793" s="9">
        <v>5501</v>
      </c>
      <c r="H1793" s="9">
        <v>1975</v>
      </c>
      <c r="I1793" s="8">
        <v>48845.567000000003</v>
      </c>
      <c r="J1793" s="8">
        <v>42170.83</v>
      </c>
      <c r="K1793" s="8">
        <v>38065.324999999997</v>
      </c>
      <c r="L1793" s="8">
        <v>34024.493000000002</v>
      </c>
      <c r="M1793" s="8">
        <v>30181.357</v>
      </c>
      <c r="N1793" s="8">
        <v>22895.477999999999</v>
      </c>
      <c r="O1793" s="8">
        <v>19774.845000000001</v>
      </c>
      <c r="P1793" s="8">
        <v>18051.761999999999</v>
      </c>
      <c r="Q1793" s="8">
        <v>15955.308000000001</v>
      </c>
      <c r="R1793" s="8">
        <v>13913.424999999999</v>
      </c>
      <c r="S1793" s="8">
        <v>11612.379000000001</v>
      </c>
      <c r="T1793" s="8">
        <v>9360.527</v>
      </c>
      <c r="U1793" s="8">
        <v>7078.9930000000004</v>
      </c>
      <c r="V1793" s="8">
        <v>5113.0069999999996</v>
      </c>
      <c r="W1793" s="8">
        <v>3130.9720000000002</v>
      </c>
      <c r="X1793" s="8">
        <v>1768.9949999999999</v>
      </c>
      <c r="Y1793" s="8">
        <v>677.69899999999996</v>
      </c>
      <c r="Z1793" s="8">
        <v>216.31200000000001</v>
      </c>
      <c r="AA1793" s="8">
        <v>29.422999999999998</v>
      </c>
      <c r="AB1793" s="8">
        <v>4.1630000000000003</v>
      </c>
      <c r="AC1793" s="8">
        <v>0.41499999999999998</v>
      </c>
    </row>
    <row r="1794" spans="1:29" ht="11.65" x14ac:dyDescent="0.35">
      <c r="A1794" s="12">
        <v>1777</v>
      </c>
      <c r="B1794" s="10" t="s">
        <v>1015</v>
      </c>
      <c r="C1794" s="11" t="s">
        <v>1142</v>
      </c>
      <c r="D1794" s="9"/>
      <c r="E1794" s="9">
        <v>356</v>
      </c>
      <c r="F1794" s="10" t="s">
        <v>1066</v>
      </c>
      <c r="G1794" s="9">
        <v>5501</v>
      </c>
      <c r="H1794" s="9">
        <v>1980</v>
      </c>
      <c r="I1794" s="8">
        <v>53667.023000000001</v>
      </c>
      <c r="J1794" s="8">
        <v>46662.718999999997</v>
      </c>
      <c r="K1794" s="8">
        <v>41615.614999999998</v>
      </c>
      <c r="L1794" s="8">
        <v>37720.192000000003</v>
      </c>
      <c r="M1794" s="8">
        <v>33652.086000000003</v>
      </c>
      <c r="N1794" s="8">
        <v>29812.781999999999</v>
      </c>
      <c r="O1794" s="8">
        <v>22571.370999999999</v>
      </c>
      <c r="P1794" s="8">
        <v>19384.276999999998</v>
      </c>
      <c r="Q1794" s="8">
        <v>17527.054</v>
      </c>
      <c r="R1794" s="8">
        <v>15273.519</v>
      </c>
      <c r="S1794" s="8">
        <v>13041.86</v>
      </c>
      <c r="T1794" s="8">
        <v>10541.754999999999</v>
      </c>
      <c r="U1794" s="8">
        <v>8073.0240000000003</v>
      </c>
      <c r="V1794" s="8">
        <v>5689.308</v>
      </c>
      <c r="W1794" s="8">
        <v>3735.259</v>
      </c>
      <c r="X1794" s="8">
        <v>1999.607</v>
      </c>
      <c r="Y1794" s="8">
        <v>913.92399999999998</v>
      </c>
      <c r="Z1794" s="8">
        <v>245.596</v>
      </c>
      <c r="AA1794" s="8">
        <v>46.994</v>
      </c>
      <c r="AB1794" s="8">
        <v>4.8620000000000001</v>
      </c>
      <c r="AC1794" s="8">
        <v>0.60799999999999998</v>
      </c>
    </row>
    <row r="1795" spans="1:29" ht="11.65" x14ac:dyDescent="0.35">
      <c r="A1795" s="12">
        <v>1778</v>
      </c>
      <c r="B1795" s="10" t="s">
        <v>1015</v>
      </c>
      <c r="C1795" s="11" t="s">
        <v>1142</v>
      </c>
      <c r="D1795" s="9"/>
      <c r="E1795" s="9">
        <v>356</v>
      </c>
      <c r="F1795" s="10" t="s">
        <v>1066</v>
      </c>
      <c r="G1795" s="9">
        <v>5501</v>
      </c>
      <c r="H1795" s="9">
        <v>1985</v>
      </c>
      <c r="I1795" s="8">
        <v>60131.805999999997</v>
      </c>
      <c r="J1795" s="8">
        <v>51659.103999999999</v>
      </c>
      <c r="K1795" s="8">
        <v>46102.845999999998</v>
      </c>
      <c r="L1795" s="8">
        <v>41258.438000000002</v>
      </c>
      <c r="M1795" s="8">
        <v>37314.197999999997</v>
      </c>
      <c r="N1795" s="8">
        <v>33237.447999999997</v>
      </c>
      <c r="O1795" s="8">
        <v>29379.598999999998</v>
      </c>
      <c r="P1795" s="8">
        <v>22140.021000000001</v>
      </c>
      <c r="Q1795" s="8">
        <v>18854.649000000001</v>
      </c>
      <c r="R1795" s="8">
        <v>16819.912</v>
      </c>
      <c r="S1795" s="8">
        <v>14354.409</v>
      </c>
      <c r="T1795" s="8">
        <v>11869.455</v>
      </c>
      <c r="U1795" s="8">
        <v>9104.7430000000004</v>
      </c>
      <c r="V1795" s="8">
        <v>6483.7060000000001</v>
      </c>
      <c r="W1795" s="8">
        <v>4166.4260000000004</v>
      </c>
      <c r="X1795" s="8">
        <v>2400.1309999999999</v>
      </c>
      <c r="Y1795" s="8">
        <v>1039.002</v>
      </c>
      <c r="Z1795" s="8">
        <v>334.39100000000002</v>
      </c>
      <c r="AA1795" s="8">
        <v>54.164999999999999</v>
      </c>
      <c r="AB1795" s="8">
        <v>7.9029999999999996</v>
      </c>
      <c r="AC1795" s="8">
        <v>0.74</v>
      </c>
    </row>
    <row r="1796" spans="1:29" ht="11.65" x14ac:dyDescent="0.35">
      <c r="A1796" s="12">
        <v>1779</v>
      </c>
      <c r="B1796" s="10" t="s">
        <v>1015</v>
      </c>
      <c r="C1796" s="11" t="s">
        <v>1142</v>
      </c>
      <c r="D1796" s="9"/>
      <c r="E1796" s="9">
        <v>356</v>
      </c>
      <c r="F1796" s="10" t="s">
        <v>1066</v>
      </c>
      <c r="G1796" s="9">
        <v>5501</v>
      </c>
      <c r="H1796" s="9">
        <v>1990</v>
      </c>
      <c r="I1796" s="8">
        <v>63742.989000000001</v>
      </c>
      <c r="J1796" s="8">
        <v>58222.33</v>
      </c>
      <c r="K1796" s="8">
        <v>51084.031000000003</v>
      </c>
      <c r="L1796" s="8">
        <v>45708.608999999997</v>
      </c>
      <c r="M1796" s="8">
        <v>40799.118000000002</v>
      </c>
      <c r="N1796" s="8">
        <v>36822.747000000003</v>
      </c>
      <c r="O1796" s="8">
        <v>32728.429</v>
      </c>
      <c r="P1796" s="8">
        <v>28806.823</v>
      </c>
      <c r="Q1796" s="8">
        <v>21547.395</v>
      </c>
      <c r="R1796" s="8">
        <v>18115.499</v>
      </c>
      <c r="S1796" s="8">
        <v>15828.218000000001</v>
      </c>
      <c r="T1796" s="8">
        <v>13087.498</v>
      </c>
      <c r="U1796" s="8">
        <v>10274.973</v>
      </c>
      <c r="V1796" s="8">
        <v>7319.942</v>
      </c>
      <c r="W1796" s="8">
        <v>4758.1030000000001</v>
      </c>
      <c r="X1796" s="8">
        <v>2690.4929999999999</v>
      </c>
      <c r="Y1796" s="8">
        <v>1252.306</v>
      </c>
      <c r="Z1796" s="8">
        <v>382.89</v>
      </c>
      <c r="AA1796" s="8">
        <v>74.575999999999993</v>
      </c>
      <c r="AB1796" s="8">
        <v>9.2260000000000009</v>
      </c>
      <c r="AC1796" s="8">
        <v>1.1839999999999999</v>
      </c>
    </row>
    <row r="1797" spans="1:29" ht="11.65" x14ac:dyDescent="0.35">
      <c r="A1797" s="12">
        <v>1780</v>
      </c>
      <c r="B1797" s="10" t="s">
        <v>1015</v>
      </c>
      <c r="C1797" s="11" t="s">
        <v>1142</v>
      </c>
      <c r="D1797" s="9"/>
      <c r="E1797" s="9">
        <v>356</v>
      </c>
      <c r="F1797" s="10" t="s">
        <v>1066</v>
      </c>
      <c r="G1797" s="9">
        <v>5501</v>
      </c>
      <c r="H1797" s="9">
        <v>1995</v>
      </c>
      <c r="I1797" s="8">
        <v>65665.918999999994</v>
      </c>
      <c r="J1797" s="8">
        <v>62073.847000000002</v>
      </c>
      <c r="K1797" s="8">
        <v>57650.082999999999</v>
      </c>
      <c r="L1797" s="8">
        <v>50661.214999999997</v>
      </c>
      <c r="M1797" s="8">
        <v>45195.298999999999</v>
      </c>
      <c r="N1797" s="8">
        <v>40236.118999999999</v>
      </c>
      <c r="O1797" s="8">
        <v>36234.345000000001</v>
      </c>
      <c r="P1797" s="8">
        <v>32089.491999999998</v>
      </c>
      <c r="Q1797" s="8">
        <v>28067.289000000001</v>
      </c>
      <c r="R1797" s="8">
        <v>20753.5</v>
      </c>
      <c r="S1797" s="8">
        <v>17116.399000000001</v>
      </c>
      <c r="T1797" s="8">
        <v>14528.540999999999</v>
      </c>
      <c r="U1797" s="8">
        <v>11460.723</v>
      </c>
      <c r="V1797" s="8">
        <v>8391.2639999999992</v>
      </c>
      <c r="W1797" s="8">
        <v>5482.21</v>
      </c>
      <c r="X1797" s="8">
        <v>3162.3919999999998</v>
      </c>
      <c r="Y1797" s="8">
        <v>1461.22</v>
      </c>
      <c r="Z1797" s="8">
        <v>491.18299999999999</v>
      </c>
      <c r="AA1797" s="8">
        <v>93.796999999999997</v>
      </c>
      <c r="AB1797" s="8">
        <v>14.167</v>
      </c>
      <c r="AC1797" s="8">
        <v>1.5940000000000001</v>
      </c>
    </row>
    <row r="1798" spans="1:29" ht="11.65" x14ac:dyDescent="0.35">
      <c r="A1798" s="12">
        <v>1781</v>
      </c>
      <c r="B1798" s="10" t="s">
        <v>1015</v>
      </c>
      <c r="C1798" s="11" t="s">
        <v>1142</v>
      </c>
      <c r="D1798" s="9"/>
      <c r="E1798" s="9">
        <v>356</v>
      </c>
      <c r="F1798" s="10" t="s">
        <v>1066</v>
      </c>
      <c r="G1798" s="9">
        <v>5501</v>
      </c>
      <c r="H1798" s="9">
        <v>2000</v>
      </c>
      <c r="I1798" s="8">
        <v>67463.887000000002</v>
      </c>
      <c r="J1798" s="8">
        <v>64293.178999999996</v>
      </c>
      <c r="K1798" s="8">
        <v>61559.347999999998</v>
      </c>
      <c r="L1798" s="8">
        <v>57217.425000000003</v>
      </c>
      <c r="M1798" s="8">
        <v>50125.972000000002</v>
      </c>
      <c r="N1798" s="8">
        <v>44587.722999999998</v>
      </c>
      <c r="O1798" s="8">
        <v>39598.603999999999</v>
      </c>
      <c r="P1798" s="8">
        <v>35536.673000000003</v>
      </c>
      <c r="Q1798" s="8">
        <v>31292.29</v>
      </c>
      <c r="R1798" s="8">
        <v>27098.397000000001</v>
      </c>
      <c r="S1798" s="8">
        <v>19692.899000000001</v>
      </c>
      <c r="T1798" s="8">
        <v>15821.788</v>
      </c>
      <c r="U1798" s="8">
        <v>12877.49</v>
      </c>
      <c r="V1798" s="8">
        <v>9518.4179999999997</v>
      </c>
      <c r="W1798" s="8">
        <v>6414.933</v>
      </c>
      <c r="X1798" s="8">
        <v>3743.3049999999998</v>
      </c>
      <c r="Y1798" s="8">
        <v>1783.9480000000001</v>
      </c>
      <c r="Z1798" s="8">
        <v>607.74099999999999</v>
      </c>
      <c r="AA1798" s="8">
        <v>131.39699999999999</v>
      </c>
      <c r="AB1798" s="8">
        <v>19.763999999999999</v>
      </c>
      <c r="AC1798" s="8">
        <v>2.6829999999999998</v>
      </c>
    </row>
    <row r="1799" spans="1:29" ht="11.65" x14ac:dyDescent="0.35">
      <c r="A1799" s="12">
        <v>1782</v>
      </c>
      <c r="B1799" s="10" t="s">
        <v>1015</v>
      </c>
      <c r="C1799" s="11" t="s">
        <v>1142</v>
      </c>
      <c r="D1799" s="9"/>
      <c r="E1799" s="9">
        <v>356</v>
      </c>
      <c r="F1799" s="10" t="s">
        <v>1066</v>
      </c>
      <c r="G1799" s="9">
        <v>5501</v>
      </c>
      <c r="H1799" s="9">
        <v>2005</v>
      </c>
      <c r="I1799" s="8">
        <v>68391.873999999996</v>
      </c>
      <c r="J1799" s="8">
        <v>66315.926000000007</v>
      </c>
      <c r="K1799" s="8">
        <v>63782.894</v>
      </c>
      <c r="L1799" s="8">
        <v>61074.04</v>
      </c>
      <c r="M1799" s="8">
        <v>56563.709000000003</v>
      </c>
      <c r="N1799" s="8">
        <v>49379.563000000002</v>
      </c>
      <c r="O1799" s="8">
        <v>43813.616999999998</v>
      </c>
      <c r="P1799" s="8">
        <v>38782.123</v>
      </c>
      <c r="Q1799" s="8">
        <v>34629.832000000002</v>
      </c>
      <c r="R1799" s="8">
        <v>30233.392</v>
      </c>
      <c r="S1799" s="8">
        <v>25782.165000000001</v>
      </c>
      <c r="T1799" s="8">
        <v>18296.223999999998</v>
      </c>
      <c r="U1799" s="8">
        <v>14157.575000000001</v>
      </c>
      <c r="V1799" s="8">
        <v>10846.358</v>
      </c>
      <c r="W1799" s="8">
        <v>7394.0230000000001</v>
      </c>
      <c r="X1799" s="8">
        <v>4462.2250000000004</v>
      </c>
      <c r="Y1799" s="8">
        <v>2167.2220000000002</v>
      </c>
      <c r="Z1799" s="8">
        <v>772.71100000000001</v>
      </c>
      <c r="AA1799" s="8">
        <v>172.85400000000001</v>
      </c>
      <c r="AB1799" s="8">
        <v>29.77</v>
      </c>
      <c r="AC1799" s="8">
        <v>4.1159999999999997</v>
      </c>
    </row>
    <row r="1800" spans="1:29" ht="11.65" x14ac:dyDescent="0.35">
      <c r="A1800" s="12">
        <v>1783</v>
      </c>
      <c r="B1800" s="10" t="s">
        <v>1015</v>
      </c>
      <c r="C1800" s="11" t="s">
        <v>1142</v>
      </c>
      <c r="D1800" s="9"/>
      <c r="E1800" s="9">
        <v>356</v>
      </c>
      <c r="F1800" s="10" t="s">
        <v>1066</v>
      </c>
      <c r="G1800" s="9">
        <v>5501</v>
      </c>
      <c r="H1800" s="9">
        <v>2010</v>
      </c>
      <c r="I1800" s="8">
        <v>67328.203999999998</v>
      </c>
      <c r="J1800" s="8">
        <v>67487.804000000004</v>
      </c>
      <c r="K1800" s="8">
        <v>65845.111000000004</v>
      </c>
      <c r="L1800" s="8">
        <v>63304.646000000001</v>
      </c>
      <c r="M1800" s="8">
        <v>60395.85</v>
      </c>
      <c r="N1800" s="8">
        <v>55749.491000000002</v>
      </c>
      <c r="O1800" s="8">
        <v>48547.627999999997</v>
      </c>
      <c r="P1800" s="8">
        <v>42927.606</v>
      </c>
      <c r="Q1800" s="8">
        <v>37817.317999999999</v>
      </c>
      <c r="R1800" s="8">
        <v>33507.006000000001</v>
      </c>
      <c r="S1800" s="8">
        <v>28848.728999999999</v>
      </c>
      <c r="T1800" s="8">
        <v>24076.311000000002</v>
      </c>
      <c r="U1800" s="8">
        <v>16513.269</v>
      </c>
      <c r="V1800" s="8">
        <v>12099.004999999999</v>
      </c>
      <c r="W1800" s="8">
        <v>8570.1170000000002</v>
      </c>
      <c r="X1800" s="8">
        <v>5236.9189999999999</v>
      </c>
      <c r="Y1800" s="8">
        <v>2650.5050000000001</v>
      </c>
      <c r="Z1800" s="8">
        <v>976.68</v>
      </c>
      <c r="AA1800" s="8">
        <v>233.25700000000001</v>
      </c>
      <c r="AB1800" s="8">
        <v>42.04</v>
      </c>
      <c r="AC1800" s="8">
        <v>6.6849999999999996</v>
      </c>
    </row>
    <row r="1801" spans="1:29" ht="11.65" x14ac:dyDescent="0.35">
      <c r="A1801" s="12">
        <v>1784</v>
      </c>
      <c r="B1801" s="10" t="s">
        <v>1015</v>
      </c>
      <c r="C1801" s="11" t="s">
        <v>1142</v>
      </c>
      <c r="D1801" s="9"/>
      <c r="E1801" s="9">
        <v>356</v>
      </c>
      <c r="F1801" s="10" t="s">
        <v>1066</v>
      </c>
      <c r="G1801" s="9">
        <v>5501</v>
      </c>
      <c r="H1801" s="9">
        <v>2015</v>
      </c>
      <c r="I1801" s="8">
        <v>62365.571000000004</v>
      </c>
      <c r="J1801" s="8">
        <v>66646.489000000001</v>
      </c>
      <c r="K1801" s="8">
        <v>67053.638999999996</v>
      </c>
      <c r="L1801" s="8">
        <v>65438.169000000002</v>
      </c>
      <c r="M1801" s="8">
        <v>62756.892</v>
      </c>
      <c r="N1801" s="8">
        <v>59663.745000000003</v>
      </c>
      <c r="O1801" s="8">
        <v>54918.048999999999</v>
      </c>
      <c r="P1801" s="8">
        <v>47649.720999999998</v>
      </c>
      <c r="Q1801" s="8">
        <v>41950.233</v>
      </c>
      <c r="R1801" s="8">
        <v>36685.165000000001</v>
      </c>
      <c r="S1801" s="8">
        <v>32088.187000000002</v>
      </c>
      <c r="T1801" s="8">
        <v>27051.249</v>
      </c>
      <c r="U1801" s="8">
        <v>21877.501</v>
      </c>
      <c r="V1801" s="8">
        <v>14308.182000000001</v>
      </c>
      <c r="W1801" s="8">
        <v>9711.4459999999999</v>
      </c>
      <c r="X1801" s="8">
        <v>6157.9639999999999</v>
      </c>
      <c r="Y1801" s="8">
        <v>3217.9059999999999</v>
      </c>
      <c r="Z1801" s="8">
        <v>1281.4369999999999</v>
      </c>
      <c r="AA1801" s="8">
        <v>326.72899999999998</v>
      </c>
      <c r="AB1801" s="8">
        <v>64.138000000000005</v>
      </c>
      <c r="AC1801" s="8">
        <v>10.92</v>
      </c>
    </row>
    <row r="1802" spans="1:29" ht="11.65" x14ac:dyDescent="0.35">
      <c r="A1802" s="12">
        <v>1785</v>
      </c>
      <c r="B1802" s="10" t="s">
        <v>1015</v>
      </c>
      <c r="C1802" s="11" t="s">
        <v>1142</v>
      </c>
      <c r="D1802" s="9"/>
      <c r="E1802" s="9">
        <v>356</v>
      </c>
      <c r="F1802" s="10" t="s">
        <v>1066</v>
      </c>
      <c r="G1802" s="9">
        <v>5501</v>
      </c>
      <c r="H1802" s="9">
        <v>2020</v>
      </c>
      <c r="I1802" s="8">
        <v>61228.413999999997</v>
      </c>
      <c r="J1802" s="8">
        <v>61877.169000000002</v>
      </c>
      <c r="K1802" s="8">
        <v>66302.627999999997</v>
      </c>
      <c r="L1802" s="8">
        <v>66670.854999999996</v>
      </c>
      <c r="M1802" s="8">
        <v>64865.811000000002</v>
      </c>
      <c r="N1802" s="8">
        <v>62039.339</v>
      </c>
      <c r="O1802" s="8">
        <v>58874.887999999999</v>
      </c>
      <c r="P1802" s="8">
        <v>53993.917999999998</v>
      </c>
      <c r="Q1802" s="8">
        <v>46631.243000000002</v>
      </c>
      <c r="R1802" s="8">
        <v>40756.605000000003</v>
      </c>
      <c r="S1802" s="8">
        <v>35202.663</v>
      </c>
      <c r="T1802" s="8">
        <v>30150.272000000001</v>
      </c>
      <c r="U1802" s="8">
        <v>24694.671999999999</v>
      </c>
      <c r="V1802" s="8">
        <v>19168.129000000001</v>
      </c>
      <c r="W1802" s="8">
        <v>11627.907999999999</v>
      </c>
      <c r="X1802" s="8">
        <v>7062.9989999999998</v>
      </c>
      <c r="Y1802" s="8">
        <v>3831.4630000000002</v>
      </c>
      <c r="Z1802" s="8">
        <v>1575.5840000000001</v>
      </c>
      <c r="AA1802" s="8">
        <v>437.18799999999999</v>
      </c>
      <c r="AB1802" s="8">
        <v>91.980999999999995</v>
      </c>
      <c r="AC1802" s="8">
        <v>17.241</v>
      </c>
    </row>
    <row r="1803" spans="1:29" ht="11.65" x14ac:dyDescent="0.35">
      <c r="A1803" s="12">
        <v>1786</v>
      </c>
      <c r="B1803" s="10" t="s">
        <v>1015</v>
      </c>
      <c r="C1803" s="11" t="s">
        <v>1143</v>
      </c>
      <c r="D1803" s="9"/>
      <c r="E1803" s="9">
        <v>364</v>
      </c>
      <c r="F1803" s="10" t="s">
        <v>1066</v>
      </c>
      <c r="G1803" s="9">
        <v>5501</v>
      </c>
      <c r="H1803" s="9">
        <v>1950</v>
      </c>
      <c r="I1803" s="8">
        <v>1276.2</v>
      </c>
      <c r="J1803" s="8">
        <v>936.899</v>
      </c>
      <c r="K1803" s="8">
        <v>919.80100000000004</v>
      </c>
      <c r="L1803" s="8">
        <v>882</v>
      </c>
      <c r="M1803" s="8">
        <v>798.09900000000005</v>
      </c>
      <c r="N1803" s="8">
        <v>742.8</v>
      </c>
      <c r="O1803" s="8">
        <v>550.00099999999998</v>
      </c>
      <c r="P1803" s="8">
        <v>482.99900000000002</v>
      </c>
      <c r="Q1803" s="8">
        <v>439.99799999999999</v>
      </c>
      <c r="R1803" s="8">
        <v>387.99900000000002</v>
      </c>
      <c r="S1803" s="8">
        <v>300</v>
      </c>
      <c r="T1803" s="8">
        <v>265.00099999999998</v>
      </c>
      <c r="U1803" s="8">
        <v>257.00200000000001</v>
      </c>
      <c r="V1803" s="8">
        <v>199.001</v>
      </c>
      <c r="W1803" s="8">
        <v>143</v>
      </c>
      <c r="X1803" s="8">
        <v>83.001000000000005</v>
      </c>
      <c r="Y1803" s="8">
        <v>33.412999999999997</v>
      </c>
      <c r="Z1803" s="8">
        <v>10.388</v>
      </c>
      <c r="AA1803" s="8">
        <v>1.974</v>
      </c>
      <c r="AB1803" s="8">
        <v>0.21</v>
      </c>
      <c r="AC1803" s="8">
        <v>1.4E-2</v>
      </c>
    </row>
    <row r="1804" spans="1:29" ht="11.65" x14ac:dyDescent="0.35">
      <c r="A1804" s="12">
        <v>1787</v>
      </c>
      <c r="B1804" s="10" t="s">
        <v>1015</v>
      </c>
      <c r="C1804" s="11" t="s">
        <v>1143</v>
      </c>
      <c r="D1804" s="9"/>
      <c r="E1804" s="9">
        <v>364</v>
      </c>
      <c r="F1804" s="10" t="s">
        <v>1066</v>
      </c>
      <c r="G1804" s="9">
        <v>5501</v>
      </c>
      <c r="H1804" s="9">
        <v>1955</v>
      </c>
      <c r="I1804" s="8">
        <v>1790.319</v>
      </c>
      <c r="J1804" s="8">
        <v>1165.4259999999999</v>
      </c>
      <c r="K1804" s="8">
        <v>905.67100000000005</v>
      </c>
      <c r="L1804" s="8">
        <v>898.87</v>
      </c>
      <c r="M1804" s="8">
        <v>868.52499999999998</v>
      </c>
      <c r="N1804" s="8">
        <v>786.91200000000003</v>
      </c>
      <c r="O1804" s="8">
        <v>729.41399999999999</v>
      </c>
      <c r="P1804" s="8">
        <v>536.95699999999999</v>
      </c>
      <c r="Q1804" s="8">
        <v>466.06599999999997</v>
      </c>
      <c r="R1804" s="8">
        <v>416.31900000000002</v>
      </c>
      <c r="S1804" s="8">
        <v>356.995</v>
      </c>
      <c r="T1804" s="8">
        <v>264.459</v>
      </c>
      <c r="U1804" s="8">
        <v>219.005</v>
      </c>
      <c r="V1804" s="8">
        <v>194.46899999999999</v>
      </c>
      <c r="W1804" s="8">
        <v>137.21299999999999</v>
      </c>
      <c r="X1804" s="8">
        <v>85.317999999999998</v>
      </c>
      <c r="Y1804" s="8">
        <v>37.628999999999998</v>
      </c>
      <c r="Z1804" s="8">
        <v>10.387</v>
      </c>
      <c r="AA1804" s="8">
        <v>1.9730000000000001</v>
      </c>
      <c r="AB1804" s="8">
        <v>0.21</v>
      </c>
      <c r="AC1804" s="8">
        <v>1.4E-2</v>
      </c>
    </row>
    <row r="1805" spans="1:29" ht="11.65" x14ac:dyDescent="0.35">
      <c r="A1805" s="12">
        <v>1788</v>
      </c>
      <c r="B1805" s="10" t="s">
        <v>1015</v>
      </c>
      <c r="C1805" s="11" t="s">
        <v>1143</v>
      </c>
      <c r="D1805" s="9"/>
      <c r="E1805" s="9">
        <v>364</v>
      </c>
      <c r="F1805" s="10" t="s">
        <v>1066</v>
      </c>
      <c r="G1805" s="9">
        <v>5501</v>
      </c>
      <c r="H1805" s="9">
        <v>1960</v>
      </c>
      <c r="I1805" s="8">
        <v>2020.847</v>
      </c>
      <c r="J1805" s="8">
        <v>1657.0440000000001</v>
      </c>
      <c r="K1805" s="8">
        <v>1133.4390000000001</v>
      </c>
      <c r="L1805" s="8">
        <v>887.25300000000004</v>
      </c>
      <c r="M1805" s="8">
        <v>884.76599999999996</v>
      </c>
      <c r="N1805" s="8">
        <v>855.51199999999994</v>
      </c>
      <c r="O1805" s="8">
        <v>772.25199999999995</v>
      </c>
      <c r="P1805" s="8">
        <v>712.02599999999995</v>
      </c>
      <c r="Q1805" s="8">
        <v>518.43600000000004</v>
      </c>
      <c r="R1805" s="8">
        <v>441.77100000000002</v>
      </c>
      <c r="S1805" s="8">
        <v>384.18200000000002</v>
      </c>
      <c r="T1805" s="8">
        <v>316.39699999999999</v>
      </c>
      <c r="U1805" s="8">
        <v>220.57499999999999</v>
      </c>
      <c r="V1805" s="8">
        <v>167.661</v>
      </c>
      <c r="W1805" s="8">
        <v>135.28399999999999</v>
      </c>
      <c r="X1805" s="8">
        <v>82.075999999999993</v>
      </c>
      <c r="Y1805" s="8">
        <v>38.908000000000001</v>
      </c>
      <c r="Z1805" s="8">
        <v>11.863</v>
      </c>
      <c r="AA1805" s="8">
        <v>2.004</v>
      </c>
      <c r="AB1805" s="8">
        <v>0.215</v>
      </c>
      <c r="AC1805" s="8">
        <v>1.4E-2</v>
      </c>
    </row>
    <row r="1806" spans="1:29" ht="11.65" x14ac:dyDescent="0.35">
      <c r="A1806" s="12">
        <v>1789</v>
      </c>
      <c r="B1806" s="10" t="s">
        <v>1015</v>
      </c>
      <c r="C1806" s="11" t="s">
        <v>1143</v>
      </c>
      <c r="D1806" s="9"/>
      <c r="E1806" s="9">
        <v>364</v>
      </c>
      <c r="F1806" s="10" t="s">
        <v>1066</v>
      </c>
      <c r="G1806" s="9">
        <v>5501</v>
      </c>
      <c r="H1806" s="9">
        <v>1965</v>
      </c>
      <c r="I1806" s="8">
        <v>2245.2280000000001</v>
      </c>
      <c r="J1806" s="8">
        <v>1893.73</v>
      </c>
      <c r="K1806" s="8">
        <v>1619.4659999999999</v>
      </c>
      <c r="L1806" s="8">
        <v>1112.4280000000001</v>
      </c>
      <c r="M1806" s="8">
        <v>872.28399999999999</v>
      </c>
      <c r="N1806" s="8">
        <v>869.976</v>
      </c>
      <c r="O1806" s="8">
        <v>838.54300000000001</v>
      </c>
      <c r="P1806" s="8">
        <v>753.35400000000004</v>
      </c>
      <c r="Q1806" s="8">
        <v>687.61599999999999</v>
      </c>
      <c r="R1806" s="8">
        <v>492.05700000000002</v>
      </c>
      <c r="S1806" s="8">
        <v>408.64800000000002</v>
      </c>
      <c r="T1806" s="8">
        <v>342.08699999999999</v>
      </c>
      <c r="U1806" s="8">
        <v>266.11900000000003</v>
      </c>
      <c r="V1806" s="8">
        <v>170.66800000000001</v>
      </c>
      <c r="W1806" s="8">
        <v>117.64400000000001</v>
      </c>
      <c r="X1806" s="8">
        <v>81.545000000000002</v>
      </c>
      <c r="Y1806" s="8">
        <v>37.686999999999998</v>
      </c>
      <c r="Z1806" s="8">
        <v>12.336</v>
      </c>
      <c r="AA1806" s="8">
        <v>2.3330000000000002</v>
      </c>
      <c r="AB1806" s="8">
        <v>0.223</v>
      </c>
      <c r="AC1806" s="8">
        <v>1.4999999999999999E-2</v>
      </c>
    </row>
    <row r="1807" spans="1:29" ht="11.65" x14ac:dyDescent="0.35">
      <c r="A1807" s="12">
        <v>1790</v>
      </c>
      <c r="B1807" s="10" t="s">
        <v>1015</v>
      </c>
      <c r="C1807" s="11" t="s">
        <v>1143</v>
      </c>
      <c r="D1807" s="9"/>
      <c r="E1807" s="9">
        <v>364</v>
      </c>
      <c r="F1807" s="10" t="s">
        <v>1066</v>
      </c>
      <c r="G1807" s="9">
        <v>5501</v>
      </c>
      <c r="H1807" s="9">
        <v>1970</v>
      </c>
      <c r="I1807" s="8">
        <v>2479.9290000000001</v>
      </c>
      <c r="J1807" s="8">
        <v>2132.154</v>
      </c>
      <c r="K1807" s="8">
        <v>1862.115</v>
      </c>
      <c r="L1807" s="8">
        <v>1596.6780000000001</v>
      </c>
      <c r="M1807" s="8">
        <v>1096.1600000000001</v>
      </c>
      <c r="N1807" s="8">
        <v>859.37199999999996</v>
      </c>
      <c r="O1807" s="8">
        <v>854.29200000000003</v>
      </c>
      <c r="P1807" s="8">
        <v>820.66399999999999</v>
      </c>
      <c r="Q1807" s="8">
        <v>730.28599999999994</v>
      </c>
      <c r="R1807" s="8">
        <v>655.178</v>
      </c>
      <c r="S1807" s="8">
        <v>457.22500000000002</v>
      </c>
      <c r="T1807" s="8">
        <v>366.02800000000002</v>
      </c>
      <c r="U1807" s="8">
        <v>290.327</v>
      </c>
      <c r="V1807" s="8">
        <v>208.29300000000001</v>
      </c>
      <c r="W1807" s="8">
        <v>120.624</v>
      </c>
      <c r="X1807" s="8">
        <v>70.850999999999999</v>
      </c>
      <c r="Y1807" s="8">
        <v>37.494999999999997</v>
      </c>
      <c r="Z1807" s="8">
        <v>12.045999999999999</v>
      </c>
      <c r="AA1807" s="8">
        <v>2.452</v>
      </c>
      <c r="AB1807" s="8">
        <v>0.26300000000000001</v>
      </c>
      <c r="AC1807" s="8">
        <v>1.6E-2</v>
      </c>
    </row>
    <row r="1808" spans="1:29" ht="11.65" x14ac:dyDescent="0.35">
      <c r="A1808" s="12">
        <v>1791</v>
      </c>
      <c r="B1808" s="10" t="s">
        <v>1015</v>
      </c>
      <c r="C1808" s="11" t="s">
        <v>1143</v>
      </c>
      <c r="D1808" s="9"/>
      <c r="E1808" s="9">
        <v>364</v>
      </c>
      <c r="F1808" s="10" t="s">
        <v>1066</v>
      </c>
      <c r="G1808" s="9">
        <v>5501</v>
      </c>
      <c r="H1808" s="9">
        <v>1975</v>
      </c>
      <c r="I1808" s="8">
        <v>2810.1489999999999</v>
      </c>
      <c r="J1808" s="8">
        <v>2389.799</v>
      </c>
      <c r="K1808" s="8">
        <v>2105.732</v>
      </c>
      <c r="L1808" s="8">
        <v>1840.873</v>
      </c>
      <c r="M1808" s="8">
        <v>1573.521</v>
      </c>
      <c r="N1808" s="8">
        <v>1079.732</v>
      </c>
      <c r="O1808" s="8">
        <v>844.54499999999996</v>
      </c>
      <c r="P1808" s="8">
        <v>837.61800000000005</v>
      </c>
      <c r="Q1808" s="8">
        <v>797.57</v>
      </c>
      <c r="R1808" s="8">
        <v>698.428</v>
      </c>
      <c r="S1808" s="8">
        <v>611.73800000000006</v>
      </c>
      <c r="T1808" s="8">
        <v>412.81</v>
      </c>
      <c r="U1808" s="8">
        <v>314.64600000000002</v>
      </c>
      <c r="V1808" s="8">
        <v>231.35300000000001</v>
      </c>
      <c r="W1808" s="8">
        <v>149.161</v>
      </c>
      <c r="X1808" s="8">
        <v>72.941999999999993</v>
      </c>
      <c r="Y1808" s="8">
        <v>32.767000000000003</v>
      </c>
      <c r="Z1808" s="8">
        <v>12.058999999999999</v>
      </c>
      <c r="AA1808" s="8">
        <v>2.41</v>
      </c>
      <c r="AB1808" s="8">
        <v>0.28000000000000003</v>
      </c>
      <c r="AC1808" s="8">
        <v>1.9E-2</v>
      </c>
    </row>
    <row r="1809" spans="1:29" ht="11.65" x14ac:dyDescent="0.35">
      <c r="A1809" s="12">
        <v>1792</v>
      </c>
      <c r="B1809" s="10" t="s">
        <v>1015</v>
      </c>
      <c r="C1809" s="11" t="s">
        <v>1143</v>
      </c>
      <c r="D1809" s="9"/>
      <c r="E1809" s="9">
        <v>364</v>
      </c>
      <c r="F1809" s="10" t="s">
        <v>1066</v>
      </c>
      <c r="G1809" s="9">
        <v>5501</v>
      </c>
      <c r="H1809" s="9">
        <v>1980</v>
      </c>
      <c r="I1809" s="8">
        <v>3520.2220000000002</v>
      </c>
      <c r="J1809" s="8">
        <v>2762.7660000000001</v>
      </c>
      <c r="K1809" s="8">
        <v>2389.9290000000001</v>
      </c>
      <c r="L1809" s="8">
        <v>2134.864</v>
      </c>
      <c r="M1809" s="8">
        <v>1860.2850000000001</v>
      </c>
      <c r="N1809" s="8">
        <v>1591.654</v>
      </c>
      <c r="O1809" s="8">
        <v>1069.443</v>
      </c>
      <c r="P1809" s="8">
        <v>831.62400000000002</v>
      </c>
      <c r="Q1809" s="8">
        <v>818.41200000000003</v>
      </c>
      <c r="R1809" s="8">
        <v>771.13499999999999</v>
      </c>
      <c r="S1809" s="8">
        <v>663.952</v>
      </c>
      <c r="T1809" s="8">
        <v>565.96500000000003</v>
      </c>
      <c r="U1809" s="8">
        <v>368.33800000000002</v>
      </c>
      <c r="V1809" s="8">
        <v>256.55200000000002</v>
      </c>
      <c r="W1809" s="8">
        <v>169.423</v>
      </c>
      <c r="X1809" s="8">
        <v>91.453000000000003</v>
      </c>
      <c r="Y1809" s="8">
        <v>34.612000000000002</v>
      </c>
      <c r="Z1809" s="8">
        <v>11.006</v>
      </c>
      <c r="AA1809" s="8">
        <v>2.5390000000000001</v>
      </c>
      <c r="AB1809" s="8">
        <v>0.29199999999999998</v>
      </c>
      <c r="AC1809" s="8">
        <v>2.1000000000000001E-2</v>
      </c>
    </row>
    <row r="1810" spans="1:29" ht="11.65" x14ac:dyDescent="0.35">
      <c r="A1810" s="12">
        <v>1793</v>
      </c>
      <c r="B1810" s="10" t="s">
        <v>1015</v>
      </c>
      <c r="C1810" s="11" t="s">
        <v>1143</v>
      </c>
      <c r="D1810" s="9"/>
      <c r="E1810" s="9">
        <v>364</v>
      </c>
      <c r="F1810" s="10" t="s">
        <v>1066</v>
      </c>
      <c r="G1810" s="9">
        <v>5501</v>
      </c>
      <c r="H1810" s="9">
        <v>1985</v>
      </c>
      <c r="I1810" s="8">
        <v>4602.5839999999998</v>
      </c>
      <c r="J1810" s="8">
        <v>3581.2910000000002</v>
      </c>
      <c r="K1810" s="8">
        <v>2857.7570000000001</v>
      </c>
      <c r="L1810" s="8">
        <v>2524.0450000000001</v>
      </c>
      <c r="M1810" s="8">
        <v>2094.8879999999999</v>
      </c>
      <c r="N1810" s="8">
        <v>1827.0250000000001</v>
      </c>
      <c r="O1810" s="8">
        <v>1456.93</v>
      </c>
      <c r="P1810" s="8">
        <v>1011.375</v>
      </c>
      <c r="Q1810" s="8">
        <v>813.04100000000005</v>
      </c>
      <c r="R1810" s="8">
        <v>807.16200000000003</v>
      </c>
      <c r="S1810" s="8">
        <v>752.97299999999996</v>
      </c>
      <c r="T1810" s="8">
        <v>633.15800000000002</v>
      </c>
      <c r="U1810" s="8">
        <v>532.77200000000005</v>
      </c>
      <c r="V1810" s="8">
        <v>310.25599999999997</v>
      </c>
      <c r="W1810" s="8">
        <v>194.29499999999999</v>
      </c>
      <c r="X1810" s="8">
        <v>111.214</v>
      </c>
      <c r="Y1810" s="8">
        <v>51.301000000000002</v>
      </c>
      <c r="Z1810" s="8">
        <v>15.739000000000001</v>
      </c>
      <c r="AA1810" s="8">
        <v>3.8330000000000002</v>
      </c>
      <c r="AB1810" s="8">
        <v>0.63900000000000001</v>
      </c>
      <c r="AC1810" s="8">
        <v>5.0999999999999997E-2</v>
      </c>
    </row>
    <row r="1811" spans="1:29" ht="11.65" x14ac:dyDescent="0.35">
      <c r="A1811" s="12">
        <v>1794</v>
      </c>
      <c r="B1811" s="10" t="s">
        <v>1015</v>
      </c>
      <c r="C1811" s="11" t="s">
        <v>1143</v>
      </c>
      <c r="D1811" s="9"/>
      <c r="E1811" s="9">
        <v>364</v>
      </c>
      <c r="F1811" s="10" t="s">
        <v>1066</v>
      </c>
      <c r="G1811" s="9">
        <v>5501</v>
      </c>
      <c r="H1811" s="9">
        <v>1990</v>
      </c>
      <c r="I1811" s="8">
        <v>4746.674</v>
      </c>
      <c r="J1811" s="8">
        <v>4575.232</v>
      </c>
      <c r="K1811" s="8">
        <v>3790.3690000000001</v>
      </c>
      <c r="L1811" s="8">
        <v>2908.3229999999999</v>
      </c>
      <c r="M1811" s="8">
        <v>2454.4789999999998</v>
      </c>
      <c r="N1811" s="8">
        <v>2010.4680000000001</v>
      </c>
      <c r="O1811" s="8">
        <v>1781.0350000000001</v>
      </c>
      <c r="P1811" s="8">
        <v>1469.2190000000001</v>
      </c>
      <c r="Q1811" s="8">
        <v>1048.268</v>
      </c>
      <c r="R1811" s="8">
        <v>795.84900000000005</v>
      </c>
      <c r="S1811" s="8">
        <v>793.32299999999998</v>
      </c>
      <c r="T1811" s="8">
        <v>779.13099999999997</v>
      </c>
      <c r="U1811" s="8">
        <v>635.149</v>
      </c>
      <c r="V1811" s="8">
        <v>463.30399999999997</v>
      </c>
      <c r="W1811" s="8">
        <v>250.15199999999999</v>
      </c>
      <c r="X1811" s="8">
        <v>140.93</v>
      </c>
      <c r="Y1811" s="8">
        <v>69.474000000000004</v>
      </c>
      <c r="Z1811" s="8">
        <v>26.033000000000001</v>
      </c>
      <c r="AA1811" s="8">
        <v>6.0469999999999997</v>
      </c>
      <c r="AB1811" s="8">
        <v>1.0309999999999999</v>
      </c>
      <c r="AC1811" s="8">
        <v>0.113</v>
      </c>
    </row>
    <row r="1812" spans="1:29" ht="11.65" x14ac:dyDescent="0.35">
      <c r="A1812" s="12">
        <v>1795</v>
      </c>
      <c r="B1812" s="10" t="s">
        <v>1015</v>
      </c>
      <c r="C1812" s="11" t="s">
        <v>1143</v>
      </c>
      <c r="D1812" s="9"/>
      <c r="E1812" s="9">
        <v>364</v>
      </c>
      <c r="F1812" s="10" t="s">
        <v>1066</v>
      </c>
      <c r="G1812" s="9">
        <v>5501</v>
      </c>
      <c r="H1812" s="9">
        <v>1995</v>
      </c>
      <c r="I1812" s="8">
        <v>3735.9369999999999</v>
      </c>
      <c r="J1812" s="8">
        <v>4691.9650000000001</v>
      </c>
      <c r="K1812" s="8">
        <v>4544.3620000000001</v>
      </c>
      <c r="L1812" s="8">
        <v>3719.4780000000001</v>
      </c>
      <c r="M1812" s="8">
        <v>2790.8879999999999</v>
      </c>
      <c r="N1812" s="8">
        <v>2339.9540000000002</v>
      </c>
      <c r="O1812" s="8">
        <v>1921.1020000000001</v>
      </c>
      <c r="P1812" s="8">
        <v>1711.6020000000001</v>
      </c>
      <c r="Q1812" s="8">
        <v>1412.9780000000001</v>
      </c>
      <c r="R1812" s="8">
        <v>1002.16</v>
      </c>
      <c r="S1812" s="8">
        <v>752.98500000000001</v>
      </c>
      <c r="T1812" s="8">
        <v>742.423</v>
      </c>
      <c r="U1812" s="8">
        <v>715.24300000000005</v>
      </c>
      <c r="V1812" s="8">
        <v>561.13300000000004</v>
      </c>
      <c r="W1812" s="8">
        <v>372.93200000000002</v>
      </c>
      <c r="X1812" s="8">
        <v>171.059</v>
      </c>
      <c r="Y1812" s="8">
        <v>78.712999999999994</v>
      </c>
      <c r="Z1812" s="8">
        <v>30.065000000000001</v>
      </c>
      <c r="AA1812" s="8">
        <v>7.92</v>
      </c>
      <c r="AB1812" s="8">
        <v>1.1679999999999999</v>
      </c>
      <c r="AC1812" s="8">
        <v>0.126</v>
      </c>
    </row>
    <row r="1813" spans="1:29" ht="11.65" x14ac:dyDescent="0.35">
      <c r="A1813" s="12">
        <v>1796</v>
      </c>
      <c r="B1813" s="10" t="s">
        <v>1015</v>
      </c>
      <c r="C1813" s="11" t="s">
        <v>1143</v>
      </c>
      <c r="D1813" s="9"/>
      <c r="E1813" s="9">
        <v>364</v>
      </c>
      <c r="F1813" s="10" t="s">
        <v>1066</v>
      </c>
      <c r="G1813" s="9">
        <v>5501</v>
      </c>
      <c r="H1813" s="9">
        <v>2000</v>
      </c>
      <c r="I1813" s="8">
        <v>2977.212</v>
      </c>
      <c r="J1813" s="8">
        <v>3708.578</v>
      </c>
      <c r="K1813" s="8">
        <v>4672.7839999999997</v>
      </c>
      <c r="L1813" s="8">
        <v>4509.2060000000001</v>
      </c>
      <c r="M1813" s="8">
        <v>3660.288</v>
      </c>
      <c r="N1813" s="8">
        <v>2735.5219999999999</v>
      </c>
      <c r="O1813" s="8">
        <v>2295.183</v>
      </c>
      <c r="P1813" s="8">
        <v>1884.6610000000001</v>
      </c>
      <c r="Q1813" s="8">
        <v>1676.212</v>
      </c>
      <c r="R1813" s="8">
        <v>1376.4010000000001</v>
      </c>
      <c r="S1813" s="8">
        <v>965.65899999999999</v>
      </c>
      <c r="T1813" s="8">
        <v>715.71299999999997</v>
      </c>
      <c r="U1813" s="8">
        <v>693.13800000000003</v>
      </c>
      <c r="V1813" s="8">
        <v>645.86099999999999</v>
      </c>
      <c r="W1813" s="8">
        <v>462.93900000000002</v>
      </c>
      <c r="X1813" s="8">
        <v>262.27499999999998</v>
      </c>
      <c r="Y1813" s="8">
        <v>99.313000000000002</v>
      </c>
      <c r="Z1813" s="8">
        <v>35.305</v>
      </c>
      <c r="AA1813" s="8">
        <v>9.5470000000000006</v>
      </c>
      <c r="AB1813" s="8">
        <v>1.6060000000000001</v>
      </c>
      <c r="AC1813" s="8">
        <v>0.14899999999999999</v>
      </c>
    </row>
    <row r="1814" spans="1:29" ht="11.65" x14ac:dyDescent="0.35">
      <c r="A1814" s="12">
        <v>1797</v>
      </c>
      <c r="B1814" s="10" t="s">
        <v>1015</v>
      </c>
      <c r="C1814" s="11" t="s">
        <v>1143</v>
      </c>
      <c r="D1814" s="9"/>
      <c r="E1814" s="9">
        <v>364</v>
      </c>
      <c r="F1814" s="10" t="s">
        <v>1066</v>
      </c>
      <c r="G1814" s="9">
        <v>5501</v>
      </c>
      <c r="H1814" s="9">
        <v>2005</v>
      </c>
      <c r="I1814" s="8">
        <v>2913.6019999999999</v>
      </c>
      <c r="J1814" s="8">
        <v>2959.4270000000001</v>
      </c>
      <c r="K1814" s="8">
        <v>3684.8249999999998</v>
      </c>
      <c r="L1814" s="8">
        <v>4566.1899999999996</v>
      </c>
      <c r="M1814" s="8">
        <v>4366.4639999999999</v>
      </c>
      <c r="N1814" s="8">
        <v>3487.654</v>
      </c>
      <c r="O1814" s="8">
        <v>2691.7660000000001</v>
      </c>
      <c r="P1814" s="8">
        <v>2409.5120000000002</v>
      </c>
      <c r="Q1814" s="8">
        <v>2009.8879999999999</v>
      </c>
      <c r="R1814" s="8">
        <v>1741.5540000000001</v>
      </c>
      <c r="S1814" s="8">
        <v>1330.0129999999999</v>
      </c>
      <c r="T1814" s="8">
        <v>921.60400000000004</v>
      </c>
      <c r="U1814" s="8">
        <v>672.21400000000006</v>
      </c>
      <c r="V1814" s="8">
        <v>631.66300000000001</v>
      </c>
      <c r="W1814" s="8">
        <v>543.13900000000001</v>
      </c>
      <c r="X1814" s="8">
        <v>337.99599999999998</v>
      </c>
      <c r="Y1814" s="8">
        <v>160.58000000000001</v>
      </c>
      <c r="Z1814" s="8">
        <v>47.356000000000002</v>
      </c>
      <c r="AA1814" s="8">
        <v>11.91</v>
      </c>
      <c r="AB1814" s="8">
        <v>2.0430000000000001</v>
      </c>
      <c r="AC1814" s="8">
        <v>0.20899999999999999</v>
      </c>
    </row>
    <row r="1815" spans="1:29" ht="11.65" x14ac:dyDescent="0.35">
      <c r="A1815" s="12">
        <v>1798</v>
      </c>
      <c r="B1815" s="10" t="s">
        <v>1015</v>
      </c>
      <c r="C1815" s="11" t="s">
        <v>1143</v>
      </c>
      <c r="D1815" s="9"/>
      <c r="E1815" s="9">
        <v>364</v>
      </c>
      <c r="F1815" s="10" t="s">
        <v>1066</v>
      </c>
      <c r="G1815" s="9">
        <v>5501</v>
      </c>
      <c r="H1815" s="9">
        <v>2010</v>
      </c>
      <c r="I1815" s="8">
        <v>3200.5709999999999</v>
      </c>
      <c r="J1815" s="8">
        <v>2901.8539999999998</v>
      </c>
      <c r="K1815" s="8">
        <v>2950.7869999999998</v>
      </c>
      <c r="L1815" s="8">
        <v>3578.66</v>
      </c>
      <c r="M1815" s="8">
        <v>4403.1610000000001</v>
      </c>
      <c r="N1815" s="8">
        <v>4169.1769999999997</v>
      </c>
      <c r="O1815" s="8">
        <v>3331.723</v>
      </c>
      <c r="P1815" s="8">
        <v>2624.732</v>
      </c>
      <c r="Q1815" s="8">
        <v>2359.297</v>
      </c>
      <c r="R1815" s="8">
        <v>1941.1120000000001</v>
      </c>
      <c r="S1815" s="8">
        <v>1662.8620000000001</v>
      </c>
      <c r="T1815" s="8">
        <v>1244.271</v>
      </c>
      <c r="U1815" s="8">
        <v>852.48</v>
      </c>
      <c r="V1815" s="8">
        <v>653.90200000000004</v>
      </c>
      <c r="W1815" s="8">
        <v>595.44899999999996</v>
      </c>
      <c r="X1815" s="8">
        <v>403.46499999999997</v>
      </c>
      <c r="Y1815" s="8">
        <v>210.572</v>
      </c>
      <c r="Z1815" s="8">
        <v>77.183999999999997</v>
      </c>
      <c r="AA1815" s="8">
        <v>16.123000000000001</v>
      </c>
      <c r="AB1815" s="8">
        <v>2.544</v>
      </c>
      <c r="AC1815" s="8">
        <v>0.26400000000000001</v>
      </c>
    </row>
    <row r="1816" spans="1:29" ht="11.65" x14ac:dyDescent="0.35">
      <c r="A1816" s="12">
        <v>1799</v>
      </c>
      <c r="B1816" s="10" t="s">
        <v>1015</v>
      </c>
      <c r="C1816" s="11" t="s">
        <v>1143</v>
      </c>
      <c r="D1816" s="9"/>
      <c r="E1816" s="9">
        <v>364</v>
      </c>
      <c r="F1816" s="10" t="s">
        <v>1066</v>
      </c>
      <c r="G1816" s="9">
        <v>5501</v>
      </c>
      <c r="H1816" s="9">
        <v>2015</v>
      </c>
      <c r="I1816" s="8">
        <v>3576.011</v>
      </c>
      <c r="J1816" s="8">
        <v>3191.683</v>
      </c>
      <c r="K1816" s="8">
        <v>2849.788</v>
      </c>
      <c r="L1816" s="8">
        <v>2841.98</v>
      </c>
      <c r="M1816" s="8">
        <v>3427.6840000000002</v>
      </c>
      <c r="N1816" s="8">
        <v>4252.9080000000004</v>
      </c>
      <c r="O1816" s="8">
        <v>4155.1629999999996</v>
      </c>
      <c r="P1816" s="8">
        <v>3297.5819999999999</v>
      </c>
      <c r="Q1816" s="8">
        <v>2636.8560000000002</v>
      </c>
      <c r="R1816" s="8">
        <v>2362.3620000000001</v>
      </c>
      <c r="S1816" s="8">
        <v>1873.5519999999999</v>
      </c>
      <c r="T1816" s="8">
        <v>1620.316</v>
      </c>
      <c r="U1816" s="8">
        <v>1204.386</v>
      </c>
      <c r="V1816" s="8">
        <v>810.48</v>
      </c>
      <c r="W1816" s="8">
        <v>626.75900000000001</v>
      </c>
      <c r="X1816" s="8">
        <v>513.55100000000004</v>
      </c>
      <c r="Y1816" s="8">
        <v>366.90600000000001</v>
      </c>
      <c r="Z1816" s="8">
        <v>95.600999999999999</v>
      </c>
      <c r="AA1816" s="8">
        <v>23.501000000000001</v>
      </c>
      <c r="AB1816" s="8">
        <v>2.8210000000000002</v>
      </c>
      <c r="AC1816" s="8">
        <v>0.253</v>
      </c>
    </row>
    <row r="1817" spans="1:29" ht="11.65" x14ac:dyDescent="0.35">
      <c r="A1817" s="12">
        <v>1800</v>
      </c>
      <c r="B1817" s="10" t="s">
        <v>1015</v>
      </c>
      <c r="C1817" s="11" t="s">
        <v>1143</v>
      </c>
      <c r="D1817" s="9"/>
      <c r="E1817" s="9">
        <v>364</v>
      </c>
      <c r="F1817" s="10" t="s">
        <v>1066</v>
      </c>
      <c r="G1817" s="9">
        <v>5501</v>
      </c>
      <c r="H1817" s="9">
        <v>2020</v>
      </c>
      <c r="I1817" s="8">
        <v>3913.297</v>
      </c>
      <c r="J1817" s="8">
        <v>3566.7040000000002</v>
      </c>
      <c r="K1817" s="8">
        <v>3185.8249999999998</v>
      </c>
      <c r="L1817" s="8">
        <v>2829.7449999999999</v>
      </c>
      <c r="M1817" s="8">
        <v>2801.1619999999998</v>
      </c>
      <c r="N1817" s="8">
        <v>3382.4459999999999</v>
      </c>
      <c r="O1817" s="8">
        <v>4211.84</v>
      </c>
      <c r="P1817" s="8">
        <v>4120.4049999999997</v>
      </c>
      <c r="Q1817" s="8">
        <v>3270.9560000000001</v>
      </c>
      <c r="R1817" s="8">
        <v>2608.0479999999998</v>
      </c>
      <c r="S1817" s="8">
        <v>2321.587</v>
      </c>
      <c r="T1817" s="8">
        <v>1826.123</v>
      </c>
      <c r="U1817" s="8">
        <v>1559.797</v>
      </c>
      <c r="V1817" s="8">
        <v>1128.7260000000001</v>
      </c>
      <c r="W1817" s="8">
        <v>709.93299999999999</v>
      </c>
      <c r="X1817" s="8">
        <v>471.44099999999997</v>
      </c>
      <c r="Y1817" s="8">
        <v>306.84699999999998</v>
      </c>
      <c r="Z1817" s="8">
        <v>162.12100000000001</v>
      </c>
      <c r="AA1817" s="8">
        <v>27.495000000000001</v>
      </c>
      <c r="AB1817" s="8">
        <v>3.67</v>
      </c>
      <c r="AC1817" s="8">
        <v>0.23799999999999999</v>
      </c>
    </row>
    <row r="1818" spans="1:29" ht="11.65" x14ac:dyDescent="0.35">
      <c r="A1818" s="12">
        <v>1801</v>
      </c>
      <c r="B1818" s="10" t="s">
        <v>1015</v>
      </c>
      <c r="C1818" s="11" t="s">
        <v>1144</v>
      </c>
      <c r="D1818" s="9"/>
      <c r="E1818" s="9">
        <v>462</v>
      </c>
      <c r="F1818" s="10" t="s">
        <v>1066</v>
      </c>
      <c r="G1818" s="9">
        <v>5501</v>
      </c>
      <c r="H1818" s="9">
        <v>1950</v>
      </c>
      <c r="I1818" s="8">
        <v>5.2640000000000002</v>
      </c>
      <c r="J1818" s="8">
        <v>5.5030000000000001</v>
      </c>
      <c r="K1818" s="8">
        <v>5.28</v>
      </c>
      <c r="L1818" s="8">
        <v>4.7080000000000002</v>
      </c>
      <c r="M1818" s="8">
        <v>3.806</v>
      </c>
      <c r="N1818" s="8">
        <v>3.2930000000000001</v>
      </c>
      <c r="O1818" s="8">
        <v>2.827</v>
      </c>
      <c r="P1818" s="8">
        <v>2.403</v>
      </c>
      <c r="Q1818" s="8">
        <v>2.0369999999999999</v>
      </c>
      <c r="R1818" s="8">
        <v>1.5880000000000001</v>
      </c>
      <c r="S1818" s="8">
        <v>1.38</v>
      </c>
      <c r="T1818" s="8">
        <v>1.153</v>
      </c>
      <c r="U1818" s="8">
        <v>0.91400000000000003</v>
      </c>
      <c r="V1818" s="8">
        <v>0.66500000000000004</v>
      </c>
      <c r="W1818" s="8">
        <v>0.432</v>
      </c>
      <c r="X1818" s="8">
        <v>0.24099999999999999</v>
      </c>
      <c r="Y1818" s="8">
        <v>0.13600000000000001</v>
      </c>
      <c r="Z1818" s="8">
        <v>3.4000000000000002E-2</v>
      </c>
      <c r="AA1818" s="8">
        <v>5.0000000000000001E-3</v>
      </c>
      <c r="AB1818" s="8">
        <v>0</v>
      </c>
      <c r="AC1818" s="8">
        <v>0</v>
      </c>
    </row>
    <row r="1819" spans="1:29" ht="11.65" x14ac:dyDescent="0.35">
      <c r="A1819" s="12">
        <v>1802</v>
      </c>
      <c r="B1819" s="10" t="s">
        <v>1015</v>
      </c>
      <c r="C1819" s="11" t="s">
        <v>1144</v>
      </c>
      <c r="D1819" s="9"/>
      <c r="E1819" s="9">
        <v>462</v>
      </c>
      <c r="F1819" s="10" t="s">
        <v>1066</v>
      </c>
      <c r="G1819" s="9">
        <v>5501</v>
      </c>
      <c r="H1819" s="9">
        <v>1955</v>
      </c>
      <c r="I1819" s="8">
        <v>5.7750000000000004</v>
      </c>
      <c r="J1819" s="8">
        <v>4.593</v>
      </c>
      <c r="K1819" s="8">
        <v>5.319</v>
      </c>
      <c r="L1819" s="8">
        <v>5.1710000000000003</v>
      </c>
      <c r="M1819" s="8">
        <v>4.59</v>
      </c>
      <c r="N1819" s="8">
        <v>3.694</v>
      </c>
      <c r="O1819" s="8">
        <v>3.1819999999999999</v>
      </c>
      <c r="P1819" s="8">
        <v>2.7109999999999999</v>
      </c>
      <c r="Q1819" s="8">
        <v>2.2719999999999998</v>
      </c>
      <c r="R1819" s="8">
        <v>1.887</v>
      </c>
      <c r="S1819" s="8">
        <v>1.431</v>
      </c>
      <c r="T1819" s="8">
        <v>1.194</v>
      </c>
      <c r="U1819" s="8">
        <v>0.94799999999999995</v>
      </c>
      <c r="V1819" s="8">
        <v>0.68500000000000005</v>
      </c>
      <c r="W1819" s="8">
        <v>0.42599999999999999</v>
      </c>
      <c r="X1819" s="8">
        <v>0.22</v>
      </c>
      <c r="Y1819" s="8">
        <v>0.09</v>
      </c>
      <c r="Z1819" s="8">
        <v>3.4000000000000002E-2</v>
      </c>
      <c r="AA1819" s="8">
        <v>5.0000000000000001E-3</v>
      </c>
      <c r="AB1819" s="8">
        <v>0</v>
      </c>
      <c r="AC1819" s="8">
        <v>0</v>
      </c>
    </row>
    <row r="1820" spans="1:29" ht="11.65" x14ac:dyDescent="0.35">
      <c r="A1820" s="12">
        <v>1803</v>
      </c>
      <c r="B1820" s="10" t="s">
        <v>1015</v>
      </c>
      <c r="C1820" s="11" t="s">
        <v>1144</v>
      </c>
      <c r="D1820" s="9"/>
      <c r="E1820" s="9">
        <v>462</v>
      </c>
      <c r="F1820" s="10" t="s">
        <v>1066</v>
      </c>
      <c r="G1820" s="9">
        <v>5501</v>
      </c>
      <c r="H1820" s="9">
        <v>1960</v>
      </c>
      <c r="I1820" s="8">
        <v>7.9770000000000003</v>
      </c>
      <c r="J1820" s="8">
        <v>5.0510000000000002</v>
      </c>
      <c r="K1820" s="8">
        <v>4.4610000000000003</v>
      </c>
      <c r="L1820" s="8">
        <v>5.21</v>
      </c>
      <c r="M1820" s="8">
        <v>5.0270000000000001</v>
      </c>
      <c r="N1820" s="8">
        <v>4.4390000000000001</v>
      </c>
      <c r="O1820" s="8">
        <v>3.5630000000000002</v>
      </c>
      <c r="P1820" s="8">
        <v>3.0539999999999998</v>
      </c>
      <c r="Q1820" s="8">
        <v>2.5720000000000001</v>
      </c>
      <c r="R1820" s="8">
        <v>2.1190000000000002</v>
      </c>
      <c r="S1820" s="8">
        <v>1.7130000000000001</v>
      </c>
      <c r="T1820" s="8">
        <v>1.252</v>
      </c>
      <c r="U1820" s="8">
        <v>0.995</v>
      </c>
      <c r="V1820" s="8">
        <v>0.72299999999999998</v>
      </c>
      <c r="W1820" s="8">
        <v>0.44800000000000001</v>
      </c>
      <c r="X1820" s="8">
        <v>0.224</v>
      </c>
      <c r="Y1820" s="8">
        <v>8.4000000000000005E-2</v>
      </c>
      <c r="Z1820" s="8">
        <v>2.3E-2</v>
      </c>
      <c r="AA1820" s="8">
        <v>5.0000000000000001E-3</v>
      </c>
      <c r="AB1820" s="8">
        <v>0</v>
      </c>
      <c r="AC1820" s="8">
        <v>0</v>
      </c>
    </row>
    <row r="1821" spans="1:29" ht="11.65" x14ac:dyDescent="0.35">
      <c r="A1821" s="12">
        <v>1804</v>
      </c>
      <c r="B1821" s="10" t="s">
        <v>1015</v>
      </c>
      <c r="C1821" s="11" t="s">
        <v>1144</v>
      </c>
      <c r="D1821" s="9"/>
      <c r="E1821" s="9">
        <v>462</v>
      </c>
      <c r="F1821" s="10" t="s">
        <v>1066</v>
      </c>
      <c r="G1821" s="9">
        <v>5501</v>
      </c>
      <c r="H1821" s="9">
        <v>1965</v>
      </c>
      <c r="I1821" s="8">
        <v>9.7690000000000001</v>
      </c>
      <c r="J1821" s="8">
        <v>7.1050000000000004</v>
      </c>
      <c r="K1821" s="8">
        <v>4.93</v>
      </c>
      <c r="L1821" s="8">
        <v>4.2949999999999999</v>
      </c>
      <c r="M1821" s="8">
        <v>4.9039999999999999</v>
      </c>
      <c r="N1821" s="8">
        <v>4.7270000000000003</v>
      </c>
      <c r="O1821" s="8">
        <v>4.2329999999999997</v>
      </c>
      <c r="P1821" s="8">
        <v>3.4249999999999998</v>
      </c>
      <c r="Q1821" s="8">
        <v>2.9079999999999999</v>
      </c>
      <c r="R1821" s="8">
        <v>2.415</v>
      </c>
      <c r="S1821" s="8">
        <v>1.94</v>
      </c>
      <c r="T1821" s="8">
        <v>1.5149999999999999</v>
      </c>
      <c r="U1821" s="8">
        <v>1.0629999999999999</v>
      </c>
      <c r="V1821" s="8">
        <v>0.78300000000000003</v>
      </c>
      <c r="W1821" s="8">
        <v>0.49</v>
      </c>
      <c r="X1821" s="8">
        <v>0.24399999999999999</v>
      </c>
      <c r="Y1821" s="8">
        <v>8.7999999999999995E-2</v>
      </c>
      <c r="Z1821" s="8">
        <v>2.3E-2</v>
      </c>
      <c r="AA1821" s="8">
        <v>3.0000000000000001E-3</v>
      </c>
      <c r="AB1821" s="8">
        <v>0</v>
      </c>
      <c r="AC1821" s="8">
        <v>0</v>
      </c>
    </row>
    <row r="1822" spans="1:29" ht="11.65" x14ac:dyDescent="0.35">
      <c r="A1822" s="12">
        <v>1805</v>
      </c>
      <c r="B1822" s="10" t="s">
        <v>1015</v>
      </c>
      <c r="C1822" s="11" t="s">
        <v>1144</v>
      </c>
      <c r="D1822" s="9"/>
      <c r="E1822" s="9">
        <v>462</v>
      </c>
      <c r="F1822" s="10" t="s">
        <v>1066</v>
      </c>
      <c r="G1822" s="9">
        <v>5501</v>
      </c>
      <c r="H1822" s="9">
        <v>1970</v>
      </c>
      <c r="I1822" s="8">
        <v>11.16</v>
      </c>
      <c r="J1822" s="8">
        <v>8.8940000000000001</v>
      </c>
      <c r="K1822" s="8">
        <v>6.9630000000000001</v>
      </c>
      <c r="L1822" s="8">
        <v>4.3470000000000004</v>
      </c>
      <c r="M1822" s="8">
        <v>3.133</v>
      </c>
      <c r="N1822" s="8">
        <v>3.8889999999999998</v>
      </c>
      <c r="O1822" s="8">
        <v>4.2539999999999996</v>
      </c>
      <c r="P1822" s="8">
        <v>4.0759999999999996</v>
      </c>
      <c r="Q1822" s="8">
        <v>3.274</v>
      </c>
      <c r="R1822" s="8">
        <v>2.7469999999999999</v>
      </c>
      <c r="S1822" s="8">
        <v>2.2290000000000001</v>
      </c>
      <c r="T1822" s="8">
        <v>1.7330000000000001</v>
      </c>
      <c r="U1822" s="8">
        <v>1.302</v>
      </c>
      <c r="V1822" s="8">
        <v>0.84899999999999998</v>
      </c>
      <c r="W1822" s="8">
        <v>0.54100000000000004</v>
      </c>
      <c r="X1822" s="8">
        <v>0.27100000000000002</v>
      </c>
      <c r="Y1822" s="8">
        <v>9.8000000000000004E-2</v>
      </c>
      <c r="Z1822" s="8">
        <v>2.3E-2</v>
      </c>
      <c r="AA1822" s="8">
        <v>3.0000000000000001E-3</v>
      </c>
      <c r="AB1822" s="8">
        <v>0</v>
      </c>
      <c r="AC1822" s="8">
        <v>0</v>
      </c>
    </row>
    <row r="1823" spans="1:29" ht="11.65" x14ac:dyDescent="0.35">
      <c r="A1823" s="12">
        <v>1806</v>
      </c>
      <c r="B1823" s="10" t="s">
        <v>1015</v>
      </c>
      <c r="C1823" s="11" t="s">
        <v>1144</v>
      </c>
      <c r="D1823" s="9"/>
      <c r="E1823" s="9">
        <v>462</v>
      </c>
      <c r="F1823" s="10" t="s">
        <v>1066</v>
      </c>
      <c r="G1823" s="9">
        <v>5501</v>
      </c>
      <c r="H1823" s="9">
        <v>1975</v>
      </c>
      <c r="I1823" s="8">
        <v>12.526999999999999</v>
      </c>
      <c r="J1823" s="8">
        <v>10.372</v>
      </c>
      <c r="K1823" s="8">
        <v>8.7449999999999992</v>
      </c>
      <c r="L1823" s="8">
        <v>6.9020000000000001</v>
      </c>
      <c r="M1823" s="8">
        <v>4.5010000000000003</v>
      </c>
      <c r="N1823" s="8">
        <v>3.5270000000000001</v>
      </c>
      <c r="O1823" s="8">
        <v>4.2430000000000003</v>
      </c>
      <c r="P1823" s="8">
        <v>4.8109999999999999</v>
      </c>
      <c r="Q1823" s="8">
        <v>4.4950000000000001</v>
      </c>
      <c r="R1823" s="8">
        <v>3.3180000000000001</v>
      </c>
      <c r="S1823" s="8">
        <v>2.6539999999999999</v>
      </c>
      <c r="T1823" s="8">
        <v>2.008</v>
      </c>
      <c r="U1823" s="8">
        <v>1.5069999999999999</v>
      </c>
      <c r="V1823" s="8">
        <v>1.054</v>
      </c>
      <c r="W1823" s="8">
        <v>0.59599999999999997</v>
      </c>
      <c r="X1823" s="8">
        <v>0.30399999999999999</v>
      </c>
      <c r="Y1823" s="8">
        <v>0.11</v>
      </c>
      <c r="Z1823" s="8">
        <v>2.5999999999999999E-2</v>
      </c>
      <c r="AA1823" s="8">
        <v>3.0000000000000001E-3</v>
      </c>
      <c r="AB1823" s="8">
        <v>0</v>
      </c>
      <c r="AC1823" s="8">
        <v>0</v>
      </c>
    </row>
    <row r="1824" spans="1:29" ht="11.65" x14ac:dyDescent="0.35">
      <c r="A1824" s="12">
        <v>1807</v>
      </c>
      <c r="B1824" s="10" t="s">
        <v>1015</v>
      </c>
      <c r="C1824" s="11" t="s">
        <v>1144</v>
      </c>
      <c r="D1824" s="9"/>
      <c r="E1824" s="9">
        <v>462</v>
      </c>
      <c r="F1824" s="10" t="s">
        <v>1066</v>
      </c>
      <c r="G1824" s="9">
        <v>5501</v>
      </c>
      <c r="H1824" s="9">
        <v>1980</v>
      </c>
      <c r="I1824" s="8">
        <v>14.411</v>
      </c>
      <c r="J1824" s="8">
        <v>11.88</v>
      </c>
      <c r="K1824" s="8">
        <v>10.228</v>
      </c>
      <c r="L1824" s="8">
        <v>8.6829999999999998</v>
      </c>
      <c r="M1824" s="8">
        <v>6.8380000000000001</v>
      </c>
      <c r="N1824" s="8">
        <v>4.4219999999999997</v>
      </c>
      <c r="O1824" s="8">
        <v>3.427</v>
      </c>
      <c r="P1824" s="8">
        <v>4.0970000000000004</v>
      </c>
      <c r="Q1824" s="8">
        <v>4.633</v>
      </c>
      <c r="R1824" s="8">
        <v>4.2889999999999997</v>
      </c>
      <c r="S1824" s="8">
        <v>3.1030000000000002</v>
      </c>
      <c r="T1824" s="8">
        <v>2.415</v>
      </c>
      <c r="U1824" s="8">
        <v>1.7789999999999999</v>
      </c>
      <c r="V1824" s="8">
        <v>1.258</v>
      </c>
      <c r="W1824" s="8">
        <v>0.77100000000000002</v>
      </c>
      <c r="X1824" s="8">
        <v>0.35099999999999998</v>
      </c>
      <c r="Y1824" s="8">
        <v>0.129</v>
      </c>
      <c r="Z1824" s="8">
        <v>2.9000000000000001E-2</v>
      </c>
      <c r="AA1824" s="8">
        <v>4.0000000000000001E-3</v>
      </c>
      <c r="AB1824" s="8">
        <v>0</v>
      </c>
      <c r="AC1824" s="8">
        <v>0</v>
      </c>
    </row>
    <row r="1825" spans="1:29" ht="11.65" x14ac:dyDescent="0.35">
      <c r="A1825" s="12">
        <v>1808</v>
      </c>
      <c r="B1825" s="10" t="s">
        <v>1015</v>
      </c>
      <c r="C1825" s="11" t="s">
        <v>1144</v>
      </c>
      <c r="D1825" s="9"/>
      <c r="E1825" s="9">
        <v>462</v>
      </c>
      <c r="F1825" s="10" t="s">
        <v>1066</v>
      </c>
      <c r="G1825" s="9">
        <v>5501</v>
      </c>
      <c r="H1825" s="9">
        <v>1985</v>
      </c>
      <c r="I1825" s="8">
        <v>19.085999999999999</v>
      </c>
      <c r="J1825" s="8">
        <v>13.864000000000001</v>
      </c>
      <c r="K1825" s="8">
        <v>11.752000000000001</v>
      </c>
      <c r="L1825" s="8">
        <v>10.188000000000001</v>
      </c>
      <c r="M1825" s="8">
        <v>8.6370000000000005</v>
      </c>
      <c r="N1825" s="8">
        <v>6.766</v>
      </c>
      <c r="O1825" s="8">
        <v>4.34</v>
      </c>
      <c r="P1825" s="8">
        <v>3.3340000000000001</v>
      </c>
      <c r="Q1825" s="8">
        <v>3.9670000000000001</v>
      </c>
      <c r="R1825" s="8">
        <v>4.46</v>
      </c>
      <c r="S1825" s="8">
        <v>4.0620000000000003</v>
      </c>
      <c r="T1825" s="8">
        <v>2.8839999999999999</v>
      </c>
      <c r="U1825" s="8">
        <v>2.1779999999999999</v>
      </c>
      <c r="V1825" s="8">
        <v>1.4990000000000001</v>
      </c>
      <c r="W1825" s="8">
        <v>0.94599999999999995</v>
      </c>
      <c r="X1825" s="8">
        <v>0.47299999999999998</v>
      </c>
      <c r="Y1825" s="8">
        <v>0.153</v>
      </c>
      <c r="Z1825" s="8">
        <v>3.3000000000000002E-2</v>
      </c>
      <c r="AA1825" s="8">
        <v>4.0000000000000001E-3</v>
      </c>
      <c r="AB1825" s="8">
        <v>0</v>
      </c>
      <c r="AC1825" s="8">
        <v>0</v>
      </c>
    </row>
    <row r="1826" spans="1:29" ht="11.65" x14ac:dyDescent="0.35">
      <c r="A1826" s="12">
        <v>1809</v>
      </c>
      <c r="B1826" s="10" t="s">
        <v>1015</v>
      </c>
      <c r="C1826" s="11" t="s">
        <v>1144</v>
      </c>
      <c r="D1826" s="9"/>
      <c r="E1826" s="9">
        <v>462</v>
      </c>
      <c r="F1826" s="10" t="s">
        <v>1066</v>
      </c>
      <c r="G1826" s="9">
        <v>5501</v>
      </c>
      <c r="H1826" s="9">
        <v>1990</v>
      </c>
      <c r="I1826" s="8">
        <v>21.675999999999998</v>
      </c>
      <c r="J1826" s="8">
        <v>18.623000000000001</v>
      </c>
      <c r="K1826" s="8">
        <v>13.786</v>
      </c>
      <c r="L1826" s="8">
        <v>11.553000000000001</v>
      </c>
      <c r="M1826" s="8">
        <v>9.4870000000000001</v>
      </c>
      <c r="N1826" s="8">
        <v>7.742</v>
      </c>
      <c r="O1826" s="8">
        <v>6.0060000000000002</v>
      </c>
      <c r="P1826" s="8">
        <v>3.927</v>
      </c>
      <c r="Q1826" s="8">
        <v>3.26</v>
      </c>
      <c r="R1826" s="8">
        <v>3.85</v>
      </c>
      <c r="S1826" s="8">
        <v>4.2510000000000003</v>
      </c>
      <c r="T1826" s="8">
        <v>3.78</v>
      </c>
      <c r="U1826" s="8">
        <v>2.6110000000000002</v>
      </c>
      <c r="V1826" s="8">
        <v>1.835</v>
      </c>
      <c r="W1826" s="8">
        <v>1.131</v>
      </c>
      <c r="X1826" s="8">
        <v>0.61299999999999999</v>
      </c>
      <c r="Y1826" s="8">
        <v>0.222</v>
      </c>
      <c r="Z1826" s="8">
        <v>4.1000000000000002E-2</v>
      </c>
      <c r="AA1826" s="8">
        <v>4.0000000000000001E-3</v>
      </c>
      <c r="AB1826" s="8">
        <v>0</v>
      </c>
      <c r="AC1826" s="8">
        <v>0</v>
      </c>
    </row>
    <row r="1827" spans="1:29" ht="11.65" x14ac:dyDescent="0.35">
      <c r="A1827" s="12">
        <v>1810</v>
      </c>
      <c r="B1827" s="10" t="s">
        <v>1015</v>
      </c>
      <c r="C1827" s="11" t="s">
        <v>1144</v>
      </c>
      <c r="D1827" s="9"/>
      <c r="E1827" s="9">
        <v>462</v>
      </c>
      <c r="F1827" s="10" t="s">
        <v>1066</v>
      </c>
      <c r="G1827" s="9">
        <v>5501</v>
      </c>
      <c r="H1827" s="9">
        <v>1995</v>
      </c>
      <c r="I1827" s="8">
        <v>20.640999999999998</v>
      </c>
      <c r="J1827" s="8">
        <v>21.308</v>
      </c>
      <c r="K1827" s="8">
        <v>18.545999999999999</v>
      </c>
      <c r="L1827" s="8">
        <v>13.198</v>
      </c>
      <c r="M1827" s="8">
        <v>10.307</v>
      </c>
      <c r="N1827" s="8">
        <v>8.5289999999999999</v>
      </c>
      <c r="O1827" s="8">
        <v>7.3479999999999999</v>
      </c>
      <c r="P1827" s="8">
        <v>5.85</v>
      </c>
      <c r="Q1827" s="8">
        <v>3.859</v>
      </c>
      <c r="R1827" s="8">
        <v>3.18</v>
      </c>
      <c r="S1827" s="8">
        <v>3.7050000000000001</v>
      </c>
      <c r="T1827" s="8">
        <v>4.0110000000000001</v>
      </c>
      <c r="U1827" s="8">
        <v>3.4540000000000002</v>
      </c>
      <c r="V1827" s="8">
        <v>2.2149999999999999</v>
      </c>
      <c r="W1827" s="8">
        <v>1.3839999999999999</v>
      </c>
      <c r="X1827" s="8">
        <v>0.73099999999999998</v>
      </c>
      <c r="Y1827" s="8">
        <v>0.29299999999999998</v>
      </c>
      <c r="Z1827" s="8">
        <v>6.4000000000000001E-2</v>
      </c>
      <c r="AA1827" s="8">
        <v>6.0000000000000001E-3</v>
      </c>
      <c r="AB1827" s="8">
        <v>0</v>
      </c>
      <c r="AC1827" s="8">
        <v>0</v>
      </c>
    </row>
    <row r="1828" spans="1:29" ht="11.65" x14ac:dyDescent="0.35">
      <c r="A1828" s="12">
        <v>1811</v>
      </c>
      <c r="B1828" s="10" t="s">
        <v>1015</v>
      </c>
      <c r="C1828" s="11" t="s">
        <v>1144</v>
      </c>
      <c r="D1828" s="9"/>
      <c r="E1828" s="9">
        <v>462</v>
      </c>
      <c r="F1828" s="10" t="s">
        <v>1066</v>
      </c>
      <c r="G1828" s="9">
        <v>5501</v>
      </c>
      <c r="H1828" s="9">
        <v>2000</v>
      </c>
      <c r="I1828" s="8">
        <v>16.334</v>
      </c>
      <c r="J1828" s="8">
        <v>20.423999999999999</v>
      </c>
      <c r="K1828" s="8">
        <v>21.242999999999999</v>
      </c>
      <c r="L1828" s="8">
        <v>17.96</v>
      </c>
      <c r="M1828" s="8">
        <v>12.18</v>
      </c>
      <c r="N1828" s="8">
        <v>9.8390000000000004</v>
      </c>
      <c r="O1828" s="8">
        <v>8.7720000000000002</v>
      </c>
      <c r="P1828" s="8">
        <v>7.8250000000000002</v>
      </c>
      <c r="Q1828" s="8">
        <v>6.2670000000000003</v>
      </c>
      <c r="R1828" s="8">
        <v>4.0119999999999996</v>
      </c>
      <c r="S1828" s="8">
        <v>3.0819999999999999</v>
      </c>
      <c r="T1828" s="8">
        <v>3.5089999999999999</v>
      </c>
      <c r="U1828" s="8">
        <v>3.6669999999999998</v>
      </c>
      <c r="V1828" s="8">
        <v>3.0289999999999999</v>
      </c>
      <c r="W1828" s="8">
        <v>1.7450000000000001</v>
      </c>
      <c r="X1828" s="8">
        <v>0.88800000000000001</v>
      </c>
      <c r="Y1828" s="8">
        <v>0.40500000000000003</v>
      </c>
      <c r="Z1828" s="8">
        <v>0.13700000000000001</v>
      </c>
      <c r="AA1828" s="8">
        <v>2.1999999999999999E-2</v>
      </c>
      <c r="AB1828" s="8">
        <v>0</v>
      </c>
      <c r="AC1828" s="8">
        <v>0</v>
      </c>
    </row>
    <row r="1829" spans="1:29" ht="11.65" x14ac:dyDescent="0.35">
      <c r="A1829" s="12">
        <v>1812</v>
      </c>
      <c r="B1829" s="10" t="s">
        <v>1015</v>
      </c>
      <c r="C1829" s="11" t="s">
        <v>1144</v>
      </c>
      <c r="D1829" s="9"/>
      <c r="E1829" s="9">
        <v>462</v>
      </c>
      <c r="F1829" s="10" t="s">
        <v>1066</v>
      </c>
      <c r="G1829" s="9">
        <v>5501</v>
      </c>
      <c r="H1829" s="9">
        <v>2005</v>
      </c>
      <c r="I1829" s="8">
        <v>14.74</v>
      </c>
      <c r="J1829" s="8">
        <v>16.646000000000001</v>
      </c>
      <c r="K1829" s="8">
        <v>20.62</v>
      </c>
      <c r="L1829" s="8">
        <v>22.105</v>
      </c>
      <c r="M1829" s="8">
        <v>20.116</v>
      </c>
      <c r="N1829" s="8">
        <v>14.932</v>
      </c>
      <c r="O1829" s="8">
        <v>12.198</v>
      </c>
      <c r="P1829" s="8">
        <v>10.46</v>
      </c>
      <c r="Q1829" s="8">
        <v>8.9380000000000006</v>
      </c>
      <c r="R1829" s="8">
        <v>6.9720000000000004</v>
      </c>
      <c r="S1829" s="8">
        <v>4.4340000000000002</v>
      </c>
      <c r="T1829" s="8">
        <v>3.2709999999999999</v>
      </c>
      <c r="U1829" s="8">
        <v>3.4620000000000002</v>
      </c>
      <c r="V1829" s="8">
        <v>3.4089999999999998</v>
      </c>
      <c r="W1829" s="8">
        <v>2.524</v>
      </c>
      <c r="X1829" s="8">
        <v>1.2629999999999999</v>
      </c>
      <c r="Y1829" s="8">
        <v>0.57999999999999996</v>
      </c>
      <c r="Z1829" s="8">
        <v>0.217</v>
      </c>
      <c r="AA1829" s="8">
        <v>5.5E-2</v>
      </c>
      <c r="AB1829" s="8">
        <v>6.0000000000000001E-3</v>
      </c>
      <c r="AC1829" s="8">
        <v>0</v>
      </c>
    </row>
    <row r="1830" spans="1:29" ht="11.65" x14ac:dyDescent="0.35">
      <c r="A1830" s="12">
        <v>1813</v>
      </c>
      <c r="B1830" s="10" t="s">
        <v>1015</v>
      </c>
      <c r="C1830" s="11" t="s">
        <v>1144</v>
      </c>
      <c r="D1830" s="9"/>
      <c r="E1830" s="9">
        <v>462</v>
      </c>
      <c r="F1830" s="10" t="s">
        <v>1066</v>
      </c>
      <c r="G1830" s="9">
        <v>5501</v>
      </c>
      <c r="H1830" s="9">
        <v>2010</v>
      </c>
      <c r="I1830" s="8">
        <v>17.486999999999998</v>
      </c>
      <c r="J1830" s="8">
        <v>14.295999999999999</v>
      </c>
      <c r="K1830" s="8">
        <v>15.894</v>
      </c>
      <c r="L1830" s="8">
        <v>22.768999999999998</v>
      </c>
      <c r="M1830" s="8">
        <v>28.254999999999999</v>
      </c>
      <c r="N1830" s="8">
        <v>24.75</v>
      </c>
      <c r="O1830" s="8">
        <v>16.916</v>
      </c>
      <c r="P1830" s="8">
        <v>13.818</v>
      </c>
      <c r="Q1830" s="8">
        <v>11.43</v>
      </c>
      <c r="R1830" s="8">
        <v>9.4559999999999995</v>
      </c>
      <c r="S1830" s="8">
        <v>7.1619999999999999</v>
      </c>
      <c r="T1830" s="8">
        <v>4.3840000000000003</v>
      </c>
      <c r="U1830" s="8">
        <v>3.0760000000000001</v>
      </c>
      <c r="V1830" s="8">
        <v>3.1320000000000001</v>
      </c>
      <c r="W1830" s="8">
        <v>2.83</v>
      </c>
      <c r="X1830" s="8">
        <v>1.8280000000000001</v>
      </c>
      <c r="Y1830" s="8">
        <v>0.80600000000000005</v>
      </c>
      <c r="Z1830" s="8">
        <v>0.309</v>
      </c>
      <c r="AA1830" s="8">
        <v>8.6999999999999994E-2</v>
      </c>
      <c r="AB1830" s="8">
        <v>1.4999999999999999E-2</v>
      </c>
      <c r="AC1830" s="8">
        <v>1E-3</v>
      </c>
    </row>
    <row r="1831" spans="1:29" ht="11.65" x14ac:dyDescent="0.35">
      <c r="A1831" s="12">
        <v>1814</v>
      </c>
      <c r="B1831" s="10" t="s">
        <v>1015</v>
      </c>
      <c r="C1831" s="11" t="s">
        <v>1144</v>
      </c>
      <c r="D1831" s="9"/>
      <c r="E1831" s="9">
        <v>462</v>
      </c>
      <c r="F1831" s="10" t="s">
        <v>1066</v>
      </c>
      <c r="G1831" s="9">
        <v>5501</v>
      </c>
      <c r="H1831" s="9">
        <v>2015</v>
      </c>
      <c r="I1831" s="8">
        <v>19.346</v>
      </c>
      <c r="J1831" s="8">
        <v>16.981000000000002</v>
      </c>
      <c r="K1831" s="8">
        <v>13.298999999999999</v>
      </c>
      <c r="L1831" s="8">
        <v>18.907</v>
      </c>
      <c r="M1831" s="8">
        <v>32.731000000000002</v>
      </c>
      <c r="N1831" s="8">
        <v>40.9</v>
      </c>
      <c r="O1831" s="8">
        <v>35.662999999999997</v>
      </c>
      <c r="P1831" s="8">
        <v>24.878</v>
      </c>
      <c r="Q1831" s="8">
        <v>19.236000000000001</v>
      </c>
      <c r="R1831" s="8">
        <v>14.994</v>
      </c>
      <c r="S1831" s="8">
        <v>11.736000000000001</v>
      </c>
      <c r="T1831" s="8">
        <v>8.5570000000000004</v>
      </c>
      <c r="U1831" s="8">
        <v>4.782</v>
      </c>
      <c r="V1831" s="8">
        <v>2.819</v>
      </c>
      <c r="W1831" s="8">
        <v>2.6669999999999998</v>
      </c>
      <c r="X1831" s="8">
        <v>2.1240000000000001</v>
      </c>
      <c r="Y1831" s="8">
        <v>1.175</v>
      </c>
      <c r="Z1831" s="8">
        <v>0.42399999999999999</v>
      </c>
      <c r="AA1831" s="8">
        <v>0.122</v>
      </c>
      <c r="AB1831" s="8">
        <v>2.3E-2</v>
      </c>
      <c r="AC1831" s="8">
        <v>3.0000000000000001E-3</v>
      </c>
    </row>
    <row r="1832" spans="1:29" ht="11.65" x14ac:dyDescent="0.35">
      <c r="A1832" s="12">
        <v>1815</v>
      </c>
      <c r="B1832" s="10" t="s">
        <v>1015</v>
      </c>
      <c r="C1832" s="11" t="s">
        <v>1144</v>
      </c>
      <c r="D1832" s="9"/>
      <c r="E1832" s="9">
        <v>462</v>
      </c>
      <c r="F1832" s="10" t="s">
        <v>1066</v>
      </c>
      <c r="G1832" s="9">
        <v>5501</v>
      </c>
      <c r="H1832" s="9">
        <v>2020</v>
      </c>
      <c r="I1832" s="8">
        <v>18.395</v>
      </c>
      <c r="J1832" s="8">
        <v>19.317</v>
      </c>
      <c r="K1832" s="8">
        <v>16.952999999999999</v>
      </c>
      <c r="L1832" s="8">
        <v>13.523</v>
      </c>
      <c r="M1832" s="8">
        <v>36.109000000000002</v>
      </c>
      <c r="N1832" s="8">
        <v>68.578000000000003</v>
      </c>
      <c r="O1832" s="8">
        <v>60.47</v>
      </c>
      <c r="P1832" s="8">
        <v>35.545999999999999</v>
      </c>
      <c r="Q1832" s="8">
        <v>23.423999999999999</v>
      </c>
      <c r="R1832" s="8">
        <v>16.850000000000001</v>
      </c>
      <c r="S1832" s="8">
        <v>10.685</v>
      </c>
      <c r="T1832" s="8">
        <v>7.4509999999999996</v>
      </c>
      <c r="U1832" s="8">
        <v>5.6859999999999999</v>
      </c>
      <c r="V1832" s="8">
        <v>3.3039999999999998</v>
      </c>
      <c r="W1832" s="8">
        <v>2.2810000000000001</v>
      </c>
      <c r="X1832" s="8">
        <v>2.0649999999999999</v>
      </c>
      <c r="Y1832" s="8">
        <v>1.4159999999999999</v>
      </c>
      <c r="Z1832" s="8">
        <v>0.65700000000000003</v>
      </c>
      <c r="AA1832" s="8">
        <v>0.17799999999999999</v>
      </c>
      <c r="AB1832" s="8">
        <v>3.5000000000000003E-2</v>
      </c>
      <c r="AC1832" s="8">
        <v>5.0000000000000001E-3</v>
      </c>
    </row>
    <row r="1833" spans="1:29" ht="11.65" x14ac:dyDescent="0.35">
      <c r="A1833" s="12">
        <v>1816</v>
      </c>
      <c r="B1833" s="10" t="s">
        <v>1015</v>
      </c>
      <c r="C1833" s="11" t="s">
        <v>1145</v>
      </c>
      <c r="D1833" s="9"/>
      <c r="E1833" s="9">
        <v>524</v>
      </c>
      <c r="F1833" s="10" t="s">
        <v>1066</v>
      </c>
      <c r="G1833" s="9">
        <v>5501</v>
      </c>
      <c r="H1833" s="9">
        <v>1950</v>
      </c>
      <c r="I1833" s="8">
        <v>628.26700000000005</v>
      </c>
      <c r="J1833" s="8">
        <v>546.20399999999995</v>
      </c>
      <c r="K1833" s="8">
        <v>494.96600000000001</v>
      </c>
      <c r="L1833" s="8">
        <v>440.77100000000002</v>
      </c>
      <c r="M1833" s="8">
        <v>402.09199999999998</v>
      </c>
      <c r="N1833" s="8">
        <v>349.72300000000001</v>
      </c>
      <c r="O1833" s="8">
        <v>298.226</v>
      </c>
      <c r="P1833" s="8">
        <v>255.953</v>
      </c>
      <c r="Q1833" s="8">
        <v>219.501</v>
      </c>
      <c r="R1833" s="8">
        <v>179.86099999999999</v>
      </c>
      <c r="S1833" s="8">
        <v>135.57</v>
      </c>
      <c r="T1833" s="8">
        <v>103.366</v>
      </c>
      <c r="U1833" s="8">
        <v>75.736999999999995</v>
      </c>
      <c r="V1833" s="8">
        <v>51.628999999999998</v>
      </c>
      <c r="W1833" s="8">
        <v>11.49</v>
      </c>
      <c r="X1833" s="8">
        <v>6.3010000000000002</v>
      </c>
      <c r="Y1833" s="8">
        <v>2.5910000000000002</v>
      </c>
      <c r="Z1833" s="8">
        <v>0.72499999999999998</v>
      </c>
      <c r="AA1833" s="8">
        <v>0.124</v>
      </c>
      <c r="AB1833" s="8">
        <v>1.2999999999999999E-2</v>
      </c>
      <c r="AC1833" s="8">
        <v>0</v>
      </c>
    </row>
    <row r="1834" spans="1:29" ht="11.65" x14ac:dyDescent="0.35">
      <c r="A1834" s="12">
        <v>1817</v>
      </c>
      <c r="B1834" s="10" t="s">
        <v>1015</v>
      </c>
      <c r="C1834" s="11" t="s">
        <v>1145</v>
      </c>
      <c r="D1834" s="9"/>
      <c r="E1834" s="9">
        <v>524</v>
      </c>
      <c r="F1834" s="10" t="s">
        <v>1066</v>
      </c>
      <c r="G1834" s="9">
        <v>5501</v>
      </c>
      <c r="H1834" s="9">
        <v>1955</v>
      </c>
      <c r="I1834" s="8">
        <v>794.03300000000002</v>
      </c>
      <c r="J1834" s="8">
        <v>561.20100000000002</v>
      </c>
      <c r="K1834" s="8">
        <v>530.49699999999996</v>
      </c>
      <c r="L1834" s="8">
        <v>477.76400000000001</v>
      </c>
      <c r="M1834" s="8">
        <v>415.62</v>
      </c>
      <c r="N1834" s="8">
        <v>372.87299999999999</v>
      </c>
      <c r="O1834" s="8">
        <v>322.27100000000002</v>
      </c>
      <c r="P1834" s="8">
        <v>272.68299999999999</v>
      </c>
      <c r="Q1834" s="8">
        <v>231.26</v>
      </c>
      <c r="R1834" s="8">
        <v>195.41300000000001</v>
      </c>
      <c r="S1834" s="8">
        <v>156.41300000000001</v>
      </c>
      <c r="T1834" s="8">
        <v>113.79900000000001</v>
      </c>
      <c r="U1834" s="8">
        <v>82.165000000000006</v>
      </c>
      <c r="V1834" s="8">
        <v>55.243000000000002</v>
      </c>
      <c r="W1834" s="8">
        <v>33.28</v>
      </c>
      <c r="X1834" s="8">
        <v>5.9770000000000003</v>
      </c>
      <c r="Y1834" s="8">
        <v>2.4220000000000002</v>
      </c>
      <c r="Z1834" s="8">
        <v>0.67900000000000005</v>
      </c>
      <c r="AA1834" s="8">
        <v>0.11700000000000001</v>
      </c>
      <c r="AB1834" s="8">
        <v>1.0999999999999999E-2</v>
      </c>
      <c r="AC1834" s="8">
        <v>1E-3</v>
      </c>
    </row>
    <row r="1835" spans="1:29" ht="11.65" x14ac:dyDescent="0.35">
      <c r="A1835" s="12">
        <v>1818</v>
      </c>
      <c r="B1835" s="10" t="s">
        <v>1015</v>
      </c>
      <c r="C1835" s="11" t="s">
        <v>1145</v>
      </c>
      <c r="D1835" s="9"/>
      <c r="E1835" s="9">
        <v>524</v>
      </c>
      <c r="F1835" s="10" t="s">
        <v>1066</v>
      </c>
      <c r="G1835" s="9">
        <v>5501</v>
      </c>
      <c r="H1835" s="9">
        <v>1960</v>
      </c>
      <c r="I1835" s="8">
        <v>835.30700000000002</v>
      </c>
      <c r="J1835" s="8">
        <v>711.07399999999996</v>
      </c>
      <c r="K1835" s="8">
        <v>545.32399999999996</v>
      </c>
      <c r="L1835" s="8">
        <v>512.09900000000005</v>
      </c>
      <c r="M1835" s="8">
        <v>450.322</v>
      </c>
      <c r="N1835" s="8">
        <v>384.76600000000002</v>
      </c>
      <c r="O1835" s="8">
        <v>343.33</v>
      </c>
      <c r="P1835" s="8">
        <v>294.64100000000002</v>
      </c>
      <c r="Q1835" s="8">
        <v>246.43600000000001</v>
      </c>
      <c r="R1835" s="8">
        <v>206.012</v>
      </c>
      <c r="S1835" s="8">
        <v>170.179</v>
      </c>
      <c r="T1835" s="8">
        <v>131.59800000000001</v>
      </c>
      <c r="U1835" s="8">
        <v>90.682000000000002</v>
      </c>
      <c r="V1835" s="8">
        <v>60.128</v>
      </c>
      <c r="W1835" s="8">
        <v>35.758000000000003</v>
      </c>
      <c r="X1835" s="8">
        <v>17.654</v>
      </c>
      <c r="Y1835" s="8">
        <v>2.302</v>
      </c>
      <c r="Z1835" s="8">
        <v>0.64100000000000001</v>
      </c>
      <c r="AA1835" s="8">
        <v>0.112</v>
      </c>
      <c r="AB1835" s="8">
        <v>1.0999999999999999E-2</v>
      </c>
      <c r="AC1835" s="8">
        <v>1E-3</v>
      </c>
    </row>
    <row r="1836" spans="1:29" ht="11.65" x14ac:dyDescent="0.35">
      <c r="A1836" s="12">
        <v>1819</v>
      </c>
      <c r="B1836" s="10" t="s">
        <v>1015</v>
      </c>
      <c r="C1836" s="11" t="s">
        <v>1145</v>
      </c>
      <c r="D1836" s="9"/>
      <c r="E1836" s="9">
        <v>524</v>
      </c>
      <c r="F1836" s="10" t="s">
        <v>1066</v>
      </c>
      <c r="G1836" s="9">
        <v>5501</v>
      </c>
      <c r="H1836" s="9">
        <v>1965</v>
      </c>
      <c r="I1836" s="8">
        <v>887.06200000000001</v>
      </c>
      <c r="J1836" s="8">
        <v>753.91899999999998</v>
      </c>
      <c r="K1836" s="8">
        <v>692.07899999999995</v>
      </c>
      <c r="L1836" s="8">
        <v>526.13</v>
      </c>
      <c r="M1836" s="8">
        <v>481.13200000000001</v>
      </c>
      <c r="N1836" s="8">
        <v>414.88400000000001</v>
      </c>
      <c r="O1836" s="8">
        <v>352.363</v>
      </c>
      <c r="P1836" s="8">
        <v>313.10199999999998</v>
      </c>
      <c r="Q1836" s="8">
        <v>266.233</v>
      </c>
      <c r="R1836" s="8">
        <v>219.83099999999999</v>
      </c>
      <c r="S1836" s="8">
        <v>179.947</v>
      </c>
      <c r="T1836" s="8">
        <v>143.893</v>
      </c>
      <c r="U1836" s="8">
        <v>105.627</v>
      </c>
      <c r="V1836" s="8">
        <v>66.988</v>
      </c>
      <c r="W1836" s="8">
        <v>39.392000000000003</v>
      </c>
      <c r="X1836" s="8">
        <v>19.283999999999999</v>
      </c>
      <c r="Y1836" s="8">
        <v>7.1189999999999998</v>
      </c>
      <c r="Z1836" s="8">
        <v>0.69099999999999995</v>
      </c>
      <c r="AA1836" s="8">
        <v>0.108</v>
      </c>
      <c r="AB1836" s="8">
        <v>0.01</v>
      </c>
      <c r="AC1836" s="8">
        <v>1E-3</v>
      </c>
    </row>
    <row r="1837" spans="1:29" ht="11.65" x14ac:dyDescent="0.35">
      <c r="A1837" s="12">
        <v>1820</v>
      </c>
      <c r="B1837" s="10" t="s">
        <v>1015</v>
      </c>
      <c r="C1837" s="11" t="s">
        <v>1145</v>
      </c>
      <c r="D1837" s="9"/>
      <c r="E1837" s="9">
        <v>524</v>
      </c>
      <c r="F1837" s="10" t="s">
        <v>1066</v>
      </c>
      <c r="G1837" s="9">
        <v>5501</v>
      </c>
      <c r="H1837" s="9">
        <v>1970</v>
      </c>
      <c r="I1837" s="8">
        <v>981.81899999999996</v>
      </c>
      <c r="J1837" s="8">
        <v>812.351</v>
      </c>
      <c r="K1837" s="8">
        <v>736.56</v>
      </c>
      <c r="L1837" s="8">
        <v>670.77800000000002</v>
      </c>
      <c r="M1837" s="8">
        <v>497.142</v>
      </c>
      <c r="N1837" s="8">
        <v>448.84899999999999</v>
      </c>
      <c r="O1837" s="8">
        <v>386.36200000000002</v>
      </c>
      <c r="P1837" s="8">
        <v>326.49799999999999</v>
      </c>
      <c r="Q1837" s="8">
        <v>287.39499999999998</v>
      </c>
      <c r="R1837" s="8">
        <v>241.13900000000001</v>
      </c>
      <c r="S1837" s="8">
        <v>194.93199999999999</v>
      </c>
      <c r="T1837" s="8">
        <v>154.548</v>
      </c>
      <c r="U1837" s="8">
        <v>117.563</v>
      </c>
      <c r="V1837" s="8">
        <v>79.766000000000005</v>
      </c>
      <c r="W1837" s="8">
        <v>45.069000000000003</v>
      </c>
      <c r="X1837" s="8">
        <v>22.001999999999999</v>
      </c>
      <c r="Y1837" s="8">
        <v>8.1479999999999997</v>
      </c>
      <c r="Z1837" s="8">
        <v>2.0750000000000002</v>
      </c>
      <c r="AA1837" s="8">
        <v>0.111</v>
      </c>
      <c r="AB1837" s="8">
        <v>1.0999999999999999E-2</v>
      </c>
      <c r="AC1837" s="8">
        <v>1E-3</v>
      </c>
    </row>
    <row r="1838" spans="1:29" ht="11.65" x14ac:dyDescent="0.35">
      <c r="A1838" s="12">
        <v>1821</v>
      </c>
      <c r="B1838" s="10" t="s">
        <v>1015</v>
      </c>
      <c r="C1838" s="11" t="s">
        <v>1145</v>
      </c>
      <c r="D1838" s="9"/>
      <c r="E1838" s="9">
        <v>524</v>
      </c>
      <c r="F1838" s="10" t="s">
        <v>1066</v>
      </c>
      <c r="G1838" s="9">
        <v>5501</v>
      </c>
      <c r="H1838" s="9">
        <v>1975</v>
      </c>
      <c r="I1838" s="8">
        <v>1102.807</v>
      </c>
      <c r="J1838" s="8">
        <v>908.85900000000004</v>
      </c>
      <c r="K1838" s="8">
        <v>795.60599999999999</v>
      </c>
      <c r="L1838" s="8">
        <v>718.90899999999999</v>
      </c>
      <c r="M1838" s="8">
        <v>645.87199999999996</v>
      </c>
      <c r="N1838" s="8">
        <v>473.839</v>
      </c>
      <c r="O1838" s="8">
        <v>426.46600000000001</v>
      </c>
      <c r="P1838" s="8">
        <v>364.642</v>
      </c>
      <c r="Q1838" s="8">
        <v>304.78199999999998</v>
      </c>
      <c r="R1838" s="8">
        <v>264.60599999999999</v>
      </c>
      <c r="S1838" s="8">
        <v>217.40199999999999</v>
      </c>
      <c r="T1838" s="8">
        <v>170.309</v>
      </c>
      <c r="U1838" s="8">
        <v>128.64599999999999</v>
      </c>
      <c r="V1838" s="8">
        <v>90.784000000000006</v>
      </c>
      <c r="W1838" s="8">
        <v>55.158000000000001</v>
      </c>
      <c r="X1838" s="8">
        <v>26.093</v>
      </c>
      <c r="Y1838" s="8">
        <v>9.7710000000000008</v>
      </c>
      <c r="Z1838" s="8">
        <v>2.5049999999999999</v>
      </c>
      <c r="AA1838" s="8">
        <v>0.39100000000000001</v>
      </c>
      <c r="AB1838" s="8">
        <v>1.2E-2</v>
      </c>
      <c r="AC1838" s="8">
        <v>1E-3</v>
      </c>
    </row>
    <row r="1839" spans="1:29" ht="11.65" x14ac:dyDescent="0.35">
      <c r="A1839" s="12">
        <v>1822</v>
      </c>
      <c r="B1839" s="10" t="s">
        <v>1015</v>
      </c>
      <c r="C1839" s="11" t="s">
        <v>1145</v>
      </c>
      <c r="D1839" s="9"/>
      <c r="E1839" s="9">
        <v>524</v>
      </c>
      <c r="F1839" s="10" t="s">
        <v>1066</v>
      </c>
      <c r="G1839" s="9">
        <v>5501</v>
      </c>
      <c r="H1839" s="9">
        <v>1980</v>
      </c>
      <c r="I1839" s="8">
        <v>1256.19</v>
      </c>
      <c r="J1839" s="8">
        <v>1031.066</v>
      </c>
      <c r="K1839" s="8">
        <v>891.97400000000005</v>
      </c>
      <c r="L1839" s="8">
        <v>777.50900000000001</v>
      </c>
      <c r="M1839" s="8">
        <v>691.95799999999997</v>
      </c>
      <c r="N1839" s="8">
        <v>615.07899999999995</v>
      </c>
      <c r="O1839" s="8">
        <v>448.60399999999998</v>
      </c>
      <c r="P1839" s="8">
        <v>402.03399999999999</v>
      </c>
      <c r="Q1839" s="8">
        <v>340.86900000000003</v>
      </c>
      <c r="R1839" s="8">
        <v>281.577</v>
      </c>
      <c r="S1839" s="8">
        <v>239.958</v>
      </c>
      <c r="T1839" s="8">
        <v>191.46299999999999</v>
      </c>
      <c r="U1839" s="8">
        <v>143.25800000000001</v>
      </c>
      <c r="V1839" s="8">
        <v>100.746</v>
      </c>
      <c r="W1839" s="8">
        <v>63.917999999999999</v>
      </c>
      <c r="X1839" s="8">
        <v>32.72</v>
      </c>
      <c r="Y1839" s="8">
        <v>11.951000000000001</v>
      </c>
      <c r="Z1839" s="8">
        <v>3.12</v>
      </c>
      <c r="AA1839" s="8">
        <v>0.49399999999999999</v>
      </c>
      <c r="AB1839" s="8">
        <v>4.3999999999999997E-2</v>
      </c>
      <c r="AC1839" s="8">
        <v>1E-3</v>
      </c>
    </row>
    <row r="1840" spans="1:29" ht="11.65" x14ac:dyDescent="0.35">
      <c r="A1840" s="12">
        <v>1823</v>
      </c>
      <c r="B1840" s="10" t="s">
        <v>1015</v>
      </c>
      <c r="C1840" s="11" t="s">
        <v>1145</v>
      </c>
      <c r="D1840" s="9"/>
      <c r="E1840" s="9">
        <v>524</v>
      </c>
      <c r="F1840" s="10" t="s">
        <v>1066</v>
      </c>
      <c r="G1840" s="9">
        <v>5501</v>
      </c>
      <c r="H1840" s="9">
        <v>1985</v>
      </c>
      <c r="I1840" s="8">
        <v>1413.9169999999999</v>
      </c>
      <c r="J1840" s="8">
        <v>1188.8689999999999</v>
      </c>
      <c r="K1840" s="8">
        <v>1014.546</v>
      </c>
      <c r="L1840" s="8">
        <v>870.49800000000005</v>
      </c>
      <c r="M1840" s="8">
        <v>741.47199999999998</v>
      </c>
      <c r="N1840" s="8">
        <v>649.90200000000004</v>
      </c>
      <c r="O1840" s="8">
        <v>576.49300000000005</v>
      </c>
      <c r="P1840" s="8">
        <v>417.89299999999997</v>
      </c>
      <c r="Q1840" s="8">
        <v>373.53199999999998</v>
      </c>
      <c r="R1840" s="8">
        <v>314.17700000000002</v>
      </c>
      <c r="S1840" s="8">
        <v>255.45500000000001</v>
      </c>
      <c r="T1840" s="8">
        <v>212.143</v>
      </c>
      <c r="U1840" s="8">
        <v>162.15100000000001</v>
      </c>
      <c r="V1840" s="8">
        <v>113.34699999999999</v>
      </c>
      <c r="W1840" s="8">
        <v>71.911000000000001</v>
      </c>
      <c r="X1840" s="8">
        <v>38.630000000000003</v>
      </c>
      <c r="Y1840" s="8">
        <v>15.333</v>
      </c>
      <c r="Z1840" s="8">
        <v>3.93</v>
      </c>
      <c r="AA1840" s="8">
        <v>0.64</v>
      </c>
      <c r="AB1840" s="8">
        <v>5.5E-2</v>
      </c>
      <c r="AC1840" s="8">
        <v>3.0000000000000001E-3</v>
      </c>
    </row>
    <row r="1841" spans="1:29" ht="11.65" x14ac:dyDescent="0.35">
      <c r="A1841" s="12">
        <v>1824</v>
      </c>
      <c r="B1841" s="10" t="s">
        <v>1015</v>
      </c>
      <c r="C1841" s="11" t="s">
        <v>1145</v>
      </c>
      <c r="D1841" s="9"/>
      <c r="E1841" s="9">
        <v>524</v>
      </c>
      <c r="F1841" s="10" t="s">
        <v>1066</v>
      </c>
      <c r="G1841" s="9">
        <v>5501</v>
      </c>
      <c r="H1841" s="9">
        <v>1990</v>
      </c>
      <c r="I1841" s="8">
        <v>1571.2470000000001</v>
      </c>
      <c r="J1841" s="8">
        <v>1353.846</v>
      </c>
      <c r="K1841" s="8">
        <v>1172.4960000000001</v>
      </c>
      <c r="L1841" s="8">
        <v>986.55399999999997</v>
      </c>
      <c r="M1841" s="8">
        <v>816.899</v>
      </c>
      <c r="N1841" s="8">
        <v>678.25599999999997</v>
      </c>
      <c r="O1841" s="8">
        <v>593.98699999999997</v>
      </c>
      <c r="P1841" s="8">
        <v>529.97199999999998</v>
      </c>
      <c r="Q1841" s="8">
        <v>381.90499999999997</v>
      </c>
      <c r="R1841" s="8">
        <v>341.29300000000001</v>
      </c>
      <c r="S1841" s="8">
        <v>283.89499999999998</v>
      </c>
      <c r="T1841" s="8">
        <v>225.607</v>
      </c>
      <c r="U1841" s="8">
        <v>180.26400000000001</v>
      </c>
      <c r="V1841" s="8">
        <v>129.25399999999999</v>
      </c>
      <c r="W1841" s="8">
        <v>81.790000000000006</v>
      </c>
      <c r="X1841" s="8">
        <v>44.131999999999998</v>
      </c>
      <c r="Y1841" s="8">
        <v>18.445</v>
      </c>
      <c r="Z1841" s="8">
        <v>5.18</v>
      </c>
      <c r="AA1841" s="8">
        <v>0.83699999999999997</v>
      </c>
      <c r="AB1841" s="8">
        <v>7.3999999999999996E-2</v>
      </c>
      <c r="AC1841" s="8">
        <v>4.0000000000000001E-3</v>
      </c>
    </row>
    <row r="1842" spans="1:29" ht="11.65" x14ac:dyDescent="0.35">
      <c r="A1842" s="12">
        <v>1825</v>
      </c>
      <c r="B1842" s="10" t="s">
        <v>1015</v>
      </c>
      <c r="C1842" s="11" t="s">
        <v>1145</v>
      </c>
      <c r="D1842" s="9"/>
      <c r="E1842" s="9">
        <v>524</v>
      </c>
      <c r="F1842" s="10" t="s">
        <v>1066</v>
      </c>
      <c r="G1842" s="9">
        <v>5501</v>
      </c>
      <c r="H1842" s="9">
        <v>1995</v>
      </c>
      <c r="I1842" s="8">
        <v>1727.7919999999999</v>
      </c>
      <c r="J1842" s="8">
        <v>1516.193</v>
      </c>
      <c r="K1842" s="8">
        <v>1339.02</v>
      </c>
      <c r="L1842" s="8">
        <v>1182.0899999999999</v>
      </c>
      <c r="M1842" s="8">
        <v>1025.816</v>
      </c>
      <c r="N1842" s="8">
        <v>847.20500000000004</v>
      </c>
      <c r="O1842" s="8">
        <v>680.54300000000001</v>
      </c>
      <c r="P1842" s="8">
        <v>585.56299999999999</v>
      </c>
      <c r="Q1842" s="8">
        <v>517.11900000000003</v>
      </c>
      <c r="R1842" s="8">
        <v>368.44600000000003</v>
      </c>
      <c r="S1842" s="8">
        <v>322.93599999999998</v>
      </c>
      <c r="T1842" s="8">
        <v>261.27600000000001</v>
      </c>
      <c r="U1842" s="8">
        <v>199.16300000000001</v>
      </c>
      <c r="V1842" s="8">
        <v>149.38300000000001</v>
      </c>
      <c r="W1842" s="8">
        <v>97.311999999999998</v>
      </c>
      <c r="X1842" s="8">
        <v>52.85</v>
      </c>
      <c r="Y1842" s="8">
        <v>22.564</v>
      </c>
      <c r="Z1842" s="8">
        <v>6.6340000000000003</v>
      </c>
      <c r="AA1842" s="8">
        <v>1.1459999999999999</v>
      </c>
      <c r="AB1842" s="8">
        <v>0.10100000000000001</v>
      </c>
      <c r="AC1842" s="8">
        <v>5.0000000000000001E-3</v>
      </c>
    </row>
    <row r="1843" spans="1:29" ht="11.65" x14ac:dyDescent="0.35">
      <c r="A1843" s="12">
        <v>1826</v>
      </c>
      <c r="B1843" s="10" t="s">
        <v>1015</v>
      </c>
      <c r="C1843" s="11" t="s">
        <v>1145</v>
      </c>
      <c r="D1843" s="9"/>
      <c r="E1843" s="9">
        <v>524</v>
      </c>
      <c r="F1843" s="10" t="s">
        <v>1066</v>
      </c>
      <c r="G1843" s="9">
        <v>5501</v>
      </c>
      <c r="H1843" s="9">
        <v>2000</v>
      </c>
      <c r="I1843" s="8">
        <v>1854.482</v>
      </c>
      <c r="J1843" s="8">
        <v>1689.9359999999999</v>
      </c>
      <c r="K1843" s="8">
        <v>1473.4269999999999</v>
      </c>
      <c r="L1843" s="8">
        <v>1251.7070000000001</v>
      </c>
      <c r="M1843" s="8">
        <v>1056.521</v>
      </c>
      <c r="N1843" s="8">
        <v>894.86900000000003</v>
      </c>
      <c r="O1843" s="8">
        <v>765.01700000000005</v>
      </c>
      <c r="P1843" s="8">
        <v>637.93899999999996</v>
      </c>
      <c r="Q1843" s="8">
        <v>547.51099999999997</v>
      </c>
      <c r="R1843" s="8">
        <v>486.24200000000002</v>
      </c>
      <c r="S1843" s="8">
        <v>349.01499999999999</v>
      </c>
      <c r="T1843" s="8">
        <v>298.327</v>
      </c>
      <c r="U1843" s="8">
        <v>232.16900000000001</v>
      </c>
      <c r="V1843" s="8">
        <v>166.77500000000001</v>
      </c>
      <c r="W1843" s="8">
        <v>114.06100000000001</v>
      </c>
      <c r="X1843" s="8">
        <v>64.085999999999999</v>
      </c>
      <c r="Y1843" s="8">
        <v>27.643000000000001</v>
      </c>
      <c r="Z1843" s="8">
        <v>8.3510000000000009</v>
      </c>
      <c r="AA1843" s="8">
        <v>1.5209999999999999</v>
      </c>
      <c r="AB1843" s="8">
        <v>0.14299999999999999</v>
      </c>
      <c r="AC1843" s="8">
        <v>7.0000000000000001E-3</v>
      </c>
    </row>
    <row r="1844" spans="1:29" ht="11.65" x14ac:dyDescent="0.35">
      <c r="A1844" s="12">
        <v>1827</v>
      </c>
      <c r="B1844" s="10" t="s">
        <v>1015</v>
      </c>
      <c r="C1844" s="11" t="s">
        <v>1145</v>
      </c>
      <c r="D1844" s="9"/>
      <c r="E1844" s="9">
        <v>524</v>
      </c>
      <c r="F1844" s="10" t="s">
        <v>1066</v>
      </c>
      <c r="G1844" s="9">
        <v>5501</v>
      </c>
      <c r="H1844" s="9">
        <v>2005</v>
      </c>
      <c r="I1844" s="8">
        <v>1721.298</v>
      </c>
      <c r="J1844" s="8">
        <v>1826.5160000000001</v>
      </c>
      <c r="K1844" s="8">
        <v>1634.3520000000001</v>
      </c>
      <c r="L1844" s="8">
        <v>1307.3579999999999</v>
      </c>
      <c r="M1844" s="8">
        <v>1012.562</v>
      </c>
      <c r="N1844" s="8">
        <v>905.28399999999999</v>
      </c>
      <c r="O1844" s="8">
        <v>854.21400000000006</v>
      </c>
      <c r="P1844" s="8">
        <v>759.54300000000001</v>
      </c>
      <c r="Q1844" s="8">
        <v>633.55200000000002</v>
      </c>
      <c r="R1844" s="8">
        <v>511.60700000000003</v>
      </c>
      <c r="S1844" s="8">
        <v>462.45</v>
      </c>
      <c r="T1844" s="8">
        <v>343.68599999999998</v>
      </c>
      <c r="U1844" s="8">
        <v>303.75599999999997</v>
      </c>
      <c r="V1844" s="8">
        <v>229.626</v>
      </c>
      <c r="W1844" s="8">
        <v>142.69399999999999</v>
      </c>
      <c r="X1844" s="8">
        <v>88.784000000000006</v>
      </c>
      <c r="Y1844" s="8">
        <v>37.951999999999998</v>
      </c>
      <c r="Z1844" s="8">
        <v>10.528</v>
      </c>
      <c r="AA1844" s="8">
        <v>1.9690000000000001</v>
      </c>
      <c r="AB1844" s="8">
        <v>0.19500000000000001</v>
      </c>
      <c r="AC1844" s="8">
        <v>0.01</v>
      </c>
    </row>
    <row r="1845" spans="1:29" ht="11.65" x14ac:dyDescent="0.35">
      <c r="A1845" s="12">
        <v>1828</v>
      </c>
      <c r="B1845" s="10" t="s">
        <v>1015</v>
      </c>
      <c r="C1845" s="11" t="s">
        <v>1145</v>
      </c>
      <c r="D1845" s="9"/>
      <c r="E1845" s="9">
        <v>524</v>
      </c>
      <c r="F1845" s="10" t="s">
        <v>1066</v>
      </c>
      <c r="G1845" s="9">
        <v>5501</v>
      </c>
      <c r="H1845" s="9">
        <v>2010</v>
      </c>
      <c r="I1845" s="8">
        <v>1546.8689999999999</v>
      </c>
      <c r="J1845" s="8">
        <v>1703.518</v>
      </c>
      <c r="K1845" s="8">
        <v>1763.5309999999999</v>
      </c>
      <c r="L1845" s="8">
        <v>1437.068</v>
      </c>
      <c r="M1845" s="8">
        <v>1092.692</v>
      </c>
      <c r="N1845" s="8">
        <v>929.13599999999997</v>
      </c>
      <c r="O1845" s="8">
        <v>849.05</v>
      </c>
      <c r="P1845" s="8">
        <v>766.58199999999999</v>
      </c>
      <c r="Q1845" s="8">
        <v>688.55499999999995</v>
      </c>
      <c r="R1845" s="8">
        <v>588.83299999999997</v>
      </c>
      <c r="S1845" s="8">
        <v>497.101</v>
      </c>
      <c r="T1845" s="8">
        <v>437.95100000000002</v>
      </c>
      <c r="U1845" s="8">
        <v>331.99599999999998</v>
      </c>
      <c r="V1845" s="8">
        <v>290.15300000000002</v>
      </c>
      <c r="W1845" s="8">
        <v>192.53</v>
      </c>
      <c r="X1845" s="8">
        <v>110.164</v>
      </c>
      <c r="Y1845" s="8">
        <v>53.292000000000002</v>
      </c>
      <c r="Z1845" s="8">
        <v>14.782999999999999</v>
      </c>
      <c r="AA1845" s="8">
        <v>2.5369999999999999</v>
      </c>
      <c r="AB1845" s="8">
        <v>0.255</v>
      </c>
      <c r="AC1845" s="8">
        <v>1.4E-2</v>
      </c>
    </row>
    <row r="1846" spans="1:29" ht="11.65" x14ac:dyDescent="0.35">
      <c r="A1846" s="12">
        <v>1829</v>
      </c>
      <c r="B1846" s="10" t="s">
        <v>1015</v>
      </c>
      <c r="C1846" s="11" t="s">
        <v>1145</v>
      </c>
      <c r="D1846" s="9"/>
      <c r="E1846" s="9">
        <v>524</v>
      </c>
      <c r="F1846" s="10" t="s">
        <v>1066</v>
      </c>
      <c r="G1846" s="9">
        <v>5501</v>
      </c>
      <c r="H1846" s="9">
        <v>2015</v>
      </c>
      <c r="I1846" s="8">
        <v>1418.5450000000001</v>
      </c>
      <c r="J1846" s="8">
        <v>1490.3689999999999</v>
      </c>
      <c r="K1846" s="8">
        <v>1668.788</v>
      </c>
      <c r="L1846" s="8">
        <v>1635.827</v>
      </c>
      <c r="M1846" s="8">
        <v>1130.5329999999999</v>
      </c>
      <c r="N1846" s="8">
        <v>707.83799999999997</v>
      </c>
      <c r="O1846" s="8">
        <v>596.96</v>
      </c>
      <c r="P1846" s="8">
        <v>603.57600000000002</v>
      </c>
      <c r="Q1846" s="8">
        <v>593.74599999999998</v>
      </c>
      <c r="R1846" s="8">
        <v>565.56100000000004</v>
      </c>
      <c r="S1846" s="8">
        <v>497.27699999999999</v>
      </c>
      <c r="T1846" s="8">
        <v>423.13200000000001</v>
      </c>
      <c r="U1846" s="8">
        <v>369.83300000000003</v>
      </c>
      <c r="V1846" s="8">
        <v>268.50299999999999</v>
      </c>
      <c r="W1846" s="8">
        <v>219.14</v>
      </c>
      <c r="X1846" s="8">
        <v>126.63</v>
      </c>
      <c r="Y1846" s="8">
        <v>57.366999999999997</v>
      </c>
      <c r="Z1846" s="8">
        <v>20.332999999999998</v>
      </c>
      <c r="AA1846" s="8">
        <v>3.65</v>
      </c>
      <c r="AB1846" s="8">
        <v>0.33700000000000002</v>
      </c>
      <c r="AC1846" s="8">
        <v>1.7999999999999999E-2</v>
      </c>
    </row>
    <row r="1847" spans="1:29" ht="11.65" x14ac:dyDescent="0.35">
      <c r="A1847" s="12">
        <v>1830</v>
      </c>
      <c r="B1847" s="10" t="s">
        <v>1015</v>
      </c>
      <c r="C1847" s="11" t="s">
        <v>1145</v>
      </c>
      <c r="D1847" s="9"/>
      <c r="E1847" s="9">
        <v>524</v>
      </c>
      <c r="F1847" s="10" t="s">
        <v>1066</v>
      </c>
      <c r="G1847" s="9">
        <v>5501</v>
      </c>
      <c r="H1847" s="9">
        <v>2020</v>
      </c>
      <c r="I1847" s="8">
        <v>1385.7080000000001</v>
      </c>
      <c r="J1847" s="8">
        <v>1385.8630000000001</v>
      </c>
      <c r="K1847" s="8">
        <v>1474.13</v>
      </c>
      <c r="L1847" s="8">
        <v>1604.8140000000001</v>
      </c>
      <c r="M1847" s="8">
        <v>1536.298</v>
      </c>
      <c r="N1847" s="8">
        <v>1135.0229999999999</v>
      </c>
      <c r="O1847" s="8">
        <v>776.20299999999997</v>
      </c>
      <c r="P1847" s="8">
        <v>603.76599999999996</v>
      </c>
      <c r="Q1847" s="8">
        <v>605.69000000000005</v>
      </c>
      <c r="R1847" s="8">
        <v>622.553</v>
      </c>
      <c r="S1847" s="8">
        <v>579.42700000000002</v>
      </c>
      <c r="T1847" s="8">
        <v>485.41300000000001</v>
      </c>
      <c r="U1847" s="8">
        <v>382.303</v>
      </c>
      <c r="V1847" s="8">
        <v>312.55900000000003</v>
      </c>
      <c r="W1847" s="8">
        <v>209.63399999999999</v>
      </c>
      <c r="X1847" s="8">
        <v>150.684</v>
      </c>
      <c r="Y1847" s="8">
        <v>69.867999999999995</v>
      </c>
      <c r="Z1847" s="8">
        <v>22.86</v>
      </c>
      <c r="AA1847" s="8">
        <v>5.1239999999999997</v>
      </c>
      <c r="AB1847" s="8">
        <v>0.49099999999999999</v>
      </c>
      <c r="AC1847" s="8">
        <v>2.4E-2</v>
      </c>
    </row>
    <row r="1848" spans="1:29" ht="11.65" x14ac:dyDescent="0.35">
      <c r="A1848" s="12">
        <v>1831</v>
      </c>
      <c r="B1848" s="10" t="s">
        <v>1015</v>
      </c>
      <c r="C1848" s="11" t="s">
        <v>1146</v>
      </c>
      <c r="D1848" s="9"/>
      <c r="E1848" s="9">
        <v>586</v>
      </c>
      <c r="F1848" s="10" t="s">
        <v>1066</v>
      </c>
      <c r="G1848" s="9">
        <v>5501</v>
      </c>
      <c r="H1848" s="9">
        <v>1950</v>
      </c>
      <c r="I1848" s="8">
        <v>2998.3470000000002</v>
      </c>
      <c r="J1848" s="8">
        <v>2640.0169999999998</v>
      </c>
      <c r="K1848" s="8">
        <v>2296.163</v>
      </c>
      <c r="L1848" s="8">
        <v>2024.6880000000001</v>
      </c>
      <c r="M1848" s="8">
        <v>1783.229</v>
      </c>
      <c r="N1848" s="8">
        <v>1567.528</v>
      </c>
      <c r="O1848" s="8">
        <v>1366.9770000000001</v>
      </c>
      <c r="P1848" s="8">
        <v>1174.6199999999999</v>
      </c>
      <c r="Q1848" s="8">
        <v>974.35199999999998</v>
      </c>
      <c r="R1848" s="8">
        <v>817.67499999999995</v>
      </c>
      <c r="S1848" s="8">
        <v>665.19899999999996</v>
      </c>
      <c r="T1848" s="8">
        <v>561.55399999999997</v>
      </c>
      <c r="U1848" s="8">
        <v>486.97</v>
      </c>
      <c r="V1848" s="8">
        <v>400.54700000000003</v>
      </c>
      <c r="W1848" s="8">
        <v>313.32</v>
      </c>
      <c r="X1848" s="8">
        <v>225.28700000000001</v>
      </c>
      <c r="Y1848" s="8">
        <v>114.506</v>
      </c>
      <c r="Z1848" s="8">
        <v>40.905000000000001</v>
      </c>
      <c r="AA1848" s="8">
        <v>8.4440000000000008</v>
      </c>
      <c r="AB1848" s="8">
        <v>0.90700000000000003</v>
      </c>
      <c r="AC1848" s="8">
        <v>0</v>
      </c>
    </row>
    <row r="1849" spans="1:29" ht="11.65" x14ac:dyDescent="0.35">
      <c r="A1849" s="12">
        <v>1832</v>
      </c>
      <c r="B1849" s="10" t="s">
        <v>1015</v>
      </c>
      <c r="C1849" s="11" t="s">
        <v>1146</v>
      </c>
      <c r="D1849" s="9"/>
      <c r="E1849" s="9">
        <v>586</v>
      </c>
      <c r="F1849" s="10" t="s">
        <v>1066</v>
      </c>
      <c r="G1849" s="9">
        <v>5501</v>
      </c>
      <c r="H1849" s="9">
        <v>1955</v>
      </c>
      <c r="I1849" s="8">
        <v>3017.97</v>
      </c>
      <c r="J1849" s="8">
        <v>2690.837</v>
      </c>
      <c r="K1849" s="8">
        <v>2538.6619999999998</v>
      </c>
      <c r="L1849" s="8">
        <v>2234.4760000000001</v>
      </c>
      <c r="M1849" s="8">
        <v>1950.6030000000001</v>
      </c>
      <c r="N1849" s="8">
        <v>1711.498</v>
      </c>
      <c r="O1849" s="8">
        <v>1503.519</v>
      </c>
      <c r="P1849" s="8">
        <v>1305.25</v>
      </c>
      <c r="Q1849" s="8">
        <v>1113.8910000000001</v>
      </c>
      <c r="R1849" s="8">
        <v>914.16399999999999</v>
      </c>
      <c r="S1849" s="8">
        <v>754.51499999999999</v>
      </c>
      <c r="T1849" s="8">
        <v>599.07100000000003</v>
      </c>
      <c r="U1849" s="8">
        <v>487.541</v>
      </c>
      <c r="V1849" s="8">
        <v>398.35</v>
      </c>
      <c r="W1849" s="8">
        <v>294.666</v>
      </c>
      <c r="X1849" s="8">
        <v>194.405</v>
      </c>
      <c r="Y1849" s="8">
        <v>109.083</v>
      </c>
      <c r="Z1849" s="8">
        <v>39.030999999999999</v>
      </c>
      <c r="AA1849" s="8">
        <v>9.0449999999999999</v>
      </c>
      <c r="AB1849" s="8">
        <v>1.1060000000000001</v>
      </c>
      <c r="AC1849" s="8">
        <v>7.2999999999999995E-2</v>
      </c>
    </row>
    <row r="1850" spans="1:29" ht="11.65" x14ac:dyDescent="0.35">
      <c r="A1850" s="12">
        <v>1833</v>
      </c>
      <c r="B1850" s="10" t="s">
        <v>1015</v>
      </c>
      <c r="C1850" s="11" t="s">
        <v>1146</v>
      </c>
      <c r="D1850" s="9"/>
      <c r="E1850" s="9">
        <v>586</v>
      </c>
      <c r="F1850" s="10" t="s">
        <v>1066</v>
      </c>
      <c r="G1850" s="9">
        <v>5501</v>
      </c>
      <c r="H1850" s="9">
        <v>1960</v>
      </c>
      <c r="I1850" s="8">
        <v>3678.808</v>
      </c>
      <c r="J1850" s="8">
        <v>2779.3339999999998</v>
      </c>
      <c r="K1850" s="8">
        <v>2609.8629999999998</v>
      </c>
      <c r="L1850" s="8">
        <v>2482.538</v>
      </c>
      <c r="M1850" s="8">
        <v>2167.4380000000001</v>
      </c>
      <c r="N1850" s="8">
        <v>1885.492</v>
      </c>
      <c r="O1850" s="8">
        <v>1652.127</v>
      </c>
      <c r="P1850" s="8">
        <v>1445.663</v>
      </c>
      <c r="Q1850" s="8">
        <v>1247.2049999999999</v>
      </c>
      <c r="R1850" s="8">
        <v>1053.9739999999999</v>
      </c>
      <c r="S1850" s="8">
        <v>851.83100000000002</v>
      </c>
      <c r="T1850" s="8">
        <v>686.33199999999999</v>
      </c>
      <c r="U1850" s="8">
        <v>526.16200000000003</v>
      </c>
      <c r="V1850" s="8">
        <v>405.11</v>
      </c>
      <c r="W1850" s="8">
        <v>299.46100000000001</v>
      </c>
      <c r="X1850" s="8">
        <v>188.708</v>
      </c>
      <c r="Y1850" s="8">
        <v>98.381</v>
      </c>
      <c r="Z1850" s="8">
        <v>39.49</v>
      </c>
      <c r="AA1850" s="8">
        <v>9.3030000000000008</v>
      </c>
      <c r="AB1850" s="8">
        <v>1.3069999999999999</v>
      </c>
      <c r="AC1850" s="8">
        <v>9.7000000000000003E-2</v>
      </c>
    </row>
    <row r="1851" spans="1:29" ht="11.65" x14ac:dyDescent="0.35">
      <c r="A1851" s="12">
        <v>1834</v>
      </c>
      <c r="B1851" s="10" t="s">
        <v>1015</v>
      </c>
      <c r="C1851" s="11" t="s">
        <v>1146</v>
      </c>
      <c r="D1851" s="9"/>
      <c r="E1851" s="9">
        <v>586</v>
      </c>
      <c r="F1851" s="10" t="s">
        <v>1066</v>
      </c>
      <c r="G1851" s="9">
        <v>5501</v>
      </c>
      <c r="H1851" s="9">
        <v>1965</v>
      </c>
      <c r="I1851" s="8">
        <v>4388.1170000000002</v>
      </c>
      <c r="J1851" s="8">
        <v>3450.1480000000001</v>
      </c>
      <c r="K1851" s="8">
        <v>2713.0010000000002</v>
      </c>
      <c r="L1851" s="8">
        <v>2558.6190000000001</v>
      </c>
      <c r="M1851" s="8">
        <v>2414.0030000000002</v>
      </c>
      <c r="N1851" s="8">
        <v>2101.1909999999998</v>
      </c>
      <c r="O1851" s="8">
        <v>1826.7059999999999</v>
      </c>
      <c r="P1851" s="8">
        <v>1595.6780000000001</v>
      </c>
      <c r="Q1851" s="8">
        <v>1388.287</v>
      </c>
      <c r="R1851" s="8">
        <v>1186.6410000000001</v>
      </c>
      <c r="S1851" s="8">
        <v>988.29300000000001</v>
      </c>
      <c r="T1851" s="8">
        <v>780.32299999999998</v>
      </c>
      <c r="U1851" s="8">
        <v>608.48199999999997</v>
      </c>
      <c r="V1851" s="8">
        <v>442.81700000000001</v>
      </c>
      <c r="W1851" s="8">
        <v>309.86</v>
      </c>
      <c r="X1851" s="8">
        <v>196.523</v>
      </c>
      <c r="Y1851" s="8">
        <v>98.637</v>
      </c>
      <c r="Z1851" s="8">
        <v>37.162999999999997</v>
      </c>
      <c r="AA1851" s="8">
        <v>9.9030000000000005</v>
      </c>
      <c r="AB1851" s="8">
        <v>1.4350000000000001</v>
      </c>
      <c r="AC1851" s="8">
        <v>0.11799999999999999</v>
      </c>
    </row>
    <row r="1852" spans="1:29" ht="11.65" x14ac:dyDescent="0.35">
      <c r="A1852" s="12">
        <v>1835</v>
      </c>
      <c r="B1852" s="10" t="s">
        <v>1015</v>
      </c>
      <c r="C1852" s="11" t="s">
        <v>1146</v>
      </c>
      <c r="D1852" s="9"/>
      <c r="E1852" s="9">
        <v>586</v>
      </c>
      <c r="F1852" s="10" t="s">
        <v>1066</v>
      </c>
      <c r="G1852" s="9">
        <v>5501</v>
      </c>
      <c r="H1852" s="9">
        <v>1970</v>
      </c>
      <c r="I1852" s="8">
        <v>5086.0640000000003</v>
      </c>
      <c r="J1852" s="8">
        <v>4163.8090000000002</v>
      </c>
      <c r="K1852" s="8">
        <v>3384.4520000000002</v>
      </c>
      <c r="L1852" s="8">
        <v>2662.61</v>
      </c>
      <c r="M1852" s="8">
        <v>2487.3969999999999</v>
      </c>
      <c r="N1852" s="8">
        <v>2341.9749999999999</v>
      </c>
      <c r="O1852" s="8">
        <v>2039.7280000000001</v>
      </c>
      <c r="P1852" s="8">
        <v>1769.7360000000001</v>
      </c>
      <c r="Q1852" s="8">
        <v>1538.153</v>
      </c>
      <c r="R1852" s="8">
        <v>1326.8689999999999</v>
      </c>
      <c r="S1852" s="8">
        <v>1118.894</v>
      </c>
      <c r="T1852" s="8">
        <v>911.07</v>
      </c>
      <c r="U1852" s="8">
        <v>697.60799999999995</v>
      </c>
      <c r="V1852" s="8">
        <v>518.32600000000002</v>
      </c>
      <c r="W1852" s="8">
        <v>344.459</v>
      </c>
      <c r="X1852" s="8">
        <v>208.33600000000001</v>
      </c>
      <c r="Y1852" s="8">
        <v>106.176</v>
      </c>
      <c r="Z1852" s="8">
        <v>38.975999999999999</v>
      </c>
      <c r="AA1852" s="8">
        <v>9.8719999999999999</v>
      </c>
      <c r="AB1852" s="8">
        <v>1.6439999999999999</v>
      </c>
      <c r="AC1852" s="8">
        <v>0.13800000000000001</v>
      </c>
    </row>
    <row r="1853" spans="1:29" ht="11.65" x14ac:dyDescent="0.35">
      <c r="A1853" s="12">
        <v>1836</v>
      </c>
      <c r="B1853" s="10" t="s">
        <v>1015</v>
      </c>
      <c r="C1853" s="11" t="s">
        <v>1146</v>
      </c>
      <c r="D1853" s="9"/>
      <c r="E1853" s="9">
        <v>586</v>
      </c>
      <c r="F1853" s="10" t="s">
        <v>1066</v>
      </c>
      <c r="G1853" s="9">
        <v>5501</v>
      </c>
      <c r="H1853" s="9">
        <v>1975</v>
      </c>
      <c r="I1853" s="8">
        <v>5802.7579999999998</v>
      </c>
      <c r="J1853" s="8">
        <v>4866.3729999999996</v>
      </c>
      <c r="K1853" s="8">
        <v>4103.0469999999996</v>
      </c>
      <c r="L1853" s="8">
        <v>3337.502</v>
      </c>
      <c r="M1853" s="8">
        <v>2607.085</v>
      </c>
      <c r="N1853" s="8">
        <v>2430.556</v>
      </c>
      <c r="O1853" s="8">
        <v>2287.6819999999998</v>
      </c>
      <c r="P1853" s="8">
        <v>1987.8030000000001</v>
      </c>
      <c r="Q1853" s="8">
        <v>1716.309</v>
      </c>
      <c r="R1853" s="8">
        <v>1479.79</v>
      </c>
      <c r="S1853" s="8">
        <v>1260.45</v>
      </c>
      <c r="T1853" s="8">
        <v>1040.345</v>
      </c>
      <c r="U1853" s="8">
        <v>823.18</v>
      </c>
      <c r="V1853" s="8">
        <v>602.26300000000003</v>
      </c>
      <c r="W1853" s="8">
        <v>410.22800000000001</v>
      </c>
      <c r="X1853" s="8">
        <v>236.869</v>
      </c>
      <c r="Y1853" s="8">
        <v>115.866</v>
      </c>
      <c r="Z1853" s="8">
        <v>43.420999999999999</v>
      </c>
      <c r="AA1853" s="8">
        <v>10.752000000000001</v>
      </c>
      <c r="AB1853" s="8">
        <v>1.7170000000000001</v>
      </c>
      <c r="AC1853" s="8">
        <v>0.16700000000000001</v>
      </c>
    </row>
    <row r="1854" spans="1:29" ht="11.65" x14ac:dyDescent="0.35">
      <c r="A1854" s="12">
        <v>1837</v>
      </c>
      <c r="B1854" s="10" t="s">
        <v>1015</v>
      </c>
      <c r="C1854" s="11" t="s">
        <v>1146</v>
      </c>
      <c r="D1854" s="9"/>
      <c r="E1854" s="9">
        <v>586</v>
      </c>
      <c r="F1854" s="10" t="s">
        <v>1066</v>
      </c>
      <c r="G1854" s="9">
        <v>5501</v>
      </c>
      <c r="H1854" s="9">
        <v>1980</v>
      </c>
      <c r="I1854" s="8">
        <v>6782.8490000000002</v>
      </c>
      <c r="J1854" s="8">
        <v>5599.0940000000001</v>
      </c>
      <c r="K1854" s="8">
        <v>4819.0569999999998</v>
      </c>
      <c r="L1854" s="8">
        <v>4098.6400000000003</v>
      </c>
      <c r="M1854" s="8">
        <v>3367.8470000000002</v>
      </c>
      <c r="N1854" s="8">
        <v>2633.5949999999998</v>
      </c>
      <c r="O1854" s="8">
        <v>2425.6210000000001</v>
      </c>
      <c r="P1854" s="8">
        <v>2263.2820000000002</v>
      </c>
      <c r="Q1854" s="8">
        <v>1953.067</v>
      </c>
      <c r="R1854" s="8">
        <v>1671.152</v>
      </c>
      <c r="S1854" s="8">
        <v>1421.66</v>
      </c>
      <c r="T1854" s="8">
        <v>1184.68</v>
      </c>
      <c r="U1854" s="8">
        <v>949.71600000000001</v>
      </c>
      <c r="V1854" s="8">
        <v>717.86699999999996</v>
      </c>
      <c r="W1854" s="8">
        <v>481.94200000000001</v>
      </c>
      <c r="X1854" s="8">
        <v>285.65100000000001</v>
      </c>
      <c r="Y1854" s="8">
        <v>134.10900000000001</v>
      </c>
      <c r="Z1854" s="8">
        <v>48.052</v>
      </c>
      <c r="AA1854" s="8">
        <v>12.000999999999999</v>
      </c>
      <c r="AB1854" s="8">
        <v>1.871</v>
      </c>
      <c r="AC1854" s="8">
        <v>0.17599999999999999</v>
      </c>
    </row>
    <row r="1855" spans="1:29" ht="11.65" x14ac:dyDescent="0.35">
      <c r="A1855" s="12">
        <v>1838</v>
      </c>
      <c r="B1855" s="10" t="s">
        <v>1015</v>
      </c>
      <c r="C1855" s="11" t="s">
        <v>1146</v>
      </c>
      <c r="D1855" s="9"/>
      <c r="E1855" s="9">
        <v>586</v>
      </c>
      <c r="F1855" s="10" t="s">
        <v>1066</v>
      </c>
      <c r="G1855" s="9">
        <v>5501</v>
      </c>
      <c r="H1855" s="9">
        <v>1985</v>
      </c>
      <c r="I1855" s="8">
        <v>8028.2079999999996</v>
      </c>
      <c r="J1855" s="8">
        <v>6585.9440000000004</v>
      </c>
      <c r="K1855" s="8">
        <v>5564.1319999999996</v>
      </c>
      <c r="L1855" s="8">
        <v>4852.8140000000003</v>
      </c>
      <c r="M1855" s="8">
        <v>4204.5290000000005</v>
      </c>
      <c r="N1855" s="8">
        <v>3458.989</v>
      </c>
      <c r="O1855" s="8">
        <v>2670.0949999999998</v>
      </c>
      <c r="P1855" s="8">
        <v>2427.547</v>
      </c>
      <c r="Q1855" s="8">
        <v>2243.6419999999998</v>
      </c>
      <c r="R1855" s="8">
        <v>1917.6679999999999</v>
      </c>
      <c r="S1855" s="8">
        <v>1618.6120000000001</v>
      </c>
      <c r="T1855" s="8">
        <v>1346.953</v>
      </c>
      <c r="U1855" s="8">
        <v>1089.942</v>
      </c>
      <c r="V1855" s="8">
        <v>834.65800000000002</v>
      </c>
      <c r="W1855" s="8">
        <v>579.32399999999996</v>
      </c>
      <c r="X1855" s="8">
        <v>338.911</v>
      </c>
      <c r="Y1855" s="8">
        <v>163.83600000000001</v>
      </c>
      <c r="Z1855" s="8">
        <v>56.246000000000002</v>
      </c>
      <c r="AA1855" s="8">
        <v>13.321999999999999</v>
      </c>
      <c r="AB1855" s="8">
        <v>2.0920000000000001</v>
      </c>
      <c r="AC1855" s="8">
        <v>0.192</v>
      </c>
    </row>
    <row r="1856" spans="1:29" ht="11.65" x14ac:dyDescent="0.35">
      <c r="A1856" s="12">
        <v>1839</v>
      </c>
      <c r="B1856" s="10" t="s">
        <v>1015</v>
      </c>
      <c r="C1856" s="11" t="s">
        <v>1146</v>
      </c>
      <c r="D1856" s="9"/>
      <c r="E1856" s="9">
        <v>586</v>
      </c>
      <c r="F1856" s="10" t="s">
        <v>1066</v>
      </c>
      <c r="G1856" s="9">
        <v>5501</v>
      </c>
      <c r="H1856" s="9">
        <v>1990</v>
      </c>
      <c r="I1856" s="8">
        <v>9466.2389999999996</v>
      </c>
      <c r="J1856" s="8">
        <v>7792.1620000000003</v>
      </c>
      <c r="K1856" s="8">
        <v>6534.14</v>
      </c>
      <c r="L1856" s="8">
        <v>5528.9070000000002</v>
      </c>
      <c r="M1856" s="8">
        <v>4820.1660000000002</v>
      </c>
      <c r="N1856" s="8">
        <v>4168.259</v>
      </c>
      <c r="O1856" s="8">
        <v>3416.578</v>
      </c>
      <c r="P1856" s="8">
        <v>2628.3969999999999</v>
      </c>
      <c r="Q1856" s="8">
        <v>2377.355</v>
      </c>
      <c r="R1856" s="8">
        <v>2180.16</v>
      </c>
      <c r="S1856" s="8">
        <v>1841.1079999999999</v>
      </c>
      <c r="T1856" s="8">
        <v>1522.66</v>
      </c>
      <c r="U1856" s="8">
        <v>1232.431</v>
      </c>
      <c r="V1856" s="8">
        <v>953.95500000000004</v>
      </c>
      <c r="W1856" s="8">
        <v>671.70600000000002</v>
      </c>
      <c r="X1856" s="8">
        <v>406.55599999999998</v>
      </c>
      <c r="Y1856" s="8">
        <v>193.12899999999999</v>
      </c>
      <c r="Z1856" s="8">
        <v>68.552999999999997</v>
      </c>
      <c r="AA1856" s="8">
        <v>15.737</v>
      </c>
      <c r="AB1856" s="8">
        <v>2.3460000000000001</v>
      </c>
      <c r="AC1856" s="8">
        <v>0.216</v>
      </c>
    </row>
    <row r="1857" spans="1:29" ht="11.65" x14ac:dyDescent="0.35">
      <c r="A1857" s="12">
        <v>1840</v>
      </c>
      <c r="B1857" s="10" t="s">
        <v>1015</v>
      </c>
      <c r="C1857" s="11" t="s">
        <v>1146</v>
      </c>
      <c r="D1857" s="9"/>
      <c r="E1857" s="9">
        <v>586</v>
      </c>
      <c r="F1857" s="10" t="s">
        <v>1066</v>
      </c>
      <c r="G1857" s="9">
        <v>5501</v>
      </c>
      <c r="H1857" s="9">
        <v>1995</v>
      </c>
      <c r="I1857" s="8">
        <v>10550.429</v>
      </c>
      <c r="J1857" s="8">
        <v>9191.5249999999996</v>
      </c>
      <c r="K1857" s="8">
        <v>7721.5039999999999</v>
      </c>
      <c r="L1857" s="8">
        <v>6430.2280000000001</v>
      </c>
      <c r="M1857" s="8">
        <v>5362.058</v>
      </c>
      <c r="N1857" s="8">
        <v>4662.1310000000003</v>
      </c>
      <c r="O1857" s="8">
        <v>4050.95</v>
      </c>
      <c r="P1857" s="8">
        <v>3323.6880000000001</v>
      </c>
      <c r="Q1857" s="8">
        <v>2547.1680000000001</v>
      </c>
      <c r="R1857" s="8">
        <v>2290.819</v>
      </c>
      <c r="S1857" s="8">
        <v>2079.395</v>
      </c>
      <c r="T1857" s="8">
        <v>1724.904</v>
      </c>
      <c r="U1857" s="8">
        <v>1385.6690000000001</v>
      </c>
      <c r="V1857" s="8">
        <v>1070.279</v>
      </c>
      <c r="W1857" s="8">
        <v>768.57899999999995</v>
      </c>
      <c r="X1857" s="8">
        <v>480.02800000000002</v>
      </c>
      <c r="Y1857" s="8">
        <v>239.39699999999999</v>
      </c>
      <c r="Z1857" s="8">
        <v>84.188000000000002</v>
      </c>
      <c r="AA1857" s="8">
        <v>19.280999999999999</v>
      </c>
      <c r="AB1857" s="8">
        <v>2.484</v>
      </c>
      <c r="AC1857" s="8">
        <v>0.23</v>
      </c>
    </row>
    <row r="1858" spans="1:29" ht="11.65" x14ac:dyDescent="0.35">
      <c r="A1858" s="12">
        <v>1841</v>
      </c>
      <c r="B1858" s="10" t="s">
        <v>1015</v>
      </c>
      <c r="C1858" s="11" t="s">
        <v>1146</v>
      </c>
      <c r="D1858" s="9"/>
      <c r="E1858" s="9">
        <v>586</v>
      </c>
      <c r="F1858" s="10" t="s">
        <v>1066</v>
      </c>
      <c r="G1858" s="9">
        <v>5501</v>
      </c>
      <c r="H1858" s="9">
        <v>2000</v>
      </c>
      <c r="I1858" s="8">
        <v>11327.84</v>
      </c>
      <c r="J1858" s="8">
        <v>10315.800999999999</v>
      </c>
      <c r="K1858" s="8">
        <v>9136.4140000000007</v>
      </c>
      <c r="L1858" s="8">
        <v>7687.8239999999996</v>
      </c>
      <c r="M1858" s="8">
        <v>6412.6970000000001</v>
      </c>
      <c r="N1858" s="8">
        <v>5352.0110000000004</v>
      </c>
      <c r="O1858" s="8">
        <v>4642.0559999999996</v>
      </c>
      <c r="P1858" s="8">
        <v>4016.7759999999998</v>
      </c>
      <c r="Q1858" s="8">
        <v>3276.6860000000001</v>
      </c>
      <c r="R1858" s="8">
        <v>2490.8359999999998</v>
      </c>
      <c r="S1858" s="8">
        <v>2211.0450000000001</v>
      </c>
      <c r="T1858" s="8">
        <v>1967.7850000000001</v>
      </c>
      <c r="U1858" s="8">
        <v>1583.5619999999999</v>
      </c>
      <c r="V1858" s="8">
        <v>1212.789</v>
      </c>
      <c r="W1858" s="8">
        <v>868.55100000000004</v>
      </c>
      <c r="X1858" s="8">
        <v>553.24400000000003</v>
      </c>
      <c r="Y1858" s="8">
        <v>285.65600000000001</v>
      </c>
      <c r="Z1858" s="8">
        <v>105.18</v>
      </c>
      <c r="AA1858" s="8">
        <v>23.66</v>
      </c>
      <c r="AB1858" s="8">
        <v>3.0369999999999999</v>
      </c>
      <c r="AC1858" s="8">
        <v>0.24299999999999999</v>
      </c>
    </row>
    <row r="1859" spans="1:29" ht="11.65" x14ac:dyDescent="0.35">
      <c r="A1859" s="12">
        <v>1842</v>
      </c>
      <c r="B1859" s="10" t="s">
        <v>1015</v>
      </c>
      <c r="C1859" s="11" t="s">
        <v>1146</v>
      </c>
      <c r="D1859" s="9"/>
      <c r="E1859" s="9">
        <v>586</v>
      </c>
      <c r="F1859" s="10" t="s">
        <v>1066</v>
      </c>
      <c r="G1859" s="9">
        <v>5501</v>
      </c>
      <c r="H1859" s="9">
        <v>2005</v>
      </c>
      <c r="I1859" s="8">
        <v>11842.242</v>
      </c>
      <c r="J1859" s="8">
        <v>11083.939</v>
      </c>
      <c r="K1859" s="8">
        <v>10243.087</v>
      </c>
      <c r="L1859" s="8">
        <v>9043.1859999999997</v>
      </c>
      <c r="M1859" s="8">
        <v>7547.3010000000004</v>
      </c>
      <c r="N1859" s="8">
        <v>6278.4110000000001</v>
      </c>
      <c r="O1859" s="8">
        <v>5247.5810000000001</v>
      </c>
      <c r="P1859" s="8">
        <v>4549.6689999999999</v>
      </c>
      <c r="Q1859" s="8">
        <v>3922.7240000000002</v>
      </c>
      <c r="R1859" s="8">
        <v>3177.643</v>
      </c>
      <c r="S1859" s="8">
        <v>2387.4949999999999</v>
      </c>
      <c r="T1859" s="8">
        <v>2081.6019999999999</v>
      </c>
      <c r="U1859" s="8">
        <v>1799.479</v>
      </c>
      <c r="V1859" s="8">
        <v>1381.5409999999999</v>
      </c>
      <c r="W1859" s="8">
        <v>981.35799999999995</v>
      </c>
      <c r="X1859" s="8">
        <v>623.26300000000003</v>
      </c>
      <c r="Y1859" s="8">
        <v>327.40100000000001</v>
      </c>
      <c r="Z1859" s="8">
        <v>124.858</v>
      </c>
      <c r="AA1859" s="8">
        <v>29.457000000000001</v>
      </c>
      <c r="AB1859" s="8">
        <v>3.6989999999999998</v>
      </c>
      <c r="AC1859" s="8">
        <v>0.29199999999999998</v>
      </c>
    </row>
    <row r="1860" spans="1:29" ht="11.65" x14ac:dyDescent="0.35">
      <c r="A1860" s="12">
        <v>1843</v>
      </c>
      <c r="B1860" s="10" t="s">
        <v>1015</v>
      </c>
      <c r="C1860" s="11" t="s">
        <v>1146</v>
      </c>
      <c r="D1860" s="9"/>
      <c r="E1860" s="9">
        <v>586</v>
      </c>
      <c r="F1860" s="10" t="s">
        <v>1066</v>
      </c>
      <c r="G1860" s="9">
        <v>5501</v>
      </c>
      <c r="H1860" s="9">
        <v>2010</v>
      </c>
      <c r="I1860" s="8">
        <v>12456.064</v>
      </c>
      <c r="J1860" s="8">
        <v>11631.517</v>
      </c>
      <c r="K1860" s="8">
        <v>11019.453</v>
      </c>
      <c r="L1860" s="8">
        <v>10177.91</v>
      </c>
      <c r="M1860" s="8">
        <v>8948.9390000000003</v>
      </c>
      <c r="N1860" s="8">
        <v>7440.8230000000003</v>
      </c>
      <c r="O1860" s="8">
        <v>6176.0540000000001</v>
      </c>
      <c r="P1860" s="8">
        <v>5151.0420000000004</v>
      </c>
      <c r="Q1860" s="8">
        <v>4450.26</v>
      </c>
      <c r="R1860" s="8">
        <v>3812.3319999999999</v>
      </c>
      <c r="S1860" s="8">
        <v>3053.9319999999998</v>
      </c>
      <c r="T1860" s="8">
        <v>2252.654</v>
      </c>
      <c r="U1860" s="8">
        <v>1907.3320000000001</v>
      </c>
      <c r="V1860" s="8">
        <v>1572.864</v>
      </c>
      <c r="W1860" s="8">
        <v>1119.5630000000001</v>
      </c>
      <c r="X1860" s="8">
        <v>704.77700000000004</v>
      </c>
      <c r="Y1860" s="8">
        <v>369.149</v>
      </c>
      <c r="Z1860" s="8">
        <v>142.78</v>
      </c>
      <c r="AA1860" s="8">
        <v>34.652999999999999</v>
      </c>
      <c r="AB1860" s="8">
        <v>4.5380000000000003</v>
      </c>
      <c r="AC1860" s="8">
        <v>0.35299999999999998</v>
      </c>
    </row>
    <row r="1861" spans="1:29" ht="11.65" x14ac:dyDescent="0.35">
      <c r="A1861" s="12">
        <v>1844</v>
      </c>
      <c r="B1861" s="10" t="s">
        <v>1015</v>
      </c>
      <c r="C1861" s="11" t="s">
        <v>1146</v>
      </c>
      <c r="D1861" s="9"/>
      <c r="E1861" s="9">
        <v>586</v>
      </c>
      <c r="F1861" s="10" t="s">
        <v>1066</v>
      </c>
      <c r="G1861" s="9">
        <v>5501</v>
      </c>
      <c r="H1861" s="9">
        <v>2015</v>
      </c>
      <c r="I1861" s="8">
        <v>13431.093000000001</v>
      </c>
      <c r="J1861" s="8">
        <v>12233.848</v>
      </c>
      <c r="K1861" s="8">
        <v>11548.911</v>
      </c>
      <c r="L1861" s="8">
        <v>10913.004000000001</v>
      </c>
      <c r="M1861" s="8">
        <v>10011.928</v>
      </c>
      <c r="N1861" s="8">
        <v>8760.5840000000007</v>
      </c>
      <c r="O1861" s="8">
        <v>7277.4229999999998</v>
      </c>
      <c r="P1861" s="8">
        <v>6045.759</v>
      </c>
      <c r="Q1861" s="8">
        <v>5033.5429999999997</v>
      </c>
      <c r="R1861" s="8">
        <v>4326.6490000000003</v>
      </c>
      <c r="S1861" s="8">
        <v>3671.7440000000001</v>
      </c>
      <c r="T1861" s="8">
        <v>2892.6869999999999</v>
      </c>
      <c r="U1861" s="8">
        <v>2070.4569999999999</v>
      </c>
      <c r="V1861" s="8">
        <v>1675.15</v>
      </c>
      <c r="W1861" s="8">
        <v>1287.498</v>
      </c>
      <c r="X1861" s="8">
        <v>816.88099999999997</v>
      </c>
      <c r="Y1861" s="8">
        <v>427.55700000000002</v>
      </c>
      <c r="Z1861" s="8">
        <v>167.58799999999999</v>
      </c>
      <c r="AA1861" s="8">
        <v>42.158000000000001</v>
      </c>
      <c r="AB1861" s="8">
        <v>5.7750000000000004</v>
      </c>
      <c r="AC1861" s="8">
        <v>0.45400000000000001</v>
      </c>
    </row>
    <row r="1862" spans="1:29" ht="11.65" x14ac:dyDescent="0.35">
      <c r="A1862" s="12">
        <v>1845</v>
      </c>
      <c r="B1862" s="10" t="s">
        <v>1015</v>
      </c>
      <c r="C1862" s="11" t="s">
        <v>1146</v>
      </c>
      <c r="D1862" s="9"/>
      <c r="E1862" s="9">
        <v>586</v>
      </c>
      <c r="F1862" s="10" t="s">
        <v>1066</v>
      </c>
      <c r="G1862" s="9">
        <v>5501</v>
      </c>
      <c r="H1862" s="9">
        <v>2020</v>
      </c>
      <c r="I1862" s="8">
        <v>14509.296</v>
      </c>
      <c r="J1862" s="8">
        <v>13226.191000000001</v>
      </c>
      <c r="K1862" s="8">
        <v>12154.761</v>
      </c>
      <c r="L1862" s="8">
        <v>11443.014999999999</v>
      </c>
      <c r="M1862" s="8">
        <v>10741.968000000001</v>
      </c>
      <c r="N1862" s="8">
        <v>9820.991</v>
      </c>
      <c r="O1862" s="8">
        <v>8597.1679999999997</v>
      </c>
      <c r="P1862" s="8">
        <v>7144.3019999999997</v>
      </c>
      <c r="Q1862" s="8">
        <v>5922.9179999999997</v>
      </c>
      <c r="R1862" s="8">
        <v>4905.18</v>
      </c>
      <c r="S1862" s="8">
        <v>4176.6899999999996</v>
      </c>
      <c r="T1862" s="8">
        <v>3485.9560000000001</v>
      </c>
      <c r="U1862" s="8">
        <v>2666.009</v>
      </c>
      <c r="V1862" s="8">
        <v>1821.463</v>
      </c>
      <c r="W1862" s="8">
        <v>1372.079</v>
      </c>
      <c r="X1862" s="8">
        <v>939.57100000000003</v>
      </c>
      <c r="Y1862" s="8">
        <v>494.89400000000001</v>
      </c>
      <c r="Z1862" s="8">
        <v>193.10900000000001</v>
      </c>
      <c r="AA1862" s="8">
        <v>48.962000000000003</v>
      </c>
      <c r="AB1862" s="8">
        <v>6.9109999999999996</v>
      </c>
      <c r="AC1862" s="8">
        <v>0.57299999999999995</v>
      </c>
    </row>
    <row r="1863" spans="1:29" ht="11.65" x14ac:dyDescent="0.35">
      <c r="A1863" s="12">
        <v>1846</v>
      </c>
      <c r="B1863" s="10" t="s">
        <v>1015</v>
      </c>
      <c r="C1863" s="11" t="s">
        <v>1147</v>
      </c>
      <c r="D1863" s="9"/>
      <c r="E1863" s="9">
        <v>144</v>
      </c>
      <c r="F1863" s="10" t="s">
        <v>1066</v>
      </c>
      <c r="G1863" s="9">
        <v>5501</v>
      </c>
      <c r="H1863" s="9">
        <v>1950</v>
      </c>
      <c r="I1863" s="8">
        <v>644.154</v>
      </c>
      <c r="J1863" s="8">
        <v>503.78500000000003</v>
      </c>
      <c r="K1863" s="8">
        <v>433.15300000000002</v>
      </c>
      <c r="L1863" s="8">
        <v>389.142</v>
      </c>
      <c r="M1863" s="8">
        <v>363.98200000000003</v>
      </c>
      <c r="N1863" s="8">
        <v>324.858</v>
      </c>
      <c r="O1863" s="8">
        <v>279.87299999999999</v>
      </c>
      <c r="P1863" s="8">
        <v>240.95500000000001</v>
      </c>
      <c r="Q1863" s="8">
        <v>201.43799999999999</v>
      </c>
      <c r="R1863" s="8">
        <v>169.88800000000001</v>
      </c>
      <c r="S1863" s="8">
        <v>136.745</v>
      </c>
      <c r="T1863" s="8">
        <v>120.02200000000001</v>
      </c>
      <c r="U1863" s="8">
        <v>106.872</v>
      </c>
      <c r="V1863" s="8">
        <v>106.819</v>
      </c>
      <c r="W1863" s="8">
        <v>112.125</v>
      </c>
      <c r="X1863" s="8">
        <v>95</v>
      </c>
      <c r="Y1863" s="8">
        <v>76.771000000000001</v>
      </c>
      <c r="Z1863" s="8">
        <v>26.524000000000001</v>
      </c>
      <c r="AA1863" s="8">
        <v>6.4260000000000002</v>
      </c>
      <c r="AB1863" s="8">
        <v>1.0449999999999999</v>
      </c>
      <c r="AC1863" s="8">
        <v>0</v>
      </c>
    </row>
    <row r="1864" spans="1:29" ht="11.65" x14ac:dyDescent="0.35">
      <c r="A1864" s="12">
        <v>1847</v>
      </c>
      <c r="B1864" s="10" t="s">
        <v>1015</v>
      </c>
      <c r="C1864" s="11" t="s">
        <v>1147</v>
      </c>
      <c r="D1864" s="9"/>
      <c r="E1864" s="9">
        <v>144</v>
      </c>
      <c r="F1864" s="10" t="s">
        <v>1066</v>
      </c>
      <c r="G1864" s="9">
        <v>5501</v>
      </c>
      <c r="H1864" s="9">
        <v>1955</v>
      </c>
      <c r="I1864" s="8">
        <v>707.54100000000005</v>
      </c>
      <c r="J1864" s="8">
        <v>614.72900000000004</v>
      </c>
      <c r="K1864" s="8">
        <v>493.72399999999999</v>
      </c>
      <c r="L1864" s="8">
        <v>427.13900000000001</v>
      </c>
      <c r="M1864" s="8">
        <v>382.25900000000001</v>
      </c>
      <c r="N1864" s="8">
        <v>355.89800000000002</v>
      </c>
      <c r="O1864" s="8">
        <v>316.529</v>
      </c>
      <c r="P1864" s="8">
        <v>271.178</v>
      </c>
      <c r="Q1864" s="8">
        <v>231.64400000000001</v>
      </c>
      <c r="R1864" s="8">
        <v>191.416</v>
      </c>
      <c r="S1864" s="8">
        <v>158.506</v>
      </c>
      <c r="T1864" s="8">
        <v>123.636</v>
      </c>
      <c r="U1864" s="8">
        <v>103.23</v>
      </c>
      <c r="V1864" s="8">
        <v>85.366</v>
      </c>
      <c r="W1864" s="8">
        <v>74.947000000000003</v>
      </c>
      <c r="X1864" s="8">
        <v>65.567999999999998</v>
      </c>
      <c r="Y1864" s="8">
        <v>44.276000000000003</v>
      </c>
      <c r="Z1864" s="8">
        <v>26.523</v>
      </c>
      <c r="AA1864" s="8">
        <v>6.4260000000000002</v>
      </c>
      <c r="AB1864" s="8">
        <v>1.0449999999999999</v>
      </c>
      <c r="AC1864" s="8">
        <v>0.10199999999999999</v>
      </c>
    </row>
    <row r="1865" spans="1:29" ht="11.65" x14ac:dyDescent="0.35">
      <c r="A1865" s="12">
        <v>1848</v>
      </c>
      <c r="B1865" s="10" t="s">
        <v>1015</v>
      </c>
      <c r="C1865" s="11" t="s">
        <v>1147</v>
      </c>
      <c r="D1865" s="9"/>
      <c r="E1865" s="9">
        <v>144</v>
      </c>
      <c r="F1865" s="10" t="s">
        <v>1066</v>
      </c>
      <c r="G1865" s="9">
        <v>5501</v>
      </c>
      <c r="H1865" s="9">
        <v>1960</v>
      </c>
      <c r="I1865" s="8">
        <v>822.447</v>
      </c>
      <c r="J1865" s="8">
        <v>682.34900000000005</v>
      </c>
      <c r="K1865" s="8">
        <v>602.39700000000005</v>
      </c>
      <c r="L1865" s="8">
        <v>485.452</v>
      </c>
      <c r="M1865" s="8">
        <v>418.09500000000003</v>
      </c>
      <c r="N1865" s="8">
        <v>371.584</v>
      </c>
      <c r="O1865" s="8">
        <v>344.178</v>
      </c>
      <c r="P1865" s="8">
        <v>304.57600000000002</v>
      </c>
      <c r="Q1865" s="8">
        <v>259.30399999999997</v>
      </c>
      <c r="R1865" s="8">
        <v>219.47499999999999</v>
      </c>
      <c r="S1865" s="8">
        <v>178.40899999999999</v>
      </c>
      <c r="T1865" s="8">
        <v>143.48099999999999</v>
      </c>
      <c r="U1865" s="8">
        <v>106.66200000000001</v>
      </c>
      <c r="V1865" s="8">
        <v>83.150999999999996</v>
      </c>
      <c r="W1865" s="8">
        <v>61.021999999999998</v>
      </c>
      <c r="X1865" s="8">
        <v>45.140999999999998</v>
      </c>
      <c r="Y1865" s="8">
        <v>31.69</v>
      </c>
      <c r="Z1865" s="8">
        <v>15.911</v>
      </c>
      <c r="AA1865" s="8">
        <v>6.6890000000000001</v>
      </c>
      <c r="AB1865" s="8">
        <v>1.083</v>
      </c>
      <c r="AC1865" s="8">
        <v>0.114</v>
      </c>
    </row>
    <row r="1866" spans="1:29" ht="11.65" x14ac:dyDescent="0.35">
      <c r="A1866" s="12">
        <v>1849</v>
      </c>
      <c r="B1866" s="10" t="s">
        <v>1015</v>
      </c>
      <c r="C1866" s="11" t="s">
        <v>1147</v>
      </c>
      <c r="D1866" s="9"/>
      <c r="E1866" s="9">
        <v>144</v>
      </c>
      <c r="F1866" s="10" t="s">
        <v>1066</v>
      </c>
      <c r="G1866" s="9">
        <v>5501</v>
      </c>
      <c r="H1866" s="9">
        <v>1965</v>
      </c>
      <c r="I1866" s="8">
        <v>862.274</v>
      </c>
      <c r="J1866" s="8">
        <v>797.30799999999999</v>
      </c>
      <c r="K1866" s="8">
        <v>672.13900000000001</v>
      </c>
      <c r="L1866" s="8">
        <v>594.46100000000001</v>
      </c>
      <c r="M1866" s="8">
        <v>477.10599999999999</v>
      </c>
      <c r="N1866" s="8">
        <v>408.47500000000002</v>
      </c>
      <c r="O1866" s="8">
        <v>361.83</v>
      </c>
      <c r="P1866" s="8">
        <v>333.88099999999997</v>
      </c>
      <c r="Q1866" s="8">
        <v>293.40800000000002</v>
      </c>
      <c r="R1866" s="8">
        <v>247.108</v>
      </c>
      <c r="S1866" s="8">
        <v>205.85599999999999</v>
      </c>
      <c r="T1866" s="8">
        <v>162.99700000000001</v>
      </c>
      <c r="U1866" s="8">
        <v>126.196</v>
      </c>
      <c r="V1866" s="8">
        <v>87.168999999999997</v>
      </c>
      <c r="W1866" s="8">
        <v>59.277999999999999</v>
      </c>
      <c r="X1866" s="8">
        <v>36.735999999999997</v>
      </c>
      <c r="Y1866" s="8">
        <v>21.734999999999999</v>
      </c>
      <c r="Z1866" s="8">
        <v>11.337999999999999</v>
      </c>
      <c r="AA1866" s="8">
        <v>3.9969999999999999</v>
      </c>
      <c r="AB1866" s="8">
        <v>1.129</v>
      </c>
      <c r="AC1866" s="8">
        <v>0.121</v>
      </c>
    </row>
    <row r="1867" spans="1:29" ht="11.65" x14ac:dyDescent="0.35">
      <c r="A1867" s="12">
        <v>1850</v>
      </c>
      <c r="B1867" s="10" t="s">
        <v>1015</v>
      </c>
      <c r="C1867" s="11" t="s">
        <v>1147</v>
      </c>
      <c r="D1867" s="9"/>
      <c r="E1867" s="9">
        <v>144</v>
      </c>
      <c r="F1867" s="10" t="s">
        <v>1066</v>
      </c>
      <c r="G1867" s="9">
        <v>5501</v>
      </c>
      <c r="H1867" s="9">
        <v>1970</v>
      </c>
      <c r="I1867" s="8">
        <v>910.90200000000004</v>
      </c>
      <c r="J1867" s="8">
        <v>843.03099999999995</v>
      </c>
      <c r="K1867" s="8">
        <v>789.14800000000002</v>
      </c>
      <c r="L1867" s="8">
        <v>665.10500000000002</v>
      </c>
      <c r="M1867" s="8">
        <v>585.83399999999995</v>
      </c>
      <c r="N1867" s="8">
        <v>468.11700000000002</v>
      </c>
      <c r="O1867" s="8">
        <v>399.83499999999998</v>
      </c>
      <c r="P1867" s="8">
        <v>352.84399999999999</v>
      </c>
      <c r="Q1867" s="8">
        <v>323.56900000000002</v>
      </c>
      <c r="R1867" s="8">
        <v>281.58199999999999</v>
      </c>
      <c r="S1867" s="8">
        <v>233.73400000000001</v>
      </c>
      <c r="T1867" s="8">
        <v>190.13300000000001</v>
      </c>
      <c r="U1867" s="8">
        <v>145.607</v>
      </c>
      <c r="V1867" s="8">
        <v>106.459</v>
      </c>
      <c r="W1867" s="8">
        <v>65.843000000000004</v>
      </c>
      <c r="X1867" s="8">
        <v>38.213999999999999</v>
      </c>
      <c r="Y1867" s="8">
        <v>18.559000000000001</v>
      </c>
      <c r="Z1867" s="8">
        <v>7.7</v>
      </c>
      <c r="AA1867" s="8">
        <v>2.5830000000000002</v>
      </c>
      <c r="AB1867" s="8">
        <v>0.53900000000000003</v>
      </c>
      <c r="AC1867" s="8">
        <v>9.8000000000000004E-2</v>
      </c>
    </row>
    <row r="1868" spans="1:29" ht="11.65" x14ac:dyDescent="0.35">
      <c r="A1868" s="12">
        <v>1851</v>
      </c>
      <c r="B1868" s="10" t="s">
        <v>1015</v>
      </c>
      <c r="C1868" s="11" t="s">
        <v>1147</v>
      </c>
      <c r="D1868" s="9"/>
      <c r="E1868" s="9">
        <v>144</v>
      </c>
      <c r="F1868" s="10" t="s">
        <v>1066</v>
      </c>
      <c r="G1868" s="9">
        <v>5501</v>
      </c>
      <c r="H1868" s="9">
        <v>1975</v>
      </c>
      <c r="I1868" s="8">
        <v>908.06600000000003</v>
      </c>
      <c r="J1868" s="8">
        <v>891.48699999999997</v>
      </c>
      <c r="K1868" s="8">
        <v>830.41099999999994</v>
      </c>
      <c r="L1868" s="8">
        <v>777.16099999999994</v>
      </c>
      <c r="M1868" s="8">
        <v>651.34100000000001</v>
      </c>
      <c r="N1868" s="8">
        <v>569.50699999999995</v>
      </c>
      <c r="O1868" s="8">
        <v>451.70699999999999</v>
      </c>
      <c r="P1868" s="8">
        <v>383.60500000000002</v>
      </c>
      <c r="Q1868" s="8">
        <v>336.84399999999999</v>
      </c>
      <c r="R1868" s="8">
        <v>307.166</v>
      </c>
      <c r="S1868" s="8">
        <v>264.28899999999999</v>
      </c>
      <c r="T1868" s="8">
        <v>214.85499999999999</v>
      </c>
      <c r="U1868" s="8">
        <v>169.49299999999999</v>
      </c>
      <c r="V1868" s="8">
        <v>124.06100000000001</v>
      </c>
      <c r="W1868" s="8">
        <v>83.391000000000005</v>
      </c>
      <c r="X1868" s="8">
        <v>45.307000000000002</v>
      </c>
      <c r="Y1868" s="8">
        <v>21.137</v>
      </c>
      <c r="Z1868" s="8">
        <v>7.2690000000000001</v>
      </c>
      <c r="AA1868" s="8">
        <v>1.9350000000000001</v>
      </c>
      <c r="AB1868" s="8">
        <v>0.36599999999999999</v>
      </c>
      <c r="AC1868" s="8">
        <v>4.8000000000000001E-2</v>
      </c>
    </row>
    <row r="1869" spans="1:29" ht="11.65" x14ac:dyDescent="0.35">
      <c r="A1869" s="12">
        <v>1852</v>
      </c>
      <c r="B1869" s="10" t="s">
        <v>1015</v>
      </c>
      <c r="C1869" s="11" t="s">
        <v>1147</v>
      </c>
      <c r="D1869" s="9"/>
      <c r="E1869" s="9">
        <v>144</v>
      </c>
      <c r="F1869" s="10" t="s">
        <v>1066</v>
      </c>
      <c r="G1869" s="9">
        <v>5501</v>
      </c>
      <c r="H1869" s="9">
        <v>1980</v>
      </c>
      <c r="I1869" s="8">
        <v>971.61800000000005</v>
      </c>
      <c r="J1869" s="8">
        <v>890.76300000000003</v>
      </c>
      <c r="K1869" s="8">
        <v>878.01099999999997</v>
      </c>
      <c r="L1869" s="8">
        <v>817.05100000000004</v>
      </c>
      <c r="M1869" s="8">
        <v>757.99599999999998</v>
      </c>
      <c r="N1869" s="8">
        <v>624.91600000000005</v>
      </c>
      <c r="O1869" s="8">
        <v>542.048</v>
      </c>
      <c r="P1869" s="8">
        <v>429.44</v>
      </c>
      <c r="Q1869" s="8">
        <v>365.79599999999999</v>
      </c>
      <c r="R1869" s="8">
        <v>320.76900000000001</v>
      </c>
      <c r="S1869" s="8">
        <v>289.24</v>
      </c>
      <c r="T1869" s="8">
        <v>244.11500000000001</v>
      </c>
      <c r="U1869" s="8">
        <v>193.339</v>
      </c>
      <c r="V1869" s="8">
        <v>146.38900000000001</v>
      </c>
      <c r="W1869" s="8">
        <v>100.557</v>
      </c>
      <c r="X1869" s="8">
        <v>57.386000000000003</v>
      </c>
      <c r="Y1869" s="8">
        <v>24.768999999999998</v>
      </c>
      <c r="Z1869" s="8">
        <v>9.3510000000000009</v>
      </c>
      <c r="AA1869" s="8">
        <v>2.323</v>
      </c>
      <c r="AB1869" s="8">
        <v>0.432</v>
      </c>
      <c r="AC1869" s="8">
        <v>5.8000000000000003E-2</v>
      </c>
    </row>
    <row r="1870" spans="1:29" ht="11.65" x14ac:dyDescent="0.35">
      <c r="A1870" s="12">
        <v>1853</v>
      </c>
      <c r="B1870" s="10" t="s">
        <v>1015</v>
      </c>
      <c r="C1870" s="11" t="s">
        <v>1147</v>
      </c>
      <c r="D1870" s="9"/>
      <c r="E1870" s="9">
        <v>144</v>
      </c>
      <c r="F1870" s="10" t="s">
        <v>1066</v>
      </c>
      <c r="G1870" s="9">
        <v>5501</v>
      </c>
      <c r="H1870" s="9">
        <v>1985</v>
      </c>
      <c r="I1870" s="8">
        <v>988.524</v>
      </c>
      <c r="J1870" s="8">
        <v>952.93</v>
      </c>
      <c r="K1870" s="8">
        <v>873.70799999999997</v>
      </c>
      <c r="L1870" s="8">
        <v>859.60500000000002</v>
      </c>
      <c r="M1870" s="8">
        <v>789.09100000000001</v>
      </c>
      <c r="N1870" s="8">
        <v>717.65499999999997</v>
      </c>
      <c r="O1870" s="8">
        <v>584.43899999999996</v>
      </c>
      <c r="P1870" s="8">
        <v>508.69499999999999</v>
      </c>
      <c r="Q1870" s="8">
        <v>403.87599999999998</v>
      </c>
      <c r="R1870" s="8">
        <v>344.791</v>
      </c>
      <c r="S1870" s="8">
        <v>300.20699999999999</v>
      </c>
      <c r="T1870" s="8">
        <v>265.80700000000002</v>
      </c>
      <c r="U1870" s="8">
        <v>218.572</v>
      </c>
      <c r="V1870" s="8">
        <v>166.28299999999999</v>
      </c>
      <c r="W1870" s="8">
        <v>117.81100000000001</v>
      </c>
      <c r="X1870" s="8">
        <v>73.995999999999995</v>
      </c>
      <c r="Y1870" s="8">
        <v>35.191000000000003</v>
      </c>
      <c r="Z1870" s="8">
        <v>10.930999999999999</v>
      </c>
      <c r="AA1870" s="8">
        <v>2.6669999999999998</v>
      </c>
      <c r="AB1870" s="8">
        <v>0.38600000000000001</v>
      </c>
      <c r="AC1870" s="8">
        <v>4.4999999999999998E-2</v>
      </c>
    </row>
    <row r="1871" spans="1:29" ht="11.65" x14ac:dyDescent="0.35">
      <c r="A1871" s="12">
        <v>1854</v>
      </c>
      <c r="B1871" s="10" t="s">
        <v>1015</v>
      </c>
      <c r="C1871" s="11" t="s">
        <v>1147</v>
      </c>
      <c r="D1871" s="9"/>
      <c r="E1871" s="9">
        <v>144</v>
      </c>
      <c r="F1871" s="10" t="s">
        <v>1066</v>
      </c>
      <c r="G1871" s="9">
        <v>5501</v>
      </c>
      <c r="H1871" s="9">
        <v>1990</v>
      </c>
      <c r="I1871" s="8">
        <v>908.10500000000002</v>
      </c>
      <c r="J1871" s="8">
        <v>979.27</v>
      </c>
      <c r="K1871" s="8">
        <v>945.94</v>
      </c>
      <c r="L1871" s="8">
        <v>864.68100000000004</v>
      </c>
      <c r="M1871" s="8">
        <v>840.29600000000005</v>
      </c>
      <c r="N1871" s="8">
        <v>761.69600000000003</v>
      </c>
      <c r="O1871" s="8">
        <v>691.52300000000002</v>
      </c>
      <c r="P1871" s="8">
        <v>561.65300000000002</v>
      </c>
      <c r="Q1871" s="8">
        <v>488.50700000000001</v>
      </c>
      <c r="R1871" s="8">
        <v>385.733</v>
      </c>
      <c r="S1871" s="8">
        <v>325.77600000000001</v>
      </c>
      <c r="T1871" s="8">
        <v>278.12299999999999</v>
      </c>
      <c r="U1871" s="8">
        <v>239.19300000000001</v>
      </c>
      <c r="V1871" s="8">
        <v>188.244</v>
      </c>
      <c r="W1871" s="8">
        <v>133.256</v>
      </c>
      <c r="X1871" s="8">
        <v>86.138999999999996</v>
      </c>
      <c r="Y1871" s="8">
        <v>46.786000000000001</v>
      </c>
      <c r="Z1871" s="8">
        <v>18.018000000000001</v>
      </c>
      <c r="AA1871" s="8">
        <v>4.2750000000000004</v>
      </c>
      <c r="AB1871" s="8">
        <v>0.751</v>
      </c>
      <c r="AC1871" s="8">
        <v>7.5999999999999998E-2</v>
      </c>
    </row>
    <row r="1872" spans="1:29" ht="11.65" x14ac:dyDescent="0.35">
      <c r="A1872" s="12">
        <v>1855</v>
      </c>
      <c r="B1872" s="10" t="s">
        <v>1015</v>
      </c>
      <c r="C1872" s="11" t="s">
        <v>1147</v>
      </c>
      <c r="D1872" s="9"/>
      <c r="E1872" s="9">
        <v>144</v>
      </c>
      <c r="F1872" s="10" t="s">
        <v>1066</v>
      </c>
      <c r="G1872" s="9">
        <v>5501</v>
      </c>
      <c r="H1872" s="9">
        <v>1995</v>
      </c>
      <c r="I1872" s="8">
        <v>872.64</v>
      </c>
      <c r="J1872" s="8">
        <v>898.923</v>
      </c>
      <c r="K1872" s="8">
        <v>970.06500000000005</v>
      </c>
      <c r="L1872" s="8">
        <v>933.30799999999999</v>
      </c>
      <c r="M1872" s="8">
        <v>838.69799999999998</v>
      </c>
      <c r="N1872" s="8">
        <v>802.09299999999996</v>
      </c>
      <c r="O1872" s="8">
        <v>724.54300000000001</v>
      </c>
      <c r="P1872" s="8">
        <v>659.58199999999999</v>
      </c>
      <c r="Q1872" s="8">
        <v>536.69500000000005</v>
      </c>
      <c r="R1872" s="8">
        <v>465.464</v>
      </c>
      <c r="S1872" s="8">
        <v>364.27600000000001</v>
      </c>
      <c r="T1872" s="8">
        <v>303.11099999999999</v>
      </c>
      <c r="U1872" s="8">
        <v>251.435</v>
      </c>
      <c r="V1872" s="8">
        <v>205.779</v>
      </c>
      <c r="W1872" s="8">
        <v>150.17500000000001</v>
      </c>
      <c r="X1872" s="8">
        <v>96.888999999999996</v>
      </c>
      <c r="Y1872" s="8">
        <v>54.978999999999999</v>
      </c>
      <c r="Z1872" s="8">
        <v>24.965</v>
      </c>
      <c r="AA1872" s="8">
        <v>7.72</v>
      </c>
      <c r="AB1872" s="8">
        <v>1.41</v>
      </c>
      <c r="AC1872" s="8">
        <v>0.185</v>
      </c>
    </row>
    <row r="1873" spans="1:29" ht="11.65" x14ac:dyDescent="0.35">
      <c r="A1873" s="12">
        <v>1856</v>
      </c>
      <c r="B1873" s="10" t="s">
        <v>1015</v>
      </c>
      <c r="C1873" s="11" t="s">
        <v>1147</v>
      </c>
      <c r="D1873" s="9"/>
      <c r="E1873" s="9">
        <v>144</v>
      </c>
      <c r="F1873" s="10" t="s">
        <v>1066</v>
      </c>
      <c r="G1873" s="9">
        <v>5501</v>
      </c>
      <c r="H1873" s="9">
        <v>2000</v>
      </c>
      <c r="I1873" s="8">
        <v>837.16099999999994</v>
      </c>
      <c r="J1873" s="8">
        <v>839.76599999999996</v>
      </c>
      <c r="K1873" s="8">
        <v>883.096</v>
      </c>
      <c r="L1873" s="8">
        <v>945.56500000000005</v>
      </c>
      <c r="M1873" s="8">
        <v>869.35599999999999</v>
      </c>
      <c r="N1873" s="8">
        <v>741.06100000000004</v>
      </c>
      <c r="O1873" s="8">
        <v>723.11900000000003</v>
      </c>
      <c r="P1873" s="8">
        <v>684.50199999999995</v>
      </c>
      <c r="Q1873" s="8">
        <v>635.76199999999994</v>
      </c>
      <c r="R1873" s="8">
        <v>533.34799999999996</v>
      </c>
      <c r="S1873" s="8">
        <v>477.51</v>
      </c>
      <c r="T1873" s="8">
        <v>361.91300000000001</v>
      </c>
      <c r="U1873" s="8">
        <v>275.35599999999999</v>
      </c>
      <c r="V1873" s="8">
        <v>207.905</v>
      </c>
      <c r="W1873" s="8">
        <v>153.68199999999999</v>
      </c>
      <c r="X1873" s="8">
        <v>101.587</v>
      </c>
      <c r="Y1873" s="8">
        <v>57.036000000000001</v>
      </c>
      <c r="Z1873" s="8">
        <v>26.475000000000001</v>
      </c>
      <c r="AA1873" s="8">
        <v>9.31</v>
      </c>
      <c r="AB1873" s="8">
        <v>2.1379999999999999</v>
      </c>
      <c r="AC1873" s="8">
        <v>0.29099999999999998</v>
      </c>
    </row>
    <row r="1874" spans="1:29" ht="11.65" x14ac:dyDescent="0.35">
      <c r="A1874" s="12">
        <v>1857</v>
      </c>
      <c r="B1874" s="10" t="s">
        <v>1015</v>
      </c>
      <c r="C1874" s="11" t="s">
        <v>1147</v>
      </c>
      <c r="D1874" s="9"/>
      <c r="E1874" s="9">
        <v>144</v>
      </c>
      <c r="F1874" s="10" t="s">
        <v>1066</v>
      </c>
      <c r="G1874" s="9">
        <v>5501</v>
      </c>
      <c r="H1874" s="9">
        <v>2005</v>
      </c>
      <c r="I1874" s="8">
        <v>889.25900000000001</v>
      </c>
      <c r="J1874" s="8">
        <v>821.70299999999997</v>
      </c>
      <c r="K1874" s="8">
        <v>829.84799999999996</v>
      </c>
      <c r="L1874" s="8">
        <v>854.51099999999997</v>
      </c>
      <c r="M1874" s="8">
        <v>883.50400000000002</v>
      </c>
      <c r="N1874" s="8">
        <v>813.43299999999999</v>
      </c>
      <c r="O1874" s="8">
        <v>703.048</v>
      </c>
      <c r="P1874" s="8">
        <v>690.24199999999996</v>
      </c>
      <c r="Q1874" s="8">
        <v>654.649</v>
      </c>
      <c r="R1874" s="8">
        <v>605.21</v>
      </c>
      <c r="S1874" s="8">
        <v>506.03500000000003</v>
      </c>
      <c r="T1874" s="8">
        <v>449.83</v>
      </c>
      <c r="U1874" s="8">
        <v>327.52300000000002</v>
      </c>
      <c r="V1874" s="8">
        <v>231.166</v>
      </c>
      <c r="W1874" s="8">
        <v>161.155</v>
      </c>
      <c r="X1874" s="8">
        <v>109.96299999999999</v>
      </c>
      <c r="Y1874" s="8">
        <v>65.584999999999994</v>
      </c>
      <c r="Z1874" s="8">
        <v>29.707000000000001</v>
      </c>
      <c r="AA1874" s="8">
        <v>9.7289999999999992</v>
      </c>
      <c r="AB1874" s="8">
        <v>2.1030000000000002</v>
      </c>
      <c r="AC1874" s="8">
        <v>0.27400000000000002</v>
      </c>
    </row>
    <row r="1875" spans="1:29" ht="11.65" x14ac:dyDescent="0.35">
      <c r="A1875" s="12">
        <v>1858</v>
      </c>
      <c r="B1875" s="10" t="s">
        <v>1015</v>
      </c>
      <c r="C1875" s="11" t="s">
        <v>1147</v>
      </c>
      <c r="D1875" s="9"/>
      <c r="E1875" s="9">
        <v>144</v>
      </c>
      <c r="F1875" s="10" t="s">
        <v>1066</v>
      </c>
      <c r="G1875" s="9">
        <v>5501</v>
      </c>
      <c r="H1875" s="9">
        <v>2010</v>
      </c>
      <c r="I1875" s="8">
        <v>904.51800000000003</v>
      </c>
      <c r="J1875" s="8">
        <v>869.63199999999995</v>
      </c>
      <c r="K1875" s="8">
        <v>821.85699999999997</v>
      </c>
      <c r="L1875" s="8">
        <v>815.80499999999995</v>
      </c>
      <c r="M1875" s="8">
        <v>776.14599999999996</v>
      </c>
      <c r="N1875" s="8">
        <v>788.36099999999999</v>
      </c>
      <c r="O1875" s="8">
        <v>792.28099999999995</v>
      </c>
      <c r="P1875" s="8">
        <v>693.67700000000002</v>
      </c>
      <c r="Q1875" s="8">
        <v>662.88599999999997</v>
      </c>
      <c r="R1875" s="8">
        <v>620.745</v>
      </c>
      <c r="S1875" s="8">
        <v>563.90499999999997</v>
      </c>
      <c r="T1875" s="8">
        <v>479.98500000000001</v>
      </c>
      <c r="U1875" s="8">
        <v>423.54399999999998</v>
      </c>
      <c r="V1875" s="8">
        <v>269.017</v>
      </c>
      <c r="W1875" s="8">
        <v>156.761</v>
      </c>
      <c r="X1875" s="8">
        <v>108.303</v>
      </c>
      <c r="Y1875" s="8">
        <v>70.7</v>
      </c>
      <c r="Z1875" s="8">
        <v>34.497</v>
      </c>
      <c r="AA1875" s="8">
        <v>11.141999999999999</v>
      </c>
      <c r="AB1875" s="8">
        <v>2.2709999999999999</v>
      </c>
      <c r="AC1875" s="8">
        <v>0.28000000000000003</v>
      </c>
    </row>
    <row r="1876" spans="1:29" ht="11.65" x14ac:dyDescent="0.35">
      <c r="A1876" s="12">
        <v>1859</v>
      </c>
      <c r="B1876" s="10" t="s">
        <v>1015</v>
      </c>
      <c r="C1876" s="11" t="s">
        <v>1147</v>
      </c>
      <c r="D1876" s="9"/>
      <c r="E1876" s="9">
        <v>144</v>
      </c>
      <c r="F1876" s="10" t="s">
        <v>1066</v>
      </c>
      <c r="G1876" s="9">
        <v>5501</v>
      </c>
      <c r="H1876" s="9">
        <v>2015</v>
      </c>
      <c r="I1876" s="8">
        <v>877.45699999999999</v>
      </c>
      <c r="J1876" s="8">
        <v>879.61300000000006</v>
      </c>
      <c r="K1876" s="8">
        <v>852.245</v>
      </c>
      <c r="L1876" s="8">
        <v>796.87300000000005</v>
      </c>
      <c r="M1876" s="8">
        <v>752.95100000000002</v>
      </c>
      <c r="N1876" s="8">
        <v>684.86500000000001</v>
      </c>
      <c r="O1876" s="8">
        <v>716.01400000000001</v>
      </c>
      <c r="P1876" s="8">
        <v>751.67</v>
      </c>
      <c r="Q1876" s="8">
        <v>670.57799999999997</v>
      </c>
      <c r="R1876" s="8">
        <v>651.20399999999995</v>
      </c>
      <c r="S1876" s="8">
        <v>610.03399999999999</v>
      </c>
      <c r="T1876" s="8">
        <v>544.24</v>
      </c>
      <c r="U1876" s="8">
        <v>451.01299999999998</v>
      </c>
      <c r="V1876" s="8">
        <v>377.53399999999999</v>
      </c>
      <c r="W1876" s="8">
        <v>219.114</v>
      </c>
      <c r="X1876" s="8">
        <v>116.667</v>
      </c>
      <c r="Y1876" s="8">
        <v>71.84</v>
      </c>
      <c r="Z1876" s="8">
        <v>37.552999999999997</v>
      </c>
      <c r="AA1876" s="8">
        <v>13.196999999999999</v>
      </c>
      <c r="AB1876" s="8">
        <v>2.6869999999999998</v>
      </c>
      <c r="AC1876" s="8">
        <v>0.313</v>
      </c>
    </row>
    <row r="1877" spans="1:29" ht="11.65" x14ac:dyDescent="0.35">
      <c r="A1877" s="12">
        <v>1860</v>
      </c>
      <c r="B1877" s="10" t="s">
        <v>1015</v>
      </c>
      <c r="C1877" s="11" t="s">
        <v>1147</v>
      </c>
      <c r="D1877" s="9"/>
      <c r="E1877" s="9">
        <v>144</v>
      </c>
      <c r="F1877" s="10" t="s">
        <v>1066</v>
      </c>
      <c r="G1877" s="9">
        <v>5501</v>
      </c>
      <c r="H1877" s="9">
        <v>2020</v>
      </c>
      <c r="I1877" s="8">
        <v>844.33199999999999</v>
      </c>
      <c r="J1877" s="8">
        <v>856.05399999999997</v>
      </c>
      <c r="K1877" s="8">
        <v>864.56299999999999</v>
      </c>
      <c r="L1877" s="8">
        <v>830.61500000000001</v>
      </c>
      <c r="M1877" s="8">
        <v>742.88800000000003</v>
      </c>
      <c r="N1877" s="8">
        <v>674.56200000000001</v>
      </c>
      <c r="O1877" s="8">
        <v>623.28099999999995</v>
      </c>
      <c r="P1877" s="8">
        <v>681.64800000000002</v>
      </c>
      <c r="Q1877" s="8">
        <v>730.68899999999996</v>
      </c>
      <c r="R1877" s="8">
        <v>659.69899999999996</v>
      </c>
      <c r="S1877" s="8">
        <v>639.90099999999995</v>
      </c>
      <c r="T1877" s="8">
        <v>589.17700000000002</v>
      </c>
      <c r="U1877" s="8">
        <v>513.11099999999999</v>
      </c>
      <c r="V1877" s="8">
        <v>405.40800000000002</v>
      </c>
      <c r="W1877" s="8">
        <v>312.25400000000002</v>
      </c>
      <c r="X1877" s="8">
        <v>164.667</v>
      </c>
      <c r="Y1877" s="8">
        <v>77.653999999999996</v>
      </c>
      <c r="Z1877" s="8">
        <v>38.529000000000003</v>
      </c>
      <c r="AA1877" s="8">
        <v>14.65</v>
      </c>
      <c r="AB1877" s="8">
        <v>3.286</v>
      </c>
      <c r="AC1877" s="8">
        <v>0.38300000000000001</v>
      </c>
    </row>
    <row r="1878" spans="1:29" ht="11.65" x14ac:dyDescent="0.35">
      <c r="A1878" s="28">
        <v>1861</v>
      </c>
      <c r="B1878" s="26" t="s">
        <v>1015</v>
      </c>
      <c r="C1878" s="27" t="s">
        <v>1148</v>
      </c>
      <c r="D1878" s="25"/>
      <c r="E1878" s="25">
        <v>1832</v>
      </c>
      <c r="F1878" s="26" t="s">
        <v>1063</v>
      </c>
      <c r="G1878" s="25">
        <v>1828</v>
      </c>
      <c r="H1878" s="25">
        <v>1950</v>
      </c>
      <c r="I1878" s="24">
        <v>60828.154999999999</v>
      </c>
      <c r="J1878" s="24">
        <v>48298.697999999997</v>
      </c>
      <c r="K1878" s="24">
        <v>45939.072</v>
      </c>
      <c r="L1878" s="24">
        <v>42626.356</v>
      </c>
      <c r="M1878" s="24">
        <v>37581.345999999998</v>
      </c>
      <c r="N1878" s="24">
        <v>32420.738000000001</v>
      </c>
      <c r="O1878" s="24">
        <v>30730.064999999999</v>
      </c>
      <c r="P1878" s="24">
        <v>27885.687000000002</v>
      </c>
      <c r="Q1878" s="24">
        <v>24074.093000000001</v>
      </c>
      <c r="R1878" s="24">
        <v>21261.712</v>
      </c>
      <c r="S1878" s="24">
        <v>17380.558000000001</v>
      </c>
      <c r="T1878" s="24">
        <v>14778.888000000001</v>
      </c>
      <c r="U1878" s="24">
        <v>11202.057000000001</v>
      </c>
      <c r="V1878" s="24">
        <v>7923.6239999999998</v>
      </c>
      <c r="W1878" s="24">
        <v>4428.4560000000001</v>
      </c>
      <c r="X1878" s="24">
        <v>2185.4380000000001</v>
      </c>
      <c r="Y1878" s="24">
        <v>681.07799999999997</v>
      </c>
      <c r="Z1878" s="24">
        <v>147.86000000000001</v>
      </c>
      <c r="AA1878" s="24">
        <v>27.439</v>
      </c>
      <c r="AB1878" s="24">
        <v>3.7069999999999999</v>
      </c>
      <c r="AC1878" s="24">
        <v>0.40600000000000003</v>
      </c>
    </row>
    <row r="1879" spans="1:29" ht="11.65" x14ac:dyDescent="0.35">
      <c r="A1879" s="28">
        <v>1862</v>
      </c>
      <c r="B1879" s="26" t="s">
        <v>1015</v>
      </c>
      <c r="C1879" s="27" t="s">
        <v>1148</v>
      </c>
      <c r="D1879" s="25"/>
      <c r="E1879" s="25">
        <v>1832</v>
      </c>
      <c r="F1879" s="26" t="s">
        <v>1063</v>
      </c>
      <c r="G1879" s="25">
        <v>1828</v>
      </c>
      <c r="H1879" s="25">
        <v>1955</v>
      </c>
      <c r="I1879" s="24">
        <v>77684.163</v>
      </c>
      <c r="J1879" s="24">
        <v>56662.072999999997</v>
      </c>
      <c r="K1879" s="24">
        <v>46810.224000000002</v>
      </c>
      <c r="L1879" s="24">
        <v>44816.635999999999</v>
      </c>
      <c r="M1879" s="24">
        <v>41387.508999999998</v>
      </c>
      <c r="N1879" s="24">
        <v>36349.9</v>
      </c>
      <c r="O1879" s="24">
        <v>31282.087</v>
      </c>
      <c r="P1879" s="24">
        <v>29473.85</v>
      </c>
      <c r="Q1879" s="24">
        <v>26369.81</v>
      </c>
      <c r="R1879" s="24">
        <v>22216.797999999999</v>
      </c>
      <c r="S1879" s="24">
        <v>19102.62</v>
      </c>
      <c r="T1879" s="24">
        <v>15062.2</v>
      </c>
      <c r="U1879" s="24">
        <v>11818.009</v>
      </c>
      <c r="V1879" s="24">
        <v>8031.5889999999999</v>
      </c>
      <c r="W1879" s="24">
        <v>4909.1419999999998</v>
      </c>
      <c r="X1879" s="24">
        <v>2183.7370000000001</v>
      </c>
      <c r="Y1879" s="24">
        <v>791.81899999999996</v>
      </c>
      <c r="Z1879" s="24">
        <v>168.42400000000001</v>
      </c>
      <c r="AA1879" s="24">
        <v>25.538</v>
      </c>
      <c r="AB1879" s="24">
        <v>3.266</v>
      </c>
      <c r="AC1879" s="24">
        <v>0.36199999999999999</v>
      </c>
    </row>
    <row r="1880" spans="1:29" ht="11.65" x14ac:dyDescent="0.35">
      <c r="A1880" s="28">
        <v>1863</v>
      </c>
      <c r="B1880" s="26" t="s">
        <v>1015</v>
      </c>
      <c r="C1880" s="27" t="s">
        <v>1148</v>
      </c>
      <c r="D1880" s="25"/>
      <c r="E1880" s="25">
        <v>1832</v>
      </c>
      <c r="F1880" s="26" t="s">
        <v>1063</v>
      </c>
      <c r="G1880" s="25">
        <v>1828</v>
      </c>
      <c r="H1880" s="25">
        <v>1960</v>
      </c>
      <c r="I1880" s="24">
        <v>77854.748999999996</v>
      </c>
      <c r="J1880" s="24">
        <v>73046.025999999998</v>
      </c>
      <c r="K1880" s="24">
        <v>55238.205999999998</v>
      </c>
      <c r="L1880" s="24">
        <v>45715.080999999998</v>
      </c>
      <c r="M1880" s="24">
        <v>43590.05</v>
      </c>
      <c r="N1880" s="24">
        <v>40326.313999999998</v>
      </c>
      <c r="O1880" s="24">
        <v>35324.6</v>
      </c>
      <c r="P1880" s="24">
        <v>30163.792000000001</v>
      </c>
      <c r="Q1880" s="24">
        <v>28021.817999999999</v>
      </c>
      <c r="R1880" s="24">
        <v>24545.105</v>
      </c>
      <c r="S1880" s="24">
        <v>20067.547999999999</v>
      </c>
      <c r="T1880" s="24">
        <v>16399.951000000001</v>
      </c>
      <c r="U1880" s="24">
        <v>11960.5</v>
      </c>
      <c r="V1880" s="24">
        <v>8445.0409999999993</v>
      </c>
      <c r="W1880" s="24">
        <v>4886.9229999999998</v>
      </c>
      <c r="X1880" s="24">
        <v>2271.23</v>
      </c>
      <c r="Y1880" s="24">
        <v>735.971</v>
      </c>
      <c r="Z1880" s="24">
        <v>172.58199999999999</v>
      </c>
      <c r="AA1880" s="24">
        <v>25.032</v>
      </c>
      <c r="AB1880" s="24">
        <v>2.7280000000000002</v>
      </c>
      <c r="AC1880" s="24">
        <v>0.30199999999999999</v>
      </c>
    </row>
    <row r="1881" spans="1:29" ht="11.65" x14ac:dyDescent="0.35">
      <c r="A1881" s="28">
        <v>1864</v>
      </c>
      <c r="B1881" s="26" t="s">
        <v>1015</v>
      </c>
      <c r="C1881" s="27" t="s">
        <v>1148</v>
      </c>
      <c r="D1881" s="25"/>
      <c r="E1881" s="25">
        <v>1832</v>
      </c>
      <c r="F1881" s="26" t="s">
        <v>1063</v>
      </c>
      <c r="G1881" s="25">
        <v>1828</v>
      </c>
      <c r="H1881" s="25">
        <v>1965</v>
      </c>
      <c r="I1881" s="24">
        <v>89259.275999999998</v>
      </c>
      <c r="J1881" s="24">
        <v>73280.790999999997</v>
      </c>
      <c r="K1881" s="24">
        <v>71145.335999999996</v>
      </c>
      <c r="L1881" s="24">
        <v>53996.351000000002</v>
      </c>
      <c r="M1881" s="24">
        <v>44482.718999999997</v>
      </c>
      <c r="N1881" s="24">
        <v>42415.084999999999</v>
      </c>
      <c r="O1881" s="24">
        <v>39152.091999999997</v>
      </c>
      <c r="P1881" s="24">
        <v>34102.445</v>
      </c>
      <c r="Q1881" s="24">
        <v>28733.940999999999</v>
      </c>
      <c r="R1881" s="24">
        <v>26130.188999999998</v>
      </c>
      <c r="S1881" s="24">
        <v>22228.742999999999</v>
      </c>
      <c r="T1881" s="24">
        <v>17306.613000000001</v>
      </c>
      <c r="U1881" s="24">
        <v>13139.007</v>
      </c>
      <c r="V1881" s="24">
        <v>8729.5889999999999</v>
      </c>
      <c r="W1881" s="24">
        <v>5272.9120000000003</v>
      </c>
      <c r="X1881" s="24">
        <v>2477.1840000000002</v>
      </c>
      <c r="Y1881" s="24">
        <v>885.23699999999997</v>
      </c>
      <c r="Z1881" s="24">
        <v>200.88800000000001</v>
      </c>
      <c r="AA1881" s="24">
        <v>33.317999999999998</v>
      </c>
      <c r="AB1881" s="24">
        <v>3.206</v>
      </c>
      <c r="AC1881" s="24">
        <v>0.28299999999999997</v>
      </c>
    </row>
    <row r="1882" spans="1:29" ht="11.65" x14ac:dyDescent="0.35">
      <c r="A1882" s="28">
        <v>1865</v>
      </c>
      <c r="B1882" s="26" t="s">
        <v>1015</v>
      </c>
      <c r="C1882" s="27" t="s">
        <v>1148</v>
      </c>
      <c r="D1882" s="25"/>
      <c r="E1882" s="25">
        <v>1832</v>
      </c>
      <c r="F1882" s="26" t="s">
        <v>1063</v>
      </c>
      <c r="G1882" s="25">
        <v>1828</v>
      </c>
      <c r="H1882" s="25">
        <v>1970</v>
      </c>
      <c r="I1882" s="24">
        <v>102806.431</v>
      </c>
      <c r="J1882" s="24">
        <v>85800.887000000002</v>
      </c>
      <c r="K1882" s="24">
        <v>72431.388999999996</v>
      </c>
      <c r="L1882" s="24">
        <v>70352.365000000005</v>
      </c>
      <c r="M1882" s="24">
        <v>53180.927000000003</v>
      </c>
      <c r="N1882" s="24">
        <v>43713.148999999998</v>
      </c>
      <c r="O1882" s="24">
        <v>41638.927000000003</v>
      </c>
      <c r="P1882" s="24">
        <v>38261.777999999998</v>
      </c>
      <c r="Q1882" s="24">
        <v>33059.31</v>
      </c>
      <c r="R1882" s="24">
        <v>27528.61</v>
      </c>
      <c r="S1882" s="24">
        <v>24602.174999999999</v>
      </c>
      <c r="T1882" s="24">
        <v>20341.072</v>
      </c>
      <c r="U1882" s="24">
        <v>15002.630999999999</v>
      </c>
      <c r="V1882" s="24">
        <v>10487.516</v>
      </c>
      <c r="W1882" s="24">
        <v>6279.7449999999999</v>
      </c>
      <c r="X1882" s="24">
        <v>3242.3919999999998</v>
      </c>
      <c r="Y1882" s="24">
        <v>1209.9639999999999</v>
      </c>
      <c r="Z1882" s="24">
        <v>294.76499999999999</v>
      </c>
      <c r="AA1882" s="24">
        <v>43.460999999999999</v>
      </c>
      <c r="AB1882" s="24">
        <v>4.6280000000000001</v>
      </c>
      <c r="AC1882" s="24">
        <v>0.318</v>
      </c>
    </row>
    <row r="1883" spans="1:29" ht="11.65" x14ac:dyDescent="0.35">
      <c r="A1883" s="28">
        <v>1866</v>
      </c>
      <c r="B1883" s="26" t="s">
        <v>1015</v>
      </c>
      <c r="C1883" s="27" t="s">
        <v>1148</v>
      </c>
      <c r="D1883" s="25"/>
      <c r="E1883" s="25">
        <v>1832</v>
      </c>
      <c r="F1883" s="26" t="s">
        <v>1063</v>
      </c>
      <c r="G1883" s="25">
        <v>1828</v>
      </c>
      <c r="H1883" s="25">
        <v>1975</v>
      </c>
      <c r="I1883" s="24">
        <v>101827.53599999999</v>
      </c>
      <c r="J1883" s="24">
        <v>100184.723</v>
      </c>
      <c r="K1883" s="24">
        <v>84888.373999999996</v>
      </c>
      <c r="L1883" s="24">
        <v>71733.025999999998</v>
      </c>
      <c r="M1883" s="24">
        <v>69588.759000000005</v>
      </c>
      <c r="N1883" s="24">
        <v>52505.373</v>
      </c>
      <c r="O1883" s="24">
        <v>43079.688999999998</v>
      </c>
      <c r="P1883" s="24">
        <v>40908.256999999998</v>
      </c>
      <c r="Q1883" s="24">
        <v>37381.756000000001</v>
      </c>
      <c r="R1883" s="24">
        <v>31973.862000000001</v>
      </c>
      <c r="S1883" s="24">
        <v>26159.361000000001</v>
      </c>
      <c r="T1883" s="24">
        <v>22727.777999999998</v>
      </c>
      <c r="U1883" s="24">
        <v>17908.59</v>
      </c>
      <c r="V1883" s="24">
        <v>12300.691999999999</v>
      </c>
      <c r="W1883" s="24">
        <v>7779.7979999999998</v>
      </c>
      <c r="X1883" s="24">
        <v>3968.9110000000001</v>
      </c>
      <c r="Y1883" s="24">
        <v>1616.9780000000001</v>
      </c>
      <c r="Z1883" s="24">
        <v>425.48099999999999</v>
      </c>
      <c r="AA1883" s="24">
        <v>67.504000000000005</v>
      </c>
      <c r="AB1883" s="24">
        <v>6.1230000000000002</v>
      </c>
      <c r="AC1883" s="24">
        <v>0.44500000000000001</v>
      </c>
    </row>
    <row r="1884" spans="1:29" ht="11.65" x14ac:dyDescent="0.35">
      <c r="A1884" s="28">
        <v>1867</v>
      </c>
      <c r="B1884" s="26" t="s">
        <v>1015</v>
      </c>
      <c r="C1884" s="27" t="s">
        <v>1148</v>
      </c>
      <c r="D1884" s="25"/>
      <c r="E1884" s="25">
        <v>1832</v>
      </c>
      <c r="F1884" s="26" t="s">
        <v>1063</v>
      </c>
      <c r="G1884" s="25">
        <v>1828</v>
      </c>
      <c r="H1884" s="25">
        <v>1980</v>
      </c>
      <c r="I1884" s="24">
        <v>87852.623000000007</v>
      </c>
      <c r="J1884" s="24">
        <v>99820.245999999999</v>
      </c>
      <c r="K1884" s="24">
        <v>99289.024999999994</v>
      </c>
      <c r="L1884" s="24">
        <v>84127.115000000005</v>
      </c>
      <c r="M1884" s="24">
        <v>70929.566999999995</v>
      </c>
      <c r="N1884" s="24">
        <v>68692.668999999994</v>
      </c>
      <c r="O1884" s="24">
        <v>51842.750999999997</v>
      </c>
      <c r="P1884" s="24">
        <v>42377.534</v>
      </c>
      <c r="Q1884" s="24">
        <v>40073.752999999997</v>
      </c>
      <c r="R1884" s="24">
        <v>36422.337</v>
      </c>
      <c r="S1884" s="24">
        <v>30747.498</v>
      </c>
      <c r="T1884" s="24">
        <v>24597.325000000001</v>
      </c>
      <c r="U1884" s="24">
        <v>20562.967000000001</v>
      </c>
      <c r="V1884" s="24">
        <v>15208.385</v>
      </c>
      <c r="W1884" s="24">
        <v>9473.5319999999992</v>
      </c>
      <c r="X1884" s="24">
        <v>5115.3119999999999</v>
      </c>
      <c r="Y1884" s="24">
        <v>2034.9860000000001</v>
      </c>
      <c r="Z1884" s="24">
        <v>582.01499999999999</v>
      </c>
      <c r="AA1884" s="24">
        <v>104.121</v>
      </c>
      <c r="AB1884" s="24">
        <v>10.468</v>
      </c>
      <c r="AC1884" s="24">
        <v>0.61899999999999999</v>
      </c>
    </row>
    <row r="1885" spans="1:29" ht="11.65" x14ac:dyDescent="0.35">
      <c r="A1885" s="28">
        <v>1868</v>
      </c>
      <c r="B1885" s="26" t="s">
        <v>1015</v>
      </c>
      <c r="C1885" s="27" t="s">
        <v>1148</v>
      </c>
      <c r="D1885" s="25"/>
      <c r="E1885" s="25">
        <v>1832</v>
      </c>
      <c r="F1885" s="26" t="s">
        <v>1063</v>
      </c>
      <c r="G1885" s="25">
        <v>1828</v>
      </c>
      <c r="H1885" s="25">
        <v>1985</v>
      </c>
      <c r="I1885" s="24">
        <v>90588.044999999998</v>
      </c>
      <c r="J1885" s="24">
        <v>86635.83</v>
      </c>
      <c r="K1885" s="24">
        <v>99190.425000000003</v>
      </c>
      <c r="L1885" s="24">
        <v>98715.425000000003</v>
      </c>
      <c r="M1885" s="24">
        <v>83367.39</v>
      </c>
      <c r="N1885" s="24">
        <v>70229.998000000007</v>
      </c>
      <c r="O1885" s="24">
        <v>67987.653999999995</v>
      </c>
      <c r="P1885" s="24">
        <v>51223.987999999998</v>
      </c>
      <c r="Q1885" s="24">
        <v>41687.843999999997</v>
      </c>
      <c r="R1885" s="24">
        <v>39143.313999999998</v>
      </c>
      <c r="S1885" s="24">
        <v>35131.480000000003</v>
      </c>
      <c r="T1885" s="24">
        <v>29050.221000000001</v>
      </c>
      <c r="U1885" s="24">
        <v>22435.002</v>
      </c>
      <c r="V1885" s="24">
        <v>17709.864000000001</v>
      </c>
      <c r="W1885" s="24">
        <v>11922.855</v>
      </c>
      <c r="X1885" s="24">
        <v>6362.6719999999996</v>
      </c>
      <c r="Y1885" s="24">
        <v>2721.877</v>
      </c>
      <c r="Z1885" s="24">
        <v>777.96299999999997</v>
      </c>
      <c r="AA1885" s="24">
        <v>153.285</v>
      </c>
      <c r="AB1885" s="24">
        <v>17.431000000000001</v>
      </c>
      <c r="AC1885" s="24">
        <v>1.085</v>
      </c>
    </row>
    <row r="1886" spans="1:29" ht="11.65" x14ac:dyDescent="0.35">
      <c r="A1886" s="28">
        <v>1869</v>
      </c>
      <c r="B1886" s="26" t="s">
        <v>1015</v>
      </c>
      <c r="C1886" s="27" t="s">
        <v>1148</v>
      </c>
      <c r="D1886" s="25"/>
      <c r="E1886" s="25">
        <v>1832</v>
      </c>
      <c r="F1886" s="26" t="s">
        <v>1063</v>
      </c>
      <c r="G1886" s="25">
        <v>1828</v>
      </c>
      <c r="H1886" s="25">
        <v>1990</v>
      </c>
      <c r="I1886" s="24">
        <v>105193.69</v>
      </c>
      <c r="J1886" s="24">
        <v>89533.342000000004</v>
      </c>
      <c r="K1886" s="24">
        <v>86231.547999999995</v>
      </c>
      <c r="L1886" s="24">
        <v>98607.081000000006</v>
      </c>
      <c r="M1886" s="24">
        <v>97766.407000000007</v>
      </c>
      <c r="N1886" s="24">
        <v>82564.877999999997</v>
      </c>
      <c r="O1886" s="24">
        <v>69632.108999999997</v>
      </c>
      <c r="P1886" s="24">
        <v>67305.293000000005</v>
      </c>
      <c r="Q1886" s="24">
        <v>50510.404000000002</v>
      </c>
      <c r="R1886" s="24">
        <v>40845.517</v>
      </c>
      <c r="S1886" s="24">
        <v>37934.303999999996</v>
      </c>
      <c r="T1886" s="24">
        <v>33409.576999999997</v>
      </c>
      <c r="U1886" s="24">
        <v>26748.269</v>
      </c>
      <c r="V1886" s="24">
        <v>19603.939999999999</v>
      </c>
      <c r="W1886" s="24">
        <v>14208.718999999999</v>
      </c>
      <c r="X1886" s="24">
        <v>8195.1530000000002</v>
      </c>
      <c r="Y1886" s="24">
        <v>3475.0569999999998</v>
      </c>
      <c r="Z1886" s="24">
        <v>1089.652</v>
      </c>
      <c r="AA1886" s="24">
        <v>218.892</v>
      </c>
      <c r="AB1886" s="24">
        <v>27.728000000000002</v>
      </c>
      <c r="AC1886" s="24">
        <v>1.931</v>
      </c>
    </row>
    <row r="1887" spans="1:29" ht="11.65" x14ac:dyDescent="0.35">
      <c r="A1887" s="28">
        <v>1870</v>
      </c>
      <c r="B1887" s="26" t="s">
        <v>1015</v>
      </c>
      <c r="C1887" s="27" t="s">
        <v>1148</v>
      </c>
      <c r="D1887" s="25"/>
      <c r="E1887" s="25">
        <v>1832</v>
      </c>
      <c r="F1887" s="26" t="s">
        <v>1063</v>
      </c>
      <c r="G1887" s="25">
        <v>1828</v>
      </c>
      <c r="H1887" s="25">
        <v>1995</v>
      </c>
      <c r="I1887" s="24">
        <v>89201.010999999999</v>
      </c>
      <c r="J1887" s="24">
        <v>104083.91499999999</v>
      </c>
      <c r="K1887" s="24">
        <v>89081.807000000001</v>
      </c>
      <c r="L1887" s="24">
        <v>85660.248000000007</v>
      </c>
      <c r="M1887" s="24">
        <v>97554.347999999998</v>
      </c>
      <c r="N1887" s="24">
        <v>96561.27</v>
      </c>
      <c r="O1887" s="24">
        <v>81578.201000000001</v>
      </c>
      <c r="P1887" s="24">
        <v>68751.660999999993</v>
      </c>
      <c r="Q1887" s="24">
        <v>66308.260999999999</v>
      </c>
      <c r="R1887" s="24">
        <v>49494.779000000002</v>
      </c>
      <c r="S1887" s="24">
        <v>39537.934999999998</v>
      </c>
      <c r="T1887" s="24">
        <v>36008.832999999999</v>
      </c>
      <c r="U1887" s="24">
        <v>30726.207999999999</v>
      </c>
      <c r="V1887" s="24">
        <v>23317.493999999999</v>
      </c>
      <c r="W1887" s="24">
        <v>15564.186</v>
      </c>
      <c r="X1887" s="24">
        <v>9751.5560000000005</v>
      </c>
      <c r="Y1887" s="24">
        <v>4628.1639999999998</v>
      </c>
      <c r="Z1887" s="24">
        <v>1471.2070000000001</v>
      </c>
      <c r="AA1887" s="24">
        <v>316.488</v>
      </c>
      <c r="AB1887" s="24">
        <v>40.930999999999997</v>
      </c>
      <c r="AC1887" s="24">
        <v>3.2120000000000002</v>
      </c>
    </row>
    <row r="1888" spans="1:29" ht="11.65" x14ac:dyDescent="0.35">
      <c r="A1888" s="28">
        <v>1871</v>
      </c>
      <c r="B1888" s="26" t="s">
        <v>1015</v>
      </c>
      <c r="C1888" s="27" t="s">
        <v>1148</v>
      </c>
      <c r="D1888" s="25"/>
      <c r="E1888" s="25">
        <v>1832</v>
      </c>
      <c r="F1888" s="26" t="s">
        <v>1063</v>
      </c>
      <c r="G1888" s="25">
        <v>1828</v>
      </c>
      <c r="H1888" s="25">
        <v>2000</v>
      </c>
      <c r="I1888" s="24">
        <v>81772.558999999994</v>
      </c>
      <c r="J1888" s="24">
        <v>88454.929000000004</v>
      </c>
      <c r="K1888" s="24">
        <v>103701.82399999999</v>
      </c>
      <c r="L1888" s="24">
        <v>88627.248999999996</v>
      </c>
      <c r="M1888" s="24">
        <v>84464.792000000001</v>
      </c>
      <c r="N1888" s="24">
        <v>96385.805999999997</v>
      </c>
      <c r="O1888" s="24">
        <v>95646.144</v>
      </c>
      <c r="P1888" s="24">
        <v>80911.694000000003</v>
      </c>
      <c r="Q1888" s="24">
        <v>68061.213000000003</v>
      </c>
      <c r="R1888" s="24">
        <v>65267.59</v>
      </c>
      <c r="S1888" s="24">
        <v>48109.347000000002</v>
      </c>
      <c r="T1888" s="24">
        <v>37634.192999999999</v>
      </c>
      <c r="U1888" s="24">
        <v>33292.237000000001</v>
      </c>
      <c r="V1888" s="24">
        <v>26978.154999999999</v>
      </c>
      <c r="W1888" s="24">
        <v>18724.327000000001</v>
      </c>
      <c r="X1888" s="24">
        <v>10839.334999999999</v>
      </c>
      <c r="Y1888" s="24">
        <v>5593.9870000000001</v>
      </c>
      <c r="Z1888" s="24">
        <v>2057.7020000000002</v>
      </c>
      <c r="AA1888" s="24">
        <v>463.09800000000001</v>
      </c>
      <c r="AB1888" s="24">
        <v>65.73</v>
      </c>
      <c r="AC1888" s="24">
        <v>5.3239999999999998</v>
      </c>
    </row>
    <row r="1889" spans="1:29" ht="11.65" x14ac:dyDescent="0.35">
      <c r="A1889" s="28">
        <v>1872</v>
      </c>
      <c r="B1889" s="26" t="s">
        <v>1015</v>
      </c>
      <c r="C1889" s="27" t="s">
        <v>1148</v>
      </c>
      <c r="D1889" s="25"/>
      <c r="E1889" s="25">
        <v>1832</v>
      </c>
      <c r="F1889" s="26" t="s">
        <v>1063</v>
      </c>
      <c r="G1889" s="25">
        <v>1828</v>
      </c>
      <c r="H1889" s="25">
        <v>2005</v>
      </c>
      <c r="I1889" s="24">
        <v>78842.191999999995</v>
      </c>
      <c r="J1889" s="24">
        <v>82061.731</v>
      </c>
      <c r="K1889" s="24">
        <v>88666.801999999996</v>
      </c>
      <c r="L1889" s="24">
        <v>103163.163</v>
      </c>
      <c r="M1889" s="24">
        <v>86944.69</v>
      </c>
      <c r="N1889" s="24">
        <v>83335.277000000002</v>
      </c>
      <c r="O1889" s="24">
        <v>95204.243000000002</v>
      </c>
      <c r="P1889" s="24">
        <v>94474.782999999996</v>
      </c>
      <c r="Q1889" s="24">
        <v>79594.87</v>
      </c>
      <c r="R1889" s="24">
        <v>66426.683000000005</v>
      </c>
      <c r="S1889" s="24">
        <v>63480.133000000002</v>
      </c>
      <c r="T1889" s="24">
        <v>46475.067000000003</v>
      </c>
      <c r="U1889" s="24">
        <v>35157.14</v>
      </c>
      <c r="V1889" s="24">
        <v>29447.875</v>
      </c>
      <c r="W1889" s="24">
        <v>22006.98</v>
      </c>
      <c r="X1889" s="24">
        <v>13266.508</v>
      </c>
      <c r="Y1889" s="24">
        <v>6454.9849999999997</v>
      </c>
      <c r="Z1889" s="24">
        <v>2574.0329999999999</v>
      </c>
      <c r="AA1889" s="24">
        <v>674.53399999999999</v>
      </c>
      <c r="AB1889" s="24">
        <v>101.77200000000001</v>
      </c>
      <c r="AC1889" s="24">
        <v>9.1980000000000004</v>
      </c>
    </row>
    <row r="1890" spans="1:29" ht="11.65" x14ac:dyDescent="0.35">
      <c r="A1890" s="28">
        <v>1873</v>
      </c>
      <c r="B1890" s="26" t="s">
        <v>1015</v>
      </c>
      <c r="C1890" s="27" t="s">
        <v>1148</v>
      </c>
      <c r="D1890" s="25"/>
      <c r="E1890" s="25">
        <v>1832</v>
      </c>
      <c r="F1890" s="26" t="s">
        <v>1063</v>
      </c>
      <c r="G1890" s="25">
        <v>1828</v>
      </c>
      <c r="H1890" s="25">
        <v>2010</v>
      </c>
      <c r="I1890" s="24">
        <v>79886.489000000001</v>
      </c>
      <c r="J1890" s="24">
        <v>78940.31</v>
      </c>
      <c r="K1890" s="24">
        <v>81985.195999999996</v>
      </c>
      <c r="L1890" s="24">
        <v>87555.377999999997</v>
      </c>
      <c r="M1890" s="24">
        <v>100785.856</v>
      </c>
      <c r="N1890" s="24">
        <v>86268.107000000004</v>
      </c>
      <c r="O1890" s="24">
        <v>82403.191000000006</v>
      </c>
      <c r="P1890" s="24">
        <v>94573.566999999995</v>
      </c>
      <c r="Q1890" s="24">
        <v>93678.293999999994</v>
      </c>
      <c r="R1890" s="24">
        <v>78564.009000000005</v>
      </c>
      <c r="S1890" s="24">
        <v>65224.733</v>
      </c>
      <c r="T1890" s="24">
        <v>61174.279000000002</v>
      </c>
      <c r="U1890" s="24">
        <v>43284.51</v>
      </c>
      <c r="V1890" s="24">
        <v>31279.744999999999</v>
      </c>
      <c r="W1890" s="24">
        <v>24284.724999999999</v>
      </c>
      <c r="X1890" s="24">
        <v>15792.848</v>
      </c>
      <c r="Y1890" s="24">
        <v>8163.549</v>
      </c>
      <c r="Z1890" s="24">
        <v>3104.5309999999999</v>
      </c>
      <c r="AA1890" s="24">
        <v>871.40300000000002</v>
      </c>
      <c r="AB1890" s="24">
        <v>154.495</v>
      </c>
      <c r="AC1890" s="24">
        <v>15.178000000000001</v>
      </c>
    </row>
    <row r="1891" spans="1:29" ht="11.65" x14ac:dyDescent="0.35">
      <c r="A1891" s="28">
        <v>1874</v>
      </c>
      <c r="B1891" s="26" t="s">
        <v>1015</v>
      </c>
      <c r="C1891" s="27" t="s">
        <v>1148</v>
      </c>
      <c r="D1891" s="25"/>
      <c r="E1891" s="25">
        <v>1832</v>
      </c>
      <c r="F1891" s="26" t="s">
        <v>1063</v>
      </c>
      <c r="G1891" s="25">
        <v>1828</v>
      </c>
      <c r="H1891" s="25">
        <v>2015</v>
      </c>
      <c r="I1891" s="24">
        <v>81595.644</v>
      </c>
      <c r="J1891" s="24">
        <v>79628.942999999999</v>
      </c>
      <c r="K1891" s="24">
        <v>78776.614000000001</v>
      </c>
      <c r="L1891" s="24">
        <v>81807.482000000004</v>
      </c>
      <c r="M1891" s="24">
        <v>86893.804999999993</v>
      </c>
      <c r="N1891" s="24">
        <v>99960.532999999996</v>
      </c>
      <c r="O1891" s="24">
        <v>85451.084000000003</v>
      </c>
      <c r="P1891" s="24">
        <v>81634.820999999996</v>
      </c>
      <c r="Q1891" s="24">
        <v>93541.399000000005</v>
      </c>
      <c r="R1891" s="24">
        <v>92271.841</v>
      </c>
      <c r="S1891" s="24">
        <v>76785.322</v>
      </c>
      <c r="T1891" s="24">
        <v>62754.463000000003</v>
      </c>
      <c r="U1891" s="24">
        <v>57457.271000000001</v>
      </c>
      <c r="V1891" s="24">
        <v>38804.936999999998</v>
      </c>
      <c r="W1891" s="24">
        <v>26083.867999999999</v>
      </c>
      <c r="X1891" s="24">
        <v>17848.069</v>
      </c>
      <c r="Y1891" s="24">
        <v>9898.0840000000007</v>
      </c>
      <c r="Z1891" s="24">
        <v>4103.0110000000004</v>
      </c>
      <c r="AA1891" s="24">
        <v>1119.73</v>
      </c>
      <c r="AB1891" s="24">
        <v>208.559</v>
      </c>
      <c r="AC1891" s="24">
        <v>23.594999999999999</v>
      </c>
    </row>
    <row r="1892" spans="1:29" ht="11.65" x14ac:dyDescent="0.35">
      <c r="A1892" s="28">
        <v>1875</v>
      </c>
      <c r="B1892" s="26" t="s">
        <v>1015</v>
      </c>
      <c r="C1892" s="27" t="s">
        <v>1148</v>
      </c>
      <c r="D1892" s="25"/>
      <c r="E1892" s="25">
        <v>1832</v>
      </c>
      <c r="F1892" s="26" t="s">
        <v>1063</v>
      </c>
      <c r="G1892" s="25">
        <v>1828</v>
      </c>
      <c r="H1892" s="25">
        <v>2020</v>
      </c>
      <c r="I1892" s="24">
        <v>78445.801999999996</v>
      </c>
      <c r="J1892" s="24">
        <v>81312.535999999993</v>
      </c>
      <c r="K1892" s="24">
        <v>79426.870999999999</v>
      </c>
      <c r="L1892" s="24">
        <v>78434.963000000003</v>
      </c>
      <c r="M1892" s="24">
        <v>81163.668999999994</v>
      </c>
      <c r="N1892" s="24">
        <v>86142.506999999998</v>
      </c>
      <c r="O1892" s="24">
        <v>99183.868000000002</v>
      </c>
      <c r="P1892" s="24">
        <v>84709.922000000006</v>
      </c>
      <c r="Q1892" s="24">
        <v>80753.721000000005</v>
      </c>
      <c r="R1892" s="24">
        <v>92216.357999999993</v>
      </c>
      <c r="S1892" s="24">
        <v>90314.27</v>
      </c>
      <c r="T1892" s="24">
        <v>74168.960999999996</v>
      </c>
      <c r="U1892" s="24">
        <v>59234.218000000001</v>
      </c>
      <c r="V1892" s="24">
        <v>52174.841999999997</v>
      </c>
      <c r="W1892" s="24">
        <v>32968.03</v>
      </c>
      <c r="X1892" s="24">
        <v>19835.621999999999</v>
      </c>
      <c r="Y1892" s="24">
        <v>11690.478999999999</v>
      </c>
      <c r="Z1892" s="24">
        <v>5285.5330000000004</v>
      </c>
      <c r="AA1892" s="24">
        <v>1612.2249999999999</v>
      </c>
      <c r="AB1892" s="24">
        <v>297.54300000000001</v>
      </c>
      <c r="AC1892" s="24">
        <v>35.503</v>
      </c>
    </row>
    <row r="1893" spans="1:29" ht="11.65" x14ac:dyDescent="0.35">
      <c r="A1893" s="23">
        <v>1876</v>
      </c>
      <c r="B1893" s="21" t="s">
        <v>1015</v>
      </c>
      <c r="C1893" s="29" t="s">
        <v>1149</v>
      </c>
      <c r="D1893" s="20"/>
      <c r="E1893" s="20">
        <v>906</v>
      </c>
      <c r="F1893" s="21" t="s">
        <v>1065</v>
      </c>
      <c r="G1893" s="20">
        <v>1832</v>
      </c>
      <c r="H1893" s="20">
        <v>1950</v>
      </c>
      <c r="I1893" s="19">
        <v>48614.421999999999</v>
      </c>
      <c r="J1893" s="19">
        <v>38152.803</v>
      </c>
      <c r="K1893" s="19">
        <v>36438.915000000001</v>
      </c>
      <c r="L1893" s="19">
        <v>33967.194000000003</v>
      </c>
      <c r="M1893" s="19">
        <v>30109.5</v>
      </c>
      <c r="N1893" s="19">
        <v>26072.16</v>
      </c>
      <c r="O1893" s="19">
        <v>25246.366999999998</v>
      </c>
      <c r="P1893" s="19">
        <v>22888.571</v>
      </c>
      <c r="Q1893" s="19">
        <v>19763.795999999998</v>
      </c>
      <c r="R1893" s="19">
        <v>17718.137999999999</v>
      </c>
      <c r="S1893" s="19">
        <v>14597.627</v>
      </c>
      <c r="T1893" s="19">
        <v>12582.291999999999</v>
      </c>
      <c r="U1893" s="19">
        <v>9463.9979999999996</v>
      </c>
      <c r="V1893" s="19">
        <v>6653.2839999999997</v>
      </c>
      <c r="W1893" s="19">
        <v>3585.3539999999998</v>
      </c>
      <c r="X1893" s="19">
        <v>1718.9939999999999</v>
      </c>
      <c r="Y1893" s="19">
        <v>506.47</v>
      </c>
      <c r="Z1893" s="19">
        <v>91.765000000000001</v>
      </c>
      <c r="AA1893" s="19">
        <v>15.031000000000001</v>
      </c>
      <c r="AB1893" s="19">
        <v>1.8129999999999999</v>
      </c>
      <c r="AC1893" s="19">
        <v>0.18</v>
      </c>
    </row>
    <row r="1894" spans="1:29" ht="11.65" x14ac:dyDescent="0.35">
      <c r="A1894" s="23">
        <v>1877</v>
      </c>
      <c r="B1894" s="21" t="s">
        <v>1015</v>
      </c>
      <c r="C1894" s="29" t="s">
        <v>1149</v>
      </c>
      <c r="D1894" s="20"/>
      <c r="E1894" s="20">
        <v>906</v>
      </c>
      <c r="F1894" s="21" t="s">
        <v>1065</v>
      </c>
      <c r="G1894" s="20">
        <v>1832</v>
      </c>
      <c r="H1894" s="20">
        <v>1955</v>
      </c>
      <c r="I1894" s="19">
        <v>61953.972000000002</v>
      </c>
      <c r="J1894" s="19">
        <v>45307.739000000001</v>
      </c>
      <c r="K1894" s="19">
        <v>36909.410000000003</v>
      </c>
      <c r="L1894" s="19">
        <v>35477.148999999998</v>
      </c>
      <c r="M1894" s="19">
        <v>32924.269999999997</v>
      </c>
      <c r="N1894" s="19">
        <v>29103.907999999999</v>
      </c>
      <c r="O1894" s="19">
        <v>25153.028999999999</v>
      </c>
      <c r="P1894" s="19">
        <v>24217.723999999998</v>
      </c>
      <c r="Q1894" s="19">
        <v>21623.721000000001</v>
      </c>
      <c r="R1894" s="19">
        <v>18171.842000000001</v>
      </c>
      <c r="S1894" s="19">
        <v>15838.587</v>
      </c>
      <c r="T1894" s="19">
        <v>12563.210999999999</v>
      </c>
      <c r="U1894" s="19">
        <v>9941.1209999999992</v>
      </c>
      <c r="V1894" s="19">
        <v>6664.7529999999997</v>
      </c>
      <c r="W1894" s="19">
        <v>4015.3890000000001</v>
      </c>
      <c r="X1894" s="19">
        <v>1684.1469999999999</v>
      </c>
      <c r="Y1894" s="19">
        <v>578.54700000000003</v>
      </c>
      <c r="Z1894" s="19">
        <v>121.23699999999999</v>
      </c>
      <c r="AA1894" s="19">
        <v>15.32</v>
      </c>
      <c r="AB1894" s="19">
        <v>1.6539999999999999</v>
      </c>
      <c r="AC1894" s="19">
        <v>0.14799999999999999</v>
      </c>
    </row>
    <row r="1895" spans="1:29" ht="11.65" x14ac:dyDescent="0.35">
      <c r="A1895" s="23">
        <v>1878</v>
      </c>
      <c r="B1895" s="21" t="s">
        <v>1015</v>
      </c>
      <c r="C1895" s="29" t="s">
        <v>1149</v>
      </c>
      <c r="D1895" s="20"/>
      <c r="E1895" s="20">
        <v>906</v>
      </c>
      <c r="F1895" s="21" t="s">
        <v>1065</v>
      </c>
      <c r="G1895" s="20">
        <v>1832</v>
      </c>
      <c r="H1895" s="20">
        <v>1960</v>
      </c>
      <c r="I1895" s="19">
        <v>58889.038</v>
      </c>
      <c r="J1895" s="19">
        <v>58180.951999999997</v>
      </c>
      <c r="K1895" s="19">
        <v>44124.307999999997</v>
      </c>
      <c r="L1895" s="19">
        <v>35968.582000000002</v>
      </c>
      <c r="M1895" s="19">
        <v>34448.512000000002</v>
      </c>
      <c r="N1895" s="19">
        <v>32092.672999999999</v>
      </c>
      <c r="O1895" s="19">
        <v>28308.544000000002</v>
      </c>
      <c r="P1895" s="19">
        <v>24271.361000000001</v>
      </c>
      <c r="Q1895" s="19">
        <v>23019.43</v>
      </c>
      <c r="R1895" s="19">
        <v>20082.992999999999</v>
      </c>
      <c r="S1895" s="19">
        <v>16331.977999999999</v>
      </c>
      <c r="T1895" s="19">
        <v>13461.964</v>
      </c>
      <c r="U1895" s="19">
        <v>9812.4539999999997</v>
      </c>
      <c r="V1895" s="19">
        <v>6950.2120000000004</v>
      </c>
      <c r="W1895" s="19">
        <v>3909.6610000000001</v>
      </c>
      <c r="X1895" s="19">
        <v>1727.2539999999999</v>
      </c>
      <c r="Y1895" s="19">
        <v>497.63099999999997</v>
      </c>
      <c r="Z1895" s="19">
        <v>110.797</v>
      </c>
      <c r="AA1895" s="19">
        <v>15.670999999999999</v>
      </c>
      <c r="AB1895" s="19">
        <v>1.2669999999999999</v>
      </c>
      <c r="AC1895" s="19">
        <v>0.105</v>
      </c>
    </row>
    <row r="1896" spans="1:29" ht="11.65" x14ac:dyDescent="0.35">
      <c r="A1896" s="23">
        <v>1879</v>
      </c>
      <c r="B1896" s="21" t="s">
        <v>1015</v>
      </c>
      <c r="C1896" s="29" t="s">
        <v>1149</v>
      </c>
      <c r="D1896" s="20"/>
      <c r="E1896" s="20">
        <v>906</v>
      </c>
      <c r="F1896" s="21" t="s">
        <v>1065</v>
      </c>
      <c r="G1896" s="20">
        <v>1832</v>
      </c>
      <c r="H1896" s="20">
        <v>1965</v>
      </c>
      <c r="I1896" s="19">
        <v>67654.178</v>
      </c>
      <c r="J1896" s="19">
        <v>55165.406999999999</v>
      </c>
      <c r="K1896" s="19">
        <v>56552.228000000003</v>
      </c>
      <c r="L1896" s="19">
        <v>43040.182999999997</v>
      </c>
      <c r="M1896" s="19">
        <v>34944.620999999999</v>
      </c>
      <c r="N1896" s="19">
        <v>33516.269999999997</v>
      </c>
      <c r="O1896" s="19">
        <v>31168.643</v>
      </c>
      <c r="P1896" s="19">
        <v>27343.046999999999</v>
      </c>
      <c r="Q1896" s="19">
        <v>23112.473000000002</v>
      </c>
      <c r="R1896" s="19">
        <v>21416.348999999998</v>
      </c>
      <c r="S1896" s="19">
        <v>18091.162</v>
      </c>
      <c r="T1896" s="19">
        <v>13930.328</v>
      </c>
      <c r="U1896" s="19">
        <v>10593.316999999999</v>
      </c>
      <c r="V1896" s="19">
        <v>6997.6469999999999</v>
      </c>
      <c r="W1896" s="19">
        <v>4189.1559999999999</v>
      </c>
      <c r="X1896" s="19">
        <v>1872.7940000000001</v>
      </c>
      <c r="Y1896" s="19">
        <v>619.80399999999997</v>
      </c>
      <c r="Z1896" s="19">
        <v>129.47499999999999</v>
      </c>
      <c r="AA1896" s="19">
        <v>20.414999999999999</v>
      </c>
      <c r="AB1896" s="19">
        <v>1.8009999999999999</v>
      </c>
      <c r="AC1896" s="19">
        <v>9.8000000000000004E-2</v>
      </c>
    </row>
    <row r="1897" spans="1:29" ht="11.65" x14ac:dyDescent="0.35">
      <c r="A1897" s="23">
        <v>1880</v>
      </c>
      <c r="B1897" s="21" t="s">
        <v>1015</v>
      </c>
      <c r="C1897" s="29" t="s">
        <v>1149</v>
      </c>
      <c r="D1897" s="20"/>
      <c r="E1897" s="20">
        <v>906</v>
      </c>
      <c r="F1897" s="21" t="s">
        <v>1065</v>
      </c>
      <c r="G1897" s="20">
        <v>1832</v>
      </c>
      <c r="H1897" s="20">
        <v>1970</v>
      </c>
      <c r="I1897" s="19">
        <v>78929.858999999997</v>
      </c>
      <c r="J1897" s="19">
        <v>65030.849000000002</v>
      </c>
      <c r="K1897" s="19">
        <v>54663.415999999997</v>
      </c>
      <c r="L1897" s="19">
        <v>56006.195</v>
      </c>
      <c r="M1897" s="19">
        <v>42466.531000000003</v>
      </c>
      <c r="N1897" s="19">
        <v>34434.790999999997</v>
      </c>
      <c r="O1897" s="19">
        <v>33007.137000000002</v>
      </c>
      <c r="P1897" s="19">
        <v>30564.455999999998</v>
      </c>
      <c r="Q1897" s="19">
        <v>26594.768</v>
      </c>
      <c r="R1897" s="19">
        <v>22215.670999999998</v>
      </c>
      <c r="S1897" s="19">
        <v>20224.489000000001</v>
      </c>
      <c r="T1897" s="19">
        <v>16593.05</v>
      </c>
      <c r="U1897" s="19">
        <v>12070.036</v>
      </c>
      <c r="V1897" s="19">
        <v>8423.6450000000004</v>
      </c>
      <c r="W1897" s="19">
        <v>5011.4380000000001</v>
      </c>
      <c r="X1897" s="19">
        <v>2563.893</v>
      </c>
      <c r="Y1897" s="19">
        <v>910.77200000000005</v>
      </c>
      <c r="Z1897" s="19">
        <v>210.98699999999999</v>
      </c>
      <c r="AA1897" s="19">
        <v>28.265999999999998</v>
      </c>
      <c r="AB1897" s="19">
        <v>2.633</v>
      </c>
      <c r="AC1897" s="19">
        <v>0.13700000000000001</v>
      </c>
    </row>
    <row r="1898" spans="1:29" ht="11.65" x14ac:dyDescent="0.35">
      <c r="A1898" s="23">
        <v>1881</v>
      </c>
      <c r="B1898" s="21" t="s">
        <v>1015</v>
      </c>
      <c r="C1898" s="29" t="s">
        <v>1149</v>
      </c>
      <c r="D1898" s="20"/>
      <c r="E1898" s="20">
        <v>906</v>
      </c>
      <c r="F1898" s="21" t="s">
        <v>1065</v>
      </c>
      <c r="G1898" s="20">
        <v>1832</v>
      </c>
      <c r="H1898" s="20">
        <v>1975</v>
      </c>
      <c r="I1898" s="19">
        <v>76169.850000000006</v>
      </c>
      <c r="J1898" s="19">
        <v>77087.307000000001</v>
      </c>
      <c r="K1898" s="19">
        <v>64497.241000000002</v>
      </c>
      <c r="L1898" s="19">
        <v>54246.815999999999</v>
      </c>
      <c r="M1898" s="19">
        <v>55500.330999999998</v>
      </c>
      <c r="N1898" s="19">
        <v>42031.084000000003</v>
      </c>
      <c r="O1898" s="19">
        <v>34058.71</v>
      </c>
      <c r="P1898" s="19">
        <v>32559.575000000001</v>
      </c>
      <c r="Q1898" s="19">
        <v>30006.732</v>
      </c>
      <c r="R1898" s="19">
        <v>25859.708999999999</v>
      </c>
      <c r="S1898" s="19">
        <v>21225.788</v>
      </c>
      <c r="T1898" s="19">
        <v>18772.642</v>
      </c>
      <c r="U1898" s="19">
        <v>14675.082</v>
      </c>
      <c r="V1898" s="19">
        <v>9945.8760000000002</v>
      </c>
      <c r="W1898" s="19">
        <v>6295.12</v>
      </c>
      <c r="X1898" s="19">
        <v>3186.7370000000001</v>
      </c>
      <c r="Y1898" s="19">
        <v>1284.739</v>
      </c>
      <c r="Z1898" s="19">
        <v>331.37400000000002</v>
      </c>
      <c r="AA1898" s="19">
        <v>49.645000000000003</v>
      </c>
      <c r="AB1898" s="19">
        <v>3.9159999999999999</v>
      </c>
      <c r="AC1898" s="19">
        <v>0.20599999999999999</v>
      </c>
    </row>
    <row r="1899" spans="1:29" ht="11.65" x14ac:dyDescent="0.35">
      <c r="A1899" s="23">
        <v>1882</v>
      </c>
      <c r="B1899" s="21" t="s">
        <v>1015</v>
      </c>
      <c r="C1899" s="29" t="s">
        <v>1149</v>
      </c>
      <c r="D1899" s="20"/>
      <c r="E1899" s="20">
        <v>906</v>
      </c>
      <c r="F1899" s="21" t="s">
        <v>1065</v>
      </c>
      <c r="G1899" s="20">
        <v>1832</v>
      </c>
      <c r="H1899" s="20">
        <v>1980</v>
      </c>
      <c r="I1899" s="19">
        <v>61066.417999999998</v>
      </c>
      <c r="J1899" s="19">
        <v>74942.212</v>
      </c>
      <c r="K1899" s="19">
        <v>76594.561000000002</v>
      </c>
      <c r="L1899" s="19">
        <v>64155.228000000003</v>
      </c>
      <c r="M1899" s="19">
        <v>53914.648000000001</v>
      </c>
      <c r="N1899" s="19">
        <v>55079.042999999998</v>
      </c>
      <c r="O1899" s="19">
        <v>41788.824000000001</v>
      </c>
      <c r="P1899" s="19">
        <v>33734.847000000002</v>
      </c>
      <c r="Q1899" s="19">
        <v>32095.977999999999</v>
      </c>
      <c r="R1899" s="19">
        <v>29436.407999999999</v>
      </c>
      <c r="S1899" s="19">
        <v>25047.258000000002</v>
      </c>
      <c r="T1899" s="19">
        <v>20108.972000000002</v>
      </c>
      <c r="U1899" s="19">
        <v>17105.509999999998</v>
      </c>
      <c r="V1899" s="19">
        <v>12552.472</v>
      </c>
      <c r="W1899" s="19">
        <v>7711.3429999999998</v>
      </c>
      <c r="X1899" s="19">
        <v>4149.7659999999996</v>
      </c>
      <c r="Y1899" s="19">
        <v>1624.9960000000001</v>
      </c>
      <c r="Z1899" s="19">
        <v>463.58600000000001</v>
      </c>
      <c r="AA1899" s="19">
        <v>81.075999999999993</v>
      </c>
      <c r="AB1899" s="19">
        <v>7.4109999999999996</v>
      </c>
      <c r="AC1899" s="19">
        <v>0.33500000000000002</v>
      </c>
    </row>
    <row r="1900" spans="1:29" ht="11.65" x14ac:dyDescent="0.35">
      <c r="A1900" s="23">
        <v>1883</v>
      </c>
      <c r="B1900" s="21" t="s">
        <v>1015</v>
      </c>
      <c r="C1900" s="29" t="s">
        <v>1149</v>
      </c>
      <c r="D1900" s="20"/>
      <c r="E1900" s="20">
        <v>906</v>
      </c>
      <c r="F1900" s="21" t="s">
        <v>1065</v>
      </c>
      <c r="G1900" s="20">
        <v>1832</v>
      </c>
      <c r="H1900" s="20">
        <v>1985</v>
      </c>
      <c r="I1900" s="19">
        <v>62163.68</v>
      </c>
      <c r="J1900" s="19">
        <v>60406.921999999999</v>
      </c>
      <c r="K1900" s="19">
        <v>74591.460999999996</v>
      </c>
      <c r="L1900" s="19">
        <v>76307.600000000006</v>
      </c>
      <c r="M1900" s="19">
        <v>63778.415000000001</v>
      </c>
      <c r="N1900" s="19">
        <v>53583.845000000001</v>
      </c>
      <c r="O1900" s="19">
        <v>54678.483</v>
      </c>
      <c r="P1900" s="19">
        <v>41428.03</v>
      </c>
      <c r="Q1900" s="19">
        <v>33312.942000000003</v>
      </c>
      <c r="R1900" s="19">
        <v>31484.261999999999</v>
      </c>
      <c r="S1900" s="19">
        <v>28524.772000000001</v>
      </c>
      <c r="T1900" s="19">
        <v>23782.544000000002</v>
      </c>
      <c r="U1900" s="19">
        <v>18448.437999999998</v>
      </c>
      <c r="V1900" s="19">
        <v>14824.974</v>
      </c>
      <c r="W1900" s="19">
        <v>9895.6450000000004</v>
      </c>
      <c r="X1900" s="19">
        <v>5185.424</v>
      </c>
      <c r="Y1900" s="19">
        <v>2196.607</v>
      </c>
      <c r="Z1900" s="19">
        <v>623.06600000000003</v>
      </c>
      <c r="AA1900" s="19">
        <v>122.098</v>
      </c>
      <c r="AB1900" s="19">
        <v>13.308999999999999</v>
      </c>
      <c r="AC1900" s="19">
        <v>0.69</v>
      </c>
    </row>
    <row r="1901" spans="1:29" ht="11.65" x14ac:dyDescent="0.35">
      <c r="A1901" s="23">
        <v>1884</v>
      </c>
      <c r="B1901" s="21" t="s">
        <v>1015</v>
      </c>
      <c r="C1901" s="29" t="s">
        <v>1149</v>
      </c>
      <c r="D1901" s="20"/>
      <c r="E1901" s="20">
        <v>906</v>
      </c>
      <c r="F1901" s="21" t="s">
        <v>1065</v>
      </c>
      <c r="G1901" s="20">
        <v>1832</v>
      </c>
      <c r="H1901" s="20">
        <v>1990</v>
      </c>
      <c r="I1901" s="19">
        <v>76219.323000000004</v>
      </c>
      <c r="J1901" s="19">
        <v>61539.163</v>
      </c>
      <c r="K1901" s="19">
        <v>60197.366000000002</v>
      </c>
      <c r="L1901" s="19">
        <v>74268.164999999994</v>
      </c>
      <c r="M1901" s="19">
        <v>75782.869000000006</v>
      </c>
      <c r="N1901" s="19">
        <v>63342.154000000002</v>
      </c>
      <c r="O1901" s="19">
        <v>53243.326999999997</v>
      </c>
      <c r="P1901" s="19">
        <v>54208.504000000001</v>
      </c>
      <c r="Q1901" s="19">
        <v>40930.637999999999</v>
      </c>
      <c r="R1901" s="19">
        <v>32739.437000000002</v>
      </c>
      <c r="S1901" s="19">
        <v>30640.883000000002</v>
      </c>
      <c r="T1901" s="19">
        <v>27250.971000000001</v>
      </c>
      <c r="U1901" s="19">
        <v>22001.932000000001</v>
      </c>
      <c r="V1901" s="19">
        <v>16228.531000000001</v>
      </c>
      <c r="W1901" s="19">
        <v>11976.907999999999</v>
      </c>
      <c r="X1901" s="19">
        <v>6813.098</v>
      </c>
      <c r="Y1901" s="19">
        <v>2821.9079999999999</v>
      </c>
      <c r="Z1901" s="19">
        <v>880.34699999999998</v>
      </c>
      <c r="AA1901" s="19">
        <v>173.995</v>
      </c>
      <c r="AB1901" s="19">
        <v>21.382000000000001</v>
      </c>
      <c r="AC1901" s="19">
        <v>1.3240000000000001</v>
      </c>
    </row>
    <row r="1902" spans="1:29" ht="11.65" x14ac:dyDescent="0.35">
      <c r="A1902" s="23">
        <v>1885</v>
      </c>
      <c r="B1902" s="21" t="s">
        <v>1015</v>
      </c>
      <c r="C1902" s="29" t="s">
        <v>1149</v>
      </c>
      <c r="D1902" s="20"/>
      <c r="E1902" s="20">
        <v>906</v>
      </c>
      <c r="F1902" s="21" t="s">
        <v>1065</v>
      </c>
      <c r="G1902" s="20">
        <v>1832</v>
      </c>
      <c r="H1902" s="20">
        <v>1995</v>
      </c>
      <c r="I1902" s="19">
        <v>60191.097999999998</v>
      </c>
      <c r="J1902" s="19">
        <v>75518.171000000002</v>
      </c>
      <c r="K1902" s="19">
        <v>61310.044000000002</v>
      </c>
      <c r="L1902" s="19">
        <v>59958.044999999998</v>
      </c>
      <c r="M1902" s="19">
        <v>73845.95</v>
      </c>
      <c r="N1902" s="19">
        <v>75249.191999999995</v>
      </c>
      <c r="O1902" s="19">
        <v>62860.49</v>
      </c>
      <c r="P1902" s="19">
        <v>52751.368999999999</v>
      </c>
      <c r="Q1902" s="19">
        <v>53536.923999999999</v>
      </c>
      <c r="R1902" s="19">
        <v>40236.087</v>
      </c>
      <c r="S1902" s="19">
        <v>31846.454000000002</v>
      </c>
      <c r="T1902" s="19">
        <v>29248.001</v>
      </c>
      <c r="U1902" s="19">
        <v>25210.899000000001</v>
      </c>
      <c r="V1902" s="19">
        <v>19299.315999999999</v>
      </c>
      <c r="W1902" s="19">
        <v>12935.159</v>
      </c>
      <c r="X1902" s="19">
        <v>8218.1260000000002</v>
      </c>
      <c r="Y1902" s="19">
        <v>3852.0120000000002</v>
      </c>
      <c r="Z1902" s="19">
        <v>1201.204</v>
      </c>
      <c r="AA1902" s="19">
        <v>251.797</v>
      </c>
      <c r="AB1902" s="19">
        <v>30.984000000000002</v>
      </c>
      <c r="AC1902" s="19">
        <v>2.2000000000000002</v>
      </c>
    </row>
    <row r="1903" spans="1:29" ht="11.65" x14ac:dyDescent="0.35">
      <c r="A1903" s="23">
        <v>1886</v>
      </c>
      <c r="B1903" s="21" t="s">
        <v>1015</v>
      </c>
      <c r="C1903" s="29" t="s">
        <v>1149</v>
      </c>
      <c r="D1903" s="20"/>
      <c r="E1903" s="20">
        <v>906</v>
      </c>
      <c r="F1903" s="21" t="s">
        <v>1065</v>
      </c>
      <c r="G1903" s="20">
        <v>1832</v>
      </c>
      <c r="H1903" s="20">
        <v>2000</v>
      </c>
      <c r="I1903" s="19">
        <v>53920.273999999998</v>
      </c>
      <c r="J1903" s="19">
        <v>59770.514999999999</v>
      </c>
      <c r="K1903" s="19">
        <v>75298.646999999997</v>
      </c>
      <c r="L1903" s="19">
        <v>61097.970999999998</v>
      </c>
      <c r="M1903" s="19">
        <v>59544.000999999997</v>
      </c>
      <c r="N1903" s="19">
        <v>73422.380999999994</v>
      </c>
      <c r="O1903" s="19">
        <v>74731.971000000005</v>
      </c>
      <c r="P1903" s="19">
        <v>62337.288999999997</v>
      </c>
      <c r="Q1903" s="19">
        <v>52168.107000000004</v>
      </c>
      <c r="R1903" s="19">
        <v>52690.235999999997</v>
      </c>
      <c r="S1903" s="19">
        <v>39207.53</v>
      </c>
      <c r="T1903" s="19">
        <v>30465.196</v>
      </c>
      <c r="U1903" s="19">
        <v>27204.758000000002</v>
      </c>
      <c r="V1903" s="19">
        <v>22280.835999999999</v>
      </c>
      <c r="W1903" s="19">
        <v>15558.207</v>
      </c>
      <c r="X1903" s="19">
        <v>9004.9840000000004</v>
      </c>
      <c r="Y1903" s="19">
        <v>4713.4579999999996</v>
      </c>
      <c r="Z1903" s="19">
        <v>1722.7360000000001</v>
      </c>
      <c r="AA1903" s="19">
        <v>377.54599999999999</v>
      </c>
      <c r="AB1903" s="19">
        <v>50.52</v>
      </c>
      <c r="AC1903" s="19">
        <v>3.6320000000000001</v>
      </c>
    </row>
    <row r="1904" spans="1:29" ht="11.65" x14ac:dyDescent="0.35">
      <c r="A1904" s="23">
        <v>1887</v>
      </c>
      <c r="B1904" s="21" t="s">
        <v>1015</v>
      </c>
      <c r="C1904" s="29" t="s">
        <v>1149</v>
      </c>
      <c r="D1904" s="20"/>
      <c r="E1904" s="20">
        <v>906</v>
      </c>
      <c r="F1904" s="21" t="s">
        <v>1065</v>
      </c>
      <c r="G1904" s="20">
        <v>1832</v>
      </c>
      <c r="H1904" s="20">
        <v>2005</v>
      </c>
      <c r="I1904" s="19">
        <v>50612.059000000001</v>
      </c>
      <c r="J1904" s="19">
        <v>53647.692000000003</v>
      </c>
      <c r="K1904" s="19">
        <v>59622.038</v>
      </c>
      <c r="L1904" s="19">
        <v>75012.091</v>
      </c>
      <c r="M1904" s="19">
        <v>60654.091</v>
      </c>
      <c r="N1904" s="19">
        <v>59078.48</v>
      </c>
      <c r="O1904" s="19">
        <v>72834.195000000007</v>
      </c>
      <c r="P1904" s="19">
        <v>74059.831000000006</v>
      </c>
      <c r="Q1904" s="19">
        <v>61615.000999999997</v>
      </c>
      <c r="R1904" s="19">
        <v>51383.883999999998</v>
      </c>
      <c r="S1904" s="19">
        <v>51571.201999999997</v>
      </c>
      <c r="T1904" s="19">
        <v>37833.980000000003</v>
      </c>
      <c r="U1904" s="19">
        <v>28651.727999999999</v>
      </c>
      <c r="V1904" s="19">
        <v>24410.601999999999</v>
      </c>
      <c r="W1904" s="19">
        <v>18377.587</v>
      </c>
      <c r="X1904" s="19">
        <v>11142.794</v>
      </c>
      <c r="Y1904" s="19">
        <v>5369.1440000000002</v>
      </c>
      <c r="Z1904" s="19">
        <v>2179.1619999999998</v>
      </c>
      <c r="AA1904" s="19">
        <v>562.57799999999997</v>
      </c>
      <c r="AB1904" s="19">
        <v>80.837999999999994</v>
      </c>
      <c r="AC1904" s="19">
        <v>6.3639999999999999</v>
      </c>
    </row>
    <row r="1905" spans="1:29" ht="11.65" x14ac:dyDescent="0.35">
      <c r="A1905" s="23">
        <v>1888</v>
      </c>
      <c r="B1905" s="21" t="s">
        <v>1015</v>
      </c>
      <c r="C1905" s="29" t="s">
        <v>1149</v>
      </c>
      <c r="D1905" s="20"/>
      <c r="E1905" s="20">
        <v>906</v>
      </c>
      <c r="F1905" s="21" t="s">
        <v>1065</v>
      </c>
      <c r="G1905" s="20">
        <v>1832</v>
      </c>
      <c r="H1905" s="20">
        <v>2010</v>
      </c>
      <c r="I1905" s="19">
        <v>51254.122000000003</v>
      </c>
      <c r="J1905" s="19">
        <v>50433.563999999998</v>
      </c>
      <c r="K1905" s="19">
        <v>53526.775000000001</v>
      </c>
      <c r="L1905" s="19">
        <v>59387.779000000002</v>
      </c>
      <c r="M1905" s="19">
        <v>74531.236000000004</v>
      </c>
      <c r="N1905" s="19">
        <v>60149.288</v>
      </c>
      <c r="O1905" s="19">
        <v>58571.43</v>
      </c>
      <c r="P1905" s="19">
        <v>72186.615000000005</v>
      </c>
      <c r="Q1905" s="19">
        <v>73291.138000000006</v>
      </c>
      <c r="R1905" s="19">
        <v>60766.241999999998</v>
      </c>
      <c r="S1905" s="19">
        <v>50313.277000000002</v>
      </c>
      <c r="T1905" s="19">
        <v>49872.957000000002</v>
      </c>
      <c r="U1905" s="19">
        <v>35696.866000000002</v>
      </c>
      <c r="V1905" s="19">
        <v>25835.79</v>
      </c>
      <c r="W1905" s="19">
        <v>20280.623</v>
      </c>
      <c r="X1905" s="19">
        <v>13279.337</v>
      </c>
      <c r="Y1905" s="19">
        <v>6812.1009999999997</v>
      </c>
      <c r="Z1905" s="19">
        <v>2592.6210000000001</v>
      </c>
      <c r="AA1905" s="19">
        <v>729.31299999999999</v>
      </c>
      <c r="AB1905" s="19">
        <v>124.02200000000001</v>
      </c>
      <c r="AC1905" s="19">
        <v>10.723000000000001</v>
      </c>
    </row>
    <row r="1906" spans="1:29" ht="11.65" x14ac:dyDescent="0.35">
      <c r="A1906" s="23">
        <v>1889</v>
      </c>
      <c r="B1906" s="21" t="s">
        <v>1015</v>
      </c>
      <c r="C1906" s="29" t="s">
        <v>1149</v>
      </c>
      <c r="D1906" s="20"/>
      <c r="E1906" s="20">
        <v>906</v>
      </c>
      <c r="F1906" s="21" t="s">
        <v>1065</v>
      </c>
      <c r="G1906" s="20">
        <v>1832</v>
      </c>
      <c r="H1906" s="20">
        <v>2015</v>
      </c>
      <c r="I1906" s="19">
        <v>52110.663999999997</v>
      </c>
      <c r="J1906" s="19">
        <v>51137.527999999998</v>
      </c>
      <c r="K1906" s="19">
        <v>50309.021999999997</v>
      </c>
      <c r="L1906" s="19">
        <v>53402.442000000003</v>
      </c>
      <c r="M1906" s="19">
        <v>59120.356</v>
      </c>
      <c r="N1906" s="19">
        <v>74242.073000000004</v>
      </c>
      <c r="O1906" s="19">
        <v>59862.453000000001</v>
      </c>
      <c r="P1906" s="19">
        <v>58217.839</v>
      </c>
      <c r="Q1906" s="19">
        <v>71526.260999999999</v>
      </c>
      <c r="R1906" s="19">
        <v>72402.028000000006</v>
      </c>
      <c r="S1906" s="19">
        <v>59666.019</v>
      </c>
      <c r="T1906" s="19">
        <v>48744.728000000003</v>
      </c>
      <c r="U1906" s="19">
        <v>47177.942000000003</v>
      </c>
      <c r="V1906" s="19">
        <v>32257.941999999999</v>
      </c>
      <c r="W1906" s="19">
        <v>21679.738000000001</v>
      </c>
      <c r="X1906" s="19">
        <v>14946.54</v>
      </c>
      <c r="Y1906" s="19">
        <v>8344.9490000000005</v>
      </c>
      <c r="Z1906" s="19">
        <v>3436.0839999999998</v>
      </c>
      <c r="AA1906" s="19">
        <v>926.327</v>
      </c>
      <c r="AB1906" s="19">
        <v>167.67</v>
      </c>
      <c r="AC1906" s="19">
        <v>16.684999999999999</v>
      </c>
    </row>
    <row r="1907" spans="1:29" ht="11.65" x14ac:dyDescent="0.35">
      <c r="A1907" s="23">
        <v>1890</v>
      </c>
      <c r="B1907" s="21" t="s">
        <v>1015</v>
      </c>
      <c r="C1907" s="29" t="s">
        <v>1149</v>
      </c>
      <c r="D1907" s="20"/>
      <c r="E1907" s="20">
        <v>906</v>
      </c>
      <c r="F1907" s="21" t="s">
        <v>1065</v>
      </c>
      <c r="G1907" s="20">
        <v>1832</v>
      </c>
      <c r="H1907" s="20">
        <v>2020</v>
      </c>
      <c r="I1907" s="19">
        <v>49699.481</v>
      </c>
      <c r="J1907" s="19">
        <v>52015.557000000001</v>
      </c>
      <c r="K1907" s="19">
        <v>51055.137999999999</v>
      </c>
      <c r="L1907" s="19">
        <v>50168.612000000001</v>
      </c>
      <c r="M1907" s="19">
        <v>53129.436000000002</v>
      </c>
      <c r="N1907" s="19">
        <v>58779.16</v>
      </c>
      <c r="O1907" s="19">
        <v>73830.255999999994</v>
      </c>
      <c r="P1907" s="19">
        <v>59499.514000000003</v>
      </c>
      <c r="Q1907" s="19">
        <v>57760.135000000002</v>
      </c>
      <c r="R1907" s="19">
        <v>70751.312000000005</v>
      </c>
      <c r="S1907" s="19">
        <v>71180.7</v>
      </c>
      <c r="T1907" s="19">
        <v>58013.264999999999</v>
      </c>
      <c r="U1907" s="19">
        <v>46379.557999999997</v>
      </c>
      <c r="V1907" s="19">
        <v>43129.364000000001</v>
      </c>
      <c r="W1907" s="19">
        <v>27580.126</v>
      </c>
      <c r="X1907" s="19">
        <v>16570.375</v>
      </c>
      <c r="Y1907" s="19">
        <v>9844.4449999999997</v>
      </c>
      <c r="Z1907" s="19">
        <v>4478.1279999999997</v>
      </c>
      <c r="AA1907" s="19">
        <v>1347.21</v>
      </c>
      <c r="AB1907" s="19">
        <v>238.607</v>
      </c>
      <c r="AC1907" s="19">
        <v>25.356999999999999</v>
      </c>
    </row>
    <row r="1908" spans="1:29" ht="11.65" x14ac:dyDescent="0.35">
      <c r="A1908" s="12">
        <v>1891</v>
      </c>
      <c r="B1908" s="10" t="s">
        <v>1015</v>
      </c>
      <c r="C1908" s="11" t="s">
        <v>1150</v>
      </c>
      <c r="D1908" s="9">
        <v>8</v>
      </c>
      <c r="E1908" s="9">
        <v>156</v>
      </c>
      <c r="F1908" s="10" t="s">
        <v>1066</v>
      </c>
      <c r="G1908" s="9">
        <v>906</v>
      </c>
      <c r="H1908" s="9">
        <v>1950</v>
      </c>
      <c r="I1908" s="8">
        <v>39673.730000000003</v>
      </c>
      <c r="J1908" s="8">
        <v>30581.43</v>
      </c>
      <c r="K1908" s="8">
        <v>29491.632000000001</v>
      </c>
      <c r="L1908" s="8">
        <v>27805.596000000001</v>
      </c>
      <c r="M1908" s="8">
        <v>24688.583999999999</v>
      </c>
      <c r="N1908" s="8">
        <v>21732.883999999998</v>
      </c>
      <c r="O1908" s="8">
        <v>21548.42</v>
      </c>
      <c r="P1908" s="8">
        <v>19318.900000000001</v>
      </c>
      <c r="Q1908" s="8">
        <v>16548.267</v>
      </c>
      <c r="R1908" s="8">
        <v>14961.619000000001</v>
      </c>
      <c r="S1908" s="8">
        <v>12255.504999999999</v>
      </c>
      <c r="T1908" s="8">
        <v>10717.553</v>
      </c>
      <c r="U1908" s="8">
        <v>8000.4539999999997</v>
      </c>
      <c r="V1908" s="8">
        <v>5634.9309999999996</v>
      </c>
      <c r="W1908" s="8">
        <v>2926.8389999999999</v>
      </c>
      <c r="X1908" s="8">
        <v>1402.0920000000001</v>
      </c>
      <c r="Y1908" s="8">
        <v>381.17399999999998</v>
      </c>
      <c r="Z1908" s="8">
        <v>59.66</v>
      </c>
      <c r="AA1908" s="8">
        <v>9.5090000000000003</v>
      </c>
      <c r="AB1908" s="8">
        <v>1.002</v>
      </c>
      <c r="AC1908" s="8">
        <v>8.4000000000000005E-2</v>
      </c>
    </row>
    <row r="1909" spans="1:29" ht="11.65" x14ac:dyDescent="0.35">
      <c r="A1909" s="12">
        <v>1892</v>
      </c>
      <c r="B1909" s="10" t="s">
        <v>1015</v>
      </c>
      <c r="C1909" s="11" t="s">
        <v>1150</v>
      </c>
      <c r="D1909" s="9">
        <v>8</v>
      </c>
      <c r="E1909" s="9">
        <v>156</v>
      </c>
      <c r="F1909" s="10" t="s">
        <v>1066</v>
      </c>
      <c r="G1909" s="9">
        <v>906</v>
      </c>
      <c r="H1909" s="9">
        <v>1955</v>
      </c>
      <c r="I1909" s="8">
        <v>53627.476999999999</v>
      </c>
      <c r="J1909" s="8">
        <v>36660.031000000003</v>
      </c>
      <c r="K1909" s="8">
        <v>29422.312999999998</v>
      </c>
      <c r="L1909" s="8">
        <v>28621.661</v>
      </c>
      <c r="M1909" s="8">
        <v>26928.698</v>
      </c>
      <c r="N1909" s="8">
        <v>23880.498</v>
      </c>
      <c r="O1909" s="8">
        <v>20984.848999999998</v>
      </c>
      <c r="P1909" s="8">
        <v>20671.575000000001</v>
      </c>
      <c r="Q1909" s="8">
        <v>18203.754000000001</v>
      </c>
      <c r="R1909" s="8">
        <v>15105.73</v>
      </c>
      <c r="S1909" s="8">
        <v>13259.822</v>
      </c>
      <c r="T1909" s="8">
        <v>10429.911</v>
      </c>
      <c r="U1909" s="8">
        <v>8326.36</v>
      </c>
      <c r="V1909" s="8">
        <v>5488.2169999999996</v>
      </c>
      <c r="W1909" s="8">
        <v>3277.03</v>
      </c>
      <c r="X1909" s="8">
        <v>1274.864</v>
      </c>
      <c r="Y1909" s="8">
        <v>422.04</v>
      </c>
      <c r="Z1909" s="8">
        <v>83.872</v>
      </c>
      <c r="AA1909" s="8">
        <v>9.657</v>
      </c>
      <c r="AB1909" s="8">
        <v>1.0880000000000001</v>
      </c>
      <c r="AC1909" s="8">
        <v>9.5000000000000001E-2</v>
      </c>
    </row>
    <row r="1910" spans="1:29" ht="11.65" x14ac:dyDescent="0.35">
      <c r="A1910" s="12">
        <v>1893</v>
      </c>
      <c r="B1910" s="10" t="s">
        <v>1015</v>
      </c>
      <c r="C1910" s="11" t="s">
        <v>1150</v>
      </c>
      <c r="D1910" s="9">
        <v>8</v>
      </c>
      <c r="E1910" s="9">
        <v>156</v>
      </c>
      <c r="F1910" s="10" t="s">
        <v>1066</v>
      </c>
      <c r="G1910" s="9">
        <v>906</v>
      </c>
      <c r="H1910" s="9">
        <v>1960</v>
      </c>
      <c r="I1910" s="8">
        <v>50115.434999999998</v>
      </c>
      <c r="J1910" s="8">
        <v>49895.137999999999</v>
      </c>
      <c r="K1910" s="8">
        <v>35521.377</v>
      </c>
      <c r="L1910" s="8">
        <v>28667.181</v>
      </c>
      <c r="M1910" s="8">
        <v>27801.040000000001</v>
      </c>
      <c r="N1910" s="8">
        <v>26096.434000000001</v>
      </c>
      <c r="O1910" s="8">
        <v>23082.592000000001</v>
      </c>
      <c r="P1910" s="8">
        <v>20150.071</v>
      </c>
      <c r="Q1910" s="8">
        <v>19542.927</v>
      </c>
      <c r="R1910" s="8">
        <v>16777.809000000001</v>
      </c>
      <c r="S1910" s="8">
        <v>13428.915000000001</v>
      </c>
      <c r="T1910" s="8">
        <v>11084.421</v>
      </c>
      <c r="U1910" s="8">
        <v>7936.009</v>
      </c>
      <c r="V1910" s="8">
        <v>5625.9229999999998</v>
      </c>
      <c r="W1910" s="8">
        <v>3042.3150000000001</v>
      </c>
      <c r="X1910" s="8">
        <v>1268.0609999999999</v>
      </c>
      <c r="Y1910" s="8">
        <v>297.93299999999999</v>
      </c>
      <c r="Z1910" s="8">
        <v>59.576000000000001</v>
      </c>
      <c r="AA1910" s="8">
        <v>8.0449999999999999</v>
      </c>
      <c r="AB1910" s="8">
        <v>0.64100000000000001</v>
      </c>
      <c r="AC1910" s="8">
        <v>6.5000000000000002E-2</v>
      </c>
    </row>
    <row r="1911" spans="1:29" ht="11.65" x14ac:dyDescent="0.35">
      <c r="A1911" s="12">
        <v>1894</v>
      </c>
      <c r="B1911" s="10" t="s">
        <v>1015</v>
      </c>
      <c r="C1911" s="11" t="s">
        <v>1150</v>
      </c>
      <c r="D1911" s="9">
        <v>8</v>
      </c>
      <c r="E1911" s="9">
        <v>156</v>
      </c>
      <c r="F1911" s="10" t="s">
        <v>1066</v>
      </c>
      <c r="G1911" s="9">
        <v>906</v>
      </c>
      <c r="H1911" s="9">
        <v>1965</v>
      </c>
      <c r="I1911" s="8">
        <v>58742.502</v>
      </c>
      <c r="J1911" s="8">
        <v>46558.428</v>
      </c>
      <c r="K1911" s="8">
        <v>48346.690999999999</v>
      </c>
      <c r="L1911" s="8">
        <v>34564.178999999996</v>
      </c>
      <c r="M1911" s="8">
        <v>27797.078000000001</v>
      </c>
      <c r="N1911" s="8">
        <v>26932.383999999998</v>
      </c>
      <c r="O1911" s="8">
        <v>25204.786</v>
      </c>
      <c r="P1911" s="8">
        <v>22133.599999999999</v>
      </c>
      <c r="Q1911" s="8">
        <v>19042.263999999999</v>
      </c>
      <c r="R1911" s="8">
        <v>18035.991999999998</v>
      </c>
      <c r="S1911" s="8">
        <v>14930.513999999999</v>
      </c>
      <c r="T1911" s="8">
        <v>11227.48</v>
      </c>
      <c r="U1911" s="8">
        <v>8484.4150000000009</v>
      </c>
      <c r="V1911" s="8">
        <v>5440.3869999999997</v>
      </c>
      <c r="W1911" s="8">
        <v>3197.261</v>
      </c>
      <c r="X1911" s="8">
        <v>1321.2719999999999</v>
      </c>
      <c r="Y1911" s="8">
        <v>394.60399999999998</v>
      </c>
      <c r="Z1911" s="8">
        <v>64.796999999999997</v>
      </c>
      <c r="AA1911" s="8">
        <v>9.6869999999999994</v>
      </c>
      <c r="AB1911" s="8">
        <v>0.90500000000000003</v>
      </c>
      <c r="AC1911" s="8">
        <v>5.7000000000000002E-2</v>
      </c>
    </row>
    <row r="1912" spans="1:29" ht="11.65" x14ac:dyDescent="0.35">
      <c r="A1912" s="12">
        <v>1895</v>
      </c>
      <c r="B1912" s="10" t="s">
        <v>1015</v>
      </c>
      <c r="C1912" s="11" t="s">
        <v>1150</v>
      </c>
      <c r="D1912" s="9">
        <v>8</v>
      </c>
      <c r="E1912" s="9">
        <v>156</v>
      </c>
      <c r="F1912" s="10" t="s">
        <v>1066</v>
      </c>
      <c r="G1912" s="9">
        <v>906</v>
      </c>
      <c r="H1912" s="9">
        <v>1970</v>
      </c>
      <c r="I1912" s="8">
        <v>69402.971000000005</v>
      </c>
      <c r="J1912" s="8">
        <v>56156.481</v>
      </c>
      <c r="K1912" s="8">
        <v>46011.735000000001</v>
      </c>
      <c r="L1912" s="8">
        <v>47856.207000000002</v>
      </c>
      <c r="M1912" s="8">
        <v>34097.031000000003</v>
      </c>
      <c r="N1912" s="8">
        <v>27340.205999999998</v>
      </c>
      <c r="O1912" s="8">
        <v>26390.151000000002</v>
      </c>
      <c r="P1912" s="8">
        <v>24583.778999999999</v>
      </c>
      <c r="Q1912" s="8">
        <v>21412.174999999999</v>
      </c>
      <c r="R1912" s="8">
        <v>18203.789000000001</v>
      </c>
      <c r="S1912" s="8">
        <v>16951.54</v>
      </c>
      <c r="T1912" s="8">
        <v>13600.674999999999</v>
      </c>
      <c r="U1912" s="8">
        <v>9621.7119999999995</v>
      </c>
      <c r="V1912" s="8">
        <v>6643.3890000000001</v>
      </c>
      <c r="W1912" s="8">
        <v>3818.2109999999998</v>
      </c>
      <c r="X1912" s="8">
        <v>1908.6089999999999</v>
      </c>
      <c r="Y1912" s="8">
        <v>618.84500000000003</v>
      </c>
      <c r="Z1912" s="8">
        <v>132.77000000000001</v>
      </c>
      <c r="AA1912" s="8">
        <v>13.867000000000001</v>
      </c>
      <c r="AB1912" s="8">
        <v>1.2370000000000001</v>
      </c>
      <c r="AC1912" s="8">
        <v>7.5999999999999998E-2</v>
      </c>
    </row>
    <row r="1913" spans="1:29" ht="11.65" x14ac:dyDescent="0.35">
      <c r="A1913" s="12">
        <v>1896</v>
      </c>
      <c r="B1913" s="10" t="s">
        <v>1015</v>
      </c>
      <c r="C1913" s="11" t="s">
        <v>1150</v>
      </c>
      <c r="D1913" s="9">
        <v>8</v>
      </c>
      <c r="E1913" s="9">
        <v>156</v>
      </c>
      <c r="F1913" s="10" t="s">
        <v>1066</v>
      </c>
      <c r="G1913" s="9">
        <v>906</v>
      </c>
      <c r="H1913" s="9">
        <v>1975</v>
      </c>
      <c r="I1913" s="8">
        <v>66088.241999999998</v>
      </c>
      <c r="J1913" s="8">
        <v>67624.759999999995</v>
      </c>
      <c r="K1913" s="8">
        <v>55640.913</v>
      </c>
      <c r="L1913" s="8">
        <v>45681.41</v>
      </c>
      <c r="M1913" s="8">
        <v>47430.209000000003</v>
      </c>
      <c r="N1913" s="8">
        <v>33712.124000000003</v>
      </c>
      <c r="O1913" s="8">
        <v>26985.927</v>
      </c>
      <c r="P1913" s="8">
        <v>25988.365000000002</v>
      </c>
      <c r="Q1913" s="8">
        <v>24106.75</v>
      </c>
      <c r="R1913" s="8">
        <v>20787.702000000001</v>
      </c>
      <c r="S1913" s="8">
        <v>17345.536</v>
      </c>
      <c r="T1913" s="8">
        <v>15677.617</v>
      </c>
      <c r="U1913" s="8">
        <v>11940.338</v>
      </c>
      <c r="V1913" s="8">
        <v>7840.3069999999998</v>
      </c>
      <c r="W1913" s="8">
        <v>4886.3760000000002</v>
      </c>
      <c r="X1913" s="8">
        <v>2376.2579999999998</v>
      </c>
      <c r="Y1913" s="8">
        <v>930.36400000000003</v>
      </c>
      <c r="Z1913" s="8">
        <v>216.83699999999999</v>
      </c>
      <c r="AA1913" s="8">
        <v>29.853000000000002</v>
      </c>
      <c r="AB1913" s="8">
        <v>1.841</v>
      </c>
      <c r="AC1913" s="8">
        <v>0.104</v>
      </c>
    </row>
    <row r="1914" spans="1:29" ht="11.65" x14ac:dyDescent="0.35">
      <c r="A1914" s="12">
        <v>1897</v>
      </c>
      <c r="B1914" s="10" t="s">
        <v>1015</v>
      </c>
      <c r="C1914" s="11" t="s">
        <v>1150</v>
      </c>
      <c r="D1914" s="9">
        <v>8</v>
      </c>
      <c r="E1914" s="9">
        <v>156</v>
      </c>
      <c r="F1914" s="10" t="s">
        <v>1066</v>
      </c>
      <c r="G1914" s="9">
        <v>906</v>
      </c>
      <c r="H1914" s="9">
        <v>1980</v>
      </c>
      <c r="I1914" s="8">
        <v>52366.875</v>
      </c>
      <c r="J1914" s="8">
        <v>64958.712</v>
      </c>
      <c r="K1914" s="8">
        <v>67160.955000000002</v>
      </c>
      <c r="L1914" s="8">
        <v>55388.171000000002</v>
      </c>
      <c r="M1914" s="8">
        <v>45447.771000000001</v>
      </c>
      <c r="N1914" s="8">
        <v>47128.737999999998</v>
      </c>
      <c r="O1914" s="8">
        <v>33436.245000000003</v>
      </c>
      <c r="P1914" s="8">
        <v>26709.634999999998</v>
      </c>
      <c r="Q1914" s="8">
        <v>25626.642</v>
      </c>
      <c r="R1914" s="8">
        <v>23611.616000000002</v>
      </c>
      <c r="S1914" s="8">
        <v>20075.359</v>
      </c>
      <c r="T1914" s="8">
        <v>16367.594999999999</v>
      </c>
      <c r="U1914" s="8">
        <v>14219.735000000001</v>
      </c>
      <c r="V1914" s="8">
        <v>10125.302</v>
      </c>
      <c r="W1914" s="8">
        <v>5983.8890000000001</v>
      </c>
      <c r="X1914" s="8">
        <v>3131.3389999999999</v>
      </c>
      <c r="Y1914" s="8">
        <v>1150.7059999999999</v>
      </c>
      <c r="Z1914" s="8">
        <v>311.887</v>
      </c>
      <c r="AA1914" s="8">
        <v>48.71</v>
      </c>
      <c r="AB1914" s="8">
        <v>4.13</v>
      </c>
      <c r="AC1914" s="8">
        <v>0.157</v>
      </c>
    </row>
    <row r="1915" spans="1:29" ht="11.65" x14ac:dyDescent="0.35">
      <c r="A1915" s="12">
        <v>1898</v>
      </c>
      <c r="B1915" s="10" t="s">
        <v>1015</v>
      </c>
      <c r="C1915" s="11" t="s">
        <v>1150</v>
      </c>
      <c r="D1915" s="9">
        <v>8</v>
      </c>
      <c r="E1915" s="9">
        <v>156</v>
      </c>
      <c r="F1915" s="10" t="s">
        <v>1066</v>
      </c>
      <c r="G1915" s="9">
        <v>906</v>
      </c>
      <c r="H1915" s="9">
        <v>1985</v>
      </c>
      <c r="I1915" s="8">
        <v>53900.673999999999</v>
      </c>
      <c r="J1915" s="8">
        <v>51732.173999999999</v>
      </c>
      <c r="K1915" s="8">
        <v>64612.633000000002</v>
      </c>
      <c r="L1915" s="8">
        <v>66883.278999999995</v>
      </c>
      <c r="M1915" s="8">
        <v>55098.392</v>
      </c>
      <c r="N1915" s="8">
        <v>45164.605000000003</v>
      </c>
      <c r="O1915" s="8">
        <v>46781.639000000003</v>
      </c>
      <c r="P1915" s="8">
        <v>33122.696000000004</v>
      </c>
      <c r="Q1915" s="8">
        <v>26363.382000000001</v>
      </c>
      <c r="R1915" s="8">
        <v>25143.913</v>
      </c>
      <c r="S1915" s="8">
        <v>22880.355</v>
      </c>
      <c r="T1915" s="8">
        <v>19049.306</v>
      </c>
      <c r="U1915" s="8">
        <v>14976.728999999999</v>
      </c>
      <c r="V1915" s="8">
        <v>12269.12</v>
      </c>
      <c r="W1915" s="8">
        <v>7883.942</v>
      </c>
      <c r="X1915" s="8">
        <v>3918.0360000000001</v>
      </c>
      <c r="Y1915" s="8">
        <v>1570.9110000000001</v>
      </c>
      <c r="Z1915" s="8">
        <v>402.89699999999999</v>
      </c>
      <c r="AA1915" s="8">
        <v>74.438000000000002</v>
      </c>
      <c r="AB1915" s="8">
        <v>7.2050000000000001</v>
      </c>
      <c r="AC1915" s="8">
        <v>0.36</v>
      </c>
    </row>
    <row r="1916" spans="1:29" ht="11.65" x14ac:dyDescent="0.35">
      <c r="A1916" s="12">
        <v>1899</v>
      </c>
      <c r="B1916" s="10" t="s">
        <v>1015</v>
      </c>
      <c r="C1916" s="11" t="s">
        <v>1150</v>
      </c>
      <c r="D1916" s="9">
        <v>8</v>
      </c>
      <c r="E1916" s="9">
        <v>156</v>
      </c>
      <c r="F1916" s="10" t="s">
        <v>1066</v>
      </c>
      <c r="G1916" s="9">
        <v>906</v>
      </c>
      <c r="H1916" s="9">
        <v>1990</v>
      </c>
      <c r="I1916" s="8">
        <v>68872.194000000003</v>
      </c>
      <c r="J1916" s="8">
        <v>53316.561000000002</v>
      </c>
      <c r="K1916" s="8">
        <v>51489.006000000001</v>
      </c>
      <c r="L1916" s="8">
        <v>64345.913999999997</v>
      </c>
      <c r="M1916" s="8">
        <v>66518.942999999999</v>
      </c>
      <c r="N1916" s="8">
        <v>54736.019</v>
      </c>
      <c r="O1916" s="8">
        <v>44821.762999999999</v>
      </c>
      <c r="P1916" s="8">
        <v>46359.5</v>
      </c>
      <c r="Q1916" s="8">
        <v>32707.192999999999</v>
      </c>
      <c r="R1916" s="8">
        <v>25902.876</v>
      </c>
      <c r="S1916" s="8">
        <v>24462.06</v>
      </c>
      <c r="T1916" s="8">
        <v>21855.871999999999</v>
      </c>
      <c r="U1916" s="8">
        <v>17583.762999999999</v>
      </c>
      <c r="V1916" s="8">
        <v>13105.87</v>
      </c>
      <c r="W1916" s="8">
        <v>9816.3979999999992</v>
      </c>
      <c r="X1916" s="8">
        <v>5277.93</v>
      </c>
      <c r="Y1916" s="8">
        <v>2004.682</v>
      </c>
      <c r="Z1916" s="8">
        <v>571.30899999999997</v>
      </c>
      <c r="AA1916" s="8">
        <v>99.361999999999995</v>
      </c>
      <c r="AB1916" s="8">
        <v>11.587999999999999</v>
      </c>
      <c r="AC1916" s="8">
        <v>0.67200000000000004</v>
      </c>
    </row>
    <row r="1917" spans="1:29" ht="11.65" x14ac:dyDescent="0.35">
      <c r="A1917" s="12">
        <v>1900</v>
      </c>
      <c r="B1917" s="10" t="s">
        <v>1015</v>
      </c>
      <c r="C1917" s="11" t="s">
        <v>1150</v>
      </c>
      <c r="D1917" s="9">
        <v>8</v>
      </c>
      <c r="E1917" s="9">
        <v>156</v>
      </c>
      <c r="F1917" s="10" t="s">
        <v>1066</v>
      </c>
      <c r="G1917" s="9">
        <v>906</v>
      </c>
      <c r="H1917" s="9">
        <v>1995</v>
      </c>
      <c r="I1917" s="8">
        <v>52950.487000000001</v>
      </c>
      <c r="J1917" s="8">
        <v>68195.956000000006</v>
      </c>
      <c r="K1917" s="8">
        <v>53099.62</v>
      </c>
      <c r="L1917" s="8">
        <v>51260.474000000002</v>
      </c>
      <c r="M1917" s="8">
        <v>63959.915000000001</v>
      </c>
      <c r="N1917" s="8">
        <v>66056.38</v>
      </c>
      <c r="O1917" s="8">
        <v>54300.413</v>
      </c>
      <c r="P1917" s="8">
        <v>44398.559000000001</v>
      </c>
      <c r="Q1917" s="8">
        <v>45779.667000000001</v>
      </c>
      <c r="R1917" s="8">
        <v>32142.267</v>
      </c>
      <c r="S1917" s="8">
        <v>25186.686000000002</v>
      </c>
      <c r="T1917" s="8">
        <v>23318.159</v>
      </c>
      <c r="U1917" s="8">
        <v>20157.378000000001</v>
      </c>
      <c r="V1917" s="8">
        <v>15297.697</v>
      </c>
      <c r="W1917" s="8">
        <v>10265.853999999999</v>
      </c>
      <c r="X1917" s="8">
        <v>6539.3220000000001</v>
      </c>
      <c r="Y1917" s="8">
        <v>2837.6689999999999</v>
      </c>
      <c r="Z1917" s="8">
        <v>781.80600000000004</v>
      </c>
      <c r="AA1917" s="8">
        <v>142.279</v>
      </c>
      <c r="AB1917" s="8">
        <v>15.17</v>
      </c>
      <c r="AC1917" s="8">
        <v>1.107</v>
      </c>
    </row>
    <row r="1918" spans="1:29" ht="11.65" x14ac:dyDescent="0.35">
      <c r="A1918" s="12">
        <v>1901</v>
      </c>
      <c r="B1918" s="10" t="s">
        <v>1015</v>
      </c>
      <c r="C1918" s="11" t="s">
        <v>1150</v>
      </c>
      <c r="D1918" s="9">
        <v>8</v>
      </c>
      <c r="E1918" s="9">
        <v>156</v>
      </c>
      <c r="F1918" s="10" t="s">
        <v>1066</v>
      </c>
      <c r="G1918" s="9">
        <v>906</v>
      </c>
      <c r="H1918" s="9">
        <v>2000</v>
      </c>
      <c r="I1918" s="8">
        <v>47124.480000000003</v>
      </c>
      <c r="J1918" s="8">
        <v>52529.087</v>
      </c>
      <c r="K1918" s="8">
        <v>67972.328999999998</v>
      </c>
      <c r="L1918" s="8">
        <v>52908.19</v>
      </c>
      <c r="M1918" s="8">
        <v>50992.050999999999</v>
      </c>
      <c r="N1918" s="8">
        <v>63568.362999999998</v>
      </c>
      <c r="O1918" s="8">
        <v>65592.255999999994</v>
      </c>
      <c r="P1918" s="8">
        <v>53845.214999999997</v>
      </c>
      <c r="Q1918" s="8">
        <v>43903.89</v>
      </c>
      <c r="R1918" s="8">
        <v>45058.542999999998</v>
      </c>
      <c r="S1918" s="8">
        <v>31312.991999999998</v>
      </c>
      <c r="T1918" s="8">
        <v>24071.552</v>
      </c>
      <c r="U1918" s="8">
        <v>21644.603999999999</v>
      </c>
      <c r="V1918" s="8">
        <v>17699.638999999999</v>
      </c>
      <c r="W1918" s="8">
        <v>12096.53</v>
      </c>
      <c r="X1918" s="8">
        <v>6892.6639999999998</v>
      </c>
      <c r="Y1918" s="8">
        <v>3564.13</v>
      </c>
      <c r="Z1918" s="8">
        <v>1168.239</v>
      </c>
      <c r="AA1918" s="8">
        <v>216.42099999999999</v>
      </c>
      <c r="AB1918" s="8">
        <v>24.899000000000001</v>
      </c>
      <c r="AC1918" s="8">
        <v>1.6830000000000001</v>
      </c>
    </row>
    <row r="1919" spans="1:29" ht="11.65" x14ac:dyDescent="0.35">
      <c r="A1919" s="12">
        <v>1902</v>
      </c>
      <c r="B1919" s="10" t="s">
        <v>1015</v>
      </c>
      <c r="C1919" s="11" t="s">
        <v>1150</v>
      </c>
      <c r="D1919" s="9">
        <v>8</v>
      </c>
      <c r="E1919" s="9">
        <v>156</v>
      </c>
      <c r="F1919" s="10" t="s">
        <v>1066</v>
      </c>
      <c r="G1919" s="9">
        <v>906</v>
      </c>
      <c r="H1919" s="9">
        <v>2005</v>
      </c>
      <c r="I1919" s="8">
        <v>44543</v>
      </c>
      <c r="J1919" s="8">
        <v>46839.404000000002</v>
      </c>
      <c r="K1919" s="8">
        <v>52376.718000000001</v>
      </c>
      <c r="L1919" s="8">
        <v>67692.585000000006</v>
      </c>
      <c r="M1919" s="8">
        <v>52514.052000000003</v>
      </c>
      <c r="N1919" s="8">
        <v>50550.036999999997</v>
      </c>
      <c r="O1919" s="8">
        <v>63015.648000000001</v>
      </c>
      <c r="P1919" s="8">
        <v>64954.637999999999</v>
      </c>
      <c r="Q1919" s="8">
        <v>53199.553999999996</v>
      </c>
      <c r="R1919" s="8">
        <v>43240.775000000001</v>
      </c>
      <c r="S1919" s="8">
        <v>44074.906000000003</v>
      </c>
      <c r="T1919" s="8">
        <v>30194.098999999998</v>
      </c>
      <c r="U1919" s="8">
        <v>22589.089</v>
      </c>
      <c r="V1919" s="8">
        <v>19307.103999999999</v>
      </c>
      <c r="W1919" s="8">
        <v>14347.328</v>
      </c>
      <c r="X1919" s="8">
        <v>8315.4989999999998</v>
      </c>
      <c r="Y1919" s="8">
        <v>3853.4879999999998</v>
      </c>
      <c r="Z1919" s="8">
        <v>1509.3720000000001</v>
      </c>
      <c r="AA1919" s="8">
        <v>327.89</v>
      </c>
      <c r="AB1919" s="8">
        <v>38.031999999999996</v>
      </c>
      <c r="AC1919" s="8">
        <v>2.6819999999999999</v>
      </c>
    </row>
    <row r="1920" spans="1:29" ht="11.65" x14ac:dyDescent="0.35">
      <c r="A1920" s="12">
        <v>1903</v>
      </c>
      <c r="B1920" s="10" t="s">
        <v>1015</v>
      </c>
      <c r="C1920" s="11" t="s">
        <v>1150</v>
      </c>
      <c r="D1920" s="9">
        <v>8</v>
      </c>
      <c r="E1920" s="9">
        <v>156</v>
      </c>
      <c r="F1920" s="10" t="s">
        <v>1066</v>
      </c>
      <c r="G1920" s="9">
        <v>906</v>
      </c>
      <c r="H1920" s="9">
        <v>2010</v>
      </c>
      <c r="I1920" s="8">
        <v>45565.773999999998</v>
      </c>
      <c r="J1920" s="8">
        <v>44357.883999999998</v>
      </c>
      <c r="K1920" s="8">
        <v>46714.332000000002</v>
      </c>
      <c r="L1920" s="8">
        <v>52140.173000000003</v>
      </c>
      <c r="M1920" s="8">
        <v>67253.626000000004</v>
      </c>
      <c r="N1920" s="8">
        <v>52072.593999999997</v>
      </c>
      <c r="O1920" s="8">
        <v>50086.834000000003</v>
      </c>
      <c r="P1920" s="8">
        <v>62418.021999999997</v>
      </c>
      <c r="Q1920" s="8">
        <v>64228.982000000004</v>
      </c>
      <c r="R1920" s="8">
        <v>52430.521000000001</v>
      </c>
      <c r="S1920" s="8">
        <v>42333</v>
      </c>
      <c r="T1920" s="8">
        <v>42590.052000000003</v>
      </c>
      <c r="U1920" s="8">
        <v>28415.406999999999</v>
      </c>
      <c r="V1920" s="8">
        <v>20224.519</v>
      </c>
      <c r="W1920" s="8">
        <v>15743.093999999999</v>
      </c>
      <c r="X1920" s="8">
        <v>9933.0280000000002</v>
      </c>
      <c r="Y1920" s="8">
        <v>4726.6729999999998</v>
      </c>
      <c r="Z1920" s="8">
        <v>1680.1579999999999</v>
      </c>
      <c r="AA1920" s="8">
        <v>435.71100000000001</v>
      </c>
      <c r="AB1920" s="8">
        <v>59.289000000000001</v>
      </c>
      <c r="AC1920" s="8">
        <v>4.3460000000000001</v>
      </c>
    </row>
    <row r="1921" spans="1:29" ht="11.65" x14ac:dyDescent="0.35">
      <c r="A1921" s="12">
        <v>1904</v>
      </c>
      <c r="B1921" s="10" t="s">
        <v>1015</v>
      </c>
      <c r="C1921" s="11" t="s">
        <v>1150</v>
      </c>
      <c r="D1921" s="9">
        <v>8</v>
      </c>
      <c r="E1921" s="9">
        <v>156</v>
      </c>
      <c r="F1921" s="10" t="s">
        <v>1066</v>
      </c>
      <c r="G1921" s="9">
        <v>906</v>
      </c>
      <c r="H1921" s="9">
        <v>2015</v>
      </c>
      <c r="I1921" s="8">
        <v>46437.637999999999</v>
      </c>
      <c r="J1921" s="8">
        <v>45436.987000000001</v>
      </c>
      <c r="K1921" s="8">
        <v>44264.667999999998</v>
      </c>
      <c r="L1921" s="8">
        <v>46554.38</v>
      </c>
      <c r="M1921" s="8">
        <v>51864.603999999999</v>
      </c>
      <c r="N1921" s="8">
        <v>66864.149000000005</v>
      </c>
      <c r="O1921" s="8">
        <v>51711.404999999999</v>
      </c>
      <c r="P1921" s="8">
        <v>49705.968000000001</v>
      </c>
      <c r="Q1921" s="8">
        <v>61857.54</v>
      </c>
      <c r="R1921" s="8">
        <v>63435.589</v>
      </c>
      <c r="S1921" s="8">
        <v>51414.42</v>
      </c>
      <c r="T1921" s="8">
        <v>40972.684000000001</v>
      </c>
      <c r="U1921" s="8">
        <v>40173.472999999998</v>
      </c>
      <c r="V1921" s="8">
        <v>25506.513999999999</v>
      </c>
      <c r="W1921" s="8">
        <v>16608.421999999999</v>
      </c>
      <c r="X1921" s="8">
        <v>11127.053</v>
      </c>
      <c r="Y1921" s="8">
        <v>5816.6940000000004</v>
      </c>
      <c r="Z1921" s="8">
        <v>2143.7359999999999</v>
      </c>
      <c r="AA1921" s="8">
        <v>518.05899999999997</v>
      </c>
      <c r="AB1921" s="8">
        <v>86.423000000000002</v>
      </c>
      <c r="AC1921" s="8">
        <v>7.6</v>
      </c>
    </row>
    <row r="1922" spans="1:29" ht="11.65" x14ac:dyDescent="0.35">
      <c r="A1922" s="12">
        <v>1905</v>
      </c>
      <c r="B1922" s="10" t="s">
        <v>1015</v>
      </c>
      <c r="C1922" s="11" t="s">
        <v>1150</v>
      </c>
      <c r="D1922" s="9">
        <v>8</v>
      </c>
      <c r="E1922" s="9">
        <v>156</v>
      </c>
      <c r="F1922" s="10" t="s">
        <v>1066</v>
      </c>
      <c r="G1922" s="9">
        <v>906</v>
      </c>
      <c r="H1922" s="9">
        <v>2020</v>
      </c>
      <c r="I1922" s="8">
        <v>44456.332000000002</v>
      </c>
      <c r="J1922" s="8">
        <v>46320.144</v>
      </c>
      <c r="K1922" s="8">
        <v>45349.923000000003</v>
      </c>
      <c r="L1922" s="8">
        <v>44103.122000000003</v>
      </c>
      <c r="M1922" s="8">
        <v>46273.864999999998</v>
      </c>
      <c r="N1922" s="8">
        <v>51522.843000000001</v>
      </c>
      <c r="O1922" s="8">
        <v>66443.228000000003</v>
      </c>
      <c r="P1922" s="8">
        <v>51345.506999999998</v>
      </c>
      <c r="Q1922" s="8">
        <v>49289.358999999997</v>
      </c>
      <c r="R1922" s="8">
        <v>61173.349000000002</v>
      </c>
      <c r="S1922" s="8">
        <v>62348.02</v>
      </c>
      <c r="T1922" s="8">
        <v>49958.044999999998</v>
      </c>
      <c r="U1922" s="8">
        <v>38917.285000000003</v>
      </c>
      <c r="V1922" s="8">
        <v>36526.788</v>
      </c>
      <c r="W1922" s="8">
        <v>21425.163</v>
      </c>
      <c r="X1922" s="8">
        <v>12207.276</v>
      </c>
      <c r="Y1922" s="8">
        <v>6883.6289999999999</v>
      </c>
      <c r="Z1922" s="8">
        <v>2843.0839999999998</v>
      </c>
      <c r="AA1922" s="8">
        <v>731.22799999999995</v>
      </c>
      <c r="AB1922" s="8">
        <v>116.377</v>
      </c>
      <c r="AC1922" s="8">
        <v>12.773</v>
      </c>
    </row>
    <row r="1923" spans="1:29" ht="11.65" x14ac:dyDescent="0.35">
      <c r="A1923" s="12">
        <v>1906</v>
      </c>
      <c r="B1923" s="10" t="s">
        <v>1015</v>
      </c>
      <c r="C1923" s="11" t="s">
        <v>1151</v>
      </c>
      <c r="D1923" s="9">
        <v>9</v>
      </c>
      <c r="E1923" s="9">
        <v>344</v>
      </c>
      <c r="F1923" s="10" t="s">
        <v>1066</v>
      </c>
      <c r="G1923" s="9">
        <v>906</v>
      </c>
      <c r="H1923" s="9">
        <v>1950</v>
      </c>
      <c r="I1923" s="8">
        <v>166.9</v>
      </c>
      <c r="J1923" s="8">
        <v>66.8</v>
      </c>
      <c r="K1923" s="8">
        <v>83.7</v>
      </c>
      <c r="L1923" s="8">
        <v>114.9</v>
      </c>
      <c r="M1923" s="8">
        <v>126.6</v>
      </c>
      <c r="N1923" s="8">
        <v>113.499</v>
      </c>
      <c r="O1923" s="8">
        <v>101.20099999999999</v>
      </c>
      <c r="P1923" s="8">
        <v>83.400999999999996</v>
      </c>
      <c r="Q1923" s="8">
        <v>59.2</v>
      </c>
      <c r="R1923" s="8">
        <v>37.6</v>
      </c>
      <c r="S1923" s="8">
        <v>24.8</v>
      </c>
      <c r="T1923" s="8">
        <v>14.5</v>
      </c>
      <c r="U1923" s="8">
        <v>8.1</v>
      </c>
      <c r="V1923" s="8">
        <v>5.9989999999999997</v>
      </c>
      <c r="W1923" s="8">
        <v>3.5009999999999999</v>
      </c>
      <c r="X1923" s="8">
        <v>2</v>
      </c>
      <c r="Y1923" s="8">
        <v>0.96299999999999997</v>
      </c>
      <c r="Z1923" s="8">
        <v>0.39200000000000002</v>
      </c>
      <c r="AA1923" s="8">
        <v>0.11700000000000001</v>
      </c>
      <c r="AB1923" s="8">
        <v>2.4E-2</v>
      </c>
      <c r="AC1923" s="8">
        <v>4.0000000000000001E-3</v>
      </c>
    </row>
    <row r="1924" spans="1:29" ht="11.65" x14ac:dyDescent="0.35">
      <c r="A1924" s="12">
        <v>1907</v>
      </c>
      <c r="B1924" s="10" t="s">
        <v>1015</v>
      </c>
      <c r="C1924" s="11" t="s">
        <v>1151</v>
      </c>
      <c r="D1924" s="9">
        <v>9</v>
      </c>
      <c r="E1924" s="9">
        <v>344</v>
      </c>
      <c r="F1924" s="10" t="s">
        <v>1066</v>
      </c>
      <c r="G1924" s="9">
        <v>906</v>
      </c>
      <c r="H1924" s="9">
        <v>1955</v>
      </c>
      <c r="I1924" s="8">
        <v>213.85300000000001</v>
      </c>
      <c r="J1924" s="8">
        <v>171.54300000000001</v>
      </c>
      <c r="K1924" s="8">
        <v>77.301000000000002</v>
      </c>
      <c r="L1924" s="8">
        <v>91.968000000000004</v>
      </c>
      <c r="M1924" s="8">
        <v>125.943</v>
      </c>
      <c r="N1924" s="8">
        <v>132.81399999999999</v>
      </c>
      <c r="O1924" s="8">
        <v>117.974</v>
      </c>
      <c r="P1924" s="8">
        <v>103.925</v>
      </c>
      <c r="Q1924" s="8">
        <v>84.92</v>
      </c>
      <c r="R1924" s="8">
        <v>59.895000000000003</v>
      </c>
      <c r="S1924" s="8">
        <v>37.549999999999997</v>
      </c>
      <c r="T1924" s="8">
        <v>24.291</v>
      </c>
      <c r="U1924" s="8">
        <v>14.003</v>
      </c>
      <c r="V1924" s="8">
        <v>7.5570000000000004</v>
      </c>
      <c r="W1924" s="8">
        <v>4.9189999999999996</v>
      </c>
      <c r="X1924" s="8">
        <v>2.911</v>
      </c>
      <c r="Y1924" s="8">
        <v>1.0509999999999999</v>
      </c>
      <c r="Z1924" s="8">
        <v>0.28899999999999998</v>
      </c>
      <c r="AA1924" s="8">
        <v>6.3E-2</v>
      </c>
      <c r="AB1924" s="8">
        <v>8.9999999999999993E-3</v>
      </c>
      <c r="AC1924" s="8">
        <v>1E-3</v>
      </c>
    </row>
    <row r="1925" spans="1:29" ht="11.65" x14ac:dyDescent="0.35">
      <c r="A1925" s="12">
        <v>1908</v>
      </c>
      <c r="B1925" s="10" t="s">
        <v>1015</v>
      </c>
      <c r="C1925" s="11" t="s">
        <v>1151</v>
      </c>
      <c r="D1925" s="9">
        <v>9</v>
      </c>
      <c r="E1925" s="9">
        <v>344</v>
      </c>
      <c r="F1925" s="10" t="s">
        <v>1066</v>
      </c>
      <c r="G1925" s="9">
        <v>906</v>
      </c>
      <c r="H1925" s="9">
        <v>1960</v>
      </c>
      <c r="I1925" s="8">
        <v>252.16900000000001</v>
      </c>
      <c r="J1925" s="8">
        <v>218.94900000000001</v>
      </c>
      <c r="K1925" s="8">
        <v>177.19200000000001</v>
      </c>
      <c r="L1925" s="8">
        <v>78.867000000000004</v>
      </c>
      <c r="M1925" s="8">
        <v>115.387</v>
      </c>
      <c r="N1925" s="8">
        <v>137.517</v>
      </c>
      <c r="O1925" s="8">
        <v>139.40600000000001</v>
      </c>
      <c r="P1925" s="8">
        <v>120.628</v>
      </c>
      <c r="Q1925" s="8">
        <v>105.568</v>
      </c>
      <c r="R1925" s="8">
        <v>84.073999999999998</v>
      </c>
      <c r="S1925" s="8">
        <v>57.371000000000002</v>
      </c>
      <c r="T1925" s="8">
        <v>35.371000000000002</v>
      </c>
      <c r="U1925" s="8">
        <v>22.66</v>
      </c>
      <c r="V1925" s="8">
        <v>12.603</v>
      </c>
      <c r="W1925" s="8">
        <v>7.1779999999999999</v>
      </c>
      <c r="X1925" s="8">
        <v>3.1360000000000001</v>
      </c>
      <c r="Y1925" s="8">
        <v>1.327</v>
      </c>
      <c r="Z1925" s="8">
        <v>0.34300000000000003</v>
      </c>
      <c r="AA1925" s="8">
        <v>5.1999999999999998E-2</v>
      </c>
      <c r="AB1925" s="8">
        <v>5.0000000000000001E-3</v>
      </c>
      <c r="AC1925" s="8">
        <v>0</v>
      </c>
    </row>
    <row r="1926" spans="1:29" ht="11.65" x14ac:dyDescent="0.35">
      <c r="A1926" s="12">
        <v>1909</v>
      </c>
      <c r="B1926" s="10" t="s">
        <v>1015</v>
      </c>
      <c r="C1926" s="11" t="s">
        <v>1151</v>
      </c>
      <c r="D1926" s="9">
        <v>9</v>
      </c>
      <c r="E1926" s="9">
        <v>344</v>
      </c>
      <c r="F1926" s="10" t="s">
        <v>1066</v>
      </c>
      <c r="G1926" s="9">
        <v>906</v>
      </c>
      <c r="H1926" s="9">
        <v>1965</v>
      </c>
      <c r="I1926" s="8">
        <v>261.30900000000003</v>
      </c>
      <c r="J1926" s="8">
        <v>248.15</v>
      </c>
      <c r="K1926" s="8">
        <v>207.745</v>
      </c>
      <c r="L1926" s="8">
        <v>164.21899999999999</v>
      </c>
      <c r="M1926" s="8">
        <v>100.955</v>
      </c>
      <c r="N1926" s="8">
        <v>125.685</v>
      </c>
      <c r="O1926" s="8">
        <v>140.017</v>
      </c>
      <c r="P1926" s="8">
        <v>137.107</v>
      </c>
      <c r="Q1926" s="8">
        <v>118.008</v>
      </c>
      <c r="R1926" s="8">
        <v>99.637</v>
      </c>
      <c r="S1926" s="8">
        <v>75.728999999999999</v>
      </c>
      <c r="T1926" s="8">
        <v>50.223999999999997</v>
      </c>
      <c r="U1926" s="8">
        <v>29.893000000000001</v>
      </c>
      <c r="V1926" s="8">
        <v>17.725000000000001</v>
      </c>
      <c r="W1926" s="8">
        <v>8.0039999999999996</v>
      </c>
      <c r="X1926" s="8">
        <v>4.32</v>
      </c>
      <c r="Y1926" s="8">
        <v>1.2090000000000001</v>
      </c>
      <c r="Z1926" s="8">
        <v>0.46600000000000003</v>
      </c>
      <c r="AA1926" s="8">
        <v>6.8000000000000005E-2</v>
      </c>
      <c r="AB1926" s="8">
        <v>4.0000000000000001E-3</v>
      </c>
      <c r="AC1926" s="8">
        <v>0</v>
      </c>
    </row>
    <row r="1927" spans="1:29" ht="11.65" x14ac:dyDescent="0.35">
      <c r="A1927" s="12">
        <v>1910</v>
      </c>
      <c r="B1927" s="10" t="s">
        <v>1015</v>
      </c>
      <c r="C1927" s="11" t="s">
        <v>1151</v>
      </c>
      <c r="D1927" s="9">
        <v>9</v>
      </c>
      <c r="E1927" s="9">
        <v>344</v>
      </c>
      <c r="F1927" s="10" t="s">
        <v>1066</v>
      </c>
      <c r="G1927" s="9">
        <v>906</v>
      </c>
      <c r="H1927" s="9">
        <v>1970</v>
      </c>
      <c r="I1927" s="8">
        <v>201.80799999999999</v>
      </c>
      <c r="J1927" s="8">
        <v>261.267</v>
      </c>
      <c r="K1927" s="8">
        <v>263.22399999999999</v>
      </c>
      <c r="L1927" s="8">
        <v>213.57499999999999</v>
      </c>
      <c r="M1927" s="8">
        <v>164.12899999999999</v>
      </c>
      <c r="N1927" s="8">
        <v>101.58</v>
      </c>
      <c r="O1927" s="8">
        <v>120.83799999999999</v>
      </c>
      <c r="P1927" s="8">
        <v>129.654</v>
      </c>
      <c r="Q1927" s="8">
        <v>132.66300000000001</v>
      </c>
      <c r="R1927" s="8">
        <v>109.488</v>
      </c>
      <c r="S1927" s="8">
        <v>98.784999999999997</v>
      </c>
      <c r="T1927" s="8">
        <v>70.975999999999999</v>
      </c>
      <c r="U1927" s="8">
        <v>49.665999999999997</v>
      </c>
      <c r="V1927" s="8">
        <v>25.981999999999999</v>
      </c>
      <c r="W1927" s="8">
        <v>16.620999999999999</v>
      </c>
      <c r="X1927" s="8">
        <v>4.9210000000000003</v>
      </c>
      <c r="Y1927" s="8">
        <v>2.1030000000000002</v>
      </c>
      <c r="Z1927" s="8">
        <v>0.46300000000000002</v>
      </c>
      <c r="AA1927" s="8">
        <v>0.104</v>
      </c>
      <c r="AB1927" s="8">
        <v>6.0000000000000001E-3</v>
      </c>
      <c r="AC1927" s="8">
        <v>0</v>
      </c>
    </row>
    <row r="1928" spans="1:29" ht="11.65" x14ac:dyDescent="0.35">
      <c r="A1928" s="12">
        <v>1911</v>
      </c>
      <c r="B1928" s="10" t="s">
        <v>1015</v>
      </c>
      <c r="C1928" s="11" t="s">
        <v>1151</v>
      </c>
      <c r="D1928" s="9">
        <v>9</v>
      </c>
      <c r="E1928" s="9">
        <v>344</v>
      </c>
      <c r="F1928" s="10" t="s">
        <v>1066</v>
      </c>
      <c r="G1928" s="9">
        <v>906</v>
      </c>
      <c r="H1928" s="9">
        <v>1975</v>
      </c>
      <c r="I1928" s="8">
        <v>197.95699999999999</v>
      </c>
      <c r="J1928" s="8">
        <v>203.83500000000001</v>
      </c>
      <c r="K1928" s="8">
        <v>275.03300000000002</v>
      </c>
      <c r="L1928" s="8">
        <v>271.14299999999997</v>
      </c>
      <c r="M1928" s="8">
        <v>213.328</v>
      </c>
      <c r="N1928" s="8">
        <v>164.012</v>
      </c>
      <c r="O1928" s="8">
        <v>96.631</v>
      </c>
      <c r="P1928" s="8">
        <v>110.387</v>
      </c>
      <c r="Q1928" s="8">
        <v>124.642</v>
      </c>
      <c r="R1928" s="8">
        <v>123.982</v>
      </c>
      <c r="S1928" s="8">
        <v>108.31</v>
      </c>
      <c r="T1928" s="8">
        <v>93.611000000000004</v>
      </c>
      <c r="U1928" s="8">
        <v>68.759</v>
      </c>
      <c r="V1928" s="8">
        <v>43.52</v>
      </c>
      <c r="W1928" s="8">
        <v>23.321999999999999</v>
      </c>
      <c r="X1928" s="8">
        <v>12.1</v>
      </c>
      <c r="Y1928" s="8">
        <v>3</v>
      </c>
      <c r="Z1928" s="8">
        <v>0.84499999999999997</v>
      </c>
      <c r="AA1928" s="8">
        <v>0.11700000000000001</v>
      </c>
      <c r="AB1928" s="8">
        <v>1.2999999999999999E-2</v>
      </c>
      <c r="AC1928" s="8">
        <v>0</v>
      </c>
    </row>
    <row r="1929" spans="1:29" ht="11.65" x14ac:dyDescent="0.35">
      <c r="A1929" s="12">
        <v>1912</v>
      </c>
      <c r="B1929" s="10" t="s">
        <v>1015</v>
      </c>
      <c r="C1929" s="11" t="s">
        <v>1151</v>
      </c>
      <c r="D1929" s="9">
        <v>9</v>
      </c>
      <c r="E1929" s="9">
        <v>344</v>
      </c>
      <c r="F1929" s="10" t="s">
        <v>1066</v>
      </c>
      <c r="G1929" s="9">
        <v>906</v>
      </c>
      <c r="H1929" s="9">
        <v>1980</v>
      </c>
      <c r="I1929" s="8">
        <v>199.24799999999999</v>
      </c>
      <c r="J1929" s="8">
        <v>207.309</v>
      </c>
      <c r="K1929" s="8">
        <v>228.22300000000001</v>
      </c>
      <c r="L1929" s="8">
        <v>297.52</v>
      </c>
      <c r="M1929" s="8">
        <v>301.226</v>
      </c>
      <c r="N1929" s="8">
        <v>249.97900000000001</v>
      </c>
      <c r="O1929" s="8">
        <v>207.37700000000001</v>
      </c>
      <c r="P1929" s="8">
        <v>122.16500000000001</v>
      </c>
      <c r="Q1929" s="8">
        <v>141.17400000000001</v>
      </c>
      <c r="R1929" s="8">
        <v>137.108</v>
      </c>
      <c r="S1929" s="8">
        <v>133.399</v>
      </c>
      <c r="T1929" s="8">
        <v>105.26600000000001</v>
      </c>
      <c r="U1929" s="8">
        <v>88.995000000000005</v>
      </c>
      <c r="V1929" s="8">
        <v>62.53</v>
      </c>
      <c r="W1929" s="8">
        <v>35.481000000000002</v>
      </c>
      <c r="X1929" s="8">
        <v>17.225000000000001</v>
      </c>
      <c r="Y1929" s="8">
        <v>7.3029999999999999</v>
      </c>
      <c r="Z1929" s="8">
        <v>1.2669999999999999</v>
      </c>
      <c r="AA1929" s="8">
        <v>0.22500000000000001</v>
      </c>
      <c r="AB1929" s="8">
        <v>1.4999999999999999E-2</v>
      </c>
      <c r="AC1929" s="8">
        <v>1E-3</v>
      </c>
    </row>
    <row r="1930" spans="1:29" ht="11.65" x14ac:dyDescent="0.35">
      <c r="A1930" s="12">
        <v>1913</v>
      </c>
      <c r="B1930" s="10" t="s">
        <v>1015</v>
      </c>
      <c r="C1930" s="11" t="s">
        <v>1151</v>
      </c>
      <c r="D1930" s="9">
        <v>9</v>
      </c>
      <c r="E1930" s="9">
        <v>344</v>
      </c>
      <c r="F1930" s="10" t="s">
        <v>1066</v>
      </c>
      <c r="G1930" s="9">
        <v>906</v>
      </c>
      <c r="H1930" s="9">
        <v>1985</v>
      </c>
      <c r="I1930" s="8">
        <v>202.38300000000001</v>
      </c>
      <c r="J1930" s="8">
        <v>215.458</v>
      </c>
      <c r="K1930" s="8">
        <v>227.82499999999999</v>
      </c>
      <c r="L1930" s="8">
        <v>235.351</v>
      </c>
      <c r="M1930" s="8">
        <v>288.495</v>
      </c>
      <c r="N1930" s="8">
        <v>303.7</v>
      </c>
      <c r="O1930" s="8">
        <v>249.84399999999999</v>
      </c>
      <c r="P1930" s="8">
        <v>203.99799999999999</v>
      </c>
      <c r="Q1930" s="8">
        <v>123.77800000000001</v>
      </c>
      <c r="R1930" s="8">
        <v>140.45500000000001</v>
      </c>
      <c r="S1930" s="8">
        <v>142.214</v>
      </c>
      <c r="T1930" s="8">
        <v>125.297</v>
      </c>
      <c r="U1930" s="8">
        <v>101.718</v>
      </c>
      <c r="V1930" s="8">
        <v>74.614999999999995</v>
      </c>
      <c r="W1930" s="8">
        <v>50.508000000000003</v>
      </c>
      <c r="X1930" s="8">
        <v>25.114999999999998</v>
      </c>
      <c r="Y1930" s="8">
        <v>10.455</v>
      </c>
      <c r="Z1930" s="8">
        <v>3.5030000000000001</v>
      </c>
      <c r="AA1930" s="8">
        <v>0.40699999999999997</v>
      </c>
      <c r="AB1930" s="8">
        <v>3.9E-2</v>
      </c>
      <c r="AC1930" s="8">
        <v>1E-3</v>
      </c>
    </row>
    <row r="1931" spans="1:29" ht="11.65" x14ac:dyDescent="0.35">
      <c r="A1931" s="12">
        <v>1914</v>
      </c>
      <c r="B1931" s="10" t="s">
        <v>1015</v>
      </c>
      <c r="C1931" s="11" t="s">
        <v>1151</v>
      </c>
      <c r="D1931" s="9">
        <v>9</v>
      </c>
      <c r="E1931" s="9">
        <v>344</v>
      </c>
      <c r="F1931" s="10" t="s">
        <v>1066</v>
      </c>
      <c r="G1931" s="9">
        <v>906</v>
      </c>
      <c r="H1931" s="9">
        <v>1990</v>
      </c>
      <c r="I1931" s="8">
        <v>190.441</v>
      </c>
      <c r="J1931" s="8">
        <v>209.62899999999999</v>
      </c>
      <c r="K1931" s="8">
        <v>215.898</v>
      </c>
      <c r="L1931" s="8">
        <v>227.90100000000001</v>
      </c>
      <c r="M1931" s="8">
        <v>246.08600000000001</v>
      </c>
      <c r="N1931" s="8">
        <v>302.86</v>
      </c>
      <c r="O1931" s="8">
        <v>315.762</v>
      </c>
      <c r="P1931" s="8">
        <v>252.756</v>
      </c>
      <c r="Q1931" s="8">
        <v>206.851</v>
      </c>
      <c r="R1931" s="8">
        <v>125.536</v>
      </c>
      <c r="S1931" s="8">
        <v>139.649</v>
      </c>
      <c r="T1931" s="8">
        <v>139.04900000000001</v>
      </c>
      <c r="U1931" s="8">
        <v>118.71599999999999</v>
      </c>
      <c r="V1931" s="8">
        <v>92.542000000000002</v>
      </c>
      <c r="W1931" s="8">
        <v>63.816000000000003</v>
      </c>
      <c r="X1931" s="8">
        <v>38.661999999999999</v>
      </c>
      <c r="Y1931" s="8">
        <v>17.34</v>
      </c>
      <c r="Z1931" s="8">
        <v>5.3079999999999998</v>
      </c>
      <c r="AA1931" s="8">
        <v>1.2050000000000001</v>
      </c>
      <c r="AB1931" s="8">
        <v>7.5999999999999998E-2</v>
      </c>
      <c r="AC1931" s="8">
        <v>3.0000000000000001E-3</v>
      </c>
    </row>
    <row r="1932" spans="1:29" ht="11.65" x14ac:dyDescent="0.35">
      <c r="A1932" s="12">
        <v>1915</v>
      </c>
      <c r="B1932" s="10" t="s">
        <v>1015</v>
      </c>
      <c r="C1932" s="11" t="s">
        <v>1151</v>
      </c>
      <c r="D1932" s="9">
        <v>9</v>
      </c>
      <c r="E1932" s="9">
        <v>344</v>
      </c>
      <c r="F1932" s="10" t="s">
        <v>1066</v>
      </c>
      <c r="G1932" s="9">
        <v>906</v>
      </c>
      <c r="H1932" s="9">
        <v>1995</v>
      </c>
      <c r="I1932" s="8">
        <v>172.613</v>
      </c>
      <c r="J1932" s="8">
        <v>195.10400000000001</v>
      </c>
      <c r="K1932" s="8">
        <v>219.804</v>
      </c>
      <c r="L1932" s="8">
        <v>211.518</v>
      </c>
      <c r="M1932" s="8">
        <v>222.923</v>
      </c>
      <c r="N1932" s="8">
        <v>249.60499999999999</v>
      </c>
      <c r="O1932" s="8">
        <v>315.08999999999997</v>
      </c>
      <c r="P1932" s="8">
        <v>319.88200000000001</v>
      </c>
      <c r="Q1932" s="8">
        <v>256.01799999999997</v>
      </c>
      <c r="R1932" s="8">
        <v>216.55600000000001</v>
      </c>
      <c r="S1932" s="8">
        <v>130.31899999999999</v>
      </c>
      <c r="T1932" s="8">
        <v>138.56</v>
      </c>
      <c r="U1932" s="8">
        <v>132.93700000000001</v>
      </c>
      <c r="V1932" s="8">
        <v>109.827</v>
      </c>
      <c r="W1932" s="8">
        <v>77.447999999999993</v>
      </c>
      <c r="X1932" s="8">
        <v>47.232999999999997</v>
      </c>
      <c r="Y1932" s="8">
        <v>25.398</v>
      </c>
      <c r="Z1932" s="8">
        <v>9.1809999999999992</v>
      </c>
      <c r="AA1932" s="8">
        <v>1.946</v>
      </c>
      <c r="AB1932" s="8">
        <v>0.251</v>
      </c>
      <c r="AC1932" s="8">
        <v>6.0000000000000001E-3</v>
      </c>
    </row>
    <row r="1933" spans="1:29" ht="11.65" x14ac:dyDescent="0.35">
      <c r="A1933" s="12">
        <v>1916</v>
      </c>
      <c r="B1933" s="10" t="s">
        <v>1015</v>
      </c>
      <c r="C1933" s="11" t="s">
        <v>1151</v>
      </c>
      <c r="D1933" s="9">
        <v>9</v>
      </c>
      <c r="E1933" s="9">
        <v>344</v>
      </c>
      <c r="F1933" s="10" t="s">
        <v>1066</v>
      </c>
      <c r="G1933" s="9">
        <v>906</v>
      </c>
      <c r="H1933" s="9">
        <v>2000</v>
      </c>
      <c r="I1933" s="8">
        <v>151.82499999999999</v>
      </c>
      <c r="J1933" s="8">
        <v>207.345</v>
      </c>
      <c r="K1933" s="8">
        <v>220.262</v>
      </c>
      <c r="L1933" s="8">
        <v>228.52500000000001</v>
      </c>
      <c r="M1933" s="8">
        <v>223.042</v>
      </c>
      <c r="N1933" s="8">
        <v>241.66200000000001</v>
      </c>
      <c r="O1933" s="8">
        <v>260.87400000000002</v>
      </c>
      <c r="P1933" s="8">
        <v>320.40499999999997</v>
      </c>
      <c r="Q1933" s="8">
        <v>330.71300000000002</v>
      </c>
      <c r="R1933" s="8">
        <v>256.959</v>
      </c>
      <c r="S1933" s="8">
        <v>212.44300000000001</v>
      </c>
      <c r="T1933" s="8">
        <v>125.19</v>
      </c>
      <c r="U1933" s="8">
        <v>136.13499999999999</v>
      </c>
      <c r="V1933" s="8">
        <v>125.276</v>
      </c>
      <c r="W1933" s="8">
        <v>98.347999999999999</v>
      </c>
      <c r="X1933" s="8">
        <v>60.033000000000001</v>
      </c>
      <c r="Y1933" s="8">
        <v>31.64</v>
      </c>
      <c r="Z1933" s="8">
        <v>14.628</v>
      </c>
      <c r="AA1933" s="8">
        <v>3.8639999999999999</v>
      </c>
      <c r="AB1933" s="8">
        <v>0.51500000000000001</v>
      </c>
      <c r="AC1933" s="8">
        <v>3.2000000000000001E-2</v>
      </c>
    </row>
    <row r="1934" spans="1:29" ht="11.65" x14ac:dyDescent="0.35">
      <c r="A1934" s="12">
        <v>1917</v>
      </c>
      <c r="B1934" s="10" t="s">
        <v>1015</v>
      </c>
      <c r="C1934" s="11" t="s">
        <v>1151</v>
      </c>
      <c r="D1934" s="9">
        <v>9</v>
      </c>
      <c r="E1934" s="9">
        <v>344</v>
      </c>
      <c r="F1934" s="10" t="s">
        <v>1066</v>
      </c>
      <c r="G1934" s="9">
        <v>906</v>
      </c>
      <c r="H1934" s="9">
        <v>2005</v>
      </c>
      <c r="I1934" s="8">
        <v>115.41</v>
      </c>
      <c r="J1934" s="8">
        <v>171.35599999999999</v>
      </c>
      <c r="K1934" s="8">
        <v>216.959</v>
      </c>
      <c r="L1934" s="8">
        <v>221.61199999999999</v>
      </c>
      <c r="M1934" s="8">
        <v>221.25299999999999</v>
      </c>
      <c r="N1934" s="8">
        <v>222.84100000000001</v>
      </c>
      <c r="O1934" s="8">
        <v>240.91300000000001</v>
      </c>
      <c r="P1934" s="8">
        <v>253.07</v>
      </c>
      <c r="Q1934" s="8">
        <v>316.75900000000001</v>
      </c>
      <c r="R1934" s="8">
        <v>318.786</v>
      </c>
      <c r="S1934" s="8">
        <v>254.14699999999999</v>
      </c>
      <c r="T1934" s="8">
        <v>200.55699999999999</v>
      </c>
      <c r="U1934" s="8">
        <v>116.449</v>
      </c>
      <c r="V1934" s="8">
        <v>125.95399999999999</v>
      </c>
      <c r="W1934" s="8">
        <v>108.64700000000001</v>
      </c>
      <c r="X1934" s="8">
        <v>78.823999999999998</v>
      </c>
      <c r="Y1934" s="8">
        <v>41.036000000000001</v>
      </c>
      <c r="Z1934" s="8">
        <v>19.28</v>
      </c>
      <c r="AA1934" s="8">
        <v>6.9240000000000004</v>
      </c>
      <c r="AB1934" s="8">
        <v>1.2669999999999999</v>
      </c>
      <c r="AC1934" s="8">
        <v>9.8000000000000004E-2</v>
      </c>
    </row>
    <row r="1935" spans="1:29" ht="11.65" x14ac:dyDescent="0.35">
      <c r="A1935" s="12">
        <v>1918</v>
      </c>
      <c r="B1935" s="10" t="s">
        <v>1015</v>
      </c>
      <c r="C1935" s="11" t="s">
        <v>1151</v>
      </c>
      <c r="D1935" s="9">
        <v>9</v>
      </c>
      <c r="E1935" s="9">
        <v>344</v>
      </c>
      <c r="F1935" s="10" t="s">
        <v>1066</v>
      </c>
      <c r="G1935" s="9">
        <v>906</v>
      </c>
      <c r="H1935" s="9">
        <v>2010</v>
      </c>
      <c r="I1935" s="8">
        <v>125.12</v>
      </c>
      <c r="J1935" s="8">
        <v>131.703</v>
      </c>
      <c r="K1935" s="8">
        <v>180.33600000000001</v>
      </c>
      <c r="L1935" s="8">
        <v>220.708</v>
      </c>
      <c r="M1935" s="8">
        <v>218.87799999999999</v>
      </c>
      <c r="N1935" s="8">
        <v>227.39699999999999</v>
      </c>
      <c r="O1935" s="8">
        <v>223.35400000000001</v>
      </c>
      <c r="P1935" s="8">
        <v>234.78399999999999</v>
      </c>
      <c r="Q1935" s="8">
        <v>247.505</v>
      </c>
      <c r="R1935" s="8">
        <v>303.75799999999998</v>
      </c>
      <c r="S1935" s="8">
        <v>307.54500000000002</v>
      </c>
      <c r="T1935" s="8">
        <v>242.61</v>
      </c>
      <c r="U1935" s="8">
        <v>192.56800000000001</v>
      </c>
      <c r="V1935" s="8">
        <v>111.49299999999999</v>
      </c>
      <c r="W1935" s="8">
        <v>119.626</v>
      </c>
      <c r="X1935" s="8">
        <v>93.399000000000001</v>
      </c>
      <c r="Y1935" s="8">
        <v>59.414000000000001</v>
      </c>
      <c r="Z1935" s="8">
        <v>25.212</v>
      </c>
      <c r="AA1935" s="8">
        <v>8.859</v>
      </c>
      <c r="AB1935" s="8">
        <v>2.052</v>
      </c>
      <c r="AC1935" s="8">
        <v>0.20599999999999999</v>
      </c>
    </row>
    <row r="1936" spans="1:29" ht="11.65" x14ac:dyDescent="0.35">
      <c r="A1936" s="12">
        <v>1919</v>
      </c>
      <c r="B1936" s="10" t="s">
        <v>1015</v>
      </c>
      <c r="C1936" s="11" t="s">
        <v>1151</v>
      </c>
      <c r="D1936" s="9">
        <v>9</v>
      </c>
      <c r="E1936" s="9">
        <v>344</v>
      </c>
      <c r="F1936" s="10" t="s">
        <v>1066</v>
      </c>
      <c r="G1936" s="9">
        <v>906</v>
      </c>
      <c r="H1936" s="9">
        <v>2015</v>
      </c>
      <c r="I1936" s="8">
        <v>145.66499999999999</v>
      </c>
      <c r="J1936" s="8">
        <v>145.92500000000001</v>
      </c>
      <c r="K1936" s="8">
        <v>132.643</v>
      </c>
      <c r="L1936" s="8">
        <v>186.04499999999999</v>
      </c>
      <c r="M1936" s="8">
        <v>222.13499999999999</v>
      </c>
      <c r="N1936" s="8">
        <v>224.21199999999999</v>
      </c>
      <c r="O1936" s="8">
        <v>229.19900000000001</v>
      </c>
      <c r="P1936" s="8">
        <v>224.959</v>
      </c>
      <c r="Q1936" s="8">
        <v>234.233</v>
      </c>
      <c r="R1936" s="8">
        <v>245.15</v>
      </c>
      <c r="S1936" s="8">
        <v>298.88299999999998</v>
      </c>
      <c r="T1936" s="8">
        <v>300.60700000000003</v>
      </c>
      <c r="U1936" s="8">
        <v>233.63</v>
      </c>
      <c r="V1936" s="8">
        <v>181.21199999999999</v>
      </c>
      <c r="W1936" s="8">
        <v>101.672</v>
      </c>
      <c r="X1936" s="8">
        <v>102.26300000000001</v>
      </c>
      <c r="Y1936" s="8">
        <v>71.344999999999999</v>
      </c>
      <c r="Z1936" s="8">
        <v>38.195999999999998</v>
      </c>
      <c r="AA1936" s="8">
        <v>12.246</v>
      </c>
      <c r="AB1936" s="8">
        <v>2.7879999999999998</v>
      </c>
      <c r="AC1936" s="8">
        <v>0.36</v>
      </c>
    </row>
    <row r="1937" spans="1:29" ht="11.65" x14ac:dyDescent="0.35">
      <c r="A1937" s="12">
        <v>1920</v>
      </c>
      <c r="B1937" s="10" t="s">
        <v>1015</v>
      </c>
      <c r="C1937" s="11" t="s">
        <v>1151</v>
      </c>
      <c r="D1937" s="9">
        <v>9</v>
      </c>
      <c r="E1937" s="9">
        <v>344</v>
      </c>
      <c r="F1937" s="10" t="s">
        <v>1066</v>
      </c>
      <c r="G1937" s="9">
        <v>906</v>
      </c>
      <c r="H1937" s="9">
        <v>2020</v>
      </c>
      <c r="I1937" s="8">
        <v>188.529</v>
      </c>
      <c r="J1937" s="8">
        <v>160.58500000000001</v>
      </c>
      <c r="K1937" s="8">
        <v>151</v>
      </c>
      <c r="L1937" s="8">
        <v>137.80199999999999</v>
      </c>
      <c r="M1937" s="8">
        <v>188.89599999999999</v>
      </c>
      <c r="N1937" s="8">
        <v>227.40700000000001</v>
      </c>
      <c r="O1937" s="8">
        <v>227.369</v>
      </c>
      <c r="P1937" s="8">
        <v>231.608</v>
      </c>
      <c r="Q1937" s="8">
        <v>225.68799999999999</v>
      </c>
      <c r="R1937" s="8">
        <v>233.29499999999999</v>
      </c>
      <c r="S1937" s="8">
        <v>245.20599999999999</v>
      </c>
      <c r="T1937" s="8">
        <v>295.02499999999998</v>
      </c>
      <c r="U1937" s="8">
        <v>292.2</v>
      </c>
      <c r="V1937" s="8">
        <v>223.73</v>
      </c>
      <c r="W1937" s="8">
        <v>168.06</v>
      </c>
      <c r="X1937" s="8">
        <v>89.257999999999996</v>
      </c>
      <c r="Y1937" s="8">
        <v>81.400999999999996</v>
      </c>
      <c r="Z1937" s="8">
        <v>47.987000000000002</v>
      </c>
      <c r="AA1937" s="8">
        <v>19.832999999999998</v>
      </c>
      <c r="AB1937" s="8">
        <v>4.226</v>
      </c>
      <c r="AC1937" s="8">
        <v>0.56100000000000005</v>
      </c>
    </row>
    <row r="1938" spans="1:29" ht="11.65" x14ac:dyDescent="0.35">
      <c r="A1938" s="12">
        <v>1921</v>
      </c>
      <c r="B1938" s="10" t="s">
        <v>1015</v>
      </c>
      <c r="C1938" s="11" t="s">
        <v>1152</v>
      </c>
      <c r="D1938" s="9">
        <v>10</v>
      </c>
      <c r="E1938" s="9">
        <v>446</v>
      </c>
      <c r="F1938" s="10" t="s">
        <v>1066</v>
      </c>
      <c r="G1938" s="9">
        <v>906</v>
      </c>
      <c r="H1938" s="9">
        <v>1950</v>
      </c>
      <c r="I1938" s="8">
        <v>11.224</v>
      </c>
      <c r="J1938" s="8">
        <v>8.1750000000000007</v>
      </c>
      <c r="K1938" s="8">
        <v>8.5289999999999999</v>
      </c>
      <c r="L1938" s="8">
        <v>11.327</v>
      </c>
      <c r="M1938" s="8">
        <v>10.863</v>
      </c>
      <c r="N1938" s="8">
        <v>10.172000000000001</v>
      </c>
      <c r="O1938" s="8">
        <v>9.4789999999999992</v>
      </c>
      <c r="P1938" s="8">
        <v>8.8580000000000005</v>
      </c>
      <c r="Q1938" s="8">
        <v>6.98</v>
      </c>
      <c r="R1938" s="8">
        <v>5.3719999999999999</v>
      </c>
      <c r="S1938" s="8">
        <v>3.718</v>
      </c>
      <c r="T1938" s="8">
        <v>2.3140000000000001</v>
      </c>
      <c r="U1938" s="8">
        <v>1.304</v>
      </c>
      <c r="V1938" s="8">
        <v>0.85399999999999998</v>
      </c>
      <c r="W1938" s="8">
        <v>0.55400000000000005</v>
      </c>
      <c r="X1938" s="8">
        <v>0.34499999999999997</v>
      </c>
      <c r="Y1938" s="8">
        <v>0.191</v>
      </c>
      <c r="Z1938" s="8">
        <v>7.0000000000000007E-2</v>
      </c>
      <c r="AA1938" s="8">
        <v>1.6E-2</v>
      </c>
      <c r="AB1938" s="8">
        <v>3.0000000000000001E-3</v>
      </c>
      <c r="AC1938" s="8">
        <v>0</v>
      </c>
    </row>
    <row r="1939" spans="1:29" ht="11.65" x14ac:dyDescent="0.35">
      <c r="A1939" s="12">
        <v>1922</v>
      </c>
      <c r="B1939" s="10" t="s">
        <v>1015</v>
      </c>
      <c r="C1939" s="11" t="s">
        <v>1152</v>
      </c>
      <c r="D1939" s="9">
        <v>10</v>
      </c>
      <c r="E1939" s="9">
        <v>446</v>
      </c>
      <c r="F1939" s="10" t="s">
        <v>1066</v>
      </c>
      <c r="G1939" s="9">
        <v>906</v>
      </c>
      <c r="H1939" s="9">
        <v>1955</v>
      </c>
      <c r="I1939" s="8">
        <v>15.269</v>
      </c>
      <c r="J1939" s="8">
        <v>10.683999999999999</v>
      </c>
      <c r="K1939" s="8">
        <v>7.98</v>
      </c>
      <c r="L1939" s="8">
        <v>6.4240000000000004</v>
      </c>
      <c r="M1939" s="8">
        <v>7.8010000000000002</v>
      </c>
      <c r="N1939" s="8">
        <v>7.61</v>
      </c>
      <c r="O1939" s="8">
        <v>7.5250000000000004</v>
      </c>
      <c r="P1939" s="8">
        <v>7.1390000000000002</v>
      </c>
      <c r="Q1939" s="8">
        <v>6.5439999999999996</v>
      </c>
      <c r="R1939" s="8">
        <v>5.24</v>
      </c>
      <c r="S1939" s="8">
        <v>3.95</v>
      </c>
      <c r="T1939" s="8">
        <v>2.8039999999999998</v>
      </c>
      <c r="U1939" s="8">
        <v>1.7909999999999999</v>
      </c>
      <c r="V1939" s="8">
        <v>1.081</v>
      </c>
      <c r="W1939" s="8">
        <v>0.69</v>
      </c>
      <c r="X1939" s="8">
        <v>0.35799999999999998</v>
      </c>
      <c r="Y1939" s="8">
        <v>0.16600000000000001</v>
      </c>
      <c r="Z1939" s="8">
        <v>5.7000000000000002E-2</v>
      </c>
      <c r="AA1939" s="8">
        <v>0.01</v>
      </c>
      <c r="AB1939" s="8">
        <v>0</v>
      </c>
      <c r="AC1939" s="8">
        <v>0</v>
      </c>
    </row>
    <row r="1940" spans="1:29" ht="11.65" x14ac:dyDescent="0.35">
      <c r="A1940" s="12">
        <v>1923</v>
      </c>
      <c r="B1940" s="10" t="s">
        <v>1015</v>
      </c>
      <c r="C1940" s="11" t="s">
        <v>1152</v>
      </c>
      <c r="D1940" s="9">
        <v>10</v>
      </c>
      <c r="E1940" s="9">
        <v>446</v>
      </c>
      <c r="F1940" s="10" t="s">
        <v>1066</v>
      </c>
      <c r="G1940" s="9">
        <v>906</v>
      </c>
      <c r="H1940" s="9">
        <v>1960</v>
      </c>
      <c r="I1940" s="8">
        <v>12.364000000000001</v>
      </c>
      <c r="J1940" s="8">
        <v>13.552</v>
      </c>
      <c r="K1940" s="8">
        <v>10.445</v>
      </c>
      <c r="L1940" s="8">
        <v>5.9210000000000003</v>
      </c>
      <c r="M1940" s="8">
        <v>4.532</v>
      </c>
      <c r="N1940" s="8">
        <v>4.9829999999999997</v>
      </c>
      <c r="O1940" s="8">
        <v>4.9169999999999998</v>
      </c>
      <c r="P1940" s="8">
        <v>5.2009999999999996</v>
      </c>
      <c r="Q1940" s="8">
        <v>5.0259999999999998</v>
      </c>
      <c r="R1940" s="8">
        <v>4.4859999999999998</v>
      </c>
      <c r="S1940" s="8">
        <v>3.62</v>
      </c>
      <c r="T1940" s="8">
        <v>2.6640000000000001</v>
      </c>
      <c r="U1940" s="8">
        <v>1.9390000000000001</v>
      </c>
      <c r="V1940" s="8">
        <v>1.274</v>
      </c>
      <c r="W1940" s="8">
        <v>0.83099999999999996</v>
      </c>
      <c r="X1940" s="8">
        <v>0.46100000000000002</v>
      </c>
      <c r="Y1940" s="8">
        <v>0.182</v>
      </c>
      <c r="Z1940" s="8">
        <v>5.1999999999999998E-2</v>
      </c>
      <c r="AA1940" s="8">
        <v>8.9999999999999993E-3</v>
      </c>
      <c r="AB1940" s="8">
        <v>0</v>
      </c>
      <c r="AC1940" s="8">
        <v>0</v>
      </c>
    </row>
    <row r="1941" spans="1:29" ht="11.65" x14ac:dyDescent="0.35">
      <c r="A1941" s="12">
        <v>1924</v>
      </c>
      <c r="B1941" s="10" t="s">
        <v>1015</v>
      </c>
      <c r="C1941" s="11" t="s">
        <v>1152</v>
      </c>
      <c r="D1941" s="9">
        <v>10</v>
      </c>
      <c r="E1941" s="9">
        <v>446</v>
      </c>
      <c r="F1941" s="10" t="s">
        <v>1066</v>
      </c>
      <c r="G1941" s="9">
        <v>906</v>
      </c>
      <c r="H1941" s="9">
        <v>1965</v>
      </c>
      <c r="I1941" s="8">
        <v>13.733000000000001</v>
      </c>
      <c r="J1941" s="8">
        <v>16.007999999999999</v>
      </c>
      <c r="K1941" s="8">
        <v>17.352</v>
      </c>
      <c r="L1941" s="8">
        <v>10.263999999999999</v>
      </c>
      <c r="M1941" s="8">
        <v>5.6109999999999998</v>
      </c>
      <c r="N1941" s="8">
        <v>4.1230000000000002</v>
      </c>
      <c r="O1941" s="8">
        <v>5.5579999999999998</v>
      </c>
      <c r="P1941" s="8">
        <v>5.7489999999999997</v>
      </c>
      <c r="Q1941" s="8">
        <v>5.5010000000000003</v>
      </c>
      <c r="R1941" s="8">
        <v>4.7990000000000004</v>
      </c>
      <c r="S1941" s="8">
        <v>4.2489999999999997</v>
      </c>
      <c r="T1941" s="8">
        <v>3.2919999999999998</v>
      </c>
      <c r="U1941" s="8">
        <v>2.3239999999999998</v>
      </c>
      <c r="V1941" s="8">
        <v>1.6930000000000001</v>
      </c>
      <c r="W1941" s="8">
        <v>0.90800000000000003</v>
      </c>
      <c r="X1941" s="8">
        <v>0.55200000000000005</v>
      </c>
      <c r="Y1941" s="8">
        <v>0.23699999999999999</v>
      </c>
      <c r="Z1941" s="8">
        <v>6.0999999999999999E-2</v>
      </c>
      <c r="AA1941" s="8">
        <v>8.0000000000000002E-3</v>
      </c>
      <c r="AB1941" s="8">
        <v>0</v>
      </c>
      <c r="AC1941" s="8">
        <v>0</v>
      </c>
    </row>
    <row r="1942" spans="1:29" ht="11.65" x14ac:dyDescent="0.35">
      <c r="A1942" s="12">
        <v>1925</v>
      </c>
      <c r="B1942" s="10" t="s">
        <v>1015</v>
      </c>
      <c r="C1942" s="11" t="s">
        <v>1152</v>
      </c>
      <c r="D1942" s="9">
        <v>10</v>
      </c>
      <c r="E1942" s="9">
        <v>446</v>
      </c>
      <c r="F1942" s="10" t="s">
        <v>1066</v>
      </c>
      <c r="G1942" s="9">
        <v>906</v>
      </c>
      <c r="H1942" s="9">
        <v>1970</v>
      </c>
      <c r="I1942" s="8">
        <v>10.452</v>
      </c>
      <c r="J1942" s="8">
        <v>17.224</v>
      </c>
      <c r="K1942" s="8">
        <v>21.981999999999999</v>
      </c>
      <c r="L1942" s="8">
        <v>19.911999999999999</v>
      </c>
      <c r="M1942" s="8">
        <v>11.315</v>
      </c>
      <c r="N1942" s="8">
        <v>5.032</v>
      </c>
      <c r="O1942" s="8">
        <v>5.6630000000000003</v>
      </c>
      <c r="P1942" s="8">
        <v>6.367</v>
      </c>
      <c r="Q1942" s="8">
        <v>6.7210000000000001</v>
      </c>
      <c r="R1942" s="8">
        <v>5.76</v>
      </c>
      <c r="S1942" s="8">
        <v>4.5510000000000002</v>
      </c>
      <c r="T1942" s="8">
        <v>4.0270000000000001</v>
      </c>
      <c r="U1942" s="8">
        <v>2.98</v>
      </c>
      <c r="V1942" s="8">
        <v>2.0310000000000001</v>
      </c>
      <c r="W1942" s="8">
        <v>1.482</v>
      </c>
      <c r="X1942" s="8">
        <v>0.71599999999999997</v>
      </c>
      <c r="Y1942" s="8">
        <v>0.316</v>
      </c>
      <c r="Z1942" s="8">
        <v>8.3000000000000004E-2</v>
      </c>
      <c r="AA1942" s="8">
        <v>1.0999999999999999E-2</v>
      </c>
      <c r="AB1942" s="8">
        <v>0</v>
      </c>
      <c r="AC1942" s="8">
        <v>0</v>
      </c>
    </row>
    <row r="1943" spans="1:29" ht="11.65" x14ac:dyDescent="0.35">
      <c r="A1943" s="12">
        <v>1926</v>
      </c>
      <c r="B1943" s="10" t="s">
        <v>1015</v>
      </c>
      <c r="C1943" s="11" t="s">
        <v>1152</v>
      </c>
      <c r="D1943" s="9">
        <v>10</v>
      </c>
      <c r="E1943" s="9">
        <v>446</v>
      </c>
      <c r="F1943" s="10" t="s">
        <v>1066</v>
      </c>
      <c r="G1943" s="9">
        <v>906</v>
      </c>
      <c r="H1943" s="9">
        <v>1975</v>
      </c>
      <c r="I1943" s="8">
        <v>8.3550000000000004</v>
      </c>
      <c r="J1943" s="8">
        <v>10.523</v>
      </c>
      <c r="K1943" s="8">
        <v>15.613</v>
      </c>
      <c r="L1943" s="8">
        <v>19.561</v>
      </c>
      <c r="M1943" s="8">
        <v>17.239999999999998</v>
      </c>
      <c r="N1943" s="8">
        <v>10.949</v>
      </c>
      <c r="O1943" s="8">
        <v>5.74</v>
      </c>
      <c r="P1943" s="8">
        <v>5.7210000000000001</v>
      </c>
      <c r="Q1943" s="8">
        <v>5.681</v>
      </c>
      <c r="R1943" s="8">
        <v>6.0359999999999996</v>
      </c>
      <c r="S1943" s="8">
        <v>5.0010000000000003</v>
      </c>
      <c r="T1943" s="8">
        <v>4.367</v>
      </c>
      <c r="U1943" s="8">
        <v>3.496</v>
      </c>
      <c r="V1943" s="8">
        <v>2.665</v>
      </c>
      <c r="W1943" s="8">
        <v>1.5149999999999999</v>
      </c>
      <c r="X1943" s="8">
        <v>1.0349999999999999</v>
      </c>
      <c r="Y1943" s="8">
        <v>0.39400000000000002</v>
      </c>
      <c r="Z1943" s="8">
        <v>0.123</v>
      </c>
      <c r="AA1943" s="8">
        <v>1.7000000000000001E-2</v>
      </c>
      <c r="AB1943" s="8">
        <v>0</v>
      </c>
      <c r="AC1943" s="8">
        <v>0</v>
      </c>
    </row>
    <row r="1944" spans="1:29" ht="11.65" x14ac:dyDescent="0.35">
      <c r="A1944" s="12">
        <v>1927</v>
      </c>
      <c r="B1944" s="10" t="s">
        <v>1015</v>
      </c>
      <c r="C1944" s="11" t="s">
        <v>1152</v>
      </c>
      <c r="D1944" s="9">
        <v>10</v>
      </c>
      <c r="E1944" s="9">
        <v>446</v>
      </c>
      <c r="F1944" s="10" t="s">
        <v>1066</v>
      </c>
      <c r="G1944" s="9">
        <v>906</v>
      </c>
      <c r="H1944" s="9">
        <v>1980</v>
      </c>
      <c r="I1944" s="8">
        <v>8.39</v>
      </c>
      <c r="J1944" s="8">
        <v>10.305</v>
      </c>
      <c r="K1944" s="8">
        <v>10.757</v>
      </c>
      <c r="L1944" s="8">
        <v>13.824</v>
      </c>
      <c r="M1944" s="8">
        <v>16.684000000000001</v>
      </c>
      <c r="N1944" s="8">
        <v>14.414999999999999</v>
      </c>
      <c r="O1944" s="8">
        <v>10.467000000000001</v>
      </c>
      <c r="P1944" s="8">
        <v>6.3449999999999998</v>
      </c>
      <c r="Q1944" s="8">
        <v>4.8449999999999998</v>
      </c>
      <c r="R1944" s="8">
        <v>4.93</v>
      </c>
      <c r="S1944" s="8">
        <v>5.3380000000000001</v>
      </c>
      <c r="T1944" s="8">
        <v>4.2690000000000001</v>
      </c>
      <c r="U1944" s="8">
        <v>4.2359999999999998</v>
      </c>
      <c r="V1944" s="8">
        <v>2.9380000000000002</v>
      </c>
      <c r="W1944" s="8">
        <v>2.3460000000000001</v>
      </c>
      <c r="X1944" s="8">
        <v>0.98099999999999998</v>
      </c>
      <c r="Y1944" s="8">
        <v>0.73</v>
      </c>
      <c r="Z1944" s="8">
        <v>0.16900000000000001</v>
      </c>
      <c r="AA1944" s="8">
        <v>0.03</v>
      </c>
      <c r="AB1944" s="8">
        <v>2E-3</v>
      </c>
      <c r="AC1944" s="8">
        <v>0</v>
      </c>
    </row>
    <row r="1945" spans="1:29" ht="11.65" x14ac:dyDescent="0.35">
      <c r="A1945" s="12">
        <v>1928</v>
      </c>
      <c r="B1945" s="10" t="s">
        <v>1015</v>
      </c>
      <c r="C1945" s="11" t="s">
        <v>1152</v>
      </c>
      <c r="D1945" s="9">
        <v>10</v>
      </c>
      <c r="E1945" s="9">
        <v>446</v>
      </c>
      <c r="F1945" s="10" t="s">
        <v>1066</v>
      </c>
      <c r="G1945" s="9">
        <v>906</v>
      </c>
      <c r="H1945" s="9">
        <v>1985</v>
      </c>
      <c r="I1945" s="8">
        <v>14.548</v>
      </c>
      <c r="J1945" s="8">
        <v>8.4879999999999995</v>
      </c>
      <c r="K1945" s="8">
        <v>11.208</v>
      </c>
      <c r="L1945" s="8">
        <v>11.260999999999999</v>
      </c>
      <c r="M1945" s="8">
        <v>15.632</v>
      </c>
      <c r="N1945" s="8">
        <v>19.181000000000001</v>
      </c>
      <c r="O1945" s="8">
        <v>16.34</v>
      </c>
      <c r="P1945" s="8">
        <v>11.695</v>
      </c>
      <c r="Q1945" s="8">
        <v>6.7919999999999998</v>
      </c>
      <c r="R1945" s="8">
        <v>5.173</v>
      </c>
      <c r="S1945" s="8">
        <v>5.0350000000000001</v>
      </c>
      <c r="T1945" s="8">
        <v>5.1219999999999999</v>
      </c>
      <c r="U1945" s="8">
        <v>3.9569999999999999</v>
      </c>
      <c r="V1945" s="8">
        <v>3.4780000000000002</v>
      </c>
      <c r="W1945" s="8">
        <v>2.2400000000000002</v>
      </c>
      <c r="X1945" s="8">
        <v>1.776</v>
      </c>
      <c r="Y1945" s="8">
        <v>0.59599999999999997</v>
      </c>
      <c r="Z1945" s="8">
        <v>0.33600000000000002</v>
      </c>
      <c r="AA1945" s="8">
        <v>4.4999999999999998E-2</v>
      </c>
      <c r="AB1945" s="8">
        <v>4.0000000000000001E-3</v>
      </c>
      <c r="AC1945" s="8">
        <v>0</v>
      </c>
    </row>
    <row r="1946" spans="1:29" ht="11.65" x14ac:dyDescent="0.35">
      <c r="A1946" s="12">
        <v>1929</v>
      </c>
      <c r="B1946" s="10" t="s">
        <v>1015</v>
      </c>
      <c r="C1946" s="11" t="s">
        <v>1152</v>
      </c>
      <c r="D1946" s="9">
        <v>10</v>
      </c>
      <c r="E1946" s="9">
        <v>446</v>
      </c>
      <c r="F1946" s="10" t="s">
        <v>1066</v>
      </c>
      <c r="G1946" s="9">
        <v>906</v>
      </c>
      <c r="H1946" s="9">
        <v>1990</v>
      </c>
      <c r="I1946" s="8">
        <v>18.346</v>
      </c>
      <c r="J1946" s="8">
        <v>16.058</v>
      </c>
      <c r="K1946" s="8">
        <v>10.754</v>
      </c>
      <c r="L1946" s="8">
        <v>11.802</v>
      </c>
      <c r="M1946" s="8">
        <v>12.379</v>
      </c>
      <c r="N1946" s="8">
        <v>18.454000000000001</v>
      </c>
      <c r="O1946" s="8">
        <v>21.713999999999999</v>
      </c>
      <c r="P1946" s="8">
        <v>17.553000000000001</v>
      </c>
      <c r="Q1946" s="8">
        <v>12.337999999999999</v>
      </c>
      <c r="R1946" s="8">
        <v>6.391</v>
      </c>
      <c r="S1946" s="8">
        <v>5.4139999999999997</v>
      </c>
      <c r="T1946" s="8">
        <v>4.9470000000000001</v>
      </c>
      <c r="U1946" s="8">
        <v>4.7069999999999999</v>
      </c>
      <c r="V1946" s="8">
        <v>3.4180000000000001</v>
      </c>
      <c r="W1946" s="8">
        <v>2.677</v>
      </c>
      <c r="X1946" s="8">
        <v>1.5449999999999999</v>
      </c>
      <c r="Y1946" s="8">
        <v>0.93400000000000005</v>
      </c>
      <c r="Z1946" s="8">
        <v>0.29399999999999998</v>
      </c>
      <c r="AA1946" s="8">
        <v>0.10199999999999999</v>
      </c>
      <c r="AB1946" s="8">
        <v>6.0000000000000001E-3</v>
      </c>
      <c r="AC1946" s="8">
        <v>0</v>
      </c>
    </row>
    <row r="1947" spans="1:29" ht="11.65" x14ac:dyDescent="0.35">
      <c r="A1947" s="12">
        <v>1930</v>
      </c>
      <c r="B1947" s="10" t="s">
        <v>1015</v>
      </c>
      <c r="C1947" s="11" t="s">
        <v>1152</v>
      </c>
      <c r="D1947" s="9">
        <v>10</v>
      </c>
      <c r="E1947" s="9">
        <v>446</v>
      </c>
      <c r="F1947" s="10" t="s">
        <v>1066</v>
      </c>
      <c r="G1947" s="9">
        <v>906</v>
      </c>
      <c r="H1947" s="9">
        <v>1995</v>
      </c>
      <c r="I1947" s="8">
        <v>15.154</v>
      </c>
      <c r="J1947" s="8">
        <v>18.760000000000002</v>
      </c>
      <c r="K1947" s="8">
        <v>16.244</v>
      </c>
      <c r="L1947" s="8">
        <v>10.926</v>
      </c>
      <c r="M1947" s="8">
        <v>12.385999999999999</v>
      </c>
      <c r="N1947" s="8">
        <v>13.343</v>
      </c>
      <c r="O1947" s="8">
        <v>19.393000000000001</v>
      </c>
      <c r="P1947" s="8">
        <v>22.38</v>
      </c>
      <c r="Q1947" s="8">
        <v>17.863</v>
      </c>
      <c r="R1947" s="8">
        <v>12.494999999999999</v>
      </c>
      <c r="S1947" s="8">
        <v>6.4569999999999999</v>
      </c>
      <c r="T1947" s="8">
        <v>5.3730000000000002</v>
      </c>
      <c r="U1947" s="8">
        <v>4.8230000000000004</v>
      </c>
      <c r="V1947" s="8">
        <v>4.4409999999999998</v>
      </c>
      <c r="W1947" s="8">
        <v>3.0289999999999999</v>
      </c>
      <c r="X1947" s="8">
        <v>2.113</v>
      </c>
      <c r="Y1947" s="8">
        <v>1.0740000000000001</v>
      </c>
      <c r="Z1947" s="8">
        <v>0.48</v>
      </c>
      <c r="AA1947" s="8">
        <v>9.6000000000000002E-2</v>
      </c>
      <c r="AB1947" s="8">
        <v>1.7000000000000001E-2</v>
      </c>
      <c r="AC1947" s="8">
        <v>1E-3</v>
      </c>
    </row>
    <row r="1948" spans="1:29" ht="11.65" x14ac:dyDescent="0.35">
      <c r="A1948" s="12">
        <v>1931</v>
      </c>
      <c r="B1948" s="10" t="s">
        <v>1015</v>
      </c>
      <c r="C1948" s="11" t="s">
        <v>1152</v>
      </c>
      <c r="D1948" s="9">
        <v>10</v>
      </c>
      <c r="E1948" s="9">
        <v>446</v>
      </c>
      <c r="F1948" s="10" t="s">
        <v>1066</v>
      </c>
      <c r="G1948" s="9">
        <v>906</v>
      </c>
      <c r="H1948" s="9">
        <v>2000</v>
      </c>
      <c r="I1948" s="8">
        <v>11.754</v>
      </c>
      <c r="J1948" s="8">
        <v>17.782</v>
      </c>
      <c r="K1948" s="8">
        <v>20.896000000000001</v>
      </c>
      <c r="L1948" s="8">
        <v>16.471</v>
      </c>
      <c r="M1948" s="8">
        <v>11.074999999999999</v>
      </c>
      <c r="N1948" s="8">
        <v>13.771000000000001</v>
      </c>
      <c r="O1948" s="8">
        <v>14.342000000000001</v>
      </c>
      <c r="P1948" s="8">
        <v>21.077000000000002</v>
      </c>
      <c r="Q1948" s="8">
        <v>22.87</v>
      </c>
      <c r="R1948" s="8">
        <v>18.149999999999999</v>
      </c>
      <c r="S1948" s="8">
        <v>12.414</v>
      </c>
      <c r="T1948" s="8">
        <v>6.3129999999999997</v>
      </c>
      <c r="U1948" s="8">
        <v>5.0380000000000003</v>
      </c>
      <c r="V1948" s="8">
        <v>4.5250000000000004</v>
      </c>
      <c r="W1948" s="8">
        <v>3.8980000000000001</v>
      </c>
      <c r="X1948" s="8">
        <v>2.3180000000000001</v>
      </c>
      <c r="Y1948" s="8">
        <v>1.4179999999999999</v>
      </c>
      <c r="Z1948" s="8">
        <v>0.59199999999999997</v>
      </c>
      <c r="AA1948" s="8">
        <v>0.17499999999999999</v>
      </c>
      <c r="AB1948" s="8">
        <v>1.9E-2</v>
      </c>
      <c r="AC1948" s="8">
        <v>2E-3</v>
      </c>
    </row>
    <row r="1949" spans="1:29" ht="11.65" x14ac:dyDescent="0.35">
      <c r="A1949" s="12">
        <v>1932</v>
      </c>
      <c r="B1949" s="10" t="s">
        <v>1015</v>
      </c>
      <c r="C1949" s="11" t="s">
        <v>1152</v>
      </c>
      <c r="D1949" s="9">
        <v>10</v>
      </c>
      <c r="E1949" s="9">
        <v>446</v>
      </c>
      <c r="F1949" s="10" t="s">
        <v>1066</v>
      </c>
      <c r="G1949" s="9">
        <v>906</v>
      </c>
      <c r="H1949" s="9">
        <v>2005</v>
      </c>
      <c r="I1949" s="8">
        <v>9.3010000000000002</v>
      </c>
      <c r="J1949" s="8">
        <v>13.436</v>
      </c>
      <c r="K1949" s="8">
        <v>19.385000000000002</v>
      </c>
      <c r="L1949" s="8">
        <v>22.908000000000001</v>
      </c>
      <c r="M1949" s="8">
        <v>20.167999999999999</v>
      </c>
      <c r="N1949" s="8">
        <v>15.362</v>
      </c>
      <c r="O1949" s="8">
        <v>16.193000000000001</v>
      </c>
      <c r="P1949" s="8">
        <v>16.904</v>
      </c>
      <c r="Q1949" s="8">
        <v>22.588999999999999</v>
      </c>
      <c r="R1949" s="8">
        <v>23.37</v>
      </c>
      <c r="S1949" s="8">
        <v>17.768999999999998</v>
      </c>
      <c r="T1949" s="8">
        <v>11.45</v>
      </c>
      <c r="U1949" s="8">
        <v>6.2</v>
      </c>
      <c r="V1949" s="8">
        <v>4.968</v>
      </c>
      <c r="W1949" s="8">
        <v>3.8809999999999998</v>
      </c>
      <c r="X1949" s="8">
        <v>2.8839999999999999</v>
      </c>
      <c r="Y1949" s="8">
        <v>1.5549999999999999</v>
      </c>
      <c r="Z1949" s="8">
        <v>0.81</v>
      </c>
      <c r="AA1949" s="8">
        <v>0.23</v>
      </c>
      <c r="AB1949" s="8">
        <v>3.6999999999999998E-2</v>
      </c>
      <c r="AC1949" s="8">
        <v>2E-3</v>
      </c>
    </row>
    <row r="1950" spans="1:29" ht="11.65" x14ac:dyDescent="0.35">
      <c r="A1950" s="12">
        <v>1933</v>
      </c>
      <c r="B1950" s="10" t="s">
        <v>1015</v>
      </c>
      <c r="C1950" s="11" t="s">
        <v>1152</v>
      </c>
      <c r="D1950" s="9">
        <v>10</v>
      </c>
      <c r="E1950" s="9">
        <v>446</v>
      </c>
      <c r="F1950" s="10" t="s">
        <v>1066</v>
      </c>
      <c r="G1950" s="9">
        <v>906</v>
      </c>
      <c r="H1950" s="9">
        <v>2010</v>
      </c>
      <c r="I1950" s="8">
        <v>11.895</v>
      </c>
      <c r="J1950" s="8">
        <v>9.9060000000000006</v>
      </c>
      <c r="K1950" s="8">
        <v>14.28</v>
      </c>
      <c r="L1950" s="8">
        <v>20.535</v>
      </c>
      <c r="M1950" s="8">
        <v>27.111000000000001</v>
      </c>
      <c r="N1950" s="8">
        <v>24.312999999999999</v>
      </c>
      <c r="O1950" s="8">
        <v>18.651</v>
      </c>
      <c r="P1950" s="8">
        <v>20.204000000000001</v>
      </c>
      <c r="Q1950" s="8">
        <v>18.832000000000001</v>
      </c>
      <c r="R1950" s="8">
        <v>23.850999999999999</v>
      </c>
      <c r="S1950" s="8">
        <v>22.81</v>
      </c>
      <c r="T1950" s="8">
        <v>18.003</v>
      </c>
      <c r="U1950" s="8">
        <v>11.864000000000001</v>
      </c>
      <c r="V1950" s="8">
        <v>5.3760000000000003</v>
      </c>
      <c r="W1950" s="8">
        <v>4.2759999999999998</v>
      </c>
      <c r="X1950" s="8">
        <v>3.0190000000000001</v>
      </c>
      <c r="Y1950" s="8">
        <v>2.0960000000000001</v>
      </c>
      <c r="Z1950" s="8">
        <v>0.91700000000000004</v>
      </c>
      <c r="AA1950" s="8">
        <v>0.32800000000000001</v>
      </c>
      <c r="AB1950" s="8">
        <v>5.1999999999999998E-2</v>
      </c>
      <c r="AC1950" s="8">
        <v>4.0000000000000001E-3</v>
      </c>
    </row>
    <row r="1951" spans="1:29" ht="11.65" x14ac:dyDescent="0.35">
      <c r="A1951" s="12">
        <v>1934</v>
      </c>
      <c r="B1951" s="10" t="s">
        <v>1015</v>
      </c>
      <c r="C1951" s="11" t="s">
        <v>1152</v>
      </c>
      <c r="D1951" s="9">
        <v>10</v>
      </c>
      <c r="E1951" s="9">
        <v>446</v>
      </c>
      <c r="F1951" s="10" t="s">
        <v>1066</v>
      </c>
      <c r="G1951" s="9">
        <v>906</v>
      </c>
      <c r="H1951" s="9">
        <v>2015</v>
      </c>
      <c r="I1951" s="8">
        <v>16.594000000000001</v>
      </c>
      <c r="J1951" s="8">
        <v>12.349</v>
      </c>
      <c r="K1951" s="8">
        <v>10.265000000000001</v>
      </c>
      <c r="L1951" s="8">
        <v>16.100000000000001</v>
      </c>
      <c r="M1951" s="8">
        <v>23.792000000000002</v>
      </c>
      <c r="N1951" s="8">
        <v>30.01</v>
      </c>
      <c r="O1951" s="8">
        <v>29.024999999999999</v>
      </c>
      <c r="P1951" s="8">
        <v>20.968</v>
      </c>
      <c r="Q1951" s="8">
        <v>21.268999999999998</v>
      </c>
      <c r="R1951" s="8">
        <v>19.420999999999999</v>
      </c>
      <c r="S1951" s="8">
        <v>24.132000000000001</v>
      </c>
      <c r="T1951" s="8">
        <v>22.83</v>
      </c>
      <c r="U1951" s="8">
        <v>17.774000000000001</v>
      </c>
      <c r="V1951" s="8">
        <v>11.430999999999999</v>
      </c>
      <c r="W1951" s="8">
        <v>5.032</v>
      </c>
      <c r="X1951" s="8">
        <v>3.7370000000000001</v>
      </c>
      <c r="Y1951" s="8">
        <v>2.347</v>
      </c>
      <c r="Z1951" s="8">
        <v>1.2809999999999999</v>
      </c>
      <c r="AA1951" s="8">
        <v>0.39500000000000002</v>
      </c>
      <c r="AB1951" s="8">
        <v>8.2000000000000003E-2</v>
      </c>
      <c r="AC1951" s="8">
        <v>7.0000000000000001E-3</v>
      </c>
    </row>
    <row r="1952" spans="1:29" ht="11.65" x14ac:dyDescent="0.35">
      <c r="A1952" s="12">
        <v>1935</v>
      </c>
      <c r="B1952" s="10" t="s">
        <v>1015</v>
      </c>
      <c r="C1952" s="11" t="s">
        <v>1152</v>
      </c>
      <c r="D1952" s="9">
        <v>10</v>
      </c>
      <c r="E1952" s="9">
        <v>446</v>
      </c>
      <c r="F1952" s="10" t="s">
        <v>1066</v>
      </c>
      <c r="G1952" s="9">
        <v>906</v>
      </c>
      <c r="H1952" s="9">
        <v>2020</v>
      </c>
      <c r="I1952" s="8">
        <v>18.367000000000001</v>
      </c>
      <c r="J1952" s="8">
        <v>16.913</v>
      </c>
      <c r="K1952" s="8">
        <v>12.603</v>
      </c>
      <c r="L1952" s="8">
        <v>11.566000000000001</v>
      </c>
      <c r="M1952" s="8">
        <v>18.428000000000001</v>
      </c>
      <c r="N1952" s="8">
        <v>25.998000000000001</v>
      </c>
      <c r="O1952" s="8">
        <v>31.65</v>
      </c>
      <c r="P1952" s="8">
        <v>30.123999999999999</v>
      </c>
      <c r="Q1952" s="8">
        <v>21.673999999999999</v>
      </c>
      <c r="R1952" s="8">
        <v>21.655999999999999</v>
      </c>
      <c r="S1952" s="8">
        <v>19.559000000000001</v>
      </c>
      <c r="T1952" s="8">
        <v>23.956</v>
      </c>
      <c r="U1952" s="8">
        <v>22.359000000000002</v>
      </c>
      <c r="V1952" s="8">
        <v>17.088999999999999</v>
      </c>
      <c r="W1952" s="8">
        <v>10.643000000000001</v>
      </c>
      <c r="X1952" s="8">
        <v>4.4210000000000003</v>
      </c>
      <c r="Y1952" s="8">
        <v>2.93</v>
      </c>
      <c r="Z1952" s="8">
        <v>1.476</v>
      </c>
      <c r="AA1952" s="8">
        <v>0.57399999999999995</v>
      </c>
      <c r="AB1952" s="8">
        <v>0.10299999999999999</v>
      </c>
      <c r="AC1952" s="8">
        <v>1.0999999999999999E-2</v>
      </c>
    </row>
    <row r="1953" spans="1:29" ht="11.65" x14ac:dyDescent="0.35">
      <c r="A1953" s="12">
        <v>1936</v>
      </c>
      <c r="B1953" s="10" t="s">
        <v>1015</v>
      </c>
      <c r="C1953" s="11" t="s">
        <v>1153</v>
      </c>
      <c r="D1953" s="9">
        <v>11</v>
      </c>
      <c r="E1953" s="9">
        <v>158</v>
      </c>
      <c r="F1953" s="10" t="s">
        <v>1066</v>
      </c>
      <c r="G1953" s="9">
        <v>906</v>
      </c>
      <c r="H1953" s="9">
        <v>1950</v>
      </c>
      <c r="I1953" s="8">
        <v>636.89</v>
      </c>
      <c r="J1953" s="8">
        <v>513.71600000000001</v>
      </c>
      <c r="K1953" s="8">
        <v>467.04300000000001</v>
      </c>
      <c r="L1953" s="8">
        <v>390.20600000000002</v>
      </c>
      <c r="M1953" s="8">
        <v>368.59399999999999</v>
      </c>
      <c r="N1953" s="8">
        <v>337.79899999999998</v>
      </c>
      <c r="O1953" s="8">
        <v>304.49700000000001</v>
      </c>
      <c r="P1953" s="8">
        <v>256.19099999999997</v>
      </c>
      <c r="Q1953" s="8">
        <v>193.416</v>
      </c>
      <c r="R1953" s="8">
        <v>148.459</v>
      </c>
      <c r="S1953" s="8">
        <v>104.05</v>
      </c>
      <c r="T1953" s="8">
        <v>78.006</v>
      </c>
      <c r="U1953" s="8">
        <v>52.32</v>
      </c>
      <c r="V1953" s="8">
        <v>30.49</v>
      </c>
      <c r="W1953" s="8">
        <v>16.771000000000001</v>
      </c>
      <c r="X1953" s="8">
        <v>6.3049999999999997</v>
      </c>
      <c r="Y1953" s="8">
        <v>3.1160000000000001</v>
      </c>
      <c r="Z1953" s="8">
        <v>0.26400000000000001</v>
      </c>
      <c r="AA1953" s="8">
        <v>0.02</v>
      </c>
      <c r="AB1953" s="8">
        <v>3.0000000000000001E-3</v>
      </c>
      <c r="AC1953" s="8">
        <v>0</v>
      </c>
    </row>
    <row r="1954" spans="1:29" ht="11.65" x14ac:dyDescent="0.35">
      <c r="A1954" s="12">
        <v>1937</v>
      </c>
      <c r="B1954" s="10" t="s">
        <v>1015</v>
      </c>
      <c r="C1954" s="11" t="s">
        <v>1153</v>
      </c>
      <c r="D1954" s="9">
        <v>11</v>
      </c>
      <c r="E1954" s="9">
        <v>158</v>
      </c>
      <c r="F1954" s="10" t="s">
        <v>1066</v>
      </c>
      <c r="G1954" s="9">
        <v>906</v>
      </c>
      <c r="H1954" s="9">
        <v>1955</v>
      </c>
      <c r="I1954" s="8">
        <v>904.12</v>
      </c>
      <c r="J1954" s="8">
        <v>636.03700000000003</v>
      </c>
      <c r="K1954" s="8">
        <v>519.57500000000005</v>
      </c>
      <c r="L1954" s="8">
        <v>462.63799999999998</v>
      </c>
      <c r="M1954" s="8">
        <v>375.66199999999998</v>
      </c>
      <c r="N1954" s="8">
        <v>356.42899999999997</v>
      </c>
      <c r="O1954" s="8">
        <v>325.75599999999997</v>
      </c>
      <c r="P1954" s="8">
        <v>286.60700000000003</v>
      </c>
      <c r="Q1954" s="8">
        <v>243.904</v>
      </c>
      <c r="R1954" s="8">
        <v>191.57400000000001</v>
      </c>
      <c r="S1954" s="8">
        <v>142.65100000000001</v>
      </c>
      <c r="T1954" s="8">
        <v>100.76300000000001</v>
      </c>
      <c r="U1954" s="8">
        <v>65.305999999999997</v>
      </c>
      <c r="V1954" s="8">
        <v>39.286000000000001</v>
      </c>
      <c r="W1954" s="8">
        <v>26.881</v>
      </c>
      <c r="X1954" s="8">
        <v>11.996</v>
      </c>
      <c r="Y1954" s="8">
        <v>4.0270000000000001</v>
      </c>
      <c r="Z1954" s="8">
        <v>1.1439999999999999</v>
      </c>
      <c r="AA1954" s="8">
        <v>2.7E-2</v>
      </c>
      <c r="AB1954" s="8">
        <v>2E-3</v>
      </c>
      <c r="AC1954" s="8">
        <v>0</v>
      </c>
    </row>
    <row r="1955" spans="1:29" ht="11.65" x14ac:dyDescent="0.35">
      <c r="A1955" s="12">
        <v>1938</v>
      </c>
      <c r="B1955" s="10" t="s">
        <v>1015</v>
      </c>
      <c r="C1955" s="11" t="s">
        <v>1153</v>
      </c>
      <c r="D1955" s="9">
        <v>11</v>
      </c>
      <c r="E1955" s="9">
        <v>158</v>
      </c>
      <c r="F1955" s="10" t="s">
        <v>1066</v>
      </c>
      <c r="G1955" s="9">
        <v>906</v>
      </c>
      <c r="H1955" s="9">
        <v>1960</v>
      </c>
      <c r="I1955" s="8">
        <v>987.04499999999996</v>
      </c>
      <c r="J1955" s="8">
        <v>891.66499999999996</v>
      </c>
      <c r="K1955" s="8">
        <v>626.66999999999996</v>
      </c>
      <c r="L1955" s="8">
        <v>511.71600000000001</v>
      </c>
      <c r="M1955" s="8">
        <v>450.21100000000001</v>
      </c>
      <c r="N1955" s="8">
        <v>370.27</v>
      </c>
      <c r="O1955" s="8">
        <v>351.947</v>
      </c>
      <c r="P1955" s="8">
        <v>320.14100000000002</v>
      </c>
      <c r="Q1955" s="8">
        <v>280.38499999999999</v>
      </c>
      <c r="R1955" s="8">
        <v>236.40199999999999</v>
      </c>
      <c r="S1955" s="8">
        <v>182.56100000000001</v>
      </c>
      <c r="T1955" s="8">
        <v>132.85900000000001</v>
      </c>
      <c r="U1955" s="8">
        <v>89.325999999999993</v>
      </c>
      <c r="V1955" s="8">
        <v>54.884</v>
      </c>
      <c r="W1955" s="8">
        <v>30.183</v>
      </c>
      <c r="X1955" s="8">
        <v>17.640999999999998</v>
      </c>
      <c r="Y1955" s="8">
        <v>6.3330000000000002</v>
      </c>
      <c r="Z1955" s="8">
        <v>1.522</v>
      </c>
      <c r="AA1955" s="8">
        <v>0.26700000000000002</v>
      </c>
      <c r="AB1955" s="8">
        <v>3.0000000000000001E-3</v>
      </c>
      <c r="AC1955" s="8">
        <v>0</v>
      </c>
    </row>
    <row r="1956" spans="1:29" ht="11.65" x14ac:dyDescent="0.35">
      <c r="A1956" s="12">
        <v>1939</v>
      </c>
      <c r="B1956" s="10" t="s">
        <v>1015</v>
      </c>
      <c r="C1956" s="11" t="s">
        <v>1153</v>
      </c>
      <c r="D1956" s="9">
        <v>11</v>
      </c>
      <c r="E1956" s="9">
        <v>158</v>
      </c>
      <c r="F1956" s="10" t="s">
        <v>1066</v>
      </c>
      <c r="G1956" s="9">
        <v>906</v>
      </c>
      <c r="H1956" s="9">
        <v>1965</v>
      </c>
      <c r="I1956" s="8">
        <v>1052.9860000000001</v>
      </c>
      <c r="J1956" s="8">
        <v>982.22900000000004</v>
      </c>
      <c r="K1956" s="8">
        <v>901.94</v>
      </c>
      <c r="L1956" s="8">
        <v>615.66300000000001</v>
      </c>
      <c r="M1956" s="8">
        <v>469.17700000000002</v>
      </c>
      <c r="N1956" s="8">
        <v>450.43900000000002</v>
      </c>
      <c r="O1956" s="8">
        <v>405.05700000000002</v>
      </c>
      <c r="P1956" s="8">
        <v>409.74400000000003</v>
      </c>
      <c r="Q1956" s="8">
        <v>351.65600000000001</v>
      </c>
      <c r="R1956" s="8">
        <v>288.22800000000001</v>
      </c>
      <c r="S1956" s="8">
        <v>238.886</v>
      </c>
      <c r="T1956" s="8">
        <v>182.41900000000001</v>
      </c>
      <c r="U1956" s="8">
        <v>116.46</v>
      </c>
      <c r="V1956" s="8">
        <v>76.557000000000002</v>
      </c>
      <c r="W1956" s="8">
        <v>44.27</v>
      </c>
      <c r="X1956" s="8">
        <v>22.184000000000001</v>
      </c>
      <c r="Y1956" s="8">
        <v>10.507</v>
      </c>
      <c r="Z1956" s="8">
        <v>2.3849999999999998</v>
      </c>
      <c r="AA1956" s="8">
        <v>0.32200000000000001</v>
      </c>
      <c r="AB1956" s="8">
        <v>2.5000000000000001E-2</v>
      </c>
      <c r="AC1956" s="8">
        <v>0</v>
      </c>
    </row>
    <row r="1957" spans="1:29" ht="11.65" x14ac:dyDescent="0.35">
      <c r="A1957" s="12">
        <v>1940</v>
      </c>
      <c r="B1957" s="10" t="s">
        <v>1015</v>
      </c>
      <c r="C1957" s="11" t="s">
        <v>1153</v>
      </c>
      <c r="D1957" s="9">
        <v>11</v>
      </c>
      <c r="E1957" s="9">
        <v>158</v>
      </c>
      <c r="F1957" s="10" t="s">
        <v>1066</v>
      </c>
      <c r="G1957" s="9">
        <v>906</v>
      </c>
      <c r="H1957" s="9">
        <v>1970</v>
      </c>
      <c r="I1957" s="8">
        <v>1026.7239999999999</v>
      </c>
      <c r="J1957" s="8">
        <v>1055.79</v>
      </c>
      <c r="K1957" s="8">
        <v>990.74900000000002</v>
      </c>
      <c r="L1957" s="8">
        <v>917.17600000000004</v>
      </c>
      <c r="M1957" s="8">
        <v>598.221</v>
      </c>
      <c r="N1957" s="8">
        <v>478.23899999999998</v>
      </c>
      <c r="O1957" s="8">
        <v>498.48399999999998</v>
      </c>
      <c r="P1957" s="8">
        <v>456.452</v>
      </c>
      <c r="Q1957" s="8">
        <v>450.90300000000002</v>
      </c>
      <c r="R1957" s="8">
        <v>381.041</v>
      </c>
      <c r="S1957" s="8">
        <v>287.81700000000001</v>
      </c>
      <c r="T1957" s="8">
        <v>243.26900000000001</v>
      </c>
      <c r="U1957" s="8">
        <v>170.13499999999999</v>
      </c>
      <c r="V1957" s="8">
        <v>89.945999999999998</v>
      </c>
      <c r="W1957" s="8">
        <v>50.319000000000003</v>
      </c>
      <c r="X1957" s="8">
        <v>36.953000000000003</v>
      </c>
      <c r="Y1957" s="8">
        <v>21.491</v>
      </c>
      <c r="Z1957" s="8">
        <v>3.633</v>
      </c>
      <c r="AA1957" s="8">
        <v>0.46800000000000003</v>
      </c>
      <c r="AB1957" s="8">
        <v>0.03</v>
      </c>
      <c r="AC1957" s="8">
        <v>1E-3</v>
      </c>
    </row>
    <row r="1958" spans="1:29" ht="11.65" x14ac:dyDescent="0.35">
      <c r="A1958" s="12">
        <v>1941</v>
      </c>
      <c r="B1958" s="10" t="s">
        <v>1015</v>
      </c>
      <c r="C1958" s="11" t="s">
        <v>1153</v>
      </c>
      <c r="D1958" s="9">
        <v>11</v>
      </c>
      <c r="E1958" s="9">
        <v>158</v>
      </c>
      <c r="F1958" s="10" t="s">
        <v>1066</v>
      </c>
      <c r="G1958" s="9">
        <v>906</v>
      </c>
      <c r="H1958" s="9">
        <v>1975</v>
      </c>
      <c r="I1958" s="8">
        <v>987.11</v>
      </c>
      <c r="J1958" s="8">
        <v>1022.739</v>
      </c>
      <c r="K1958" s="8">
        <v>1055.4469999999999</v>
      </c>
      <c r="L1958" s="8">
        <v>984.74699999999996</v>
      </c>
      <c r="M1958" s="8">
        <v>901.37900000000002</v>
      </c>
      <c r="N1958" s="8">
        <v>588.33299999999997</v>
      </c>
      <c r="O1958" s="8">
        <v>474.51400000000001</v>
      </c>
      <c r="P1958" s="8">
        <v>494.27300000000002</v>
      </c>
      <c r="Q1958" s="8">
        <v>449.85700000000003</v>
      </c>
      <c r="R1958" s="8">
        <v>439.91899999999998</v>
      </c>
      <c r="S1958" s="8">
        <v>363.18799999999999</v>
      </c>
      <c r="T1958" s="8">
        <v>266.202</v>
      </c>
      <c r="U1958" s="8">
        <v>218.27199999999999</v>
      </c>
      <c r="V1958" s="8">
        <v>140.87700000000001</v>
      </c>
      <c r="W1958" s="8">
        <v>66.756</v>
      </c>
      <c r="X1958" s="8">
        <v>31.861000000000001</v>
      </c>
      <c r="Y1958" s="8">
        <v>19.263999999999999</v>
      </c>
      <c r="Z1958" s="8">
        <v>9.02</v>
      </c>
      <c r="AA1958" s="8">
        <v>1.0609999999999999</v>
      </c>
      <c r="AB1958" s="8">
        <v>7.2999999999999995E-2</v>
      </c>
      <c r="AC1958" s="8">
        <v>2E-3</v>
      </c>
    </row>
    <row r="1959" spans="1:29" ht="11.65" x14ac:dyDescent="0.35">
      <c r="A1959" s="12">
        <v>1942</v>
      </c>
      <c r="B1959" s="10" t="s">
        <v>1015</v>
      </c>
      <c r="C1959" s="11" t="s">
        <v>1153</v>
      </c>
      <c r="D1959" s="9">
        <v>11</v>
      </c>
      <c r="E1959" s="9">
        <v>158</v>
      </c>
      <c r="F1959" s="10" t="s">
        <v>1066</v>
      </c>
      <c r="G1959" s="9">
        <v>906</v>
      </c>
      <c r="H1959" s="9">
        <v>1980</v>
      </c>
      <c r="I1959" s="8">
        <v>1008.071</v>
      </c>
      <c r="J1959" s="8">
        <v>937.54300000000001</v>
      </c>
      <c r="K1959" s="8">
        <v>991.83500000000004</v>
      </c>
      <c r="L1959" s="8">
        <v>1026.9000000000001</v>
      </c>
      <c r="M1959" s="8">
        <v>956.774</v>
      </c>
      <c r="N1959" s="8">
        <v>831.15899999999999</v>
      </c>
      <c r="O1959" s="8">
        <v>634.03</v>
      </c>
      <c r="P1959" s="8">
        <v>445.28199999999998</v>
      </c>
      <c r="Q1959" s="8">
        <v>435.46199999999999</v>
      </c>
      <c r="R1959" s="8">
        <v>476.79700000000003</v>
      </c>
      <c r="S1959" s="8">
        <v>460.22800000000001</v>
      </c>
      <c r="T1959" s="8">
        <v>386.19600000000003</v>
      </c>
      <c r="U1959" s="8">
        <v>266.45</v>
      </c>
      <c r="V1959" s="8">
        <v>208.41</v>
      </c>
      <c r="W1959" s="8">
        <v>126.991</v>
      </c>
      <c r="X1959" s="8">
        <v>59.423000000000002</v>
      </c>
      <c r="Y1959" s="8">
        <v>22.547999999999998</v>
      </c>
      <c r="Z1959" s="8">
        <v>8.5559999999999992</v>
      </c>
      <c r="AA1959" s="8">
        <v>2.9369999999999998</v>
      </c>
      <c r="AB1959" s="8">
        <v>0.24299999999999999</v>
      </c>
      <c r="AC1959" s="8">
        <v>1.0999999999999999E-2</v>
      </c>
    </row>
    <row r="1960" spans="1:29" ht="11.65" x14ac:dyDescent="0.35">
      <c r="A1960" s="12">
        <v>1943</v>
      </c>
      <c r="B1960" s="10" t="s">
        <v>1015</v>
      </c>
      <c r="C1960" s="11" t="s">
        <v>1153</v>
      </c>
      <c r="D1960" s="9">
        <v>11</v>
      </c>
      <c r="E1960" s="9">
        <v>158</v>
      </c>
      <c r="F1960" s="10" t="s">
        <v>1066</v>
      </c>
      <c r="G1960" s="9">
        <v>906</v>
      </c>
      <c r="H1960" s="9">
        <v>1985</v>
      </c>
      <c r="I1960" s="8">
        <v>1012.376</v>
      </c>
      <c r="J1960" s="8">
        <v>1006.192</v>
      </c>
      <c r="K1960" s="8">
        <v>937.67499999999995</v>
      </c>
      <c r="L1960" s="8">
        <v>997.327</v>
      </c>
      <c r="M1960" s="8">
        <v>1008.965</v>
      </c>
      <c r="N1960" s="8">
        <v>937.91499999999996</v>
      </c>
      <c r="O1960" s="8">
        <v>816.46199999999999</v>
      </c>
      <c r="P1960" s="8">
        <v>625.13300000000004</v>
      </c>
      <c r="Q1960" s="8">
        <v>434.32400000000001</v>
      </c>
      <c r="R1960" s="8">
        <v>422.423</v>
      </c>
      <c r="S1960" s="8">
        <v>457.72300000000001</v>
      </c>
      <c r="T1960" s="8">
        <v>433.66399999999999</v>
      </c>
      <c r="U1960" s="8">
        <v>355.92700000000002</v>
      </c>
      <c r="V1960" s="8">
        <v>234.65199999999999</v>
      </c>
      <c r="W1960" s="8">
        <v>170.09200000000001</v>
      </c>
      <c r="X1960" s="8">
        <v>87.656000000000006</v>
      </c>
      <c r="Y1960" s="8">
        <v>37.640999999999998</v>
      </c>
      <c r="Z1960" s="8">
        <v>10.379</v>
      </c>
      <c r="AA1960" s="8">
        <v>2.8820000000000001</v>
      </c>
      <c r="AB1960" s="8">
        <v>0.61699999999999999</v>
      </c>
      <c r="AC1960" s="8">
        <v>2.8000000000000001E-2</v>
      </c>
    </row>
    <row r="1961" spans="1:29" ht="11.65" x14ac:dyDescent="0.35">
      <c r="A1961" s="12">
        <v>1944</v>
      </c>
      <c r="B1961" s="10" t="s">
        <v>1015</v>
      </c>
      <c r="C1961" s="11" t="s">
        <v>1153</v>
      </c>
      <c r="D1961" s="9">
        <v>11</v>
      </c>
      <c r="E1961" s="9">
        <v>158</v>
      </c>
      <c r="F1961" s="10" t="s">
        <v>1066</v>
      </c>
      <c r="G1961" s="9">
        <v>906</v>
      </c>
      <c r="H1961" s="9">
        <v>1990</v>
      </c>
      <c r="I1961" s="8">
        <v>833.72400000000005</v>
      </c>
      <c r="J1961" s="8">
        <v>993.31899999999996</v>
      </c>
      <c r="K1961" s="8">
        <v>1051.749</v>
      </c>
      <c r="L1961" s="8">
        <v>914.39599999999996</v>
      </c>
      <c r="M1961" s="8">
        <v>965.654</v>
      </c>
      <c r="N1961" s="8">
        <v>1008.643</v>
      </c>
      <c r="O1961" s="8">
        <v>947.61099999999999</v>
      </c>
      <c r="P1961" s="8">
        <v>828.39800000000002</v>
      </c>
      <c r="Q1961" s="8">
        <v>620.19600000000003</v>
      </c>
      <c r="R1961" s="8">
        <v>430.74</v>
      </c>
      <c r="S1961" s="8">
        <v>412.07</v>
      </c>
      <c r="T1961" s="8">
        <v>428.97399999999999</v>
      </c>
      <c r="U1961" s="8">
        <v>393.214</v>
      </c>
      <c r="V1961" s="8">
        <v>315.35000000000002</v>
      </c>
      <c r="W1961" s="8">
        <v>189.85599999999999</v>
      </c>
      <c r="X1961" s="8">
        <v>121.96299999999999</v>
      </c>
      <c r="Y1961" s="8">
        <v>56.527999999999999</v>
      </c>
      <c r="Z1961" s="8">
        <v>17.326000000000001</v>
      </c>
      <c r="AA1961" s="8">
        <v>3.512</v>
      </c>
      <c r="AB1961" s="8">
        <v>0.61399999999999999</v>
      </c>
      <c r="AC1961" s="8">
        <v>6.9000000000000006E-2</v>
      </c>
    </row>
    <row r="1962" spans="1:29" ht="11.65" x14ac:dyDescent="0.35">
      <c r="A1962" s="12">
        <v>1945</v>
      </c>
      <c r="B1962" s="10" t="s">
        <v>1015</v>
      </c>
      <c r="C1962" s="11" t="s">
        <v>1153</v>
      </c>
      <c r="D1962" s="9">
        <v>11</v>
      </c>
      <c r="E1962" s="9">
        <v>158</v>
      </c>
      <c r="F1962" s="10" t="s">
        <v>1066</v>
      </c>
      <c r="G1962" s="9">
        <v>906</v>
      </c>
      <c r="H1962" s="9">
        <v>1995</v>
      </c>
      <c r="I1962" s="8">
        <v>840.68200000000002</v>
      </c>
      <c r="J1962" s="8">
        <v>829.40700000000004</v>
      </c>
      <c r="K1962" s="8">
        <v>982.279</v>
      </c>
      <c r="L1962" s="8">
        <v>1037.912</v>
      </c>
      <c r="M1962" s="8">
        <v>891.43799999999999</v>
      </c>
      <c r="N1962" s="8">
        <v>931.71100000000001</v>
      </c>
      <c r="O1962" s="8">
        <v>993.58799999999997</v>
      </c>
      <c r="P1962" s="8">
        <v>930.74599999999998</v>
      </c>
      <c r="Q1962" s="8">
        <v>806.80200000000002</v>
      </c>
      <c r="R1962" s="8">
        <v>600.45299999999997</v>
      </c>
      <c r="S1962" s="8">
        <v>414.06099999999998</v>
      </c>
      <c r="T1962" s="8">
        <v>391.44799999999998</v>
      </c>
      <c r="U1962" s="8">
        <v>398.46600000000001</v>
      </c>
      <c r="V1962" s="8">
        <v>351.93</v>
      </c>
      <c r="W1962" s="8">
        <v>262.78500000000003</v>
      </c>
      <c r="X1962" s="8">
        <v>140.321</v>
      </c>
      <c r="Y1962" s="8">
        <v>72.992999999999995</v>
      </c>
      <c r="Z1962" s="8">
        <v>27.838999999999999</v>
      </c>
      <c r="AA1962" s="8">
        <v>6.0860000000000003</v>
      </c>
      <c r="AB1962" s="8">
        <v>0.79</v>
      </c>
      <c r="AC1962" s="8">
        <v>8.2000000000000003E-2</v>
      </c>
    </row>
    <row r="1963" spans="1:29" ht="11.65" x14ac:dyDescent="0.35">
      <c r="A1963" s="12">
        <v>1946</v>
      </c>
      <c r="B1963" s="10" t="s">
        <v>1015</v>
      </c>
      <c r="C1963" s="11" t="s">
        <v>1153</v>
      </c>
      <c r="D1963" s="9">
        <v>11</v>
      </c>
      <c r="E1963" s="9">
        <v>158</v>
      </c>
      <c r="F1963" s="10" t="s">
        <v>1066</v>
      </c>
      <c r="G1963" s="9">
        <v>906</v>
      </c>
      <c r="H1963" s="9">
        <v>2000</v>
      </c>
      <c r="I1963" s="8">
        <v>777.15599999999995</v>
      </c>
      <c r="J1963" s="8">
        <v>832.101</v>
      </c>
      <c r="K1963" s="8">
        <v>819.00199999999995</v>
      </c>
      <c r="L1963" s="8">
        <v>966.80899999999997</v>
      </c>
      <c r="M1963" s="8">
        <v>1012.263</v>
      </c>
      <c r="N1963" s="8">
        <v>871.76099999999997</v>
      </c>
      <c r="O1963" s="8">
        <v>917.25300000000004</v>
      </c>
      <c r="P1963" s="8">
        <v>974.49099999999999</v>
      </c>
      <c r="Q1963" s="8">
        <v>912.43600000000004</v>
      </c>
      <c r="R1963" s="8">
        <v>785.88199999999995</v>
      </c>
      <c r="S1963" s="8">
        <v>569.55399999999997</v>
      </c>
      <c r="T1963" s="8">
        <v>379.3</v>
      </c>
      <c r="U1963" s="8">
        <v>354.1</v>
      </c>
      <c r="V1963" s="8">
        <v>351.11399999999998</v>
      </c>
      <c r="W1963" s="8">
        <v>296.50900000000001</v>
      </c>
      <c r="X1963" s="8">
        <v>198.977</v>
      </c>
      <c r="Y1963" s="8">
        <v>89.552000000000007</v>
      </c>
      <c r="Z1963" s="8">
        <v>38.43</v>
      </c>
      <c r="AA1963" s="8">
        <v>10.347</v>
      </c>
      <c r="AB1963" s="8">
        <v>1.4550000000000001</v>
      </c>
      <c r="AC1963" s="8">
        <v>0.11600000000000001</v>
      </c>
    </row>
    <row r="1964" spans="1:29" ht="11.65" x14ac:dyDescent="0.35">
      <c r="A1964" s="12">
        <v>1947</v>
      </c>
      <c r="B1964" s="10" t="s">
        <v>1015</v>
      </c>
      <c r="C1964" s="11" t="s">
        <v>1153</v>
      </c>
      <c r="D1964" s="9">
        <v>11</v>
      </c>
      <c r="E1964" s="9">
        <v>158</v>
      </c>
      <c r="F1964" s="10" t="s">
        <v>1066</v>
      </c>
      <c r="G1964" s="9">
        <v>906</v>
      </c>
      <c r="H1964" s="9">
        <v>2005</v>
      </c>
      <c r="I1964" s="8">
        <v>630.99400000000003</v>
      </c>
      <c r="J1964" s="8">
        <v>781.34199999999998</v>
      </c>
      <c r="K1964" s="8">
        <v>834.60299999999995</v>
      </c>
      <c r="L1964" s="8">
        <v>822.44</v>
      </c>
      <c r="M1964" s="8">
        <v>966.29600000000005</v>
      </c>
      <c r="N1964" s="8">
        <v>1007.997</v>
      </c>
      <c r="O1964" s="8">
        <v>875.04300000000001</v>
      </c>
      <c r="P1964" s="8">
        <v>933.97799999999995</v>
      </c>
      <c r="Q1964" s="8">
        <v>969.06799999999998</v>
      </c>
      <c r="R1964" s="8">
        <v>908.11599999999999</v>
      </c>
      <c r="S1964" s="8">
        <v>766.86800000000005</v>
      </c>
      <c r="T1964" s="8">
        <v>547.101</v>
      </c>
      <c r="U1964" s="8">
        <v>362.80099999999999</v>
      </c>
      <c r="V1964" s="8">
        <v>324.03300000000002</v>
      </c>
      <c r="W1964" s="8">
        <v>312.87799999999999</v>
      </c>
      <c r="X1964" s="8">
        <v>237.63399999999999</v>
      </c>
      <c r="Y1964" s="8">
        <v>140.59</v>
      </c>
      <c r="Z1964" s="8">
        <v>52.128999999999998</v>
      </c>
      <c r="AA1964" s="8">
        <v>16.917000000000002</v>
      </c>
      <c r="AB1964" s="8">
        <v>3.0350000000000001</v>
      </c>
      <c r="AC1964" s="8">
        <v>0.246</v>
      </c>
    </row>
    <row r="1965" spans="1:29" ht="11.65" x14ac:dyDescent="0.35">
      <c r="A1965" s="12">
        <v>1948</v>
      </c>
      <c r="B1965" s="10" t="s">
        <v>1015</v>
      </c>
      <c r="C1965" s="11" t="s">
        <v>1153</v>
      </c>
      <c r="D1965" s="9">
        <v>11</v>
      </c>
      <c r="E1965" s="9">
        <v>158</v>
      </c>
      <c r="F1965" s="10" t="s">
        <v>1066</v>
      </c>
      <c r="G1965" s="9">
        <v>906</v>
      </c>
      <c r="H1965" s="9">
        <v>2010</v>
      </c>
      <c r="I1965" s="8">
        <v>504.02300000000002</v>
      </c>
      <c r="J1965" s="8">
        <v>630.59500000000003</v>
      </c>
      <c r="K1965" s="8">
        <v>782.37</v>
      </c>
      <c r="L1965" s="8">
        <v>835.78499999999997</v>
      </c>
      <c r="M1965" s="8">
        <v>820.73299999999995</v>
      </c>
      <c r="N1965" s="8">
        <v>965.87699999999995</v>
      </c>
      <c r="O1965" s="8">
        <v>1020.502</v>
      </c>
      <c r="P1965" s="8">
        <v>890.05200000000002</v>
      </c>
      <c r="Q1965" s="8">
        <v>931.22699999999998</v>
      </c>
      <c r="R1965" s="8">
        <v>950.55700000000002</v>
      </c>
      <c r="S1965" s="8">
        <v>885.03300000000002</v>
      </c>
      <c r="T1965" s="8">
        <v>749.08900000000006</v>
      </c>
      <c r="U1965" s="8">
        <v>520.29100000000005</v>
      </c>
      <c r="V1965" s="8">
        <v>336.66199999999998</v>
      </c>
      <c r="W1965" s="8">
        <v>286.69099999999997</v>
      </c>
      <c r="X1965" s="8">
        <v>255.298</v>
      </c>
      <c r="Y1965" s="8">
        <v>173.74</v>
      </c>
      <c r="Z1965" s="8">
        <v>85.656000000000006</v>
      </c>
      <c r="AA1965" s="8">
        <v>24.175999999999998</v>
      </c>
      <c r="AB1965" s="8">
        <v>5.3410000000000002</v>
      </c>
      <c r="AC1965" s="8">
        <v>0.54</v>
      </c>
    </row>
    <row r="1966" spans="1:29" ht="11.65" x14ac:dyDescent="0.35">
      <c r="A1966" s="12">
        <v>1949</v>
      </c>
      <c r="B1966" s="10" t="s">
        <v>1015</v>
      </c>
      <c r="C1966" s="11" t="s">
        <v>1153</v>
      </c>
      <c r="D1966" s="9">
        <v>11</v>
      </c>
      <c r="E1966" s="9">
        <v>158</v>
      </c>
      <c r="F1966" s="10" t="s">
        <v>1066</v>
      </c>
      <c r="G1966" s="9">
        <v>906</v>
      </c>
      <c r="H1966" s="9">
        <v>2015</v>
      </c>
      <c r="I1966" s="8">
        <v>532.16499999999996</v>
      </c>
      <c r="J1966" s="8">
        <v>506.64299999999997</v>
      </c>
      <c r="K1966" s="8">
        <v>631.65700000000004</v>
      </c>
      <c r="L1966" s="8">
        <v>783.01</v>
      </c>
      <c r="M1966" s="8">
        <v>834.08399999999995</v>
      </c>
      <c r="N1966" s="8">
        <v>820.51499999999999</v>
      </c>
      <c r="O1966" s="8">
        <v>971.04700000000003</v>
      </c>
      <c r="P1966" s="8">
        <v>1012.652</v>
      </c>
      <c r="Q1966" s="8">
        <v>884.72699999999998</v>
      </c>
      <c r="R1966" s="8">
        <v>913.37400000000002</v>
      </c>
      <c r="S1966" s="8">
        <v>926.75400000000002</v>
      </c>
      <c r="T1966" s="8">
        <v>857.82</v>
      </c>
      <c r="U1966" s="8">
        <v>714.57100000000003</v>
      </c>
      <c r="V1966" s="8">
        <v>483.39499999999998</v>
      </c>
      <c r="W1966" s="8">
        <v>300.43799999999999</v>
      </c>
      <c r="X1966" s="8">
        <v>240.726</v>
      </c>
      <c r="Y1966" s="8">
        <v>191.48699999999999</v>
      </c>
      <c r="Z1966" s="8">
        <v>109.971</v>
      </c>
      <c r="AA1966" s="8">
        <v>41.802999999999997</v>
      </c>
      <c r="AB1966" s="8">
        <v>8.1170000000000009</v>
      </c>
      <c r="AC1966" s="8">
        <v>1.0249999999999999</v>
      </c>
    </row>
    <row r="1967" spans="1:29" ht="11.65" x14ac:dyDescent="0.35">
      <c r="A1967" s="12">
        <v>1950</v>
      </c>
      <c r="B1967" s="10" t="s">
        <v>1015</v>
      </c>
      <c r="C1967" s="11" t="s">
        <v>1153</v>
      </c>
      <c r="D1967" s="9">
        <v>11</v>
      </c>
      <c r="E1967" s="9">
        <v>158</v>
      </c>
      <c r="F1967" s="10" t="s">
        <v>1066</v>
      </c>
      <c r="G1967" s="9">
        <v>906</v>
      </c>
      <c r="H1967" s="9">
        <v>2020</v>
      </c>
      <c r="I1967" s="8">
        <v>523.99900000000002</v>
      </c>
      <c r="J1967" s="8">
        <v>540.94000000000005</v>
      </c>
      <c r="K1967" s="8">
        <v>506.74700000000001</v>
      </c>
      <c r="L1967" s="8">
        <v>632.322</v>
      </c>
      <c r="M1967" s="8">
        <v>781.58299999999997</v>
      </c>
      <c r="N1967" s="8">
        <v>833.60699999999997</v>
      </c>
      <c r="O1967" s="8">
        <v>825.16600000000005</v>
      </c>
      <c r="P1967" s="8">
        <v>964.22199999999998</v>
      </c>
      <c r="Q1967" s="8">
        <v>1005.619</v>
      </c>
      <c r="R1967" s="8">
        <v>869.27700000000004</v>
      </c>
      <c r="S1967" s="8">
        <v>892.48099999999999</v>
      </c>
      <c r="T1967" s="8">
        <v>900.18899999999996</v>
      </c>
      <c r="U1967" s="8">
        <v>820.90499999999997</v>
      </c>
      <c r="V1967" s="8">
        <v>667.28099999999995</v>
      </c>
      <c r="W1967" s="8">
        <v>434.53199999999998</v>
      </c>
      <c r="X1967" s="8">
        <v>255.25700000000001</v>
      </c>
      <c r="Y1967" s="8">
        <v>184.14500000000001</v>
      </c>
      <c r="Z1967" s="8">
        <v>124.43600000000001</v>
      </c>
      <c r="AA1967" s="8">
        <v>55.473999999999997</v>
      </c>
      <c r="AB1967" s="8">
        <v>14.500999999999999</v>
      </c>
      <c r="AC1967" s="8">
        <v>1.63</v>
      </c>
    </row>
    <row r="1968" spans="1:29" ht="11.65" x14ac:dyDescent="0.35">
      <c r="A1968" s="12">
        <v>1951</v>
      </c>
      <c r="B1968" s="10" t="s">
        <v>1015</v>
      </c>
      <c r="C1968" s="11" t="s">
        <v>1154</v>
      </c>
      <c r="D1968" s="9"/>
      <c r="E1968" s="9">
        <v>408</v>
      </c>
      <c r="F1968" s="10" t="s">
        <v>1066</v>
      </c>
      <c r="G1968" s="9">
        <v>906</v>
      </c>
      <c r="H1968" s="9">
        <v>1950</v>
      </c>
      <c r="I1968" s="8">
        <v>767.15200000000004</v>
      </c>
      <c r="J1968" s="8">
        <v>756.13800000000003</v>
      </c>
      <c r="K1968" s="8">
        <v>702.91899999999998</v>
      </c>
      <c r="L1968" s="8">
        <v>507.95499999999998</v>
      </c>
      <c r="M1968" s="8">
        <v>391.69400000000002</v>
      </c>
      <c r="N1968" s="8">
        <v>322.26499999999999</v>
      </c>
      <c r="O1968" s="8">
        <v>281.99900000000002</v>
      </c>
      <c r="P1968" s="8">
        <v>259.39</v>
      </c>
      <c r="Q1968" s="8">
        <v>197.82300000000001</v>
      </c>
      <c r="R1968" s="8">
        <v>177.12700000000001</v>
      </c>
      <c r="S1968" s="8">
        <v>152.846</v>
      </c>
      <c r="T1968" s="8">
        <v>127.373</v>
      </c>
      <c r="U1968" s="8">
        <v>94.733999999999995</v>
      </c>
      <c r="V1968" s="8">
        <v>70.852000000000004</v>
      </c>
      <c r="W1968" s="8">
        <v>35.424999999999997</v>
      </c>
      <c r="X1968" s="8">
        <v>18.707999999999998</v>
      </c>
      <c r="Y1968" s="8">
        <v>5.5720000000000001</v>
      </c>
      <c r="Z1968" s="8">
        <v>1.593</v>
      </c>
      <c r="AA1968" s="8">
        <v>0.23799999999999999</v>
      </c>
      <c r="AB1968" s="8">
        <v>0.02</v>
      </c>
      <c r="AC1968" s="8">
        <v>1E-3</v>
      </c>
    </row>
    <row r="1969" spans="1:29" ht="11.65" x14ac:dyDescent="0.35">
      <c r="A1969" s="12">
        <v>1952</v>
      </c>
      <c r="B1969" s="10" t="s">
        <v>1015</v>
      </c>
      <c r="C1969" s="11" t="s">
        <v>1154</v>
      </c>
      <c r="D1969" s="9"/>
      <c r="E1969" s="9">
        <v>408</v>
      </c>
      <c r="F1969" s="10" t="s">
        <v>1066</v>
      </c>
      <c r="G1969" s="9">
        <v>906</v>
      </c>
      <c r="H1969" s="9">
        <v>1955</v>
      </c>
      <c r="I1969" s="8">
        <v>505.92</v>
      </c>
      <c r="J1969" s="8">
        <v>686.77099999999996</v>
      </c>
      <c r="K1969" s="8">
        <v>723.40700000000004</v>
      </c>
      <c r="L1969" s="8">
        <v>658.6</v>
      </c>
      <c r="M1969" s="8">
        <v>424.63</v>
      </c>
      <c r="N1969" s="8">
        <v>291.16899999999998</v>
      </c>
      <c r="O1969" s="8">
        <v>239.18700000000001</v>
      </c>
      <c r="P1969" s="8">
        <v>220.89699999999999</v>
      </c>
      <c r="Q1969" s="8">
        <v>211.214</v>
      </c>
      <c r="R1969" s="8">
        <v>163.19800000000001</v>
      </c>
      <c r="S1969" s="8">
        <v>140.215</v>
      </c>
      <c r="T1969" s="8">
        <v>117.792</v>
      </c>
      <c r="U1969" s="8">
        <v>91.081000000000003</v>
      </c>
      <c r="V1969" s="8">
        <v>58.249000000000002</v>
      </c>
      <c r="W1969" s="8">
        <v>37.695</v>
      </c>
      <c r="X1969" s="8">
        <v>15.802</v>
      </c>
      <c r="Y1969" s="8">
        <v>6.476</v>
      </c>
      <c r="Z1969" s="8">
        <v>1.254</v>
      </c>
      <c r="AA1969" s="8">
        <v>0.23100000000000001</v>
      </c>
      <c r="AB1969" s="8">
        <v>3.4000000000000002E-2</v>
      </c>
      <c r="AC1969" s="8">
        <v>2E-3</v>
      </c>
    </row>
    <row r="1970" spans="1:29" ht="11.65" x14ac:dyDescent="0.35">
      <c r="A1970" s="12">
        <v>1953</v>
      </c>
      <c r="B1970" s="10" t="s">
        <v>1015</v>
      </c>
      <c r="C1970" s="11" t="s">
        <v>1154</v>
      </c>
      <c r="D1970" s="9"/>
      <c r="E1970" s="9">
        <v>408</v>
      </c>
      <c r="F1970" s="10" t="s">
        <v>1066</v>
      </c>
      <c r="G1970" s="9">
        <v>906</v>
      </c>
      <c r="H1970" s="9">
        <v>1960</v>
      </c>
      <c r="I1970" s="8">
        <v>980.49099999999999</v>
      </c>
      <c r="J1970" s="8">
        <v>483.88099999999997</v>
      </c>
      <c r="K1970" s="8">
        <v>671.16800000000001</v>
      </c>
      <c r="L1970" s="8">
        <v>707.58600000000001</v>
      </c>
      <c r="M1970" s="8">
        <v>636.45100000000002</v>
      </c>
      <c r="N1970" s="8">
        <v>405.76499999999999</v>
      </c>
      <c r="O1970" s="8">
        <v>276.34699999999998</v>
      </c>
      <c r="P1970" s="8">
        <v>225.77</v>
      </c>
      <c r="Q1970" s="8">
        <v>208.02</v>
      </c>
      <c r="R1970" s="8">
        <v>197.80600000000001</v>
      </c>
      <c r="S1970" s="8">
        <v>151.13999999999999</v>
      </c>
      <c r="T1970" s="8">
        <v>124.002</v>
      </c>
      <c r="U1970" s="8">
        <v>92.858000000000004</v>
      </c>
      <c r="V1970" s="8">
        <v>61.088999999999999</v>
      </c>
      <c r="W1970" s="8">
        <v>33.247</v>
      </c>
      <c r="X1970" s="8">
        <v>16.957000000000001</v>
      </c>
      <c r="Y1970" s="8">
        <v>4.9889999999999999</v>
      </c>
      <c r="Z1970" s="8">
        <v>1.413</v>
      </c>
      <c r="AA1970" s="8">
        <v>0.17299999999999999</v>
      </c>
      <c r="AB1970" s="8">
        <v>2.1000000000000001E-2</v>
      </c>
      <c r="AC1970" s="8">
        <v>2E-3</v>
      </c>
    </row>
    <row r="1971" spans="1:29" ht="11.65" x14ac:dyDescent="0.35">
      <c r="A1971" s="12">
        <v>1954</v>
      </c>
      <c r="B1971" s="10" t="s">
        <v>1015</v>
      </c>
      <c r="C1971" s="11" t="s">
        <v>1154</v>
      </c>
      <c r="D1971" s="9"/>
      <c r="E1971" s="9">
        <v>408</v>
      </c>
      <c r="F1971" s="10" t="s">
        <v>1066</v>
      </c>
      <c r="G1971" s="9">
        <v>906</v>
      </c>
      <c r="H1971" s="9">
        <v>1965</v>
      </c>
      <c r="I1971" s="8">
        <v>891.93299999999999</v>
      </c>
      <c r="J1971" s="8">
        <v>941.7</v>
      </c>
      <c r="K1971" s="8">
        <v>473.83699999999999</v>
      </c>
      <c r="L1971" s="8">
        <v>657.65599999999995</v>
      </c>
      <c r="M1971" s="8">
        <v>685.601</v>
      </c>
      <c r="N1971" s="8">
        <v>610.274</v>
      </c>
      <c r="O1971" s="8">
        <v>386.61599999999999</v>
      </c>
      <c r="P1971" s="8">
        <v>261.93799999999999</v>
      </c>
      <c r="Q1971" s="8">
        <v>213.459</v>
      </c>
      <c r="R1971" s="8">
        <v>195.57400000000001</v>
      </c>
      <c r="S1971" s="8">
        <v>183.91399999999999</v>
      </c>
      <c r="T1971" s="8">
        <v>134.363</v>
      </c>
      <c r="U1971" s="8">
        <v>98.558000000000007</v>
      </c>
      <c r="V1971" s="8">
        <v>63.005000000000003</v>
      </c>
      <c r="W1971" s="8">
        <v>35.363999999999997</v>
      </c>
      <c r="X1971" s="8">
        <v>15.212999999999999</v>
      </c>
      <c r="Y1971" s="8">
        <v>5.4260000000000002</v>
      </c>
      <c r="Z1971" s="8">
        <v>1.099</v>
      </c>
      <c r="AA1971" s="8">
        <v>0.19900000000000001</v>
      </c>
      <c r="AB1971" s="8">
        <v>1.4999999999999999E-2</v>
      </c>
      <c r="AC1971" s="8">
        <v>2E-3</v>
      </c>
    </row>
    <row r="1972" spans="1:29" ht="11.65" x14ac:dyDescent="0.35">
      <c r="A1972" s="12">
        <v>1955</v>
      </c>
      <c r="B1972" s="10" t="s">
        <v>1015</v>
      </c>
      <c r="C1972" s="11" t="s">
        <v>1154</v>
      </c>
      <c r="D1972" s="9"/>
      <c r="E1972" s="9">
        <v>408</v>
      </c>
      <c r="F1972" s="10" t="s">
        <v>1066</v>
      </c>
      <c r="G1972" s="9">
        <v>906</v>
      </c>
      <c r="H1972" s="9">
        <v>1970</v>
      </c>
      <c r="I1972" s="8">
        <v>1230.393</v>
      </c>
      <c r="J1972" s="8">
        <v>869.73199999999997</v>
      </c>
      <c r="K1972" s="8">
        <v>928.26499999999999</v>
      </c>
      <c r="L1972" s="8">
        <v>467.08600000000001</v>
      </c>
      <c r="M1972" s="8">
        <v>642.97199999999998</v>
      </c>
      <c r="N1972" s="8">
        <v>665.16899999999998</v>
      </c>
      <c r="O1972" s="8">
        <v>589.31100000000004</v>
      </c>
      <c r="P1972" s="8">
        <v>371.77699999999999</v>
      </c>
      <c r="Q1972" s="8">
        <v>251.143</v>
      </c>
      <c r="R1972" s="8">
        <v>203.495</v>
      </c>
      <c r="S1972" s="8">
        <v>184.47300000000001</v>
      </c>
      <c r="T1972" s="8">
        <v>166.709</v>
      </c>
      <c r="U1972" s="8">
        <v>110.197</v>
      </c>
      <c r="V1972" s="8">
        <v>69.956000000000003</v>
      </c>
      <c r="W1972" s="8">
        <v>38.573999999999998</v>
      </c>
      <c r="X1972" s="8">
        <v>17.280999999999999</v>
      </c>
      <c r="Y1972" s="8">
        <v>5.2729999999999997</v>
      </c>
      <c r="Z1972" s="8">
        <v>1.2969999999999999</v>
      </c>
      <c r="AA1972" s="8">
        <v>0.16500000000000001</v>
      </c>
      <c r="AB1972" s="8">
        <v>1.9E-2</v>
      </c>
      <c r="AC1972" s="8">
        <v>1E-3</v>
      </c>
    </row>
    <row r="1973" spans="1:29" ht="11.65" x14ac:dyDescent="0.35">
      <c r="A1973" s="12">
        <v>1956</v>
      </c>
      <c r="B1973" s="10" t="s">
        <v>1015</v>
      </c>
      <c r="C1973" s="11" t="s">
        <v>1154</v>
      </c>
      <c r="D1973" s="9"/>
      <c r="E1973" s="9">
        <v>408</v>
      </c>
      <c r="F1973" s="10" t="s">
        <v>1066</v>
      </c>
      <c r="G1973" s="9">
        <v>906</v>
      </c>
      <c r="H1973" s="9">
        <v>1975</v>
      </c>
      <c r="I1973" s="8">
        <v>1210.1790000000001</v>
      </c>
      <c r="J1973" s="8">
        <v>1210.1780000000001</v>
      </c>
      <c r="K1973" s="8">
        <v>861.27</v>
      </c>
      <c r="L1973" s="8">
        <v>918.98099999999999</v>
      </c>
      <c r="M1973" s="8">
        <v>459.65699999999998</v>
      </c>
      <c r="N1973" s="8">
        <v>629.22400000000005</v>
      </c>
      <c r="O1973" s="8">
        <v>648.70699999999999</v>
      </c>
      <c r="P1973" s="8">
        <v>572.822</v>
      </c>
      <c r="Q1973" s="8">
        <v>360.29700000000003</v>
      </c>
      <c r="R1973" s="8">
        <v>242.07</v>
      </c>
      <c r="S1973" s="8">
        <v>194.226</v>
      </c>
      <c r="T1973" s="8">
        <v>170.02500000000001</v>
      </c>
      <c r="U1973" s="8">
        <v>140.60499999999999</v>
      </c>
      <c r="V1973" s="8">
        <v>81.522000000000006</v>
      </c>
      <c r="W1973" s="8">
        <v>45.133000000000003</v>
      </c>
      <c r="X1973" s="8">
        <v>20.085000000000001</v>
      </c>
      <c r="Y1973" s="8">
        <v>6.4459999999999997</v>
      </c>
      <c r="Z1973" s="8">
        <v>1.357</v>
      </c>
      <c r="AA1973" s="8">
        <v>0.20899999999999999</v>
      </c>
      <c r="AB1973" s="8">
        <v>1.7000000000000001E-2</v>
      </c>
      <c r="AC1973" s="8">
        <v>1E-3</v>
      </c>
    </row>
    <row r="1974" spans="1:29" ht="11.65" x14ac:dyDescent="0.35">
      <c r="A1974" s="12">
        <v>1957</v>
      </c>
      <c r="B1974" s="10" t="s">
        <v>1015</v>
      </c>
      <c r="C1974" s="11" t="s">
        <v>1154</v>
      </c>
      <c r="D1974" s="9"/>
      <c r="E1974" s="9">
        <v>408</v>
      </c>
      <c r="F1974" s="10" t="s">
        <v>1066</v>
      </c>
      <c r="G1974" s="9">
        <v>906</v>
      </c>
      <c r="H1974" s="9">
        <v>1980</v>
      </c>
      <c r="I1974" s="8">
        <v>860.94100000000003</v>
      </c>
      <c r="J1974" s="8">
        <v>1196.431</v>
      </c>
      <c r="K1974" s="8">
        <v>1201.7909999999999</v>
      </c>
      <c r="L1974" s="8">
        <v>854.96600000000001</v>
      </c>
      <c r="M1974" s="8">
        <v>908.17399999999998</v>
      </c>
      <c r="N1974" s="8">
        <v>452.33800000000002</v>
      </c>
      <c r="O1974" s="8">
        <v>617.59100000000001</v>
      </c>
      <c r="P1974" s="8">
        <v>635.00599999999997</v>
      </c>
      <c r="Q1974" s="8">
        <v>559.14300000000003</v>
      </c>
      <c r="R1974" s="8">
        <v>349.93099999999998</v>
      </c>
      <c r="S1974" s="8">
        <v>233.00299999999999</v>
      </c>
      <c r="T1974" s="8">
        <v>181.25</v>
      </c>
      <c r="U1974" s="8">
        <v>146.536</v>
      </c>
      <c r="V1974" s="8">
        <v>107.492</v>
      </c>
      <c r="W1974" s="8">
        <v>54.874000000000002</v>
      </c>
      <c r="X1974" s="8">
        <v>24.77</v>
      </c>
      <c r="Y1974" s="8">
        <v>7.97</v>
      </c>
      <c r="Z1974" s="8">
        <v>1.7649999999999999</v>
      </c>
      <c r="AA1974" s="8">
        <v>0.23400000000000001</v>
      </c>
      <c r="AB1974" s="8">
        <v>2.3E-2</v>
      </c>
      <c r="AC1974" s="8">
        <v>1E-3</v>
      </c>
    </row>
    <row r="1975" spans="1:29" ht="11.65" x14ac:dyDescent="0.35">
      <c r="A1975" s="12">
        <v>1958</v>
      </c>
      <c r="B1975" s="10" t="s">
        <v>1015</v>
      </c>
      <c r="C1975" s="11" t="s">
        <v>1154</v>
      </c>
      <c r="D1975" s="9"/>
      <c r="E1975" s="9">
        <v>408</v>
      </c>
      <c r="F1975" s="10" t="s">
        <v>1066</v>
      </c>
      <c r="G1975" s="9">
        <v>906</v>
      </c>
      <c r="H1975" s="9">
        <v>1985</v>
      </c>
      <c r="I1975" s="8">
        <v>973.21799999999996</v>
      </c>
      <c r="J1975" s="8">
        <v>853.399</v>
      </c>
      <c r="K1975" s="8">
        <v>1189.8979999999999</v>
      </c>
      <c r="L1975" s="8">
        <v>1194.7349999999999</v>
      </c>
      <c r="M1975" s="8">
        <v>846.83399999999995</v>
      </c>
      <c r="N1975" s="8">
        <v>896.43100000000004</v>
      </c>
      <c r="O1975" s="8">
        <v>445.53100000000001</v>
      </c>
      <c r="P1975" s="8">
        <v>606.89300000000003</v>
      </c>
      <c r="Q1975" s="8">
        <v>622.35699999999997</v>
      </c>
      <c r="R1975" s="8">
        <v>545.44899999999996</v>
      </c>
      <c r="S1975" s="8">
        <v>338.52</v>
      </c>
      <c r="T1975" s="8">
        <v>219.09899999999999</v>
      </c>
      <c r="U1975" s="8">
        <v>158.358</v>
      </c>
      <c r="V1975" s="8">
        <v>114.43</v>
      </c>
      <c r="W1975" s="8">
        <v>74.397000000000006</v>
      </c>
      <c r="X1975" s="8">
        <v>31.189</v>
      </c>
      <c r="Y1975" s="8">
        <v>10.250999999999999</v>
      </c>
      <c r="Z1975" s="8">
        <v>2.278</v>
      </c>
      <c r="AA1975" s="8">
        <v>0.318</v>
      </c>
      <c r="AB1975" s="8">
        <v>2.5999999999999999E-2</v>
      </c>
      <c r="AC1975" s="8">
        <v>2E-3</v>
      </c>
    </row>
    <row r="1976" spans="1:29" ht="11.65" x14ac:dyDescent="0.35">
      <c r="A1976" s="12">
        <v>1959</v>
      </c>
      <c r="B1976" s="10" t="s">
        <v>1015</v>
      </c>
      <c r="C1976" s="11" t="s">
        <v>1154</v>
      </c>
      <c r="D1976" s="9"/>
      <c r="E1976" s="9">
        <v>408</v>
      </c>
      <c r="F1976" s="10" t="s">
        <v>1066</v>
      </c>
      <c r="G1976" s="9">
        <v>906</v>
      </c>
      <c r="H1976" s="9">
        <v>1990</v>
      </c>
      <c r="I1976" s="8">
        <v>997.18</v>
      </c>
      <c r="J1976" s="8">
        <v>966.30799999999999</v>
      </c>
      <c r="K1976" s="8">
        <v>849.56100000000004</v>
      </c>
      <c r="L1976" s="8">
        <v>1184.057</v>
      </c>
      <c r="M1976" s="8">
        <v>1185.1780000000001</v>
      </c>
      <c r="N1976" s="8">
        <v>837.596</v>
      </c>
      <c r="O1976" s="8">
        <v>885.02</v>
      </c>
      <c r="P1976" s="8">
        <v>438.96800000000002</v>
      </c>
      <c r="Q1976" s="8">
        <v>596.46799999999996</v>
      </c>
      <c r="R1976" s="8">
        <v>608.98900000000003</v>
      </c>
      <c r="S1976" s="8">
        <v>529.56100000000004</v>
      </c>
      <c r="T1976" s="8">
        <v>320.09800000000001</v>
      </c>
      <c r="U1976" s="8">
        <v>193.39</v>
      </c>
      <c r="V1976" s="8">
        <v>125.67100000000001</v>
      </c>
      <c r="W1976" s="8">
        <v>80.909000000000006</v>
      </c>
      <c r="X1976" s="8">
        <v>43.456000000000003</v>
      </c>
      <c r="Y1976" s="8">
        <v>13.343</v>
      </c>
      <c r="Z1976" s="8">
        <v>3.0329999999999999</v>
      </c>
      <c r="AA1976" s="8">
        <v>0.42399999999999999</v>
      </c>
      <c r="AB1976" s="8">
        <v>3.6999999999999998E-2</v>
      </c>
      <c r="AC1976" s="8">
        <v>2E-3</v>
      </c>
    </row>
    <row r="1977" spans="1:29" ht="11.65" x14ac:dyDescent="0.35">
      <c r="A1977" s="12">
        <v>1960</v>
      </c>
      <c r="B1977" s="10" t="s">
        <v>1015</v>
      </c>
      <c r="C1977" s="11" t="s">
        <v>1154</v>
      </c>
      <c r="D1977" s="9"/>
      <c r="E1977" s="9">
        <v>408</v>
      </c>
      <c r="F1977" s="10" t="s">
        <v>1066</v>
      </c>
      <c r="G1977" s="9">
        <v>906</v>
      </c>
      <c r="H1977" s="9">
        <v>1995</v>
      </c>
      <c r="I1977" s="8">
        <v>1061.146</v>
      </c>
      <c r="J1977" s="8">
        <v>986.18</v>
      </c>
      <c r="K1977" s="8">
        <v>963.59299999999996</v>
      </c>
      <c r="L1977" s="8">
        <v>846.85699999999997</v>
      </c>
      <c r="M1977" s="8">
        <v>1177.817</v>
      </c>
      <c r="N1977" s="8">
        <v>1176.597</v>
      </c>
      <c r="O1977" s="8">
        <v>830.51</v>
      </c>
      <c r="P1977" s="8">
        <v>876.24900000000002</v>
      </c>
      <c r="Q1977" s="8">
        <v>433.714</v>
      </c>
      <c r="R1977" s="8">
        <v>587.14499999999998</v>
      </c>
      <c r="S1977" s="8">
        <v>595.48199999999997</v>
      </c>
      <c r="T1977" s="8">
        <v>506.536</v>
      </c>
      <c r="U1977" s="8">
        <v>288.76</v>
      </c>
      <c r="V1977" s="8">
        <v>158.96199999999999</v>
      </c>
      <c r="W1977" s="8">
        <v>93.159000000000006</v>
      </c>
      <c r="X1977" s="8">
        <v>50.28</v>
      </c>
      <c r="Y1977" s="8">
        <v>20.012</v>
      </c>
      <c r="Z1977" s="8">
        <v>4.2489999999999997</v>
      </c>
      <c r="AA1977" s="8">
        <v>0.60599999999999998</v>
      </c>
      <c r="AB1977" s="8">
        <v>5.1999999999999998E-2</v>
      </c>
      <c r="AC1977" s="8">
        <v>3.0000000000000001E-3</v>
      </c>
    </row>
    <row r="1978" spans="1:29" ht="11.65" x14ac:dyDescent="0.35">
      <c r="A1978" s="12">
        <v>1961</v>
      </c>
      <c r="B1978" s="10" t="s">
        <v>1015</v>
      </c>
      <c r="C1978" s="11" t="s">
        <v>1154</v>
      </c>
      <c r="D1978" s="9"/>
      <c r="E1978" s="9">
        <v>408</v>
      </c>
      <c r="F1978" s="10" t="s">
        <v>1066</v>
      </c>
      <c r="G1978" s="9">
        <v>906</v>
      </c>
      <c r="H1978" s="9">
        <v>2000</v>
      </c>
      <c r="I1978" s="8">
        <v>1018.798</v>
      </c>
      <c r="J1978" s="8">
        <v>1041.316</v>
      </c>
      <c r="K1978" s="8">
        <v>978.74</v>
      </c>
      <c r="L1978" s="8">
        <v>955.64200000000005</v>
      </c>
      <c r="M1978" s="8">
        <v>835.77200000000005</v>
      </c>
      <c r="N1978" s="8">
        <v>1155.904</v>
      </c>
      <c r="O1978" s="8">
        <v>1151.348</v>
      </c>
      <c r="P1978" s="8">
        <v>811.35500000000002</v>
      </c>
      <c r="Q1978" s="8">
        <v>853.82899999999995</v>
      </c>
      <c r="R1978" s="8">
        <v>420.40899999999999</v>
      </c>
      <c r="S1978" s="8">
        <v>564.08900000000006</v>
      </c>
      <c r="T1978" s="8">
        <v>554.24800000000005</v>
      </c>
      <c r="U1978" s="8">
        <v>434.61799999999999</v>
      </c>
      <c r="V1978" s="8">
        <v>219.256</v>
      </c>
      <c r="W1978" s="8">
        <v>106.057</v>
      </c>
      <c r="X1978" s="8">
        <v>50.575000000000003</v>
      </c>
      <c r="Y1978" s="8">
        <v>19.606999999999999</v>
      </c>
      <c r="Z1978" s="8">
        <v>5.3730000000000002</v>
      </c>
      <c r="AA1978" s="8">
        <v>0.72199999999999998</v>
      </c>
      <c r="AB1978" s="8">
        <v>6.6000000000000003E-2</v>
      </c>
      <c r="AC1978" s="8">
        <v>4.0000000000000001E-3</v>
      </c>
    </row>
    <row r="1979" spans="1:29" ht="11.65" x14ac:dyDescent="0.35">
      <c r="A1979" s="12">
        <v>1962</v>
      </c>
      <c r="B1979" s="10" t="s">
        <v>1015</v>
      </c>
      <c r="C1979" s="11" t="s">
        <v>1154</v>
      </c>
      <c r="D1979" s="9"/>
      <c r="E1979" s="9">
        <v>408</v>
      </c>
      <c r="F1979" s="10" t="s">
        <v>1066</v>
      </c>
      <c r="G1979" s="9">
        <v>906</v>
      </c>
      <c r="H1979" s="9">
        <v>2005</v>
      </c>
      <c r="I1979" s="8">
        <v>973.54600000000005</v>
      </c>
      <c r="J1979" s="8">
        <v>1010.489</v>
      </c>
      <c r="K1979" s="8">
        <v>1035.9649999999999</v>
      </c>
      <c r="L1979" s="8">
        <v>972.95</v>
      </c>
      <c r="M1979" s="8">
        <v>946.673</v>
      </c>
      <c r="N1979" s="8">
        <v>823.10799999999995</v>
      </c>
      <c r="O1979" s="8">
        <v>1136.8800000000001</v>
      </c>
      <c r="P1979" s="8">
        <v>1132.134</v>
      </c>
      <c r="Q1979" s="8">
        <v>795.83199999999999</v>
      </c>
      <c r="R1979" s="8">
        <v>833.822</v>
      </c>
      <c r="S1979" s="8">
        <v>407.18900000000002</v>
      </c>
      <c r="T1979" s="8">
        <v>531.61900000000003</v>
      </c>
      <c r="U1979" s="8">
        <v>486.33600000000001</v>
      </c>
      <c r="V1979" s="8">
        <v>341.72699999999998</v>
      </c>
      <c r="W1979" s="8">
        <v>153.12700000000001</v>
      </c>
      <c r="X1979" s="8">
        <v>60.972000000000001</v>
      </c>
      <c r="Y1979" s="8">
        <v>21.216999999999999</v>
      </c>
      <c r="Z1979" s="8">
        <v>5.6890000000000001</v>
      </c>
      <c r="AA1979" s="8">
        <v>0.98099999999999998</v>
      </c>
      <c r="AB1979" s="8">
        <v>8.3000000000000004E-2</v>
      </c>
      <c r="AC1979" s="8">
        <v>5.0000000000000001E-3</v>
      </c>
    </row>
    <row r="1980" spans="1:29" ht="11.65" x14ac:dyDescent="0.35">
      <c r="A1980" s="12">
        <v>1963</v>
      </c>
      <c r="B1980" s="10" t="s">
        <v>1015</v>
      </c>
      <c r="C1980" s="11" t="s">
        <v>1154</v>
      </c>
      <c r="D1980" s="9"/>
      <c r="E1980" s="9">
        <v>408</v>
      </c>
      <c r="F1980" s="10" t="s">
        <v>1066</v>
      </c>
      <c r="G1980" s="9">
        <v>906</v>
      </c>
      <c r="H1980" s="9">
        <v>2010</v>
      </c>
      <c r="I1980" s="8">
        <v>869.08900000000006</v>
      </c>
      <c r="J1980" s="8">
        <v>966.17499999999995</v>
      </c>
      <c r="K1980" s="8">
        <v>1005.628</v>
      </c>
      <c r="L1980" s="8">
        <v>1029.9929999999999</v>
      </c>
      <c r="M1980" s="8">
        <v>964.10900000000004</v>
      </c>
      <c r="N1980" s="8">
        <v>932.59500000000003</v>
      </c>
      <c r="O1980" s="8">
        <v>808.60900000000004</v>
      </c>
      <c r="P1980" s="8">
        <v>1118.751</v>
      </c>
      <c r="Q1980" s="8">
        <v>1111.6659999999999</v>
      </c>
      <c r="R1980" s="8">
        <v>778.01800000000003</v>
      </c>
      <c r="S1980" s="8">
        <v>808.85799999999995</v>
      </c>
      <c r="T1980" s="8">
        <v>384.548</v>
      </c>
      <c r="U1980" s="8">
        <v>468.42899999999997</v>
      </c>
      <c r="V1980" s="8">
        <v>384.952</v>
      </c>
      <c r="W1980" s="8">
        <v>240.80199999999999</v>
      </c>
      <c r="X1980" s="8">
        <v>89.043000000000006</v>
      </c>
      <c r="Y1980" s="8">
        <v>25.934999999999999</v>
      </c>
      <c r="Z1980" s="8">
        <v>6.2460000000000004</v>
      </c>
      <c r="AA1980" s="8">
        <v>1.054</v>
      </c>
      <c r="AB1980" s="8">
        <v>0.112</v>
      </c>
      <c r="AC1980" s="8">
        <v>6.0000000000000001E-3</v>
      </c>
    </row>
    <row r="1981" spans="1:29" ht="11.65" x14ac:dyDescent="0.35">
      <c r="A1981" s="12">
        <v>1964</v>
      </c>
      <c r="B1981" s="10" t="s">
        <v>1015</v>
      </c>
      <c r="C1981" s="11" t="s">
        <v>1154</v>
      </c>
      <c r="D1981" s="9"/>
      <c r="E1981" s="9">
        <v>408</v>
      </c>
      <c r="F1981" s="10" t="s">
        <v>1066</v>
      </c>
      <c r="G1981" s="9">
        <v>906</v>
      </c>
      <c r="H1981" s="9">
        <v>2015</v>
      </c>
      <c r="I1981" s="8">
        <v>865.70899999999995</v>
      </c>
      <c r="J1981" s="8">
        <v>863.70899999999995</v>
      </c>
      <c r="K1981" s="8">
        <v>962.08100000000002</v>
      </c>
      <c r="L1981" s="8">
        <v>1000.134</v>
      </c>
      <c r="M1981" s="8">
        <v>1021.704</v>
      </c>
      <c r="N1981" s="8">
        <v>952.15599999999995</v>
      </c>
      <c r="O1981" s="8">
        <v>918.95</v>
      </c>
      <c r="P1981" s="8">
        <v>796.65599999999995</v>
      </c>
      <c r="Q1981" s="8">
        <v>1100.9179999999999</v>
      </c>
      <c r="R1981" s="8">
        <v>1089.7719999999999</v>
      </c>
      <c r="S1981" s="8">
        <v>756.91399999999999</v>
      </c>
      <c r="T1981" s="8">
        <v>770.23099999999999</v>
      </c>
      <c r="U1981" s="8">
        <v>345.34699999999998</v>
      </c>
      <c r="V1981" s="8">
        <v>383.089</v>
      </c>
      <c r="W1981" s="8">
        <v>283.26299999999998</v>
      </c>
      <c r="X1981" s="8">
        <v>149.852</v>
      </c>
      <c r="Y1981" s="8">
        <v>42.863</v>
      </c>
      <c r="Z1981" s="8">
        <v>9.1989999999999998</v>
      </c>
      <c r="AA1981" s="8">
        <v>1.52</v>
      </c>
      <c r="AB1981" s="8">
        <v>0.17100000000000001</v>
      </c>
      <c r="AC1981" s="8">
        <v>1.2E-2</v>
      </c>
    </row>
    <row r="1982" spans="1:29" ht="11.65" x14ac:dyDescent="0.35">
      <c r="A1982" s="12">
        <v>1965</v>
      </c>
      <c r="B1982" s="10" t="s">
        <v>1015</v>
      </c>
      <c r="C1982" s="11" t="s">
        <v>1154</v>
      </c>
      <c r="D1982" s="9"/>
      <c r="E1982" s="9">
        <v>408</v>
      </c>
      <c r="F1982" s="10" t="s">
        <v>1066</v>
      </c>
      <c r="G1982" s="9">
        <v>906</v>
      </c>
      <c r="H1982" s="9">
        <v>2020</v>
      </c>
      <c r="I1982" s="8">
        <v>893.899</v>
      </c>
      <c r="J1982" s="8">
        <v>861.54200000000003</v>
      </c>
      <c r="K1982" s="8">
        <v>860.70500000000004</v>
      </c>
      <c r="L1982" s="8">
        <v>957.471</v>
      </c>
      <c r="M1982" s="8">
        <v>993.029</v>
      </c>
      <c r="N1982" s="8">
        <v>1010.436</v>
      </c>
      <c r="O1982" s="8">
        <v>939.54700000000003</v>
      </c>
      <c r="P1982" s="8">
        <v>906.83399999999995</v>
      </c>
      <c r="Q1982" s="8">
        <v>784.83199999999999</v>
      </c>
      <c r="R1982" s="8">
        <v>1080.8610000000001</v>
      </c>
      <c r="S1982" s="8">
        <v>1062.2180000000001</v>
      </c>
      <c r="T1982" s="8">
        <v>722.48400000000004</v>
      </c>
      <c r="U1982" s="8">
        <v>694.89200000000005</v>
      </c>
      <c r="V1982" s="8">
        <v>284.25900000000001</v>
      </c>
      <c r="W1982" s="8">
        <v>284.541</v>
      </c>
      <c r="X1982" s="8">
        <v>178.80699999999999</v>
      </c>
      <c r="Y1982" s="8">
        <v>73.731999999999999</v>
      </c>
      <c r="Z1982" s="8">
        <v>15.677</v>
      </c>
      <c r="AA1982" s="8">
        <v>2.3330000000000002</v>
      </c>
      <c r="AB1982" s="8">
        <v>0.26100000000000001</v>
      </c>
      <c r="AC1982" s="8">
        <v>1.9E-2</v>
      </c>
    </row>
    <row r="1983" spans="1:29" ht="11.65" x14ac:dyDescent="0.35">
      <c r="A1983" s="12">
        <v>1966</v>
      </c>
      <c r="B1983" s="10" t="s">
        <v>1015</v>
      </c>
      <c r="C1983" s="11" t="s">
        <v>1155</v>
      </c>
      <c r="D1983" s="9"/>
      <c r="E1983" s="9">
        <v>392</v>
      </c>
      <c r="F1983" s="10" t="s">
        <v>1066</v>
      </c>
      <c r="G1983" s="9">
        <v>906</v>
      </c>
      <c r="H1983" s="9">
        <v>1950</v>
      </c>
      <c r="I1983" s="8">
        <v>5718.4889999999996</v>
      </c>
      <c r="J1983" s="8">
        <v>4786.6090000000004</v>
      </c>
      <c r="K1983" s="8">
        <v>4365.3789999999999</v>
      </c>
      <c r="L1983" s="8">
        <v>4273.2449999999999</v>
      </c>
      <c r="M1983" s="8">
        <v>3835.8159999999998</v>
      </c>
      <c r="N1983" s="8">
        <v>2821.8980000000001</v>
      </c>
      <c r="O1983" s="8">
        <v>2360.21</v>
      </c>
      <c r="P1983" s="8">
        <v>2376.1060000000002</v>
      </c>
      <c r="Q1983" s="8">
        <v>2198.9549999999999</v>
      </c>
      <c r="R1983" s="8">
        <v>1994.421</v>
      </c>
      <c r="S1983" s="8">
        <v>1700.163</v>
      </c>
      <c r="T1983" s="8">
        <v>1365.415</v>
      </c>
      <c r="U1983" s="8">
        <v>1095.616</v>
      </c>
      <c r="V1983" s="8">
        <v>788.98699999999997</v>
      </c>
      <c r="W1983" s="8">
        <v>535.76</v>
      </c>
      <c r="X1983" s="8">
        <v>263.43099999999998</v>
      </c>
      <c r="Y1983" s="8">
        <v>93.966999999999999</v>
      </c>
      <c r="Z1983" s="8">
        <v>23.773</v>
      </c>
      <c r="AA1983" s="8">
        <v>3.8380000000000001</v>
      </c>
      <c r="AB1983" s="8">
        <v>0.38700000000000001</v>
      </c>
      <c r="AC1983" s="8">
        <v>3.4000000000000002E-2</v>
      </c>
    </row>
    <row r="1984" spans="1:29" ht="11.65" x14ac:dyDescent="0.35">
      <c r="A1984" s="12">
        <v>1967</v>
      </c>
      <c r="B1984" s="10" t="s">
        <v>1015</v>
      </c>
      <c r="C1984" s="11" t="s">
        <v>1155</v>
      </c>
      <c r="D1984" s="9"/>
      <c r="E1984" s="9">
        <v>392</v>
      </c>
      <c r="F1984" s="10" t="s">
        <v>1066</v>
      </c>
      <c r="G1984" s="9">
        <v>906</v>
      </c>
      <c r="H1984" s="9">
        <v>1955</v>
      </c>
      <c r="I1984" s="8">
        <v>4887.1329999999998</v>
      </c>
      <c r="J1984" s="8">
        <v>5598.6310000000003</v>
      </c>
      <c r="K1984" s="8">
        <v>4758.799</v>
      </c>
      <c r="L1984" s="8">
        <v>4339.4049999999997</v>
      </c>
      <c r="M1984" s="8">
        <v>4217.8209999999999</v>
      </c>
      <c r="N1984" s="8">
        <v>3767.768</v>
      </c>
      <c r="O1984" s="8">
        <v>2769.1</v>
      </c>
      <c r="P1984" s="8">
        <v>2313.4070000000002</v>
      </c>
      <c r="Q1984" s="8">
        <v>2318.2469999999998</v>
      </c>
      <c r="R1984" s="8">
        <v>2125.4</v>
      </c>
      <c r="S1984" s="8">
        <v>1896.914</v>
      </c>
      <c r="T1984" s="8">
        <v>1574.9960000000001</v>
      </c>
      <c r="U1984" s="8">
        <v>1211.192</v>
      </c>
      <c r="V1984" s="8">
        <v>905.702</v>
      </c>
      <c r="W1984" s="8">
        <v>582.62699999999995</v>
      </c>
      <c r="X1984" s="8">
        <v>337.089</v>
      </c>
      <c r="Y1984" s="8">
        <v>131.203</v>
      </c>
      <c r="Z1984" s="8">
        <v>32.813000000000002</v>
      </c>
      <c r="AA1984" s="8">
        <v>5.0659999999999998</v>
      </c>
      <c r="AB1984" s="8">
        <v>0.436</v>
      </c>
      <c r="AC1984" s="8">
        <v>2.5000000000000001E-2</v>
      </c>
    </row>
    <row r="1985" spans="1:29" ht="11.65" x14ac:dyDescent="0.35">
      <c r="A1985" s="12">
        <v>1968</v>
      </c>
      <c r="B1985" s="10" t="s">
        <v>1015</v>
      </c>
      <c r="C1985" s="11" t="s">
        <v>1155</v>
      </c>
      <c r="D1985" s="9"/>
      <c r="E1985" s="9">
        <v>392</v>
      </c>
      <c r="F1985" s="10" t="s">
        <v>1066</v>
      </c>
      <c r="G1985" s="9">
        <v>906</v>
      </c>
      <c r="H1985" s="9">
        <v>1960</v>
      </c>
      <c r="I1985" s="8">
        <v>4087.7</v>
      </c>
      <c r="J1985" s="8">
        <v>4826.4139999999998</v>
      </c>
      <c r="K1985" s="8">
        <v>5573.3609999999999</v>
      </c>
      <c r="L1985" s="8">
        <v>4731.8140000000003</v>
      </c>
      <c r="M1985" s="8">
        <v>4287.7129999999997</v>
      </c>
      <c r="N1985" s="8">
        <v>4155.491</v>
      </c>
      <c r="O1985" s="8">
        <v>3712.3780000000002</v>
      </c>
      <c r="P1985" s="8">
        <v>2723.386</v>
      </c>
      <c r="Q1985" s="8">
        <v>2266.7890000000002</v>
      </c>
      <c r="R1985" s="8">
        <v>2252.5360000000001</v>
      </c>
      <c r="S1985" s="8">
        <v>2032.8620000000001</v>
      </c>
      <c r="T1985" s="8">
        <v>1767.9110000000001</v>
      </c>
      <c r="U1985" s="8">
        <v>1408.0519999999999</v>
      </c>
      <c r="V1985" s="8">
        <v>1014.347</v>
      </c>
      <c r="W1985" s="8">
        <v>679.73599999999999</v>
      </c>
      <c r="X1985" s="8">
        <v>368.59399999999999</v>
      </c>
      <c r="Y1985" s="8">
        <v>166.40799999999999</v>
      </c>
      <c r="Z1985" s="8">
        <v>45.972999999999999</v>
      </c>
      <c r="AA1985" s="8">
        <v>7.0129999999999999</v>
      </c>
      <c r="AB1985" s="8">
        <v>0.58599999999999997</v>
      </c>
      <c r="AC1985" s="8">
        <v>2.9000000000000001E-2</v>
      </c>
    </row>
    <row r="1986" spans="1:29" ht="11.65" x14ac:dyDescent="0.35">
      <c r="A1986" s="12">
        <v>1969</v>
      </c>
      <c r="B1986" s="10" t="s">
        <v>1015</v>
      </c>
      <c r="C1986" s="11" t="s">
        <v>1155</v>
      </c>
      <c r="D1986" s="9"/>
      <c r="E1986" s="9">
        <v>392</v>
      </c>
      <c r="F1986" s="10" t="s">
        <v>1066</v>
      </c>
      <c r="G1986" s="9">
        <v>906</v>
      </c>
      <c r="H1986" s="9">
        <v>1965</v>
      </c>
      <c r="I1986" s="8">
        <v>4186.2489999999998</v>
      </c>
      <c r="J1986" s="8">
        <v>4057.9830000000002</v>
      </c>
      <c r="K1986" s="8">
        <v>4787.701</v>
      </c>
      <c r="L1986" s="8">
        <v>5515.5050000000001</v>
      </c>
      <c r="M1986" s="8">
        <v>4664.4870000000001</v>
      </c>
      <c r="N1986" s="8">
        <v>4247.3230000000003</v>
      </c>
      <c r="O1986" s="8">
        <v>4113.4380000000001</v>
      </c>
      <c r="P1986" s="8">
        <v>3666.7150000000001</v>
      </c>
      <c r="Q1986" s="8">
        <v>2678.5329999999999</v>
      </c>
      <c r="R1986" s="8">
        <v>2212.4540000000002</v>
      </c>
      <c r="S1986" s="8">
        <v>2168.585</v>
      </c>
      <c r="T1986" s="8">
        <v>1910.3019999999999</v>
      </c>
      <c r="U1986" s="8">
        <v>1596.4580000000001</v>
      </c>
      <c r="V1986" s="8">
        <v>1194.211</v>
      </c>
      <c r="W1986" s="8">
        <v>776.33</v>
      </c>
      <c r="X1986" s="8">
        <v>438.798</v>
      </c>
      <c r="Y1986" s="8">
        <v>182.88900000000001</v>
      </c>
      <c r="Z1986" s="8">
        <v>57.433999999999997</v>
      </c>
      <c r="AA1986" s="8">
        <v>10.000999999999999</v>
      </c>
      <c r="AB1986" s="8">
        <v>0.84699999999999998</v>
      </c>
      <c r="AC1986" s="8">
        <v>3.7999999999999999E-2</v>
      </c>
    </row>
    <row r="1987" spans="1:29" ht="11.65" x14ac:dyDescent="0.35">
      <c r="A1987" s="12">
        <v>1970</v>
      </c>
      <c r="B1987" s="10" t="s">
        <v>1015</v>
      </c>
      <c r="C1987" s="11" t="s">
        <v>1155</v>
      </c>
      <c r="D1987" s="9"/>
      <c r="E1987" s="9">
        <v>392</v>
      </c>
      <c r="F1987" s="10" t="s">
        <v>1066</v>
      </c>
      <c r="G1987" s="9">
        <v>906</v>
      </c>
      <c r="H1987" s="9">
        <v>1970</v>
      </c>
      <c r="I1987" s="8">
        <v>4621.9520000000002</v>
      </c>
      <c r="J1987" s="8">
        <v>4229.1480000000001</v>
      </c>
      <c r="K1987" s="8">
        <v>4118.7169999999996</v>
      </c>
      <c r="L1987" s="8">
        <v>4774.8310000000001</v>
      </c>
      <c r="M1987" s="8">
        <v>5495.56</v>
      </c>
      <c r="N1987" s="8">
        <v>4669.2219999999998</v>
      </c>
      <c r="O1987" s="8">
        <v>4262.3159999999998</v>
      </c>
      <c r="P1987" s="8">
        <v>4112.4679999999998</v>
      </c>
      <c r="Q1987" s="8">
        <v>3636.009</v>
      </c>
      <c r="R1987" s="8">
        <v>2644.4789999999998</v>
      </c>
      <c r="S1987" s="8">
        <v>2161.3069999999998</v>
      </c>
      <c r="T1987" s="8">
        <v>2072.424</v>
      </c>
      <c r="U1987" s="8">
        <v>1760.0830000000001</v>
      </c>
      <c r="V1987" s="8">
        <v>1386.1859999999999</v>
      </c>
      <c r="W1987" s="8">
        <v>943.06500000000005</v>
      </c>
      <c r="X1987" s="8">
        <v>519.49699999999996</v>
      </c>
      <c r="Y1987" s="8">
        <v>230.95</v>
      </c>
      <c r="Z1987" s="8">
        <v>67.801000000000002</v>
      </c>
      <c r="AA1987" s="8">
        <v>13.311</v>
      </c>
      <c r="AB1987" s="8">
        <v>1.3340000000000001</v>
      </c>
      <c r="AC1987" s="8">
        <v>5.8999999999999997E-2</v>
      </c>
    </row>
    <row r="1988" spans="1:29" ht="11.65" x14ac:dyDescent="0.35">
      <c r="A1988" s="12">
        <v>1971</v>
      </c>
      <c r="B1988" s="10" t="s">
        <v>1015</v>
      </c>
      <c r="C1988" s="11" t="s">
        <v>1155</v>
      </c>
      <c r="D1988" s="9"/>
      <c r="E1988" s="9">
        <v>392</v>
      </c>
      <c r="F1988" s="10" t="s">
        <v>1066</v>
      </c>
      <c r="G1988" s="9">
        <v>906</v>
      </c>
      <c r="H1988" s="9">
        <v>1975</v>
      </c>
      <c r="I1988" s="8">
        <v>5216.4359999999997</v>
      </c>
      <c r="J1988" s="8">
        <v>4615.4719999999998</v>
      </c>
      <c r="K1988" s="8">
        <v>4231.9059999999999</v>
      </c>
      <c r="L1988" s="8">
        <v>4114.7290000000003</v>
      </c>
      <c r="M1988" s="8">
        <v>4782.5039999999999</v>
      </c>
      <c r="N1988" s="8">
        <v>5524.8239999999996</v>
      </c>
      <c r="O1988" s="8">
        <v>4691.5020000000004</v>
      </c>
      <c r="P1988" s="8">
        <v>4270.3</v>
      </c>
      <c r="Q1988" s="8">
        <v>4082.0079999999998</v>
      </c>
      <c r="R1988" s="8">
        <v>3588.4140000000002</v>
      </c>
      <c r="S1988" s="8">
        <v>2590.2399999999998</v>
      </c>
      <c r="T1988" s="8">
        <v>2083.3009999999999</v>
      </c>
      <c r="U1988" s="8">
        <v>1937.5730000000001</v>
      </c>
      <c r="V1988" s="8">
        <v>1561.5719999999999</v>
      </c>
      <c r="W1988" s="8">
        <v>1127.6959999999999</v>
      </c>
      <c r="X1988" s="8">
        <v>660.20299999999997</v>
      </c>
      <c r="Y1988" s="8">
        <v>290.67399999999998</v>
      </c>
      <c r="Z1988" s="8">
        <v>92.616</v>
      </c>
      <c r="AA1988" s="8">
        <v>17.274000000000001</v>
      </c>
      <c r="AB1988" s="8">
        <v>1.9279999999999999</v>
      </c>
      <c r="AC1988" s="8">
        <v>9.9000000000000005E-2</v>
      </c>
    </row>
    <row r="1989" spans="1:29" ht="11.65" x14ac:dyDescent="0.35">
      <c r="A1989" s="12">
        <v>1972</v>
      </c>
      <c r="B1989" s="10" t="s">
        <v>1015</v>
      </c>
      <c r="C1989" s="11" t="s">
        <v>1155</v>
      </c>
      <c r="D1989" s="9"/>
      <c r="E1989" s="9">
        <v>392</v>
      </c>
      <c r="F1989" s="10" t="s">
        <v>1066</v>
      </c>
      <c r="G1989" s="9">
        <v>906</v>
      </c>
      <c r="H1989" s="9">
        <v>1980</v>
      </c>
      <c r="I1989" s="8">
        <v>4421.0590000000002</v>
      </c>
      <c r="J1989" s="8">
        <v>5201.152</v>
      </c>
      <c r="K1989" s="8">
        <v>4619.5950000000003</v>
      </c>
      <c r="L1989" s="8">
        <v>4232.5209999999997</v>
      </c>
      <c r="M1989" s="8">
        <v>4095.8429999999998</v>
      </c>
      <c r="N1989" s="8">
        <v>4760.0259999999998</v>
      </c>
      <c r="O1989" s="8">
        <v>5496.4809999999998</v>
      </c>
      <c r="P1989" s="8">
        <v>4658.473</v>
      </c>
      <c r="Q1989" s="8">
        <v>4222.9430000000002</v>
      </c>
      <c r="R1989" s="8">
        <v>4007.55</v>
      </c>
      <c r="S1989" s="8">
        <v>3514.4960000000001</v>
      </c>
      <c r="T1989" s="8">
        <v>2507.5320000000002</v>
      </c>
      <c r="U1989" s="8">
        <v>1971.867</v>
      </c>
      <c r="V1989" s="8">
        <v>1757.5409999999999</v>
      </c>
      <c r="W1989" s="8">
        <v>1313.088</v>
      </c>
      <c r="X1989" s="8">
        <v>829.93200000000002</v>
      </c>
      <c r="Y1989" s="8">
        <v>396.52</v>
      </c>
      <c r="Z1989" s="8">
        <v>128.233</v>
      </c>
      <c r="AA1989" s="8">
        <v>26.486999999999998</v>
      </c>
      <c r="AB1989" s="8">
        <v>2.8439999999999999</v>
      </c>
      <c r="AC1989" s="8">
        <v>0.16200000000000001</v>
      </c>
    </row>
    <row r="1990" spans="1:29" ht="11.65" x14ac:dyDescent="0.35">
      <c r="A1990" s="12">
        <v>1973</v>
      </c>
      <c r="B1990" s="10" t="s">
        <v>1015</v>
      </c>
      <c r="C1990" s="11" t="s">
        <v>1155</v>
      </c>
      <c r="D1990" s="9"/>
      <c r="E1990" s="9">
        <v>392</v>
      </c>
      <c r="F1990" s="10" t="s">
        <v>1066</v>
      </c>
      <c r="G1990" s="9">
        <v>906</v>
      </c>
      <c r="H1990" s="9">
        <v>1985</v>
      </c>
      <c r="I1990" s="8">
        <v>3920.0349999999999</v>
      </c>
      <c r="J1990" s="8">
        <v>4411.915</v>
      </c>
      <c r="K1990" s="8">
        <v>5195.5290000000005</v>
      </c>
      <c r="L1990" s="8">
        <v>4612.3280000000004</v>
      </c>
      <c r="M1990" s="8">
        <v>4219.5429999999997</v>
      </c>
      <c r="N1990" s="8">
        <v>4083.3330000000001</v>
      </c>
      <c r="O1990" s="8">
        <v>4741.942</v>
      </c>
      <c r="P1990" s="8">
        <v>5465.9920000000002</v>
      </c>
      <c r="Q1990" s="8">
        <v>4615.9089999999997</v>
      </c>
      <c r="R1990" s="8">
        <v>4158.3779999999997</v>
      </c>
      <c r="S1990" s="8">
        <v>3905.0569999999998</v>
      </c>
      <c r="T1990" s="8">
        <v>3380.4920000000002</v>
      </c>
      <c r="U1990" s="8">
        <v>2368.268</v>
      </c>
      <c r="V1990" s="8">
        <v>1800.0219999999999</v>
      </c>
      <c r="W1990" s="8">
        <v>1506.539</v>
      </c>
      <c r="X1990" s="8">
        <v>1002.645</v>
      </c>
      <c r="Y1990" s="8">
        <v>524.61599999999999</v>
      </c>
      <c r="Z1990" s="8">
        <v>189.017</v>
      </c>
      <c r="AA1990" s="8">
        <v>40.909999999999997</v>
      </c>
      <c r="AB1990" s="8">
        <v>5.0119999999999996</v>
      </c>
      <c r="AC1990" s="8">
        <v>0.28599999999999998</v>
      </c>
    </row>
    <row r="1991" spans="1:29" ht="11.65" x14ac:dyDescent="0.35">
      <c r="A1991" s="12">
        <v>1974</v>
      </c>
      <c r="B1991" s="10" t="s">
        <v>1015</v>
      </c>
      <c r="C1991" s="11" t="s">
        <v>1155</v>
      </c>
      <c r="D1991" s="9"/>
      <c r="E1991" s="9">
        <v>392</v>
      </c>
      <c r="F1991" s="10" t="s">
        <v>1066</v>
      </c>
      <c r="G1991" s="9">
        <v>906</v>
      </c>
      <c r="H1991" s="9">
        <v>1990</v>
      </c>
      <c r="I1991" s="8">
        <v>3481.0329999999999</v>
      </c>
      <c r="J1991" s="8">
        <v>3913.0169999999998</v>
      </c>
      <c r="K1991" s="8">
        <v>4407.7669999999998</v>
      </c>
      <c r="L1991" s="8">
        <v>5167.2330000000002</v>
      </c>
      <c r="M1991" s="8">
        <v>4490.4080000000004</v>
      </c>
      <c r="N1991" s="8">
        <v>4147.8879999999999</v>
      </c>
      <c r="O1991" s="8">
        <v>4077.0419999999999</v>
      </c>
      <c r="P1991" s="8">
        <v>4710.4719999999998</v>
      </c>
      <c r="Q1991" s="8">
        <v>5416.5309999999999</v>
      </c>
      <c r="R1991" s="8">
        <v>4555.1170000000002</v>
      </c>
      <c r="S1991" s="8">
        <v>4068.3910000000001</v>
      </c>
      <c r="T1991" s="8">
        <v>3765.0630000000001</v>
      </c>
      <c r="U1991" s="8">
        <v>3200.5160000000001</v>
      </c>
      <c r="V1991" s="8">
        <v>2181.1990000000001</v>
      </c>
      <c r="W1991" s="8">
        <v>1573.6869999999999</v>
      </c>
      <c r="X1991" s="8">
        <v>1194.0840000000001</v>
      </c>
      <c r="Y1991" s="8">
        <v>666.91800000000001</v>
      </c>
      <c r="Z1991" s="8">
        <v>266.45800000000003</v>
      </c>
      <c r="AA1991" s="8">
        <v>65.366</v>
      </c>
      <c r="AB1991" s="8">
        <v>8.5429999999999993</v>
      </c>
      <c r="AC1991" s="8">
        <v>0.54300000000000004</v>
      </c>
    </row>
    <row r="1992" spans="1:29" ht="11.65" x14ac:dyDescent="0.35">
      <c r="A1992" s="12">
        <v>1975</v>
      </c>
      <c r="B1992" s="10" t="s">
        <v>1015</v>
      </c>
      <c r="C1992" s="11" t="s">
        <v>1155</v>
      </c>
      <c r="D1992" s="9"/>
      <c r="E1992" s="9">
        <v>392</v>
      </c>
      <c r="F1992" s="10" t="s">
        <v>1066</v>
      </c>
      <c r="G1992" s="9">
        <v>906</v>
      </c>
      <c r="H1992" s="9">
        <v>1995</v>
      </c>
      <c r="I1992" s="8">
        <v>3151.3310000000001</v>
      </c>
      <c r="J1992" s="8">
        <v>3475.3919999999998</v>
      </c>
      <c r="K1992" s="8">
        <v>3909.6149999999998</v>
      </c>
      <c r="L1992" s="8">
        <v>4425.1660000000002</v>
      </c>
      <c r="M1992" s="8">
        <v>5177.6670000000004</v>
      </c>
      <c r="N1992" s="8">
        <v>4474.2879999999996</v>
      </c>
      <c r="O1992" s="8">
        <v>4132.3339999999998</v>
      </c>
      <c r="P1992" s="8">
        <v>4057.6750000000002</v>
      </c>
      <c r="Q1992" s="8">
        <v>4676.2269999999999</v>
      </c>
      <c r="R1992" s="8">
        <v>5351.0439999999999</v>
      </c>
      <c r="S1992" s="8">
        <v>4456.2309999999998</v>
      </c>
      <c r="T1992" s="8">
        <v>3933.2330000000002</v>
      </c>
      <c r="U1992" s="8">
        <v>3563.5169999999998</v>
      </c>
      <c r="V1992" s="8">
        <v>2942.9949999999999</v>
      </c>
      <c r="W1992" s="8">
        <v>1916.0060000000001</v>
      </c>
      <c r="X1992" s="8">
        <v>1266.7850000000001</v>
      </c>
      <c r="Y1992" s="8">
        <v>818.11</v>
      </c>
      <c r="Z1992" s="8">
        <v>351.1</v>
      </c>
      <c r="AA1992" s="8">
        <v>95.938999999999993</v>
      </c>
      <c r="AB1992" s="8">
        <v>14.003</v>
      </c>
      <c r="AC1992" s="8">
        <v>0.94699999999999995</v>
      </c>
    </row>
    <row r="1993" spans="1:29" ht="11.65" x14ac:dyDescent="0.35">
      <c r="A1993" s="12">
        <v>1976</v>
      </c>
      <c r="B1993" s="10" t="s">
        <v>1015</v>
      </c>
      <c r="C1993" s="11" t="s">
        <v>1155</v>
      </c>
      <c r="D1993" s="9"/>
      <c r="E1993" s="9">
        <v>392</v>
      </c>
      <c r="F1993" s="10" t="s">
        <v>1066</v>
      </c>
      <c r="G1993" s="9">
        <v>906</v>
      </c>
      <c r="H1993" s="9">
        <v>2000</v>
      </c>
      <c r="I1993" s="8">
        <v>3057.6770000000001</v>
      </c>
      <c r="J1993" s="8">
        <v>3147.172</v>
      </c>
      <c r="K1993" s="8">
        <v>3472.8209999999999</v>
      </c>
      <c r="L1993" s="8">
        <v>3903.8670000000002</v>
      </c>
      <c r="M1993" s="8">
        <v>4314.4129999999996</v>
      </c>
      <c r="N1993" s="8">
        <v>5160.0619999999999</v>
      </c>
      <c r="O1993" s="8">
        <v>4457.3739999999998</v>
      </c>
      <c r="P1993" s="8">
        <v>4112.1679999999997</v>
      </c>
      <c r="Q1993" s="8">
        <v>4028.9059999999999</v>
      </c>
      <c r="R1993" s="8">
        <v>4622.2169999999996</v>
      </c>
      <c r="S1993" s="8">
        <v>5259.29</v>
      </c>
      <c r="T1993" s="8">
        <v>4329.6989999999996</v>
      </c>
      <c r="U1993" s="8">
        <v>3754.61</v>
      </c>
      <c r="V1993" s="8">
        <v>3298.8620000000001</v>
      </c>
      <c r="W1993" s="8">
        <v>2605.7060000000001</v>
      </c>
      <c r="X1993" s="8">
        <v>1573.008</v>
      </c>
      <c r="Y1993" s="8">
        <v>904.51800000000003</v>
      </c>
      <c r="Z1993" s="8">
        <v>460.31</v>
      </c>
      <c r="AA1993" s="8">
        <v>137.542</v>
      </c>
      <c r="AB1993" s="8">
        <v>22.626000000000001</v>
      </c>
      <c r="AC1993" s="8">
        <v>1.724</v>
      </c>
    </row>
    <row r="1994" spans="1:29" ht="11.65" x14ac:dyDescent="0.35">
      <c r="A1994" s="12">
        <v>1977</v>
      </c>
      <c r="B1994" s="10" t="s">
        <v>1015</v>
      </c>
      <c r="C1994" s="11" t="s">
        <v>1155</v>
      </c>
      <c r="D1994" s="9"/>
      <c r="E1994" s="9">
        <v>392</v>
      </c>
      <c r="F1994" s="10" t="s">
        <v>1066</v>
      </c>
      <c r="G1994" s="9">
        <v>906</v>
      </c>
      <c r="H1994" s="9">
        <v>2005</v>
      </c>
      <c r="I1994" s="8">
        <v>2911.2550000000001</v>
      </c>
      <c r="J1994" s="8">
        <v>3054.652</v>
      </c>
      <c r="K1994" s="8">
        <v>3145.377</v>
      </c>
      <c r="L1994" s="8">
        <v>3468.6179999999999</v>
      </c>
      <c r="M1994" s="8">
        <v>3893.444</v>
      </c>
      <c r="N1994" s="8">
        <v>4300.6940000000004</v>
      </c>
      <c r="O1994" s="8">
        <v>5140.97</v>
      </c>
      <c r="P1994" s="8">
        <v>4435.6679999999997</v>
      </c>
      <c r="Q1994" s="8">
        <v>4082.93</v>
      </c>
      <c r="R1994" s="8">
        <v>3984.145</v>
      </c>
      <c r="S1994" s="8">
        <v>4567.8950000000004</v>
      </c>
      <c r="T1994" s="8">
        <v>5127.7089999999998</v>
      </c>
      <c r="U1994" s="8">
        <v>4157.768</v>
      </c>
      <c r="V1994" s="8">
        <v>3521.201</v>
      </c>
      <c r="W1994" s="8">
        <v>2962.8029999999999</v>
      </c>
      <c r="X1994" s="8">
        <v>2182.9609999999998</v>
      </c>
      <c r="Y1994" s="8">
        <v>1167.5450000000001</v>
      </c>
      <c r="Z1994" s="8">
        <v>542.15899999999999</v>
      </c>
      <c r="AA1994" s="8">
        <v>197.90100000000001</v>
      </c>
      <c r="AB1994" s="8">
        <v>36.661999999999999</v>
      </c>
      <c r="AC1994" s="8">
        <v>3.2290000000000001</v>
      </c>
    </row>
    <row r="1995" spans="1:29" ht="11.65" x14ac:dyDescent="0.35">
      <c r="A1995" s="12">
        <v>1978</v>
      </c>
      <c r="B1995" s="10" t="s">
        <v>1015</v>
      </c>
      <c r="C1995" s="11" t="s">
        <v>1155</v>
      </c>
      <c r="D1995" s="9"/>
      <c r="E1995" s="9">
        <v>392</v>
      </c>
      <c r="F1995" s="10" t="s">
        <v>1066</v>
      </c>
      <c r="G1995" s="9">
        <v>906</v>
      </c>
      <c r="H1995" s="9">
        <v>2010</v>
      </c>
      <c r="I1995" s="8">
        <v>2852.1129999999998</v>
      </c>
      <c r="J1995" s="8">
        <v>2908.8110000000001</v>
      </c>
      <c r="K1995" s="8">
        <v>3053.1239999999998</v>
      </c>
      <c r="L1995" s="8">
        <v>3142.232</v>
      </c>
      <c r="M1995" s="8">
        <v>3460.1550000000002</v>
      </c>
      <c r="N1995" s="8">
        <v>3881.491</v>
      </c>
      <c r="O1995" s="8">
        <v>4296.1779999999999</v>
      </c>
      <c r="P1995" s="8">
        <v>5136.3149999999996</v>
      </c>
      <c r="Q1995" s="8">
        <v>4437.982</v>
      </c>
      <c r="R1995" s="8">
        <v>4084.9850000000001</v>
      </c>
      <c r="S1995" s="8">
        <v>3931.16</v>
      </c>
      <c r="T1995" s="8">
        <v>4458.607</v>
      </c>
      <c r="U1995" s="8">
        <v>4928.857</v>
      </c>
      <c r="V1995" s="8">
        <v>3913.9639999999999</v>
      </c>
      <c r="W1995" s="8">
        <v>3202.788</v>
      </c>
      <c r="X1995" s="8">
        <v>2519.3200000000002</v>
      </c>
      <c r="Y1995" s="8">
        <v>1646.5139999999999</v>
      </c>
      <c r="Z1995" s="8">
        <v>718.98599999999999</v>
      </c>
      <c r="AA1995" s="8">
        <v>240.96899999999999</v>
      </c>
      <c r="AB1995" s="8">
        <v>54.539000000000001</v>
      </c>
      <c r="AC1995" s="8">
        <v>5.4189999999999996</v>
      </c>
    </row>
    <row r="1996" spans="1:29" ht="11.65" x14ac:dyDescent="0.35">
      <c r="A1996" s="12">
        <v>1979</v>
      </c>
      <c r="B1996" s="10" t="s">
        <v>1015</v>
      </c>
      <c r="C1996" s="11" t="s">
        <v>1155</v>
      </c>
      <c r="D1996" s="9"/>
      <c r="E1996" s="9">
        <v>392</v>
      </c>
      <c r="F1996" s="10" t="s">
        <v>1066</v>
      </c>
      <c r="G1996" s="9">
        <v>906</v>
      </c>
      <c r="H1996" s="9">
        <v>2015</v>
      </c>
      <c r="I1996" s="8">
        <v>2770.5610000000001</v>
      </c>
      <c r="J1996" s="8">
        <v>2854.5839999999998</v>
      </c>
      <c r="K1996" s="8">
        <v>2910.8290000000002</v>
      </c>
      <c r="L1996" s="8">
        <v>3068.6010000000001</v>
      </c>
      <c r="M1996" s="8">
        <v>3148.2190000000001</v>
      </c>
      <c r="N1996" s="8">
        <v>3461.3229999999999</v>
      </c>
      <c r="O1996" s="8">
        <v>3892.9479999999999</v>
      </c>
      <c r="P1996" s="8">
        <v>4317.9350000000004</v>
      </c>
      <c r="Q1996" s="8">
        <v>5118.2910000000002</v>
      </c>
      <c r="R1996" s="8">
        <v>4409.7730000000001</v>
      </c>
      <c r="S1996" s="8">
        <v>4038.3820000000001</v>
      </c>
      <c r="T1996" s="8">
        <v>3850.49</v>
      </c>
      <c r="U1996" s="8">
        <v>4305.1670000000004</v>
      </c>
      <c r="V1996" s="8">
        <v>4657.03</v>
      </c>
      <c r="W1996" s="8">
        <v>3584.1579999999999</v>
      </c>
      <c r="X1996" s="8">
        <v>2772.3270000000002</v>
      </c>
      <c r="Y1996" s="8">
        <v>1946.604</v>
      </c>
      <c r="Z1996" s="8">
        <v>1033.8800000000001</v>
      </c>
      <c r="AA1996" s="8">
        <v>322.58</v>
      </c>
      <c r="AB1996" s="8">
        <v>65.710999999999999</v>
      </c>
      <c r="AC1996" s="8">
        <v>7.3520000000000003</v>
      </c>
    </row>
    <row r="1997" spans="1:29" ht="11.65" x14ac:dyDescent="0.35">
      <c r="A1997" s="12">
        <v>1980</v>
      </c>
      <c r="B1997" s="10" t="s">
        <v>1015</v>
      </c>
      <c r="C1997" s="11" t="s">
        <v>1155</v>
      </c>
      <c r="D1997" s="9"/>
      <c r="E1997" s="9">
        <v>392</v>
      </c>
      <c r="F1997" s="10" t="s">
        <v>1066</v>
      </c>
      <c r="G1997" s="9">
        <v>906</v>
      </c>
      <c r="H1997" s="9">
        <v>2020</v>
      </c>
      <c r="I1997" s="8">
        <v>2453.8339999999998</v>
      </c>
      <c r="J1997" s="8">
        <v>2773.482</v>
      </c>
      <c r="K1997" s="8">
        <v>2856.8879999999999</v>
      </c>
      <c r="L1997" s="8">
        <v>2926.7869999999998</v>
      </c>
      <c r="M1997" s="8">
        <v>3075.58</v>
      </c>
      <c r="N1997" s="8">
        <v>3151.556</v>
      </c>
      <c r="O1997" s="8">
        <v>3475.5259999999998</v>
      </c>
      <c r="P1997" s="8">
        <v>3918.085</v>
      </c>
      <c r="Q1997" s="8">
        <v>4307.1989999999996</v>
      </c>
      <c r="R1997" s="8">
        <v>5088.6970000000001</v>
      </c>
      <c r="S1997" s="8">
        <v>4364.7920000000004</v>
      </c>
      <c r="T1997" s="8">
        <v>3964.5569999999998</v>
      </c>
      <c r="U1997" s="8">
        <v>3733.4540000000002</v>
      </c>
      <c r="V1997" s="8">
        <v>4095.95</v>
      </c>
      <c r="W1997" s="8">
        <v>4312.4620000000004</v>
      </c>
      <c r="X1997" s="8">
        <v>3160.7640000000001</v>
      </c>
      <c r="Y1997" s="8">
        <v>2209.8409999999999</v>
      </c>
      <c r="Z1997" s="8">
        <v>1282.7929999999999</v>
      </c>
      <c r="AA1997" s="8">
        <v>495.63200000000001</v>
      </c>
      <c r="AB1997" s="8">
        <v>95.394000000000005</v>
      </c>
      <c r="AC1997" s="8">
        <v>9.7720000000000002</v>
      </c>
    </row>
    <row r="1998" spans="1:29" ht="11.65" x14ac:dyDescent="0.35">
      <c r="A1998" s="12">
        <v>1981</v>
      </c>
      <c r="B1998" s="10" t="s">
        <v>1015</v>
      </c>
      <c r="C1998" s="11" t="s">
        <v>1156</v>
      </c>
      <c r="D1998" s="9"/>
      <c r="E1998" s="9">
        <v>496</v>
      </c>
      <c r="F1998" s="10" t="s">
        <v>1066</v>
      </c>
      <c r="G1998" s="9">
        <v>906</v>
      </c>
      <c r="H1998" s="9">
        <v>1950</v>
      </c>
      <c r="I1998" s="8">
        <v>47.634999999999998</v>
      </c>
      <c r="J1998" s="8">
        <v>40.39</v>
      </c>
      <c r="K1998" s="8">
        <v>38.531999999999996</v>
      </c>
      <c r="L1998" s="8">
        <v>35.713000000000001</v>
      </c>
      <c r="M1998" s="8">
        <v>32.627000000000002</v>
      </c>
      <c r="N1998" s="8">
        <v>29.954999999999998</v>
      </c>
      <c r="O1998" s="8">
        <v>29.13</v>
      </c>
      <c r="P1998" s="8">
        <v>25.553000000000001</v>
      </c>
      <c r="Q1998" s="8">
        <v>25.236999999999998</v>
      </c>
      <c r="R1998" s="8">
        <v>21.146000000000001</v>
      </c>
      <c r="S1998" s="8">
        <v>18.510000000000002</v>
      </c>
      <c r="T1998" s="8">
        <v>15.896000000000001</v>
      </c>
      <c r="U1998" s="8">
        <v>10.829000000000001</v>
      </c>
      <c r="V1998" s="8">
        <v>7.12</v>
      </c>
      <c r="W1998" s="8">
        <v>3.3010000000000002</v>
      </c>
      <c r="X1998" s="8">
        <v>1.133</v>
      </c>
      <c r="Y1998" s="8">
        <v>0.57499999999999996</v>
      </c>
      <c r="Z1998" s="8">
        <v>0.161</v>
      </c>
      <c r="AA1998" s="8">
        <v>2.5000000000000001E-2</v>
      </c>
      <c r="AB1998" s="8">
        <v>2E-3</v>
      </c>
      <c r="AC1998" s="8">
        <v>0</v>
      </c>
    </row>
    <row r="1999" spans="1:29" ht="11.65" x14ac:dyDescent="0.35">
      <c r="A1999" s="12">
        <v>1982</v>
      </c>
      <c r="B1999" s="10" t="s">
        <v>1015</v>
      </c>
      <c r="C1999" s="11" t="s">
        <v>1156</v>
      </c>
      <c r="D1999" s="9"/>
      <c r="E1999" s="9">
        <v>496</v>
      </c>
      <c r="F1999" s="10" t="s">
        <v>1066</v>
      </c>
      <c r="G1999" s="9">
        <v>906</v>
      </c>
      <c r="H1999" s="9">
        <v>1955</v>
      </c>
      <c r="I1999" s="8">
        <v>62.679000000000002</v>
      </c>
      <c r="J1999" s="8">
        <v>42.661999999999999</v>
      </c>
      <c r="K1999" s="8">
        <v>39.432000000000002</v>
      </c>
      <c r="L1999" s="8">
        <v>38.118000000000002</v>
      </c>
      <c r="M1999" s="8">
        <v>35.131</v>
      </c>
      <c r="N1999" s="8">
        <v>31.992999999999999</v>
      </c>
      <c r="O1999" s="8">
        <v>29.247</v>
      </c>
      <c r="P1999" s="8">
        <v>28.248000000000001</v>
      </c>
      <c r="Q1999" s="8">
        <v>24.515000000000001</v>
      </c>
      <c r="R1999" s="8">
        <v>23.808</v>
      </c>
      <c r="S1999" s="8">
        <v>19.454999999999998</v>
      </c>
      <c r="T1999" s="8">
        <v>16.425999999999998</v>
      </c>
      <c r="U1999" s="8">
        <v>13.372</v>
      </c>
      <c r="V1999" s="8">
        <v>8.4130000000000003</v>
      </c>
      <c r="W1999" s="8">
        <v>4.8760000000000003</v>
      </c>
      <c r="X1999" s="8">
        <v>1.8180000000000001</v>
      </c>
      <c r="Y1999" s="8">
        <v>0.46500000000000002</v>
      </c>
      <c r="Z1999" s="8">
        <v>0.16200000000000001</v>
      </c>
      <c r="AA1999" s="8">
        <v>2.5000000000000001E-2</v>
      </c>
      <c r="AB1999" s="8">
        <v>2E-3</v>
      </c>
      <c r="AC1999" s="8">
        <v>0</v>
      </c>
    </row>
    <row r="2000" spans="1:29" ht="11.65" x14ac:dyDescent="0.35">
      <c r="A2000" s="12">
        <v>1983</v>
      </c>
      <c r="B2000" s="10" t="s">
        <v>1015</v>
      </c>
      <c r="C2000" s="11" t="s">
        <v>1156</v>
      </c>
      <c r="D2000" s="9"/>
      <c r="E2000" s="9">
        <v>496</v>
      </c>
      <c r="F2000" s="10" t="s">
        <v>1066</v>
      </c>
      <c r="G2000" s="9">
        <v>906</v>
      </c>
      <c r="H2000" s="9">
        <v>1960</v>
      </c>
      <c r="I2000" s="8">
        <v>76.251999999999995</v>
      </c>
      <c r="J2000" s="8">
        <v>56.56</v>
      </c>
      <c r="K2000" s="8">
        <v>41.920999999999999</v>
      </c>
      <c r="L2000" s="8">
        <v>39.061</v>
      </c>
      <c r="M2000" s="8">
        <v>37.582000000000001</v>
      </c>
      <c r="N2000" s="8">
        <v>34.54</v>
      </c>
      <c r="O2000" s="8">
        <v>31.338000000000001</v>
      </c>
      <c r="P2000" s="8">
        <v>28.475000000000001</v>
      </c>
      <c r="Q2000" s="8">
        <v>27.231999999999999</v>
      </c>
      <c r="R2000" s="8">
        <v>23.27</v>
      </c>
      <c r="S2000" s="8">
        <v>22.07</v>
      </c>
      <c r="T2000" s="8">
        <v>17.423999999999999</v>
      </c>
      <c r="U2000" s="8">
        <v>13.971</v>
      </c>
      <c r="V2000" s="8">
        <v>10.532</v>
      </c>
      <c r="W2000" s="8">
        <v>5.8760000000000003</v>
      </c>
      <c r="X2000" s="8">
        <v>2.7919999999999998</v>
      </c>
      <c r="Y2000" s="8">
        <v>0.78700000000000003</v>
      </c>
      <c r="Z2000" s="8">
        <v>0.13600000000000001</v>
      </c>
      <c r="AA2000" s="8">
        <v>2.5999999999999999E-2</v>
      </c>
      <c r="AB2000" s="8">
        <v>2E-3</v>
      </c>
      <c r="AC2000" s="8">
        <v>0</v>
      </c>
    </row>
    <row r="2001" spans="1:29" ht="11.65" x14ac:dyDescent="0.35">
      <c r="A2001" s="12">
        <v>1984</v>
      </c>
      <c r="B2001" s="10" t="s">
        <v>1015</v>
      </c>
      <c r="C2001" s="11" t="s">
        <v>1156</v>
      </c>
      <c r="D2001" s="9"/>
      <c r="E2001" s="9">
        <v>496</v>
      </c>
      <c r="F2001" s="10" t="s">
        <v>1066</v>
      </c>
      <c r="G2001" s="9">
        <v>906</v>
      </c>
      <c r="H2001" s="9">
        <v>1965</v>
      </c>
      <c r="I2001" s="8">
        <v>103.03400000000001</v>
      </c>
      <c r="J2001" s="8">
        <v>70.789000000000001</v>
      </c>
      <c r="K2001" s="8">
        <v>55.542000000000002</v>
      </c>
      <c r="L2001" s="8">
        <v>41.582999999999998</v>
      </c>
      <c r="M2001" s="8">
        <v>38.593000000000004</v>
      </c>
      <c r="N2001" s="8">
        <v>37.042000000000002</v>
      </c>
      <c r="O2001" s="8">
        <v>33.933999999999997</v>
      </c>
      <c r="P2001" s="8">
        <v>30.623999999999999</v>
      </c>
      <c r="Q2001" s="8">
        <v>27.58</v>
      </c>
      <c r="R2001" s="8">
        <v>26.004000000000001</v>
      </c>
      <c r="S2001" s="8">
        <v>21.734000000000002</v>
      </c>
      <c r="T2001" s="8">
        <v>19.946999999999999</v>
      </c>
      <c r="U2001" s="8">
        <v>14.99</v>
      </c>
      <c r="V2001" s="8">
        <v>11.167</v>
      </c>
      <c r="W2001" s="8">
        <v>7.4790000000000001</v>
      </c>
      <c r="X2001" s="8">
        <v>3.415</v>
      </c>
      <c r="Y2001" s="8">
        <v>1.2210000000000001</v>
      </c>
      <c r="Z2001" s="8">
        <v>0.22800000000000001</v>
      </c>
      <c r="AA2001" s="8">
        <v>2.1000000000000001E-2</v>
      </c>
      <c r="AB2001" s="8">
        <v>2E-3</v>
      </c>
      <c r="AC2001" s="8">
        <v>0</v>
      </c>
    </row>
    <row r="2002" spans="1:29" ht="11.65" x14ac:dyDescent="0.35">
      <c r="A2002" s="12">
        <v>1985</v>
      </c>
      <c r="B2002" s="10" t="s">
        <v>1015</v>
      </c>
      <c r="C2002" s="11" t="s">
        <v>1156</v>
      </c>
      <c r="D2002" s="9"/>
      <c r="E2002" s="9">
        <v>496</v>
      </c>
      <c r="F2002" s="10" t="s">
        <v>1066</v>
      </c>
      <c r="G2002" s="9">
        <v>906</v>
      </c>
      <c r="H2002" s="9">
        <v>1970</v>
      </c>
      <c r="I2002" s="8">
        <v>114.456</v>
      </c>
      <c r="J2002" s="8">
        <v>96.894999999999996</v>
      </c>
      <c r="K2002" s="8">
        <v>69.765000000000001</v>
      </c>
      <c r="L2002" s="8">
        <v>55.158999999999999</v>
      </c>
      <c r="M2002" s="8">
        <v>41.158999999999999</v>
      </c>
      <c r="N2002" s="8">
        <v>38.119999999999997</v>
      </c>
      <c r="O2002" s="8">
        <v>36.484999999999999</v>
      </c>
      <c r="P2002" s="8">
        <v>33.268999999999998</v>
      </c>
      <c r="Q2002" s="8">
        <v>29.786000000000001</v>
      </c>
      <c r="R2002" s="8">
        <v>26.478000000000002</v>
      </c>
      <c r="S2002" s="8">
        <v>24.452999999999999</v>
      </c>
      <c r="T2002" s="8">
        <v>19.812999999999999</v>
      </c>
      <c r="U2002" s="8">
        <v>17.346</v>
      </c>
      <c r="V2002" s="8">
        <v>12.151</v>
      </c>
      <c r="W2002" s="8">
        <v>8.0830000000000002</v>
      </c>
      <c r="X2002" s="8">
        <v>4.4660000000000002</v>
      </c>
      <c r="Y2002" s="8">
        <v>1.55</v>
      </c>
      <c r="Z2002" s="8">
        <v>0.377</v>
      </c>
      <c r="AA2002" s="8">
        <v>0.04</v>
      </c>
      <c r="AB2002" s="8">
        <v>2E-3</v>
      </c>
      <c r="AC2002" s="8">
        <v>0</v>
      </c>
    </row>
    <row r="2003" spans="1:29" ht="11.65" x14ac:dyDescent="0.35">
      <c r="A2003" s="12">
        <v>1986</v>
      </c>
      <c r="B2003" s="10" t="s">
        <v>1015</v>
      </c>
      <c r="C2003" s="11" t="s">
        <v>1156</v>
      </c>
      <c r="D2003" s="9"/>
      <c r="E2003" s="9">
        <v>496</v>
      </c>
      <c r="F2003" s="10" t="s">
        <v>1066</v>
      </c>
      <c r="G2003" s="9">
        <v>906</v>
      </c>
      <c r="H2003" s="9">
        <v>1975</v>
      </c>
      <c r="I2003" s="8">
        <v>129.75899999999999</v>
      </c>
      <c r="J2003" s="8">
        <v>108.651</v>
      </c>
      <c r="K2003" s="8">
        <v>95.738</v>
      </c>
      <c r="L2003" s="8">
        <v>69.347999999999999</v>
      </c>
      <c r="M2003" s="8">
        <v>54.671999999999997</v>
      </c>
      <c r="N2003" s="8">
        <v>40.720999999999997</v>
      </c>
      <c r="O2003" s="8">
        <v>37.622</v>
      </c>
      <c r="P2003" s="8">
        <v>35.859000000000002</v>
      </c>
      <c r="Q2003" s="8">
        <v>32.462000000000003</v>
      </c>
      <c r="R2003" s="8">
        <v>28.713999999999999</v>
      </c>
      <c r="S2003" s="8">
        <v>25.035</v>
      </c>
      <c r="T2003" s="8">
        <v>22.446999999999999</v>
      </c>
      <c r="U2003" s="8">
        <v>17.382999999999999</v>
      </c>
      <c r="V2003" s="8">
        <v>14.224</v>
      </c>
      <c r="W2003" s="8">
        <v>8.9540000000000006</v>
      </c>
      <c r="X2003" s="8">
        <v>4.984</v>
      </c>
      <c r="Y2003" s="8">
        <v>2.1269999999999998</v>
      </c>
      <c r="Z2003" s="8">
        <v>0.50900000000000001</v>
      </c>
      <c r="AA2003" s="8">
        <v>7.2999999999999995E-2</v>
      </c>
      <c r="AB2003" s="8">
        <v>4.0000000000000001E-3</v>
      </c>
      <c r="AC2003" s="8">
        <v>0</v>
      </c>
    </row>
    <row r="2004" spans="1:29" ht="11.65" x14ac:dyDescent="0.35">
      <c r="A2004" s="12">
        <v>1987</v>
      </c>
      <c r="B2004" s="10" t="s">
        <v>1015</v>
      </c>
      <c r="C2004" s="11" t="s">
        <v>1156</v>
      </c>
      <c r="D2004" s="9"/>
      <c r="E2004" s="9">
        <v>496</v>
      </c>
      <c r="F2004" s="10" t="s">
        <v>1066</v>
      </c>
      <c r="G2004" s="9">
        <v>906</v>
      </c>
      <c r="H2004" s="9">
        <v>1980</v>
      </c>
      <c r="I2004" s="8">
        <v>137.47200000000001</v>
      </c>
      <c r="J2004" s="8">
        <v>123.343</v>
      </c>
      <c r="K2004" s="8">
        <v>107.393</v>
      </c>
      <c r="L2004" s="8">
        <v>95.174999999999997</v>
      </c>
      <c r="M2004" s="8">
        <v>68.75</v>
      </c>
      <c r="N2004" s="8">
        <v>54.101999999999997</v>
      </c>
      <c r="O2004" s="8">
        <v>40.198999999999998</v>
      </c>
      <c r="P2004" s="8">
        <v>36.99</v>
      </c>
      <c r="Q2004" s="8">
        <v>35.006999999999998</v>
      </c>
      <c r="R2004" s="8">
        <v>31.312999999999999</v>
      </c>
      <c r="S2004" s="8">
        <v>27.17</v>
      </c>
      <c r="T2004" s="8">
        <v>23.003</v>
      </c>
      <c r="U2004" s="8">
        <v>19.719000000000001</v>
      </c>
      <c r="V2004" s="8">
        <v>14.279</v>
      </c>
      <c r="W2004" s="8">
        <v>10.505000000000001</v>
      </c>
      <c r="X2004" s="8">
        <v>5.5620000000000003</v>
      </c>
      <c r="Y2004" s="8">
        <v>2.4020000000000001</v>
      </c>
      <c r="Z2004" s="8">
        <v>0.71</v>
      </c>
      <c r="AA2004" s="8">
        <v>0.10199999999999999</v>
      </c>
      <c r="AB2004" s="8">
        <v>8.0000000000000002E-3</v>
      </c>
      <c r="AC2004" s="8">
        <v>0</v>
      </c>
    </row>
    <row r="2005" spans="1:29" ht="11.65" x14ac:dyDescent="0.35">
      <c r="A2005" s="12">
        <v>1988</v>
      </c>
      <c r="B2005" s="10" t="s">
        <v>1015</v>
      </c>
      <c r="C2005" s="11" t="s">
        <v>1156</v>
      </c>
      <c r="D2005" s="9"/>
      <c r="E2005" s="9">
        <v>496</v>
      </c>
      <c r="F2005" s="10" t="s">
        <v>1066</v>
      </c>
      <c r="G2005" s="9">
        <v>906</v>
      </c>
      <c r="H2005" s="9">
        <v>1985</v>
      </c>
      <c r="I2005" s="8">
        <v>151.30699999999999</v>
      </c>
      <c r="J2005" s="8">
        <v>130.87200000000001</v>
      </c>
      <c r="K2005" s="8">
        <v>121.96299999999999</v>
      </c>
      <c r="L2005" s="8">
        <v>106.77800000000001</v>
      </c>
      <c r="M2005" s="8">
        <v>94.375</v>
      </c>
      <c r="N2005" s="8">
        <v>68.05</v>
      </c>
      <c r="O2005" s="8">
        <v>53.427</v>
      </c>
      <c r="P2005" s="8">
        <v>39.540999999999997</v>
      </c>
      <c r="Q2005" s="8">
        <v>36.128</v>
      </c>
      <c r="R2005" s="8">
        <v>33.792000000000002</v>
      </c>
      <c r="S2005" s="8">
        <v>29.657</v>
      </c>
      <c r="T2005" s="8">
        <v>24.995999999999999</v>
      </c>
      <c r="U2005" s="8">
        <v>20.239999999999998</v>
      </c>
      <c r="V2005" s="8">
        <v>16.228999999999999</v>
      </c>
      <c r="W2005" s="8">
        <v>10.589</v>
      </c>
      <c r="X2005" s="8">
        <v>6.5549999999999997</v>
      </c>
      <c r="Y2005" s="8">
        <v>2.6960000000000002</v>
      </c>
      <c r="Z2005" s="8">
        <v>0.81</v>
      </c>
      <c r="AA2005" s="8">
        <v>0.13900000000000001</v>
      </c>
      <c r="AB2005" s="8">
        <v>0.01</v>
      </c>
      <c r="AC2005" s="8">
        <v>0</v>
      </c>
    </row>
    <row r="2006" spans="1:29" ht="11.65" x14ac:dyDescent="0.35">
      <c r="A2006" s="12">
        <v>1989</v>
      </c>
      <c r="B2006" s="10" t="s">
        <v>1015</v>
      </c>
      <c r="C2006" s="11" t="s">
        <v>1156</v>
      </c>
      <c r="D2006" s="9"/>
      <c r="E2006" s="9">
        <v>496</v>
      </c>
      <c r="F2006" s="10" t="s">
        <v>1066</v>
      </c>
      <c r="G2006" s="9">
        <v>906</v>
      </c>
      <c r="H2006" s="9">
        <v>1990</v>
      </c>
      <c r="I2006" s="8">
        <v>166.584</v>
      </c>
      <c r="J2006" s="8">
        <v>145.15799999999999</v>
      </c>
      <c r="K2006" s="8">
        <v>129.67699999999999</v>
      </c>
      <c r="L2006" s="8">
        <v>121.357</v>
      </c>
      <c r="M2006" s="8">
        <v>106.003</v>
      </c>
      <c r="N2006" s="8">
        <v>93.543000000000006</v>
      </c>
      <c r="O2006" s="8">
        <v>67.313000000000002</v>
      </c>
      <c r="P2006" s="8">
        <v>52.661000000000001</v>
      </c>
      <c r="Q2006" s="8">
        <v>38.726999999999997</v>
      </c>
      <c r="R2006" s="8">
        <v>35.003999999999998</v>
      </c>
      <c r="S2006" s="8">
        <v>32.164999999999999</v>
      </c>
      <c r="T2006" s="8">
        <v>27.457999999999998</v>
      </c>
      <c r="U2006" s="8">
        <v>22.175000000000001</v>
      </c>
      <c r="V2006" s="8">
        <v>16.841999999999999</v>
      </c>
      <c r="W2006" s="8">
        <v>12.228</v>
      </c>
      <c r="X2006" s="8">
        <v>6.8479999999999999</v>
      </c>
      <c r="Y2006" s="8">
        <v>3.355</v>
      </c>
      <c r="Z2006" s="8">
        <v>0.96299999999999997</v>
      </c>
      <c r="AA2006" s="8">
        <v>0.17499999999999999</v>
      </c>
      <c r="AB2006" s="8">
        <v>1.4999999999999999E-2</v>
      </c>
      <c r="AC2006" s="8">
        <v>1E-3</v>
      </c>
    </row>
    <row r="2007" spans="1:29" ht="11.65" x14ac:dyDescent="0.35">
      <c r="A2007" s="12">
        <v>1990</v>
      </c>
      <c r="B2007" s="10" t="s">
        <v>1015</v>
      </c>
      <c r="C2007" s="11" t="s">
        <v>1156</v>
      </c>
      <c r="D2007" s="9"/>
      <c r="E2007" s="9">
        <v>496</v>
      </c>
      <c r="F2007" s="10" t="s">
        <v>1066</v>
      </c>
      <c r="G2007" s="9">
        <v>906</v>
      </c>
      <c r="H2007" s="9">
        <v>1995</v>
      </c>
      <c r="I2007" s="8">
        <v>142.43600000000001</v>
      </c>
      <c r="J2007" s="8">
        <v>162.44</v>
      </c>
      <c r="K2007" s="8">
        <v>140.947</v>
      </c>
      <c r="L2007" s="8">
        <v>123.53700000000001</v>
      </c>
      <c r="M2007" s="8">
        <v>115.381</v>
      </c>
      <c r="N2007" s="8">
        <v>100.11499999999999</v>
      </c>
      <c r="O2007" s="8">
        <v>88.984999999999999</v>
      </c>
      <c r="P2007" s="8">
        <v>64.195999999999998</v>
      </c>
      <c r="Q2007" s="8">
        <v>47.878</v>
      </c>
      <c r="R2007" s="8">
        <v>33.476999999999997</v>
      </c>
      <c r="S2007" s="8">
        <v>30.488</v>
      </c>
      <c r="T2007" s="8">
        <v>27.256</v>
      </c>
      <c r="U2007" s="8">
        <v>22.498000000000001</v>
      </c>
      <c r="V2007" s="8">
        <v>16.472000000000001</v>
      </c>
      <c r="W2007" s="8">
        <v>10.956</v>
      </c>
      <c r="X2007" s="8">
        <v>7.2080000000000002</v>
      </c>
      <c r="Y2007" s="8">
        <v>3.0449999999999999</v>
      </c>
      <c r="Z2007" s="8">
        <v>0.97499999999999998</v>
      </c>
      <c r="AA2007" s="8">
        <v>0.14899999999999999</v>
      </c>
      <c r="AB2007" s="8">
        <v>1.4999999999999999E-2</v>
      </c>
      <c r="AC2007" s="8">
        <v>1E-3</v>
      </c>
    </row>
    <row r="2008" spans="1:29" ht="11.65" x14ac:dyDescent="0.35">
      <c r="A2008" s="12">
        <v>1991</v>
      </c>
      <c r="B2008" s="10" t="s">
        <v>1015</v>
      </c>
      <c r="C2008" s="11" t="s">
        <v>1156</v>
      </c>
      <c r="D2008" s="9"/>
      <c r="E2008" s="9">
        <v>496</v>
      </c>
      <c r="F2008" s="10" t="s">
        <v>1066</v>
      </c>
      <c r="G2008" s="9">
        <v>906</v>
      </c>
      <c r="H2008" s="9">
        <v>2000</v>
      </c>
      <c r="I2008" s="8">
        <v>118.053</v>
      </c>
      <c r="J2008" s="8">
        <v>140.44200000000001</v>
      </c>
      <c r="K2008" s="8">
        <v>161.155</v>
      </c>
      <c r="L2008" s="8">
        <v>137.32499999999999</v>
      </c>
      <c r="M2008" s="8">
        <v>120.36499999999999</v>
      </c>
      <c r="N2008" s="8">
        <v>110.877</v>
      </c>
      <c r="O2008" s="8">
        <v>96.198999999999998</v>
      </c>
      <c r="P2008" s="8">
        <v>86.858000000000004</v>
      </c>
      <c r="Q2008" s="8">
        <v>62.023000000000003</v>
      </c>
      <c r="R2008" s="8">
        <v>43.917000000000002</v>
      </c>
      <c r="S2008" s="8">
        <v>29.817</v>
      </c>
      <c r="T2008" s="8">
        <v>26.873000000000001</v>
      </c>
      <c r="U2008" s="8">
        <v>22.786999999999999</v>
      </c>
      <c r="V2008" s="8">
        <v>17.216000000000001</v>
      </c>
      <c r="W2008" s="8">
        <v>11.082000000000001</v>
      </c>
      <c r="X2008" s="8">
        <v>6.391</v>
      </c>
      <c r="Y2008" s="8">
        <v>3.1709999999999998</v>
      </c>
      <c r="Z2008" s="8">
        <v>0.88500000000000001</v>
      </c>
      <c r="AA2008" s="8">
        <v>0.154</v>
      </c>
      <c r="AB2008" s="8">
        <v>1.2E-2</v>
      </c>
      <c r="AC2008" s="8">
        <v>1E-3</v>
      </c>
    </row>
    <row r="2009" spans="1:29" ht="11.65" x14ac:dyDescent="0.35">
      <c r="A2009" s="12">
        <v>1992</v>
      </c>
      <c r="B2009" s="10" t="s">
        <v>1015</v>
      </c>
      <c r="C2009" s="11" t="s">
        <v>1156</v>
      </c>
      <c r="D2009" s="9"/>
      <c r="E2009" s="9">
        <v>496</v>
      </c>
      <c r="F2009" s="10" t="s">
        <v>1066</v>
      </c>
      <c r="G2009" s="9">
        <v>906</v>
      </c>
      <c r="H2009" s="9">
        <v>2005</v>
      </c>
      <c r="I2009" s="8">
        <v>111.983</v>
      </c>
      <c r="J2009" s="8">
        <v>116.854</v>
      </c>
      <c r="K2009" s="8">
        <v>139.93100000000001</v>
      </c>
      <c r="L2009" s="8">
        <v>160.078</v>
      </c>
      <c r="M2009" s="8">
        <v>135.45099999999999</v>
      </c>
      <c r="N2009" s="8">
        <v>118.09099999999999</v>
      </c>
      <c r="O2009" s="8">
        <v>108.288</v>
      </c>
      <c r="P2009" s="8">
        <v>93.412000000000006</v>
      </c>
      <c r="Q2009" s="8">
        <v>83.491</v>
      </c>
      <c r="R2009" s="8">
        <v>58.466999999999999</v>
      </c>
      <c r="S2009" s="8">
        <v>40.314</v>
      </c>
      <c r="T2009" s="8">
        <v>26.716000000000001</v>
      </c>
      <c r="U2009" s="8">
        <v>23.004000000000001</v>
      </c>
      <c r="V2009" s="8">
        <v>18.036999999999999</v>
      </c>
      <c r="W2009" s="8">
        <v>12.260999999999999</v>
      </c>
      <c r="X2009" s="8">
        <v>6.5720000000000001</v>
      </c>
      <c r="Y2009" s="8">
        <v>2.8660000000000001</v>
      </c>
      <c r="Z2009" s="8">
        <v>0.94499999999999995</v>
      </c>
      <c r="AA2009" s="8">
        <v>0.14499999999999999</v>
      </c>
      <c r="AB2009" s="8">
        <v>1.2999999999999999E-2</v>
      </c>
      <c r="AC2009" s="8">
        <v>1E-3</v>
      </c>
    </row>
    <row r="2010" spans="1:29" ht="11.65" x14ac:dyDescent="0.35">
      <c r="A2010" s="12">
        <v>1993</v>
      </c>
      <c r="B2010" s="10" t="s">
        <v>1015</v>
      </c>
      <c r="C2010" s="11" t="s">
        <v>1156</v>
      </c>
      <c r="D2010" s="9"/>
      <c r="E2010" s="9">
        <v>496</v>
      </c>
      <c r="F2010" s="10" t="s">
        <v>1066</v>
      </c>
      <c r="G2010" s="9">
        <v>906</v>
      </c>
      <c r="H2010" s="9">
        <v>2010</v>
      </c>
      <c r="I2010" s="8">
        <v>143.63999999999999</v>
      </c>
      <c r="J2010" s="8">
        <v>111.133</v>
      </c>
      <c r="K2010" s="8">
        <v>116.43600000000001</v>
      </c>
      <c r="L2010" s="8">
        <v>139.07599999999999</v>
      </c>
      <c r="M2010" s="8">
        <v>158.28100000000001</v>
      </c>
      <c r="N2010" s="8">
        <v>133.15899999999999</v>
      </c>
      <c r="O2010" s="8">
        <v>115.524</v>
      </c>
      <c r="P2010" s="8">
        <v>105.273</v>
      </c>
      <c r="Q2010" s="8">
        <v>89.790999999999997</v>
      </c>
      <c r="R2010" s="8">
        <v>78.888999999999996</v>
      </c>
      <c r="S2010" s="8">
        <v>53.936</v>
      </c>
      <c r="T2010" s="8">
        <v>36.270000000000003</v>
      </c>
      <c r="U2010" s="8">
        <v>23.305</v>
      </c>
      <c r="V2010" s="8">
        <v>19.055</v>
      </c>
      <c r="W2010" s="8">
        <v>13.381</v>
      </c>
      <c r="X2010" s="8">
        <v>7.5179999999999998</v>
      </c>
      <c r="Y2010" s="8">
        <v>3.1320000000000001</v>
      </c>
      <c r="Z2010" s="8">
        <v>0.95499999999999996</v>
      </c>
      <c r="AA2010" s="8">
        <v>0.19</v>
      </c>
      <c r="AB2010" s="8">
        <v>1.4999999999999999E-2</v>
      </c>
      <c r="AC2010" s="8">
        <v>1E-3</v>
      </c>
    </row>
    <row r="2011" spans="1:29" ht="11.65" x14ac:dyDescent="0.35">
      <c r="A2011" s="12">
        <v>1994</v>
      </c>
      <c r="B2011" s="10" t="s">
        <v>1015</v>
      </c>
      <c r="C2011" s="11" t="s">
        <v>1156</v>
      </c>
      <c r="D2011" s="9"/>
      <c r="E2011" s="9">
        <v>496</v>
      </c>
      <c r="F2011" s="10" t="s">
        <v>1066</v>
      </c>
      <c r="G2011" s="9">
        <v>906</v>
      </c>
      <c r="H2011" s="9">
        <v>2015</v>
      </c>
      <c r="I2011" s="8">
        <v>184.054</v>
      </c>
      <c r="J2011" s="8">
        <v>142.809</v>
      </c>
      <c r="K2011" s="8">
        <v>110.782</v>
      </c>
      <c r="L2011" s="8">
        <v>115.86499999999999</v>
      </c>
      <c r="M2011" s="8">
        <v>137.93799999999999</v>
      </c>
      <c r="N2011" s="8">
        <v>156.49100000000001</v>
      </c>
      <c r="O2011" s="8">
        <v>131.09200000000001</v>
      </c>
      <c r="P2011" s="8">
        <v>113.07</v>
      </c>
      <c r="Q2011" s="8">
        <v>102.16500000000001</v>
      </c>
      <c r="R2011" s="8">
        <v>85.686000000000007</v>
      </c>
      <c r="S2011" s="8">
        <v>73.349000000000004</v>
      </c>
      <c r="T2011" s="8">
        <v>48.665999999999997</v>
      </c>
      <c r="U2011" s="8">
        <v>31.588000000000001</v>
      </c>
      <c r="V2011" s="8">
        <v>19.393999999999998</v>
      </c>
      <c r="W2011" s="8">
        <v>14.561</v>
      </c>
      <c r="X2011" s="8">
        <v>8.8290000000000006</v>
      </c>
      <c r="Y2011" s="8">
        <v>4.0999999999999996</v>
      </c>
      <c r="Z2011" s="8">
        <v>1.3169999999999999</v>
      </c>
      <c r="AA2011" s="8">
        <v>0.28100000000000003</v>
      </c>
      <c r="AB2011" s="8">
        <v>3.5999999999999997E-2</v>
      </c>
      <c r="AC2011" s="8">
        <v>2E-3</v>
      </c>
    </row>
    <row r="2012" spans="1:29" ht="11.65" x14ac:dyDescent="0.35">
      <c r="A2012" s="12">
        <v>1995</v>
      </c>
      <c r="B2012" s="10" t="s">
        <v>1015</v>
      </c>
      <c r="C2012" s="11" t="s">
        <v>1156</v>
      </c>
      <c r="D2012" s="9"/>
      <c r="E2012" s="9">
        <v>496</v>
      </c>
      <c r="F2012" s="10" t="s">
        <v>1066</v>
      </c>
      <c r="G2012" s="9">
        <v>906</v>
      </c>
      <c r="H2012" s="9">
        <v>2020</v>
      </c>
      <c r="I2012" s="8">
        <v>190.221</v>
      </c>
      <c r="J2012" s="8">
        <v>183.2</v>
      </c>
      <c r="K2012" s="8">
        <v>142.428</v>
      </c>
      <c r="L2012" s="8">
        <v>110.273</v>
      </c>
      <c r="M2012" s="8">
        <v>114.926</v>
      </c>
      <c r="N2012" s="8">
        <v>136.45400000000001</v>
      </c>
      <c r="O2012" s="8">
        <v>154.28299999999999</v>
      </c>
      <c r="P2012" s="8">
        <v>128.52099999999999</v>
      </c>
      <c r="Q2012" s="8">
        <v>109.95099999999999</v>
      </c>
      <c r="R2012" s="8">
        <v>97.754999999999995</v>
      </c>
      <c r="S2012" s="8">
        <v>79.938999999999993</v>
      </c>
      <c r="T2012" s="8">
        <v>66.435000000000002</v>
      </c>
      <c r="U2012" s="8">
        <v>42.558999999999997</v>
      </c>
      <c r="V2012" s="8">
        <v>26.405999999999999</v>
      </c>
      <c r="W2012" s="8">
        <v>14.904</v>
      </c>
      <c r="X2012" s="8">
        <v>9.6920000000000002</v>
      </c>
      <c r="Y2012" s="8">
        <v>4.8810000000000002</v>
      </c>
      <c r="Z2012" s="8">
        <v>1.754</v>
      </c>
      <c r="AA2012" s="8">
        <v>0.39700000000000002</v>
      </c>
      <c r="AB2012" s="8">
        <v>5.6000000000000001E-2</v>
      </c>
      <c r="AC2012" s="8">
        <v>4.0000000000000001E-3</v>
      </c>
    </row>
    <row r="2013" spans="1:29" ht="11.65" x14ac:dyDescent="0.35">
      <c r="A2013" s="12">
        <v>1996</v>
      </c>
      <c r="B2013" s="10" t="s">
        <v>1015</v>
      </c>
      <c r="C2013" s="11" t="s">
        <v>1157</v>
      </c>
      <c r="D2013" s="9"/>
      <c r="E2013" s="9">
        <v>410</v>
      </c>
      <c r="F2013" s="10" t="s">
        <v>1066</v>
      </c>
      <c r="G2013" s="9">
        <v>906</v>
      </c>
      <c r="H2013" s="9">
        <v>1950</v>
      </c>
      <c r="I2013" s="8">
        <v>1592.402</v>
      </c>
      <c r="J2013" s="8">
        <v>1399.5450000000001</v>
      </c>
      <c r="K2013" s="8">
        <v>1281.181</v>
      </c>
      <c r="L2013" s="8">
        <v>828.25199999999995</v>
      </c>
      <c r="M2013" s="8">
        <v>654.72199999999998</v>
      </c>
      <c r="N2013" s="8">
        <v>703.68799999999999</v>
      </c>
      <c r="O2013" s="8">
        <v>611.43100000000004</v>
      </c>
      <c r="P2013" s="8">
        <v>560.17200000000003</v>
      </c>
      <c r="Q2013" s="8">
        <v>533.91800000000001</v>
      </c>
      <c r="R2013" s="8">
        <v>372.39400000000001</v>
      </c>
      <c r="S2013" s="8">
        <v>338.03500000000003</v>
      </c>
      <c r="T2013" s="8">
        <v>261.23500000000001</v>
      </c>
      <c r="U2013" s="8">
        <v>200.64099999999999</v>
      </c>
      <c r="V2013" s="8">
        <v>114.051</v>
      </c>
      <c r="W2013" s="8">
        <v>63.203000000000003</v>
      </c>
      <c r="X2013" s="8">
        <v>24.98</v>
      </c>
      <c r="Y2013" s="8">
        <v>20.911999999999999</v>
      </c>
      <c r="Z2013" s="8">
        <v>5.8520000000000003</v>
      </c>
      <c r="AA2013" s="8">
        <v>1.268</v>
      </c>
      <c r="AB2013" s="8">
        <v>0.372</v>
      </c>
      <c r="AC2013" s="8">
        <v>5.7000000000000002E-2</v>
      </c>
    </row>
    <row r="2014" spans="1:29" ht="11.65" x14ac:dyDescent="0.35">
      <c r="A2014" s="12">
        <v>1997</v>
      </c>
      <c r="B2014" s="10" t="s">
        <v>1015</v>
      </c>
      <c r="C2014" s="11" t="s">
        <v>1157</v>
      </c>
      <c r="D2014" s="9"/>
      <c r="E2014" s="9">
        <v>410</v>
      </c>
      <c r="F2014" s="10" t="s">
        <v>1066</v>
      </c>
      <c r="G2014" s="9">
        <v>906</v>
      </c>
      <c r="H2014" s="9">
        <v>1955</v>
      </c>
      <c r="I2014" s="8">
        <v>1737.521</v>
      </c>
      <c r="J2014" s="8">
        <v>1501.38</v>
      </c>
      <c r="K2014" s="8">
        <v>1360.6030000000001</v>
      </c>
      <c r="L2014" s="8">
        <v>1258.335</v>
      </c>
      <c r="M2014" s="8">
        <v>808.58399999999995</v>
      </c>
      <c r="N2014" s="8">
        <v>635.62699999999995</v>
      </c>
      <c r="O2014" s="8">
        <v>679.39099999999996</v>
      </c>
      <c r="P2014" s="8">
        <v>585.92600000000004</v>
      </c>
      <c r="Q2014" s="8">
        <v>530.62300000000005</v>
      </c>
      <c r="R2014" s="8">
        <v>496.99700000000001</v>
      </c>
      <c r="S2014" s="8">
        <v>338.03</v>
      </c>
      <c r="T2014" s="8">
        <v>296.22800000000001</v>
      </c>
      <c r="U2014" s="8">
        <v>218.01599999999999</v>
      </c>
      <c r="V2014" s="8">
        <v>156.24799999999999</v>
      </c>
      <c r="W2014" s="8">
        <v>80.671000000000006</v>
      </c>
      <c r="X2014" s="8">
        <v>39.308999999999997</v>
      </c>
      <c r="Y2014" s="8">
        <v>13.119</v>
      </c>
      <c r="Z2014" s="8">
        <v>1.6459999999999999</v>
      </c>
      <c r="AA2014" s="8">
        <v>0.24099999999999999</v>
      </c>
      <c r="AB2014" s="8">
        <v>8.3000000000000004E-2</v>
      </c>
      <c r="AC2014" s="8">
        <v>2.5000000000000001E-2</v>
      </c>
    </row>
    <row r="2015" spans="1:29" ht="11.65" x14ac:dyDescent="0.35">
      <c r="A2015" s="12">
        <v>1998</v>
      </c>
      <c r="B2015" s="10" t="s">
        <v>1015</v>
      </c>
      <c r="C2015" s="11" t="s">
        <v>1157</v>
      </c>
      <c r="D2015" s="9"/>
      <c r="E2015" s="9">
        <v>410</v>
      </c>
      <c r="F2015" s="10" t="s">
        <v>1066</v>
      </c>
      <c r="G2015" s="9">
        <v>906</v>
      </c>
      <c r="H2015" s="9">
        <v>1960</v>
      </c>
      <c r="I2015" s="8">
        <v>2377.5819999999999</v>
      </c>
      <c r="J2015" s="8">
        <v>1794.7929999999999</v>
      </c>
      <c r="K2015" s="8">
        <v>1502.174</v>
      </c>
      <c r="L2015" s="8">
        <v>1226.4359999999999</v>
      </c>
      <c r="M2015" s="8">
        <v>1115.596</v>
      </c>
      <c r="N2015" s="8">
        <v>887.673</v>
      </c>
      <c r="O2015" s="8">
        <v>709.61900000000003</v>
      </c>
      <c r="P2015" s="8">
        <v>697.68899999999996</v>
      </c>
      <c r="Q2015" s="8">
        <v>583.48299999999995</v>
      </c>
      <c r="R2015" s="8">
        <v>506.61</v>
      </c>
      <c r="S2015" s="8">
        <v>453.43900000000002</v>
      </c>
      <c r="T2015" s="8">
        <v>297.31200000000001</v>
      </c>
      <c r="U2015" s="8">
        <v>247.63900000000001</v>
      </c>
      <c r="V2015" s="8">
        <v>169.56</v>
      </c>
      <c r="W2015" s="8">
        <v>110.295</v>
      </c>
      <c r="X2015" s="8">
        <v>49.612000000000002</v>
      </c>
      <c r="Y2015" s="8">
        <v>19.672000000000001</v>
      </c>
      <c r="Z2015" s="8">
        <v>1.782</v>
      </c>
      <c r="AA2015" s="8">
        <v>8.5999999999999993E-2</v>
      </c>
      <c r="AB2015" s="8">
        <v>8.9999999999999993E-3</v>
      </c>
      <c r="AC2015" s="8">
        <v>8.9999999999999993E-3</v>
      </c>
    </row>
    <row r="2016" spans="1:29" ht="11.65" x14ac:dyDescent="0.35">
      <c r="A2016" s="12">
        <v>1999</v>
      </c>
      <c r="B2016" s="10" t="s">
        <v>1015</v>
      </c>
      <c r="C2016" s="11" t="s">
        <v>1157</v>
      </c>
      <c r="D2016" s="9"/>
      <c r="E2016" s="9">
        <v>410</v>
      </c>
      <c r="F2016" s="10" t="s">
        <v>1066</v>
      </c>
      <c r="G2016" s="9">
        <v>906</v>
      </c>
      <c r="H2016" s="9">
        <v>1965</v>
      </c>
      <c r="I2016" s="8">
        <v>2402.4319999999998</v>
      </c>
      <c r="J2016" s="8">
        <v>2290.12</v>
      </c>
      <c r="K2016" s="8">
        <v>1761.42</v>
      </c>
      <c r="L2016" s="8">
        <v>1471.114</v>
      </c>
      <c r="M2016" s="8">
        <v>1183.1189999999999</v>
      </c>
      <c r="N2016" s="8">
        <v>1109</v>
      </c>
      <c r="O2016" s="8">
        <v>879.23699999999997</v>
      </c>
      <c r="P2016" s="8">
        <v>697.57</v>
      </c>
      <c r="Q2016" s="8">
        <v>675.47199999999998</v>
      </c>
      <c r="R2016" s="8">
        <v>553.66099999999994</v>
      </c>
      <c r="S2016" s="8">
        <v>467.55099999999999</v>
      </c>
      <c r="T2016" s="8">
        <v>402.30099999999999</v>
      </c>
      <c r="U2016" s="8">
        <v>250.21899999999999</v>
      </c>
      <c r="V2016" s="8">
        <v>192.90199999999999</v>
      </c>
      <c r="W2016" s="8">
        <v>119.54</v>
      </c>
      <c r="X2016" s="8">
        <v>67.040000000000006</v>
      </c>
      <c r="Y2016" s="8">
        <v>23.710999999999999</v>
      </c>
      <c r="Z2016" s="8">
        <v>3.0049999999999999</v>
      </c>
      <c r="AA2016" s="8">
        <v>0.109</v>
      </c>
      <c r="AB2016" s="8">
        <v>3.0000000000000001E-3</v>
      </c>
      <c r="AC2016" s="8">
        <v>1E-3</v>
      </c>
    </row>
    <row r="2017" spans="1:29" ht="11.65" x14ac:dyDescent="0.35">
      <c r="A2017" s="12">
        <v>2000</v>
      </c>
      <c r="B2017" s="10" t="s">
        <v>1015</v>
      </c>
      <c r="C2017" s="11" t="s">
        <v>1157</v>
      </c>
      <c r="D2017" s="9"/>
      <c r="E2017" s="9">
        <v>410</v>
      </c>
      <c r="F2017" s="10" t="s">
        <v>1066</v>
      </c>
      <c r="G2017" s="9">
        <v>906</v>
      </c>
      <c r="H2017" s="9">
        <v>1970</v>
      </c>
      <c r="I2017" s="8">
        <v>2321.1030000000001</v>
      </c>
      <c r="J2017" s="8">
        <v>2344.3119999999999</v>
      </c>
      <c r="K2017" s="8">
        <v>2258.9789999999998</v>
      </c>
      <c r="L2017" s="8">
        <v>1702.249</v>
      </c>
      <c r="M2017" s="8">
        <v>1416.144</v>
      </c>
      <c r="N2017" s="8">
        <v>1137.223</v>
      </c>
      <c r="O2017" s="8">
        <v>1103.8889999999999</v>
      </c>
      <c r="P2017" s="8">
        <v>870.69</v>
      </c>
      <c r="Q2017" s="8">
        <v>675.36800000000005</v>
      </c>
      <c r="R2017" s="8">
        <v>641.14099999999996</v>
      </c>
      <c r="S2017" s="8">
        <v>511.56299999999999</v>
      </c>
      <c r="T2017" s="8">
        <v>415.15699999999998</v>
      </c>
      <c r="U2017" s="8">
        <v>337.91699999999997</v>
      </c>
      <c r="V2017" s="8">
        <v>194.00399999999999</v>
      </c>
      <c r="W2017" s="8">
        <v>135.083</v>
      </c>
      <c r="X2017" s="8">
        <v>71.45</v>
      </c>
      <c r="Y2017" s="8">
        <v>30.244</v>
      </c>
      <c r="Z2017" s="8">
        <v>4.5629999999999997</v>
      </c>
      <c r="AA2017" s="8">
        <v>0.3</v>
      </c>
      <c r="AB2017" s="8">
        <v>5.0000000000000001E-3</v>
      </c>
      <c r="AC2017" s="8">
        <v>0</v>
      </c>
    </row>
    <row r="2018" spans="1:29" ht="11.65" x14ac:dyDescent="0.35">
      <c r="A2018" s="12">
        <v>2001</v>
      </c>
      <c r="B2018" s="10" t="s">
        <v>1015</v>
      </c>
      <c r="C2018" s="11" t="s">
        <v>1157</v>
      </c>
      <c r="D2018" s="9"/>
      <c r="E2018" s="9">
        <v>410</v>
      </c>
      <c r="F2018" s="10" t="s">
        <v>1066</v>
      </c>
      <c r="G2018" s="9">
        <v>906</v>
      </c>
      <c r="H2018" s="9">
        <v>1975</v>
      </c>
      <c r="I2018" s="8">
        <v>2331.8119999999999</v>
      </c>
      <c r="J2018" s="8">
        <v>2291.1489999999999</v>
      </c>
      <c r="K2018" s="8">
        <v>2321.3209999999999</v>
      </c>
      <c r="L2018" s="8">
        <v>2186.8969999999999</v>
      </c>
      <c r="M2018" s="8">
        <v>1641.3420000000001</v>
      </c>
      <c r="N2018" s="8">
        <v>1360.8969999999999</v>
      </c>
      <c r="O2018" s="8">
        <v>1118.067</v>
      </c>
      <c r="P2018" s="8">
        <v>1081.848</v>
      </c>
      <c r="Q2018" s="8">
        <v>845.03499999999997</v>
      </c>
      <c r="R2018" s="8">
        <v>642.87199999999996</v>
      </c>
      <c r="S2018" s="8">
        <v>594.25199999999995</v>
      </c>
      <c r="T2018" s="8">
        <v>455.072</v>
      </c>
      <c r="U2018" s="8">
        <v>348.65600000000001</v>
      </c>
      <c r="V2018" s="8">
        <v>261.18900000000002</v>
      </c>
      <c r="W2018" s="8">
        <v>135.36799999999999</v>
      </c>
      <c r="X2018" s="8">
        <v>80.210999999999999</v>
      </c>
      <c r="Y2018" s="8">
        <v>32.47</v>
      </c>
      <c r="Z2018" s="8">
        <v>10.067</v>
      </c>
      <c r="AA2018" s="8">
        <v>1.0409999999999999</v>
      </c>
      <c r="AB2018" s="8">
        <v>0.04</v>
      </c>
      <c r="AC2018" s="8">
        <v>0</v>
      </c>
    </row>
    <row r="2019" spans="1:29" ht="11.65" x14ac:dyDescent="0.35">
      <c r="A2019" s="12">
        <v>2002</v>
      </c>
      <c r="B2019" s="10" t="s">
        <v>1015</v>
      </c>
      <c r="C2019" s="11" t="s">
        <v>1157</v>
      </c>
      <c r="D2019" s="9"/>
      <c r="E2019" s="9">
        <v>410</v>
      </c>
      <c r="F2019" s="10" t="s">
        <v>1066</v>
      </c>
      <c r="G2019" s="9">
        <v>906</v>
      </c>
      <c r="H2019" s="9">
        <v>1980</v>
      </c>
      <c r="I2019" s="8">
        <v>2064.3620000000001</v>
      </c>
      <c r="J2019" s="8">
        <v>2307.4169999999999</v>
      </c>
      <c r="K2019" s="8">
        <v>2274.0120000000002</v>
      </c>
      <c r="L2019" s="8">
        <v>2246.1509999999998</v>
      </c>
      <c r="M2019" s="8">
        <v>2119.4259999999999</v>
      </c>
      <c r="N2019" s="8">
        <v>1588.2860000000001</v>
      </c>
      <c r="O2019" s="8">
        <v>1346.434</v>
      </c>
      <c r="P2019" s="8">
        <v>1120.951</v>
      </c>
      <c r="Q2019" s="8">
        <v>1070.7619999999999</v>
      </c>
      <c r="R2019" s="8">
        <v>817.16300000000001</v>
      </c>
      <c r="S2019" s="8">
        <v>598.26499999999999</v>
      </c>
      <c r="T2019" s="8">
        <v>533.86099999999999</v>
      </c>
      <c r="U2019" s="8">
        <v>387.97199999999998</v>
      </c>
      <c r="V2019" s="8">
        <v>273.98</v>
      </c>
      <c r="W2019" s="8">
        <v>184.16900000000001</v>
      </c>
      <c r="X2019" s="8">
        <v>80.534000000000006</v>
      </c>
      <c r="Y2019" s="8">
        <v>36.817</v>
      </c>
      <c r="Z2019" s="8">
        <v>10.999000000000001</v>
      </c>
      <c r="AA2019" s="8">
        <v>2.351</v>
      </c>
      <c r="AB2019" s="8">
        <v>0.14599999999999999</v>
      </c>
      <c r="AC2019" s="8">
        <v>3.0000000000000001E-3</v>
      </c>
    </row>
    <row r="2020" spans="1:29" ht="11.65" x14ac:dyDescent="0.35">
      <c r="A2020" s="12">
        <v>2003</v>
      </c>
      <c r="B2020" s="10" t="s">
        <v>1015</v>
      </c>
      <c r="C2020" s="11" t="s">
        <v>1157</v>
      </c>
      <c r="D2020" s="9"/>
      <c r="E2020" s="9">
        <v>410</v>
      </c>
      <c r="F2020" s="10" t="s">
        <v>1066</v>
      </c>
      <c r="G2020" s="9">
        <v>906</v>
      </c>
      <c r="H2020" s="9">
        <v>1985</v>
      </c>
      <c r="I2020" s="8">
        <v>1989.1389999999999</v>
      </c>
      <c r="J2020" s="8">
        <v>2048.424</v>
      </c>
      <c r="K2020" s="8">
        <v>2294.73</v>
      </c>
      <c r="L2020" s="8">
        <v>2266.5410000000002</v>
      </c>
      <c r="M2020" s="8">
        <v>2206.1790000000001</v>
      </c>
      <c r="N2020" s="8">
        <v>2110.63</v>
      </c>
      <c r="O2020" s="8">
        <v>1573.298</v>
      </c>
      <c r="P2020" s="8">
        <v>1352.0820000000001</v>
      </c>
      <c r="Q2020" s="8">
        <v>1110.2719999999999</v>
      </c>
      <c r="R2020" s="8">
        <v>1034.6790000000001</v>
      </c>
      <c r="S2020" s="8">
        <v>766.21100000000001</v>
      </c>
      <c r="T2020" s="8">
        <v>544.56799999999998</v>
      </c>
      <c r="U2020" s="8">
        <v>463.24099999999999</v>
      </c>
      <c r="V2020" s="8">
        <v>312.428</v>
      </c>
      <c r="W2020" s="8">
        <v>197.33799999999999</v>
      </c>
      <c r="X2020" s="8">
        <v>112.452</v>
      </c>
      <c r="Y2020" s="8">
        <v>39.441000000000003</v>
      </c>
      <c r="Z2020" s="8">
        <v>13.846</v>
      </c>
      <c r="AA2020" s="8">
        <v>2.9590000000000001</v>
      </c>
      <c r="AB2020" s="8">
        <v>0.39600000000000002</v>
      </c>
      <c r="AC2020" s="8">
        <v>1.2999999999999999E-2</v>
      </c>
    </row>
    <row r="2021" spans="1:29" ht="11.65" x14ac:dyDescent="0.35">
      <c r="A2021" s="12">
        <v>2004</v>
      </c>
      <c r="B2021" s="10" t="s">
        <v>1015</v>
      </c>
      <c r="C2021" s="11" t="s">
        <v>1157</v>
      </c>
      <c r="D2021" s="9"/>
      <c r="E2021" s="9">
        <v>410</v>
      </c>
      <c r="F2021" s="10" t="s">
        <v>1066</v>
      </c>
      <c r="G2021" s="9">
        <v>906</v>
      </c>
      <c r="H2021" s="9">
        <v>1990</v>
      </c>
      <c r="I2021" s="8">
        <v>1659.8209999999999</v>
      </c>
      <c r="J2021" s="8">
        <v>1979.1130000000001</v>
      </c>
      <c r="K2021" s="8">
        <v>2042.954</v>
      </c>
      <c r="L2021" s="8">
        <v>2295.5050000000001</v>
      </c>
      <c r="M2021" s="8">
        <v>2258.2179999999998</v>
      </c>
      <c r="N2021" s="8">
        <v>2197.1509999999998</v>
      </c>
      <c r="O2021" s="8">
        <v>2107.1019999999999</v>
      </c>
      <c r="P2021" s="8">
        <v>1548.1959999999999</v>
      </c>
      <c r="Q2021" s="8">
        <v>1332.3340000000001</v>
      </c>
      <c r="R2021" s="8">
        <v>1074.7840000000001</v>
      </c>
      <c r="S2021" s="8">
        <v>991.57299999999998</v>
      </c>
      <c r="T2021" s="8">
        <v>709.51</v>
      </c>
      <c r="U2021" s="8">
        <v>485.45100000000002</v>
      </c>
      <c r="V2021" s="8">
        <v>387.63900000000001</v>
      </c>
      <c r="W2021" s="8">
        <v>237.33699999999999</v>
      </c>
      <c r="X2021" s="8">
        <v>128.61000000000001</v>
      </c>
      <c r="Y2021" s="8">
        <v>58.808</v>
      </c>
      <c r="Z2021" s="8">
        <v>15.656000000000001</v>
      </c>
      <c r="AA2021" s="8">
        <v>3.8490000000000002</v>
      </c>
      <c r="AB2021" s="8">
        <v>0.503</v>
      </c>
      <c r="AC2021" s="8">
        <v>3.4000000000000002E-2</v>
      </c>
    </row>
    <row r="2022" spans="1:29" ht="11.65" x14ac:dyDescent="0.35">
      <c r="A2022" s="12">
        <v>2005</v>
      </c>
      <c r="B2022" s="10" t="s">
        <v>1015</v>
      </c>
      <c r="C2022" s="11" t="s">
        <v>1157</v>
      </c>
      <c r="D2022" s="9"/>
      <c r="E2022" s="9">
        <v>410</v>
      </c>
      <c r="F2022" s="10" t="s">
        <v>1066</v>
      </c>
      <c r="G2022" s="9">
        <v>906</v>
      </c>
      <c r="H2022" s="9">
        <v>1995</v>
      </c>
      <c r="I2022" s="8">
        <v>1857.249</v>
      </c>
      <c r="J2022" s="8">
        <v>1654.932</v>
      </c>
      <c r="K2022" s="8">
        <v>1977.942</v>
      </c>
      <c r="L2022" s="8">
        <v>2041.655</v>
      </c>
      <c r="M2022" s="8">
        <v>2288.4229999999998</v>
      </c>
      <c r="N2022" s="8">
        <v>2247.1529999999998</v>
      </c>
      <c r="O2022" s="8">
        <v>2180.1770000000001</v>
      </c>
      <c r="P2022" s="8">
        <v>2081.6819999999998</v>
      </c>
      <c r="Q2022" s="8">
        <v>1518.7550000000001</v>
      </c>
      <c r="R2022" s="8">
        <v>1292.6500000000001</v>
      </c>
      <c r="S2022" s="8">
        <v>1026.73</v>
      </c>
      <c r="T2022" s="8">
        <v>927.43600000000004</v>
      </c>
      <c r="U2022" s="8">
        <v>642.52</v>
      </c>
      <c r="V2022" s="8">
        <v>416.99200000000002</v>
      </c>
      <c r="W2022" s="8">
        <v>305.92200000000003</v>
      </c>
      <c r="X2022" s="8">
        <v>164.864</v>
      </c>
      <c r="Y2022" s="8">
        <v>73.710999999999999</v>
      </c>
      <c r="Z2022" s="8">
        <v>25.574000000000002</v>
      </c>
      <c r="AA2022" s="8">
        <v>4.6959999999999997</v>
      </c>
      <c r="AB2022" s="8">
        <v>0.68600000000000005</v>
      </c>
      <c r="AC2022" s="8">
        <v>5.2999999999999999E-2</v>
      </c>
    </row>
    <row r="2023" spans="1:29" ht="11.65" x14ac:dyDescent="0.35">
      <c r="A2023" s="12">
        <v>2006</v>
      </c>
      <c r="B2023" s="10" t="s">
        <v>1015</v>
      </c>
      <c r="C2023" s="11" t="s">
        <v>1157</v>
      </c>
      <c r="D2023" s="9"/>
      <c r="E2023" s="9">
        <v>410</v>
      </c>
      <c r="F2023" s="10" t="s">
        <v>1066</v>
      </c>
      <c r="G2023" s="9">
        <v>906</v>
      </c>
      <c r="H2023" s="9">
        <v>2000</v>
      </c>
      <c r="I2023" s="8">
        <v>1660.5309999999999</v>
      </c>
      <c r="J2023" s="8">
        <v>1855.27</v>
      </c>
      <c r="K2023" s="8">
        <v>1653.442</v>
      </c>
      <c r="L2023" s="8">
        <v>1981.1420000000001</v>
      </c>
      <c r="M2023" s="8">
        <v>2035.02</v>
      </c>
      <c r="N2023" s="8">
        <v>2299.9810000000002</v>
      </c>
      <c r="O2023" s="8">
        <v>2242.3249999999998</v>
      </c>
      <c r="P2023" s="8">
        <v>2165.7199999999998</v>
      </c>
      <c r="Q2023" s="8">
        <v>2053.44</v>
      </c>
      <c r="R2023" s="8">
        <v>1484.1590000000001</v>
      </c>
      <c r="S2023" s="8">
        <v>1246.931</v>
      </c>
      <c r="T2023" s="8">
        <v>972.02099999999996</v>
      </c>
      <c r="U2023" s="8">
        <v>852.86599999999999</v>
      </c>
      <c r="V2023" s="8">
        <v>564.94799999999998</v>
      </c>
      <c r="W2023" s="8">
        <v>340.077</v>
      </c>
      <c r="X2023" s="8">
        <v>221.018</v>
      </c>
      <c r="Y2023" s="8">
        <v>99.421999999999997</v>
      </c>
      <c r="Z2023" s="8">
        <v>34.279000000000003</v>
      </c>
      <c r="AA2023" s="8">
        <v>8.3209999999999997</v>
      </c>
      <c r="AB2023" s="8">
        <v>0.92800000000000005</v>
      </c>
      <c r="AC2023" s="8">
        <v>7.0000000000000007E-2</v>
      </c>
    </row>
    <row r="2024" spans="1:29" ht="11.65" x14ac:dyDescent="0.35">
      <c r="A2024" s="12">
        <v>2007</v>
      </c>
      <c r="B2024" s="10" t="s">
        <v>1015</v>
      </c>
      <c r="C2024" s="11" t="s">
        <v>1157</v>
      </c>
      <c r="D2024" s="9"/>
      <c r="E2024" s="9">
        <v>410</v>
      </c>
      <c r="F2024" s="10" t="s">
        <v>1066</v>
      </c>
      <c r="G2024" s="9">
        <v>906</v>
      </c>
      <c r="H2024" s="9">
        <v>2005</v>
      </c>
      <c r="I2024" s="8">
        <v>1316.57</v>
      </c>
      <c r="J2024" s="8">
        <v>1660.1590000000001</v>
      </c>
      <c r="K2024" s="8">
        <v>1853.1</v>
      </c>
      <c r="L2024" s="8">
        <v>1650.9</v>
      </c>
      <c r="M2024" s="8">
        <v>1956.7539999999999</v>
      </c>
      <c r="N2024" s="8">
        <v>2040.35</v>
      </c>
      <c r="O2024" s="8">
        <v>2300.2600000000002</v>
      </c>
      <c r="P2024" s="8">
        <v>2240.027</v>
      </c>
      <c r="Q2024" s="8">
        <v>2144.7779999999998</v>
      </c>
      <c r="R2024" s="8">
        <v>2016.403</v>
      </c>
      <c r="S2024" s="8">
        <v>1442.114</v>
      </c>
      <c r="T2024" s="8">
        <v>1194.729</v>
      </c>
      <c r="U2024" s="8">
        <v>910.08100000000002</v>
      </c>
      <c r="V2024" s="8">
        <v>767.57799999999997</v>
      </c>
      <c r="W2024" s="8">
        <v>476.66199999999998</v>
      </c>
      <c r="X2024" s="8">
        <v>257.44799999999998</v>
      </c>
      <c r="Y2024" s="8">
        <v>140.84700000000001</v>
      </c>
      <c r="Z2024" s="8">
        <v>48.777999999999999</v>
      </c>
      <c r="AA2024" s="8">
        <v>11.59</v>
      </c>
      <c r="AB2024" s="8">
        <v>1.7090000000000001</v>
      </c>
      <c r="AC2024" s="8">
        <v>0.10100000000000001</v>
      </c>
    </row>
    <row r="2025" spans="1:29" ht="11.65" x14ac:dyDescent="0.35">
      <c r="A2025" s="12">
        <v>2008</v>
      </c>
      <c r="B2025" s="10" t="s">
        <v>1015</v>
      </c>
      <c r="C2025" s="11" t="s">
        <v>1157</v>
      </c>
      <c r="D2025" s="9"/>
      <c r="E2025" s="9">
        <v>410</v>
      </c>
      <c r="F2025" s="10" t="s">
        <v>1066</v>
      </c>
      <c r="G2025" s="9">
        <v>906</v>
      </c>
      <c r="H2025" s="9">
        <v>2010</v>
      </c>
      <c r="I2025" s="8">
        <v>1182.4680000000001</v>
      </c>
      <c r="J2025" s="8">
        <v>1317.357</v>
      </c>
      <c r="K2025" s="8">
        <v>1660.269</v>
      </c>
      <c r="L2025" s="8">
        <v>1859.277</v>
      </c>
      <c r="M2025" s="8">
        <v>1628.3430000000001</v>
      </c>
      <c r="N2025" s="8">
        <v>1911.8620000000001</v>
      </c>
      <c r="O2025" s="8">
        <v>2001.778</v>
      </c>
      <c r="P2025" s="8">
        <v>2263.2139999999999</v>
      </c>
      <c r="Q2025" s="8">
        <v>2225.1529999999998</v>
      </c>
      <c r="R2025" s="8">
        <v>2115.663</v>
      </c>
      <c r="S2025" s="8">
        <v>1970.9349999999999</v>
      </c>
      <c r="T2025" s="8">
        <v>1393.778</v>
      </c>
      <c r="U2025" s="8">
        <v>1136.145</v>
      </c>
      <c r="V2025" s="8">
        <v>839.76900000000001</v>
      </c>
      <c r="W2025" s="8">
        <v>669.96500000000003</v>
      </c>
      <c r="X2025" s="8">
        <v>378.71199999999999</v>
      </c>
      <c r="Y2025" s="8">
        <v>174.59700000000001</v>
      </c>
      <c r="Z2025" s="8">
        <v>74.491</v>
      </c>
      <c r="AA2025" s="8">
        <v>18.026</v>
      </c>
      <c r="AB2025" s="8">
        <v>2.6219999999999999</v>
      </c>
      <c r="AC2025" s="8">
        <v>0.20100000000000001</v>
      </c>
    </row>
    <row r="2026" spans="1:29" ht="11.65" x14ac:dyDescent="0.35">
      <c r="A2026" s="12">
        <v>2009</v>
      </c>
      <c r="B2026" s="10" t="s">
        <v>1015</v>
      </c>
      <c r="C2026" s="11" t="s">
        <v>1157</v>
      </c>
      <c r="D2026" s="9"/>
      <c r="E2026" s="9">
        <v>410</v>
      </c>
      <c r="F2026" s="10" t="s">
        <v>1066</v>
      </c>
      <c r="G2026" s="9">
        <v>906</v>
      </c>
      <c r="H2026" s="9">
        <v>2015</v>
      </c>
      <c r="I2026" s="8">
        <v>1158.278</v>
      </c>
      <c r="J2026" s="8">
        <v>1174.5219999999999</v>
      </c>
      <c r="K2026" s="8">
        <v>1286.097</v>
      </c>
      <c r="L2026" s="8">
        <v>1678.307</v>
      </c>
      <c r="M2026" s="8">
        <v>1867.88</v>
      </c>
      <c r="N2026" s="8">
        <v>1733.2170000000001</v>
      </c>
      <c r="O2026" s="8">
        <v>1978.787</v>
      </c>
      <c r="P2026" s="8">
        <v>2025.6310000000001</v>
      </c>
      <c r="Q2026" s="8">
        <v>2207.1179999999999</v>
      </c>
      <c r="R2026" s="8">
        <v>2203.2629999999999</v>
      </c>
      <c r="S2026" s="8">
        <v>2133.1849999999999</v>
      </c>
      <c r="T2026" s="8">
        <v>1921.4</v>
      </c>
      <c r="U2026" s="8">
        <v>1356.3920000000001</v>
      </c>
      <c r="V2026" s="8">
        <v>1015.877</v>
      </c>
      <c r="W2026" s="8">
        <v>782.19200000000001</v>
      </c>
      <c r="X2026" s="8">
        <v>541.75300000000004</v>
      </c>
      <c r="Y2026" s="8">
        <v>269.50900000000001</v>
      </c>
      <c r="Z2026" s="8">
        <v>98.504000000000005</v>
      </c>
      <c r="AA2026" s="8">
        <v>29.443000000000001</v>
      </c>
      <c r="AB2026" s="8">
        <v>4.3419999999999996</v>
      </c>
      <c r="AC2026" s="8">
        <v>0.32700000000000001</v>
      </c>
    </row>
    <row r="2027" spans="1:29" ht="11.65" x14ac:dyDescent="0.35">
      <c r="A2027" s="12">
        <v>2010</v>
      </c>
      <c r="B2027" s="10" t="s">
        <v>1015</v>
      </c>
      <c r="C2027" s="11" t="s">
        <v>1157</v>
      </c>
      <c r="D2027" s="9"/>
      <c r="E2027" s="9">
        <v>410</v>
      </c>
      <c r="F2027" s="10" t="s">
        <v>1066</v>
      </c>
      <c r="G2027" s="9">
        <v>906</v>
      </c>
      <c r="H2027" s="9">
        <v>2020</v>
      </c>
      <c r="I2027" s="8">
        <v>974.3</v>
      </c>
      <c r="J2027" s="8">
        <v>1158.751</v>
      </c>
      <c r="K2027" s="8">
        <v>1174.8440000000001</v>
      </c>
      <c r="L2027" s="8">
        <v>1289.269</v>
      </c>
      <c r="M2027" s="8">
        <v>1683.1289999999999</v>
      </c>
      <c r="N2027" s="8">
        <v>1870.8589999999999</v>
      </c>
      <c r="O2027" s="8">
        <v>1733.4870000000001</v>
      </c>
      <c r="P2027" s="8">
        <v>1974.6130000000001</v>
      </c>
      <c r="Q2027" s="8">
        <v>2015.8130000000001</v>
      </c>
      <c r="R2027" s="8">
        <v>2186.422</v>
      </c>
      <c r="S2027" s="8">
        <v>2168.4850000000001</v>
      </c>
      <c r="T2027" s="8">
        <v>2082.5740000000001</v>
      </c>
      <c r="U2027" s="8">
        <v>1855.904</v>
      </c>
      <c r="V2027" s="8">
        <v>1287.8610000000001</v>
      </c>
      <c r="W2027" s="8">
        <v>929.82100000000003</v>
      </c>
      <c r="X2027" s="8">
        <v>664.9</v>
      </c>
      <c r="Y2027" s="8">
        <v>403.88600000000002</v>
      </c>
      <c r="Z2027" s="8">
        <v>160.92099999999999</v>
      </c>
      <c r="AA2027" s="8">
        <v>41.738999999999997</v>
      </c>
      <c r="AB2027" s="8">
        <v>7.6890000000000001</v>
      </c>
      <c r="AC2027" s="8">
        <v>0.58699999999999997</v>
      </c>
    </row>
    <row r="2028" spans="1:29" ht="11.65" x14ac:dyDescent="0.35">
      <c r="A2028" s="23">
        <v>2011</v>
      </c>
      <c r="B2028" s="21" t="s">
        <v>1015</v>
      </c>
      <c r="C2028" s="29" t="s">
        <v>1158</v>
      </c>
      <c r="D2028" s="20"/>
      <c r="E2028" s="20">
        <v>920</v>
      </c>
      <c r="F2028" s="21" t="s">
        <v>1065</v>
      </c>
      <c r="G2028" s="20">
        <v>1832</v>
      </c>
      <c r="H2028" s="20">
        <v>1950</v>
      </c>
      <c r="I2028" s="19">
        <v>12213.733</v>
      </c>
      <c r="J2028" s="19">
        <v>10145.895</v>
      </c>
      <c r="K2028" s="19">
        <v>9500.1569999999992</v>
      </c>
      <c r="L2028" s="19">
        <v>8659.1620000000003</v>
      </c>
      <c r="M2028" s="19">
        <v>7471.8459999999995</v>
      </c>
      <c r="N2028" s="19">
        <v>6348.5780000000004</v>
      </c>
      <c r="O2028" s="19">
        <v>5483.6980000000003</v>
      </c>
      <c r="P2028" s="19">
        <v>4997.116</v>
      </c>
      <c r="Q2028" s="19">
        <v>4310.2969999999996</v>
      </c>
      <c r="R2028" s="19">
        <v>3543.5740000000001</v>
      </c>
      <c r="S2028" s="19">
        <v>2782.931</v>
      </c>
      <c r="T2028" s="19">
        <v>2196.596</v>
      </c>
      <c r="U2028" s="19">
        <v>1738.059</v>
      </c>
      <c r="V2028" s="19">
        <v>1270.3399999999999</v>
      </c>
      <c r="W2028" s="19">
        <v>843.10199999999998</v>
      </c>
      <c r="X2028" s="19">
        <v>466.44400000000002</v>
      </c>
      <c r="Y2028" s="19">
        <v>174.608</v>
      </c>
      <c r="Z2028" s="19">
        <v>56.094999999999999</v>
      </c>
      <c r="AA2028" s="19">
        <v>12.407999999999999</v>
      </c>
      <c r="AB2028" s="19">
        <v>1.8939999999999999</v>
      </c>
      <c r="AC2028" s="19">
        <v>0.22600000000000001</v>
      </c>
    </row>
    <row r="2029" spans="1:29" ht="11.65" x14ac:dyDescent="0.35">
      <c r="A2029" s="23">
        <v>2012</v>
      </c>
      <c r="B2029" s="21" t="s">
        <v>1015</v>
      </c>
      <c r="C2029" s="29" t="s">
        <v>1158</v>
      </c>
      <c r="D2029" s="20"/>
      <c r="E2029" s="20">
        <v>920</v>
      </c>
      <c r="F2029" s="21" t="s">
        <v>1065</v>
      </c>
      <c r="G2029" s="20">
        <v>1832</v>
      </c>
      <c r="H2029" s="20">
        <v>1955</v>
      </c>
      <c r="I2029" s="19">
        <v>15730.191000000001</v>
      </c>
      <c r="J2029" s="19">
        <v>11354.334000000001</v>
      </c>
      <c r="K2029" s="19">
        <v>9900.8140000000003</v>
      </c>
      <c r="L2029" s="19">
        <v>9339.4869999999992</v>
      </c>
      <c r="M2029" s="19">
        <v>8463.2389999999996</v>
      </c>
      <c r="N2029" s="19">
        <v>7245.9920000000002</v>
      </c>
      <c r="O2029" s="19">
        <v>6129.058</v>
      </c>
      <c r="P2029" s="19">
        <v>5256.1260000000002</v>
      </c>
      <c r="Q2029" s="19">
        <v>4746.0889999999999</v>
      </c>
      <c r="R2029" s="19">
        <v>4044.9560000000001</v>
      </c>
      <c r="S2029" s="19">
        <v>3264.0329999999999</v>
      </c>
      <c r="T2029" s="19">
        <v>2498.989</v>
      </c>
      <c r="U2029" s="19">
        <v>1876.8879999999999</v>
      </c>
      <c r="V2029" s="19">
        <v>1366.836</v>
      </c>
      <c r="W2029" s="19">
        <v>893.75300000000004</v>
      </c>
      <c r="X2029" s="19">
        <v>499.59</v>
      </c>
      <c r="Y2029" s="19">
        <v>213.27199999999999</v>
      </c>
      <c r="Z2029" s="19">
        <v>47.186999999999998</v>
      </c>
      <c r="AA2029" s="19">
        <v>10.218</v>
      </c>
      <c r="AB2029" s="19">
        <v>1.6120000000000001</v>
      </c>
      <c r="AC2029" s="19">
        <v>0.214</v>
      </c>
    </row>
    <row r="2030" spans="1:29" ht="11.65" x14ac:dyDescent="0.35">
      <c r="A2030" s="23">
        <v>2013</v>
      </c>
      <c r="B2030" s="21" t="s">
        <v>1015</v>
      </c>
      <c r="C2030" s="29" t="s">
        <v>1158</v>
      </c>
      <c r="D2030" s="20"/>
      <c r="E2030" s="20">
        <v>920</v>
      </c>
      <c r="F2030" s="21" t="s">
        <v>1065</v>
      </c>
      <c r="G2030" s="20">
        <v>1832</v>
      </c>
      <c r="H2030" s="20">
        <v>1960</v>
      </c>
      <c r="I2030" s="19">
        <v>18965.710999999999</v>
      </c>
      <c r="J2030" s="19">
        <v>14865.074000000001</v>
      </c>
      <c r="K2030" s="19">
        <v>11113.897999999999</v>
      </c>
      <c r="L2030" s="19">
        <v>9746.4989999999998</v>
      </c>
      <c r="M2030" s="19">
        <v>9141.5380000000005</v>
      </c>
      <c r="N2030" s="19">
        <v>8233.6409999999996</v>
      </c>
      <c r="O2030" s="19">
        <v>7016.0559999999996</v>
      </c>
      <c r="P2030" s="19">
        <v>5892.4309999999996</v>
      </c>
      <c r="Q2030" s="19">
        <v>5002.3879999999999</v>
      </c>
      <c r="R2030" s="19">
        <v>4462.1120000000001</v>
      </c>
      <c r="S2030" s="19">
        <v>3735.57</v>
      </c>
      <c r="T2030" s="19">
        <v>2937.9870000000001</v>
      </c>
      <c r="U2030" s="19">
        <v>2148.0459999999998</v>
      </c>
      <c r="V2030" s="19">
        <v>1494.829</v>
      </c>
      <c r="W2030" s="19">
        <v>977.26199999999994</v>
      </c>
      <c r="X2030" s="19">
        <v>543.976</v>
      </c>
      <c r="Y2030" s="19">
        <v>238.34</v>
      </c>
      <c r="Z2030" s="19">
        <v>61.784999999999997</v>
      </c>
      <c r="AA2030" s="19">
        <v>9.3610000000000007</v>
      </c>
      <c r="AB2030" s="19">
        <v>1.4610000000000001</v>
      </c>
      <c r="AC2030" s="19">
        <v>0.19700000000000001</v>
      </c>
    </row>
    <row r="2031" spans="1:29" ht="11.65" x14ac:dyDescent="0.35">
      <c r="A2031" s="23">
        <v>2014</v>
      </c>
      <c r="B2031" s="21" t="s">
        <v>1015</v>
      </c>
      <c r="C2031" s="29" t="s">
        <v>1158</v>
      </c>
      <c r="D2031" s="20"/>
      <c r="E2031" s="20">
        <v>920</v>
      </c>
      <c r="F2031" s="21" t="s">
        <v>1065</v>
      </c>
      <c r="G2031" s="20">
        <v>1832</v>
      </c>
      <c r="H2031" s="20">
        <v>1965</v>
      </c>
      <c r="I2031" s="19">
        <v>21605.098000000002</v>
      </c>
      <c r="J2031" s="19">
        <v>18115.383999999998</v>
      </c>
      <c r="K2031" s="19">
        <v>14593.108</v>
      </c>
      <c r="L2031" s="19">
        <v>10956.168</v>
      </c>
      <c r="M2031" s="19">
        <v>9538.098</v>
      </c>
      <c r="N2031" s="19">
        <v>8898.8150000000005</v>
      </c>
      <c r="O2031" s="19">
        <v>7983.4489999999996</v>
      </c>
      <c r="P2031" s="19">
        <v>6759.3980000000001</v>
      </c>
      <c r="Q2031" s="19">
        <v>5621.4679999999998</v>
      </c>
      <c r="R2031" s="19">
        <v>4713.84</v>
      </c>
      <c r="S2031" s="19">
        <v>4137.5810000000001</v>
      </c>
      <c r="T2031" s="19">
        <v>3376.2849999999999</v>
      </c>
      <c r="U2031" s="19">
        <v>2545.69</v>
      </c>
      <c r="V2031" s="19">
        <v>1731.942</v>
      </c>
      <c r="W2031" s="19">
        <v>1083.7560000000001</v>
      </c>
      <c r="X2031" s="19">
        <v>604.39</v>
      </c>
      <c r="Y2031" s="19">
        <v>265.43299999999999</v>
      </c>
      <c r="Z2031" s="19">
        <v>71.412999999999997</v>
      </c>
      <c r="AA2031" s="19">
        <v>12.903</v>
      </c>
      <c r="AB2031" s="19">
        <v>1.405</v>
      </c>
      <c r="AC2031" s="19">
        <v>0.185</v>
      </c>
    </row>
    <row r="2032" spans="1:29" ht="11.65" x14ac:dyDescent="0.35">
      <c r="A2032" s="23">
        <v>2015</v>
      </c>
      <c r="B2032" s="21" t="s">
        <v>1015</v>
      </c>
      <c r="C2032" s="29" t="s">
        <v>1158</v>
      </c>
      <c r="D2032" s="20"/>
      <c r="E2032" s="20">
        <v>920</v>
      </c>
      <c r="F2032" s="21" t="s">
        <v>1065</v>
      </c>
      <c r="G2032" s="20">
        <v>1832</v>
      </c>
      <c r="H2032" s="20">
        <v>1970</v>
      </c>
      <c r="I2032" s="19">
        <v>23876.572</v>
      </c>
      <c r="J2032" s="19">
        <v>20770.038</v>
      </c>
      <c r="K2032" s="19">
        <v>17767.973000000002</v>
      </c>
      <c r="L2032" s="19">
        <v>14346.17</v>
      </c>
      <c r="M2032" s="19">
        <v>10714.396000000001</v>
      </c>
      <c r="N2032" s="19">
        <v>9278.3580000000002</v>
      </c>
      <c r="O2032" s="19">
        <v>8631.7900000000009</v>
      </c>
      <c r="P2032" s="19">
        <v>7697.3220000000001</v>
      </c>
      <c r="Q2032" s="19">
        <v>6464.5420000000004</v>
      </c>
      <c r="R2032" s="19">
        <v>5312.9390000000003</v>
      </c>
      <c r="S2032" s="19">
        <v>4377.6859999999997</v>
      </c>
      <c r="T2032" s="19">
        <v>3748.0219999999999</v>
      </c>
      <c r="U2032" s="19">
        <v>2932.5949999999998</v>
      </c>
      <c r="V2032" s="19">
        <v>2063.8710000000001</v>
      </c>
      <c r="W2032" s="19">
        <v>1268.307</v>
      </c>
      <c r="X2032" s="19">
        <v>678.49900000000002</v>
      </c>
      <c r="Y2032" s="19">
        <v>299.19200000000001</v>
      </c>
      <c r="Z2032" s="19">
        <v>83.778000000000006</v>
      </c>
      <c r="AA2032" s="19">
        <v>15.195</v>
      </c>
      <c r="AB2032" s="19">
        <v>1.9950000000000001</v>
      </c>
      <c r="AC2032" s="19">
        <v>0.18099999999999999</v>
      </c>
    </row>
    <row r="2033" spans="1:29" ht="11.65" x14ac:dyDescent="0.35">
      <c r="A2033" s="23">
        <v>2016</v>
      </c>
      <c r="B2033" s="21" t="s">
        <v>1015</v>
      </c>
      <c r="C2033" s="29" t="s">
        <v>1158</v>
      </c>
      <c r="D2033" s="20"/>
      <c r="E2033" s="20">
        <v>920</v>
      </c>
      <c r="F2033" s="21" t="s">
        <v>1065</v>
      </c>
      <c r="G2033" s="20">
        <v>1832</v>
      </c>
      <c r="H2033" s="20">
        <v>1975</v>
      </c>
      <c r="I2033" s="19">
        <v>25657.686000000002</v>
      </c>
      <c r="J2033" s="19">
        <v>23097.416000000001</v>
      </c>
      <c r="K2033" s="19">
        <v>20391.133000000002</v>
      </c>
      <c r="L2033" s="19">
        <v>17486.21</v>
      </c>
      <c r="M2033" s="19">
        <v>14088.428</v>
      </c>
      <c r="N2033" s="19">
        <v>10474.289000000001</v>
      </c>
      <c r="O2033" s="19">
        <v>9020.9789999999994</v>
      </c>
      <c r="P2033" s="19">
        <v>8348.6820000000007</v>
      </c>
      <c r="Q2033" s="19">
        <v>7375.0240000000003</v>
      </c>
      <c r="R2033" s="19">
        <v>6114.1530000000002</v>
      </c>
      <c r="S2033" s="19">
        <v>4933.5730000000003</v>
      </c>
      <c r="T2033" s="19">
        <v>3955.136</v>
      </c>
      <c r="U2033" s="19">
        <v>3233.5079999999998</v>
      </c>
      <c r="V2033" s="19">
        <v>2354.8159999999998</v>
      </c>
      <c r="W2033" s="19">
        <v>1484.6780000000001</v>
      </c>
      <c r="X2033" s="19">
        <v>782.17399999999998</v>
      </c>
      <c r="Y2033" s="19">
        <v>332.23899999999998</v>
      </c>
      <c r="Z2033" s="19">
        <v>94.106999999999999</v>
      </c>
      <c r="AA2033" s="19">
        <v>17.859000000000002</v>
      </c>
      <c r="AB2033" s="19">
        <v>2.2069999999999999</v>
      </c>
      <c r="AC2033" s="19">
        <v>0.23899999999999999</v>
      </c>
    </row>
    <row r="2034" spans="1:29" ht="11.65" x14ac:dyDescent="0.35">
      <c r="A2034" s="23">
        <v>2017</v>
      </c>
      <c r="B2034" s="21" t="s">
        <v>1015</v>
      </c>
      <c r="C2034" s="29" t="s">
        <v>1158</v>
      </c>
      <c r="D2034" s="20"/>
      <c r="E2034" s="20">
        <v>920</v>
      </c>
      <c r="F2034" s="21" t="s">
        <v>1065</v>
      </c>
      <c r="G2034" s="20">
        <v>1832</v>
      </c>
      <c r="H2034" s="20">
        <v>1980</v>
      </c>
      <c r="I2034" s="19">
        <v>26786.205000000002</v>
      </c>
      <c r="J2034" s="19">
        <v>24878.034</v>
      </c>
      <c r="K2034" s="19">
        <v>22694.464</v>
      </c>
      <c r="L2034" s="19">
        <v>19971.886999999999</v>
      </c>
      <c r="M2034" s="19">
        <v>17014.919000000002</v>
      </c>
      <c r="N2034" s="19">
        <v>13613.626</v>
      </c>
      <c r="O2034" s="19">
        <v>10053.927</v>
      </c>
      <c r="P2034" s="19">
        <v>8642.6869999999999</v>
      </c>
      <c r="Q2034" s="19">
        <v>7977.7749999999996</v>
      </c>
      <c r="R2034" s="19">
        <v>6985.9290000000001</v>
      </c>
      <c r="S2034" s="19">
        <v>5700.24</v>
      </c>
      <c r="T2034" s="19">
        <v>4488.3530000000001</v>
      </c>
      <c r="U2034" s="19">
        <v>3457.4569999999999</v>
      </c>
      <c r="V2034" s="19">
        <v>2655.913</v>
      </c>
      <c r="W2034" s="19">
        <v>1762.1890000000001</v>
      </c>
      <c r="X2034" s="19">
        <v>965.54600000000005</v>
      </c>
      <c r="Y2034" s="19">
        <v>409.99</v>
      </c>
      <c r="Z2034" s="19">
        <v>118.429</v>
      </c>
      <c r="AA2034" s="19">
        <v>23.045000000000002</v>
      </c>
      <c r="AB2034" s="19">
        <v>3.0569999999999999</v>
      </c>
      <c r="AC2034" s="19">
        <v>0.28399999999999997</v>
      </c>
    </row>
    <row r="2035" spans="1:29" ht="11.65" x14ac:dyDescent="0.35">
      <c r="A2035" s="23">
        <v>2018</v>
      </c>
      <c r="B2035" s="21" t="s">
        <v>1015</v>
      </c>
      <c r="C2035" s="29" t="s">
        <v>1158</v>
      </c>
      <c r="D2035" s="20"/>
      <c r="E2035" s="20">
        <v>920</v>
      </c>
      <c r="F2035" s="21" t="s">
        <v>1065</v>
      </c>
      <c r="G2035" s="20">
        <v>1832</v>
      </c>
      <c r="H2035" s="20">
        <v>1985</v>
      </c>
      <c r="I2035" s="19">
        <v>28424.365000000002</v>
      </c>
      <c r="J2035" s="19">
        <v>26228.907999999999</v>
      </c>
      <c r="K2035" s="19">
        <v>24598.964</v>
      </c>
      <c r="L2035" s="19">
        <v>22407.825000000001</v>
      </c>
      <c r="M2035" s="19">
        <v>19588.974999999999</v>
      </c>
      <c r="N2035" s="19">
        <v>16646.152999999998</v>
      </c>
      <c r="O2035" s="19">
        <v>13309.171</v>
      </c>
      <c r="P2035" s="19">
        <v>9795.9580000000005</v>
      </c>
      <c r="Q2035" s="19">
        <v>8374.902</v>
      </c>
      <c r="R2035" s="19">
        <v>7659.0519999999997</v>
      </c>
      <c r="S2035" s="19">
        <v>6606.7079999999996</v>
      </c>
      <c r="T2035" s="19">
        <v>5267.6769999999997</v>
      </c>
      <c r="U2035" s="19">
        <v>3986.5639999999999</v>
      </c>
      <c r="V2035" s="19">
        <v>2884.89</v>
      </c>
      <c r="W2035" s="19">
        <v>2027.21</v>
      </c>
      <c r="X2035" s="19">
        <v>1177.248</v>
      </c>
      <c r="Y2035" s="19">
        <v>525.27</v>
      </c>
      <c r="Z2035" s="19">
        <v>154.89699999999999</v>
      </c>
      <c r="AA2035" s="19">
        <v>31.187000000000001</v>
      </c>
      <c r="AB2035" s="19">
        <v>4.1219999999999999</v>
      </c>
      <c r="AC2035" s="19">
        <v>0.39500000000000002</v>
      </c>
    </row>
    <row r="2036" spans="1:29" ht="11.65" x14ac:dyDescent="0.35">
      <c r="A2036" s="23">
        <v>2019</v>
      </c>
      <c r="B2036" s="21" t="s">
        <v>1015</v>
      </c>
      <c r="C2036" s="29" t="s">
        <v>1158</v>
      </c>
      <c r="D2036" s="20"/>
      <c r="E2036" s="20">
        <v>920</v>
      </c>
      <c r="F2036" s="21" t="s">
        <v>1065</v>
      </c>
      <c r="G2036" s="20">
        <v>1832</v>
      </c>
      <c r="H2036" s="20">
        <v>1990</v>
      </c>
      <c r="I2036" s="19">
        <v>28974.366999999998</v>
      </c>
      <c r="J2036" s="19">
        <v>27994.179</v>
      </c>
      <c r="K2036" s="19">
        <v>26034.182000000001</v>
      </c>
      <c r="L2036" s="19">
        <v>24338.916000000001</v>
      </c>
      <c r="M2036" s="19">
        <v>21983.538</v>
      </c>
      <c r="N2036" s="19">
        <v>19222.723999999998</v>
      </c>
      <c r="O2036" s="19">
        <v>16388.781999999999</v>
      </c>
      <c r="P2036" s="19">
        <v>13096.789000000001</v>
      </c>
      <c r="Q2036" s="19">
        <v>9579.7659999999996</v>
      </c>
      <c r="R2036" s="19">
        <v>8106.08</v>
      </c>
      <c r="S2036" s="19">
        <v>7293.4210000000003</v>
      </c>
      <c r="T2036" s="19">
        <v>6158.6059999999998</v>
      </c>
      <c r="U2036" s="19">
        <v>4746.3370000000004</v>
      </c>
      <c r="V2036" s="19">
        <v>3375.4090000000001</v>
      </c>
      <c r="W2036" s="19">
        <v>2231.8110000000001</v>
      </c>
      <c r="X2036" s="19">
        <v>1382.0550000000001</v>
      </c>
      <c r="Y2036" s="19">
        <v>653.149</v>
      </c>
      <c r="Z2036" s="19">
        <v>209.30500000000001</v>
      </c>
      <c r="AA2036" s="19">
        <v>44.896999999999998</v>
      </c>
      <c r="AB2036" s="19">
        <v>6.3460000000000001</v>
      </c>
      <c r="AC2036" s="19">
        <v>0.60699999999999998</v>
      </c>
    </row>
    <row r="2037" spans="1:29" ht="11.65" x14ac:dyDescent="0.35">
      <c r="A2037" s="23">
        <v>2020</v>
      </c>
      <c r="B2037" s="21" t="s">
        <v>1015</v>
      </c>
      <c r="C2037" s="29" t="s">
        <v>1158</v>
      </c>
      <c r="D2037" s="20"/>
      <c r="E2037" s="20">
        <v>920</v>
      </c>
      <c r="F2037" s="21" t="s">
        <v>1065</v>
      </c>
      <c r="G2037" s="20">
        <v>1832</v>
      </c>
      <c r="H2037" s="20">
        <v>1995</v>
      </c>
      <c r="I2037" s="19">
        <v>29009.913</v>
      </c>
      <c r="J2037" s="19">
        <v>28565.743999999999</v>
      </c>
      <c r="K2037" s="19">
        <v>27771.762999999999</v>
      </c>
      <c r="L2037" s="19">
        <v>25702.203000000001</v>
      </c>
      <c r="M2037" s="19">
        <v>23708.398000000001</v>
      </c>
      <c r="N2037" s="19">
        <v>21312.078000000001</v>
      </c>
      <c r="O2037" s="19">
        <v>18717.710999999999</v>
      </c>
      <c r="P2037" s="19">
        <v>16000.291999999999</v>
      </c>
      <c r="Q2037" s="19">
        <v>12771.337</v>
      </c>
      <c r="R2037" s="19">
        <v>9258.6919999999991</v>
      </c>
      <c r="S2037" s="19">
        <v>7691.4809999999998</v>
      </c>
      <c r="T2037" s="19">
        <v>6760.8320000000003</v>
      </c>
      <c r="U2037" s="19">
        <v>5515.3090000000002</v>
      </c>
      <c r="V2037" s="19">
        <v>4018.1779999999999</v>
      </c>
      <c r="W2037" s="19">
        <v>2629.027</v>
      </c>
      <c r="X2037" s="19">
        <v>1533.43</v>
      </c>
      <c r="Y2037" s="19">
        <v>776.15200000000004</v>
      </c>
      <c r="Z2037" s="19">
        <v>270.00299999999999</v>
      </c>
      <c r="AA2037" s="19">
        <v>64.691000000000003</v>
      </c>
      <c r="AB2037" s="19">
        <v>9.9469999999999992</v>
      </c>
      <c r="AC2037" s="19">
        <v>1.012</v>
      </c>
    </row>
    <row r="2038" spans="1:29" ht="11.65" x14ac:dyDescent="0.35">
      <c r="A2038" s="23">
        <v>2021</v>
      </c>
      <c r="B2038" s="21" t="s">
        <v>1015</v>
      </c>
      <c r="C2038" s="29" t="s">
        <v>1158</v>
      </c>
      <c r="D2038" s="20"/>
      <c r="E2038" s="20">
        <v>920</v>
      </c>
      <c r="F2038" s="21" t="s">
        <v>1065</v>
      </c>
      <c r="G2038" s="20">
        <v>1832</v>
      </c>
      <c r="H2038" s="20">
        <v>2000</v>
      </c>
      <c r="I2038" s="19">
        <v>27852.285</v>
      </c>
      <c r="J2038" s="19">
        <v>28684.414000000001</v>
      </c>
      <c r="K2038" s="19">
        <v>28403.177</v>
      </c>
      <c r="L2038" s="19">
        <v>27529.277999999998</v>
      </c>
      <c r="M2038" s="19">
        <v>24920.791000000001</v>
      </c>
      <c r="N2038" s="19">
        <v>22963.424999999999</v>
      </c>
      <c r="O2038" s="19">
        <v>20914.172999999999</v>
      </c>
      <c r="P2038" s="19">
        <v>18574.404999999999</v>
      </c>
      <c r="Q2038" s="19">
        <v>15893.106</v>
      </c>
      <c r="R2038" s="19">
        <v>12577.353999999999</v>
      </c>
      <c r="S2038" s="19">
        <v>8901.8169999999991</v>
      </c>
      <c r="T2038" s="19">
        <v>7168.9970000000003</v>
      </c>
      <c r="U2038" s="19">
        <v>6087.4790000000003</v>
      </c>
      <c r="V2038" s="19">
        <v>4697.3190000000004</v>
      </c>
      <c r="W2038" s="19">
        <v>3166.12</v>
      </c>
      <c r="X2038" s="19">
        <v>1834.3510000000001</v>
      </c>
      <c r="Y2038" s="19">
        <v>880.529</v>
      </c>
      <c r="Z2038" s="19">
        <v>334.96600000000001</v>
      </c>
      <c r="AA2038" s="19">
        <v>85.552000000000007</v>
      </c>
      <c r="AB2038" s="19">
        <v>15.21</v>
      </c>
      <c r="AC2038" s="19">
        <v>1.6919999999999999</v>
      </c>
    </row>
    <row r="2039" spans="1:29" ht="11.65" x14ac:dyDescent="0.35">
      <c r="A2039" s="23">
        <v>2022</v>
      </c>
      <c r="B2039" s="21" t="s">
        <v>1015</v>
      </c>
      <c r="C2039" s="29" t="s">
        <v>1158</v>
      </c>
      <c r="D2039" s="20"/>
      <c r="E2039" s="20">
        <v>920</v>
      </c>
      <c r="F2039" s="21" t="s">
        <v>1065</v>
      </c>
      <c r="G2039" s="20">
        <v>1832</v>
      </c>
      <c r="H2039" s="20">
        <v>2005</v>
      </c>
      <c r="I2039" s="19">
        <v>28230.133000000002</v>
      </c>
      <c r="J2039" s="19">
        <v>28414.039000000001</v>
      </c>
      <c r="K2039" s="19">
        <v>29044.763999999999</v>
      </c>
      <c r="L2039" s="19">
        <v>28151.072</v>
      </c>
      <c r="M2039" s="19">
        <v>26290.598999999998</v>
      </c>
      <c r="N2039" s="19">
        <v>24256.796999999999</v>
      </c>
      <c r="O2039" s="19">
        <v>22370.047999999999</v>
      </c>
      <c r="P2039" s="19">
        <v>20414.952000000001</v>
      </c>
      <c r="Q2039" s="19">
        <v>17979.868999999999</v>
      </c>
      <c r="R2039" s="19">
        <v>15042.799000000001</v>
      </c>
      <c r="S2039" s="19">
        <v>11908.931</v>
      </c>
      <c r="T2039" s="19">
        <v>8641.0869999999995</v>
      </c>
      <c r="U2039" s="19">
        <v>6505.4120000000003</v>
      </c>
      <c r="V2039" s="19">
        <v>5037.2730000000001</v>
      </c>
      <c r="W2039" s="19">
        <v>3629.393</v>
      </c>
      <c r="X2039" s="19">
        <v>2123.7139999999999</v>
      </c>
      <c r="Y2039" s="19">
        <v>1085.8409999999999</v>
      </c>
      <c r="Z2039" s="19">
        <v>394.87099999999998</v>
      </c>
      <c r="AA2039" s="19">
        <v>111.956</v>
      </c>
      <c r="AB2039" s="19">
        <v>20.934000000000001</v>
      </c>
      <c r="AC2039" s="19">
        <v>2.8340000000000001</v>
      </c>
    </row>
    <row r="2040" spans="1:29" ht="11.65" x14ac:dyDescent="0.35">
      <c r="A2040" s="23">
        <v>2023</v>
      </c>
      <c r="B2040" s="21" t="s">
        <v>1015</v>
      </c>
      <c r="C2040" s="29" t="s">
        <v>1158</v>
      </c>
      <c r="D2040" s="20"/>
      <c r="E2040" s="20">
        <v>920</v>
      </c>
      <c r="F2040" s="21" t="s">
        <v>1065</v>
      </c>
      <c r="G2040" s="20">
        <v>1832</v>
      </c>
      <c r="H2040" s="20">
        <v>2010</v>
      </c>
      <c r="I2040" s="19">
        <v>28632.366999999998</v>
      </c>
      <c r="J2040" s="19">
        <v>28506.745999999999</v>
      </c>
      <c r="K2040" s="19">
        <v>28458.420999999998</v>
      </c>
      <c r="L2040" s="19">
        <v>28167.598999999998</v>
      </c>
      <c r="M2040" s="19">
        <v>26254.62</v>
      </c>
      <c r="N2040" s="19">
        <v>26118.819</v>
      </c>
      <c r="O2040" s="19">
        <v>23831.760999999999</v>
      </c>
      <c r="P2040" s="19">
        <v>22386.952000000001</v>
      </c>
      <c r="Q2040" s="19">
        <v>20387.155999999999</v>
      </c>
      <c r="R2040" s="19">
        <v>17797.767</v>
      </c>
      <c r="S2040" s="19">
        <v>14911.456</v>
      </c>
      <c r="T2040" s="19">
        <v>11301.322</v>
      </c>
      <c r="U2040" s="19">
        <v>7587.6440000000002</v>
      </c>
      <c r="V2040" s="19">
        <v>5443.9549999999999</v>
      </c>
      <c r="W2040" s="19">
        <v>4004.1019999999999</v>
      </c>
      <c r="X2040" s="19">
        <v>2513.511</v>
      </c>
      <c r="Y2040" s="19">
        <v>1351.4480000000001</v>
      </c>
      <c r="Z2040" s="19">
        <v>511.91</v>
      </c>
      <c r="AA2040" s="19">
        <v>142.09</v>
      </c>
      <c r="AB2040" s="19">
        <v>30.472999999999999</v>
      </c>
      <c r="AC2040" s="19">
        <v>4.4550000000000001</v>
      </c>
    </row>
    <row r="2041" spans="1:29" ht="11.65" x14ac:dyDescent="0.35">
      <c r="A2041" s="23">
        <v>2024</v>
      </c>
      <c r="B2041" s="21" t="s">
        <v>1015</v>
      </c>
      <c r="C2041" s="29" t="s">
        <v>1158</v>
      </c>
      <c r="D2041" s="20"/>
      <c r="E2041" s="20">
        <v>920</v>
      </c>
      <c r="F2041" s="21" t="s">
        <v>1065</v>
      </c>
      <c r="G2041" s="20">
        <v>1832</v>
      </c>
      <c r="H2041" s="20">
        <v>2015</v>
      </c>
      <c r="I2041" s="19">
        <v>29484.98</v>
      </c>
      <c r="J2041" s="19">
        <v>28491.415000000001</v>
      </c>
      <c r="K2041" s="19">
        <v>28467.592000000001</v>
      </c>
      <c r="L2041" s="19">
        <v>28405.040000000001</v>
      </c>
      <c r="M2041" s="19">
        <v>27773.449000000001</v>
      </c>
      <c r="N2041" s="19">
        <v>25718.46</v>
      </c>
      <c r="O2041" s="19">
        <v>25588.631000000001</v>
      </c>
      <c r="P2041" s="19">
        <v>23416.982</v>
      </c>
      <c r="Q2041" s="19">
        <v>22015.137999999999</v>
      </c>
      <c r="R2041" s="19">
        <v>19869.812999999998</v>
      </c>
      <c r="S2041" s="19">
        <v>17119.303</v>
      </c>
      <c r="T2041" s="19">
        <v>14009.735000000001</v>
      </c>
      <c r="U2041" s="19">
        <v>10279.329</v>
      </c>
      <c r="V2041" s="19">
        <v>6546.9949999999999</v>
      </c>
      <c r="W2041" s="19">
        <v>4404.13</v>
      </c>
      <c r="X2041" s="19">
        <v>2901.529</v>
      </c>
      <c r="Y2041" s="19">
        <v>1553.135</v>
      </c>
      <c r="Z2041" s="19">
        <v>666.92700000000002</v>
      </c>
      <c r="AA2041" s="19">
        <v>193.40299999999999</v>
      </c>
      <c r="AB2041" s="19">
        <v>40.889000000000003</v>
      </c>
      <c r="AC2041" s="19">
        <v>6.91</v>
      </c>
    </row>
    <row r="2042" spans="1:29" ht="11.65" x14ac:dyDescent="0.35">
      <c r="A2042" s="23">
        <v>2025</v>
      </c>
      <c r="B2042" s="21" t="s">
        <v>1015</v>
      </c>
      <c r="C2042" s="29" t="s">
        <v>1158</v>
      </c>
      <c r="D2042" s="20"/>
      <c r="E2042" s="20">
        <v>920</v>
      </c>
      <c r="F2042" s="21" t="s">
        <v>1065</v>
      </c>
      <c r="G2042" s="20">
        <v>1832</v>
      </c>
      <c r="H2042" s="20">
        <v>2020</v>
      </c>
      <c r="I2042" s="19">
        <v>28746.321</v>
      </c>
      <c r="J2042" s="19">
        <v>29296.978999999999</v>
      </c>
      <c r="K2042" s="19">
        <v>28371.733</v>
      </c>
      <c r="L2042" s="19">
        <v>28266.350999999999</v>
      </c>
      <c r="M2042" s="19">
        <v>28034.233</v>
      </c>
      <c r="N2042" s="19">
        <v>27363.347000000002</v>
      </c>
      <c r="O2042" s="19">
        <v>25353.612000000001</v>
      </c>
      <c r="P2042" s="19">
        <v>25210.407999999999</v>
      </c>
      <c r="Q2042" s="19">
        <v>22993.585999999999</v>
      </c>
      <c r="R2042" s="19">
        <v>21465.045999999998</v>
      </c>
      <c r="S2042" s="19">
        <v>19133.57</v>
      </c>
      <c r="T2042" s="19">
        <v>16155.696</v>
      </c>
      <c r="U2042" s="19">
        <v>12854.66</v>
      </c>
      <c r="V2042" s="19">
        <v>9045.4779999999992</v>
      </c>
      <c r="W2042" s="19">
        <v>5387.9040000000005</v>
      </c>
      <c r="X2042" s="19">
        <v>3265.2469999999998</v>
      </c>
      <c r="Y2042" s="19">
        <v>1846.0340000000001</v>
      </c>
      <c r="Z2042" s="19">
        <v>807.40499999999997</v>
      </c>
      <c r="AA2042" s="19">
        <v>265.01499999999999</v>
      </c>
      <c r="AB2042" s="19">
        <v>58.936</v>
      </c>
      <c r="AC2042" s="19">
        <v>10.146000000000001</v>
      </c>
    </row>
    <row r="2043" spans="1:29" ht="11.65" x14ac:dyDescent="0.35">
      <c r="A2043" s="12">
        <v>2026</v>
      </c>
      <c r="B2043" s="10" t="s">
        <v>1015</v>
      </c>
      <c r="C2043" s="11" t="s">
        <v>1159</v>
      </c>
      <c r="D2043" s="9"/>
      <c r="E2043" s="9">
        <v>96</v>
      </c>
      <c r="F2043" s="10" t="s">
        <v>1066</v>
      </c>
      <c r="G2043" s="9">
        <v>920</v>
      </c>
      <c r="H2043" s="9">
        <v>1950</v>
      </c>
      <c r="I2043" s="8">
        <v>3.4910000000000001</v>
      </c>
      <c r="J2043" s="8">
        <v>2.9689999999999999</v>
      </c>
      <c r="K2043" s="8">
        <v>2.65</v>
      </c>
      <c r="L2043" s="8">
        <v>2.3759999999999999</v>
      </c>
      <c r="M2043" s="8">
        <v>2.129</v>
      </c>
      <c r="N2043" s="8">
        <v>1.9019999999999999</v>
      </c>
      <c r="O2043" s="8">
        <v>1.6950000000000001</v>
      </c>
      <c r="P2043" s="8">
        <v>1.504</v>
      </c>
      <c r="Q2043" s="8">
        <v>1.325</v>
      </c>
      <c r="R2043" s="8">
        <v>1.1499999999999999</v>
      </c>
      <c r="S2043" s="8">
        <v>0.97899999999999998</v>
      </c>
      <c r="T2043" s="8">
        <v>0.80500000000000005</v>
      </c>
      <c r="U2043" s="8">
        <v>0.63500000000000001</v>
      </c>
      <c r="V2043" s="8">
        <v>0.46400000000000002</v>
      </c>
      <c r="W2043" s="8">
        <v>0.308</v>
      </c>
      <c r="X2043" s="8">
        <v>0.16200000000000001</v>
      </c>
      <c r="Y2043" s="8">
        <v>0.123</v>
      </c>
      <c r="Z2043" s="8">
        <v>3.3000000000000002E-2</v>
      </c>
      <c r="AA2043" s="8">
        <v>5.0000000000000001E-3</v>
      </c>
      <c r="AB2043" s="8">
        <v>0</v>
      </c>
      <c r="AC2043" s="8">
        <v>0</v>
      </c>
    </row>
    <row r="2044" spans="1:29" ht="11.65" x14ac:dyDescent="0.35">
      <c r="A2044" s="12">
        <v>2027</v>
      </c>
      <c r="B2044" s="10" t="s">
        <v>1015</v>
      </c>
      <c r="C2044" s="11" t="s">
        <v>1159</v>
      </c>
      <c r="D2044" s="9"/>
      <c r="E2044" s="9">
        <v>96</v>
      </c>
      <c r="F2044" s="10" t="s">
        <v>1066</v>
      </c>
      <c r="G2044" s="9">
        <v>920</v>
      </c>
      <c r="H2044" s="9">
        <v>1955</v>
      </c>
      <c r="I2044" s="8">
        <v>6.4349999999999996</v>
      </c>
      <c r="J2044" s="8">
        <v>3.5129999999999999</v>
      </c>
      <c r="K2044" s="8">
        <v>2.99</v>
      </c>
      <c r="L2044" s="8">
        <v>2.802</v>
      </c>
      <c r="M2044" s="8">
        <v>2.7010000000000001</v>
      </c>
      <c r="N2044" s="8">
        <v>2.6</v>
      </c>
      <c r="O2044" s="8">
        <v>2.302</v>
      </c>
      <c r="P2044" s="8">
        <v>2</v>
      </c>
      <c r="Q2044" s="8">
        <v>1.7010000000000001</v>
      </c>
      <c r="R2044" s="8">
        <v>1.4</v>
      </c>
      <c r="S2044" s="8">
        <v>1.2010000000000001</v>
      </c>
      <c r="T2044" s="8">
        <v>1</v>
      </c>
      <c r="U2044" s="8">
        <v>0.8</v>
      </c>
      <c r="V2044" s="8">
        <v>0.6</v>
      </c>
      <c r="W2044" s="8">
        <v>0.39900000000000002</v>
      </c>
      <c r="X2044" s="8">
        <v>0.20200000000000001</v>
      </c>
      <c r="Y2044" s="8">
        <v>6.5000000000000002E-2</v>
      </c>
      <c r="Z2044" s="8">
        <v>0.01</v>
      </c>
      <c r="AA2044" s="8">
        <v>0</v>
      </c>
      <c r="AB2044" s="8">
        <v>0</v>
      </c>
      <c r="AC2044" s="8">
        <v>0</v>
      </c>
    </row>
    <row r="2045" spans="1:29" ht="11.65" x14ac:dyDescent="0.35">
      <c r="A2045" s="12">
        <v>2028</v>
      </c>
      <c r="B2045" s="10" t="s">
        <v>1015</v>
      </c>
      <c r="C2045" s="11" t="s">
        <v>1159</v>
      </c>
      <c r="D2045" s="9"/>
      <c r="E2045" s="9">
        <v>96</v>
      </c>
      <c r="F2045" s="10" t="s">
        <v>1066</v>
      </c>
      <c r="G2045" s="9">
        <v>920</v>
      </c>
      <c r="H2045" s="9">
        <v>1960</v>
      </c>
      <c r="I2045" s="8">
        <v>8.2249999999999996</v>
      </c>
      <c r="J2045" s="8">
        <v>6.45</v>
      </c>
      <c r="K2045" s="8">
        <v>3.6019999999999999</v>
      </c>
      <c r="L2045" s="8">
        <v>3.093</v>
      </c>
      <c r="M2045" s="8">
        <v>3.0990000000000002</v>
      </c>
      <c r="N2045" s="8">
        <v>3.2010000000000001</v>
      </c>
      <c r="O2045" s="8">
        <v>3.0009999999999999</v>
      </c>
      <c r="P2045" s="8">
        <v>2.5990000000000002</v>
      </c>
      <c r="Q2045" s="8">
        <v>2.101</v>
      </c>
      <c r="R2045" s="8">
        <v>1.8009999999999999</v>
      </c>
      <c r="S2045" s="8">
        <v>1.401</v>
      </c>
      <c r="T2045" s="8">
        <v>1.2</v>
      </c>
      <c r="U2045" s="8">
        <v>0.90100000000000002</v>
      </c>
      <c r="V2045" s="8">
        <v>0.7</v>
      </c>
      <c r="W2045" s="8">
        <v>0.4</v>
      </c>
      <c r="X2045" s="8">
        <v>0.30099999999999999</v>
      </c>
      <c r="Y2045" s="8">
        <v>8.4000000000000005E-2</v>
      </c>
      <c r="Z2045" s="8">
        <v>7.0000000000000001E-3</v>
      </c>
      <c r="AA2045" s="8">
        <v>0</v>
      </c>
      <c r="AB2045" s="8">
        <v>0</v>
      </c>
      <c r="AC2045" s="8">
        <v>0</v>
      </c>
    </row>
    <row r="2046" spans="1:29" ht="11.65" x14ac:dyDescent="0.35">
      <c r="A2046" s="12">
        <v>2029</v>
      </c>
      <c r="B2046" s="10" t="s">
        <v>1015</v>
      </c>
      <c r="C2046" s="11" t="s">
        <v>1159</v>
      </c>
      <c r="D2046" s="9"/>
      <c r="E2046" s="9">
        <v>96</v>
      </c>
      <c r="F2046" s="10" t="s">
        <v>1066</v>
      </c>
      <c r="G2046" s="9">
        <v>920</v>
      </c>
      <c r="H2046" s="9">
        <v>1965</v>
      </c>
      <c r="I2046" s="8">
        <v>9.5579999999999998</v>
      </c>
      <c r="J2046" s="8">
        <v>8.1359999999999992</v>
      </c>
      <c r="K2046" s="8">
        <v>6.5380000000000003</v>
      </c>
      <c r="L2046" s="8">
        <v>3.7029999999999998</v>
      </c>
      <c r="M2046" s="8">
        <v>3.492</v>
      </c>
      <c r="N2046" s="8">
        <v>3.601</v>
      </c>
      <c r="O2046" s="8">
        <v>3.5990000000000002</v>
      </c>
      <c r="P2046" s="8">
        <v>3.1989999999999998</v>
      </c>
      <c r="Q2046" s="8">
        <v>2.6989999999999998</v>
      </c>
      <c r="R2046" s="8">
        <v>2.2000000000000002</v>
      </c>
      <c r="S2046" s="8">
        <v>1.7989999999999999</v>
      </c>
      <c r="T2046" s="8">
        <v>1.4</v>
      </c>
      <c r="U2046" s="8">
        <v>1.101</v>
      </c>
      <c r="V2046" s="8">
        <v>0.80100000000000005</v>
      </c>
      <c r="W2046" s="8">
        <v>0.5</v>
      </c>
      <c r="X2046" s="8">
        <v>0.30099999999999999</v>
      </c>
      <c r="Y2046" s="8">
        <v>0.17100000000000001</v>
      </c>
      <c r="Z2046" s="8">
        <v>1.7999999999999999E-2</v>
      </c>
      <c r="AA2046" s="8">
        <v>0</v>
      </c>
      <c r="AB2046" s="8">
        <v>0</v>
      </c>
      <c r="AC2046" s="8">
        <v>0</v>
      </c>
    </row>
    <row r="2047" spans="1:29" ht="11.65" x14ac:dyDescent="0.35">
      <c r="A2047" s="12">
        <v>2030</v>
      </c>
      <c r="B2047" s="10" t="s">
        <v>1015</v>
      </c>
      <c r="C2047" s="11" t="s">
        <v>1159</v>
      </c>
      <c r="D2047" s="9"/>
      <c r="E2047" s="9">
        <v>96</v>
      </c>
      <c r="F2047" s="10" t="s">
        <v>1066</v>
      </c>
      <c r="G2047" s="9">
        <v>920</v>
      </c>
      <c r="H2047" s="9">
        <v>1970</v>
      </c>
      <c r="I2047" s="8">
        <v>10.672000000000001</v>
      </c>
      <c r="J2047" s="8">
        <v>9.6720000000000006</v>
      </c>
      <c r="K2047" s="8">
        <v>8.2260000000000009</v>
      </c>
      <c r="L2047" s="8">
        <v>6.8390000000000004</v>
      </c>
      <c r="M2047" s="8">
        <v>4.4050000000000002</v>
      </c>
      <c r="N2047" s="8">
        <v>4.391</v>
      </c>
      <c r="O2047" s="8">
        <v>4.399</v>
      </c>
      <c r="P2047" s="8">
        <v>4.0999999999999996</v>
      </c>
      <c r="Q2047" s="8">
        <v>3.6019999999999999</v>
      </c>
      <c r="R2047" s="8">
        <v>2.9</v>
      </c>
      <c r="S2047" s="8">
        <v>2.3010000000000002</v>
      </c>
      <c r="T2047" s="8">
        <v>1.8</v>
      </c>
      <c r="U2047" s="8">
        <v>1.2989999999999999</v>
      </c>
      <c r="V2047" s="8">
        <v>1.0009999999999999</v>
      </c>
      <c r="W2047" s="8">
        <v>0.6</v>
      </c>
      <c r="X2047" s="8">
        <v>0.39900000000000002</v>
      </c>
      <c r="Y2047" s="8">
        <v>0.14899999999999999</v>
      </c>
      <c r="Z2047" s="8">
        <v>3.5999999999999997E-2</v>
      </c>
      <c r="AA2047" s="8">
        <v>1E-3</v>
      </c>
      <c r="AB2047" s="8">
        <v>0</v>
      </c>
      <c r="AC2047" s="8">
        <v>0</v>
      </c>
    </row>
    <row r="2048" spans="1:29" ht="11.65" x14ac:dyDescent="0.35">
      <c r="A2048" s="12">
        <v>2031</v>
      </c>
      <c r="B2048" s="10" t="s">
        <v>1015</v>
      </c>
      <c r="C2048" s="11" t="s">
        <v>1159</v>
      </c>
      <c r="D2048" s="9"/>
      <c r="E2048" s="9">
        <v>96</v>
      </c>
      <c r="F2048" s="10" t="s">
        <v>1066</v>
      </c>
      <c r="G2048" s="9">
        <v>920</v>
      </c>
      <c r="H2048" s="9">
        <v>1975</v>
      </c>
      <c r="I2048" s="8">
        <v>13.233000000000001</v>
      </c>
      <c r="J2048" s="8">
        <v>10.584</v>
      </c>
      <c r="K2048" s="8">
        <v>9.6630000000000003</v>
      </c>
      <c r="L2048" s="8">
        <v>8.5280000000000005</v>
      </c>
      <c r="M2048" s="8">
        <v>7.5380000000000003</v>
      </c>
      <c r="N2048" s="8">
        <v>5.4039999999999999</v>
      </c>
      <c r="O2048" s="8">
        <v>5.2910000000000004</v>
      </c>
      <c r="P2048" s="8">
        <v>5.0010000000000003</v>
      </c>
      <c r="Q2048" s="8">
        <v>4.5010000000000003</v>
      </c>
      <c r="R2048" s="8">
        <v>3.798</v>
      </c>
      <c r="S2048" s="8">
        <v>2.9990000000000001</v>
      </c>
      <c r="T2048" s="8">
        <v>2.3010000000000002</v>
      </c>
      <c r="U2048" s="8">
        <v>1.7010000000000001</v>
      </c>
      <c r="V2048" s="8">
        <v>1.2010000000000001</v>
      </c>
      <c r="W2048" s="8">
        <v>0.80100000000000005</v>
      </c>
      <c r="X2048" s="8">
        <v>0.502</v>
      </c>
      <c r="Y2048" s="8">
        <v>0.23899999999999999</v>
      </c>
      <c r="Z2048" s="8">
        <v>3.6999999999999998E-2</v>
      </c>
      <c r="AA2048" s="8">
        <v>5.0000000000000001E-3</v>
      </c>
      <c r="AB2048" s="8">
        <v>0</v>
      </c>
      <c r="AC2048" s="8">
        <v>0</v>
      </c>
    </row>
    <row r="2049" spans="1:29" ht="11.65" x14ac:dyDescent="0.35">
      <c r="A2049" s="12">
        <v>2032</v>
      </c>
      <c r="B2049" s="10" t="s">
        <v>1015</v>
      </c>
      <c r="C2049" s="11" t="s">
        <v>1159</v>
      </c>
      <c r="D2049" s="9"/>
      <c r="E2049" s="9">
        <v>96</v>
      </c>
      <c r="F2049" s="10" t="s">
        <v>1066</v>
      </c>
      <c r="G2049" s="9">
        <v>920</v>
      </c>
      <c r="H2049" s="9">
        <v>1980</v>
      </c>
      <c r="I2049" s="8">
        <v>14.71</v>
      </c>
      <c r="J2049" s="8">
        <v>13.117000000000001</v>
      </c>
      <c r="K2049" s="8">
        <v>10.711</v>
      </c>
      <c r="L2049" s="8">
        <v>10.699</v>
      </c>
      <c r="M2049" s="8">
        <v>12.244999999999999</v>
      </c>
      <c r="N2049" s="8">
        <v>11.031000000000001</v>
      </c>
      <c r="O2049" s="8">
        <v>7.7850000000000001</v>
      </c>
      <c r="P2049" s="8">
        <v>5.51</v>
      </c>
      <c r="Q2049" s="8">
        <v>4.3970000000000002</v>
      </c>
      <c r="R2049" s="8">
        <v>3.403</v>
      </c>
      <c r="S2049" s="8">
        <v>2.859</v>
      </c>
      <c r="T2049" s="8">
        <v>2.129</v>
      </c>
      <c r="U2049" s="8">
        <v>1.6240000000000001</v>
      </c>
      <c r="V2049" s="8">
        <v>1.159</v>
      </c>
      <c r="W2049" s="8">
        <v>0.80800000000000005</v>
      </c>
      <c r="X2049" s="8">
        <v>0.51900000000000002</v>
      </c>
      <c r="Y2049" s="8">
        <v>0.308</v>
      </c>
      <c r="Z2049" s="8">
        <v>7.0000000000000007E-2</v>
      </c>
      <c r="AA2049" s="8">
        <v>5.0000000000000001E-3</v>
      </c>
      <c r="AB2049" s="8">
        <v>0</v>
      </c>
      <c r="AC2049" s="8">
        <v>0</v>
      </c>
    </row>
    <row r="2050" spans="1:29" ht="11.65" x14ac:dyDescent="0.35">
      <c r="A2050" s="12">
        <v>2033</v>
      </c>
      <c r="B2050" s="10" t="s">
        <v>1015</v>
      </c>
      <c r="C2050" s="11" t="s">
        <v>1159</v>
      </c>
      <c r="D2050" s="9"/>
      <c r="E2050" s="9">
        <v>96</v>
      </c>
      <c r="F2050" s="10" t="s">
        <v>1066</v>
      </c>
      <c r="G2050" s="9">
        <v>920</v>
      </c>
      <c r="H2050" s="9">
        <v>1985</v>
      </c>
      <c r="I2050" s="8">
        <v>16.143999999999998</v>
      </c>
      <c r="J2050" s="8">
        <v>14.664</v>
      </c>
      <c r="K2050" s="8">
        <v>13.128</v>
      </c>
      <c r="L2050" s="8">
        <v>10.78</v>
      </c>
      <c r="M2050" s="8">
        <v>10.864000000000001</v>
      </c>
      <c r="N2050" s="8">
        <v>12.33</v>
      </c>
      <c r="O2050" s="8">
        <v>11.138</v>
      </c>
      <c r="P2050" s="8">
        <v>7.9039999999999999</v>
      </c>
      <c r="Q2050" s="8">
        <v>5.593</v>
      </c>
      <c r="R2050" s="8">
        <v>4.4009999999999998</v>
      </c>
      <c r="S2050" s="8">
        <v>3.4</v>
      </c>
      <c r="T2050" s="8">
        <v>2.798</v>
      </c>
      <c r="U2050" s="8">
        <v>2.0009999999999999</v>
      </c>
      <c r="V2050" s="8">
        <v>1.399</v>
      </c>
      <c r="W2050" s="8">
        <v>0.999</v>
      </c>
      <c r="X2050" s="8">
        <v>0.60299999999999998</v>
      </c>
      <c r="Y2050" s="8">
        <v>0.28499999999999998</v>
      </c>
      <c r="Z2050" s="8">
        <v>0.105</v>
      </c>
      <c r="AA2050" s="8">
        <v>1.4E-2</v>
      </c>
      <c r="AB2050" s="8">
        <v>0</v>
      </c>
      <c r="AC2050" s="8">
        <v>0</v>
      </c>
    </row>
    <row r="2051" spans="1:29" ht="11.65" x14ac:dyDescent="0.35">
      <c r="A2051" s="12">
        <v>2034</v>
      </c>
      <c r="B2051" s="10" t="s">
        <v>1015</v>
      </c>
      <c r="C2051" s="11" t="s">
        <v>1159</v>
      </c>
      <c r="D2051" s="9"/>
      <c r="E2051" s="9">
        <v>96</v>
      </c>
      <c r="F2051" s="10" t="s">
        <v>1066</v>
      </c>
      <c r="G2051" s="9">
        <v>920</v>
      </c>
      <c r="H2051" s="9">
        <v>1990</v>
      </c>
      <c r="I2051" s="8">
        <v>17.472999999999999</v>
      </c>
      <c r="J2051" s="8">
        <v>15.319000000000001</v>
      </c>
      <c r="K2051" s="8">
        <v>13.234999999999999</v>
      </c>
      <c r="L2051" s="8">
        <v>12.183</v>
      </c>
      <c r="M2051" s="8">
        <v>13.07</v>
      </c>
      <c r="N2051" s="8">
        <v>14.347</v>
      </c>
      <c r="O2051" s="8">
        <v>14.346</v>
      </c>
      <c r="P2051" s="8">
        <v>11.962</v>
      </c>
      <c r="Q2051" s="8">
        <v>8.1950000000000003</v>
      </c>
      <c r="R2051" s="8">
        <v>4.8280000000000003</v>
      </c>
      <c r="S2051" s="8">
        <v>3.5609999999999999</v>
      </c>
      <c r="T2051" s="8">
        <v>2.4820000000000002</v>
      </c>
      <c r="U2051" s="8">
        <v>1.903</v>
      </c>
      <c r="V2051" s="8">
        <v>1.3779999999999999</v>
      </c>
      <c r="W2051" s="8">
        <v>0.95299999999999996</v>
      </c>
      <c r="X2051" s="8">
        <v>0.59899999999999998</v>
      </c>
      <c r="Y2051" s="8">
        <v>0.47299999999999998</v>
      </c>
      <c r="Z2051" s="8">
        <v>0.106</v>
      </c>
      <c r="AA2051" s="8">
        <v>2.4E-2</v>
      </c>
      <c r="AB2051" s="8">
        <v>2E-3</v>
      </c>
      <c r="AC2051" s="8">
        <v>0</v>
      </c>
    </row>
    <row r="2052" spans="1:29" ht="11.65" x14ac:dyDescent="0.35">
      <c r="A2052" s="12">
        <v>2035</v>
      </c>
      <c r="B2052" s="10" t="s">
        <v>1015</v>
      </c>
      <c r="C2052" s="11" t="s">
        <v>1159</v>
      </c>
      <c r="D2052" s="9"/>
      <c r="E2052" s="9">
        <v>96</v>
      </c>
      <c r="F2052" s="10" t="s">
        <v>1066</v>
      </c>
      <c r="G2052" s="9">
        <v>920</v>
      </c>
      <c r="H2052" s="9">
        <v>1995</v>
      </c>
      <c r="I2052" s="8">
        <v>19.218</v>
      </c>
      <c r="J2052" s="8">
        <v>16.847000000000001</v>
      </c>
      <c r="K2052" s="8">
        <v>14.696999999999999</v>
      </c>
      <c r="L2052" s="8">
        <v>13.683</v>
      </c>
      <c r="M2052" s="8">
        <v>14.787000000000001</v>
      </c>
      <c r="N2052" s="8">
        <v>15.964</v>
      </c>
      <c r="O2052" s="8">
        <v>13.932</v>
      </c>
      <c r="P2052" s="8">
        <v>13.936999999999999</v>
      </c>
      <c r="Q2052" s="8">
        <v>11.205</v>
      </c>
      <c r="R2052" s="8">
        <v>7.3019999999999996</v>
      </c>
      <c r="S2052" s="8">
        <v>4.3899999999999997</v>
      </c>
      <c r="T2052" s="8">
        <v>3.093</v>
      </c>
      <c r="U2052" s="8">
        <v>2.2269999999999999</v>
      </c>
      <c r="V2052" s="8">
        <v>1.7609999999999999</v>
      </c>
      <c r="W2052" s="8">
        <v>1.1339999999999999</v>
      </c>
      <c r="X2052" s="8">
        <v>0.64700000000000002</v>
      </c>
      <c r="Y2052" s="8">
        <v>0.30099999999999999</v>
      </c>
      <c r="Z2052" s="8">
        <v>0.189</v>
      </c>
      <c r="AA2052" s="8">
        <v>2.7E-2</v>
      </c>
      <c r="AB2052" s="8">
        <v>3.0000000000000001E-3</v>
      </c>
      <c r="AC2052" s="8">
        <v>0</v>
      </c>
    </row>
    <row r="2053" spans="1:29" ht="11.65" x14ac:dyDescent="0.35">
      <c r="A2053" s="12">
        <v>2036</v>
      </c>
      <c r="B2053" s="10" t="s">
        <v>1015</v>
      </c>
      <c r="C2053" s="11" t="s">
        <v>1159</v>
      </c>
      <c r="D2053" s="9"/>
      <c r="E2053" s="9">
        <v>96</v>
      </c>
      <c r="F2053" s="10" t="s">
        <v>1066</v>
      </c>
      <c r="G2053" s="9">
        <v>920</v>
      </c>
      <c r="H2053" s="9">
        <v>2000</v>
      </c>
      <c r="I2053" s="8">
        <v>17.89</v>
      </c>
      <c r="J2053" s="8">
        <v>17.908999999999999</v>
      </c>
      <c r="K2053" s="8">
        <v>16.542000000000002</v>
      </c>
      <c r="L2053" s="8">
        <v>14.327</v>
      </c>
      <c r="M2053" s="8">
        <v>15.343999999999999</v>
      </c>
      <c r="N2053" s="8">
        <v>18.385999999999999</v>
      </c>
      <c r="O2053" s="8">
        <v>16.564</v>
      </c>
      <c r="P2053" s="8">
        <v>14.489000000000001</v>
      </c>
      <c r="Q2053" s="8">
        <v>12.885999999999999</v>
      </c>
      <c r="R2053" s="8">
        <v>9.1920000000000002</v>
      </c>
      <c r="S2053" s="8">
        <v>5.5730000000000004</v>
      </c>
      <c r="T2053" s="8">
        <v>3.258</v>
      </c>
      <c r="U2053" s="8">
        <v>2.44</v>
      </c>
      <c r="V2053" s="8">
        <v>1.78</v>
      </c>
      <c r="W2053" s="8">
        <v>0.875</v>
      </c>
      <c r="X2053" s="8">
        <v>0.63800000000000001</v>
      </c>
      <c r="Y2053" s="8">
        <v>0.46700000000000003</v>
      </c>
      <c r="Z2053" s="8">
        <v>0.13200000000000001</v>
      </c>
      <c r="AA2053" s="8">
        <v>5.3999999999999999E-2</v>
      </c>
      <c r="AB2053" s="8">
        <v>4.0000000000000001E-3</v>
      </c>
      <c r="AC2053" s="8">
        <v>0</v>
      </c>
    </row>
    <row r="2054" spans="1:29" ht="11.65" x14ac:dyDescent="0.35">
      <c r="A2054" s="12">
        <v>2037</v>
      </c>
      <c r="B2054" s="10" t="s">
        <v>1015</v>
      </c>
      <c r="C2054" s="11" t="s">
        <v>1159</v>
      </c>
      <c r="D2054" s="9"/>
      <c r="E2054" s="9">
        <v>96</v>
      </c>
      <c r="F2054" s="10" t="s">
        <v>1066</v>
      </c>
      <c r="G2054" s="9">
        <v>920</v>
      </c>
      <c r="H2054" s="9">
        <v>2005</v>
      </c>
      <c r="I2054" s="8">
        <v>16.908000000000001</v>
      </c>
      <c r="J2054" s="8">
        <v>17.574999999999999</v>
      </c>
      <c r="K2054" s="8">
        <v>17.602</v>
      </c>
      <c r="L2054" s="8">
        <v>15.927</v>
      </c>
      <c r="M2054" s="8">
        <v>18.004000000000001</v>
      </c>
      <c r="N2054" s="8">
        <v>19.265000000000001</v>
      </c>
      <c r="O2054" s="8">
        <v>18.521999999999998</v>
      </c>
      <c r="P2054" s="8">
        <v>15.81</v>
      </c>
      <c r="Q2054" s="8">
        <v>14.074999999999999</v>
      </c>
      <c r="R2054" s="8">
        <v>10.926</v>
      </c>
      <c r="S2054" s="8">
        <v>7.9790000000000001</v>
      </c>
      <c r="T2054" s="8">
        <v>5.2190000000000003</v>
      </c>
      <c r="U2054" s="8">
        <v>3.2949999999999999</v>
      </c>
      <c r="V2054" s="8">
        <v>2.181</v>
      </c>
      <c r="W2054" s="8">
        <v>1.3540000000000001</v>
      </c>
      <c r="X2054" s="8">
        <v>0.91800000000000004</v>
      </c>
      <c r="Y2054" s="8">
        <v>0.58499999999999996</v>
      </c>
      <c r="Z2054" s="8">
        <v>0.22800000000000001</v>
      </c>
      <c r="AA2054" s="8">
        <v>4.4999999999999998E-2</v>
      </c>
      <c r="AB2054" s="8">
        <v>1.0999999999999999E-2</v>
      </c>
      <c r="AC2054" s="8">
        <v>0</v>
      </c>
    </row>
    <row r="2055" spans="1:29" ht="11.65" x14ac:dyDescent="0.35">
      <c r="A2055" s="12">
        <v>2038</v>
      </c>
      <c r="B2055" s="10" t="s">
        <v>1015</v>
      </c>
      <c r="C2055" s="11" t="s">
        <v>1159</v>
      </c>
      <c r="D2055" s="9"/>
      <c r="E2055" s="9">
        <v>96</v>
      </c>
      <c r="F2055" s="10" t="s">
        <v>1066</v>
      </c>
      <c r="G2055" s="9">
        <v>920</v>
      </c>
      <c r="H2055" s="9">
        <v>2010</v>
      </c>
      <c r="I2055" s="8">
        <v>16.146000000000001</v>
      </c>
      <c r="J2055" s="8">
        <v>17.407</v>
      </c>
      <c r="K2055" s="8">
        <v>18.483000000000001</v>
      </c>
      <c r="L2055" s="8">
        <v>17.957999999999998</v>
      </c>
      <c r="M2055" s="8">
        <v>20.28</v>
      </c>
      <c r="N2055" s="8">
        <v>20.72</v>
      </c>
      <c r="O2055" s="8">
        <v>18.934000000000001</v>
      </c>
      <c r="P2055" s="8">
        <v>16.971</v>
      </c>
      <c r="Q2055" s="8">
        <v>14.776</v>
      </c>
      <c r="R2055" s="8">
        <v>12.416</v>
      </c>
      <c r="S2055" s="8">
        <v>9.8450000000000006</v>
      </c>
      <c r="T2055" s="8">
        <v>6.5990000000000002</v>
      </c>
      <c r="U2055" s="8">
        <v>3.7290000000000001</v>
      </c>
      <c r="V2055" s="8">
        <v>2.427</v>
      </c>
      <c r="W2055" s="8">
        <v>1.7789999999999999</v>
      </c>
      <c r="X2055" s="8">
        <v>1.1599999999999999</v>
      </c>
      <c r="Y2055" s="8">
        <v>0.68500000000000005</v>
      </c>
      <c r="Z2055" s="8">
        <v>0.308</v>
      </c>
      <c r="AA2055" s="8">
        <v>8.5000000000000006E-2</v>
      </c>
      <c r="AB2055" s="8">
        <v>0.01</v>
      </c>
      <c r="AC2055" s="8">
        <v>1E-3</v>
      </c>
    </row>
    <row r="2056" spans="1:29" ht="11.65" x14ac:dyDescent="0.35">
      <c r="A2056" s="12">
        <v>2039</v>
      </c>
      <c r="B2056" s="10" t="s">
        <v>1015</v>
      </c>
      <c r="C2056" s="11" t="s">
        <v>1159</v>
      </c>
      <c r="D2056" s="9"/>
      <c r="E2056" s="9">
        <v>96</v>
      </c>
      <c r="F2056" s="10" t="s">
        <v>1066</v>
      </c>
      <c r="G2056" s="9">
        <v>920</v>
      </c>
      <c r="H2056" s="9">
        <v>2015</v>
      </c>
      <c r="I2056" s="8">
        <v>17.946000000000002</v>
      </c>
      <c r="J2056" s="8">
        <v>16.158000000000001</v>
      </c>
      <c r="K2056" s="8">
        <v>17.417000000000002</v>
      </c>
      <c r="L2056" s="8">
        <v>18.594999999999999</v>
      </c>
      <c r="M2056" s="8">
        <v>18.152000000000001</v>
      </c>
      <c r="N2056" s="8">
        <v>20.434999999999999</v>
      </c>
      <c r="O2056" s="8">
        <v>20.797000000000001</v>
      </c>
      <c r="P2056" s="8">
        <v>18.934000000000001</v>
      </c>
      <c r="Q2056" s="8">
        <v>16.882999999999999</v>
      </c>
      <c r="R2056" s="8">
        <v>14.589</v>
      </c>
      <c r="S2056" s="8">
        <v>12.117000000000001</v>
      </c>
      <c r="T2056" s="8">
        <v>9.4359999999999999</v>
      </c>
      <c r="U2056" s="8">
        <v>6.1740000000000004</v>
      </c>
      <c r="V2056" s="8">
        <v>3.3849999999999998</v>
      </c>
      <c r="W2056" s="8">
        <v>2.097</v>
      </c>
      <c r="X2056" s="8">
        <v>1.407</v>
      </c>
      <c r="Y2056" s="8">
        <v>0.79200000000000004</v>
      </c>
      <c r="Z2056" s="8">
        <v>0.371</v>
      </c>
      <c r="AA2056" s="8">
        <v>0.11899999999999999</v>
      </c>
      <c r="AB2056" s="8">
        <v>2.1999999999999999E-2</v>
      </c>
      <c r="AC2056" s="8">
        <v>2E-3</v>
      </c>
    </row>
    <row r="2057" spans="1:29" ht="11.65" x14ac:dyDescent="0.35">
      <c r="A2057" s="12">
        <v>2040</v>
      </c>
      <c r="B2057" s="10" t="s">
        <v>1015</v>
      </c>
      <c r="C2057" s="11" t="s">
        <v>1159</v>
      </c>
      <c r="D2057" s="9"/>
      <c r="E2057" s="9">
        <v>96</v>
      </c>
      <c r="F2057" s="10" t="s">
        <v>1066</v>
      </c>
      <c r="G2057" s="9">
        <v>920</v>
      </c>
      <c r="H2057" s="9">
        <v>2020</v>
      </c>
      <c r="I2057" s="8">
        <v>16.251999999999999</v>
      </c>
      <c r="J2057" s="8">
        <v>17.907</v>
      </c>
      <c r="K2057" s="8">
        <v>16.135999999999999</v>
      </c>
      <c r="L2057" s="8">
        <v>17.373999999999999</v>
      </c>
      <c r="M2057" s="8">
        <v>18.501999999999999</v>
      </c>
      <c r="N2057" s="8">
        <v>18.045999999999999</v>
      </c>
      <c r="O2057" s="8">
        <v>20.311</v>
      </c>
      <c r="P2057" s="8">
        <v>20.640999999999998</v>
      </c>
      <c r="Q2057" s="8">
        <v>18.728999999999999</v>
      </c>
      <c r="R2057" s="8">
        <v>16.597999999999999</v>
      </c>
      <c r="S2057" s="8">
        <v>14.191000000000001</v>
      </c>
      <c r="T2057" s="8">
        <v>11.583</v>
      </c>
      <c r="U2057" s="8">
        <v>8.8209999999999997</v>
      </c>
      <c r="V2057" s="8">
        <v>5.6210000000000004</v>
      </c>
      <c r="W2057" s="8">
        <v>2.9529999999999998</v>
      </c>
      <c r="X2057" s="8">
        <v>1.6879999999999999</v>
      </c>
      <c r="Y2057" s="8">
        <v>0.99</v>
      </c>
      <c r="Z2057" s="8">
        <v>0.45100000000000001</v>
      </c>
      <c r="AA2057" s="8">
        <v>0.155</v>
      </c>
      <c r="AB2057" s="8">
        <v>3.4000000000000002E-2</v>
      </c>
      <c r="AC2057" s="8">
        <v>4.0000000000000001E-3</v>
      </c>
    </row>
    <row r="2058" spans="1:29" ht="11.65" x14ac:dyDescent="0.35">
      <c r="A2058" s="12">
        <v>2041</v>
      </c>
      <c r="B2058" s="10" t="s">
        <v>1015</v>
      </c>
      <c r="C2058" s="11" t="s">
        <v>1160</v>
      </c>
      <c r="D2058" s="9"/>
      <c r="E2058" s="9">
        <v>116</v>
      </c>
      <c r="F2058" s="10" t="s">
        <v>1066</v>
      </c>
      <c r="G2058" s="9">
        <v>920</v>
      </c>
      <c r="H2058" s="9">
        <v>1950</v>
      </c>
      <c r="I2058" s="8">
        <v>372.60599999999999</v>
      </c>
      <c r="J2058" s="8">
        <v>304.16399999999999</v>
      </c>
      <c r="K2058" s="8">
        <v>266.11900000000003</v>
      </c>
      <c r="L2058" s="8">
        <v>232.76400000000001</v>
      </c>
      <c r="M2058" s="8">
        <v>201.34800000000001</v>
      </c>
      <c r="N2058" s="8">
        <v>172.482</v>
      </c>
      <c r="O2058" s="8">
        <v>146.67599999999999</v>
      </c>
      <c r="P2058" s="8">
        <v>123.727</v>
      </c>
      <c r="Q2058" s="8">
        <v>102.61199999999999</v>
      </c>
      <c r="R2058" s="8">
        <v>84.049000000000007</v>
      </c>
      <c r="S2058" s="8">
        <v>67.013999999999996</v>
      </c>
      <c r="T2058" s="8">
        <v>51.511000000000003</v>
      </c>
      <c r="U2058" s="8">
        <v>38.045999999999999</v>
      </c>
      <c r="V2058" s="8">
        <v>24.378</v>
      </c>
      <c r="W2058" s="8">
        <v>15.811</v>
      </c>
      <c r="X2058" s="8">
        <v>8.7720000000000002</v>
      </c>
      <c r="Y2058" s="8">
        <v>3.1139999999999999</v>
      </c>
      <c r="Z2058" s="8">
        <v>0.89500000000000002</v>
      </c>
      <c r="AA2058" s="8">
        <v>0.157</v>
      </c>
      <c r="AB2058" s="8">
        <v>1.4999999999999999E-2</v>
      </c>
      <c r="AC2058" s="8">
        <v>1E-3</v>
      </c>
    </row>
    <row r="2059" spans="1:29" ht="11.65" x14ac:dyDescent="0.35">
      <c r="A2059" s="12">
        <v>2042</v>
      </c>
      <c r="B2059" s="10" t="s">
        <v>1015</v>
      </c>
      <c r="C2059" s="11" t="s">
        <v>1160</v>
      </c>
      <c r="D2059" s="9"/>
      <c r="E2059" s="9">
        <v>116</v>
      </c>
      <c r="F2059" s="10" t="s">
        <v>1066</v>
      </c>
      <c r="G2059" s="9">
        <v>920</v>
      </c>
      <c r="H2059" s="9">
        <v>1955</v>
      </c>
      <c r="I2059" s="8">
        <v>485.34800000000001</v>
      </c>
      <c r="J2059" s="8">
        <v>343.71</v>
      </c>
      <c r="K2059" s="8">
        <v>288.82600000000002</v>
      </c>
      <c r="L2059" s="8">
        <v>253.46700000000001</v>
      </c>
      <c r="M2059" s="8">
        <v>221.482</v>
      </c>
      <c r="N2059" s="8">
        <v>190.976</v>
      </c>
      <c r="O2059" s="8">
        <v>163.02000000000001</v>
      </c>
      <c r="P2059" s="8">
        <v>137.666</v>
      </c>
      <c r="Q2059" s="8">
        <v>115.111</v>
      </c>
      <c r="R2059" s="8">
        <v>93.991</v>
      </c>
      <c r="S2059" s="8">
        <v>74.265000000000001</v>
      </c>
      <c r="T2059" s="8">
        <v>56.517000000000003</v>
      </c>
      <c r="U2059" s="8">
        <v>40.536000000000001</v>
      </c>
      <c r="V2059" s="8">
        <v>26.869</v>
      </c>
      <c r="W2059" s="8">
        <v>15.209</v>
      </c>
      <c r="X2059" s="8">
        <v>8.4640000000000004</v>
      </c>
      <c r="Y2059" s="8">
        <v>3.8420000000000001</v>
      </c>
      <c r="Z2059" s="8">
        <v>1.0109999999999999</v>
      </c>
      <c r="AA2059" s="8">
        <v>0.191</v>
      </c>
      <c r="AB2059" s="8">
        <v>0.02</v>
      </c>
      <c r="AC2059" s="8">
        <v>1E-3</v>
      </c>
    </row>
    <row r="2060" spans="1:29" ht="11.65" x14ac:dyDescent="0.35">
      <c r="A2060" s="12">
        <v>2043</v>
      </c>
      <c r="B2060" s="10" t="s">
        <v>1015</v>
      </c>
      <c r="C2060" s="11" t="s">
        <v>1160</v>
      </c>
      <c r="D2060" s="9"/>
      <c r="E2060" s="9">
        <v>116</v>
      </c>
      <c r="F2060" s="10" t="s">
        <v>1066</v>
      </c>
      <c r="G2060" s="9">
        <v>920</v>
      </c>
      <c r="H2060" s="9">
        <v>1960</v>
      </c>
      <c r="I2060" s="8">
        <v>537.72500000000002</v>
      </c>
      <c r="J2060" s="8">
        <v>449.53399999999999</v>
      </c>
      <c r="K2060" s="8">
        <v>326.39400000000001</v>
      </c>
      <c r="L2060" s="8">
        <v>274.60300000000001</v>
      </c>
      <c r="M2060" s="8">
        <v>240.46299999999999</v>
      </c>
      <c r="N2060" s="8">
        <v>209.54499999999999</v>
      </c>
      <c r="O2060" s="8">
        <v>180.04499999999999</v>
      </c>
      <c r="P2060" s="8">
        <v>152.72999999999999</v>
      </c>
      <c r="Q2060" s="8">
        <v>128.107</v>
      </c>
      <c r="R2060" s="8">
        <v>105.666</v>
      </c>
      <c r="S2060" s="8">
        <v>83.522000000000006</v>
      </c>
      <c r="T2060" s="8">
        <v>63.09</v>
      </c>
      <c r="U2060" s="8">
        <v>44.906999999999996</v>
      </c>
      <c r="V2060" s="8">
        <v>29.116</v>
      </c>
      <c r="W2060" s="8">
        <v>17.091000000000001</v>
      </c>
      <c r="X2060" s="8">
        <v>8.3019999999999996</v>
      </c>
      <c r="Y2060" s="8">
        <v>3.7469999999999999</v>
      </c>
      <c r="Z2060" s="8">
        <v>1.248</v>
      </c>
      <c r="AA2060" s="8">
        <v>0.217</v>
      </c>
      <c r="AB2060" s="8">
        <v>2.4E-2</v>
      </c>
      <c r="AC2060" s="8">
        <v>2E-3</v>
      </c>
    </row>
    <row r="2061" spans="1:29" ht="11.65" x14ac:dyDescent="0.35">
      <c r="A2061" s="12">
        <v>2044</v>
      </c>
      <c r="B2061" s="10" t="s">
        <v>1015</v>
      </c>
      <c r="C2061" s="11" t="s">
        <v>1160</v>
      </c>
      <c r="D2061" s="9"/>
      <c r="E2061" s="9">
        <v>116</v>
      </c>
      <c r="F2061" s="10" t="s">
        <v>1066</v>
      </c>
      <c r="G2061" s="9">
        <v>920</v>
      </c>
      <c r="H2061" s="9">
        <v>1965</v>
      </c>
      <c r="I2061" s="8">
        <v>592.51</v>
      </c>
      <c r="J2061" s="8">
        <v>498.61</v>
      </c>
      <c r="K2061" s="8">
        <v>427.04899999999998</v>
      </c>
      <c r="L2061" s="8">
        <v>309.88200000000001</v>
      </c>
      <c r="M2061" s="8">
        <v>259.81200000000001</v>
      </c>
      <c r="N2061" s="8">
        <v>226.98099999999999</v>
      </c>
      <c r="O2061" s="8">
        <v>197.08699999999999</v>
      </c>
      <c r="P2061" s="8">
        <v>168.41</v>
      </c>
      <c r="Q2061" s="8">
        <v>142.18299999999999</v>
      </c>
      <c r="R2061" s="8">
        <v>117.871</v>
      </c>
      <c r="S2061" s="8">
        <v>94.433999999999997</v>
      </c>
      <c r="T2061" s="8">
        <v>71.539000000000001</v>
      </c>
      <c r="U2061" s="8">
        <v>50.682000000000002</v>
      </c>
      <c r="V2061" s="8">
        <v>32.805</v>
      </c>
      <c r="W2061" s="8">
        <v>18.887</v>
      </c>
      <c r="X2061" s="8">
        <v>9.516</v>
      </c>
      <c r="Y2061" s="8">
        <v>3.7189999999999999</v>
      </c>
      <c r="Z2061" s="8">
        <v>1.22</v>
      </c>
      <c r="AA2061" s="8">
        <v>0.26700000000000002</v>
      </c>
      <c r="AB2061" s="8">
        <v>2.7E-2</v>
      </c>
      <c r="AC2061" s="8">
        <v>2E-3</v>
      </c>
    </row>
    <row r="2062" spans="1:29" ht="11.65" x14ac:dyDescent="0.35">
      <c r="A2062" s="12">
        <v>2045</v>
      </c>
      <c r="B2062" s="10" t="s">
        <v>1015</v>
      </c>
      <c r="C2062" s="11" t="s">
        <v>1160</v>
      </c>
      <c r="D2062" s="9"/>
      <c r="E2062" s="9">
        <v>116</v>
      </c>
      <c r="F2062" s="10" t="s">
        <v>1066</v>
      </c>
      <c r="G2062" s="9">
        <v>920</v>
      </c>
      <c r="H2062" s="9">
        <v>1970</v>
      </c>
      <c r="I2062" s="8">
        <v>608.58199999999999</v>
      </c>
      <c r="J2062" s="8">
        <v>531.53899999999999</v>
      </c>
      <c r="K2062" s="8">
        <v>458.53100000000001</v>
      </c>
      <c r="L2062" s="8">
        <v>392.27300000000002</v>
      </c>
      <c r="M2062" s="8">
        <v>282.476</v>
      </c>
      <c r="N2062" s="8">
        <v>236.721</v>
      </c>
      <c r="O2062" s="8">
        <v>206.059</v>
      </c>
      <c r="P2062" s="8">
        <v>177.834</v>
      </c>
      <c r="Q2062" s="8">
        <v>151.35499999999999</v>
      </c>
      <c r="R2062" s="8">
        <v>126.62</v>
      </c>
      <c r="S2062" s="8">
        <v>102.256</v>
      </c>
      <c r="T2062" s="8">
        <v>78.488</v>
      </c>
      <c r="U2062" s="8">
        <v>55.802</v>
      </c>
      <c r="V2062" s="8">
        <v>36.067</v>
      </c>
      <c r="W2062" s="8">
        <v>20.728999999999999</v>
      </c>
      <c r="X2062" s="8">
        <v>9.9469999999999992</v>
      </c>
      <c r="Y2062" s="8">
        <v>4.327</v>
      </c>
      <c r="Z2062" s="8">
        <v>1.212</v>
      </c>
      <c r="AA2062" s="8">
        <v>0.26200000000000001</v>
      </c>
      <c r="AB2062" s="8">
        <v>3.4000000000000002E-2</v>
      </c>
      <c r="AC2062" s="8">
        <v>2E-3</v>
      </c>
    </row>
    <row r="2063" spans="1:29" ht="11.65" x14ac:dyDescent="0.35">
      <c r="A2063" s="12">
        <v>2046</v>
      </c>
      <c r="B2063" s="10" t="s">
        <v>1015</v>
      </c>
      <c r="C2063" s="11" t="s">
        <v>1160</v>
      </c>
      <c r="D2063" s="9"/>
      <c r="E2063" s="9">
        <v>116</v>
      </c>
      <c r="F2063" s="10" t="s">
        <v>1066</v>
      </c>
      <c r="G2063" s="9">
        <v>920</v>
      </c>
      <c r="H2063" s="9">
        <v>1975</v>
      </c>
      <c r="I2063" s="8">
        <v>630.77599999999995</v>
      </c>
      <c r="J2063" s="8">
        <v>547.38400000000001</v>
      </c>
      <c r="K2063" s="8">
        <v>483.13499999999999</v>
      </c>
      <c r="L2063" s="8">
        <v>414.43099999999998</v>
      </c>
      <c r="M2063" s="8">
        <v>355.52100000000002</v>
      </c>
      <c r="N2063" s="8">
        <v>256.21600000000001</v>
      </c>
      <c r="O2063" s="8">
        <v>213.89699999999999</v>
      </c>
      <c r="P2063" s="8">
        <v>185.857</v>
      </c>
      <c r="Q2063" s="8">
        <v>161.09299999999999</v>
      </c>
      <c r="R2063" s="8">
        <v>136.292</v>
      </c>
      <c r="S2063" s="8">
        <v>110.999</v>
      </c>
      <c r="T2063" s="8">
        <v>85.706000000000003</v>
      </c>
      <c r="U2063" s="8">
        <v>61.554000000000002</v>
      </c>
      <c r="V2063" s="8">
        <v>39.753</v>
      </c>
      <c r="W2063" s="8">
        <v>22.643000000000001</v>
      </c>
      <c r="X2063" s="8">
        <v>10.878</v>
      </c>
      <c r="Y2063" s="8">
        <v>4.3449999999999998</v>
      </c>
      <c r="Z2063" s="8">
        <v>1.3859999999999999</v>
      </c>
      <c r="AA2063" s="8">
        <v>0.25700000000000001</v>
      </c>
      <c r="AB2063" s="8">
        <v>3.4000000000000002E-2</v>
      </c>
      <c r="AC2063" s="8">
        <v>3.0000000000000001E-3</v>
      </c>
    </row>
    <row r="2064" spans="1:29" ht="11.65" x14ac:dyDescent="0.35">
      <c r="A2064" s="12">
        <v>2047</v>
      </c>
      <c r="B2064" s="10" t="s">
        <v>1015</v>
      </c>
      <c r="C2064" s="11" t="s">
        <v>1160</v>
      </c>
      <c r="D2064" s="9"/>
      <c r="E2064" s="9">
        <v>116</v>
      </c>
      <c r="F2064" s="10" t="s">
        <v>1066</v>
      </c>
      <c r="G2064" s="9">
        <v>920</v>
      </c>
      <c r="H2064" s="9">
        <v>1980</v>
      </c>
      <c r="I2064" s="8">
        <v>437.82499999999999</v>
      </c>
      <c r="J2064" s="8">
        <v>488.59100000000001</v>
      </c>
      <c r="K2064" s="8">
        <v>420.92500000000001</v>
      </c>
      <c r="L2064" s="8">
        <v>326.87099999999998</v>
      </c>
      <c r="M2064" s="8">
        <v>281.55900000000003</v>
      </c>
      <c r="N2064" s="8">
        <v>254.87100000000001</v>
      </c>
      <c r="O2064" s="8">
        <v>184.84299999999999</v>
      </c>
      <c r="P2064" s="8">
        <v>160.74</v>
      </c>
      <c r="Q2064" s="8">
        <v>151.77799999999999</v>
      </c>
      <c r="R2064" s="8">
        <v>133.63200000000001</v>
      </c>
      <c r="S2064" s="8">
        <v>107.913</v>
      </c>
      <c r="T2064" s="8">
        <v>81.393000000000001</v>
      </c>
      <c r="U2064" s="8">
        <v>56.213000000000001</v>
      </c>
      <c r="V2064" s="8">
        <v>33.92</v>
      </c>
      <c r="W2064" s="8">
        <v>17.260999999999999</v>
      </c>
      <c r="X2064" s="8">
        <v>7.2480000000000002</v>
      </c>
      <c r="Y2064" s="8">
        <v>2.5649999999999999</v>
      </c>
      <c r="Z2064" s="8">
        <v>0.68799999999999994</v>
      </c>
      <c r="AA2064" s="8">
        <v>0.13500000000000001</v>
      </c>
      <c r="AB2064" s="8">
        <v>1.7999999999999999E-2</v>
      </c>
      <c r="AC2064" s="8">
        <v>2E-3</v>
      </c>
    </row>
    <row r="2065" spans="1:29" ht="11.65" x14ac:dyDescent="0.35">
      <c r="A2065" s="12">
        <v>2048</v>
      </c>
      <c r="B2065" s="10" t="s">
        <v>1015</v>
      </c>
      <c r="C2065" s="11" t="s">
        <v>1160</v>
      </c>
      <c r="D2065" s="9"/>
      <c r="E2065" s="9">
        <v>116</v>
      </c>
      <c r="F2065" s="10" t="s">
        <v>1066</v>
      </c>
      <c r="G2065" s="9">
        <v>920</v>
      </c>
      <c r="H2065" s="9">
        <v>1985</v>
      </c>
      <c r="I2065" s="8">
        <v>757.53499999999997</v>
      </c>
      <c r="J2065" s="8">
        <v>412.75900000000001</v>
      </c>
      <c r="K2065" s="8">
        <v>465.46899999999999</v>
      </c>
      <c r="L2065" s="8">
        <v>399.89</v>
      </c>
      <c r="M2065" s="8">
        <v>308.863</v>
      </c>
      <c r="N2065" s="8">
        <v>267.81400000000002</v>
      </c>
      <c r="O2065" s="8">
        <v>240.334</v>
      </c>
      <c r="P2065" s="8">
        <v>173.46</v>
      </c>
      <c r="Q2065" s="8">
        <v>150.495</v>
      </c>
      <c r="R2065" s="8">
        <v>141.38900000000001</v>
      </c>
      <c r="S2065" s="8">
        <v>122.087</v>
      </c>
      <c r="T2065" s="8">
        <v>95.492999999999995</v>
      </c>
      <c r="U2065" s="8">
        <v>68.316000000000003</v>
      </c>
      <c r="V2065" s="8">
        <v>43.777000000000001</v>
      </c>
      <c r="W2065" s="8">
        <v>23.577999999999999</v>
      </c>
      <c r="X2065" s="8">
        <v>9.8859999999999992</v>
      </c>
      <c r="Y2065" s="8">
        <v>3.375</v>
      </c>
      <c r="Z2065" s="8">
        <v>0.84599999999999997</v>
      </c>
      <c r="AA2065" s="8">
        <v>0.14699999999999999</v>
      </c>
      <c r="AB2065" s="8">
        <v>1.7000000000000001E-2</v>
      </c>
      <c r="AC2065" s="8">
        <v>1E-3</v>
      </c>
    </row>
    <row r="2066" spans="1:29" ht="11.65" x14ac:dyDescent="0.35">
      <c r="A2066" s="12">
        <v>2049</v>
      </c>
      <c r="B2066" s="10" t="s">
        <v>1015</v>
      </c>
      <c r="C2066" s="11" t="s">
        <v>1160</v>
      </c>
      <c r="D2066" s="9"/>
      <c r="E2066" s="9">
        <v>116</v>
      </c>
      <c r="F2066" s="10" t="s">
        <v>1066</v>
      </c>
      <c r="G2066" s="9">
        <v>920</v>
      </c>
      <c r="H2066" s="9">
        <v>1990</v>
      </c>
      <c r="I2066" s="8">
        <v>871.76800000000003</v>
      </c>
      <c r="J2066" s="8">
        <v>730.12699999999995</v>
      </c>
      <c r="K2066" s="8">
        <v>395.02100000000002</v>
      </c>
      <c r="L2066" s="8">
        <v>446.77300000000002</v>
      </c>
      <c r="M2066" s="8">
        <v>382.20499999999998</v>
      </c>
      <c r="N2066" s="8">
        <v>296.322</v>
      </c>
      <c r="O2066" s="8">
        <v>254.821</v>
      </c>
      <c r="P2066" s="8">
        <v>228.22399999999999</v>
      </c>
      <c r="Q2066" s="8">
        <v>163.62799999999999</v>
      </c>
      <c r="R2066" s="8">
        <v>140.83099999999999</v>
      </c>
      <c r="S2066" s="8">
        <v>130.21600000000001</v>
      </c>
      <c r="T2066" s="8">
        <v>109.429</v>
      </c>
      <c r="U2066" s="8">
        <v>80.927000000000007</v>
      </c>
      <c r="V2066" s="8">
        <v>53.531999999999996</v>
      </c>
      <c r="W2066" s="8">
        <v>30.83</v>
      </c>
      <c r="X2066" s="8">
        <v>13.952</v>
      </c>
      <c r="Y2066" s="8">
        <v>4.7130000000000001</v>
      </c>
      <c r="Z2066" s="8">
        <v>1.153</v>
      </c>
      <c r="AA2066" s="8">
        <v>0.188</v>
      </c>
      <c r="AB2066" s="8">
        <v>1.9E-2</v>
      </c>
      <c r="AC2066" s="8">
        <v>1E-3</v>
      </c>
    </row>
    <row r="2067" spans="1:29" ht="11.65" x14ac:dyDescent="0.35">
      <c r="A2067" s="12">
        <v>2050</v>
      </c>
      <c r="B2067" s="10" t="s">
        <v>1015</v>
      </c>
      <c r="C2067" s="11" t="s">
        <v>1160</v>
      </c>
      <c r="D2067" s="9"/>
      <c r="E2067" s="9">
        <v>116</v>
      </c>
      <c r="F2067" s="10" t="s">
        <v>1066</v>
      </c>
      <c r="G2067" s="9">
        <v>920</v>
      </c>
      <c r="H2067" s="9">
        <v>1995</v>
      </c>
      <c r="I2067" s="8">
        <v>891.43299999999999</v>
      </c>
      <c r="J2067" s="8">
        <v>870.322</v>
      </c>
      <c r="K2067" s="8">
        <v>736.33799999999997</v>
      </c>
      <c r="L2067" s="8">
        <v>404.202</v>
      </c>
      <c r="M2067" s="8">
        <v>452.23099999999999</v>
      </c>
      <c r="N2067" s="8">
        <v>384.93400000000003</v>
      </c>
      <c r="O2067" s="8">
        <v>297.39800000000002</v>
      </c>
      <c r="P2067" s="8">
        <v>253.62</v>
      </c>
      <c r="Q2067" s="8">
        <v>225.64500000000001</v>
      </c>
      <c r="R2067" s="8">
        <v>161.297</v>
      </c>
      <c r="S2067" s="8">
        <v>136.946</v>
      </c>
      <c r="T2067" s="8">
        <v>123.164</v>
      </c>
      <c r="U2067" s="8">
        <v>98.403999999999996</v>
      </c>
      <c r="V2067" s="8">
        <v>67.706999999999994</v>
      </c>
      <c r="W2067" s="8">
        <v>40.529000000000003</v>
      </c>
      <c r="X2067" s="8">
        <v>20.498000000000001</v>
      </c>
      <c r="Y2067" s="8">
        <v>6.7770000000000001</v>
      </c>
      <c r="Z2067" s="8">
        <v>1.63</v>
      </c>
      <c r="AA2067" s="8">
        <v>0.25700000000000001</v>
      </c>
      <c r="AB2067" s="8">
        <v>2.4E-2</v>
      </c>
      <c r="AC2067" s="8">
        <v>2E-3</v>
      </c>
    </row>
    <row r="2068" spans="1:29" ht="11.65" x14ac:dyDescent="0.35">
      <c r="A2068" s="12">
        <v>2051</v>
      </c>
      <c r="B2068" s="10" t="s">
        <v>1015</v>
      </c>
      <c r="C2068" s="11" t="s">
        <v>1160</v>
      </c>
      <c r="D2068" s="9"/>
      <c r="E2068" s="9">
        <v>116</v>
      </c>
      <c r="F2068" s="10" t="s">
        <v>1066</v>
      </c>
      <c r="G2068" s="9">
        <v>920</v>
      </c>
      <c r="H2068" s="9">
        <v>2000</v>
      </c>
      <c r="I2068" s="8">
        <v>795.48800000000006</v>
      </c>
      <c r="J2068" s="8">
        <v>885.99400000000003</v>
      </c>
      <c r="K2068" s="8">
        <v>886.06299999999999</v>
      </c>
      <c r="L2068" s="8">
        <v>812.82799999999997</v>
      </c>
      <c r="M2068" s="8">
        <v>373.904</v>
      </c>
      <c r="N2068" s="8">
        <v>450.59899999999999</v>
      </c>
      <c r="O2068" s="8">
        <v>399.35700000000003</v>
      </c>
      <c r="P2068" s="8">
        <v>328.43799999999999</v>
      </c>
      <c r="Q2068" s="8">
        <v>230.899</v>
      </c>
      <c r="R2068" s="8">
        <v>210.834</v>
      </c>
      <c r="S2068" s="8">
        <v>148.10400000000001</v>
      </c>
      <c r="T2068" s="8">
        <v>121.313</v>
      </c>
      <c r="U2068" s="8">
        <v>101.351</v>
      </c>
      <c r="V2068" s="8">
        <v>77.022000000000006</v>
      </c>
      <c r="W2068" s="8">
        <v>47.892000000000003</v>
      </c>
      <c r="X2068" s="8">
        <v>24.85</v>
      </c>
      <c r="Y2068" s="8">
        <v>9.766</v>
      </c>
      <c r="Z2068" s="8">
        <v>2.37</v>
      </c>
      <c r="AA2068" s="8">
        <v>0.36299999999999999</v>
      </c>
      <c r="AB2068" s="8">
        <v>3.3000000000000002E-2</v>
      </c>
      <c r="AC2068" s="8">
        <v>2E-3</v>
      </c>
    </row>
    <row r="2069" spans="1:29" ht="11.65" x14ac:dyDescent="0.35">
      <c r="A2069" s="12">
        <v>2052</v>
      </c>
      <c r="B2069" s="10" t="s">
        <v>1015</v>
      </c>
      <c r="C2069" s="11" t="s">
        <v>1160</v>
      </c>
      <c r="D2069" s="9"/>
      <c r="E2069" s="9">
        <v>116</v>
      </c>
      <c r="F2069" s="10" t="s">
        <v>1066</v>
      </c>
      <c r="G2069" s="9">
        <v>920</v>
      </c>
      <c r="H2069" s="9">
        <v>2005</v>
      </c>
      <c r="I2069" s="8">
        <v>773.35299999999995</v>
      </c>
      <c r="J2069" s="8">
        <v>812.01900000000001</v>
      </c>
      <c r="K2069" s="8">
        <v>915.31500000000005</v>
      </c>
      <c r="L2069" s="8">
        <v>814.38800000000003</v>
      </c>
      <c r="M2069" s="8">
        <v>787.01099999999997</v>
      </c>
      <c r="N2069" s="8">
        <v>349.28800000000001</v>
      </c>
      <c r="O2069" s="8">
        <v>419.762</v>
      </c>
      <c r="P2069" s="8">
        <v>388.71899999999999</v>
      </c>
      <c r="Q2069" s="8">
        <v>325.60599999999999</v>
      </c>
      <c r="R2069" s="8">
        <v>219.38800000000001</v>
      </c>
      <c r="S2069" s="8">
        <v>196.49600000000001</v>
      </c>
      <c r="T2069" s="8">
        <v>141.81200000000001</v>
      </c>
      <c r="U2069" s="8">
        <v>108.548</v>
      </c>
      <c r="V2069" s="8">
        <v>84.421000000000006</v>
      </c>
      <c r="W2069" s="8">
        <v>58.158999999999999</v>
      </c>
      <c r="X2069" s="8">
        <v>30.92</v>
      </c>
      <c r="Y2069" s="8">
        <v>12.667999999999999</v>
      </c>
      <c r="Z2069" s="8">
        <v>3.536</v>
      </c>
      <c r="AA2069" s="8">
        <v>0.54500000000000004</v>
      </c>
      <c r="AB2069" s="8">
        <v>4.8000000000000001E-2</v>
      </c>
      <c r="AC2069" s="8">
        <v>3.0000000000000001E-3</v>
      </c>
    </row>
    <row r="2070" spans="1:29" ht="11.65" x14ac:dyDescent="0.35">
      <c r="A2070" s="12">
        <v>2053</v>
      </c>
      <c r="B2070" s="10" t="s">
        <v>1015</v>
      </c>
      <c r="C2070" s="11" t="s">
        <v>1160</v>
      </c>
      <c r="D2070" s="9"/>
      <c r="E2070" s="9">
        <v>116</v>
      </c>
      <c r="F2070" s="10" t="s">
        <v>1066</v>
      </c>
      <c r="G2070" s="9">
        <v>920</v>
      </c>
      <c r="H2070" s="9">
        <v>2010</v>
      </c>
      <c r="I2070" s="8">
        <v>858.24300000000005</v>
      </c>
      <c r="J2070" s="8">
        <v>758.30899999999997</v>
      </c>
      <c r="K2070" s="8">
        <v>816.32899999999995</v>
      </c>
      <c r="L2070" s="8">
        <v>863.17499999999995</v>
      </c>
      <c r="M2070" s="8">
        <v>650.92899999999997</v>
      </c>
      <c r="N2070" s="8">
        <v>848.25099999999998</v>
      </c>
      <c r="O2070" s="8">
        <v>323.00200000000001</v>
      </c>
      <c r="P2070" s="8">
        <v>412.94200000000001</v>
      </c>
      <c r="Q2070" s="8">
        <v>372.64800000000002</v>
      </c>
      <c r="R2070" s="8">
        <v>330.82400000000001</v>
      </c>
      <c r="S2070" s="8">
        <v>206.49700000000001</v>
      </c>
      <c r="T2070" s="8">
        <v>184.52699999999999</v>
      </c>
      <c r="U2070" s="8">
        <v>128.553</v>
      </c>
      <c r="V2070" s="8">
        <v>91.85</v>
      </c>
      <c r="W2070" s="8">
        <v>65.132000000000005</v>
      </c>
      <c r="X2070" s="8">
        <v>38.689</v>
      </c>
      <c r="Y2070" s="8">
        <v>16.401</v>
      </c>
      <c r="Z2070" s="8">
        <v>4.8140000000000001</v>
      </c>
      <c r="AA2070" s="8">
        <v>0.85499999999999998</v>
      </c>
      <c r="AB2070" s="8">
        <v>7.5999999999999998E-2</v>
      </c>
      <c r="AC2070" s="8">
        <v>4.0000000000000001E-3</v>
      </c>
    </row>
    <row r="2071" spans="1:29" ht="11.65" x14ac:dyDescent="0.35">
      <c r="A2071" s="12">
        <v>2054</v>
      </c>
      <c r="B2071" s="10" t="s">
        <v>1015</v>
      </c>
      <c r="C2071" s="11" t="s">
        <v>1160</v>
      </c>
      <c r="D2071" s="9"/>
      <c r="E2071" s="9">
        <v>116</v>
      </c>
      <c r="F2071" s="10" t="s">
        <v>1066</v>
      </c>
      <c r="G2071" s="9">
        <v>920</v>
      </c>
      <c r="H2071" s="9">
        <v>2015</v>
      </c>
      <c r="I2071" s="8">
        <v>900.322</v>
      </c>
      <c r="J2071" s="8">
        <v>848.08799999999997</v>
      </c>
      <c r="K2071" s="8">
        <v>748.64300000000003</v>
      </c>
      <c r="L2071" s="8">
        <v>799.07500000000005</v>
      </c>
      <c r="M2071" s="8">
        <v>836.31399999999996</v>
      </c>
      <c r="N2071" s="8">
        <v>624.67200000000003</v>
      </c>
      <c r="O2071" s="8">
        <v>820.86199999999997</v>
      </c>
      <c r="P2071" s="8">
        <v>306.62099999999998</v>
      </c>
      <c r="Q2071" s="8">
        <v>395.70800000000003</v>
      </c>
      <c r="R2071" s="8">
        <v>356.68900000000002</v>
      </c>
      <c r="S2071" s="8">
        <v>315.589</v>
      </c>
      <c r="T2071" s="8">
        <v>193.821</v>
      </c>
      <c r="U2071" s="8">
        <v>167.035</v>
      </c>
      <c r="V2071" s="8">
        <v>109.76600000000001</v>
      </c>
      <c r="W2071" s="8">
        <v>72.382000000000005</v>
      </c>
      <c r="X2071" s="8">
        <v>44.951000000000001</v>
      </c>
      <c r="Y2071" s="8">
        <v>21.655999999999999</v>
      </c>
      <c r="Z2071" s="8">
        <v>6.7910000000000004</v>
      </c>
      <c r="AA2071" s="8">
        <v>1.3129999999999999</v>
      </c>
      <c r="AB2071" s="8">
        <v>0.13600000000000001</v>
      </c>
      <c r="AC2071" s="8">
        <v>7.0000000000000001E-3</v>
      </c>
    </row>
    <row r="2072" spans="1:29" ht="11.65" x14ac:dyDescent="0.35">
      <c r="A2072" s="12">
        <v>2055</v>
      </c>
      <c r="B2072" s="10" t="s">
        <v>1015</v>
      </c>
      <c r="C2072" s="11" t="s">
        <v>1160</v>
      </c>
      <c r="D2072" s="9"/>
      <c r="E2072" s="9">
        <v>116</v>
      </c>
      <c r="F2072" s="10" t="s">
        <v>1066</v>
      </c>
      <c r="G2072" s="9">
        <v>920</v>
      </c>
      <c r="H2072" s="9">
        <v>2020</v>
      </c>
      <c r="I2072" s="8">
        <v>907.28700000000003</v>
      </c>
      <c r="J2072" s="8">
        <v>893.05</v>
      </c>
      <c r="K2072" s="8">
        <v>839.05100000000004</v>
      </c>
      <c r="L2072" s="8">
        <v>732.95</v>
      </c>
      <c r="M2072" s="8">
        <v>773.81799999999998</v>
      </c>
      <c r="N2072" s="8">
        <v>809.44600000000003</v>
      </c>
      <c r="O2072" s="8">
        <v>602.12800000000004</v>
      </c>
      <c r="P2072" s="8">
        <v>796.60599999999999</v>
      </c>
      <c r="Q2072" s="8">
        <v>293.03100000000001</v>
      </c>
      <c r="R2072" s="8">
        <v>380.18</v>
      </c>
      <c r="S2072" s="8">
        <v>341.43700000000001</v>
      </c>
      <c r="T2072" s="8">
        <v>298.31900000000002</v>
      </c>
      <c r="U2072" s="8">
        <v>176.80799999999999</v>
      </c>
      <c r="V2072" s="8">
        <v>144.29300000000001</v>
      </c>
      <c r="W2072" s="8">
        <v>87.757000000000005</v>
      </c>
      <c r="X2072" s="8">
        <v>50.969000000000001</v>
      </c>
      <c r="Y2072" s="8">
        <v>23.282</v>
      </c>
      <c r="Z2072" s="8">
        <v>9.6769999999999996</v>
      </c>
      <c r="AA2072" s="8">
        <v>2.09</v>
      </c>
      <c r="AB2072" s="8">
        <v>0.23599999999999999</v>
      </c>
      <c r="AC2072" s="8">
        <v>8.9999999999999993E-3</v>
      </c>
    </row>
    <row r="2073" spans="1:29" ht="11.65" x14ac:dyDescent="0.35">
      <c r="A2073" s="12">
        <v>2056</v>
      </c>
      <c r="B2073" s="10" t="s">
        <v>1015</v>
      </c>
      <c r="C2073" s="11" t="s">
        <v>1161</v>
      </c>
      <c r="D2073" s="9"/>
      <c r="E2073" s="9">
        <v>360</v>
      </c>
      <c r="F2073" s="10" t="s">
        <v>1066</v>
      </c>
      <c r="G2073" s="9">
        <v>920</v>
      </c>
      <c r="H2073" s="9">
        <v>1950</v>
      </c>
      <c r="I2073" s="8">
        <v>4860.2</v>
      </c>
      <c r="J2073" s="8">
        <v>4280.6819999999998</v>
      </c>
      <c r="K2073" s="8">
        <v>4128.4669999999996</v>
      </c>
      <c r="L2073" s="8">
        <v>3706.9459999999999</v>
      </c>
      <c r="M2073" s="8">
        <v>3243.7139999999999</v>
      </c>
      <c r="N2073" s="8">
        <v>2658.2559999999999</v>
      </c>
      <c r="O2073" s="8">
        <v>2251.2559999999999</v>
      </c>
      <c r="P2073" s="8">
        <v>2089.413</v>
      </c>
      <c r="Q2073" s="8">
        <v>1784.79</v>
      </c>
      <c r="R2073" s="8">
        <v>1380.846</v>
      </c>
      <c r="S2073" s="8">
        <v>1084.796</v>
      </c>
      <c r="T2073" s="8">
        <v>927.58500000000004</v>
      </c>
      <c r="U2073" s="8">
        <v>781.399</v>
      </c>
      <c r="V2073" s="8">
        <v>585.28499999999997</v>
      </c>
      <c r="W2073" s="8">
        <v>401.49400000000003</v>
      </c>
      <c r="X2073" s="8">
        <v>219.983</v>
      </c>
      <c r="Y2073" s="8">
        <v>84.06</v>
      </c>
      <c r="Z2073" s="8">
        <v>23.606000000000002</v>
      </c>
      <c r="AA2073" s="8">
        <v>4.0410000000000004</v>
      </c>
      <c r="AB2073" s="8">
        <v>0.379</v>
      </c>
      <c r="AC2073" s="8">
        <v>1.7000000000000001E-2</v>
      </c>
    </row>
    <row r="2074" spans="1:29" ht="11.65" x14ac:dyDescent="0.35">
      <c r="A2074" s="12">
        <v>2057</v>
      </c>
      <c r="B2074" s="10" t="s">
        <v>1015</v>
      </c>
      <c r="C2074" s="11" t="s">
        <v>1161</v>
      </c>
      <c r="D2074" s="9"/>
      <c r="E2074" s="9">
        <v>360</v>
      </c>
      <c r="F2074" s="10" t="s">
        <v>1066</v>
      </c>
      <c r="G2074" s="9">
        <v>920</v>
      </c>
      <c r="H2074" s="9">
        <v>1955</v>
      </c>
      <c r="I2074" s="8">
        <v>6049.9889999999996</v>
      </c>
      <c r="J2074" s="8">
        <v>4450.3829999999998</v>
      </c>
      <c r="K2074" s="8">
        <v>4189.924</v>
      </c>
      <c r="L2074" s="8">
        <v>4073.5810000000001</v>
      </c>
      <c r="M2074" s="8">
        <v>3619.4319999999998</v>
      </c>
      <c r="N2074" s="8">
        <v>3135.1570000000002</v>
      </c>
      <c r="O2074" s="8">
        <v>2560.5239999999999</v>
      </c>
      <c r="P2074" s="8">
        <v>2160.0949999999998</v>
      </c>
      <c r="Q2074" s="8">
        <v>1993.21</v>
      </c>
      <c r="R2074" s="8">
        <v>1686.9960000000001</v>
      </c>
      <c r="S2074" s="8">
        <v>1282.2239999999999</v>
      </c>
      <c r="T2074" s="8">
        <v>978.56</v>
      </c>
      <c r="U2074" s="8">
        <v>795.77200000000005</v>
      </c>
      <c r="V2074" s="8">
        <v>616.36400000000003</v>
      </c>
      <c r="W2074" s="8">
        <v>407.048</v>
      </c>
      <c r="X2074" s="8">
        <v>229.46600000000001</v>
      </c>
      <c r="Y2074" s="8">
        <v>93.296000000000006</v>
      </c>
      <c r="Z2074" s="8">
        <v>16.635000000000002</v>
      </c>
      <c r="AA2074" s="8">
        <v>2.5099999999999998</v>
      </c>
      <c r="AB2074" s="8">
        <v>0.222</v>
      </c>
      <c r="AC2074" s="8">
        <v>1.7000000000000001E-2</v>
      </c>
    </row>
    <row r="2075" spans="1:29" ht="11.65" x14ac:dyDescent="0.35">
      <c r="A2075" s="12">
        <v>2058</v>
      </c>
      <c r="B2075" s="10" t="s">
        <v>1015</v>
      </c>
      <c r="C2075" s="11" t="s">
        <v>1161</v>
      </c>
      <c r="D2075" s="9"/>
      <c r="E2075" s="9">
        <v>360</v>
      </c>
      <c r="F2075" s="10" t="s">
        <v>1066</v>
      </c>
      <c r="G2075" s="9">
        <v>920</v>
      </c>
      <c r="H2075" s="9">
        <v>1960</v>
      </c>
      <c r="I2075" s="8">
        <v>7541.1809999999996</v>
      </c>
      <c r="J2075" s="8">
        <v>5668.1869999999999</v>
      </c>
      <c r="K2075" s="8">
        <v>4372.8450000000003</v>
      </c>
      <c r="L2075" s="8">
        <v>4139.3109999999997</v>
      </c>
      <c r="M2075" s="8">
        <v>3982.7379999999998</v>
      </c>
      <c r="N2075" s="8">
        <v>3509.5770000000002</v>
      </c>
      <c r="O2075" s="8">
        <v>3028.13</v>
      </c>
      <c r="P2075" s="8">
        <v>2457.712</v>
      </c>
      <c r="Q2075" s="8">
        <v>2054.6869999999999</v>
      </c>
      <c r="R2075" s="8">
        <v>1873.778</v>
      </c>
      <c r="S2075" s="8">
        <v>1555.441</v>
      </c>
      <c r="T2075" s="8">
        <v>1146.711</v>
      </c>
      <c r="U2075" s="8">
        <v>833.91800000000001</v>
      </c>
      <c r="V2075" s="8">
        <v>629.57100000000003</v>
      </c>
      <c r="W2075" s="8">
        <v>437.358</v>
      </c>
      <c r="X2075" s="8">
        <v>242.82300000000001</v>
      </c>
      <c r="Y2075" s="8">
        <v>105.32899999999999</v>
      </c>
      <c r="Z2075" s="8">
        <v>20.459</v>
      </c>
      <c r="AA2075" s="8">
        <v>2.0089999999999999</v>
      </c>
      <c r="AB2075" s="8">
        <v>0.157</v>
      </c>
      <c r="AC2075" s="8">
        <v>0.01</v>
      </c>
    </row>
    <row r="2076" spans="1:29" ht="11.65" x14ac:dyDescent="0.35">
      <c r="A2076" s="12">
        <v>2059</v>
      </c>
      <c r="B2076" s="10" t="s">
        <v>1015</v>
      </c>
      <c r="C2076" s="11" t="s">
        <v>1161</v>
      </c>
      <c r="D2076" s="9"/>
      <c r="E2076" s="9">
        <v>360</v>
      </c>
      <c r="F2076" s="10" t="s">
        <v>1066</v>
      </c>
      <c r="G2076" s="9">
        <v>920</v>
      </c>
      <c r="H2076" s="9">
        <v>1965</v>
      </c>
      <c r="I2076" s="8">
        <v>8692.9050000000007</v>
      </c>
      <c r="J2076" s="8">
        <v>7172.4809999999998</v>
      </c>
      <c r="K2076" s="8">
        <v>5585.4610000000002</v>
      </c>
      <c r="L2076" s="8">
        <v>4323.1049999999996</v>
      </c>
      <c r="M2076" s="8">
        <v>4049.2139999999999</v>
      </c>
      <c r="N2076" s="8">
        <v>3866.1970000000001</v>
      </c>
      <c r="O2076" s="8">
        <v>3394.8029999999999</v>
      </c>
      <c r="P2076" s="8">
        <v>2911.8310000000001</v>
      </c>
      <c r="Q2076" s="8">
        <v>2341.777</v>
      </c>
      <c r="R2076" s="8">
        <v>1934.241</v>
      </c>
      <c r="S2076" s="8">
        <v>1730.9839999999999</v>
      </c>
      <c r="T2076" s="8">
        <v>1395.423</v>
      </c>
      <c r="U2076" s="8">
        <v>982.46900000000005</v>
      </c>
      <c r="V2076" s="8">
        <v>665.68200000000002</v>
      </c>
      <c r="W2076" s="8">
        <v>452.30700000000002</v>
      </c>
      <c r="X2076" s="8">
        <v>265.37599999999998</v>
      </c>
      <c r="Y2076" s="8">
        <v>114.51300000000001</v>
      </c>
      <c r="Z2076" s="8">
        <v>25.041</v>
      </c>
      <c r="AA2076" s="8">
        <v>2.7280000000000002</v>
      </c>
      <c r="AB2076" s="8">
        <v>0.14000000000000001</v>
      </c>
      <c r="AC2076" s="8">
        <v>7.0000000000000001E-3</v>
      </c>
    </row>
    <row r="2077" spans="1:29" ht="11.65" x14ac:dyDescent="0.35">
      <c r="A2077" s="12">
        <v>2060</v>
      </c>
      <c r="B2077" s="10" t="s">
        <v>1015</v>
      </c>
      <c r="C2077" s="11" t="s">
        <v>1161</v>
      </c>
      <c r="D2077" s="9"/>
      <c r="E2077" s="9">
        <v>360</v>
      </c>
      <c r="F2077" s="10" t="s">
        <v>1066</v>
      </c>
      <c r="G2077" s="9">
        <v>920</v>
      </c>
      <c r="H2077" s="9">
        <v>1970</v>
      </c>
      <c r="I2077" s="8">
        <v>9740.6290000000008</v>
      </c>
      <c r="J2077" s="8">
        <v>8329.6679999999997</v>
      </c>
      <c r="K2077" s="8">
        <v>7083.0550000000003</v>
      </c>
      <c r="L2077" s="8">
        <v>5533.5420000000004</v>
      </c>
      <c r="M2077" s="8">
        <v>4246.3440000000001</v>
      </c>
      <c r="N2077" s="8">
        <v>3951.8510000000001</v>
      </c>
      <c r="O2077" s="8">
        <v>3761.21</v>
      </c>
      <c r="P2077" s="8">
        <v>3283.4290000000001</v>
      </c>
      <c r="Q2077" s="8">
        <v>2790.6439999999998</v>
      </c>
      <c r="R2077" s="8">
        <v>2216.2919999999999</v>
      </c>
      <c r="S2077" s="8">
        <v>1795.953</v>
      </c>
      <c r="T2077" s="8">
        <v>1561.1210000000001</v>
      </c>
      <c r="U2077" s="8">
        <v>1203.68</v>
      </c>
      <c r="V2077" s="8">
        <v>792.04700000000003</v>
      </c>
      <c r="W2077" s="8">
        <v>484.303</v>
      </c>
      <c r="X2077" s="8">
        <v>279.18700000000001</v>
      </c>
      <c r="Y2077" s="8">
        <v>127.80500000000001</v>
      </c>
      <c r="Z2077" s="8">
        <v>29.248000000000001</v>
      </c>
      <c r="AA2077" s="8">
        <v>3.6469999999999998</v>
      </c>
      <c r="AB2077" s="8">
        <v>0.20899999999999999</v>
      </c>
      <c r="AC2077" s="8">
        <v>7.0000000000000001E-3</v>
      </c>
    </row>
    <row r="2078" spans="1:29" ht="11.65" x14ac:dyDescent="0.35">
      <c r="A2078" s="12">
        <v>2061</v>
      </c>
      <c r="B2078" s="10" t="s">
        <v>1015</v>
      </c>
      <c r="C2078" s="11" t="s">
        <v>1161</v>
      </c>
      <c r="D2078" s="9"/>
      <c r="E2078" s="9">
        <v>360</v>
      </c>
      <c r="F2078" s="10" t="s">
        <v>1066</v>
      </c>
      <c r="G2078" s="9">
        <v>920</v>
      </c>
      <c r="H2078" s="9">
        <v>1975</v>
      </c>
      <c r="I2078" s="8">
        <v>10527.022000000001</v>
      </c>
      <c r="J2078" s="8">
        <v>9404.3160000000007</v>
      </c>
      <c r="K2078" s="8">
        <v>8237.9220000000005</v>
      </c>
      <c r="L2078" s="8">
        <v>7021.9620000000004</v>
      </c>
      <c r="M2078" s="8">
        <v>5446.04</v>
      </c>
      <c r="N2078" s="8">
        <v>4157.3500000000004</v>
      </c>
      <c r="O2078" s="8">
        <v>3858.13</v>
      </c>
      <c r="P2078" s="8">
        <v>3652.3</v>
      </c>
      <c r="Q2078" s="8">
        <v>3160.69</v>
      </c>
      <c r="R2078" s="8">
        <v>2653.2849999999999</v>
      </c>
      <c r="S2078" s="8">
        <v>2067.826</v>
      </c>
      <c r="T2078" s="8">
        <v>1628.107</v>
      </c>
      <c r="U2078" s="8">
        <v>1354.7670000000001</v>
      </c>
      <c r="V2078" s="8">
        <v>977.78700000000003</v>
      </c>
      <c r="W2078" s="8">
        <v>581.44399999999996</v>
      </c>
      <c r="X2078" s="8">
        <v>302.62099999999998</v>
      </c>
      <c r="Y2078" s="8">
        <v>136.52600000000001</v>
      </c>
      <c r="Z2078" s="8">
        <v>34.414000000000001</v>
      </c>
      <c r="AA2078" s="8">
        <v>4.5229999999999997</v>
      </c>
      <c r="AB2078" s="8">
        <v>0.3</v>
      </c>
      <c r="AC2078" s="8">
        <v>0.01</v>
      </c>
    </row>
    <row r="2079" spans="1:29" ht="11.65" x14ac:dyDescent="0.35">
      <c r="A2079" s="12">
        <v>2062</v>
      </c>
      <c r="B2079" s="10" t="s">
        <v>1015</v>
      </c>
      <c r="C2079" s="11" t="s">
        <v>1161</v>
      </c>
      <c r="D2079" s="9"/>
      <c r="E2079" s="9">
        <v>360</v>
      </c>
      <c r="F2079" s="10" t="s">
        <v>1066</v>
      </c>
      <c r="G2079" s="9">
        <v>920</v>
      </c>
      <c r="H2079" s="9">
        <v>1980</v>
      </c>
      <c r="I2079" s="8">
        <v>11153.136</v>
      </c>
      <c r="J2079" s="8">
        <v>10237.057000000001</v>
      </c>
      <c r="K2079" s="8">
        <v>9304.5580000000009</v>
      </c>
      <c r="L2079" s="8">
        <v>8161.9579999999996</v>
      </c>
      <c r="M2079" s="8">
        <v>6909.7870000000003</v>
      </c>
      <c r="N2079" s="8">
        <v>5334.9340000000002</v>
      </c>
      <c r="O2079" s="8">
        <v>4063.2269999999999</v>
      </c>
      <c r="P2079" s="8">
        <v>3753.5189999999998</v>
      </c>
      <c r="Q2079" s="8">
        <v>3525.788</v>
      </c>
      <c r="R2079" s="8">
        <v>3015.665</v>
      </c>
      <c r="S2079" s="8">
        <v>2485.9780000000001</v>
      </c>
      <c r="T2079" s="8">
        <v>1884.3440000000001</v>
      </c>
      <c r="U2079" s="8">
        <v>1422.0260000000001</v>
      </c>
      <c r="V2079" s="8">
        <v>1109.27</v>
      </c>
      <c r="W2079" s="8">
        <v>724.79200000000003</v>
      </c>
      <c r="X2079" s="8">
        <v>368.04500000000002</v>
      </c>
      <c r="Y2079" s="8">
        <v>150.447</v>
      </c>
      <c r="Z2079" s="8">
        <v>38.578000000000003</v>
      </c>
      <c r="AA2079" s="8">
        <v>5.6210000000000004</v>
      </c>
      <c r="AB2079" s="8">
        <v>0.39300000000000002</v>
      </c>
      <c r="AC2079" s="8">
        <v>1.6E-2</v>
      </c>
    </row>
    <row r="2080" spans="1:29" ht="11.65" x14ac:dyDescent="0.35">
      <c r="A2080" s="12">
        <v>2063</v>
      </c>
      <c r="B2080" s="10" t="s">
        <v>1015</v>
      </c>
      <c r="C2080" s="11" t="s">
        <v>1161</v>
      </c>
      <c r="D2080" s="9"/>
      <c r="E2080" s="9">
        <v>360</v>
      </c>
      <c r="F2080" s="10" t="s">
        <v>1066</v>
      </c>
      <c r="G2080" s="9">
        <v>920</v>
      </c>
      <c r="H2080" s="9">
        <v>1985</v>
      </c>
      <c r="I2080" s="8">
        <v>11608.001</v>
      </c>
      <c r="J2080" s="8">
        <v>10926.272999999999</v>
      </c>
      <c r="K2080" s="8">
        <v>10151.395</v>
      </c>
      <c r="L2080" s="8">
        <v>9234.3639999999996</v>
      </c>
      <c r="M2080" s="8">
        <v>8050.2719999999999</v>
      </c>
      <c r="N2080" s="8">
        <v>6789.5749999999998</v>
      </c>
      <c r="O2080" s="8">
        <v>5232.2309999999998</v>
      </c>
      <c r="P2080" s="8">
        <v>3968.348</v>
      </c>
      <c r="Q2080" s="8">
        <v>3639.3530000000001</v>
      </c>
      <c r="R2080" s="8">
        <v>3380.643</v>
      </c>
      <c r="S2080" s="8">
        <v>2841.19</v>
      </c>
      <c r="T2080" s="8">
        <v>2279.692</v>
      </c>
      <c r="U2080" s="8">
        <v>1658.4839999999999</v>
      </c>
      <c r="V2080" s="8">
        <v>1176.453</v>
      </c>
      <c r="W2080" s="8">
        <v>833.93100000000004</v>
      </c>
      <c r="X2080" s="8">
        <v>467.88799999999998</v>
      </c>
      <c r="Y2080" s="8">
        <v>187.76599999999999</v>
      </c>
      <c r="Z2080" s="8">
        <v>44.000999999999998</v>
      </c>
      <c r="AA2080" s="8">
        <v>6.5190000000000001</v>
      </c>
      <c r="AB2080" s="8">
        <v>0.50700000000000001</v>
      </c>
      <c r="AC2080" s="8">
        <v>2.1000000000000001E-2</v>
      </c>
    </row>
    <row r="2081" spans="1:29" ht="11.65" x14ac:dyDescent="0.35">
      <c r="A2081" s="12">
        <v>2064</v>
      </c>
      <c r="B2081" s="10" t="s">
        <v>1015</v>
      </c>
      <c r="C2081" s="11" t="s">
        <v>1161</v>
      </c>
      <c r="D2081" s="9"/>
      <c r="E2081" s="9">
        <v>360</v>
      </c>
      <c r="F2081" s="10" t="s">
        <v>1066</v>
      </c>
      <c r="G2081" s="9">
        <v>920</v>
      </c>
      <c r="H2081" s="9">
        <v>1990</v>
      </c>
      <c r="I2081" s="8">
        <v>11364.923000000001</v>
      </c>
      <c r="J2081" s="8">
        <v>11460.356</v>
      </c>
      <c r="K2081" s="8">
        <v>10885.679</v>
      </c>
      <c r="L2081" s="8">
        <v>10111.968000000001</v>
      </c>
      <c r="M2081" s="8">
        <v>9141.3880000000008</v>
      </c>
      <c r="N2081" s="8">
        <v>7942.2510000000002</v>
      </c>
      <c r="O2081" s="8">
        <v>6688.299</v>
      </c>
      <c r="P2081" s="8">
        <v>5133.3509999999997</v>
      </c>
      <c r="Q2081" s="8">
        <v>3866.6729999999998</v>
      </c>
      <c r="R2081" s="8">
        <v>3509.1109999999999</v>
      </c>
      <c r="S2081" s="8">
        <v>3205.5419999999999</v>
      </c>
      <c r="T2081" s="8">
        <v>2623.8159999999998</v>
      </c>
      <c r="U2081" s="8">
        <v>2022.826</v>
      </c>
      <c r="V2081" s="8">
        <v>1386.14</v>
      </c>
      <c r="W2081" s="8">
        <v>895.69799999999998</v>
      </c>
      <c r="X2081" s="8">
        <v>547.53399999999999</v>
      </c>
      <c r="Y2081" s="8">
        <v>243.98599999999999</v>
      </c>
      <c r="Z2081" s="8">
        <v>58.154000000000003</v>
      </c>
      <c r="AA2081" s="8">
        <v>8.0009999999999994</v>
      </c>
      <c r="AB2081" s="8">
        <v>0.64</v>
      </c>
      <c r="AC2081" s="8">
        <v>2.9000000000000001E-2</v>
      </c>
    </row>
    <row r="2082" spans="1:29" ht="11.65" x14ac:dyDescent="0.35">
      <c r="A2082" s="12">
        <v>2065</v>
      </c>
      <c r="B2082" s="10" t="s">
        <v>1015</v>
      </c>
      <c r="C2082" s="11" t="s">
        <v>1161</v>
      </c>
      <c r="D2082" s="9"/>
      <c r="E2082" s="9">
        <v>360</v>
      </c>
      <c r="F2082" s="10" t="s">
        <v>1066</v>
      </c>
      <c r="G2082" s="9">
        <v>920</v>
      </c>
      <c r="H2082" s="9">
        <v>1995</v>
      </c>
      <c r="I2082" s="8">
        <v>11141.157999999999</v>
      </c>
      <c r="J2082" s="8">
        <v>11189.37</v>
      </c>
      <c r="K2082" s="8">
        <v>11366.955</v>
      </c>
      <c r="L2082" s="8">
        <v>10750.534</v>
      </c>
      <c r="M2082" s="8">
        <v>9895.6319999999996</v>
      </c>
      <c r="N2082" s="8">
        <v>8926.5840000000007</v>
      </c>
      <c r="O2082" s="8">
        <v>7752.933</v>
      </c>
      <c r="P2082" s="8">
        <v>6514.5739999999996</v>
      </c>
      <c r="Q2082" s="8">
        <v>4973.8990000000003</v>
      </c>
      <c r="R2082" s="8">
        <v>3707.3719999999998</v>
      </c>
      <c r="S2082" s="8">
        <v>3308.5949999999998</v>
      </c>
      <c r="T2082" s="8">
        <v>2946.4259999999999</v>
      </c>
      <c r="U2082" s="8">
        <v>2319.5540000000001</v>
      </c>
      <c r="V2082" s="8">
        <v>1687.8530000000001</v>
      </c>
      <c r="W2082" s="8">
        <v>1055.8869999999999</v>
      </c>
      <c r="X2082" s="8">
        <v>590.83299999999997</v>
      </c>
      <c r="Y2082" s="8">
        <v>288.375</v>
      </c>
      <c r="Z2082" s="8">
        <v>80.804000000000002</v>
      </c>
      <c r="AA2082" s="8">
        <v>11.577999999999999</v>
      </c>
      <c r="AB2082" s="8">
        <v>0.874</v>
      </c>
      <c r="AC2082" s="8">
        <v>0.04</v>
      </c>
    </row>
    <row r="2083" spans="1:29" ht="11.65" x14ac:dyDescent="0.35">
      <c r="A2083" s="12">
        <v>2066</v>
      </c>
      <c r="B2083" s="10" t="s">
        <v>1015</v>
      </c>
      <c r="C2083" s="11" t="s">
        <v>1161</v>
      </c>
      <c r="D2083" s="9"/>
      <c r="E2083" s="9">
        <v>360</v>
      </c>
      <c r="F2083" s="10" t="s">
        <v>1066</v>
      </c>
      <c r="G2083" s="9">
        <v>920</v>
      </c>
      <c r="H2083" s="9">
        <v>2000</v>
      </c>
      <c r="I2083" s="8">
        <v>10822.002</v>
      </c>
      <c r="J2083" s="8">
        <v>11023.42</v>
      </c>
      <c r="K2083" s="8">
        <v>11129.722</v>
      </c>
      <c r="L2083" s="8">
        <v>11294.065000000001</v>
      </c>
      <c r="M2083" s="8">
        <v>10608.243</v>
      </c>
      <c r="N2083" s="8">
        <v>9726.8459999999995</v>
      </c>
      <c r="O2083" s="8">
        <v>8775.4660000000003</v>
      </c>
      <c r="P2083" s="8">
        <v>7616.6310000000003</v>
      </c>
      <c r="Q2083" s="8">
        <v>6374.5559999999996</v>
      </c>
      <c r="R2083" s="8">
        <v>4823.1409999999996</v>
      </c>
      <c r="S2083" s="8">
        <v>3539.7669999999998</v>
      </c>
      <c r="T2083" s="8">
        <v>3083.5770000000002</v>
      </c>
      <c r="U2083" s="8">
        <v>2641.8009999999999</v>
      </c>
      <c r="V2083" s="8">
        <v>1960.2550000000001</v>
      </c>
      <c r="W2083" s="8">
        <v>1301.604</v>
      </c>
      <c r="X2083" s="8">
        <v>703.40700000000004</v>
      </c>
      <c r="Y2083" s="8">
        <v>313.05099999999999</v>
      </c>
      <c r="Z2083" s="8">
        <v>98.29</v>
      </c>
      <c r="AA2083" s="8">
        <v>16.620999999999999</v>
      </c>
      <c r="AB2083" s="8">
        <v>1.306</v>
      </c>
      <c r="AC2083" s="8">
        <v>5.6000000000000001E-2</v>
      </c>
    </row>
    <row r="2084" spans="1:29" ht="11.65" x14ac:dyDescent="0.35">
      <c r="A2084" s="12">
        <v>2067</v>
      </c>
      <c r="B2084" s="10" t="s">
        <v>1015</v>
      </c>
      <c r="C2084" s="11" t="s">
        <v>1161</v>
      </c>
      <c r="D2084" s="9"/>
      <c r="E2084" s="9">
        <v>360</v>
      </c>
      <c r="F2084" s="10" t="s">
        <v>1066</v>
      </c>
      <c r="G2084" s="9">
        <v>920</v>
      </c>
      <c r="H2084" s="9">
        <v>2005</v>
      </c>
      <c r="I2084" s="8">
        <v>11385.429</v>
      </c>
      <c r="J2084" s="8">
        <v>11578.195</v>
      </c>
      <c r="K2084" s="8">
        <v>11547.645</v>
      </c>
      <c r="L2084" s="8">
        <v>11232.554</v>
      </c>
      <c r="M2084" s="8">
        <v>10543.198</v>
      </c>
      <c r="N2084" s="8">
        <v>10304.041999999999</v>
      </c>
      <c r="O2084" s="8">
        <v>9452.0889999999999</v>
      </c>
      <c r="P2084" s="8">
        <v>8491.09</v>
      </c>
      <c r="Q2084" s="8">
        <v>7308.7150000000001</v>
      </c>
      <c r="R2084" s="8">
        <v>5837.3069999999998</v>
      </c>
      <c r="S2084" s="8">
        <v>4582.5569999999998</v>
      </c>
      <c r="T2084" s="8">
        <v>3692.8209999999999</v>
      </c>
      <c r="U2084" s="8">
        <v>2799.2179999999998</v>
      </c>
      <c r="V2084" s="8">
        <v>2115.33</v>
      </c>
      <c r="W2084" s="8">
        <v>1424.566</v>
      </c>
      <c r="X2084" s="8">
        <v>776.58399999999995</v>
      </c>
      <c r="Y2084" s="8">
        <v>387.16899999999998</v>
      </c>
      <c r="Z2084" s="8">
        <v>110.547</v>
      </c>
      <c r="AA2084" s="8">
        <v>21.257000000000001</v>
      </c>
      <c r="AB2084" s="8">
        <v>1.986</v>
      </c>
      <c r="AC2084" s="8">
        <v>8.7999999999999995E-2</v>
      </c>
    </row>
    <row r="2085" spans="1:29" ht="11.65" x14ac:dyDescent="0.35">
      <c r="A2085" s="12">
        <v>2068</v>
      </c>
      <c r="B2085" s="10" t="s">
        <v>1015</v>
      </c>
      <c r="C2085" s="11" t="s">
        <v>1161</v>
      </c>
      <c r="D2085" s="9"/>
      <c r="E2085" s="9">
        <v>360</v>
      </c>
      <c r="F2085" s="10" t="s">
        <v>1066</v>
      </c>
      <c r="G2085" s="9">
        <v>920</v>
      </c>
      <c r="H2085" s="9">
        <v>2010</v>
      </c>
      <c r="I2085" s="8">
        <v>11908.298000000001</v>
      </c>
      <c r="J2085" s="8">
        <v>12107.489</v>
      </c>
      <c r="K2085" s="8">
        <v>11796.004000000001</v>
      </c>
      <c r="L2085" s="8">
        <v>10854.517</v>
      </c>
      <c r="M2085" s="8">
        <v>10165.368</v>
      </c>
      <c r="N2085" s="8">
        <v>10823.772000000001</v>
      </c>
      <c r="O2085" s="8">
        <v>10163.688</v>
      </c>
      <c r="P2085" s="8">
        <v>9521.598</v>
      </c>
      <c r="Q2085" s="8">
        <v>8484.6959999999999</v>
      </c>
      <c r="R2085" s="8">
        <v>7172.875</v>
      </c>
      <c r="S2085" s="8">
        <v>5964.1790000000001</v>
      </c>
      <c r="T2085" s="8">
        <v>4486.8710000000001</v>
      </c>
      <c r="U2085" s="8">
        <v>3012.7339999999999</v>
      </c>
      <c r="V2085" s="8">
        <v>2267.518</v>
      </c>
      <c r="W2085" s="8">
        <v>1569.413</v>
      </c>
      <c r="X2085" s="8">
        <v>864.89</v>
      </c>
      <c r="Y2085" s="8">
        <v>482.32600000000002</v>
      </c>
      <c r="Z2085" s="8">
        <v>145.40100000000001</v>
      </c>
      <c r="AA2085" s="8">
        <v>25.923999999999999</v>
      </c>
      <c r="AB2085" s="8">
        <v>2.798</v>
      </c>
      <c r="AC2085" s="8">
        <v>0.14599999999999999</v>
      </c>
    </row>
    <row r="2086" spans="1:29" ht="11.65" x14ac:dyDescent="0.35">
      <c r="A2086" s="12">
        <v>2069</v>
      </c>
      <c r="B2086" s="10" t="s">
        <v>1015</v>
      </c>
      <c r="C2086" s="11" t="s">
        <v>1161</v>
      </c>
      <c r="D2086" s="9"/>
      <c r="E2086" s="9">
        <v>360</v>
      </c>
      <c r="F2086" s="10" t="s">
        <v>1066</v>
      </c>
      <c r="G2086" s="9">
        <v>920</v>
      </c>
      <c r="H2086" s="9">
        <v>2015</v>
      </c>
      <c r="I2086" s="8">
        <v>12479.287</v>
      </c>
      <c r="J2086" s="8">
        <v>11843.178</v>
      </c>
      <c r="K2086" s="8">
        <v>12068.289000000001</v>
      </c>
      <c r="L2086" s="8">
        <v>11732.561</v>
      </c>
      <c r="M2086" s="8">
        <v>10748.611000000001</v>
      </c>
      <c r="N2086" s="8">
        <v>10055.734</v>
      </c>
      <c r="O2086" s="8">
        <v>10710.063</v>
      </c>
      <c r="P2086" s="8">
        <v>10041.007</v>
      </c>
      <c r="Q2086" s="8">
        <v>9371.152</v>
      </c>
      <c r="R2086" s="8">
        <v>8288.9470000000001</v>
      </c>
      <c r="S2086" s="8">
        <v>6915.0039999999999</v>
      </c>
      <c r="T2086" s="8">
        <v>5624.5940000000001</v>
      </c>
      <c r="U2086" s="8">
        <v>4084.6759999999999</v>
      </c>
      <c r="V2086" s="8">
        <v>2592.7240000000002</v>
      </c>
      <c r="W2086" s="8">
        <v>1786.4649999999999</v>
      </c>
      <c r="X2086" s="8">
        <v>1076.248</v>
      </c>
      <c r="Y2086" s="8">
        <v>478.90499999999997</v>
      </c>
      <c r="Z2086" s="8">
        <v>193.97200000000001</v>
      </c>
      <c r="AA2086" s="8">
        <v>37.366999999999997</v>
      </c>
      <c r="AB2086" s="8">
        <v>3.8250000000000002</v>
      </c>
      <c r="AC2086" s="8">
        <v>0.23300000000000001</v>
      </c>
    </row>
    <row r="2087" spans="1:29" ht="11.65" x14ac:dyDescent="0.35">
      <c r="A2087" s="12">
        <v>2070</v>
      </c>
      <c r="B2087" s="10" t="s">
        <v>1015</v>
      </c>
      <c r="C2087" s="11" t="s">
        <v>1161</v>
      </c>
      <c r="D2087" s="9"/>
      <c r="E2087" s="9">
        <v>360</v>
      </c>
      <c r="F2087" s="10" t="s">
        <v>1066</v>
      </c>
      <c r="G2087" s="9">
        <v>920</v>
      </c>
      <c r="H2087" s="9">
        <v>2020</v>
      </c>
      <c r="I2087" s="8">
        <v>12092.736000000001</v>
      </c>
      <c r="J2087" s="8">
        <v>12411.28</v>
      </c>
      <c r="K2087" s="8">
        <v>11809.874</v>
      </c>
      <c r="L2087" s="8">
        <v>12008.052</v>
      </c>
      <c r="M2087" s="8">
        <v>11625.762000000001</v>
      </c>
      <c r="N2087" s="8">
        <v>10640.126</v>
      </c>
      <c r="O2087" s="8">
        <v>9955.2289999999994</v>
      </c>
      <c r="P2087" s="8">
        <v>10590.213</v>
      </c>
      <c r="Q2087" s="8">
        <v>9893.5220000000008</v>
      </c>
      <c r="R2087" s="8">
        <v>9169.0939999999991</v>
      </c>
      <c r="S2087" s="8">
        <v>8007.9350000000004</v>
      </c>
      <c r="T2087" s="8">
        <v>6540.1890000000003</v>
      </c>
      <c r="U2087" s="8">
        <v>5149.357</v>
      </c>
      <c r="V2087" s="8">
        <v>3560.471</v>
      </c>
      <c r="W2087" s="8">
        <v>2092.0549999999998</v>
      </c>
      <c r="X2087" s="8">
        <v>1271.922</v>
      </c>
      <c r="Y2087" s="8">
        <v>629.423</v>
      </c>
      <c r="Z2087" s="8">
        <v>208.33799999999999</v>
      </c>
      <c r="AA2087" s="8">
        <v>55.561999999999998</v>
      </c>
      <c r="AB2087" s="8">
        <v>6.3470000000000004</v>
      </c>
      <c r="AC2087" s="8">
        <v>0.374</v>
      </c>
    </row>
    <row r="2088" spans="1:29" ht="11.65" x14ac:dyDescent="0.35">
      <c r="A2088" s="12">
        <v>2071</v>
      </c>
      <c r="B2088" s="10" t="s">
        <v>1015</v>
      </c>
      <c r="C2088" s="11" t="s">
        <v>1162</v>
      </c>
      <c r="D2088" s="9"/>
      <c r="E2088" s="9">
        <v>418</v>
      </c>
      <c r="F2088" s="10" t="s">
        <v>1066</v>
      </c>
      <c r="G2088" s="9">
        <v>920</v>
      </c>
      <c r="H2088" s="9">
        <v>1950</v>
      </c>
      <c r="I2088" s="8">
        <v>133.102</v>
      </c>
      <c r="J2088" s="8">
        <v>105.768</v>
      </c>
      <c r="K2088" s="8">
        <v>94.284999999999997</v>
      </c>
      <c r="L2088" s="8">
        <v>84.134</v>
      </c>
      <c r="M2088" s="8">
        <v>76.052999999999997</v>
      </c>
      <c r="N2088" s="8">
        <v>67.305999999999997</v>
      </c>
      <c r="O2088" s="8">
        <v>58.93</v>
      </c>
      <c r="P2088" s="8">
        <v>50.48</v>
      </c>
      <c r="Q2088" s="8">
        <v>41.604999999999997</v>
      </c>
      <c r="R2088" s="8">
        <v>34.854999999999997</v>
      </c>
      <c r="S2088" s="8">
        <v>26.925999999999998</v>
      </c>
      <c r="T2088" s="8">
        <v>20.431999999999999</v>
      </c>
      <c r="U2088" s="8">
        <v>14.087999999999999</v>
      </c>
      <c r="V2088" s="8">
        <v>9.1940000000000008</v>
      </c>
      <c r="W2088" s="8">
        <v>6.2750000000000004</v>
      </c>
      <c r="X2088" s="8">
        <v>3.577</v>
      </c>
      <c r="Y2088" s="8">
        <v>1.556</v>
      </c>
      <c r="Z2088" s="8">
        <v>0.45700000000000002</v>
      </c>
      <c r="AA2088" s="8">
        <v>8.2000000000000003E-2</v>
      </c>
      <c r="AB2088" s="8">
        <v>8.9999999999999993E-3</v>
      </c>
      <c r="AC2088" s="8">
        <v>1E-3</v>
      </c>
    </row>
    <row r="2089" spans="1:29" ht="11.65" x14ac:dyDescent="0.35">
      <c r="A2089" s="12">
        <v>2072</v>
      </c>
      <c r="B2089" s="10" t="s">
        <v>1015</v>
      </c>
      <c r="C2089" s="11" t="s">
        <v>1162</v>
      </c>
      <c r="D2089" s="9"/>
      <c r="E2089" s="9">
        <v>418</v>
      </c>
      <c r="F2089" s="10" t="s">
        <v>1066</v>
      </c>
      <c r="G2089" s="9">
        <v>920</v>
      </c>
      <c r="H2089" s="9">
        <v>1955</v>
      </c>
      <c r="I2089" s="8">
        <v>160.78100000000001</v>
      </c>
      <c r="J2089" s="8">
        <v>121.626</v>
      </c>
      <c r="K2089" s="8">
        <v>103.282</v>
      </c>
      <c r="L2089" s="8">
        <v>91.921000000000006</v>
      </c>
      <c r="M2089" s="8">
        <v>81.055999999999997</v>
      </c>
      <c r="N2089" s="8">
        <v>72.597999999999999</v>
      </c>
      <c r="O2089" s="8">
        <v>63.905999999999999</v>
      </c>
      <c r="P2089" s="8">
        <v>55.460999999999999</v>
      </c>
      <c r="Q2089" s="8">
        <v>46.893999999999998</v>
      </c>
      <c r="R2089" s="8">
        <v>38.051000000000002</v>
      </c>
      <c r="S2089" s="8">
        <v>31.157</v>
      </c>
      <c r="T2089" s="8">
        <v>23.28</v>
      </c>
      <c r="U2089" s="8">
        <v>16.786000000000001</v>
      </c>
      <c r="V2089" s="8">
        <v>10.693</v>
      </c>
      <c r="W2089" s="8">
        <v>6.2190000000000003</v>
      </c>
      <c r="X2089" s="8">
        <v>3.5289999999999999</v>
      </c>
      <c r="Y2089" s="8">
        <v>1.5309999999999999</v>
      </c>
      <c r="Z2089" s="8">
        <v>0.45800000000000002</v>
      </c>
      <c r="AA2089" s="8">
        <v>8.2000000000000003E-2</v>
      </c>
      <c r="AB2089" s="8">
        <v>8.9999999999999993E-3</v>
      </c>
      <c r="AC2089" s="8">
        <v>1E-3</v>
      </c>
    </row>
    <row r="2090" spans="1:29" ht="11.65" x14ac:dyDescent="0.35">
      <c r="A2090" s="12">
        <v>2073</v>
      </c>
      <c r="B2090" s="10" t="s">
        <v>1015</v>
      </c>
      <c r="C2090" s="11" t="s">
        <v>1162</v>
      </c>
      <c r="D2090" s="9"/>
      <c r="E2090" s="9">
        <v>418</v>
      </c>
      <c r="F2090" s="10" t="s">
        <v>1066</v>
      </c>
      <c r="G2090" s="9">
        <v>920</v>
      </c>
      <c r="H2090" s="9">
        <v>1960</v>
      </c>
      <c r="I2090" s="8">
        <v>177.25899999999999</v>
      </c>
      <c r="J2090" s="8">
        <v>147.934</v>
      </c>
      <c r="K2090" s="8">
        <v>118.95399999999999</v>
      </c>
      <c r="L2090" s="8">
        <v>100.85299999999999</v>
      </c>
      <c r="M2090" s="8">
        <v>88.766000000000005</v>
      </c>
      <c r="N2090" s="8">
        <v>77.603999999999999</v>
      </c>
      <c r="O2090" s="8">
        <v>69.165999999999997</v>
      </c>
      <c r="P2090" s="8">
        <v>60.38</v>
      </c>
      <c r="Q2090" s="8">
        <v>51.76</v>
      </c>
      <c r="R2090" s="8">
        <v>43.113</v>
      </c>
      <c r="S2090" s="8">
        <v>34.218000000000004</v>
      </c>
      <c r="T2090" s="8">
        <v>27.122</v>
      </c>
      <c r="U2090" s="8">
        <v>19.283000000000001</v>
      </c>
      <c r="V2090" s="8">
        <v>12.872999999999999</v>
      </c>
      <c r="W2090" s="8">
        <v>7.327</v>
      </c>
      <c r="X2090" s="8">
        <v>3.56</v>
      </c>
      <c r="Y2090" s="8">
        <v>1.544</v>
      </c>
      <c r="Z2090" s="8">
        <v>0.46100000000000002</v>
      </c>
      <c r="AA2090" s="8">
        <v>8.4000000000000005E-2</v>
      </c>
      <c r="AB2090" s="8">
        <v>8.9999999999999993E-3</v>
      </c>
      <c r="AC2090" s="8">
        <v>1E-3</v>
      </c>
    </row>
    <row r="2091" spans="1:29" ht="11.65" x14ac:dyDescent="0.35">
      <c r="A2091" s="12">
        <v>2074</v>
      </c>
      <c r="B2091" s="10" t="s">
        <v>1015</v>
      </c>
      <c r="C2091" s="11" t="s">
        <v>1162</v>
      </c>
      <c r="D2091" s="9"/>
      <c r="E2091" s="9">
        <v>418</v>
      </c>
      <c r="F2091" s="10" t="s">
        <v>1066</v>
      </c>
      <c r="G2091" s="9">
        <v>920</v>
      </c>
      <c r="H2091" s="9">
        <v>1965</v>
      </c>
      <c r="I2091" s="8">
        <v>198.33500000000001</v>
      </c>
      <c r="J2091" s="8">
        <v>164.16900000000001</v>
      </c>
      <c r="K2091" s="8">
        <v>144.90199999999999</v>
      </c>
      <c r="L2091" s="8">
        <v>116.33799999999999</v>
      </c>
      <c r="M2091" s="8">
        <v>97.61</v>
      </c>
      <c r="N2091" s="8">
        <v>85.227000000000004</v>
      </c>
      <c r="O2091" s="8">
        <v>74.176000000000002</v>
      </c>
      <c r="P2091" s="8">
        <v>65.596000000000004</v>
      </c>
      <c r="Q2091" s="8">
        <v>56.598999999999997</v>
      </c>
      <c r="R2091" s="8">
        <v>47.823999999999998</v>
      </c>
      <c r="S2091" s="8">
        <v>38.991</v>
      </c>
      <c r="T2091" s="8">
        <v>29.984000000000002</v>
      </c>
      <c r="U2091" s="8">
        <v>22.643000000000001</v>
      </c>
      <c r="V2091" s="8">
        <v>14.936999999999999</v>
      </c>
      <c r="W2091" s="8">
        <v>8.9329999999999998</v>
      </c>
      <c r="X2091" s="8">
        <v>4.2610000000000001</v>
      </c>
      <c r="Y2091" s="8">
        <v>1.591</v>
      </c>
      <c r="Z2091" s="8">
        <v>0.47899999999999998</v>
      </c>
      <c r="AA2091" s="8">
        <v>8.7999999999999995E-2</v>
      </c>
      <c r="AB2091" s="8">
        <v>8.9999999999999993E-3</v>
      </c>
      <c r="AC2091" s="8">
        <v>1E-3</v>
      </c>
    </row>
    <row r="2092" spans="1:29" ht="11.65" x14ac:dyDescent="0.35">
      <c r="A2092" s="12">
        <v>2075</v>
      </c>
      <c r="B2092" s="10" t="s">
        <v>1015</v>
      </c>
      <c r="C2092" s="11" t="s">
        <v>1162</v>
      </c>
      <c r="D2092" s="9"/>
      <c r="E2092" s="9">
        <v>418</v>
      </c>
      <c r="F2092" s="10" t="s">
        <v>1066</v>
      </c>
      <c r="G2092" s="9">
        <v>920</v>
      </c>
      <c r="H2092" s="9">
        <v>1970</v>
      </c>
      <c r="I2092" s="8">
        <v>226.46600000000001</v>
      </c>
      <c r="J2092" s="8">
        <v>184.83699999999999</v>
      </c>
      <c r="K2092" s="8">
        <v>161.03700000000001</v>
      </c>
      <c r="L2092" s="8">
        <v>141.92400000000001</v>
      </c>
      <c r="M2092" s="8">
        <v>112.828</v>
      </c>
      <c r="N2092" s="8">
        <v>93.965000000000003</v>
      </c>
      <c r="O2092" s="8">
        <v>81.709000000000003</v>
      </c>
      <c r="P2092" s="8">
        <v>70.599999999999994</v>
      </c>
      <c r="Q2092" s="8">
        <v>61.75</v>
      </c>
      <c r="R2092" s="8">
        <v>52.545000000000002</v>
      </c>
      <c r="S2092" s="8">
        <v>43.488</v>
      </c>
      <c r="T2092" s="8">
        <v>34.381</v>
      </c>
      <c r="U2092" s="8">
        <v>25.219000000000001</v>
      </c>
      <c r="V2092" s="8">
        <v>17.704000000000001</v>
      </c>
      <c r="W2092" s="8">
        <v>10.484999999999999</v>
      </c>
      <c r="X2092" s="8">
        <v>5.2759999999999998</v>
      </c>
      <c r="Y2092" s="8">
        <v>1.944</v>
      </c>
      <c r="Z2092" s="8">
        <v>0.504</v>
      </c>
      <c r="AA2092" s="8">
        <v>9.2999999999999999E-2</v>
      </c>
      <c r="AB2092" s="8">
        <v>8.9999999999999993E-3</v>
      </c>
      <c r="AC2092" s="8">
        <v>1E-3</v>
      </c>
    </row>
    <row r="2093" spans="1:29" ht="11.65" x14ac:dyDescent="0.35">
      <c r="A2093" s="12">
        <v>2076</v>
      </c>
      <c r="B2093" s="10" t="s">
        <v>1015</v>
      </c>
      <c r="C2093" s="11" t="s">
        <v>1162</v>
      </c>
      <c r="D2093" s="9"/>
      <c r="E2093" s="9">
        <v>418</v>
      </c>
      <c r="F2093" s="10" t="s">
        <v>1066</v>
      </c>
      <c r="G2093" s="9">
        <v>920</v>
      </c>
      <c r="H2093" s="9">
        <v>1975</v>
      </c>
      <c r="I2093" s="8">
        <v>261.803</v>
      </c>
      <c r="J2093" s="8">
        <v>212.38200000000001</v>
      </c>
      <c r="K2093" s="8">
        <v>181.57900000000001</v>
      </c>
      <c r="L2093" s="8">
        <v>157.96100000000001</v>
      </c>
      <c r="M2093" s="8">
        <v>137.917</v>
      </c>
      <c r="N2093" s="8">
        <v>108.892</v>
      </c>
      <c r="O2093" s="8">
        <v>90.346000000000004</v>
      </c>
      <c r="P2093" s="8">
        <v>78.03</v>
      </c>
      <c r="Q2093" s="8">
        <v>66.721999999999994</v>
      </c>
      <c r="R2093" s="8">
        <v>57.582999999999998</v>
      </c>
      <c r="S2093" s="8">
        <v>48.03</v>
      </c>
      <c r="T2093" s="8">
        <v>38.578000000000003</v>
      </c>
      <c r="U2093" s="8">
        <v>29.122</v>
      </c>
      <c r="V2093" s="8">
        <v>19.896000000000001</v>
      </c>
      <c r="W2093" s="8">
        <v>12.565</v>
      </c>
      <c r="X2093" s="8">
        <v>6.2830000000000004</v>
      </c>
      <c r="Y2093" s="8">
        <v>2.4510000000000001</v>
      </c>
      <c r="Z2093" s="8">
        <v>0.63</v>
      </c>
      <c r="AA2093" s="8">
        <v>0.10199999999999999</v>
      </c>
      <c r="AB2093" s="8">
        <v>0.01</v>
      </c>
      <c r="AC2093" s="8">
        <v>1E-3</v>
      </c>
    </row>
    <row r="2094" spans="1:29" ht="11.65" x14ac:dyDescent="0.35">
      <c r="A2094" s="12">
        <v>2077</v>
      </c>
      <c r="B2094" s="10" t="s">
        <v>1015</v>
      </c>
      <c r="C2094" s="11" t="s">
        <v>1162</v>
      </c>
      <c r="D2094" s="9"/>
      <c r="E2094" s="9">
        <v>418</v>
      </c>
      <c r="F2094" s="10" t="s">
        <v>1066</v>
      </c>
      <c r="G2094" s="9">
        <v>920</v>
      </c>
      <c r="H2094" s="9">
        <v>1980</v>
      </c>
      <c r="I2094" s="8">
        <v>286.702</v>
      </c>
      <c r="J2094" s="8">
        <v>242.583</v>
      </c>
      <c r="K2094" s="8">
        <v>204.56</v>
      </c>
      <c r="L2094" s="8">
        <v>171.773</v>
      </c>
      <c r="M2094" s="8">
        <v>138.809</v>
      </c>
      <c r="N2094" s="8">
        <v>112.416</v>
      </c>
      <c r="O2094" s="8">
        <v>84.004999999999995</v>
      </c>
      <c r="P2094" s="8">
        <v>71.894000000000005</v>
      </c>
      <c r="Q2094" s="8">
        <v>67.605999999999995</v>
      </c>
      <c r="R2094" s="8">
        <v>60.398000000000003</v>
      </c>
      <c r="S2094" s="8">
        <v>52.865000000000002</v>
      </c>
      <c r="T2094" s="8">
        <v>42.822000000000003</v>
      </c>
      <c r="U2094" s="8">
        <v>32.875</v>
      </c>
      <c r="V2094" s="8">
        <v>23.146999999999998</v>
      </c>
      <c r="W2094" s="8">
        <v>14.25</v>
      </c>
      <c r="X2094" s="8">
        <v>7.6180000000000003</v>
      </c>
      <c r="Y2094" s="8">
        <v>2.9630000000000001</v>
      </c>
      <c r="Z2094" s="8">
        <v>0.80700000000000005</v>
      </c>
      <c r="AA2094" s="8">
        <v>0.128</v>
      </c>
      <c r="AB2094" s="8">
        <v>1.0999999999999999E-2</v>
      </c>
      <c r="AC2094" s="8">
        <v>1E-3</v>
      </c>
    </row>
    <row r="2095" spans="1:29" ht="11.65" x14ac:dyDescent="0.35">
      <c r="A2095" s="12">
        <v>2078</v>
      </c>
      <c r="B2095" s="10" t="s">
        <v>1015</v>
      </c>
      <c r="C2095" s="11" t="s">
        <v>1162</v>
      </c>
      <c r="D2095" s="9"/>
      <c r="E2095" s="9">
        <v>418</v>
      </c>
      <c r="F2095" s="10" t="s">
        <v>1066</v>
      </c>
      <c r="G2095" s="9">
        <v>920</v>
      </c>
      <c r="H2095" s="9">
        <v>1985</v>
      </c>
      <c r="I2095" s="8">
        <v>323.44200000000001</v>
      </c>
      <c r="J2095" s="8">
        <v>271.10500000000002</v>
      </c>
      <c r="K2095" s="8">
        <v>238.155</v>
      </c>
      <c r="L2095" s="8">
        <v>199.99600000000001</v>
      </c>
      <c r="M2095" s="8">
        <v>164.839</v>
      </c>
      <c r="N2095" s="8">
        <v>130.82400000000001</v>
      </c>
      <c r="O2095" s="8">
        <v>104.896</v>
      </c>
      <c r="P2095" s="8">
        <v>78.08</v>
      </c>
      <c r="Q2095" s="8">
        <v>67.266000000000005</v>
      </c>
      <c r="R2095" s="8">
        <v>63.149000000000001</v>
      </c>
      <c r="S2095" s="8">
        <v>55.67</v>
      </c>
      <c r="T2095" s="8">
        <v>47.345999999999997</v>
      </c>
      <c r="U2095" s="8">
        <v>36.683</v>
      </c>
      <c r="V2095" s="8">
        <v>26.298999999999999</v>
      </c>
      <c r="W2095" s="8">
        <v>16.712</v>
      </c>
      <c r="X2095" s="8">
        <v>8.7279999999999998</v>
      </c>
      <c r="Y2095" s="8">
        <v>3.6379999999999999</v>
      </c>
      <c r="Z2095" s="8">
        <v>0.99</v>
      </c>
      <c r="AA2095" s="8">
        <v>0.16600000000000001</v>
      </c>
      <c r="AB2095" s="8">
        <v>1.4999999999999999E-2</v>
      </c>
      <c r="AC2095" s="8">
        <v>1E-3</v>
      </c>
    </row>
    <row r="2096" spans="1:29" ht="11.65" x14ac:dyDescent="0.35">
      <c r="A2096" s="12">
        <v>2079</v>
      </c>
      <c r="B2096" s="10" t="s">
        <v>1015</v>
      </c>
      <c r="C2096" s="11" t="s">
        <v>1162</v>
      </c>
      <c r="D2096" s="9"/>
      <c r="E2096" s="9">
        <v>418</v>
      </c>
      <c r="F2096" s="10" t="s">
        <v>1066</v>
      </c>
      <c r="G2096" s="9">
        <v>920</v>
      </c>
      <c r="H2096" s="9">
        <v>1990</v>
      </c>
      <c r="I2096" s="8">
        <v>381.29500000000002</v>
      </c>
      <c r="J2096" s="8">
        <v>309.25700000000001</v>
      </c>
      <c r="K2096" s="8">
        <v>267.53500000000003</v>
      </c>
      <c r="L2096" s="8">
        <v>234.65700000000001</v>
      </c>
      <c r="M2096" s="8">
        <v>195.56399999999999</v>
      </c>
      <c r="N2096" s="8">
        <v>160.35300000000001</v>
      </c>
      <c r="O2096" s="8">
        <v>126.922</v>
      </c>
      <c r="P2096" s="8">
        <v>101.223</v>
      </c>
      <c r="Q2096" s="8">
        <v>74.695999999999998</v>
      </c>
      <c r="R2096" s="8">
        <v>63.578000000000003</v>
      </c>
      <c r="S2096" s="8">
        <v>58.594000000000001</v>
      </c>
      <c r="T2096" s="8">
        <v>50.228999999999999</v>
      </c>
      <c r="U2096" s="8">
        <v>40.909999999999997</v>
      </c>
      <c r="V2096" s="8">
        <v>29.661999999999999</v>
      </c>
      <c r="W2096" s="8">
        <v>19.236999999999998</v>
      </c>
      <c r="X2096" s="8">
        <v>10.411</v>
      </c>
      <c r="Y2096" s="8">
        <v>4.258</v>
      </c>
      <c r="Z2096" s="8">
        <v>1.246</v>
      </c>
      <c r="AA2096" s="8">
        <v>0.21</v>
      </c>
      <c r="AB2096" s="8">
        <v>1.9E-2</v>
      </c>
      <c r="AC2096" s="8">
        <v>1E-3</v>
      </c>
    </row>
    <row r="2097" spans="1:29" ht="11.65" x14ac:dyDescent="0.35">
      <c r="A2097" s="12">
        <v>2080</v>
      </c>
      <c r="B2097" s="10" t="s">
        <v>1015</v>
      </c>
      <c r="C2097" s="11" t="s">
        <v>1162</v>
      </c>
      <c r="D2097" s="9"/>
      <c r="E2097" s="9">
        <v>418</v>
      </c>
      <c r="F2097" s="10" t="s">
        <v>1066</v>
      </c>
      <c r="G2097" s="9">
        <v>920</v>
      </c>
      <c r="H2097" s="9">
        <v>1995</v>
      </c>
      <c r="I2097" s="8">
        <v>424.08300000000003</v>
      </c>
      <c r="J2097" s="8">
        <v>364.66800000000001</v>
      </c>
      <c r="K2097" s="8">
        <v>303.87700000000001</v>
      </c>
      <c r="L2097" s="8">
        <v>260.27699999999999</v>
      </c>
      <c r="M2097" s="8">
        <v>221.83799999999999</v>
      </c>
      <c r="N2097" s="8">
        <v>181.50299999999999</v>
      </c>
      <c r="O2097" s="8">
        <v>147.99299999999999</v>
      </c>
      <c r="P2097" s="8">
        <v>117.255</v>
      </c>
      <c r="Q2097" s="8">
        <v>94.722999999999999</v>
      </c>
      <c r="R2097" s="8">
        <v>70.072999999999993</v>
      </c>
      <c r="S2097" s="8">
        <v>59.237000000000002</v>
      </c>
      <c r="T2097" s="8">
        <v>53.113</v>
      </c>
      <c r="U2097" s="8">
        <v>43.640999999999998</v>
      </c>
      <c r="V2097" s="8">
        <v>33.307000000000002</v>
      </c>
      <c r="W2097" s="8">
        <v>21.879000000000001</v>
      </c>
      <c r="X2097" s="8">
        <v>12.114000000000001</v>
      </c>
      <c r="Y2097" s="8">
        <v>5.15</v>
      </c>
      <c r="Z2097" s="8">
        <v>1.48</v>
      </c>
      <c r="AA2097" s="8">
        <v>0.26700000000000002</v>
      </c>
      <c r="AB2097" s="8">
        <v>2.4E-2</v>
      </c>
      <c r="AC2097" s="8">
        <v>1E-3</v>
      </c>
    </row>
    <row r="2098" spans="1:29" ht="11.65" x14ac:dyDescent="0.35">
      <c r="A2098" s="12">
        <v>2081</v>
      </c>
      <c r="B2098" s="10" t="s">
        <v>1015</v>
      </c>
      <c r="C2098" s="11" t="s">
        <v>1162</v>
      </c>
      <c r="D2098" s="9"/>
      <c r="E2098" s="9">
        <v>418</v>
      </c>
      <c r="F2098" s="10" t="s">
        <v>1066</v>
      </c>
      <c r="G2098" s="9">
        <v>920</v>
      </c>
      <c r="H2098" s="9">
        <v>2000</v>
      </c>
      <c r="I2098" s="8">
        <v>404.78199999999998</v>
      </c>
      <c r="J2098" s="8">
        <v>407.46100000000001</v>
      </c>
      <c r="K2098" s="8">
        <v>357.67</v>
      </c>
      <c r="L2098" s="8">
        <v>294.40499999999997</v>
      </c>
      <c r="M2098" s="8">
        <v>243.39</v>
      </c>
      <c r="N2098" s="8">
        <v>201.154</v>
      </c>
      <c r="O2098" s="8">
        <v>161.36699999999999</v>
      </c>
      <c r="P2098" s="8">
        <v>132.76900000000001</v>
      </c>
      <c r="Q2098" s="8">
        <v>108.316</v>
      </c>
      <c r="R2098" s="8">
        <v>88.85</v>
      </c>
      <c r="S2098" s="8">
        <v>65.757999999999996</v>
      </c>
      <c r="T2098" s="8">
        <v>54.134999999999998</v>
      </c>
      <c r="U2098" s="8">
        <v>46.594000000000001</v>
      </c>
      <c r="V2098" s="8">
        <v>35.96</v>
      </c>
      <c r="W2098" s="8">
        <v>24.933</v>
      </c>
      <c r="X2098" s="8">
        <v>14.044</v>
      </c>
      <c r="Y2098" s="8">
        <v>6.1360000000000001</v>
      </c>
      <c r="Z2098" s="8">
        <v>1.8380000000000001</v>
      </c>
      <c r="AA2098" s="8">
        <v>0.32700000000000001</v>
      </c>
      <c r="AB2098" s="8">
        <v>3.2000000000000001E-2</v>
      </c>
      <c r="AC2098" s="8">
        <v>2E-3</v>
      </c>
    </row>
    <row r="2099" spans="1:29" ht="11.65" x14ac:dyDescent="0.35">
      <c r="A2099" s="12">
        <v>2082</v>
      </c>
      <c r="B2099" s="10" t="s">
        <v>1015</v>
      </c>
      <c r="C2099" s="11" t="s">
        <v>1162</v>
      </c>
      <c r="D2099" s="9"/>
      <c r="E2099" s="9">
        <v>418</v>
      </c>
      <c r="F2099" s="10" t="s">
        <v>1066</v>
      </c>
      <c r="G2099" s="9">
        <v>920</v>
      </c>
      <c r="H2099" s="9">
        <v>2005</v>
      </c>
      <c r="I2099" s="8">
        <v>383.99799999999999</v>
      </c>
      <c r="J2099" s="8">
        <v>389.67399999999998</v>
      </c>
      <c r="K2099" s="8">
        <v>398.91800000000001</v>
      </c>
      <c r="L2099" s="8">
        <v>346.48500000000001</v>
      </c>
      <c r="M2099" s="8">
        <v>272.43099999999998</v>
      </c>
      <c r="N2099" s="8">
        <v>214.251</v>
      </c>
      <c r="O2099" s="8">
        <v>177.518</v>
      </c>
      <c r="P2099" s="8">
        <v>148.672</v>
      </c>
      <c r="Q2099" s="8">
        <v>126.152</v>
      </c>
      <c r="R2099" s="8">
        <v>102.992</v>
      </c>
      <c r="S2099" s="8">
        <v>83.941000000000003</v>
      </c>
      <c r="T2099" s="8">
        <v>60.56</v>
      </c>
      <c r="U2099" s="8">
        <v>47.927999999999997</v>
      </c>
      <c r="V2099" s="8">
        <v>38.835999999999999</v>
      </c>
      <c r="W2099" s="8">
        <v>27.3</v>
      </c>
      <c r="X2099" s="8">
        <v>16.297000000000001</v>
      </c>
      <c r="Y2099" s="8">
        <v>7.2779999999999996</v>
      </c>
      <c r="Z2099" s="8">
        <v>2.2480000000000002</v>
      </c>
      <c r="AA2099" s="8">
        <v>0.41799999999999998</v>
      </c>
      <c r="AB2099" s="8">
        <v>0.04</v>
      </c>
      <c r="AC2099" s="8">
        <v>2E-3</v>
      </c>
    </row>
    <row r="2100" spans="1:29" ht="11.65" x14ac:dyDescent="0.35">
      <c r="A2100" s="12">
        <v>2083</v>
      </c>
      <c r="B2100" s="10" t="s">
        <v>1015</v>
      </c>
      <c r="C2100" s="11" t="s">
        <v>1162</v>
      </c>
      <c r="D2100" s="9"/>
      <c r="E2100" s="9">
        <v>418</v>
      </c>
      <c r="F2100" s="10" t="s">
        <v>1066</v>
      </c>
      <c r="G2100" s="9">
        <v>920</v>
      </c>
      <c r="H2100" s="9">
        <v>2010</v>
      </c>
      <c r="I2100" s="8">
        <v>399.41899999999998</v>
      </c>
      <c r="J2100" s="8">
        <v>373.25299999999999</v>
      </c>
      <c r="K2100" s="8">
        <v>381.91800000000001</v>
      </c>
      <c r="L2100" s="8">
        <v>383.649</v>
      </c>
      <c r="M2100" s="8">
        <v>327.44600000000003</v>
      </c>
      <c r="N2100" s="8">
        <v>257.97500000000002</v>
      </c>
      <c r="O2100" s="8">
        <v>206.03200000000001</v>
      </c>
      <c r="P2100" s="8">
        <v>172.90700000000001</v>
      </c>
      <c r="Q2100" s="8">
        <v>144.584</v>
      </c>
      <c r="R2100" s="8">
        <v>121.846</v>
      </c>
      <c r="S2100" s="8">
        <v>97.944000000000003</v>
      </c>
      <c r="T2100" s="8">
        <v>77.899000000000001</v>
      </c>
      <c r="U2100" s="8">
        <v>54.107999999999997</v>
      </c>
      <c r="V2100" s="8">
        <v>40.411000000000001</v>
      </c>
      <c r="W2100" s="8">
        <v>29.905999999999999</v>
      </c>
      <c r="X2100" s="8">
        <v>18.178000000000001</v>
      </c>
      <c r="Y2100" s="8">
        <v>8.6440000000000001</v>
      </c>
      <c r="Z2100" s="8">
        <v>2.734</v>
      </c>
      <c r="AA2100" s="8">
        <v>0.52200000000000002</v>
      </c>
      <c r="AB2100" s="8">
        <v>5.2999999999999999E-2</v>
      </c>
      <c r="AC2100" s="8">
        <v>3.0000000000000001E-3</v>
      </c>
    </row>
    <row r="2101" spans="1:29" ht="11.65" x14ac:dyDescent="0.35">
      <c r="A2101" s="12">
        <v>2084</v>
      </c>
      <c r="B2101" s="10" t="s">
        <v>1015</v>
      </c>
      <c r="C2101" s="11" t="s">
        <v>1162</v>
      </c>
      <c r="D2101" s="9"/>
      <c r="E2101" s="9">
        <v>418</v>
      </c>
      <c r="F2101" s="10" t="s">
        <v>1066</v>
      </c>
      <c r="G2101" s="9">
        <v>920</v>
      </c>
      <c r="H2101" s="9">
        <v>2015</v>
      </c>
      <c r="I2101" s="8">
        <v>398</v>
      </c>
      <c r="J2101" s="8">
        <v>388.50099999999998</v>
      </c>
      <c r="K2101" s="8">
        <v>365.46199999999999</v>
      </c>
      <c r="L2101" s="8">
        <v>360.87099999999998</v>
      </c>
      <c r="M2101" s="8">
        <v>349.58199999999999</v>
      </c>
      <c r="N2101" s="8">
        <v>307.35500000000002</v>
      </c>
      <c r="O2101" s="8">
        <v>252.96</v>
      </c>
      <c r="P2101" s="8">
        <v>212.017</v>
      </c>
      <c r="Q2101" s="8">
        <v>183.137</v>
      </c>
      <c r="R2101" s="8">
        <v>149.22200000000001</v>
      </c>
      <c r="S2101" s="8">
        <v>126.322</v>
      </c>
      <c r="T2101" s="8">
        <v>101.176</v>
      </c>
      <c r="U2101" s="8">
        <v>74.673000000000002</v>
      </c>
      <c r="V2101" s="8">
        <v>46.094000000000001</v>
      </c>
      <c r="W2101" s="8">
        <v>31.516999999999999</v>
      </c>
      <c r="X2101" s="8">
        <v>20.245000000000001</v>
      </c>
      <c r="Y2101" s="8">
        <v>9.8379999999999992</v>
      </c>
      <c r="Z2101" s="8">
        <v>3.32</v>
      </c>
      <c r="AA2101" s="8">
        <v>0.65</v>
      </c>
      <c r="AB2101" s="8">
        <v>6.7000000000000004E-2</v>
      </c>
      <c r="AC2101" s="8">
        <v>4.0000000000000001E-3</v>
      </c>
    </row>
    <row r="2102" spans="1:29" ht="11.65" x14ac:dyDescent="0.35">
      <c r="A2102" s="12">
        <v>2085</v>
      </c>
      <c r="B2102" s="10" t="s">
        <v>1015</v>
      </c>
      <c r="C2102" s="11" t="s">
        <v>1162</v>
      </c>
      <c r="D2102" s="9"/>
      <c r="E2102" s="9">
        <v>418</v>
      </c>
      <c r="F2102" s="10" t="s">
        <v>1066</v>
      </c>
      <c r="G2102" s="9">
        <v>920</v>
      </c>
      <c r="H2102" s="9">
        <v>2020</v>
      </c>
      <c r="I2102" s="8">
        <v>406.33600000000001</v>
      </c>
      <c r="J2102" s="8">
        <v>392.01299999999998</v>
      </c>
      <c r="K2102" s="8">
        <v>385.18400000000003</v>
      </c>
      <c r="L2102" s="8">
        <v>359.01</v>
      </c>
      <c r="M2102" s="8">
        <v>348.86</v>
      </c>
      <c r="N2102" s="8">
        <v>336.79500000000002</v>
      </c>
      <c r="O2102" s="8">
        <v>298.072</v>
      </c>
      <c r="P2102" s="8">
        <v>247.30600000000001</v>
      </c>
      <c r="Q2102" s="8">
        <v>207.91900000000001</v>
      </c>
      <c r="R2102" s="8">
        <v>178.44</v>
      </c>
      <c r="S2102" s="8">
        <v>143.37100000000001</v>
      </c>
      <c r="T2102" s="8">
        <v>118.663</v>
      </c>
      <c r="U2102" s="8">
        <v>91.760999999999996</v>
      </c>
      <c r="V2102" s="8">
        <v>64.168999999999997</v>
      </c>
      <c r="W2102" s="8">
        <v>36.347000000000001</v>
      </c>
      <c r="X2102" s="8">
        <v>21.643999999999998</v>
      </c>
      <c r="Y2102" s="8">
        <v>11.154999999999999</v>
      </c>
      <c r="Z2102" s="8">
        <v>3.8540000000000001</v>
      </c>
      <c r="AA2102" s="8">
        <v>0.80600000000000005</v>
      </c>
      <c r="AB2102" s="8">
        <v>8.4000000000000005E-2</v>
      </c>
      <c r="AC2102" s="8">
        <v>5.0000000000000001E-3</v>
      </c>
    </row>
    <row r="2103" spans="1:29" ht="11.65" x14ac:dyDescent="0.35">
      <c r="A2103" s="12">
        <v>2086</v>
      </c>
      <c r="B2103" s="10" t="s">
        <v>1015</v>
      </c>
      <c r="C2103" s="11" t="s">
        <v>1163</v>
      </c>
      <c r="D2103" s="9">
        <v>12</v>
      </c>
      <c r="E2103" s="9">
        <v>458</v>
      </c>
      <c r="F2103" s="10" t="s">
        <v>1066</v>
      </c>
      <c r="G2103" s="9">
        <v>920</v>
      </c>
      <c r="H2103" s="9">
        <v>1950</v>
      </c>
      <c r="I2103" s="8">
        <v>508.5</v>
      </c>
      <c r="J2103" s="8">
        <v>379.1</v>
      </c>
      <c r="K2103" s="8">
        <v>368.7</v>
      </c>
      <c r="L2103" s="8">
        <v>286.99900000000002</v>
      </c>
      <c r="M2103" s="8">
        <v>262.20100000000002</v>
      </c>
      <c r="N2103" s="8">
        <v>221.29900000000001</v>
      </c>
      <c r="O2103" s="8">
        <v>208.6</v>
      </c>
      <c r="P2103" s="8">
        <v>185.7</v>
      </c>
      <c r="Q2103" s="8">
        <v>176.7</v>
      </c>
      <c r="R2103" s="8">
        <v>131.69900000000001</v>
      </c>
      <c r="S2103" s="8">
        <v>107.099</v>
      </c>
      <c r="T2103" s="8">
        <v>73.498999999999995</v>
      </c>
      <c r="U2103" s="8">
        <v>72</v>
      </c>
      <c r="V2103" s="8">
        <v>59.000999999999998</v>
      </c>
      <c r="W2103" s="8">
        <v>51.500999999999998</v>
      </c>
      <c r="X2103" s="8">
        <v>32.4</v>
      </c>
      <c r="Y2103" s="8">
        <v>13.15</v>
      </c>
      <c r="Z2103" s="8">
        <v>4.7510000000000003</v>
      </c>
      <c r="AA2103" s="8">
        <v>1.1919999999999999</v>
      </c>
      <c r="AB2103" s="8">
        <v>0.192</v>
      </c>
      <c r="AC2103" s="8">
        <v>2.1000000000000001E-2</v>
      </c>
    </row>
    <row r="2104" spans="1:29" ht="11.65" x14ac:dyDescent="0.35">
      <c r="A2104" s="12">
        <v>2087</v>
      </c>
      <c r="B2104" s="10" t="s">
        <v>1015</v>
      </c>
      <c r="C2104" s="11" t="s">
        <v>1163</v>
      </c>
      <c r="D2104" s="9">
        <v>12</v>
      </c>
      <c r="E2104" s="9">
        <v>458</v>
      </c>
      <c r="F2104" s="10" t="s">
        <v>1066</v>
      </c>
      <c r="G2104" s="9">
        <v>920</v>
      </c>
      <c r="H2104" s="9">
        <v>1955</v>
      </c>
      <c r="I2104" s="8">
        <v>651.69200000000001</v>
      </c>
      <c r="J2104" s="8">
        <v>487.83100000000002</v>
      </c>
      <c r="K2104" s="8">
        <v>368.07</v>
      </c>
      <c r="L2104" s="8">
        <v>361.82799999999997</v>
      </c>
      <c r="M2104" s="8">
        <v>279.36200000000002</v>
      </c>
      <c r="N2104" s="8">
        <v>253.92599999999999</v>
      </c>
      <c r="O2104" s="8">
        <v>213.44399999999999</v>
      </c>
      <c r="P2104" s="8">
        <v>200.00200000000001</v>
      </c>
      <c r="Q2104" s="8">
        <v>176.21600000000001</v>
      </c>
      <c r="R2104" s="8">
        <v>165.446</v>
      </c>
      <c r="S2104" s="8">
        <v>120.57899999999999</v>
      </c>
      <c r="T2104" s="8">
        <v>95.394000000000005</v>
      </c>
      <c r="U2104" s="8">
        <v>62.576000000000001</v>
      </c>
      <c r="V2104" s="8">
        <v>54.866</v>
      </c>
      <c r="W2104" s="8">
        <v>44.363999999999997</v>
      </c>
      <c r="X2104" s="8">
        <v>34.18</v>
      </c>
      <c r="Y2104" s="8">
        <v>15.045999999999999</v>
      </c>
      <c r="Z2104" s="8">
        <v>3.5609999999999999</v>
      </c>
      <c r="AA2104" s="8">
        <v>0.73499999999999999</v>
      </c>
      <c r="AB2104" s="8">
        <v>9.7000000000000003E-2</v>
      </c>
      <c r="AC2104" s="8">
        <v>0.01</v>
      </c>
    </row>
    <row r="2105" spans="1:29" ht="11.65" x14ac:dyDescent="0.35">
      <c r="A2105" s="12">
        <v>2088</v>
      </c>
      <c r="B2105" s="10" t="s">
        <v>1015</v>
      </c>
      <c r="C2105" s="11" t="s">
        <v>1163</v>
      </c>
      <c r="D2105" s="9">
        <v>12</v>
      </c>
      <c r="E2105" s="9">
        <v>458</v>
      </c>
      <c r="F2105" s="10" t="s">
        <v>1066</v>
      </c>
      <c r="G2105" s="9">
        <v>920</v>
      </c>
      <c r="H2105" s="9">
        <v>1960</v>
      </c>
      <c r="I2105" s="8">
        <v>756.24400000000003</v>
      </c>
      <c r="J2105" s="8">
        <v>634.76800000000003</v>
      </c>
      <c r="K2105" s="8">
        <v>476.09800000000001</v>
      </c>
      <c r="L2105" s="8">
        <v>361.96499999999997</v>
      </c>
      <c r="M2105" s="8">
        <v>353.88299999999998</v>
      </c>
      <c r="N2105" s="8">
        <v>271.67899999999997</v>
      </c>
      <c r="O2105" s="8">
        <v>246.30099999999999</v>
      </c>
      <c r="P2105" s="8">
        <v>205.755</v>
      </c>
      <c r="Q2105" s="8">
        <v>191.24299999999999</v>
      </c>
      <c r="R2105" s="8">
        <v>166.33099999999999</v>
      </c>
      <c r="S2105" s="8">
        <v>153.34399999999999</v>
      </c>
      <c r="T2105" s="8">
        <v>108.447</v>
      </c>
      <c r="U2105" s="8">
        <v>82.284000000000006</v>
      </c>
      <c r="V2105" s="8">
        <v>50.448999999999998</v>
      </c>
      <c r="W2105" s="8">
        <v>41.774999999999999</v>
      </c>
      <c r="X2105" s="8">
        <v>29.210999999999999</v>
      </c>
      <c r="Y2105" s="8">
        <v>16.460999999999999</v>
      </c>
      <c r="Z2105" s="8">
        <v>4.3419999999999996</v>
      </c>
      <c r="AA2105" s="8">
        <v>0.59499999999999997</v>
      </c>
      <c r="AB2105" s="8">
        <v>6.4000000000000001E-2</v>
      </c>
      <c r="AC2105" s="8">
        <v>5.0000000000000001E-3</v>
      </c>
    </row>
    <row r="2106" spans="1:29" ht="11.65" x14ac:dyDescent="0.35">
      <c r="A2106" s="12">
        <v>2089</v>
      </c>
      <c r="B2106" s="10" t="s">
        <v>1015</v>
      </c>
      <c r="C2106" s="11" t="s">
        <v>1163</v>
      </c>
      <c r="D2106" s="9">
        <v>12</v>
      </c>
      <c r="E2106" s="9">
        <v>458</v>
      </c>
      <c r="F2106" s="10" t="s">
        <v>1066</v>
      </c>
      <c r="G2106" s="9">
        <v>920</v>
      </c>
      <c r="H2106" s="9">
        <v>1965</v>
      </c>
      <c r="I2106" s="8">
        <v>878.39499999999998</v>
      </c>
      <c r="J2106" s="8">
        <v>741.57100000000003</v>
      </c>
      <c r="K2106" s="8">
        <v>622.673</v>
      </c>
      <c r="L2106" s="8">
        <v>469.54500000000002</v>
      </c>
      <c r="M2106" s="8">
        <v>355.05799999999999</v>
      </c>
      <c r="N2106" s="8">
        <v>345.87799999999999</v>
      </c>
      <c r="O2106" s="8">
        <v>264.53399999999999</v>
      </c>
      <c r="P2106" s="8">
        <v>238.857</v>
      </c>
      <c r="Q2106" s="8">
        <v>197.982</v>
      </c>
      <c r="R2106" s="8">
        <v>182.07499999999999</v>
      </c>
      <c r="S2106" s="8">
        <v>155.584</v>
      </c>
      <c r="T2106" s="8">
        <v>139.702</v>
      </c>
      <c r="U2106" s="8">
        <v>94.57</v>
      </c>
      <c r="V2106" s="8">
        <v>67.457999999999998</v>
      </c>
      <c r="W2106" s="8">
        <v>37.582000000000001</v>
      </c>
      <c r="X2106" s="8">
        <v>28.783999999999999</v>
      </c>
      <c r="Y2106" s="8">
        <v>14.907</v>
      </c>
      <c r="Z2106" s="8">
        <v>5.3410000000000002</v>
      </c>
      <c r="AA2106" s="8">
        <v>0.85499999999999998</v>
      </c>
      <c r="AB2106" s="8">
        <v>6.6000000000000003E-2</v>
      </c>
      <c r="AC2106" s="8">
        <v>4.0000000000000001E-3</v>
      </c>
    </row>
    <row r="2107" spans="1:29" ht="11.65" x14ac:dyDescent="0.35">
      <c r="A2107" s="12">
        <v>2090</v>
      </c>
      <c r="B2107" s="10" t="s">
        <v>1015</v>
      </c>
      <c r="C2107" s="11" t="s">
        <v>1163</v>
      </c>
      <c r="D2107" s="9">
        <v>12</v>
      </c>
      <c r="E2107" s="9">
        <v>458</v>
      </c>
      <c r="F2107" s="10" t="s">
        <v>1066</v>
      </c>
      <c r="G2107" s="9">
        <v>920</v>
      </c>
      <c r="H2107" s="9">
        <v>1970</v>
      </c>
      <c r="I2107" s="8">
        <v>873.15300000000002</v>
      </c>
      <c r="J2107" s="8">
        <v>860.85500000000002</v>
      </c>
      <c r="K2107" s="8">
        <v>703.48800000000006</v>
      </c>
      <c r="L2107" s="8">
        <v>595.10299999999995</v>
      </c>
      <c r="M2107" s="8">
        <v>458.50799999999998</v>
      </c>
      <c r="N2107" s="8">
        <v>352.37599999999998</v>
      </c>
      <c r="O2107" s="8">
        <v>340.1</v>
      </c>
      <c r="P2107" s="8">
        <v>256.68400000000003</v>
      </c>
      <c r="Q2107" s="8">
        <v>231.11600000000001</v>
      </c>
      <c r="R2107" s="8">
        <v>189.261</v>
      </c>
      <c r="S2107" s="8">
        <v>170.601</v>
      </c>
      <c r="T2107" s="8">
        <v>140.45599999999999</v>
      </c>
      <c r="U2107" s="8">
        <v>120.471</v>
      </c>
      <c r="V2107" s="8">
        <v>77.875</v>
      </c>
      <c r="W2107" s="8">
        <v>54.537999999999997</v>
      </c>
      <c r="X2107" s="8">
        <v>28.329000000000001</v>
      </c>
      <c r="Y2107" s="8">
        <v>16.140999999999998</v>
      </c>
      <c r="Z2107" s="8">
        <v>5.21</v>
      </c>
      <c r="AA2107" s="8">
        <v>1.1639999999999999</v>
      </c>
      <c r="AB2107" s="8">
        <v>0.105</v>
      </c>
      <c r="AC2107" s="8">
        <v>5.0000000000000001E-3</v>
      </c>
    </row>
    <row r="2108" spans="1:29" ht="11.65" x14ac:dyDescent="0.35">
      <c r="A2108" s="12">
        <v>2091</v>
      </c>
      <c r="B2108" s="10" t="s">
        <v>1015</v>
      </c>
      <c r="C2108" s="11" t="s">
        <v>1163</v>
      </c>
      <c r="D2108" s="9">
        <v>12</v>
      </c>
      <c r="E2108" s="9">
        <v>458</v>
      </c>
      <c r="F2108" s="10" t="s">
        <v>1066</v>
      </c>
      <c r="G2108" s="9">
        <v>920</v>
      </c>
      <c r="H2108" s="9">
        <v>1975</v>
      </c>
      <c r="I2108" s="8">
        <v>926.71500000000003</v>
      </c>
      <c r="J2108" s="8">
        <v>863.952</v>
      </c>
      <c r="K2108" s="8">
        <v>823.12099999999998</v>
      </c>
      <c r="L2108" s="8">
        <v>660.83500000000004</v>
      </c>
      <c r="M2108" s="8">
        <v>561.71400000000006</v>
      </c>
      <c r="N2108" s="8">
        <v>450.90600000000001</v>
      </c>
      <c r="O2108" s="8">
        <v>360.209</v>
      </c>
      <c r="P2108" s="8">
        <v>344.37700000000001</v>
      </c>
      <c r="Q2108" s="8">
        <v>254.893</v>
      </c>
      <c r="R2108" s="8">
        <v>225.416</v>
      </c>
      <c r="S2108" s="8">
        <v>179.99</v>
      </c>
      <c r="T2108" s="8">
        <v>155.357</v>
      </c>
      <c r="U2108" s="8">
        <v>121.078</v>
      </c>
      <c r="V2108" s="8">
        <v>97.41</v>
      </c>
      <c r="W2108" s="8">
        <v>58.93</v>
      </c>
      <c r="X2108" s="8">
        <v>38.941000000000003</v>
      </c>
      <c r="Y2108" s="8">
        <v>17.401</v>
      </c>
      <c r="Z2108" s="8">
        <v>5.74</v>
      </c>
      <c r="AA2108" s="8">
        <v>1.1499999999999999</v>
      </c>
      <c r="AB2108" s="8">
        <v>0.14199999999999999</v>
      </c>
      <c r="AC2108" s="8">
        <v>7.0000000000000001E-3</v>
      </c>
    </row>
    <row r="2109" spans="1:29" ht="11.65" x14ac:dyDescent="0.35">
      <c r="A2109" s="12">
        <v>2092</v>
      </c>
      <c r="B2109" s="10" t="s">
        <v>1015</v>
      </c>
      <c r="C2109" s="11" t="s">
        <v>1163</v>
      </c>
      <c r="D2109" s="9">
        <v>12</v>
      </c>
      <c r="E2109" s="9">
        <v>458</v>
      </c>
      <c r="F2109" s="10" t="s">
        <v>1066</v>
      </c>
      <c r="G2109" s="9">
        <v>920</v>
      </c>
      <c r="H2109" s="9">
        <v>1980</v>
      </c>
      <c r="I2109" s="8">
        <v>1015.702</v>
      </c>
      <c r="J2109" s="8">
        <v>921.92899999999997</v>
      </c>
      <c r="K2109" s="8">
        <v>856.72699999999998</v>
      </c>
      <c r="L2109" s="8">
        <v>816.98099999999999</v>
      </c>
      <c r="M2109" s="8">
        <v>653.53300000000002</v>
      </c>
      <c r="N2109" s="8">
        <v>554.46299999999997</v>
      </c>
      <c r="O2109" s="8">
        <v>444.31200000000001</v>
      </c>
      <c r="P2109" s="8">
        <v>353.851</v>
      </c>
      <c r="Q2109" s="8">
        <v>336.63499999999999</v>
      </c>
      <c r="R2109" s="8">
        <v>247.30199999999999</v>
      </c>
      <c r="S2109" s="8">
        <v>215.74199999999999</v>
      </c>
      <c r="T2109" s="8">
        <v>168.37799999999999</v>
      </c>
      <c r="U2109" s="8">
        <v>140.12899999999999</v>
      </c>
      <c r="V2109" s="8">
        <v>103.173</v>
      </c>
      <c r="W2109" s="8">
        <v>76.903999999999996</v>
      </c>
      <c r="X2109" s="8">
        <v>40.914999999999999</v>
      </c>
      <c r="Y2109" s="8">
        <v>20.193000000000001</v>
      </c>
      <c r="Z2109" s="8">
        <v>6.4359999999999999</v>
      </c>
      <c r="AA2109" s="8">
        <v>1.3340000000000001</v>
      </c>
      <c r="AB2109" s="8">
        <v>0.15</v>
      </c>
      <c r="AC2109" s="8">
        <v>0.01</v>
      </c>
    </row>
    <row r="2110" spans="1:29" ht="11.65" x14ac:dyDescent="0.35">
      <c r="A2110" s="12">
        <v>2093</v>
      </c>
      <c r="B2110" s="10" t="s">
        <v>1015</v>
      </c>
      <c r="C2110" s="11" t="s">
        <v>1163</v>
      </c>
      <c r="D2110" s="9">
        <v>12</v>
      </c>
      <c r="E2110" s="9">
        <v>458</v>
      </c>
      <c r="F2110" s="10" t="s">
        <v>1066</v>
      </c>
      <c r="G2110" s="9">
        <v>920</v>
      </c>
      <c r="H2110" s="9">
        <v>1985</v>
      </c>
      <c r="I2110" s="8">
        <v>1145.422</v>
      </c>
      <c r="J2110" s="8">
        <v>1009.7910000000001</v>
      </c>
      <c r="K2110" s="8">
        <v>913.01499999999999</v>
      </c>
      <c r="L2110" s="8">
        <v>847.79100000000005</v>
      </c>
      <c r="M2110" s="8">
        <v>805.94899999999996</v>
      </c>
      <c r="N2110" s="8">
        <v>643.54399999999998</v>
      </c>
      <c r="O2110" s="8">
        <v>545.00699999999995</v>
      </c>
      <c r="P2110" s="8">
        <v>435.24900000000002</v>
      </c>
      <c r="Q2110" s="8">
        <v>344.78699999999998</v>
      </c>
      <c r="R2110" s="8">
        <v>325.69099999999997</v>
      </c>
      <c r="S2110" s="8">
        <v>235.75299999999999</v>
      </c>
      <c r="T2110" s="8">
        <v>200.626</v>
      </c>
      <c r="U2110" s="8">
        <v>150.34899999999999</v>
      </c>
      <c r="V2110" s="8">
        <v>117.65</v>
      </c>
      <c r="W2110" s="8">
        <v>79.653999999999996</v>
      </c>
      <c r="X2110" s="8">
        <v>53.582999999999998</v>
      </c>
      <c r="Y2110" s="8">
        <v>22.827999999999999</v>
      </c>
      <c r="Z2110" s="8">
        <v>7.6379999999999999</v>
      </c>
      <c r="AA2110" s="8">
        <v>1.5249999999999999</v>
      </c>
      <c r="AB2110" s="8">
        <v>0.17599999999999999</v>
      </c>
      <c r="AC2110" s="8">
        <v>1.0999999999999999E-2</v>
      </c>
    </row>
    <row r="2111" spans="1:29" ht="11.65" x14ac:dyDescent="0.35">
      <c r="A2111" s="12">
        <v>2094</v>
      </c>
      <c r="B2111" s="10" t="s">
        <v>1015</v>
      </c>
      <c r="C2111" s="11" t="s">
        <v>1163</v>
      </c>
      <c r="D2111" s="9">
        <v>12</v>
      </c>
      <c r="E2111" s="9">
        <v>458</v>
      </c>
      <c r="F2111" s="10" t="s">
        <v>1066</v>
      </c>
      <c r="G2111" s="9">
        <v>920</v>
      </c>
      <c r="H2111" s="9">
        <v>1990</v>
      </c>
      <c r="I2111" s="8">
        <v>1253.8309999999999</v>
      </c>
      <c r="J2111" s="8">
        <v>1151.6759999999999</v>
      </c>
      <c r="K2111" s="8">
        <v>1019.7619999999999</v>
      </c>
      <c r="L2111" s="8">
        <v>930.94899999999996</v>
      </c>
      <c r="M2111" s="8">
        <v>820.69899999999996</v>
      </c>
      <c r="N2111" s="8">
        <v>811.59500000000003</v>
      </c>
      <c r="O2111" s="8">
        <v>698.46199999999999</v>
      </c>
      <c r="P2111" s="8">
        <v>606.64599999999996</v>
      </c>
      <c r="Q2111" s="8">
        <v>469.93799999999999</v>
      </c>
      <c r="R2111" s="8">
        <v>355.36200000000002</v>
      </c>
      <c r="S2111" s="8">
        <v>318.78399999999999</v>
      </c>
      <c r="T2111" s="8">
        <v>227.73699999999999</v>
      </c>
      <c r="U2111" s="8">
        <v>186.67400000000001</v>
      </c>
      <c r="V2111" s="8">
        <v>126.215</v>
      </c>
      <c r="W2111" s="8">
        <v>93.813999999999993</v>
      </c>
      <c r="X2111" s="8">
        <v>58.686999999999998</v>
      </c>
      <c r="Y2111" s="8">
        <v>30.233000000000001</v>
      </c>
      <c r="Z2111" s="8">
        <v>8.9190000000000005</v>
      </c>
      <c r="AA2111" s="8">
        <v>1.8759999999999999</v>
      </c>
      <c r="AB2111" s="8">
        <v>0.20599999999999999</v>
      </c>
      <c r="AC2111" s="8">
        <v>1.2999999999999999E-2</v>
      </c>
    </row>
    <row r="2112" spans="1:29" ht="11.65" x14ac:dyDescent="0.35">
      <c r="A2112" s="12">
        <v>2095</v>
      </c>
      <c r="B2112" s="10" t="s">
        <v>1015</v>
      </c>
      <c r="C2112" s="11" t="s">
        <v>1163</v>
      </c>
      <c r="D2112" s="9">
        <v>12</v>
      </c>
      <c r="E2112" s="9">
        <v>458</v>
      </c>
      <c r="F2112" s="10" t="s">
        <v>1066</v>
      </c>
      <c r="G2112" s="9">
        <v>920</v>
      </c>
      <c r="H2112" s="9">
        <v>1995</v>
      </c>
      <c r="I2112" s="8">
        <v>1332.85</v>
      </c>
      <c r="J2112" s="8">
        <v>1259.6679999999999</v>
      </c>
      <c r="K2112" s="8">
        <v>1149.165</v>
      </c>
      <c r="L2112" s="8">
        <v>1021.744</v>
      </c>
      <c r="M2112" s="8">
        <v>939.17899999999997</v>
      </c>
      <c r="N2112" s="8">
        <v>838.50599999999997</v>
      </c>
      <c r="O2112" s="8">
        <v>833.274</v>
      </c>
      <c r="P2112" s="8">
        <v>717.25300000000004</v>
      </c>
      <c r="Q2112" s="8">
        <v>617.97500000000002</v>
      </c>
      <c r="R2112" s="8">
        <v>474.34899999999999</v>
      </c>
      <c r="S2112" s="8">
        <v>352.52</v>
      </c>
      <c r="T2112" s="8">
        <v>306.22699999999998</v>
      </c>
      <c r="U2112" s="8">
        <v>209.00700000000001</v>
      </c>
      <c r="V2112" s="8">
        <v>160.197</v>
      </c>
      <c r="W2112" s="8">
        <v>100.85899999999999</v>
      </c>
      <c r="X2112" s="8">
        <v>67.177000000000007</v>
      </c>
      <c r="Y2112" s="8">
        <v>32.920999999999999</v>
      </c>
      <c r="Z2112" s="8">
        <v>12.788</v>
      </c>
      <c r="AA2112" s="8">
        <v>2.4380000000000002</v>
      </c>
      <c r="AB2112" s="8">
        <v>0.28899999999999998</v>
      </c>
      <c r="AC2112" s="8">
        <v>1.7000000000000001E-2</v>
      </c>
    </row>
    <row r="2113" spans="1:29" ht="11.65" x14ac:dyDescent="0.35">
      <c r="A2113" s="12">
        <v>2096</v>
      </c>
      <c r="B2113" s="10" t="s">
        <v>1015</v>
      </c>
      <c r="C2113" s="11" t="s">
        <v>1163</v>
      </c>
      <c r="D2113" s="9">
        <v>12</v>
      </c>
      <c r="E2113" s="9">
        <v>458</v>
      </c>
      <c r="F2113" s="10" t="s">
        <v>1066</v>
      </c>
      <c r="G2113" s="9">
        <v>920</v>
      </c>
      <c r="H2113" s="9">
        <v>2000</v>
      </c>
      <c r="I2113" s="8">
        <v>1381.0150000000001</v>
      </c>
      <c r="J2113" s="8">
        <v>1329.5609999999999</v>
      </c>
      <c r="K2113" s="8">
        <v>1260.3130000000001</v>
      </c>
      <c r="L2113" s="8">
        <v>1155.7260000000001</v>
      </c>
      <c r="M2113" s="8">
        <v>1039.741</v>
      </c>
      <c r="N2113" s="8">
        <v>978.03</v>
      </c>
      <c r="O2113" s="8">
        <v>888.75900000000001</v>
      </c>
      <c r="P2113" s="8">
        <v>875.67499999999995</v>
      </c>
      <c r="Q2113" s="8">
        <v>744.48</v>
      </c>
      <c r="R2113" s="8">
        <v>630.49800000000005</v>
      </c>
      <c r="S2113" s="8">
        <v>474.642</v>
      </c>
      <c r="T2113" s="8">
        <v>341.495</v>
      </c>
      <c r="U2113" s="8">
        <v>281.48200000000003</v>
      </c>
      <c r="V2113" s="8">
        <v>178.46899999999999</v>
      </c>
      <c r="W2113" s="8">
        <v>127.92100000000001</v>
      </c>
      <c r="X2113" s="8">
        <v>72.802999999999997</v>
      </c>
      <c r="Y2113" s="8">
        <v>38.618000000000002</v>
      </c>
      <c r="Z2113" s="8">
        <v>14.606</v>
      </c>
      <c r="AA2113" s="8">
        <v>3.7360000000000002</v>
      </c>
      <c r="AB2113" s="8">
        <v>0.40799999999999997</v>
      </c>
      <c r="AC2113" s="8">
        <v>2.7E-2</v>
      </c>
    </row>
    <row r="2114" spans="1:29" ht="11.65" x14ac:dyDescent="0.35">
      <c r="A2114" s="12">
        <v>2097</v>
      </c>
      <c r="B2114" s="10" t="s">
        <v>1015</v>
      </c>
      <c r="C2114" s="11" t="s">
        <v>1163</v>
      </c>
      <c r="D2114" s="9">
        <v>12</v>
      </c>
      <c r="E2114" s="9">
        <v>458</v>
      </c>
      <c r="F2114" s="10" t="s">
        <v>1066</v>
      </c>
      <c r="G2114" s="9">
        <v>920</v>
      </c>
      <c r="H2114" s="9">
        <v>2005</v>
      </c>
      <c r="I2114" s="8">
        <v>1302.5219999999999</v>
      </c>
      <c r="J2114" s="8">
        <v>1388.7049999999999</v>
      </c>
      <c r="K2114" s="8">
        <v>1324.479</v>
      </c>
      <c r="L2114" s="8">
        <v>1311.3109999999999</v>
      </c>
      <c r="M2114" s="8">
        <v>1244.1410000000001</v>
      </c>
      <c r="N2114" s="8">
        <v>1190.7929999999999</v>
      </c>
      <c r="O2114" s="8">
        <v>1020.223</v>
      </c>
      <c r="P2114" s="8">
        <v>924.10599999999999</v>
      </c>
      <c r="Q2114" s="8">
        <v>809.88199999999995</v>
      </c>
      <c r="R2114" s="8">
        <v>719.024</v>
      </c>
      <c r="S2114" s="8">
        <v>590.73400000000004</v>
      </c>
      <c r="T2114" s="8">
        <v>444.334</v>
      </c>
      <c r="U2114" s="8">
        <v>349.65600000000001</v>
      </c>
      <c r="V2114" s="8">
        <v>224.477</v>
      </c>
      <c r="W2114" s="8">
        <v>164.96299999999999</v>
      </c>
      <c r="X2114" s="8">
        <v>92.611999999999995</v>
      </c>
      <c r="Y2114" s="8">
        <v>42.933999999999997</v>
      </c>
      <c r="Z2114" s="8">
        <v>17.638999999999999</v>
      </c>
      <c r="AA2114" s="8">
        <v>4.6840000000000002</v>
      </c>
      <c r="AB2114" s="8">
        <v>0.78100000000000003</v>
      </c>
      <c r="AC2114" s="8">
        <v>5.1999999999999998E-2</v>
      </c>
    </row>
    <row r="2115" spans="1:29" ht="11.65" x14ac:dyDescent="0.35">
      <c r="A2115" s="12">
        <v>2098</v>
      </c>
      <c r="B2115" s="10" t="s">
        <v>1015</v>
      </c>
      <c r="C2115" s="11" t="s">
        <v>1163</v>
      </c>
      <c r="D2115" s="9">
        <v>12</v>
      </c>
      <c r="E2115" s="9">
        <v>458</v>
      </c>
      <c r="F2115" s="10" t="s">
        <v>1066</v>
      </c>
      <c r="G2115" s="9">
        <v>920</v>
      </c>
      <c r="H2115" s="9">
        <v>2010</v>
      </c>
      <c r="I2115" s="8">
        <v>1254.53</v>
      </c>
      <c r="J2115" s="8">
        <v>1363.5709999999999</v>
      </c>
      <c r="K2115" s="8">
        <v>1440.586</v>
      </c>
      <c r="L2115" s="8">
        <v>1451.432</v>
      </c>
      <c r="M2115" s="8">
        <v>1480.8119999999999</v>
      </c>
      <c r="N2115" s="8">
        <v>1423.34</v>
      </c>
      <c r="O2115" s="8">
        <v>1108.7719999999999</v>
      </c>
      <c r="P2115" s="8">
        <v>992.899</v>
      </c>
      <c r="Q2115" s="8">
        <v>877.19100000000003</v>
      </c>
      <c r="R2115" s="8">
        <v>821.11900000000003</v>
      </c>
      <c r="S2115" s="8">
        <v>691.66600000000005</v>
      </c>
      <c r="T2115" s="8">
        <v>546.38400000000001</v>
      </c>
      <c r="U2115" s="8">
        <v>417.88600000000002</v>
      </c>
      <c r="V2115" s="8">
        <v>268.666</v>
      </c>
      <c r="W2115" s="8">
        <v>202.31700000000001</v>
      </c>
      <c r="X2115" s="8">
        <v>122.16800000000001</v>
      </c>
      <c r="Y2115" s="8">
        <v>56.372999999999998</v>
      </c>
      <c r="Z2115" s="8">
        <v>22.084</v>
      </c>
      <c r="AA2115" s="8">
        <v>6.88</v>
      </c>
      <c r="AB2115" s="8">
        <v>1.306</v>
      </c>
      <c r="AC2115" s="8">
        <v>0.14499999999999999</v>
      </c>
    </row>
    <row r="2116" spans="1:29" ht="11.65" x14ac:dyDescent="0.35">
      <c r="A2116" s="12">
        <v>2099</v>
      </c>
      <c r="B2116" s="10" t="s">
        <v>1015</v>
      </c>
      <c r="C2116" s="11" t="s">
        <v>1163</v>
      </c>
      <c r="D2116" s="9">
        <v>12</v>
      </c>
      <c r="E2116" s="9">
        <v>458</v>
      </c>
      <c r="F2116" s="10" t="s">
        <v>1066</v>
      </c>
      <c r="G2116" s="9">
        <v>920</v>
      </c>
      <c r="H2116" s="9">
        <v>2015</v>
      </c>
      <c r="I2116" s="8">
        <v>1288.9880000000001</v>
      </c>
      <c r="J2116" s="8">
        <v>1256.692</v>
      </c>
      <c r="K2116" s="8">
        <v>1364.6079999999999</v>
      </c>
      <c r="L2116" s="8">
        <v>1451.8330000000001</v>
      </c>
      <c r="M2116" s="8">
        <v>1472.1479999999999</v>
      </c>
      <c r="N2116" s="8">
        <v>1500.4960000000001</v>
      </c>
      <c r="O2116" s="8">
        <v>1434.559</v>
      </c>
      <c r="P2116" s="8">
        <v>1111.8499999999999</v>
      </c>
      <c r="Q2116" s="8">
        <v>988.68299999999999</v>
      </c>
      <c r="R2116" s="8">
        <v>865.47400000000005</v>
      </c>
      <c r="S2116" s="8">
        <v>798.82399999999996</v>
      </c>
      <c r="T2116" s="8">
        <v>660.72</v>
      </c>
      <c r="U2116" s="8">
        <v>509.34199999999998</v>
      </c>
      <c r="V2116" s="8">
        <v>374.27300000000002</v>
      </c>
      <c r="W2116" s="8">
        <v>224.69800000000001</v>
      </c>
      <c r="X2116" s="8">
        <v>154.33099999999999</v>
      </c>
      <c r="Y2116" s="8">
        <v>82.677000000000007</v>
      </c>
      <c r="Z2116" s="8">
        <v>32.072000000000003</v>
      </c>
      <c r="AA2116" s="8">
        <v>10.127000000000001</v>
      </c>
      <c r="AB2116" s="8">
        <v>2.4260000000000002</v>
      </c>
      <c r="AC2116" s="8">
        <v>0.34599999999999997</v>
      </c>
    </row>
    <row r="2117" spans="1:29" ht="11.65" x14ac:dyDescent="0.35">
      <c r="A2117" s="12">
        <v>2100</v>
      </c>
      <c r="B2117" s="10" t="s">
        <v>1015</v>
      </c>
      <c r="C2117" s="11" t="s">
        <v>1163</v>
      </c>
      <c r="D2117" s="9">
        <v>12</v>
      </c>
      <c r="E2117" s="9">
        <v>458</v>
      </c>
      <c r="F2117" s="10" t="s">
        <v>1066</v>
      </c>
      <c r="G2117" s="9">
        <v>920</v>
      </c>
      <c r="H2117" s="9">
        <v>2020</v>
      </c>
      <c r="I2117" s="8">
        <v>1356.48</v>
      </c>
      <c r="J2117" s="8">
        <v>1291.4739999999999</v>
      </c>
      <c r="K2117" s="8">
        <v>1258.164</v>
      </c>
      <c r="L2117" s="8">
        <v>1376.5930000000001</v>
      </c>
      <c r="M2117" s="8">
        <v>1473.7639999999999</v>
      </c>
      <c r="N2117" s="8">
        <v>1493.4960000000001</v>
      </c>
      <c r="O2117" s="8">
        <v>1512.7670000000001</v>
      </c>
      <c r="P2117" s="8">
        <v>1435.4359999999999</v>
      </c>
      <c r="Q2117" s="8">
        <v>1106.6379999999999</v>
      </c>
      <c r="R2117" s="8">
        <v>974.17499999999995</v>
      </c>
      <c r="S2117" s="8">
        <v>840.52</v>
      </c>
      <c r="T2117" s="8">
        <v>762.36699999999996</v>
      </c>
      <c r="U2117" s="8">
        <v>617.47500000000002</v>
      </c>
      <c r="V2117" s="8">
        <v>459.29899999999998</v>
      </c>
      <c r="W2117" s="8">
        <v>314.84300000000002</v>
      </c>
      <c r="X2117" s="8">
        <v>174.51</v>
      </c>
      <c r="Y2117" s="8">
        <v>109.584</v>
      </c>
      <c r="Z2117" s="8">
        <v>51.234999999999999</v>
      </c>
      <c r="AA2117" s="8">
        <v>16.812000000000001</v>
      </c>
      <c r="AB2117" s="8">
        <v>4.3220000000000001</v>
      </c>
      <c r="AC2117" s="8">
        <v>0.85899999999999999</v>
      </c>
    </row>
    <row r="2118" spans="1:29" ht="11.65" x14ac:dyDescent="0.35">
      <c r="A2118" s="12">
        <v>2101</v>
      </c>
      <c r="B2118" s="10" t="s">
        <v>1015</v>
      </c>
      <c r="C2118" s="11" t="s">
        <v>1164</v>
      </c>
      <c r="D2118" s="9"/>
      <c r="E2118" s="9">
        <v>104</v>
      </c>
      <c r="F2118" s="10" t="s">
        <v>1066</v>
      </c>
      <c r="G2118" s="9">
        <v>920</v>
      </c>
      <c r="H2118" s="9">
        <v>1950</v>
      </c>
      <c r="I2118" s="8">
        <v>1263.7429999999999</v>
      </c>
      <c r="J2118" s="8">
        <v>1009.4160000000001</v>
      </c>
      <c r="K2118" s="8">
        <v>953.66700000000003</v>
      </c>
      <c r="L2118" s="8">
        <v>935.01499999999999</v>
      </c>
      <c r="M2118" s="8">
        <v>847.7</v>
      </c>
      <c r="N2118" s="8">
        <v>740.65899999999999</v>
      </c>
      <c r="O2118" s="8">
        <v>670.43600000000004</v>
      </c>
      <c r="P2118" s="8">
        <v>557.90599999999995</v>
      </c>
      <c r="Q2118" s="8">
        <v>481.65100000000001</v>
      </c>
      <c r="R2118" s="8">
        <v>412.41</v>
      </c>
      <c r="S2118" s="8">
        <v>324.42399999999998</v>
      </c>
      <c r="T2118" s="8">
        <v>251.75200000000001</v>
      </c>
      <c r="U2118" s="8">
        <v>186.05</v>
      </c>
      <c r="V2118" s="8">
        <v>124.794</v>
      </c>
      <c r="W2118" s="8">
        <v>74.831000000000003</v>
      </c>
      <c r="X2118" s="8">
        <v>37.195999999999998</v>
      </c>
      <c r="Y2118" s="8">
        <v>13.09</v>
      </c>
      <c r="Z2118" s="8">
        <v>3.508</v>
      </c>
      <c r="AA2118" s="8">
        <v>0.56200000000000006</v>
      </c>
      <c r="AB2118" s="8">
        <v>5.1999999999999998E-2</v>
      </c>
      <c r="AC2118" s="8">
        <v>3.0000000000000001E-3</v>
      </c>
    </row>
    <row r="2119" spans="1:29" ht="11.65" x14ac:dyDescent="0.35">
      <c r="A2119" s="12">
        <v>2102</v>
      </c>
      <c r="B2119" s="10" t="s">
        <v>1015</v>
      </c>
      <c r="C2119" s="11" t="s">
        <v>1164</v>
      </c>
      <c r="D2119" s="9"/>
      <c r="E2119" s="9">
        <v>104</v>
      </c>
      <c r="F2119" s="10" t="s">
        <v>1066</v>
      </c>
      <c r="G2119" s="9">
        <v>920</v>
      </c>
      <c r="H2119" s="9">
        <v>1955</v>
      </c>
      <c r="I2119" s="8">
        <v>1584.5170000000001</v>
      </c>
      <c r="J2119" s="8">
        <v>1125.616</v>
      </c>
      <c r="K2119" s="8">
        <v>977.88199999999995</v>
      </c>
      <c r="L2119" s="8">
        <v>925.07600000000002</v>
      </c>
      <c r="M2119" s="8">
        <v>894.44500000000005</v>
      </c>
      <c r="N2119" s="8">
        <v>801.86599999999999</v>
      </c>
      <c r="O2119" s="8">
        <v>695.95299999999997</v>
      </c>
      <c r="P2119" s="8">
        <v>623.33799999999997</v>
      </c>
      <c r="Q2119" s="8">
        <v>510.92399999999998</v>
      </c>
      <c r="R2119" s="8">
        <v>433.40499999999997</v>
      </c>
      <c r="S2119" s="8">
        <v>361.83100000000002</v>
      </c>
      <c r="T2119" s="8">
        <v>274.51400000000001</v>
      </c>
      <c r="U2119" s="8">
        <v>201.56299999999999</v>
      </c>
      <c r="V2119" s="8">
        <v>136.654</v>
      </c>
      <c r="W2119" s="8">
        <v>81.028999999999996</v>
      </c>
      <c r="X2119" s="8">
        <v>39.822000000000003</v>
      </c>
      <c r="Y2119" s="8">
        <v>14.78</v>
      </c>
      <c r="Z2119" s="8">
        <v>3.508</v>
      </c>
      <c r="AA2119" s="8">
        <v>0.56100000000000005</v>
      </c>
      <c r="AB2119" s="8">
        <v>5.1999999999999998E-2</v>
      </c>
      <c r="AC2119" s="8">
        <v>3.0000000000000001E-3</v>
      </c>
    </row>
    <row r="2120" spans="1:29" ht="11.65" x14ac:dyDescent="0.35">
      <c r="A2120" s="12">
        <v>2103</v>
      </c>
      <c r="B2120" s="10" t="s">
        <v>1015</v>
      </c>
      <c r="C2120" s="11" t="s">
        <v>1164</v>
      </c>
      <c r="D2120" s="9"/>
      <c r="E2120" s="9">
        <v>104</v>
      </c>
      <c r="F2120" s="10" t="s">
        <v>1066</v>
      </c>
      <c r="G2120" s="9">
        <v>920</v>
      </c>
      <c r="H2120" s="9">
        <v>1960</v>
      </c>
      <c r="I2120" s="8">
        <v>1787.8589999999999</v>
      </c>
      <c r="J2120" s="8">
        <v>1446.22</v>
      </c>
      <c r="K2120" s="8">
        <v>1094.82</v>
      </c>
      <c r="L2120" s="8">
        <v>951.93899999999996</v>
      </c>
      <c r="M2120" s="8">
        <v>889.44399999999996</v>
      </c>
      <c r="N2120" s="8">
        <v>851.58299999999997</v>
      </c>
      <c r="O2120" s="8">
        <v>759.09400000000005</v>
      </c>
      <c r="P2120" s="8">
        <v>652.70600000000002</v>
      </c>
      <c r="Q2120" s="8">
        <v>576.71299999999997</v>
      </c>
      <c r="R2120" s="8">
        <v>465.12099999999998</v>
      </c>
      <c r="S2120" s="8">
        <v>385.36500000000001</v>
      </c>
      <c r="T2120" s="8">
        <v>310.92</v>
      </c>
      <c r="U2120" s="8">
        <v>223.88300000000001</v>
      </c>
      <c r="V2120" s="8">
        <v>151.571</v>
      </c>
      <c r="W2120" s="8">
        <v>91.39</v>
      </c>
      <c r="X2120" s="8">
        <v>44.872</v>
      </c>
      <c r="Y2120" s="8">
        <v>16.686</v>
      </c>
      <c r="Z2120" s="8">
        <v>4.2279999999999998</v>
      </c>
      <c r="AA2120" s="8">
        <v>0.60599999999999998</v>
      </c>
      <c r="AB2120" s="8">
        <v>5.5E-2</v>
      </c>
      <c r="AC2120" s="8">
        <v>3.0000000000000001E-3</v>
      </c>
    </row>
    <row r="2121" spans="1:29" ht="11.65" x14ac:dyDescent="0.35">
      <c r="A2121" s="12">
        <v>2104</v>
      </c>
      <c r="B2121" s="10" t="s">
        <v>1015</v>
      </c>
      <c r="C2121" s="11" t="s">
        <v>1164</v>
      </c>
      <c r="D2121" s="9"/>
      <c r="E2121" s="9">
        <v>104</v>
      </c>
      <c r="F2121" s="10" t="s">
        <v>1066</v>
      </c>
      <c r="G2121" s="9">
        <v>920</v>
      </c>
      <c r="H2121" s="9">
        <v>1965</v>
      </c>
      <c r="I2121" s="8">
        <v>1972.607</v>
      </c>
      <c r="J2121" s="8">
        <v>1652.107</v>
      </c>
      <c r="K2121" s="8">
        <v>1410.5139999999999</v>
      </c>
      <c r="L2121" s="8">
        <v>1068.4449999999999</v>
      </c>
      <c r="M2121" s="8">
        <v>918.52499999999998</v>
      </c>
      <c r="N2121" s="8">
        <v>850.67200000000003</v>
      </c>
      <c r="O2121" s="8">
        <v>810.35799999999995</v>
      </c>
      <c r="P2121" s="8">
        <v>716.25099999999998</v>
      </c>
      <c r="Q2121" s="8">
        <v>608.20500000000004</v>
      </c>
      <c r="R2121" s="8">
        <v>529.26599999999996</v>
      </c>
      <c r="S2121" s="8">
        <v>417.42099999999999</v>
      </c>
      <c r="T2121" s="8">
        <v>334.70299999999997</v>
      </c>
      <c r="U2121" s="8">
        <v>256.83300000000003</v>
      </c>
      <c r="V2121" s="8">
        <v>171.10599999999999</v>
      </c>
      <c r="W2121" s="8">
        <v>103.438</v>
      </c>
      <c r="X2121" s="8">
        <v>51.993000000000002</v>
      </c>
      <c r="Y2121" s="8">
        <v>19.486999999999998</v>
      </c>
      <c r="Z2121" s="8">
        <v>4.9870000000000001</v>
      </c>
      <c r="AA2121" s="8">
        <v>0.76800000000000002</v>
      </c>
      <c r="AB2121" s="8">
        <v>6.3E-2</v>
      </c>
      <c r="AC2121" s="8">
        <v>4.0000000000000001E-3</v>
      </c>
    </row>
    <row r="2122" spans="1:29" ht="11.65" x14ac:dyDescent="0.35">
      <c r="A2122" s="12">
        <v>2105</v>
      </c>
      <c r="B2122" s="10" t="s">
        <v>1015</v>
      </c>
      <c r="C2122" s="11" t="s">
        <v>1164</v>
      </c>
      <c r="D2122" s="9"/>
      <c r="E2122" s="9">
        <v>104</v>
      </c>
      <c r="F2122" s="10" t="s">
        <v>1066</v>
      </c>
      <c r="G2122" s="9">
        <v>920</v>
      </c>
      <c r="H2122" s="9">
        <v>1970</v>
      </c>
      <c r="I2122" s="8">
        <v>2239.373</v>
      </c>
      <c r="J2122" s="8">
        <v>1858.2940000000001</v>
      </c>
      <c r="K2122" s="8">
        <v>1614.4549999999999</v>
      </c>
      <c r="L2122" s="8">
        <v>1378.68</v>
      </c>
      <c r="M2122" s="8">
        <v>1033.2809999999999</v>
      </c>
      <c r="N2122" s="8">
        <v>881.024</v>
      </c>
      <c r="O2122" s="8">
        <v>812.178</v>
      </c>
      <c r="P2122" s="8">
        <v>767.57</v>
      </c>
      <c r="Q2122" s="8">
        <v>670.43899999999996</v>
      </c>
      <c r="R2122" s="8">
        <v>561.03800000000001</v>
      </c>
      <c r="S2122" s="8">
        <v>477.78399999999999</v>
      </c>
      <c r="T2122" s="8">
        <v>364.99900000000002</v>
      </c>
      <c r="U2122" s="8">
        <v>278.709</v>
      </c>
      <c r="V2122" s="8">
        <v>198.297</v>
      </c>
      <c r="W2122" s="8">
        <v>118.255</v>
      </c>
      <c r="X2122" s="8">
        <v>59.844000000000001</v>
      </c>
      <c r="Y2122" s="8">
        <v>23.08</v>
      </c>
      <c r="Z2122" s="8">
        <v>5.9790000000000001</v>
      </c>
      <c r="AA2122" s="8">
        <v>0.93300000000000005</v>
      </c>
      <c r="AB2122" s="8">
        <v>8.3000000000000004E-2</v>
      </c>
      <c r="AC2122" s="8">
        <v>4.0000000000000001E-3</v>
      </c>
    </row>
    <row r="2123" spans="1:29" ht="11.65" x14ac:dyDescent="0.35">
      <c r="A2123" s="12">
        <v>2106</v>
      </c>
      <c r="B2123" s="10" t="s">
        <v>1015</v>
      </c>
      <c r="C2123" s="11" t="s">
        <v>1164</v>
      </c>
      <c r="D2123" s="9"/>
      <c r="E2123" s="9">
        <v>104</v>
      </c>
      <c r="F2123" s="10" t="s">
        <v>1066</v>
      </c>
      <c r="G2123" s="9">
        <v>920</v>
      </c>
      <c r="H2123" s="9">
        <v>1975</v>
      </c>
      <c r="I2123" s="8">
        <v>2434.8620000000001</v>
      </c>
      <c r="J2123" s="8">
        <v>2126.3739999999998</v>
      </c>
      <c r="K2123" s="8">
        <v>1819.7159999999999</v>
      </c>
      <c r="L2123" s="8">
        <v>1581.0530000000001</v>
      </c>
      <c r="M2123" s="8">
        <v>1336.933</v>
      </c>
      <c r="N2123" s="8">
        <v>994.53399999999999</v>
      </c>
      <c r="O2123" s="8">
        <v>844.49599999999998</v>
      </c>
      <c r="P2123" s="8">
        <v>772.85299999999995</v>
      </c>
      <c r="Q2123" s="8">
        <v>722.37599999999998</v>
      </c>
      <c r="R2123" s="8">
        <v>622.24900000000002</v>
      </c>
      <c r="S2123" s="8">
        <v>510.041</v>
      </c>
      <c r="T2123" s="8">
        <v>421.16199999999998</v>
      </c>
      <c r="U2123" s="8">
        <v>306.875</v>
      </c>
      <c r="V2123" s="8">
        <v>217.815</v>
      </c>
      <c r="W2123" s="8">
        <v>139.12799999999999</v>
      </c>
      <c r="X2123" s="8">
        <v>69.790999999999997</v>
      </c>
      <c r="Y2123" s="8">
        <v>27.263000000000002</v>
      </c>
      <c r="Z2123" s="8">
        <v>7.3029999999999999</v>
      </c>
      <c r="AA2123" s="8">
        <v>1.1579999999999999</v>
      </c>
      <c r="AB2123" s="8">
        <v>0.104</v>
      </c>
      <c r="AC2123" s="8">
        <v>6.0000000000000001E-3</v>
      </c>
    </row>
    <row r="2124" spans="1:29" ht="11.65" x14ac:dyDescent="0.35">
      <c r="A2124" s="12">
        <v>2107</v>
      </c>
      <c r="B2124" s="10" t="s">
        <v>1015</v>
      </c>
      <c r="C2124" s="11" t="s">
        <v>1164</v>
      </c>
      <c r="D2124" s="9"/>
      <c r="E2124" s="9">
        <v>104</v>
      </c>
      <c r="F2124" s="10" t="s">
        <v>1066</v>
      </c>
      <c r="G2124" s="9">
        <v>920</v>
      </c>
      <c r="H2124" s="9">
        <v>1980</v>
      </c>
      <c r="I2124" s="8">
        <v>2610.154</v>
      </c>
      <c r="J2124" s="8">
        <v>2327.2660000000001</v>
      </c>
      <c r="K2124" s="8">
        <v>2085.8240000000001</v>
      </c>
      <c r="L2124" s="8">
        <v>1784.8140000000001</v>
      </c>
      <c r="M2124" s="8">
        <v>1536.3889999999999</v>
      </c>
      <c r="N2124" s="8">
        <v>1290.194</v>
      </c>
      <c r="O2124" s="8">
        <v>956.154</v>
      </c>
      <c r="P2124" s="8">
        <v>806.40800000000002</v>
      </c>
      <c r="Q2124" s="8">
        <v>730.37699999999995</v>
      </c>
      <c r="R2124" s="8">
        <v>673.63099999999997</v>
      </c>
      <c r="S2124" s="8">
        <v>568.75300000000004</v>
      </c>
      <c r="T2124" s="8">
        <v>452.41699999999997</v>
      </c>
      <c r="U2124" s="8">
        <v>356.73700000000002</v>
      </c>
      <c r="V2124" s="8">
        <v>242.07599999999999</v>
      </c>
      <c r="W2124" s="8">
        <v>154.59</v>
      </c>
      <c r="X2124" s="8">
        <v>83.355000000000004</v>
      </c>
      <c r="Y2124" s="8">
        <v>32.42</v>
      </c>
      <c r="Z2124" s="8">
        <v>8.827</v>
      </c>
      <c r="AA2124" s="8">
        <v>1.4530000000000001</v>
      </c>
      <c r="AB2124" s="8">
        <v>0.13100000000000001</v>
      </c>
      <c r="AC2124" s="8">
        <v>7.0000000000000001E-3</v>
      </c>
    </row>
    <row r="2125" spans="1:29" ht="11.65" x14ac:dyDescent="0.35">
      <c r="A2125" s="12">
        <v>2108</v>
      </c>
      <c r="B2125" s="10" t="s">
        <v>1015</v>
      </c>
      <c r="C2125" s="11" t="s">
        <v>1164</v>
      </c>
      <c r="D2125" s="9"/>
      <c r="E2125" s="9">
        <v>104</v>
      </c>
      <c r="F2125" s="10" t="s">
        <v>1066</v>
      </c>
      <c r="G2125" s="9">
        <v>920</v>
      </c>
      <c r="H2125" s="9">
        <v>1985</v>
      </c>
      <c r="I2125" s="8">
        <v>2745.9560000000001</v>
      </c>
      <c r="J2125" s="8">
        <v>2508.9479999999999</v>
      </c>
      <c r="K2125" s="8">
        <v>2286.5169999999998</v>
      </c>
      <c r="L2125" s="8">
        <v>2045.2470000000001</v>
      </c>
      <c r="M2125" s="8">
        <v>1730.7850000000001</v>
      </c>
      <c r="N2125" s="8">
        <v>1479.5740000000001</v>
      </c>
      <c r="O2125" s="8">
        <v>1238.694</v>
      </c>
      <c r="P2125" s="8">
        <v>912.42899999999997</v>
      </c>
      <c r="Q2125" s="8">
        <v>762.721</v>
      </c>
      <c r="R2125" s="8">
        <v>682.60699999999997</v>
      </c>
      <c r="S2125" s="8">
        <v>617.90499999999997</v>
      </c>
      <c r="T2125" s="8">
        <v>506.90800000000002</v>
      </c>
      <c r="U2125" s="8">
        <v>385.54199999999997</v>
      </c>
      <c r="V2125" s="8">
        <v>283.66199999999998</v>
      </c>
      <c r="W2125" s="8">
        <v>173.51400000000001</v>
      </c>
      <c r="X2125" s="8">
        <v>93.813999999999993</v>
      </c>
      <c r="Y2125" s="8">
        <v>39.289000000000001</v>
      </c>
      <c r="Z2125" s="8">
        <v>10.715999999999999</v>
      </c>
      <c r="AA2125" s="8">
        <v>1.794</v>
      </c>
      <c r="AB2125" s="8">
        <v>0.16700000000000001</v>
      </c>
      <c r="AC2125" s="8">
        <v>8.9999999999999993E-3</v>
      </c>
    </row>
    <row r="2126" spans="1:29" ht="11.65" x14ac:dyDescent="0.35">
      <c r="A2126" s="12">
        <v>2109</v>
      </c>
      <c r="B2126" s="10" t="s">
        <v>1015</v>
      </c>
      <c r="C2126" s="11" t="s">
        <v>1164</v>
      </c>
      <c r="D2126" s="9"/>
      <c r="E2126" s="9">
        <v>104</v>
      </c>
      <c r="F2126" s="10" t="s">
        <v>1066</v>
      </c>
      <c r="G2126" s="9">
        <v>920</v>
      </c>
      <c r="H2126" s="9">
        <v>1990</v>
      </c>
      <c r="I2126" s="8">
        <v>2647.1210000000001</v>
      </c>
      <c r="J2126" s="8">
        <v>2652.2759999999998</v>
      </c>
      <c r="K2126" s="8">
        <v>2468.3560000000002</v>
      </c>
      <c r="L2126" s="8">
        <v>2239.8690000000001</v>
      </c>
      <c r="M2126" s="8">
        <v>1977.74</v>
      </c>
      <c r="N2126" s="8">
        <v>1661.9380000000001</v>
      </c>
      <c r="O2126" s="8">
        <v>1418.1780000000001</v>
      </c>
      <c r="P2126" s="8">
        <v>1182.4280000000001</v>
      </c>
      <c r="Q2126" s="8">
        <v>863.71</v>
      </c>
      <c r="R2126" s="8">
        <v>714.18</v>
      </c>
      <c r="S2126" s="8">
        <v>628.173</v>
      </c>
      <c r="T2126" s="8">
        <v>553.30200000000002</v>
      </c>
      <c r="U2126" s="8">
        <v>434.63</v>
      </c>
      <c r="V2126" s="8">
        <v>309.04399999999998</v>
      </c>
      <c r="W2126" s="8">
        <v>205.411</v>
      </c>
      <c r="X2126" s="8">
        <v>106.699</v>
      </c>
      <c r="Y2126" s="8">
        <v>44.994</v>
      </c>
      <c r="Z2126" s="8">
        <v>13.269</v>
      </c>
      <c r="AA2126" s="8">
        <v>2.2290000000000001</v>
      </c>
      <c r="AB2126" s="8">
        <v>0.21199999999999999</v>
      </c>
      <c r="AC2126" s="8">
        <v>1.2E-2</v>
      </c>
    </row>
    <row r="2127" spans="1:29" ht="11.65" x14ac:dyDescent="0.35">
      <c r="A2127" s="12">
        <v>2110</v>
      </c>
      <c r="B2127" s="10" t="s">
        <v>1015</v>
      </c>
      <c r="C2127" s="11" t="s">
        <v>1164</v>
      </c>
      <c r="D2127" s="9"/>
      <c r="E2127" s="9">
        <v>104</v>
      </c>
      <c r="F2127" s="10" t="s">
        <v>1066</v>
      </c>
      <c r="G2127" s="9">
        <v>920</v>
      </c>
      <c r="H2127" s="9">
        <v>1995</v>
      </c>
      <c r="I2127" s="8">
        <v>2532.96</v>
      </c>
      <c r="J2127" s="8">
        <v>2562.2750000000001</v>
      </c>
      <c r="K2127" s="8">
        <v>2608.078</v>
      </c>
      <c r="L2127" s="8">
        <v>2395.2629999999999</v>
      </c>
      <c r="M2127" s="8">
        <v>2123.63</v>
      </c>
      <c r="N2127" s="8">
        <v>1859.961</v>
      </c>
      <c r="O2127" s="8">
        <v>1564.0740000000001</v>
      </c>
      <c r="P2127" s="8">
        <v>1335.259</v>
      </c>
      <c r="Q2127" s="8">
        <v>1109.1079999999999</v>
      </c>
      <c r="R2127" s="8">
        <v>801.84100000000001</v>
      </c>
      <c r="S2127" s="8">
        <v>653.23699999999997</v>
      </c>
      <c r="T2127" s="8">
        <v>560.72500000000002</v>
      </c>
      <c r="U2127" s="8">
        <v>474.29399999999998</v>
      </c>
      <c r="V2127" s="8">
        <v>349.07900000000001</v>
      </c>
      <c r="W2127" s="8">
        <v>224.55600000000001</v>
      </c>
      <c r="X2127" s="8">
        <v>126.998</v>
      </c>
      <c r="Y2127" s="8">
        <v>51.384999999999998</v>
      </c>
      <c r="Z2127" s="8">
        <v>15.452999999999999</v>
      </c>
      <c r="AA2127" s="8">
        <v>2.81</v>
      </c>
      <c r="AB2127" s="8">
        <v>0.26600000000000001</v>
      </c>
      <c r="AC2127" s="8">
        <v>1.4999999999999999E-2</v>
      </c>
    </row>
    <row r="2128" spans="1:29" ht="11.65" x14ac:dyDescent="0.35">
      <c r="A2128" s="12">
        <v>2111</v>
      </c>
      <c r="B2128" s="10" t="s">
        <v>1015</v>
      </c>
      <c r="C2128" s="11" t="s">
        <v>1164</v>
      </c>
      <c r="D2128" s="9"/>
      <c r="E2128" s="9">
        <v>104</v>
      </c>
      <c r="F2128" s="10" t="s">
        <v>1066</v>
      </c>
      <c r="G2128" s="9">
        <v>920</v>
      </c>
      <c r="H2128" s="9">
        <v>2000</v>
      </c>
      <c r="I2128" s="8">
        <v>2618.9270000000001</v>
      </c>
      <c r="J2128" s="8">
        <v>2466.4029999999998</v>
      </c>
      <c r="K2128" s="8">
        <v>2524.64</v>
      </c>
      <c r="L2128" s="8">
        <v>2535.1329999999998</v>
      </c>
      <c r="M2128" s="8">
        <v>2276.5830000000001</v>
      </c>
      <c r="N2128" s="8">
        <v>2003.412</v>
      </c>
      <c r="O2128" s="8">
        <v>1758.52</v>
      </c>
      <c r="P2128" s="8">
        <v>1479.0340000000001</v>
      </c>
      <c r="Q2128" s="8">
        <v>1258.8420000000001</v>
      </c>
      <c r="R2128" s="8">
        <v>1037.3889999999999</v>
      </c>
      <c r="S2128" s="8">
        <v>737.47199999999998</v>
      </c>
      <c r="T2128" s="8">
        <v>586.01400000000001</v>
      </c>
      <c r="U2128" s="8">
        <v>483.40499999999997</v>
      </c>
      <c r="V2128" s="8">
        <v>383.92899999999997</v>
      </c>
      <c r="W2128" s="8">
        <v>256.14499999999998</v>
      </c>
      <c r="X2128" s="8">
        <v>140.55500000000001</v>
      </c>
      <c r="Y2128" s="8">
        <v>61.695</v>
      </c>
      <c r="Z2128" s="8">
        <v>17.949000000000002</v>
      </c>
      <c r="AA2128" s="8">
        <v>3.331</v>
      </c>
      <c r="AB2128" s="8">
        <v>0.34100000000000003</v>
      </c>
      <c r="AC2128" s="8">
        <v>1.9E-2</v>
      </c>
    </row>
    <row r="2129" spans="1:29" ht="11.65" x14ac:dyDescent="0.35">
      <c r="A2129" s="12">
        <v>2112</v>
      </c>
      <c r="B2129" s="10" t="s">
        <v>1015</v>
      </c>
      <c r="C2129" s="11" t="s">
        <v>1164</v>
      </c>
      <c r="D2129" s="9"/>
      <c r="E2129" s="9">
        <v>104</v>
      </c>
      <c r="F2129" s="10" t="s">
        <v>1066</v>
      </c>
      <c r="G2129" s="9">
        <v>920</v>
      </c>
      <c r="H2129" s="9">
        <v>2005</v>
      </c>
      <c r="I2129" s="8">
        <v>2683.1309999999999</v>
      </c>
      <c r="J2129" s="8">
        <v>2549.7060000000001</v>
      </c>
      <c r="K2129" s="8">
        <v>2425.194</v>
      </c>
      <c r="L2129" s="8">
        <v>2425.3609999999999</v>
      </c>
      <c r="M2129" s="8">
        <v>2364.4540000000002</v>
      </c>
      <c r="N2129" s="8">
        <v>2106.3359999999998</v>
      </c>
      <c r="O2129" s="8">
        <v>1864.39</v>
      </c>
      <c r="P2129" s="8">
        <v>1645.616</v>
      </c>
      <c r="Q2129" s="8">
        <v>1383.943</v>
      </c>
      <c r="R2129" s="8">
        <v>1172.338</v>
      </c>
      <c r="S2129" s="8">
        <v>953.60900000000004</v>
      </c>
      <c r="T2129" s="8">
        <v>660.66099999999994</v>
      </c>
      <c r="U2129" s="8">
        <v>505.03800000000001</v>
      </c>
      <c r="V2129" s="8">
        <v>392.05900000000003</v>
      </c>
      <c r="W2129" s="8">
        <v>283.03800000000001</v>
      </c>
      <c r="X2129" s="8">
        <v>161.464</v>
      </c>
      <c r="Y2129" s="8">
        <v>69.337999999999994</v>
      </c>
      <c r="Z2129" s="8">
        <v>21.917000000000002</v>
      </c>
      <c r="AA2129" s="8">
        <v>3.9350000000000001</v>
      </c>
      <c r="AB2129" s="8">
        <v>0.41199999999999998</v>
      </c>
      <c r="AC2129" s="8">
        <v>2.5000000000000001E-2</v>
      </c>
    </row>
    <row r="2130" spans="1:29" ht="11.65" x14ac:dyDescent="0.35">
      <c r="A2130" s="12">
        <v>2113</v>
      </c>
      <c r="B2130" s="10" t="s">
        <v>1015</v>
      </c>
      <c r="C2130" s="11" t="s">
        <v>1164</v>
      </c>
      <c r="D2130" s="9"/>
      <c r="E2130" s="9">
        <v>104</v>
      </c>
      <c r="F2130" s="10" t="s">
        <v>1066</v>
      </c>
      <c r="G2130" s="9">
        <v>920</v>
      </c>
      <c r="H2130" s="9">
        <v>2010</v>
      </c>
      <c r="I2130" s="8">
        <v>2495.5050000000001</v>
      </c>
      <c r="J2130" s="8">
        <v>2628.7919999999999</v>
      </c>
      <c r="K2130" s="8">
        <v>2515.0369999999998</v>
      </c>
      <c r="L2130" s="8">
        <v>2340.9870000000001</v>
      </c>
      <c r="M2130" s="8">
        <v>2194.9789999999998</v>
      </c>
      <c r="N2130" s="8">
        <v>2108.3249999999998</v>
      </c>
      <c r="O2130" s="8">
        <v>1982.2170000000001</v>
      </c>
      <c r="P2130" s="8">
        <v>1761.6220000000001</v>
      </c>
      <c r="Q2130" s="8">
        <v>1554.6010000000001</v>
      </c>
      <c r="R2130" s="8">
        <v>1299.2270000000001</v>
      </c>
      <c r="S2130" s="8">
        <v>1086.03</v>
      </c>
      <c r="T2130" s="8">
        <v>862.54200000000003</v>
      </c>
      <c r="U2130" s="8">
        <v>573.84699999999998</v>
      </c>
      <c r="V2130" s="8">
        <v>412.64299999999997</v>
      </c>
      <c r="W2130" s="8">
        <v>291.36099999999999</v>
      </c>
      <c r="X2130" s="8">
        <v>180.39</v>
      </c>
      <c r="Y2130" s="8">
        <v>80.131</v>
      </c>
      <c r="Z2130" s="8">
        <v>24.893999999999998</v>
      </c>
      <c r="AA2130" s="8">
        <v>4.8579999999999997</v>
      </c>
      <c r="AB2130" s="8">
        <v>0.49</v>
      </c>
      <c r="AC2130" s="8">
        <v>0.03</v>
      </c>
    </row>
    <row r="2131" spans="1:29" ht="11.65" x14ac:dyDescent="0.35">
      <c r="A2131" s="12">
        <v>2114</v>
      </c>
      <c r="B2131" s="10" t="s">
        <v>1015</v>
      </c>
      <c r="C2131" s="11" t="s">
        <v>1164</v>
      </c>
      <c r="D2131" s="9"/>
      <c r="E2131" s="9">
        <v>104</v>
      </c>
      <c r="F2131" s="10" t="s">
        <v>1066</v>
      </c>
      <c r="G2131" s="9">
        <v>920</v>
      </c>
      <c r="H2131" s="9">
        <v>2015</v>
      </c>
      <c r="I2131" s="8">
        <v>2305.7939999999999</v>
      </c>
      <c r="J2131" s="8">
        <v>2457.625</v>
      </c>
      <c r="K2131" s="8">
        <v>2604.5859999999998</v>
      </c>
      <c r="L2131" s="8">
        <v>2475.9520000000002</v>
      </c>
      <c r="M2131" s="8">
        <v>2279.7179999999998</v>
      </c>
      <c r="N2131" s="8">
        <v>2101.6689999999999</v>
      </c>
      <c r="O2131" s="8">
        <v>2001.4169999999999</v>
      </c>
      <c r="P2131" s="8">
        <v>1872.498</v>
      </c>
      <c r="Q2131" s="8">
        <v>1701.604</v>
      </c>
      <c r="R2131" s="8">
        <v>1489.3</v>
      </c>
      <c r="S2131" s="8">
        <v>1225.7619999999999</v>
      </c>
      <c r="T2131" s="8">
        <v>999.60299999999995</v>
      </c>
      <c r="U2131" s="8">
        <v>763.69799999999998</v>
      </c>
      <c r="V2131" s="8">
        <v>478.55500000000001</v>
      </c>
      <c r="W2131" s="8">
        <v>313.62099999999998</v>
      </c>
      <c r="X2131" s="8">
        <v>190.81700000000001</v>
      </c>
      <c r="Y2131" s="8">
        <v>93.513999999999996</v>
      </c>
      <c r="Z2131" s="8">
        <v>29.524999999999999</v>
      </c>
      <c r="AA2131" s="8">
        <v>5.665</v>
      </c>
      <c r="AB2131" s="8">
        <v>0.61799999999999999</v>
      </c>
      <c r="AC2131" s="8">
        <v>3.5999999999999997E-2</v>
      </c>
    </row>
    <row r="2132" spans="1:29" ht="11.65" x14ac:dyDescent="0.35">
      <c r="A2132" s="12">
        <v>2115</v>
      </c>
      <c r="B2132" s="10" t="s">
        <v>1015</v>
      </c>
      <c r="C2132" s="11" t="s">
        <v>1164</v>
      </c>
      <c r="D2132" s="9"/>
      <c r="E2132" s="9">
        <v>104</v>
      </c>
      <c r="F2132" s="10" t="s">
        <v>1066</v>
      </c>
      <c r="G2132" s="9">
        <v>920</v>
      </c>
      <c r="H2132" s="9">
        <v>2020</v>
      </c>
      <c r="I2132" s="8">
        <v>2276.58</v>
      </c>
      <c r="J2132" s="8">
        <v>2271.6439999999998</v>
      </c>
      <c r="K2132" s="8">
        <v>2432.6990000000001</v>
      </c>
      <c r="L2132" s="8">
        <v>2540.64</v>
      </c>
      <c r="M2132" s="8">
        <v>2366.5259999999998</v>
      </c>
      <c r="N2132" s="8">
        <v>2170.4810000000002</v>
      </c>
      <c r="O2132" s="8">
        <v>2011.88</v>
      </c>
      <c r="P2132" s="8">
        <v>1925.3620000000001</v>
      </c>
      <c r="Q2132" s="8">
        <v>1801.758</v>
      </c>
      <c r="R2132" s="8">
        <v>1628.4449999999999</v>
      </c>
      <c r="S2132" s="8">
        <v>1407.402</v>
      </c>
      <c r="T2132" s="8">
        <v>1132.4949999999999</v>
      </c>
      <c r="U2132" s="8">
        <v>890.61800000000005</v>
      </c>
      <c r="V2132" s="8">
        <v>642.95399999999995</v>
      </c>
      <c r="W2132" s="8">
        <v>367.99299999999999</v>
      </c>
      <c r="X2132" s="8">
        <v>208.61199999999999</v>
      </c>
      <c r="Y2132" s="8">
        <v>100.973</v>
      </c>
      <c r="Z2132" s="8">
        <v>35.433</v>
      </c>
      <c r="AA2132" s="8">
        <v>6.9109999999999996</v>
      </c>
      <c r="AB2132" s="8">
        <v>0.73799999999999999</v>
      </c>
      <c r="AC2132" s="8">
        <v>4.5999999999999999E-2</v>
      </c>
    </row>
    <row r="2133" spans="1:29" ht="11.65" x14ac:dyDescent="0.35">
      <c r="A2133" s="12">
        <v>2116</v>
      </c>
      <c r="B2133" s="10" t="s">
        <v>1015</v>
      </c>
      <c r="C2133" s="11" t="s">
        <v>1165</v>
      </c>
      <c r="D2133" s="9"/>
      <c r="E2133" s="9">
        <v>608</v>
      </c>
      <c r="F2133" s="10" t="s">
        <v>1066</v>
      </c>
      <c r="G2133" s="9">
        <v>920</v>
      </c>
      <c r="H2133" s="9">
        <v>1950</v>
      </c>
      <c r="I2133" s="8">
        <v>1684.329</v>
      </c>
      <c r="J2133" s="8">
        <v>1354.518</v>
      </c>
      <c r="K2133" s="8">
        <v>1118.9760000000001</v>
      </c>
      <c r="L2133" s="8">
        <v>964.28200000000004</v>
      </c>
      <c r="M2133" s="8">
        <v>716.88099999999997</v>
      </c>
      <c r="N2133" s="8">
        <v>636.21199999999999</v>
      </c>
      <c r="O2133" s="8">
        <v>550.60400000000004</v>
      </c>
      <c r="P2133" s="8">
        <v>518.596</v>
      </c>
      <c r="Q2133" s="8">
        <v>466.70800000000003</v>
      </c>
      <c r="R2133" s="8">
        <v>361.06299999999999</v>
      </c>
      <c r="S2133" s="8">
        <v>282.95400000000001</v>
      </c>
      <c r="T2133" s="8">
        <v>191.97499999999999</v>
      </c>
      <c r="U2133" s="8">
        <v>143.232</v>
      </c>
      <c r="V2133" s="8">
        <v>107.417</v>
      </c>
      <c r="W2133" s="8">
        <v>75.09</v>
      </c>
      <c r="X2133" s="8">
        <v>43.82</v>
      </c>
      <c r="Y2133" s="8">
        <v>16.34</v>
      </c>
      <c r="Z2133" s="8">
        <v>5.298</v>
      </c>
      <c r="AA2133" s="8">
        <v>1.0669999999999999</v>
      </c>
      <c r="AB2133" s="8">
        <v>0.11799999999999999</v>
      </c>
      <c r="AC2133" s="8">
        <v>6.0000000000000001E-3</v>
      </c>
    </row>
    <row r="2134" spans="1:29" ht="11.65" x14ac:dyDescent="0.35">
      <c r="A2134" s="12">
        <v>2117</v>
      </c>
      <c r="B2134" s="10" t="s">
        <v>1015</v>
      </c>
      <c r="C2134" s="11" t="s">
        <v>1165</v>
      </c>
      <c r="D2134" s="9"/>
      <c r="E2134" s="9">
        <v>608</v>
      </c>
      <c r="F2134" s="10" t="s">
        <v>1066</v>
      </c>
      <c r="G2134" s="9">
        <v>920</v>
      </c>
      <c r="H2134" s="9">
        <v>1955</v>
      </c>
      <c r="I2134" s="8">
        <v>2251.0500000000002</v>
      </c>
      <c r="J2134" s="8">
        <v>1628.1369999999999</v>
      </c>
      <c r="K2134" s="8">
        <v>1334.7760000000001</v>
      </c>
      <c r="L2134" s="8">
        <v>1104.617</v>
      </c>
      <c r="M2134" s="8">
        <v>944.96100000000001</v>
      </c>
      <c r="N2134" s="8">
        <v>699.697</v>
      </c>
      <c r="O2134" s="8">
        <v>620.20799999999997</v>
      </c>
      <c r="P2134" s="8">
        <v>534.86099999999999</v>
      </c>
      <c r="Q2134" s="8">
        <v>500.36799999999999</v>
      </c>
      <c r="R2134" s="8">
        <v>445.59199999999998</v>
      </c>
      <c r="S2134" s="8">
        <v>338.93799999999999</v>
      </c>
      <c r="T2134" s="8">
        <v>258.49799999999999</v>
      </c>
      <c r="U2134" s="8">
        <v>168.15600000000001</v>
      </c>
      <c r="V2134" s="8">
        <v>117.779</v>
      </c>
      <c r="W2134" s="8">
        <v>79.957999999999998</v>
      </c>
      <c r="X2134" s="8">
        <v>47.667999999999999</v>
      </c>
      <c r="Y2134" s="8">
        <v>22.039000000000001</v>
      </c>
      <c r="Z2134" s="8">
        <v>4.5510000000000002</v>
      </c>
      <c r="AA2134" s="8">
        <v>0.85099999999999998</v>
      </c>
      <c r="AB2134" s="8">
        <v>9.0999999999999998E-2</v>
      </c>
      <c r="AC2134" s="8">
        <v>6.0000000000000001E-3</v>
      </c>
    </row>
    <row r="2135" spans="1:29" ht="11.65" x14ac:dyDescent="0.35">
      <c r="A2135" s="12">
        <v>2118</v>
      </c>
      <c r="B2135" s="10" t="s">
        <v>1015</v>
      </c>
      <c r="C2135" s="11" t="s">
        <v>1165</v>
      </c>
      <c r="D2135" s="9"/>
      <c r="E2135" s="9">
        <v>608</v>
      </c>
      <c r="F2135" s="10" t="s">
        <v>1066</v>
      </c>
      <c r="G2135" s="9">
        <v>920</v>
      </c>
      <c r="H2135" s="9">
        <v>1960</v>
      </c>
      <c r="I2135" s="8">
        <v>2548.3609999999999</v>
      </c>
      <c r="J2135" s="8">
        <v>2185.9899999999998</v>
      </c>
      <c r="K2135" s="8">
        <v>1607.212</v>
      </c>
      <c r="L2135" s="8">
        <v>1319.461</v>
      </c>
      <c r="M2135" s="8">
        <v>1084.7909999999999</v>
      </c>
      <c r="N2135" s="8">
        <v>924.55700000000002</v>
      </c>
      <c r="O2135" s="8">
        <v>683.63</v>
      </c>
      <c r="P2135" s="8">
        <v>603.721</v>
      </c>
      <c r="Q2135" s="8">
        <v>517.09199999999998</v>
      </c>
      <c r="R2135" s="8">
        <v>478.66500000000002</v>
      </c>
      <c r="S2135" s="8">
        <v>419.17</v>
      </c>
      <c r="T2135" s="8">
        <v>310.49599999999998</v>
      </c>
      <c r="U2135" s="8">
        <v>227.29</v>
      </c>
      <c r="V2135" s="8">
        <v>138.94499999999999</v>
      </c>
      <c r="W2135" s="8">
        <v>88.320999999999998</v>
      </c>
      <c r="X2135" s="8">
        <v>51.34</v>
      </c>
      <c r="Y2135" s="8">
        <v>24.242999999999999</v>
      </c>
      <c r="Z2135" s="8">
        <v>6.09</v>
      </c>
      <c r="AA2135" s="8">
        <v>0.70699999999999996</v>
      </c>
      <c r="AB2135" s="8">
        <v>6.9000000000000006E-2</v>
      </c>
      <c r="AC2135" s="8">
        <v>5.0000000000000001E-3</v>
      </c>
    </row>
    <row r="2136" spans="1:29" ht="11.65" x14ac:dyDescent="0.35">
      <c r="A2136" s="12">
        <v>2119</v>
      </c>
      <c r="B2136" s="10" t="s">
        <v>1015</v>
      </c>
      <c r="C2136" s="11" t="s">
        <v>1165</v>
      </c>
      <c r="D2136" s="9"/>
      <c r="E2136" s="9">
        <v>608</v>
      </c>
      <c r="F2136" s="10" t="s">
        <v>1066</v>
      </c>
      <c r="G2136" s="9">
        <v>920</v>
      </c>
      <c r="H2136" s="9">
        <v>1965</v>
      </c>
      <c r="I2136" s="8">
        <v>2868.7939999999999</v>
      </c>
      <c r="J2136" s="8">
        <v>2484.7890000000002</v>
      </c>
      <c r="K2136" s="8">
        <v>2161.0889999999999</v>
      </c>
      <c r="L2136" s="8">
        <v>1590.7070000000001</v>
      </c>
      <c r="M2136" s="8">
        <v>1298.297</v>
      </c>
      <c r="N2136" s="8">
        <v>1063.7249999999999</v>
      </c>
      <c r="O2136" s="8">
        <v>905.2</v>
      </c>
      <c r="P2136" s="8">
        <v>666.75300000000004</v>
      </c>
      <c r="Q2136" s="8">
        <v>584.798</v>
      </c>
      <c r="R2136" s="8">
        <v>495.625</v>
      </c>
      <c r="S2136" s="8">
        <v>451.22300000000001</v>
      </c>
      <c r="T2136" s="8">
        <v>385.04700000000003</v>
      </c>
      <c r="U2136" s="8">
        <v>274.029</v>
      </c>
      <c r="V2136" s="8">
        <v>188.68199999999999</v>
      </c>
      <c r="W2136" s="8">
        <v>104.925</v>
      </c>
      <c r="X2136" s="8">
        <v>57.317999999999998</v>
      </c>
      <c r="Y2136" s="8">
        <v>26.373999999999999</v>
      </c>
      <c r="Z2136" s="8">
        <v>6.8550000000000004</v>
      </c>
      <c r="AA2136" s="8">
        <v>0.96599999999999997</v>
      </c>
      <c r="AB2136" s="8">
        <v>5.8999999999999997E-2</v>
      </c>
      <c r="AC2136" s="8">
        <v>4.0000000000000001E-3</v>
      </c>
    </row>
    <row r="2137" spans="1:29" ht="11.65" x14ac:dyDescent="0.35">
      <c r="A2137" s="12">
        <v>2120</v>
      </c>
      <c r="B2137" s="10" t="s">
        <v>1015</v>
      </c>
      <c r="C2137" s="11" t="s">
        <v>1165</v>
      </c>
      <c r="D2137" s="9"/>
      <c r="E2137" s="9">
        <v>608</v>
      </c>
      <c r="F2137" s="10" t="s">
        <v>1066</v>
      </c>
      <c r="G2137" s="9">
        <v>920</v>
      </c>
      <c r="H2137" s="9">
        <v>1970</v>
      </c>
      <c r="I2137" s="8">
        <v>3172.819</v>
      </c>
      <c r="J2137" s="8">
        <v>2804.05</v>
      </c>
      <c r="K2137" s="8">
        <v>2456.8910000000001</v>
      </c>
      <c r="L2137" s="8">
        <v>2125.2069999999999</v>
      </c>
      <c r="M2137" s="8">
        <v>1538.46</v>
      </c>
      <c r="N2137" s="8">
        <v>1246.9079999999999</v>
      </c>
      <c r="O2137" s="8">
        <v>1021.4640000000001</v>
      </c>
      <c r="P2137" s="8">
        <v>869.05499999999995</v>
      </c>
      <c r="Q2137" s="8">
        <v>636.66700000000003</v>
      </c>
      <c r="R2137" s="8">
        <v>554.45299999999997</v>
      </c>
      <c r="S2137" s="8">
        <v>463.08</v>
      </c>
      <c r="T2137" s="8">
        <v>411.72699999999998</v>
      </c>
      <c r="U2137" s="8">
        <v>338.02499999999998</v>
      </c>
      <c r="V2137" s="8">
        <v>226.32300000000001</v>
      </c>
      <c r="W2137" s="8">
        <v>141.922</v>
      </c>
      <c r="X2137" s="8">
        <v>67.912000000000006</v>
      </c>
      <c r="Y2137" s="8">
        <v>29.125</v>
      </c>
      <c r="Z2137" s="8">
        <v>8.0259999999999998</v>
      </c>
      <c r="AA2137" s="8">
        <v>1.212</v>
      </c>
      <c r="AB2137" s="8">
        <v>9.1999999999999998E-2</v>
      </c>
      <c r="AC2137" s="8">
        <v>3.0000000000000001E-3</v>
      </c>
    </row>
    <row r="2138" spans="1:29" ht="11.65" x14ac:dyDescent="0.35">
      <c r="A2138" s="12">
        <v>2121</v>
      </c>
      <c r="B2138" s="10" t="s">
        <v>1015</v>
      </c>
      <c r="C2138" s="11" t="s">
        <v>1165</v>
      </c>
      <c r="D2138" s="9"/>
      <c r="E2138" s="9">
        <v>608</v>
      </c>
      <c r="F2138" s="10" t="s">
        <v>1066</v>
      </c>
      <c r="G2138" s="9">
        <v>920</v>
      </c>
      <c r="H2138" s="9">
        <v>1975</v>
      </c>
      <c r="I2138" s="8">
        <v>3510.8960000000002</v>
      </c>
      <c r="J2138" s="8">
        <v>3111.9009999999998</v>
      </c>
      <c r="K2138" s="8">
        <v>2776.1579999999999</v>
      </c>
      <c r="L2138" s="8">
        <v>2421.9209999999998</v>
      </c>
      <c r="M2138" s="8">
        <v>2069.9560000000001</v>
      </c>
      <c r="N2138" s="8">
        <v>1486.576</v>
      </c>
      <c r="O2138" s="8">
        <v>1203.644</v>
      </c>
      <c r="P2138" s="8">
        <v>984.38</v>
      </c>
      <c r="Q2138" s="8">
        <v>834.07500000000005</v>
      </c>
      <c r="R2138" s="8">
        <v>604.95699999999999</v>
      </c>
      <c r="S2138" s="8">
        <v>518.82000000000005</v>
      </c>
      <c r="T2138" s="8">
        <v>422.65300000000002</v>
      </c>
      <c r="U2138" s="8">
        <v>361.54399999999998</v>
      </c>
      <c r="V2138" s="8">
        <v>279.52600000000001</v>
      </c>
      <c r="W2138" s="8">
        <v>170.78399999999999</v>
      </c>
      <c r="X2138" s="8">
        <v>92.66</v>
      </c>
      <c r="Y2138" s="8">
        <v>35.018999999999998</v>
      </c>
      <c r="Z2138" s="8">
        <v>9.6170000000000009</v>
      </c>
      <c r="AA2138" s="8">
        <v>1.603</v>
      </c>
      <c r="AB2138" s="8">
        <v>0.13300000000000001</v>
      </c>
      <c r="AC2138" s="8">
        <v>6.0000000000000001E-3</v>
      </c>
    </row>
    <row r="2139" spans="1:29" ht="11.65" x14ac:dyDescent="0.35">
      <c r="A2139" s="12">
        <v>2122</v>
      </c>
      <c r="B2139" s="10" t="s">
        <v>1015</v>
      </c>
      <c r="C2139" s="11" t="s">
        <v>1165</v>
      </c>
      <c r="D2139" s="9"/>
      <c r="E2139" s="9">
        <v>608</v>
      </c>
      <c r="F2139" s="10" t="s">
        <v>1066</v>
      </c>
      <c r="G2139" s="9">
        <v>920</v>
      </c>
      <c r="H2139" s="9">
        <v>1980</v>
      </c>
      <c r="I2139" s="8">
        <v>3920.223</v>
      </c>
      <c r="J2139" s="8">
        <v>3441.6819999999998</v>
      </c>
      <c r="K2139" s="8">
        <v>3083.096</v>
      </c>
      <c r="L2139" s="8">
        <v>2735.6779999999999</v>
      </c>
      <c r="M2139" s="8">
        <v>2355.6770000000001</v>
      </c>
      <c r="N2139" s="8">
        <v>2001.4469999999999</v>
      </c>
      <c r="O2139" s="8">
        <v>1432.6569999999999</v>
      </c>
      <c r="P2139" s="8">
        <v>1158.135</v>
      </c>
      <c r="Q2139" s="8">
        <v>943.26700000000005</v>
      </c>
      <c r="R2139" s="8">
        <v>792.53200000000004</v>
      </c>
      <c r="S2139" s="8">
        <v>564.97</v>
      </c>
      <c r="T2139" s="8">
        <v>472.73899999999998</v>
      </c>
      <c r="U2139" s="8">
        <v>370.40800000000002</v>
      </c>
      <c r="V2139" s="8">
        <v>298.52499999999998</v>
      </c>
      <c r="W2139" s="8">
        <v>211.05500000000001</v>
      </c>
      <c r="X2139" s="8">
        <v>111.946</v>
      </c>
      <c r="Y2139" s="8">
        <v>48.16</v>
      </c>
      <c r="Z2139" s="8">
        <v>12.505000000000001</v>
      </c>
      <c r="AA2139" s="8">
        <v>2.165</v>
      </c>
      <c r="AB2139" s="8">
        <v>0.20599999999999999</v>
      </c>
      <c r="AC2139" s="8">
        <v>0.01</v>
      </c>
    </row>
    <row r="2140" spans="1:29" ht="11.65" x14ac:dyDescent="0.35">
      <c r="A2140" s="12">
        <v>2123</v>
      </c>
      <c r="B2140" s="10" t="s">
        <v>1015</v>
      </c>
      <c r="C2140" s="11" t="s">
        <v>1165</v>
      </c>
      <c r="D2140" s="9"/>
      <c r="E2140" s="9">
        <v>608</v>
      </c>
      <c r="F2140" s="10" t="s">
        <v>1066</v>
      </c>
      <c r="G2140" s="9">
        <v>920</v>
      </c>
      <c r="H2140" s="9">
        <v>1985</v>
      </c>
      <c r="I2140" s="8">
        <v>4342.2740000000003</v>
      </c>
      <c r="J2140" s="8">
        <v>3855.0740000000001</v>
      </c>
      <c r="K2140" s="8">
        <v>3414.9639999999999</v>
      </c>
      <c r="L2140" s="8">
        <v>3051.3449999999998</v>
      </c>
      <c r="M2140" s="8">
        <v>2684.1019999999999</v>
      </c>
      <c r="N2140" s="8">
        <v>2300.1689999999999</v>
      </c>
      <c r="O2140" s="8">
        <v>1951.143</v>
      </c>
      <c r="P2140" s="8">
        <v>1391.2550000000001</v>
      </c>
      <c r="Q2140" s="8">
        <v>1118.425</v>
      </c>
      <c r="R2140" s="8">
        <v>901.76400000000001</v>
      </c>
      <c r="S2140" s="8">
        <v>744.57299999999998</v>
      </c>
      <c r="T2140" s="8">
        <v>516.87</v>
      </c>
      <c r="U2140" s="8">
        <v>415.72300000000001</v>
      </c>
      <c r="V2140" s="8">
        <v>306.57900000000001</v>
      </c>
      <c r="W2140" s="8">
        <v>226.072</v>
      </c>
      <c r="X2140" s="8">
        <v>139.20500000000001</v>
      </c>
      <c r="Y2140" s="8">
        <v>58.947000000000003</v>
      </c>
      <c r="Z2140" s="8">
        <v>17.725999999999999</v>
      </c>
      <c r="AA2140" s="8">
        <v>2.9289999999999998</v>
      </c>
      <c r="AB2140" s="8">
        <v>0.29399999999999998</v>
      </c>
      <c r="AC2140" s="8">
        <v>1.6E-2</v>
      </c>
    </row>
    <row r="2141" spans="1:29" ht="11.65" x14ac:dyDescent="0.35">
      <c r="A2141" s="12">
        <v>2124</v>
      </c>
      <c r="B2141" s="10" t="s">
        <v>1015</v>
      </c>
      <c r="C2141" s="11" t="s">
        <v>1165</v>
      </c>
      <c r="D2141" s="9"/>
      <c r="E2141" s="9">
        <v>608</v>
      </c>
      <c r="F2141" s="10" t="s">
        <v>1066</v>
      </c>
      <c r="G2141" s="9">
        <v>920</v>
      </c>
      <c r="H2141" s="9">
        <v>1990</v>
      </c>
      <c r="I2141" s="8">
        <v>4833.22</v>
      </c>
      <c r="J2141" s="8">
        <v>4287.9009999999998</v>
      </c>
      <c r="K2141" s="8">
        <v>3827.5010000000002</v>
      </c>
      <c r="L2141" s="8">
        <v>3376.0479999999998</v>
      </c>
      <c r="M2141" s="8">
        <v>2985.5619999999999</v>
      </c>
      <c r="N2141" s="8">
        <v>2612.982</v>
      </c>
      <c r="O2141" s="8">
        <v>2236.364</v>
      </c>
      <c r="P2141" s="8">
        <v>1892.7070000000001</v>
      </c>
      <c r="Q2141" s="8">
        <v>1341.2570000000001</v>
      </c>
      <c r="R2141" s="8">
        <v>1067.5940000000001</v>
      </c>
      <c r="S2141" s="8">
        <v>845.72900000000004</v>
      </c>
      <c r="T2141" s="8">
        <v>680.39</v>
      </c>
      <c r="U2141" s="8">
        <v>453.69799999999998</v>
      </c>
      <c r="V2141" s="8">
        <v>343.55399999999997</v>
      </c>
      <c r="W2141" s="8">
        <v>232.065</v>
      </c>
      <c r="X2141" s="8">
        <v>149.53299999999999</v>
      </c>
      <c r="Y2141" s="8">
        <v>73.683000000000007</v>
      </c>
      <c r="Z2141" s="8">
        <v>23.077999999999999</v>
      </c>
      <c r="AA2141" s="8">
        <v>4.54</v>
      </c>
      <c r="AB2141" s="8">
        <v>0.44800000000000001</v>
      </c>
      <c r="AC2141" s="8">
        <v>2.5999999999999999E-2</v>
      </c>
    </row>
    <row r="2142" spans="1:29" ht="11.65" x14ac:dyDescent="0.35">
      <c r="A2142" s="12">
        <v>2125</v>
      </c>
      <c r="B2142" s="10" t="s">
        <v>1015</v>
      </c>
      <c r="C2142" s="11" t="s">
        <v>1165</v>
      </c>
      <c r="D2142" s="9"/>
      <c r="E2142" s="9">
        <v>608</v>
      </c>
      <c r="F2142" s="10" t="s">
        <v>1066</v>
      </c>
      <c r="G2142" s="9">
        <v>920</v>
      </c>
      <c r="H2142" s="9">
        <v>1995</v>
      </c>
      <c r="I2142" s="8">
        <v>5151.9260000000004</v>
      </c>
      <c r="J2142" s="8">
        <v>4777.5129999999999</v>
      </c>
      <c r="K2142" s="8">
        <v>4259.3940000000002</v>
      </c>
      <c r="L2142" s="8">
        <v>3775.5410000000002</v>
      </c>
      <c r="M2142" s="8">
        <v>3286.2930000000001</v>
      </c>
      <c r="N2142" s="8">
        <v>2890.03</v>
      </c>
      <c r="O2142" s="8">
        <v>2528.5360000000001</v>
      </c>
      <c r="P2142" s="8">
        <v>2161.5210000000002</v>
      </c>
      <c r="Q2142" s="8">
        <v>1822.1320000000001</v>
      </c>
      <c r="R2142" s="8">
        <v>1277.3969999999999</v>
      </c>
      <c r="S2142" s="8">
        <v>998.96600000000001</v>
      </c>
      <c r="T2142" s="8">
        <v>771.06600000000003</v>
      </c>
      <c r="U2142" s="8">
        <v>596.44399999999996</v>
      </c>
      <c r="V2142" s="8">
        <v>374.15199999999999</v>
      </c>
      <c r="W2142" s="8">
        <v>259.923</v>
      </c>
      <c r="X2142" s="8">
        <v>153.83699999999999</v>
      </c>
      <c r="Y2142" s="8">
        <v>79.382000000000005</v>
      </c>
      <c r="Z2142" s="8">
        <v>30.175999999999998</v>
      </c>
      <c r="AA2142" s="8">
        <v>6.2439999999999998</v>
      </c>
      <c r="AB2142" s="8">
        <v>0.73799999999999999</v>
      </c>
      <c r="AC2142" s="8">
        <v>4.2999999999999997E-2</v>
      </c>
    </row>
    <row r="2143" spans="1:29" ht="11.65" x14ac:dyDescent="0.35">
      <c r="A2143" s="12">
        <v>2126</v>
      </c>
      <c r="B2143" s="10" t="s">
        <v>1015</v>
      </c>
      <c r="C2143" s="11" t="s">
        <v>1165</v>
      </c>
      <c r="D2143" s="9"/>
      <c r="E2143" s="9">
        <v>608</v>
      </c>
      <c r="F2143" s="10" t="s">
        <v>1066</v>
      </c>
      <c r="G2143" s="9">
        <v>920</v>
      </c>
      <c r="H2143" s="9">
        <v>2000</v>
      </c>
      <c r="I2143" s="8">
        <v>5504.9560000000001</v>
      </c>
      <c r="J2143" s="8">
        <v>5098.433</v>
      </c>
      <c r="K2143" s="8">
        <v>4747.0649999999996</v>
      </c>
      <c r="L2143" s="8">
        <v>4194.67</v>
      </c>
      <c r="M2143" s="8">
        <v>3661.5770000000002</v>
      </c>
      <c r="N2143" s="8">
        <v>3167.2460000000001</v>
      </c>
      <c r="O2143" s="8">
        <v>2786.7820000000002</v>
      </c>
      <c r="P2143" s="8">
        <v>2438.556</v>
      </c>
      <c r="Q2143" s="8">
        <v>2078.5230000000001</v>
      </c>
      <c r="R2143" s="8">
        <v>1737.3689999999999</v>
      </c>
      <c r="S2143" s="8">
        <v>1195.6400000000001</v>
      </c>
      <c r="T2143" s="8">
        <v>911.59400000000005</v>
      </c>
      <c r="U2143" s="8">
        <v>677.26</v>
      </c>
      <c r="V2143" s="8">
        <v>494.35700000000003</v>
      </c>
      <c r="W2143" s="8">
        <v>285.27100000000002</v>
      </c>
      <c r="X2143" s="8">
        <v>174.89699999999999</v>
      </c>
      <c r="Y2143" s="8">
        <v>83.587000000000003</v>
      </c>
      <c r="Z2143" s="8">
        <v>33.436</v>
      </c>
      <c r="AA2143" s="8">
        <v>8.48</v>
      </c>
      <c r="AB2143" s="8">
        <v>1.0609999999999999</v>
      </c>
      <c r="AC2143" s="8">
        <v>7.3999999999999996E-2</v>
      </c>
    </row>
    <row r="2144" spans="1:29" ht="11.65" x14ac:dyDescent="0.35">
      <c r="A2144" s="12">
        <v>2127</v>
      </c>
      <c r="B2144" s="10" t="s">
        <v>1015</v>
      </c>
      <c r="C2144" s="11" t="s">
        <v>1165</v>
      </c>
      <c r="D2144" s="9"/>
      <c r="E2144" s="9">
        <v>608</v>
      </c>
      <c r="F2144" s="10" t="s">
        <v>1066</v>
      </c>
      <c r="G2144" s="9">
        <v>920</v>
      </c>
      <c r="H2144" s="9">
        <v>2005</v>
      </c>
      <c r="I2144" s="8">
        <v>5855.7160000000003</v>
      </c>
      <c r="J2144" s="8">
        <v>5450.9070000000002</v>
      </c>
      <c r="K2144" s="8">
        <v>5065.6589999999997</v>
      </c>
      <c r="L2144" s="8">
        <v>4661.6639999999998</v>
      </c>
      <c r="M2144" s="8">
        <v>4042.1849999999999</v>
      </c>
      <c r="N2144" s="8">
        <v>3503.9079999999999</v>
      </c>
      <c r="O2144" s="8">
        <v>3033.8919999999998</v>
      </c>
      <c r="P2144" s="8">
        <v>2674.0790000000002</v>
      </c>
      <c r="Q2144" s="8">
        <v>2336.9450000000002</v>
      </c>
      <c r="R2144" s="8">
        <v>1976.825</v>
      </c>
      <c r="S2144" s="8">
        <v>1624.998</v>
      </c>
      <c r="T2144" s="8">
        <v>1088.925</v>
      </c>
      <c r="U2144" s="8">
        <v>799.22500000000002</v>
      </c>
      <c r="V2144" s="8">
        <v>560.35699999999997</v>
      </c>
      <c r="W2144" s="8">
        <v>377.29599999999999</v>
      </c>
      <c r="X2144" s="8">
        <v>192.505</v>
      </c>
      <c r="Y2144" s="8">
        <v>95.471999999999994</v>
      </c>
      <c r="Z2144" s="8">
        <v>35.161000000000001</v>
      </c>
      <c r="AA2144" s="8">
        <v>9.3940000000000001</v>
      </c>
      <c r="AB2144" s="8">
        <v>1.4330000000000001</v>
      </c>
      <c r="AC2144" s="8">
        <v>0.106</v>
      </c>
    </row>
    <row r="2145" spans="1:29" ht="11.65" x14ac:dyDescent="0.35">
      <c r="A2145" s="12">
        <v>2128</v>
      </c>
      <c r="B2145" s="10" t="s">
        <v>1015</v>
      </c>
      <c r="C2145" s="11" t="s">
        <v>1165</v>
      </c>
      <c r="D2145" s="9"/>
      <c r="E2145" s="9">
        <v>608</v>
      </c>
      <c r="F2145" s="10" t="s">
        <v>1066</v>
      </c>
      <c r="G2145" s="9">
        <v>920</v>
      </c>
      <c r="H2145" s="9">
        <v>2010</v>
      </c>
      <c r="I2145" s="8">
        <v>5641.7740000000003</v>
      </c>
      <c r="J2145" s="8">
        <v>5471.09</v>
      </c>
      <c r="K2145" s="8">
        <v>5317.1549999999997</v>
      </c>
      <c r="L2145" s="8">
        <v>4981.152</v>
      </c>
      <c r="M2145" s="8">
        <v>4340.8959999999997</v>
      </c>
      <c r="N2145" s="8">
        <v>3809.7350000000001</v>
      </c>
      <c r="O2145" s="8">
        <v>3468.15</v>
      </c>
      <c r="P2145" s="8">
        <v>3073.27</v>
      </c>
      <c r="Q2145" s="8">
        <v>2774.6909999999998</v>
      </c>
      <c r="R2145" s="8">
        <v>2369.5929999999998</v>
      </c>
      <c r="S2145" s="8">
        <v>1957.2739999999999</v>
      </c>
      <c r="T2145" s="8">
        <v>1496.413</v>
      </c>
      <c r="U2145" s="8">
        <v>1057.9059999999999</v>
      </c>
      <c r="V2145" s="8">
        <v>687.40499999999997</v>
      </c>
      <c r="W2145" s="8">
        <v>489.90100000000001</v>
      </c>
      <c r="X2145" s="8">
        <v>288.154</v>
      </c>
      <c r="Y2145" s="8">
        <v>121.14100000000001</v>
      </c>
      <c r="Z2145" s="8">
        <v>40.340000000000003</v>
      </c>
      <c r="AA2145" s="8">
        <v>9.9320000000000004</v>
      </c>
      <c r="AB2145" s="8">
        <v>1.591</v>
      </c>
      <c r="AC2145" s="8">
        <v>0.14299999999999999</v>
      </c>
    </row>
    <row r="2146" spans="1:29" ht="11.65" x14ac:dyDescent="0.35">
      <c r="A2146" s="12">
        <v>2129</v>
      </c>
      <c r="B2146" s="10" t="s">
        <v>1015</v>
      </c>
      <c r="C2146" s="11" t="s">
        <v>1165</v>
      </c>
      <c r="D2146" s="9"/>
      <c r="E2146" s="9">
        <v>608</v>
      </c>
      <c r="F2146" s="10" t="s">
        <v>1066</v>
      </c>
      <c r="G2146" s="9">
        <v>920</v>
      </c>
      <c r="H2146" s="9">
        <v>2015</v>
      </c>
      <c r="I2146" s="8">
        <v>5889.335</v>
      </c>
      <c r="J2146" s="8">
        <v>5599.4960000000001</v>
      </c>
      <c r="K2146" s="8">
        <v>5447.5550000000003</v>
      </c>
      <c r="L2146" s="8">
        <v>5265.1090000000004</v>
      </c>
      <c r="M2146" s="8">
        <v>4886.3440000000001</v>
      </c>
      <c r="N2146" s="8">
        <v>4236.8950000000004</v>
      </c>
      <c r="O2146" s="8">
        <v>3713.6750000000002</v>
      </c>
      <c r="P2146" s="8">
        <v>3375.7820000000002</v>
      </c>
      <c r="Q2146" s="8">
        <v>2979.0880000000002</v>
      </c>
      <c r="R2146" s="8">
        <v>2663.9380000000001</v>
      </c>
      <c r="S2146" s="8">
        <v>2232.9679999999998</v>
      </c>
      <c r="T2146" s="8">
        <v>1796.5440000000001</v>
      </c>
      <c r="U2146" s="8">
        <v>1321.9570000000001</v>
      </c>
      <c r="V2146" s="8">
        <v>882.32299999999998</v>
      </c>
      <c r="W2146" s="8">
        <v>530.46</v>
      </c>
      <c r="X2146" s="8">
        <v>337.315</v>
      </c>
      <c r="Y2146" s="8">
        <v>163.261</v>
      </c>
      <c r="Z2146" s="8">
        <v>52.845999999999997</v>
      </c>
      <c r="AA2146" s="8">
        <v>11.913</v>
      </c>
      <c r="AB2146" s="8">
        <v>1.784</v>
      </c>
      <c r="AC2146" s="8">
        <v>0.17199999999999999</v>
      </c>
    </row>
    <row r="2147" spans="1:29" ht="11.65" x14ac:dyDescent="0.35">
      <c r="A2147" s="12">
        <v>2130</v>
      </c>
      <c r="B2147" s="10" t="s">
        <v>1015</v>
      </c>
      <c r="C2147" s="11" t="s">
        <v>1165</v>
      </c>
      <c r="D2147" s="9"/>
      <c r="E2147" s="9">
        <v>608</v>
      </c>
      <c r="F2147" s="10" t="s">
        <v>1066</v>
      </c>
      <c r="G2147" s="9">
        <v>920</v>
      </c>
      <c r="H2147" s="9">
        <v>2020</v>
      </c>
      <c r="I2147" s="8">
        <v>5450.6329999999998</v>
      </c>
      <c r="J2147" s="8">
        <v>5846.0720000000001</v>
      </c>
      <c r="K2147" s="8">
        <v>5578.2510000000002</v>
      </c>
      <c r="L2147" s="8">
        <v>5407.6589999999997</v>
      </c>
      <c r="M2147" s="8">
        <v>5191.7550000000001</v>
      </c>
      <c r="N2147" s="8">
        <v>4807.6109999999999</v>
      </c>
      <c r="O2147" s="8">
        <v>4166.7780000000002</v>
      </c>
      <c r="P2147" s="8">
        <v>3644.549</v>
      </c>
      <c r="Q2147" s="8">
        <v>3297.3409999999999</v>
      </c>
      <c r="R2147" s="8">
        <v>2883.7220000000002</v>
      </c>
      <c r="S2147" s="8">
        <v>2538.9430000000002</v>
      </c>
      <c r="T2147" s="8">
        <v>2075.8620000000001</v>
      </c>
      <c r="U2147" s="8">
        <v>1614.771</v>
      </c>
      <c r="V2147" s="8">
        <v>1137.0170000000001</v>
      </c>
      <c r="W2147" s="8">
        <v>709.61599999999999</v>
      </c>
      <c r="X2147" s="8">
        <v>381.08</v>
      </c>
      <c r="Y2147" s="8">
        <v>202.363</v>
      </c>
      <c r="Z2147" s="8">
        <v>75.334999999999994</v>
      </c>
      <c r="AA2147" s="8">
        <v>16.873000000000001</v>
      </c>
      <c r="AB2147" s="8">
        <v>2.375</v>
      </c>
      <c r="AC2147" s="8">
        <v>0.219</v>
      </c>
    </row>
    <row r="2148" spans="1:29" ht="11.65" x14ac:dyDescent="0.35">
      <c r="A2148" s="12">
        <v>2131</v>
      </c>
      <c r="B2148" s="10" t="s">
        <v>1015</v>
      </c>
      <c r="C2148" s="11" t="s">
        <v>1166</v>
      </c>
      <c r="D2148" s="9"/>
      <c r="E2148" s="9">
        <v>702</v>
      </c>
      <c r="F2148" s="10" t="s">
        <v>1066</v>
      </c>
      <c r="G2148" s="9">
        <v>920</v>
      </c>
      <c r="H2148" s="9">
        <v>1950</v>
      </c>
      <c r="I2148" s="8">
        <v>84.900999999999996</v>
      </c>
      <c r="J2148" s="8">
        <v>66.998999999999995</v>
      </c>
      <c r="K2148" s="8">
        <v>57.801000000000002</v>
      </c>
      <c r="L2148" s="8">
        <v>49.2</v>
      </c>
      <c r="M2148" s="8">
        <v>44.000999999999998</v>
      </c>
      <c r="N2148" s="8">
        <v>43.801000000000002</v>
      </c>
      <c r="O2148" s="8">
        <v>45.5</v>
      </c>
      <c r="P2148" s="8">
        <v>41</v>
      </c>
      <c r="Q2148" s="8">
        <v>33.5</v>
      </c>
      <c r="R2148" s="8">
        <v>25.2</v>
      </c>
      <c r="S2148" s="8">
        <v>14.699</v>
      </c>
      <c r="T2148" s="8">
        <v>7.4009999999999998</v>
      </c>
      <c r="U2148" s="8">
        <v>5.9</v>
      </c>
      <c r="V2148" s="8">
        <v>4.2</v>
      </c>
      <c r="W2148" s="8">
        <v>2</v>
      </c>
      <c r="X2148" s="8">
        <v>1.7</v>
      </c>
      <c r="Y2148" s="8">
        <v>0.97299999999999998</v>
      </c>
      <c r="Z2148" s="8">
        <v>0.38900000000000001</v>
      </c>
      <c r="AA2148" s="8">
        <v>0.113</v>
      </c>
      <c r="AB2148" s="8">
        <v>2.3E-2</v>
      </c>
      <c r="AC2148" s="8">
        <v>3.0000000000000001E-3</v>
      </c>
    </row>
    <row r="2149" spans="1:29" ht="11.65" x14ac:dyDescent="0.35">
      <c r="A2149" s="12">
        <v>2132</v>
      </c>
      <c r="B2149" s="10" t="s">
        <v>1015</v>
      </c>
      <c r="C2149" s="11" t="s">
        <v>1166</v>
      </c>
      <c r="D2149" s="9"/>
      <c r="E2149" s="9">
        <v>702</v>
      </c>
      <c r="F2149" s="10" t="s">
        <v>1066</v>
      </c>
      <c r="G2149" s="9">
        <v>920</v>
      </c>
      <c r="H2149" s="9">
        <v>1955</v>
      </c>
      <c r="I2149" s="8">
        <v>121.164</v>
      </c>
      <c r="J2149" s="8">
        <v>86.393000000000001</v>
      </c>
      <c r="K2149" s="8">
        <v>69.819999999999993</v>
      </c>
      <c r="L2149" s="8">
        <v>64.700999999999993</v>
      </c>
      <c r="M2149" s="8">
        <v>58.698999999999998</v>
      </c>
      <c r="N2149" s="8">
        <v>53.298999999999999</v>
      </c>
      <c r="O2149" s="8">
        <v>50.098999999999997</v>
      </c>
      <c r="P2149" s="8">
        <v>48.6</v>
      </c>
      <c r="Q2149" s="8">
        <v>42.8</v>
      </c>
      <c r="R2149" s="8">
        <v>34.299999999999997</v>
      </c>
      <c r="S2149" s="8">
        <v>24.597999999999999</v>
      </c>
      <c r="T2149" s="8">
        <v>14.002000000000001</v>
      </c>
      <c r="U2149" s="8">
        <v>6.7990000000000004</v>
      </c>
      <c r="V2149" s="8">
        <v>5.0999999999999996</v>
      </c>
      <c r="W2149" s="8">
        <v>2.8</v>
      </c>
      <c r="X2149" s="8">
        <v>1.8</v>
      </c>
      <c r="Y2149" s="8">
        <v>1.0680000000000001</v>
      </c>
      <c r="Z2149" s="8">
        <v>0.32200000000000001</v>
      </c>
      <c r="AA2149" s="8">
        <v>8.5000000000000006E-2</v>
      </c>
      <c r="AB2149" s="8">
        <v>1.4999999999999999E-2</v>
      </c>
      <c r="AC2149" s="8">
        <v>2E-3</v>
      </c>
    </row>
    <row r="2150" spans="1:29" ht="11.65" x14ac:dyDescent="0.35">
      <c r="A2150" s="12">
        <v>2133</v>
      </c>
      <c r="B2150" s="10" t="s">
        <v>1015</v>
      </c>
      <c r="C2150" s="11" t="s">
        <v>1166</v>
      </c>
      <c r="D2150" s="9"/>
      <c r="E2150" s="9">
        <v>702</v>
      </c>
      <c r="F2150" s="10" t="s">
        <v>1066</v>
      </c>
      <c r="G2150" s="9">
        <v>920</v>
      </c>
      <c r="H2150" s="9">
        <v>1960</v>
      </c>
      <c r="I2150" s="8">
        <v>155.798</v>
      </c>
      <c r="J2150" s="8">
        <v>120.456</v>
      </c>
      <c r="K2150" s="8">
        <v>87.628</v>
      </c>
      <c r="L2150" s="8">
        <v>74.722999999999999</v>
      </c>
      <c r="M2150" s="8">
        <v>71.900999999999996</v>
      </c>
      <c r="N2150" s="8">
        <v>65.899000000000001</v>
      </c>
      <c r="O2150" s="8">
        <v>57.899000000000001</v>
      </c>
      <c r="P2150" s="8">
        <v>52.000999999999998</v>
      </c>
      <c r="Q2150" s="8">
        <v>49.3</v>
      </c>
      <c r="R2150" s="8">
        <v>42.7</v>
      </c>
      <c r="S2150" s="8">
        <v>33.000999999999998</v>
      </c>
      <c r="T2150" s="8">
        <v>23.1</v>
      </c>
      <c r="U2150" s="8">
        <v>12.701000000000001</v>
      </c>
      <c r="V2150" s="8">
        <v>5.8979999999999997</v>
      </c>
      <c r="W2150" s="8">
        <v>3.9</v>
      </c>
      <c r="X2150" s="8">
        <v>2.1</v>
      </c>
      <c r="Y2150" s="8">
        <v>0.98199999999999998</v>
      </c>
      <c r="Z2150" s="8">
        <v>0.28100000000000003</v>
      </c>
      <c r="AA2150" s="8">
        <v>4.5999999999999999E-2</v>
      </c>
      <c r="AB2150" s="8">
        <v>7.0000000000000001E-3</v>
      </c>
      <c r="AC2150" s="8">
        <v>1E-3</v>
      </c>
    </row>
    <row r="2151" spans="1:29" ht="11.65" x14ac:dyDescent="0.35">
      <c r="A2151" s="12">
        <v>2134</v>
      </c>
      <c r="B2151" s="10" t="s">
        <v>1015</v>
      </c>
      <c r="C2151" s="11" t="s">
        <v>1166</v>
      </c>
      <c r="D2151" s="9"/>
      <c r="E2151" s="9">
        <v>702</v>
      </c>
      <c r="F2151" s="10" t="s">
        <v>1066</v>
      </c>
      <c r="G2151" s="9">
        <v>920</v>
      </c>
      <c r="H2151" s="9">
        <v>1965</v>
      </c>
      <c r="I2151" s="8">
        <v>144.89599999999999</v>
      </c>
      <c r="J2151" s="8">
        <v>153.256</v>
      </c>
      <c r="K2151" s="8">
        <v>123.1</v>
      </c>
      <c r="L2151" s="8">
        <v>97.632999999999996</v>
      </c>
      <c r="M2151" s="8">
        <v>69.322000000000003</v>
      </c>
      <c r="N2151" s="8">
        <v>69.299000000000007</v>
      </c>
      <c r="O2151" s="8">
        <v>62.298999999999999</v>
      </c>
      <c r="P2151" s="8">
        <v>55.098999999999997</v>
      </c>
      <c r="Q2151" s="8">
        <v>45.398000000000003</v>
      </c>
      <c r="R2151" s="8">
        <v>42.399000000000001</v>
      </c>
      <c r="S2151" s="8">
        <v>38.4</v>
      </c>
      <c r="T2151" s="8">
        <v>27.701000000000001</v>
      </c>
      <c r="U2151" s="8">
        <v>19.3</v>
      </c>
      <c r="V2151" s="8">
        <v>10.500999999999999</v>
      </c>
      <c r="W2151" s="8">
        <v>5.5979999999999999</v>
      </c>
      <c r="X2151" s="8">
        <v>2.8</v>
      </c>
      <c r="Y2151" s="8">
        <v>1.1259999999999999</v>
      </c>
      <c r="Z2151" s="8">
        <v>0.249</v>
      </c>
      <c r="AA2151" s="8">
        <v>3.7999999999999999E-2</v>
      </c>
      <c r="AB2151" s="8">
        <v>3.0000000000000001E-3</v>
      </c>
      <c r="AC2151" s="8">
        <v>0</v>
      </c>
    </row>
    <row r="2152" spans="1:29" ht="11.65" x14ac:dyDescent="0.35">
      <c r="A2152" s="12">
        <v>2135</v>
      </c>
      <c r="B2152" s="10" t="s">
        <v>1015</v>
      </c>
      <c r="C2152" s="11" t="s">
        <v>1166</v>
      </c>
      <c r="D2152" s="9"/>
      <c r="E2152" s="9">
        <v>702</v>
      </c>
      <c r="F2152" s="10" t="s">
        <v>1066</v>
      </c>
      <c r="G2152" s="9">
        <v>920</v>
      </c>
      <c r="H2152" s="9">
        <v>1970</v>
      </c>
      <c r="I2152" s="8">
        <v>120.96</v>
      </c>
      <c r="J2152" s="8">
        <v>143.33699999999999</v>
      </c>
      <c r="K2152" s="8">
        <v>148.49799999999999</v>
      </c>
      <c r="L2152" s="8">
        <v>126.11199999999999</v>
      </c>
      <c r="M2152" s="8">
        <v>103.233</v>
      </c>
      <c r="N2152" s="8">
        <v>66.521000000000001</v>
      </c>
      <c r="O2152" s="8">
        <v>68.498999999999995</v>
      </c>
      <c r="P2152" s="8">
        <v>58.399000000000001</v>
      </c>
      <c r="Q2152" s="8">
        <v>53.999000000000002</v>
      </c>
      <c r="R2152" s="8">
        <v>44.097000000000001</v>
      </c>
      <c r="S2152" s="8">
        <v>37.798999999999999</v>
      </c>
      <c r="T2152" s="8">
        <v>34</v>
      </c>
      <c r="U2152" s="8">
        <v>25</v>
      </c>
      <c r="V2152" s="8">
        <v>16.498999999999999</v>
      </c>
      <c r="W2152" s="8">
        <v>8.2989999999999995</v>
      </c>
      <c r="X2152" s="8">
        <v>3.9020000000000001</v>
      </c>
      <c r="Y2152" s="8">
        <v>1.4159999999999999</v>
      </c>
      <c r="Z2152" s="8">
        <v>0.318</v>
      </c>
      <c r="AA2152" s="8">
        <v>4.4999999999999998E-2</v>
      </c>
      <c r="AB2152" s="8">
        <v>4.0000000000000001E-3</v>
      </c>
      <c r="AC2152" s="8">
        <v>0</v>
      </c>
    </row>
    <row r="2153" spans="1:29" ht="11.65" x14ac:dyDescent="0.35">
      <c r="A2153" s="12">
        <v>2136</v>
      </c>
      <c r="B2153" s="10" t="s">
        <v>1015</v>
      </c>
      <c r="C2153" s="11" t="s">
        <v>1166</v>
      </c>
      <c r="D2153" s="9"/>
      <c r="E2153" s="9">
        <v>702</v>
      </c>
      <c r="F2153" s="10" t="s">
        <v>1066</v>
      </c>
      <c r="G2153" s="9">
        <v>920</v>
      </c>
      <c r="H2153" s="9">
        <v>1975</v>
      </c>
      <c r="I2153" s="8">
        <v>115.33799999999999</v>
      </c>
      <c r="J2153" s="8">
        <v>120.28100000000001</v>
      </c>
      <c r="K2153" s="8">
        <v>145.19800000000001</v>
      </c>
      <c r="L2153" s="8">
        <v>150.41499999999999</v>
      </c>
      <c r="M2153" s="8">
        <v>127.31399999999999</v>
      </c>
      <c r="N2153" s="8">
        <v>105.033</v>
      </c>
      <c r="O2153" s="8">
        <v>67.522999999999996</v>
      </c>
      <c r="P2153" s="8">
        <v>67.498999999999995</v>
      </c>
      <c r="Q2153" s="8">
        <v>56.6</v>
      </c>
      <c r="R2153" s="8">
        <v>51.499000000000002</v>
      </c>
      <c r="S2153" s="8">
        <v>40.997999999999998</v>
      </c>
      <c r="T2153" s="8">
        <v>34.5</v>
      </c>
      <c r="U2153" s="8">
        <v>29.8</v>
      </c>
      <c r="V2153" s="8">
        <v>21.701000000000001</v>
      </c>
      <c r="W2153" s="8">
        <v>12.1</v>
      </c>
      <c r="X2153" s="8">
        <v>5.8</v>
      </c>
      <c r="Y2153" s="8">
        <v>2.3570000000000002</v>
      </c>
      <c r="Z2153" s="8">
        <v>0.40100000000000002</v>
      </c>
      <c r="AA2153" s="8">
        <v>4.9000000000000002E-2</v>
      </c>
      <c r="AB2153" s="8">
        <v>3.0000000000000001E-3</v>
      </c>
      <c r="AC2153" s="8">
        <v>0</v>
      </c>
    </row>
    <row r="2154" spans="1:29" ht="11.65" x14ac:dyDescent="0.35">
      <c r="A2154" s="12">
        <v>2137</v>
      </c>
      <c r="B2154" s="10" t="s">
        <v>1015</v>
      </c>
      <c r="C2154" s="11" t="s">
        <v>1166</v>
      </c>
      <c r="D2154" s="9"/>
      <c r="E2154" s="9">
        <v>702</v>
      </c>
      <c r="F2154" s="10" t="s">
        <v>1066</v>
      </c>
      <c r="G2154" s="9">
        <v>920</v>
      </c>
      <c r="H2154" s="9">
        <v>1980</v>
      </c>
      <c r="I2154" s="8">
        <v>100.839</v>
      </c>
      <c r="J2154" s="8">
        <v>115.383</v>
      </c>
      <c r="K2154" s="8">
        <v>120.78100000000001</v>
      </c>
      <c r="L2154" s="8">
        <v>147.654</v>
      </c>
      <c r="M2154" s="8">
        <v>152.852</v>
      </c>
      <c r="N2154" s="8">
        <v>129.15100000000001</v>
      </c>
      <c r="O2154" s="8">
        <v>107.46299999999999</v>
      </c>
      <c r="P2154" s="8">
        <v>68.843999999999994</v>
      </c>
      <c r="Q2154" s="8">
        <v>66.513999999999996</v>
      </c>
      <c r="R2154" s="8">
        <v>54.715000000000003</v>
      </c>
      <c r="S2154" s="8">
        <v>48.311</v>
      </c>
      <c r="T2154" s="8">
        <v>37.006999999999998</v>
      </c>
      <c r="U2154" s="8">
        <v>29.81</v>
      </c>
      <c r="V2154" s="8">
        <v>23.704999999999998</v>
      </c>
      <c r="W2154" s="8">
        <v>16.073</v>
      </c>
      <c r="X2154" s="8">
        <v>7.12</v>
      </c>
      <c r="Y2154" s="8">
        <v>3.0979999999999999</v>
      </c>
      <c r="Z2154" s="8">
        <v>0.79600000000000004</v>
      </c>
      <c r="AA2154" s="8">
        <v>8.5000000000000006E-2</v>
      </c>
      <c r="AB2154" s="8">
        <v>5.0000000000000001E-3</v>
      </c>
      <c r="AC2154" s="8">
        <v>0</v>
      </c>
    </row>
    <row r="2155" spans="1:29" ht="11.65" x14ac:dyDescent="0.35">
      <c r="A2155" s="12">
        <v>2138</v>
      </c>
      <c r="B2155" s="10" t="s">
        <v>1015</v>
      </c>
      <c r="C2155" s="11" t="s">
        <v>1166</v>
      </c>
      <c r="D2155" s="9"/>
      <c r="E2155" s="9">
        <v>702</v>
      </c>
      <c r="F2155" s="10" t="s">
        <v>1066</v>
      </c>
      <c r="G2155" s="9">
        <v>920</v>
      </c>
      <c r="H2155" s="9">
        <v>1985</v>
      </c>
      <c r="I2155" s="8">
        <v>110.873</v>
      </c>
      <c r="J2155" s="8">
        <v>106.917</v>
      </c>
      <c r="K2155" s="8">
        <v>121.824</v>
      </c>
      <c r="L2155" s="8">
        <v>128.07900000000001</v>
      </c>
      <c r="M2155" s="8">
        <v>155.32</v>
      </c>
      <c r="N2155" s="8">
        <v>160.512</v>
      </c>
      <c r="O2155" s="8">
        <v>135.91999999999999</v>
      </c>
      <c r="P2155" s="8">
        <v>112.73399999999999</v>
      </c>
      <c r="Q2155" s="8">
        <v>72.626999999999995</v>
      </c>
      <c r="R2155" s="8">
        <v>69</v>
      </c>
      <c r="S2155" s="8">
        <v>56.1</v>
      </c>
      <c r="T2155" s="8">
        <v>47.999000000000002</v>
      </c>
      <c r="U2155" s="8">
        <v>35.497</v>
      </c>
      <c r="V2155" s="8">
        <v>27.199000000000002</v>
      </c>
      <c r="W2155" s="8">
        <v>19.798999999999999</v>
      </c>
      <c r="X2155" s="8">
        <v>11.901</v>
      </c>
      <c r="Y2155" s="8">
        <v>4.1959999999999997</v>
      </c>
      <c r="Z2155" s="8">
        <v>1.1599999999999999</v>
      </c>
      <c r="AA2155" s="8">
        <v>0.187</v>
      </c>
      <c r="AB2155" s="8">
        <v>1.2E-2</v>
      </c>
      <c r="AC2155" s="8">
        <v>0</v>
      </c>
    </row>
    <row r="2156" spans="1:29" ht="11.65" x14ac:dyDescent="0.35">
      <c r="A2156" s="12">
        <v>2139</v>
      </c>
      <c r="B2156" s="10" t="s">
        <v>1015</v>
      </c>
      <c r="C2156" s="11" t="s">
        <v>1166</v>
      </c>
      <c r="D2156" s="9"/>
      <c r="E2156" s="9">
        <v>702</v>
      </c>
      <c r="F2156" s="10" t="s">
        <v>1066</v>
      </c>
      <c r="G2156" s="9">
        <v>920</v>
      </c>
      <c r="H2156" s="9">
        <v>1990</v>
      </c>
      <c r="I2156" s="8">
        <v>118.202</v>
      </c>
      <c r="J2156" s="8">
        <v>109.776</v>
      </c>
      <c r="K2156" s="8">
        <v>107.267</v>
      </c>
      <c r="L2156" s="8">
        <v>128.684</v>
      </c>
      <c r="M2156" s="8">
        <v>152.91200000000001</v>
      </c>
      <c r="N2156" s="8">
        <v>172.14400000000001</v>
      </c>
      <c r="O2156" s="8">
        <v>169.982</v>
      </c>
      <c r="P2156" s="8">
        <v>142.58699999999999</v>
      </c>
      <c r="Q2156" s="8">
        <v>113.30200000000001</v>
      </c>
      <c r="R2156" s="8">
        <v>69.83</v>
      </c>
      <c r="S2156" s="8">
        <v>62.366</v>
      </c>
      <c r="T2156" s="8">
        <v>51.484999999999999</v>
      </c>
      <c r="U2156" s="8">
        <v>42.069000000000003</v>
      </c>
      <c r="V2156" s="8">
        <v>29.975999999999999</v>
      </c>
      <c r="W2156" s="8">
        <v>20.861999999999998</v>
      </c>
      <c r="X2156" s="8">
        <v>14.135999999999999</v>
      </c>
      <c r="Y2156" s="8">
        <v>7.694</v>
      </c>
      <c r="Z2156" s="8">
        <v>2.097</v>
      </c>
      <c r="AA2156" s="8">
        <v>0.41899999999999998</v>
      </c>
      <c r="AB2156" s="8">
        <v>4.2999999999999997E-2</v>
      </c>
      <c r="AC2156" s="8">
        <v>1E-3</v>
      </c>
    </row>
    <row r="2157" spans="1:29" ht="11.65" x14ac:dyDescent="0.35">
      <c r="A2157" s="12">
        <v>2140</v>
      </c>
      <c r="B2157" s="10" t="s">
        <v>1015</v>
      </c>
      <c r="C2157" s="11" t="s">
        <v>1166</v>
      </c>
      <c r="D2157" s="9"/>
      <c r="E2157" s="9">
        <v>702</v>
      </c>
      <c r="F2157" s="10" t="s">
        <v>1066</v>
      </c>
      <c r="G2157" s="9">
        <v>920</v>
      </c>
      <c r="H2157" s="9">
        <v>1995</v>
      </c>
      <c r="I2157" s="8">
        <v>134.381</v>
      </c>
      <c r="J2157" s="8">
        <v>125.252</v>
      </c>
      <c r="K2157" s="8">
        <v>114.06</v>
      </c>
      <c r="L2157" s="8">
        <v>127.699</v>
      </c>
      <c r="M2157" s="8">
        <v>147.08799999999999</v>
      </c>
      <c r="N2157" s="8">
        <v>162.59200000000001</v>
      </c>
      <c r="O2157" s="8">
        <v>191.81399999999999</v>
      </c>
      <c r="P2157" s="8">
        <v>192.55099999999999</v>
      </c>
      <c r="Q2157" s="8">
        <v>163.88300000000001</v>
      </c>
      <c r="R2157" s="8">
        <v>130.13</v>
      </c>
      <c r="S2157" s="8">
        <v>79.373999999999995</v>
      </c>
      <c r="T2157" s="8">
        <v>71.272999999999996</v>
      </c>
      <c r="U2157" s="8">
        <v>57.710999999999999</v>
      </c>
      <c r="V2157" s="8">
        <v>38.006999999999998</v>
      </c>
      <c r="W2157" s="8">
        <v>24.763999999999999</v>
      </c>
      <c r="X2157" s="8">
        <v>15.186</v>
      </c>
      <c r="Y2157" s="8">
        <v>8.94</v>
      </c>
      <c r="Z2157" s="8">
        <v>4.5190000000000001</v>
      </c>
      <c r="AA2157" s="8">
        <v>0.99199999999999999</v>
      </c>
      <c r="AB2157" s="8">
        <v>0.127</v>
      </c>
      <c r="AC2157" s="8">
        <v>8.0000000000000002E-3</v>
      </c>
    </row>
    <row r="2158" spans="1:29" ht="11.65" x14ac:dyDescent="0.35">
      <c r="A2158" s="12">
        <v>2141</v>
      </c>
      <c r="B2158" s="10" t="s">
        <v>1015</v>
      </c>
      <c r="C2158" s="11" t="s">
        <v>1166</v>
      </c>
      <c r="D2158" s="9"/>
      <c r="E2158" s="9">
        <v>702</v>
      </c>
      <c r="F2158" s="10" t="s">
        <v>1066</v>
      </c>
      <c r="G2158" s="9">
        <v>920</v>
      </c>
      <c r="H2158" s="9">
        <v>2000</v>
      </c>
      <c r="I2158" s="8">
        <v>122.685</v>
      </c>
      <c r="J2158" s="8">
        <v>138.91800000000001</v>
      </c>
      <c r="K2158" s="8">
        <v>127.815</v>
      </c>
      <c r="L2158" s="8">
        <v>147.09</v>
      </c>
      <c r="M2158" s="8">
        <v>143.37299999999999</v>
      </c>
      <c r="N2158" s="8">
        <v>174.441</v>
      </c>
      <c r="O2158" s="8">
        <v>191.37100000000001</v>
      </c>
      <c r="P2158" s="8">
        <v>218.64099999999999</v>
      </c>
      <c r="Q2158" s="8">
        <v>212.72</v>
      </c>
      <c r="R2158" s="8">
        <v>178.73599999999999</v>
      </c>
      <c r="S2158" s="8">
        <v>140.03100000000001</v>
      </c>
      <c r="T2158" s="8">
        <v>83.537000000000006</v>
      </c>
      <c r="U2158" s="8">
        <v>72.896000000000001</v>
      </c>
      <c r="V2158" s="8">
        <v>45.37</v>
      </c>
      <c r="W2158" s="8">
        <v>33.497999999999998</v>
      </c>
      <c r="X2158" s="8">
        <v>18.948</v>
      </c>
      <c r="Y2158" s="8">
        <v>9.5489999999999995</v>
      </c>
      <c r="Z2158" s="8">
        <v>4.5640000000000001</v>
      </c>
      <c r="AA2158" s="8">
        <v>1.716</v>
      </c>
      <c r="AB2158" s="8">
        <v>0.25800000000000001</v>
      </c>
      <c r="AC2158" s="8">
        <v>1.9E-2</v>
      </c>
    </row>
    <row r="2159" spans="1:29" ht="11.65" x14ac:dyDescent="0.35">
      <c r="A2159" s="12">
        <v>2142</v>
      </c>
      <c r="B2159" s="10" t="s">
        <v>1015</v>
      </c>
      <c r="C2159" s="11" t="s">
        <v>1166</v>
      </c>
      <c r="D2159" s="9"/>
      <c r="E2159" s="9">
        <v>702</v>
      </c>
      <c r="F2159" s="10" t="s">
        <v>1066</v>
      </c>
      <c r="G2159" s="9">
        <v>920</v>
      </c>
      <c r="H2159" s="9">
        <v>2005</v>
      </c>
      <c r="I2159" s="8">
        <v>108.657</v>
      </c>
      <c r="J2159" s="8">
        <v>129.458</v>
      </c>
      <c r="K2159" s="8">
        <v>140.69900000000001</v>
      </c>
      <c r="L2159" s="8">
        <v>160.23400000000001</v>
      </c>
      <c r="M2159" s="8">
        <v>146.61099999999999</v>
      </c>
      <c r="N2159" s="8">
        <v>156.71100000000001</v>
      </c>
      <c r="O2159" s="8">
        <v>187.48699999999999</v>
      </c>
      <c r="P2159" s="8">
        <v>194.98599999999999</v>
      </c>
      <c r="Q2159" s="8">
        <v>214.70699999999999</v>
      </c>
      <c r="R2159" s="8">
        <v>205.9</v>
      </c>
      <c r="S2159" s="8">
        <v>169.90799999999999</v>
      </c>
      <c r="T2159" s="8">
        <v>130.667</v>
      </c>
      <c r="U2159" s="8">
        <v>75.896000000000001</v>
      </c>
      <c r="V2159" s="8">
        <v>52.332000000000001</v>
      </c>
      <c r="W2159" s="8">
        <v>37.844999999999999</v>
      </c>
      <c r="X2159" s="8">
        <v>23.646999999999998</v>
      </c>
      <c r="Y2159" s="8">
        <v>11.974</v>
      </c>
      <c r="Z2159" s="8">
        <v>5.6580000000000004</v>
      </c>
      <c r="AA2159" s="8">
        <v>2.105</v>
      </c>
      <c r="AB2159" s="8">
        <v>0.52900000000000003</v>
      </c>
      <c r="AC2159" s="8">
        <v>4.9000000000000002E-2</v>
      </c>
    </row>
    <row r="2160" spans="1:29" ht="11.65" x14ac:dyDescent="0.35">
      <c r="A2160" s="12">
        <v>2143</v>
      </c>
      <c r="B2160" s="10" t="s">
        <v>1015</v>
      </c>
      <c r="C2160" s="11" t="s">
        <v>1166</v>
      </c>
      <c r="D2160" s="9"/>
      <c r="E2160" s="9">
        <v>702</v>
      </c>
      <c r="F2160" s="10" t="s">
        <v>1066</v>
      </c>
      <c r="G2160" s="9">
        <v>920</v>
      </c>
      <c r="H2160" s="9">
        <v>2010</v>
      </c>
      <c r="I2160" s="8">
        <v>108.64100000000001</v>
      </c>
      <c r="J2160" s="8">
        <v>122.018</v>
      </c>
      <c r="K2160" s="8">
        <v>138.21600000000001</v>
      </c>
      <c r="L2160" s="8">
        <v>210.423</v>
      </c>
      <c r="M2160" s="8">
        <v>192.27600000000001</v>
      </c>
      <c r="N2160" s="8">
        <v>205.51599999999999</v>
      </c>
      <c r="O2160" s="8">
        <v>224.13900000000001</v>
      </c>
      <c r="P2160" s="8">
        <v>243.66</v>
      </c>
      <c r="Q2160" s="8">
        <v>237.62100000000001</v>
      </c>
      <c r="R2160" s="8">
        <v>253.066</v>
      </c>
      <c r="S2160" s="8">
        <v>236.488</v>
      </c>
      <c r="T2160" s="8">
        <v>193.309</v>
      </c>
      <c r="U2160" s="8">
        <v>146.84399999999999</v>
      </c>
      <c r="V2160" s="8">
        <v>57.387</v>
      </c>
      <c r="W2160" s="8">
        <v>47.000999999999998</v>
      </c>
      <c r="X2160" s="8">
        <v>30.873000000000001</v>
      </c>
      <c r="Y2160" s="8">
        <v>16.986999999999998</v>
      </c>
      <c r="Z2160" s="8">
        <v>7.1440000000000001</v>
      </c>
      <c r="AA2160" s="8">
        <v>2.661</v>
      </c>
      <c r="AB2160" s="8">
        <v>0.749</v>
      </c>
      <c r="AC2160" s="8">
        <v>0.122</v>
      </c>
    </row>
    <row r="2161" spans="1:29" ht="11.65" x14ac:dyDescent="0.35">
      <c r="A2161" s="12">
        <v>2144</v>
      </c>
      <c r="B2161" s="10" t="s">
        <v>1015</v>
      </c>
      <c r="C2161" s="11" t="s">
        <v>1166</v>
      </c>
      <c r="D2161" s="9"/>
      <c r="E2161" s="9">
        <v>702</v>
      </c>
      <c r="F2161" s="10" t="s">
        <v>1066</v>
      </c>
      <c r="G2161" s="9">
        <v>920</v>
      </c>
      <c r="H2161" s="9">
        <v>2015</v>
      </c>
      <c r="I2161" s="8">
        <v>111.764</v>
      </c>
      <c r="J2161" s="8">
        <v>121.483</v>
      </c>
      <c r="K2161" s="8">
        <v>128.89500000000001</v>
      </c>
      <c r="L2161" s="8">
        <v>205.07599999999999</v>
      </c>
      <c r="M2161" s="8">
        <v>224.655</v>
      </c>
      <c r="N2161" s="8">
        <v>220.30199999999999</v>
      </c>
      <c r="O2161" s="8">
        <v>231.04900000000001</v>
      </c>
      <c r="P2161" s="8">
        <v>241.45</v>
      </c>
      <c r="Q2161" s="8">
        <v>258.17399999999998</v>
      </c>
      <c r="R2161" s="8">
        <v>249.24</v>
      </c>
      <c r="S2161" s="8">
        <v>263.54899999999998</v>
      </c>
      <c r="T2161" s="8">
        <v>245.62299999999999</v>
      </c>
      <c r="U2161" s="8">
        <v>198.78899999999999</v>
      </c>
      <c r="V2161" s="8">
        <v>98.040999999999997</v>
      </c>
      <c r="W2161" s="8">
        <v>51.103999999999999</v>
      </c>
      <c r="X2161" s="8">
        <v>39.356999999999999</v>
      </c>
      <c r="Y2161" s="8">
        <v>22.768999999999998</v>
      </c>
      <c r="Z2161" s="8">
        <v>10.795</v>
      </c>
      <c r="AA2161" s="8">
        <v>3.42</v>
      </c>
      <c r="AB2161" s="8">
        <v>0.81899999999999995</v>
      </c>
      <c r="AC2161" s="8">
        <v>0.13</v>
      </c>
    </row>
    <row r="2162" spans="1:29" ht="11.65" x14ac:dyDescent="0.35">
      <c r="A2162" s="12">
        <v>2145</v>
      </c>
      <c r="B2162" s="10" t="s">
        <v>1015</v>
      </c>
      <c r="C2162" s="11" t="s">
        <v>1166</v>
      </c>
      <c r="D2162" s="9"/>
      <c r="E2162" s="9">
        <v>702</v>
      </c>
      <c r="F2162" s="10" t="s">
        <v>1066</v>
      </c>
      <c r="G2162" s="9">
        <v>920</v>
      </c>
      <c r="H2162" s="9">
        <v>2020</v>
      </c>
      <c r="I2162" s="8">
        <v>134.065</v>
      </c>
      <c r="J2162" s="8">
        <v>113.785</v>
      </c>
      <c r="K2162" s="8">
        <v>123.017</v>
      </c>
      <c r="L2162" s="8">
        <v>136.87200000000001</v>
      </c>
      <c r="M2162" s="8">
        <v>219.32</v>
      </c>
      <c r="N2162" s="8">
        <v>238.24799999999999</v>
      </c>
      <c r="O2162" s="8">
        <v>230.476</v>
      </c>
      <c r="P2162" s="8">
        <v>237.81399999999999</v>
      </c>
      <c r="Q2162" s="8">
        <v>245.43100000000001</v>
      </c>
      <c r="R2162" s="8">
        <v>259.745</v>
      </c>
      <c r="S2162" s="8">
        <v>248.65299999999999</v>
      </c>
      <c r="T2162" s="8">
        <v>259.89299999999997</v>
      </c>
      <c r="U2162" s="8">
        <v>238.77699999999999</v>
      </c>
      <c r="V2162" s="8">
        <v>189.39500000000001</v>
      </c>
      <c r="W2162" s="8">
        <v>90.150999999999996</v>
      </c>
      <c r="X2162" s="8">
        <v>44.139000000000003</v>
      </c>
      <c r="Y2162" s="8">
        <v>30.745000000000001</v>
      </c>
      <c r="Z2162" s="8">
        <v>15.018000000000001</v>
      </c>
      <c r="AA2162" s="8">
        <v>5.4340000000000002</v>
      </c>
      <c r="AB2162" s="8">
        <v>1.1259999999999999</v>
      </c>
      <c r="AC2162" s="8">
        <v>0.153</v>
      </c>
    </row>
    <row r="2163" spans="1:29" ht="11.65" x14ac:dyDescent="0.35">
      <c r="A2163" s="12">
        <v>2146</v>
      </c>
      <c r="B2163" s="10" t="s">
        <v>1015</v>
      </c>
      <c r="C2163" s="11" t="s">
        <v>1167</v>
      </c>
      <c r="D2163" s="9"/>
      <c r="E2163" s="9">
        <v>764</v>
      </c>
      <c r="F2163" s="10" t="s">
        <v>1066</v>
      </c>
      <c r="G2163" s="9">
        <v>920</v>
      </c>
      <c r="H2163" s="9">
        <v>1950</v>
      </c>
      <c r="I2163" s="8">
        <v>1729.471</v>
      </c>
      <c r="J2163" s="8">
        <v>1393.9649999999999</v>
      </c>
      <c r="K2163" s="8">
        <v>1302.2860000000001</v>
      </c>
      <c r="L2163" s="8">
        <v>1118.002</v>
      </c>
      <c r="M2163" s="8">
        <v>968.399</v>
      </c>
      <c r="N2163" s="8">
        <v>769.827</v>
      </c>
      <c r="O2163" s="8">
        <v>637.67499999999995</v>
      </c>
      <c r="P2163" s="8">
        <v>562.41</v>
      </c>
      <c r="Q2163" s="8">
        <v>479.87799999999999</v>
      </c>
      <c r="R2163" s="8">
        <v>401.67700000000002</v>
      </c>
      <c r="S2163" s="8">
        <v>324.04199999999997</v>
      </c>
      <c r="T2163" s="8">
        <v>235.23099999999999</v>
      </c>
      <c r="U2163" s="8">
        <v>170.41</v>
      </c>
      <c r="V2163" s="8">
        <v>133.488</v>
      </c>
      <c r="W2163" s="8">
        <v>78.421000000000006</v>
      </c>
      <c r="X2163" s="8">
        <v>50.146999999999998</v>
      </c>
      <c r="Y2163" s="8">
        <v>20.221</v>
      </c>
      <c r="Z2163" s="8">
        <v>9.14</v>
      </c>
      <c r="AA2163" s="8">
        <v>3.169</v>
      </c>
      <c r="AB2163" s="8">
        <v>0.77</v>
      </c>
      <c r="AC2163" s="8">
        <v>0.13800000000000001</v>
      </c>
    </row>
    <row r="2164" spans="1:29" ht="11.65" x14ac:dyDescent="0.35">
      <c r="A2164" s="12">
        <v>2147</v>
      </c>
      <c r="B2164" s="10" t="s">
        <v>1015</v>
      </c>
      <c r="C2164" s="11" t="s">
        <v>1167</v>
      </c>
      <c r="D2164" s="9"/>
      <c r="E2164" s="9">
        <v>764</v>
      </c>
      <c r="F2164" s="10" t="s">
        <v>1066</v>
      </c>
      <c r="G2164" s="9">
        <v>920</v>
      </c>
      <c r="H2164" s="9">
        <v>1955</v>
      </c>
      <c r="I2164" s="8">
        <v>2027.925</v>
      </c>
      <c r="J2164" s="8">
        <v>1618.527</v>
      </c>
      <c r="K2164" s="8">
        <v>1350.377</v>
      </c>
      <c r="L2164" s="8">
        <v>1275.3150000000001</v>
      </c>
      <c r="M2164" s="8">
        <v>1095.7650000000001</v>
      </c>
      <c r="N2164" s="8">
        <v>943.85900000000004</v>
      </c>
      <c r="O2164" s="8">
        <v>747.33199999999999</v>
      </c>
      <c r="P2164" s="8">
        <v>614.43299999999999</v>
      </c>
      <c r="Q2164" s="8">
        <v>536.65200000000004</v>
      </c>
      <c r="R2164" s="8">
        <v>452.12200000000001</v>
      </c>
      <c r="S2164" s="8">
        <v>371.70699999999999</v>
      </c>
      <c r="T2164" s="8">
        <v>294.70600000000002</v>
      </c>
      <c r="U2164" s="8">
        <v>207.25700000000001</v>
      </c>
      <c r="V2164" s="8">
        <v>141.86099999999999</v>
      </c>
      <c r="W2164" s="8">
        <v>100.765</v>
      </c>
      <c r="X2164" s="8">
        <v>52.045000000000002</v>
      </c>
      <c r="Y2164" s="8">
        <v>28.4</v>
      </c>
      <c r="Z2164" s="8">
        <v>9.141</v>
      </c>
      <c r="AA2164" s="8">
        <v>3.1680000000000001</v>
      </c>
      <c r="AB2164" s="8">
        <v>0.77</v>
      </c>
      <c r="AC2164" s="8">
        <v>0.13800000000000001</v>
      </c>
    </row>
    <row r="2165" spans="1:29" ht="11.65" x14ac:dyDescent="0.35">
      <c r="A2165" s="12">
        <v>2148</v>
      </c>
      <c r="B2165" s="10" t="s">
        <v>1015</v>
      </c>
      <c r="C2165" s="11" t="s">
        <v>1167</v>
      </c>
      <c r="D2165" s="9"/>
      <c r="E2165" s="9">
        <v>764</v>
      </c>
      <c r="F2165" s="10" t="s">
        <v>1066</v>
      </c>
      <c r="G2165" s="9">
        <v>920</v>
      </c>
      <c r="H2165" s="9">
        <v>1960</v>
      </c>
      <c r="I2165" s="8">
        <v>2422.7629999999999</v>
      </c>
      <c r="J2165" s="8">
        <v>1918.903</v>
      </c>
      <c r="K2165" s="8">
        <v>1572.366</v>
      </c>
      <c r="L2165" s="8">
        <v>1325.934</v>
      </c>
      <c r="M2165" s="8">
        <v>1253.5709999999999</v>
      </c>
      <c r="N2165" s="8">
        <v>1073.51</v>
      </c>
      <c r="O2165" s="8">
        <v>921.34</v>
      </c>
      <c r="P2165" s="8">
        <v>724.37599999999998</v>
      </c>
      <c r="Q2165" s="8">
        <v>589.44299999999998</v>
      </c>
      <c r="R2165" s="8">
        <v>507.46</v>
      </c>
      <c r="S2165" s="8">
        <v>419.83600000000001</v>
      </c>
      <c r="T2165" s="8">
        <v>337.54399999999998</v>
      </c>
      <c r="U2165" s="8">
        <v>259.029</v>
      </c>
      <c r="V2165" s="8">
        <v>172.691</v>
      </c>
      <c r="W2165" s="8">
        <v>107.07899999999999</v>
      </c>
      <c r="X2165" s="8">
        <v>66.873000000000005</v>
      </c>
      <c r="Y2165" s="8">
        <v>29.474</v>
      </c>
      <c r="Z2165" s="8">
        <v>12.837</v>
      </c>
      <c r="AA2165" s="8">
        <v>3.1680000000000001</v>
      </c>
      <c r="AB2165" s="8">
        <v>0.77</v>
      </c>
      <c r="AC2165" s="8">
        <v>0.13800000000000001</v>
      </c>
    </row>
    <row r="2166" spans="1:29" ht="11.65" x14ac:dyDescent="0.35">
      <c r="A2166" s="12">
        <v>2149</v>
      </c>
      <c r="B2166" s="10" t="s">
        <v>1015</v>
      </c>
      <c r="C2166" s="11" t="s">
        <v>1167</v>
      </c>
      <c r="D2166" s="9"/>
      <c r="E2166" s="9">
        <v>764</v>
      </c>
      <c r="F2166" s="10" t="s">
        <v>1066</v>
      </c>
      <c r="G2166" s="9">
        <v>920</v>
      </c>
      <c r="H2166" s="9">
        <v>1965</v>
      </c>
      <c r="I2166" s="8">
        <v>2837.4960000000001</v>
      </c>
      <c r="J2166" s="8">
        <v>2317.1060000000002</v>
      </c>
      <c r="K2166" s="8">
        <v>1871.104</v>
      </c>
      <c r="L2166" s="8">
        <v>1545.7619999999999</v>
      </c>
      <c r="M2166" s="8">
        <v>1305.5139999999999</v>
      </c>
      <c r="N2166" s="8">
        <v>1231.182</v>
      </c>
      <c r="O2166" s="8">
        <v>1051.1600000000001</v>
      </c>
      <c r="P2166" s="8">
        <v>895.75400000000002</v>
      </c>
      <c r="Q2166" s="8">
        <v>697.13800000000003</v>
      </c>
      <c r="R2166" s="8">
        <v>559.61099999999999</v>
      </c>
      <c r="S2166" s="8">
        <v>472.58600000000001</v>
      </c>
      <c r="T2166" s="8">
        <v>381.87</v>
      </c>
      <c r="U2166" s="8">
        <v>295.86399999999998</v>
      </c>
      <c r="V2166" s="8">
        <v>215.73599999999999</v>
      </c>
      <c r="W2166" s="8">
        <v>132.64699999999999</v>
      </c>
      <c r="X2166" s="8">
        <v>72.376000000000005</v>
      </c>
      <c r="Y2166" s="8">
        <v>37.874000000000002</v>
      </c>
      <c r="Z2166" s="8">
        <v>13.327999999999999</v>
      </c>
      <c r="AA2166" s="8">
        <v>4.4530000000000003</v>
      </c>
      <c r="AB2166" s="8">
        <v>0.76900000000000002</v>
      </c>
      <c r="AC2166" s="8">
        <v>0.13700000000000001</v>
      </c>
    </row>
    <row r="2167" spans="1:29" ht="11.65" x14ac:dyDescent="0.35">
      <c r="A2167" s="12">
        <v>2150</v>
      </c>
      <c r="B2167" s="10" t="s">
        <v>1015</v>
      </c>
      <c r="C2167" s="11" t="s">
        <v>1167</v>
      </c>
      <c r="D2167" s="9"/>
      <c r="E2167" s="9">
        <v>764</v>
      </c>
      <c r="F2167" s="10" t="s">
        <v>1066</v>
      </c>
      <c r="G2167" s="9">
        <v>920</v>
      </c>
      <c r="H2167" s="9">
        <v>1970</v>
      </c>
      <c r="I2167" s="8">
        <v>3218.7550000000001</v>
      </c>
      <c r="J2167" s="8">
        <v>2740.17</v>
      </c>
      <c r="K2167" s="8">
        <v>2267.9360000000001</v>
      </c>
      <c r="L2167" s="8">
        <v>1842.7</v>
      </c>
      <c r="M2167" s="8">
        <v>1521.2</v>
      </c>
      <c r="N2167" s="8">
        <v>1281.2719999999999</v>
      </c>
      <c r="O2167" s="8">
        <v>1205.635</v>
      </c>
      <c r="P2167" s="8">
        <v>1023.211</v>
      </c>
      <c r="Q2167" s="8">
        <v>863.82799999999997</v>
      </c>
      <c r="R2167" s="8">
        <v>663.73199999999997</v>
      </c>
      <c r="S2167" s="8">
        <v>523.35400000000004</v>
      </c>
      <c r="T2167" s="8">
        <v>431.48500000000001</v>
      </c>
      <c r="U2167" s="8">
        <v>335.82299999999998</v>
      </c>
      <c r="V2167" s="8">
        <v>246.857</v>
      </c>
      <c r="W2167" s="8">
        <v>165.67699999999999</v>
      </c>
      <c r="X2167" s="8">
        <v>89.628</v>
      </c>
      <c r="Y2167" s="8">
        <v>41.255000000000003</v>
      </c>
      <c r="Z2167" s="8">
        <v>17.308</v>
      </c>
      <c r="AA2167" s="8">
        <v>4.6289999999999996</v>
      </c>
      <c r="AB2167" s="8">
        <v>1.08</v>
      </c>
      <c r="AC2167" s="8">
        <v>0.13600000000000001</v>
      </c>
    </row>
    <row r="2168" spans="1:29" ht="11.65" x14ac:dyDescent="0.35">
      <c r="A2168" s="12">
        <v>2151</v>
      </c>
      <c r="B2168" s="10" t="s">
        <v>1015</v>
      </c>
      <c r="C2168" s="11" t="s">
        <v>1167</v>
      </c>
      <c r="D2168" s="9"/>
      <c r="E2168" s="9">
        <v>764</v>
      </c>
      <c r="F2168" s="10" t="s">
        <v>1066</v>
      </c>
      <c r="G2168" s="9">
        <v>920</v>
      </c>
      <c r="H2168" s="9">
        <v>1975</v>
      </c>
      <c r="I2168" s="8">
        <v>3270.2420000000002</v>
      </c>
      <c r="J2168" s="8">
        <v>3155.5889999999999</v>
      </c>
      <c r="K2168" s="8">
        <v>2703.672</v>
      </c>
      <c r="L2168" s="8">
        <v>2278.2080000000001</v>
      </c>
      <c r="M2168" s="8">
        <v>1885.347</v>
      </c>
      <c r="N2168" s="8">
        <v>1529.5170000000001</v>
      </c>
      <c r="O2168" s="8">
        <v>1253.981</v>
      </c>
      <c r="P2168" s="8">
        <v>1174.999</v>
      </c>
      <c r="Q2168" s="8">
        <v>989.38300000000004</v>
      </c>
      <c r="R2168" s="8">
        <v>825.24099999999999</v>
      </c>
      <c r="S2168" s="8">
        <v>623.01900000000001</v>
      </c>
      <c r="T2168" s="8">
        <v>480.30799999999999</v>
      </c>
      <c r="U2168" s="8">
        <v>382.04199999999997</v>
      </c>
      <c r="V2168" s="8">
        <v>281.61200000000002</v>
      </c>
      <c r="W2168" s="8">
        <v>190.072</v>
      </c>
      <c r="X2168" s="8">
        <v>112.60299999999999</v>
      </c>
      <c r="Y2168" s="8">
        <v>51.457000000000001</v>
      </c>
      <c r="Z2168" s="8">
        <v>18.949000000000002</v>
      </c>
      <c r="AA2168" s="8">
        <v>6.0229999999999997</v>
      </c>
      <c r="AB2168" s="8">
        <v>1.1200000000000001</v>
      </c>
      <c r="AC2168" s="8">
        <v>0.18099999999999999</v>
      </c>
    </row>
    <row r="2169" spans="1:29" ht="11.65" x14ac:dyDescent="0.35">
      <c r="A2169" s="12">
        <v>2152</v>
      </c>
      <c r="B2169" s="10" t="s">
        <v>1015</v>
      </c>
      <c r="C2169" s="11" t="s">
        <v>1167</v>
      </c>
      <c r="D2169" s="9"/>
      <c r="E2169" s="9">
        <v>764</v>
      </c>
      <c r="F2169" s="10" t="s">
        <v>1066</v>
      </c>
      <c r="G2169" s="9">
        <v>920</v>
      </c>
      <c r="H2169" s="9">
        <v>1980</v>
      </c>
      <c r="I2169" s="8">
        <v>3132.8040000000001</v>
      </c>
      <c r="J2169" s="8">
        <v>3236.2130000000002</v>
      </c>
      <c r="K2169" s="8">
        <v>3130.002</v>
      </c>
      <c r="L2169" s="8">
        <v>2681.9830000000002</v>
      </c>
      <c r="M2169" s="8">
        <v>2285.1610000000001</v>
      </c>
      <c r="N2169" s="8">
        <v>1882.569</v>
      </c>
      <c r="O2169" s="8">
        <v>1496.9829999999999</v>
      </c>
      <c r="P2169" s="8">
        <v>1222.3040000000001</v>
      </c>
      <c r="Q2169" s="8">
        <v>1137.5170000000001</v>
      </c>
      <c r="R2169" s="8">
        <v>947.93700000000001</v>
      </c>
      <c r="S2169" s="8">
        <v>778.86300000000006</v>
      </c>
      <c r="T2169" s="8">
        <v>576.44200000000001</v>
      </c>
      <c r="U2169" s="8">
        <v>429.90899999999999</v>
      </c>
      <c r="V2169" s="8">
        <v>325.92200000000003</v>
      </c>
      <c r="W2169" s="8">
        <v>223.46199999999999</v>
      </c>
      <c r="X2169" s="8">
        <v>135.50200000000001</v>
      </c>
      <c r="Y2169" s="8">
        <v>67.772000000000006</v>
      </c>
      <c r="Z2169" s="8">
        <v>24.341000000000001</v>
      </c>
      <c r="AA2169" s="8">
        <v>6.77</v>
      </c>
      <c r="AB2169" s="8">
        <v>1.446</v>
      </c>
      <c r="AC2169" s="8">
        <v>0.184</v>
      </c>
    </row>
    <row r="2170" spans="1:29" ht="11.65" x14ac:dyDescent="0.35">
      <c r="A2170" s="12">
        <v>2153</v>
      </c>
      <c r="B2170" s="10" t="s">
        <v>1015</v>
      </c>
      <c r="C2170" s="11" t="s">
        <v>1167</v>
      </c>
      <c r="D2170" s="9"/>
      <c r="E2170" s="9">
        <v>764</v>
      </c>
      <c r="F2170" s="10" t="s">
        <v>1066</v>
      </c>
      <c r="G2170" s="9">
        <v>920</v>
      </c>
      <c r="H2170" s="9">
        <v>1985</v>
      </c>
      <c r="I2170" s="8">
        <v>2925.125</v>
      </c>
      <c r="J2170" s="8">
        <v>3089.1959999999999</v>
      </c>
      <c r="K2170" s="8">
        <v>3201.1959999999999</v>
      </c>
      <c r="L2170" s="8">
        <v>3072.549</v>
      </c>
      <c r="M2170" s="8">
        <v>2598.8470000000002</v>
      </c>
      <c r="N2170" s="8">
        <v>2234.4</v>
      </c>
      <c r="O2170" s="8">
        <v>1867.711</v>
      </c>
      <c r="P2170" s="8">
        <v>1486.6980000000001</v>
      </c>
      <c r="Q2170" s="8">
        <v>1214.4680000000001</v>
      </c>
      <c r="R2170" s="8">
        <v>1120.7080000000001</v>
      </c>
      <c r="S2170" s="8">
        <v>925.26499999999999</v>
      </c>
      <c r="T2170" s="8">
        <v>750.13499999999999</v>
      </c>
      <c r="U2170" s="8">
        <v>530.11599999999999</v>
      </c>
      <c r="V2170" s="8">
        <v>369.95100000000002</v>
      </c>
      <c r="W2170" s="8">
        <v>262.11399999999998</v>
      </c>
      <c r="X2170" s="8">
        <v>163.80500000000001</v>
      </c>
      <c r="Y2170" s="8">
        <v>82.867999999999995</v>
      </c>
      <c r="Z2170" s="8">
        <v>32.090000000000003</v>
      </c>
      <c r="AA2170" s="8">
        <v>8.7289999999999992</v>
      </c>
      <c r="AB2170" s="8">
        <v>1.607</v>
      </c>
      <c r="AC2170" s="8">
        <v>0.224</v>
      </c>
    </row>
    <row r="2171" spans="1:29" ht="11.65" x14ac:dyDescent="0.35">
      <c r="A2171" s="12">
        <v>2154</v>
      </c>
      <c r="B2171" s="10" t="s">
        <v>1015</v>
      </c>
      <c r="C2171" s="11" t="s">
        <v>1167</v>
      </c>
      <c r="D2171" s="9"/>
      <c r="E2171" s="9">
        <v>764</v>
      </c>
      <c r="F2171" s="10" t="s">
        <v>1066</v>
      </c>
      <c r="G2171" s="9">
        <v>920</v>
      </c>
      <c r="H2171" s="9">
        <v>1990</v>
      </c>
      <c r="I2171" s="8">
        <v>2730.069</v>
      </c>
      <c r="J2171" s="8">
        <v>2897.366</v>
      </c>
      <c r="K2171" s="8">
        <v>3068.096</v>
      </c>
      <c r="L2171" s="8">
        <v>3126.7660000000001</v>
      </c>
      <c r="M2171" s="8">
        <v>2951.8719999999998</v>
      </c>
      <c r="N2171" s="8">
        <v>2529.268</v>
      </c>
      <c r="O2171" s="8">
        <v>2220.0569999999998</v>
      </c>
      <c r="P2171" s="8">
        <v>1871.6469999999999</v>
      </c>
      <c r="Q2171" s="8">
        <v>1492.394</v>
      </c>
      <c r="R2171" s="8">
        <v>1222.269</v>
      </c>
      <c r="S2171" s="8">
        <v>1116.8309999999999</v>
      </c>
      <c r="T2171" s="8">
        <v>914.40700000000004</v>
      </c>
      <c r="U2171" s="8">
        <v>730.327</v>
      </c>
      <c r="V2171" s="8">
        <v>484.185</v>
      </c>
      <c r="W2171" s="8">
        <v>307.14</v>
      </c>
      <c r="X2171" s="8">
        <v>198.821</v>
      </c>
      <c r="Y2171" s="8">
        <v>102.10299999999999</v>
      </c>
      <c r="Z2171" s="8">
        <v>39.877000000000002</v>
      </c>
      <c r="AA2171" s="8">
        <v>12.298999999999999</v>
      </c>
      <c r="AB2171" s="8">
        <v>2.3119999999999998</v>
      </c>
      <c r="AC2171" s="8">
        <v>0.29199999999999998</v>
      </c>
    </row>
    <row r="2172" spans="1:29" ht="11.65" x14ac:dyDescent="0.35">
      <c r="A2172" s="12">
        <v>2155</v>
      </c>
      <c r="B2172" s="10" t="s">
        <v>1015</v>
      </c>
      <c r="C2172" s="11" t="s">
        <v>1167</v>
      </c>
      <c r="D2172" s="9"/>
      <c r="E2172" s="9">
        <v>764</v>
      </c>
      <c r="F2172" s="10" t="s">
        <v>1066</v>
      </c>
      <c r="G2172" s="9">
        <v>920</v>
      </c>
      <c r="H2172" s="9">
        <v>1995</v>
      </c>
      <c r="I2172" s="8">
        <v>2621.8629999999998</v>
      </c>
      <c r="J2172" s="8">
        <v>2710.74</v>
      </c>
      <c r="K2172" s="8">
        <v>2880.0990000000002</v>
      </c>
      <c r="L2172" s="8">
        <v>3016.471</v>
      </c>
      <c r="M2172" s="8">
        <v>2978.9490000000001</v>
      </c>
      <c r="N2172" s="8">
        <v>2791.6770000000001</v>
      </c>
      <c r="O2172" s="8">
        <v>2445.9830000000002</v>
      </c>
      <c r="P2172" s="8">
        <v>2189.4650000000001</v>
      </c>
      <c r="Q2172" s="8">
        <v>1871.097</v>
      </c>
      <c r="R2172" s="8">
        <v>1480.394</v>
      </c>
      <c r="S2172" s="8">
        <v>1179.596</v>
      </c>
      <c r="T2172" s="8">
        <v>1053.6959999999999</v>
      </c>
      <c r="U2172" s="8">
        <v>841.81100000000004</v>
      </c>
      <c r="V2172" s="8">
        <v>646.61</v>
      </c>
      <c r="W2172" s="8">
        <v>403.39</v>
      </c>
      <c r="X2172" s="8">
        <v>233.864</v>
      </c>
      <c r="Y2172" s="8">
        <v>123.872</v>
      </c>
      <c r="Z2172" s="8">
        <v>49.134</v>
      </c>
      <c r="AA2172" s="8">
        <v>15.28</v>
      </c>
      <c r="AB2172" s="8">
        <v>3.2559999999999998</v>
      </c>
      <c r="AC2172" s="8">
        <v>0.41499999999999998</v>
      </c>
    </row>
    <row r="2173" spans="1:29" ht="11.65" x14ac:dyDescent="0.35">
      <c r="A2173" s="12">
        <v>2156</v>
      </c>
      <c r="B2173" s="10" t="s">
        <v>1015</v>
      </c>
      <c r="C2173" s="11" t="s">
        <v>1167</v>
      </c>
      <c r="D2173" s="9"/>
      <c r="E2173" s="9">
        <v>764</v>
      </c>
      <c r="F2173" s="10" t="s">
        <v>1066</v>
      </c>
      <c r="G2173" s="9">
        <v>920</v>
      </c>
      <c r="H2173" s="9">
        <v>2000</v>
      </c>
      <c r="I2173" s="8">
        <v>2412.779</v>
      </c>
      <c r="J2173" s="8">
        <v>2608.5189999999998</v>
      </c>
      <c r="K2173" s="8">
        <v>2695.9940000000001</v>
      </c>
      <c r="L2173" s="8">
        <v>2775.085</v>
      </c>
      <c r="M2173" s="8">
        <v>2686.3820000000001</v>
      </c>
      <c r="N2173" s="8">
        <v>2679.498</v>
      </c>
      <c r="O2173" s="8">
        <v>2747.9279999999999</v>
      </c>
      <c r="P2173" s="8">
        <v>2588.2289999999998</v>
      </c>
      <c r="Q2173" s="8">
        <v>2421.6909999999998</v>
      </c>
      <c r="R2173" s="8">
        <v>2034.5419999999999</v>
      </c>
      <c r="S2173" s="8">
        <v>1492.7860000000001</v>
      </c>
      <c r="T2173" s="8">
        <v>1116.7929999999999</v>
      </c>
      <c r="U2173" s="8">
        <v>975.82899999999995</v>
      </c>
      <c r="V2173" s="8">
        <v>752.57799999999997</v>
      </c>
      <c r="W2173" s="8">
        <v>548.04600000000005</v>
      </c>
      <c r="X2173" s="8">
        <v>314.54000000000002</v>
      </c>
      <c r="Y2173" s="8">
        <v>154.16999999999999</v>
      </c>
      <c r="Z2173" s="8">
        <v>64.656000000000006</v>
      </c>
      <c r="AA2173" s="8">
        <v>19.699000000000002</v>
      </c>
      <c r="AB2173" s="8">
        <v>4.1420000000000003</v>
      </c>
      <c r="AC2173" s="8">
        <v>0.57399999999999995</v>
      </c>
    </row>
    <row r="2174" spans="1:29" ht="11.65" x14ac:dyDescent="0.35">
      <c r="A2174" s="12">
        <v>2157</v>
      </c>
      <c r="B2174" s="10" t="s">
        <v>1015</v>
      </c>
      <c r="C2174" s="11" t="s">
        <v>1167</v>
      </c>
      <c r="D2174" s="9"/>
      <c r="E2174" s="9">
        <v>764</v>
      </c>
      <c r="F2174" s="10" t="s">
        <v>1066</v>
      </c>
      <c r="G2174" s="9">
        <v>920</v>
      </c>
      <c r="H2174" s="9">
        <v>2005</v>
      </c>
      <c r="I2174" s="8">
        <v>2176.5639999999999</v>
      </c>
      <c r="J2174" s="8">
        <v>2384.107</v>
      </c>
      <c r="K2174" s="8">
        <v>2565.7550000000001</v>
      </c>
      <c r="L2174" s="8">
        <v>2583.212</v>
      </c>
      <c r="M2174" s="8">
        <v>2659.4490000000001</v>
      </c>
      <c r="N2174" s="8">
        <v>2658.8090000000002</v>
      </c>
      <c r="O2174" s="8">
        <v>2720.2440000000001</v>
      </c>
      <c r="P2174" s="8">
        <v>2793.7489999999998</v>
      </c>
      <c r="Q2174" s="8">
        <v>2612.1750000000002</v>
      </c>
      <c r="R2174" s="8">
        <v>2385.3420000000001</v>
      </c>
      <c r="S2174" s="8">
        <v>1925.1310000000001</v>
      </c>
      <c r="T2174" s="8">
        <v>1395.174</v>
      </c>
      <c r="U2174" s="8">
        <v>1044.348</v>
      </c>
      <c r="V2174" s="8">
        <v>875.77599999999995</v>
      </c>
      <c r="W2174" s="8">
        <v>638.55600000000004</v>
      </c>
      <c r="X2174" s="8">
        <v>426.86799999999999</v>
      </c>
      <c r="Y2174" s="8">
        <v>211.90600000000001</v>
      </c>
      <c r="Z2174" s="8">
        <v>83.909000000000006</v>
      </c>
      <c r="AA2174" s="8">
        <v>26.456</v>
      </c>
      <c r="AB2174" s="8">
        <v>5.4240000000000004</v>
      </c>
      <c r="AC2174" s="8">
        <v>0.73799999999999999</v>
      </c>
    </row>
    <row r="2175" spans="1:29" ht="11.65" x14ac:dyDescent="0.35">
      <c r="A2175" s="12">
        <v>2158</v>
      </c>
      <c r="B2175" s="10" t="s">
        <v>1015</v>
      </c>
      <c r="C2175" s="11" t="s">
        <v>1167</v>
      </c>
      <c r="D2175" s="9"/>
      <c r="E2175" s="9">
        <v>764</v>
      </c>
      <c r="F2175" s="10" t="s">
        <v>1066</v>
      </c>
      <c r="G2175" s="9">
        <v>920</v>
      </c>
      <c r="H2175" s="9">
        <v>2010</v>
      </c>
      <c r="I2175" s="8">
        <v>2076.56</v>
      </c>
      <c r="J2175" s="8">
        <v>2167.7919999999999</v>
      </c>
      <c r="K2175" s="8">
        <v>2373.509</v>
      </c>
      <c r="L2175" s="8">
        <v>2470.6570000000002</v>
      </c>
      <c r="M2175" s="8">
        <v>2378.8209999999999</v>
      </c>
      <c r="N2175" s="8">
        <v>2532.62</v>
      </c>
      <c r="O2175" s="8">
        <v>2676.8009999999999</v>
      </c>
      <c r="P2175" s="8">
        <v>2774.2020000000002</v>
      </c>
      <c r="Q2175" s="8">
        <v>2825.386</v>
      </c>
      <c r="R2175" s="8">
        <v>2614.3530000000001</v>
      </c>
      <c r="S2175" s="8">
        <v>2322.277</v>
      </c>
      <c r="T2175" s="8">
        <v>1789.6559999999999</v>
      </c>
      <c r="U2175" s="8">
        <v>1275.277</v>
      </c>
      <c r="V2175" s="8">
        <v>947.32399999999996</v>
      </c>
      <c r="W2175" s="8">
        <v>746.572</v>
      </c>
      <c r="X2175" s="8">
        <v>500.37200000000001</v>
      </c>
      <c r="Y2175" s="8">
        <v>293.13</v>
      </c>
      <c r="Z2175" s="8">
        <v>120.095</v>
      </c>
      <c r="AA2175" s="8">
        <v>36.692</v>
      </c>
      <c r="AB2175" s="8">
        <v>8.0790000000000006</v>
      </c>
      <c r="AC2175" s="8">
        <v>1.1040000000000001</v>
      </c>
    </row>
    <row r="2176" spans="1:29" ht="11.65" x14ac:dyDescent="0.35">
      <c r="A2176" s="12">
        <v>2159</v>
      </c>
      <c r="B2176" s="10" t="s">
        <v>1015</v>
      </c>
      <c r="C2176" s="11" t="s">
        <v>1167</v>
      </c>
      <c r="D2176" s="9"/>
      <c r="E2176" s="9">
        <v>764</v>
      </c>
      <c r="F2176" s="10" t="s">
        <v>1066</v>
      </c>
      <c r="G2176" s="9">
        <v>920</v>
      </c>
      <c r="H2176" s="9">
        <v>2015</v>
      </c>
      <c r="I2176" s="8">
        <v>1977.6690000000001</v>
      </c>
      <c r="J2176" s="8">
        <v>2120.3690000000001</v>
      </c>
      <c r="K2176" s="8">
        <v>2252.866</v>
      </c>
      <c r="L2176" s="8">
        <v>2463.3760000000002</v>
      </c>
      <c r="M2176" s="8">
        <v>2438.0929999999998</v>
      </c>
      <c r="N2176" s="8">
        <v>2246.721</v>
      </c>
      <c r="O2176" s="8">
        <v>2392.0309999999999</v>
      </c>
      <c r="P2176" s="8">
        <v>2633.6869999999999</v>
      </c>
      <c r="Q2176" s="8">
        <v>2756.0329999999999</v>
      </c>
      <c r="R2176" s="8">
        <v>2756.5810000000001</v>
      </c>
      <c r="S2176" s="8">
        <v>2522.4589999999998</v>
      </c>
      <c r="T2176" s="8">
        <v>2174.7689999999998</v>
      </c>
      <c r="U2176" s="8">
        <v>1631.6130000000001</v>
      </c>
      <c r="V2176" s="8">
        <v>1152.876</v>
      </c>
      <c r="W2176" s="8">
        <v>838.26800000000003</v>
      </c>
      <c r="X2176" s="8">
        <v>605.12599999999998</v>
      </c>
      <c r="Y2176" s="8">
        <v>355.64400000000001</v>
      </c>
      <c r="Z2176" s="8">
        <v>174.29</v>
      </c>
      <c r="AA2176" s="8">
        <v>53.707999999999998</v>
      </c>
      <c r="AB2176" s="8">
        <v>11.563000000000001</v>
      </c>
      <c r="AC2176" s="8">
        <v>1.726</v>
      </c>
    </row>
    <row r="2177" spans="1:29" ht="11.65" x14ac:dyDescent="0.35">
      <c r="A2177" s="12">
        <v>2160</v>
      </c>
      <c r="B2177" s="10" t="s">
        <v>1015</v>
      </c>
      <c r="C2177" s="11" t="s">
        <v>1167</v>
      </c>
      <c r="D2177" s="9"/>
      <c r="E2177" s="9">
        <v>764</v>
      </c>
      <c r="F2177" s="10" t="s">
        <v>1066</v>
      </c>
      <c r="G2177" s="9">
        <v>920</v>
      </c>
      <c r="H2177" s="9">
        <v>2020</v>
      </c>
      <c r="I2177" s="8">
        <v>1850.4169999999999</v>
      </c>
      <c r="J2177" s="8">
        <v>1976.67</v>
      </c>
      <c r="K2177" s="8">
        <v>2117.2359999999999</v>
      </c>
      <c r="L2177" s="8">
        <v>2244.846</v>
      </c>
      <c r="M2177" s="8">
        <v>2449.9110000000001</v>
      </c>
      <c r="N2177" s="8">
        <v>2427.1950000000002</v>
      </c>
      <c r="O2177" s="8">
        <v>2231.7220000000002</v>
      </c>
      <c r="P2177" s="8">
        <v>2361.7730000000001</v>
      </c>
      <c r="Q2177" s="8">
        <v>2580.3519999999999</v>
      </c>
      <c r="R2177" s="8">
        <v>2680.3020000000001</v>
      </c>
      <c r="S2177" s="8">
        <v>2658.634</v>
      </c>
      <c r="T2177" s="8">
        <v>2405.8090000000002</v>
      </c>
      <c r="U2177" s="8">
        <v>2039.0419999999999</v>
      </c>
      <c r="V2177" s="8">
        <v>1493.0329999999999</v>
      </c>
      <c r="W2177" s="8">
        <v>1012.908</v>
      </c>
      <c r="X2177" s="8">
        <v>682.76800000000003</v>
      </c>
      <c r="Y2177" s="8">
        <v>437.18099999999998</v>
      </c>
      <c r="Z2177" s="8">
        <v>214.39500000000001</v>
      </c>
      <c r="AA2177" s="8">
        <v>81.177999999999997</v>
      </c>
      <c r="AB2177" s="8">
        <v>17.978000000000002</v>
      </c>
      <c r="AC2177" s="8">
        <v>2.71</v>
      </c>
    </row>
    <row r="2178" spans="1:29" ht="11.65" x14ac:dyDescent="0.35">
      <c r="A2178" s="12">
        <v>2161</v>
      </c>
      <c r="B2178" s="10" t="s">
        <v>1015</v>
      </c>
      <c r="C2178" s="11" t="s">
        <v>1168</v>
      </c>
      <c r="D2178" s="9"/>
      <c r="E2178" s="9">
        <v>626</v>
      </c>
      <c r="F2178" s="10" t="s">
        <v>1066</v>
      </c>
      <c r="G2178" s="9">
        <v>920</v>
      </c>
      <c r="H2178" s="9">
        <v>1950</v>
      </c>
      <c r="I2178" s="8">
        <v>37.9</v>
      </c>
      <c r="J2178" s="8">
        <v>29.306999999999999</v>
      </c>
      <c r="K2178" s="8">
        <v>25.353999999999999</v>
      </c>
      <c r="L2178" s="8">
        <v>20.25</v>
      </c>
      <c r="M2178" s="8">
        <v>18.63</v>
      </c>
      <c r="N2178" s="8">
        <v>15.84</v>
      </c>
      <c r="O2178" s="8">
        <v>14.308999999999999</v>
      </c>
      <c r="P2178" s="8">
        <v>11.521000000000001</v>
      </c>
      <c r="Q2178" s="8">
        <v>9.81</v>
      </c>
      <c r="R2178" s="8">
        <v>8.01</v>
      </c>
      <c r="S2178" s="8">
        <v>5.6680000000000001</v>
      </c>
      <c r="T2178" s="8">
        <v>3.6909999999999998</v>
      </c>
      <c r="U2178" s="8">
        <v>3.9609999999999999</v>
      </c>
      <c r="V2178" s="8">
        <v>2.79</v>
      </c>
      <c r="W2178" s="8">
        <v>1.71</v>
      </c>
      <c r="X2178" s="8">
        <v>0.81100000000000005</v>
      </c>
      <c r="Y2178" s="8">
        <v>0.27</v>
      </c>
      <c r="Z2178" s="8">
        <v>0.09</v>
      </c>
      <c r="AA2178" s="8">
        <v>0</v>
      </c>
      <c r="AB2178" s="8">
        <v>0</v>
      </c>
      <c r="AC2178" s="8">
        <v>0</v>
      </c>
    </row>
    <row r="2179" spans="1:29" ht="11.65" x14ac:dyDescent="0.35">
      <c r="A2179" s="12">
        <v>2162</v>
      </c>
      <c r="B2179" s="10" t="s">
        <v>1015</v>
      </c>
      <c r="C2179" s="11" t="s">
        <v>1168</v>
      </c>
      <c r="D2179" s="9"/>
      <c r="E2179" s="9">
        <v>626</v>
      </c>
      <c r="F2179" s="10" t="s">
        <v>1066</v>
      </c>
      <c r="G2179" s="9">
        <v>920</v>
      </c>
      <c r="H2179" s="9">
        <v>1955</v>
      </c>
      <c r="I2179" s="8">
        <v>33.506999999999998</v>
      </c>
      <c r="J2179" s="8">
        <v>33.03</v>
      </c>
      <c r="K2179" s="8">
        <v>28.202000000000002</v>
      </c>
      <c r="L2179" s="8">
        <v>24.440999999999999</v>
      </c>
      <c r="M2179" s="8">
        <v>19.199000000000002</v>
      </c>
      <c r="N2179" s="8">
        <v>17.422999999999998</v>
      </c>
      <c r="O2179" s="8">
        <v>14.689</v>
      </c>
      <c r="P2179" s="8">
        <v>13.103999999999999</v>
      </c>
      <c r="Q2179" s="8">
        <v>10.362</v>
      </c>
      <c r="R2179" s="8">
        <v>8.6479999999999997</v>
      </c>
      <c r="S2179" s="8">
        <v>6.8620000000000001</v>
      </c>
      <c r="T2179" s="8">
        <v>4.6680000000000001</v>
      </c>
      <c r="U2179" s="8">
        <v>2.859</v>
      </c>
      <c r="V2179" s="8">
        <v>2.7879999999999998</v>
      </c>
      <c r="W2179" s="8">
        <v>1.7170000000000001</v>
      </c>
      <c r="X2179" s="8">
        <v>0.84599999999999997</v>
      </c>
      <c r="Y2179" s="8">
        <v>0.29099999999999998</v>
      </c>
      <c r="Z2179" s="8">
        <v>6.4000000000000001E-2</v>
      </c>
      <c r="AA2179" s="8">
        <v>1.4E-2</v>
      </c>
      <c r="AB2179" s="8">
        <v>0</v>
      </c>
      <c r="AC2179" s="8">
        <v>0</v>
      </c>
    </row>
    <row r="2180" spans="1:29" ht="11.65" x14ac:dyDescent="0.35">
      <c r="A2180" s="12">
        <v>2163</v>
      </c>
      <c r="B2180" s="10" t="s">
        <v>1015</v>
      </c>
      <c r="C2180" s="11" t="s">
        <v>1168</v>
      </c>
      <c r="D2180" s="9"/>
      <c r="E2180" s="9">
        <v>626</v>
      </c>
      <c r="F2180" s="10" t="s">
        <v>1066</v>
      </c>
      <c r="G2180" s="9">
        <v>920</v>
      </c>
      <c r="H2180" s="9">
        <v>1960</v>
      </c>
      <c r="I2180" s="8">
        <v>37.738</v>
      </c>
      <c r="J2180" s="8">
        <v>29.622</v>
      </c>
      <c r="K2180" s="8">
        <v>31.89</v>
      </c>
      <c r="L2180" s="8">
        <v>27.27</v>
      </c>
      <c r="M2180" s="8">
        <v>23.274000000000001</v>
      </c>
      <c r="N2180" s="8">
        <v>18.056999999999999</v>
      </c>
      <c r="O2180" s="8">
        <v>16.263000000000002</v>
      </c>
      <c r="P2180" s="8">
        <v>13.554</v>
      </c>
      <c r="Q2180" s="8">
        <v>11.891999999999999</v>
      </c>
      <c r="R2180" s="8">
        <v>9.2289999999999992</v>
      </c>
      <c r="S2180" s="8">
        <v>7.4980000000000002</v>
      </c>
      <c r="T2180" s="8">
        <v>5.7279999999999998</v>
      </c>
      <c r="U2180" s="8">
        <v>3.6760000000000002</v>
      </c>
      <c r="V2180" s="8">
        <v>2.056</v>
      </c>
      <c r="W2180" s="8">
        <v>1.762</v>
      </c>
      <c r="X2180" s="8">
        <v>0.88100000000000001</v>
      </c>
      <c r="Y2180" s="8">
        <v>0.32100000000000001</v>
      </c>
      <c r="Z2180" s="8">
        <v>7.3999999999999996E-2</v>
      </c>
      <c r="AA2180" s="8">
        <v>0.01</v>
      </c>
      <c r="AB2180" s="8">
        <v>0</v>
      </c>
      <c r="AC2180" s="8">
        <v>0</v>
      </c>
    </row>
    <row r="2181" spans="1:29" ht="11.65" x14ac:dyDescent="0.35">
      <c r="A2181" s="12">
        <v>2164</v>
      </c>
      <c r="B2181" s="10" t="s">
        <v>1015</v>
      </c>
      <c r="C2181" s="11" t="s">
        <v>1168</v>
      </c>
      <c r="D2181" s="9"/>
      <c r="E2181" s="9">
        <v>626</v>
      </c>
      <c r="F2181" s="10" t="s">
        <v>1066</v>
      </c>
      <c r="G2181" s="9">
        <v>920</v>
      </c>
      <c r="H2181" s="9">
        <v>1965</v>
      </c>
      <c r="I2181" s="8">
        <v>42.697000000000003</v>
      </c>
      <c r="J2181" s="8">
        <v>33.814999999999998</v>
      </c>
      <c r="K2181" s="8">
        <v>28.693999999999999</v>
      </c>
      <c r="L2181" s="8">
        <v>30.928999999999998</v>
      </c>
      <c r="M2181" s="8">
        <v>26.081</v>
      </c>
      <c r="N2181" s="8">
        <v>22.01</v>
      </c>
      <c r="O2181" s="8">
        <v>16.963000000000001</v>
      </c>
      <c r="P2181" s="8">
        <v>15.117000000000001</v>
      </c>
      <c r="Q2181" s="8">
        <v>12.407999999999999</v>
      </c>
      <c r="R2181" s="8">
        <v>10.695</v>
      </c>
      <c r="S2181" s="8">
        <v>8.0909999999999993</v>
      </c>
      <c r="T2181" s="8">
        <v>6.3410000000000002</v>
      </c>
      <c r="U2181" s="8">
        <v>4.5839999999999996</v>
      </c>
      <c r="V2181" s="8">
        <v>2.698</v>
      </c>
      <c r="W2181" s="8">
        <v>1.3340000000000001</v>
      </c>
      <c r="X2181" s="8">
        <v>0.93700000000000006</v>
      </c>
      <c r="Y2181" s="8">
        <v>0.34799999999999998</v>
      </c>
      <c r="Z2181" s="8">
        <v>8.5999999999999993E-2</v>
      </c>
      <c r="AA2181" s="8">
        <v>1.2E-2</v>
      </c>
      <c r="AB2181" s="8">
        <v>0</v>
      </c>
      <c r="AC2181" s="8">
        <v>0</v>
      </c>
    </row>
    <row r="2182" spans="1:29" ht="11.65" x14ac:dyDescent="0.35">
      <c r="A2182" s="12">
        <v>2165</v>
      </c>
      <c r="B2182" s="10" t="s">
        <v>1015</v>
      </c>
      <c r="C2182" s="11" t="s">
        <v>1168</v>
      </c>
      <c r="D2182" s="9"/>
      <c r="E2182" s="9">
        <v>626</v>
      </c>
      <c r="F2182" s="10" t="s">
        <v>1066</v>
      </c>
      <c r="G2182" s="9">
        <v>920</v>
      </c>
      <c r="H2182" s="9">
        <v>1970</v>
      </c>
      <c r="I2182" s="8">
        <v>46.39</v>
      </c>
      <c r="J2182" s="8">
        <v>38.722999999999999</v>
      </c>
      <c r="K2182" s="8">
        <v>32.853000000000002</v>
      </c>
      <c r="L2182" s="8">
        <v>27.907</v>
      </c>
      <c r="M2182" s="8">
        <v>29.699000000000002</v>
      </c>
      <c r="N2182" s="8">
        <v>24.791</v>
      </c>
      <c r="O2182" s="8">
        <v>20.797999999999998</v>
      </c>
      <c r="P2182" s="8">
        <v>15.875</v>
      </c>
      <c r="Q2182" s="8">
        <v>13.95</v>
      </c>
      <c r="R2182" s="8">
        <v>11.260999999999999</v>
      </c>
      <c r="S2182" s="8">
        <v>9.4770000000000003</v>
      </c>
      <c r="T2182" s="8">
        <v>6.9269999999999996</v>
      </c>
      <c r="U2182" s="8">
        <v>5.1479999999999997</v>
      </c>
      <c r="V2182" s="8">
        <v>3.4249999999999998</v>
      </c>
      <c r="W2182" s="8">
        <v>1.79</v>
      </c>
      <c r="X2182" s="8">
        <v>0.73</v>
      </c>
      <c r="Y2182" s="8">
        <v>0.38800000000000001</v>
      </c>
      <c r="Z2182" s="8">
        <v>9.9000000000000005E-2</v>
      </c>
      <c r="AA2182" s="8">
        <v>1.4999999999999999E-2</v>
      </c>
      <c r="AB2182" s="8">
        <v>0</v>
      </c>
      <c r="AC2182" s="8">
        <v>0</v>
      </c>
    </row>
    <row r="2183" spans="1:29" ht="11.65" x14ac:dyDescent="0.35">
      <c r="A2183" s="12">
        <v>2166</v>
      </c>
      <c r="B2183" s="10" t="s">
        <v>1015</v>
      </c>
      <c r="C2183" s="11" t="s">
        <v>1168</v>
      </c>
      <c r="D2183" s="9"/>
      <c r="E2183" s="9">
        <v>626</v>
      </c>
      <c r="F2183" s="10" t="s">
        <v>1066</v>
      </c>
      <c r="G2183" s="9">
        <v>920</v>
      </c>
      <c r="H2183" s="9">
        <v>1975</v>
      </c>
      <c r="I2183" s="8">
        <v>49.619</v>
      </c>
      <c r="J2183" s="8">
        <v>42.512999999999998</v>
      </c>
      <c r="K2183" s="8">
        <v>37.723999999999997</v>
      </c>
      <c r="L2183" s="8">
        <v>32.033000000000001</v>
      </c>
      <c r="M2183" s="8">
        <v>26.890999999999998</v>
      </c>
      <c r="N2183" s="8">
        <v>28.353999999999999</v>
      </c>
      <c r="O2183" s="8">
        <v>23.544</v>
      </c>
      <c r="P2183" s="8">
        <v>19.579000000000001</v>
      </c>
      <c r="Q2183" s="8">
        <v>14.75</v>
      </c>
      <c r="R2183" s="8">
        <v>12.763</v>
      </c>
      <c r="S2183" s="8">
        <v>10.071</v>
      </c>
      <c r="T2183" s="8">
        <v>8.1959999999999997</v>
      </c>
      <c r="U2183" s="8">
        <v>5.6920000000000002</v>
      </c>
      <c r="V2183" s="8">
        <v>3.9089999999999998</v>
      </c>
      <c r="W2183" s="8">
        <v>2.3199999999999998</v>
      </c>
      <c r="X2183" s="8">
        <v>1.008</v>
      </c>
      <c r="Y2183" s="8">
        <v>0.313</v>
      </c>
      <c r="Z2183" s="8">
        <v>0.114</v>
      </c>
      <c r="AA2183" s="8">
        <v>1.7000000000000001E-2</v>
      </c>
      <c r="AB2183" s="8">
        <v>0</v>
      </c>
      <c r="AC2183" s="8">
        <v>0</v>
      </c>
    </row>
    <row r="2184" spans="1:29" ht="11.65" x14ac:dyDescent="0.35">
      <c r="A2184" s="12">
        <v>2167</v>
      </c>
      <c r="B2184" s="10" t="s">
        <v>1015</v>
      </c>
      <c r="C2184" s="11" t="s">
        <v>1168</v>
      </c>
      <c r="D2184" s="9"/>
      <c r="E2184" s="9">
        <v>626</v>
      </c>
      <c r="F2184" s="10" t="s">
        <v>1066</v>
      </c>
      <c r="G2184" s="9">
        <v>920</v>
      </c>
      <c r="H2184" s="9">
        <v>1980</v>
      </c>
      <c r="I2184" s="8">
        <v>38.731999999999999</v>
      </c>
      <c r="J2184" s="8">
        <v>42.261000000000003</v>
      </c>
      <c r="K2184" s="8">
        <v>40.302999999999997</v>
      </c>
      <c r="L2184" s="8">
        <v>35.170999999999999</v>
      </c>
      <c r="M2184" s="8">
        <v>28.122</v>
      </c>
      <c r="N2184" s="8">
        <v>21.108000000000001</v>
      </c>
      <c r="O2184" s="8">
        <v>21.655999999999999</v>
      </c>
      <c r="P2184" s="8">
        <v>18.215</v>
      </c>
      <c r="Q2184" s="8">
        <v>15.364000000000001</v>
      </c>
      <c r="R2184" s="8">
        <v>11.53</v>
      </c>
      <c r="S2184" s="8">
        <v>9.9879999999999995</v>
      </c>
      <c r="T2184" s="8">
        <v>7.6950000000000003</v>
      </c>
      <c r="U2184" s="8">
        <v>5.984</v>
      </c>
      <c r="V2184" s="8">
        <v>3.7919999999999998</v>
      </c>
      <c r="W2184" s="8">
        <v>2.2829999999999999</v>
      </c>
      <c r="X2184" s="8">
        <v>1.0820000000000001</v>
      </c>
      <c r="Y2184" s="8">
        <v>0.33100000000000002</v>
      </c>
      <c r="Z2184" s="8">
        <v>7.0000000000000007E-2</v>
      </c>
      <c r="AA2184" s="8">
        <v>1.4999999999999999E-2</v>
      </c>
      <c r="AB2184" s="8">
        <v>0</v>
      </c>
      <c r="AC2184" s="8">
        <v>0</v>
      </c>
    </row>
    <row r="2185" spans="1:29" ht="11.65" x14ac:dyDescent="0.35">
      <c r="A2185" s="12">
        <v>2168</v>
      </c>
      <c r="B2185" s="10" t="s">
        <v>1015</v>
      </c>
      <c r="C2185" s="11" t="s">
        <v>1168</v>
      </c>
      <c r="D2185" s="9"/>
      <c r="E2185" s="9">
        <v>626</v>
      </c>
      <c r="F2185" s="10" t="s">
        <v>1066</v>
      </c>
      <c r="G2185" s="9">
        <v>920</v>
      </c>
      <c r="H2185" s="9">
        <v>1985</v>
      </c>
      <c r="I2185" s="8">
        <v>50.24</v>
      </c>
      <c r="J2185" s="8">
        <v>35.488999999999997</v>
      </c>
      <c r="K2185" s="8">
        <v>41.168999999999997</v>
      </c>
      <c r="L2185" s="8">
        <v>39.292000000000002</v>
      </c>
      <c r="M2185" s="8">
        <v>33.889000000000003</v>
      </c>
      <c r="N2185" s="8">
        <v>26.847000000000001</v>
      </c>
      <c r="O2185" s="8">
        <v>20.045999999999999</v>
      </c>
      <c r="P2185" s="8">
        <v>20.384</v>
      </c>
      <c r="Q2185" s="8">
        <v>16.925000000000001</v>
      </c>
      <c r="R2185" s="8">
        <v>14.054</v>
      </c>
      <c r="S2185" s="8">
        <v>10.31</v>
      </c>
      <c r="T2185" s="8">
        <v>8.6379999999999999</v>
      </c>
      <c r="U2185" s="8">
        <v>6.3239999999999998</v>
      </c>
      <c r="V2185" s="8">
        <v>4.5439999999999996</v>
      </c>
      <c r="W2185" s="8">
        <v>2.5680000000000001</v>
      </c>
      <c r="X2185" s="8">
        <v>1.286</v>
      </c>
      <c r="Y2185" s="8">
        <v>0.46500000000000002</v>
      </c>
      <c r="Z2185" s="8">
        <v>9.8000000000000004E-2</v>
      </c>
      <c r="AA2185" s="8">
        <v>1.2999999999999999E-2</v>
      </c>
      <c r="AB2185" s="8">
        <v>2E-3</v>
      </c>
      <c r="AC2185" s="8">
        <v>0</v>
      </c>
    </row>
    <row r="2186" spans="1:29" ht="11.65" x14ac:dyDescent="0.35">
      <c r="A2186" s="12">
        <v>2169</v>
      </c>
      <c r="B2186" s="10" t="s">
        <v>1015</v>
      </c>
      <c r="C2186" s="11" t="s">
        <v>1168</v>
      </c>
      <c r="D2186" s="9"/>
      <c r="E2186" s="9">
        <v>626</v>
      </c>
      <c r="F2186" s="10" t="s">
        <v>1066</v>
      </c>
      <c r="G2186" s="9">
        <v>920</v>
      </c>
      <c r="H2186" s="9">
        <v>1990</v>
      </c>
      <c r="I2186" s="8">
        <v>60.021000000000001</v>
      </c>
      <c r="J2186" s="8">
        <v>47.078000000000003</v>
      </c>
      <c r="K2186" s="8">
        <v>34.777999999999999</v>
      </c>
      <c r="L2186" s="8">
        <v>40.357999999999997</v>
      </c>
      <c r="M2186" s="8">
        <v>38.154000000000003</v>
      </c>
      <c r="N2186" s="8">
        <v>32.673999999999999</v>
      </c>
      <c r="O2186" s="8">
        <v>25.785</v>
      </c>
      <c r="P2186" s="8">
        <v>19.117999999999999</v>
      </c>
      <c r="Q2186" s="8">
        <v>19.236000000000001</v>
      </c>
      <c r="R2186" s="8">
        <v>15.756</v>
      </c>
      <c r="S2186" s="8">
        <v>12.823</v>
      </c>
      <c r="T2186" s="8">
        <v>9.125</v>
      </c>
      <c r="U2186" s="8">
        <v>7.2990000000000004</v>
      </c>
      <c r="V2186" s="8">
        <v>4.9710000000000001</v>
      </c>
      <c r="W2186" s="8">
        <v>3.214</v>
      </c>
      <c r="X2186" s="8">
        <v>1.53</v>
      </c>
      <c r="Y2186" s="8">
        <v>0.59299999999999997</v>
      </c>
      <c r="Z2186" s="8">
        <v>0.14899999999999999</v>
      </c>
      <c r="AA2186" s="8">
        <v>1.9E-2</v>
      </c>
      <c r="AB2186" s="8">
        <v>0</v>
      </c>
      <c r="AC2186" s="8">
        <v>0</v>
      </c>
    </row>
    <row r="2187" spans="1:29" ht="11.65" x14ac:dyDescent="0.35">
      <c r="A2187" s="12">
        <v>2170</v>
      </c>
      <c r="B2187" s="10" t="s">
        <v>1015</v>
      </c>
      <c r="C2187" s="11" t="s">
        <v>1168</v>
      </c>
      <c r="D2187" s="9"/>
      <c r="E2187" s="9">
        <v>626</v>
      </c>
      <c r="F2187" s="10" t="s">
        <v>1066</v>
      </c>
      <c r="G2187" s="9">
        <v>920</v>
      </c>
      <c r="H2187" s="9">
        <v>1995</v>
      </c>
      <c r="I2187" s="8">
        <v>73.177000000000007</v>
      </c>
      <c r="J2187" s="8">
        <v>57.07</v>
      </c>
      <c r="K2187" s="8">
        <v>46.311999999999998</v>
      </c>
      <c r="L2187" s="8">
        <v>34.207999999999998</v>
      </c>
      <c r="M2187" s="8">
        <v>39.363999999999997</v>
      </c>
      <c r="N2187" s="8">
        <v>36.997999999999998</v>
      </c>
      <c r="O2187" s="8">
        <v>31.584</v>
      </c>
      <c r="P2187" s="8">
        <v>24.777999999999999</v>
      </c>
      <c r="Q2187" s="8">
        <v>18.204000000000001</v>
      </c>
      <c r="R2187" s="8">
        <v>18.088000000000001</v>
      </c>
      <c r="S2187" s="8">
        <v>14.537000000000001</v>
      </c>
      <c r="T2187" s="8">
        <v>11.497</v>
      </c>
      <c r="U2187" s="8">
        <v>7.8289999999999997</v>
      </c>
      <c r="V2187" s="8">
        <v>5.8479999999999999</v>
      </c>
      <c r="W2187" s="8">
        <v>3.5960000000000001</v>
      </c>
      <c r="X2187" s="8">
        <v>1.9730000000000001</v>
      </c>
      <c r="Y2187" s="8">
        <v>0.73399999999999999</v>
      </c>
      <c r="Z2187" s="8">
        <v>0.19900000000000001</v>
      </c>
      <c r="AA2187" s="8">
        <v>3.1E-2</v>
      </c>
      <c r="AB2187" s="8">
        <v>2E-3</v>
      </c>
      <c r="AC2187" s="8">
        <v>0</v>
      </c>
    </row>
    <row r="2188" spans="1:29" ht="11.65" x14ac:dyDescent="0.35">
      <c r="A2188" s="12">
        <v>2171</v>
      </c>
      <c r="B2188" s="10" t="s">
        <v>1015</v>
      </c>
      <c r="C2188" s="11" t="s">
        <v>1168</v>
      </c>
      <c r="D2188" s="9"/>
      <c r="E2188" s="9">
        <v>626</v>
      </c>
      <c r="F2188" s="10" t="s">
        <v>1066</v>
      </c>
      <c r="G2188" s="9">
        <v>920</v>
      </c>
      <c r="H2188" s="9">
        <v>2000</v>
      </c>
      <c r="I2188" s="8">
        <v>77.346000000000004</v>
      </c>
      <c r="J2188" s="8">
        <v>69.061000000000007</v>
      </c>
      <c r="K2188" s="8">
        <v>54.84</v>
      </c>
      <c r="L2188" s="8">
        <v>44.137999999999998</v>
      </c>
      <c r="M2188" s="8">
        <v>30.408000000000001</v>
      </c>
      <c r="N2188" s="8">
        <v>32.591000000000001</v>
      </c>
      <c r="O2188" s="8">
        <v>29.091999999999999</v>
      </c>
      <c r="P2188" s="8">
        <v>24.902000000000001</v>
      </c>
      <c r="Q2188" s="8">
        <v>19.7</v>
      </c>
      <c r="R2188" s="8">
        <v>14.428000000000001</v>
      </c>
      <c r="S2188" s="8">
        <v>15.099</v>
      </c>
      <c r="T2188" s="8">
        <v>12.122</v>
      </c>
      <c r="U2188" s="8">
        <v>9.3810000000000002</v>
      </c>
      <c r="V2188" s="8">
        <v>6.0410000000000004</v>
      </c>
      <c r="W2188" s="8">
        <v>4.1619999999999999</v>
      </c>
      <c r="X2188" s="8">
        <v>2.2069999999999999</v>
      </c>
      <c r="Y2188" s="8">
        <v>0.95399999999999996</v>
      </c>
      <c r="Z2188" s="8">
        <v>0.255</v>
      </c>
      <c r="AA2188" s="8">
        <v>4.3999999999999997E-2</v>
      </c>
      <c r="AB2188" s="8">
        <v>4.0000000000000001E-3</v>
      </c>
      <c r="AC2188" s="8">
        <v>0</v>
      </c>
    </row>
    <row r="2189" spans="1:29" ht="11.65" x14ac:dyDescent="0.35">
      <c r="A2189" s="12">
        <v>2172</v>
      </c>
      <c r="B2189" s="10" t="s">
        <v>1015</v>
      </c>
      <c r="C2189" s="11" t="s">
        <v>1168</v>
      </c>
      <c r="D2189" s="9"/>
      <c r="E2189" s="9">
        <v>626</v>
      </c>
      <c r="F2189" s="10" t="s">
        <v>1066</v>
      </c>
      <c r="G2189" s="9">
        <v>920</v>
      </c>
      <c r="H2189" s="9">
        <v>2005</v>
      </c>
      <c r="I2189" s="8">
        <v>84.375</v>
      </c>
      <c r="J2189" s="8">
        <v>73.986999999999995</v>
      </c>
      <c r="K2189" s="8">
        <v>67.138000000000005</v>
      </c>
      <c r="L2189" s="8">
        <v>52.59</v>
      </c>
      <c r="M2189" s="8">
        <v>40.469000000000001</v>
      </c>
      <c r="N2189" s="8">
        <v>27.54</v>
      </c>
      <c r="O2189" s="8">
        <v>31.216000000000001</v>
      </c>
      <c r="P2189" s="8">
        <v>27.902999999999999</v>
      </c>
      <c r="Q2189" s="8">
        <v>23.838000000000001</v>
      </c>
      <c r="R2189" s="8">
        <v>18.721</v>
      </c>
      <c r="S2189" s="8">
        <v>13.513</v>
      </c>
      <c r="T2189" s="8">
        <v>13.86</v>
      </c>
      <c r="U2189" s="8">
        <v>10.722</v>
      </c>
      <c r="V2189" s="8">
        <v>7.8310000000000004</v>
      </c>
      <c r="W2189" s="8">
        <v>4.5990000000000002</v>
      </c>
      <c r="X2189" s="8">
        <v>2.7349999999999999</v>
      </c>
      <c r="Y2189" s="8">
        <v>1.1519999999999999</v>
      </c>
      <c r="Z2189" s="8">
        <v>0.35499999999999998</v>
      </c>
      <c r="AA2189" s="8">
        <v>5.8999999999999997E-2</v>
      </c>
      <c r="AB2189" s="8">
        <v>6.0000000000000001E-3</v>
      </c>
      <c r="AC2189" s="8">
        <v>0</v>
      </c>
    </row>
    <row r="2190" spans="1:29" ht="11.65" x14ac:dyDescent="0.35">
      <c r="A2190" s="12">
        <v>2173</v>
      </c>
      <c r="B2190" s="10" t="s">
        <v>1015</v>
      </c>
      <c r="C2190" s="11" t="s">
        <v>1168</v>
      </c>
      <c r="D2190" s="9"/>
      <c r="E2190" s="9">
        <v>626</v>
      </c>
      <c r="F2190" s="10" t="s">
        <v>1066</v>
      </c>
      <c r="G2190" s="9">
        <v>920</v>
      </c>
      <c r="H2190" s="9">
        <v>2010</v>
      </c>
      <c r="I2190" s="8">
        <v>81.807000000000002</v>
      </c>
      <c r="J2190" s="8">
        <v>81.870999999999995</v>
      </c>
      <c r="K2190" s="8">
        <v>72.406000000000006</v>
      </c>
      <c r="L2190" s="8">
        <v>64.578999999999994</v>
      </c>
      <c r="M2190" s="8">
        <v>49.218000000000004</v>
      </c>
      <c r="N2190" s="8">
        <v>37.29</v>
      </c>
      <c r="O2190" s="8">
        <v>24.87</v>
      </c>
      <c r="P2190" s="8">
        <v>29.123000000000001</v>
      </c>
      <c r="Q2190" s="8">
        <v>26.308</v>
      </c>
      <c r="R2190" s="8">
        <v>22.54</v>
      </c>
      <c r="S2190" s="8">
        <v>17.576000000000001</v>
      </c>
      <c r="T2190" s="8">
        <v>12.45</v>
      </c>
      <c r="U2190" s="8">
        <v>12.445</v>
      </c>
      <c r="V2190" s="8">
        <v>9.1199999999999992</v>
      </c>
      <c r="W2190" s="8">
        <v>6.0880000000000001</v>
      </c>
      <c r="X2190" s="8">
        <v>3.0739999999999998</v>
      </c>
      <c r="Y2190" s="8">
        <v>1.4510000000000001</v>
      </c>
      <c r="Z2190" s="8">
        <v>0.434</v>
      </c>
      <c r="AA2190" s="8">
        <v>8.4000000000000005E-2</v>
      </c>
      <c r="AB2190" s="8">
        <v>8.0000000000000002E-3</v>
      </c>
      <c r="AC2190" s="8">
        <v>0</v>
      </c>
    </row>
    <row r="2191" spans="1:29" ht="11.65" x14ac:dyDescent="0.35">
      <c r="A2191" s="12">
        <v>2174</v>
      </c>
      <c r="B2191" s="10" t="s">
        <v>1015</v>
      </c>
      <c r="C2191" s="11" t="s">
        <v>1168</v>
      </c>
      <c r="D2191" s="9"/>
      <c r="E2191" s="9">
        <v>626</v>
      </c>
      <c r="F2191" s="10" t="s">
        <v>1066</v>
      </c>
      <c r="G2191" s="9">
        <v>920</v>
      </c>
      <c r="H2191" s="9">
        <v>2015</v>
      </c>
      <c r="I2191" s="8">
        <v>80.171999999999997</v>
      </c>
      <c r="J2191" s="8">
        <v>79.540999999999997</v>
      </c>
      <c r="K2191" s="8">
        <v>80.296000000000006</v>
      </c>
      <c r="L2191" s="8">
        <v>69.549000000000007</v>
      </c>
      <c r="M2191" s="8">
        <v>60.835999999999999</v>
      </c>
      <c r="N2191" s="8">
        <v>46.704999999999998</v>
      </c>
      <c r="O2191" s="8">
        <v>35.966999999999999</v>
      </c>
      <c r="P2191" s="8">
        <v>24.029</v>
      </c>
      <c r="Q2191" s="8">
        <v>28.323</v>
      </c>
      <c r="R2191" s="8">
        <v>25.501999999999999</v>
      </c>
      <c r="S2191" s="8">
        <v>21.629000000000001</v>
      </c>
      <c r="T2191" s="8">
        <v>16.53</v>
      </c>
      <c r="U2191" s="8">
        <v>11.308999999999999</v>
      </c>
      <c r="V2191" s="8">
        <v>10.71</v>
      </c>
      <c r="W2191" s="8">
        <v>7.173</v>
      </c>
      <c r="X2191" s="8">
        <v>4.133</v>
      </c>
      <c r="Y2191" s="8">
        <v>1.661</v>
      </c>
      <c r="Z2191" s="8">
        <v>0.55700000000000005</v>
      </c>
      <c r="AA2191" s="8">
        <v>0.104</v>
      </c>
      <c r="AB2191" s="8">
        <v>1.2E-2</v>
      </c>
      <c r="AC2191" s="8">
        <v>1E-3</v>
      </c>
    </row>
    <row r="2192" spans="1:29" ht="11.65" x14ac:dyDescent="0.35">
      <c r="A2192" s="12">
        <v>2175</v>
      </c>
      <c r="B2192" s="10" t="s">
        <v>1015</v>
      </c>
      <c r="C2192" s="11" t="s">
        <v>1168</v>
      </c>
      <c r="D2192" s="9"/>
      <c r="E2192" s="9">
        <v>626</v>
      </c>
      <c r="F2192" s="10" t="s">
        <v>1066</v>
      </c>
      <c r="G2192" s="9">
        <v>920</v>
      </c>
      <c r="H2192" s="9">
        <v>2020</v>
      </c>
      <c r="I2192" s="8">
        <v>90.692999999999998</v>
      </c>
      <c r="J2192" s="8">
        <v>78.325000000000003</v>
      </c>
      <c r="K2192" s="8">
        <v>78.084999999999994</v>
      </c>
      <c r="L2192" s="8">
        <v>77.507999999999996</v>
      </c>
      <c r="M2192" s="8">
        <v>65.831999999999994</v>
      </c>
      <c r="N2192" s="8">
        <v>58.281999999999996</v>
      </c>
      <c r="O2192" s="8">
        <v>45.34</v>
      </c>
      <c r="P2192" s="8">
        <v>35.045000000000002</v>
      </c>
      <c r="Q2192" s="8">
        <v>23.326000000000001</v>
      </c>
      <c r="R2192" s="8">
        <v>27.513999999999999</v>
      </c>
      <c r="S2192" s="8">
        <v>24.538</v>
      </c>
      <c r="T2192" s="8">
        <v>20.416</v>
      </c>
      <c r="U2192" s="8">
        <v>15.086</v>
      </c>
      <c r="V2192" s="8">
        <v>9.77</v>
      </c>
      <c r="W2192" s="8">
        <v>8.4789999999999992</v>
      </c>
      <c r="X2192" s="8">
        <v>4.92</v>
      </c>
      <c r="Y2192" s="8">
        <v>2.2709999999999999</v>
      </c>
      <c r="Z2192" s="8">
        <v>0.65600000000000003</v>
      </c>
      <c r="AA2192" s="8">
        <v>0.14000000000000001</v>
      </c>
      <c r="AB2192" s="8">
        <v>1.4999999999999999E-2</v>
      </c>
      <c r="AC2192" s="8">
        <v>1E-3</v>
      </c>
    </row>
    <row r="2193" spans="1:29" ht="11.65" x14ac:dyDescent="0.35">
      <c r="A2193" s="12">
        <v>2176</v>
      </c>
      <c r="B2193" s="10" t="s">
        <v>1015</v>
      </c>
      <c r="C2193" s="11" t="s">
        <v>1169</v>
      </c>
      <c r="D2193" s="9"/>
      <c r="E2193" s="9">
        <v>704</v>
      </c>
      <c r="F2193" s="10" t="s">
        <v>1066</v>
      </c>
      <c r="G2193" s="9">
        <v>920</v>
      </c>
      <c r="H2193" s="9">
        <v>1950</v>
      </c>
      <c r="I2193" s="8">
        <v>1535.49</v>
      </c>
      <c r="J2193" s="8">
        <v>1219.0070000000001</v>
      </c>
      <c r="K2193" s="8">
        <v>1181.8520000000001</v>
      </c>
      <c r="L2193" s="8">
        <v>1259.194</v>
      </c>
      <c r="M2193" s="8">
        <v>1090.79</v>
      </c>
      <c r="N2193" s="8">
        <v>1020.994</v>
      </c>
      <c r="O2193" s="8">
        <v>898.01700000000005</v>
      </c>
      <c r="P2193" s="8">
        <v>854.85900000000004</v>
      </c>
      <c r="Q2193" s="8">
        <v>731.71799999999996</v>
      </c>
      <c r="R2193" s="8">
        <v>702.61500000000001</v>
      </c>
      <c r="S2193" s="8">
        <v>544.33000000000004</v>
      </c>
      <c r="T2193" s="8">
        <v>432.714</v>
      </c>
      <c r="U2193" s="8">
        <v>322.33800000000002</v>
      </c>
      <c r="V2193" s="8">
        <v>219.32900000000001</v>
      </c>
      <c r="W2193" s="8">
        <v>135.661</v>
      </c>
      <c r="X2193" s="8">
        <v>67.876000000000005</v>
      </c>
      <c r="Y2193" s="8">
        <v>21.710999999999999</v>
      </c>
      <c r="Z2193" s="8">
        <v>7.9279999999999999</v>
      </c>
      <c r="AA2193" s="8">
        <v>2.02</v>
      </c>
      <c r="AB2193" s="8">
        <v>0.33600000000000002</v>
      </c>
      <c r="AC2193" s="8">
        <v>3.5999999999999997E-2</v>
      </c>
    </row>
    <row r="2194" spans="1:29" ht="11.65" x14ac:dyDescent="0.35">
      <c r="A2194" s="12">
        <v>2177</v>
      </c>
      <c r="B2194" s="10" t="s">
        <v>1015</v>
      </c>
      <c r="C2194" s="11" t="s">
        <v>1169</v>
      </c>
      <c r="D2194" s="9"/>
      <c r="E2194" s="9">
        <v>704</v>
      </c>
      <c r="F2194" s="10" t="s">
        <v>1066</v>
      </c>
      <c r="G2194" s="9">
        <v>920</v>
      </c>
      <c r="H2194" s="9">
        <v>1955</v>
      </c>
      <c r="I2194" s="8">
        <v>2357.7829999999999</v>
      </c>
      <c r="J2194" s="8">
        <v>1455.568</v>
      </c>
      <c r="K2194" s="8">
        <v>1186.665</v>
      </c>
      <c r="L2194" s="8">
        <v>1161.7380000000001</v>
      </c>
      <c r="M2194" s="8">
        <v>1246.1369999999999</v>
      </c>
      <c r="N2194" s="8">
        <v>1074.5909999999999</v>
      </c>
      <c r="O2194" s="8">
        <v>997.58100000000002</v>
      </c>
      <c r="P2194" s="8">
        <v>866.56600000000003</v>
      </c>
      <c r="Q2194" s="8">
        <v>811.851</v>
      </c>
      <c r="R2194" s="8">
        <v>685.005</v>
      </c>
      <c r="S2194" s="8">
        <v>650.67100000000005</v>
      </c>
      <c r="T2194" s="8">
        <v>497.85</v>
      </c>
      <c r="U2194" s="8">
        <v>373.78399999999999</v>
      </c>
      <c r="V2194" s="8">
        <v>253.262</v>
      </c>
      <c r="W2194" s="8">
        <v>154.245</v>
      </c>
      <c r="X2194" s="8">
        <v>81.567999999999998</v>
      </c>
      <c r="Y2194" s="8">
        <v>32.914000000000001</v>
      </c>
      <c r="Z2194" s="8">
        <v>7.9260000000000002</v>
      </c>
      <c r="AA2194" s="8">
        <v>2.0209999999999999</v>
      </c>
      <c r="AB2194" s="8">
        <v>0.33600000000000002</v>
      </c>
      <c r="AC2194" s="8">
        <v>3.5999999999999997E-2</v>
      </c>
    </row>
    <row r="2195" spans="1:29" ht="11.65" x14ac:dyDescent="0.35">
      <c r="A2195" s="12">
        <v>2178</v>
      </c>
      <c r="B2195" s="10" t="s">
        <v>1015</v>
      </c>
      <c r="C2195" s="11" t="s">
        <v>1169</v>
      </c>
      <c r="D2195" s="9"/>
      <c r="E2195" s="9">
        <v>704</v>
      </c>
      <c r="F2195" s="10" t="s">
        <v>1066</v>
      </c>
      <c r="G2195" s="9">
        <v>920</v>
      </c>
      <c r="H2195" s="9">
        <v>1960</v>
      </c>
      <c r="I2195" s="8">
        <v>2992.558</v>
      </c>
      <c r="J2195" s="8">
        <v>2257.0100000000002</v>
      </c>
      <c r="K2195" s="8">
        <v>1422.0889999999999</v>
      </c>
      <c r="L2195" s="8">
        <v>1167.347</v>
      </c>
      <c r="M2195" s="8">
        <v>1149.6079999999999</v>
      </c>
      <c r="N2195" s="8">
        <v>1228.4290000000001</v>
      </c>
      <c r="O2195" s="8">
        <v>1051.1869999999999</v>
      </c>
      <c r="P2195" s="8">
        <v>966.89700000000005</v>
      </c>
      <c r="Q2195" s="8">
        <v>830.05</v>
      </c>
      <c r="R2195" s="8">
        <v>768.24800000000005</v>
      </c>
      <c r="S2195" s="8">
        <v>642.774</v>
      </c>
      <c r="T2195" s="8">
        <v>603.62900000000002</v>
      </c>
      <c r="U2195" s="8">
        <v>440.17399999999998</v>
      </c>
      <c r="V2195" s="8">
        <v>300.959</v>
      </c>
      <c r="W2195" s="8">
        <v>180.85900000000001</v>
      </c>
      <c r="X2195" s="8">
        <v>93.712999999999994</v>
      </c>
      <c r="Y2195" s="8">
        <v>39.469000000000001</v>
      </c>
      <c r="Z2195" s="8">
        <v>11.757999999999999</v>
      </c>
      <c r="AA2195" s="8">
        <v>1.919</v>
      </c>
      <c r="AB2195" s="8">
        <v>0.30599999999999999</v>
      </c>
      <c r="AC2195" s="8">
        <v>3.2000000000000001E-2</v>
      </c>
    </row>
    <row r="2196" spans="1:29" ht="11.65" x14ac:dyDescent="0.35">
      <c r="A2196" s="12">
        <v>2179</v>
      </c>
      <c r="B2196" s="10" t="s">
        <v>1015</v>
      </c>
      <c r="C2196" s="11" t="s">
        <v>1169</v>
      </c>
      <c r="D2196" s="9"/>
      <c r="E2196" s="9">
        <v>704</v>
      </c>
      <c r="F2196" s="10" t="s">
        <v>1066</v>
      </c>
      <c r="G2196" s="9">
        <v>920</v>
      </c>
      <c r="H2196" s="9">
        <v>1965</v>
      </c>
      <c r="I2196" s="8">
        <v>3366.9050000000002</v>
      </c>
      <c r="J2196" s="8">
        <v>2889.3440000000001</v>
      </c>
      <c r="K2196" s="8">
        <v>2211.9839999999999</v>
      </c>
      <c r="L2196" s="8">
        <v>1400.1189999999999</v>
      </c>
      <c r="M2196" s="8">
        <v>1155.173</v>
      </c>
      <c r="N2196" s="8">
        <v>1134.0429999999999</v>
      </c>
      <c r="O2196" s="8">
        <v>1203.27</v>
      </c>
      <c r="P2196" s="8">
        <v>1022.5309999999999</v>
      </c>
      <c r="Q2196" s="8">
        <v>932.28099999999995</v>
      </c>
      <c r="R2196" s="8">
        <v>792.03300000000002</v>
      </c>
      <c r="S2196" s="8">
        <v>728.06799999999998</v>
      </c>
      <c r="T2196" s="8">
        <v>602.57500000000005</v>
      </c>
      <c r="U2196" s="8">
        <v>543.61500000000001</v>
      </c>
      <c r="V2196" s="8">
        <v>361.536</v>
      </c>
      <c r="W2196" s="8">
        <v>217.60499999999999</v>
      </c>
      <c r="X2196" s="8">
        <v>110.72799999999999</v>
      </c>
      <c r="Y2196" s="8">
        <v>45.323</v>
      </c>
      <c r="Z2196" s="8">
        <v>13.808999999999999</v>
      </c>
      <c r="AA2196" s="8">
        <v>2.7280000000000002</v>
      </c>
      <c r="AB2196" s="8">
        <v>0.26900000000000002</v>
      </c>
      <c r="AC2196" s="8">
        <v>2.5999999999999999E-2</v>
      </c>
    </row>
    <row r="2197" spans="1:29" ht="11.65" x14ac:dyDescent="0.35">
      <c r="A2197" s="12">
        <v>2180</v>
      </c>
      <c r="B2197" s="10" t="s">
        <v>1015</v>
      </c>
      <c r="C2197" s="11" t="s">
        <v>1169</v>
      </c>
      <c r="D2197" s="9"/>
      <c r="E2197" s="9">
        <v>704</v>
      </c>
      <c r="F2197" s="10" t="s">
        <v>1066</v>
      </c>
      <c r="G2197" s="9">
        <v>920</v>
      </c>
      <c r="H2197" s="9">
        <v>1970</v>
      </c>
      <c r="I2197" s="8">
        <v>3618.7730000000001</v>
      </c>
      <c r="J2197" s="8">
        <v>3268.893</v>
      </c>
      <c r="K2197" s="8">
        <v>2833.0030000000002</v>
      </c>
      <c r="L2197" s="8">
        <v>2175.8829999999998</v>
      </c>
      <c r="M2197" s="8">
        <v>1383.962</v>
      </c>
      <c r="N2197" s="8">
        <v>1138.538</v>
      </c>
      <c r="O2197" s="8">
        <v>1109.739</v>
      </c>
      <c r="P2197" s="8">
        <v>1170.5650000000001</v>
      </c>
      <c r="Q2197" s="8">
        <v>987.19200000000001</v>
      </c>
      <c r="R2197" s="8">
        <v>890.74</v>
      </c>
      <c r="S2197" s="8">
        <v>751.59299999999996</v>
      </c>
      <c r="T2197" s="8">
        <v>682.63800000000003</v>
      </c>
      <c r="U2197" s="8">
        <v>543.41899999999998</v>
      </c>
      <c r="V2197" s="8">
        <v>447.77600000000001</v>
      </c>
      <c r="W2197" s="8">
        <v>261.709</v>
      </c>
      <c r="X2197" s="8">
        <v>133.345</v>
      </c>
      <c r="Y2197" s="8">
        <v>53.561999999999998</v>
      </c>
      <c r="Z2197" s="8">
        <v>15.837999999999999</v>
      </c>
      <c r="AA2197" s="8">
        <v>3.194</v>
      </c>
      <c r="AB2197" s="8">
        <v>0.379</v>
      </c>
      <c r="AC2197" s="8">
        <v>2.3E-2</v>
      </c>
    </row>
    <row r="2198" spans="1:29" ht="11.65" x14ac:dyDescent="0.35">
      <c r="A2198" s="12">
        <v>2181</v>
      </c>
      <c r="B2198" s="10" t="s">
        <v>1015</v>
      </c>
      <c r="C2198" s="11" t="s">
        <v>1169</v>
      </c>
      <c r="D2198" s="9"/>
      <c r="E2198" s="9">
        <v>704</v>
      </c>
      <c r="F2198" s="10" t="s">
        <v>1066</v>
      </c>
      <c r="G2198" s="9">
        <v>920</v>
      </c>
      <c r="H2198" s="9">
        <v>1975</v>
      </c>
      <c r="I2198" s="8">
        <v>3917.18</v>
      </c>
      <c r="J2198" s="8">
        <v>3502.14</v>
      </c>
      <c r="K2198" s="8">
        <v>3173.2449999999999</v>
      </c>
      <c r="L2198" s="8">
        <v>2758.8629999999998</v>
      </c>
      <c r="M2198" s="8">
        <v>2133.2570000000001</v>
      </c>
      <c r="N2198" s="8">
        <v>1351.5070000000001</v>
      </c>
      <c r="O2198" s="8">
        <v>1099.9179999999999</v>
      </c>
      <c r="P2198" s="8">
        <v>1063.807</v>
      </c>
      <c r="Q2198" s="8">
        <v>1109.941</v>
      </c>
      <c r="R2198" s="8">
        <v>921.07</v>
      </c>
      <c r="S2198" s="8">
        <v>820.78</v>
      </c>
      <c r="T2198" s="8">
        <v>678.26800000000003</v>
      </c>
      <c r="U2198" s="8">
        <v>579.33299999999997</v>
      </c>
      <c r="V2198" s="8">
        <v>414.20600000000002</v>
      </c>
      <c r="W2198" s="8">
        <v>293.89100000000002</v>
      </c>
      <c r="X2198" s="8">
        <v>141.08699999999999</v>
      </c>
      <c r="Y2198" s="8">
        <v>54.868000000000002</v>
      </c>
      <c r="Z2198" s="8">
        <v>15.516</v>
      </c>
      <c r="AA2198" s="8">
        <v>2.972</v>
      </c>
      <c r="AB2198" s="8">
        <v>0.36099999999999999</v>
      </c>
      <c r="AC2198" s="8">
        <v>2.5000000000000001E-2</v>
      </c>
    </row>
    <row r="2199" spans="1:29" ht="11.65" x14ac:dyDescent="0.35">
      <c r="A2199" s="12">
        <v>2182</v>
      </c>
      <c r="B2199" s="10" t="s">
        <v>1015</v>
      </c>
      <c r="C2199" s="11" t="s">
        <v>1169</v>
      </c>
      <c r="D2199" s="9"/>
      <c r="E2199" s="9">
        <v>704</v>
      </c>
      <c r="F2199" s="10" t="s">
        <v>1066</v>
      </c>
      <c r="G2199" s="9">
        <v>920</v>
      </c>
      <c r="H2199" s="9">
        <v>1980</v>
      </c>
      <c r="I2199" s="8">
        <v>4075.3780000000002</v>
      </c>
      <c r="J2199" s="8">
        <v>3811.9520000000002</v>
      </c>
      <c r="K2199" s="8">
        <v>3436.9769999999999</v>
      </c>
      <c r="L2199" s="8">
        <v>3098.3049999999998</v>
      </c>
      <c r="M2199" s="8">
        <v>2660.7849999999999</v>
      </c>
      <c r="N2199" s="8">
        <v>2021.442</v>
      </c>
      <c r="O2199" s="8">
        <v>1254.8420000000001</v>
      </c>
      <c r="P2199" s="8">
        <v>1023.2670000000001</v>
      </c>
      <c r="Q2199" s="8">
        <v>998.53200000000004</v>
      </c>
      <c r="R2199" s="8">
        <v>1045.184</v>
      </c>
      <c r="S2199" s="8">
        <v>863.99800000000005</v>
      </c>
      <c r="T2199" s="8">
        <v>762.98699999999997</v>
      </c>
      <c r="U2199" s="8">
        <v>611.74199999999996</v>
      </c>
      <c r="V2199" s="8">
        <v>491.22399999999999</v>
      </c>
      <c r="W2199" s="8">
        <v>320.71100000000001</v>
      </c>
      <c r="X2199" s="8">
        <v>202.196</v>
      </c>
      <c r="Y2199" s="8">
        <v>81.733000000000004</v>
      </c>
      <c r="Z2199" s="8">
        <v>25.311</v>
      </c>
      <c r="AA2199" s="8">
        <v>5.3339999999999996</v>
      </c>
      <c r="AB2199" s="8">
        <v>0.69699999999999995</v>
      </c>
      <c r="AC2199" s="8">
        <v>5.3999999999999999E-2</v>
      </c>
    </row>
    <row r="2200" spans="1:29" ht="11.65" x14ac:dyDescent="0.35">
      <c r="A2200" s="12">
        <v>2183</v>
      </c>
      <c r="B2200" s="10" t="s">
        <v>1015</v>
      </c>
      <c r="C2200" s="11" t="s">
        <v>1169</v>
      </c>
      <c r="D2200" s="9"/>
      <c r="E2200" s="9">
        <v>704</v>
      </c>
      <c r="F2200" s="10" t="s">
        <v>1066</v>
      </c>
      <c r="G2200" s="9">
        <v>920</v>
      </c>
      <c r="H2200" s="9">
        <v>1985</v>
      </c>
      <c r="I2200" s="8">
        <v>4399.3530000000001</v>
      </c>
      <c r="J2200" s="8">
        <v>3998.692</v>
      </c>
      <c r="K2200" s="8">
        <v>3752.1320000000001</v>
      </c>
      <c r="L2200" s="8">
        <v>3378.4920000000002</v>
      </c>
      <c r="M2200" s="8">
        <v>3045.2449999999999</v>
      </c>
      <c r="N2200" s="8">
        <v>2600.5639999999999</v>
      </c>
      <c r="O2200" s="8">
        <v>1962.0509999999999</v>
      </c>
      <c r="P2200" s="8">
        <v>1209.4169999999999</v>
      </c>
      <c r="Q2200" s="8">
        <v>982.24199999999996</v>
      </c>
      <c r="R2200" s="8">
        <v>955.64599999999996</v>
      </c>
      <c r="S2200" s="8">
        <v>994.45500000000004</v>
      </c>
      <c r="T2200" s="8">
        <v>811.17200000000003</v>
      </c>
      <c r="U2200" s="8">
        <v>697.529</v>
      </c>
      <c r="V2200" s="8">
        <v>527.37699999999995</v>
      </c>
      <c r="W2200" s="8">
        <v>388.26900000000001</v>
      </c>
      <c r="X2200" s="8">
        <v>226.54900000000001</v>
      </c>
      <c r="Y2200" s="8">
        <v>121.613</v>
      </c>
      <c r="Z2200" s="8">
        <v>39.527000000000001</v>
      </c>
      <c r="AA2200" s="8">
        <v>9.1639999999999997</v>
      </c>
      <c r="AB2200" s="8">
        <v>1.325</v>
      </c>
      <c r="AC2200" s="8">
        <v>0.112</v>
      </c>
    </row>
    <row r="2201" spans="1:29" ht="11.65" x14ac:dyDescent="0.35">
      <c r="A2201" s="12">
        <v>2184</v>
      </c>
      <c r="B2201" s="10" t="s">
        <v>1015</v>
      </c>
      <c r="C2201" s="11" t="s">
        <v>1169</v>
      </c>
      <c r="D2201" s="9"/>
      <c r="E2201" s="9">
        <v>704</v>
      </c>
      <c r="F2201" s="10" t="s">
        <v>1066</v>
      </c>
      <c r="G2201" s="9">
        <v>920</v>
      </c>
      <c r="H2201" s="9">
        <v>1990</v>
      </c>
      <c r="I2201" s="8">
        <v>4696.4440000000004</v>
      </c>
      <c r="J2201" s="8">
        <v>4333.0469999999996</v>
      </c>
      <c r="K2201" s="8">
        <v>3946.9520000000002</v>
      </c>
      <c r="L2201" s="8">
        <v>3690.6610000000001</v>
      </c>
      <c r="M2201" s="8">
        <v>3324.3719999999998</v>
      </c>
      <c r="N2201" s="8">
        <v>2988.85</v>
      </c>
      <c r="O2201" s="8">
        <v>2535.5659999999998</v>
      </c>
      <c r="P2201" s="8">
        <v>1906.896</v>
      </c>
      <c r="Q2201" s="8">
        <v>1166.7370000000001</v>
      </c>
      <c r="R2201" s="8">
        <v>942.74099999999999</v>
      </c>
      <c r="S2201" s="8">
        <v>910.80200000000002</v>
      </c>
      <c r="T2201" s="8">
        <v>936.20399999999995</v>
      </c>
      <c r="U2201" s="8">
        <v>745.07399999999996</v>
      </c>
      <c r="V2201" s="8">
        <v>606.75199999999995</v>
      </c>
      <c r="W2201" s="8">
        <v>422.58699999999999</v>
      </c>
      <c r="X2201" s="8">
        <v>280.15300000000002</v>
      </c>
      <c r="Y2201" s="8">
        <v>140.41900000000001</v>
      </c>
      <c r="Z2201" s="8">
        <v>61.256999999999998</v>
      </c>
      <c r="AA2201" s="8">
        <v>15.092000000000001</v>
      </c>
      <c r="AB2201" s="8">
        <v>2.4449999999999998</v>
      </c>
      <c r="AC2201" s="8">
        <v>0.23200000000000001</v>
      </c>
    </row>
    <row r="2202" spans="1:29" ht="11.65" x14ac:dyDescent="0.35">
      <c r="A2202" s="12">
        <v>2185</v>
      </c>
      <c r="B2202" s="10" t="s">
        <v>1015</v>
      </c>
      <c r="C2202" s="11" t="s">
        <v>1169</v>
      </c>
      <c r="D2202" s="9"/>
      <c r="E2202" s="9">
        <v>704</v>
      </c>
      <c r="F2202" s="10" t="s">
        <v>1066</v>
      </c>
      <c r="G2202" s="9">
        <v>920</v>
      </c>
      <c r="H2202" s="9">
        <v>1995</v>
      </c>
      <c r="I2202" s="8">
        <v>4686.8639999999996</v>
      </c>
      <c r="J2202" s="8">
        <v>4632.0190000000002</v>
      </c>
      <c r="K2202" s="8">
        <v>4292.7879999999996</v>
      </c>
      <c r="L2202" s="8">
        <v>3902.5810000000001</v>
      </c>
      <c r="M2202" s="8">
        <v>3609.4070000000002</v>
      </c>
      <c r="N2202" s="8">
        <v>3223.3290000000002</v>
      </c>
      <c r="O2202" s="8">
        <v>2910.19</v>
      </c>
      <c r="P2202" s="8">
        <v>2480.0790000000002</v>
      </c>
      <c r="Q2202" s="8">
        <v>1863.4659999999999</v>
      </c>
      <c r="R2202" s="8">
        <v>1130.4490000000001</v>
      </c>
      <c r="S2202" s="8">
        <v>904.08299999999997</v>
      </c>
      <c r="T2202" s="8">
        <v>860.55200000000002</v>
      </c>
      <c r="U2202" s="8">
        <v>864.38699999999994</v>
      </c>
      <c r="V2202" s="8">
        <v>653.65700000000004</v>
      </c>
      <c r="W2202" s="8">
        <v>492.51</v>
      </c>
      <c r="X2202" s="8">
        <v>310.303</v>
      </c>
      <c r="Y2202" s="8">
        <v>178.315</v>
      </c>
      <c r="Z2202" s="8">
        <v>73.631</v>
      </c>
      <c r="AA2202" s="8">
        <v>24.766999999999999</v>
      </c>
      <c r="AB2202" s="8">
        <v>4.3440000000000003</v>
      </c>
      <c r="AC2202" s="8">
        <v>0.47099999999999997</v>
      </c>
    </row>
    <row r="2203" spans="1:29" ht="11.65" x14ac:dyDescent="0.35">
      <c r="A2203" s="12">
        <v>2186</v>
      </c>
      <c r="B2203" s="10" t="s">
        <v>1015</v>
      </c>
      <c r="C2203" s="11" t="s">
        <v>1169</v>
      </c>
      <c r="D2203" s="9"/>
      <c r="E2203" s="9">
        <v>704</v>
      </c>
      <c r="F2203" s="10" t="s">
        <v>1066</v>
      </c>
      <c r="G2203" s="9">
        <v>920</v>
      </c>
      <c r="H2203" s="9">
        <v>2000</v>
      </c>
      <c r="I2203" s="8">
        <v>3694.415</v>
      </c>
      <c r="J2203" s="8">
        <v>4638.7349999999997</v>
      </c>
      <c r="K2203" s="8">
        <v>4602.5129999999999</v>
      </c>
      <c r="L2203" s="8">
        <v>4261.8109999999997</v>
      </c>
      <c r="M2203" s="8">
        <v>3841.846</v>
      </c>
      <c r="N2203" s="8">
        <v>3531.2220000000002</v>
      </c>
      <c r="O2203" s="8">
        <v>3158.9670000000001</v>
      </c>
      <c r="P2203" s="8">
        <v>2857.0410000000002</v>
      </c>
      <c r="Q2203" s="8">
        <v>2430.4929999999999</v>
      </c>
      <c r="R2203" s="8">
        <v>1812.375</v>
      </c>
      <c r="S2203" s="8">
        <v>1086.9449999999999</v>
      </c>
      <c r="T2203" s="8">
        <v>855.15899999999999</v>
      </c>
      <c r="U2203" s="8">
        <v>795.04</v>
      </c>
      <c r="V2203" s="8">
        <v>761.55799999999999</v>
      </c>
      <c r="W2203" s="8">
        <v>535.77300000000002</v>
      </c>
      <c r="X2203" s="8">
        <v>367.46199999999999</v>
      </c>
      <c r="Y2203" s="8">
        <v>202.536</v>
      </c>
      <c r="Z2203" s="8">
        <v>96.87</v>
      </c>
      <c r="AA2203" s="8">
        <v>31.181000000000001</v>
      </c>
      <c r="AB2203" s="8">
        <v>7.6210000000000004</v>
      </c>
      <c r="AC2203" s="8">
        <v>0.91900000000000004</v>
      </c>
    </row>
    <row r="2204" spans="1:29" ht="11.65" x14ac:dyDescent="0.35">
      <c r="A2204" s="12">
        <v>2187</v>
      </c>
      <c r="B2204" s="10" t="s">
        <v>1015</v>
      </c>
      <c r="C2204" s="11" t="s">
        <v>1169</v>
      </c>
      <c r="D2204" s="9"/>
      <c r="E2204" s="9">
        <v>704</v>
      </c>
      <c r="F2204" s="10" t="s">
        <v>1066</v>
      </c>
      <c r="G2204" s="9">
        <v>920</v>
      </c>
      <c r="H2204" s="9">
        <v>2005</v>
      </c>
      <c r="I2204" s="8">
        <v>3459.48</v>
      </c>
      <c r="J2204" s="8">
        <v>3639.7060000000001</v>
      </c>
      <c r="K2204" s="8">
        <v>4576.3599999999997</v>
      </c>
      <c r="L2204" s="8">
        <v>4547.3459999999995</v>
      </c>
      <c r="M2204" s="8">
        <v>4172.6459999999997</v>
      </c>
      <c r="N2204" s="8">
        <v>3725.8539999999998</v>
      </c>
      <c r="O2204" s="8">
        <v>3444.7049999999999</v>
      </c>
      <c r="P2204" s="8">
        <v>3110.2220000000002</v>
      </c>
      <c r="Q2204" s="8">
        <v>2823.8310000000001</v>
      </c>
      <c r="R2204" s="8">
        <v>2394.0360000000001</v>
      </c>
      <c r="S2204" s="8">
        <v>1760.0650000000001</v>
      </c>
      <c r="T2204" s="8">
        <v>1007.054</v>
      </c>
      <c r="U2204" s="8">
        <v>761.53800000000001</v>
      </c>
      <c r="V2204" s="8">
        <v>683.673</v>
      </c>
      <c r="W2204" s="8">
        <v>611.71699999999998</v>
      </c>
      <c r="X2204" s="8">
        <v>399.16399999999999</v>
      </c>
      <c r="Y2204" s="8">
        <v>245.36500000000001</v>
      </c>
      <c r="Z2204" s="8">
        <v>113.673</v>
      </c>
      <c r="AA2204" s="8">
        <v>43.058</v>
      </c>
      <c r="AB2204" s="8">
        <v>10.263999999999999</v>
      </c>
      <c r="AC2204" s="8">
        <v>1.7709999999999999</v>
      </c>
    </row>
    <row r="2205" spans="1:29" ht="11.65" x14ac:dyDescent="0.35">
      <c r="A2205" s="12">
        <v>2188</v>
      </c>
      <c r="B2205" s="10" t="s">
        <v>1015</v>
      </c>
      <c r="C2205" s="11" t="s">
        <v>1169</v>
      </c>
      <c r="D2205" s="9"/>
      <c r="E2205" s="9">
        <v>704</v>
      </c>
      <c r="F2205" s="10" t="s">
        <v>1066</v>
      </c>
      <c r="G2205" s="9">
        <v>920</v>
      </c>
      <c r="H2205" s="9">
        <v>2010</v>
      </c>
      <c r="I2205" s="8">
        <v>3791.444</v>
      </c>
      <c r="J2205" s="8">
        <v>3415.154</v>
      </c>
      <c r="K2205" s="8">
        <v>3588.7779999999998</v>
      </c>
      <c r="L2205" s="8">
        <v>4529.07</v>
      </c>
      <c r="M2205" s="8">
        <v>4453.5950000000003</v>
      </c>
      <c r="N2205" s="8">
        <v>4051.2750000000001</v>
      </c>
      <c r="O2205" s="8">
        <v>3635.1559999999999</v>
      </c>
      <c r="P2205" s="8">
        <v>3387.7579999999998</v>
      </c>
      <c r="Q2205" s="8">
        <v>3074.654</v>
      </c>
      <c r="R2205" s="8">
        <v>2779.9079999999999</v>
      </c>
      <c r="S2205" s="8">
        <v>2321.6799999999998</v>
      </c>
      <c r="T2205" s="8">
        <v>1644.672</v>
      </c>
      <c r="U2205" s="8">
        <v>904.31500000000005</v>
      </c>
      <c r="V2205" s="8">
        <v>659.20399999999995</v>
      </c>
      <c r="W2205" s="8">
        <v>554.63199999999995</v>
      </c>
      <c r="X2205" s="8">
        <v>465.56299999999999</v>
      </c>
      <c r="Y2205" s="8">
        <v>274.17899999999997</v>
      </c>
      <c r="Z2205" s="8">
        <v>143.66200000000001</v>
      </c>
      <c r="AA2205" s="8">
        <v>53.597000000000001</v>
      </c>
      <c r="AB2205" s="8">
        <v>15.313000000000001</v>
      </c>
      <c r="AC2205" s="8">
        <v>2.7570000000000001</v>
      </c>
    </row>
    <row r="2206" spans="1:29" ht="11.65" x14ac:dyDescent="0.35">
      <c r="A2206" s="12">
        <v>2189</v>
      </c>
      <c r="B2206" s="10" t="s">
        <v>1015</v>
      </c>
      <c r="C2206" s="11" t="s">
        <v>1169</v>
      </c>
      <c r="D2206" s="9"/>
      <c r="E2206" s="9">
        <v>704</v>
      </c>
      <c r="F2206" s="10" t="s">
        <v>1066</v>
      </c>
      <c r="G2206" s="9">
        <v>920</v>
      </c>
      <c r="H2206" s="9">
        <v>2015</v>
      </c>
      <c r="I2206" s="8">
        <v>4035.703</v>
      </c>
      <c r="J2206" s="8">
        <v>3760.2840000000001</v>
      </c>
      <c r="K2206" s="8">
        <v>3388.9749999999999</v>
      </c>
      <c r="L2206" s="8">
        <v>3563.0430000000001</v>
      </c>
      <c r="M2206" s="8">
        <v>4458.9960000000001</v>
      </c>
      <c r="N2206" s="8">
        <v>4357.4759999999997</v>
      </c>
      <c r="O2206" s="8">
        <v>3975.2510000000002</v>
      </c>
      <c r="P2206" s="8">
        <v>3579.107</v>
      </c>
      <c r="Q2206" s="8">
        <v>3336.3530000000001</v>
      </c>
      <c r="R2206" s="8">
        <v>3010.3310000000001</v>
      </c>
      <c r="S2206" s="8">
        <v>2685.08</v>
      </c>
      <c r="T2206" s="8">
        <v>2186.9189999999999</v>
      </c>
      <c r="U2206" s="8">
        <v>1510.0630000000001</v>
      </c>
      <c r="V2206" s="8">
        <v>798.24800000000005</v>
      </c>
      <c r="W2206" s="8">
        <v>546.34500000000003</v>
      </c>
      <c r="X2206" s="8">
        <v>427.59899999999999</v>
      </c>
      <c r="Y2206" s="8">
        <v>322.41800000000001</v>
      </c>
      <c r="Z2206" s="8">
        <v>162.38800000000001</v>
      </c>
      <c r="AA2206" s="8">
        <v>69.016999999999996</v>
      </c>
      <c r="AB2206" s="8">
        <v>19.617000000000001</v>
      </c>
      <c r="AC2206" s="8">
        <v>4.2530000000000001</v>
      </c>
    </row>
    <row r="2207" spans="1:29" ht="11.65" x14ac:dyDescent="0.35">
      <c r="A2207" s="12">
        <v>2190</v>
      </c>
      <c r="B2207" s="10" t="s">
        <v>1015</v>
      </c>
      <c r="C2207" s="11" t="s">
        <v>1169</v>
      </c>
      <c r="D2207" s="9"/>
      <c r="E2207" s="9">
        <v>704</v>
      </c>
      <c r="F2207" s="10" t="s">
        <v>1066</v>
      </c>
      <c r="G2207" s="9">
        <v>920</v>
      </c>
      <c r="H2207" s="9">
        <v>2020</v>
      </c>
      <c r="I2207" s="8">
        <v>4164.8419999999996</v>
      </c>
      <c r="J2207" s="8">
        <v>4004.759</v>
      </c>
      <c r="K2207" s="8">
        <v>3734.0360000000001</v>
      </c>
      <c r="L2207" s="8">
        <v>3364.8470000000002</v>
      </c>
      <c r="M2207" s="8">
        <v>3500.183</v>
      </c>
      <c r="N2207" s="8">
        <v>4363.6210000000001</v>
      </c>
      <c r="O2207" s="8">
        <v>4278.9089999999997</v>
      </c>
      <c r="P2207" s="8">
        <v>3915.663</v>
      </c>
      <c r="Q2207" s="8">
        <v>3525.5390000000002</v>
      </c>
      <c r="R2207" s="8">
        <v>3266.8310000000001</v>
      </c>
      <c r="S2207" s="8">
        <v>2907.9459999999999</v>
      </c>
      <c r="T2207" s="8">
        <v>2530.1</v>
      </c>
      <c r="U2207" s="8">
        <v>2012.144</v>
      </c>
      <c r="V2207" s="8">
        <v>1339.4559999999999</v>
      </c>
      <c r="W2207" s="8">
        <v>664.80200000000002</v>
      </c>
      <c r="X2207" s="8">
        <v>422.995</v>
      </c>
      <c r="Y2207" s="8">
        <v>298.06700000000001</v>
      </c>
      <c r="Z2207" s="8">
        <v>193.01300000000001</v>
      </c>
      <c r="AA2207" s="8">
        <v>79.054000000000002</v>
      </c>
      <c r="AB2207" s="8">
        <v>25.681000000000001</v>
      </c>
      <c r="AC2207" s="8">
        <v>5.766</v>
      </c>
    </row>
    <row r="2208" spans="1:29" ht="11.65" x14ac:dyDescent="0.35">
      <c r="A2208" s="28">
        <v>2191</v>
      </c>
      <c r="B2208" s="26" t="s">
        <v>1015</v>
      </c>
      <c r="C2208" s="27" t="s">
        <v>1170</v>
      </c>
      <c r="D2208" s="25"/>
      <c r="E2208" s="25">
        <v>1830</v>
      </c>
      <c r="F2208" s="26" t="s">
        <v>1063</v>
      </c>
      <c r="G2208" s="25">
        <v>1828</v>
      </c>
      <c r="H2208" s="25">
        <v>1950</v>
      </c>
      <c r="I2208" s="24">
        <v>13742.556</v>
      </c>
      <c r="J2208" s="24">
        <v>11071.795</v>
      </c>
      <c r="K2208" s="24">
        <v>9717.0840000000007</v>
      </c>
      <c r="L2208" s="24">
        <v>8471.616</v>
      </c>
      <c r="M2208" s="24">
        <v>7615.1409999999996</v>
      </c>
      <c r="N2208" s="24">
        <v>6433.0259999999998</v>
      </c>
      <c r="O2208" s="24">
        <v>5363.9160000000002</v>
      </c>
      <c r="P2208" s="24">
        <v>4852.9809999999998</v>
      </c>
      <c r="Q2208" s="24">
        <v>4136.9960000000001</v>
      </c>
      <c r="R2208" s="24">
        <v>3494.2919999999999</v>
      </c>
      <c r="S2208" s="24">
        <v>2866.7910000000002</v>
      </c>
      <c r="T2208" s="24">
        <v>2203.0619999999999</v>
      </c>
      <c r="U2208" s="24">
        <v>1692.6189999999999</v>
      </c>
      <c r="V2208" s="24">
        <v>1197.4269999999999</v>
      </c>
      <c r="W2208" s="24">
        <v>781.649</v>
      </c>
      <c r="X2208" s="24">
        <v>437.721</v>
      </c>
      <c r="Y2208" s="24">
        <v>188.34</v>
      </c>
      <c r="Z2208" s="24">
        <v>84.915000000000006</v>
      </c>
      <c r="AA2208" s="24">
        <v>33.200000000000003</v>
      </c>
      <c r="AB2208" s="24">
        <v>12.509</v>
      </c>
      <c r="AC2208" s="24">
        <v>4.851</v>
      </c>
    </row>
    <row r="2209" spans="1:29" ht="11.65" x14ac:dyDescent="0.35">
      <c r="A2209" s="28">
        <v>2192</v>
      </c>
      <c r="B2209" s="26" t="s">
        <v>1015</v>
      </c>
      <c r="C2209" s="27" t="s">
        <v>1170</v>
      </c>
      <c r="D2209" s="25"/>
      <c r="E2209" s="25">
        <v>1830</v>
      </c>
      <c r="F2209" s="26" t="s">
        <v>1063</v>
      </c>
      <c r="G2209" s="25">
        <v>1828</v>
      </c>
      <c r="H2209" s="25">
        <v>1955</v>
      </c>
      <c r="I2209" s="24">
        <v>16485.918000000001</v>
      </c>
      <c r="J2209" s="24">
        <v>12985.325000000001</v>
      </c>
      <c r="K2209" s="24">
        <v>10872.300999999999</v>
      </c>
      <c r="L2209" s="24">
        <v>9518.3189999999995</v>
      </c>
      <c r="M2209" s="24">
        <v>8232.0190000000002</v>
      </c>
      <c r="N2209" s="24">
        <v>7369.8</v>
      </c>
      <c r="O2209" s="24">
        <v>6218.3450000000003</v>
      </c>
      <c r="P2209" s="24">
        <v>5185.2560000000003</v>
      </c>
      <c r="Q2209" s="24">
        <v>4635.4260000000004</v>
      </c>
      <c r="R2209" s="24">
        <v>3926.5770000000002</v>
      </c>
      <c r="S2209" s="24">
        <v>3253.768</v>
      </c>
      <c r="T2209" s="24">
        <v>2596.2809999999999</v>
      </c>
      <c r="U2209" s="24">
        <v>1925.8</v>
      </c>
      <c r="V2209" s="24">
        <v>1389.16</v>
      </c>
      <c r="W2209" s="24">
        <v>897.49800000000005</v>
      </c>
      <c r="X2209" s="24">
        <v>503.69600000000003</v>
      </c>
      <c r="Y2209" s="24">
        <v>222.40899999999999</v>
      </c>
      <c r="Z2209" s="24">
        <v>67.817999999999998</v>
      </c>
      <c r="AA2209" s="24">
        <v>20.355</v>
      </c>
      <c r="AB2209" s="24">
        <v>4.84</v>
      </c>
      <c r="AC2209" s="24">
        <v>1.379</v>
      </c>
    </row>
    <row r="2210" spans="1:29" ht="11.65" x14ac:dyDescent="0.35">
      <c r="A2210" s="28">
        <v>2193</v>
      </c>
      <c r="B2210" s="26" t="s">
        <v>1015</v>
      </c>
      <c r="C2210" s="27" t="s">
        <v>1170</v>
      </c>
      <c r="D2210" s="25"/>
      <c r="E2210" s="25">
        <v>1830</v>
      </c>
      <c r="F2210" s="26" t="s">
        <v>1063</v>
      </c>
      <c r="G2210" s="25">
        <v>1828</v>
      </c>
      <c r="H2210" s="25">
        <v>1960</v>
      </c>
      <c r="I2210" s="24">
        <v>18832.940999999999</v>
      </c>
      <c r="J2210" s="24">
        <v>15699.441000000001</v>
      </c>
      <c r="K2210" s="24">
        <v>12776.125</v>
      </c>
      <c r="L2210" s="24">
        <v>10632.581</v>
      </c>
      <c r="M2210" s="24">
        <v>9210.1569999999992</v>
      </c>
      <c r="N2210" s="24">
        <v>7937.6440000000002</v>
      </c>
      <c r="O2210" s="24">
        <v>7112.37</v>
      </c>
      <c r="P2210" s="24">
        <v>6000.6239999999998</v>
      </c>
      <c r="Q2210" s="24">
        <v>4962.4129999999996</v>
      </c>
      <c r="R2210" s="24">
        <v>4414.1989999999996</v>
      </c>
      <c r="S2210" s="24">
        <v>3666.4169999999999</v>
      </c>
      <c r="T2210" s="24">
        <v>2964.33</v>
      </c>
      <c r="U2210" s="24">
        <v>2285.2269999999999</v>
      </c>
      <c r="V2210" s="24">
        <v>1599.1369999999999</v>
      </c>
      <c r="W2210" s="24">
        <v>1060.9659999999999</v>
      </c>
      <c r="X2210" s="24">
        <v>598.13</v>
      </c>
      <c r="Y2210" s="24">
        <v>269.79599999999999</v>
      </c>
      <c r="Z2210" s="24">
        <v>87.834000000000003</v>
      </c>
      <c r="AA2210" s="24">
        <v>19.327000000000002</v>
      </c>
      <c r="AB2210" s="24">
        <v>3.843</v>
      </c>
      <c r="AC2210" s="24">
        <v>0.67400000000000004</v>
      </c>
    </row>
    <row r="2211" spans="1:29" ht="11.65" x14ac:dyDescent="0.35">
      <c r="A2211" s="28">
        <v>2194</v>
      </c>
      <c r="B2211" s="26" t="s">
        <v>1015</v>
      </c>
      <c r="C2211" s="27" t="s">
        <v>1170</v>
      </c>
      <c r="D2211" s="25"/>
      <c r="E2211" s="25">
        <v>1830</v>
      </c>
      <c r="F2211" s="26" t="s">
        <v>1063</v>
      </c>
      <c r="G2211" s="25">
        <v>1828</v>
      </c>
      <c r="H2211" s="25">
        <v>1965</v>
      </c>
      <c r="I2211" s="24">
        <v>21379.698</v>
      </c>
      <c r="J2211" s="24">
        <v>18028.742999999999</v>
      </c>
      <c r="K2211" s="24">
        <v>15420.624</v>
      </c>
      <c r="L2211" s="24">
        <v>12480.825000000001</v>
      </c>
      <c r="M2211" s="24">
        <v>10306.138999999999</v>
      </c>
      <c r="N2211" s="24">
        <v>8900.3410000000003</v>
      </c>
      <c r="O2211" s="24">
        <v>7676.6279999999997</v>
      </c>
      <c r="P2211" s="24">
        <v>6879.018</v>
      </c>
      <c r="Q2211" s="24">
        <v>5768.5540000000001</v>
      </c>
      <c r="R2211" s="24">
        <v>4735.7780000000002</v>
      </c>
      <c r="S2211" s="24">
        <v>4140.1620000000003</v>
      </c>
      <c r="T2211" s="24">
        <v>3363.4560000000001</v>
      </c>
      <c r="U2211" s="24">
        <v>2626.5349999999999</v>
      </c>
      <c r="V2211" s="24">
        <v>1914.4829999999999</v>
      </c>
      <c r="W2211" s="24">
        <v>1234.915</v>
      </c>
      <c r="X2211" s="24">
        <v>719.88699999999994</v>
      </c>
      <c r="Y2211" s="24">
        <v>329.61799999999999</v>
      </c>
      <c r="Z2211" s="24">
        <v>110.97799999999999</v>
      </c>
      <c r="AA2211" s="24">
        <v>25.402000000000001</v>
      </c>
      <c r="AB2211" s="24">
        <v>4.0110000000000001</v>
      </c>
      <c r="AC2211" s="24">
        <v>0.59899999999999998</v>
      </c>
    </row>
    <row r="2212" spans="1:29" ht="11.65" x14ac:dyDescent="0.35">
      <c r="A2212" s="28">
        <v>2195</v>
      </c>
      <c r="B2212" s="26" t="s">
        <v>1015</v>
      </c>
      <c r="C2212" s="27" t="s">
        <v>1170</v>
      </c>
      <c r="D2212" s="25"/>
      <c r="E2212" s="25">
        <v>1830</v>
      </c>
      <c r="F2212" s="26" t="s">
        <v>1063</v>
      </c>
      <c r="G2212" s="25">
        <v>1828</v>
      </c>
      <c r="H2212" s="25">
        <v>1970</v>
      </c>
      <c r="I2212" s="24">
        <v>23048.802</v>
      </c>
      <c r="J2212" s="24">
        <v>20595.061000000002</v>
      </c>
      <c r="K2212" s="24">
        <v>17728.705000000002</v>
      </c>
      <c r="L2212" s="24">
        <v>15068.628000000001</v>
      </c>
      <c r="M2212" s="24">
        <v>12074.406000000001</v>
      </c>
      <c r="N2212" s="24">
        <v>9935.6309999999994</v>
      </c>
      <c r="O2212" s="24">
        <v>8610.7160000000003</v>
      </c>
      <c r="P2212" s="24">
        <v>7433.7719999999999</v>
      </c>
      <c r="Q2212" s="24">
        <v>6633.2060000000001</v>
      </c>
      <c r="R2212" s="24">
        <v>5513.8519999999999</v>
      </c>
      <c r="S2212" s="24">
        <v>4459.3860000000004</v>
      </c>
      <c r="T2212" s="24">
        <v>3810.8939999999998</v>
      </c>
      <c r="U2212" s="24">
        <v>2995.4929999999999</v>
      </c>
      <c r="V2212" s="24">
        <v>2223.355</v>
      </c>
      <c r="W2212" s="24">
        <v>1491.1279999999999</v>
      </c>
      <c r="X2212" s="24">
        <v>847.55899999999997</v>
      </c>
      <c r="Y2212" s="24">
        <v>405.06400000000002</v>
      </c>
      <c r="Z2212" s="24">
        <v>139.05600000000001</v>
      </c>
      <c r="AA2212" s="24">
        <v>33.655000000000001</v>
      </c>
      <c r="AB2212" s="24">
        <v>5.2160000000000002</v>
      </c>
      <c r="AC2212" s="24">
        <v>0.65700000000000003</v>
      </c>
    </row>
    <row r="2213" spans="1:29" ht="11.65" x14ac:dyDescent="0.35">
      <c r="A2213" s="28">
        <v>2196</v>
      </c>
      <c r="B2213" s="26" t="s">
        <v>1015</v>
      </c>
      <c r="C2213" s="27" t="s">
        <v>1170</v>
      </c>
      <c r="D2213" s="25"/>
      <c r="E2213" s="25">
        <v>1830</v>
      </c>
      <c r="F2213" s="26" t="s">
        <v>1063</v>
      </c>
      <c r="G2213" s="25">
        <v>1828</v>
      </c>
      <c r="H2213" s="25">
        <v>1975</v>
      </c>
      <c r="I2213" s="24">
        <v>24487.207999999999</v>
      </c>
      <c r="J2213" s="24">
        <v>22346.332999999999</v>
      </c>
      <c r="K2213" s="24">
        <v>20273.276000000002</v>
      </c>
      <c r="L2213" s="24">
        <v>17328.553</v>
      </c>
      <c r="M2213" s="24">
        <v>14571.525</v>
      </c>
      <c r="N2213" s="24">
        <v>11638.42</v>
      </c>
      <c r="O2213" s="24">
        <v>9595.5120000000006</v>
      </c>
      <c r="P2213" s="24">
        <v>8353.5830000000005</v>
      </c>
      <c r="Q2213" s="24">
        <v>7175.0540000000001</v>
      </c>
      <c r="R2213" s="24">
        <v>6348.7879999999996</v>
      </c>
      <c r="S2213" s="24">
        <v>5199.1980000000003</v>
      </c>
      <c r="T2213" s="24">
        <v>4114.9930000000004</v>
      </c>
      <c r="U2213" s="24">
        <v>3402.6039999999998</v>
      </c>
      <c r="V2213" s="24">
        <v>2542.8820000000001</v>
      </c>
      <c r="W2213" s="24">
        <v>1745.932</v>
      </c>
      <c r="X2213" s="24">
        <v>1037.951</v>
      </c>
      <c r="Y2213" s="24">
        <v>482.39400000000001</v>
      </c>
      <c r="Z2213" s="24">
        <v>176.37200000000001</v>
      </c>
      <c r="AA2213" s="24">
        <v>43.884</v>
      </c>
      <c r="AB2213" s="24">
        <v>7.43</v>
      </c>
      <c r="AC2213" s="24">
        <v>0.83</v>
      </c>
    </row>
    <row r="2214" spans="1:29" ht="11.65" x14ac:dyDescent="0.35">
      <c r="A2214" s="28">
        <v>2197</v>
      </c>
      <c r="B2214" s="26" t="s">
        <v>1015</v>
      </c>
      <c r="C2214" s="27" t="s">
        <v>1170</v>
      </c>
      <c r="D2214" s="25"/>
      <c r="E2214" s="25">
        <v>1830</v>
      </c>
      <c r="F2214" s="26" t="s">
        <v>1063</v>
      </c>
      <c r="G2214" s="25">
        <v>1828</v>
      </c>
      <c r="H2214" s="25">
        <v>1980</v>
      </c>
      <c r="I2214" s="24">
        <v>26388.601999999999</v>
      </c>
      <c r="J2214" s="24">
        <v>23864.638999999999</v>
      </c>
      <c r="K2214" s="24">
        <v>21981.219000000001</v>
      </c>
      <c r="L2214" s="24">
        <v>19796.916000000001</v>
      </c>
      <c r="M2214" s="24">
        <v>16669.531999999999</v>
      </c>
      <c r="N2214" s="24">
        <v>14025.321</v>
      </c>
      <c r="O2214" s="24">
        <v>11270.374</v>
      </c>
      <c r="P2214" s="24">
        <v>9308.1329999999998</v>
      </c>
      <c r="Q2214" s="24">
        <v>8068.2190000000001</v>
      </c>
      <c r="R2214" s="24">
        <v>6890.2359999999999</v>
      </c>
      <c r="S2214" s="24">
        <v>6012.848</v>
      </c>
      <c r="T2214" s="24">
        <v>4827.1260000000002</v>
      </c>
      <c r="U2214" s="24">
        <v>3699.3209999999999</v>
      </c>
      <c r="V2214" s="24">
        <v>2920.9549999999999</v>
      </c>
      <c r="W2214" s="24">
        <v>2025.1220000000001</v>
      </c>
      <c r="X2214" s="24">
        <v>1244.722</v>
      </c>
      <c r="Y2214" s="24">
        <v>620.87800000000004</v>
      </c>
      <c r="Z2214" s="24">
        <v>216.059</v>
      </c>
      <c r="AA2214" s="24">
        <v>58.256999999999998</v>
      </c>
      <c r="AB2214" s="24">
        <v>10.182</v>
      </c>
      <c r="AC2214" s="24">
        <v>1.2689999999999999</v>
      </c>
    </row>
    <row r="2215" spans="1:29" ht="11.65" x14ac:dyDescent="0.35">
      <c r="A2215" s="28">
        <v>2198</v>
      </c>
      <c r="B2215" s="26" t="s">
        <v>1015</v>
      </c>
      <c r="C2215" s="27" t="s">
        <v>1170</v>
      </c>
      <c r="D2215" s="25"/>
      <c r="E2215" s="25">
        <v>1830</v>
      </c>
      <c r="F2215" s="26" t="s">
        <v>1063</v>
      </c>
      <c r="G2215" s="25">
        <v>1828</v>
      </c>
      <c r="H2215" s="25">
        <v>1985</v>
      </c>
      <c r="I2215" s="24">
        <v>27918.111000000001</v>
      </c>
      <c r="J2215" s="24">
        <v>25832.145</v>
      </c>
      <c r="K2215" s="24">
        <v>23435.394</v>
      </c>
      <c r="L2215" s="24">
        <v>21404.456999999999</v>
      </c>
      <c r="M2215" s="24">
        <v>19116.851999999999</v>
      </c>
      <c r="N2215" s="24">
        <v>16063.325000000001</v>
      </c>
      <c r="O2215" s="24">
        <v>13587.118</v>
      </c>
      <c r="P2215" s="24">
        <v>10942.076999999999</v>
      </c>
      <c r="Q2215" s="24">
        <v>9016.3439999999991</v>
      </c>
      <c r="R2215" s="24">
        <v>7757.1009999999997</v>
      </c>
      <c r="S2215" s="24">
        <v>6540.8320000000003</v>
      </c>
      <c r="T2215" s="24">
        <v>5603.0550000000003</v>
      </c>
      <c r="U2215" s="24">
        <v>4353.3010000000004</v>
      </c>
      <c r="V2215" s="24">
        <v>3184.3389999999999</v>
      </c>
      <c r="W2215" s="24">
        <v>2337.8040000000001</v>
      </c>
      <c r="X2215" s="24">
        <v>1465.72</v>
      </c>
      <c r="Y2215" s="24">
        <v>758.29300000000001</v>
      </c>
      <c r="Z2215" s="24">
        <v>289.42099999999999</v>
      </c>
      <c r="AA2215" s="24">
        <v>73.593000000000004</v>
      </c>
      <c r="AB2215" s="24">
        <v>14.141</v>
      </c>
      <c r="AC2215" s="24">
        <v>1.8129999999999999</v>
      </c>
    </row>
    <row r="2216" spans="1:29" ht="11.65" x14ac:dyDescent="0.35">
      <c r="A2216" s="28">
        <v>2199</v>
      </c>
      <c r="B2216" s="26" t="s">
        <v>1015</v>
      </c>
      <c r="C2216" s="27" t="s">
        <v>1170</v>
      </c>
      <c r="D2216" s="25"/>
      <c r="E2216" s="25">
        <v>1830</v>
      </c>
      <c r="F2216" s="26" t="s">
        <v>1063</v>
      </c>
      <c r="G2216" s="25">
        <v>1828</v>
      </c>
      <c r="H2216" s="25">
        <v>1990</v>
      </c>
      <c r="I2216" s="24">
        <v>28670.435000000001</v>
      </c>
      <c r="J2216" s="24">
        <v>27415.353999999999</v>
      </c>
      <c r="K2216" s="24">
        <v>25451.079000000002</v>
      </c>
      <c r="L2216" s="24">
        <v>22879.983</v>
      </c>
      <c r="M2216" s="24">
        <v>20627.999</v>
      </c>
      <c r="N2216" s="24">
        <v>18429.204000000002</v>
      </c>
      <c r="O2216" s="24">
        <v>15543.665000000001</v>
      </c>
      <c r="P2216" s="24">
        <v>13224.03</v>
      </c>
      <c r="Q2216" s="24">
        <v>10636.731</v>
      </c>
      <c r="R2216" s="24">
        <v>8697.0840000000007</v>
      </c>
      <c r="S2216" s="24">
        <v>7387.866</v>
      </c>
      <c r="T2216" s="24">
        <v>6110.8559999999998</v>
      </c>
      <c r="U2216" s="24">
        <v>5073.9859999999999</v>
      </c>
      <c r="V2216" s="24">
        <v>3768.8980000000001</v>
      </c>
      <c r="W2216" s="24">
        <v>2574.6759999999999</v>
      </c>
      <c r="X2216" s="24">
        <v>1716.9349999999999</v>
      </c>
      <c r="Y2216" s="24">
        <v>908.90800000000002</v>
      </c>
      <c r="Z2216" s="24">
        <v>366.16300000000001</v>
      </c>
      <c r="AA2216" s="24">
        <v>103.322</v>
      </c>
      <c r="AB2216" s="24">
        <v>18.472000000000001</v>
      </c>
      <c r="AC2216" s="24">
        <v>2.645</v>
      </c>
    </row>
    <row r="2217" spans="1:29" ht="11.65" x14ac:dyDescent="0.35">
      <c r="A2217" s="28">
        <v>2200</v>
      </c>
      <c r="B2217" s="26" t="s">
        <v>1015</v>
      </c>
      <c r="C2217" s="27" t="s">
        <v>1170</v>
      </c>
      <c r="D2217" s="25"/>
      <c r="E2217" s="25">
        <v>1830</v>
      </c>
      <c r="F2217" s="26" t="s">
        <v>1063</v>
      </c>
      <c r="G2217" s="25">
        <v>1828</v>
      </c>
      <c r="H2217" s="25">
        <v>1995</v>
      </c>
      <c r="I2217" s="24">
        <v>28972.753000000001</v>
      </c>
      <c r="J2217" s="24">
        <v>28279.069</v>
      </c>
      <c r="K2217" s="24">
        <v>27114.153999999999</v>
      </c>
      <c r="L2217" s="24">
        <v>24689.343000000001</v>
      </c>
      <c r="M2217" s="24">
        <v>21835.863000000001</v>
      </c>
      <c r="N2217" s="24">
        <v>19861.421999999999</v>
      </c>
      <c r="O2217" s="24">
        <v>17944.937000000002</v>
      </c>
      <c r="P2217" s="24">
        <v>15140.873</v>
      </c>
      <c r="Q2217" s="24">
        <v>12859.706</v>
      </c>
      <c r="R2217" s="24">
        <v>10284.492</v>
      </c>
      <c r="S2217" s="24">
        <v>8323.9539999999997</v>
      </c>
      <c r="T2217" s="24">
        <v>6940.8630000000003</v>
      </c>
      <c r="U2217" s="24">
        <v>5579.7560000000003</v>
      </c>
      <c r="V2217" s="24">
        <v>4432.5330000000004</v>
      </c>
      <c r="W2217" s="24">
        <v>3094.1869999999999</v>
      </c>
      <c r="X2217" s="24">
        <v>1916.9590000000001</v>
      </c>
      <c r="Y2217" s="24">
        <v>1093.924</v>
      </c>
      <c r="Z2217" s="24">
        <v>452.83300000000003</v>
      </c>
      <c r="AA2217" s="24">
        <v>135.05099999999999</v>
      </c>
      <c r="AB2217" s="24">
        <v>26.414000000000001</v>
      </c>
      <c r="AC2217" s="24">
        <v>3.411</v>
      </c>
    </row>
    <row r="2218" spans="1:29" ht="11.65" x14ac:dyDescent="0.35">
      <c r="A2218" s="28">
        <v>2201</v>
      </c>
      <c r="B2218" s="26" t="s">
        <v>1015</v>
      </c>
      <c r="C2218" s="27" t="s">
        <v>1170</v>
      </c>
      <c r="D2218" s="25"/>
      <c r="E2218" s="25">
        <v>1830</v>
      </c>
      <c r="F2218" s="26" t="s">
        <v>1063</v>
      </c>
      <c r="G2218" s="25">
        <v>1828</v>
      </c>
      <c r="H2218" s="25">
        <v>2000</v>
      </c>
      <c r="I2218" s="24">
        <v>28913.901000000002</v>
      </c>
      <c r="J2218" s="24">
        <v>28646.924999999999</v>
      </c>
      <c r="K2218" s="24">
        <v>27843.702000000001</v>
      </c>
      <c r="L2218" s="24">
        <v>26454.221000000001</v>
      </c>
      <c r="M2218" s="24">
        <v>23777.85</v>
      </c>
      <c r="N2218" s="24">
        <v>21142.577000000001</v>
      </c>
      <c r="O2218" s="24">
        <v>19273.374</v>
      </c>
      <c r="P2218" s="24">
        <v>17470.54</v>
      </c>
      <c r="Q2218" s="24">
        <v>14735.581</v>
      </c>
      <c r="R2218" s="24">
        <v>12446.227999999999</v>
      </c>
      <c r="S2218" s="24">
        <v>9861.6830000000009</v>
      </c>
      <c r="T2218" s="24">
        <v>7837.973</v>
      </c>
      <c r="U2218" s="24">
        <v>6368.5929999999998</v>
      </c>
      <c r="V2218" s="24">
        <v>4920.0129999999999</v>
      </c>
      <c r="W2218" s="24">
        <v>3680.0129999999999</v>
      </c>
      <c r="X2218" s="24">
        <v>2342.6979999999999</v>
      </c>
      <c r="Y2218" s="24">
        <v>1258.671</v>
      </c>
      <c r="Z2218" s="24">
        <v>576.70000000000005</v>
      </c>
      <c r="AA2218" s="24">
        <v>179.43199999999999</v>
      </c>
      <c r="AB2218" s="24">
        <v>37.299999999999997</v>
      </c>
      <c r="AC2218" s="24">
        <v>4.649</v>
      </c>
    </row>
    <row r="2219" spans="1:29" ht="11.65" x14ac:dyDescent="0.35">
      <c r="A2219" s="28">
        <v>2202</v>
      </c>
      <c r="B2219" s="26" t="s">
        <v>1015</v>
      </c>
      <c r="C2219" s="27" t="s">
        <v>1170</v>
      </c>
      <c r="D2219" s="25"/>
      <c r="E2219" s="25">
        <v>1830</v>
      </c>
      <c r="F2219" s="26" t="s">
        <v>1063</v>
      </c>
      <c r="G2219" s="25">
        <v>1828</v>
      </c>
      <c r="H2219" s="25">
        <v>2005</v>
      </c>
      <c r="I2219" s="24">
        <v>28119.048999999999</v>
      </c>
      <c r="J2219" s="24">
        <v>28565.617999999999</v>
      </c>
      <c r="K2219" s="24">
        <v>28332.397000000001</v>
      </c>
      <c r="L2219" s="24">
        <v>27072.576000000001</v>
      </c>
      <c r="M2219" s="24">
        <v>25470.281999999999</v>
      </c>
      <c r="N2219" s="24">
        <v>22959.238000000001</v>
      </c>
      <c r="O2219" s="24">
        <v>20583.151000000002</v>
      </c>
      <c r="P2219" s="24">
        <v>18787.611000000001</v>
      </c>
      <c r="Q2219" s="24">
        <v>17014.133000000002</v>
      </c>
      <c r="R2219" s="24">
        <v>14271.423000000001</v>
      </c>
      <c r="S2219" s="24">
        <v>11961.746999999999</v>
      </c>
      <c r="T2219" s="24">
        <v>9316.8179999999993</v>
      </c>
      <c r="U2219" s="24">
        <v>7250.2179999999998</v>
      </c>
      <c r="V2219" s="24">
        <v>5681.5230000000001</v>
      </c>
      <c r="W2219" s="24">
        <v>4146.21</v>
      </c>
      <c r="X2219" s="24">
        <v>2847.279</v>
      </c>
      <c r="Y2219" s="24">
        <v>1577.2729999999999</v>
      </c>
      <c r="Z2219" s="24">
        <v>688.65599999999995</v>
      </c>
      <c r="AA2219" s="24">
        <v>240.727</v>
      </c>
      <c r="AB2219" s="24">
        <v>52.161999999999999</v>
      </c>
      <c r="AC2219" s="24">
        <v>6.9009999999999998</v>
      </c>
    </row>
    <row r="2220" spans="1:29" ht="11.65" x14ac:dyDescent="0.35">
      <c r="A2220" s="28">
        <v>2203</v>
      </c>
      <c r="B2220" s="26" t="s">
        <v>1015</v>
      </c>
      <c r="C2220" s="27" t="s">
        <v>1170</v>
      </c>
      <c r="D2220" s="25"/>
      <c r="E2220" s="25">
        <v>1830</v>
      </c>
      <c r="F2220" s="26" t="s">
        <v>1063</v>
      </c>
      <c r="G2220" s="25">
        <v>1828</v>
      </c>
      <c r="H2220" s="25">
        <v>2010</v>
      </c>
      <c r="I2220" s="24">
        <v>27171.043000000001</v>
      </c>
      <c r="J2220" s="24">
        <v>27898.914000000001</v>
      </c>
      <c r="K2220" s="24">
        <v>28366.536</v>
      </c>
      <c r="L2220" s="24">
        <v>28032.572</v>
      </c>
      <c r="M2220" s="24">
        <v>26405.436000000002</v>
      </c>
      <c r="N2220" s="24">
        <v>24754.409</v>
      </c>
      <c r="O2220" s="24">
        <v>22351.635999999999</v>
      </c>
      <c r="P2220" s="24">
        <v>20077.036</v>
      </c>
      <c r="Q2220" s="24">
        <v>18303.629000000001</v>
      </c>
      <c r="R2220" s="24">
        <v>16511.316999999999</v>
      </c>
      <c r="S2220" s="24">
        <v>13737.319</v>
      </c>
      <c r="T2220" s="24">
        <v>11337.75</v>
      </c>
      <c r="U2220" s="24">
        <v>8649.0630000000001</v>
      </c>
      <c r="V2220" s="24">
        <v>6504.375</v>
      </c>
      <c r="W2220" s="24">
        <v>4831.8609999999999</v>
      </c>
      <c r="X2220" s="24">
        <v>3249.7310000000002</v>
      </c>
      <c r="Y2220" s="24">
        <v>1964.4459999999999</v>
      </c>
      <c r="Z2220" s="24">
        <v>887.93299999999999</v>
      </c>
      <c r="AA2220" s="24">
        <v>298.30799999999999</v>
      </c>
      <c r="AB2220" s="24">
        <v>73.247</v>
      </c>
      <c r="AC2220" s="24">
        <v>9.7609999999999904</v>
      </c>
    </row>
    <row r="2221" spans="1:29" ht="11.65" x14ac:dyDescent="0.35">
      <c r="A2221" s="28">
        <v>2204</v>
      </c>
      <c r="B2221" s="26" t="s">
        <v>1015</v>
      </c>
      <c r="C2221" s="27" t="s">
        <v>1170</v>
      </c>
      <c r="D2221" s="25"/>
      <c r="E2221" s="25">
        <v>1830</v>
      </c>
      <c r="F2221" s="26" t="s">
        <v>1063</v>
      </c>
      <c r="G2221" s="25">
        <v>1828</v>
      </c>
      <c r="H2221" s="25">
        <v>2015</v>
      </c>
      <c r="I2221" s="24">
        <v>26907.156999999999</v>
      </c>
      <c r="J2221" s="24">
        <v>27014.330999999998</v>
      </c>
      <c r="K2221" s="24">
        <v>27746.127</v>
      </c>
      <c r="L2221" s="24">
        <v>27983.435000000001</v>
      </c>
      <c r="M2221" s="24">
        <v>27390.850999999999</v>
      </c>
      <c r="N2221" s="24">
        <v>25734.21</v>
      </c>
      <c r="O2221" s="24">
        <v>24207.544000000002</v>
      </c>
      <c r="P2221" s="24">
        <v>21883.766</v>
      </c>
      <c r="Q2221" s="24">
        <v>19623.55</v>
      </c>
      <c r="R2221" s="24">
        <v>17818.34</v>
      </c>
      <c r="S2221" s="24">
        <v>15938.004000000001</v>
      </c>
      <c r="T2221" s="24">
        <v>13094.191000000001</v>
      </c>
      <c r="U2221" s="24">
        <v>10597.029</v>
      </c>
      <c r="V2221" s="24">
        <v>7820.0159999999996</v>
      </c>
      <c r="W2221" s="24">
        <v>5590.04</v>
      </c>
      <c r="X2221" s="24">
        <v>3854.4549999999999</v>
      </c>
      <c r="Y2221" s="24">
        <v>2291.7820000000002</v>
      </c>
      <c r="Z2221" s="24">
        <v>1135.1610000000001</v>
      </c>
      <c r="AA2221" s="24">
        <v>398.29500000000002</v>
      </c>
      <c r="AB2221" s="24">
        <v>94.126000000000005</v>
      </c>
      <c r="AC2221" s="24">
        <v>14.279</v>
      </c>
    </row>
    <row r="2222" spans="1:29" ht="11.65" x14ac:dyDescent="0.35">
      <c r="A2222" s="28">
        <v>2205</v>
      </c>
      <c r="B2222" s="26" t="s">
        <v>1015</v>
      </c>
      <c r="C2222" s="27" t="s">
        <v>1170</v>
      </c>
      <c r="D2222" s="25"/>
      <c r="E2222" s="25">
        <v>1830</v>
      </c>
      <c r="F2222" s="26" t="s">
        <v>1063</v>
      </c>
      <c r="G2222" s="25">
        <v>1828</v>
      </c>
      <c r="H2222" s="25">
        <v>2020</v>
      </c>
      <c r="I2222" s="24">
        <v>26420.328000000001</v>
      </c>
      <c r="J2222" s="24">
        <v>26644.307000000001</v>
      </c>
      <c r="K2222" s="24">
        <v>26680.944</v>
      </c>
      <c r="L2222" s="24">
        <v>27197.960999999999</v>
      </c>
      <c r="M2222" s="24">
        <v>27229.684000000001</v>
      </c>
      <c r="N2222" s="24">
        <v>26751.138999999999</v>
      </c>
      <c r="O2222" s="24">
        <v>25330.999</v>
      </c>
      <c r="P2222" s="24">
        <v>23887.830999999998</v>
      </c>
      <c r="Q2222" s="24">
        <v>21580.026000000002</v>
      </c>
      <c r="R2222" s="24">
        <v>19263.945</v>
      </c>
      <c r="S2222" s="24">
        <v>17335.373</v>
      </c>
      <c r="T2222" s="24">
        <v>15284.916999999999</v>
      </c>
      <c r="U2222" s="24">
        <v>12296.883</v>
      </c>
      <c r="V2222" s="24">
        <v>9636.01</v>
      </c>
      <c r="W2222" s="24">
        <v>6779.2839999999997</v>
      </c>
      <c r="X2222" s="24">
        <v>4499.3059999999996</v>
      </c>
      <c r="Y2222" s="24">
        <v>2762.49</v>
      </c>
      <c r="Z2222" s="24">
        <v>1365.7850000000001</v>
      </c>
      <c r="AA2222" s="24">
        <v>529.86900000000003</v>
      </c>
      <c r="AB2222" s="24">
        <v>131.815</v>
      </c>
      <c r="AC2222" s="24">
        <v>19.858000000000001</v>
      </c>
    </row>
    <row r="2223" spans="1:29" ht="11.65" x14ac:dyDescent="0.35">
      <c r="A2223" s="23">
        <v>2206</v>
      </c>
      <c r="B2223" s="21" t="s">
        <v>1015</v>
      </c>
      <c r="C2223" s="29" t="s">
        <v>1171</v>
      </c>
      <c r="D2223" s="20"/>
      <c r="E2223" s="20">
        <v>915</v>
      </c>
      <c r="F2223" s="21" t="s">
        <v>1065</v>
      </c>
      <c r="G2223" s="20">
        <v>1830</v>
      </c>
      <c r="H2223" s="20">
        <v>1950</v>
      </c>
      <c r="I2223" s="19">
        <v>1298.239</v>
      </c>
      <c r="J2223" s="19">
        <v>1112.279</v>
      </c>
      <c r="K2223" s="19">
        <v>995.03300000000002</v>
      </c>
      <c r="L2223" s="19">
        <v>843.51400000000001</v>
      </c>
      <c r="M2223" s="19">
        <v>716.58199999999999</v>
      </c>
      <c r="N2223" s="19">
        <v>624.495</v>
      </c>
      <c r="O2223" s="19">
        <v>565.45600000000002</v>
      </c>
      <c r="P2223" s="19">
        <v>528.19299999999998</v>
      </c>
      <c r="Q2223" s="19">
        <v>451.90600000000001</v>
      </c>
      <c r="R2223" s="19">
        <v>395.70800000000003</v>
      </c>
      <c r="S2223" s="19">
        <v>302.82400000000001</v>
      </c>
      <c r="T2223" s="19">
        <v>220.25899999999999</v>
      </c>
      <c r="U2223" s="19">
        <v>190.69499999999999</v>
      </c>
      <c r="V2223" s="19">
        <v>136.18299999999999</v>
      </c>
      <c r="W2223" s="19">
        <v>92.265000000000001</v>
      </c>
      <c r="X2223" s="19">
        <v>55.363999999999997</v>
      </c>
      <c r="Y2223" s="19">
        <v>25.227</v>
      </c>
      <c r="Z2223" s="19">
        <v>10.096</v>
      </c>
      <c r="AA2223" s="19">
        <v>2.9420000000000002</v>
      </c>
      <c r="AB2223" s="19">
        <v>0.61399999999999999</v>
      </c>
      <c r="AC2223" s="19">
        <v>0.104</v>
      </c>
    </row>
    <row r="2224" spans="1:29" ht="11.65" x14ac:dyDescent="0.35">
      <c r="A2224" s="23">
        <v>2207</v>
      </c>
      <c r="B2224" s="21" t="s">
        <v>1015</v>
      </c>
      <c r="C2224" s="29" t="s">
        <v>1171</v>
      </c>
      <c r="D2224" s="20"/>
      <c r="E2224" s="20">
        <v>915</v>
      </c>
      <c r="F2224" s="21" t="s">
        <v>1065</v>
      </c>
      <c r="G2224" s="20">
        <v>1830</v>
      </c>
      <c r="H2224" s="20">
        <v>1955</v>
      </c>
      <c r="I2224" s="19">
        <v>1491.885</v>
      </c>
      <c r="J2224" s="19">
        <v>1201.9549999999999</v>
      </c>
      <c r="K2224" s="19">
        <v>1071.7909999999999</v>
      </c>
      <c r="L2224" s="19">
        <v>934.21699999999998</v>
      </c>
      <c r="M2224" s="19">
        <v>777.495</v>
      </c>
      <c r="N2224" s="19">
        <v>661.97</v>
      </c>
      <c r="O2224" s="19">
        <v>584.26400000000001</v>
      </c>
      <c r="P2224" s="19">
        <v>543.80700000000002</v>
      </c>
      <c r="Q2224" s="19">
        <v>482.63900000000001</v>
      </c>
      <c r="R2224" s="19">
        <v>430.52100000000002</v>
      </c>
      <c r="S2224" s="19">
        <v>368.33300000000003</v>
      </c>
      <c r="T2224" s="19">
        <v>270.39800000000002</v>
      </c>
      <c r="U2224" s="19">
        <v>198.245</v>
      </c>
      <c r="V2224" s="19">
        <v>160.059</v>
      </c>
      <c r="W2224" s="19">
        <v>105.733</v>
      </c>
      <c r="X2224" s="19">
        <v>60.225999999999999</v>
      </c>
      <c r="Y2224" s="19">
        <v>29.87</v>
      </c>
      <c r="Z2224" s="19">
        <v>9.7309999999999999</v>
      </c>
      <c r="AA2224" s="19">
        <v>2.7389999999999999</v>
      </c>
      <c r="AB2224" s="19">
        <v>0.53700000000000003</v>
      </c>
      <c r="AC2224" s="19">
        <v>8.2000000000000003E-2</v>
      </c>
    </row>
    <row r="2225" spans="1:29" ht="11.65" x14ac:dyDescent="0.35">
      <c r="A2225" s="23">
        <v>2208</v>
      </c>
      <c r="B2225" s="21" t="s">
        <v>1015</v>
      </c>
      <c r="C2225" s="29" t="s">
        <v>1171</v>
      </c>
      <c r="D2225" s="20"/>
      <c r="E2225" s="20">
        <v>915</v>
      </c>
      <c r="F2225" s="21" t="s">
        <v>1065</v>
      </c>
      <c r="G2225" s="20">
        <v>1830</v>
      </c>
      <c r="H2225" s="20">
        <v>1960</v>
      </c>
      <c r="I2225" s="19">
        <v>1633.057</v>
      </c>
      <c r="J2225" s="19">
        <v>1414.431</v>
      </c>
      <c r="K2225" s="19">
        <v>1174.0740000000001</v>
      </c>
      <c r="L2225" s="19">
        <v>1002.384</v>
      </c>
      <c r="M2225" s="19">
        <v>844.36800000000005</v>
      </c>
      <c r="N2225" s="19">
        <v>708.55600000000004</v>
      </c>
      <c r="O2225" s="19">
        <v>619.68799999999999</v>
      </c>
      <c r="P2225" s="19">
        <v>560.20699999999999</v>
      </c>
      <c r="Q2225" s="19">
        <v>507.87799999999999</v>
      </c>
      <c r="R2225" s="19">
        <v>465.45600000000002</v>
      </c>
      <c r="S2225" s="19">
        <v>399.71300000000002</v>
      </c>
      <c r="T2225" s="19">
        <v>332.97800000000001</v>
      </c>
      <c r="U2225" s="19">
        <v>242.72499999999999</v>
      </c>
      <c r="V2225" s="19">
        <v>167.17699999999999</v>
      </c>
      <c r="W2225" s="19">
        <v>125.642</v>
      </c>
      <c r="X2225" s="19">
        <v>72.2</v>
      </c>
      <c r="Y2225" s="19">
        <v>32.393000000000001</v>
      </c>
      <c r="Z2225" s="19">
        <v>12.163</v>
      </c>
      <c r="AA2225" s="19">
        <v>2.7719999999999998</v>
      </c>
      <c r="AB2225" s="19">
        <v>0.54100000000000004</v>
      </c>
      <c r="AC2225" s="19">
        <v>7.6999999999999999E-2</v>
      </c>
    </row>
    <row r="2226" spans="1:29" ht="11.65" x14ac:dyDescent="0.35">
      <c r="A2226" s="23">
        <v>2209</v>
      </c>
      <c r="B2226" s="21" t="s">
        <v>1015</v>
      </c>
      <c r="C2226" s="29" t="s">
        <v>1171</v>
      </c>
      <c r="D2226" s="20"/>
      <c r="E2226" s="20">
        <v>915</v>
      </c>
      <c r="F2226" s="21" t="s">
        <v>1065</v>
      </c>
      <c r="G2226" s="20">
        <v>1830</v>
      </c>
      <c r="H2226" s="20">
        <v>1965</v>
      </c>
      <c r="I2226" s="19">
        <v>1909.462</v>
      </c>
      <c r="J2226" s="19">
        <v>1537.377</v>
      </c>
      <c r="K2226" s="19">
        <v>1341.722</v>
      </c>
      <c r="L2226" s="19">
        <v>1077.316</v>
      </c>
      <c r="M2226" s="19">
        <v>922.36099999999999</v>
      </c>
      <c r="N2226" s="19">
        <v>784.47</v>
      </c>
      <c r="O2226" s="19">
        <v>673.11</v>
      </c>
      <c r="P2226" s="19">
        <v>595.85199999999998</v>
      </c>
      <c r="Q2226" s="19">
        <v>535.36</v>
      </c>
      <c r="R2226" s="19">
        <v>488.202</v>
      </c>
      <c r="S2226" s="19">
        <v>435.065</v>
      </c>
      <c r="T2226" s="19">
        <v>369.976</v>
      </c>
      <c r="U2226" s="19">
        <v>300.565</v>
      </c>
      <c r="V2226" s="19">
        <v>207.24299999999999</v>
      </c>
      <c r="W2226" s="19">
        <v>134.75800000000001</v>
      </c>
      <c r="X2226" s="19">
        <v>88.195999999999998</v>
      </c>
      <c r="Y2226" s="19">
        <v>40.606000000000002</v>
      </c>
      <c r="Z2226" s="19">
        <v>13.567</v>
      </c>
      <c r="AA2226" s="19">
        <v>3.718</v>
      </c>
      <c r="AB2226" s="19">
        <v>0.56000000000000005</v>
      </c>
      <c r="AC2226" s="19">
        <v>7.8E-2</v>
      </c>
    </row>
    <row r="2227" spans="1:29" ht="11.65" x14ac:dyDescent="0.35">
      <c r="A2227" s="23">
        <v>2210</v>
      </c>
      <c r="B2227" s="21" t="s">
        <v>1015</v>
      </c>
      <c r="C2227" s="29" t="s">
        <v>1171</v>
      </c>
      <c r="D2227" s="20"/>
      <c r="E2227" s="20">
        <v>915</v>
      </c>
      <c r="F2227" s="21" t="s">
        <v>1065</v>
      </c>
      <c r="G2227" s="20">
        <v>1830</v>
      </c>
      <c r="H2227" s="20">
        <v>1970</v>
      </c>
      <c r="I2227" s="19">
        <v>1903.008</v>
      </c>
      <c r="J2227" s="19">
        <v>1819.5530000000001</v>
      </c>
      <c r="K2227" s="19">
        <v>1480.578</v>
      </c>
      <c r="L2227" s="19">
        <v>1247.557</v>
      </c>
      <c r="M2227" s="19">
        <v>988.25</v>
      </c>
      <c r="N2227" s="19">
        <v>852.09</v>
      </c>
      <c r="O2227" s="19">
        <v>734.44399999999996</v>
      </c>
      <c r="P2227" s="19">
        <v>638.80200000000002</v>
      </c>
      <c r="Q2227" s="19">
        <v>569.822</v>
      </c>
      <c r="R2227" s="19">
        <v>508.90300000000002</v>
      </c>
      <c r="S2227" s="19">
        <v>460.46499999999997</v>
      </c>
      <c r="T2227" s="19">
        <v>404.67899999999997</v>
      </c>
      <c r="U2227" s="19">
        <v>338.45699999999999</v>
      </c>
      <c r="V2227" s="19">
        <v>265.34100000000001</v>
      </c>
      <c r="W2227" s="19">
        <v>166.92</v>
      </c>
      <c r="X2227" s="19">
        <v>93.754999999999995</v>
      </c>
      <c r="Y2227" s="19">
        <v>51.252000000000002</v>
      </c>
      <c r="Z2227" s="19">
        <v>17.689</v>
      </c>
      <c r="AA2227" s="19">
        <v>4.226</v>
      </c>
      <c r="AB2227" s="19">
        <v>0.80700000000000005</v>
      </c>
      <c r="AC2227" s="19">
        <v>8.3000000000000004E-2</v>
      </c>
    </row>
    <row r="2228" spans="1:29" ht="11.65" x14ac:dyDescent="0.35">
      <c r="A2228" s="23">
        <v>2211</v>
      </c>
      <c r="B2228" s="21" t="s">
        <v>1015</v>
      </c>
      <c r="C2228" s="29" t="s">
        <v>1171</v>
      </c>
      <c r="D2228" s="20"/>
      <c r="E2228" s="20">
        <v>915</v>
      </c>
      <c r="F2228" s="21" t="s">
        <v>1065</v>
      </c>
      <c r="G2228" s="20">
        <v>1830</v>
      </c>
      <c r="H2228" s="20">
        <v>1975</v>
      </c>
      <c r="I2228" s="19">
        <v>1906.9</v>
      </c>
      <c r="J2228" s="19">
        <v>1849.585</v>
      </c>
      <c r="K2228" s="19">
        <v>1774.559</v>
      </c>
      <c r="L2228" s="19">
        <v>1410.0250000000001</v>
      </c>
      <c r="M2228" s="19">
        <v>1163.462</v>
      </c>
      <c r="N2228" s="19">
        <v>928.63499999999999</v>
      </c>
      <c r="O2228" s="19">
        <v>814.71100000000001</v>
      </c>
      <c r="P2228" s="19">
        <v>705.77800000000002</v>
      </c>
      <c r="Q2228" s="19">
        <v>610.72500000000002</v>
      </c>
      <c r="R2228" s="19">
        <v>543.62400000000002</v>
      </c>
      <c r="S2228" s="19">
        <v>478.07600000000002</v>
      </c>
      <c r="T2228" s="19">
        <v>426.20499999999998</v>
      </c>
      <c r="U2228" s="19">
        <v>367.12200000000001</v>
      </c>
      <c r="V2228" s="19">
        <v>292.791</v>
      </c>
      <c r="W2228" s="19">
        <v>212.32</v>
      </c>
      <c r="X2228" s="19">
        <v>116.54900000000001</v>
      </c>
      <c r="Y2228" s="19">
        <v>51.265999999999998</v>
      </c>
      <c r="Z2228" s="19">
        <v>24.113</v>
      </c>
      <c r="AA2228" s="19">
        <v>6.04</v>
      </c>
      <c r="AB2228" s="19">
        <v>0.99099999999999999</v>
      </c>
      <c r="AC2228" s="19">
        <v>0.129</v>
      </c>
    </row>
    <row r="2229" spans="1:29" ht="11.65" x14ac:dyDescent="0.35">
      <c r="A2229" s="23">
        <v>2212</v>
      </c>
      <c r="B2229" s="21" t="s">
        <v>1015</v>
      </c>
      <c r="C2229" s="29" t="s">
        <v>1171</v>
      </c>
      <c r="D2229" s="20"/>
      <c r="E2229" s="20">
        <v>915</v>
      </c>
      <c r="F2229" s="21" t="s">
        <v>1065</v>
      </c>
      <c r="G2229" s="20">
        <v>1830</v>
      </c>
      <c r="H2229" s="20">
        <v>1980</v>
      </c>
      <c r="I2229" s="19">
        <v>1814.8820000000001</v>
      </c>
      <c r="J2229" s="19">
        <v>1856.8679999999999</v>
      </c>
      <c r="K2229" s="19">
        <v>1811.0060000000001</v>
      </c>
      <c r="L2229" s="19">
        <v>1698.0309999999999</v>
      </c>
      <c r="M2229" s="19">
        <v>1285.616</v>
      </c>
      <c r="N2229" s="19">
        <v>1083.931</v>
      </c>
      <c r="O2229" s="19">
        <v>901.61</v>
      </c>
      <c r="P2229" s="19">
        <v>798.01700000000005</v>
      </c>
      <c r="Q2229" s="19">
        <v>689.33299999999997</v>
      </c>
      <c r="R2229" s="19">
        <v>589.99400000000003</v>
      </c>
      <c r="S2229" s="19">
        <v>516.41800000000001</v>
      </c>
      <c r="T2229" s="19">
        <v>450.82</v>
      </c>
      <c r="U2229" s="19">
        <v>393.74200000000002</v>
      </c>
      <c r="V2229" s="19">
        <v>328.73399999999998</v>
      </c>
      <c r="W2229" s="19">
        <v>244.03200000000001</v>
      </c>
      <c r="X2229" s="19">
        <v>160.28200000000001</v>
      </c>
      <c r="Y2229" s="19">
        <v>81.010999999999996</v>
      </c>
      <c r="Z2229" s="19">
        <v>25.286000000000001</v>
      </c>
      <c r="AA2229" s="19">
        <v>9.2949999999999999</v>
      </c>
      <c r="AB2229" s="19">
        <v>1.6319999999999999</v>
      </c>
      <c r="AC2229" s="19">
        <v>0.187</v>
      </c>
    </row>
    <row r="2230" spans="1:29" ht="11.65" x14ac:dyDescent="0.35">
      <c r="A2230" s="23">
        <v>2213</v>
      </c>
      <c r="B2230" s="21" t="s">
        <v>1015</v>
      </c>
      <c r="C2230" s="29" t="s">
        <v>1171</v>
      </c>
      <c r="D2230" s="20"/>
      <c r="E2230" s="20">
        <v>915</v>
      </c>
      <c r="F2230" s="21" t="s">
        <v>1065</v>
      </c>
      <c r="G2230" s="20">
        <v>1830</v>
      </c>
      <c r="H2230" s="20">
        <v>1985</v>
      </c>
      <c r="I2230" s="19">
        <v>1938.607</v>
      </c>
      <c r="J2230" s="19">
        <v>1760.0640000000001</v>
      </c>
      <c r="K2230" s="19">
        <v>1823.8340000000001</v>
      </c>
      <c r="L2230" s="19">
        <v>1739.146</v>
      </c>
      <c r="M2230" s="19">
        <v>1572.8920000000001</v>
      </c>
      <c r="N2230" s="19">
        <v>1200.0730000000001</v>
      </c>
      <c r="O2230" s="19">
        <v>1038.7760000000001</v>
      </c>
      <c r="P2230" s="19">
        <v>858.95600000000002</v>
      </c>
      <c r="Q2230" s="19">
        <v>768.64499999999998</v>
      </c>
      <c r="R2230" s="19">
        <v>663.46699999999998</v>
      </c>
      <c r="S2230" s="19">
        <v>561.43200000000002</v>
      </c>
      <c r="T2230" s="19">
        <v>488.32299999999998</v>
      </c>
      <c r="U2230" s="19">
        <v>414.85700000000003</v>
      </c>
      <c r="V2230" s="19">
        <v>350.00799999999998</v>
      </c>
      <c r="W2230" s="19">
        <v>268.99299999999999</v>
      </c>
      <c r="X2230" s="19">
        <v>186.05500000000001</v>
      </c>
      <c r="Y2230" s="19">
        <v>104.892</v>
      </c>
      <c r="Z2230" s="19">
        <v>41.399000000000001</v>
      </c>
      <c r="AA2230" s="19">
        <v>9.5980000000000008</v>
      </c>
      <c r="AB2230" s="19">
        <v>2.6259999999999999</v>
      </c>
      <c r="AC2230" s="19">
        <v>0.313</v>
      </c>
    </row>
    <row r="2231" spans="1:29" ht="11.65" x14ac:dyDescent="0.35">
      <c r="A2231" s="23">
        <v>2214</v>
      </c>
      <c r="B2231" s="21" t="s">
        <v>1015</v>
      </c>
      <c r="C2231" s="29" t="s">
        <v>1171</v>
      </c>
      <c r="D2231" s="20"/>
      <c r="E2231" s="20">
        <v>915</v>
      </c>
      <c r="F2231" s="21" t="s">
        <v>1065</v>
      </c>
      <c r="G2231" s="20">
        <v>1830</v>
      </c>
      <c r="H2231" s="20">
        <v>1990</v>
      </c>
      <c r="I2231" s="19">
        <v>2010.0139999999999</v>
      </c>
      <c r="J2231" s="19">
        <v>1884.415</v>
      </c>
      <c r="K2231" s="19">
        <v>1724.65</v>
      </c>
      <c r="L2231" s="19">
        <v>1751.674</v>
      </c>
      <c r="M2231" s="19">
        <v>1615.7339999999999</v>
      </c>
      <c r="N2231" s="19">
        <v>1489.595</v>
      </c>
      <c r="O2231" s="19">
        <v>1154.672</v>
      </c>
      <c r="P2231" s="19">
        <v>1004.2140000000001</v>
      </c>
      <c r="Q2231" s="19">
        <v>842.87099999999998</v>
      </c>
      <c r="R2231" s="19">
        <v>747.01300000000003</v>
      </c>
      <c r="S2231" s="19">
        <v>636.04499999999996</v>
      </c>
      <c r="T2231" s="19">
        <v>529.69299999999998</v>
      </c>
      <c r="U2231" s="19">
        <v>450.50900000000001</v>
      </c>
      <c r="V2231" s="19">
        <v>372.19</v>
      </c>
      <c r="W2231" s="19">
        <v>290.20400000000001</v>
      </c>
      <c r="X2231" s="19">
        <v>206.453</v>
      </c>
      <c r="Y2231" s="19">
        <v>121.658</v>
      </c>
      <c r="Z2231" s="19">
        <v>54.228999999999999</v>
      </c>
      <c r="AA2231" s="19">
        <v>16.18</v>
      </c>
      <c r="AB2231" s="19">
        <v>2.6930000000000001</v>
      </c>
      <c r="AC2231" s="19">
        <v>0.54600000000000004</v>
      </c>
    </row>
    <row r="2232" spans="1:29" ht="11.65" x14ac:dyDescent="0.35">
      <c r="A2232" s="23">
        <v>2215</v>
      </c>
      <c r="B2232" s="21" t="s">
        <v>1015</v>
      </c>
      <c r="C2232" s="29" t="s">
        <v>1171</v>
      </c>
      <c r="D2232" s="20"/>
      <c r="E2232" s="20">
        <v>915</v>
      </c>
      <c r="F2232" s="21" t="s">
        <v>1065</v>
      </c>
      <c r="G2232" s="20">
        <v>1830</v>
      </c>
      <c r="H2232" s="20">
        <v>1995</v>
      </c>
      <c r="I2232" s="19">
        <v>1979.8920000000001</v>
      </c>
      <c r="J2232" s="19">
        <v>1964.1010000000001</v>
      </c>
      <c r="K2232" s="19">
        <v>1840.817</v>
      </c>
      <c r="L2232" s="19">
        <v>1663.1510000000001</v>
      </c>
      <c r="M2232" s="19">
        <v>1640.1769999999999</v>
      </c>
      <c r="N2232" s="19">
        <v>1522.0709999999999</v>
      </c>
      <c r="O2232" s="19">
        <v>1424.634</v>
      </c>
      <c r="P2232" s="19">
        <v>1116.1220000000001</v>
      </c>
      <c r="Q2232" s="19">
        <v>976.95600000000002</v>
      </c>
      <c r="R2232" s="19">
        <v>818.471</v>
      </c>
      <c r="S2232" s="19">
        <v>723.471</v>
      </c>
      <c r="T2232" s="19">
        <v>604.81700000000001</v>
      </c>
      <c r="U2232" s="19">
        <v>493.16199999999998</v>
      </c>
      <c r="V2232" s="19">
        <v>402.61099999999999</v>
      </c>
      <c r="W2232" s="19">
        <v>311.673</v>
      </c>
      <c r="X2232" s="19">
        <v>219.93799999999999</v>
      </c>
      <c r="Y2232" s="19">
        <v>137.27699999999999</v>
      </c>
      <c r="Z2232" s="19">
        <v>63.619</v>
      </c>
      <c r="AA2232" s="19">
        <v>21.475999999999999</v>
      </c>
      <c r="AB2232" s="19">
        <v>4.601</v>
      </c>
      <c r="AC2232" s="19">
        <v>0.60599999999999998</v>
      </c>
    </row>
    <row r="2233" spans="1:29" ht="11.65" x14ac:dyDescent="0.35">
      <c r="A2233" s="23">
        <v>2216</v>
      </c>
      <c r="B2233" s="21" t="s">
        <v>1015</v>
      </c>
      <c r="C2233" s="29" t="s">
        <v>1171</v>
      </c>
      <c r="D2233" s="20"/>
      <c r="E2233" s="20">
        <v>915</v>
      </c>
      <c r="F2233" s="21" t="s">
        <v>1065</v>
      </c>
      <c r="G2233" s="20">
        <v>1830</v>
      </c>
      <c r="H2233" s="20">
        <v>2000</v>
      </c>
      <c r="I2233" s="19">
        <v>1949.9549999999999</v>
      </c>
      <c r="J2233" s="19">
        <v>1940.499</v>
      </c>
      <c r="K2233" s="19">
        <v>1932.068</v>
      </c>
      <c r="L2233" s="19">
        <v>1771.239</v>
      </c>
      <c r="M2233" s="19">
        <v>1540.5820000000001</v>
      </c>
      <c r="N2233" s="19">
        <v>1539.874</v>
      </c>
      <c r="O2233" s="19">
        <v>1464.12</v>
      </c>
      <c r="P2233" s="19">
        <v>1381.5930000000001</v>
      </c>
      <c r="Q2233" s="19">
        <v>1080.191</v>
      </c>
      <c r="R2233" s="19">
        <v>943.48800000000006</v>
      </c>
      <c r="S2233" s="19">
        <v>791.23900000000003</v>
      </c>
      <c r="T2233" s="19">
        <v>681.55600000000004</v>
      </c>
      <c r="U2233" s="19">
        <v>561.37699999999995</v>
      </c>
      <c r="V2233" s="19">
        <v>442.08699999999999</v>
      </c>
      <c r="W2233" s="19">
        <v>340.29700000000003</v>
      </c>
      <c r="X2233" s="19">
        <v>239.715</v>
      </c>
      <c r="Y2233" s="19">
        <v>150.80500000000001</v>
      </c>
      <c r="Z2233" s="19">
        <v>74.444000000000003</v>
      </c>
      <c r="AA2233" s="19">
        <v>26.506</v>
      </c>
      <c r="AB2233" s="19">
        <v>6.51</v>
      </c>
      <c r="AC2233" s="19">
        <v>1.036</v>
      </c>
    </row>
    <row r="2234" spans="1:29" ht="11.65" x14ac:dyDescent="0.35">
      <c r="A2234" s="23">
        <v>2217</v>
      </c>
      <c r="B2234" s="21" t="s">
        <v>1015</v>
      </c>
      <c r="C2234" s="29" t="s">
        <v>1171</v>
      </c>
      <c r="D2234" s="20"/>
      <c r="E2234" s="20">
        <v>915</v>
      </c>
      <c r="F2234" s="21" t="s">
        <v>1065</v>
      </c>
      <c r="G2234" s="20">
        <v>1830</v>
      </c>
      <c r="H2234" s="20">
        <v>2005</v>
      </c>
      <c r="I2234" s="19">
        <v>1887.0519999999999</v>
      </c>
      <c r="J2234" s="19">
        <v>1918.171</v>
      </c>
      <c r="K2234" s="19">
        <v>1901.664</v>
      </c>
      <c r="L2234" s="19">
        <v>1880.038</v>
      </c>
      <c r="M2234" s="19">
        <v>1676.941</v>
      </c>
      <c r="N2234" s="19">
        <v>1459.604</v>
      </c>
      <c r="O2234" s="19">
        <v>1475.482</v>
      </c>
      <c r="P2234" s="19">
        <v>1414.135</v>
      </c>
      <c r="Q2234" s="19">
        <v>1331.444</v>
      </c>
      <c r="R2234" s="19">
        <v>1029.9570000000001</v>
      </c>
      <c r="S2234" s="19">
        <v>909.36800000000005</v>
      </c>
      <c r="T2234" s="19">
        <v>739.17899999999997</v>
      </c>
      <c r="U2234" s="19">
        <v>631.58199999999999</v>
      </c>
      <c r="V2234" s="19">
        <v>501.48700000000002</v>
      </c>
      <c r="W2234" s="19">
        <v>370.97500000000002</v>
      </c>
      <c r="X2234" s="19">
        <v>262.59800000000001</v>
      </c>
      <c r="Y2234" s="19">
        <v>161.251</v>
      </c>
      <c r="Z2234" s="19">
        <v>83.24</v>
      </c>
      <c r="AA2234" s="19">
        <v>31.683</v>
      </c>
      <c r="AB2234" s="19">
        <v>8.2279999999999998</v>
      </c>
      <c r="AC2234" s="19">
        <v>1.5429999999999999</v>
      </c>
    </row>
    <row r="2235" spans="1:29" ht="11.65" x14ac:dyDescent="0.35">
      <c r="A2235" s="23">
        <v>2218</v>
      </c>
      <c r="B2235" s="21" t="s">
        <v>1015</v>
      </c>
      <c r="C2235" s="29" t="s">
        <v>1171</v>
      </c>
      <c r="D2235" s="20"/>
      <c r="E2235" s="20">
        <v>915</v>
      </c>
      <c r="F2235" s="21" t="s">
        <v>1065</v>
      </c>
      <c r="G2235" s="20">
        <v>1830</v>
      </c>
      <c r="H2235" s="20">
        <v>2010</v>
      </c>
      <c r="I2235" s="19">
        <v>1839.6320000000001</v>
      </c>
      <c r="J2235" s="19">
        <v>1849.67</v>
      </c>
      <c r="K2235" s="19">
        <v>1888.548</v>
      </c>
      <c r="L2235" s="19">
        <v>1862.421</v>
      </c>
      <c r="M2235" s="19">
        <v>1786.9490000000001</v>
      </c>
      <c r="N2235" s="19">
        <v>1596.521</v>
      </c>
      <c r="O2235" s="19">
        <v>1370.306</v>
      </c>
      <c r="P2235" s="19">
        <v>1409.973</v>
      </c>
      <c r="Q2235" s="19">
        <v>1360.086</v>
      </c>
      <c r="R2235" s="19">
        <v>1281.7270000000001</v>
      </c>
      <c r="S2235" s="19">
        <v>994.678</v>
      </c>
      <c r="T2235" s="19">
        <v>852.96699999999998</v>
      </c>
      <c r="U2235" s="19">
        <v>693.61</v>
      </c>
      <c r="V2235" s="19">
        <v>564.84900000000005</v>
      </c>
      <c r="W2235" s="19">
        <v>424.79899999999998</v>
      </c>
      <c r="X2235" s="19">
        <v>289.70800000000003</v>
      </c>
      <c r="Y2235" s="19">
        <v>182.18899999999999</v>
      </c>
      <c r="Z2235" s="19">
        <v>92.364999999999995</v>
      </c>
      <c r="AA2235" s="19">
        <v>37.427</v>
      </c>
      <c r="AB2235" s="19">
        <v>10.452</v>
      </c>
      <c r="AC2235" s="19">
        <v>1.819</v>
      </c>
    </row>
    <row r="2236" spans="1:29" ht="11.65" x14ac:dyDescent="0.35">
      <c r="A2236" s="23">
        <v>2219</v>
      </c>
      <c r="B2236" s="21" t="s">
        <v>1015</v>
      </c>
      <c r="C2236" s="29" t="s">
        <v>1171</v>
      </c>
      <c r="D2236" s="20"/>
      <c r="E2236" s="20">
        <v>915</v>
      </c>
      <c r="F2236" s="21" t="s">
        <v>1065</v>
      </c>
      <c r="G2236" s="20">
        <v>1830</v>
      </c>
      <c r="H2236" s="20">
        <v>2015</v>
      </c>
      <c r="I2236" s="19">
        <v>1824.9259999999999</v>
      </c>
      <c r="J2236" s="19">
        <v>1810.0239999999999</v>
      </c>
      <c r="K2236" s="19">
        <v>1826.0630000000001</v>
      </c>
      <c r="L2236" s="19">
        <v>1835.3579999999999</v>
      </c>
      <c r="M2236" s="19">
        <v>1768.7349999999999</v>
      </c>
      <c r="N2236" s="19">
        <v>1701.5229999999999</v>
      </c>
      <c r="O2236" s="19">
        <v>1526.98</v>
      </c>
      <c r="P2236" s="19">
        <v>1306.325</v>
      </c>
      <c r="Q2236" s="19">
        <v>1360.4190000000001</v>
      </c>
      <c r="R2236" s="19">
        <v>1317.577</v>
      </c>
      <c r="S2236" s="19">
        <v>1234.268</v>
      </c>
      <c r="T2236" s="19">
        <v>944.803</v>
      </c>
      <c r="U2236" s="19">
        <v>793.61599999999999</v>
      </c>
      <c r="V2236" s="19">
        <v>626.50900000000001</v>
      </c>
      <c r="W2236" s="19">
        <v>485.54500000000002</v>
      </c>
      <c r="X2236" s="19">
        <v>337.87599999999998</v>
      </c>
      <c r="Y2236" s="19">
        <v>204.46299999999999</v>
      </c>
      <c r="Z2236" s="19">
        <v>107.417</v>
      </c>
      <c r="AA2236" s="19">
        <v>42.997999999999998</v>
      </c>
      <c r="AB2236" s="19">
        <v>12.808999999999999</v>
      </c>
      <c r="AC2236" s="19">
        <v>2.3580000000000001</v>
      </c>
    </row>
    <row r="2237" spans="1:29" ht="11.65" x14ac:dyDescent="0.35">
      <c r="A2237" s="23">
        <v>2220</v>
      </c>
      <c r="B2237" s="21" t="s">
        <v>1015</v>
      </c>
      <c r="C2237" s="29" t="s">
        <v>1171</v>
      </c>
      <c r="D2237" s="20"/>
      <c r="E2237" s="20">
        <v>915</v>
      </c>
      <c r="F2237" s="21" t="s">
        <v>1065</v>
      </c>
      <c r="G2237" s="20">
        <v>1830</v>
      </c>
      <c r="H2237" s="20">
        <v>2020</v>
      </c>
      <c r="I2237" s="19">
        <v>1739.3679999999999</v>
      </c>
      <c r="J2237" s="19">
        <v>1793.249</v>
      </c>
      <c r="K2237" s="19">
        <v>1785.4079999999999</v>
      </c>
      <c r="L2237" s="19">
        <v>1760.0530000000001</v>
      </c>
      <c r="M2237" s="19">
        <v>1721.884</v>
      </c>
      <c r="N2237" s="19">
        <v>1658.9110000000001</v>
      </c>
      <c r="O2237" s="19">
        <v>1612.3689999999999</v>
      </c>
      <c r="P2237" s="19">
        <v>1455.9290000000001</v>
      </c>
      <c r="Q2237" s="19">
        <v>1253.55</v>
      </c>
      <c r="R2237" s="19">
        <v>1311.68</v>
      </c>
      <c r="S2237" s="19">
        <v>1266.5160000000001</v>
      </c>
      <c r="T2237" s="19">
        <v>1173.127</v>
      </c>
      <c r="U2237" s="19">
        <v>879.05700000000002</v>
      </c>
      <c r="V2237" s="19">
        <v>716.95100000000002</v>
      </c>
      <c r="W2237" s="19">
        <v>542.05399999999997</v>
      </c>
      <c r="X2237" s="19">
        <v>390.11900000000003</v>
      </c>
      <c r="Y2237" s="19">
        <v>240.75700000000001</v>
      </c>
      <c r="Z2237" s="19">
        <v>123.283</v>
      </c>
      <c r="AA2237" s="19">
        <v>51.517000000000003</v>
      </c>
      <c r="AB2237" s="19">
        <v>15.334</v>
      </c>
      <c r="AC2237" s="19">
        <v>3.1</v>
      </c>
    </row>
    <row r="2238" spans="1:29" ht="11.65" x14ac:dyDescent="0.35">
      <c r="A2238" s="12">
        <v>2221</v>
      </c>
      <c r="B2238" s="10" t="s">
        <v>1015</v>
      </c>
      <c r="C2238" s="11" t="s">
        <v>1172</v>
      </c>
      <c r="D2238" s="9"/>
      <c r="E2238" s="9">
        <v>28</v>
      </c>
      <c r="F2238" s="10" t="s">
        <v>1066</v>
      </c>
      <c r="G2238" s="9">
        <v>915</v>
      </c>
      <c r="H2238" s="9">
        <v>1950</v>
      </c>
      <c r="I2238" s="8">
        <v>3.5529999999999999</v>
      </c>
      <c r="J2238" s="8">
        <v>3.2290000000000001</v>
      </c>
      <c r="K2238" s="8">
        <v>2.802</v>
      </c>
      <c r="L2238" s="8">
        <v>2.016</v>
      </c>
      <c r="M2238" s="8">
        <v>1.5209999999999999</v>
      </c>
      <c r="N2238" s="8">
        <v>1.3069999999999999</v>
      </c>
      <c r="O2238" s="8">
        <v>1.44</v>
      </c>
      <c r="P2238" s="8">
        <v>1.111</v>
      </c>
      <c r="Q2238" s="8">
        <v>1.1259999999999999</v>
      </c>
      <c r="R2238" s="8">
        <v>1.0900000000000001</v>
      </c>
      <c r="S2238" s="8">
        <v>0.78400000000000003</v>
      </c>
      <c r="T2238" s="8">
        <v>0.42099999999999999</v>
      </c>
      <c r="U2238" s="8">
        <v>0.3</v>
      </c>
      <c r="V2238" s="8">
        <v>0.20399999999999999</v>
      </c>
      <c r="W2238" s="8">
        <v>0.14699999999999999</v>
      </c>
      <c r="X2238" s="8">
        <v>8.4000000000000005E-2</v>
      </c>
      <c r="Y2238" s="8">
        <v>5.5E-2</v>
      </c>
      <c r="Z2238" s="8">
        <v>0.03</v>
      </c>
      <c r="AA2238" s="8">
        <v>8.9999999999999993E-3</v>
      </c>
      <c r="AB2238" s="8">
        <v>0</v>
      </c>
      <c r="AC2238" s="8">
        <v>0</v>
      </c>
    </row>
    <row r="2239" spans="1:29" ht="11.65" x14ac:dyDescent="0.35">
      <c r="A2239" s="12">
        <v>2222</v>
      </c>
      <c r="B2239" s="10" t="s">
        <v>1015</v>
      </c>
      <c r="C2239" s="11" t="s">
        <v>1172</v>
      </c>
      <c r="D2239" s="9"/>
      <c r="E2239" s="9">
        <v>28</v>
      </c>
      <c r="F2239" s="10" t="s">
        <v>1066</v>
      </c>
      <c r="G2239" s="9">
        <v>915</v>
      </c>
      <c r="H2239" s="9">
        <v>1955</v>
      </c>
      <c r="I2239" s="8">
        <v>3.8620000000000001</v>
      </c>
      <c r="J2239" s="8">
        <v>3.57</v>
      </c>
      <c r="K2239" s="8">
        <v>3.1469999999999998</v>
      </c>
      <c r="L2239" s="8">
        <v>2.2789999999999999</v>
      </c>
      <c r="M2239" s="8">
        <v>1.7030000000000001</v>
      </c>
      <c r="N2239" s="8">
        <v>1.383</v>
      </c>
      <c r="O2239" s="8">
        <v>1.415</v>
      </c>
      <c r="P2239" s="8">
        <v>1.1619999999999999</v>
      </c>
      <c r="Q2239" s="8">
        <v>1.173</v>
      </c>
      <c r="R2239" s="8">
        <v>1.1539999999999999</v>
      </c>
      <c r="S2239" s="8">
        <v>0.86699999999999999</v>
      </c>
      <c r="T2239" s="8">
        <v>0.50900000000000001</v>
      </c>
      <c r="U2239" s="8">
        <v>0.36799999999999999</v>
      </c>
      <c r="V2239" s="8">
        <v>0.24099999999999999</v>
      </c>
      <c r="W2239" s="8">
        <v>0.16400000000000001</v>
      </c>
      <c r="X2239" s="8">
        <v>9.7000000000000003E-2</v>
      </c>
      <c r="Y2239" s="8">
        <v>6.2E-2</v>
      </c>
      <c r="Z2239" s="8">
        <v>1.7999999999999999E-2</v>
      </c>
      <c r="AA2239" s="8">
        <v>7.0000000000000001E-3</v>
      </c>
      <c r="AB2239" s="8">
        <v>0</v>
      </c>
      <c r="AC2239" s="8">
        <v>0</v>
      </c>
    </row>
    <row r="2240" spans="1:29" ht="11.65" x14ac:dyDescent="0.35">
      <c r="A2240" s="12">
        <v>2223</v>
      </c>
      <c r="B2240" s="10" t="s">
        <v>1015</v>
      </c>
      <c r="C2240" s="11" t="s">
        <v>1172</v>
      </c>
      <c r="D2240" s="9"/>
      <c r="E2240" s="9">
        <v>28</v>
      </c>
      <c r="F2240" s="10" t="s">
        <v>1066</v>
      </c>
      <c r="G2240" s="9">
        <v>915</v>
      </c>
      <c r="H2240" s="9">
        <v>1960</v>
      </c>
      <c r="I2240" s="8">
        <v>4.1849999999999996</v>
      </c>
      <c r="J2240" s="8">
        <v>3.931</v>
      </c>
      <c r="K2240" s="8">
        <v>3.5289999999999999</v>
      </c>
      <c r="L2240" s="8">
        <v>2.5640000000000001</v>
      </c>
      <c r="M2240" s="8">
        <v>1.901</v>
      </c>
      <c r="N2240" s="8">
        <v>1.46</v>
      </c>
      <c r="O2240" s="8">
        <v>1.3859999999999999</v>
      </c>
      <c r="P2240" s="8">
        <v>1.208</v>
      </c>
      <c r="Q2240" s="8">
        <v>1.2170000000000001</v>
      </c>
      <c r="R2240" s="8">
        <v>1.224</v>
      </c>
      <c r="S2240" s="8">
        <v>0.95299999999999996</v>
      </c>
      <c r="T2240" s="8">
        <v>0.61799999999999999</v>
      </c>
      <c r="U2240" s="8">
        <v>0.44900000000000001</v>
      </c>
      <c r="V2240" s="8">
        <v>0.28000000000000003</v>
      </c>
      <c r="W2240" s="8">
        <v>0.18099999999999999</v>
      </c>
      <c r="X2240" s="8">
        <v>0.112</v>
      </c>
      <c r="Y2240" s="8">
        <v>7.2999999999999995E-2</v>
      </c>
      <c r="Z2240" s="8">
        <v>0.02</v>
      </c>
      <c r="AA2240" s="8">
        <v>4.0000000000000001E-3</v>
      </c>
      <c r="AB2240" s="8">
        <v>0</v>
      </c>
      <c r="AC2240" s="8">
        <v>0</v>
      </c>
    </row>
    <row r="2241" spans="1:29" ht="11.65" x14ac:dyDescent="0.35">
      <c r="A2241" s="12">
        <v>2224</v>
      </c>
      <c r="B2241" s="10" t="s">
        <v>1015</v>
      </c>
      <c r="C2241" s="11" t="s">
        <v>1172</v>
      </c>
      <c r="D2241" s="9"/>
      <c r="E2241" s="9">
        <v>28</v>
      </c>
      <c r="F2241" s="10" t="s">
        <v>1066</v>
      </c>
      <c r="G2241" s="9">
        <v>915</v>
      </c>
      <c r="H2241" s="9">
        <v>1965</v>
      </c>
      <c r="I2241" s="8">
        <v>4.4770000000000003</v>
      </c>
      <c r="J2241" s="8">
        <v>4.3620000000000001</v>
      </c>
      <c r="K2241" s="8">
        <v>4.0789999999999997</v>
      </c>
      <c r="L2241" s="8">
        <v>3.0019999999999998</v>
      </c>
      <c r="M2241" s="8">
        <v>2.173</v>
      </c>
      <c r="N2241" s="8">
        <v>1.4730000000000001</v>
      </c>
      <c r="O2241" s="8">
        <v>1.175</v>
      </c>
      <c r="P2241" s="8">
        <v>1.1779999999999999</v>
      </c>
      <c r="Q2241" s="8">
        <v>1.1739999999999999</v>
      </c>
      <c r="R2241" s="8">
        <v>1.2390000000000001</v>
      </c>
      <c r="S2241" s="8">
        <v>1.06</v>
      </c>
      <c r="T2241" s="8">
        <v>0.85599999999999998</v>
      </c>
      <c r="U2241" s="8">
        <v>0.63400000000000001</v>
      </c>
      <c r="V2241" s="8">
        <v>0.36299999999999999</v>
      </c>
      <c r="W2241" s="8">
        <v>0.19800000000000001</v>
      </c>
      <c r="X2241" s="8">
        <v>0.14199999999999999</v>
      </c>
      <c r="Y2241" s="8">
        <v>9.1999999999999998E-2</v>
      </c>
      <c r="Z2241" s="8">
        <v>2.7E-2</v>
      </c>
      <c r="AA2241" s="8">
        <v>5.0000000000000001E-3</v>
      </c>
      <c r="AB2241" s="8">
        <v>0</v>
      </c>
      <c r="AC2241" s="8">
        <v>0</v>
      </c>
    </row>
    <row r="2242" spans="1:29" ht="11.65" x14ac:dyDescent="0.35">
      <c r="A2242" s="12">
        <v>2225</v>
      </c>
      <c r="B2242" s="10" t="s">
        <v>1015</v>
      </c>
      <c r="C2242" s="11" t="s">
        <v>1172</v>
      </c>
      <c r="D2242" s="9"/>
      <c r="E2242" s="9">
        <v>28</v>
      </c>
      <c r="F2242" s="10" t="s">
        <v>1066</v>
      </c>
      <c r="G2242" s="9">
        <v>915</v>
      </c>
      <c r="H2242" s="9">
        <v>1970</v>
      </c>
      <c r="I2242" s="8">
        <v>4.79</v>
      </c>
      <c r="J2242" s="8">
        <v>4.8380000000000001</v>
      </c>
      <c r="K2242" s="8">
        <v>4.7130000000000001</v>
      </c>
      <c r="L2242" s="8">
        <v>3.51</v>
      </c>
      <c r="M2242" s="8">
        <v>2.4940000000000002</v>
      </c>
      <c r="N2242" s="8">
        <v>1.478</v>
      </c>
      <c r="O2242" s="8">
        <v>0.998</v>
      </c>
      <c r="P2242" s="8">
        <v>1.1479999999999999</v>
      </c>
      <c r="Q2242" s="8">
        <v>1.135</v>
      </c>
      <c r="R2242" s="8">
        <v>1.254</v>
      </c>
      <c r="S2242" s="8">
        <v>1.177</v>
      </c>
      <c r="T2242" s="8">
        <v>1.1870000000000001</v>
      </c>
      <c r="U2242" s="8">
        <v>0.89500000000000002</v>
      </c>
      <c r="V2242" s="8">
        <v>0.46700000000000003</v>
      </c>
      <c r="W2242" s="8">
        <v>0.221</v>
      </c>
      <c r="X2242" s="8">
        <v>0.17799999999999999</v>
      </c>
      <c r="Y2242" s="8">
        <v>0.11799999999999999</v>
      </c>
      <c r="Z2242" s="8">
        <v>3.6999999999999998E-2</v>
      </c>
      <c r="AA2242" s="8">
        <v>7.0000000000000001E-3</v>
      </c>
      <c r="AB2242" s="8">
        <v>0</v>
      </c>
      <c r="AC2242" s="8">
        <v>0</v>
      </c>
    </row>
    <row r="2243" spans="1:29" ht="11.65" x14ac:dyDescent="0.35">
      <c r="A2243" s="12">
        <v>2226</v>
      </c>
      <c r="B2243" s="10" t="s">
        <v>1015</v>
      </c>
      <c r="C2243" s="11" t="s">
        <v>1172</v>
      </c>
      <c r="D2243" s="9"/>
      <c r="E2243" s="9">
        <v>28</v>
      </c>
      <c r="F2243" s="10" t="s">
        <v>1066</v>
      </c>
      <c r="G2243" s="9">
        <v>915</v>
      </c>
      <c r="H2243" s="9">
        <v>1975</v>
      </c>
      <c r="I2243" s="8">
        <v>4.3540000000000001</v>
      </c>
      <c r="J2243" s="8">
        <v>4.3730000000000002</v>
      </c>
      <c r="K2243" s="8">
        <v>4.2510000000000003</v>
      </c>
      <c r="L2243" s="8">
        <v>3.3239999999999998</v>
      </c>
      <c r="M2243" s="8">
        <v>2.617</v>
      </c>
      <c r="N2243" s="8">
        <v>1.738</v>
      </c>
      <c r="O2243" s="8">
        <v>1.248</v>
      </c>
      <c r="P2243" s="8">
        <v>1.304</v>
      </c>
      <c r="Q2243" s="8">
        <v>1.232</v>
      </c>
      <c r="R2243" s="8">
        <v>1.2470000000000001</v>
      </c>
      <c r="S2243" s="8">
        <v>1.117</v>
      </c>
      <c r="T2243" s="8">
        <v>1.0880000000000001</v>
      </c>
      <c r="U2243" s="8">
        <v>0.871</v>
      </c>
      <c r="V2243" s="8">
        <v>0.53100000000000003</v>
      </c>
      <c r="W2243" s="8">
        <v>0.28699999999999998</v>
      </c>
      <c r="X2243" s="8">
        <v>0.22600000000000001</v>
      </c>
      <c r="Y2243" s="8">
        <v>0.13900000000000001</v>
      </c>
      <c r="Z2243" s="8">
        <v>5.0999999999999997E-2</v>
      </c>
      <c r="AA2243" s="8">
        <v>1.0999999999999999E-2</v>
      </c>
      <c r="AB2243" s="8">
        <v>0</v>
      </c>
      <c r="AC2243" s="8">
        <v>0</v>
      </c>
    </row>
    <row r="2244" spans="1:29" ht="11.65" x14ac:dyDescent="0.35">
      <c r="A2244" s="12">
        <v>2227</v>
      </c>
      <c r="B2244" s="10" t="s">
        <v>1015</v>
      </c>
      <c r="C2244" s="11" t="s">
        <v>1172</v>
      </c>
      <c r="D2244" s="9"/>
      <c r="E2244" s="9">
        <v>28</v>
      </c>
      <c r="F2244" s="10" t="s">
        <v>1066</v>
      </c>
      <c r="G2244" s="9">
        <v>915</v>
      </c>
      <c r="H2244" s="9">
        <v>1980</v>
      </c>
      <c r="I2244" s="8">
        <v>3.9660000000000002</v>
      </c>
      <c r="J2244" s="8">
        <v>3.9510000000000001</v>
      </c>
      <c r="K2244" s="8">
        <v>3.835</v>
      </c>
      <c r="L2244" s="8">
        <v>3.1459999999999999</v>
      </c>
      <c r="M2244" s="8">
        <v>2.746</v>
      </c>
      <c r="N2244" s="8">
        <v>2.0409999999999999</v>
      </c>
      <c r="O2244" s="8">
        <v>1.573</v>
      </c>
      <c r="P2244" s="8">
        <v>1.4750000000000001</v>
      </c>
      <c r="Q2244" s="8">
        <v>1.337</v>
      </c>
      <c r="R2244" s="8">
        <v>1.24</v>
      </c>
      <c r="S2244" s="8">
        <v>1.0620000000000001</v>
      </c>
      <c r="T2244" s="8">
        <v>0.999</v>
      </c>
      <c r="U2244" s="8">
        <v>0.84799999999999998</v>
      </c>
      <c r="V2244" s="8">
        <v>0.60599999999999998</v>
      </c>
      <c r="W2244" s="8">
        <v>0.372</v>
      </c>
      <c r="X2244" s="8">
        <v>0.28799999999999998</v>
      </c>
      <c r="Y2244" s="8">
        <v>0.16400000000000001</v>
      </c>
      <c r="Z2244" s="8">
        <v>6.2E-2</v>
      </c>
      <c r="AA2244" s="8">
        <v>1.4999999999999999E-2</v>
      </c>
      <c r="AB2244" s="8">
        <v>2E-3</v>
      </c>
      <c r="AC2244" s="8">
        <v>0</v>
      </c>
    </row>
    <row r="2245" spans="1:29" ht="11.65" x14ac:dyDescent="0.35">
      <c r="A2245" s="12">
        <v>2228</v>
      </c>
      <c r="B2245" s="10" t="s">
        <v>1015</v>
      </c>
      <c r="C2245" s="11" t="s">
        <v>1172</v>
      </c>
      <c r="D2245" s="9"/>
      <c r="E2245" s="9">
        <v>28</v>
      </c>
      <c r="F2245" s="10" t="s">
        <v>1066</v>
      </c>
      <c r="G2245" s="9">
        <v>915</v>
      </c>
      <c r="H2245" s="9">
        <v>1985</v>
      </c>
      <c r="I2245" s="8">
        <v>3.6070000000000002</v>
      </c>
      <c r="J2245" s="8">
        <v>3.5750000000000002</v>
      </c>
      <c r="K2245" s="8">
        <v>3.4590000000000001</v>
      </c>
      <c r="L2245" s="8">
        <v>2.9780000000000002</v>
      </c>
      <c r="M2245" s="8">
        <v>2.88</v>
      </c>
      <c r="N2245" s="8">
        <v>2.3940000000000001</v>
      </c>
      <c r="O2245" s="8">
        <v>1.9770000000000001</v>
      </c>
      <c r="P2245" s="8">
        <v>1.679</v>
      </c>
      <c r="Q2245" s="8">
        <v>1.4470000000000001</v>
      </c>
      <c r="R2245" s="8">
        <v>1.234</v>
      </c>
      <c r="S2245" s="8">
        <v>1.0069999999999999</v>
      </c>
      <c r="T2245" s="8">
        <v>0.91800000000000004</v>
      </c>
      <c r="U2245" s="8">
        <v>0.82399999999999995</v>
      </c>
      <c r="V2245" s="8">
        <v>0.69</v>
      </c>
      <c r="W2245" s="8">
        <v>0.48799999999999999</v>
      </c>
      <c r="X2245" s="8">
        <v>0.36599999999999999</v>
      </c>
      <c r="Y2245" s="8">
        <v>0.19500000000000001</v>
      </c>
      <c r="Z2245" s="8">
        <v>7.8E-2</v>
      </c>
      <c r="AA2245" s="8">
        <v>2.1000000000000001E-2</v>
      </c>
      <c r="AB2245" s="8">
        <v>3.0000000000000001E-3</v>
      </c>
      <c r="AC2245" s="8">
        <v>0</v>
      </c>
    </row>
    <row r="2246" spans="1:29" ht="11.65" x14ac:dyDescent="0.35">
      <c r="A2246" s="12">
        <v>2229</v>
      </c>
      <c r="B2246" s="10" t="s">
        <v>1015</v>
      </c>
      <c r="C2246" s="11" t="s">
        <v>1172</v>
      </c>
      <c r="D2246" s="9"/>
      <c r="E2246" s="9">
        <v>28</v>
      </c>
      <c r="F2246" s="10" t="s">
        <v>1066</v>
      </c>
      <c r="G2246" s="9">
        <v>915</v>
      </c>
      <c r="H2246" s="9">
        <v>1990</v>
      </c>
      <c r="I2246" s="8">
        <v>3.274</v>
      </c>
      <c r="J2246" s="8">
        <v>3.2280000000000002</v>
      </c>
      <c r="K2246" s="8">
        <v>3.1259999999999999</v>
      </c>
      <c r="L2246" s="8">
        <v>2.82</v>
      </c>
      <c r="M2246" s="8">
        <v>3.024</v>
      </c>
      <c r="N2246" s="8">
        <v>2.8069999999999999</v>
      </c>
      <c r="O2246" s="8">
        <v>2.4809999999999999</v>
      </c>
      <c r="P2246" s="8">
        <v>1.9039999999999999</v>
      </c>
      <c r="Q2246" s="8">
        <v>1.5760000000000001</v>
      </c>
      <c r="R2246" s="8">
        <v>1.224</v>
      </c>
      <c r="S2246" s="8">
        <v>0.95799999999999996</v>
      </c>
      <c r="T2246" s="8">
        <v>0.84099999999999997</v>
      </c>
      <c r="U2246" s="8">
        <v>0.80300000000000005</v>
      </c>
      <c r="V2246" s="8">
        <v>0.78600000000000003</v>
      </c>
      <c r="W2246" s="8">
        <v>0.63300000000000001</v>
      </c>
      <c r="X2246" s="8">
        <v>0.46899999999999997</v>
      </c>
      <c r="Y2246" s="8">
        <v>0.23200000000000001</v>
      </c>
      <c r="Z2246" s="8">
        <v>9.6000000000000002E-2</v>
      </c>
      <c r="AA2246" s="8">
        <v>2.7E-2</v>
      </c>
      <c r="AB2246" s="8">
        <v>5.0000000000000001E-3</v>
      </c>
      <c r="AC2246" s="8">
        <v>0</v>
      </c>
    </row>
    <row r="2247" spans="1:29" ht="11.65" x14ac:dyDescent="0.35">
      <c r="A2247" s="12">
        <v>2230</v>
      </c>
      <c r="B2247" s="10" t="s">
        <v>1015</v>
      </c>
      <c r="C2247" s="11" t="s">
        <v>1172</v>
      </c>
      <c r="D2247" s="9"/>
      <c r="E2247" s="9">
        <v>28</v>
      </c>
      <c r="F2247" s="10" t="s">
        <v>1066</v>
      </c>
      <c r="G2247" s="9">
        <v>915</v>
      </c>
      <c r="H2247" s="9">
        <v>1995</v>
      </c>
      <c r="I2247" s="8">
        <v>3.4940000000000002</v>
      </c>
      <c r="J2247" s="8">
        <v>3.4630000000000001</v>
      </c>
      <c r="K2247" s="8">
        <v>3.2639999999999998</v>
      </c>
      <c r="L2247" s="8">
        <v>2.89</v>
      </c>
      <c r="M2247" s="8">
        <v>2.9420000000000002</v>
      </c>
      <c r="N2247" s="8">
        <v>2.867</v>
      </c>
      <c r="O2247" s="8">
        <v>2.778</v>
      </c>
      <c r="P2247" s="8">
        <v>2.399</v>
      </c>
      <c r="Q2247" s="8">
        <v>1.9670000000000001</v>
      </c>
      <c r="R2247" s="8">
        <v>1.5469999999999999</v>
      </c>
      <c r="S2247" s="8">
        <v>1.1850000000000001</v>
      </c>
      <c r="T2247" s="8">
        <v>0.93300000000000005</v>
      </c>
      <c r="U2247" s="8">
        <v>0.81200000000000006</v>
      </c>
      <c r="V2247" s="8">
        <v>0.74199999999999999</v>
      </c>
      <c r="W2247" s="8">
        <v>0.60499999999999998</v>
      </c>
      <c r="X2247" s="8">
        <v>0.46700000000000003</v>
      </c>
      <c r="Y2247" s="8">
        <v>0.26600000000000001</v>
      </c>
      <c r="Z2247" s="8">
        <v>0.122</v>
      </c>
      <c r="AA2247" s="8">
        <v>3.5999999999999997E-2</v>
      </c>
      <c r="AB2247" s="8">
        <v>7.0000000000000001E-3</v>
      </c>
      <c r="AC2247" s="8">
        <v>1E-3</v>
      </c>
    </row>
    <row r="2248" spans="1:29" ht="11.65" x14ac:dyDescent="0.35">
      <c r="A2248" s="12">
        <v>2231</v>
      </c>
      <c r="B2248" s="10" t="s">
        <v>1015</v>
      </c>
      <c r="C2248" s="11" t="s">
        <v>1172</v>
      </c>
      <c r="D2248" s="9"/>
      <c r="E2248" s="9">
        <v>28</v>
      </c>
      <c r="F2248" s="10" t="s">
        <v>1066</v>
      </c>
      <c r="G2248" s="9">
        <v>915</v>
      </c>
      <c r="H2248" s="9">
        <v>2000</v>
      </c>
      <c r="I2248" s="8">
        <v>3.7309999999999999</v>
      </c>
      <c r="J2248" s="8">
        <v>3.7170000000000001</v>
      </c>
      <c r="K2248" s="8">
        <v>3.4060000000000001</v>
      </c>
      <c r="L2248" s="8">
        <v>2.9510000000000001</v>
      </c>
      <c r="M2248" s="8">
        <v>2.8690000000000002</v>
      </c>
      <c r="N2248" s="8">
        <v>2.9249999999999998</v>
      </c>
      <c r="O2248" s="8">
        <v>3.11</v>
      </c>
      <c r="P2248" s="8">
        <v>3.0190000000000001</v>
      </c>
      <c r="Q2248" s="8">
        <v>2.456</v>
      </c>
      <c r="R2248" s="8">
        <v>1.954</v>
      </c>
      <c r="S2248" s="8">
        <v>1.478</v>
      </c>
      <c r="T2248" s="8">
        <v>1.0269999999999999</v>
      </c>
      <c r="U2248" s="8">
        <v>0.82299999999999995</v>
      </c>
      <c r="V2248" s="8">
        <v>0.69599999999999995</v>
      </c>
      <c r="W2248" s="8">
        <v>0.57799999999999996</v>
      </c>
      <c r="X2248" s="8">
        <v>0.46500000000000002</v>
      </c>
      <c r="Y2248" s="8">
        <v>0.30499999999999999</v>
      </c>
      <c r="Z2248" s="8">
        <v>0.14399999999999999</v>
      </c>
      <c r="AA2248" s="8">
        <v>4.5999999999999999E-2</v>
      </c>
      <c r="AB2248" s="8">
        <v>8.9999999999999993E-3</v>
      </c>
      <c r="AC2248" s="8">
        <v>1E-3</v>
      </c>
    </row>
    <row r="2249" spans="1:29" ht="11.65" x14ac:dyDescent="0.35">
      <c r="A2249" s="12">
        <v>2232</v>
      </c>
      <c r="B2249" s="10" t="s">
        <v>1015</v>
      </c>
      <c r="C2249" s="11" t="s">
        <v>1172</v>
      </c>
      <c r="D2249" s="9"/>
      <c r="E2249" s="9">
        <v>28</v>
      </c>
      <c r="F2249" s="10" t="s">
        <v>1066</v>
      </c>
      <c r="G2249" s="9">
        <v>915</v>
      </c>
      <c r="H2249" s="9">
        <v>2005</v>
      </c>
      <c r="I2249" s="8">
        <v>3.6320000000000001</v>
      </c>
      <c r="J2249" s="8">
        <v>3.5819999999999999</v>
      </c>
      <c r="K2249" s="8">
        <v>3.6080000000000001</v>
      </c>
      <c r="L2249" s="8">
        <v>3.2810000000000001</v>
      </c>
      <c r="M2249" s="8">
        <v>3.0840000000000001</v>
      </c>
      <c r="N2249" s="8">
        <v>3.09</v>
      </c>
      <c r="O2249" s="8">
        <v>3.173</v>
      </c>
      <c r="P2249" s="8">
        <v>3.101</v>
      </c>
      <c r="Q2249" s="8">
        <v>2.802</v>
      </c>
      <c r="R2249" s="8">
        <v>2.391</v>
      </c>
      <c r="S2249" s="8">
        <v>1.893</v>
      </c>
      <c r="T2249" s="8">
        <v>1.347</v>
      </c>
      <c r="U2249" s="8">
        <v>1.069</v>
      </c>
      <c r="V2249" s="8">
        <v>0.86599999999999999</v>
      </c>
      <c r="W2249" s="8">
        <v>0.64100000000000001</v>
      </c>
      <c r="X2249" s="8">
        <v>0.504</v>
      </c>
      <c r="Y2249" s="8">
        <v>0.32400000000000001</v>
      </c>
      <c r="Z2249" s="8">
        <v>0.16900000000000001</v>
      </c>
      <c r="AA2249" s="8">
        <v>5.8000000000000003E-2</v>
      </c>
      <c r="AB2249" s="8">
        <v>1.2999999999999999E-2</v>
      </c>
      <c r="AC2249" s="8">
        <v>2E-3</v>
      </c>
    </row>
    <row r="2250" spans="1:29" ht="11.65" x14ac:dyDescent="0.35">
      <c r="A2250" s="12">
        <v>2233</v>
      </c>
      <c r="B2250" s="10" t="s">
        <v>1015</v>
      </c>
      <c r="C2250" s="11" t="s">
        <v>1172</v>
      </c>
      <c r="D2250" s="9"/>
      <c r="E2250" s="9">
        <v>28</v>
      </c>
      <c r="F2250" s="10" t="s">
        <v>1066</v>
      </c>
      <c r="G2250" s="9">
        <v>915</v>
      </c>
      <c r="H2250" s="9">
        <v>2010</v>
      </c>
      <c r="I2250" s="8">
        <v>3.5430000000000001</v>
      </c>
      <c r="J2250" s="8">
        <v>3.45</v>
      </c>
      <c r="K2250" s="8">
        <v>3.827</v>
      </c>
      <c r="L2250" s="8">
        <v>3.6520000000000001</v>
      </c>
      <c r="M2250" s="8">
        <v>3.3159999999999998</v>
      </c>
      <c r="N2250" s="8">
        <v>3.2589999999999999</v>
      </c>
      <c r="O2250" s="8">
        <v>3.2450000000000001</v>
      </c>
      <c r="P2250" s="8">
        <v>3.1829999999999998</v>
      </c>
      <c r="Q2250" s="8">
        <v>3.1989999999999998</v>
      </c>
      <c r="R2250" s="8">
        <v>2.9249999999999998</v>
      </c>
      <c r="S2250" s="8">
        <v>2.4249999999999998</v>
      </c>
      <c r="T2250" s="8">
        <v>1.7609999999999999</v>
      </c>
      <c r="U2250" s="8">
        <v>1.397</v>
      </c>
      <c r="V2250" s="8">
        <v>1.073</v>
      </c>
      <c r="W2250" s="8">
        <v>0.71199999999999997</v>
      </c>
      <c r="X2250" s="8">
        <v>0.54500000000000004</v>
      </c>
      <c r="Y2250" s="8">
        <v>0.34399999999999997</v>
      </c>
      <c r="Z2250" s="8">
        <v>0.17799999999999999</v>
      </c>
      <c r="AA2250" s="8">
        <v>6.7000000000000004E-2</v>
      </c>
      <c r="AB2250" s="8">
        <v>1.4999999999999999E-2</v>
      </c>
      <c r="AC2250" s="8">
        <v>2E-3</v>
      </c>
    </row>
    <row r="2251" spans="1:29" ht="11.65" x14ac:dyDescent="0.35">
      <c r="A2251" s="12">
        <v>2234</v>
      </c>
      <c r="B2251" s="10" t="s">
        <v>1015</v>
      </c>
      <c r="C2251" s="11" t="s">
        <v>1172</v>
      </c>
      <c r="D2251" s="9"/>
      <c r="E2251" s="9">
        <v>28</v>
      </c>
      <c r="F2251" s="10" t="s">
        <v>1066</v>
      </c>
      <c r="G2251" s="9">
        <v>915</v>
      </c>
      <c r="H2251" s="9">
        <v>2015</v>
      </c>
      <c r="I2251" s="8">
        <v>3.673</v>
      </c>
      <c r="J2251" s="8">
        <v>3.4489999999999998</v>
      </c>
      <c r="K2251" s="8">
        <v>3.569</v>
      </c>
      <c r="L2251" s="8">
        <v>3.8439999999999999</v>
      </c>
      <c r="M2251" s="8">
        <v>3.661</v>
      </c>
      <c r="N2251" s="8">
        <v>3.3929999999999998</v>
      </c>
      <c r="O2251" s="8">
        <v>3.3279999999999998</v>
      </c>
      <c r="P2251" s="8">
        <v>3.24</v>
      </c>
      <c r="Q2251" s="8">
        <v>3.218</v>
      </c>
      <c r="R2251" s="8">
        <v>3.2349999999999999</v>
      </c>
      <c r="S2251" s="8">
        <v>2.899</v>
      </c>
      <c r="T2251" s="8">
        <v>2.3010000000000002</v>
      </c>
      <c r="U2251" s="8">
        <v>1.7210000000000001</v>
      </c>
      <c r="V2251" s="8">
        <v>1.325</v>
      </c>
      <c r="W2251" s="8">
        <v>0.91500000000000004</v>
      </c>
      <c r="X2251" s="8">
        <v>0.58899999999999997</v>
      </c>
      <c r="Y2251" s="8">
        <v>0.379</v>
      </c>
      <c r="Z2251" s="8">
        <v>0.19400000000000001</v>
      </c>
      <c r="AA2251" s="8">
        <v>7.2999999999999995E-2</v>
      </c>
      <c r="AB2251" s="8">
        <v>1.9E-2</v>
      </c>
      <c r="AC2251" s="8">
        <v>3.0000000000000001E-3</v>
      </c>
    </row>
    <row r="2252" spans="1:29" ht="11.65" x14ac:dyDescent="0.35">
      <c r="A2252" s="12">
        <v>2235</v>
      </c>
      <c r="B2252" s="10" t="s">
        <v>1015</v>
      </c>
      <c r="C2252" s="11" t="s">
        <v>1172</v>
      </c>
      <c r="D2252" s="9"/>
      <c r="E2252" s="9">
        <v>28</v>
      </c>
      <c r="F2252" s="10" t="s">
        <v>1066</v>
      </c>
      <c r="G2252" s="9">
        <v>915</v>
      </c>
      <c r="H2252" s="9">
        <v>2020</v>
      </c>
      <c r="I2252" s="8">
        <v>3.73</v>
      </c>
      <c r="J2252" s="8">
        <v>3.6680000000000001</v>
      </c>
      <c r="K2252" s="8">
        <v>3.4449999999999998</v>
      </c>
      <c r="L2252" s="8">
        <v>3.5630000000000002</v>
      </c>
      <c r="M2252" s="8">
        <v>3.827</v>
      </c>
      <c r="N2252" s="8">
        <v>3.6429999999999998</v>
      </c>
      <c r="O2252" s="8">
        <v>3.375</v>
      </c>
      <c r="P2252" s="8">
        <v>3.306</v>
      </c>
      <c r="Q2252" s="8">
        <v>3.2090000000000001</v>
      </c>
      <c r="R2252" s="8">
        <v>3.17</v>
      </c>
      <c r="S2252" s="8">
        <v>3.1589999999999998</v>
      </c>
      <c r="T2252" s="8">
        <v>2.786</v>
      </c>
      <c r="U2252" s="8">
        <v>2.1669999999999998</v>
      </c>
      <c r="V2252" s="8">
        <v>1.5780000000000001</v>
      </c>
      <c r="W2252" s="8">
        <v>1.163</v>
      </c>
      <c r="X2252" s="8">
        <v>0.74099999999999999</v>
      </c>
      <c r="Y2252" s="8">
        <v>0.41799999999999998</v>
      </c>
      <c r="Z2252" s="8">
        <v>0.217</v>
      </c>
      <c r="AA2252" s="8">
        <v>8.1000000000000003E-2</v>
      </c>
      <c r="AB2252" s="8">
        <v>0.02</v>
      </c>
      <c r="AC2252" s="8">
        <v>3.0000000000000001E-3</v>
      </c>
    </row>
    <row r="2253" spans="1:29" ht="11.65" x14ac:dyDescent="0.35">
      <c r="A2253" s="12">
        <v>2236</v>
      </c>
      <c r="B2253" s="10" t="s">
        <v>1015</v>
      </c>
      <c r="C2253" s="11" t="s">
        <v>1173</v>
      </c>
      <c r="D2253" s="9">
        <v>13</v>
      </c>
      <c r="E2253" s="9">
        <v>533</v>
      </c>
      <c r="F2253" s="10" t="s">
        <v>1066</v>
      </c>
      <c r="G2253" s="9">
        <v>915</v>
      </c>
      <c r="H2253" s="9">
        <v>1950</v>
      </c>
      <c r="I2253" s="8">
        <v>3.327</v>
      </c>
      <c r="J2253" s="8">
        <v>2.5840000000000001</v>
      </c>
      <c r="K2253" s="8">
        <v>2.1709999999999998</v>
      </c>
      <c r="L2253" s="8">
        <v>1.7390000000000001</v>
      </c>
      <c r="M2253" s="8">
        <v>1.4950000000000001</v>
      </c>
      <c r="N2253" s="8">
        <v>1.4039999999999999</v>
      </c>
      <c r="O2253" s="8">
        <v>1.32</v>
      </c>
      <c r="P2253" s="8">
        <v>1.276</v>
      </c>
      <c r="Q2253" s="8">
        <v>1.212</v>
      </c>
      <c r="R2253" s="8">
        <v>0.71699999999999997</v>
      </c>
      <c r="S2253" s="8">
        <v>0.443</v>
      </c>
      <c r="T2253" s="8">
        <v>0.27700000000000002</v>
      </c>
      <c r="U2253" s="8">
        <v>0.17699999999999999</v>
      </c>
      <c r="V2253" s="8">
        <v>0.109</v>
      </c>
      <c r="W2253" s="8">
        <v>5.8999999999999997E-2</v>
      </c>
      <c r="X2253" s="8">
        <v>4.7E-2</v>
      </c>
      <c r="Y2253" s="8">
        <v>2.7E-2</v>
      </c>
      <c r="Z2253" s="8">
        <v>8.9999999999999993E-3</v>
      </c>
      <c r="AA2253" s="8">
        <v>2E-3</v>
      </c>
      <c r="AB2253" s="8">
        <v>0</v>
      </c>
      <c r="AC2253" s="8">
        <v>0</v>
      </c>
    </row>
    <row r="2254" spans="1:29" ht="11.65" x14ac:dyDescent="0.35">
      <c r="A2254" s="12">
        <v>2237</v>
      </c>
      <c r="B2254" s="10" t="s">
        <v>1015</v>
      </c>
      <c r="C2254" s="11" t="s">
        <v>1173</v>
      </c>
      <c r="D2254" s="9">
        <v>13</v>
      </c>
      <c r="E2254" s="9">
        <v>533</v>
      </c>
      <c r="F2254" s="10" t="s">
        <v>1066</v>
      </c>
      <c r="G2254" s="9">
        <v>915</v>
      </c>
      <c r="H2254" s="9">
        <v>1955</v>
      </c>
      <c r="I2254" s="8">
        <v>4.1139999999999999</v>
      </c>
      <c r="J2254" s="8">
        <v>3.0289999999999999</v>
      </c>
      <c r="K2254" s="8">
        <v>2.423</v>
      </c>
      <c r="L2254" s="8">
        <v>2.0699999999999998</v>
      </c>
      <c r="M2254" s="8">
        <v>1.6759999999999999</v>
      </c>
      <c r="N2254" s="8">
        <v>1.4379999999999999</v>
      </c>
      <c r="O2254" s="8">
        <v>1.331</v>
      </c>
      <c r="P2254" s="8">
        <v>1.2390000000000001</v>
      </c>
      <c r="Q2254" s="8">
        <v>1.1910000000000001</v>
      </c>
      <c r="R2254" s="8">
        <v>1.1319999999999999</v>
      </c>
      <c r="S2254" s="8">
        <v>0.66500000000000004</v>
      </c>
      <c r="T2254" s="8">
        <v>0.40600000000000003</v>
      </c>
      <c r="U2254" s="8">
        <v>0.247</v>
      </c>
      <c r="V2254" s="8">
        <v>0.14699999999999999</v>
      </c>
      <c r="W2254" s="8">
        <v>8.3000000000000004E-2</v>
      </c>
      <c r="X2254" s="8">
        <v>3.9E-2</v>
      </c>
      <c r="Y2254" s="8">
        <v>2.5999999999999999E-2</v>
      </c>
      <c r="Z2254" s="8">
        <v>8.9999999999999993E-3</v>
      </c>
      <c r="AA2254" s="8">
        <v>1E-3</v>
      </c>
      <c r="AB2254" s="8">
        <v>0</v>
      </c>
      <c r="AC2254" s="8">
        <v>0</v>
      </c>
    </row>
    <row r="2255" spans="1:29" ht="11.65" x14ac:dyDescent="0.35">
      <c r="A2255" s="12">
        <v>2238</v>
      </c>
      <c r="B2255" s="10" t="s">
        <v>1015</v>
      </c>
      <c r="C2255" s="11" t="s">
        <v>1173</v>
      </c>
      <c r="D2255" s="9">
        <v>13</v>
      </c>
      <c r="E2255" s="9">
        <v>533</v>
      </c>
      <c r="F2255" s="10" t="s">
        <v>1066</v>
      </c>
      <c r="G2255" s="9">
        <v>915</v>
      </c>
      <c r="H2255" s="9">
        <v>1960</v>
      </c>
      <c r="I2255" s="8">
        <v>4.4539999999999997</v>
      </c>
      <c r="J2255" s="8">
        <v>4.1059999999999999</v>
      </c>
      <c r="K2255" s="8">
        <v>3.3109999999999999</v>
      </c>
      <c r="L2255" s="8">
        <v>2.6320000000000001</v>
      </c>
      <c r="M2255" s="8">
        <v>2.1259999999999999</v>
      </c>
      <c r="N2255" s="8">
        <v>1.7110000000000001</v>
      </c>
      <c r="O2255" s="8">
        <v>1.458</v>
      </c>
      <c r="P2255" s="8">
        <v>1.383</v>
      </c>
      <c r="Q2255" s="8">
        <v>1.31</v>
      </c>
      <c r="R2255" s="8">
        <v>1.2170000000000001</v>
      </c>
      <c r="S2255" s="8">
        <v>1.159</v>
      </c>
      <c r="T2255" s="8">
        <v>0.72499999999999998</v>
      </c>
      <c r="U2255" s="8">
        <v>0.441</v>
      </c>
      <c r="V2255" s="8">
        <v>0.25900000000000001</v>
      </c>
      <c r="W2255" s="8">
        <v>0.14299999999999999</v>
      </c>
      <c r="X2255" s="8">
        <v>7.8E-2</v>
      </c>
      <c r="Y2255" s="8">
        <v>4.2999999999999997E-2</v>
      </c>
      <c r="Z2255" s="8">
        <v>1.6E-2</v>
      </c>
      <c r="AA2255" s="8">
        <v>1E-3</v>
      </c>
      <c r="AB2255" s="8">
        <v>0</v>
      </c>
      <c r="AC2255" s="8">
        <v>0</v>
      </c>
    </row>
    <row r="2256" spans="1:29" ht="11.65" x14ac:dyDescent="0.35">
      <c r="A2256" s="12">
        <v>2239</v>
      </c>
      <c r="B2256" s="10" t="s">
        <v>1015</v>
      </c>
      <c r="C2256" s="11" t="s">
        <v>1173</v>
      </c>
      <c r="D2256" s="9">
        <v>13</v>
      </c>
      <c r="E2256" s="9">
        <v>533</v>
      </c>
      <c r="F2256" s="10" t="s">
        <v>1066</v>
      </c>
      <c r="G2256" s="9">
        <v>915</v>
      </c>
      <c r="H2256" s="9">
        <v>1965</v>
      </c>
      <c r="I2256" s="8">
        <v>4.2880000000000003</v>
      </c>
      <c r="J2256" s="8">
        <v>4.0339999999999998</v>
      </c>
      <c r="K2256" s="8">
        <v>3.6349999999999998</v>
      </c>
      <c r="L2256" s="8">
        <v>2.8860000000000001</v>
      </c>
      <c r="M2256" s="8">
        <v>2.355</v>
      </c>
      <c r="N2256" s="8">
        <v>1.954</v>
      </c>
      <c r="O2256" s="8">
        <v>1.6220000000000001</v>
      </c>
      <c r="P2256" s="8">
        <v>1.3839999999999999</v>
      </c>
      <c r="Q2256" s="8">
        <v>1.276</v>
      </c>
      <c r="R2256" s="8">
        <v>1.1779999999999999</v>
      </c>
      <c r="S2256" s="8">
        <v>1.0780000000000001</v>
      </c>
      <c r="T2256" s="8">
        <v>1.0269999999999999</v>
      </c>
      <c r="U2256" s="8">
        <v>0.63200000000000001</v>
      </c>
      <c r="V2256" s="8">
        <v>0.375</v>
      </c>
      <c r="W2256" s="8">
        <v>0.20599999999999999</v>
      </c>
      <c r="X2256" s="8">
        <v>9.7000000000000003E-2</v>
      </c>
      <c r="Y2256" s="8">
        <v>4.2999999999999997E-2</v>
      </c>
      <c r="Z2256" s="8">
        <v>1.7000000000000001E-2</v>
      </c>
      <c r="AA2256" s="8">
        <v>4.0000000000000001E-3</v>
      </c>
      <c r="AB2256" s="8">
        <v>0</v>
      </c>
      <c r="AC2256" s="8">
        <v>0</v>
      </c>
    </row>
    <row r="2257" spans="1:29" ht="11.65" x14ac:dyDescent="0.35">
      <c r="A2257" s="12">
        <v>2240</v>
      </c>
      <c r="B2257" s="10" t="s">
        <v>1015</v>
      </c>
      <c r="C2257" s="11" t="s">
        <v>1173</v>
      </c>
      <c r="D2257" s="9">
        <v>13</v>
      </c>
      <c r="E2257" s="9">
        <v>533</v>
      </c>
      <c r="F2257" s="10" t="s">
        <v>1066</v>
      </c>
      <c r="G2257" s="9">
        <v>915</v>
      </c>
      <c r="H2257" s="9">
        <v>1970</v>
      </c>
      <c r="I2257" s="8">
        <v>3.5779999999999998</v>
      </c>
      <c r="J2257" s="8">
        <v>3.9430000000000001</v>
      </c>
      <c r="K2257" s="8">
        <v>3.7069999999999999</v>
      </c>
      <c r="L2257" s="8">
        <v>3.2410000000000001</v>
      </c>
      <c r="M2257" s="8">
        <v>2.5270000000000001</v>
      </c>
      <c r="N2257" s="8">
        <v>2.121</v>
      </c>
      <c r="O2257" s="8">
        <v>1.81</v>
      </c>
      <c r="P2257" s="8">
        <v>1.5449999999999999</v>
      </c>
      <c r="Q2257" s="8">
        <v>1.3160000000000001</v>
      </c>
      <c r="R2257" s="8">
        <v>1.175</v>
      </c>
      <c r="S2257" s="8">
        <v>1.056</v>
      </c>
      <c r="T2257" s="8">
        <v>0.94399999999999995</v>
      </c>
      <c r="U2257" s="8">
        <v>0.88700000000000001</v>
      </c>
      <c r="V2257" s="8">
        <v>0.52400000000000002</v>
      </c>
      <c r="W2257" s="8">
        <v>0.29499999999999998</v>
      </c>
      <c r="X2257" s="8">
        <v>0.14399999999999999</v>
      </c>
      <c r="Y2257" s="8">
        <v>5.3999999999999999E-2</v>
      </c>
      <c r="Z2257" s="8">
        <v>1.7000000000000001E-2</v>
      </c>
      <c r="AA2257" s="8">
        <v>4.0000000000000001E-3</v>
      </c>
      <c r="AB2257" s="8">
        <v>0</v>
      </c>
      <c r="AC2257" s="8">
        <v>0</v>
      </c>
    </row>
    <row r="2258" spans="1:29" ht="11.65" x14ac:dyDescent="0.35">
      <c r="A2258" s="12">
        <v>2241</v>
      </c>
      <c r="B2258" s="10" t="s">
        <v>1015</v>
      </c>
      <c r="C2258" s="11" t="s">
        <v>1173</v>
      </c>
      <c r="D2258" s="9">
        <v>13</v>
      </c>
      <c r="E2258" s="9">
        <v>533</v>
      </c>
      <c r="F2258" s="10" t="s">
        <v>1066</v>
      </c>
      <c r="G2258" s="9">
        <v>915</v>
      </c>
      <c r="H2258" s="9">
        <v>1975</v>
      </c>
      <c r="I2258" s="8">
        <v>3.085</v>
      </c>
      <c r="J2258" s="8">
        <v>3.056</v>
      </c>
      <c r="K2258" s="8">
        <v>3.629</v>
      </c>
      <c r="L2258" s="8">
        <v>3.383</v>
      </c>
      <c r="M2258" s="8">
        <v>2.7730000000000001</v>
      </c>
      <c r="N2258" s="8">
        <v>2.39</v>
      </c>
      <c r="O2258" s="8">
        <v>2.2090000000000001</v>
      </c>
      <c r="P2258" s="8">
        <v>1.8169999999999999</v>
      </c>
      <c r="Q2258" s="8">
        <v>1.575</v>
      </c>
      <c r="R2258" s="8">
        <v>1.2569999999999999</v>
      </c>
      <c r="S2258" s="8">
        <v>1.0229999999999999</v>
      </c>
      <c r="T2258" s="8">
        <v>0.91500000000000004</v>
      </c>
      <c r="U2258" s="8">
        <v>0.80800000000000005</v>
      </c>
      <c r="V2258" s="8">
        <v>0.76700000000000002</v>
      </c>
      <c r="W2258" s="8">
        <v>0.44700000000000001</v>
      </c>
      <c r="X2258" s="8">
        <v>0.23599999999999999</v>
      </c>
      <c r="Y2258" s="8">
        <v>0.105</v>
      </c>
      <c r="Z2258" s="8">
        <v>2.5999999999999999E-2</v>
      </c>
      <c r="AA2258" s="8">
        <v>4.0000000000000001E-3</v>
      </c>
      <c r="AB2258" s="8">
        <v>0</v>
      </c>
      <c r="AC2258" s="8">
        <v>0</v>
      </c>
    </row>
    <row r="2259" spans="1:29" ht="11.65" x14ac:dyDescent="0.35">
      <c r="A2259" s="12">
        <v>2242</v>
      </c>
      <c r="B2259" s="10" t="s">
        <v>1015</v>
      </c>
      <c r="C2259" s="11" t="s">
        <v>1173</v>
      </c>
      <c r="D2259" s="9">
        <v>13</v>
      </c>
      <c r="E2259" s="9">
        <v>533</v>
      </c>
      <c r="F2259" s="10" t="s">
        <v>1066</v>
      </c>
      <c r="G2259" s="9">
        <v>915</v>
      </c>
      <c r="H2259" s="9">
        <v>1980</v>
      </c>
      <c r="I2259" s="8">
        <v>2.7040000000000002</v>
      </c>
      <c r="J2259" s="8">
        <v>2.44</v>
      </c>
      <c r="K2259" s="8">
        <v>3.0169999999999999</v>
      </c>
      <c r="L2259" s="8">
        <v>3.54</v>
      </c>
      <c r="M2259" s="8">
        <v>3.0979999999999999</v>
      </c>
      <c r="N2259" s="8">
        <v>2.444</v>
      </c>
      <c r="O2259" s="8">
        <v>2.2440000000000002</v>
      </c>
      <c r="P2259" s="8">
        <v>1.992</v>
      </c>
      <c r="Q2259" s="8">
        <v>1.641</v>
      </c>
      <c r="R2259" s="8">
        <v>1.55</v>
      </c>
      <c r="S2259" s="8">
        <v>1.147</v>
      </c>
      <c r="T2259" s="8">
        <v>0.87</v>
      </c>
      <c r="U2259" s="8">
        <v>0.80100000000000005</v>
      </c>
      <c r="V2259" s="8">
        <v>0.67200000000000004</v>
      </c>
      <c r="W2259" s="8">
        <v>0.58799999999999997</v>
      </c>
      <c r="X2259" s="8">
        <v>0.32400000000000001</v>
      </c>
      <c r="Y2259" s="8">
        <v>0.16300000000000001</v>
      </c>
      <c r="Z2259" s="8">
        <v>4.8000000000000001E-2</v>
      </c>
      <c r="AA2259" s="8">
        <v>8.0000000000000002E-3</v>
      </c>
      <c r="AB2259" s="8">
        <v>0</v>
      </c>
      <c r="AC2259" s="8">
        <v>0</v>
      </c>
    </row>
    <row r="2260" spans="1:29" ht="11.65" x14ac:dyDescent="0.35">
      <c r="A2260" s="12">
        <v>2243</v>
      </c>
      <c r="B2260" s="10" t="s">
        <v>1015</v>
      </c>
      <c r="C2260" s="11" t="s">
        <v>1173</v>
      </c>
      <c r="D2260" s="9">
        <v>13</v>
      </c>
      <c r="E2260" s="9">
        <v>533</v>
      </c>
      <c r="F2260" s="10" t="s">
        <v>1066</v>
      </c>
      <c r="G2260" s="9">
        <v>915</v>
      </c>
      <c r="H2260" s="9">
        <v>1985</v>
      </c>
      <c r="I2260" s="8">
        <v>3.2949999999999999</v>
      </c>
      <c r="J2260" s="8">
        <v>2.403</v>
      </c>
      <c r="K2260" s="8">
        <v>2.2330000000000001</v>
      </c>
      <c r="L2260" s="8">
        <v>2.887</v>
      </c>
      <c r="M2260" s="8">
        <v>3.379</v>
      </c>
      <c r="N2260" s="8">
        <v>3.0979999999999999</v>
      </c>
      <c r="O2260" s="8">
        <v>2.5409999999999999</v>
      </c>
      <c r="P2260" s="8">
        <v>2.238</v>
      </c>
      <c r="Q2260" s="8">
        <v>1.8680000000000001</v>
      </c>
      <c r="R2260" s="8">
        <v>1.5109999999999999</v>
      </c>
      <c r="S2260" s="8">
        <v>1.4750000000000001</v>
      </c>
      <c r="T2260" s="8">
        <v>1.0509999999999999</v>
      </c>
      <c r="U2260" s="8">
        <v>0.76600000000000001</v>
      </c>
      <c r="V2260" s="8">
        <v>0.69299999999999995</v>
      </c>
      <c r="W2260" s="8">
        <v>0.53500000000000003</v>
      </c>
      <c r="X2260" s="8">
        <v>0.44600000000000001</v>
      </c>
      <c r="Y2260" s="8">
        <v>0.218</v>
      </c>
      <c r="Z2260" s="8">
        <v>7.1999999999999995E-2</v>
      </c>
      <c r="AA2260" s="8">
        <v>1.2999999999999999E-2</v>
      </c>
      <c r="AB2260" s="8">
        <v>0</v>
      </c>
      <c r="AC2260" s="8">
        <v>0</v>
      </c>
    </row>
    <row r="2261" spans="1:29" ht="11.65" x14ac:dyDescent="0.35">
      <c r="A2261" s="12">
        <v>2244</v>
      </c>
      <c r="B2261" s="10" t="s">
        <v>1015</v>
      </c>
      <c r="C2261" s="11" t="s">
        <v>1173</v>
      </c>
      <c r="D2261" s="9">
        <v>13</v>
      </c>
      <c r="E2261" s="9">
        <v>533</v>
      </c>
      <c r="F2261" s="10" t="s">
        <v>1066</v>
      </c>
      <c r="G2261" s="9">
        <v>915</v>
      </c>
      <c r="H2261" s="9">
        <v>1990</v>
      </c>
      <c r="I2261" s="8">
        <v>2.9470000000000001</v>
      </c>
      <c r="J2261" s="8">
        <v>2.7690000000000001</v>
      </c>
      <c r="K2261" s="8">
        <v>2.2999999999999998</v>
      </c>
      <c r="L2261" s="8">
        <v>2.274</v>
      </c>
      <c r="M2261" s="8">
        <v>2.2909999999999999</v>
      </c>
      <c r="N2261" s="8">
        <v>2.6869999999999998</v>
      </c>
      <c r="O2261" s="8">
        <v>3.0830000000000002</v>
      </c>
      <c r="P2261" s="8">
        <v>2.637</v>
      </c>
      <c r="Q2261" s="8">
        <v>2.1059999999999999</v>
      </c>
      <c r="R2261" s="8">
        <v>1.6819999999999999</v>
      </c>
      <c r="S2261" s="8">
        <v>1.5329999999999999</v>
      </c>
      <c r="T2261" s="8">
        <v>1.4750000000000001</v>
      </c>
      <c r="U2261" s="8">
        <v>0.85599999999999998</v>
      </c>
      <c r="V2261" s="8">
        <v>0.64100000000000001</v>
      </c>
      <c r="W2261" s="8">
        <v>0.57199999999999995</v>
      </c>
      <c r="X2261" s="8">
        <v>0.378</v>
      </c>
      <c r="Y2261" s="8">
        <v>0.29799999999999999</v>
      </c>
      <c r="Z2261" s="8">
        <v>0.111</v>
      </c>
      <c r="AA2261" s="8">
        <v>1.7000000000000001E-2</v>
      </c>
      <c r="AB2261" s="8">
        <v>2E-3</v>
      </c>
      <c r="AC2261" s="8">
        <v>0</v>
      </c>
    </row>
    <row r="2262" spans="1:29" ht="11.65" x14ac:dyDescent="0.35">
      <c r="A2262" s="12">
        <v>2245</v>
      </c>
      <c r="B2262" s="10" t="s">
        <v>1015</v>
      </c>
      <c r="C2262" s="11" t="s">
        <v>1173</v>
      </c>
      <c r="D2262" s="9">
        <v>13</v>
      </c>
      <c r="E2262" s="9">
        <v>533</v>
      </c>
      <c r="F2262" s="10" t="s">
        <v>1066</v>
      </c>
      <c r="G2262" s="9">
        <v>915</v>
      </c>
      <c r="H2262" s="9">
        <v>1995</v>
      </c>
      <c r="I2262" s="8">
        <v>3.3639999999999999</v>
      </c>
      <c r="J2262" s="8">
        <v>3.18</v>
      </c>
      <c r="K2262" s="8">
        <v>2.9830000000000001</v>
      </c>
      <c r="L2262" s="8">
        <v>2.5449999999999999</v>
      </c>
      <c r="M2262" s="8">
        <v>2.6819999999999999</v>
      </c>
      <c r="N2262" s="8">
        <v>3.5059999999999998</v>
      </c>
      <c r="O2262" s="8">
        <v>4.0140000000000002</v>
      </c>
      <c r="P2262" s="8">
        <v>3.8559999999999999</v>
      </c>
      <c r="Q2262" s="8">
        <v>3.3109999999999999</v>
      </c>
      <c r="R2262" s="8">
        <v>2.6379999999999999</v>
      </c>
      <c r="S2262" s="8">
        <v>2.09</v>
      </c>
      <c r="T2262" s="8">
        <v>1.6919999999999999</v>
      </c>
      <c r="U2262" s="8">
        <v>1.3029999999999999</v>
      </c>
      <c r="V2262" s="8">
        <v>0.91800000000000004</v>
      </c>
      <c r="W2262" s="8">
        <v>0.64500000000000002</v>
      </c>
      <c r="X2262" s="8">
        <v>0.40500000000000003</v>
      </c>
      <c r="Y2262" s="8">
        <v>0.30399999999999999</v>
      </c>
      <c r="Z2262" s="8">
        <v>0.14699999999999999</v>
      </c>
      <c r="AA2262" s="8">
        <v>0.03</v>
      </c>
      <c r="AB2262" s="8">
        <v>3.0000000000000001E-3</v>
      </c>
      <c r="AC2262" s="8">
        <v>0</v>
      </c>
    </row>
    <row r="2263" spans="1:29" ht="11.65" x14ac:dyDescent="0.35">
      <c r="A2263" s="12">
        <v>2246</v>
      </c>
      <c r="B2263" s="10" t="s">
        <v>1015</v>
      </c>
      <c r="C2263" s="11" t="s">
        <v>1173</v>
      </c>
      <c r="D2263" s="9">
        <v>13</v>
      </c>
      <c r="E2263" s="9">
        <v>533</v>
      </c>
      <c r="F2263" s="10" t="s">
        <v>1066</v>
      </c>
      <c r="G2263" s="9">
        <v>915</v>
      </c>
      <c r="H2263" s="9">
        <v>2000</v>
      </c>
      <c r="I2263" s="8">
        <v>3.5649999999999999</v>
      </c>
      <c r="J2263" s="8">
        <v>3.7160000000000002</v>
      </c>
      <c r="K2263" s="8">
        <v>3.395</v>
      </c>
      <c r="L2263" s="8">
        <v>3.0710000000000002</v>
      </c>
      <c r="M2263" s="8">
        <v>2.4430000000000001</v>
      </c>
      <c r="N2263" s="8">
        <v>3.0339999999999998</v>
      </c>
      <c r="O2263" s="8">
        <v>3.794</v>
      </c>
      <c r="P2263" s="8">
        <v>4.3760000000000003</v>
      </c>
      <c r="Q2263" s="8">
        <v>3.968</v>
      </c>
      <c r="R2263" s="8">
        <v>3.2770000000000001</v>
      </c>
      <c r="S2263" s="8">
        <v>2.6070000000000002</v>
      </c>
      <c r="T2263" s="8">
        <v>1.9910000000000001</v>
      </c>
      <c r="U2263" s="8">
        <v>1.6259999999999999</v>
      </c>
      <c r="V2263" s="8">
        <v>1.194</v>
      </c>
      <c r="W2263" s="8">
        <v>0.80100000000000005</v>
      </c>
      <c r="X2263" s="8">
        <v>0.51500000000000001</v>
      </c>
      <c r="Y2263" s="8">
        <v>0.309</v>
      </c>
      <c r="Z2263" s="8">
        <v>0.122</v>
      </c>
      <c r="AA2263" s="8">
        <v>3.9E-2</v>
      </c>
      <c r="AB2263" s="8">
        <v>4.0000000000000001E-3</v>
      </c>
      <c r="AC2263" s="8">
        <v>0</v>
      </c>
    </row>
    <row r="2264" spans="1:29" ht="11.65" x14ac:dyDescent="0.35">
      <c r="A2264" s="12">
        <v>2247</v>
      </c>
      <c r="B2264" s="10" t="s">
        <v>1015</v>
      </c>
      <c r="C2264" s="11" t="s">
        <v>1173</v>
      </c>
      <c r="D2264" s="9">
        <v>13</v>
      </c>
      <c r="E2264" s="9">
        <v>533</v>
      </c>
      <c r="F2264" s="10" t="s">
        <v>1066</v>
      </c>
      <c r="G2264" s="9">
        <v>915</v>
      </c>
      <c r="H2264" s="9">
        <v>2005</v>
      </c>
      <c r="I2264" s="8">
        <v>3.2050000000000001</v>
      </c>
      <c r="J2264" s="8">
        <v>3.69</v>
      </c>
      <c r="K2264" s="8">
        <v>3.887</v>
      </c>
      <c r="L2264" s="8">
        <v>3.4780000000000002</v>
      </c>
      <c r="M2264" s="8">
        <v>3.0979999999999999</v>
      </c>
      <c r="N2264" s="8">
        <v>2.6909999999999998</v>
      </c>
      <c r="O2264" s="8">
        <v>3.36</v>
      </c>
      <c r="P2264" s="8">
        <v>4.048</v>
      </c>
      <c r="Q2264" s="8">
        <v>4.6189999999999998</v>
      </c>
      <c r="R2264" s="8">
        <v>4.0839999999999996</v>
      </c>
      <c r="S2264" s="8">
        <v>3.26</v>
      </c>
      <c r="T2264" s="8">
        <v>2.524</v>
      </c>
      <c r="U2264" s="8">
        <v>1.907</v>
      </c>
      <c r="V2264" s="8">
        <v>1.5169999999999999</v>
      </c>
      <c r="W2264" s="8">
        <v>1.0409999999999999</v>
      </c>
      <c r="X2264" s="8">
        <v>0.60399999999999998</v>
      </c>
      <c r="Y2264" s="8">
        <v>0.36499999999999999</v>
      </c>
      <c r="Z2264" s="8">
        <v>0.157</v>
      </c>
      <c r="AA2264" s="8">
        <v>3.3000000000000002E-2</v>
      </c>
      <c r="AB2264" s="8">
        <v>6.0000000000000001E-3</v>
      </c>
      <c r="AC2264" s="8">
        <v>0</v>
      </c>
    </row>
    <row r="2265" spans="1:29" ht="11.65" x14ac:dyDescent="0.35">
      <c r="A2265" s="12">
        <v>2248</v>
      </c>
      <c r="B2265" s="10" t="s">
        <v>1015</v>
      </c>
      <c r="C2265" s="11" t="s">
        <v>1173</v>
      </c>
      <c r="D2265" s="9">
        <v>13</v>
      </c>
      <c r="E2265" s="9">
        <v>533</v>
      </c>
      <c r="F2265" s="10" t="s">
        <v>1066</v>
      </c>
      <c r="G2265" s="9">
        <v>915</v>
      </c>
      <c r="H2265" s="9">
        <v>2010</v>
      </c>
      <c r="I2265" s="8">
        <v>3.4020000000000001</v>
      </c>
      <c r="J2265" s="8">
        <v>3.613</v>
      </c>
      <c r="K2265" s="8">
        <v>3.8010000000000002</v>
      </c>
      <c r="L2265" s="8">
        <v>3.7810000000000001</v>
      </c>
      <c r="M2265" s="8">
        <v>2.6560000000000001</v>
      </c>
      <c r="N2265" s="8">
        <v>2.6040000000000001</v>
      </c>
      <c r="O2265" s="8">
        <v>2.964</v>
      </c>
      <c r="P2265" s="8">
        <v>3.4580000000000002</v>
      </c>
      <c r="Q2265" s="8">
        <v>3.819</v>
      </c>
      <c r="R2265" s="8">
        <v>4.399</v>
      </c>
      <c r="S2265" s="8">
        <v>3.867</v>
      </c>
      <c r="T2265" s="8">
        <v>3.1560000000000001</v>
      </c>
      <c r="U2265" s="8">
        <v>2.484</v>
      </c>
      <c r="V2265" s="8">
        <v>1.7450000000000001</v>
      </c>
      <c r="W2265" s="8">
        <v>1.2749999999999999</v>
      </c>
      <c r="X2265" s="8">
        <v>0.81599999999999995</v>
      </c>
      <c r="Y2265" s="8">
        <v>0.41199999999999998</v>
      </c>
      <c r="Z2265" s="8">
        <v>0.16700000000000001</v>
      </c>
      <c r="AA2265" s="8">
        <v>4.1000000000000002E-2</v>
      </c>
      <c r="AB2265" s="8">
        <v>5.0000000000000001E-3</v>
      </c>
      <c r="AC2265" s="8">
        <v>0</v>
      </c>
    </row>
    <row r="2266" spans="1:29" ht="11.65" x14ac:dyDescent="0.35">
      <c r="A2266" s="12">
        <v>2249</v>
      </c>
      <c r="B2266" s="10" t="s">
        <v>1015</v>
      </c>
      <c r="C2266" s="11" t="s">
        <v>1173</v>
      </c>
      <c r="D2266" s="9">
        <v>13</v>
      </c>
      <c r="E2266" s="9">
        <v>533</v>
      </c>
      <c r="F2266" s="10" t="s">
        <v>1066</v>
      </c>
      <c r="G2266" s="9">
        <v>915</v>
      </c>
      <c r="H2266" s="9">
        <v>2015</v>
      </c>
      <c r="I2266" s="8">
        <v>2.8740000000000001</v>
      </c>
      <c r="J2266" s="8">
        <v>3.423</v>
      </c>
      <c r="K2266" s="8">
        <v>3.6429999999999998</v>
      </c>
      <c r="L2266" s="8">
        <v>3.8109999999999999</v>
      </c>
      <c r="M2266" s="8">
        <v>3.7759999999999998</v>
      </c>
      <c r="N2266" s="8">
        <v>2.6970000000000001</v>
      </c>
      <c r="O2266" s="8">
        <v>2.661</v>
      </c>
      <c r="P2266" s="8">
        <v>3.0030000000000001</v>
      </c>
      <c r="Q2266" s="8">
        <v>3.488</v>
      </c>
      <c r="R2266" s="8">
        <v>3.806</v>
      </c>
      <c r="S2266" s="8">
        <v>4.3159999999999998</v>
      </c>
      <c r="T2266" s="8">
        <v>3.7250000000000001</v>
      </c>
      <c r="U2266" s="8">
        <v>2.9649999999999999</v>
      </c>
      <c r="V2266" s="8">
        <v>2.2410000000000001</v>
      </c>
      <c r="W2266" s="8">
        <v>1.4690000000000001</v>
      </c>
      <c r="X2266" s="8">
        <v>0.95099999999999996</v>
      </c>
      <c r="Y2266" s="8">
        <v>0.50900000000000001</v>
      </c>
      <c r="Z2266" s="8">
        <v>0.187</v>
      </c>
      <c r="AA2266" s="8">
        <v>4.5999999999999999E-2</v>
      </c>
      <c r="AB2266" s="8">
        <v>6.0000000000000001E-3</v>
      </c>
      <c r="AC2266" s="8">
        <v>0</v>
      </c>
    </row>
    <row r="2267" spans="1:29" ht="11.65" x14ac:dyDescent="0.35">
      <c r="A2267" s="12">
        <v>2250</v>
      </c>
      <c r="B2267" s="10" t="s">
        <v>1015</v>
      </c>
      <c r="C2267" s="11" t="s">
        <v>1173</v>
      </c>
      <c r="D2267" s="9">
        <v>13</v>
      </c>
      <c r="E2267" s="9">
        <v>533</v>
      </c>
      <c r="F2267" s="10" t="s">
        <v>1066</v>
      </c>
      <c r="G2267" s="9">
        <v>915</v>
      </c>
      <c r="H2267" s="9">
        <v>2020</v>
      </c>
      <c r="I2267" s="8">
        <v>3.1070000000000002</v>
      </c>
      <c r="J2267" s="8">
        <v>2.89</v>
      </c>
      <c r="K2267" s="8">
        <v>3.4470000000000001</v>
      </c>
      <c r="L2267" s="8">
        <v>3.6509999999999998</v>
      </c>
      <c r="M2267" s="8">
        <v>3.806</v>
      </c>
      <c r="N2267" s="8">
        <v>3.802</v>
      </c>
      <c r="O2267" s="8">
        <v>2.742</v>
      </c>
      <c r="P2267" s="8">
        <v>2.6949999999999998</v>
      </c>
      <c r="Q2267" s="8">
        <v>3.028</v>
      </c>
      <c r="R2267" s="8">
        <v>3.4769999999999999</v>
      </c>
      <c r="S2267" s="8">
        <v>3.7389999999999999</v>
      </c>
      <c r="T2267" s="8">
        <v>4.1660000000000004</v>
      </c>
      <c r="U2267" s="8">
        <v>3.51</v>
      </c>
      <c r="V2267" s="8">
        <v>2.6850000000000001</v>
      </c>
      <c r="W2267" s="8">
        <v>1.8959999999999999</v>
      </c>
      <c r="X2267" s="8">
        <v>1.107</v>
      </c>
      <c r="Y2267" s="8">
        <v>0.6</v>
      </c>
      <c r="Z2267" s="8">
        <v>0.23499999999999999</v>
      </c>
      <c r="AA2267" s="8">
        <v>5.2999999999999999E-2</v>
      </c>
      <c r="AB2267" s="8">
        <v>6.0000000000000001E-3</v>
      </c>
      <c r="AC2267" s="8">
        <v>0</v>
      </c>
    </row>
    <row r="2268" spans="1:29" ht="11.65" x14ac:dyDescent="0.35">
      <c r="A2268" s="12">
        <v>2251</v>
      </c>
      <c r="B2268" s="10" t="s">
        <v>1015</v>
      </c>
      <c r="C2268" s="11" t="s">
        <v>1174</v>
      </c>
      <c r="D2268" s="9"/>
      <c r="E2268" s="9">
        <v>44</v>
      </c>
      <c r="F2268" s="10" t="s">
        <v>1066</v>
      </c>
      <c r="G2268" s="9">
        <v>915</v>
      </c>
      <c r="H2268" s="9">
        <v>1950</v>
      </c>
      <c r="I2268" s="8">
        <v>5.9820000000000002</v>
      </c>
      <c r="J2268" s="8">
        <v>5.0330000000000004</v>
      </c>
      <c r="K2268" s="8">
        <v>4.51</v>
      </c>
      <c r="L2268" s="8">
        <v>3.391</v>
      </c>
      <c r="M2268" s="8">
        <v>3</v>
      </c>
      <c r="N2268" s="8">
        <v>2.7309999999999999</v>
      </c>
      <c r="O2268" s="8">
        <v>2.2989999999999999</v>
      </c>
      <c r="P2268" s="8">
        <v>2.2839999999999998</v>
      </c>
      <c r="Q2268" s="8">
        <v>1.8420000000000001</v>
      </c>
      <c r="R2268" s="8">
        <v>1.419</v>
      </c>
      <c r="S2268" s="8">
        <v>1.1120000000000001</v>
      </c>
      <c r="T2268" s="8">
        <v>0.89400000000000002</v>
      </c>
      <c r="U2268" s="8">
        <v>0.754</v>
      </c>
      <c r="V2268" s="8">
        <v>0.6</v>
      </c>
      <c r="W2268" s="8">
        <v>0.42799999999999999</v>
      </c>
      <c r="X2268" s="8">
        <v>0.27500000000000002</v>
      </c>
      <c r="Y2268" s="8">
        <v>0.114</v>
      </c>
      <c r="Z2268" s="8">
        <v>4.1000000000000002E-2</v>
      </c>
      <c r="AA2268" s="8">
        <v>8.0000000000000002E-3</v>
      </c>
      <c r="AB2268" s="8">
        <v>0</v>
      </c>
      <c r="AC2268" s="8">
        <v>0</v>
      </c>
    </row>
    <row r="2269" spans="1:29" ht="11.65" x14ac:dyDescent="0.35">
      <c r="A2269" s="12">
        <v>2252</v>
      </c>
      <c r="B2269" s="10" t="s">
        <v>1015</v>
      </c>
      <c r="C2269" s="11" t="s">
        <v>1174</v>
      </c>
      <c r="D2269" s="9"/>
      <c r="E2269" s="9">
        <v>44</v>
      </c>
      <c r="F2269" s="10" t="s">
        <v>1066</v>
      </c>
      <c r="G2269" s="9">
        <v>915</v>
      </c>
      <c r="H2269" s="9">
        <v>1955</v>
      </c>
      <c r="I2269" s="8">
        <v>6.82</v>
      </c>
      <c r="J2269" s="8">
        <v>5.9749999999999996</v>
      </c>
      <c r="K2269" s="8">
        <v>4.9749999999999996</v>
      </c>
      <c r="L2269" s="8">
        <v>4.1429999999999998</v>
      </c>
      <c r="M2269" s="8">
        <v>2.9169999999999998</v>
      </c>
      <c r="N2269" s="8">
        <v>2.8340000000000001</v>
      </c>
      <c r="O2269" s="8">
        <v>2.5190000000000001</v>
      </c>
      <c r="P2269" s="8">
        <v>2.3660000000000001</v>
      </c>
      <c r="Q2269" s="8">
        <v>2.4390000000000001</v>
      </c>
      <c r="R2269" s="8">
        <v>1.766</v>
      </c>
      <c r="S2269" s="8">
        <v>1.298</v>
      </c>
      <c r="T2269" s="8">
        <v>0.94499999999999995</v>
      </c>
      <c r="U2269" s="8">
        <v>0.746</v>
      </c>
      <c r="V2269" s="8">
        <v>0.63500000000000001</v>
      </c>
      <c r="W2269" s="8">
        <v>0.46200000000000002</v>
      </c>
      <c r="X2269" s="8">
        <v>0.28599999999999998</v>
      </c>
      <c r="Y2269" s="8">
        <v>0.13700000000000001</v>
      </c>
      <c r="Z2269" s="8">
        <v>4.3999999999999997E-2</v>
      </c>
      <c r="AA2269" s="8">
        <v>0.01</v>
      </c>
      <c r="AB2269" s="8">
        <v>0</v>
      </c>
      <c r="AC2269" s="8">
        <v>0</v>
      </c>
    </row>
    <row r="2270" spans="1:29" ht="11.65" x14ac:dyDescent="0.35">
      <c r="A2270" s="12">
        <v>2253</v>
      </c>
      <c r="B2270" s="10" t="s">
        <v>1015</v>
      </c>
      <c r="C2270" s="11" t="s">
        <v>1174</v>
      </c>
      <c r="D2270" s="9"/>
      <c r="E2270" s="9">
        <v>44</v>
      </c>
      <c r="F2270" s="10" t="s">
        <v>1066</v>
      </c>
      <c r="G2270" s="9">
        <v>915</v>
      </c>
      <c r="H2270" s="9">
        <v>1960</v>
      </c>
      <c r="I2270" s="8">
        <v>8.8249999999999993</v>
      </c>
      <c r="J2270" s="8">
        <v>7.8879999999999999</v>
      </c>
      <c r="K2270" s="8">
        <v>6.4989999999999997</v>
      </c>
      <c r="L2270" s="8">
        <v>4.8259999999999996</v>
      </c>
      <c r="M2270" s="8">
        <v>4.117</v>
      </c>
      <c r="N2270" s="8">
        <v>3.4780000000000002</v>
      </c>
      <c r="O2270" s="8">
        <v>3.2949999999999999</v>
      </c>
      <c r="P2270" s="8">
        <v>2.9670000000000001</v>
      </c>
      <c r="Q2270" s="8">
        <v>2.5459999999999998</v>
      </c>
      <c r="R2270" s="8">
        <v>2.3319999999999999</v>
      </c>
      <c r="S2270" s="8">
        <v>1.776</v>
      </c>
      <c r="T2270" s="8">
        <v>1.2649999999999999</v>
      </c>
      <c r="U2270" s="8">
        <v>0.88200000000000001</v>
      </c>
      <c r="V2270" s="8">
        <v>0.70499999999999996</v>
      </c>
      <c r="W2270" s="8">
        <v>0.495</v>
      </c>
      <c r="X2270" s="8">
        <v>0.27400000000000002</v>
      </c>
      <c r="Y2270" s="8">
        <v>0.14799999999999999</v>
      </c>
      <c r="Z2270" s="8">
        <v>5.3999999999999999E-2</v>
      </c>
      <c r="AA2270" s="8">
        <v>1.2E-2</v>
      </c>
      <c r="AB2270" s="8">
        <v>2E-3</v>
      </c>
      <c r="AC2270" s="8">
        <v>0</v>
      </c>
    </row>
    <row r="2271" spans="1:29" ht="11.65" x14ac:dyDescent="0.35">
      <c r="A2271" s="12">
        <v>2254</v>
      </c>
      <c r="B2271" s="10" t="s">
        <v>1015</v>
      </c>
      <c r="C2271" s="11" t="s">
        <v>1174</v>
      </c>
      <c r="D2271" s="9"/>
      <c r="E2271" s="9">
        <v>44</v>
      </c>
      <c r="F2271" s="10" t="s">
        <v>1066</v>
      </c>
      <c r="G2271" s="9">
        <v>915</v>
      </c>
      <c r="H2271" s="9">
        <v>1965</v>
      </c>
      <c r="I2271" s="8">
        <v>11.457000000000001</v>
      </c>
      <c r="J2271" s="8">
        <v>10.685</v>
      </c>
      <c r="K2271" s="8">
        <v>8.3550000000000004</v>
      </c>
      <c r="L2271" s="8">
        <v>6.2779999999999996</v>
      </c>
      <c r="M2271" s="8">
        <v>5.2249999999999996</v>
      </c>
      <c r="N2271" s="8">
        <v>5.1689999999999996</v>
      </c>
      <c r="O2271" s="8">
        <v>4.2229999999999999</v>
      </c>
      <c r="P2271" s="8">
        <v>3.7650000000000001</v>
      </c>
      <c r="Q2271" s="8">
        <v>3.1629999999999998</v>
      </c>
      <c r="R2271" s="8">
        <v>2.6779999999999999</v>
      </c>
      <c r="S2271" s="8">
        <v>2.6070000000000002</v>
      </c>
      <c r="T2271" s="8">
        <v>1.796</v>
      </c>
      <c r="U2271" s="8">
        <v>1.133</v>
      </c>
      <c r="V2271" s="8">
        <v>0.84199999999999997</v>
      </c>
      <c r="W2271" s="8">
        <v>0.54400000000000004</v>
      </c>
      <c r="X2271" s="8">
        <v>0.28399999999999997</v>
      </c>
      <c r="Y2271" s="8">
        <v>0.17299999999999999</v>
      </c>
      <c r="Z2271" s="8">
        <v>6.0999999999999999E-2</v>
      </c>
      <c r="AA2271" s="8">
        <v>1.4999999999999999E-2</v>
      </c>
      <c r="AB2271" s="8">
        <v>2E-3</v>
      </c>
      <c r="AC2271" s="8">
        <v>0</v>
      </c>
    </row>
    <row r="2272" spans="1:29" ht="11.65" x14ac:dyDescent="0.35">
      <c r="A2272" s="12">
        <v>2255</v>
      </c>
      <c r="B2272" s="10" t="s">
        <v>1015</v>
      </c>
      <c r="C2272" s="11" t="s">
        <v>1174</v>
      </c>
      <c r="D2272" s="9"/>
      <c r="E2272" s="9">
        <v>44</v>
      </c>
      <c r="F2272" s="10" t="s">
        <v>1066</v>
      </c>
      <c r="G2272" s="9">
        <v>915</v>
      </c>
      <c r="H2272" s="9">
        <v>1970</v>
      </c>
      <c r="I2272" s="8">
        <v>11.824</v>
      </c>
      <c r="J2272" s="8">
        <v>13.576000000000001</v>
      </c>
      <c r="K2272" s="8">
        <v>10.798</v>
      </c>
      <c r="L2272" s="8">
        <v>7.9930000000000003</v>
      </c>
      <c r="M2272" s="8">
        <v>6.3319999999999999</v>
      </c>
      <c r="N2272" s="8">
        <v>6.1230000000000002</v>
      </c>
      <c r="O2272" s="8">
        <v>6.1239999999999997</v>
      </c>
      <c r="P2272" s="8">
        <v>4.7480000000000002</v>
      </c>
      <c r="Q2272" s="8">
        <v>4.0119999999999996</v>
      </c>
      <c r="R2272" s="8">
        <v>3.234</v>
      </c>
      <c r="S2272" s="8">
        <v>2.706</v>
      </c>
      <c r="T2272" s="8">
        <v>2.4900000000000002</v>
      </c>
      <c r="U2272" s="8">
        <v>1.629</v>
      </c>
      <c r="V2272" s="8">
        <v>1.0609999999999999</v>
      </c>
      <c r="W2272" s="8">
        <v>0.63500000000000001</v>
      </c>
      <c r="X2272" s="8">
        <v>0.32200000000000001</v>
      </c>
      <c r="Y2272" s="8">
        <v>0.20100000000000001</v>
      </c>
      <c r="Z2272" s="8">
        <v>7.4999999999999997E-2</v>
      </c>
      <c r="AA2272" s="8">
        <v>1.7999999999999999E-2</v>
      </c>
      <c r="AB2272" s="8">
        <v>3.0000000000000001E-3</v>
      </c>
      <c r="AC2272" s="8">
        <v>0</v>
      </c>
    </row>
    <row r="2273" spans="1:29" ht="11.65" x14ac:dyDescent="0.35">
      <c r="A2273" s="12">
        <v>2256</v>
      </c>
      <c r="B2273" s="10" t="s">
        <v>1015</v>
      </c>
      <c r="C2273" s="11" t="s">
        <v>1174</v>
      </c>
      <c r="D2273" s="9"/>
      <c r="E2273" s="9">
        <v>44</v>
      </c>
      <c r="F2273" s="10" t="s">
        <v>1066</v>
      </c>
      <c r="G2273" s="9">
        <v>915</v>
      </c>
      <c r="H2273" s="9">
        <v>1975</v>
      </c>
      <c r="I2273" s="8">
        <v>12.773999999999999</v>
      </c>
      <c r="J2273" s="8">
        <v>12.808</v>
      </c>
      <c r="K2273" s="8">
        <v>12.823</v>
      </c>
      <c r="L2273" s="8">
        <v>9.6129999999999995</v>
      </c>
      <c r="M2273" s="8">
        <v>8.02</v>
      </c>
      <c r="N2273" s="8">
        <v>7.2519999999999998</v>
      </c>
      <c r="O2273" s="8">
        <v>6.274</v>
      </c>
      <c r="P2273" s="8">
        <v>5.3460000000000001</v>
      </c>
      <c r="Q2273" s="8">
        <v>4.1260000000000003</v>
      </c>
      <c r="R2273" s="8">
        <v>3.5659999999999998</v>
      </c>
      <c r="S2273" s="8">
        <v>2.9750000000000001</v>
      </c>
      <c r="T2273" s="8">
        <v>2.343</v>
      </c>
      <c r="U2273" s="8">
        <v>1.907</v>
      </c>
      <c r="V2273" s="8">
        <v>1.2849999999999999</v>
      </c>
      <c r="W2273" s="8">
        <v>0.79300000000000004</v>
      </c>
      <c r="X2273" s="8">
        <v>0.41799999999999998</v>
      </c>
      <c r="Y2273" s="8">
        <v>0.224</v>
      </c>
      <c r="Z2273" s="8">
        <v>8.6999999999999994E-2</v>
      </c>
      <c r="AA2273" s="8">
        <v>2.1000000000000001E-2</v>
      </c>
      <c r="AB2273" s="8">
        <v>3.0000000000000001E-3</v>
      </c>
      <c r="AC2273" s="8">
        <v>0</v>
      </c>
    </row>
    <row r="2274" spans="1:29" ht="11.65" x14ac:dyDescent="0.35">
      <c r="A2274" s="12">
        <v>2257</v>
      </c>
      <c r="B2274" s="10" t="s">
        <v>1015</v>
      </c>
      <c r="C2274" s="11" t="s">
        <v>1174</v>
      </c>
      <c r="D2274" s="9"/>
      <c r="E2274" s="9">
        <v>44</v>
      </c>
      <c r="F2274" s="10" t="s">
        <v>1066</v>
      </c>
      <c r="G2274" s="9">
        <v>915</v>
      </c>
      <c r="H2274" s="9">
        <v>1980</v>
      </c>
      <c r="I2274" s="8">
        <v>12.853</v>
      </c>
      <c r="J2274" s="8">
        <v>13.811999999999999</v>
      </c>
      <c r="K2274" s="8">
        <v>13.042</v>
      </c>
      <c r="L2274" s="8">
        <v>13.523</v>
      </c>
      <c r="M2274" s="8">
        <v>10.798999999999999</v>
      </c>
      <c r="N2274" s="8">
        <v>8.3520000000000003</v>
      </c>
      <c r="O2274" s="8">
        <v>6.6929999999999996</v>
      </c>
      <c r="P2274" s="8">
        <v>5.5590000000000002</v>
      </c>
      <c r="Q2274" s="8">
        <v>4.9509999999999996</v>
      </c>
      <c r="R2274" s="8">
        <v>3.7210000000000001</v>
      </c>
      <c r="S2274" s="8">
        <v>3.161</v>
      </c>
      <c r="T2274" s="8">
        <v>2.4319999999999999</v>
      </c>
      <c r="U2274" s="8">
        <v>1.9139999999999999</v>
      </c>
      <c r="V2274" s="8">
        <v>1.7310000000000001</v>
      </c>
      <c r="W2274" s="8">
        <v>1.0609999999999999</v>
      </c>
      <c r="X2274" s="8">
        <v>0.56299999999999994</v>
      </c>
      <c r="Y2274" s="8">
        <v>0.27500000000000002</v>
      </c>
      <c r="Z2274" s="8">
        <v>9.1999999999999998E-2</v>
      </c>
      <c r="AA2274" s="8">
        <v>2.5000000000000001E-2</v>
      </c>
      <c r="AB2274" s="8">
        <v>4.0000000000000001E-3</v>
      </c>
      <c r="AC2274" s="8">
        <v>0</v>
      </c>
    </row>
    <row r="2275" spans="1:29" ht="11.65" x14ac:dyDescent="0.35">
      <c r="A2275" s="12">
        <v>2258</v>
      </c>
      <c r="B2275" s="10" t="s">
        <v>1015</v>
      </c>
      <c r="C2275" s="11" t="s">
        <v>1174</v>
      </c>
      <c r="D2275" s="9"/>
      <c r="E2275" s="9">
        <v>44</v>
      </c>
      <c r="F2275" s="10" t="s">
        <v>1066</v>
      </c>
      <c r="G2275" s="9">
        <v>915</v>
      </c>
      <c r="H2275" s="9">
        <v>1985</v>
      </c>
      <c r="I2275" s="8">
        <v>15.021000000000001</v>
      </c>
      <c r="J2275" s="8">
        <v>13.012</v>
      </c>
      <c r="K2275" s="8">
        <v>13.789</v>
      </c>
      <c r="L2275" s="8">
        <v>12.994</v>
      </c>
      <c r="M2275" s="8">
        <v>13.414</v>
      </c>
      <c r="N2275" s="8">
        <v>10.657999999999999</v>
      </c>
      <c r="O2275" s="8">
        <v>8.2059999999999995</v>
      </c>
      <c r="P2275" s="8">
        <v>6.5439999999999996</v>
      </c>
      <c r="Q2275" s="8">
        <v>5.3780000000000001</v>
      </c>
      <c r="R2275" s="8">
        <v>4.7290000000000001</v>
      </c>
      <c r="S2275" s="8">
        <v>3.4980000000000002</v>
      </c>
      <c r="T2275" s="8">
        <v>2.8940000000000001</v>
      </c>
      <c r="U2275" s="8">
        <v>2.15</v>
      </c>
      <c r="V2275" s="8">
        <v>1.603</v>
      </c>
      <c r="W2275" s="8">
        <v>1.339</v>
      </c>
      <c r="X2275" s="8">
        <v>0.72799999999999998</v>
      </c>
      <c r="Y2275" s="8">
        <v>0.315</v>
      </c>
      <c r="Z2275" s="8">
        <v>0.114</v>
      </c>
      <c r="AA2275" s="8">
        <v>2.5999999999999999E-2</v>
      </c>
      <c r="AB2275" s="8">
        <v>4.0000000000000001E-3</v>
      </c>
      <c r="AC2275" s="8">
        <v>0</v>
      </c>
    </row>
    <row r="2276" spans="1:29" ht="11.65" x14ac:dyDescent="0.35">
      <c r="A2276" s="12">
        <v>2259</v>
      </c>
      <c r="B2276" s="10" t="s">
        <v>1015</v>
      </c>
      <c r="C2276" s="11" t="s">
        <v>1174</v>
      </c>
      <c r="D2276" s="9"/>
      <c r="E2276" s="9">
        <v>44</v>
      </c>
      <c r="F2276" s="10" t="s">
        <v>1066</v>
      </c>
      <c r="G2276" s="9">
        <v>915</v>
      </c>
      <c r="H2276" s="9">
        <v>1990</v>
      </c>
      <c r="I2276" s="8">
        <v>14.467000000000001</v>
      </c>
      <c r="J2276" s="8">
        <v>14.839</v>
      </c>
      <c r="K2276" s="8">
        <v>12.977</v>
      </c>
      <c r="L2276" s="8">
        <v>13.742000000000001</v>
      </c>
      <c r="M2276" s="8">
        <v>12.898</v>
      </c>
      <c r="N2276" s="8">
        <v>13.24</v>
      </c>
      <c r="O2276" s="8">
        <v>10.474</v>
      </c>
      <c r="P2276" s="8">
        <v>8.0549999999999997</v>
      </c>
      <c r="Q2276" s="8">
        <v>6.375</v>
      </c>
      <c r="R2276" s="8">
        <v>5.1740000000000004</v>
      </c>
      <c r="S2276" s="8">
        <v>4.484</v>
      </c>
      <c r="T2276" s="8">
        <v>3.2290000000000001</v>
      </c>
      <c r="U2276" s="8">
        <v>2.589</v>
      </c>
      <c r="V2276" s="8">
        <v>1.8260000000000001</v>
      </c>
      <c r="W2276" s="8">
        <v>1.2549999999999999</v>
      </c>
      <c r="X2276" s="8">
        <v>0.93100000000000005</v>
      </c>
      <c r="Y2276" s="8">
        <v>0.39400000000000002</v>
      </c>
      <c r="Z2276" s="8">
        <v>0.14399999999999999</v>
      </c>
      <c r="AA2276" s="8">
        <v>3.5999999999999997E-2</v>
      </c>
      <c r="AB2276" s="8">
        <v>5.0000000000000001E-3</v>
      </c>
      <c r="AC2276" s="8">
        <v>0</v>
      </c>
    </row>
    <row r="2277" spans="1:29" ht="11.65" x14ac:dyDescent="0.35">
      <c r="A2277" s="12">
        <v>2260</v>
      </c>
      <c r="B2277" s="10" t="s">
        <v>1015</v>
      </c>
      <c r="C2277" s="11" t="s">
        <v>1174</v>
      </c>
      <c r="D2277" s="9"/>
      <c r="E2277" s="9">
        <v>44</v>
      </c>
      <c r="F2277" s="10" t="s">
        <v>1066</v>
      </c>
      <c r="G2277" s="9">
        <v>915</v>
      </c>
      <c r="H2277" s="9">
        <v>1995</v>
      </c>
      <c r="I2277" s="8">
        <v>15.597</v>
      </c>
      <c r="J2277" s="8">
        <v>14.295999999999999</v>
      </c>
      <c r="K2277" s="8">
        <v>14.788</v>
      </c>
      <c r="L2277" s="8">
        <v>12.893000000000001</v>
      </c>
      <c r="M2277" s="8">
        <v>13.557</v>
      </c>
      <c r="N2277" s="8">
        <v>12.5</v>
      </c>
      <c r="O2277" s="8">
        <v>12.619</v>
      </c>
      <c r="P2277" s="8">
        <v>10.023</v>
      </c>
      <c r="Q2277" s="8">
        <v>7.8639999999999999</v>
      </c>
      <c r="R2277" s="8">
        <v>6.3479999999999999</v>
      </c>
      <c r="S2277" s="8">
        <v>5.1369999999999996</v>
      </c>
      <c r="T2277" s="8">
        <v>4.3479999999999999</v>
      </c>
      <c r="U2277" s="8">
        <v>3.036</v>
      </c>
      <c r="V2277" s="8">
        <v>2.3010000000000002</v>
      </c>
      <c r="W2277" s="8">
        <v>1.472</v>
      </c>
      <c r="X2277" s="8">
        <v>0.88900000000000001</v>
      </c>
      <c r="Y2277" s="8">
        <v>0.49399999999999999</v>
      </c>
      <c r="Z2277" s="8">
        <v>0.20599999999999999</v>
      </c>
      <c r="AA2277" s="8">
        <v>5.5E-2</v>
      </c>
      <c r="AB2277" s="8">
        <v>8.9999999999999993E-3</v>
      </c>
      <c r="AC2277" s="8">
        <v>1E-3</v>
      </c>
    </row>
    <row r="2278" spans="1:29" ht="11.65" x14ac:dyDescent="0.35">
      <c r="A2278" s="12">
        <v>2261</v>
      </c>
      <c r="B2278" s="10" t="s">
        <v>1015</v>
      </c>
      <c r="C2278" s="11" t="s">
        <v>1174</v>
      </c>
      <c r="D2278" s="9"/>
      <c r="E2278" s="9">
        <v>44</v>
      </c>
      <c r="F2278" s="10" t="s">
        <v>1066</v>
      </c>
      <c r="G2278" s="9">
        <v>915</v>
      </c>
      <c r="H2278" s="9">
        <v>2000</v>
      </c>
      <c r="I2278" s="8">
        <v>14.273</v>
      </c>
      <c r="J2278" s="8">
        <v>15.406000000000001</v>
      </c>
      <c r="K2278" s="8">
        <v>14.317</v>
      </c>
      <c r="L2278" s="8">
        <v>13.961</v>
      </c>
      <c r="M2278" s="8">
        <v>11.629</v>
      </c>
      <c r="N2278" s="8">
        <v>12.595000000000001</v>
      </c>
      <c r="O2278" s="8">
        <v>11.766999999999999</v>
      </c>
      <c r="P2278" s="8">
        <v>12.106</v>
      </c>
      <c r="Q2278" s="8">
        <v>9.8179999999999996</v>
      </c>
      <c r="R2278" s="8">
        <v>7.8979999999999997</v>
      </c>
      <c r="S2278" s="8">
        <v>6.24</v>
      </c>
      <c r="T2278" s="8">
        <v>4.742</v>
      </c>
      <c r="U2278" s="8">
        <v>3.8479999999999999</v>
      </c>
      <c r="V2278" s="8">
        <v>2.5880000000000001</v>
      </c>
      <c r="W2278" s="8">
        <v>1.802</v>
      </c>
      <c r="X2278" s="8">
        <v>1.125</v>
      </c>
      <c r="Y2278" s="8">
        <v>0.67400000000000004</v>
      </c>
      <c r="Z2278" s="8">
        <v>0.28100000000000003</v>
      </c>
      <c r="AA2278" s="8">
        <v>8.7999999999999995E-2</v>
      </c>
      <c r="AB2278" s="8">
        <v>1.4999999999999999E-2</v>
      </c>
      <c r="AC2278" s="8">
        <v>2E-3</v>
      </c>
    </row>
    <row r="2279" spans="1:29" ht="11.65" x14ac:dyDescent="0.35">
      <c r="A2279" s="12">
        <v>2262</v>
      </c>
      <c r="B2279" s="10" t="s">
        <v>1015</v>
      </c>
      <c r="C2279" s="11" t="s">
        <v>1174</v>
      </c>
      <c r="D2279" s="9"/>
      <c r="E2279" s="9">
        <v>44</v>
      </c>
      <c r="F2279" s="10" t="s">
        <v>1066</v>
      </c>
      <c r="G2279" s="9">
        <v>915</v>
      </c>
      <c r="H2279" s="9">
        <v>2005</v>
      </c>
      <c r="I2279" s="8">
        <v>14.938000000000001</v>
      </c>
      <c r="J2279" s="8">
        <v>15.647</v>
      </c>
      <c r="K2279" s="8">
        <v>15.22</v>
      </c>
      <c r="L2279" s="8">
        <v>14.896000000000001</v>
      </c>
      <c r="M2279" s="8">
        <v>12.451000000000001</v>
      </c>
      <c r="N2279" s="8">
        <v>12.667</v>
      </c>
      <c r="O2279" s="8">
        <v>12.502000000000001</v>
      </c>
      <c r="P2279" s="8">
        <v>13.082000000000001</v>
      </c>
      <c r="Q2279" s="8">
        <v>11.205</v>
      </c>
      <c r="R2279" s="8">
        <v>9.8149999999999995</v>
      </c>
      <c r="S2279" s="8">
        <v>7.5529999999999999</v>
      </c>
      <c r="T2279" s="8">
        <v>5.5890000000000004</v>
      </c>
      <c r="U2279" s="8">
        <v>4.3010000000000002</v>
      </c>
      <c r="V2279" s="8">
        <v>3.1139999999999999</v>
      </c>
      <c r="W2279" s="8">
        <v>2.1829999999999998</v>
      </c>
      <c r="X2279" s="8">
        <v>1.327</v>
      </c>
      <c r="Y2279" s="8">
        <v>0.77700000000000002</v>
      </c>
      <c r="Z2279" s="8">
        <v>0.36599999999999999</v>
      </c>
      <c r="AA2279" s="8">
        <v>0.113</v>
      </c>
      <c r="AB2279" s="8">
        <v>2.4E-2</v>
      </c>
      <c r="AC2279" s="8">
        <v>3.0000000000000001E-3</v>
      </c>
    </row>
    <row r="2280" spans="1:29" ht="11.65" x14ac:dyDescent="0.35">
      <c r="A2280" s="12">
        <v>2263</v>
      </c>
      <c r="B2280" s="10" t="s">
        <v>1015</v>
      </c>
      <c r="C2280" s="11" t="s">
        <v>1174</v>
      </c>
      <c r="D2280" s="9"/>
      <c r="E2280" s="9">
        <v>44</v>
      </c>
      <c r="F2280" s="10" t="s">
        <v>1066</v>
      </c>
      <c r="G2280" s="9">
        <v>915</v>
      </c>
      <c r="H2280" s="9">
        <v>2010</v>
      </c>
      <c r="I2280" s="8">
        <v>15.590999999999999</v>
      </c>
      <c r="J2280" s="8">
        <v>15.935</v>
      </c>
      <c r="K2280" s="8">
        <v>16.148</v>
      </c>
      <c r="L2280" s="8">
        <v>15.906000000000001</v>
      </c>
      <c r="M2280" s="8">
        <v>13.313000000000001</v>
      </c>
      <c r="N2280" s="8">
        <v>12.79</v>
      </c>
      <c r="O2280" s="8">
        <v>13.254</v>
      </c>
      <c r="P2280" s="8">
        <v>14.127000000000001</v>
      </c>
      <c r="Q2280" s="8">
        <v>12.803000000000001</v>
      </c>
      <c r="R2280" s="8">
        <v>12.193</v>
      </c>
      <c r="S2280" s="8">
        <v>9.1430000000000007</v>
      </c>
      <c r="T2280" s="8">
        <v>6.5860000000000003</v>
      </c>
      <c r="U2280" s="8">
        <v>4.8090000000000002</v>
      </c>
      <c r="V2280" s="8">
        <v>3.7469999999999999</v>
      </c>
      <c r="W2280" s="8">
        <v>2.6429999999999998</v>
      </c>
      <c r="X2280" s="8">
        <v>1.5649999999999999</v>
      </c>
      <c r="Y2280" s="8">
        <v>0.89600000000000002</v>
      </c>
      <c r="Z2280" s="8">
        <v>0.39500000000000002</v>
      </c>
      <c r="AA2280" s="8">
        <v>0.13300000000000001</v>
      </c>
      <c r="AB2280" s="8">
        <v>2.5999999999999999E-2</v>
      </c>
      <c r="AC2280" s="8">
        <v>4.0000000000000001E-3</v>
      </c>
    </row>
    <row r="2281" spans="1:29" ht="11.65" x14ac:dyDescent="0.35">
      <c r="A2281" s="12">
        <v>2264</v>
      </c>
      <c r="B2281" s="10" t="s">
        <v>1015</v>
      </c>
      <c r="C2281" s="11" t="s">
        <v>1174</v>
      </c>
      <c r="D2281" s="9"/>
      <c r="E2281" s="9">
        <v>44</v>
      </c>
      <c r="F2281" s="10" t="s">
        <v>1066</v>
      </c>
      <c r="G2281" s="9">
        <v>915</v>
      </c>
      <c r="H2281" s="9">
        <v>2015</v>
      </c>
      <c r="I2281" s="8">
        <v>13.602</v>
      </c>
      <c r="J2281" s="8">
        <v>15.627000000000001</v>
      </c>
      <c r="K2281" s="8">
        <v>15.961</v>
      </c>
      <c r="L2281" s="8">
        <v>16.356999999999999</v>
      </c>
      <c r="M2281" s="8">
        <v>16.256</v>
      </c>
      <c r="N2281" s="8">
        <v>13.635999999999999</v>
      </c>
      <c r="O2281" s="8">
        <v>12.993</v>
      </c>
      <c r="P2281" s="8">
        <v>13.308</v>
      </c>
      <c r="Q2281" s="8">
        <v>14.015000000000001</v>
      </c>
      <c r="R2281" s="8">
        <v>12.547000000000001</v>
      </c>
      <c r="S2281" s="8">
        <v>11.752000000000001</v>
      </c>
      <c r="T2281" s="8">
        <v>8.6219999999999999</v>
      </c>
      <c r="U2281" s="8">
        <v>6.0279999999999996</v>
      </c>
      <c r="V2281" s="8">
        <v>4.2229999999999999</v>
      </c>
      <c r="W2281" s="8">
        <v>3.093</v>
      </c>
      <c r="X2281" s="8">
        <v>1.974</v>
      </c>
      <c r="Y2281" s="8">
        <v>0.998</v>
      </c>
      <c r="Z2281" s="8">
        <v>0.44600000000000001</v>
      </c>
      <c r="AA2281" s="8">
        <v>0.13800000000000001</v>
      </c>
      <c r="AB2281" s="8">
        <v>2.9000000000000001E-2</v>
      </c>
      <c r="AC2281" s="8">
        <v>3.0000000000000001E-3</v>
      </c>
    </row>
    <row r="2282" spans="1:29" ht="11.65" x14ac:dyDescent="0.35">
      <c r="A2282" s="12">
        <v>2265</v>
      </c>
      <c r="B2282" s="10" t="s">
        <v>1015</v>
      </c>
      <c r="C2282" s="11" t="s">
        <v>1174</v>
      </c>
      <c r="D2282" s="9"/>
      <c r="E2282" s="9">
        <v>44</v>
      </c>
      <c r="F2282" s="10" t="s">
        <v>1066</v>
      </c>
      <c r="G2282" s="9">
        <v>915</v>
      </c>
      <c r="H2282" s="9">
        <v>2020</v>
      </c>
      <c r="I2282" s="8">
        <v>13.896000000000001</v>
      </c>
      <c r="J2282" s="8">
        <v>13.648999999999999</v>
      </c>
      <c r="K2282" s="8">
        <v>15.659000000000001</v>
      </c>
      <c r="L2282" s="8">
        <v>16.178000000000001</v>
      </c>
      <c r="M2282" s="8">
        <v>16.718</v>
      </c>
      <c r="N2282" s="8">
        <v>16.567</v>
      </c>
      <c r="O2282" s="8">
        <v>13.846</v>
      </c>
      <c r="P2282" s="8">
        <v>13.07</v>
      </c>
      <c r="Q2282" s="8">
        <v>13.237</v>
      </c>
      <c r="R2282" s="8">
        <v>13.763999999999999</v>
      </c>
      <c r="S2282" s="8">
        <v>12.14</v>
      </c>
      <c r="T2282" s="8">
        <v>11.138</v>
      </c>
      <c r="U2282" s="8">
        <v>7.9560000000000004</v>
      </c>
      <c r="V2282" s="8">
        <v>5.3579999999999997</v>
      </c>
      <c r="W2282" s="8">
        <v>3.5430000000000001</v>
      </c>
      <c r="X2282" s="8">
        <v>2.3620000000000001</v>
      </c>
      <c r="Y2282" s="8">
        <v>1.2969999999999999</v>
      </c>
      <c r="Z2282" s="8">
        <v>0.51800000000000002</v>
      </c>
      <c r="AA2282" s="8">
        <v>0.16300000000000001</v>
      </c>
      <c r="AB2282" s="8">
        <v>0.03</v>
      </c>
      <c r="AC2282" s="8">
        <v>4.0000000000000001E-3</v>
      </c>
    </row>
    <row r="2283" spans="1:29" ht="11.65" x14ac:dyDescent="0.35">
      <c r="A2283" s="12">
        <v>2266</v>
      </c>
      <c r="B2283" s="10" t="s">
        <v>1015</v>
      </c>
      <c r="C2283" s="11" t="s">
        <v>1175</v>
      </c>
      <c r="D2283" s="9"/>
      <c r="E2283" s="9">
        <v>52</v>
      </c>
      <c r="F2283" s="10" t="s">
        <v>1066</v>
      </c>
      <c r="G2283" s="9">
        <v>915</v>
      </c>
      <c r="H2283" s="9">
        <v>1950</v>
      </c>
      <c r="I2283" s="8">
        <v>13</v>
      </c>
      <c r="J2283" s="8">
        <v>11</v>
      </c>
      <c r="K2283" s="8">
        <v>11</v>
      </c>
      <c r="L2283" s="8">
        <v>10</v>
      </c>
      <c r="M2283" s="8">
        <v>8.0009999999999994</v>
      </c>
      <c r="N2283" s="8">
        <v>7</v>
      </c>
      <c r="O2283" s="8">
        <v>7.9989999999999997</v>
      </c>
      <c r="P2283" s="8">
        <v>7</v>
      </c>
      <c r="Q2283" s="8">
        <v>6</v>
      </c>
      <c r="R2283" s="8">
        <v>5.0010000000000003</v>
      </c>
      <c r="S2283" s="8">
        <v>4.0010000000000003</v>
      </c>
      <c r="T2283" s="8">
        <v>2.0019999999999998</v>
      </c>
      <c r="U2283" s="8">
        <v>2</v>
      </c>
      <c r="V2283" s="8">
        <v>1</v>
      </c>
      <c r="W2283" s="8">
        <v>0.85</v>
      </c>
      <c r="X2283" s="8">
        <v>0.69899999999999995</v>
      </c>
      <c r="Y2283" s="8">
        <v>0.31</v>
      </c>
      <c r="Z2283" s="8">
        <v>0.109</v>
      </c>
      <c r="AA2283" s="8">
        <v>2.4E-2</v>
      </c>
      <c r="AB2283" s="8">
        <v>3.0000000000000001E-3</v>
      </c>
      <c r="AC2283" s="8">
        <v>0</v>
      </c>
    </row>
    <row r="2284" spans="1:29" ht="11.65" x14ac:dyDescent="0.35">
      <c r="A2284" s="12">
        <v>2267</v>
      </c>
      <c r="B2284" s="10" t="s">
        <v>1015</v>
      </c>
      <c r="C2284" s="11" t="s">
        <v>1175</v>
      </c>
      <c r="D2284" s="9"/>
      <c r="E2284" s="9">
        <v>52</v>
      </c>
      <c r="F2284" s="10" t="s">
        <v>1066</v>
      </c>
      <c r="G2284" s="9">
        <v>915</v>
      </c>
      <c r="H2284" s="9">
        <v>1955</v>
      </c>
      <c r="I2284" s="8">
        <v>15.395</v>
      </c>
      <c r="J2284" s="8">
        <v>13.343999999999999</v>
      </c>
      <c r="K2284" s="8">
        <v>10.16</v>
      </c>
      <c r="L2284" s="8">
        <v>9.1989999999999998</v>
      </c>
      <c r="M2284" s="8">
        <v>8.202</v>
      </c>
      <c r="N2284" s="8">
        <v>7.0979999999999999</v>
      </c>
      <c r="O2284" s="8">
        <v>6.0979999999999999</v>
      </c>
      <c r="P2284" s="8">
        <v>7.101</v>
      </c>
      <c r="Q2284" s="8">
        <v>6.1</v>
      </c>
      <c r="R2284" s="8">
        <v>6.0990000000000002</v>
      </c>
      <c r="S2284" s="8">
        <v>5.0979999999999999</v>
      </c>
      <c r="T2284" s="8">
        <v>3</v>
      </c>
      <c r="U2284" s="8">
        <v>2</v>
      </c>
      <c r="V2284" s="8">
        <v>2.0019999999999998</v>
      </c>
      <c r="W2284" s="8">
        <v>1.002</v>
      </c>
      <c r="X2284" s="8">
        <v>1.0009999999999999</v>
      </c>
      <c r="Y2284" s="8">
        <v>0.73199999999999998</v>
      </c>
      <c r="Z2284" s="8">
        <v>9.1999999999999998E-2</v>
      </c>
      <c r="AA2284" s="8">
        <v>1.4999999999999999E-2</v>
      </c>
      <c r="AB2284" s="8">
        <v>2E-3</v>
      </c>
      <c r="AC2284" s="8">
        <v>0</v>
      </c>
    </row>
    <row r="2285" spans="1:29" ht="11.65" x14ac:dyDescent="0.35">
      <c r="A2285" s="12">
        <v>2268</v>
      </c>
      <c r="B2285" s="10" t="s">
        <v>1015</v>
      </c>
      <c r="C2285" s="11" t="s">
        <v>1175</v>
      </c>
      <c r="D2285" s="9"/>
      <c r="E2285" s="9">
        <v>52</v>
      </c>
      <c r="F2285" s="10" t="s">
        <v>1066</v>
      </c>
      <c r="G2285" s="9">
        <v>915</v>
      </c>
      <c r="H2285" s="9">
        <v>1960</v>
      </c>
      <c r="I2285" s="8">
        <v>15.894</v>
      </c>
      <c r="J2285" s="8">
        <v>14.034000000000001</v>
      </c>
      <c r="K2285" s="8">
        <v>12.811</v>
      </c>
      <c r="L2285" s="8">
        <v>9.2629999999999999</v>
      </c>
      <c r="M2285" s="8">
        <v>6.899</v>
      </c>
      <c r="N2285" s="8">
        <v>5.7009999999999996</v>
      </c>
      <c r="O2285" s="8">
        <v>5.5979999999999999</v>
      </c>
      <c r="P2285" s="8">
        <v>5.2</v>
      </c>
      <c r="Q2285" s="8">
        <v>5.601</v>
      </c>
      <c r="R2285" s="8">
        <v>5.3010000000000002</v>
      </c>
      <c r="S2285" s="8">
        <v>5.1989999999999998</v>
      </c>
      <c r="T2285" s="8">
        <v>4.4989999999999997</v>
      </c>
      <c r="U2285" s="8">
        <v>2.9</v>
      </c>
      <c r="V2285" s="8">
        <v>1.798</v>
      </c>
      <c r="W2285" s="8">
        <v>1.2010000000000001</v>
      </c>
      <c r="X2285" s="8">
        <v>0.86499999999999999</v>
      </c>
      <c r="Y2285" s="8">
        <v>0.39400000000000002</v>
      </c>
      <c r="Z2285" s="8">
        <v>0.218</v>
      </c>
      <c r="AA2285" s="8">
        <v>1.4E-2</v>
      </c>
      <c r="AB2285" s="8">
        <v>2E-3</v>
      </c>
      <c r="AC2285" s="8">
        <v>0</v>
      </c>
    </row>
    <row r="2286" spans="1:29" ht="11.65" x14ac:dyDescent="0.35">
      <c r="A2286" s="12">
        <v>2269</v>
      </c>
      <c r="B2286" s="10" t="s">
        <v>1015</v>
      </c>
      <c r="C2286" s="11" t="s">
        <v>1175</v>
      </c>
      <c r="D2286" s="9"/>
      <c r="E2286" s="9">
        <v>52</v>
      </c>
      <c r="F2286" s="10" t="s">
        <v>1066</v>
      </c>
      <c r="G2286" s="9">
        <v>915</v>
      </c>
      <c r="H2286" s="9">
        <v>1965</v>
      </c>
      <c r="I2286" s="8">
        <v>16.317</v>
      </c>
      <c r="J2286" s="8">
        <v>15.477</v>
      </c>
      <c r="K2286" s="8">
        <v>13.675000000000001</v>
      </c>
      <c r="L2286" s="8">
        <v>11.91</v>
      </c>
      <c r="M2286" s="8">
        <v>6.782</v>
      </c>
      <c r="N2286" s="8">
        <v>5.516</v>
      </c>
      <c r="O2286" s="8">
        <v>4.8029999999999999</v>
      </c>
      <c r="P2286" s="8">
        <v>4.9930000000000003</v>
      </c>
      <c r="Q2286" s="8">
        <v>4.6710000000000003</v>
      </c>
      <c r="R2286" s="8">
        <v>5.1340000000000003</v>
      </c>
      <c r="S2286" s="8">
        <v>4.9589999999999996</v>
      </c>
      <c r="T2286" s="8">
        <v>4.7290000000000001</v>
      </c>
      <c r="U2286" s="8">
        <v>3.9769999999999999</v>
      </c>
      <c r="V2286" s="8">
        <v>2.4460000000000002</v>
      </c>
      <c r="W2286" s="8">
        <v>1.373</v>
      </c>
      <c r="X2286" s="8">
        <v>0.82</v>
      </c>
      <c r="Y2286" s="8">
        <v>0.442</v>
      </c>
      <c r="Z2286" s="8">
        <v>0.128</v>
      </c>
      <c r="AA2286" s="8">
        <v>4.1000000000000002E-2</v>
      </c>
      <c r="AB2286" s="8">
        <v>0</v>
      </c>
      <c r="AC2286" s="8">
        <v>0</v>
      </c>
    </row>
    <row r="2287" spans="1:29" ht="11.65" x14ac:dyDescent="0.35">
      <c r="A2287" s="12">
        <v>2270</v>
      </c>
      <c r="B2287" s="10" t="s">
        <v>1015</v>
      </c>
      <c r="C2287" s="11" t="s">
        <v>1175</v>
      </c>
      <c r="D2287" s="9"/>
      <c r="E2287" s="9">
        <v>52</v>
      </c>
      <c r="F2287" s="10" t="s">
        <v>1066</v>
      </c>
      <c r="G2287" s="9">
        <v>915</v>
      </c>
      <c r="H2287" s="9">
        <v>1970</v>
      </c>
      <c r="I2287" s="8">
        <v>13.288</v>
      </c>
      <c r="J2287" s="8">
        <v>16.004999999999999</v>
      </c>
      <c r="K2287" s="8">
        <v>15.221</v>
      </c>
      <c r="L2287" s="8">
        <v>13.031000000000001</v>
      </c>
      <c r="M2287" s="8">
        <v>10.036</v>
      </c>
      <c r="N2287" s="8">
        <v>5.7729999999999997</v>
      </c>
      <c r="O2287" s="8">
        <v>4.8789999999999996</v>
      </c>
      <c r="P2287" s="8">
        <v>4.359</v>
      </c>
      <c r="Q2287" s="8">
        <v>4.6059999999999999</v>
      </c>
      <c r="R2287" s="8">
        <v>4.3650000000000002</v>
      </c>
      <c r="S2287" s="8">
        <v>4.859</v>
      </c>
      <c r="T2287" s="8">
        <v>4.5330000000000004</v>
      </c>
      <c r="U2287" s="8">
        <v>4.2610000000000001</v>
      </c>
      <c r="V2287" s="8">
        <v>3.4550000000000001</v>
      </c>
      <c r="W2287" s="8">
        <v>1.9630000000000001</v>
      </c>
      <c r="X2287" s="8">
        <v>0.94099999999999995</v>
      </c>
      <c r="Y2287" s="8">
        <v>0.45200000000000001</v>
      </c>
      <c r="Z2287" s="8">
        <v>0.158</v>
      </c>
      <c r="AA2287" s="8">
        <v>2.8000000000000001E-2</v>
      </c>
      <c r="AB2287" s="8">
        <v>5.0000000000000001E-3</v>
      </c>
      <c r="AC2287" s="8">
        <v>0</v>
      </c>
    </row>
    <row r="2288" spans="1:29" ht="11.65" x14ac:dyDescent="0.35">
      <c r="A2288" s="12">
        <v>2271</v>
      </c>
      <c r="B2288" s="10" t="s">
        <v>1015</v>
      </c>
      <c r="C2288" s="11" t="s">
        <v>1175</v>
      </c>
      <c r="D2288" s="9"/>
      <c r="E2288" s="9">
        <v>52</v>
      </c>
      <c r="F2288" s="10" t="s">
        <v>1066</v>
      </c>
      <c r="G2288" s="9">
        <v>915</v>
      </c>
      <c r="H2288" s="9">
        <v>1975</v>
      </c>
      <c r="I2288" s="8">
        <v>11.217000000000001</v>
      </c>
      <c r="J2288" s="8">
        <v>12.263999999999999</v>
      </c>
      <c r="K2288" s="8">
        <v>16.161000000000001</v>
      </c>
      <c r="L2288" s="8">
        <v>13.297000000000001</v>
      </c>
      <c r="M2288" s="8">
        <v>12.083</v>
      </c>
      <c r="N2288" s="8">
        <v>8.2929999999999993</v>
      </c>
      <c r="O2288" s="8">
        <v>5.7910000000000004</v>
      </c>
      <c r="P2288" s="8">
        <v>5.4210000000000003</v>
      </c>
      <c r="Q2288" s="8">
        <v>4.09</v>
      </c>
      <c r="R2288" s="8">
        <v>5.4180000000000001</v>
      </c>
      <c r="S2288" s="8">
        <v>3.8919999999999999</v>
      </c>
      <c r="T2288" s="8">
        <v>5.0060000000000002</v>
      </c>
      <c r="U2288" s="8">
        <v>4.609</v>
      </c>
      <c r="V2288" s="8">
        <v>4.8070000000000004</v>
      </c>
      <c r="W2288" s="8">
        <v>3.1989999999999998</v>
      </c>
      <c r="X2288" s="8">
        <v>1.0720000000000001</v>
      </c>
      <c r="Y2288" s="8">
        <v>0.77100000000000002</v>
      </c>
      <c r="Z2288" s="8">
        <v>0.182</v>
      </c>
      <c r="AA2288" s="8">
        <v>4.2000000000000003E-2</v>
      </c>
      <c r="AB2288" s="8">
        <v>4.0000000000000001E-3</v>
      </c>
      <c r="AC2288" s="8">
        <v>0</v>
      </c>
    </row>
    <row r="2289" spans="1:29" ht="11.65" x14ac:dyDescent="0.35">
      <c r="A2289" s="12">
        <v>2272</v>
      </c>
      <c r="B2289" s="10" t="s">
        <v>1015</v>
      </c>
      <c r="C2289" s="11" t="s">
        <v>1175</v>
      </c>
      <c r="D2289" s="9"/>
      <c r="E2289" s="9">
        <v>52</v>
      </c>
      <c r="F2289" s="10" t="s">
        <v>1066</v>
      </c>
      <c r="G2289" s="9">
        <v>915</v>
      </c>
      <c r="H2289" s="9">
        <v>1980</v>
      </c>
      <c r="I2289" s="8">
        <v>11.144</v>
      </c>
      <c r="J2289" s="8">
        <v>13.246</v>
      </c>
      <c r="K2289" s="8">
        <v>13.436</v>
      </c>
      <c r="L2289" s="8">
        <v>14.178000000000001</v>
      </c>
      <c r="M2289" s="8">
        <v>12.864000000000001</v>
      </c>
      <c r="N2289" s="8">
        <v>10.398999999999999</v>
      </c>
      <c r="O2289" s="8">
        <v>8.0340000000000007</v>
      </c>
      <c r="P2289" s="8">
        <v>5.1859999999999999</v>
      </c>
      <c r="Q2289" s="8">
        <v>4.5460000000000003</v>
      </c>
      <c r="R2289" s="8">
        <v>4.0119999999999996</v>
      </c>
      <c r="S2289" s="8">
        <v>4.22</v>
      </c>
      <c r="T2289" s="8">
        <v>3.8050000000000002</v>
      </c>
      <c r="U2289" s="8">
        <v>3.9609999999999999</v>
      </c>
      <c r="V2289" s="8">
        <v>3.9620000000000002</v>
      </c>
      <c r="W2289" s="8">
        <v>3.294</v>
      </c>
      <c r="X2289" s="8">
        <v>2.161</v>
      </c>
      <c r="Y2289" s="8">
        <v>0.83599999999999997</v>
      </c>
      <c r="Z2289" s="8">
        <v>0.35499999999999998</v>
      </c>
      <c r="AA2289" s="8">
        <v>5.8000000000000003E-2</v>
      </c>
      <c r="AB2289" s="8">
        <v>8.0000000000000002E-3</v>
      </c>
      <c r="AC2289" s="8">
        <v>0</v>
      </c>
    </row>
    <row r="2290" spans="1:29" ht="11.65" x14ac:dyDescent="0.35">
      <c r="A2290" s="12">
        <v>2273</v>
      </c>
      <c r="B2290" s="10" t="s">
        <v>1015</v>
      </c>
      <c r="C2290" s="11" t="s">
        <v>1175</v>
      </c>
      <c r="D2290" s="9"/>
      <c r="E2290" s="9">
        <v>52</v>
      </c>
      <c r="F2290" s="10" t="s">
        <v>1066</v>
      </c>
      <c r="G2290" s="9">
        <v>915</v>
      </c>
      <c r="H2290" s="9">
        <v>1985</v>
      </c>
      <c r="I2290" s="8">
        <v>10.706</v>
      </c>
      <c r="J2290" s="8">
        <v>10.968999999999999</v>
      </c>
      <c r="K2290" s="8">
        <v>12.994999999999999</v>
      </c>
      <c r="L2290" s="8">
        <v>13.01</v>
      </c>
      <c r="M2290" s="8">
        <v>13.673999999999999</v>
      </c>
      <c r="N2290" s="8">
        <v>12.362</v>
      </c>
      <c r="O2290" s="8">
        <v>9.9580000000000002</v>
      </c>
      <c r="P2290" s="8">
        <v>7.702</v>
      </c>
      <c r="Q2290" s="8">
        <v>4.9370000000000003</v>
      </c>
      <c r="R2290" s="8">
        <v>4.3419999999999996</v>
      </c>
      <c r="S2290" s="8">
        <v>3.79</v>
      </c>
      <c r="T2290" s="8">
        <v>3.9279999999999999</v>
      </c>
      <c r="U2290" s="8">
        <v>3.4340000000000002</v>
      </c>
      <c r="V2290" s="8">
        <v>3.3959999999999999</v>
      </c>
      <c r="W2290" s="8">
        <v>3.1560000000000001</v>
      </c>
      <c r="X2290" s="8">
        <v>2.3220000000000001</v>
      </c>
      <c r="Y2290" s="8">
        <v>1.163</v>
      </c>
      <c r="Z2290" s="8">
        <v>0.39800000000000002</v>
      </c>
      <c r="AA2290" s="8">
        <v>0.115</v>
      </c>
      <c r="AB2290" s="8">
        <v>1.0999999999999999E-2</v>
      </c>
      <c r="AC2290" s="8">
        <v>1E-3</v>
      </c>
    </row>
    <row r="2291" spans="1:29" ht="11.65" x14ac:dyDescent="0.35">
      <c r="A2291" s="12">
        <v>2274</v>
      </c>
      <c r="B2291" s="10" t="s">
        <v>1015</v>
      </c>
      <c r="C2291" s="11" t="s">
        <v>1175</v>
      </c>
      <c r="D2291" s="9"/>
      <c r="E2291" s="9">
        <v>52</v>
      </c>
      <c r="F2291" s="10" t="s">
        <v>1066</v>
      </c>
      <c r="G2291" s="9">
        <v>915</v>
      </c>
      <c r="H2291" s="9">
        <v>1990</v>
      </c>
      <c r="I2291" s="8">
        <v>10.413</v>
      </c>
      <c r="J2291" s="8">
        <v>10.62</v>
      </c>
      <c r="K2291" s="8">
        <v>10.782999999999999</v>
      </c>
      <c r="L2291" s="8">
        <v>12.747999999999999</v>
      </c>
      <c r="M2291" s="8">
        <v>12.585000000000001</v>
      </c>
      <c r="N2291" s="8">
        <v>13.172000000000001</v>
      </c>
      <c r="O2291" s="8">
        <v>11.86</v>
      </c>
      <c r="P2291" s="8">
        <v>9.516</v>
      </c>
      <c r="Q2291" s="8">
        <v>7.3710000000000004</v>
      </c>
      <c r="R2291" s="8">
        <v>4.6870000000000003</v>
      </c>
      <c r="S2291" s="8">
        <v>4.1319999999999997</v>
      </c>
      <c r="T2291" s="8">
        <v>3.573</v>
      </c>
      <c r="U2291" s="8">
        <v>3.6360000000000001</v>
      </c>
      <c r="V2291" s="8">
        <v>3.06</v>
      </c>
      <c r="W2291" s="8">
        <v>2.831</v>
      </c>
      <c r="X2291" s="8">
        <v>2.351</v>
      </c>
      <c r="Y2291" s="8">
        <v>1.4079999999999999</v>
      </c>
      <c r="Z2291" s="8">
        <v>0.61299999999999999</v>
      </c>
      <c r="AA2291" s="8">
        <v>0.14899999999999999</v>
      </c>
      <c r="AB2291" s="8">
        <v>2.9000000000000001E-2</v>
      </c>
      <c r="AC2291" s="8">
        <v>2E-3</v>
      </c>
    </row>
    <row r="2292" spans="1:29" ht="11.65" x14ac:dyDescent="0.35">
      <c r="A2292" s="12">
        <v>2275</v>
      </c>
      <c r="B2292" s="10" t="s">
        <v>1015</v>
      </c>
      <c r="C2292" s="11" t="s">
        <v>1175</v>
      </c>
      <c r="D2292" s="9"/>
      <c r="E2292" s="9">
        <v>52</v>
      </c>
      <c r="F2292" s="10" t="s">
        <v>1066</v>
      </c>
      <c r="G2292" s="9">
        <v>915</v>
      </c>
      <c r="H2292" s="9">
        <v>1995</v>
      </c>
      <c r="I2292" s="8">
        <v>9.9670000000000005</v>
      </c>
      <c r="J2292" s="8">
        <v>10.32</v>
      </c>
      <c r="K2292" s="8">
        <v>10.422000000000001</v>
      </c>
      <c r="L2292" s="8">
        <v>10.294</v>
      </c>
      <c r="M2292" s="8">
        <v>11.666</v>
      </c>
      <c r="N2292" s="8">
        <v>11.488</v>
      </c>
      <c r="O2292" s="8">
        <v>12.057</v>
      </c>
      <c r="P2292" s="8">
        <v>11.069000000000001</v>
      </c>
      <c r="Q2292" s="8">
        <v>9.077</v>
      </c>
      <c r="R2292" s="8">
        <v>7.3040000000000003</v>
      </c>
      <c r="S2292" s="8">
        <v>4.6909999999999998</v>
      </c>
      <c r="T2292" s="8">
        <v>4.2030000000000003</v>
      </c>
      <c r="U2292" s="8">
        <v>3.7509999999999999</v>
      </c>
      <c r="V2292" s="8">
        <v>3.5470000000000002</v>
      </c>
      <c r="W2292" s="8">
        <v>2.774</v>
      </c>
      <c r="X2292" s="8">
        <v>2.3220000000000001</v>
      </c>
      <c r="Y2292" s="8">
        <v>1.825</v>
      </c>
      <c r="Z2292" s="8">
        <v>0.84299999999999997</v>
      </c>
      <c r="AA2292" s="8">
        <v>0.28100000000000003</v>
      </c>
      <c r="AB2292" s="8">
        <v>4.9000000000000002E-2</v>
      </c>
      <c r="AC2292" s="8">
        <v>6.0000000000000001E-3</v>
      </c>
    </row>
    <row r="2293" spans="1:29" ht="11.65" x14ac:dyDescent="0.35">
      <c r="A2293" s="12">
        <v>2276</v>
      </c>
      <c r="B2293" s="10" t="s">
        <v>1015</v>
      </c>
      <c r="C2293" s="11" t="s">
        <v>1175</v>
      </c>
      <c r="D2293" s="9"/>
      <c r="E2293" s="9">
        <v>52</v>
      </c>
      <c r="F2293" s="10" t="s">
        <v>1066</v>
      </c>
      <c r="G2293" s="9">
        <v>915</v>
      </c>
      <c r="H2293" s="9">
        <v>2000</v>
      </c>
      <c r="I2293" s="8">
        <v>9.51</v>
      </c>
      <c r="J2293" s="8">
        <v>10.285</v>
      </c>
      <c r="K2293" s="8">
        <v>10.218</v>
      </c>
      <c r="L2293" s="8">
        <v>10.228999999999999</v>
      </c>
      <c r="M2293" s="8">
        <v>9.8059999999999992</v>
      </c>
      <c r="N2293" s="8">
        <v>10.582000000000001</v>
      </c>
      <c r="O2293" s="8">
        <v>10.388999999999999</v>
      </c>
      <c r="P2293" s="8">
        <v>10.941000000000001</v>
      </c>
      <c r="Q2293" s="8">
        <v>10.278</v>
      </c>
      <c r="R2293" s="8">
        <v>8.6340000000000003</v>
      </c>
      <c r="S2293" s="8">
        <v>7.1529999999999996</v>
      </c>
      <c r="T2293" s="8">
        <v>4.6909999999999998</v>
      </c>
      <c r="U2293" s="8">
        <v>4.274</v>
      </c>
      <c r="V2293" s="8">
        <v>3.9289999999999998</v>
      </c>
      <c r="W2293" s="8">
        <v>3.4540000000000002</v>
      </c>
      <c r="X2293" s="8">
        <v>2.492</v>
      </c>
      <c r="Y2293" s="8">
        <v>1.835</v>
      </c>
      <c r="Z2293" s="8">
        <v>1.1919999999999999</v>
      </c>
      <c r="AA2293" s="8">
        <v>0.438</v>
      </c>
      <c r="AB2293" s="8">
        <v>0.108</v>
      </c>
      <c r="AC2293" s="8">
        <v>1.4E-2</v>
      </c>
    </row>
    <row r="2294" spans="1:29" ht="11.65" x14ac:dyDescent="0.35">
      <c r="A2294" s="12">
        <v>2277</v>
      </c>
      <c r="B2294" s="10" t="s">
        <v>1015</v>
      </c>
      <c r="C2294" s="11" t="s">
        <v>1175</v>
      </c>
      <c r="D2294" s="9"/>
      <c r="E2294" s="9">
        <v>52</v>
      </c>
      <c r="F2294" s="10" t="s">
        <v>1066</v>
      </c>
      <c r="G2294" s="9">
        <v>915</v>
      </c>
      <c r="H2294" s="9">
        <v>2005</v>
      </c>
      <c r="I2294" s="8">
        <v>9.2539999999999996</v>
      </c>
      <c r="J2294" s="8">
        <v>9.6389999999999993</v>
      </c>
      <c r="K2294" s="8">
        <v>9.9280000000000008</v>
      </c>
      <c r="L2294" s="8">
        <v>9.6959999999999997</v>
      </c>
      <c r="M2294" s="8">
        <v>9.8279999999999994</v>
      </c>
      <c r="N2294" s="8">
        <v>9.6020000000000003</v>
      </c>
      <c r="O2294" s="8">
        <v>10.295</v>
      </c>
      <c r="P2294" s="8">
        <v>10.087999999999999</v>
      </c>
      <c r="Q2294" s="8">
        <v>10.53</v>
      </c>
      <c r="R2294" s="8">
        <v>9.8680000000000003</v>
      </c>
      <c r="S2294" s="8">
        <v>8.2780000000000005</v>
      </c>
      <c r="T2294" s="8">
        <v>6.7969999999999997</v>
      </c>
      <c r="U2294" s="8">
        <v>4.6020000000000003</v>
      </c>
      <c r="V2294" s="8">
        <v>4.0490000000000004</v>
      </c>
      <c r="W2294" s="8">
        <v>3.403</v>
      </c>
      <c r="X2294" s="8">
        <v>2.726</v>
      </c>
      <c r="Y2294" s="8">
        <v>1.9630000000000001</v>
      </c>
      <c r="Z2294" s="8">
        <v>1.238</v>
      </c>
      <c r="AA2294" s="8">
        <v>0.64800000000000002</v>
      </c>
      <c r="AB2294" s="8">
        <v>0.18099999999999999</v>
      </c>
      <c r="AC2294" s="8">
        <v>3.3000000000000002E-2</v>
      </c>
    </row>
    <row r="2295" spans="1:29" ht="11.65" x14ac:dyDescent="0.35">
      <c r="A2295" s="12">
        <v>2278</v>
      </c>
      <c r="B2295" s="10" t="s">
        <v>1015</v>
      </c>
      <c r="C2295" s="11" t="s">
        <v>1175</v>
      </c>
      <c r="D2295" s="9"/>
      <c r="E2295" s="9">
        <v>52</v>
      </c>
      <c r="F2295" s="10" t="s">
        <v>1066</v>
      </c>
      <c r="G2295" s="9">
        <v>915</v>
      </c>
      <c r="H2295" s="9">
        <v>2010</v>
      </c>
      <c r="I2295" s="8">
        <v>8.9640000000000004</v>
      </c>
      <c r="J2295" s="8">
        <v>9.81</v>
      </c>
      <c r="K2295" s="8">
        <v>9.6660000000000004</v>
      </c>
      <c r="L2295" s="8">
        <v>9.5749999999999993</v>
      </c>
      <c r="M2295" s="8">
        <v>9.1709999999999994</v>
      </c>
      <c r="N2295" s="8">
        <v>9.4290000000000003</v>
      </c>
      <c r="O2295" s="8">
        <v>9.3979999999999997</v>
      </c>
      <c r="P2295" s="8">
        <v>10.007</v>
      </c>
      <c r="Q2295" s="8">
        <v>9.7889999999999997</v>
      </c>
      <c r="R2295" s="8">
        <v>10.118</v>
      </c>
      <c r="S2295" s="8">
        <v>9.4589999999999996</v>
      </c>
      <c r="T2295" s="8">
        <v>7.9029999999999996</v>
      </c>
      <c r="U2295" s="8">
        <v>6.4359999999999999</v>
      </c>
      <c r="V2295" s="8">
        <v>4.516</v>
      </c>
      <c r="W2295" s="8">
        <v>3.8239999999999998</v>
      </c>
      <c r="X2295" s="8">
        <v>2.8809999999999998</v>
      </c>
      <c r="Y2295" s="8">
        <v>2.1320000000000001</v>
      </c>
      <c r="Z2295" s="8">
        <v>1.32</v>
      </c>
      <c r="AA2295" s="8">
        <v>0.66600000000000004</v>
      </c>
      <c r="AB2295" s="8">
        <v>0.26400000000000001</v>
      </c>
      <c r="AC2295" s="8">
        <v>5.8000000000000003E-2</v>
      </c>
    </row>
    <row r="2296" spans="1:29" ht="11.65" x14ac:dyDescent="0.35">
      <c r="A2296" s="12">
        <v>2279</v>
      </c>
      <c r="B2296" s="10" t="s">
        <v>1015</v>
      </c>
      <c r="C2296" s="11" t="s">
        <v>1175</v>
      </c>
      <c r="D2296" s="9"/>
      <c r="E2296" s="9">
        <v>52</v>
      </c>
      <c r="F2296" s="10" t="s">
        <v>1066</v>
      </c>
      <c r="G2296" s="9">
        <v>915</v>
      </c>
      <c r="H2296" s="9">
        <v>2015</v>
      </c>
      <c r="I2296" s="8">
        <v>7.8959999999999999</v>
      </c>
      <c r="J2296" s="8">
        <v>8.9380000000000006</v>
      </c>
      <c r="K2296" s="8">
        <v>9.7919999999999998</v>
      </c>
      <c r="L2296" s="8">
        <v>9.6210000000000004</v>
      </c>
      <c r="M2296" s="8">
        <v>9.49</v>
      </c>
      <c r="N2296" s="8">
        <v>9.0879999999999992</v>
      </c>
      <c r="O2296" s="8">
        <v>9.3520000000000003</v>
      </c>
      <c r="P2296" s="8">
        <v>9.3179999999999996</v>
      </c>
      <c r="Q2296" s="8">
        <v>9.9</v>
      </c>
      <c r="R2296" s="8">
        <v>9.6329999999999991</v>
      </c>
      <c r="S2296" s="8">
        <v>9.859</v>
      </c>
      <c r="T2296" s="8">
        <v>9.0549999999999997</v>
      </c>
      <c r="U2296" s="8">
        <v>7.4379999999999997</v>
      </c>
      <c r="V2296" s="8">
        <v>5.9950000000000001</v>
      </c>
      <c r="W2296" s="8">
        <v>4.1219999999999999</v>
      </c>
      <c r="X2296" s="8">
        <v>3.3090000000000002</v>
      </c>
      <c r="Y2296" s="8">
        <v>2.2549999999999999</v>
      </c>
      <c r="Z2296" s="8">
        <v>1.4279999999999999</v>
      </c>
      <c r="AA2296" s="8">
        <v>0.70699999999999996</v>
      </c>
      <c r="AB2296" s="8">
        <v>0.26700000000000002</v>
      </c>
      <c r="AC2296" s="8">
        <v>8.5000000000000006E-2</v>
      </c>
    </row>
    <row r="2297" spans="1:29" ht="11.65" x14ac:dyDescent="0.35">
      <c r="A2297" s="12">
        <v>2280</v>
      </c>
      <c r="B2297" s="10" t="s">
        <v>1015</v>
      </c>
      <c r="C2297" s="11" t="s">
        <v>1175</v>
      </c>
      <c r="D2297" s="9"/>
      <c r="E2297" s="9">
        <v>52</v>
      </c>
      <c r="F2297" s="10" t="s">
        <v>1066</v>
      </c>
      <c r="G2297" s="9">
        <v>915</v>
      </c>
      <c r="H2297" s="9">
        <v>2020</v>
      </c>
      <c r="I2297" s="8">
        <v>7.6859999999999999</v>
      </c>
      <c r="J2297" s="8">
        <v>7.875</v>
      </c>
      <c r="K2297" s="8">
        <v>8.923</v>
      </c>
      <c r="L2297" s="8">
        <v>9.7469999999999999</v>
      </c>
      <c r="M2297" s="8">
        <v>9.5389999999999997</v>
      </c>
      <c r="N2297" s="8">
        <v>9.407</v>
      </c>
      <c r="O2297" s="8">
        <v>9.0150000000000006</v>
      </c>
      <c r="P2297" s="8">
        <v>9.2739999999999991</v>
      </c>
      <c r="Q2297" s="8">
        <v>9.2200000000000006</v>
      </c>
      <c r="R2297" s="8">
        <v>9.7479999999999993</v>
      </c>
      <c r="S2297" s="8">
        <v>9.3940000000000001</v>
      </c>
      <c r="T2297" s="8">
        <v>9.4529999999999994</v>
      </c>
      <c r="U2297" s="8">
        <v>8.5399999999999991</v>
      </c>
      <c r="V2297" s="8">
        <v>6.94</v>
      </c>
      <c r="W2297" s="8">
        <v>5.4820000000000002</v>
      </c>
      <c r="X2297" s="8">
        <v>3.5760000000000001</v>
      </c>
      <c r="Y2297" s="8">
        <v>2.601</v>
      </c>
      <c r="Z2297" s="8">
        <v>1.518</v>
      </c>
      <c r="AA2297" s="8">
        <v>0.76900000000000002</v>
      </c>
      <c r="AB2297" s="8">
        <v>0.28399999999999997</v>
      </c>
      <c r="AC2297" s="8">
        <v>9.2999999999999999E-2</v>
      </c>
    </row>
    <row r="2298" spans="1:29" ht="11.65" x14ac:dyDescent="0.35">
      <c r="A2298" s="12">
        <v>2281</v>
      </c>
      <c r="B2298" s="10" t="s">
        <v>1015</v>
      </c>
      <c r="C2298" s="11" t="s">
        <v>1176</v>
      </c>
      <c r="D2298" s="9"/>
      <c r="E2298" s="9">
        <v>192</v>
      </c>
      <c r="F2298" s="10" t="s">
        <v>1066</v>
      </c>
      <c r="G2298" s="9">
        <v>915</v>
      </c>
      <c r="H2298" s="9">
        <v>1950</v>
      </c>
      <c r="I2298" s="8">
        <v>397.27699999999999</v>
      </c>
      <c r="J2298" s="8">
        <v>364.70499999999998</v>
      </c>
      <c r="K2298" s="8">
        <v>335.09100000000001</v>
      </c>
      <c r="L2298" s="8">
        <v>287.95400000000001</v>
      </c>
      <c r="M2298" s="8">
        <v>254.60300000000001</v>
      </c>
      <c r="N2298" s="8">
        <v>224.691</v>
      </c>
      <c r="O2298" s="8">
        <v>208.64699999999999</v>
      </c>
      <c r="P2298" s="8">
        <v>198.398</v>
      </c>
      <c r="Q2298" s="8">
        <v>182.934</v>
      </c>
      <c r="R2298" s="8">
        <v>166.33</v>
      </c>
      <c r="S2298" s="8">
        <v>121.508</v>
      </c>
      <c r="T2298" s="8">
        <v>89.269000000000005</v>
      </c>
      <c r="U2298" s="8">
        <v>85.128</v>
      </c>
      <c r="V2298" s="8">
        <v>60.529000000000003</v>
      </c>
      <c r="W2298" s="8">
        <v>39.399000000000001</v>
      </c>
      <c r="X2298" s="8">
        <v>22.823</v>
      </c>
      <c r="Y2298" s="8">
        <v>11.662000000000001</v>
      </c>
      <c r="Z2298" s="8">
        <v>4.625</v>
      </c>
      <c r="AA2298" s="8">
        <v>1.2829999999999999</v>
      </c>
      <c r="AB2298" s="8">
        <v>0.23699999999999999</v>
      </c>
      <c r="AC2298" s="8">
        <v>3.1E-2</v>
      </c>
    </row>
    <row r="2299" spans="1:29" ht="11.65" x14ac:dyDescent="0.35">
      <c r="A2299" s="12">
        <v>2282</v>
      </c>
      <c r="B2299" s="10" t="s">
        <v>1015</v>
      </c>
      <c r="C2299" s="11" t="s">
        <v>1176</v>
      </c>
      <c r="D2299" s="9"/>
      <c r="E2299" s="9">
        <v>192</v>
      </c>
      <c r="F2299" s="10" t="s">
        <v>1066</v>
      </c>
      <c r="G2299" s="9">
        <v>915</v>
      </c>
      <c r="H2299" s="9">
        <v>1955</v>
      </c>
      <c r="I2299" s="8">
        <v>453.01799999999997</v>
      </c>
      <c r="J2299" s="8">
        <v>384.53399999999999</v>
      </c>
      <c r="K2299" s="8">
        <v>360.65300000000002</v>
      </c>
      <c r="L2299" s="8">
        <v>330.28100000000001</v>
      </c>
      <c r="M2299" s="8">
        <v>281.69200000000001</v>
      </c>
      <c r="N2299" s="8">
        <v>247.916</v>
      </c>
      <c r="O2299" s="8">
        <v>218.191</v>
      </c>
      <c r="P2299" s="8">
        <v>201.81399999999999</v>
      </c>
      <c r="Q2299" s="8">
        <v>190.77799999999999</v>
      </c>
      <c r="R2299" s="8">
        <v>174.45699999999999</v>
      </c>
      <c r="S2299" s="8">
        <v>156.75899999999999</v>
      </c>
      <c r="T2299" s="8">
        <v>112.583</v>
      </c>
      <c r="U2299" s="8">
        <v>80.747</v>
      </c>
      <c r="V2299" s="8">
        <v>73.471000000000004</v>
      </c>
      <c r="W2299" s="8">
        <v>47.79</v>
      </c>
      <c r="X2299" s="8">
        <v>25.934999999999999</v>
      </c>
      <c r="Y2299" s="8">
        <v>11.411</v>
      </c>
      <c r="Z2299" s="8">
        <v>4.4909999999999997</v>
      </c>
      <c r="AA2299" s="8">
        <v>1.26</v>
      </c>
      <c r="AB2299" s="8">
        <v>0.24</v>
      </c>
      <c r="AC2299" s="8">
        <v>3.3000000000000002E-2</v>
      </c>
    </row>
    <row r="2300" spans="1:29" ht="11.65" x14ac:dyDescent="0.35">
      <c r="A2300" s="12">
        <v>2283</v>
      </c>
      <c r="B2300" s="10" t="s">
        <v>1015</v>
      </c>
      <c r="C2300" s="11" t="s">
        <v>1176</v>
      </c>
      <c r="D2300" s="9"/>
      <c r="E2300" s="9">
        <v>192</v>
      </c>
      <c r="F2300" s="10" t="s">
        <v>1066</v>
      </c>
      <c r="G2300" s="9">
        <v>915</v>
      </c>
      <c r="H2300" s="9">
        <v>1960</v>
      </c>
      <c r="I2300" s="8">
        <v>452.87900000000002</v>
      </c>
      <c r="J2300" s="8">
        <v>441.23</v>
      </c>
      <c r="K2300" s="8">
        <v>380.12599999999998</v>
      </c>
      <c r="L2300" s="8">
        <v>354.65</v>
      </c>
      <c r="M2300" s="8">
        <v>322.53100000000001</v>
      </c>
      <c r="N2300" s="8">
        <v>273.85599999999999</v>
      </c>
      <c r="O2300" s="8">
        <v>240.32900000000001</v>
      </c>
      <c r="P2300" s="8">
        <v>210.70099999999999</v>
      </c>
      <c r="Q2300" s="8">
        <v>194.01300000000001</v>
      </c>
      <c r="R2300" s="8">
        <v>182.25800000000001</v>
      </c>
      <c r="S2300" s="8">
        <v>165.02500000000001</v>
      </c>
      <c r="T2300" s="8">
        <v>146.32599999999999</v>
      </c>
      <c r="U2300" s="8">
        <v>102.905</v>
      </c>
      <c r="V2300" s="8">
        <v>70.513000000000005</v>
      </c>
      <c r="W2300" s="8">
        <v>58.968000000000004</v>
      </c>
      <c r="X2300" s="8">
        <v>32.527999999999999</v>
      </c>
      <c r="Y2300" s="8">
        <v>13.619</v>
      </c>
      <c r="Z2300" s="8">
        <v>4.4870000000000001</v>
      </c>
      <c r="AA2300" s="8">
        <v>1.23</v>
      </c>
      <c r="AB2300" s="8">
        <v>0.23300000000000001</v>
      </c>
      <c r="AC2300" s="8">
        <v>3.3000000000000002E-2</v>
      </c>
    </row>
    <row r="2301" spans="1:29" ht="11.65" x14ac:dyDescent="0.35">
      <c r="A2301" s="12">
        <v>2284</v>
      </c>
      <c r="B2301" s="10" t="s">
        <v>1015</v>
      </c>
      <c r="C2301" s="11" t="s">
        <v>1176</v>
      </c>
      <c r="D2301" s="9"/>
      <c r="E2301" s="9">
        <v>192</v>
      </c>
      <c r="F2301" s="10" t="s">
        <v>1066</v>
      </c>
      <c r="G2301" s="9">
        <v>915</v>
      </c>
      <c r="H2301" s="9">
        <v>1965</v>
      </c>
      <c r="I2301" s="8">
        <v>630.41999999999996</v>
      </c>
      <c r="J2301" s="8">
        <v>436.76499999999999</v>
      </c>
      <c r="K2301" s="8">
        <v>427.69299999999998</v>
      </c>
      <c r="L2301" s="8">
        <v>372.61599999999999</v>
      </c>
      <c r="M2301" s="8">
        <v>347.45699999999999</v>
      </c>
      <c r="N2301" s="8">
        <v>300.56400000000002</v>
      </c>
      <c r="O2301" s="8">
        <v>253.63</v>
      </c>
      <c r="P2301" s="8">
        <v>221.96899999999999</v>
      </c>
      <c r="Q2301" s="8">
        <v>197.44</v>
      </c>
      <c r="R2301" s="8">
        <v>185.36799999999999</v>
      </c>
      <c r="S2301" s="8">
        <v>172.685</v>
      </c>
      <c r="T2301" s="8">
        <v>154.202</v>
      </c>
      <c r="U2301" s="8">
        <v>135.06700000000001</v>
      </c>
      <c r="V2301" s="8">
        <v>90.858000000000004</v>
      </c>
      <c r="W2301" s="8">
        <v>57.47</v>
      </c>
      <c r="X2301" s="8">
        <v>41.396999999999998</v>
      </c>
      <c r="Y2301" s="8">
        <v>17.858000000000001</v>
      </c>
      <c r="Z2301" s="8">
        <v>5.4729999999999999</v>
      </c>
      <c r="AA2301" s="8">
        <v>1.238</v>
      </c>
      <c r="AB2301" s="8">
        <v>0.224</v>
      </c>
      <c r="AC2301" s="8">
        <v>3.1E-2</v>
      </c>
    </row>
    <row r="2302" spans="1:29" ht="11.65" x14ac:dyDescent="0.35">
      <c r="A2302" s="12">
        <v>2285</v>
      </c>
      <c r="B2302" s="10" t="s">
        <v>1015</v>
      </c>
      <c r="C2302" s="11" t="s">
        <v>1176</v>
      </c>
      <c r="D2302" s="9"/>
      <c r="E2302" s="9">
        <v>192</v>
      </c>
      <c r="F2302" s="10" t="s">
        <v>1066</v>
      </c>
      <c r="G2302" s="9">
        <v>915</v>
      </c>
      <c r="H2302" s="9">
        <v>1970</v>
      </c>
      <c r="I2302" s="8">
        <v>610.79600000000005</v>
      </c>
      <c r="J2302" s="8">
        <v>603.11300000000006</v>
      </c>
      <c r="K2302" s="8">
        <v>410.16500000000002</v>
      </c>
      <c r="L2302" s="8">
        <v>400.01400000000001</v>
      </c>
      <c r="M2302" s="8">
        <v>358.37700000000001</v>
      </c>
      <c r="N2302" s="8">
        <v>333.57400000000001</v>
      </c>
      <c r="O2302" s="8">
        <v>282.423</v>
      </c>
      <c r="P2302" s="8">
        <v>237.648</v>
      </c>
      <c r="Q2302" s="8">
        <v>215.33500000000001</v>
      </c>
      <c r="R2302" s="8">
        <v>191.86199999999999</v>
      </c>
      <c r="S2302" s="8">
        <v>179.17699999999999</v>
      </c>
      <c r="T2302" s="8">
        <v>164.41800000000001</v>
      </c>
      <c r="U2302" s="8">
        <v>143.71799999999999</v>
      </c>
      <c r="V2302" s="8">
        <v>120.56</v>
      </c>
      <c r="W2302" s="8">
        <v>75.174000000000007</v>
      </c>
      <c r="X2302" s="8">
        <v>41.58</v>
      </c>
      <c r="Y2302" s="8">
        <v>23.710999999999999</v>
      </c>
      <c r="Z2302" s="8">
        <v>7.3369999999999997</v>
      </c>
      <c r="AA2302" s="8">
        <v>1.5229999999999999</v>
      </c>
      <c r="AB2302" s="8">
        <v>0.224</v>
      </c>
      <c r="AC2302" s="8">
        <v>2.9000000000000001E-2</v>
      </c>
    </row>
    <row r="2303" spans="1:29" ht="11.65" x14ac:dyDescent="0.35">
      <c r="A2303" s="12">
        <v>2286</v>
      </c>
      <c r="B2303" s="10" t="s">
        <v>1015</v>
      </c>
      <c r="C2303" s="11" t="s">
        <v>1176</v>
      </c>
      <c r="D2303" s="9"/>
      <c r="E2303" s="9">
        <v>192</v>
      </c>
      <c r="F2303" s="10" t="s">
        <v>1066</v>
      </c>
      <c r="G2303" s="9">
        <v>915</v>
      </c>
      <c r="H2303" s="9">
        <v>1975</v>
      </c>
      <c r="I2303" s="8">
        <v>586.43100000000004</v>
      </c>
      <c r="J2303" s="8">
        <v>601.49099999999999</v>
      </c>
      <c r="K2303" s="8">
        <v>595.39300000000003</v>
      </c>
      <c r="L2303" s="8">
        <v>397.80700000000002</v>
      </c>
      <c r="M2303" s="8">
        <v>385.30599999999998</v>
      </c>
      <c r="N2303" s="8">
        <v>344.101</v>
      </c>
      <c r="O2303" s="8">
        <v>319.74099999999999</v>
      </c>
      <c r="P2303" s="8">
        <v>269.57400000000001</v>
      </c>
      <c r="Q2303" s="8">
        <v>226.006</v>
      </c>
      <c r="R2303" s="8">
        <v>204.29900000000001</v>
      </c>
      <c r="S2303" s="8">
        <v>181.06899999999999</v>
      </c>
      <c r="T2303" s="8">
        <v>168.74600000000001</v>
      </c>
      <c r="U2303" s="8">
        <v>153.75299999999999</v>
      </c>
      <c r="V2303" s="8">
        <v>128.97999999999999</v>
      </c>
      <c r="W2303" s="8">
        <v>101.33799999999999</v>
      </c>
      <c r="X2303" s="8">
        <v>56.634</v>
      </c>
      <c r="Y2303" s="8">
        <v>25.655000000000001</v>
      </c>
      <c r="Z2303" s="8">
        <v>10.743</v>
      </c>
      <c r="AA2303" s="8">
        <v>2.3149999999999999</v>
      </c>
      <c r="AB2303" s="8">
        <v>0.31900000000000001</v>
      </c>
      <c r="AC2303" s="8">
        <v>3.3000000000000002E-2</v>
      </c>
    </row>
    <row r="2304" spans="1:29" ht="11.65" x14ac:dyDescent="0.35">
      <c r="A2304" s="12">
        <v>2287</v>
      </c>
      <c r="B2304" s="10" t="s">
        <v>1015</v>
      </c>
      <c r="C2304" s="11" t="s">
        <v>1176</v>
      </c>
      <c r="D2304" s="9"/>
      <c r="E2304" s="9">
        <v>192</v>
      </c>
      <c r="F2304" s="10" t="s">
        <v>1066</v>
      </c>
      <c r="G2304" s="9">
        <v>915</v>
      </c>
      <c r="H2304" s="9">
        <v>1980</v>
      </c>
      <c r="I2304" s="8">
        <v>415.47199999999998</v>
      </c>
      <c r="J2304" s="8">
        <v>579.00800000000004</v>
      </c>
      <c r="K2304" s="8">
        <v>595.00699999999995</v>
      </c>
      <c r="L2304" s="8">
        <v>584.39700000000005</v>
      </c>
      <c r="M2304" s="8">
        <v>385.53</v>
      </c>
      <c r="N2304" s="8">
        <v>373.11200000000002</v>
      </c>
      <c r="O2304" s="8">
        <v>332.43099999999998</v>
      </c>
      <c r="P2304" s="8">
        <v>308.59399999999999</v>
      </c>
      <c r="Q2304" s="8">
        <v>259.24700000000001</v>
      </c>
      <c r="R2304" s="8">
        <v>216.12</v>
      </c>
      <c r="S2304" s="8">
        <v>194.14400000000001</v>
      </c>
      <c r="T2304" s="8">
        <v>171.03700000000001</v>
      </c>
      <c r="U2304" s="8">
        <v>157.65799999999999</v>
      </c>
      <c r="V2304" s="8">
        <v>138.13800000000001</v>
      </c>
      <c r="W2304" s="8">
        <v>109.66200000000001</v>
      </c>
      <c r="X2304" s="8">
        <v>78.942999999999998</v>
      </c>
      <c r="Y2304" s="8">
        <v>37.691000000000003</v>
      </c>
      <c r="Z2304" s="8">
        <v>13.358000000000001</v>
      </c>
      <c r="AA2304" s="8">
        <v>4.1760000000000002</v>
      </c>
      <c r="AB2304" s="8">
        <v>0.64100000000000001</v>
      </c>
      <c r="AC2304" s="8">
        <v>6.3E-2</v>
      </c>
    </row>
    <row r="2305" spans="1:29" ht="11.65" x14ac:dyDescent="0.35">
      <c r="A2305" s="12">
        <v>2288</v>
      </c>
      <c r="B2305" s="10" t="s">
        <v>1015</v>
      </c>
      <c r="C2305" s="11" t="s">
        <v>1176</v>
      </c>
      <c r="D2305" s="9"/>
      <c r="E2305" s="9">
        <v>192</v>
      </c>
      <c r="F2305" s="10" t="s">
        <v>1066</v>
      </c>
      <c r="G2305" s="9">
        <v>915</v>
      </c>
      <c r="H2305" s="9">
        <v>1985</v>
      </c>
      <c r="I2305" s="8">
        <v>402.56799999999998</v>
      </c>
      <c r="J2305" s="8">
        <v>405.30799999999999</v>
      </c>
      <c r="K2305" s="8">
        <v>569.07899999999995</v>
      </c>
      <c r="L2305" s="8">
        <v>577.18399999999997</v>
      </c>
      <c r="M2305" s="8">
        <v>562.50900000000001</v>
      </c>
      <c r="N2305" s="8">
        <v>365.18400000000003</v>
      </c>
      <c r="O2305" s="8">
        <v>353.73500000000001</v>
      </c>
      <c r="P2305" s="8">
        <v>314.67099999999999</v>
      </c>
      <c r="Q2305" s="8">
        <v>292.428</v>
      </c>
      <c r="R2305" s="8">
        <v>244.441</v>
      </c>
      <c r="S2305" s="8">
        <v>202.334</v>
      </c>
      <c r="T2305" s="8">
        <v>181.881</v>
      </c>
      <c r="U2305" s="8">
        <v>160.22</v>
      </c>
      <c r="V2305" s="8">
        <v>142.5</v>
      </c>
      <c r="W2305" s="8">
        <v>118.408</v>
      </c>
      <c r="X2305" s="8">
        <v>86.391999999999996</v>
      </c>
      <c r="Y2305" s="8">
        <v>53.49</v>
      </c>
      <c r="Z2305" s="8">
        <v>20.12</v>
      </c>
      <c r="AA2305" s="8">
        <v>5.359</v>
      </c>
      <c r="AB2305" s="8">
        <v>1.2</v>
      </c>
      <c r="AC2305" s="8">
        <v>0.13100000000000001</v>
      </c>
    </row>
    <row r="2306" spans="1:29" ht="11.65" x14ac:dyDescent="0.35">
      <c r="A2306" s="12">
        <v>2289</v>
      </c>
      <c r="B2306" s="10" t="s">
        <v>1015</v>
      </c>
      <c r="C2306" s="11" t="s">
        <v>1176</v>
      </c>
      <c r="D2306" s="9"/>
      <c r="E2306" s="9">
        <v>192</v>
      </c>
      <c r="F2306" s="10" t="s">
        <v>1066</v>
      </c>
      <c r="G2306" s="9">
        <v>915</v>
      </c>
      <c r="H2306" s="9">
        <v>1990</v>
      </c>
      <c r="I2306" s="8">
        <v>461.39</v>
      </c>
      <c r="J2306" s="8">
        <v>399.358</v>
      </c>
      <c r="K2306" s="8">
        <v>402.60899999999998</v>
      </c>
      <c r="L2306" s="8">
        <v>563.63900000000001</v>
      </c>
      <c r="M2306" s="8">
        <v>569.73400000000004</v>
      </c>
      <c r="N2306" s="8">
        <v>554.72</v>
      </c>
      <c r="O2306" s="8">
        <v>358.87599999999998</v>
      </c>
      <c r="P2306" s="8">
        <v>347.435</v>
      </c>
      <c r="Q2306" s="8">
        <v>308.22300000000001</v>
      </c>
      <c r="R2306" s="8">
        <v>285.01600000000002</v>
      </c>
      <c r="S2306" s="8">
        <v>236.13499999999999</v>
      </c>
      <c r="T2306" s="8">
        <v>193.13200000000001</v>
      </c>
      <c r="U2306" s="8">
        <v>170.321</v>
      </c>
      <c r="V2306" s="8">
        <v>144.64500000000001</v>
      </c>
      <c r="W2306" s="8">
        <v>121.941</v>
      </c>
      <c r="X2306" s="8">
        <v>93.063000000000002</v>
      </c>
      <c r="Y2306" s="8">
        <v>58.454999999999998</v>
      </c>
      <c r="Z2306" s="8">
        <v>28.655999999999999</v>
      </c>
      <c r="AA2306" s="8">
        <v>8.1479999999999997</v>
      </c>
      <c r="AB2306" s="8">
        <v>1.5649999999999999</v>
      </c>
      <c r="AC2306" s="8">
        <v>0.254</v>
      </c>
    </row>
    <row r="2307" spans="1:29" ht="11.65" x14ac:dyDescent="0.35">
      <c r="A2307" s="12">
        <v>2290</v>
      </c>
      <c r="B2307" s="10" t="s">
        <v>1015</v>
      </c>
      <c r="C2307" s="11" t="s">
        <v>1176</v>
      </c>
      <c r="D2307" s="9"/>
      <c r="E2307" s="9">
        <v>192</v>
      </c>
      <c r="F2307" s="10" t="s">
        <v>1066</v>
      </c>
      <c r="G2307" s="9">
        <v>915</v>
      </c>
      <c r="H2307" s="9">
        <v>1995</v>
      </c>
      <c r="I2307" s="8">
        <v>401.46899999999999</v>
      </c>
      <c r="J2307" s="8">
        <v>455.86799999999999</v>
      </c>
      <c r="K2307" s="8">
        <v>389.35599999999999</v>
      </c>
      <c r="L2307" s="8">
        <v>392.13799999999998</v>
      </c>
      <c r="M2307" s="8">
        <v>550.67600000000004</v>
      </c>
      <c r="N2307" s="8">
        <v>556.476</v>
      </c>
      <c r="O2307" s="8">
        <v>543.346</v>
      </c>
      <c r="P2307" s="8">
        <v>351.87400000000002</v>
      </c>
      <c r="Q2307" s="8">
        <v>341.31799999999998</v>
      </c>
      <c r="R2307" s="8">
        <v>301.20100000000002</v>
      </c>
      <c r="S2307" s="8">
        <v>276.25599999999997</v>
      </c>
      <c r="T2307" s="8">
        <v>225.803</v>
      </c>
      <c r="U2307" s="8">
        <v>180.46899999999999</v>
      </c>
      <c r="V2307" s="8">
        <v>153.41499999999999</v>
      </c>
      <c r="W2307" s="8">
        <v>123.5</v>
      </c>
      <c r="X2307" s="8">
        <v>95.611000000000004</v>
      </c>
      <c r="Y2307" s="8">
        <v>62.847999999999999</v>
      </c>
      <c r="Z2307" s="8">
        <v>31.376000000000001</v>
      </c>
      <c r="AA2307" s="8">
        <v>11.68</v>
      </c>
      <c r="AB2307" s="8">
        <v>2.4060000000000001</v>
      </c>
      <c r="AC2307" s="8">
        <v>0.35299999999999998</v>
      </c>
    </row>
    <row r="2308" spans="1:29" ht="11.65" x14ac:dyDescent="0.35">
      <c r="A2308" s="12">
        <v>2291</v>
      </c>
      <c r="B2308" s="10" t="s">
        <v>1015</v>
      </c>
      <c r="C2308" s="11" t="s">
        <v>1176</v>
      </c>
      <c r="D2308" s="9"/>
      <c r="E2308" s="9">
        <v>192</v>
      </c>
      <c r="F2308" s="10" t="s">
        <v>1066</v>
      </c>
      <c r="G2308" s="9">
        <v>915</v>
      </c>
      <c r="H2308" s="9">
        <v>2000</v>
      </c>
      <c r="I2308" s="8">
        <v>384.49799999999999</v>
      </c>
      <c r="J2308" s="8">
        <v>397.04700000000003</v>
      </c>
      <c r="K2308" s="8">
        <v>448.245</v>
      </c>
      <c r="L2308" s="8">
        <v>379.07100000000003</v>
      </c>
      <c r="M2308" s="8">
        <v>377.339</v>
      </c>
      <c r="N2308" s="8">
        <v>535.65599999999995</v>
      </c>
      <c r="O2308" s="8">
        <v>543.404</v>
      </c>
      <c r="P2308" s="8">
        <v>531.27599999999995</v>
      </c>
      <c r="Q2308" s="8">
        <v>341.97300000000001</v>
      </c>
      <c r="R2308" s="8">
        <v>330.91300000000001</v>
      </c>
      <c r="S2308" s="8">
        <v>290.33199999999999</v>
      </c>
      <c r="T2308" s="8">
        <v>263.517</v>
      </c>
      <c r="U2308" s="8">
        <v>211.376</v>
      </c>
      <c r="V2308" s="8">
        <v>163.65700000000001</v>
      </c>
      <c r="W2308" s="8">
        <v>132.38900000000001</v>
      </c>
      <c r="X2308" s="8">
        <v>98.471999999999994</v>
      </c>
      <c r="Y2308" s="8">
        <v>66.11</v>
      </c>
      <c r="Z2308" s="8">
        <v>34.601999999999997</v>
      </c>
      <c r="AA2308" s="8">
        <v>13.137</v>
      </c>
      <c r="AB2308" s="8">
        <v>3.5379999999999998</v>
      </c>
      <c r="AC2308" s="8">
        <v>0.54600000000000004</v>
      </c>
    </row>
    <row r="2309" spans="1:29" ht="11.65" x14ac:dyDescent="0.35">
      <c r="A2309" s="12">
        <v>2292</v>
      </c>
      <c r="B2309" s="10" t="s">
        <v>1015</v>
      </c>
      <c r="C2309" s="11" t="s">
        <v>1176</v>
      </c>
      <c r="D2309" s="9"/>
      <c r="E2309" s="9">
        <v>192</v>
      </c>
      <c r="F2309" s="10" t="s">
        <v>1066</v>
      </c>
      <c r="G2309" s="9">
        <v>915</v>
      </c>
      <c r="H2309" s="9">
        <v>2005</v>
      </c>
      <c r="I2309" s="8">
        <v>345.798</v>
      </c>
      <c r="J2309" s="8">
        <v>380.084</v>
      </c>
      <c r="K2309" s="8">
        <v>386.97</v>
      </c>
      <c r="L2309" s="8">
        <v>437.18099999999998</v>
      </c>
      <c r="M2309" s="8">
        <v>369.37099999999998</v>
      </c>
      <c r="N2309" s="8">
        <v>367.49799999999999</v>
      </c>
      <c r="O2309" s="8">
        <v>524.23699999999997</v>
      </c>
      <c r="P2309" s="8">
        <v>532.31799999999998</v>
      </c>
      <c r="Q2309" s="8">
        <v>519.69299999999998</v>
      </c>
      <c r="R2309" s="8">
        <v>333.52100000000002</v>
      </c>
      <c r="S2309" s="8">
        <v>320.65600000000001</v>
      </c>
      <c r="T2309" s="8">
        <v>278.16000000000003</v>
      </c>
      <c r="U2309" s="8">
        <v>248.12299999999999</v>
      </c>
      <c r="V2309" s="8">
        <v>193.38800000000001</v>
      </c>
      <c r="W2309" s="8">
        <v>142.72900000000001</v>
      </c>
      <c r="X2309" s="8">
        <v>106.94199999999999</v>
      </c>
      <c r="Y2309" s="8">
        <v>69.415000000000006</v>
      </c>
      <c r="Z2309" s="8">
        <v>37.284999999999997</v>
      </c>
      <c r="AA2309" s="8">
        <v>14.907</v>
      </c>
      <c r="AB2309" s="8">
        <v>4.1059999999999999</v>
      </c>
      <c r="AC2309" s="8">
        <v>0.83299999999999996</v>
      </c>
    </row>
    <row r="2310" spans="1:29" ht="11.65" x14ac:dyDescent="0.35">
      <c r="A2310" s="12">
        <v>2293</v>
      </c>
      <c r="B2310" s="10" t="s">
        <v>1015</v>
      </c>
      <c r="C2310" s="11" t="s">
        <v>1176</v>
      </c>
      <c r="D2310" s="9"/>
      <c r="E2310" s="9">
        <v>192</v>
      </c>
      <c r="F2310" s="10" t="s">
        <v>1066</v>
      </c>
      <c r="G2310" s="9">
        <v>915</v>
      </c>
      <c r="H2310" s="9">
        <v>2010</v>
      </c>
      <c r="I2310" s="8">
        <v>313.31900000000002</v>
      </c>
      <c r="J2310" s="8">
        <v>338.279</v>
      </c>
      <c r="K2310" s="8">
        <v>372.08199999999999</v>
      </c>
      <c r="L2310" s="8">
        <v>382.995</v>
      </c>
      <c r="M2310" s="8">
        <v>433.71</v>
      </c>
      <c r="N2310" s="8">
        <v>362.88600000000002</v>
      </c>
      <c r="O2310" s="8">
        <v>332.68599999999998</v>
      </c>
      <c r="P2310" s="8">
        <v>494.39</v>
      </c>
      <c r="Q2310" s="8">
        <v>510.20499999999998</v>
      </c>
      <c r="R2310" s="8">
        <v>500.315</v>
      </c>
      <c r="S2310" s="8">
        <v>321.14499999999998</v>
      </c>
      <c r="T2310" s="8">
        <v>307.57</v>
      </c>
      <c r="U2310" s="8">
        <v>261.95</v>
      </c>
      <c r="V2310" s="8">
        <v>226.56399999999999</v>
      </c>
      <c r="W2310" s="8">
        <v>168.68299999999999</v>
      </c>
      <c r="X2310" s="8">
        <v>115.90300000000001</v>
      </c>
      <c r="Y2310" s="8">
        <v>76.477999999999994</v>
      </c>
      <c r="Z2310" s="8">
        <v>41.18</v>
      </c>
      <c r="AA2310" s="8">
        <v>17.381</v>
      </c>
      <c r="AB2310" s="8">
        <v>5.093</v>
      </c>
      <c r="AC2310" s="8">
        <v>0.80400000000000005</v>
      </c>
    </row>
    <row r="2311" spans="1:29" ht="11.65" x14ac:dyDescent="0.35">
      <c r="A2311" s="12">
        <v>2294</v>
      </c>
      <c r="B2311" s="10" t="s">
        <v>1015</v>
      </c>
      <c r="C2311" s="11" t="s">
        <v>1176</v>
      </c>
      <c r="D2311" s="9"/>
      <c r="E2311" s="9">
        <v>192</v>
      </c>
      <c r="F2311" s="10" t="s">
        <v>1066</v>
      </c>
      <c r="G2311" s="9">
        <v>915</v>
      </c>
      <c r="H2311" s="9">
        <v>2015</v>
      </c>
      <c r="I2311" s="8">
        <v>323.99400000000003</v>
      </c>
      <c r="J2311" s="8">
        <v>311.56799999999998</v>
      </c>
      <c r="K2311" s="8">
        <v>335.00200000000001</v>
      </c>
      <c r="L2311" s="8">
        <v>368.16800000000001</v>
      </c>
      <c r="M2311" s="8">
        <v>380.49700000000001</v>
      </c>
      <c r="N2311" s="8">
        <v>430.26600000000002</v>
      </c>
      <c r="O2311" s="8">
        <v>357.476</v>
      </c>
      <c r="P2311" s="8">
        <v>317.61200000000002</v>
      </c>
      <c r="Q2311" s="8">
        <v>481.79</v>
      </c>
      <c r="R2311" s="8">
        <v>501.47899999999998</v>
      </c>
      <c r="S2311" s="8">
        <v>487.95800000000003</v>
      </c>
      <c r="T2311" s="8">
        <v>309.15600000000001</v>
      </c>
      <c r="U2311" s="8">
        <v>290.56599999999997</v>
      </c>
      <c r="V2311" s="8">
        <v>239.87299999999999</v>
      </c>
      <c r="W2311" s="8">
        <v>198.33500000000001</v>
      </c>
      <c r="X2311" s="8">
        <v>137.74700000000001</v>
      </c>
      <c r="Y2311" s="8">
        <v>83.661000000000001</v>
      </c>
      <c r="Z2311" s="8">
        <v>45.994</v>
      </c>
      <c r="AA2311" s="8">
        <v>19.555</v>
      </c>
      <c r="AB2311" s="8">
        <v>6.07</v>
      </c>
      <c r="AC2311" s="8">
        <v>0.98299999999999998</v>
      </c>
    </row>
    <row r="2312" spans="1:29" ht="11.65" x14ac:dyDescent="0.35">
      <c r="A2312" s="12">
        <v>2295</v>
      </c>
      <c r="B2312" s="10" t="s">
        <v>1015</v>
      </c>
      <c r="C2312" s="11" t="s">
        <v>1176</v>
      </c>
      <c r="D2312" s="9"/>
      <c r="E2312" s="9">
        <v>192</v>
      </c>
      <c r="F2312" s="10" t="s">
        <v>1066</v>
      </c>
      <c r="G2312" s="9">
        <v>915</v>
      </c>
      <c r="H2312" s="9">
        <v>2020</v>
      </c>
      <c r="I2312" s="8">
        <v>293.5</v>
      </c>
      <c r="J2312" s="8">
        <v>322.66000000000003</v>
      </c>
      <c r="K2312" s="8">
        <v>310.48099999999999</v>
      </c>
      <c r="L2312" s="8">
        <v>330.60399999999998</v>
      </c>
      <c r="M2312" s="8">
        <v>360.18400000000003</v>
      </c>
      <c r="N2312" s="8">
        <v>372.47899999999998</v>
      </c>
      <c r="O2312" s="8">
        <v>423.33100000000002</v>
      </c>
      <c r="P2312" s="8">
        <v>351.94900000000001</v>
      </c>
      <c r="Q2312" s="8">
        <v>312.68099999999998</v>
      </c>
      <c r="R2312" s="8">
        <v>473.88499999999999</v>
      </c>
      <c r="S2312" s="8">
        <v>489.48399999999998</v>
      </c>
      <c r="T2312" s="8">
        <v>470.45299999999997</v>
      </c>
      <c r="U2312" s="8">
        <v>292.245</v>
      </c>
      <c r="V2312" s="8">
        <v>266.286</v>
      </c>
      <c r="W2312" s="8">
        <v>210.22800000000001</v>
      </c>
      <c r="X2312" s="8">
        <v>162.32300000000001</v>
      </c>
      <c r="Y2312" s="8">
        <v>99.844999999999999</v>
      </c>
      <c r="Z2312" s="8">
        <v>50.686999999999998</v>
      </c>
      <c r="AA2312" s="8">
        <v>22.061</v>
      </c>
      <c r="AB2312" s="8">
        <v>6.9109999999999996</v>
      </c>
      <c r="AC2312" s="8">
        <v>1.1910000000000001</v>
      </c>
    </row>
    <row r="2313" spans="1:29" ht="11.65" x14ac:dyDescent="0.35">
      <c r="A2313" s="12">
        <v>2296</v>
      </c>
      <c r="B2313" s="10" t="s">
        <v>1015</v>
      </c>
      <c r="C2313" s="11" t="s">
        <v>1177</v>
      </c>
      <c r="D2313" s="9">
        <v>13</v>
      </c>
      <c r="E2313" s="9">
        <v>531</v>
      </c>
      <c r="F2313" s="10" t="s">
        <v>1066</v>
      </c>
      <c r="G2313" s="9">
        <v>915</v>
      </c>
      <c r="H2313" s="9">
        <v>1950</v>
      </c>
      <c r="I2313" s="8">
        <v>7.6360000000000001</v>
      </c>
      <c r="J2313" s="8">
        <v>5.9589999999999996</v>
      </c>
      <c r="K2313" s="8">
        <v>4.9740000000000002</v>
      </c>
      <c r="L2313" s="8">
        <v>4.6079999999999997</v>
      </c>
      <c r="M2313" s="8">
        <v>4.3390000000000004</v>
      </c>
      <c r="N2313" s="8">
        <v>4.0060000000000002</v>
      </c>
      <c r="O2313" s="8">
        <v>3.7810000000000001</v>
      </c>
      <c r="P2313" s="8">
        <v>3.327</v>
      </c>
      <c r="Q2313" s="8">
        <v>3.2589999999999999</v>
      </c>
      <c r="R2313" s="8">
        <v>2.3940000000000001</v>
      </c>
      <c r="S2313" s="8">
        <v>1.57</v>
      </c>
      <c r="T2313" s="8">
        <v>1.258</v>
      </c>
      <c r="U2313" s="8">
        <v>0.873</v>
      </c>
      <c r="V2313" s="8">
        <v>0.73899999999999999</v>
      </c>
      <c r="W2313" s="8">
        <v>0.65900000000000003</v>
      </c>
      <c r="X2313" s="8">
        <v>0.4</v>
      </c>
      <c r="Y2313" s="8">
        <v>0.14199999999999999</v>
      </c>
      <c r="Z2313" s="8">
        <v>6.3E-2</v>
      </c>
      <c r="AA2313" s="8">
        <v>0.02</v>
      </c>
      <c r="AB2313" s="8">
        <v>7.0000000000000001E-3</v>
      </c>
      <c r="AC2313" s="8">
        <v>1E-3</v>
      </c>
    </row>
    <row r="2314" spans="1:29" ht="11.65" x14ac:dyDescent="0.35">
      <c r="A2314" s="12">
        <v>2297</v>
      </c>
      <c r="B2314" s="10" t="s">
        <v>1015</v>
      </c>
      <c r="C2314" s="11" t="s">
        <v>1177</v>
      </c>
      <c r="D2314" s="9">
        <v>13</v>
      </c>
      <c r="E2314" s="9">
        <v>531</v>
      </c>
      <c r="F2314" s="10" t="s">
        <v>1066</v>
      </c>
      <c r="G2314" s="9">
        <v>915</v>
      </c>
      <c r="H2314" s="9">
        <v>1955</v>
      </c>
      <c r="I2314" s="8">
        <v>9.5310000000000006</v>
      </c>
      <c r="J2314" s="8">
        <v>7.556</v>
      </c>
      <c r="K2314" s="8">
        <v>6.17</v>
      </c>
      <c r="L2314" s="8">
        <v>5.1360000000000001</v>
      </c>
      <c r="M2314" s="8">
        <v>4.63</v>
      </c>
      <c r="N2314" s="8">
        <v>4.2939999999999996</v>
      </c>
      <c r="O2314" s="8">
        <v>3.9460000000000002</v>
      </c>
      <c r="P2314" s="8">
        <v>3.7130000000000001</v>
      </c>
      <c r="Q2314" s="8">
        <v>3.3290000000000002</v>
      </c>
      <c r="R2314" s="8">
        <v>3.2120000000000002</v>
      </c>
      <c r="S2314" s="8">
        <v>2.3290000000000002</v>
      </c>
      <c r="T2314" s="8">
        <v>1.546</v>
      </c>
      <c r="U2314" s="8">
        <v>1.169</v>
      </c>
      <c r="V2314" s="8">
        <v>0.79900000000000004</v>
      </c>
      <c r="W2314" s="8">
        <v>0.59199999999999997</v>
      </c>
      <c r="X2314" s="8">
        <v>0.47399999999999998</v>
      </c>
      <c r="Y2314" s="8">
        <v>0.23899999999999999</v>
      </c>
      <c r="Z2314" s="8">
        <v>6.7000000000000004E-2</v>
      </c>
      <c r="AA2314" s="8">
        <v>2.1000000000000001E-2</v>
      </c>
      <c r="AB2314" s="8">
        <v>5.0000000000000001E-3</v>
      </c>
      <c r="AC2314" s="8">
        <v>1E-3</v>
      </c>
    </row>
    <row r="2315" spans="1:29" ht="11.65" x14ac:dyDescent="0.35">
      <c r="A2315" s="12">
        <v>2298</v>
      </c>
      <c r="B2315" s="10" t="s">
        <v>1015</v>
      </c>
      <c r="C2315" s="11" t="s">
        <v>1177</v>
      </c>
      <c r="D2315" s="9">
        <v>13</v>
      </c>
      <c r="E2315" s="9">
        <v>531</v>
      </c>
      <c r="F2315" s="10" t="s">
        <v>1066</v>
      </c>
      <c r="G2315" s="9">
        <v>915</v>
      </c>
      <c r="H2315" s="9">
        <v>1960</v>
      </c>
      <c r="I2315" s="8">
        <v>10.343</v>
      </c>
      <c r="J2315" s="8">
        <v>8.9350000000000005</v>
      </c>
      <c r="K2315" s="8">
        <v>7.3109999999999999</v>
      </c>
      <c r="L2315" s="8">
        <v>5.7629999999999999</v>
      </c>
      <c r="M2315" s="8">
        <v>4.6269999999999998</v>
      </c>
      <c r="N2315" s="8">
        <v>4.0709999999999997</v>
      </c>
      <c r="O2315" s="8">
        <v>3.831</v>
      </c>
      <c r="P2315" s="8">
        <v>3.6850000000000001</v>
      </c>
      <c r="Q2315" s="8">
        <v>3.468</v>
      </c>
      <c r="R2315" s="8">
        <v>3.09</v>
      </c>
      <c r="S2315" s="8">
        <v>2.9420000000000002</v>
      </c>
      <c r="T2315" s="8">
        <v>1.895</v>
      </c>
      <c r="U2315" s="8">
        <v>1.302</v>
      </c>
      <c r="V2315" s="8">
        <v>0.93200000000000005</v>
      </c>
      <c r="W2315" s="8">
        <v>0.59199999999999997</v>
      </c>
      <c r="X2315" s="8">
        <v>0.40100000000000002</v>
      </c>
      <c r="Y2315" s="8">
        <v>0.28499999999999998</v>
      </c>
      <c r="Z2315" s="8">
        <v>0.11799999999999999</v>
      </c>
      <c r="AA2315" s="8">
        <v>2.5000000000000001E-2</v>
      </c>
      <c r="AB2315" s="8">
        <v>7.0000000000000001E-3</v>
      </c>
      <c r="AC2315" s="8">
        <v>1E-3</v>
      </c>
    </row>
    <row r="2316" spans="1:29" ht="11.65" x14ac:dyDescent="0.35">
      <c r="A2316" s="12">
        <v>2299</v>
      </c>
      <c r="B2316" s="10" t="s">
        <v>1015</v>
      </c>
      <c r="C2316" s="11" t="s">
        <v>1177</v>
      </c>
      <c r="D2316" s="9">
        <v>13</v>
      </c>
      <c r="E2316" s="9">
        <v>531</v>
      </c>
      <c r="F2316" s="10" t="s">
        <v>1066</v>
      </c>
      <c r="G2316" s="9">
        <v>915</v>
      </c>
      <c r="H2316" s="9">
        <v>1965</v>
      </c>
      <c r="I2316" s="8">
        <v>9.4250000000000007</v>
      </c>
      <c r="J2316" s="8">
        <v>10.050000000000001</v>
      </c>
      <c r="K2316" s="8">
        <v>8.4190000000000005</v>
      </c>
      <c r="L2316" s="8">
        <v>6.4690000000000003</v>
      </c>
      <c r="M2316" s="8">
        <v>5.4119999999999999</v>
      </c>
      <c r="N2316" s="8">
        <v>4.069</v>
      </c>
      <c r="O2316" s="8">
        <v>3.782</v>
      </c>
      <c r="P2316" s="8">
        <v>3.5790000000000002</v>
      </c>
      <c r="Q2316" s="8">
        <v>3.2959999999999998</v>
      </c>
      <c r="R2316" s="8">
        <v>2.9809999999999999</v>
      </c>
      <c r="S2316" s="8">
        <v>2.5790000000000002</v>
      </c>
      <c r="T2316" s="8">
        <v>2.4</v>
      </c>
      <c r="U2316" s="8">
        <v>1.335</v>
      </c>
      <c r="V2316" s="8">
        <v>0.89300000000000002</v>
      </c>
      <c r="W2316" s="8">
        <v>0.56799999999999995</v>
      </c>
      <c r="X2316" s="8">
        <v>0.35699999999999998</v>
      </c>
      <c r="Y2316" s="8">
        <v>0.186</v>
      </c>
      <c r="Z2316" s="8">
        <v>0.14399999999999999</v>
      </c>
      <c r="AA2316" s="8">
        <v>4.4999999999999998E-2</v>
      </c>
      <c r="AB2316" s="8">
        <v>7.0000000000000001E-3</v>
      </c>
      <c r="AC2316" s="8">
        <v>1E-3</v>
      </c>
    </row>
    <row r="2317" spans="1:29" ht="11.65" x14ac:dyDescent="0.35">
      <c r="A2317" s="12">
        <v>2300</v>
      </c>
      <c r="B2317" s="10" t="s">
        <v>1015</v>
      </c>
      <c r="C2317" s="11" t="s">
        <v>1177</v>
      </c>
      <c r="D2317" s="9">
        <v>13</v>
      </c>
      <c r="E2317" s="9">
        <v>531</v>
      </c>
      <c r="F2317" s="10" t="s">
        <v>1066</v>
      </c>
      <c r="G2317" s="9">
        <v>915</v>
      </c>
      <c r="H2317" s="9">
        <v>1970</v>
      </c>
      <c r="I2317" s="8">
        <v>9.4879999999999995</v>
      </c>
      <c r="J2317" s="8">
        <v>9.4489999999999998</v>
      </c>
      <c r="K2317" s="8">
        <v>10.132</v>
      </c>
      <c r="L2317" s="8">
        <v>7.8739999999999997</v>
      </c>
      <c r="M2317" s="8">
        <v>5.72</v>
      </c>
      <c r="N2317" s="8">
        <v>5.0220000000000002</v>
      </c>
      <c r="O2317" s="8">
        <v>3.7010000000000001</v>
      </c>
      <c r="P2317" s="8">
        <v>3.488</v>
      </c>
      <c r="Q2317" s="8">
        <v>3.2509999999999999</v>
      </c>
      <c r="R2317" s="8">
        <v>2.8860000000000001</v>
      </c>
      <c r="S2317" s="8">
        <v>2.5939999999999999</v>
      </c>
      <c r="T2317" s="8">
        <v>2.1219999999999999</v>
      </c>
      <c r="U2317" s="8">
        <v>1.984</v>
      </c>
      <c r="V2317" s="8">
        <v>1.2889999999999999</v>
      </c>
      <c r="W2317" s="8">
        <v>0.81200000000000006</v>
      </c>
      <c r="X2317" s="8">
        <v>0.49299999999999999</v>
      </c>
      <c r="Y2317" s="8">
        <v>0.23599999999999999</v>
      </c>
      <c r="Z2317" s="8">
        <v>9.5000000000000001E-2</v>
      </c>
      <c r="AA2317" s="8">
        <v>5.6000000000000001E-2</v>
      </c>
      <c r="AB2317" s="8">
        <v>1.2999999999999999E-2</v>
      </c>
      <c r="AC2317" s="8">
        <v>1E-3</v>
      </c>
    </row>
    <row r="2318" spans="1:29" ht="11.65" x14ac:dyDescent="0.35">
      <c r="A2318" s="12">
        <v>2301</v>
      </c>
      <c r="B2318" s="10" t="s">
        <v>1015</v>
      </c>
      <c r="C2318" s="11" t="s">
        <v>1177</v>
      </c>
      <c r="D2318" s="9">
        <v>13</v>
      </c>
      <c r="E2318" s="9">
        <v>531</v>
      </c>
      <c r="F2318" s="10" t="s">
        <v>1066</v>
      </c>
      <c r="G2318" s="9">
        <v>915</v>
      </c>
      <c r="H2318" s="9">
        <v>1975</v>
      </c>
      <c r="I2318" s="8">
        <v>8.2460000000000004</v>
      </c>
      <c r="J2318" s="8">
        <v>9.7050000000000001</v>
      </c>
      <c r="K2318" s="8">
        <v>9.92</v>
      </c>
      <c r="L2318" s="8">
        <v>9.452</v>
      </c>
      <c r="M2318" s="8">
        <v>6.6840000000000002</v>
      </c>
      <c r="N2318" s="8">
        <v>5.0469999999999997</v>
      </c>
      <c r="O2318" s="8">
        <v>4.7519999999999998</v>
      </c>
      <c r="P2318" s="8">
        <v>3.72</v>
      </c>
      <c r="Q2318" s="8">
        <v>3.0990000000000002</v>
      </c>
      <c r="R2318" s="8">
        <v>2.859</v>
      </c>
      <c r="S2318" s="8">
        <v>2.5569999999999999</v>
      </c>
      <c r="T2318" s="8">
        <v>2.1389999999999998</v>
      </c>
      <c r="U2318" s="8">
        <v>1.8049999999999999</v>
      </c>
      <c r="V2318" s="8">
        <v>1.569</v>
      </c>
      <c r="W2318" s="8">
        <v>0.95</v>
      </c>
      <c r="X2318" s="8">
        <v>0.59</v>
      </c>
      <c r="Y2318" s="8">
        <v>0.29099999999999998</v>
      </c>
      <c r="Z2318" s="8">
        <v>0.124</v>
      </c>
      <c r="AA2318" s="8">
        <v>3.9E-2</v>
      </c>
      <c r="AB2318" s="8">
        <v>1.4999999999999999E-2</v>
      </c>
      <c r="AC2318" s="8">
        <v>2E-3</v>
      </c>
    </row>
    <row r="2319" spans="1:29" ht="11.65" x14ac:dyDescent="0.35">
      <c r="A2319" s="12">
        <v>2302</v>
      </c>
      <c r="B2319" s="10" t="s">
        <v>1015</v>
      </c>
      <c r="C2319" s="11" t="s">
        <v>1177</v>
      </c>
      <c r="D2319" s="9">
        <v>13</v>
      </c>
      <c r="E2319" s="9">
        <v>531</v>
      </c>
      <c r="F2319" s="10" t="s">
        <v>1066</v>
      </c>
      <c r="G2319" s="9">
        <v>915</v>
      </c>
      <c r="H2319" s="9">
        <v>1980</v>
      </c>
      <c r="I2319" s="8">
        <v>7.1440000000000001</v>
      </c>
      <c r="J2319" s="8">
        <v>7.8680000000000003</v>
      </c>
      <c r="K2319" s="8">
        <v>8.4619999999999997</v>
      </c>
      <c r="L2319" s="8">
        <v>9.2219999999999995</v>
      </c>
      <c r="M2319" s="8">
        <v>7.7</v>
      </c>
      <c r="N2319" s="8">
        <v>5.5220000000000002</v>
      </c>
      <c r="O2319" s="8">
        <v>4.8159999999999998</v>
      </c>
      <c r="P2319" s="8">
        <v>4.1660000000000004</v>
      </c>
      <c r="Q2319" s="8">
        <v>3.4820000000000002</v>
      </c>
      <c r="R2319" s="8">
        <v>2.956</v>
      </c>
      <c r="S2319" s="8">
        <v>2.7309999999999999</v>
      </c>
      <c r="T2319" s="8">
        <v>2.3559999999999999</v>
      </c>
      <c r="U2319" s="8">
        <v>1.8320000000000001</v>
      </c>
      <c r="V2319" s="8">
        <v>1.5289999999999999</v>
      </c>
      <c r="W2319" s="8">
        <v>1.2330000000000001</v>
      </c>
      <c r="X2319" s="8">
        <v>0.63600000000000001</v>
      </c>
      <c r="Y2319" s="8">
        <v>0.309</v>
      </c>
      <c r="Z2319" s="8">
        <v>0.156</v>
      </c>
      <c r="AA2319" s="8">
        <v>0.05</v>
      </c>
      <c r="AB2319" s="8">
        <v>1.0999999999999999E-2</v>
      </c>
      <c r="AC2319" s="8">
        <v>3.0000000000000001E-3</v>
      </c>
    </row>
    <row r="2320" spans="1:29" ht="11.65" x14ac:dyDescent="0.35">
      <c r="A2320" s="12">
        <v>2303</v>
      </c>
      <c r="B2320" s="10" t="s">
        <v>1015</v>
      </c>
      <c r="C2320" s="11" t="s">
        <v>1177</v>
      </c>
      <c r="D2320" s="9">
        <v>13</v>
      </c>
      <c r="E2320" s="9">
        <v>531</v>
      </c>
      <c r="F2320" s="10" t="s">
        <v>1066</v>
      </c>
      <c r="G2320" s="9">
        <v>915</v>
      </c>
      <c r="H2320" s="9">
        <v>1985</v>
      </c>
      <c r="I2320" s="8">
        <v>7.008</v>
      </c>
      <c r="J2320" s="8">
        <v>6.8479999999999999</v>
      </c>
      <c r="K2320" s="8">
        <v>7.3739999999999997</v>
      </c>
      <c r="L2320" s="8">
        <v>8.1199999999999992</v>
      </c>
      <c r="M2320" s="8">
        <v>7.7009999999999996</v>
      </c>
      <c r="N2320" s="8">
        <v>6.9050000000000002</v>
      </c>
      <c r="O2320" s="8">
        <v>5.3630000000000004</v>
      </c>
      <c r="P2320" s="8">
        <v>4.5709999999999997</v>
      </c>
      <c r="Q2320" s="8">
        <v>4.0010000000000003</v>
      </c>
      <c r="R2320" s="8">
        <v>3.3660000000000001</v>
      </c>
      <c r="S2320" s="8">
        <v>2.7610000000000001</v>
      </c>
      <c r="T2320" s="8">
        <v>2.4889999999999999</v>
      </c>
      <c r="U2320" s="8">
        <v>2.16</v>
      </c>
      <c r="V2320" s="8">
        <v>1.508</v>
      </c>
      <c r="W2320" s="8">
        <v>1.224</v>
      </c>
      <c r="X2320" s="8">
        <v>0.91</v>
      </c>
      <c r="Y2320" s="8">
        <v>0.35699999999999998</v>
      </c>
      <c r="Z2320" s="8">
        <v>0.17100000000000001</v>
      </c>
      <c r="AA2320" s="8">
        <v>6.5000000000000002E-2</v>
      </c>
      <c r="AB2320" s="8">
        <v>1.4999999999999999E-2</v>
      </c>
      <c r="AC2320" s="8">
        <v>2E-3</v>
      </c>
    </row>
    <row r="2321" spans="1:29" ht="11.65" x14ac:dyDescent="0.35">
      <c r="A2321" s="12">
        <v>2304</v>
      </c>
      <c r="B2321" s="10" t="s">
        <v>1015</v>
      </c>
      <c r="C2321" s="11" t="s">
        <v>1177</v>
      </c>
      <c r="D2321" s="9">
        <v>13</v>
      </c>
      <c r="E2321" s="9">
        <v>531</v>
      </c>
      <c r="F2321" s="10" t="s">
        <v>1066</v>
      </c>
      <c r="G2321" s="9">
        <v>915</v>
      </c>
      <c r="H2321" s="9">
        <v>1990</v>
      </c>
      <c r="I2321" s="8">
        <v>7.2210000000000001</v>
      </c>
      <c r="J2321" s="8">
        <v>6.702</v>
      </c>
      <c r="K2321" s="8">
        <v>6.4889999999999999</v>
      </c>
      <c r="L2321" s="8">
        <v>6.3550000000000004</v>
      </c>
      <c r="M2321" s="8">
        <v>5.68</v>
      </c>
      <c r="N2321" s="8">
        <v>6.2779999999999996</v>
      </c>
      <c r="O2321" s="8">
        <v>6.0430000000000001</v>
      </c>
      <c r="P2321" s="8">
        <v>5.1440000000000001</v>
      </c>
      <c r="Q2321" s="8">
        <v>4.3230000000000004</v>
      </c>
      <c r="R2321" s="8">
        <v>3.6240000000000001</v>
      </c>
      <c r="S2321" s="8">
        <v>3.129</v>
      </c>
      <c r="T2321" s="8">
        <v>2.4750000000000001</v>
      </c>
      <c r="U2321" s="8">
        <v>2.194</v>
      </c>
      <c r="V2321" s="8">
        <v>1.823</v>
      </c>
      <c r="W2321" s="8">
        <v>1.171</v>
      </c>
      <c r="X2321" s="8">
        <v>0.873</v>
      </c>
      <c r="Y2321" s="8">
        <v>0.56299999999999994</v>
      </c>
      <c r="Z2321" s="8">
        <v>0.19900000000000001</v>
      </c>
      <c r="AA2321" s="8">
        <v>7.2999999999999995E-2</v>
      </c>
      <c r="AB2321" s="8">
        <v>0.02</v>
      </c>
      <c r="AC2321" s="8">
        <v>3.0000000000000001E-3</v>
      </c>
    </row>
    <row r="2322" spans="1:29" ht="11.65" x14ac:dyDescent="0.35">
      <c r="A2322" s="12">
        <v>2305</v>
      </c>
      <c r="B2322" s="10" t="s">
        <v>1015</v>
      </c>
      <c r="C2322" s="11" t="s">
        <v>1177</v>
      </c>
      <c r="D2322" s="9">
        <v>13</v>
      </c>
      <c r="E2322" s="9">
        <v>531</v>
      </c>
      <c r="F2322" s="10" t="s">
        <v>1066</v>
      </c>
      <c r="G2322" s="9">
        <v>915</v>
      </c>
      <c r="H2322" s="9">
        <v>1995</v>
      </c>
      <c r="I2322" s="8">
        <v>6.4370000000000003</v>
      </c>
      <c r="J2322" s="8">
        <v>6.9269999999999996</v>
      </c>
      <c r="K2322" s="8">
        <v>6.3520000000000003</v>
      </c>
      <c r="L2322" s="8">
        <v>5.7160000000000002</v>
      </c>
      <c r="M2322" s="8">
        <v>3.956</v>
      </c>
      <c r="N2322" s="8">
        <v>4.0839999999999996</v>
      </c>
      <c r="O2322" s="8">
        <v>5.7590000000000003</v>
      </c>
      <c r="P2322" s="8">
        <v>5.9329999999999998</v>
      </c>
      <c r="Q2322" s="8">
        <v>4.99</v>
      </c>
      <c r="R2322" s="8">
        <v>4.149</v>
      </c>
      <c r="S2322" s="8">
        <v>3.3620000000000001</v>
      </c>
      <c r="T2322" s="8">
        <v>2.9609999999999999</v>
      </c>
      <c r="U2322" s="8">
        <v>2.2570000000000001</v>
      </c>
      <c r="V2322" s="8">
        <v>1.952</v>
      </c>
      <c r="W2322" s="8">
        <v>1.4910000000000001</v>
      </c>
      <c r="X2322" s="8">
        <v>0.86</v>
      </c>
      <c r="Y2322" s="8">
        <v>0.54300000000000004</v>
      </c>
      <c r="Z2322" s="8">
        <v>0.30499999999999999</v>
      </c>
      <c r="AA2322" s="8">
        <v>0.08</v>
      </c>
      <c r="AB2322" s="8">
        <v>0.02</v>
      </c>
      <c r="AC2322" s="8">
        <v>4.0000000000000001E-3</v>
      </c>
    </row>
    <row r="2323" spans="1:29" ht="11.65" x14ac:dyDescent="0.35">
      <c r="A2323" s="12">
        <v>2306</v>
      </c>
      <c r="B2323" s="10" t="s">
        <v>1015</v>
      </c>
      <c r="C2323" s="11" t="s">
        <v>1177</v>
      </c>
      <c r="D2323" s="9">
        <v>13</v>
      </c>
      <c r="E2323" s="9">
        <v>531</v>
      </c>
      <c r="F2323" s="10" t="s">
        <v>1066</v>
      </c>
      <c r="G2323" s="9">
        <v>915</v>
      </c>
      <c r="H2323" s="9">
        <v>2000</v>
      </c>
      <c r="I2323" s="8">
        <v>4.76</v>
      </c>
      <c r="J2323" s="8">
        <v>6.0670000000000002</v>
      </c>
      <c r="K2323" s="8">
        <v>6.0490000000000004</v>
      </c>
      <c r="L2323" s="8">
        <v>5.3630000000000004</v>
      </c>
      <c r="M2323" s="8">
        <v>2.9449999999999998</v>
      </c>
      <c r="N2323" s="8">
        <v>3.14</v>
      </c>
      <c r="O2323" s="8">
        <v>3.8370000000000002</v>
      </c>
      <c r="P2323" s="8">
        <v>5.1970000000000001</v>
      </c>
      <c r="Q2323" s="8">
        <v>5.1710000000000003</v>
      </c>
      <c r="R2323" s="8">
        <v>4.5439999999999996</v>
      </c>
      <c r="S2323" s="8">
        <v>3.823</v>
      </c>
      <c r="T2323" s="8">
        <v>2.9710000000000001</v>
      </c>
      <c r="U2323" s="8">
        <v>2.4950000000000001</v>
      </c>
      <c r="V2323" s="8">
        <v>1.97</v>
      </c>
      <c r="W2323" s="8">
        <v>1.556</v>
      </c>
      <c r="X2323" s="8">
        <v>1.1160000000000001</v>
      </c>
      <c r="Y2323" s="8">
        <v>0.58899999999999997</v>
      </c>
      <c r="Z2323" s="8">
        <v>0.29899999999999999</v>
      </c>
      <c r="AA2323" s="8">
        <v>0.127</v>
      </c>
      <c r="AB2323" s="8">
        <v>2.3E-2</v>
      </c>
      <c r="AC2323" s="8">
        <v>4.0000000000000001E-3</v>
      </c>
    </row>
    <row r="2324" spans="1:29" ht="11.65" x14ac:dyDescent="0.35">
      <c r="A2324" s="12">
        <v>2307</v>
      </c>
      <c r="B2324" s="10" t="s">
        <v>1015</v>
      </c>
      <c r="C2324" s="11" t="s">
        <v>1177</v>
      </c>
      <c r="D2324" s="9">
        <v>13</v>
      </c>
      <c r="E2324" s="9">
        <v>531</v>
      </c>
      <c r="F2324" s="10" t="s">
        <v>1066</v>
      </c>
      <c r="G2324" s="9">
        <v>915</v>
      </c>
      <c r="H2324" s="9">
        <v>2005</v>
      </c>
      <c r="I2324" s="8">
        <v>4.407</v>
      </c>
      <c r="J2324" s="8">
        <v>4.4829999999999997</v>
      </c>
      <c r="K2324" s="8">
        <v>5.484</v>
      </c>
      <c r="L2324" s="8">
        <v>5.1379999999999999</v>
      </c>
      <c r="M2324" s="8">
        <v>3.5110000000000001</v>
      </c>
      <c r="N2324" s="8">
        <v>3.1840000000000002</v>
      </c>
      <c r="O2324" s="8">
        <v>3.605</v>
      </c>
      <c r="P2324" s="8">
        <v>4.4119999999999999</v>
      </c>
      <c r="Q2324" s="8">
        <v>4.42</v>
      </c>
      <c r="R2324" s="8">
        <v>4.8339999999999996</v>
      </c>
      <c r="S2324" s="8">
        <v>4.5350000000000001</v>
      </c>
      <c r="T2324" s="8">
        <v>3.5529999999999999</v>
      </c>
      <c r="U2324" s="8">
        <v>2.92</v>
      </c>
      <c r="V2324" s="8">
        <v>2.3420000000000001</v>
      </c>
      <c r="W2324" s="8">
        <v>1.589</v>
      </c>
      <c r="X2324" s="8">
        <v>1.24</v>
      </c>
      <c r="Y2324" s="8">
        <v>0.84799999999999998</v>
      </c>
      <c r="Z2324" s="8">
        <v>0.32600000000000001</v>
      </c>
      <c r="AA2324" s="8">
        <v>0.125</v>
      </c>
      <c r="AB2324" s="8">
        <v>3.7999999999999999E-2</v>
      </c>
      <c r="AC2324" s="8">
        <v>5.0000000000000001E-3</v>
      </c>
    </row>
    <row r="2325" spans="1:29" ht="11.65" x14ac:dyDescent="0.35">
      <c r="A2325" s="12">
        <v>2308</v>
      </c>
      <c r="B2325" s="10" t="s">
        <v>1015</v>
      </c>
      <c r="C2325" s="11" t="s">
        <v>1177</v>
      </c>
      <c r="D2325" s="9">
        <v>13</v>
      </c>
      <c r="E2325" s="9">
        <v>531</v>
      </c>
      <c r="F2325" s="10" t="s">
        <v>1066</v>
      </c>
      <c r="G2325" s="9">
        <v>915</v>
      </c>
      <c r="H2325" s="9">
        <v>2010</v>
      </c>
      <c r="I2325" s="8">
        <v>4.9880000000000004</v>
      </c>
      <c r="J2325" s="8">
        <v>5.3710000000000004</v>
      </c>
      <c r="K2325" s="8">
        <v>5.4550000000000001</v>
      </c>
      <c r="L2325" s="8">
        <v>5.657</v>
      </c>
      <c r="M2325" s="8">
        <v>3.9049999999999998</v>
      </c>
      <c r="N2325" s="8">
        <v>3.4740000000000002</v>
      </c>
      <c r="O2325" s="8">
        <v>3.359</v>
      </c>
      <c r="P2325" s="8">
        <v>4.2089999999999996</v>
      </c>
      <c r="Q2325" s="8">
        <v>4.9729999999999999</v>
      </c>
      <c r="R2325" s="8">
        <v>5.6310000000000002</v>
      </c>
      <c r="S2325" s="8">
        <v>5.1360000000000001</v>
      </c>
      <c r="T2325" s="8">
        <v>4.6100000000000003</v>
      </c>
      <c r="U2325" s="8">
        <v>3.62</v>
      </c>
      <c r="V2325" s="8">
        <v>2.9340000000000002</v>
      </c>
      <c r="W2325" s="8">
        <v>2.2189999999999999</v>
      </c>
      <c r="X2325" s="8">
        <v>1.3979999999999999</v>
      </c>
      <c r="Y2325" s="8">
        <v>0.93200000000000005</v>
      </c>
      <c r="Z2325" s="8">
        <v>0.48799999999999999</v>
      </c>
      <c r="AA2325" s="8">
        <v>0.14399999999999999</v>
      </c>
      <c r="AB2325" s="8">
        <v>3.9E-2</v>
      </c>
      <c r="AC2325" s="8">
        <v>8.0000000000000002E-3</v>
      </c>
    </row>
    <row r="2326" spans="1:29" ht="11.65" x14ac:dyDescent="0.35">
      <c r="A2326" s="12">
        <v>2309</v>
      </c>
      <c r="B2326" s="10" t="s">
        <v>1015</v>
      </c>
      <c r="C2326" s="11" t="s">
        <v>1177</v>
      </c>
      <c r="D2326" s="9">
        <v>13</v>
      </c>
      <c r="E2326" s="9">
        <v>531</v>
      </c>
      <c r="F2326" s="10" t="s">
        <v>1066</v>
      </c>
      <c r="G2326" s="9">
        <v>915</v>
      </c>
      <c r="H2326" s="9">
        <v>2015</v>
      </c>
      <c r="I2326" s="8">
        <v>5.2350000000000003</v>
      </c>
      <c r="J2326" s="8">
        <v>5.3019999999999996</v>
      </c>
      <c r="K2326" s="8">
        <v>5.6289999999999996</v>
      </c>
      <c r="L2326" s="8">
        <v>5.4029999999999996</v>
      </c>
      <c r="M2326" s="8">
        <v>4.516</v>
      </c>
      <c r="N2326" s="8">
        <v>3.9670000000000001</v>
      </c>
      <c r="O2326" s="8">
        <v>3.911</v>
      </c>
      <c r="P2326" s="8">
        <v>3.8479999999999999</v>
      </c>
      <c r="Q2326" s="8">
        <v>4.8419999999999996</v>
      </c>
      <c r="R2326" s="8">
        <v>5.1749999999999998</v>
      </c>
      <c r="S2326" s="8">
        <v>5.7039999999999997</v>
      </c>
      <c r="T2326" s="8">
        <v>5.0609999999999999</v>
      </c>
      <c r="U2326" s="8">
        <v>4.3710000000000004</v>
      </c>
      <c r="V2326" s="8">
        <v>3.806</v>
      </c>
      <c r="W2326" s="8">
        <v>2.5649999999999999</v>
      </c>
      <c r="X2326" s="8">
        <v>1.895</v>
      </c>
      <c r="Y2326" s="8">
        <v>1.151</v>
      </c>
      <c r="Z2326" s="8">
        <v>0.56399999999999995</v>
      </c>
      <c r="AA2326" s="8">
        <v>0.22900000000000001</v>
      </c>
      <c r="AB2326" s="8">
        <v>4.8000000000000001E-2</v>
      </c>
      <c r="AC2326" s="8">
        <v>8.9999999999999993E-3</v>
      </c>
    </row>
    <row r="2327" spans="1:29" ht="11.65" x14ac:dyDescent="0.35">
      <c r="A2327" s="12">
        <v>2310</v>
      </c>
      <c r="B2327" s="10" t="s">
        <v>1015</v>
      </c>
      <c r="C2327" s="11" t="s">
        <v>1177</v>
      </c>
      <c r="D2327" s="9">
        <v>13</v>
      </c>
      <c r="E2327" s="9">
        <v>531</v>
      </c>
      <c r="F2327" s="10" t="s">
        <v>1066</v>
      </c>
      <c r="G2327" s="9">
        <v>915</v>
      </c>
      <c r="H2327" s="9">
        <v>2020</v>
      </c>
      <c r="I2327" s="8">
        <v>4.5990000000000002</v>
      </c>
      <c r="J2327" s="8">
        <v>5.2930000000000001</v>
      </c>
      <c r="K2327" s="8">
        <v>5.3460000000000001</v>
      </c>
      <c r="L2327" s="8">
        <v>5.6669999999999998</v>
      </c>
      <c r="M2327" s="8">
        <v>4.8620000000000001</v>
      </c>
      <c r="N2327" s="8">
        <v>4.9189999999999996</v>
      </c>
      <c r="O2327" s="8">
        <v>4.2690000000000001</v>
      </c>
      <c r="P2327" s="8">
        <v>4.1120000000000001</v>
      </c>
      <c r="Q2327" s="8">
        <v>3.9689999999999999</v>
      </c>
      <c r="R2327" s="8">
        <v>4.883</v>
      </c>
      <c r="S2327" s="8">
        <v>5.1369999999999996</v>
      </c>
      <c r="T2327" s="8">
        <v>5.5640000000000001</v>
      </c>
      <c r="U2327" s="8">
        <v>4.8390000000000004</v>
      </c>
      <c r="V2327" s="8">
        <v>4.0590000000000002</v>
      </c>
      <c r="W2327" s="8">
        <v>3.371</v>
      </c>
      <c r="X2327" s="8">
        <v>2.1139999999999999</v>
      </c>
      <c r="Y2327" s="8">
        <v>1.3959999999999999</v>
      </c>
      <c r="Z2327" s="8">
        <v>0.71099999999999997</v>
      </c>
      <c r="AA2327" s="8">
        <v>0.27</v>
      </c>
      <c r="AB2327" s="8">
        <v>7.8E-2</v>
      </c>
      <c r="AC2327" s="8">
        <v>1.0999999999999999E-2</v>
      </c>
    </row>
    <row r="2328" spans="1:29" ht="11.65" x14ac:dyDescent="0.35">
      <c r="A2328" s="12">
        <v>2311</v>
      </c>
      <c r="B2328" s="10" t="s">
        <v>1015</v>
      </c>
      <c r="C2328" s="11" t="s">
        <v>1178</v>
      </c>
      <c r="D2328" s="9"/>
      <c r="E2328" s="9">
        <v>214</v>
      </c>
      <c r="F2328" s="10" t="s">
        <v>1066</v>
      </c>
      <c r="G2328" s="9">
        <v>915</v>
      </c>
      <c r="H2328" s="9">
        <v>1950</v>
      </c>
      <c r="I2328" s="8">
        <v>222.667</v>
      </c>
      <c r="J2328" s="8">
        <v>167.33</v>
      </c>
      <c r="K2328" s="8">
        <v>150.81</v>
      </c>
      <c r="L2328" s="8">
        <v>128.517</v>
      </c>
      <c r="M2328" s="8">
        <v>104.309</v>
      </c>
      <c r="N2328" s="8">
        <v>85.224999999999994</v>
      </c>
      <c r="O2328" s="8">
        <v>71.141999999999996</v>
      </c>
      <c r="P2328" s="8">
        <v>59.893999999999998</v>
      </c>
      <c r="Q2328" s="8">
        <v>50.398000000000003</v>
      </c>
      <c r="R2328" s="8">
        <v>41.91</v>
      </c>
      <c r="S2328" s="8">
        <v>34.223999999999997</v>
      </c>
      <c r="T2328" s="8">
        <v>27.227</v>
      </c>
      <c r="U2328" s="8">
        <v>20.803999999999998</v>
      </c>
      <c r="V2328" s="8">
        <v>14.826000000000001</v>
      </c>
      <c r="W2328" s="8">
        <v>9.4629999999999992</v>
      </c>
      <c r="X2328" s="8">
        <v>5.1070000000000002</v>
      </c>
      <c r="Y2328" s="8">
        <v>2.3420000000000001</v>
      </c>
      <c r="Z2328" s="8">
        <v>0.84299999999999997</v>
      </c>
      <c r="AA2328" s="8">
        <v>0.223</v>
      </c>
      <c r="AB2328" s="8">
        <v>4.2000000000000003E-2</v>
      </c>
      <c r="AC2328" s="8">
        <v>6.0000000000000001E-3</v>
      </c>
    </row>
    <row r="2329" spans="1:29" ht="11.65" x14ac:dyDescent="0.35">
      <c r="A2329" s="12">
        <v>2312</v>
      </c>
      <c r="B2329" s="10" t="s">
        <v>1015</v>
      </c>
      <c r="C2329" s="11" t="s">
        <v>1178</v>
      </c>
      <c r="D2329" s="9"/>
      <c r="E2329" s="9">
        <v>214</v>
      </c>
      <c r="F2329" s="10" t="s">
        <v>1066</v>
      </c>
      <c r="G2329" s="9">
        <v>915</v>
      </c>
      <c r="H2329" s="9">
        <v>1955</v>
      </c>
      <c r="I2329" s="8">
        <v>285.56299999999999</v>
      </c>
      <c r="J2329" s="8">
        <v>204.20500000000001</v>
      </c>
      <c r="K2329" s="8">
        <v>161.239</v>
      </c>
      <c r="L2329" s="8">
        <v>141.084</v>
      </c>
      <c r="M2329" s="8">
        <v>121.06100000000001</v>
      </c>
      <c r="N2329" s="8">
        <v>101.661</v>
      </c>
      <c r="O2329" s="8">
        <v>84.914000000000001</v>
      </c>
      <c r="P2329" s="8">
        <v>70.671000000000006</v>
      </c>
      <c r="Q2329" s="8">
        <v>58.710999999999999</v>
      </c>
      <c r="R2329" s="8">
        <v>48.404000000000003</v>
      </c>
      <c r="S2329" s="8">
        <v>39.47</v>
      </c>
      <c r="T2329" s="8">
        <v>31.344999999999999</v>
      </c>
      <c r="U2329" s="8">
        <v>23.881</v>
      </c>
      <c r="V2329" s="8">
        <v>17.068999999999999</v>
      </c>
      <c r="W2329" s="8">
        <v>10.882999999999999</v>
      </c>
      <c r="X2329" s="8">
        <v>5.77</v>
      </c>
      <c r="Y2329" s="8">
        <v>2.4359999999999999</v>
      </c>
      <c r="Z2329" s="8">
        <v>0.86799999999999999</v>
      </c>
      <c r="AA2329" s="8">
        <v>0.23</v>
      </c>
      <c r="AB2329" s="8">
        <v>4.3999999999999997E-2</v>
      </c>
      <c r="AC2329" s="8">
        <v>6.0000000000000001E-3</v>
      </c>
    </row>
    <row r="2330" spans="1:29" ht="11.65" x14ac:dyDescent="0.35">
      <c r="A2330" s="12">
        <v>2313</v>
      </c>
      <c r="B2330" s="10" t="s">
        <v>1015</v>
      </c>
      <c r="C2330" s="11" t="s">
        <v>1178</v>
      </c>
      <c r="D2330" s="9"/>
      <c r="E2330" s="9">
        <v>214</v>
      </c>
      <c r="F2330" s="10" t="s">
        <v>1066</v>
      </c>
      <c r="G2330" s="9">
        <v>915</v>
      </c>
      <c r="H2330" s="9">
        <v>1960</v>
      </c>
      <c r="I2330" s="8">
        <v>341.41699999999997</v>
      </c>
      <c r="J2330" s="8">
        <v>266.44400000000002</v>
      </c>
      <c r="K2330" s="8">
        <v>195.47399999999999</v>
      </c>
      <c r="L2330" s="8">
        <v>149.92400000000001</v>
      </c>
      <c r="M2330" s="8">
        <v>132.20099999999999</v>
      </c>
      <c r="N2330" s="8">
        <v>116.95399999999999</v>
      </c>
      <c r="O2330" s="8">
        <v>100.42</v>
      </c>
      <c r="P2330" s="8">
        <v>84.393000000000001</v>
      </c>
      <c r="Q2330" s="8">
        <v>69.935000000000002</v>
      </c>
      <c r="R2330" s="8">
        <v>57.183999999999997</v>
      </c>
      <c r="S2330" s="8">
        <v>46.042999999999999</v>
      </c>
      <c r="T2330" s="8">
        <v>36.587000000000003</v>
      </c>
      <c r="U2330" s="8">
        <v>27.725000000000001</v>
      </c>
      <c r="V2330" s="8">
        <v>19.689</v>
      </c>
      <c r="W2330" s="8">
        <v>12.659000000000001</v>
      </c>
      <c r="X2330" s="8">
        <v>6.774</v>
      </c>
      <c r="Y2330" s="8">
        <v>2.8849999999999998</v>
      </c>
      <c r="Z2330" s="8">
        <v>0.95299999999999996</v>
      </c>
      <c r="AA2330" s="8">
        <v>0.255</v>
      </c>
      <c r="AB2330" s="8">
        <v>0.05</v>
      </c>
      <c r="AC2330" s="8">
        <v>7.0000000000000001E-3</v>
      </c>
    </row>
    <row r="2331" spans="1:29" ht="11.65" x14ac:dyDescent="0.35">
      <c r="A2331" s="12">
        <v>2314</v>
      </c>
      <c r="B2331" s="10" t="s">
        <v>1015</v>
      </c>
      <c r="C2331" s="11" t="s">
        <v>1178</v>
      </c>
      <c r="D2331" s="9"/>
      <c r="E2331" s="9">
        <v>214</v>
      </c>
      <c r="F2331" s="10" t="s">
        <v>1066</v>
      </c>
      <c r="G2331" s="9">
        <v>915</v>
      </c>
      <c r="H2331" s="9">
        <v>1965</v>
      </c>
      <c r="I2331" s="8">
        <v>383.67399999999998</v>
      </c>
      <c r="J2331" s="8">
        <v>322.97699999999998</v>
      </c>
      <c r="K2331" s="8">
        <v>254.815</v>
      </c>
      <c r="L2331" s="8">
        <v>182.86699999999999</v>
      </c>
      <c r="M2331" s="8">
        <v>140.03899999999999</v>
      </c>
      <c r="N2331" s="8">
        <v>127.797</v>
      </c>
      <c r="O2331" s="8">
        <v>115.39400000000001</v>
      </c>
      <c r="P2331" s="8">
        <v>99.656999999999996</v>
      </c>
      <c r="Q2331" s="8">
        <v>83.593000000000004</v>
      </c>
      <c r="R2331" s="8">
        <v>68.617999999999995</v>
      </c>
      <c r="S2331" s="8">
        <v>54.915999999999997</v>
      </c>
      <c r="T2331" s="8">
        <v>43.06</v>
      </c>
      <c r="U2331" s="8">
        <v>32.631999999999998</v>
      </c>
      <c r="V2331" s="8">
        <v>23</v>
      </c>
      <c r="W2331" s="8">
        <v>14.747999999999999</v>
      </c>
      <c r="X2331" s="8">
        <v>8.0310000000000006</v>
      </c>
      <c r="Y2331" s="8">
        <v>3.5379999999999998</v>
      </c>
      <c r="Z2331" s="8">
        <v>1.1879999999999999</v>
      </c>
      <c r="AA2331" s="8">
        <v>0.3</v>
      </c>
      <c r="AB2331" s="8">
        <v>6.0999999999999999E-2</v>
      </c>
      <c r="AC2331" s="8">
        <v>8.9999999999999993E-3</v>
      </c>
    </row>
    <row r="2332" spans="1:29" ht="11.65" x14ac:dyDescent="0.35">
      <c r="A2332" s="12">
        <v>2315</v>
      </c>
      <c r="B2332" s="10" t="s">
        <v>1015</v>
      </c>
      <c r="C2332" s="11" t="s">
        <v>1178</v>
      </c>
      <c r="D2332" s="9"/>
      <c r="E2332" s="9">
        <v>214</v>
      </c>
      <c r="F2332" s="10" t="s">
        <v>1066</v>
      </c>
      <c r="G2332" s="9">
        <v>915</v>
      </c>
      <c r="H2332" s="9">
        <v>1970</v>
      </c>
      <c r="I2332" s="8">
        <v>410.25299999999999</v>
      </c>
      <c r="J2332" s="8">
        <v>366.92099999999999</v>
      </c>
      <c r="K2332" s="8">
        <v>310.512</v>
      </c>
      <c r="L2332" s="8">
        <v>239.589</v>
      </c>
      <c r="M2332" s="8">
        <v>171.51400000000001</v>
      </c>
      <c r="N2332" s="8">
        <v>135.113</v>
      </c>
      <c r="O2332" s="8">
        <v>126.485</v>
      </c>
      <c r="P2332" s="8">
        <v>114.89400000000001</v>
      </c>
      <c r="Q2332" s="8">
        <v>98.709000000000003</v>
      </c>
      <c r="R2332" s="8">
        <v>82.316999999999993</v>
      </c>
      <c r="S2332" s="8">
        <v>66.201999999999998</v>
      </c>
      <c r="T2332" s="8">
        <v>51.612000000000002</v>
      </c>
      <c r="U2332" s="8">
        <v>38.683999999999997</v>
      </c>
      <c r="V2332" s="8">
        <v>27.25</v>
      </c>
      <c r="W2332" s="8">
        <v>17.436</v>
      </c>
      <c r="X2332" s="8">
        <v>9.5489999999999995</v>
      </c>
      <c r="Y2332" s="8">
        <v>4.3049999999999997</v>
      </c>
      <c r="Z2332" s="8">
        <v>1.5289999999999999</v>
      </c>
      <c r="AA2332" s="8">
        <v>0.39800000000000002</v>
      </c>
      <c r="AB2332" s="8">
        <v>7.8E-2</v>
      </c>
      <c r="AC2332" s="8">
        <v>1.2999999999999999E-2</v>
      </c>
    </row>
    <row r="2333" spans="1:29" ht="11.65" x14ac:dyDescent="0.35">
      <c r="A2333" s="12">
        <v>2316</v>
      </c>
      <c r="B2333" s="10" t="s">
        <v>1015</v>
      </c>
      <c r="C2333" s="11" t="s">
        <v>1178</v>
      </c>
      <c r="D2333" s="9"/>
      <c r="E2333" s="9">
        <v>214</v>
      </c>
      <c r="F2333" s="10" t="s">
        <v>1066</v>
      </c>
      <c r="G2333" s="9">
        <v>915</v>
      </c>
      <c r="H2333" s="9">
        <v>1975</v>
      </c>
      <c r="I2333" s="8">
        <v>430.65899999999999</v>
      </c>
      <c r="J2333" s="8">
        <v>397.08100000000002</v>
      </c>
      <c r="K2333" s="8">
        <v>354.04199999999997</v>
      </c>
      <c r="L2333" s="8">
        <v>293.61200000000002</v>
      </c>
      <c r="M2333" s="8">
        <v>224.94800000000001</v>
      </c>
      <c r="N2333" s="8">
        <v>164.68199999999999</v>
      </c>
      <c r="O2333" s="8">
        <v>132.84100000000001</v>
      </c>
      <c r="P2333" s="8">
        <v>126.02</v>
      </c>
      <c r="Q2333" s="8">
        <v>114.108</v>
      </c>
      <c r="R2333" s="8">
        <v>96.861999999999995</v>
      </c>
      <c r="S2333" s="8">
        <v>79.450999999999993</v>
      </c>
      <c r="T2333" s="8">
        <v>62.36</v>
      </c>
      <c r="U2333" s="8">
        <v>46.588000000000001</v>
      </c>
      <c r="V2333" s="8">
        <v>32.566000000000003</v>
      </c>
      <c r="W2333" s="8">
        <v>20.916</v>
      </c>
      <c r="X2333" s="8">
        <v>11.542</v>
      </c>
      <c r="Y2333" s="8">
        <v>5.2789999999999999</v>
      </c>
      <c r="Z2333" s="8">
        <v>1.9490000000000001</v>
      </c>
      <c r="AA2333" s="8">
        <v>0.54400000000000004</v>
      </c>
      <c r="AB2333" s="8">
        <v>0.11</v>
      </c>
      <c r="AC2333" s="8">
        <v>1.7999999999999999E-2</v>
      </c>
    </row>
    <row r="2334" spans="1:29" ht="11.65" x14ac:dyDescent="0.35">
      <c r="A2334" s="12">
        <v>2317</v>
      </c>
      <c r="B2334" s="10" t="s">
        <v>1015</v>
      </c>
      <c r="C2334" s="11" t="s">
        <v>1178</v>
      </c>
      <c r="D2334" s="9"/>
      <c r="E2334" s="9">
        <v>214</v>
      </c>
      <c r="F2334" s="10" t="s">
        <v>1066</v>
      </c>
      <c r="G2334" s="9">
        <v>915</v>
      </c>
      <c r="H2334" s="9">
        <v>1980</v>
      </c>
      <c r="I2334" s="8">
        <v>450.13400000000001</v>
      </c>
      <c r="J2334" s="8">
        <v>421.50299999999999</v>
      </c>
      <c r="K2334" s="8">
        <v>384.07799999999997</v>
      </c>
      <c r="L2334" s="8">
        <v>336.71600000000001</v>
      </c>
      <c r="M2334" s="8">
        <v>276.69600000000003</v>
      </c>
      <c r="N2334" s="8">
        <v>214.40899999999999</v>
      </c>
      <c r="O2334" s="8">
        <v>160.68799999999999</v>
      </c>
      <c r="P2334" s="8">
        <v>131.49100000000001</v>
      </c>
      <c r="Q2334" s="8">
        <v>125.038</v>
      </c>
      <c r="R2334" s="8">
        <v>111.852</v>
      </c>
      <c r="S2334" s="8">
        <v>93.308000000000007</v>
      </c>
      <c r="T2334" s="8">
        <v>74.953000000000003</v>
      </c>
      <c r="U2334" s="8">
        <v>56.427</v>
      </c>
      <c r="V2334" s="8">
        <v>39.521000000000001</v>
      </c>
      <c r="W2334" s="8">
        <v>25.347999999999999</v>
      </c>
      <c r="X2334" s="8">
        <v>14.164</v>
      </c>
      <c r="Y2334" s="8">
        <v>6.6040000000000001</v>
      </c>
      <c r="Z2334" s="8">
        <v>2.4980000000000002</v>
      </c>
      <c r="AA2334" s="8">
        <v>0.73499999999999999</v>
      </c>
      <c r="AB2334" s="8">
        <v>0.161</v>
      </c>
      <c r="AC2334" s="8">
        <v>2.7E-2</v>
      </c>
    </row>
    <row r="2335" spans="1:29" ht="11.65" x14ac:dyDescent="0.35">
      <c r="A2335" s="12">
        <v>2318</v>
      </c>
      <c r="B2335" s="10" t="s">
        <v>1015</v>
      </c>
      <c r="C2335" s="11" t="s">
        <v>1178</v>
      </c>
      <c r="D2335" s="9"/>
      <c r="E2335" s="9">
        <v>214</v>
      </c>
      <c r="F2335" s="10" t="s">
        <v>1066</v>
      </c>
      <c r="G2335" s="9">
        <v>915</v>
      </c>
      <c r="H2335" s="9">
        <v>1985</v>
      </c>
      <c r="I2335" s="8">
        <v>472.93599999999998</v>
      </c>
      <c r="J2335" s="8">
        <v>443.05900000000003</v>
      </c>
      <c r="K2335" s="8">
        <v>407.39800000000002</v>
      </c>
      <c r="L2335" s="8">
        <v>364.83800000000002</v>
      </c>
      <c r="M2335" s="8">
        <v>316.63</v>
      </c>
      <c r="N2335" s="8">
        <v>261.41500000000002</v>
      </c>
      <c r="O2335" s="8">
        <v>206.226</v>
      </c>
      <c r="P2335" s="8">
        <v>157.77199999999999</v>
      </c>
      <c r="Q2335" s="8">
        <v>129.96799999999999</v>
      </c>
      <c r="R2335" s="8">
        <v>122.515</v>
      </c>
      <c r="S2335" s="8">
        <v>107.81100000000001</v>
      </c>
      <c r="T2335" s="8">
        <v>88.003</v>
      </c>
      <c r="U2335" s="8">
        <v>68.058000000000007</v>
      </c>
      <c r="V2335" s="8">
        <v>48.328000000000003</v>
      </c>
      <c r="W2335" s="8">
        <v>31.222999999999999</v>
      </c>
      <c r="X2335" s="8">
        <v>17.562999999999999</v>
      </c>
      <c r="Y2335" s="8">
        <v>8.359</v>
      </c>
      <c r="Z2335" s="8">
        <v>3.2610000000000001</v>
      </c>
      <c r="AA2335" s="8">
        <v>0.995</v>
      </c>
      <c r="AB2335" s="8">
        <v>0.23200000000000001</v>
      </c>
      <c r="AC2335" s="8">
        <v>4.2999999999999997E-2</v>
      </c>
    </row>
    <row r="2336" spans="1:29" ht="11.65" x14ac:dyDescent="0.35">
      <c r="A2336" s="12">
        <v>2319</v>
      </c>
      <c r="B2336" s="10" t="s">
        <v>1015</v>
      </c>
      <c r="C2336" s="11" t="s">
        <v>1178</v>
      </c>
      <c r="D2336" s="9"/>
      <c r="E2336" s="9">
        <v>214</v>
      </c>
      <c r="F2336" s="10" t="s">
        <v>1066</v>
      </c>
      <c r="G2336" s="9">
        <v>915</v>
      </c>
      <c r="H2336" s="9">
        <v>1990</v>
      </c>
      <c r="I2336" s="8">
        <v>493.44299999999998</v>
      </c>
      <c r="J2336" s="8">
        <v>466.83800000000002</v>
      </c>
      <c r="K2336" s="8">
        <v>430.02699999999999</v>
      </c>
      <c r="L2336" s="8">
        <v>388.50799999999998</v>
      </c>
      <c r="M2336" s="8">
        <v>343.846</v>
      </c>
      <c r="N2336" s="8">
        <v>298.61700000000002</v>
      </c>
      <c r="O2336" s="8">
        <v>250.251</v>
      </c>
      <c r="P2336" s="8">
        <v>199.94499999999999</v>
      </c>
      <c r="Q2336" s="8">
        <v>154.74600000000001</v>
      </c>
      <c r="R2336" s="8">
        <v>127.003</v>
      </c>
      <c r="S2336" s="8">
        <v>118.155</v>
      </c>
      <c r="T2336" s="8">
        <v>101.708</v>
      </c>
      <c r="U2336" s="8">
        <v>80.158000000000001</v>
      </c>
      <c r="V2336" s="8">
        <v>58.573</v>
      </c>
      <c r="W2336" s="8">
        <v>38.603999999999999</v>
      </c>
      <c r="X2336" s="8">
        <v>22.111000000000001</v>
      </c>
      <c r="Y2336" s="8">
        <v>10.72</v>
      </c>
      <c r="Z2336" s="8">
        <v>4.298</v>
      </c>
      <c r="AA2336" s="8">
        <v>1.3660000000000001</v>
      </c>
      <c r="AB2336" s="8">
        <v>0.33400000000000002</v>
      </c>
      <c r="AC2336" s="8">
        <v>6.7000000000000004E-2</v>
      </c>
    </row>
    <row r="2337" spans="1:29" ht="11.65" x14ac:dyDescent="0.35">
      <c r="A2337" s="12">
        <v>2320</v>
      </c>
      <c r="B2337" s="10" t="s">
        <v>1015</v>
      </c>
      <c r="C2337" s="11" t="s">
        <v>1178</v>
      </c>
      <c r="D2337" s="9"/>
      <c r="E2337" s="9">
        <v>214</v>
      </c>
      <c r="F2337" s="10" t="s">
        <v>1066</v>
      </c>
      <c r="G2337" s="9">
        <v>915</v>
      </c>
      <c r="H2337" s="9">
        <v>1995</v>
      </c>
      <c r="I2337" s="8">
        <v>515.06200000000001</v>
      </c>
      <c r="J2337" s="8">
        <v>488.10399999999998</v>
      </c>
      <c r="K2337" s="8">
        <v>454.84399999999999</v>
      </c>
      <c r="L2337" s="8">
        <v>412.15199999999999</v>
      </c>
      <c r="M2337" s="8">
        <v>367.44200000000001</v>
      </c>
      <c r="N2337" s="8">
        <v>324.91500000000002</v>
      </c>
      <c r="O2337" s="8">
        <v>284.512</v>
      </c>
      <c r="P2337" s="8">
        <v>240.80699999999999</v>
      </c>
      <c r="Q2337" s="8">
        <v>193.75399999999999</v>
      </c>
      <c r="R2337" s="8">
        <v>150.65199999999999</v>
      </c>
      <c r="S2337" s="8">
        <v>122.38500000000001</v>
      </c>
      <c r="T2337" s="8">
        <v>111.913</v>
      </c>
      <c r="U2337" s="8">
        <v>92.826999999999998</v>
      </c>
      <c r="V2337" s="8">
        <v>69.480999999999995</v>
      </c>
      <c r="W2337" s="8">
        <v>47.305999999999997</v>
      </c>
      <c r="X2337" s="8">
        <v>27.925999999999998</v>
      </c>
      <c r="Y2337" s="8">
        <v>13.9</v>
      </c>
      <c r="Z2337" s="8">
        <v>5.734</v>
      </c>
      <c r="AA2337" s="8">
        <v>1.89</v>
      </c>
      <c r="AB2337" s="8">
        <v>0.48299999999999998</v>
      </c>
      <c r="AC2337" s="8">
        <v>0.10299999999999999</v>
      </c>
    </row>
    <row r="2338" spans="1:29" ht="11.65" x14ac:dyDescent="0.35">
      <c r="A2338" s="12">
        <v>2321</v>
      </c>
      <c r="B2338" s="10" t="s">
        <v>1015</v>
      </c>
      <c r="C2338" s="11" t="s">
        <v>1178</v>
      </c>
      <c r="D2338" s="9"/>
      <c r="E2338" s="9">
        <v>214</v>
      </c>
      <c r="F2338" s="10" t="s">
        <v>1066</v>
      </c>
      <c r="G2338" s="9">
        <v>915</v>
      </c>
      <c r="H2338" s="9">
        <v>2000</v>
      </c>
      <c r="I2338" s="8">
        <v>513.54200000000003</v>
      </c>
      <c r="J2338" s="8">
        <v>510.17099999999999</v>
      </c>
      <c r="K2338" s="8">
        <v>477.86</v>
      </c>
      <c r="L2338" s="8">
        <v>438.66500000000002</v>
      </c>
      <c r="M2338" s="8">
        <v>391.02100000000002</v>
      </c>
      <c r="N2338" s="8">
        <v>347.53199999999998</v>
      </c>
      <c r="O2338" s="8">
        <v>307.82</v>
      </c>
      <c r="P2338" s="8">
        <v>273.08999999999997</v>
      </c>
      <c r="Q2338" s="8">
        <v>232.84100000000001</v>
      </c>
      <c r="R2338" s="8">
        <v>187.095</v>
      </c>
      <c r="S2338" s="8">
        <v>144.69200000000001</v>
      </c>
      <c r="T2338" s="8">
        <v>115.749</v>
      </c>
      <c r="U2338" s="8">
        <v>102.465</v>
      </c>
      <c r="V2338" s="8">
        <v>81.034999999999997</v>
      </c>
      <c r="W2338" s="8">
        <v>56.828000000000003</v>
      </c>
      <c r="X2338" s="8">
        <v>34.944000000000003</v>
      </c>
      <c r="Y2338" s="8">
        <v>18.071000000000002</v>
      </c>
      <c r="Z2338" s="8">
        <v>7.72</v>
      </c>
      <c r="AA2338" s="8">
        <v>2.64</v>
      </c>
      <c r="AB2338" s="8">
        <v>0.70599999999999996</v>
      </c>
      <c r="AC2338" s="8">
        <v>0.16</v>
      </c>
    </row>
    <row r="2339" spans="1:29" ht="11.65" x14ac:dyDescent="0.35">
      <c r="A2339" s="12">
        <v>2322</v>
      </c>
      <c r="B2339" s="10" t="s">
        <v>1015</v>
      </c>
      <c r="C2339" s="11" t="s">
        <v>1178</v>
      </c>
      <c r="D2339" s="9"/>
      <c r="E2339" s="9">
        <v>214</v>
      </c>
      <c r="F2339" s="10" t="s">
        <v>1066</v>
      </c>
      <c r="G2339" s="9">
        <v>915</v>
      </c>
      <c r="H2339" s="9">
        <v>2005</v>
      </c>
      <c r="I2339" s="8">
        <v>507.36</v>
      </c>
      <c r="J2339" s="8">
        <v>510.99799999999999</v>
      </c>
      <c r="K2339" s="8">
        <v>507.07499999999999</v>
      </c>
      <c r="L2339" s="8">
        <v>468.601</v>
      </c>
      <c r="M2339" s="8">
        <v>424.56900000000002</v>
      </c>
      <c r="N2339" s="8">
        <v>376.38</v>
      </c>
      <c r="O2339" s="8">
        <v>334.93799999999999</v>
      </c>
      <c r="P2339" s="8">
        <v>296.803</v>
      </c>
      <c r="Q2339" s="8">
        <v>263.24099999999999</v>
      </c>
      <c r="R2339" s="8">
        <v>223.953</v>
      </c>
      <c r="S2339" s="8">
        <v>179.53700000000001</v>
      </c>
      <c r="T2339" s="8">
        <v>137.01900000000001</v>
      </c>
      <c r="U2339" s="8">
        <v>106.416</v>
      </c>
      <c r="V2339" s="8">
        <v>90.177000000000007</v>
      </c>
      <c r="W2339" s="8">
        <v>67.090999999999994</v>
      </c>
      <c r="X2339" s="8">
        <v>42.814999999999998</v>
      </c>
      <c r="Y2339" s="8">
        <v>23.277999999999999</v>
      </c>
      <c r="Z2339" s="8">
        <v>10.41</v>
      </c>
      <c r="AA2339" s="8">
        <v>3.718</v>
      </c>
      <c r="AB2339" s="8">
        <v>1.0389999999999999</v>
      </c>
      <c r="AC2339" s="8">
        <v>0.249</v>
      </c>
    </row>
    <row r="2340" spans="1:29" ht="11.65" x14ac:dyDescent="0.35">
      <c r="A2340" s="12">
        <v>2323</v>
      </c>
      <c r="B2340" s="10" t="s">
        <v>1015</v>
      </c>
      <c r="C2340" s="11" t="s">
        <v>1178</v>
      </c>
      <c r="D2340" s="9"/>
      <c r="E2340" s="9">
        <v>214</v>
      </c>
      <c r="F2340" s="10" t="s">
        <v>1066</v>
      </c>
      <c r="G2340" s="9">
        <v>915</v>
      </c>
      <c r="H2340" s="9">
        <v>2010</v>
      </c>
      <c r="I2340" s="8">
        <v>504.85399999999998</v>
      </c>
      <c r="J2340" s="8">
        <v>501.101</v>
      </c>
      <c r="K2340" s="8">
        <v>505.98</v>
      </c>
      <c r="L2340" s="8">
        <v>498.73599999999999</v>
      </c>
      <c r="M2340" s="8">
        <v>447.40300000000002</v>
      </c>
      <c r="N2340" s="8">
        <v>403.74099999999999</v>
      </c>
      <c r="O2340" s="8">
        <v>357.61099999999999</v>
      </c>
      <c r="P2340" s="8">
        <v>321.74200000000002</v>
      </c>
      <c r="Q2340" s="8">
        <v>286.68</v>
      </c>
      <c r="R2340" s="8">
        <v>253.74700000000001</v>
      </c>
      <c r="S2340" s="8">
        <v>215.36600000000001</v>
      </c>
      <c r="T2340" s="8">
        <v>170.40700000000001</v>
      </c>
      <c r="U2340" s="8">
        <v>126.553</v>
      </c>
      <c r="V2340" s="8">
        <v>94.41</v>
      </c>
      <c r="W2340" s="8">
        <v>75.619</v>
      </c>
      <c r="X2340" s="8">
        <v>51.597999999999999</v>
      </c>
      <c r="Y2340" s="8">
        <v>29.332000000000001</v>
      </c>
      <c r="Z2340" s="8">
        <v>13.888999999999999</v>
      </c>
      <c r="AA2340" s="8">
        <v>5.2309999999999999</v>
      </c>
      <c r="AB2340" s="8">
        <v>1.536</v>
      </c>
      <c r="AC2340" s="8">
        <v>0.38800000000000001</v>
      </c>
    </row>
    <row r="2341" spans="1:29" ht="11.65" x14ac:dyDescent="0.35">
      <c r="A2341" s="12">
        <v>2324</v>
      </c>
      <c r="B2341" s="10" t="s">
        <v>1015</v>
      </c>
      <c r="C2341" s="11" t="s">
        <v>1178</v>
      </c>
      <c r="D2341" s="9"/>
      <c r="E2341" s="9">
        <v>214</v>
      </c>
      <c r="F2341" s="10" t="s">
        <v>1066</v>
      </c>
      <c r="G2341" s="9">
        <v>915</v>
      </c>
      <c r="H2341" s="9">
        <v>2015</v>
      </c>
      <c r="I2341" s="8">
        <v>512.12900000000002</v>
      </c>
      <c r="J2341" s="8">
        <v>500.9</v>
      </c>
      <c r="K2341" s="8">
        <v>498.38900000000001</v>
      </c>
      <c r="L2341" s="8">
        <v>495.99299999999999</v>
      </c>
      <c r="M2341" s="8">
        <v>478.577</v>
      </c>
      <c r="N2341" s="8">
        <v>426.79500000000002</v>
      </c>
      <c r="O2341" s="8">
        <v>386.51299999999998</v>
      </c>
      <c r="P2341" s="8">
        <v>343.57900000000001</v>
      </c>
      <c r="Q2341" s="8">
        <v>309.90899999999999</v>
      </c>
      <c r="R2341" s="8">
        <v>275.56400000000002</v>
      </c>
      <c r="S2341" s="8">
        <v>242.602</v>
      </c>
      <c r="T2341" s="8">
        <v>203.41200000000001</v>
      </c>
      <c r="U2341" s="8">
        <v>157.18600000000001</v>
      </c>
      <c r="V2341" s="8">
        <v>112.57299999999999</v>
      </c>
      <c r="W2341" s="8">
        <v>79.772000000000006</v>
      </c>
      <c r="X2341" s="8">
        <v>59.076000000000001</v>
      </c>
      <c r="Y2341" s="8">
        <v>36.158999999999999</v>
      </c>
      <c r="Z2341" s="8">
        <v>18.106000000000002</v>
      </c>
      <c r="AA2341" s="8">
        <v>7.2670000000000003</v>
      </c>
      <c r="AB2341" s="8">
        <v>2.2599999999999998</v>
      </c>
      <c r="AC2341" s="8">
        <v>0.60599999999999998</v>
      </c>
    </row>
    <row r="2342" spans="1:29" ht="11.65" x14ac:dyDescent="0.35">
      <c r="A2342" s="12">
        <v>2325</v>
      </c>
      <c r="B2342" s="10" t="s">
        <v>1015</v>
      </c>
      <c r="C2342" s="11" t="s">
        <v>1178</v>
      </c>
      <c r="D2342" s="9"/>
      <c r="E2342" s="9">
        <v>214</v>
      </c>
      <c r="F2342" s="10" t="s">
        <v>1066</v>
      </c>
      <c r="G2342" s="9">
        <v>915</v>
      </c>
      <c r="H2342" s="9">
        <v>2020</v>
      </c>
      <c r="I2342" s="8">
        <v>511.78800000000001</v>
      </c>
      <c r="J2342" s="8">
        <v>508.23500000000001</v>
      </c>
      <c r="K2342" s="8">
        <v>498.25700000000001</v>
      </c>
      <c r="L2342" s="8">
        <v>488.57299999999998</v>
      </c>
      <c r="M2342" s="8">
        <v>477.21300000000002</v>
      </c>
      <c r="N2342" s="8">
        <v>458.49400000000003</v>
      </c>
      <c r="O2342" s="8">
        <v>409.65699999999998</v>
      </c>
      <c r="P2342" s="8">
        <v>372.387</v>
      </c>
      <c r="Q2342" s="8">
        <v>331.702</v>
      </c>
      <c r="R2342" s="8">
        <v>298.59800000000001</v>
      </c>
      <c r="S2342" s="8">
        <v>264.09899999999999</v>
      </c>
      <c r="T2342" s="8">
        <v>229.80099999999999</v>
      </c>
      <c r="U2342" s="8">
        <v>188.64599999999999</v>
      </c>
      <c r="V2342" s="8">
        <v>141.08799999999999</v>
      </c>
      <c r="W2342" s="8">
        <v>96.39</v>
      </c>
      <c r="X2342" s="8">
        <v>63.588000000000001</v>
      </c>
      <c r="Y2342" s="8">
        <v>42.55</v>
      </c>
      <c r="Z2342" s="8">
        <v>23.065000000000001</v>
      </c>
      <c r="AA2342" s="8">
        <v>9.85</v>
      </c>
      <c r="AB2342" s="8">
        <v>3.282</v>
      </c>
      <c r="AC2342" s="8">
        <v>0.94299999999999995</v>
      </c>
    </row>
    <row r="2343" spans="1:29" ht="11.65" x14ac:dyDescent="0.35">
      <c r="A2343" s="12">
        <v>2326</v>
      </c>
      <c r="B2343" s="10" t="s">
        <v>1015</v>
      </c>
      <c r="C2343" s="11" t="s">
        <v>1179</v>
      </c>
      <c r="D2343" s="9"/>
      <c r="E2343" s="9">
        <v>308</v>
      </c>
      <c r="F2343" s="10" t="s">
        <v>1066</v>
      </c>
      <c r="G2343" s="9">
        <v>915</v>
      </c>
      <c r="H2343" s="9">
        <v>1950</v>
      </c>
      <c r="I2343" s="8">
        <v>7.5449999999999999</v>
      </c>
      <c r="J2343" s="8">
        <v>6.0259999999999998</v>
      </c>
      <c r="K2343" s="8">
        <v>4.6260000000000003</v>
      </c>
      <c r="L2343" s="8">
        <v>3.2320000000000002</v>
      </c>
      <c r="M2343" s="8">
        <v>2.379</v>
      </c>
      <c r="N2343" s="8">
        <v>1.7729999999999999</v>
      </c>
      <c r="O2343" s="8">
        <v>1.6180000000000001</v>
      </c>
      <c r="P2343" s="8">
        <v>1.337</v>
      </c>
      <c r="Q2343" s="8">
        <v>1.228</v>
      </c>
      <c r="R2343" s="8">
        <v>1.2669999999999999</v>
      </c>
      <c r="S2343" s="8">
        <v>1.2450000000000001</v>
      </c>
      <c r="T2343" s="8">
        <v>0.85499999999999998</v>
      </c>
      <c r="U2343" s="8">
        <v>0.70299999999999996</v>
      </c>
      <c r="V2343" s="8">
        <v>0.48699999999999999</v>
      </c>
      <c r="W2343" s="8">
        <v>0.36299999999999999</v>
      </c>
      <c r="X2343" s="8">
        <v>0.214</v>
      </c>
      <c r="Y2343" s="8">
        <v>0.159</v>
      </c>
      <c r="Z2343" s="8">
        <v>0.08</v>
      </c>
      <c r="AA2343" s="8">
        <v>1.7000000000000001E-2</v>
      </c>
      <c r="AB2343" s="8">
        <v>2E-3</v>
      </c>
      <c r="AC2343" s="8">
        <v>0</v>
      </c>
    </row>
    <row r="2344" spans="1:29" ht="11.65" x14ac:dyDescent="0.35">
      <c r="A2344" s="12">
        <v>2327</v>
      </c>
      <c r="B2344" s="10" t="s">
        <v>1015</v>
      </c>
      <c r="C2344" s="11" t="s">
        <v>1179</v>
      </c>
      <c r="D2344" s="9"/>
      <c r="E2344" s="9">
        <v>308</v>
      </c>
      <c r="F2344" s="10" t="s">
        <v>1066</v>
      </c>
      <c r="G2344" s="9">
        <v>915</v>
      </c>
      <c r="H2344" s="9">
        <v>1955</v>
      </c>
      <c r="I2344" s="8">
        <v>7.3639999999999999</v>
      </c>
      <c r="J2344" s="8">
        <v>6.6070000000000002</v>
      </c>
      <c r="K2344" s="8">
        <v>4.657</v>
      </c>
      <c r="L2344" s="8">
        <v>3.7370000000000001</v>
      </c>
      <c r="M2344" s="8">
        <v>2.585</v>
      </c>
      <c r="N2344" s="8">
        <v>2.0979999999999999</v>
      </c>
      <c r="O2344" s="8">
        <v>1.6919999999999999</v>
      </c>
      <c r="P2344" s="8">
        <v>1.5680000000000001</v>
      </c>
      <c r="Q2344" s="8">
        <v>1.2969999999999999</v>
      </c>
      <c r="R2344" s="8">
        <v>1.181</v>
      </c>
      <c r="S2344" s="8">
        <v>1.202</v>
      </c>
      <c r="T2344" s="8">
        <v>1.153</v>
      </c>
      <c r="U2344" s="8">
        <v>0.75900000000000001</v>
      </c>
      <c r="V2344" s="8">
        <v>0.59099999999999997</v>
      </c>
      <c r="W2344" s="8">
        <v>0.373</v>
      </c>
      <c r="X2344" s="8">
        <v>0.24099999999999999</v>
      </c>
      <c r="Y2344" s="8">
        <v>0.14399999999999999</v>
      </c>
      <c r="Z2344" s="8">
        <v>5.5E-2</v>
      </c>
      <c r="AA2344" s="8">
        <v>1.7999999999999999E-2</v>
      </c>
      <c r="AB2344" s="8">
        <v>2E-3</v>
      </c>
      <c r="AC2344" s="8">
        <v>0</v>
      </c>
    </row>
    <row r="2345" spans="1:29" ht="11.65" x14ac:dyDescent="0.35">
      <c r="A2345" s="12">
        <v>2328</v>
      </c>
      <c r="B2345" s="10" t="s">
        <v>1015</v>
      </c>
      <c r="C2345" s="11" t="s">
        <v>1179</v>
      </c>
      <c r="D2345" s="9"/>
      <c r="E2345" s="9">
        <v>308</v>
      </c>
      <c r="F2345" s="10" t="s">
        <v>1066</v>
      </c>
      <c r="G2345" s="9">
        <v>915</v>
      </c>
      <c r="H2345" s="9">
        <v>1960</v>
      </c>
      <c r="I2345" s="8">
        <v>9.2490000000000006</v>
      </c>
      <c r="J2345" s="8">
        <v>7.2619999999999996</v>
      </c>
      <c r="K2345" s="8">
        <v>5.6970000000000001</v>
      </c>
      <c r="L2345" s="8">
        <v>3.5390000000000001</v>
      </c>
      <c r="M2345" s="8">
        <v>3.03</v>
      </c>
      <c r="N2345" s="8">
        <v>1.9410000000000001</v>
      </c>
      <c r="O2345" s="8">
        <v>1.823</v>
      </c>
      <c r="P2345" s="8">
        <v>1.605</v>
      </c>
      <c r="Q2345" s="8">
        <v>1.51</v>
      </c>
      <c r="R2345" s="8">
        <v>1.2490000000000001</v>
      </c>
      <c r="S2345" s="8">
        <v>1.125</v>
      </c>
      <c r="T2345" s="8">
        <v>1.1120000000000001</v>
      </c>
      <c r="U2345" s="8">
        <v>1.0229999999999999</v>
      </c>
      <c r="V2345" s="8">
        <v>0.63600000000000001</v>
      </c>
      <c r="W2345" s="8">
        <v>0.45200000000000001</v>
      </c>
      <c r="X2345" s="8">
        <v>0.246</v>
      </c>
      <c r="Y2345" s="8">
        <v>0.14599999999999999</v>
      </c>
      <c r="Z2345" s="8">
        <v>5.1999999999999998E-2</v>
      </c>
      <c r="AA2345" s="8">
        <v>1.2999999999999999E-2</v>
      </c>
      <c r="AB2345" s="8">
        <v>2E-3</v>
      </c>
      <c r="AC2345" s="8">
        <v>0</v>
      </c>
    </row>
    <row r="2346" spans="1:29" ht="11.65" x14ac:dyDescent="0.35">
      <c r="A2346" s="12">
        <v>2329</v>
      </c>
      <c r="B2346" s="10" t="s">
        <v>1015</v>
      </c>
      <c r="C2346" s="11" t="s">
        <v>1179</v>
      </c>
      <c r="D2346" s="9"/>
      <c r="E2346" s="9">
        <v>308</v>
      </c>
      <c r="F2346" s="10" t="s">
        <v>1066</v>
      </c>
      <c r="G2346" s="9">
        <v>915</v>
      </c>
      <c r="H2346" s="9">
        <v>1965</v>
      </c>
      <c r="I2346" s="8">
        <v>8.9359999999999999</v>
      </c>
      <c r="J2346" s="8">
        <v>8.6120000000000001</v>
      </c>
      <c r="K2346" s="8">
        <v>6.0060000000000002</v>
      </c>
      <c r="L2346" s="8">
        <v>4.423</v>
      </c>
      <c r="M2346" s="8">
        <v>2.7549999999999999</v>
      </c>
      <c r="N2346" s="8">
        <v>2.4550000000000001</v>
      </c>
      <c r="O2346" s="8">
        <v>1.5680000000000001</v>
      </c>
      <c r="P2346" s="8">
        <v>1.8009999999999999</v>
      </c>
      <c r="Q2346" s="8">
        <v>1.49</v>
      </c>
      <c r="R2346" s="8">
        <v>1.353</v>
      </c>
      <c r="S2346" s="8">
        <v>1.1910000000000001</v>
      </c>
      <c r="T2346" s="8">
        <v>1.159</v>
      </c>
      <c r="U2346" s="8">
        <v>0.999</v>
      </c>
      <c r="V2346" s="8">
        <v>0.72599999999999998</v>
      </c>
      <c r="W2346" s="8">
        <v>0.434</v>
      </c>
      <c r="X2346" s="8">
        <v>0.30099999999999999</v>
      </c>
      <c r="Y2346" s="8">
        <v>0.14799999999999999</v>
      </c>
      <c r="Z2346" s="8">
        <v>5.3999999999999999E-2</v>
      </c>
      <c r="AA2346" s="8">
        <v>1.2E-2</v>
      </c>
      <c r="AB2346" s="8">
        <v>2E-3</v>
      </c>
      <c r="AC2346" s="8">
        <v>0</v>
      </c>
    </row>
    <row r="2347" spans="1:29" ht="11.65" x14ac:dyDescent="0.35">
      <c r="A2347" s="12">
        <v>2330</v>
      </c>
      <c r="B2347" s="10" t="s">
        <v>1015</v>
      </c>
      <c r="C2347" s="11" t="s">
        <v>1179</v>
      </c>
      <c r="D2347" s="9"/>
      <c r="E2347" s="9">
        <v>308</v>
      </c>
      <c r="F2347" s="10" t="s">
        <v>1066</v>
      </c>
      <c r="G2347" s="9">
        <v>915</v>
      </c>
      <c r="H2347" s="9">
        <v>1970</v>
      </c>
      <c r="I2347" s="8">
        <v>6.5030000000000001</v>
      </c>
      <c r="J2347" s="8">
        <v>8.8170000000000002</v>
      </c>
      <c r="K2347" s="8">
        <v>8.0229999999999997</v>
      </c>
      <c r="L2347" s="8">
        <v>4.7850000000000001</v>
      </c>
      <c r="M2347" s="8">
        <v>3.1349999999999998</v>
      </c>
      <c r="N2347" s="8">
        <v>1.98</v>
      </c>
      <c r="O2347" s="8">
        <v>1.889</v>
      </c>
      <c r="P2347" s="8">
        <v>1.2010000000000001</v>
      </c>
      <c r="Q2347" s="8">
        <v>1.7709999999999999</v>
      </c>
      <c r="R2347" s="8">
        <v>1.3660000000000001</v>
      </c>
      <c r="S2347" s="8">
        <v>1.1830000000000001</v>
      </c>
      <c r="T2347" s="8">
        <v>1.113</v>
      </c>
      <c r="U2347" s="8">
        <v>1.153</v>
      </c>
      <c r="V2347" s="8">
        <v>0.84699999999999998</v>
      </c>
      <c r="W2347" s="8">
        <v>0.42899999999999999</v>
      </c>
      <c r="X2347" s="8">
        <v>0.24299999999999999</v>
      </c>
      <c r="Y2347" s="8">
        <v>0.17499999999999999</v>
      </c>
      <c r="Z2347" s="8">
        <v>5.6000000000000001E-2</v>
      </c>
      <c r="AA2347" s="8">
        <v>1.2999999999999999E-2</v>
      </c>
      <c r="AB2347" s="8">
        <v>2E-3</v>
      </c>
      <c r="AC2347" s="8">
        <v>0</v>
      </c>
    </row>
    <row r="2348" spans="1:29" ht="11.65" x14ac:dyDescent="0.35">
      <c r="A2348" s="12">
        <v>2331</v>
      </c>
      <c r="B2348" s="10" t="s">
        <v>1015</v>
      </c>
      <c r="C2348" s="11" t="s">
        <v>1179</v>
      </c>
      <c r="D2348" s="9"/>
      <c r="E2348" s="9">
        <v>308</v>
      </c>
      <c r="F2348" s="10" t="s">
        <v>1066</v>
      </c>
      <c r="G2348" s="9">
        <v>915</v>
      </c>
      <c r="H2348" s="9">
        <v>1975</v>
      </c>
      <c r="I2348" s="8">
        <v>6.4489999999999998</v>
      </c>
      <c r="J2348" s="8">
        <v>6.0339999999999998</v>
      </c>
      <c r="K2348" s="8">
        <v>7.3390000000000004</v>
      </c>
      <c r="L2348" s="8">
        <v>6.0789999999999997</v>
      </c>
      <c r="M2348" s="8">
        <v>3.8010000000000002</v>
      </c>
      <c r="N2348" s="8">
        <v>2.665</v>
      </c>
      <c r="O2348" s="8">
        <v>1.518</v>
      </c>
      <c r="P2348" s="8">
        <v>1.609</v>
      </c>
      <c r="Q2348" s="8">
        <v>1.2230000000000001</v>
      </c>
      <c r="R2348" s="8">
        <v>1.8260000000000001</v>
      </c>
      <c r="S2348" s="8">
        <v>1.226</v>
      </c>
      <c r="T2348" s="8">
        <v>1.101</v>
      </c>
      <c r="U2348" s="8">
        <v>1.0620000000000001</v>
      </c>
      <c r="V2348" s="8">
        <v>1.018</v>
      </c>
      <c r="W2348" s="8">
        <v>0.65300000000000002</v>
      </c>
      <c r="X2348" s="8">
        <v>0.308</v>
      </c>
      <c r="Y2348" s="8">
        <v>0.156</v>
      </c>
      <c r="Z2348" s="8">
        <v>6.6000000000000003E-2</v>
      </c>
      <c r="AA2348" s="8">
        <v>1.2999999999999999E-2</v>
      </c>
      <c r="AB2348" s="8">
        <v>2E-3</v>
      </c>
      <c r="AC2348" s="8">
        <v>0</v>
      </c>
    </row>
    <row r="2349" spans="1:29" ht="11.65" x14ac:dyDescent="0.35">
      <c r="A2349" s="12">
        <v>2332</v>
      </c>
      <c r="B2349" s="10" t="s">
        <v>1015</v>
      </c>
      <c r="C2349" s="11" t="s">
        <v>1179</v>
      </c>
      <c r="D2349" s="9"/>
      <c r="E2349" s="9">
        <v>308</v>
      </c>
      <c r="F2349" s="10" t="s">
        <v>1066</v>
      </c>
      <c r="G2349" s="9">
        <v>915</v>
      </c>
      <c r="H2349" s="9">
        <v>1980</v>
      </c>
      <c r="I2349" s="8">
        <v>5.9470000000000001</v>
      </c>
      <c r="J2349" s="8">
        <v>6.1109999999999998</v>
      </c>
      <c r="K2349" s="8">
        <v>5.9649999999999999</v>
      </c>
      <c r="L2349" s="8">
        <v>5.7309999999999999</v>
      </c>
      <c r="M2349" s="8">
        <v>4.085</v>
      </c>
      <c r="N2349" s="8">
        <v>2.9369999999999998</v>
      </c>
      <c r="O2349" s="8">
        <v>2.1309999999999998</v>
      </c>
      <c r="P2349" s="8">
        <v>1.1990000000000001</v>
      </c>
      <c r="Q2349" s="8">
        <v>1.5489999999999999</v>
      </c>
      <c r="R2349" s="8">
        <v>1.1919999999999999</v>
      </c>
      <c r="S2349" s="8">
        <v>1.621</v>
      </c>
      <c r="T2349" s="8">
        <v>0.94799999999999995</v>
      </c>
      <c r="U2349" s="8">
        <v>1.018</v>
      </c>
      <c r="V2349" s="8">
        <v>0.96899999999999997</v>
      </c>
      <c r="W2349" s="8">
        <v>0.83099999999999996</v>
      </c>
      <c r="X2349" s="8">
        <v>0.435</v>
      </c>
      <c r="Y2349" s="8">
        <v>0.247</v>
      </c>
      <c r="Z2349" s="8">
        <v>0.06</v>
      </c>
      <c r="AA2349" s="8">
        <v>1.7000000000000001E-2</v>
      </c>
      <c r="AB2349" s="8">
        <v>2E-3</v>
      </c>
      <c r="AC2349" s="8">
        <v>0</v>
      </c>
    </row>
    <row r="2350" spans="1:29" ht="11.65" x14ac:dyDescent="0.35">
      <c r="A2350" s="12">
        <v>2333</v>
      </c>
      <c r="B2350" s="10" t="s">
        <v>1015</v>
      </c>
      <c r="C2350" s="11" t="s">
        <v>1179</v>
      </c>
      <c r="D2350" s="9"/>
      <c r="E2350" s="9">
        <v>308</v>
      </c>
      <c r="F2350" s="10" t="s">
        <v>1066</v>
      </c>
      <c r="G2350" s="9">
        <v>915</v>
      </c>
      <c r="H2350" s="9">
        <v>1985</v>
      </c>
      <c r="I2350" s="8">
        <v>7.3940000000000001</v>
      </c>
      <c r="J2350" s="8">
        <v>5.8739999999999997</v>
      </c>
      <c r="K2350" s="8">
        <v>6.0730000000000004</v>
      </c>
      <c r="L2350" s="8">
        <v>5.9279999999999999</v>
      </c>
      <c r="M2350" s="8">
        <v>5.67</v>
      </c>
      <c r="N2350" s="8">
        <v>4.0339999999999998</v>
      </c>
      <c r="O2350" s="8">
        <v>2.8980000000000001</v>
      </c>
      <c r="P2350" s="8">
        <v>2.097</v>
      </c>
      <c r="Q2350" s="8">
        <v>1.1739999999999999</v>
      </c>
      <c r="R2350" s="8">
        <v>1.504</v>
      </c>
      <c r="S2350" s="8">
        <v>1.141</v>
      </c>
      <c r="T2350" s="8">
        <v>1.514</v>
      </c>
      <c r="U2350" s="8">
        <v>0.85199999999999998</v>
      </c>
      <c r="V2350" s="8">
        <v>0.86699999999999999</v>
      </c>
      <c r="W2350" s="8">
        <v>0.754</v>
      </c>
      <c r="X2350" s="8">
        <v>0.56000000000000005</v>
      </c>
      <c r="Y2350" s="8">
        <v>0.24399999999999999</v>
      </c>
      <c r="Z2350" s="8">
        <v>9.9000000000000005E-2</v>
      </c>
      <c r="AA2350" s="8">
        <v>1.6E-2</v>
      </c>
      <c r="AB2350" s="8">
        <v>3.0000000000000001E-3</v>
      </c>
      <c r="AC2350" s="8">
        <v>0</v>
      </c>
    </row>
    <row r="2351" spans="1:29" ht="11.65" x14ac:dyDescent="0.35">
      <c r="A2351" s="12">
        <v>2334</v>
      </c>
      <c r="B2351" s="10" t="s">
        <v>1015</v>
      </c>
      <c r="C2351" s="11" t="s">
        <v>1179</v>
      </c>
      <c r="D2351" s="9"/>
      <c r="E2351" s="9">
        <v>308</v>
      </c>
      <c r="F2351" s="10" t="s">
        <v>1066</v>
      </c>
      <c r="G2351" s="9">
        <v>915</v>
      </c>
      <c r="H2351" s="9">
        <v>1990</v>
      </c>
      <c r="I2351" s="8">
        <v>7.5529999999999999</v>
      </c>
      <c r="J2351" s="8">
        <v>6.5590000000000002</v>
      </c>
      <c r="K2351" s="8">
        <v>4.9240000000000004</v>
      </c>
      <c r="L2351" s="8">
        <v>5.1029999999999998</v>
      </c>
      <c r="M2351" s="8">
        <v>3.7970000000000002</v>
      </c>
      <c r="N2351" s="8">
        <v>3.597</v>
      </c>
      <c r="O2351" s="8">
        <v>3.0950000000000002</v>
      </c>
      <c r="P2351" s="8">
        <v>2.5670000000000002</v>
      </c>
      <c r="Q2351" s="8">
        <v>1.8049999999999999</v>
      </c>
      <c r="R2351" s="8">
        <v>1.2290000000000001</v>
      </c>
      <c r="S2351" s="8">
        <v>1.633</v>
      </c>
      <c r="T2351" s="8">
        <v>1.167</v>
      </c>
      <c r="U2351" s="8">
        <v>1.49</v>
      </c>
      <c r="V2351" s="8">
        <v>1.0820000000000001</v>
      </c>
      <c r="W2351" s="8">
        <v>0.94699999999999995</v>
      </c>
      <c r="X2351" s="8">
        <v>0.51800000000000002</v>
      </c>
      <c r="Y2351" s="8">
        <v>0.314</v>
      </c>
      <c r="Z2351" s="8">
        <v>9.9000000000000005E-2</v>
      </c>
      <c r="AA2351" s="8">
        <v>2.7E-2</v>
      </c>
      <c r="AB2351" s="8">
        <v>2E-3</v>
      </c>
      <c r="AC2351" s="8">
        <v>0</v>
      </c>
    </row>
    <row r="2352" spans="1:29" ht="11.65" x14ac:dyDescent="0.35">
      <c r="A2352" s="12">
        <v>2335</v>
      </c>
      <c r="B2352" s="10" t="s">
        <v>1015</v>
      </c>
      <c r="C2352" s="11" t="s">
        <v>1179</v>
      </c>
      <c r="D2352" s="9"/>
      <c r="E2352" s="9">
        <v>308</v>
      </c>
      <c r="F2352" s="10" t="s">
        <v>1066</v>
      </c>
      <c r="G2352" s="9">
        <v>915</v>
      </c>
      <c r="H2352" s="9">
        <v>1995</v>
      </c>
      <c r="I2352" s="8">
        <v>6.2279999999999998</v>
      </c>
      <c r="J2352" s="8">
        <v>7.024</v>
      </c>
      <c r="K2352" s="8">
        <v>6.02</v>
      </c>
      <c r="L2352" s="8">
        <v>4.3470000000000004</v>
      </c>
      <c r="M2352" s="8">
        <v>4.1760000000000002</v>
      </c>
      <c r="N2352" s="8">
        <v>3.5249999999999999</v>
      </c>
      <c r="O2352" s="8">
        <v>3.63</v>
      </c>
      <c r="P2352" s="8">
        <v>3.234</v>
      </c>
      <c r="Q2352" s="8">
        <v>2.5390000000000001</v>
      </c>
      <c r="R2352" s="8">
        <v>1.792</v>
      </c>
      <c r="S2352" s="8">
        <v>1.2390000000000001</v>
      </c>
      <c r="T2352" s="8">
        <v>1.5429999999999999</v>
      </c>
      <c r="U2352" s="8">
        <v>1.2969999999999999</v>
      </c>
      <c r="V2352" s="8">
        <v>1.288</v>
      </c>
      <c r="W2352" s="8">
        <v>0.86199999999999999</v>
      </c>
      <c r="X2352" s="8">
        <v>0.56699999999999995</v>
      </c>
      <c r="Y2352" s="8">
        <v>0.29799999999999999</v>
      </c>
      <c r="Z2352" s="8">
        <v>0.13200000000000001</v>
      </c>
      <c r="AA2352" s="8">
        <v>2.8000000000000001E-2</v>
      </c>
      <c r="AB2352" s="8">
        <v>4.0000000000000001E-3</v>
      </c>
      <c r="AC2352" s="8">
        <v>0</v>
      </c>
    </row>
    <row r="2353" spans="1:29" ht="11.65" x14ac:dyDescent="0.35">
      <c r="A2353" s="12">
        <v>2336</v>
      </c>
      <c r="B2353" s="10" t="s">
        <v>1015</v>
      </c>
      <c r="C2353" s="11" t="s">
        <v>1179</v>
      </c>
      <c r="D2353" s="9"/>
      <c r="E2353" s="9">
        <v>308</v>
      </c>
      <c r="F2353" s="10" t="s">
        <v>1066</v>
      </c>
      <c r="G2353" s="9">
        <v>915</v>
      </c>
      <c r="H2353" s="9">
        <v>2000</v>
      </c>
      <c r="I2353" s="8">
        <v>5.1340000000000003</v>
      </c>
      <c r="J2353" s="8">
        <v>5.6210000000000004</v>
      </c>
      <c r="K2353" s="8">
        <v>6.5309999999999997</v>
      </c>
      <c r="L2353" s="8">
        <v>5.5250000000000004</v>
      </c>
      <c r="M2353" s="8">
        <v>3.8359999999999999</v>
      </c>
      <c r="N2353" s="8">
        <v>3.4180000000000001</v>
      </c>
      <c r="O2353" s="8">
        <v>3.2749999999999999</v>
      </c>
      <c r="P2353" s="8">
        <v>3.661</v>
      </c>
      <c r="Q2353" s="8">
        <v>3.379</v>
      </c>
      <c r="R2353" s="8">
        <v>2.5150000000000001</v>
      </c>
      <c r="S2353" s="8">
        <v>1.782</v>
      </c>
      <c r="T2353" s="8">
        <v>1.248</v>
      </c>
      <c r="U2353" s="8">
        <v>1.4590000000000001</v>
      </c>
      <c r="V2353" s="8">
        <v>1.4419999999999999</v>
      </c>
      <c r="W2353" s="8">
        <v>1.1140000000000001</v>
      </c>
      <c r="X2353" s="8">
        <v>0.68799999999999994</v>
      </c>
      <c r="Y2353" s="8">
        <v>0.34</v>
      </c>
      <c r="Z2353" s="8">
        <v>0.13100000000000001</v>
      </c>
      <c r="AA2353" s="8">
        <v>3.9E-2</v>
      </c>
      <c r="AB2353" s="8">
        <v>5.0000000000000001E-3</v>
      </c>
      <c r="AC2353" s="8">
        <v>0</v>
      </c>
    </row>
    <row r="2354" spans="1:29" ht="11.65" x14ac:dyDescent="0.35">
      <c r="A2354" s="12">
        <v>2337</v>
      </c>
      <c r="B2354" s="10" t="s">
        <v>1015</v>
      </c>
      <c r="C2354" s="11" t="s">
        <v>1179</v>
      </c>
      <c r="D2354" s="9"/>
      <c r="E2354" s="9">
        <v>308</v>
      </c>
      <c r="F2354" s="10" t="s">
        <v>1066</v>
      </c>
      <c r="G2354" s="9">
        <v>915</v>
      </c>
      <c r="H2354" s="9">
        <v>2005</v>
      </c>
      <c r="I2354" s="8">
        <v>4.7709999999999999</v>
      </c>
      <c r="J2354" s="8">
        <v>4.8339999999999996</v>
      </c>
      <c r="K2354" s="8">
        <v>5.327</v>
      </c>
      <c r="L2354" s="8">
        <v>5.7</v>
      </c>
      <c r="M2354" s="8">
        <v>5.0410000000000004</v>
      </c>
      <c r="N2354" s="8">
        <v>3.625</v>
      </c>
      <c r="O2354" s="8">
        <v>3.4279999999999999</v>
      </c>
      <c r="P2354" s="8">
        <v>3.254</v>
      </c>
      <c r="Q2354" s="8">
        <v>3.5459999999999998</v>
      </c>
      <c r="R2354" s="8">
        <v>3.3140000000000001</v>
      </c>
      <c r="S2354" s="8">
        <v>2.4660000000000002</v>
      </c>
      <c r="T2354" s="8">
        <v>1.831</v>
      </c>
      <c r="U2354" s="8">
        <v>1.347</v>
      </c>
      <c r="V2354" s="8">
        <v>1.395</v>
      </c>
      <c r="W2354" s="8">
        <v>1.1970000000000001</v>
      </c>
      <c r="X2354" s="8">
        <v>0.78500000000000003</v>
      </c>
      <c r="Y2354" s="8">
        <v>0.436</v>
      </c>
      <c r="Z2354" s="8">
        <v>0.152</v>
      </c>
      <c r="AA2354" s="8">
        <v>3.6999999999999998E-2</v>
      </c>
      <c r="AB2354" s="8">
        <v>7.0000000000000001E-3</v>
      </c>
      <c r="AC2354" s="8">
        <v>0</v>
      </c>
    </row>
    <row r="2355" spans="1:29" ht="11.65" x14ac:dyDescent="0.35">
      <c r="A2355" s="12">
        <v>2338</v>
      </c>
      <c r="B2355" s="10" t="s">
        <v>1015</v>
      </c>
      <c r="C2355" s="11" t="s">
        <v>1179</v>
      </c>
      <c r="D2355" s="9"/>
      <c r="E2355" s="9">
        <v>308</v>
      </c>
      <c r="F2355" s="10" t="s">
        <v>1066</v>
      </c>
      <c r="G2355" s="9">
        <v>915</v>
      </c>
      <c r="H2355" s="9">
        <v>2010</v>
      </c>
      <c r="I2355" s="8">
        <v>4.4749999999999996</v>
      </c>
      <c r="J2355" s="8">
        <v>3.919</v>
      </c>
      <c r="K2355" s="8">
        <v>4.5949999999999998</v>
      </c>
      <c r="L2355" s="8">
        <v>5.0999999999999996</v>
      </c>
      <c r="M2355" s="8">
        <v>5.0250000000000004</v>
      </c>
      <c r="N2355" s="8">
        <v>4.6429999999999998</v>
      </c>
      <c r="O2355" s="8">
        <v>3.4590000000000001</v>
      </c>
      <c r="P2355" s="8">
        <v>3.47</v>
      </c>
      <c r="Q2355" s="8">
        <v>3.266</v>
      </c>
      <c r="R2355" s="8">
        <v>3.4670000000000001</v>
      </c>
      <c r="S2355" s="8">
        <v>3.2829999999999999</v>
      </c>
      <c r="T2355" s="8">
        <v>2.4420000000000002</v>
      </c>
      <c r="U2355" s="8">
        <v>1.9</v>
      </c>
      <c r="V2355" s="8">
        <v>1.468</v>
      </c>
      <c r="W2355" s="8">
        <v>1.345</v>
      </c>
      <c r="X2355" s="8">
        <v>1.0029999999999999</v>
      </c>
      <c r="Y2355" s="8">
        <v>0.55900000000000005</v>
      </c>
      <c r="Z2355" s="8">
        <v>0.19500000000000001</v>
      </c>
      <c r="AA2355" s="8">
        <v>4.4999999999999998E-2</v>
      </c>
      <c r="AB2355" s="8">
        <v>7.0000000000000001E-3</v>
      </c>
      <c r="AC2355" s="8">
        <v>1E-3</v>
      </c>
    </row>
    <row r="2356" spans="1:29" ht="11.65" x14ac:dyDescent="0.35">
      <c r="A2356" s="12">
        <v>2339</v>
      </c>
      <c r="B2356" s="10" t="s">
        <v>1015</v>
      </c>
      <c r="C2356" s="11" t="s">
        <v>1179</v>
      </c>
      <c r="D2356" s="9"/>
      <c r="E2356" s="9">
        <v>308</v>
      </c>
      <c r="F2356" s="10" t="s">
        <v>1066</v>
      </c>
      <c r="G2356" s="9">
        <v>915</v>
      </c>
      <c r="H2356" s="9">
        <v>2015</v>
      </c>
      <c r="I2356" s="8">
        <v>4.6879999999999997</v>
      </c>
      <c r="J2356" s="8">
        <v>4.4530000000000003</v>
      </c>
      <c r="K2356" s="8">
        <v>3.903</v>
      </c>
      <c r="L2356" s="8">
        <v>4.5279999999999996</v>
      </c>
      <c r="M2356" s="8">
        <v>4.9720000000000004</v>
      </c>
      <c r="N2356" s="8">
        <v>4.8970000000000002</v>
      </c>
      <c r="O2356" s="8">
        <v>4.5369999999999999</v>
      </c>
      <c r="P2356" s="8">
        <v>3.375</v>
      </c>
      <c r="Q2356" s="8">
        <v>3.3879999999999999</v>
      </c>
      <c r="R2356" s="8">
        <v>3.1760000000000002</v>
      </c>
      <c r="S2356" s="8">
        <v>3.335</v>
      </c>
      <c r="T2356" s="8">
        <v>3.0979999999999999</v>
      </c>
      <c r="U2356" s="8">
        <v>2.234</v>
      </c>
      <c r="V2356" s="8">
        <v>1.6539999999999999</v>
      </c>
      <c r="W2356" s="8">
        <v>1.1830000000000001</v>
      </c>
      <c r="X2356" s="8">
        <v>0.96099999999999997</v>
      </c>
      <c r="Y2356" s="8">
        <v>0.59299999999999997</v>
      </c>
      <c r="Z2356" s="8">
        <v>0.247</v>
      </c>
      <c r="AA2356" s="8">
        <v>5.7000000000000002E-2</v>
      </c>
      <c r="AB2356" s="8">
        <v>8.9999999999999993E-3</v>
      </c>
      <c r="AC2356" s="8">
        <v>1E-3</v>
      </c>
    </row>
    <row r="2357" spans="1:29" ht="11.65" x14ac:dyDescent="0.35">
      <c r="A2357" s="12">
        <v>2340</v>
      </c>
      <c r="B2357" s="10" t="s">
        <v>1015</v>
      </c>
      <c r="C2357" s="11" t="s">
        <v>1179</v>
      </c>
      <c r="D2357" s="9"/>
      <c r="E2357" s="9">
        <v>308</v>
      </c>
      <c r="F2357" s="10" t="s">
        <v>1066</v>
      </c>
      <c r="G2357" s="9">
        <v>915</v>
      </c>
      <c r="H2357" s="9">
        <v>2020</v>
      </c>
      <c r="I2357" s="8">
        <v>4.6100000000000003</v>
      </c>
      <c r="J2357" s="8">
        <v>4.665</v>
      </c>
      <c r="K2357" s="8">
        <v>4.4349999999999996</v>
      </c>
      <c r="L2357" s="8">
        <v>3.8359999999999999</v>
      </c>
      <c r="M2357" s="8">
        <v>4.4059999999999997</v>
      </c>
      <c r="N2357" s="8">
        <v>4.843</v>
      </c>
      <c r="O2357" s="8">
        <v>4.7869999999999999</v>
      </c>
      <c r="P2357" s="8">
        <v>4.4420000000000002</v>
      </c>
      <c r="Q2357" s="8">
        <v>3.2959999999999998</v>
      </c>
      <c r="R2357" s="8">
        <v>3.294</v>
      </c>
      <c r="S2357" s="8">
        <v>3.052</v>
      </c>
      <c r="T2357" s="8">
        <v>3.1469999999999998</v>
      </c>
      <c r="U2357" s="8">
        <v>2.8340000000000001</v>
      </c>
      <c r="V2357" s="8">
        <v>1.9430000000000001</v>
      </c>
      <c r="W2357" s="8">
        <v>1.329</v>
      </c>
      <c r="X2357" s="8">
        <v>0.84</v>
      </c>
      <c r="Y2357" s="8">
        <v>0.56399999999999995</v>
      </c>
      <c r="Z2357" s="8">
        <v>0.26100000000000001</v>
      </c>
      <c r="AA2357" s="8">
        <v>7.0999999999999994E-2</v>
      </c>
      <c r="AB2357" s="8">
        <v>0.01</v>
      </c>
      <c r="AC2357" s="8">
        <v>1E-3</v>
      </c>
    </row>
    <row r="2358" spans="1:29" ht="11.65" x14ac:dyDescent="0.35">
      <c r="A2358" s="12">
        <v>2341</v>
      </c>
      <c r="B2358" s="10" t="s">
        <v>1015</v>
      </c>
      <c r="C2358" s="11" t="s">
        <v>1180</v>
      </c>
      <c r="D2358" s="9">
        <v>2</v>
      </c>
      <c r="E2358" s="9">
        <v>312</v>
      </c>
      <c r="F2358" s="10" t="s">
        <v>1066</v>
      </c>
      <c r="G2358" s="9">
        <v>915</v>
      </c>
      <c r="H2358" s="9">
        <v>1950</v>
      </c>
      <c r="I2358" s="8">
        <v>17.983000000000001</v>
      </c>
      <c r="J2358" s="8">
        <v>12.987</v>
      </c>
      <c r="K2358" s="8">
        <v>10.989000000000001</v>
      </c>
      <c r="L2358" s="8">
        <v>8.9920000000000009</v>
      </c>
      <c r="M2358" s="8">
        <v>7.9930000000000003</v>
      </c>
      <c r="N2358" s="8">
        <v>7.992</v>
      </c>
      <c r="O2358" s="8">
        <v>6.9939999999999998</v>
      </c>
      <c r="P2358" s="8">
        <v>6.9930000000000003</v>
      </c>
      <c r="Q2358" s="8">
        <v>4.9939999999999998</v>
      </c>
      <c r="R2358" s="8">
        <v>3.996</v>
      </c>
      <c r="S2358" s="8">
        <v>2.996</v>
      </c>
      <c r="T2358" s="8">
        <v>2.9980000000000002</v>
      </c>
      <c r="U2358" s="8">
        <v>1.9990000000000001</v>
      </c>
      <c r="V2358" s="8">
        <v>0.999</v>
      </c>
      <c r="W2358" s="8">
        <v>0.999</v>
      </c>
      <c r="X2358" s="8">
        <v>0.999</v>
      </c>
      <c r="Y2358" s="8">
        <v>8.5000000000000006E-2</v>
      </c>
      <c r="Z2358" s="8">
        <v>1.4E-2</v>
      </c>
      <c r="AA2358" s="8">
        <v>0</v>
      </c>
      <c r="AB2358" s="8">
        <v>0</v>
      </c>
      <c r="AC2358" s="8">
        <v>0</v>
      </c>
    </row>
    <row r="2359" spans="1:29" ht="11.65" x14ac:dyDescent="0.35">
      <c r="A2359" s="12">
        <v>2342</v>
      </c>
      <c r="B2359" s="10" t="s">
        <v>1015</v>
      </c>
      <c r="C2359" s="11" t="s">
        <v>1180</v>
      </c>
      <c r="D2359" s="9">
        <v>2</v>
      </c>
      <c r="E2359" s="9">
        <v>312</v>
      </c>
      <c r="F2359" s="10" t="s">
        <v>1066</v>
      </c>
      <c r="G2359" s="9">
        <v>915</v>
      </c>
      <c r="H2359" s="9">
        <v>1955</v>
      </c>
      <c r="I2359" s="8">
        <v>20.045999999999999</v>
      </c>
      <c r="J2359" s="8">
        <v>16.882999999999999</v>
      </c>
      <c r="K2359" s="8">
        <v>11.949</v>
      </c>
      <c r="L2359" s="8">
        <v>10.013999999999999</v>
      </c>
      <c r="M2359" s="8">
        <v>8.9960000000000004</v>
      </c>
      <c r="N2359" s="8">
        <v>7.9960000000000004</v>
      </c>
      <c r="O2359" s="8">
        <v>7.9950000000000001</v>
      </c>
      <c r="P2359" s="8">
        <v>6.9969999999999999</v>
      </c>
      <c r="Q2359" s="8">
        <v>5.9950000000000001</v>
      </c>
      <c r="R2359" s="8">
        <v>4.9950000000000001</v>
      </c>
      <c r="S2359" s="8">
        <v>3.9969999999999999</v>
      </c>
      <c r="T2359" s="8">
        <v>2.9980000000000002</v>
      </c>
      <c r="U2359" s="8">
        <v>2.0009999999999999</v>
      </c>
      <c r="V2359" s="8">
        <v>1.9970000000000001</v>
      </c>
      <c r="W2359" s="8">
        <v>0.999</v>
      </c>
      <c r="X2359" s="8">
        <v>0.59899999999999998</v>
      </c>
      <c r="Y2359" s="8">
        <v>0.47299999999999998</v>
      </c>
      <c r="Z2359" s="8">
        <v>3.9E-2</v>
      </c>
      <c r="AA2359" s="8">
        <v>0</v>
      </c>
      <c r="AB2359" s="8">
        <v>0</v>
      </c>
      <c r="AC2359" s="8">
        <v>0</v>
      </c>
    </row>
    <row r="2360" spans="1:29" ht="11.65" x14ac:dyDescent="0.35">
      <c r="A2360" s="12">
        <v>2343</v>
      </c>
      <c r="B2360" s="10" t="s">
        <v>1015</v>
      </c>
      <c r="C2360" s="11" t="s">
        <v>1180</v>
      </c>
      <c r="D2360" s="9">
        <v>2</v>
      </c>
      <c r="E2360" s="9">
        <v>312</v>
      </c>
      <c r="F2360" s="10" t="s">
        <v>1066</v>
      </c>
      <c r="G2360" s="9">
        <v>915</v>
      </c>
      <c r="H2360" s="9">
        <v>1960</v>
      </c>
      <c r="I2360" s="8">
        <v>23.331</v>
      </c>
      <c r="J2360" s="8">
        <v>20.175999999999998</v>
      </c>
      <c r="K2360" s="8">
        <v>16.847999999999999</v>
      </c>
      <c r="L2360" s="8">
        <v>11.064</v>
      </c>
      <c r="M2360" s="8">
        <v>9.1170000000000009</v>
      </c>
      <c r="N2360" s="8">
        <v>8.1</v>
      </c>
      <c r="O2360" s="8">
        <v>8.0990000000000002</v>
      </c>
      <c r="P2360" s="8">
        <v>8.1</v>
      </c>
      <c r="Q2360" s="8">
        <v>6.9980000000000002</v>
      </c>
      <c r="R2360" s="8">
        <v>5.9980000000000002</v>
      </c>
      <c r="S2360" s="8">
        <v>5</v>
      </c>
      <c r="T2360" s="8">
        <v>4</v>
      </c>
      <c r="U2360" s="8">
        <v>3.0019999999999998</v>
      </c>
      <c r="V2360" s="8">
        <v>1.998</v>
      </c>
      <c r="W2360" s="8">
        <v>1.9950000000000001</v>
      </c>
      <c r="X2360" s="8">
        <v>0.874</v>
      </c>
      <c r="Y2360" s="8">
        <v>0.30199999999999999</v>
      </c>
      <c r="Z2360" s="8">
        <v>0.17899999999999999</v>
      </c>
      <c r="AA2360" s="8">
        <v>0</v>
      </c>
      <c r="AB2360" s="8">
        <v>0</v>
      </c>
      <c r="AC2360" s="8">
        <v>0</v>
      </c>
    </row>
    <row r="2361" spans="1:29" ht="11.65" x14ac:dyDescent="0.35">
      <c r="A2361" s="12">
        <v>2344</v>
      </c>
      <c r="B2361" s="10" t="s">
        <v>1015</v>
      </c>
      <c r="C2361" s="11" t="s">
        <v>1180</v>
      </c>
      <c r="D2361" s="9">
        <v>2</v>
      </c>
      <c r="E2361" s="9">
        <v>312</v>
      </c>
      <c r="F2361" s="10" t="s">
        <v>1066</v>
      </c>
      <c r="G2361" s="9">
        <v>915</v>
      </c>
      <c r="H2361" s="9">
        <v>1965</v>
      </c>
      <c r="I2361" s="8">
        <v>23.632000000000001</v>
      </c>
      <c r="J2361" s="8">
        <v>24.077000000000002</v>
      </c>
      <c r="K2361" s="8">
        <v>20.146000000000001</v>
      </c>
      <c r="L2361" s="8">
        <v>16.257999999999999</v>
      </c>
      <c r="M2361" s="8">
        <v>11.565</v>
      </c>
      <c r="N2361" s="8">
        <v>7.7160000000000002</v>
      </c>
      <c r="O2361" s="8">
        <v>6.8019999999999996</v>
      </c>
      <c r="P2361" s="8">
        <v>6.8010000000000002</v>
      </c>
      <c r="Q2361" s="8">
        <v>6.7969999999999997</v>
      </c>
      <c r="R2361" s="8">
        <v>5.7990000000000004</v>
      </c>
      <c r="S2361" s="8">
        <v>4.7990000000000004</v>
      </c>
      <c r="T2361" s="8">
        <v>4.798</v>
      </c>
      <c r="U2361" s="8">
        <v>2.9009999999999998</v>
      </c>
      <c r="V2361" s="8">
        <v>1.8979999999999999</v>
      </c>
      <c r="W2361" s="8">
        <v>0.995</v>
      </c>
      <c r="X2361" s="8">
        <v>0.996</v>
      </c>
      <c r="Y2361" s="8">
        <v>0.53400000000000003</v>
      </c>
      <c r="Z2361" s="8">
        <v>0.122</v>
      </c>
      <c r="AA2361" s="8">
        <v>5.1999999999999998E-2</v>
      </c>
      <c r="AB2361" s="8">
        <v>0</v>
      </c>
      <c r="AC2361" s="8">
        <v>0</v>
      </c>
    </row>
    <row r="2362" spans="1:29" ht="11.65" x14ac:dyDescent="0.35">
      <c r="A2362" s="12">
        <v>2345</v>
      </c>
      <c r="B2362" s="10" t="s">
        <v>1015</v>
      </c>
      <c r="C2362" s="11" t="s">
        <v>1180</v>
      </c>
      <c r="D2362" s="9">
        <v>2</v>
      </c>
      <c r="E2362" s="9">
        <v>312</v>
      </c>
      <c r="F2362" s="10" t="s">
        <v>1066</v>
      </c>
      <c r="G2362" s="9">
        <v>915</v>
      </c>
      <c r="H2362" s="9">
        <v>1970</v>
      </c>
      <c r="I2362" s="8">
        <v>23.661000000000001</v>
      </c>
      <c r="J2362" s="8">
        <v>24.35</v>
      </c>
      <c r="K2362" s="8">
        <v>22.527999999999999</v>
      </c>
      <c r="L2362" s="8">
        <v>18.526</v>
      </c>
      <c r="M2362" s="8">
        <v>11.613</v>
      </c>
      <c r="N2362" s="8">
        <v>8.6890000000000001</v>
      </c>
      <c r="O2362" s="8">
        <v>5.9240000000000004</v>
      </c>
      <c r="P2362" s="8">
        <v>7.4169999999999998</v>
      </c>
      <c r="Q2362" s="8">
        <v>6.9290000000000003</v>
      </c>
      <c r="R2362" s="8">
        <v>5.8540000000000001</v>
      </c>
      <c r="S2362" s="8">
        <v>6.7270000000000003</v>
      </c>
      <c r="T2362" s="8">
        <v>4.548</v>
      </c>
      <c r="U2362" s="8">
        <v>4.0529999999999999</v>
      </c>
      <c r="V2362" s="8">
        <v>2.1419999999999999</v>
      </c>
      <c r="W2362" s="8">
        <v>2.0449999999999999</v>
      </c>
      <c r="X2362" s="8">
        <v>1.5029999999999999</v>
      </c>
      <c r="Y2362" s="8">
        <v>0.49199999999999999</v>
      </c>
      <c r="Z2362" s="8">
        <v>0.23100000000000001</v>
      </c>
      <c r="AA2362" s="8">
        <v>3.7999999999999999E-2</v>
      </c>
      <c r="AB2362" s="8">
        <v>0.01</v>
      </c>
      <c r="AC2362" s="8">
        <v>0</v>
      </c>
    </row>
    <row r="2363" spans="1:29" ht="11.65" x14ac:dyDescent="0.35">
      <c r="A2363" s="12">
        <v>2346</v>
      </c>
      <c r="B2363" s="10" t="s">
        <v>1015</v>
      </c>
      <c r="C2363" s="11" t="s">
        <v>1180</v>
      </c>
      <c r="D2363" s="9">
        <v>2</v>
      </c>
      <c r="E2363" s="9">
        <v>312</v>
      </c>
      <c r="F2363" s="10" t="s">
        <v>1066</v>
      </c>
      <c r="G2363" s="9">
        <v>915</v>
      </c>
      <c r="H2363" s="9">
        <v>1975</v>
      </c>
      <c r="I2363" s="8">
        <v>21.925999999999998</v>
      </c>
      <c r="J2363" s="8">
        <v>21.957999999999998</v>
      </c>
      <c r="K2363" s="8">
        <v>24.23</v>
      </c>
      <c r="L2363" s="8">
        <v>20.324000000000002</v>
      </c>
      <c r="M2363" s="8">
        <v>11.627000000000001</v>
      </c>
      <c r="N2363" s="8">
        <v>7.0419999999999998</v>
      </c>
      <c r="O2363" s="8">
        <v>8.4700000000000006</v>
      </c>
      <c r="P2363" s="8">
        <v>6.5439999999999996</v>
      </c>
      <c r="Q2363" s="8">
        <v>7.6909999999999998</v>
      </c>
      <c r="R2363" s="8">
        <v>6.8179999999999996</v>
      </c>
      <c r="S2363" s="8">
        <v>5.5090000000000003</v>
      </c>
      <c r="T2363" s="8">
        <v>5.7389999999999999</v>
      </c>
      <c r="U2363" s="8">
        <v>4.367</v>
      </c>
      <c r="V2363" s="8">
        <v>3.4279999999999999</v>
      </c>
      <c r="W2363" s="8">
        <v>1.597</v>
      </c>
      <c r="X2363" s="8">
        <v>1.4</v>
      </c>
      <c r="Y2363" s="8">
        <v>1.1919999999999999</v>
      </c>
      <c r="Z2363" s="8">
        <v>0.22600000000000001</v>
      </c>
      <c r="AA2363" s="8">
        <v>7.6999999999999999E-2</v>
      </c>
      <c r="AB2363" s="8">
        <v>8.9999999999999993E-3</v>
      </c>
      <c r="AC2363" s="8">
        <v>1E-3</v>
      </c>
    </row>
    <row r="2364" spans="1:29" ht="11.65" x14ac:dyDescent="0.35">
      <c r="A2364" s="12">
        <v>2347</v>
      </c>
      <c r="B2364" s="10" t="s">
        <v>1015</v>
      </c>
      <c r="C2364" s="11" t="s">
        <v>1180</v>
      </c>
      <c r="D2364" s="9">
        <v>2</v>
      </c>
      <c r="E2364" s="9">
        <v>312</v>
      </c>
      <c r="F2364" s="10" t="s">
        <v>1066</v>
      </c>
      <c r="G2364" s="9">
        <v>915</v>
      </c>
      <c r="H2364" s="9">
        <v>1980</v>
      </c>
      <c r="I2364" s="8">
        <v>16.885000000000002</v>
      </c>
      <c r="J2364" s="8">
        <v>19.387</v>
      </c>
      <c r="K2364" s="8">
        <v>22.367999999999999</v>
      </c>
      <c r="L2364" s="8">
        <v>22.388999999999999</v>
      </c>
      <c r="M2364" s="8">
        <v>14.595000000000001</v>
      </c>
      <c r="N2364" s="8">
        <v>9.6669999999999998</v>
      </c>
      <c r="O2364" s="8">
        <v>9.9689999999999994</v>
      </c>
      <c r="P2364" s="8">
        <v>8.5570000000000004</v>
      </c>
      <c r="Q2364" s="8">
        <v>6.9560000000000004</v>
      </c>
      <c r="R2364" s="8">
        <v>7.4390000000000001</v>
      </c>
      <c r="S2364" s="8">
        <v>5.6580000000000004</v>
      </c>
      <c r="T2364" s="8">
        <v>5.8869999999999996</v>
      </c>
      <c r="U2364" s="8">
        <v>5.2080000000000002</v>
      </c>
      <c r="V2364" s="8">
        <v>3.3889999999999998</v>
      </c>
      <c r="W2364" s="8">
        <v>3.0339999999999998</v>
      </c>
      <c r="X2364" s="8">
        <v>1.59</v>
      </c>
      <c r="Y2364" s="8">
        <v>0.83</v>
      </c>
      <c r="Z2364" s="8">
        <v>0.57899999999999996</v>
      </c>
      <c r="AA2364" s="8">
        <v>8.1000000000000003E-2</v>
      </c>
      <c r="AB2364" s="8">
        <v>1.9E-2</v>
      </c>
      <c r="AC2364" s="8">
        <v>1E-3</v>
      </c>
    </row>
    <row r="2365" spans="1:29" ht="11.65" x14ac:dyDescent="0.35">
      <c r="A2365" s="12">
        <v>2348</v>
      </c>
      <c r="B2365" s="10" t="s">
        <v>1015</v>
      </c>
      <c r="C2365" s="11" t="s">
        <v>1180</v>
      </c>
      <c r="D2365" s="9">
        <v>2</v>
      </c>
      <c r="E2365" s="9">
        <v>312</v>
      </c>
      <c r="F2365" s="10" t="s">
        <v>1066</v>
      </c>
      <c r="G2365" s="9">
        <v>915</v>
      </c>
      <c r="H2365" s="9">
        <v>1985</v>
      </c>
      <c r="I2365" s="8">
        <v>14.573</v>
      </c>
      <c r="J2365" s="8">
        <v>14.896000000000001</v>
      </c>
      <c r="K2365" s="8">
        <v>19.722000000000001</v>
      </c>
      <c r="L2365" s="8">
        <v>20.890999999999998</v>
      </c>
      <c r="M2365" s="8">
        <v>17.768000000000001</v>
      </c>
      <c r="N2365" s="8">
        <v>12.973000000000001</v>
      </c>
      <c r="O2365" s="8">
        <v>11.956</v>
      </c>
      <c r="P2365" s="8">
        <v>9.9949999999999992</v>
      </c>
      <c r="Q2365" s="8">
        <v>8.8249999999999993</v>
      </c>
      <c r="R2365" s="8">
        <v>6.7560000000000002</v>
      </c>
      <c r="S2365" s="8">
        <v>6.45</v>
      </c>
      <c r="T2365" s="8">
        <v>5.9130000000000003</v>
      </c>
      <c r="U2365" s="8">
        <v>5.3890000000000002</v>
      </c>
      <c r="V2365" s="8">
        <v>4.2510000000000003</v>
      </c>
      <c r="W2365" s="8">
        <v>3.0019999999999998</v>
      </c>
      <c r="X2365" s="8">
        <v>2.5960000000000001</v>
      </c>
      <c r="Y2365" s="8">
        <v>0.99199999999999999</v>
      </c>
      <c r="Z2365" s="8">
        <v>0.42599999999999999</v>
      </c>
      <c r="AA2365" s="8">
        <v>0.222</v>
      </c>
      <c r="AB2365" s="8">
        <v>2.1000000000000001E-2</v>
      </c>
      <c r="AC2365" s="8">
        <v>3.0000000000000001E-3</v>
      </c>
    </row>
    <row r="2366" spans="1:29" ht="11.65" x14ac:dyDescent="0.35">
      <c r="A2366" s="12">
        <v>2349</v>
      </c>
      <c r="B2366" s="10" t="s">
        <v>1015</v>
      </c>
      <c r="C2366" s="11" t="s">
        <v>1180</v>
      </c>
      <c r="D2366" s="9">
        <v>2</v>
      </c>
      <c r="E2366" s="9">
        <v>312</v>
      </c>
      <c r="F2366" s="10" t="s">
        <v>1066</v>
      </c>
      <c r="G2366" s="9">
        <v>915</v>
      </c>
      <c r="H2366" s="9">
        <v>1990</v>
      </c>
      <c r="I2366" s="8">
        <v>16.378</v>
      </c>
      <c r="J2366" s="8">
        <v>15.526</v>
      </c>
      <c r="K2366" s="8">
        <v>16.73</v>
      </c>
      <c r="L2366" s="8">
        <v>21.672000000000001</v>
      </c>
      <c r="M2366" s="8">
        <v>17.387</v>
      </c>
      <c r="N2366" s="8">
        <v>17.91</v>
      </c>
      <c r="O2366" s="8">
        <v>16.343</v>
      </c>
      <c r="P2366" s="8">
        <v>13.151999999999999</v>
      </c>
      <c r="Q2366" s="8">
        <v>11.641999999999999</v>
      </c>
      <c r="R2366" s="8">
        <v>9.048</v>
      </c>
      <c r="S2366" s="8">
        <v>7.702</v>
      </c>
      <c r="T2366" s="8">
        <v>6.8259999999999996</v>
      </c>
      <c r="U2366" s="8">
        <v>5.7569999999999997</v>
      </c>
      <c r="V2366" s="8">
        <v>5.29</v>
      </c>
      <c r="W2366" s="8">
        <v>3.8330000000000002</v>
      </c>
      <c r="X2366" s="8">
        <v>2.6749999999999998</v>
      </c>
      <c r="Y2366" s="8">
        <v>1.66</v>
      </c>
      <c r="Z2366" s="8">
        <v>0.53500000000000003</v>
      </c>
      <c r="AA2366" s="8">
        <v>0.17199999999999999</v>
      </c>
      <c r="AB2366" s="8">
        <v>6.4000000000000001E-2</v>
      </c>
      <c r="AC2366" s="8">
        <v>4.0000000000000001E-3</v>
      </c>
    </row>
    <row r="2367" spans="1:29" ht="11.65" x14ac:dyDescent="0.35">
      <c r="A2367" s="12">
        <v>2350</v>
      </c>
      <c r="B2367" s="10" t="s">
        <v>1015</v>
      </c>
      <c r="C2367" s="11" t="s">
        <v>1180</v>
      </c>
      <c r="D2367" s="9">
        <v>2</v>
      </c>
      <c r="E2367" s="9">
        <v>312</v>
      </c>
      <c r="F2367" s="10" t="s">
        <v>1066</v>
      </c>
      <c r="G2367" s="9">
        <v>915</v>
      </c>
      <c r="H2367" s="9">
        <v>1995</v>
      </c>
      <c r="I2367" s="8">
        <v>16.303000000000001</v>
      </c>
      <c r="J2367" s="8">
        <v>16.577999999999999</v>
      </c>
      <c r="K2367" s="8">
        <v>17.094999999999999</v>
      </c>
      <c r="L2367" s="8">
        <v>18.279</v>
      </c>
      <c r="M2367" s="8">
        <v>14.62</v>
      </c>
      <c r="N2367" s="8">
        <v>16.613</v>
      </c>
      <c r="O2367" s="8">
        <v>18.033000000000001</v>
      </c>
      <c r="P2367" s="8">
        <v>15.196</v>
      </c>
      <c r="Q2367" s="8">
        <v>13.214</v>
      </c>
      <c r="R2367" s="8">
        <v>10.893000000000001</v>
      </c>
      <c r="S2367" s="8">
        <v>9.3190000000000008</v>
      </c>
      <c r="T2367" s="8">
        <v>6.69</v>
      </c>
      <c r="U2367" s="8">
        <v>6.9859999999999998</v>
      </c>
      <c r="V2367" s="8">
        <v>4.9740000000000002</v>
      </c>
      <c r="W2367" s="8">
        <v>4.7549999999999999</v>
      </c>
      <c r="X2367" s="8">
        <v>3.1190000000000002</v>
      </c>
      <c r="Y2367" s="8">
        <v>2.073</v>
      </c>
      <c r="Z2367" s="8">
        <v>0.93400000000000005</v>
      </c>
      <c r="AA2367" s="8">
        <v>0.22900000000000001</v>
      </c>
      <c r="AB2367" s="8">
        <v>5.1999999999999998E-2</v>
      </c>
      <c r="AC2367" s="8">
        <v>1.2E-2</v>
      </c>
    </row>
    <row r="2368" spans="1:29" ht="11.65" x14ac:dyDescent="0.35">
      <c r="A2368" s="12">
        <v>2351</v>
      </c>
      <c r="B2368" s="10" t="s">
        <v>1015</v>
      </c>
      <c r="C2368" s="11" t="s">
        <v>1180</v>
      </c>
      <c r="D2368" s="9">
        <v>2</v>
      </c>
      <c r="E2368" s="9">
        <v>312</v>
      </c>
      <c r="F2368" s="10" t="s">
        <v>1066</v>
      </c>
      <c r="G2368" s="9">
        <v>915</v>
      </c>
      <c r="H2368" s="9">
        <v>2000</v>
      </c>
      <c r="I2368" s="8">
        <v>16.454999999999998</v>
      </c>
      <c r="J2368" s="8">
        <v>17.797999999999998</v>
      </c>
      <c r="K2368" s="8">
        <v>18.849</v>
      </c>
      <c r="L2368" s="8">
        <v>18.181000000000001</v>
      </c>
      <c r="M2368" s="8">
        <v>13.035</v>
      </c>
      <c r="N2368" s="8">
        <v>14.337999999999999</v>
      </c>
      <c r="O2368" s="8">
        <v>16.637</v>
      </c>
      <c r="P2368" s="8">
        <v>17.183</v>
      </c>
      <c r="Q2368" s="8">
        <v>15.186</v>
      </c>
      <c r="R2368" s="8">
        <v>12.459</v>
      </c>
      <c r="S2368" s="8">
        <v>10.824999999999999</v>
      </c>
      <c r="T2368" s="8">
        <v>8.2129999999999992</v>
      </c>
      <c r="U2368" s="8">
        <v>6.66</v>
      </c>
      <c r="V2368" s="8">
        <v>6.0289999999999999</v>
      </c>
      <c r="W2368" s="8">
        <v>4.4589999999999996</v>
      </c>
      <c r="X2368" s="8">
        <v>3.847</v>
      </c>
      <c r="Y2368" s="8">
        <v>2.33</v>
      </c>
      <c r="Z2368" s="8">
        <v>1.216</v>
      </c>
      <c r="AA2368" s="8">
        <v>0.42499999999999999</v>
      </c>
      <c r="AB2368" s="8">
        <v>7.3999999999999996E-2</v>
      </c>
      <c r="AC2368" s="8">
        <v>1.2E-2</v>
      </c>
    </row>
    <row r="2369" spans="1:29" ht="11.65" x14ac:dyDescent="0.35">
      <c r="A2369" s="12">
        <v>2352</v>
      </c>
      <c r="B2369" s="10" t="s">
        <v>1015</v>
      </c>
      <c r="C2369" s="11" t="s">
        <v>1180</v>
      </c>
      <c r="D2369" s="9">
        <v>2</v>
      </c>
      <c r="E2369" s="9">
        <v>312</v>
      </c>
      <c r="F2369" s="10" t="s">
        <v>1066</v>
      </c>
      <c r="G2369" s="9">
        <v>915</v>
      </c>
      <c r="H2369" s="9">
        <v>2005</v>
      </c>
      <c r="I2369" s="8">
        <v>14.733000000000001</v>
      </c>
      <c r="J2369" s="8">
        <v>16.196999999999999</v>
      </c>
      <c r="K2369" s="8">
        <v>17.236000000000001</v>
      </c>
      <c r="L2369" s="8">
        <v>16.611000000000001</v>
      </c>
      <c r="M2369" s="8">
        <v>10.47</v>
      </c>
      <c r="N2369" s="8">
        <v>9.08</v>
      </c>
      <c r="O2369" s="8">
        <v>13.214</v>
      </c>
      <c r="P2369" s="8">
        <v>13.967000000000001</v>
      </c>
      <c r="Q2369" s="8">
        <v>15.403</v>
      </c>
      <c r="R2369" s="8">
        <v>13.52</v>
      </c>
      <c r="S2369" s="8">
        <v>11.111000000000001</v>
      </c>
      <c r="T2369" s="8">
        <v>10.147</v>
      </c>
      <c r="U2369" s="8">
        <v>7.9660000000000002</v>
      </c>
      <c r="V2369" s="8">
        <v>6.5449999999999999</v>
      </c>
      <c r="W2369" s="8">
        <v>5.4770000000000003</v>
      </c>
      <c r="X2369" s="8">
        <v>3.6669999999999998</v>
      </c>
      <c r="Y2369" s="8">
        <v>2.6019999999999999</v>
      </c>
      <c r="Z2369" s="8">
        <v>1.4179999999999999</v>
      </c>
      <c r="AA2369" s="8">
        <v>0.58199999999999996</v>
      </c>
      <c r="AB2369" s="8">
        <v>0.14599999999999999</v>
      </c>
      <c r="AC2369" s="8">
        <v>1.7999999999999999E-2</v>
      </c>
    </row>
    <row r="2370" spans="1:29" ht="11.65" x14ac:dyDescent="0.35">
      <c r="A2370" s="12">
        <v>2353</v>
      </c>
      <c r="B2370" s="10" t="s">
        <v>1015</v>
      </c>
      <c r="C2370" s="11" t="s">
        <v>1180</v>
      </c>
      <c r="D2370" s="9">
        <v>2</v>
      </c>
      <c r="E2370" s="9">
        <v>312</v>
      </c>
      <c r="F2370" s="10" t="s">
        <v>1066</v>
      </c>
      <c r="G2370" s="9">
        <v>915</v>
      </c>
      <c r="H2370" s="9">
        <v>2010</v>
      </c>
      <c r="I2370" s="8">
        <v>14.307</v>
      </c>
      <c r="J2370" s="8">
        <v>15.81</v>
      </c>
      <c r="K2370" s="8">
        <v>16.594000000000001</v>
      </c>
      <c r="L2370" s="8">
        <v>16.268999999999998</v>
      </c>
      <c r="M2370" s="8">
        <v>9.9830000000000005</v>
      </c>
      <c r="N2370" s="8">
        <v>7.6239999999999997</v>
      </c>
      <c r="O2370" s="8">
        <v>9.0030000000000001</v>
      </c>
      <c r="P2370" s="8">
        <v>12.061999999999999</v>
      </c>
      <c r="Q2370" s="8">
        <v>13.565</v>
      </c>
      <c r="R2370" s="8">
        <v>14.957000000000001</v>
      </c>
      <c r="S2370" s="8">
        <v>13.173999999999999</v>
      </c>
      <c r="T2370" s="8">
        <v>11.372999999999999</v>
      </c>
      <c r="U2370" s="8">
        <v>10.069000000000001</v>
      </c>
      <c r="V2370" s="8">
        <v>7.4459999999999997</v>
      </c>
      <c r="W2370" s="8">
        <v>6.1820000000000004</v>
      </c>
      <c r="X2370" s="8">
        <v>4.3570000000000002</v>
      </c>
      <c r="Y2370" s="8">
        <v>3.1819999999999999</v>
      </c>
      <c r="Z2370" s="8">
        <v>1.6419999999999999</v>
      </c>
      <c r="AA2370" s="8">
        <v>0.71</v>
      </c>
      <c r="AB2370" s="8">
        <v>0.21099999999999999</v>
      </c>
      <c r="AC2370" s="8">
        <v>3.5999999999999997E-2</v>
      </c>
    </row>
    <row r="2371" spans="1:29" ht="11.65" x14ac:dyDescent="0.35">
      <c r="A2371" s="12">
        <v>2354</v>
      </c>
      <c r="B2371" s="10" t="s">
        <v>1015</v>
      </c>
      <c r="C2371" s="11" t="s">
        <v>1180</v>
      </c>
      <c r="D2371" s="9">
        <v>2</v>
      </c>
      <c r="E2371" s="9">
        <v>312</v>
      </c>
      <c r="F2371" s="10" t="s">
        <v>1066</v>
      </c>
      <c r="G2371" s="9">
        <v>915</v>
      </c>
      <c r="H2371" s="9">
        <v>2015</v>
      </c>
      <c r="I2371" s="8">
        <v>11.342000000000001</v>
      </c>
      <c r="J2371" s="8">
        <v>14.903</v>
      </c>
      <c r="K2371" s="8">
        <v>15.566000000000001</v>
      </c>
      <c r="L2371" s="8">
        <v>15.048</v>
      </c>
      <c r="M2371" s="8">
        <v>10.532999999999999</v>
      </c>
      <c r="N2371" s="8">
        <v>7.7439999999999998</v>
      </c>
      <c r="O2371" s="8">
        <v>7.2149999999999999</v>
      </c>
      <c r="P2371" s="8">
        <v>9.0960000000000001</v>
      </c>
      <c r="Q2371" s="8">
        <v>12.263</v>
      </c>
      <c r="R2371" s="8">
        <v>14.137</v>
      </c>
      <c r="S2371" s="8">
        <v>14.855</v>
      </c>
      <c r="T2371" s="8">
        <v>13.077</v>
      </c>
      <c r="U2371" s="8">
        <v>11.23</v>
      </c>
      <c r="V2371" s="8">
        <v>9.7829999999999995</v>
      </c>
      <c r="W2371" s="8">
        <v>6.7480000000000002</v>
      </c>
      <c r="X2371" s="8">
        <v>5.2119999999999997</v>
      </c>
      <c r="Y2371" s="8">
        <v>3.4159999999999999</v>
      </c>
      <c r="Z2371" s="8">
        <v>2.0630000000000002</v>
      </c>
      <c r="AA2371" s="8">
        <v>0.85299999999999998</v>
      </c>
      <c r="AB2371" s="8">
        <v>0.27100000000000002</v>
      </c>
      <c r="AC2371" s="8">
        <v>5.6000000000000001E-2</v>
      </c>
    </row>
    <row r="2372" spans="1:29" ht="11.65" x14ac:dyDescent="0.35">
      <c r="A2372" s="12">
        <v>2355</v>
      </c>
      <c r="B2372" s="10" t="s">
        <v>1015</v>
      </c>
      <c r="C2372" s="11" t="s">
        <v>1180</v>
      </c>
      <c r="D2372" s="9">
        <v>2</v>
      </c>
      <c r="E2372" s="9">
        <v>312</v>
      </c>
      <c r="F2372" s="10" t="s">
        <v>1066</v>
      </c>
      <c r="G2372" s="9">
        <v>915</v>
      </c>
      <c r="H2372" s="9">
        <v>2020</v>
      </c>
      <c r="I2372" s="8">
        <v>11.637</v>
      </c>
      <c r="J2372" s="8">
        <v>11.225</v>
      </c>
      <c r="K2372" s="8">
        <v>14.801</v>
      </c>
      <c r="L2372" s="8">
        <v>15.101000000000001</v>
      </c>
      <c r="M2372" s="8">
        <v>14.206</v>
      </c>
      <c r="N2372" s="8">
        <v>9.718</v>
      </c>
      <c r="O2372" s="8">
        <v>7.1150000000000002</v>
      </c>
      <c r="P2372" s="8">
        <v>6.7619999999999996</v>
      </c>
      <c r="Q2372" s="8">
        <v>8.7469999999999999</v>
      </c>
      <c r="R2372" s="8">
        <v>11.923</v>
      </c>
      <c r="S2372" s="8">
        <v>13.736000000000001</v>
      </c>
      <c r="T2372" s="8">
        <v>14.337999999999999</v>
      </c>
      <c r="U2372" s="8">
        <v>12.435</v>
      </c>
      <c r="V2372" s="8">
        <v>10.452999999999999</v>
      </c>
      <c r="W2372" s="8">
        <v>8.8010000000000002</v>
      </c>
      <c r="X2372" s="8">
        <v>5.7169999999999996</v>
      </c>
      <c r="Y2372" s="8">
        <v>4.0179999999999998</v>
      </c>
      <c r="Z2372" s="8">
        <v>2.286</v>
      </c>
      <c r="AA2372" s="8">
        <v>1.117</v>
      </c>
      <c r="AB2372" s="8">
        <v>0.34100000000000003</v>
      </c>
      <c r="AC2372" s="8">
        <v>7.9000000000000001E-2</v>
      </c>
    </row>
    <row r="2373" spans="1:29" ht="11.65" x14ac:dyDescent="0.35">
      <c r="A2373" s="12">
        <v>2356</v>
      </c>
      <c r="B2373" s="10" t="s">
        <v>1015</v>
      </c>
      <c r="C2373" s="11" t="s">
        <v>1181</v>
      </c>
      <c r="D2373" s="9"/>
      <c r="E2373" s="9">
        <v>332</v>
      </c>
      <c r="F2373" s="10" t="s">
        <v>1066</v>
      </c>
      <c r="G2373" s="9">
        <v>915</v>
      </c>
      <c r="H2373" s="9">
        <v>1950</v>
      </c>
      <c r="I2373" s="8">
        <v>240.71299999999999</v>
      </c>
      <c r="J2373" s="8">
        <v>210.71199999999999</v>
      </c>
      <c r="K2373" s="8">
        <v>189.846</v>
      </c>
      <c r="L2373" s="8">
        <v>160.10900000000001</v>
      </c>
      <c r="M2373" s="8">
        <v>133.35</v>
      </c>
      <c r="N2373" s="8">
        <v>117.496</v>
      </c>
      <c r="O2373" s="8">
        <v>105.34699999999999</v>
      </c>
      <c r="P2373" s="8">
        <v>94.662999999999997</v>
      </c>
      <c r="Q2373" s="8">
        <v>81.786000000000001</v>
      </c>
      <c r="R2373" s="8">
        <v>69.251999999999995</v>
      </c>
      <c r="S2373" s="8">
        <v>52.814999999999998</v>
      </c>
      <c r="T2373" s="8">
        <v>36.548000000000002</v>
      </c>
      <c r="U2373" s="8">
        <v>28.074000000000002</v>
      </c>
      <c r="V2373" s="8">
        <v>19.856000000000002</v>
      </c>
      <c r="W2373" s="8">
        <v>14.99</v>
      </c>
      <c r="X2373" s="8">
        <v>9.52</v>
      </c>
      <c r="Y2373" s="8">
        <v>4.5519999999999996</v>
      </c>
      <c r="Z2373" s="8">
        <v>1.665</v>
      </c>
      <c r="AA2373" s="8">
        <v>0.443</v>
      </c>
      <c r="AB2373" s="8">
        <v>8.4000000000000005E-2</v>
      </c>
      <c r="AC2373" s="8">
        <v>1.2999999999999999E-2</v>
      </c>
    </row>
    <row r="2374" spans="1:29" ht="11.65" x14ac:dyDescent="0.35">
      <c r="A2374" s="12">
        <v>2357</v>
      </c>
      <c r="B2374" s="10" t="s">
        <v>1015</v>
      </c>
      <c r="C2374" s="11" t="s">
        <v>1181</v>
      </c>
      <c r="D2374" s="9"/>
      <c r="E2374" s="9">
        <v>332</v>
      </c>
      <c r="F2374" s="10" t="s">
        <v>1066</v>
      </c>
      <c r="G2374" s="9">
        <v>915</v>
      </c>
      <c r="H2374" s="9">
        <v>1955</v>
      </c>
      <c r="I2374" s="8">
        <v>284.96300000000002</v>
      </c>
      <c r="J2374" s="8">
        <v>213.447</v>
      </c>
      <c r="K2374" s="8">
        <v>202.21899999999999</v>
      </c>
      <c r="L2374" s="8">
        <v>180.53399999999999</v>
      </c>
      <c r="M2374" s="8">
        <v>148.60599999999999</v>
      </c>
      <c r="N2374" s="8">
        <v>123.876</v>
      </c>
      <c r="O2374" s="8">
        <v>109.654</v>
      </c>
      <c r="P2374" s="8">
        <v>98.456000000000003</v>
      </c>
      <c r="Q2374" s="8">
        <v>88.299000000000007</v>
      </c>
      <c r="R2374" s="8">
        <v>75.924999999999997</v>
      </c>
      <c r="S2374" s="8">
        <v>63.225999999999999</v>
      </c>
      <c r="T2374" s="8">
        <v>46.881999999999998</v>
      </c>
      <c r="U2374" s="8">
        <v>31.151</v>
      </c>
      <c r="V2374" s="8">
        <v>22.535</v>
      </c>
      <c r="W2374" s="8">
        <v>14.266</v>
      </c>
      <c r="X2374" s="8">
        <v>9.0719999999999992</v>
      </c>
      <c r="Y2374" s="8">
        <v>4.5679999999999996</v>
      </c>
      <c r="Z2374" s="8">
        <v>1.595</v>
      </c>
      <c r="AA2374" s="8">
        <v>0.4</v>
      </c>
      <c r="AB2374" s="8">
        <v>6.8000000000000005E-2</v>
      </c>
      <c r="AC2374" s="8">
        <v>8.0000000000000002E-3</v>
      </c>
    </row>
    <row r="2375" spans="1:29" ht="11.65" x14ac:dyDescent="0.35">
      <c r="A2375" s="12">
        <v>2358</v>
      </c>
      <c r="B2375" s="10" t="s">
        <v>1015</v>
      </c>
      <c r="C2375" s="11" t="s">
        <v>1181</v>
      </c>
      <c r="D2375" s="9"/>
      <c r="E2375" s="9">
        <v>332</v>
      </c>
      <c r="F2375" s="10" t="s">
        <v>1066</v>
      </c>
      <c r="G2375" s="9">
        <v>915</v>
      </c>
      <c r="H2375" s="9">
        <v>1960</v>
      </c>
      <c r="I2375" s="8">
        <v>318.31200000000001</v>
      </c>
      <c r="J2375" s="8">
        <v>257.65499999999997</v>
      </c>
      <c r="K2375" s="8">
        <v>205.50899999999999</v>
      </c>
      <c r="L2375" s="8">
        <v>193.76</v>
      </c>
      <c r="M2375" s="8">
        <v>168.73500000000001</v>
      </c>
      <c r="N2375" s="8">
        <v>138.916</v>
      </c>
      <c r="O2375" s="8">
        <v>115.706</v>
      </c>
      <c r="P2375" s="8">
        <v>102.17</v>
      </c>
      <c r="Q2375" s="8">
        <v>92.177000000000007</v>
      </c>
      <c r="R2375" s="8">
        <v>82.16</v>
      </c>
      <c r="S2375" s="8">
        <v>69.45</v>
      </c>
      <c r="T2375" s="8">
        <v>56.261000000000003</v>
      </c>
      <c r="U2375" s="8">
        <v>40.084000000000003</v>
      </c>
      <c r="V2375" s="8">
        <v>25.053999999999998</v>
      </c>
      <c r="W2375" s="8">
        <v>16.268999999999998</v>
      </c>
      <c r="X2375" s="8">
        <v>8.7080000000000002</v>
      </c>
      <c r="Y2375" s="8">
        <v>4.4130000000000003</v>
      </c>
      <c r="Z2375" s="8">
        <v>1.6379999999999999</v>
      </c>
      <c r="AA2375" s="8">
        <v>0.39300000000000002</v>
      </c>
      <c r="AB2375" s="8">
        <v>6.4000000000000001E-2</v>
      </c>
      <c r="AC2375" s="8">
        <v>7.0000000000000001E-3</v>
      </c>
    </row>
    <row r="2376" spans="1:29" ht="11.65" x14ac:dyDescent="0.35">
      <c r="A2376" s="12">
        <v>2359</v>
      </c>
      <c r="B2376" s="10" t="s">
        <v>1015</v>
      </c>
      <c r="C2376" s="11" t="s">
        <v>1181</v>
      </c>
      <c r="D2376" s="9"/>
      <c r="E2376" s="9">
        <v>332</v>
      </c>
      <c r="F2376" s="10" t="s">
        <v>1066</v>
      </c>
      <c r="G2376" s="9">
        <v>915</v>
      </c>
      <c r="H2376" s="9">
        <v>1965</v>
      </c>
      <c r="I2376" s="8">
        <v>348.56799999999998</v>
      </c>
      <c r="J2376" s="8">
        <v>290.19400000000002</v>
      </c>
      <c r="K2376" s="8">
        <v>249.17699999999999</v>
      </c>
      <c r="L2376" s="8">
        <v>196.066</v>
      </c>
      <c r="M2376" s="8">
        <v>181.47300000000001</v>
      </c>
      <c r="N2376" s="8">
        <v>155.72399999999999</v>
      </c>
      <c r="O2376" s="8">
        <v>129.20400000000001</v>
      </c>
      <c r="P2376" s="8">
        <v>108.133</v>
      </c>
      <c r="Q2376" s="8">
        <v>95.491</v>
      </c>
      <c r="R2376" s="8">
        <v>85.783000000000001</v>
      </c>
      <c r="S2376" s="8">
        <v>75.162999999999997</v>
      </c>
      <c r="T2376" s="8">
        <v>61.905000000000001</v>
      </c>
      <c r="U2376" s="8">
        <v>48.206000000000003</v>
      </c>
      <c r="V2376" s="8">
        <v>32.296999999999997</v>
      </c>
      <c r="W2376" s="8">
        <v>18.167999999999999</v>
      </c>
      <c r="X2376" s="8">
        <v>10.016</v>
      </c>
      <c r="Y2376" s="8">
        <v>4.2949999999999999</v>
      </c>
      <c r="Z2376" s="8">
        <v>1.615</v>
      </c>
      <c r="AA2376" s="8">
        <v>0.41599999999999998</v>
      </c>
      <c r="AB2376" s="8">
        <v>6.5000000000000002E-2</v>
      </c>
      <c r="AC2376" s="8">
        <v>7.0000000000000001E-3</v>
      </c>
    </row>
    <row r="2377" spans="1:29" ht="11.65" x14ac:dyDescent="0.35">
      <c r="A2377" s="12">
        <v>2360</v>
      </c>
      <c r="B2377" s="10" t="s">
        <v>1015</v>
      </c>
      <c r="C2377" s="11" t="s">
        <v>1181</v>
      </c>
      <c r="D2377" s="9"/>
      <c r="E2377" s="9">
        <v>332</v>
      </c>
      <c r="F2377" s="10" t="s">
        <v>1066</v>
      </c>
      <c r="G2377" s="9">
        <v>915</v>
      </c>
      <c r="H2377" s="9">
        <v>1970</v>
      </c>
      <c r="I2377" s="8">
        <v>369.00700000000001</v>
      </c>
      <c r="J2377" s="8">
        <v>321.27800000000002</v>
      </c>
      <c r="K2377" s="8">
        <v>281.584</v>
      </c>
      <c r="L2377" s="8">
        <v>238.94300000000001</v>
      </c>
      <c r="M2377" s="8">
        <v>182.91</v>
      </c>
      <c r="N2377" s="8">
        <v>167.49100000000001</v>
      </c>
      <c r="O2377" s="8">
        <v>145.39400000000001</v>
      </c>
      <c r="P2377" s="8">
        <v>120.908</v>
      </c>
      <c r="Q2377" s="8">
        <v>101.087</v>
      </c>
      <c r="R2377" s="8">
        <v>88.817999999999998</v>
      </c>
      <c r="S2377" s="8">
        <v>78.542000000000002</v>
      </c>
      <c r="T2377" s="8">
        <v>67.361000000000004</v>
      </c>
      <c r="U2377" s="8">
        <v>53.189</v>
      </c>
      <c r="V2377" s="8">
        <v>38.884</v>
      </c>
      <c r="W2377" s="8">
        <v>23.51</v>
      </c>
      <c r="X2377" s="8">
        <v>11.28</v>
      </c>
      <c r="Y2377" s="8">
        <v>5.0039999999999996</v>
      </c>
      <c r="Z2377" s="8">
        <v>1.6040000000000001</v>
      </c>
      <c r="AA2377" s="8">
        <v>0.42299999999999999</v>
      </c>
      <c r="AB2377" s="8">
        <v>7.1999999999999995E-2</v>
      </c>
      <c r="AC2377" s="8">
        <v>7.0000000000000001E-3</v>
      </c>
    </row>
    <row r="2378" spans="1:29" ht="11.65" x14ac:dyDescent="0.35">
      <c r="A2378" s="12">
        <v>2361</v>
      </c>
      <c r="B2378" s="10" t="s">
        <v>1015</v>
      </c>
      <c r="C2378" s="11" t="s">
        <v>1181</v>
      </c>
      <c r="D2378" s="9"/>
      <c r="E2378" s="9">
        <v>332</v>
      </c>
      <c r="F2378" s="10" t="s">
        <v>1066</v>
      </c>
      <c r="G2378" s="9">
        <v>915</v>
      </c>
      <c r="H2378" s="9">
        <v>1975</v>
      </c>
      <c r="I2378" s="8">
        <v>390.36</v>
      </c>
      <c r="J2378" s="8">
        <v>343.06200000000001</v>
      </c>
      <c r="K2378" s="8">
        <v>310.214</v>
      </c>
      <c r="L2378" s="8">
        <v>268.16500000000002</v>
      </c>
      <c r="M2378" s="8">
        <v>221.77699999999999</v>
      </c>
      <c r="N2378" s="8">
        <v>167.465</v>
      </c>
      <c r="O2378" s="8">
        <v>156.36699999999999</v>
      </c>
      <c r="P2378" s="8">
        <v>135.029</v>
      </c>
      <c r="Q2378" s="8">
        <v>111.682</v>
      </c>
      <c r="R2378" s="8">
        <v>93.185000000000002</v>
      </c>
      <c r="S2378" s="8">
        <v>81.106999999999999</v>
      </c>
      <c r="T2378" s="8">
        <v>70.203999999999994</v>
      </c>
      <c r="U2378" s="8">
        <v>57.942</v>
      </c>
      <c r="V2378" s="8">
        <v>43.012</v>
      </c>
      <c r="W2378" s="8">
        <v>28.437999999999999</v>
      </c>
      <c r="X2378" s="8">
        <v>14.712</v>
      </c>
      <c r="Y2378" s="8">
        <v>5.6980000000000004</v>
      </c>
      <c r="Z2378" s="8">
        <v>1.8959999999999999</v>
      </c>
      <c r="AA2378" s="8">
        <v>0.42799999999999999</v>
      </c>
      <c r="AB2378" s="8">
        <v>7.5999999999999998E-2</v>
      </c>
      <c r="AC2378" s="8">
        <v>8.0000000000000002E-3</v>
      </c>
    </row>
    <row r="2379" spans="1:29" ht="11.65" x14ac:dyDescent="0.35">
      <c r="A2379" s="12">
        <v>2362</v>
      </c>
      <c r="B2379" s="10" t="s">
        <v>1015</v>
      </c>
      <c r="C2379" s="11" t="s">
        <v>1181</v>
      </c>
      <c r="D2379" s="9"/>
      <c r="E2379" s="9">
        <v>332</v>
      </c>
      <c r="F2379" s="10" t="s">
        <v>1066</v>
      </c>
      <c r="G2379" s="9">
        <v>915</v>
      </c>
      <c r="H2379" s="9">
        <v>1980</v>
      </c>
      <c r="I2379" s="8">
        <v>461.84300000000002</v>
      </c>
      <c r="J2379" s="8">
        <v>367.38600000000002</v>
      </c>
      <c r="K2379" s="8">
        <v>334.209</v>
      </c>
      <c r="L2379" s="8">
        <v>297.827</v>
      </c>
      <c r="M2379" s="8">
        <v>248.86500000000001</v>
      </c>
      <c r="N2379" s="8">
        <v>204.59399999999999</v>
      </c>
      <c r="O2379" s="8">
        <v>153.81</v>
      </c>
      <c r="P2379" s="8">
        <v>145.547</v>
      </c>
      <c r="Q2379" s="8">
        <v>124.95099999999999</v>
      </c>
      <c r="R2379" s="8">
        <v>103.521</v>
      </c>
      <c r="S2379" s="8">
        <v>85.715000000000003</v>
      </c>
      <c r="T2379" s="8">
        <v>73.156000000000006</v>
      </c>
      <c r="U2379" s="8">
        <v>61.164000000000001</v>
      </c>
      <c r="V2379" s="8">
        <v>47.598999999999997</v>
      </c>
      <c r="W2379" s="8">
        <v>32.091000000000001</v>
      </c>
      <c r="X2379" s="8">
        <v>18.263999999999999</v>
      </c>
      <c r="Y2379" s="8">
        <v>7.6479999999999997</v>
      </c>
      <c r="Z2379" s="8">
        <v>2.226</v>
      </c>
      <c r="AA2379" s="8">
        <v>0.52100000000000002</v>
      </c>
      <c r="AB2379" s="8">
        <v>7.8E-2</v>
      </c>
      <c r="AC2379" s="8">
        <v>8.9999999999999993E-3</v>
      </c>
    </row>
    <row r="2380" spans="1:29" ht="11.65" x14ac:dyDescent="0.35">
      <c r="A2380" s="12">
        <v>2363</v>
      </c>
      <c r="B2380" s="10" t="s">
        <v>1015</v>
      </c>
      <c r="C2380" s="11" t="s">
        <v>1181</v>
      </c>
      <c r="D2380" s="9"/>
      <c r="E2380" s="9">
        <v>332</v>
      </c>
      <c r="F2380" s="10" t="s">
        <v>1066</v>
      </c>
      <c r="G2380" s="9">
        <v>915</v>
      </c>
      <c r="H2380" s="9">
        <v>1985</v>
      </c>
      <c r="I2380" s="8">
        <v>559.91499999999996</v>
      </c>
      <c r="J2380" s="8">
        <v>437.97500000000002</v>
      </c>
      <c r="K2380" s="8">
        <v>355.12099999999998</v>
      </c>
      <c r="L2380" s="8">
        <v>317.346</v>
      </c>
      <c r="M2380" s="8">
        <v>274.05</v>
      </c>
      <c r="N2380" s="8">
        <v>228.077</v>
      </c>
      <c r="O2380" s="8">
        <v>188.90899999999999</v>
      </c>
      <c r="P2380" s="8">
        <v>142.30500000000001</v>
      </c>
      <c r="Q2380" s="8">
        <v>135.64699999999999</v>
      </c>
      <c r="R2380" s="8">
        <v>116.258</v>
      </c>
      <c r="S2380" s="8">
        <v>95.665999999999997</v>
      </c>
      <c r="T2380" s="8">
        <v>77.710999999999999</v>
      </c>
      <c r="U2380" s="8">
        <v>64.183000000000007</v>
      </c>
      <c r="V2380" s="8">
        <v>50.674999999999997</v>
      </c>
      <c r="W2380" s="8">
        <v>35.929000000000002</v>
      </c>
      <c r="X2380" s="8">
        <v>20.898</v>
      </c>
      <c r="Y2380" s="8">
        <v>9.6440000000000001</v>
      </c>
      <c r="Z2380" s="8">
        <v>3.04</v>
      </c>
      <c r="AA2380" s="8">
        <v>0.621</v>
      </c>
      <c r="AB2380" s="8">
        <v>9.6000000000000002E-2</v>
      </c>
      <c r="AC2380" s="8">
        <v>8.9999999999999993E-3</v>
      </c>
    </row>
    <row r="2381" spans="1:29" ht="11.65" x14ac:dyDescent="0.35">
      <c r="A2381" s="12">
        <v>2364</v>
      </c>
      <c r="B2381" s="10" t="s">
        <v>1015</v>
      </c>
      <c r="C2381" s="11" t="s">
        <v>1181</v>
      </c>
      <c r="D2381" s="9"/>
      <c r="E2381" s="9">
        <v>332</v>
      </c>
      <c r="F2381" s="10" t="s">
        <v>1066</v>
      </c>
      <c r="G2381" s="9">
        <v>915</v>
      </c>
      <c r="H2381" s="9">
        <v>1990</v>
      </c>
      <c r="I2381" s="8">
        <v>579.52599999999995</v>
      </c>
      <c r="J2381" s="8">
        <v>533.76700000000005</v>
      </c>
      <c r="K2381" s="8">
        <v>424.27600000000001</v>
      </c>
      <c r="L2381" s="8">
        <v>336.52600000000001</v>
      </c>
      <c r="M2381" s="8">
        <v>292.66899999999998</v>
      </c>
      <c r="N2381" s="8">
        <v>252.18100000000001</v>
      </c>
      <c r="O2381" s="8">
        <v>211.459</v>
      </c>
      <c r="P2381" s="8">
        <v>177.13499999999999</v>
      </c>
      <c r="Q2381" s="8">
        <v>132.512</v>
      </c>
      <c r="R2381" s="8">
        <v>126.45</v>
      </c>
      <c r="S2381" s="8">
        <v>107.474</v>
      </c>
      <c r="T2381" s="8">
        <v>87.165999999999997</v>
      </c>
      <c r="U2381" s="8">
        <v>68.510000000000005</v>
      </c>
      <c r="V2381" s="8">
        <v>53.49</v>
      </c>
      <c r="W2381" s="8">
        <v>38.539000000000001</v>
      </c>
      <c r="X2381" s="8">
        <v>23.63</v>
      </c>
      <c r="Y2381" s="8">
        <v>11.154999999999999</v>
      </c>
      <c r="Z2381" s="8">
        <v>3.875</v>
      </c>
      <c r="AA2381" s="8">
        <v>0.85399999999999998</v>
      </c>
      <c r="AB2381" s="8">
        <v>0.114</v>
      </c>
      <c r="AC2381" s="8">
        <v>1.0999999999999999E-2</v>
      </c>
    </row>
    <row r="2382" spans="1:29" ht="11.65" x14ac:dyDescent="0.35">
      <c r="A2382" s="12">
        <v>2365</v>
      </c>
      <c r="B2382" s="10" t="s">
        <v>1015</v>
      </c>
      <c r="C2382" s="11" t="s">
        <v>1181</v>
      </c>
      <c r="D2382" s="9"/>
      <c r="E2382" s="9">
        <v>332</v>
      </c>
      <c r="F2382" s="10" t="s">
        <v>1066</v>
      </c>
      <c r="G2382" s="9">
        <v>915</v>
      </c>
      <c r="H2382" s="9">
        <v>1995</v>
      </c>
      <c r="I2382" s="8">
        <v>594.78599999999994</v>
      </c>
      <c r="J2382" s="8">
        <v>554.70299999999997</v>
      </c>
      <c r="K2382" s="8">
        <v>519.30399999999997</v>
      </c>
      <c r="L2382" s="8">
        <v>406.35500000000002</v>
      </c>
      <c r="M2382" s="8">
        <v>311.077</v>
      </c>
      <c r="N2382" s="8">
        <v>270.017</v>
      </c>
      <c r="O2382" s="8">
        <v>232.01300000000001</v>
      </c>
      <c r="P2382" s="8">
        <v>197.86500000000001</v>
      </c>
      <c r="Q2382" s="8">
        <v>166.37899999999999</v>
      </c>
      <c r="R2382" s="8">
        <v>123.556</v>
      </c>
      <c r="S2382" s="8">
        <v>117.346</v>
      </c>
      <c r="T2382" s="8">
        <v>97.831000000000003</v>
      </c>
      <c r="U2382" s="8">
        <v>77.203000000000003</v>
      </c>
      <c r="V2382" s="8">
        <v>57.408999999999999</v>
      </c>
      <c r="W2382" s="8">
        <v>40.959000000000003</v>
      </c>
      <c r="X2382" s="8">
        <v>25.57</v>
      </c>
      <c r="Y2382" s="8">
        <v>12.737</v>
      </c>
      <c r="Z2382" s="8">
        <v>4.5289999999999999</v>
      </c>
      <c r="AA2382" s="8">
        <v>1.101</v>
      </c>
      <c r="AB2382" s="8">
        <v>0.161</v>
      </c>
      <c r="AC2382" s="8">
        <v>1.4E-2</v>
      </c>
    </row>
    <row r="2383" spans="1:29" ht="11.65" x14ac:dyDescent="0.35">
      <c r="A2383" s="12">
        <v>2366</v>
      </c>
      <c r="B2383" s="10" t="s">
        <v>1015</v>
      </c>
      <c r="C2383" s="11" t="s">
        <v>1181</v>
      </c>
      <c r="D2383" s="9"/>
      <c r="E2383" s="9">
        <v>332</v>
      </c>
      <c r="F2383" s="10" t="s">
        <v>1066</v>
      </c>
      <c r="G2383" s="9">
        <v>915</v>
      </c>
      <c r="H2383" s="9">
        <v>2000</v>
      </c>
      <c r="I2383" s="8">
        <v>614.19500000000005</v>
      </c>
      <c r="J2383" s="8">
        <v>571.63900000000001</v>
      </c>
      <c r="K2383" s="8">
        <v>539.83600000000001</v>
      </c>
      <c r="L2383" s="8">
        <v>499.77499999999998</v>
      </c>
      <c r="M2383" s="8">
        <v>378.14</v>
      </c>
      <c r="N2383" s="8">
        <v>284.62599999999998</v>
      </c>
      <c r="O2383" s="8">
        <v>252.02500000000001</v>
      </c>
      <c r="P2383" s="8">
        <v>218.91300000000001</v>
      </c>
      <c r="Q2383" s="8">
        <v>185.76300000000001</v>
      </c>
      <c r="R2383" s="8">
        <v>156.34800000000001</v>
      </c>
      <c r="S2383" s="8">
        <v>115.051</v>
      </c>
      <c r="T2383" s="8">
        <v>107.273</v>
      </c>
      <c r="U2383" s="8">
        <v>86.665999999999997</v>
      </c>
      <c r="V2383" s="8">
        <v>64.995000000000005</v>
      </c>
      <c r="W2383" s="8">
        <v>44.213000000000001</v>
      </c>
      <c r="X2383" s="8">
        <v>27.376999999999999</v>
      </c>
      <c r="Y2383" s="8">
        <v>13.914</v>
      </c>
      <c r="Z2383" s="8">
        <v>5.2439999999999998</v>
      </c>
      <c r="AA2383" s="8">
        <v>1.3120000000000001</v>
      </c>
      <c r="AB2383" s="8">
        <v>0.21099999999999999</v>
      </c>
      <c r="AC2383" s="8">
        <v>1.9E-2</v>
      </c>
    </row>
    <row r="2384" spans="1:29" ht="11.65" x14ac:dyDescent="0.35">
      <c r="A2384" s="12">
        <v>2367</v>
      </c>
      <c r="B2384" s="10" t="s">
        <v>1015</v>
      </c>
      <c r="C2384" s="11" t="s">
        <v>1181</v>
      </c>
      <c r="D2384" s="9"/>
      <c r="E2384" s="9">
        <v>332</v>
      </c>
      <c r="F2384" s="10" t="s">
        <v>1066</v>
      </c>
      <c r="G2384" s="9">
        <v>915</v>
      </c>
      <c r="H2384" s="9">
        <v>2005</v>
      </c>
      <c r="I2384" s="8">
        <v>630.92499999999995</v>
      </c>
      <c r="J2384" s="8">
        <v>592.62599999999998</v>
      </c>
      <c r="K2384" s="8">
        <v>556.71199999999999</v>
      </c>
      <c r="L2384" s="8">
        <v>520.20000000000005</v>
      </c>
      <c r="M2384" s="8">
        <v>471.31599999999997</v>
      </c>
      <c r="N2384" s="8">
        <v>353.584</v>
      </c>
      <c r="O2384" s="8">
        <v>266.31200000000001</v>
      </c>
      <c r="P2384" s="8">
        <v>235.994</v>
      </c>
      <c r="Q2384" s="8">
        <v>206.48500000000001</v>
      </c>
      <c r="R2384" s="8">
        <v>174.108</v>
      </c>
      <c r="S2384" s="8">
        <v>146.25800000000001</v>
      </c>
      <c r="T2384" s="8">
        <v>105.401</v>
      </c>
      <c r="U2384" s="8">
        <v>95.338999999999999</v>
      </c>
      <c r="V2384" s="8">
        <v>73.016999999999996</v>
      </c>
      <c r="W2384" s="8">
        <v>50.3</v>
      </c>
      <c r="X2384" s="8">
        <v>29.774999999999999</v>
      </c>
      <c r="Y2384" s="8">
        <v>15.068</v>
      </c>
      <c r="Z2384" s="8">
        <v>5.8259999999999996</v>
      </c>
      <c r="AA2384" s="8">
        <v>1.5549999999999999</v>
      </c>
      <c r="AB2384" s="8">
        <v>0.25900000000000001</v>
      </c>
      <c r="AC2384" s="8">
        <v>2.7E-2</v>
      </c>
    </row>
    <row r="2385" spans="1:29" ht="11.65" x14ac:dyDescent="0.35">
      <c r="A2385" s="12">
        <v>2368</v>
      </c>
      <c r="B2385" s="10" t="s">
        <v>1015</v>
      </c>
      <c r="C2385" s="11" t="s">
        <v>1181</v>
      </c>
      <c r="D2385" s="9"/>
      <c r="E2385" s="9">
        <v>332</v>
      </c>
      <c r="F2385" s="10" t="s">
        <v>1066</v>
      </c>
      <c r="G2385" s="9">
        <v>915</v>
      </c>
      <c r="H2385" s="9">
        <v>2010</v>
      </c>
      <c r="I2385" s="8">
        <v>644.21</v>
      </c>
      <c r="J2385" s="8">
        <v>610.96400000000006</v>
      </c>
      <c r="K2385" s="8">
        <v>578.33799999999997</v>
      </c>
      <c r="L2385" s="8">
        <v>537.68100000000004</v>
      </c>
      <c r="M2385" s="8">
        <v>493.58199999999999</v>
      </c>
      <c r="N2385" s="8">
        <v>446.31200000000001</v>
      </c>
      <c r="O2385" s="8">
        <v>333.947</v>
      </c>
      <c r="P2385" s="8">
        <v>250.15199999999999</v>
      </c>
      <c r="Q2385" s="8">
        <v>224.131</v>
      </c>
      <c r="R2385" s="8">
        <v>195.34899999999999</v>
      </c>
      <c r="S2385" s="8">
        <v>164.04900000000001</v>
      </c>
      <c r="T2385" s="8">
        <v>135.28700000000001</v>
      </c>
      <c r="U2385" s="8">
        <v>94.468999999999994</v>
      </c>
      <c r="V2385" s="8">
        <v>81.266000000000005</v>
      </c>
      <c r="W2385" s="8">
        <v>57.429000000000002</v>
      </c>
      <c r="X2385" s="8">
        <v>34.648000000000003</v>
      </c>
      <c r="Y2385" s="8">
        <v>16.882000000000001</v>
      </c>
      <c r="Z2385" s="8">
        <v>6.5910000000000002</v>
      </c>
      <c r="AA2385" s="8">
        <v>1.8360000000000001</v>
      </c>
      <c r="AB2385" s="8">
        <v>0.33500000000000002</v>
      </c>
      <c r="AC2385" s="8">
        <v>3.6999999999999998E-2</v>
      </c>
    </row>
    <row r="2386" spans="1:29" ht="11.65" x14ac:dyDescent="0.35">
      <c r="A2386" s="12">
        <v>2369</v>
      </c>
      <c r="B2386" s="10" t="s">
        <v>1015</v>
      </c>
      <c r="C2386" s="11" t="s">
        <v>1181</v>
      </c>
      <c r="D2386" s="9"/>
      <c r="E2386" s="9">
        <v>332</v>
      </c>
      <c r="F2386" s="10" t="s">
        <v>1066</v>
      </c>
      <c r="G2386" s="9">
        <v>915</v>
      </c>
      <c r="H2386" s="9">
        <v>2015</v>
      </c>
      <c r="I2386" s="8">
        <v>647.798</v>
      </c>
      <c r="J2386" s="8">
        <v>624.61400000000003</v>
      </c>
      <c r="K2386" s="8">
        <v>596.95399999999995</v>
      </c>
      <c r="L2386" s="8">
        <v>559.15499999999997</v>
      </c>
      <c r="M2386" s="8">
        <v>510.69499999999999</v>
      </c>
      <c r="N2386" s="8">
        <v>468.334</v>
      </c>
      <c r="O2386" s="8">
        <v>424.63200000000001</v>
      </c>
      <c r="P2386" s="8">
        <v>316.15300000000002</v>
      </c>
      <c r="Q2386" s="8">
        <v>238.41900000000001</v>
      </c>
      <c r="R2386" s="8">
        <v>212.98599999999999</v>
      </c>
      <c r="S2386" s="8">
        <v>185.06899999999999</v>
      </c>
      <c r="T2386" s="8">
        <v>152.83699999999999</v>
      </c>
      <c r="U2386" s="8">
        <v>122.551</v>
      </c>
      <c r="V2386" s="8">
        <v>81.674000000000007</v>
      </c>
      <c r="W2386" s="8">
        <v>65.332999999999998</v>
      </c>
      <c r="X2386" s="8">
        <v>40.914999999999999</v>
      </c>
      <c r="Y2386" s="8">
        <v>20.675999999999998</v>
      </c>
      <c r="Z2386" s="8">
        <v>7.9569999999999999</v>
      </c>
      <c r="AA2386" s="8">
        <v>2.3079999999999998</v>
      </c>
      <c r="AB2386" s="8">
        <v>0.45300000000000001</v>
      </c>
      <c r="AC2386" s="8">
        <v>5.7000000000000002E-2</v>
      </c>
    </row>
    <row r="2387" spans="1:29" ht="11.65" x14ac:dyDescent="0.35">
      <c r="A2387" s="12">
        <v>2370</v>
      </c>
      <c r="B2387" s="10" t="s">
        <v>1015</v>
      </c>
      <c r="C2387" s="11" t="s">
        <v>1181</v>
      </c>
      <c r="D2387" s="9"/>
      <c r="E2387" s="9">
        <v>332</v>
      </c>
      <c r="F2387" s="10" t="s">
        <v>1066</v>
      </c>
      <c r="G2387" s="9">
        <v>915</v>
      </c>
      <c r="H2387" s="9">
        <v>2020</v>
      </c>
      <c r="I2387" s="8">
        <v>643.76700000000005</v>
      </c>
      <c r="J2387" s="8">
        <v>629.56600000000003</v>
      </c>
      <c r="K2387" s="8">
        <v>609.97699999999998</v>
      </c>
      <c r="L2387" s="8">
        <v>575.774</v>
      </c>
      <c r="M2387" s="8">
        <v>528.82500000000005</v>
      </c>
      <c r="N2387" s="8">
        <v>482.935</v>
      </c>
      <c r="O2387" s="8">
        <v>444.93599999999998</v>
      </c>
      <c r="P2387" s="8">
        <v>403.54599999999999</v>
      </c>
      <c r="Q2387" s="8">
        <v>302.43799999999999</v>
      </c>
      <c r="R2387" s="8">
        <v>227.01499999999999</v>
      </c>
      <c r="S2387" s="8">
        <v>202.596</v>
      </c>
      <c r="T2387" s="8">
        <v>173.422</v>
      </c>
      <c r="U2387" s="8">
        <v>139.62200000000001</v>
      </c>
      <c r="V2387" s="8">
        <v>107.363</v>
      </c>
      <c r="W2387" s="8">
        <v>66.962999999999994</v>
      </c>
      <c r="X2387" s="8">
        <v>47.970999999999997</v>
      </c>
      <c r="Y2387" s="8">
        <v>25.55</v>
      </c>
      <c r="Z2387" s="8">
        <v>10.401999999999999</v>
      </c>
      <c r="AA2387" s="8">
        <v>3.0459999999999998</v>
      </c>
      <c r="AB2387" s="8">
        <v>0.64100000000000001</v>
      </c>
      <c r="AC2387" s="8">
        <v>0.09</v>
      </c>
    </row>
    <row r="2388" spans="1:29" ht="11.65" x14ac:dyDescent="0.35">
      <c r="A2388" s="12">
        <v>2371</v>
      </c>
      <c r="B2388" s="10" t="s">
        <v>1015</v>
      </c>
      <c r="C2388" s="11" t="s">
        <v>1182</v>
      </c>
      <c r="D2388" s="9"/>
      <c r="E2388" s="9">
        <v>388</v>
      </c>
      <c r="F2388" s="10" t="s">
        <v>1066</v>
      </c>
      <c r="G2388" s="9">
        <v>915</v>
      </c>
      <c r="H2388" s="9">
        <v>1950</v>
      </c>
      <c r="I2388" s="8">
        <v>94.799000000000007</v>
      </c>
      <c r="J2388" s="8">
        <v>83.501000000000005</v>
      </c>
      <c r="K2388" s="8">
        <v>75</v>
      </c>
      <c r="L2388" s="8">
        <v>72.400000000000006</v>
      </c>
      <c r="M2388" s="8">
        <v>59.098999999999997</v>
      </c>
      <c r="N2388" s="8">
        <v>51.4</v>
      </c>
      <c r="O2388" s="8">
        <v>48.000999999999998</v>
      </c>
      <c r="P2388" s="8">
        <v>47.301000000000002</v>
      </c>
      <c r="Q2388" s="8">
        <v>37.9</v>
      </c>
      <c r="R2388" s="8">
        <v>35.5</v>
      </c>
      <c r="S2388" s="8">
        <v>25</v>
      </c>
      <c r="T2388" s="8">
        <v>18.401</v>
      </c>
      <c r="U2388" s="8">
        <v>12.101000000000001</v>
      </c>
      <c r="V2388" s="8">
        <v>10.6</v>
      </c>
      <c r="W2388" s="8">
        <v>7.0010000000000003</v>
      </c>
      <c r="X2388" s="8">
        <v>3.3</v>
      </c>
      <c r="Y2388" s="8">
        <v>0.78700000000000003</v>
      </c>
      <c r="Z2388" s="8">
        <v>0.317</v>
      </c>
      <c r="AA2388" s="8">
        <v>8.1000000000000003E-2</v>
      </c>
      <c r="AB2388" s="8">
        <v>1.2E-2</v>
      </c>
      <c r="AC2388" s="8">
        <v>1E-3</v>
      </c>
    </row>
    <row r="2389" spans="1:29" ht="11.65" x14ac:dyDescent="0.35">
      <c r="A2389" s="12">
        <v>2372</v>
      </c>
      <c r="B2389" s="10" t="s">
        <v>1015</v>
      </c>
      <c r="C2389" s="11" t="s">
        <v>1182</v>
      </c>
      <c r="D2389" s="9"/>
      <c r="E2389" s="9">
        <v>388</v>
      </c>
      <c r="F2389" s="10" t="s">
        <v>1066</v>
      </c>
      <c r="G2389" s="9">
        <v>915</v>
      </c>
      <c r="H2389" s="9">
        <v>1955</v>
      </c>
      <c r="I2389" s="8">
        <v>113.227</v>
      </c>
      <c r="J2389" s="8">
        <v>92.162999999999997</v>
      </c>
      <c r="K2389" s="8">
        <v>80.864999999999995</v>
      </c>
      <c r="L2389" s="8">
        <v>74.843999999999994</v>
      </c>
      <c r="M2389" s="8">
        <v>67.021000000000001</v>
      </c>
      <c r="N2389" s="8">
        <v>54.185000000000002</v>
      </c>
      <c r="O2389" s="8">
        <v>46.176000000000002</v>
      </c>
      <c r="P2389" s="8">
        <v>46.994</v>
      </c>
      <c r="Q2389" s="8">
        <v>40.512</v>
      </c>
      <c r="R2389" s="8">
        <v>37.578000000000003</v>
      </c>
      <c r="S2389" s="8">
        <v>31.646000000000001</v>
      </c>
      <c r="T2389" s="8">
        <v>23.398</v>
      </c>
      <c r="U2389" s="8">
        <v>15.121</v>
      </c>
      <c r="V2389" s="8">
        <v>11.474</v>
      </c>
      <c r="W2389" s="8">
        <v>8.7970000000000006</v>
      </c>
      <c r="X2389" s="8">
        <v>3.9289999999999998</v>
      </c>
      <c r="Y2389" s="8">
        <v>1.5409999999999999</v>
      </c>
      <c r="Z2389" s="8">
        <v>0.38600000000000001</v>
      </c>
      <c r="AA2389" s="8">
        <v>0.113</v>
      </c>
      <c r="AB2389" s="8">
        <v>1.9E-2</v>
      </c>
      <c r="AC2389" s="8">
        <v>2E-3</v>
      </c>
    </row>
    <row r="2390" spans="1:29" ht="11.65" x14ac:dyDescent="0.35">
      <c r="A2390" s="12">
        <v>2373</v>
      </c>
      <c r="B2390" s="10" t="s">
        <v>1015</v>
      </c>
      <c r="C2390" s="11" t="s">
        <v>1182</v>
      </c>
      <c r="D2390" s="9"/>
      <c r="E2390" s="9">
        <v>388</v>
      </c>
      <c r="F2390" s="10" t="s">
        <v>1066</v>
      </c>
      <c r="G2390" s="9">
        <v>915</v>
      </c>
      <c r="H2390" s="9">
        <v>1960</v>
      </c>
      <c r="I2390" s="8">
        <v>141.89699999999999</v>
      </c>
      <c r="J2390" s="8">
        <v>111.68600000000001</v>
      </c>
      <c r="K2390" s="8">
        <v>87.332999999999998</v>
      </c>
      <c r="L2390" s="8">
        <v>68.983999999999995</v>
      </c>
      <c r="M2390" s="8">
        <v>57.307000000000002</v>
      </c>
      <c r="N2390" s="8">
        <v>50.441000000000003</v>
      </c>
      <c r="O2390" s="8">
        <v>43.279000000000003</v>
      </c>
      <c r="P2390" s="8">
        <v>41.155999999999999</v>
      </c>
      <c r="Q2390" s="8">
        <v>40.112000000000002</v>
      </c>
      <c r="R2390" s="8">
        <v>39.106999999999999</v>
      </c>
      <c r="S2390" s="8">
        <v>33.043999999999997</v>
      </c>
      <c r="T2390" s="8">
        <v>23.184999999999999</v>
      </c>
      <c r="U2390" s="8">
        <v>18.062000000000001</v>
      </c>
      <c r="V2390" s="8">
        <v>10.077999999999999</v>
      </c>
      <c r="W2390" s="8">
        <v>10.164999999999999</v>
      </c>
      <c r="X2390" s="8">
        <v>5.33</v>
      </c>
      <c r="Y2390" s="8">
        <v>1.8069999999999999</v>
      </c>
      <c r="Z2390" s="8">
        <v>0.72899999999999998</v>
      </c>
      <c r="AA2390" s="8">
        <v>0.129</v>
      </c>
      <c r="AB2390" s="8">
        <v>2.5999999999999999E-2</v>
      </c>
      <c r="AC2390" s="8">
        <v>3.0000000000000001E-3</v>
      </c>
    </row>
    <row r="2391" spans="1:29" ht="11.65" x14ac:dyDescent="0.35">
      <c r="A2391" s="12">
        <v>2374</v>
      </c>
      <c r="B2391" s="10" t="s">
        <v>1015</v>
      </c>
      <c r="C2391" s="11" t="s">
        <v>1182</v>
      </c>
      <c r="D2391" s="9"/>
      <c r="E2391" s="9">
        <v>388</v>
      </c>
      <c r="F2391" s="10" t="s">
        <v>1066</v>
      </c>
      <c r="G2391" s="9">
        <v>915</v>
      </c>
      <c r="H2391" s="9">
        <v>1965</v>
      </c>
      <c r="I2391" s="8">
        <v>156.22999999999999</v>
      </c>
      <c r="J2391" s="8">
        <v>127.666</v>
      </c>
      <c r="K2391" s="8">
        <v>88.093999999999994</v>
      </c>
      <c r="L2391" s="8">
        <v>79.540000000000006</v>
      </c>
      <c r="M2391" s="8">
        <v>59.619</v>
      </c>
      <c r="N2391" s="8">
        <v>47.097999999999999</v>
      </c>
      <c r="O2391" s="8">
        <v>43.079000000000001</v>
      </c>
      <c r="P2391" s="8">
        <v>42.042999999999999</v>
      </c>
      <c r="Q2391" s="8">
        <v>37.081000000000003</v>
      </c>
      <c r="R2391" s="8">
        <v>35.472000000000001</v>
      </c>
      <c r="S2391" s="8">
        <v>32.497999999999998</v>
      </c>
      <c r="T2391" s="8">
        <v>29.036999999999999</v>
      </c>
      <c r="U2391" s="8">
        <v>23.228000000000002</v>
      </c>
      <c r="V2391" s="8">
        <v>16.434000000000001</v>
      </c>
      <c r="W2391" s="8">
        <v>11.651999999999999</v>
      </c>
      <c r="X2391" s="8">
        <v>6.8789999999999996</v>
      </c>
      <c r="Y2391" s="8">
        <v>4.1120000000000001</v>
      </c>
      <c r="Z2391" s="8">
        <v>0.871</v>
      </c>
      <c r="AA2391" s="8">
        <v>0.25</v>
      </c>
      <c r="AB2391" s="8">
        <v>2.9000000000000001E-2</v>
      </c>
      <c r="AC2391" s="8">
        <v>4.0000000000000001E-3</v>
      </c>
    </row>
    <row r="2392" spans="1:29" ht="11.65" x14ac:dyDescent="0.35">
      <c r="A2392" s="12">
        <v>2375</v>
      </c>
      <c r="B2392" s="10" t="s">
        <v>1015</v>
      </c>
      <c r="C2392" s="11" t="s">
        <v>1182</v>
      </c>
      <c r="D2392" s="9"/>
      <c r="E2392" s="9">
        <v>388</v>
      </c>
      <c r="F2392" s="10" t="s">
        <v>1066</v>
      </c>
      <c r="G2392" s="9">
        <v>915</v>
      </c>
      <c r="H2392" s="9">
        <v>1970</v>
      </c>
      <c r="I2392" s="8">
        <v>159.749</v>
      </c>
      <c r="J2392" s="8">
        <v>151.94200000000001</v>
      </c>
      <c r="K2392" s="8">
        <v>124.714</v>
      </c>
      <c r="L2392" s="8">
        <v>80.731999999999999</v>
      </c>
      <c r="M2392" s="8">
        <v>61.405000000000001</v>
      </c>
      <c r="N2392" s="8">
        <v>49.243000000000002</v>
      </c>
      <c r="O2392" s="8">
        <v>41.081000000000003</v>
      </c>
      <c r="P2392" s="8">
        <v>38.938000000000002</v>
      </c>
      <c r="Q2392" s="8">
        <v>38.575000000000003</v>
      </c>
      <c r="R2392" s="8">
        <v>34.411000000000001</v>
      </c>
      <c r="S2392" s="8">
        <v>33.287999999999997</v>
      </c>
      <c r="T2392" s="8">
        <v>29.39</v>
      </c>
      <c r="U2392" s="8">
        <v>26.175999999999998</v>
      </c>
      <c r="V2392" s="8">
        <v>20.172999999999998</v>
      </c>
      <c r="W2392" s="8">
        <v>13.103999999999999</v>
      </c>
      <c r="X2392" s="8">
        <v>8.0660000000000007</v>
      </c>
      <c r="Y2392" s="8">
        <v>3.097</v>
      </c>
      <c r="Z2392" s="8">
        <v>2.0089999999999999</v>
      </c>
      <c r="AA2392" s="8">
        <v>0.30199999999999999</v>
      </c>
      <c r="AB2392" s="8">
        <v>5.7000000000000002E-2</v>
      </c>
      <c r="AC2392" s="8">
        <v>5.0000000000000001E-3</v>
      </c>
    </row>
    <row r="2393" spans="1:29" ht="11.65" x14ac:dyDescent="0.35">
      <c r="A2393" s="12">
        <v>2376</v>
      </c>
      <c r="B2393" s="10" t="s">
        <v>1015</v>
      </c>
      <c r="C2393" s="11" t="s">
        <v>1182</v>
      </c>
      <c r="D2393" s="9"/>
      <c r="E2393" s="9">
        <v>388</v>
      </c>
      <c r="F2393" s="10" t="s">
        <v>1066</v>
      </c>
      <c r="G2393" s="9">
        <v>915</v>
      </c>
      <c r="H2393" s="9">
        <v>1975</v>
      </c>
      <c r="I2393" s="8">
        <v>150.52799999999999</v>
      </c>
      <c r="J2393" s="8">
        <v>156.29400000000001</v>
      </c>
      <c r="K2393" s="8">
        <v>148.839</v>
      </c>
      <c r="L2393" s="8">
        <v>118.503</v>
      </c>
      <c r="M2393" s="8">
        <v>69.247</v>
      </c>
      <c r="N2393" s="8">
        <v>50.537999999999997</v>
      </c>
      <c r="O2393" s="8">
        <v>42.447000000000003</v>
      </c>
      <c r="P2393" s="8">
        <v>38.661999999999999</v>
      </c>
      <c r="Q2393" s="8">
        <v>37.335999999999999</v>
      </c>
      <c r="R2393" s="8">
        <v>37.128</v>
      </c>
      <c r="S2393" s="8">
        <v>32.747</v>
      </c>
      <c r="T2393" s="8">
        <v>31.067</v>
      </c>
      <c r="U2393" s="8">
        <v>26.960999999999999</v>
      </c>
      <c r="V2393" s="8">
        <v>22.381</v>
      </c>
      <c r="W2393" s="8">
        <v>15.696999999999999</v>
      </c>
      <c r="X2393" s="8">
        <v>8.984</v>
      </c>
      <c r="Y2393" s="8">
        <v>4.1689999999999996</v>
      </c>
      <c r="Z2393" s="8">
        <v>1.542</v>
      </c>
      <c r="AA2393" s="8">
        <v>0.71399999999999997</v>
      </c>
      <c r="AB2393" s="8">
        <v>7.0999999999999994E-2</v>
      </c>
      <c r="AC2393" s="8">
        <v>8.9999999999999993E-3</v>
      </c>
    </row>
    <row r="2394" spans="1:29" ht="11.65" x14ac:dyDescent="0.35">
      <c r="A2394" s="12">
        <v>2377</v>
      </c>
      <c r="B2394" s="10" t="s">
        <v>1015</v>
      </c>
      <c r="C2394" s="11" t="s">
        <v>1182</v>
      </c>
      <c r="D2394" s="9"/>
      <c r="E2394" s="9">
        <v>388</v>
      </c>
      <c r="F2394" s="10" t="s">
        <v>1066</v>
      </c>
      <c r="G2394" s="9">
        <v>915</v>
      </c>
      <c r="H2394" s="9">
        <v>1980</v>
      </c>
      <c r="I2394" s="8">
        <v>145.09100000000001</v>
      </c>
      <c r="J2394" s="8">
        <v>147.38399999999999</v>
      </c>
      <c r="K2394" s="8">
        <v>144.5</v>
      </c>
      <c r="L2394" s="8">
        <v>123.651</v>
      </c>
      <c r="M2394" s="8">
        <v>98.777000000000001</v>
      </c>
      <c r="N2394" s="8">
        <v>72.331000000000003</v>
      </c>
      <c r="O2394" s="8">
        <v>56.633000000000003</v>
      </c>
      <c r="P2394" s="8">
        <v>46.216999999999999</v>
      </c>
      <c r="Q2394" s="8">
        <v>40.14</v>
      </c>
      <c r="R2394" s="8">
        <v>36.628999999999998</v>
      </c>
      <c r="S2394" s="8">
        <v>33.363</v>
      </c>
      <c r="T2394" s="8">
        <v>29.893000000000001</v>
      </c>
      <c r="U2394" s="8">
        <v>27.138999999999999</v>
      </c>
      <c r="V2394" s="8">
        <v>24.719000000000001</v>
      </c>
      <c r="W2394" s="8">
        <v>19.777000000000001</v>
      </c>
      <c r="X2394" s="8">
        <v>12.076000000000001</v>
      </c>
      <c r="Y2394" s="8">
        <v>8.0030000000000001</v>
      </c>
      <c r="Z2394" s="8">
        <v>1.9990000000000001</v>
      </c>
      <c r="AA2394" s="8">
        <v>0.51100000000000001</v>
      </c>
      <c r="AB2394" s="8">
        <v>0.152</v>
      </c>
      <c r="AC2394" s="8">
        <v>0.01</v>
      </c>
    </row>
    <row r="2395" spans="1:29" ht="11.65" x14ac:dyDescent="0.35">
      <c r="A2395" s="12">
        <v>2378</v>
      </c>
      <c r="B2395" s="10" t="s">
        <v>1015</v>
      </c>
      <c r="C2395" s="11" t="s">
        <v>1182</v>
      </c>
      <c r="D2395" s="9"/>
      <c r="E2395" s="9">
        <v>388</v>
      </c>
      <c r="F2395" s="10" t="s">
        <v>1066</v>
      </c>
      <c r="G2395" s="9">
        <v>915</v>
      </c>
      <c r="H2395" s="9">
        <v>1985</v>
      </c>
      <c r="I2395" s="8">
        <v>154.66300000000001</v>
      </c>
      <c r="J2395" s="8">
        <v>139.977</v>
      </c>
      <c r="K2395" s="8">
        <v>145.60599999999999</v>
      </c>
      <c r="L2395" s="8">
        <v>139.512</v>
      </c>
      <c r="M2395" s="8">
        <v>116.96299999999999</v>
      </c>
      <c r="N2395" s="8">
        <v>91.951999999999998</v>
      </c>
      <c r="O2395" s="8">
        <v>66.594999999999999</v>
      </c>
      <c r="P2395" s="8">
        <v>53.143000000000001</v>
      </c>
      <c r="Q2395" s="8">
        <v>44.569000000000003</v>
      </c>
      <c r="R2395" s="8">
        <v>39.06</v>
      </c>
      <c r="S2395" s="8">
        <v>35.197000000000003</v>
      </c>
      <c r="T2395" s="8">
        <v>31.280999999999999</v>
      </c>
      <c r="U2395" s="8">
        <v>27.204999999999998</v>
      </c>
      <c r="V2395" s="8">
        <v>24.318000000000001</v>
      </c>
      <c r="W2395" s="8">
        <v>21.605</v>
      </c>
      <c r="X2395" s="8">
        <v>15.91</v>
      </c>
      <c r="Y2395" s="8">
        <v>8.9499999999999993</v>
      </c>
      <c r="Z2395" s="8">
        <v>3.7559999999999998</v>
      </c>
      <c r="AA2395" s="8">
        <v>0.63500000000000001</v>
      </c>
      <c r="AB2395" s="8">
        <v>0.10199999999999999</v>
      </c>
      <c r="AC2395" s="8">
        <v>1.7999999999999999E-2</v>
      </c>
    </row>
    <row r="2396" spans="1:29" ht="11.65" x14ac:dyDescent="0.35">
      <c r="A2396" s="12">
        <v>2379</v>
      </c>
      <c r="B2396" s="10" t="s">
        <v>1015</v>
      </c>
      <c r="C2396" s="11" t="s">
        <v>1182</v>
      </c>
      <c r="D2396" s="9"/>
      <c r="E2396" s="9">
        <v>388</v>
      </c>
      <c r="F2396" s="10" t="s">
        <v>1066</v>
      </c>
      <c r="G2396" s="9">
        <v>915</v>
      </c>
      <c r="H2396" s="9">
        <v>1990</v>
      </c>
      <c r="I2396" s="8">
        <v>149.03700000000001</v>
      </c>
      <c r="J2396" s="8">
        <v>144.80199999999999</v>
      </c>
      <c r="K2396" s="8">
        <v>132.40100000000001</v>
      </c>
      <c r="L2396" s="8">
        <v>130.602</v>
      </c>
      <c r="M2396" s="8">
        <v>118.785</v>
      </c>
      <c r="N2396" s="8">
        <v>100.285</v>
      </c>
      <c r="O2396" s="8">
        <v>82.105999999999995</v>
      </c>
      <c r="P2396" s="8">
        <v>61.991999999999997</v>
      </c>
      <c r="Q2396" s="8">
        <v>51.45</v>
      </c>
      <c r="R2396" s="8">
        <v>43.156999999999996</v>
      </c>
      <c r="S2396" s="8">
        <v>36.643999999999998</v>
      </c>
      <c r="T2396" s="8">
        <v>32.856999999999999</v>
      </c>
      <c r="U2396" s="8">
        <v>30.082999999999998</v>
      </c>
      <c r="V2396" s="8">
        <v>25.916</v>
      </c>
      <c r="W2396" s="8">
        <v>21.440999999999999</v>
      </c>
      <c r="X2396" s="8">
        <v>16.533999999999999</v>
      </c>
      <c r="Y2396" s="8">
        <v>10.332000000000001</v>
      </c>
      <c r="Z2396" s="8">
        <v>4.2779999999999996</v>
      </c>
      <c r="AA2396" s="8">
        <v>1.214</v>
      </c>
      <c r="AB2396" s="8">
        <v>0.128</v>
      </c>
      <c r="AC2396" s="8">
        <v>1.4E-2</v>
      </c>
    </row>
    <row r="2397" spans="1:29" ht="11.65" x14ac:dyDescent="0.35">
      <c r="A2397" s="12">
        <v>2380</v>
      </c>
      <c r="B2397" s="10" t="s">
        <v>1015</v>
      </c>
      <c r="C2397" s="11" t="s">
        <v>1182</v>
      </c>
      <c r="D2397" s="9"/>
      <c r="E2397" s="9">
        <v>388</v>
      </c>
      <c r="F2397" s="10" t="s">
        <v>1066</v>
      </c>
      <c r="G2397" s="9">
        <v>915</v>
      </c>
      <c r="H2397" s="9">
        <v>1995</v>
      </c>
      <c r="I2397" s="8">
        <v>148.72399999999999</v>
      </c>
      <c r="J2397" s="8">
        <v>142.886</v>
      </c>
      <c r="K2397" s="8">
        <v>138.19900000000001</v>
      </c>
      <c r="L2397" s="8">
        <v>125.26600000000001</v>
      </c>
      <c r="M2397" s="8">
        <v>119.569</v>
      </c>
      <c r="N2397" s="8">
        <v>106.27</v>
      </c>
      <c r="O2397" s="8">
        <v>91.79</v>
      </c>
      <c r="P2397" s="8">
        <v>77.632000000000005</v>
      </c>
      <c r="Q2397" s="8">
        <v>59.417999999999999</v>
      </c>
      <c r="R2397" s="8">
        <v>49.893999999999998</v>
      </c>
      <c r="S2397" s="8">
        <v>41.720999999999997</v>
      </c>
      <c r="T2397" s="8">
        <v>34.692</v>
      </c>
      <c r="U2397" s="8">
        <v>31.094999999999999</v>
      </c>
      <c r="V2397" s="8">
        <v>28.36</v>
      </c>
      <c r="W2397" s="8">
        <v>22.896000000000001</v>
      </c>
      <c r="X2397" s="8">
        <v>16.591000000000001</v>
      </c>
      <c r="Y2397" s="8">
        <v>11.282999999999999</v>
      </c>
      <c r="Z2397" s="8">
        <v>5.5259999999999998</v>
      </c>
      <c r="AA2397" s="8">
        <v>1.635</v>
      </c>
      <c r="AB2397" s="8">
        <v>0.311</v>
      </c>
      <c r="AC2397" s="8">
        <v>2.1999999999999999E-2</v>
      </c>
    </row>
    <row r="2398" spans="1:29" ht="11.65" x14ac:dyDescent="0.35">
      <c r="A2398" s="12">
        <v>2381</v>
      </c>
      <c r="B2398" s="10" t="s">
        <v>1015</v>
      </c>
      <c r="C2398" s="11" t="s">
        <v>1182</v>
      </c>
      <c r="D2398" s="9"/>
      <c r="E2398" s="9">
        <v>388</v>
      </c>
      <c r="F2398" s="10" t="s">
        <v>1066</v>
      </c>
      <c r="G2398" s="9">
        <v>915</v>
      </c>
      <c r="H2398" s="9">
        <v>2000</v>
      </c>
      <c r="I2398" s="8">
        <v>147.80799999999999</v>
      </c>
      <c r="J2398" s="8">
        <v>147.09299999999999</v>
      </c>
      <c r="K2398" s="8">
        <v>139.16300000000001</v>
      </c>
      <c r="L2398" s="8">
        <v>127.07299999999999</v>
      </c>
      <c r="M2398" s="8">
        <v>110.155</v>
      </c>
      <c r="N2398" s="8">
        <v>107.69199999999999</v>
      </c>
      <c r="O2398" s="8">
        <v>100.002</v>
      </c>
      <c r="P2398" s="8">
        <v>89.19</v>
      </c>
      <c r="Q2398" s="8">
        <v>76.703000000000003</v>
      </c>
      <c r="R2398" s="8">
        <v>57.893999999999998</v>
      </c>
      <c r="S2398" s="8">
        <v>48.206000000000003</v>
      </c>
      <c r="T2398" s="8">
        <v>39.845999999999997</v>
      </c>
      <c r="U2398" s="8">
        <v>32.164000000000001</v>
      </c>
      <c r="V2398" s="8">
        <v>29.405999999999999</v>
      </c>
      <c r="W2398" s="8">
        <v>26.49</v>
      </c>
      <c r="X2398" s="8">
        <v>19.077000000000002</v>
      </c>
      <c r="Y2398" s="8">
        <v>12.749000000000001</v>
      </c>
      <c r="Z2398" s="8">
        <v>6.6230000000000002</v>
      </c>
      <c r="AA2398" s="8">
        <v>2.456</v>
      </c>
      <c r="AB2398" s="8">
        <v>0.51500000000000001</v>
      </c>
      <c r="AC2398" s="8">
        <v>6.5000000000000002E-2</v>
      </c>
    </row>
    <row r="2399" spans="1:29" ht="11.65" x14ac:dyDescent="0.35">
      <c r="A2399" s="12">
        <v>2382</v>
      </c>
      <c r="B2399" s="10" t="s">
        <v>1015</v>
      </c>
      <c r="C2399" s="11" t="s">
        <v>1182</v>
      </c>
      <c r="D2399" s="9"/>
      <c r="E2399" s="9">
        <v>388</v>
      </c>
      <c r="F2399" s="10" t="s">
        <v>1066</v>
      </c>
      <c r="G2399" s="9">
        <v>915</v>
      </c>
      <c r="H2399" s="9">
        <v>2005</v>
      </c>
      <c r="I2399" s="8">
        <v>131.596</v>
      </c>
      <c r="J2399" s="8">
        <v>146.23400000000001</v>
      </c>
      <c r="K2399" s="8">
        <v>144.489</v>
      </c>
      <c r="L2399" s="8">
        <v>136.30000000000001</v>
      </c>
      <c r="M2399" s="8">
        <v>115.569</v>
      </c>
      <c r="N2399" s="8">
        <v>100.22</v>
      </c>
      <c r="O2399" s="8">
        <v>95.24</v>
      </c>
      <c r="P2399" s="8">
        <v>92.942999999999998</v>
      </c>
      <c r="Q2399" s="8">
        <v>84.950999999999993</v>
      </c>
      <c r="R2399" s="8">
        <v>66.492999999999995</v>
      </c>
      <c r="S2399" s="8">
        <v>59.875</v>
      </c>
      <c r="T2399" s="8">
        <v>45.006</v>
      </c>
      <c r="U2399" s="8">
        <v>37.418999999999997</v>
      </c>
      <c r="V2399" s="8">
        <v>30.631</v>
      </c>
      <c r="W2399" s="8">
        <v>25.58</v>
      </c>
      <c r="X2399" s="8">
        <v>21.442</v>
      </c>
      <c r="Y2399" s="8">
        <v>13.704000000000001</v>
      </c>
      <c r="Z2399" s="8">
        <v>6.7</v>
      </c>
      <c r="AA2399" s="8">
        <v>2.4689999999999999</v>
      </c>
      <c r="AB2399" s="8">
        <v>0.59899999999999998</v>
      </c>
      <c r="AC2399" s="8">
        <v>8.2000000000000003E-2</v>
      </c>
    </row>
    <row r="2400" spans="1:29" ht="11.65" x14ac:dyDescent="0.35">
      <c r="A2400" s="12">
        <v>2383</v>
      </c>
      <c r="B2400" s="10" t="s">
        <v>1015</v>
      </c>
      <c r="C2400" s="11" t="s">
        <v>1182</v>
      </c>
      <c r="D2400" s="9"/>
      <c r="E2400" s="9">
        <v>388</v>
      </c>
      <c r="F2400" s="10" t="s">
        <v>1066</v>
      </c>
      <c r="G2400" s="9">
        <v>915</v>
      </c>
      <c r="H2400" s="9">
        <v>2010</v>
      </c>
      <c r="I2400" s="8">
        <v>117.167</v>
      </c>
      <c r="J2400" s="8">
        <v>126.89100000000001</v>
      </c>
      <c r="K2400" s="8">
        <v>143.51900000000001</v>
      </c>
      <c r="L2400" s="8">
        <v>142.46199999999999</v>
      </c>
      <c r="M2400" s="8">
        <v>129.26</v>
      </c>
      <c r="N2400" s="8">
        <v>111.706</v>
      </c>
      <c r="O2400" s="8">
        <v>91.028000000000006</v>
      </c>
      <c r="P2400" s="8">
        <v>91.68</v>
      </c>
      <c r="Q2400" s="8">
        <v>88.944999999999993</v>
      </c>
      <c r="R2400" s="8">
        <v>81.349000000000004</v>
      </c>
      <c r="S2400" s="8">
        <v>66.822999999999993</v>
      </c>
      <c r="T2400" s="8">
        <v>53.689</v>
      </c>
      <c r="U2400" s="8">
        <v>44.671999999999997</v>
      </c>
      <c r="V2400" s="8">
        <v>34.076000000000001</v>
      </c>
      <c r="W2400" s="8">
        <v>27.344000000000001</v>
      </c>
      <c r="X2400" s="8">
        <v>21.015000000000001</v>
      </c>
      <c r="Y2400" s="8">
        <v>15.544</v>
      </c>
      <c r="Z2400" s="8">
        <v>7.1689999999999996</v>
      </c>
      <c r="AA2400" s="8">
        <v>2.4830000000000001</v>
      </c>
      <c r="AB2400" s="8">
        <v>0.59499999999999997</v>
      </c>
      <c r="AC2400" s="8">
        <v>9.5000000000000001E-2</v>
      </c>
    </row>
    <row r="2401" spans="1:29" ht="11.65" x14ac:dyDescent="0.35">
      <c r="A2401" s="12">
        <v>2384</v>
      </c>
      <c r="B2401" s="10" t="s">
        <v>1015</v>
      </c>
      <c r="C2401" s="11" t="s">
        <v>1182</v>
      </c>
      <c r="D2401" s="9"/>
      <c r="E2401" s="9">
        <v>388</v>
      </c>
      <c r="F2401" s="10" t="s">
        <v>1066</v>
      </c>
      <c r="G2401" s="9">
        <v>915</v>
      </c>
      <c r="H2401" s="9">
        <v>2015</v>
      </c>
      <c r="I2401" s="8">
        <v>120.578</v>
      </c>
      <c r="J2401" s="8">
        <v>116.006</v>
      </c>
      <c r="K2401" s="8">
        <v>125.999</v>
      </c>
      <c r="L2401" s="8">
        <v>139.798</v>
      </c>
      <c r="M2401" s="8">
        <v>135.71100000000001</v>
      </c>
      <c r="N2401" s="8">
        <v>122.702</v>
      </c>
      <c r="O2401" s="8">
        <v>106.596</v>
      </c>
      <c r="P2401" s="8">
        <v>87.218000000000004</v>
      </c>
      <c r="Q2401" s="8">
        <v>88.494</v>
      </c>
      <c r="R2401" s="8">
        <v>85.847999999999999</v>
      </c>
      <c r="S2401" s="8">
        <v>77.875</v>
      </c>
      <c r="T2401" s="8">
        <v>62.787999999999997</v>
      </c>
      <c r="U2401" s="8">
        <v>49.283000000000001</v>
      </c>
      <c r="V2401" s="8">
        <v>40.002000000000002</v>
      </c>
      <c r="W2401" s="8">
        <v>29.271000000000001</v>
      </c>
      <c r="X2401" s="8">
        <v>21.646999999999998</v>
      </c>
      <c r="Y2401" s="8">
        <v>14.45</v>
      </c>
      <c r="Z2401" s="8">
        <v>8.6780000000000008</v>
      </c>
      <c r="AA2401" s="8">
        <v>2.9489999999999998</v>
      </c>
      <c r="AB2401" s="8">
        <v>0.69199999999999995</v>
      </c>
      <c r="AC2401" s="8">
        <v>0.115</v>
      </c>
    </row>
    <row r="2402" spans="1:29" ht="11.65" x14ac:dyDescent="0.35">
      <c r="A2402" s="12">
        <v>2385</v>
      </c>
      <c r="B2402" s="10" t="s">
        <v>1015</v>
      </c>
      <c r="C2402" s="11" t="s">
        <v>1182</v>
      </c>
      <c r="D2402" s="9"/>
      <c r="E2402" s="9">
        <v>388</v>
      </c>
      <c r="F2402" s="10" t="s">
        <v>1066</v>
      </c>
      <c r="G2402" s="9">
        <v>915</v>
      </c>
      <c r="H2402" s="9">
        <v>2020</v>
      </c>
      <c r="I2402" s="8">
        <v>117.90600000000001</v>
      </c>
      <c r="J2402" s="8">
        <v>119.381</v>
      </c>
      <c r="K2402" s="8">
        <v>115.152</v>
      </c>
      <c r="L2402" s="8">
        <v>122.34399999999999</v>
      </c>
      <c r="M2402" s="8">
        <v>133.04400000000001</v>
      </c>
      <c r="N2402" s="8">
        <v>129.06700000000001</v>
      </c>
      <c r="O2402" s="8">
        <v>117.46</v>
      </c>
      <c r="P2402" s="8">
        <v>102.58199999999999</v>
      </c>
      <c r="Q2402" s="8">
        <v>84.021000000000001</v>
      </c>
      <c r="R2402" s="8">
        <v>85.311000000000007</v>
      </c>
      <c r="S2402" s="8">
        <v>82.114999999999995</v>
      </c>
      <c r="T2402" s="8">
        <v>73.155000000000001</v>
      </c>
      <c r="U2402" s="8">
        <v>57.661999999999999</v>
      </c>
      <c r="V2402" s="8">
        <v>44.232999999999997</v>
      </c>
      <c r="W2402" s="8">
        <v>34.576999999999998</v>
      </c>
      <c r="X2402" s="8">
        <v>23.427</v>
      </c>
      <c r="Y2402" s="8">
        <v>15.156000000000001</v>
      </c>
      <c r="Z2402" s="8">
        <v>8.3049999999999997</v>
      </c>
      <c r="AA2402" s="8">
        <v>3.7290000000000001</v>
      </c>
      <c r="AB2402" s="8">
        <v>0.87</v>
      </c>
      <c r="AC2402" s="8">
        <v>0.14399999999999999</v>
      </c>
    </row>
    <row r="2403" spans="1:29" ht="11.65" x14ac:dyDescent="0.35">
      <c r="A2403" s="12">
        <v>2386</v>
      </c>
      <c r="B2403" s="10" t="s">
        <v>1015</v>
      </c>
      <c r="C2403" s="11" t="s">
        <v>1183</v>
      </c>
      <c r="D2403" s="9">
        <v>2</v>
      </c>
      <c r="E2403" s="9">
        <v>474</v>
      </c>
      <c r="F2403" s="10" t="s">
        <v>1066</v>
      </c>
      <c r="G2403" s="9">
        <v>915</v>
      </c>
      <c r="H2403" s="9">
        <v>1950</v>
      </c>
      <c r="I2403" s="8">
        <v>17</v>
      </c>
      <c r="J2403" s="8">
        <v>12</v>
      </c>
      <c r="K2403" s="8">
        <v>12.002000000000001</v>
      </c>
      <c r="L2403" s="8">
        <v>10</v>
      </c>
      <c r="M2403" s="8">
        <v>8</v>
      </c>
      <c r="N2403" s="8">
        <v>8</v>
      </c>
      <c r="O2403" s="8">
        <v>6.9980000000000002</v>
      </c>
      <c r="P2403" s="8">
        <v>6.9989999999999997</v>
      </c>
      <c r="Q2403" s="8">
        <v>6.0010000000000003</v>
      </c>
      <c r="R2403" s="8">
        <v>5</v>
      </c>
      <c r="S2403" s="8">
        <v>4.0010000000000003</v>
      </c>
      <c r="T2403" s="8">
        <v>3</v>
      </c>
      <c r="U2403" s="8">
        <v>2.4</v>
      </c>
      <c r="V2403" s="8">
        <v>2</v>
      </c>
      <c r="W2403" s="8">
        <v>1.2</v>
      </c>
      <c r="X2403" s="8">
        <v>0.9</v>
      </c>
      <c r="Y2403" s="8">
        <v>0.29699999999999999</v>
      </c>
      <c r="Z2403" s="8">
        <v>0.13600000000000001</v>
      </c>
      <c r="AA2403" s="8">
        <v>4.9000000000000002E-2</v>
      </c>
      <c r="AB2403" s="8">
        <v>1.2999999999999999E-2</v>
      </c>
      <c r="AC2403" s="8">
        <v>3.0000000000000001E-3</v>
      </c>
    </row>
    <row r="2404" spans="1:29" ht="11.65" x14ac:dyDescent="0.35">
      <c r="A2404" s="12">
        <v>2387</v>
      </c>
      <c r="B2404" s="10" t="s">
        <v>1015</v>
      </c>
      <c r="C2404" s="11" t="s">
        <v>1183</v>
      </c>
      <c r="D2404" s="9">
        <v>2</v>
      </c>
      <c r="E2404" s="9">
        <v>474</v>
      </c>
      <c r="F2404" s="10" t="s">
        <v>1066</v>
      </c>
      <c r="G2404" s="9">
        <v>915</v>
      </c>
      <c r="H2404" s="9">
        <v>1955</v>
      </c>
      <c r="I2404" s="8">
        <v>21.033000000000001</v>
      </c>
      <c r="J2404" s="8">
        <v>15.923999999999999</v>
      </c>
      <c r="K2404" s="8">
        <v>12.967000000000001</v>
      </c>
      <c r="L2404" s="8">
        <v>12.01</v>
      </c>
      <c r="M2404" s="8">
        <v>8.8989999999999991</v>
      </c>
      <c r="N2404" s="8">
        <v>7.9039999999999999</v>
      </c>
      <c r="O2404" s="8">
        <v>6.8959999999999999</v>
      </c>
      <c r="P2404" s="8">
        <v>6.8970000000000002</v>
      </c>
      <c r="Q2404" s="8">
        <v>6.899</v>
      </c>
      <c r="R2404" s="8">
        <v>4.8979999999999997</v>
      </c>
      <c r="S2404" s="8">
        <v>3.903</v>
      </c>
      <c r="T2404" s="8">
        <v>2.899</v>
      </c>
      <c r="U2404" s="8">
        <v>1.9</v>
      </c>
      <c r="V2404" s="8">
        <v>1.9</v>
      </c>
      <c r="W2404" s="8">
        <v>0.999</v>
      </c>
      <c r="X2404" s="8">
        <v>0.97</v>
      </c>
      <c r="Y2404" s="8">
        <v>0.90600000000000003</v>
      </c>
      <c r="Z2404" s="8">
        <v>0.109</v>
      </c>
      <c r="AA2404" s="8">
        <v>2.5999999999999999E-2</v>
      </c>
      <c r="AB2404" s="8">
        <v>5.0000000000000001E-3</v>
      </c>
      <c r="AC2404" s="8">
        <v>1E-3</v>
      </c>
    </row>
    <row r="2405" spans="1:29" ht="11.65" x14ac:dyDescent="0.35">
      <c r="A2405" s="12">
        <v>2388</v>
      </c>
      <c r="B2405" s="10" t="s">
        <v>1015</v>
      </c>
      <c r="C2405" s="11" t="s">
        <v>1183</v>
      </c>
      <c r="D2405" s="9">
        <v>2</v>
      </c>
      <c r="E2405" s="9">
        <v>474</v>
      </c>
      <c r="F2405" s="10" t="s">
        <v>1066</v>
      </c>
      <c r="G2405" s="9">
        <v>915</v>
      </c>
      <c r="H2405" s="9">
        <v>1960</v>
      </c>
      <c r="I2405" s="8">
        <v>22.721</v>
      </c>
      <c r="J2405" s="8">
        <v>20.776</v>
      </c>
      <c r="K2405" s="8">
        <v>16.696000000000002</v>
      </c>
      <c r="L2405" s="8">
        <v>13.875</v>
      </c>
      <c r="M2405" s="8">
        <v>11.911</v>
      </c>
      <c r="N2405" s="8">
        <v>9.0030000000000001</v>
      </c>
      <c r="O2405" s="8">
        <v>7.0019999999999998</v>
      </c>
      <c r="P2405" s="8">
        <v>6.9950000000000001</v>
      </c>
      <c r="Q2405" s="8">
        <v>5.9980000000000002</v>
      </c>
      <c r="R2405" s="8">
        <v>5.9980000000000002</v>
      </c>
      <c r="S2405" s="8">
        <v>5.0019999999999998</v>
      </c>
      <c r="T2405" s="8">
        <v>4.0019999999999998</v>
      </c>
      <c r="U2405" s="8">
        <v>3</v>
      </c>
      <c r="V2405" s="8">
        <v>2.0019999999999998</v>
      </c>
      <c r="W2405" s="8">
        <v>1.002</v>
      </c>
      <c r="X2405" s="8">
        <v>0.97799999999999998</v>
      </c>
      <c r="Y2405" s="8">
        <v>0.74099999999999999</v>
      </c>
      <c r="Z2405" s="8">
        <v>0.30399999999999999</v>
      </c>
      <c r="AA2405" s="8">
        <v>1.9E-2</v>
      </c>
      <c r="AB2405" s="8">
        <v>3.0000000000000001E-3</v>
      </c>
      <c r="AC2405" s="8">
        <v>0</v>
      </c>
    </row>
    <row r="2406" spans="1:29" ht="11.65" x14ac:dyDescent="0.35">
      <c r="A2406" s="12">
        <v>2389</v>
      </c>
      <c r="B2406" s="10" t="s">
        <v>1015</v>
      </c>
      <c r="C2406" s="11" t="s">
        <v>1183</v>
      </c>
      <c r="D2406" s="9">
        <v>2</v>
      </c>
      <c r="E2406" s="9">
        <v>474</v>
      </c>
      <c r="F2406" s="10" t="s">
        <v>1066</v>
      </c>
      <c r="G2406" s="9">
        <v>915</v>
      </c>
      <c r="H2406" s="9">
        <v>1965</v>
      </c>
      <c r="I2406" s="8">
        <v>25.405999999999999</v>
      </c>
      <c r="J2406" s="8">
        <v>23.279</v>
      </c>
      <c r="K2406" s="8">
        <v>20.248999999999999</v>
      </c>
      <c r="L2406" s="8">
        <v>15.003</v>
      </c>
      <c r="M2406" s="8">
        <v>8.9779999999999998</v>
      </c>
      <c r="N2406" s="8">
        <v>8.0150000000000006</v>
      </c>
      <c r="O2406" s="8">
        <v>7.9989999999999997</v>
      </c>
      <c r="P2406" s="8">
        <v>8</v>
      </c>
      <c r="Q2406" s="8">
        <v>6.9960000000000004</v>
      </c>
      <c r="R2406" s="8">
        <v>5.9969999999999999</v>
      </c>
      <c r="S2406" s="8">
        <v>6</v>
      </c>
      <c r="T2406" s="8">
        <v>5</v>
      </c>
      <c r="U2406" s="8">
        <v>3</v>
      </c>
      <c r="V2406" s="8">
        <v>2</v>
      </c>
      <c r="W2406" s="8">
        <v>2.0019999999999998</v>
      </c>
      <c r="X2406" s="8">
        <v>0.98099999999999998</v>
      </c>
      <c r="Y2406" s="8">
        <v>0.72699999999999998</v>
      </c>
      <c r="Z2406" s="8">
        <v>0.27</v>
      </c>
      <c r="AA2406" s="8">
        <v>7.0000000000000007E-2</v>
      </c>
      <c r="AB2406" s="8">
        <v>3.0000000000000001E-3</v>
      </c>
      <c r="AC2406" s="8">
        <v>0</v>
      </c>
    </row>
    <row r="2407" spans="1:29" ht="11.65" x14ac:dyDescent="0.35">
      <c r="A2407" s="12">
        <v>2390</v>
      </c>
      <c r="B2407" s="10" t="s">
        <v>1015</v>
      </c>
      <c r="C2407" s="11" t="s">
        <v>1183</v>
      </c>
      <c r="D2407" s="9">
        <v>2</v>
      </c>
      <c r="E2407" s="9">
        <v>474</v>
      </c>
      <c r="F2407" s="10" t="s">
        <v>1066</v>
      </c>
      <c r="G2407" s="9">
        <v>915</v>
      </c>
      <c r="H2407" s="9">
        <v>1970</v>
      </c>
      <c r="I2407" s="8">
        <v>25.373999999999999</v>
      </c>
      <c r="J2407" s="8">
        <v>22.376000000000001</v>
      </c>
      <c r="K2407" s="8">
        <v>20.559000000000001</v>
      </c>
      <c r="L2407" s="8">
        <v>16.654</v>
      </c>
      <c r="M2407" s="8">
        <v>11.705</v>
      </c>
      <c r="N2407" s="8">
        <v>8.8789999999999996</v>
      </c>
      <c r="O2407" s="8">
        <v>8.9130000000000003</v>
      </c>
      <c r="P2407" s="8">
        <v>7.8979999999999997</v>
      </c>
      <c r="Q2407" s="8">
        <v>6.9</v>
      </c>
      <c r="R2407" s="8">
        <v>6.8940000000000001</v>
      </c>
      <c r="S2407" s="8">
        <v>5.899</v>
      </c>
      <c r="T2407" s="8">
        <v>5.9</v>
      </c>
      <c r="U2407" s="8">
        <v>3.9969999999999999</v>
      </c>
      <c r="V2407" s="8">
        <v>3.0030000000000001</v>
      </c>
      <c r="W2407" s="8">
        <v>2.1040000000000001</v>
      </c>
      <c r="X2407" s="8">
        <v>1.0680000000000001</v>
      </c>
      <c r="Y2407" s="8">
        <v>0.79700000000000004</v>
      </c>
      <c r="Z2407" s="8">
        <v>0.28599999999999998</v>
      </c>
      <c r="AA2407" s="8">
        <v>6.9000000000000006E-2</v>
      </c>
      <c r="AB2407" s="8">
        <v>8.9999999999999993E-3</v>
      </c>
      <c r="AC2407" s="8">
        <v>0</v>
      </c>
    </row>
    <row r="2408" spans="1:29" ht="11.65" x14ac:dyDescent="0.35">
      <c r="A2408" s="12">
        <v>2391</v>
      </c>
      <c r="B2408" s="10" t="s">
        <v>1015</v>
      </c>
      <c r="C2408" s="11" t="s">
        <v>1183</v>
      </c>
      <c r="D2408" s="9">
        <v>2</v>
      </c>
      <c r="E2408" s="9">
        <v>474</v>
      </c>
      <c r="F2408" s="10" t="s">
        <v>1066</v>
      </c>
      <c r="G2408" s="9">
        <v>915</v>
      </c>
      <c r="H2408" s="9">
        <v>1975</v>
      </c>
      <c r="I2408" s="8">
        <v>20.146999999999998</v>
      </c>
      <c r="J2408" s="8">
        <v>22.555</v>
      </c>
      <c r="K2408" s="8">
        <v>23.462</v>
      </c>
      <c r="L2408" s="8">
        <v>20.059999999999999</v>
      </c>
      <c r="M2408" s="8">
        <v>11.656000000000001</v>
      </c>
      <c r="N2408" s="8">
        <v>7.9089999999999998</v>
      </c>
      <c r="O2408" s="8">
        <v>6.7779999999999996</v>
      </c>
      <c r="P2408" s="8">
        <v>7.5110000000000001</v>
      </c>
      <c r="Q2408" s="8">
        <v>7.2</v>
      </c>
      <c r="R2408" s="8">
        <v>6.8970000000000002</v>
      </c>
      <c r="S2408" s="8">
        <v>6.2969999999999997</v>
      </c>
      <c r="T2408" s="8">
        <v>5.0999999999999996</v>
      </c>
      <c r="U2408" s="8">
        <v>4.7960000000000003</v>
      </c>
      <c r="V2408" s="8">
        <v>3.5</v>
      </c>
      <c r="W2408" s="8">
        <v>2.4079999999999999</v>
      </c>
      <c r="X2408" s="8">
        <v>1.2749999999999999</v>
      </c>
      <c r="Y2408" s="8">
        <v>0.83</v>
      </c>
      <c r="Z2408" s="8">
        <v>0.33400000000000002</v>
      </c>
      <c r="AA2408" s="8">
        <v>7.8E-2</v>
      </c>
      <c r="AB2408" s="8">
        <v>1.2E-2</v>
      </c>
      <c r="AC2408" s="8">
        <v>1E-3</v>
      </c>
    </row>
    <row r="2409" spans="1:29" ht="11.65" x14ac:dyDescent="0.35">
      <c r="A2409" s="12">
        <v>2392</v>
      </c>
      <c r="B2409" s="10" t="s">
        <v>1015</v>
      </c>
      <c r="C2409" s="11" t="s">
        <v>1183</v>
      </c>
      <c r="D2409" s="9">
        <v>2</v>
      </c>
      <c r="E2409" s="9">
        <v>474</v>
      </c>
      <c r="F2409" s="10" t="s">
        <v>1066</v>
      </c>
      <c r="G2409" s="9">
        <v>915</v>
      </c>
      <c r="H2409" s="9">
        <v>1980</v>
      </c>
      <c r="I2409" s="8">
        <v>13.475</v>
      </c>
      <c r="J2409" s="8">
        <v>16.114000000000001</v>
      </c>
      <c r="K2409" s="8">
        <v>20.545999999999999</v>
      </c>
      <c r="L2409" s="8">
        <v>21.123999999999999</v>
      </c>
      <c r="M2409" s="8">
        <v>16.457000000000001</v>
      </c>
      <c r="N2409" s="8">
        <v>10.388999999999999</v>
      </c>
      <c r="O2409" s="8">
        <v>8.8610000000000007</v>
      </c>
      <c r="P2409" s="8">
        <v>7.875</v>
      </c>
      <c r="Q2409" s="8">
        <v>7.1950000000000003</v>
      </c>
      <c r="R2409" s="8">
        <v>7.3220000000000001</v>
      </c>
      <c r="S2409" s="8">
        <v>6.6280000000000001</v>
      </c>
      <c r="T2409" s="8">
        <v>5.9649999999999999</v>
      </c>
      <c r="U2409" s="8">
        <v>5.0609999999999999</v>
      </c>
      <c r="V2409" s="8">
        <v>4.1210000000000004</v>
      </c>
      <c r="W2409" s="8">
        <v>3.0619999999999998</v>
      </c>
      <c r="X2409" s="8">
        <v>1.9279999999999999</v>
      </c>
      <c r="Y2409" s="8">
        <v>1.1739999999999999</v>
      </c>
      <c r="Z2409" s="8">
        <v>0.37</v>
      </c>
      <c r="AA2409" s="8">
        <v>9.8000000000000004E-2</v>
      </c>
      <c r="AB2409" s="8">
        <v>1.4999999999999999E-2</v>
      </c>
      <c r="AC2409" s="8">
        <v>1E-3</v>
      </c>
    </row>
    <row r="2410" spans="1:29" ht="11.65" x14ac:dyDescent="0.35">
      <c r="A2410" s="12">
        <v>2393</v>
      </c>
      <c r="B2410" s="10" t="s">
        <v>1015</v>
      </c>
      <c r="C2410" s="11" t="s">
        <v>1183</v>
      </c>
      <c r="D2410" s="9">
        <v>2</v>
      </c>
      <c r="E2410" s="9">
        <v>474</v>
      </c>
      <c r="F2410" s="10" t="s">
        <v>1066</v>
      </c>
      <c r="G2410" s="9">
        <v>915</v>
      </c>
      <c r="H2410" s="9">
        <v>1985</v>
      </c>
      <c r="I2410" s="8">
        <v>14.452999999999999</v>
      </c>
      <c r="J2410" s="8">
        <v>15.363</v>
      </c>
      <c r="K2410" s="8">
        <v>17.475000000000001</v>
      </c>
      <c r="L2410" s="8">
        <v>19.466999999999999</v>
      </c>
      <c r="M2410" s="8">
        <v>16.734000000000002</v>
      </c>
      <c r="N2410" s="8">
        <v>13.038</v>
      </c>
      <c r="O2410" s="8">
        <v>10.993</v>
      </c>
      <c r="P2410" s="8">
        <v>9.2189999999999994</v>
      </c>
      <c r="Q2410" s="8">
        <v>8.2550000000000008</v>
      </c>
      <c r="R2410" s="8">
        <v>7.7149999999999999</v>
      </c>
      <c r="S2410" s="8">
        <v>7.0789999999999997</v>
      </c>
      <c r="T2410" s="8">
        <v>6.4820000000000002</v>
      </c>
      <c r="U2410" s="8">
        <v>5.6689999999999996</v>
      </c>
      <c r="V2410" s="8">
        <v>4.6619999999999999</v>
      </c>
      <c r="W2410" s="8">
        <v>3.4279999999999999</v>
      </c>
      <c r="X2410" s="8">
        <v>2.3119999999999998</v>
      </c>
      <c r="Y2410" s="8">
        <v>1.397</v>
      </c>
      <c r="Z2410" s="8">
        <v>0.55500000000000005</v>
      </c>
      <c r="AA2410" s="8">
        <v>0.11799999999999999</v>
      </c>
      <c r="AB2410" s="8">
        <v>1.9E-2</v>
      </c>
      <c r="AC2410" s="8">
        <v>2E-3</v>
      </c>
    </row>
    <row r="2411" spans="1:29" ht="11.65" x14ac:dyDescent="0.35">
      <c r="A2411" s="12">
        <v>2394</v>
      </c>
      <c r="B2411" s="10" t="s">
        <v>1015</v>
      </c>
      <c r="C2411" s="11" t="s">
        <v>1183</v>
      </c>
      <c r="D2411" s="9">
        <v>2</v>
      </c>
      <c r="E2411" s="9">
        <v>474</v>
      </c>
      <c r="F2411" s="10" t="s">
        <v>1066</v>
      </c>
      <c r="G2411" s="9">
        <v>915</v>
      </c>
      <c r="H2411" s="9">
        <v>1990</v>
      </c>
      <c r="I2411" s="8">
        <v>15.202999999999999</v>
      </c>
      <c r="J2411" s="8">
        <v>14.667999999999999</v>
      </c>
      <c r="K2411" s="8">
        <v>14.68</v>
      </c>
      <c r="L2411" s="8">
        <v>18.48</v>
      </c>
      <c r="M2411" s="8">
        <v>16.391999999999999</v>
      </c>
      <c r="N2411" s="8">
        <v>16.216999999999999</v>
      </c>
      <c r="O2411" s="8">
        <v>13.198</v>
      </c>
      <c r="P2411" s="8">
        <v>11.116</v>
      </c>
      <c r="Q2411" s="8">
        <v>9.5500000000000007</v>
      </c>
      <c r="R2411" s="8">
        <v>7.9249999999999998</v>
      </c>
      <c r="S2411" s="8">
        <v>7.827</v>
      </c>
      <c r="T2411" s="8">
        <v>6.9829999999999997</v>
      </c>
      <c r="U2411" s="8">
        <v>6.3979999999999997</v>
      </c>
      <c r="V2411" s="8">
        <v>5.2850000000000001</v>
      </c>
      <c r="W2411" s="8">
        <v>3.8079999999999998</v>
      </c>
      <c r="X2411" s="8">
        <v>2.7679999999999998</v>
      </c>
      <c r="Y2411" s="8">
        <v>1.619</v>
      </c>
      <c r="Z2411" s="8">
        <v>0.69599999999999995</v>
      </c>
      <c r="AA2411" s="8">
        <v>0.192</v>
      </c>
      <c r="AB2411" s="8">
        <v>2.5000000000000001E-2</v>
      </c>
      <c r="AC2411" s="8">
        <v>2E-3</v>
      </c>
    </row>
    <row r="2412" spans="1:29" ht="11.65" x14ac:dyDescent="0.35">
      <c r="A2412" s="12">
        <v>2395</v>
      </c>
      <c r="B2412" s="10" t="s">
        <v>1015</v>
      </c>
      <c r="C2412" s="11" t="s">
        <v>1183</v>
      </c>
      <c r="D2412" s="9">
        <v>2</v>
      </c>
      <c r="E2412" s="9">
        <v>474</v>
      </c>
      <c r="F2412" s="10" t="s">
        <v>1066</v>
      </c>
      <c r="G2412" s="9">
        <v>915</v>
      </c>
      <c r="H2412" s="9">
        <v>1995</v>
      </c>
      <c r="I2412" s="8">
        <v>14.145</v>
      </c>
      <c r="J2412" s="8">
        <v>15.071999999999999</v>
      </c>
      <c r="K2412" s="8">
        <v>15.308999999999999</v>
      </c>
      <c r="L2412" s="8">
        <v>15.77</v>
      </c>
      <c r="M2412" s="8">
        <v>13.192</v>
      </c>
      <c r="N2412" s="8">
        <v>14.56</v>
      </c>
      <c r="O2412" s="8">
        <v>14.223000000000001</v>
      </c>
      <c r="P2412" s="8">
        <v>13.458</v>
      </c>
      <c r="Q2412" s="8">
        <v>11.301</v>
      </c>
      <c r="R2412" s="8">
        <v>9.423</v>
      </c>
      <c r="S2412" s="8">
        <v>8.548</v>
      </c>
      <c r="T2412" s="8">
        <v>7.2910000000000004</v>
      </c>
      <c r="U2412" s="8">
        <v>6.992</v>
      </c>
      <c r="V2412" s="8">
        <v>5.7759999999999998</v>
      </c>
      <c r="W2412" s="8">
        <v>4.5720000000000001</v>
      </c>
      <c r="X2412" s="8">
        <v>3.22</v>
      </c>
      <c r="Y2412" s="8">
        <v>2.056</v>
      </c>
      <c r="Z2412" s="8">
        <v>0.85</v>
      </c>
      <c r="AA2412" s="8">
        <v>0.25800000000000001</v>
      </c>
      <c r="AB2412" s="8">
        <v>4.3999999999999997E-2</v>
      </c>
      <c r="AC2412" s="8">
        <v>3.0000000000000001E-3</v>
      </c>
    </row>
    <row r="2413" spans="1:29" ht="11.65" x14ac:dyDescent="0.35">
      <c r="A2413" s="12">
        <v>2396</v>
      </c>
      <c r="B2413" s="10" t="s">
        <v>1015</v>
      </c>
      <c r="C2413" s="11" t="s">
        <v>1183</v>
      </c>
      <c r="D2413" s="9">
        <v>2</v>
      </c>
      <c r="E2413" s="9">
        <v>474</v>
      </c>
      <c r="F2413" s="10" t="s">
        <v>1066</v>
      </c>
      <c r="G2413" s="9">
        <v>915</v>
      </c>
      <c r="H2413" s="9">
        <v>2000</v>
      </c>
      <c r="I2413" s="8">
        <v>13.840999999999999</v>
      </c>
      <c r="J2413" s="8">
        <v>14.807</v>
      </c>
      <c r="K2413" s="8">
        <v>16.263000000000002</v>
      </c>
      <c r="L2413" s="8">
        <v>12.33</v>
      </c>
      <c r="M2413" s="8">
        <v>12.702999999999999</v>
      </c>
      <c r="N2413" s="8">
        <v>12.552</v>
      </c>
      <c r="O2413" s="8">
        <v>14.221</v>
      </c>
      <c r="P2413" s="8">
        <v>15.407999999999999</v>
      </c>
      <c r="Q2413" s="8">
        <v>13.637</v>
      </c>
      <c r="R2413" s="8">
        <v>11.228999999999999</v>
      </c>
      <c r="S2413" s="8">
        <v>9.5909999999999993</v>
      </c>
      <c r="T2413" s="8">
        <v>8.0890000000000004</v>
      </c>
      <c r="U2413" s="8">
        <v>7.4930000000000003</v>
      </c>
      <c r="V2413" s="8">
        <v>6.476</v>
      </c>
      <c r="W2413" s="8">
        <v>5.26</v>
      </c>
      <c r="X2413" s="8">
        <v>3.827</v>
      </c>
      <c r="Y2413" s="8">
        <v>2.5209999999999999</v>
      </c>
      <c r="Z2413" s="8">
        <v>1.1319999999999999</v>
      </c>
      <c r="AA2413" s="8">
        <v>0.33600000000000002</v>
      </c>
      <c r="AB2413" s="8">
        <v>6.4000000000000001E-2</v>
      </c>
      <c r="AC2413" s="8">
        <v>6.0000000000000001E-3</v>
      </c>
    </row>
    <row r="2414" spans="1:29" ht="11.65" x14ac:dyDescent="0.35">
      <c r="A2414" s="12">
        <v>2397</v>
      </c>
      <c r="B2414" s="10" t="s">
        <v>1015</v>
      </c>
      <c r="C2414" s="11" t="s">
        <v>1183</v>
      </c>
      <c r="D2414" s="9">
        <v>2</v>
      </c>
      <c r="E2414" s="9">
        <v>474</v>
      </c>
      <c r="F2414" s="10" t="s">
        <v>1066</v>
      </c>
      <c r="G2414" s="9">
        <v>915</v>
      </c>
      <c r="H2414" s="9">
        <v>2005</v>
      </c>
      <c r="I2414" s="8">
        <v>12.666</v>
      </c>
      <c r="J2414" s="8">
        <v>14.231</v>
      </c>
      <c r="K2414" s="8">
        <v>15.574</v>
      </c>
      <c r="L2414" s="8">
        <v>16.082000000000001</v>
      </c>
      <c r="M2414" s="8">
        <v>10.879</v>
      </c>
      <c r="N2414" s="8">
        <v>8.4939999999999998</v>
      </c>
      <c r="O2414" s="8">
        <v>11.613</v>
      </c>
      <c r="P2414" s="8">
        <v>14.217000000000001</v>
      </c>
      <c r="Q2414" s="8">
        <v>15.483000000000001</v>
      </c>
      <c r="R2414" s="8">
        <v>13.823</v>
      </c>
      <c r="S2414" s="8">
        <v>11.291</v>
      </c>
      <c r="T2414" s="8">
        <v>10.044</v>
      </c>
      <c r="U2414" s="8">
        <v>8.2309999999999999</v>
      </c>
      <c r="V2414" s="8">
        <v>7.407</v>
      </c>
      <c r="W2414" s="8">
        <v>5.9640000000000004</v>
      </c>
      <c r="X2414" s="8">
        <v>4.3769999999999998</v>
      </c>
      <c r="Y2414" s="8">
        <v>2.7330000000000001</v>
      </c>
      <c r="Z2414" s="8">
        <v>1.452</v>
      </c>
      <c r="AA2414" s="8">
        <v>0.47699999999999998</v>
      </c>
      <c r="AB2414" s="8">
        <v>9.1999999999999998E-2</v>
      </c>
      <c r="AC2414" s="8">
        <v>1.0999999999999999E-2</v>
      </c>
    </row>
    <row r="2415" spans="1:29" ht="11.65" x14ac:dyDescent="0.35">
      <c r="A2415" s="12">
        <v>2398</v>
      </c>
      <c r="B2415" s="10" t="s">
        <v>1015</v>
      </c>
      <c r="C2415" s="11" t="s">
        <v>1183</v>
      </c>
      <c r="D2415" s="9">
        <v>2</v>
      </c>
      <c r="E2415" s="9">
        <v>474</v>
      </c>
      <c r="F2415" s="10" t="s">
        <v>1066</v>
      </c>
      <c r="G2415" s="9">
        <v>915</v>
      </c>
      <c r="H2415" s="9">
        <v>2010</v>
      </c>
      <c r="I2415" s="8">
        <v>12.032</v>
      </c>
      <c r="J2415" s="8">
        <v>13.206</v>
      </c>
      <c r="K2415" s="8">
        <v>13.891999999999999</v>
      </c>
      <c r="L2415" s="8">
        <v>14.037000000000001</v>
      </c>
      <c r="M2415" s="8">
        <v>11.284000000000001</v>
      </c>
      <c r="N2415" s="8">
        <v>8.641</v>
      </c>
      <c r="O2415" s="8">
        <v>8.16</v>
      </c>
      <c r="P2415" s="8">
        <v>11.452</v>
      </c>
      <c r="Q2415" s="8">
        <v>13.664999999999999</v>
      </c>
      <c r="R2415" s="8">
        <v>15.116</v>
      </c>
      <c r="S2415" s="8">
        <v>13.471</v>
      </c>
      <c r="T2415" s="8">
        <v>11.551</v>
      </c>
      <c r="U2415" s="8">
        <v>10.029</v>
      </c>
      <c r="V2415" s="8">
        <v>7.6920000000000002</v>
      </c>
      <c r="W2415" s="8">
        <v>6.9710000000000001</v>
      </c>
      <c r="X2415" s="8">
        <v>4.923</v>
      </c>
      <c r="Y2415" s="8">
        <v>3.6739999999999999</v>
      </c>
      <c r="Z2415" s="8">
        <v>1.637</v>
      </c>
      <c r="AA2415" s="8">
        <v>0.64400000000000002</v>
      </c>
      <c r="AB2415" s="8">
        <v>0.14000000000000001</v>
      </c>
      <c r="AC2415" s="8">
        <v>1.6E-2</v>
      </c>
    </row>
    <row r="2416" spans="1:29" ht="11.65" x14ac:dyDescent="0.35">
      <c r="A2416" s="12">
        <v>2399</v>
      </c>
      <c r="B2416" s="10" t="s">
        <v>1015</v>
      </c>
      <c r="C2416" s="11" t="s">
        <v>1183</v>
      </c>
      <c r="D2416" s="9">
        <v>2</v>
      </c>
      <c r="E2416" s="9">
        <v>474</v>
      </c>
      <c r="F2416" s="10" t="s">
        <v>1066</v>
      </c>
      <c r="G2416" s="9">
        <v>915</v>
      </c>
      <c r="H2416" s="9">
        <v>2015</v>
      </c>
      <c r="I2416" s="8">
        <v>9.1310000000000002</v>
      </c>
      <c r="J2416" s="8">
        <v>11.813000000000001</v>
      </c>
      <c r="K2416" s="8">
        <v>12.701000000000001</v>
      </c>
      <c r="L2416" s="8">
        <v>13.090999999999999</v>
      </c>
      <c r="M2416" s="8">
        <v>9.4179999999999993</v>
      </c>
      <c r="N2416" s="8">
        <v>7.8289999999999997</v>
      </c>
      <c r="O2416" s="8">
        <v>7.6189999999999998</v>
      </c>
      <c r="P2416" s="8">
        <v>8.11</v>
      </c>
      <c r="Q2416" s="8">
        <v>10.95</v>
      </c>
      <c r="R2416" s="8">
        <v>13.754</v>
      </c>
      <c r="S2416" s="8">
        <v>14.879</v>
      </c>
      <c r="T2416" s="8">
        <v>13.827</v>
      </c>
      <c r="U2416" s="8">
        <v>11.369</v>
      </c>
      <c r="V2416" s="8">
        <v>9.7070000000000007</v>
      </c>
      <c r="W2416" s="8">
        <v>7.1710000000000003</v>
      </c>
      <c r="X2416" s="8">
        <v>6.1280000000000001</v>
      </c>
      <c r="Y2416" s="8">
        <v>4.3849999999999998</v>
      </c>
      <c r="Z2416" s="8">
        <v>2.2770000000000001</v>
      </c>
      <c r="AA2416" s="8">
        <v>0.76300000000000001</v>
      </c>
      <c r="AB2416" s="8">
        <v>0.20100000000000001</v>
      </c>
      <c r="AC2416" s="8">
        <v>2.5999999999999999E-2</v>
      </c>
    </row>
    <row r="2417" spans="1:29" ht="11.65" x14ac:dyDescent="0.35">
      <c r="A2417" s="12">
        <v>2400</v>
      </c>
      <c r="B2417" s="10" t="s">
        <v>1015</v>
      </c>
      <c r="C2417" s="11" t="s">
        <v>1183</v>
      </c>
      <c r="D2417" s="9">
        <v>2</v>
      </c>
      <c r="E2417" s="9">
        <v>474</v>
      </c>
      <c r="F2417" s="10" t="s">
        <v>1066</v>
      </c>
      <c r="G2417" s="9">
        <v>915</v>
      </c>
      <c r="H2417" s="9">
        <v>2020</v>
      </c>
      <c r="I2417" s="8">
        <v>9.3490000000000002</v>
      </c>
      <c r="J2417" s="8">
        <v>9.0760000000000005</v>
      </c>
      <c r="K2417" s="8">
        <v>11.75</v>
      </c>
      <c r="L2417" s="8">
        <v>12.337</v>
      </c>
      <c r="M2417" s="8">
        <v>12.416</v>
      </c>
      <c r="N2417" s="8">
        <v>8.7639999999999993</v>
      </c>
      <c r="O2417" s="8">
        <v>7.319</v>
      </c>
      <c r="P2417" s="8">
        <v>7.2430000000000003</v>
      </c>
      <c r="Q2417" s="8">
        <v>7.8319999999999999</v>
      </c>
      <c r="R2417" s="8">
        <v>10.698</v>
      </c>
      <c r="S2417" s="8">
        <v>13.448</v>
      </c>
      <c r="T2417" s="8">
        <v>14.496</v>
      </c>
      <c r="U2417" s="8">
        <v>13.353</v>
      </c>
      <c r="V2417" s="8">
        <v>10.734999999999999</v>
      </c>
      <c r="W2417" s="8">
        <v>8.8079999999999998</v>
      </c>
      <c r="X2417" s="8">
        <v>6.0970000000000004</v>
      </c>
      <c r="Y2417" s="8">
        <v>4.67</v>
      </c>
      <c r="Z2417" s="8">
        <v>2.8079999999999998</v>
      </c>
      <c r="AA2417" s="8">
        <v>1.113</v>
      </c>
      <c r="AB2417" s="8">
        <v>0.254</v>
      </c>
      <c r="AC2417" s="8">
        <v>4.1000000000000002E-2</v>
      </c>
    </row>
    <row r="2418" spans="1:29" ht="11.65" x14ac:dyDescent="0.35">
      <c r="A2418" s="12">
        <v>2401</v>
      </c>
      <c r="B2418" s="10" t="s">
        <v>1015</v>
      </c>
      <c r="C2418" s="11" t="s">
        <v>1184</v>
      </c>
      <c r="D2418" s="9">
        <v>14</v>
      </c>
      <c r="E2418" s="9">
        <v>630</v>
      </c>
      <c r="F2418" s="10" t="s">
        <v>1066</v>
      </c>
      <c r="G2418" s="9">
        <v>915</v>
      </c>
      <c r="H2418" s="9">
        <v>1950</v>
      </c>
      <c r="I2418" s="8">
        <v>185.40100000000001</v>
      </c>
      <c r="J2418" s="8">
        <v>161.59899999999999</v>
      </c>
      <c r="K2418" s="8">
        <v>139.5</v>
      </c>
      <c r="L2418" s="8">
        <v>109.499</v>
      </c>
      <c r="M2418" s="8">
        <v>91</v>
      </c>
      <c r="N2418" s="8">
        <v>76.100999999999999</v>
      </c>
      <c r="O2418" s="8">
        <v>66.5</v>
      </c>
      <c r="P2418" s="8">
        <v>67.198999999999998</v>
      </c>
      <c r="Q2418" s="8">
        <v>48</v>
      </c>
      <c r="R2418" s="8">
        <v>40.299999999999997</v>
      </c>
      <c r="S2418" s="8">
        <v>36.701000000000001</v>
      </c>
      <c r="T2418" s="8">
        <v>25.100999999999999</v>
      </c>
      <c r="U2418" s="8">
        <v>26</v>
      </c>
      <c r="V2418" s="8">
        <v>16.7</v>
      </c>
      <c r="W2418" s="8">
        <v>11</v>
      </c>
      <c r="X2418" s="8">
        <v>7.9</v>
      </c>
      <c r="Y2418" s="8">
        <v>3.1539999999999999</v>
      </c>
      <c r="Z2418" s="8">
        <v>1.6479999999999999</v>
      </c>
      <c r="AA2418" s="8">
        <v>0.65700000000000003</v>
      </c>
      <c r="AB2418" s="8">
        <v>0.19400000000000001</v>
      </c>
      <c r="AC2418" s="8">
        <v>4.7E-2</v>
      </c>
    </row>
    <row r="2419" spans="1:29" ht="11.65" x14ac:dyDescent="0.35">
      <c r="A2419" s="12">
        <v>2402</v>
      </c>
      <c r="B2419" s="10" t="s">
        <v>1015</v>
      </c>
      <c r="C2419" s="11" t="s">
        <v>1184</v>
      </c>
      <c r="D2419" s="9">
        <v>14</v>
      </c>
      <c r="E2419" s="9">
        <v>630</v>
      </c>
      <c r="F2419" s="10" t="s">
        <v>1066</v>
      </c>
      <c r="G2419" s="9">
        <v>915</v>
      </c>
      <c r="H2419" s="9">
        <v>1955</v>
      </c>
      <c r="I2419" s="8">
        <v>173.58099999999999</v>
      </c>
      <c r="J2419" s="8">
        <v>156.97800000000001</v>
      </c>
      <c r="K2419" s="8">
        <v>147.10599999999999</v>
      </c>
      <c r="L2419" s="8">
        <v>110.059</v>
      </c>
      <c r="M2419" s="8">
        <v>80.155000000000001</v>
      </c>
      <c r="N2419" s="8">
        <v>64.622</v>
      </c>
      <c r="O2419" s="8">
        <v>60.042999999999999</v>
      </c>
      <c r="P2419" s="8">
        <v>62.76</v>
      </c>
      <c r="Q2419" s="8">
        <v>47.646999999999998</v>
      </c>
      <c r="R2419" s="8">
        <v>46.005000000000003</v>
      </c>
      <c r="S2419" s="8">
        <v>37.962000000000003</v>
      </c>
      <c r="T2419" s="8">
        <v>28.152999999999999</v>
      </c>
      <c r="U2419" s="8">
        <v>27.677</v>
      </c>
      <c r="V2419" s="8">
        <v>19.518999999999998</v>
      </c>
      <c r="W2419" s="8">
        <v>13.577</v>
      </c>
      <c r="X2419" s="8">
        <v>8.1059999999999999</v>
      </c>
      <c r="Y2419" s="8">
        <v>5.4560000000000004</v>
      </c>
      <c r="Z2419" s="8">
        <v>1.49</v>
      </c>
      <c r="AA2419" s="8">
        <v>0.55400000000000005</v>
      </c>
      <c r="AB2419" s="8">
        <v>0.14299999999999999</v>
      </c>
      <c r="AC2419" s="8">
        <v>0.03</v>
      </c>
    </row>
    <row r="2420" spans="1:29" ht="11.65" x14ac:dyDescent="0.35">
      <c r="A2420" s="12">
        <v>2403</v>
      </c>
      <c r="B2420" s="10" t="s">
        <v>1015</v>
      </c>
      <c r="C2420" s="11" t="s">
        <v>1184</v>
      </c>
      <c r="D2420" s="9">
        <v>14</v>
      </c>
      <c r="E2420" s="9">
        <v>630</v>
      </c>
      <c r="F2420" s="10" t="s">
        <v>1066</v>
      </c>
      <c r="G2420" s="9">
        <v>915</v>
      </c>
      <c r="H2420" s="9">
        <v>1960</v>
      </c>
      <c r="I2420" s="8">
        <v>175.178</v>
      </c>
      <c r="J2420" s="8">
        <v>160.45699999999999</v>
      </c>
      <c r="K2420" s="8">
        <v>158.70699999999999</v>
      </c>
      <c r="L2420" s="8">
        <v>122.92100000000001</v>
      </c>
      <c r="M2420" s="8">
        <v>75.494</v>
      </c>
      <c r="N2420" s="8">
        <v>57.606999999999999</v>
      </c>
      <c r="O2420" s="8">
        <v>55.16</v>
      </c>
      <c r="P2420" s="8">
        <v>59.088000000000001</v>
      </c>
      <c r="Q2420" s="8">
        <v>53.039000000000001</v>
      </c>
      <c r="R2420" s="8">
        <v>51.182000000000002</v>
      </c>
      <c r="S2420" s="8">
        <v>40.435000000000002</v>
      </c>
      <c r="T2420" s="8">
        <v>34.768999999999998</v>
      </c>
      <c r="U2420" s="8">
        <v>28.204000000000001</v>
      </c>
      <c r="V2420" s="8">
        <v>24.594000000000001</v>
      </c>
      <c r="W2420" s="8">
        <v>15.568</v>
      </c>
      <c r="X2420" s="8">
        <v>11.128</v>
      </c>
      <c r="Y2420" s="8">
        <v>5.3449999999999998</v>
      </c>
      <c r="Z2420" s="8">
        <v>2.8969999999999998</v>
      </c>
      <c r="AA2420" s="8">
        <v>0.58299999999999996</v>
      </c>
      <c r="AB2420" s="8">
        <v>0.14499999999999999</v>
      </c>
      <c r="AC2420" s="8">
        <v>2.5999999999999999E-2</v>
      </c>
    </row>
    <row r="2421" spans="1:29" ht="11.65" x14ac:dyDescent="0.35">
      <c r="A2421" s="12">
        <v>2404</v>
      </c>
      <c r="B2421" s="10" t="s">
        <v>1015</v>
      </c>
      <c r="C2421" s="11" t="s">
        <v>1184</v>
      </c>
      <c r="D2421" s="9">
        <v>14</v>
      </c>
      <c r="E2421" s="9">
        <v>630</v>
      </c>
      <c r="F2421" s="10" t="s">
        <v>1066</v>
      </c>
      <c r="G2421" s="9">
        <v>915</v>
      </c>
      <c r="H2421" s="9">
        <v>1965</v>
      </c>
      <c r="I2421" s="8">
        <v>176.786</v>
      </c>
      <c r="J2421" s="8">
        <v>159.22499999999999</v>
      </c>
      <c r="K2421" s="8">
        <v>152.61199999999999</v>
      </c>
      <c r="L2421" s="8">
        <v>114.428</v>
      </c>
      <c r="M2421" s="8">
        <v>95.938999999999993</v>
      </c>
      <c r="N2421" s="8">
        <v>77.165000000000006</v>
      </c>
      <c r="O2421" s="8">
        <v>67.195999999999998</v>
      </c>
      <c r="P2421" s="8">
        <v>62.561</v>
      </c>
      <c r="Q2421" s="8">
        <v>63.869</v>
      </c>
      <c r="R2421" s="8">
        <v>60.558</v>
      </c>
      <c r="S2421" s="8">
        <v>51.593000000000004</v>
      </c>
      <c r="T2421" s="8">
        <v>40.841000000000001</v>
      </c>
      <c r="U2421" s="8">
        <v>31.881</v>
      </c>
      <c r="V2421" s="8">
        <v>25.218</v>
      </c>
      <c r="W2421" s="8">
        <v>20.388999999999999</v>
      </c>
      <c r="X2421" s="8">
        <v>14.439</v>
      </c>
      <c r="Y2421" s="8">
        <v>6.548</v>
      </c>
      <c r="Z2421" s="8">
        <v>2.9169999999999998</v>
      </c>
      <c r="AA2421" s="8">
        <v>1.18</v>
      </c>
      <c r="AB2421" s="8">
        <v>0.158</v>
      </c>
      <c r="AC2421" s="8">
        <v>2.5999999999999999E-2</v>
      </c>
    </row>
    <row r="2422" spans="1:29" ht="11.65" x14ac:dyDescent="0.35">
      <c r="A2422" s="12">
        <v>2405</v>
      </c>
      <c r="B2422" s="10" t="s">
        <v>1015</v>
      </c>
      <c r="C2422" s="11" t="s">
        <v>1184</v>
      </c>
      <c r="D2422" s="9">
        <v>14</v>
      </c>
      <c r="E2422" s="9">
        <v>630</v>
      </c>
      <c r="F2422" s="10" t="s">
        <v>1066</v>
      </c>
      <c r="G2422" s="9">
        <v>915</v>
      </c>
      <c r="H2422" s="9">
        <v>1970</v>
      </c>
      <c r="I2422" s="8">
        <v>156.57900000000001</v>
      </c>
      <c r="J2422" s="8">
        <v>165.77600000000001</v>
      </c>
      <c r="K2422" s="8">
        <v>163.99</v>
      </c>
      <c r="L2422" s="8">
        <v>137.33500000000001</v>
      </c>
      <c r="M2422" s="8">
        <v>104.163</v>
      </c>
      <c r="N2422" s="8">
        <v>83.272999999999996</v>
      </c>
      <c r="O2422" s="8">
        <v>70.137</v>
      </c>
      <c r="P2422" s="8">
        <v>64.894000000000005</v>
      </c>
      <c r="Q2422" s="8">
        <v>58.558999999999997</v>
      </c>
      <c r="R2422" s="8">
        <v>57.83</v>
      </c>
      <c r="S2422" s="8">
        <v>52.960999999999999</v>
      </c>
      <c r="T2422" s="8">
        <v>47.106999999999999</v>
      </c>
      <c r="U2422" s="8">
        <v>40.726999999999997</v>
      </c>
      <c r="V2422" s="8">
        <v>33.012999999999998</v>
      </c>
      <c r="W2422" s="8">
        <v>21.276</v>
      </c>
      <c r="X2422" s="8">
        <v>14.206</v>
      </c>
      <c r="Y2422" s="8">
        <v>10.49</v>
      </c>
      <c r="Z2422" s="8">
        <v>3.6</v>
      </c>
      <c r="AA2422" s="8">
        <v>1.196</v>
      </c>
      <c r="AB2422" s="8">
        <v>0.32500000000000001</v>
      </c>
      <c r="AC2422" s="8">
        <v>2.8000000000000001E-2</v>
      </c>
    </row>
    <row r="2423" spans="1:29" ht="11.65" x14ac:dyDescent="0.35">
      <c r="A2423" s="12">
        <v>2406</v>
      </c>
      <c r="B2423" s="10" t="s">
        <v>1015</v>
      </c>
      <c r="C2423" s="11" t="s">
        <v>1184</v>
      </c>
      <c r="D2423" s="9">
        <v>14</v>
      </c>
      <c r="E2423" s="9">
        <v>630</v>
      </c>
      <c r="F2423" s="10" t="s">
        <v>1066</v>
      </c>
      <c r="G2423" s="9">
        <v>915</v>
      </c>
      <c r="H2423" s="9">
        <v>1975</v>
      </c>
      <c r="I2423" s="8">
        <v>160.82499999999999</v>
      </c>
      <c r="J2423" s="8">
        <v>162.46</v>
      </c>
      <c r="K2423" s="8">
        <v>160.84899999999999</v>
      </c>
      <c r="L2423" s="8">
        <v>159.405</v>
      </c>
      <c r="M2423" s="8">
        <v>135.28800000000001</v>
      </c>
      <c r="N2423" s="8">
        <v>107.733</v>
      </c>
      <c r="O2423" s="8">
        <v>84.503</v>
      </c>
      <c r="P2423" s="8">
        <v>69.525000000000006</v>
      </c>
      <c r="Q2423" s="8">
        <v>62.898000000000003</v>
      </c>
      <c r="R2423" s="8">
        <v>55.662999999999997</v>
      </c>
      <c r="S2423" s="8">
        <v>54.097999999999999</v>
      </c>
      <c r="T2423" s="8">
        <v>48.063000000000002</v>
      </c>
      <c r="U2423" s="8">
        <v>41.548999999999999</v>
      </c>
      <c r="V2423" s="8">
        <v>34.145000000000003</v>
      </c>
      <c r="W2423" s="8">
        <v>25.576000000000001</v>
      </c>
      <c r="X2423" s="8">
        <v>13.5</v>
      </c>
      <c r="Y2423" s="8">
        <v>4.2249999999999996</v>
      </c>
      <c r="Z2423" s="8">
        <v>6.1059999999999999</v>
      </c>
      <c r="AA2423" s="8">
        <v>1.6</v>
      </c>
      <c r="AB2423" s="8">
        <v>0.35399999999999998</v>
      </c>
      <c r="AC2423" s="8">
        <v>5.7000000000000002E-2</v>
      </c>
    </row>
    <row r="2424" spans="1:29" ht="11.65" x14ac:dyDescent="0.35">
      <c r="A2424" s="12">
        <v>2407</v>
      </c>
      <c r="B2424" s="10" t="s">
        <v>1015</v>
      </c>
      <c r="C2424" s="11" t="s">
        <v>1184</v>
      </c>
      <c r="D2424" s="9">
        <v>14</v>
      </c>
      <c r="E2424" s="9">
        <v>630</v>
      </c>
      <c r="F2424" s="10" t="s">
        <v>1066</v>
      </c>
      <c r="G2424" s="9">
        <v>915</v>
      </c>
      <c r="H2424" s="9">
        <v>1980</v>
      </c>
      <c r="I2424" s="8">
        <v>166.75399999999999</v>
      </c>
      <c r="J2424" s="8">
        <v>162.61199999999999</v>
      </c>
      <c r="K2424" s="8">
        <v>167.53299999999999</v>
      </c>
      <c r="L2424" s="8">
        <v>162.86000000000001</v>
      </c>
      <c r="M2424" s="8">
        <v>123.19</v>
      </c>
      <c r="N2424" s="8">
        <v>104.304</v>
      </c>
      <c r="O2424" s="8">
        <v>103.521</v>
      </c>
      <c r="P2424" s="8">
        <v>89.894000000000005</v>
      </c>
      <c r="Q2424" s="8">
        <v>74.781999999999996</v>
      </c>
      <c r="R2424" s="8">
        <v>65.128</v>
      </c>
      <c r="S2424" s="8">
        <v>58.347999999999999</v>
      </c>
      <c r="T2424" s="8">
        <v>55.537999999999997</v>
      </c>
      <c r="U2424" s="8">
        <v>50.506999999999998</v>
      </c>
      <c r="V2424" s="8">
        <v>44.241</v>
      </c>
      <c r="W2424" s="8">
        <v>31.891999999999999</v>
      </c>
      <c r="X2424" s="8">
        <v>21.728000000000002</v>
      </c>
      <c r="Y2424" s="8">
        <v>13.545999999999999</v>
      </c>
      <c r="Z2424" s="8">
        <v>2.4769999999999999</v>
      </c>
      <c r="AA2424" s="8">
        <v>2.7959999999999998</v>
      </c>
      <c r="AB2424" s="8">
        <v>0.51400000000000001</v>
      </c>
      <c r="AC2424" s="8">
        <v>7.1999999999999995E-2</v>
      </c>
    </row>
    <row r="2425" spans="1:29" ht="11.65" x14ac:dyDescent="0.35">
      <c r="A2425" s="12">
        <v>2408</v>
      </c>
      <c r="B2425" s="10" t="s">
        <v>1015</v>
      </c>
      <c r="C2425" s="11" t="s">
        <v>1184</v>
      </c>
      <c r="D2425" s="9">
        <v>14</v>
      </c>
      <c r="E2425" s="9">
        <v>630</v>
      </c>
      <c r="F2425" s="10" t="s">
        <v>1066</v>
      </c>
      <c r="G2425" s="9">
        <v>915</v>
      </c>
      <c r="H2425" s="9">
        <v>1985</v>
      </c>
      <c r="I2425" s="8">
        <v>159.46</v>
      </c>
      <c r="J2425" s="8">
        <v>161.607</v>
      </c>
      <c r="K2425" s="8">
        <v>169.517</v>
      </c>
      <c r="L2425" s="8">
        <v>164.93100000000001</v>
      </c>
      <c r="M2425" s="8">
        <v>130.65</v>
      </c>
      <c r="N2425" s="8">
        <v>116.523</v>
      </c>
      <c r="O2425" s="8">
        <v>109.321</v>
      </c>
      <c r="P2425" s="8">
        <v>98.24</v>
      </c>
      <c r="Q2425" s="8">
        <v>89.811999999999998</v>
      </c>
      <c r="R2425" s="8">
        <v>76.352999999999994</v>
      </c>
      <c r="S2425" s="8">
        <v>66.510000000000005</v>
      </c>
      <c r="T2425" s="8">
        <v>60.255000000000003</v>
      </c>
      <c r="U2425" s="8">
        <v>52.945</v>
      </c>
      <c r="V2425" s="8">
        <v>49.23</v>
      </c>
      <c r="W2425" s="8">
        <v>34.320999999999998</v>
      </c>
      <c r="X2425" s="8">
        <v>26.946999999999999</v>
      </c>
      <c r="Y2425" s="8">
        <v>15.468</v>
      </c>
      <c r="Z2425" s="8">
        <v>7.8739999999999997</v>
      </c>
      <c r="AA2425" s="8">
        <v>1.1180000000000001</v>
      </c>
      <c r="AB2425" s="8">
        <v>0.88600000000000001</v>
      </c>
      <c r="AC2425" s="8">
        <v>0.10299999999999999</v>
      </c>
    </row>
    <row r="2426" spans="1:29" ht="11.65" x14ac:dyDescent="0.35">
      <c r="A2426" s="12">
        <v>2409</v>
      </c>
      <c r="B2426" s="10" t="s">
        <v>1015</v>
      </c>
      <c r="C2426" s="11" t="s">
        <v>1184</v>
      </c>
      <c r="D2426" s="9">
        <v>14</v>
      </c>
      <c r="E2426" s="9">
        <v>630</v>
      </c>
      <c r="F2426" s="10" t="s">
        <v>1066</v>
      </c>
      <c r="G2426" s="9">
        <v>915</v>
      </c>
      <c r="H2426" s="9">
        <v>1990</v>
      </c>
      <c r="I2426" s="8">
        <v>147.95699999999999</v>
      </c>
      <c r="J2426" s="8">
        <v>155.14500000000001</v>
      </c>
      <c r="K2426" s="8">
        <v>166.52500000000001</v>
      </c>
      <c r="L2426" s="8">
        <v>160.34299999999999</v>
      </c>
      <c r="M2426" s="8">
        <v>136.315</v>
      </c>
      <c r="N2426" s="8">
        <v>123.804</v>
      </c>
      <c r="O2426" s="8">
        <v>113.55500000000001</v>
      </c>
      <c r="P2426" s="8">
        <v>104.351</v>
      </c>
      <c r="Q2426" s="8">
        <v>101.81</v>
      </c>
      <c r="R2426" s="8">
        <v>90.075000000000003</v>
      </c>
      <c r="S2426" s="8">
        <v>73.05</v>
      </c>
      <c r="T2426" s="8">
        <v>62.875999999999998</v>
      </c>
      <c r="U2426" s="8">
        <v>55.463999999999999</v>
      </c>
      <c r="V2426" s="8">
        <v>51.09</v>
      </c>
      <c r="W2426" s="8">
        <v>40.335000000000001</v>
      </c>
      <c r="X2426" s="8">
        <v>30.364999999999998</v>
      </c>
      <c r="Y2426" s="8">
        <v>19.625</v>
      </c>
      <c r="Z2426" s="8">
        <v>8.8810000000000002</v>
      </c>
      <c r="AA2426" s="8">
        <v>3.4910000000000001</v>
      </c>
      <c r="AB2426" s="8">
        <v>0.35099999999999998</v>
      </c>
      <c r="AC2426" s="8">
        <v>0.186</v>
      </c>
    </row>
    <row r="2427" spans="1:29" ht="11.65" x14ac:dyDescent="0.35">
      <c r="A2427" s="12">
        <v>2410</v>
      </c>
      <c r="B2427" s="10" t="s">
        <v>1015</v>
      </c>
      <c r="C2427" s="11" t="s">
        <v>1184</v>
      </c>
      <c r="D2427" s="9">
        <v>14</v>
      </c>
      <c r="E2427" s="9">
        <v>630</v>
      </c>
      <c r="F2427" s="10" t="s">
        <v>1066</v>
      </c>
      <c r="G2427" s="9">
        <v>915</v>
      </c>
      <c r="H2427" s="9">
        <v>1995</v>
      </c>
      <c r="I2427" s="8">
        <v>155.732</v>
      </c>
      <c r="J2427" s="8">
        <v>147.02699999999999</v>
      </c>
      <c r="K2427" s="8">
        <v>156.20099999999999</v>
      </c>
      <c r="L2427" s="8">
        <v>164.505</v>
      </c>
      <c r="M2427" s="8">
        <v>143.899</v>
      </c>
      <c r="N2427" s="8">
        <v>120.02800000000001</v>
      </c>
      <c r="O2427" s="8">
        <v>118.624</v>
      </c>
      <c r="P2427" s="8">
        <v>114.145</v>
      </c>
      <c r="Q2427" s="8">
        <v>103.616</v>
      </c>
      <c r="R2427" s="8">
        <v>100.723</v>
      </c>
      <c r="S2427" s="8">
        <v>90.971999999999994</v>
      </c>
      <c r="T2427" s="8">
        <v>73.602000000000004</v>
      </c>
      <c r="U2427" s="8">
        <v>61.896000000000001</v>
      </c>
      <c r="V2427" s="8">
        <v>52.872</v>
      </c>
      <c r="W2427" s="8">
        <v>44.88</v>
      </c>
      <c r="X2427" s="8">
        <v>32.061999999999998</v>
      </c>
      <c r="Y2427" s="8">
        <v>22.817</v>
      </c>
      <c r="Z2427" s="8">
        <v>10.714</v>
      </c>
      <c r="AA2427" s="8">
        <v>3.6339999999999999</v>
      </c>
      <c r="AB2427" s="8">
        <v>0.97399999999999998</v>
      </c>
      <c r="AC2427" s="8">
        <v>8.1000000000000003E-2</v>
      </c>
    </row>
    <row r="2428" spans="1:29" ht="11.65" x14ac:dyDescent="0.35">
      <c r="A2428" s="12">
        <v>2411</v>
      </c>
      <c r="B2428" s="10" t="s">
        <v>1015</v>
      </c>
      <c r="C2428" s="11" t="s">
        <v>1184</v>
      </c>
      <c r="D2428" s="9">
        <v>14</v>
      </c>
      <c r="E2428" s="9">
        <v>630</v>
      </c>
      <c r="F2428" s="10" t="s">
        <v>1066</v>
      </c>
      <c r="G2428" s="9">
        <v>915</v>
      </c>
      <c r="H2428" s="9">
        <v>2000</v>
      </c>
      <c r="I2428" s="8">
        <v>140.964</v>
      </c>
      <c r="J2428" s="8">
        <v>150.61199999999999</v>
      </c>
      <c r="K2428" s="8">
        <v>150.18100000000001</v>
      </c>
      <c r="L2428" s="8">
        <v>153.13999999999999</v>
      </c>
      <c r="M2428" s="8">
        <v>143.333</v>
      </c>
      <c r="N2428" s="8">
        <v>127.88</v>
      </c>
      <c r="O2428" s="8">
        <v>121.733</v>
      </c>
      <c r="P2428" s="8">
        <v>119.29</v>
      </c>
      <c r="Q2428" s="8">
        <v>111.068</v>
      </c>
      <c r="R2428" s="8">
        <v>101.90900000000001</v>
      </c>
      <c r="S2428" s="8">
        <v>102.941</v>
      </c>
      <c r="T2428" s="8">
        <v>85.736999999999995</v>
      </c>
      <c r="U2428" s="8">
        <v>71.884</v>
      </c>
      <c r="V2428" s="8">
        <v>58.48</v>
      </c>
      <c r="W2428" s="8">
        <v>45.73</v>
      </c>
      <c r="X2428" s="8">
        <v>35.07</v>
      </c>
      <c r="Y2428" s="8">
        <v>24.65</v>
      </c>
      <c r="Z2428" s="8">
        <v>12.952</v>
      </c>
      <c r="AA2428" s="8">
        <v>4.6820000000000004</v>
      </c>
      <c r="AB2428" s="8">
        <v>1.1220000000000001</v>
      </c>
      <c r="AC2428" s="8">
        <v>0.19500000000000001</v>
      </c>
    </row>
    <row r="2429" spans="1:29" ht="11.65" x14ac:dyDescent="0.35">
      <c r="A2429" s="12">
        <v>2412</v>
      </c>
      <c r="B2429" s="10" t="s">
        <v>1015</v>
      </c>
      <c r="C2429" s="11" t="s">
        <v>1184</v>
      </c>
      <c r="D2429" s="9">
        <v>14</v>
      </c>
      <c r="E2429" s="9">
        <v>630</v>
      </c>
      <c r="F2429" s="10" t="s">
        <v>1066</v>
      </c>
      <c r="G2429" s="9">
        <v>915</v>
      </c>
      <c r="H2429" s="9">
        <v>2005</v>
      </c>
      <c r="I2429" s="8">
        <v>128.88800000000001</v>
      </c>
      <c r="J2429" s="8">
        <v>139.36099999999999</v>
      </c>
      <c r="K2429" s="8">
        <v>145.648</v>
      </c>
      <c r="L2429" s="8">
        <v>148.57900000000001</v>
      </c>
      <c r="M2429" s="8">
        <v>140.18299999999999</v>
      </c>
      <c r="N2429" s="8">
        <v>130.99700000000001</v>
      </c>
      <c r="O2429" s="8">
        <v>119.96</v>
      </c>
      <c r="P2429" s="8">
        <v>118.351</v>
      </c>
      <c r="Q2429" s="8">
        <v>111.896</v>
      </c>
      <c r="R2429" s="8">
        <v>103.527</v>
      </c>
      <c r="S2429" s="8">
        <v>97.391000000000005</v>
      </c>
      <c r="T2429" s="8">
        <v>87.879000000000005</v>
      </c>
      <c r="U2429" s="8">
        <v>78.509</v>
      </c>
      <c r="V2429" s="8">
        <v>62.405000000000001</v>
      </c>
      <c r="W2429" s="8">
        <v>47.314999999999998</v>
      </c>
      <c r="X2429" s="8">
        <v>35.209000000000003</v>
      </c>
      <c r="Y2429" s="8">
        <v>22.946000000000002</v>
      </c>
      <c r="Z2429" s="8">
        <v>14.537000000000001</v>
      </c>
      <c r="AA2429" s="8">
        <v>5.9610000000000003</v>
      </c>
      <c r="AB2429" s="8">
        <v>1.546</v>
      </c>
      <c r="AC2429" s="8">
        <v>0.26200000000000001</v>
      </c>
    </row>
    <row r="2430" spans="1:29" ht="11.65" x14ac:dyDescent="0.35">
      <c r="A2430" s="12">
        <v>2413</v>
      </c>
      <c r="B2430" s="10" t="s">
        <v>1015</v>
      </c>
      <c r="C2430" s="11" t="s">
        <v>1184</v>
      </c>
      <c r="D2430" s="9">
        <v>14</v>
      </c>
      <c r="E2430" s="9">
        <v>630</v>
      </c>
      <c r="F2430" s="10" t="s">
        <v>1066</v>
      </c>
      <c r="G2430" s="9">
        <v>915</v>
      </c>
      <c r="H2430" s="9">
        <v>2010</v>
      </c>
      <c r="I2430" s="8">
        <v>116.605</v>
      </c>
      <c r="J2430" s="8">
        <v>127.07299999999999</v>
      </c>
      <c r="K2430" s="8">
        <v>138.97399999999999</v>
      </c>
      <c r="L2430" s="8">
        <v>144.05699999999999</v>
      </c>
      <c r="M2430" s="8">
        <v>136.53800000000001</v>
      </c>
      <c r="N2430" s="8">
        <v>127.11799999999999</v>
      </c>
      <c r="O2430" s="8">
        <v>124.047</v>
      </c>
      <c r="P2430" s="8">
        <v>116.333</v>
      </c>
      <c r="Q2430" s="8">
        <v>113.157</v>
      </c>
      <c r="R2430" s="8">
        <v>105.27200000000001</v>
      </c>
      <c r="S2430" s="8">
        <v>101.723</v>
      </c>
      <c r="T2430" s="8">
        <v>83.481999999999999</v>
      </c>
      <c r="U2430" s="8">
        <v>83.995999999999995</v>
      </c>
      <c r="V2430" s="8">
        <v>67.552999999999997</v>
      </c>
      <c r="W2430" s="8">
        <v>49.529000000000003</v>
      </c>
      <c r="X2430" s="8">
        <v>36.399000000000001</v>
      </c>
      <c r="Y2430" s="8">
        <v>24.195</v>
      </c>
      <c r="Z2430" s="8">
        <v>13.984</v>
      </c>
      <c r="AA2430" s="8">
        <v>6.827</v>
      </c>
      <c r="AB2430" s="8">
        <v>1.9350000000000001</v>
      </c>
      <c r="AC2430" s="8">
        <v>0.34100000000000003</v>
      </c>
    </row>
    <row r="2431" spans="1:29" ht="11.65" x14ac:dyDescent="0.35">
      <c r="A2431" s="12">
        <v>2414</v>
      </c>
      <c r="B2431" s="10" t="s">
        <v>1015</v>
      </c>
      <c r="C2431" s="11" t="s">
        <v>1184</v>
      </c>
      <c r="D2431" s="9">
        <v>14</v>
      </c>
      <c r="E2431" s="9">
        <v>630</v>
      </c>
      <c r="F2431" s="10" t="s">
        <v>1066</v>
      </c>
      <c r="G2431" s="9">
        <v>915</v>
      </c>
      <c r="H2431" s="9">
        <v>2015</v>
      </c>
      <c r="I2431" s="8">
        <v>86.867999999999995</v>
      </c>
      <c r="J2431" s="8">
        <v>113.274</v>
      </c>
      <c r="K2431" s="8">
        <v>124.505</v>
      </c>
      <c r="L2431" s="8">
        <v>125.994</v>
      </c>
      <c r="M2431" s="8">
        <v>120.229</v>
      </c>
      <c r="N2431" s="8">
        <v>113.197</v>
      </c>
      <c r="O2431" s="8">
        <v>109.09099999999999</v>
      </c>
      <c r="P2431" s="8">
        <v>110.976</v>
      </c>
      <c r="Q2431" s="8">
        <v>106.874</v>
      </c>
      <c r="R2431" s="8">
        <v>105.81100000000001</v>
      </c>
      <c r="S2431" s="8">
        <v>98.968999999999994</v>
      </c>
      <c r="T2431" s="8">
        <v>95.492999999999995</v>
      </c>
      <c r="U2431" s="8">
        <v>77.364999999999995</v>
      </c>
      <c r="V2431" s="8">
        <v>76.578000000000003</v>
      </c>
      <c r="W2431" s="8">
        <v>59.646000000000001</v>
      </c>
      <c r="X2431" s="8">
        <v>41.15</v>
      </c>
      <c r="Y2431" s="8">
        <v>27.120999999999999</v>
      </c>
      <c r="Z2431" s="8">
        <v>15.238</v>
      </c>
      <c r="AA2431" s="8">
        <v>6.6840000000000002</v>
      </c>
      <c r="AB2431" s="8">
        <v>2.1619999999999999</v>
      </c>
      <c r="AC2431" s="8">
        <v>0.36799999999999999</v>
      </c>
    </row>
    <row r="2432" spans="1:29" ht="11.65" x14ac:dyDescent="0.35">
      <c r="A2432" s="12">
        <v>2415</v>
      </c>
      <c r="B2432" s="10" t="s">
        <v>1015</v>
      </c>
      <c r="C2432" s="11" t="s">
        <v>1184</v>
      </c>
      <c r="D2432" s="9">
        <v>14</v>
      </c>
      <c r="E2432" s="9">
        <v>630</v>
      </c>
      <c r="F2432" s="10" t="s">
        <v>1066</v>
      </c>
      <c r="G2432" s="9">
        <v>915</v>
      </c>
      <c r="H2432" s="9">
        <v>2020</v>
      </c>
      <c r="I2432" s="8">
        <v>43.552999999999997</v>
      </c>
      <c r="J2432" s="8">
        <v>80.256</v>
      </c>
      <c r="K2432" s="8">
        <v>108.185</v>
      </c>
      <c r="L2432" s="8">
        <v>98.626000000000005</v>
      </c>
      <c r="M2432" s="8">
        <v>79.018000000000001</v>
      </c>
      <c r="N2432" s="8">
        <v>74.703000000000003</v>
      </c>
      <c r="O2432" s="8">
        <v>78.418000000000006</v>
      </c>
      <c r="P2432" s="8">
        <v>84.513999999999996</v>
      </c>
      <c r="Q2432" s="8">
        <v>93.793999999999997</v>
      </c>
      <c r="R2432" s="8">
        <v>94.521000000000001</v>
      </c>
      <c r="S2432" s="8">
        <v>96.17</v>
      </c>
      <c r="T2432" s="8">
        <v>90.739000000000004</v>
      </c>
      <c r="U2432" s="8">
        <v>87.460999999999999</v>
      </c>
      <c r="V2432" s="8">
        <v>69.792000000000002</v>
      </c>
      <c r="W2432" s="8">
        <v>67.546999999999997</v>
      </c>
      <c r="X2432" s="8">
        <v>49.716000000000001</v>
      </c>
      <c r="Y2432" s="8">
        <v>30.853999999999999</v>
      </c>
      <c r="Z2432" s="8">
        <v>17.47</v>
      </c>
      <c r="AA2432" s="8">
        <v>7.5330000000000004</v>
      </c>
      <c r="AB2432" s="8">
        <v>2.2160000000000002</v>
      </c>
      <c r="AC2432" s="8">
        <v>0.432</v>
      </c>
    </row>
    <row r="2433" spans="1:29" ht="11.65" x14ac:dyDescent="0.35">
      <c r="A2433" s="12">
        <v>2416</v>
      </c>
      <c r="B2433" s="10" t="s">
        <v>1015</v>
      </c>
      <c r="C2433" s="11" t="s">
        <v>1185</v>
      </c>
      <c r="D2433" s="9"/>
      <c r="E2433" s="9">
        <v>662</v>
      </c>
      <c r="F2433" s="10" t="s">
        <v>1066</v>
      </c>
      <c r="G2433" s="9">
        <v>915</v>
      </c>
      <c r="H2433" s="9">
        <v>1950</v>
      </c>
      <c r="I2433" s="8">
        <v>6.0449999999999999</v>
      </c>
      <c r="J2433" s="8">
        <v>5.4690000000000003</v>
      </c>
      <c r="K2433" s="8">
        <v>5.2130000000000001</v>
      </c>
      <c r="L2433" s="8">
        <v>3.9670000000000001</v>
      </c>
      <c r="M2433" s="8">
        <v>4.3040000000000003</v>
      </c>
      <c r="N2433" s="8">
        <v>3.2120000000000002</v>
      </c>
      <c r="O2433" s="8">
        <v>2.657</v>
      </c>
      <c r="P2433" s="8">
        <v>2.6190000000000002</v>
      </c>
      <c r="Q2433" s="8">
        <v>1.829</v>
      </c>
      <c r="R2433" s="8">
        <v>1.677</v>
      </c>
      <c r="S2433" s="8">
        <v>1.2110000000000001</v>
      </c>
      <c r="T2433" s="8">
        <v>0.86599999999999999</v>
      </c>
      <c r="U2433" s="8">
        <v>0.59499999999999997</v>
      </c>
      <c r="V2433" s="8">
        <v>0.39100000000000001</v>
      </c>
      <c r="W2433" s="8">
        <v>0.34599999999999997</v>
      </c>
      <c r="X2433" s="8">
        <v>0.189</v>
      </c>
      <c r="Y2433" s="8">
        <v>0.13</v>
      </c>
      <c r="Z2433" s="8">
        <v>5.3999999999999999E-2</v>
      </c>
      <c r="AA2433" s="8">
        <v>1.7000000000000001E-2</v>
      </c>
      <c r="AB2433" s="8">
        <v>4.0000000000000001E-3</v>
      </c>
      <c r="AC2433" s="8">
        <v>1E-3</v>
      </c>
    </row>
    <row r="2434" spans="1:29" ht="11.65" x14ac:dyDescent="0.35">
      <c r="A2434" s="12">
        <v>2417</v>
      </c>
      <c r="B2434" s="10" t="s">
        <v>1015</v>
      </c>
      <c r="C2434" s="11" t="s">
        <v>1185</v>
      </c>
      <c r="D2434" s="9"/>
      <c r="E2434" s="9">
        <v>662</v>
      </c>
      <c r="F2434" s="10" t="s">
        <v>1066</v>
      </c>
      <c r="G2434" s="9">
        <v>915</v>
      </c>
      <c r="H2434" s="9">
        <v>1955</v>
      </c>
      <c r="I2434" s="8">
        <v>6.56</v>
      </c>
      <c r="J2434" s="8">
        <v>5.7939999999999996</v>
      </c>
      <c r="K2434" s="8">
        <v>5.4119999999999999</v>
      </c>
      <c r="L2434" s="8">
        <v>4.1719999999999997</v>
      </c>
      <c r="M2434" s="8">
        <v>4.3929999999999998</v>
      </c>
      <c r="N2434" s="8">
        <v>3.2789999999999999</v>
      </c>
      <c r="O2434" s="8">
        <v>2.8079999999999998</v>
      </c>
      <c r="P2434" s="8">
        <v>2.77</v>
      </c>
      <c r="Q2434" s="8">
        <v>2.0609999999999999</v>
      </c>
      <c r="R2434" s="8">
        <v>1.89</v>
      </c>
      <c r="S2434" s="8">
        <v>1.429</v>
      </c>
      <c r="T2434" s="8">
        <v>1.02</v>
      </c>
      <c r="U2434" s="8">
        <v>0.59699999999999998</v>
      </c>
      <c r="V2434" s="8">
        <v>0.39300000000000002</v>
      </c>
      <c r="W2434" s="8">
        <v>0.35899999999999999</v>
      </c>
      <c r="X2434" s="8">
        <v>0.19700000000000001</v>
      </c>
      <c r="Y2434" s="8">
        <v>0.11700000000000001</v>
      </c>
      <c r="Z2434" s="8">
        <v>3.2000000000000001E-2</v>
      </c>
      <c r="AA2434" s="8">
        <v>8.0000000000000002E-3</v>
      </c>
      <c r="AB2434" s="8">
        <v>0</v>
      </c>
      <c r="AC2434" s="8">
        <v>0</v>
      </c>
    </row>
    <row r="2435" spans="1:29" ht="11.65" x14ac:dyDescent="0.35">
      <c r="A2435" s="12">
        <v>2418</v>
      </c>
      <c r="B2435" s="10" t="s">
        <v>1015</v>
      </c>
      <c r="C2435" s="11" t="s">
        <v>1185</v>
      </c>
      <c r="D2435" s="9"/>
      <c r="E2435" s="9">
        <v>662</v>
      </c>
      <c r="F2435" s="10" t="s">
        <v>1066</v>
      </c>
      <c r="G2435" s="9">
        <v>915</v>
      </c>
      <c r="H2435" s="9">
        <v>1960</v>
      </c>
      <c r="I2435" s="8">
        <v>8.1620000000000008</v>
      </c>
      <c r="J2435" s="8">
        <v>6.5789999999999997</v>
      </c>
      <c r="K2435" s="8">
        <v>5.8440000000000003</v>
      </c>
      <c r="L2435" s="8">
        <v>4.3689999999999998</v>
      </c>
      <c r="M2435" s="8">
        <v>3.24</v>
      </c>
      <c r="N2435" s="8">
        <v>2.4049999999999998</v>
      </c>
      <c r="O2435" s="8">
        <v>2.0680000000000001</v>
      </c>
      <c r="P2435" s="8">
        <v>2.032</v>
      </c>
      <c r="Q2435" s="8">
        <v>1.962</v>
      </c>
      <c r="R2435" s="8">
        <v>1.8029999999999999</v>
      </c>
      <c r="S2435" s="8">
        <v>1.4350000000000001</v>
      </c>
      <c r="T2435" s="8">
        <v>1.0269999999999999</v>
      </c>
      <c r="U2435" s="8">
        <v>0.86699999999999999</v>
      </c>
      <c r="V2435" s="8">
        <v>0.57299999999999995</v>
      </c>
      <c r="W2435" s="8">
        <v>0.41599999999999998</v>
      </c>
      <c r="X2435" s="8">
        <v>0.22500000000000001</v>
      </c>
      <c r="Y2435" s="8">
        <v>0.123</v>
      </c>
      <c r="Z2435" s="8">
        <v>0.03</v>
      </c>
      <c r="AA2435" s="8">
        <v>5.0000000000000001E-3</v>
      </c>
      <c r="AB2435" s="8">
        <v>0</v>
      </c>
      <c r="AC2435" s="8">
        <v>0</v>
      </c>
    </row>
    <row r="2436" spans="1:29" ht="11.65" x14ac:dyDescent="0.35">
      <c r="A2436" s="12">
        <v>2419</v>
      </c>
      <c r="B2436" s="10" t="s">
        <v>1015</v>
      </c>
      <c r="C2436" s="11" t="s">
        <v>1185</v>
      </c>
      <c r="D2436" s="9"/>
      <c r="E2436" s="9">
        <v>662</v>
      </c>
      <c r="F2436" s="10" t="s">
        <v>1066</v>
      </c>
      <c r="G2436" s="9">
        <v>915</v>
      </c>
      <c r="H2436" s="9">
        <v>1965</v>
      </c>
      <c r="I2436" s="8">
        <v>8.9280000000000008</v>
      </c>
      <c r="J2436" s="8">
        <v>7.867</v>
      </c>
      <c r="K2436" s="8">
        <v>6.5090000000000003</v>
      </c>
      <c r="L2436" s="8">
        <v>4.7130000000000001</v>
      </c>
      <c r="M2436" s="8">
        <v>3.137</v>
      </c>
      <c r="N2436" s="8">
        <v>2.347</v>
      </c>
      <c r="O2436" s="8">
        <v>1.9059999999999999</v>
      </c>
      <c r="P2436" s="8">
        <v>1.8680000000000001</v>
      </c>
      <c r="Q2436" s="8">
        <v>1.8440000000000001</v>
      </c>
      <c r="R2436" s="8">
        <v>1.821</v>
      </c>
      <c r="S2436" s="8">
        <v>1.5189999999999999</v>
      </c>
      <c r="T2436" s="8">
        <v>1.1950000000000001</v>
      </c>
      <c r="U2436" s="8">
        <v>0.98</v>
      </c>
      <c r="V2436" s="8">
        <v>0.67600000000000005</v>
      </c>
      <c r="W2436" s="8">
        <v>0.47799999999999998</v>
      </c>
      <c r="X2436" s="8">
        <v>0.28100000000000003</v>
      </c>
      <c r="Y2436" s="8">
        <v>0.126</v>
      </c>
      <c r="Z2436" s="8">
        <v>3.6999999999999998E-2</v>
      </c>
      <c r="AA2436" s="8">
        <v>5.0000000000000001E-3</v>
      </c>
      <c r="AB2436" s="8">
        <v>0</v>
      </c>
      <c r="AC2436" s="8">
        <v>0</v>
      </c>
    </row>
    <row r="2437" spans="1:29" ht="11.65" x14ac:dyDescent="0.35">
      <c r="A2437" s="12">
        <v>2420</v>
      </c>
      <c r="B2437" s="10" t="s">
        <v>1015</v>
      </c>
      <c r="C2437" s="11" t="s">
        <v>1185</v>
      </c>
      <c r="D2437" s="9"/>
      <c r="E2437" s="9">
        <v>662</v>
      </c>
      <c r="F2437" s="10" t="s">
        <v>1066</v>
      </c>
      <c r="G2437" s="9">
        <v>915</v>
      </c>
      <c r="H2437" s="9">
        <v>1970</v>
      </c>
      <c r="I2437" s="8">
        <v>9.8699999999999992</v>
      </c>
      <c r="J2437" s="8">
        <v>9.5660000000000007</v>
      </c>
      <c r="K2437" s="8">
        <v>7.2489999999999997</v>
      </c>
      <c r="L2437" s="8">
        <v>4.9379999999999997</v>
      </c>
      <c r="M2437" s="8">
        <v>3.1640000000000001</v>
      </c>
      <c r="N2437" s="8">
        <v>2.2269999999999999</v>
      </c>
      <c r="O2437" s="8">
        <v>1.776</v>
      </c>
      <c r="P2437" s="8">
        <v>1.7110000000000001</v>
      </c>
      <c r="Q2437" s="8">
        <v>1.738</v>
      </c>
      <c r="R2437" s="8">
        <v>1.835</v>
      </c>
      <c r="S2437" s="8">
        <v>1.6120000000000001</v>
      </c>
      <c r="T2437" s="8">
        <v>1.389</v>
      </c>
      <c r="U2437" s="8">
        <v>1.111</v>
      </c>
      <c r="V2437" s="8">
        <v>0.8</v>
      </c>
      <c r="W2437" s="8">
        <v>0.54900000000000004</v>
      </c>
      <c r="X2437" s="8">
        <v>0.34699999999999998</v>
      </c>
      <c r="Y2437" s="8">
        <v>0.126</v>
      </c>
      <c r="Z2437" s="8">
        <v>4.3999999999999997E-2</v>
      </c>
      <c r="AA2437" s="8">
        <v>8.9999999999999993E-3</v>
      </c>
      <c r="AB2437" s="8">
        <v>0</v>
      </c>
      <c r="AC2437" s="8">
        <v>0</v>
      </c>
    </row>
    <row r="2438" spans="1:29" ht="11.65" x14ac:dyDescent="0.35">
      <c r="A2438" s="12">
        <v>2421</v>
      </c>
      <c r="B2438" s="10" t="s">
        <v>1015</v>
      </c>
      <c r="C2438" s="11" t="s">
        <v>1185</v>
      </c>
      <c r="D2438" s="9"/>
      <c r="E2438" s="9">
        <v>662</v>
      </c>
      <c r="F2438" s="10" t="s">
        <v>1066</v>
      </c>
      <c r="G2438" s="9">
        <v>915</v>
      </c>
      <c r="H2438" s="9">
        <v>1975</v>
      </c>
      <c r="I2438" s="8">
        <v>8.8409999999999993</v>
      </c>
      <c r="J2438" s="8">
        <v>9.2460000000000004</v>
      </c>
      <c r="K2438" s="8">
        <v>8.0619999999999994</v>
      </c>
      <c r="L2438" s="8">
        <v>5.9909999999999997</v>
      </c>
      <c r="M2438" s="8">
        <v>3.9729999999999999</v>
      </c>
      <c r="N2438" s="8">
        <v>2.891</v>
      </c>
      <c r="O2438" s="8">
        <v>2.1749999999999998</v>
      </c>
      <c r="P2438" s="8">
        <v>1.9339999999999999</v>
      </c>
      <c r="Q2438" s="8">
        <v>1.798</v>
      </c>
      <c r="R2438" s="8">
        <v>1.738</v>
      </c>
      <c r="S2438" s="8">
        <v>1.601</v>
      </c>
      <c r="T2438" s="8">
        <v>1.425</v>
      </c>
      <c r="U2438" s="8">
        <v>1.256</v>
      </c>
      <c r="V2438" s="8">
        <v>0.97099999999999997</v>
      </c>
      <c r="W2438" s="8">
        <v>0.61699999999999999</v>
      </c>
      <c r="X2438" s="8">
        <v>0.40400000000000003</v>
      </c>
      <c r="Y2438" s="8">
        <v>0.15</v>
      </c>
      <c r="Z2438" s="8">
        <v>4.9000000000000002E-2</v>
      </c>
      <c r="AA2438" s="8">
        <v>1.2E-2</v>
      </c>
      <c r="AB2438" s="8">
        <v>0</v>
      </c>
      <c r="AC2438" s="8">
        <v>0</v>
      </c>
    </row>
    <row r="2439" spans="1:29" ht="11.65" x14ac:dyDescent="0.35">
      <c r="A2439" s="12">
        <v>2422</v>
      </c>
      <c r="B2439" s="10" t="s">
        <v>1015</v>
      </c>
      <c r="C2439" s="11" t="s">
        <v>1185</v>
      </c>
      <c r="D2439" s="9"/>
      <c r="E2439" s="9">
        <v>662</v>
      </c>
      <c r="F2439" s="10" t="s">
        <v>1066</v>
      </c>
      <c r="G2439" s="9">
        <v>915</v>
      </c>
      <c r="H2439" s="9">
        <v>1980</v>
      </c>
      <c r="I2439" s="8">
        <v>8.4260000000000002</v>
      </c>
      <c r="J2439" s="8">
        <v>9.032</v>
      </c>
      <c r="K2439" s="8">
        <v>8.8710000000000004</v>
      </c>
      <c r="L2439" s="8">
        <v>7.3780000000000001</v>
      </c>
      <c r="M2439" s="8">
        <v>4.9489999999999998</v>
      </c>
      <c r="N2439" s="8">
        <v>3.5329999999999999</v>
      </c>
      <c r="O2439" s="8">
        <v>2.7789999999999999</v>
      </c>
      <c r="P2439" s="8">
        <v>2.1070000000000002</v>
      </c>
      <c r="Q2439" s="8">
        <v>1.8740000000000001</v>
      </c>
      <c r="R2439" s="8">
        <v>1.645</v>
      </c>
      <c r="S2439" s="8">
        <v>1.5980000000000001</v>
      </c>
      <c r="T2439" s="8">
        <v>1.468</v>
      </c>
      <c r="U2439" s="8">
        <v>1.4159999999999999</v>
      </c>
      <c r="V2439" s="8">
        <v>1.175</v>
      </c>
      <c r="W2439" s="8">
        <v>0.69299999999999995</v>
      </c>
      <c r="X2439" s="8">
        <v>0.47499999999999998</v>
      </c>
      <c r="Y2439" s="8">
        <v>0.16700000000000001</v>
      </c>
      <c r="Z2439" s="8">
        <v>6.2E-2</v>
      </c>
      <c r="AA2439" s="8">
        <v>1.2999999999999999E-2</v>
      </c>
      <c r="AB2439" s="8">
        <v>2E-3</v>
      </c>
      <c r="AC2439" s="8">
        <v>0</v>
      </c>
    </row>
    <row r="2440" spans="1:29" ht="11.65" x14ac:dyDescent="0.35">
      <c r="A2440" s="12">
        <v>2423</v>
      </c>
      <c r="B2440" s="10" t="s">
        <v>1015</v>
      </c>
      <c r="C2440" s="11" t="s">
        <v>1185</v>
      </c>
      <c r="D2440" s="9"/>
      <c r="E2440" s="9">
        <v>662</v>
      </c>
      <c r="F2440" s="10" t="s">
        <v>1066</v>
      </c>
      <c r="G2440" s="9">
        <v>915</v>
      </c>
      <c r="H2440" s="9">
        <v>1985</v>
      </c>
      <c r="I2440" s="8">
        <v>8.3390000000000004</v>
      </c>
      <c r="J2440" s="8">
        <v>9.0419999999999998</v>
      </c>
      <c r="K2440" s="8">
        <v>8.7159999999999993</v>
      </c>
      <c r="L2440" s="8">
        <v>7.5229999999999997</v>
      </c>
      <c r="M2440" s="8">
        <v>5.7629999999999999</v>
      </c>
      <c r="N2440" s="8">
        <v>4.4240000000000004</v>
      </c>
      <c r="O2440" s="8">
        <v>3.4289999999999998</v>
      </c>
      <c r="P2440" s="8">
        <v>2.7810000000000001</v>
      </c>
      <c r="Q2440" s="8">
        <v>2.2559999999999998</v>
      </c>
      <c r="R2440" s="8">
        <v>1.998</v>
      </c>
      <c r="S2440" s="8">
        <v>1.6919999999999999</v>
      </c>
      <c r="T2440" s="8">
        <v>1.5149999999999999</v>
      </c>
      <c r="U2440" s="8">
        <v>1.4470000000000001</v>
      </c>
      <c r="V2440" s="8">
        <v>1.2729999999999999</v>
      </c>
      <c r="W2440" s="8">
        <v>0.86099999999999999</v>
      </c>
      <c r="X2440" s="8">
        <v>0.60599999999999998</v>
      </c>
      <c r="Y2440" s="8">
        <v>0.193</v>
      </c>
      <c r="Z2440" s="8">
        <v>7.0999999999999994E-2</v>
      </c>
      <c r="AA2440" s="8">
        <v>1.6E-2</v>
      </c>
      <c r="AB2440" s="8">
        <v>2E-3</v>
      </c>
      <c r="AC2440" s="8">
        <v>0</v>
      </c>
    </row>
    <row r="2441" spans="1:29" ht="11.65" x14ac:dyDescent="0.35">
      <c r="A2441" s="12">
        <v>2424</v>
      </c>
      <c r="B2441" s="10" t="s">
        <v>1015</v>
      </c>
      <c r="C2441" s="11" t="s">
        <v>1185</v>
      </c>
      <c r="D2441" s="9"/>
      <c r="E2441" s="9">
        <v>662</v>
      </c>
      <c r="F2441" s="10" t="s">
        <v>1066</v>
      </c>
      <c r="G2441" s="9">
        <v>915</v>
      </c>
      <c r="H2441" s="9">
        <v>1990</v>
      </c>
      <c r="I2441" s="8">
        <v>8.7249999999999996</v>
      </c>
      <c r="J2441" s="8">
        <v>8.532</v>
      </c>
      <c r="K2441" s="8">
        <v>7.9139999999999997</v>
      </c>
      <c r="L2441" s="8">
        <v>7.3339999999999996</v>
      </c>
      <c r="M2441" s="8">
        <v>6.2530000000000001</v>
      </c>
      <c r="N2441" s="8">
        <v>5.569</v>
      </c>
      <c r="O2441" s="8">
        <v>4.4020000000000001</v>
      </c>
      <c r="P2441" s="8">
        <v>3.53</v>
      </c>
      <c r="Q2441" s="8">
        <v>2.8</v>
      </c>
      <c r="R2441" s="8">
        <v>2.181</v>
      </c>
      <c r="S2441" s="8">
        <v>2.1469999999999998</v>
      </c>
      <c r="T2441" s="8">
        <v>2.0190000000000001</v>
      </c>
      <c r="U2441" s="8">
        <v>1.764</v>
      </c>
      <c r="V2441" s="8">
        <v>1.6</v>
      </c>
      <c r="W2441" s="8">
        <v>1.4950000000000001</v>
      </c>
      <c r="X2441" s="8">
        <v>0.95499999999999996</v>
      </c>
      <c r="Y2441" s="8">
        <v>0.45700000000000002</v>
      </c>
      <c r="Z2441" s="8">
        <v>9.4E-2</v>
      </c>
      <c r="AA2441" s="8">
        <v>2.4E-2</v>
      </c>
      <c r="AB2441" s="8">
        <v>4.0000000000000001E-3</v>
      </c>
      <c r="AC2441" s="8">
        <v>0</v>
      </c>
    </row>
    <row r="2442" spans="1:29" ht="11.65" x14ac:dyDescent="0.35">
      <c r="A2442" s="12">
        <v>2425</v>
      </c>
      <c r="B2442" s="10" t="s">
        <v>1015</v>
      </c>
      <c r="C2442" s="11" t="s">
        <v>1185</v>
      </c>
      <c r="D2442" s="9"/>
      <c r="E2442" s="9">
        <v>662</v>
      </c>
      <c r="F2442" s="10" t="s">
        <v>1066</v>
      </c>
      <c r="G2442" s="9">
        <v>915</v>
      </c>
      <c r="H2442" s="9">
        <v>1995</v>
      </c>
      <c r="I2442" s="8">
        <v>8.8849999999999998</v>
      </c>
      <c r="J2442" s="8">
        <v>8.6229999999999993</v>
      </c>
      <c r="K2442" s="8">
        <v>8.0980000000000008</v>
      </c>
      <c r="L2442" s="8">
        <v>6.9290000000000003</v>
      </c>
      <c r="M2442" s="8">
        <v>6.3339999999999996</v>
      </c>
      <c r="N2442" s="8">
        <v>5.8369999999999997</v>
      </c>
      <c r="O2442" s="8">
        <v>5.5019999999999998</v>
      </c>
      <c r="P2442" s="8">
        <v>4.3659999999999997</v>
      </c>
      <c r="Q2442" s="8">
        <v>3.4630000000000001</v>
      </c>
      <c r="R2442" s="8">
        <v>2.7149999999999999</v>
      </c>
      <c r="S2442" s="8">
        <v>2.1269999999999998</v>
      </c>
      <c r="T2442" s="8">
        <v>2.0830000000000002</v>
      </c>
      <c r="U2442" s="8">
        <v>1.889</v>
      </c>
      <c r="V2442" s="8">
        <v>1.6160000000000001</v>
      </c>
      <c r="W2442" s="8">
        <v>1.444</v>
      </c>
      <c r="X2442" s="8">
        <v>1.212</v>
      </c>
      <c r="Y2442" s="8">
        <v>0.62</v>
      </c>
      <c r="Z2442" s="8">
        <v>0.25800000000000001</v>
      </c>
      <c r="AA2442" s="8">
        <v>4.1000000000000002E-2</v>
      </c>
      <c r="AB2442" s="8">
        <v>7.0000000000000001E-3</v>
      </c>
      <c r="AC2442" s="8">
        <v>1E-3</v>
      </c>
    </row>
    <row r="2443" spans="1:29" ht="11.65" x14ac:dyDescent="0.35">
      <c r="A2443" s="12">
        <v>2426</v>
      </c>
      <c r="B2443" s="10" t="s">
        <v>1015</v>
      </c>
      <c r="C2443" s="11" t="s">
        <v>1185</v>
      </c>
      <c r="D2443" s="9"/>
      <c r="E2443" s="9">
        <v>662</v>
      </c>
      <c r="F2443" s="10" t="s">
        <v>1066</v>
      </c>
      <c r="G2443" s="9">
        <v>915</v>
      </c>
      <c r="H2443" s="9">
        <v>2000</v>
      </c>
      <c r="I2443" s="8">
        <v>7.984</v>
      </c>
      <c r="J2443" s="8">
        <v>8.7110000000000003</v>
      </c>
      <c r="K2443" s="8">
        <v>8.6080000000000005</v>
      </c>
      <c r="L2443" s="8">
        <v>7.9930000000000003</v>
      </c>
      <c r="M2443" s="8">
        <v>6.6849999999999996</v>
      </c>
      <c r="N2443" s="8">
        <v>6.0919999999999996</v>
      </c>
      <c r="O2443" s="8">
        <v>5.6849999999999996</v>
      </c>
      <c r="P2443" s="8">
        <v>5.4429999999999996</v>
      </c>
      <c r="Q2443" s="8">
        <v>4.3280000000000003</v>
      </c>
      <c r="R2443" s="8">
        <v>3.3759999999999999</v>
      </c>
      <c r="S2443" s="8">
        <v>2.6070000000000002</v>
      </c>
      <c r="T2443" s="8">
        <v>1.9890000000000001</v>
      </c>
      <c r="U2443" s="8">
        <v>1.9039999999999999</v>
      </c>
      <c r="V2443" s="8">
        <v>1.6910000000000001</v>
      </c>
      <c r="W2443" s="8">
        <v>1.3460000000000001</v>
      </c>
      <c r="X2443" s="8">
        <v>1.105</v>
      </c>
      <c r="Y2443" s="8">
        <v>0.83799999999999997</v>
      </c>
      <c r="Z2443" s="8">
        <v>0.36499999999999999</v>
      </c>
      <c r="AA2443" s="8">
        <v>0.115</v>
      </c>
      <c r="AB2443" s="8">
        <v>1.2999999999999999E-2</v>
      </c>
      <c r="AC2443" s="8">
        <v>2E-3</v>
      </c>
    </row>
    <row r="2444" spans="1:29" ht="11.65" x14ac:dyDescent="0.35">
      <c r="A2444" s="12">
        <v>2427</v>
      </c>
      <c r="B2444" s="10" t="s">
        <v>1015</v>
      </c>
      <c r="C2444" s="11" t="s">
        <v>1185</v>
      </c>
      <c r="D2444" s="9"/>
      <c r="E2444" s="9">
        <v>662</v>
      </c>
      <c r="F2444" s="10" t="s">
        <v>1066</v>
      </c>
      <c r="G2444" s="9">
        <v>915</v>
      </c>
      <c r="H2444" s="9">
        <v>2005</v>
      </c>
      <c r="I2444" s="8">
        <v>6.3120000000000003</v>
      </c>
      <c r="J2444" s="8">
        <v>7.8310000000000004</v>
      </c>
      <c r="K2444" s="8">
        <v>8.6440000000000001</v>
      </c>
      <c r="L2444" s="8">
        <v>8.5850000000000009</v>
      </c>
      <c r="M2444" s="8">
        <v>7.8520000000000003</v>
      </c>
      <c r="N2444" s="8">
        <v>6.5490000000000004</v>
      </c>
      <c r="O2444" s="8">
        <v>6.0309999999999997</v>
      </c>
      <c r="P2444" s="8">
        <v>5.657</v>
      </c>
      <c r="Q2444" s="8">
        <v>5.375</v>
      </c>
      <c r="R2444" s="8">
        <v>4.2320000000000002</v>
      </c>
      <c r="S2444" s="8">
        <v>3.274</v>
      </c>
      <c r="T2444" s="8">
        <v>2.4780000000000002</v>
      </c>
      <c r="U2444" s="8">
        <v>1.8420000000000001</v>
      </c>
      <c r="V2444" s="8">
        <v>1.7</v>
      </c>
      <c r="W2444" s="8">
        <v>1.3839999999999999</v>
      </c>
      <c r="X2444" s="8">
        <v>0.86599999999999999</v>
      </c>
      <c r="Y2444" s="8">
        <v>0.82899999999999996</v>
      </c>
      <c r="Z2444" s="8">
        <v>0.49399999999999999</v>
      </c>
      <c r="AA2444" s="8">
        <v>0.16200000000000001</v>
      </c>
      <c r="AB2444" s="8">
        <v>3.6999999999999998E-2</v>
      </c>
      <c r="AC2444" s="8">
        <v>3.0000000000000001E-3</v>
      </c>
    </row>
    <row r="2445" spans="1:29" ht="11.65" x14ac:dyDescent="0.35">
      <c r="A2445" s="12">
        <v>2428</v>
      </c>
      <c r="B2445" s="10" t="s">
        <v>1015</v>
      </c>
      <c r="C2445" s="11" t="s">
        <v>1185</v>
      </c>
      <c r="D2445" s="9"/>
      <c r="E2445" s="9">
        <v>662</v>
      </c>
      <c r="F2445" s="10" t="s">
        <v>1066</v>
      </c>
      <c r="G2445" s="9">
        <v>915</v>
      </c>
      <c r="H2445" s="9">
        <v>2010</v>
      </c>
      <c r="I2445" s="8">
        <v>5.6710000000000003</v>
      </c>
      <c r="J2445" s="8">
        <v>6.6580000000000004</v>
      </c>
      <c r="K2445" s="8">
        <v>7.9960000000000004</v>
      </c>
      <c r="L2445" s="8">
        <v>8.6059999999999999</v>
      </c>
      <c r="M2445" s="8">
        <v>7.11</v>
      </c>
      <c r="N2445" s="8">
        <v>6.968</v>
      </c>
      <c r="O2445" s="8">
        <v>6.46</v>
      </c>
      <c r="P2445" s="8">
        <v>6.2309999999999999</v>
      </c>
      <c r="Q2445" s="8">
        <v>6.3410000000000002</v>
      </c>
      <c r="R2445" s="8">
        <v>5.8140000000000001</v>
      </c>
      <c r="S2445" s="8">
        <v>4.54</v>
      </c>
      <c r="T2445" s="8">
        <v>3.5459999999999998</v>
      </c>
      <c r="U2445" s="8">
        <v>2.8079999999999998</v>
      </c>
      <c r="V2445" s="8">
        <v>2.1539999999999999</v>
      </c>
      <c r="W2445" s="8">
        <v>1.849</v>
      </c>
      <c r="X2445" s="8">
        <v>1.232</v>
      </c>
      <c r="Y2445" s="8">
        <v>0.89700000000000002</v>
      </c>
      <c r="Z2445" s="8">
        <v>0.504</v>
      </c>
      <c r="AA2445" s="8">
        <v>0.23100000000000001</v>
      </c>
      <c r="AB2445" s="8">
        <v>5.3999999999999999E-2</v>
      </c>
      <c r="AC2445" s="8">
        <v>8.0000000000000002E-3</v>
      </c>
    </row>
    <row r="2446" spans="1:29" ht="11.65" x14ac:dyDescent="0.35">
      <c r="A2446" s="12">
        <v>2429</v>
      </c>
      <c r="B2446" s="10" t="s">
        <v>1015</v>
      </c>
      <c r="C2446" s="11" t="s">
        <v>1185</v>
      </c>
      <c r="D2446" s="9"/>
      <c r="E2446" s="9">
        <v>662</v>
      </c>
      <c r="F2446" s="10" t="s">
        <v>1066</v>
      </c>
      <c r="G2446" s="9">
        <v>915</v>
      </c>
      <c r="H2446" s="9">
        <v>2015</v>
      </c>
      <c r="I2446" s="8">
        <v>5.58</v>
      </c>
      <c r="J2446" s="8">
        <v>5.657</v>
      </c>
      <c r="K2446" s="8">
        <v>6.6440000000000001</v>
      </c>
      <c r="L2446" s="8">
        <v>7.97</v>
      </c>
      <c r="M2446" s="8">
        <v>8.5489999999999995</v>
      </c>
      <c r="N2446" s="8">
        <v>7.0570000000000004</v>
      </c>
      <c r="O2446" s="8">
        <v>6.9139999999999997</v>
      </c>
      <c r="P2446" s="8">
        <v>6.3979999999999997</v>
      </c>
      <c r="Q2446" s="8">
        <v>6.1479999999999997</v>
      </c>
      <c r="R2446" s="8">
        <v>6.2089999999999996</v>
      </c>
      <c r="S2446" s="8">
        <v>5.6239999999999997</v>
      </c>
      <c r="T2446" s="8">
        <v>4.2990000000000004</v>
      </c>
      <c r="U2446" s="8">
        <v>3.29</v>
      </c>
      <c r="V2446" s="8">
        <v>2.5680000000000001</v>
      </c>
      <c r="W2446" s="8">
        <v>1.92</v>
      </c>
      <c r="X2446" s="8">
        <v>1.5509999999999999</v>
      </c>
      <c r="Y2446" s="8">
        <v>0.92</v>
      </c>
      <c r="Z2446" s="8">
        <v>0.56699999999999995</v>
      </c>
      <c r="AA2446" s="8">
        <v>0.249</v>
      </c>
      <c r="AB2446" s="8">
        <v>8.3000000000000004E-2</v>
      </c>
      <c r="AC2446" s="8">
        <v>1.4E-2</v>
      </c>
    </row>
    <row r="2447" spans="1:29" ht="11.65" x14ac:dyDescent="0.35">
      <c r="A2447" s="12">
        <v>2430</v>
      </c>
      <c r="B2447" s="10" t="s">
        <v>1015</v>
      </c>
      <c r="C2447" s="11" t="s">
        <v>1185</v>
      </c>
      <c r="D2447" s="9"/>
      <c r="E2447" s="9">
        <v>662</v>
      </c>
      <c r="F2447" s="10" t="s">
        <v>1066</v>
      </c>
      <c r="G2447" s="9">
        <v>915</v>
      </c>
      <c r="H2447" s="9">
        <v>2020</v>
      </c>
      <c r="I2447" s="8">
        <v>5.4850000000000003</v>
      </c>
      <c r="J2447" s="8">
        <v>5.5629999999999997</v>
      </c>
      <c r="K2447" s="8">
        <v>5.6459999999999999</v>
      </c>
      <c r="L2447" s="8">
        <v>6.6219999999999999</v>
      </c>
      <c r="M2447" s="8">
        <v>7.9189999999999996</v>
      </c>
      <c r="N2447" s="8">
        <v>8.4860000000000007</v>
      </c>
      <c r="O2447" s="8">
        <v>7.0010000000000003</v>
      </c>
      <c r="P2447" s="8">
        <v>6.8460000000000001</v>
      </c>
      <c r="Q2447" s="8">
        <v>6.3090000000000002</v>
      </c>
      <c r="R2447" s="8">
        <v>6.0190000000000001</v>
      </c>
      <c r="S2447" s="8">
        <v>6.0030000000000001</v>
      </c>
      <c r="T2447" s="8">
        <v>5.3230000000000004</v>
      </c>
      <c r="U2447" s="8">
        <v>3.9929999999999999</v>
      </c>
      <c r="V2447" s="8">
        <v>3.024</v>
      </c>
      <c r="W2447" s="8">
        <v>2.3170000000000002</v>
      </c>
      <c r="X2447" s="8">
        <v>1.6419999999999999</v>
      </c>
      <c r="Y2447" s="8">
        <v>1.194</v>
      </c>
      <c r="Z2447" s="8">
        <v>0.60699999999999998</v>
      </c>
      <c r="AA2447" s="8">
        <v>0.29899999999999999</v>
      </c>
      <c r="AB2447" s="8">
        <v>9.9000000000000005E-2</v>
      </c>
      <c r="AC2447" s="8">
        <v>2.5000000000000001E-2</v>
      </c>
    </row>
    <row r="2448" spans="1:29" ht="11.65" x14ac:dyDescent="0.35">
      <c r="A2448" s="12">
        <v>2431</v>
      </c>
      <c r="B2448" s="10" t="s">
        <v>1015</v>
      </c>
      <c r="C2448" s="11" t="s">
        <v>1186</v>
      </c>
      <c r="D2448" s="9"/>
      <c r="E2448" s="9">
        <v>670</v>
      </c>
      <c r="F2448" s="10" t="s">
        <v>1066</v>
      </c>
      <c r="G2448" s="9">
        <v>915</v>
      </c>
      <c r="H2448" s="9">
        <v>1950</v>
      </c>
      <c r="I2448" s="8">
        <v>6.9</v>
      </c>
      <c r="J2448" s="8">
        <v>5.5019999999999998</v>
      </c>
      <c r="K2448" s="8">
        <v>4.3789999999999996</v>
      </c>
      <c r="L2448" s="8">
        <v>3.0259999999999998</v>
      </c>
      <c r="M2448" s="8">
        <v>2.2749999999999999</v>
      </c>
      <c r="N2448" s="8">
        <v>1.633</v>
      </c>
      <c r="O2448" s="8">
        <v>1.419</v>
      </c>
      <c r="P2448" s="8">
        <v>1.2729999999999999</v>
      </c>
      <c r="Q2448" s="8">
        <v>1.105</v>
      </c>
      <c r="R2448" s="8">
        <v>1.05</v>
      </c>
      <c r="S2448" s="8">
        <v>0.92900000000000005</v>
      </c>
      <c r="T2448" s="8">
        <v>0.65600000000000003</v>
      </c>
      <c r="U2448" s="8">
        <v>0.51500000000000001</v>
      </c>
      <c r="V2448" s="8">
        <v>0.30499999999999999</v>
      </c>
      <c r="W2448" s="8">
        <v>0.26600000000000001</v>
      </c>
      <c r="X2448" s="8">
        <v>0.17899999999999999</v>
      </c>
      <c r="Y2448" s="8">
        <v>7.8E-2</v>
      </c>
      <c r="Z2448" s="8">
        <v>2.5999999999999999E-2</v>
      </c>
      <c r="AA2448" s="8">
        <v>6.0000000000000001E-3</v>
      </c>
      <c r="AB2448" s="8">
        <v>0</v>
      </c>
      <c r="AC2448" s="8">
        <v>0</v>
      </c>
    </row>
    <row r="2449" spans="1:29" ht="11.65" x14ac:dyDescent="0.35">
      <c r="A2449" s="12">
        <v>2432</v>
      </c>
      <c r="B2449" s="10" t="s">
        <v>1015</v>
      </c>
      <c r="C2449" s="11" t="s">
        <v>1186</v>
      </c>
      <c r="D2449" s="9"/>
      <c r="E2449" s="9">
        <v>670</v>
      </c>
      <c r="F2449" s="10" t="s">
        <v>1066</v>
      </c>
      <c r="G2449" s="9">
        <v>915</v>
      </c>
      <c r="H2449" s="9">
        <v>1955</v>
      </c>
      <c r="I2449" s="8">
        <v>7.4210000000000003</v>
      </c>
      <c r="J2449" s="8">
        <v>6.258</v>
      </c>
      <c r="K2449" s="8">
        <v>4.9420000000000002</v>
      </c>
      <c r="L2449" s="8">
        <v>3.7770000000000001</v>
      </c>
      <c r="M2449" s="8">
        <v>2.44</v>
      </c>
      <c r="N2449" s="8">
        <v>1.802</v>
      </c>
      <c r="O2449" s="8">
        <v>1.284</v>
      </c>
      <c r="P2449" s="8">
        <v>1.143</v>
      </c>
      <c r="Q2449" s="8">
        <v>1.0840000000000001</v>
      </c>
      <c r="R2449" s="8">
        <v>0.94899999999999995</v>
      </c>
      <c r="S2449" s="8">
        <v>0.96599999999999997</v>
      </c>
      <c r="T2449" s="8">
        <v>0.89400000000000002</v>
      </c>
      <c r="U2449" s="8">
        <v>0.62</v>
      </c>
      <c r="V2449" s="8">
        <v>0.45300000000000001</v>
      </c>
      <c r="W2449" s="8">
        <v>0.23300000000000001</v>
      </c>
      <c r="X2449" s="8">
        <v>0.16600000000000001</v>
      </c>
      <c r="Y2449" s="8">
        <v>8.5000000000000006E-2</v>
      </c>
      <c r="Z2449" s="8">
        <v>2.8000000000000001E-2</v>
      </c>
      <c r="AA2449" s="8">
        <v>6.0000000000000001E-3</v>
      </c>
      <c r="AB2449" s="8">
        <v>0</v>
      </c>
      <c r="AC2449" s="8">
        <v>0</v>
      </c>
    </row>
    <row r="2450" spans="1:29" ht="11.65" x14ac:dyDescent="0.35">
      <c r="A2450" s="12">
        <v>2433</v>
      </c>
      <c r="B2450" s="10" t="s">
        <v>1015</v>
      </c>
      <c r="C2450" s="11" t="s">
        <v>1186</v>
      </c>
      <c r="D2450" s="9"/>
      <c r="E2450" s="9">
        <v>670</v>
      </c>
      <c r="F2450" s="10" t="s">
        <v>1066</v>
      </c>
      <c r="G2450" s="9">
        <v>915</v>
      </c>
      <c r="H2450" s="9">
        <v>1960</v>
      </c>
      <c r="I2450" s="8">
        <v>8.1059999999999999</v>
      </c>
      <c r="J2450" s="8">
        <v>6.8319999999999999</v>
      </c>
      <c r="K2450" s="8">
        <v>5.351</v>
      </c>
      <c r="L2450" s="8">
        <v>3.665</v>
      </c>
      <c r="M2450" s="8">
        <v>2.6549999999999998</v>
      </c>
      <c r="N2450" s="8">
        <v>1.857</v>
      </c>
      <c r="O2450" s="8">
        <v>1.651</v>
      </c>
      <c r="P2450" s="8">
        <v>1.41</v>
      </c>
      <c r="Q2450" s="8">
        <v>1.371</v>
      </c>
      <c r="R2450" s="8">
        <v>1.256</v>
      </c>
      <c r="S2450" s="8">
        <v>1.1439999999999999</v>
      </c>
      <c r="T2450" s="8">
        <v>0.96299999999999997</v>
      </c>
      <c r="U2450" s="8">
        <v>0.66900000000000004</v>
      </c>
      <c r="V2450" s="8">
        <v>0.374</v>
      </c>
      <c r="W2450" s="8">
        <v>0.27100000000000002</v>
      </c>
      <c r="X2450" s="8">
        <v>0.17199999999999999</v>
      </c>
      <c r="Y2450" s="8">
        <v>0.17100000000000001</v>
      </c>
      <c r="Z2450" s="8">
        <v>0.03</v>
      </c>
      <c r="AA2450" s="8">
        <v>7.0000000000000001E-3</v>
      </c>
      <c r="AB2450" s="8">
        <v>0</v>
      </c>
      <c r="AC2450" s="8">
        <v>0</v>
      </c>
    </row>
    <row r="2451" spans="1:29" ht="11.65" x14ac:dyDescent="0.35">
      <c r="A2451" s="12">
        <v>2434</v>
      </c>
      <c r="B2451" s="10" t="s">
        <v>1015</v>
      </c>
      <c r="C2451" s="11" t="s">
        <v>1186</v>
      </c>
      <c r="D2451" s="9"/>
      <c r="E2451" s="9">
        <v>670</v>
      </c>
      <c r="F2451" s="10" t="s">
        <v>1066</v>
      </c>
      <c r="G2451" s="9">
        <v>915</v>
      </c>
      <c r="H2451" s="9">
        <v>1965</v>
      </c>
      <c r="I2451" s="8">
        <v>8.468</v>
      </c>
      <c r="J2451" s="8">
        <v>7.3520000000000003</v>
      </c>
      <c r="K2451" s="8">
        <v>5.984</v>
      </c>
      <c r="L2451" s="8">
        <v>4.423</v>
      </c>
      <c r="M2451" s="8">
        <v>2.75</v>
      </c>
      <c r="N2451" s="8">
        <v>1.9319999999999999</v>
      </c>
      <c r="O2451" s="8">
        <v>1.3260000000000001</v>
      </c>
      <c r="P2451" s="8">
        <v>1.2410000000000001</v>
      </c>
      <c r="Q2451" s="8">
        <v>1.1419999999999999</v>
      </c>
      <c r="R2451" s="8">
        <v>1.1539999999999999</v>
      </c>
      <c r="S2451" s="8">
        <v>1.1679999999999999</v>
      </c>
      <c r="T2451" s="8">
        <v>1.137</v>
      </c>
      <c r="U2451" s="8">
        <v>0.93600000000000005</v>
      </c>
      <c r="V2451" s="8">
        <v>0.61</v>
      </c>
      <c r="W2451" s="8">
        <v>0.3</v>
      </c>
      <c r="X2451" s="8">
        <v>0.17699999999999999</v>
      </c>
      <c r="Y2451" s="8">
        <v>0.1</v>
      </c>
      <c r="Z2451" s="8">
        <v>5.8999999999999997E-2</v>
      </c>
      <c r="AA2451" s="8">
        <v>6.0000000000000001E-3</v>
      </c>
      <c r="AB2451" s="8">
        <v>0</v>
      </c>
      <c r="AC2451" s="8">
        <v>0</v>
      </c>
    </row>
    <row r="2452" spans="1:29" ht="11.65" x14ac:dyDescent="0.35">
      <c r="A2452" s="12">
        <v>2435</v>
      </c>
      <c r="B2452" s="10" t="s">
        <v>1015</v>
      </c>
      <c r="C2452" s="11" t="s">
        <v>1186</v>
      </c>
      <c r="D2452" s="9"/>
      <c r="E2452" s="9">
        <v>670</v>
      </c>
      <c r="F2452" s="10" t="s">
        <v>1066</v>
      </c>
      <c r="G2452" s="9">
        <v>915</v>
      </c>
      <c r="H2452" s="9">
        <v>1970</v>
      </c>
      <c r="I2452" s="8">
        <v>8.3840000000000003</v>
      </c>
      <c r="J2452" s="8">
        <v>7.7720000000000002</v>
      </c>
      <c r="K2452" s="8">
        <v>6.5659999999999998</v>
      </c>
      <c r="L2452" s="8">
        <v>5.1020000000000003</v>
      </c>
      <c r="M2452" s="8">
        <v>3.5510000000000002</v>
      </c>
      <c r="N2452" s="8">
        <v>2.0699999999999998</v>
      </c>
      <c r="O2452" s="8">
        <v>1.4350000000000001</v>
      </c>
      <c r="P2452" s="8">
        <v>0.95399999999999996</v>
      </c>
      <c r="Q2452" s="8">
        <v>1</v>
      </c>
      <c r="R2452" s="8">
        <v>0.95199999999999996</v>
      </c>
      <c r="S2452" s="8">
        <v>1.08</v>
      </c>
      <c r="T2452" s="8">
        <v>1.1659999999999999</v>
      </c>
      <c r="U2452" s="8">
        <v>1.093</v>
      </c>
      <c r="V2452" s="8">
        <v>0.83699999999999997</v>
      </c>
      <c r="W2452" s="8">
        <v>0.48199999999999998</v>
      </c>
      <c r="X2452" s="8">
        <v>0.2</v>
      </c>
      <c r="Y2452" s="8">
        <v>0.1</v>
      </c>
      <c r="Z2452" s="8">
        <v>3.7999999999999999E-2</v>
      </c>
      <c r="AA2452" s="8">
        <v>1.4E-2</v>
      </c>
      <c r="AB2452" s="8">
        <v>0</v>
      </c>
      <c r="AC2452" s="8">
        <v>0</v>
      </c>
    </row>
    <row r="2453" spans="1:29" ht="11.65" x14ac:dyDescent="0.35">
      <c r="A2453" s="12">
        <v>2436</v>
      </c>
      <c r="B2453" s="10" t="s">
        <v>1015</v>
      </c>
      <c r="C2453" s="11" t="s">
        <v>1186</v>
      </c>
      <c r="D2453" s="9"/>
      <c r="E2453" s="9">
        <v>670</v>
      </c>
      <c r="F2453" s="10" t="s">
        <v>1066</v>
      </c>
      <c r="G2453" s="9">
        <v>915</v>
      </c>
      <c r="H2453" s="9">
        <v>1975</v>
      </c>
      <c r="I2453" s="8">
        <v>8.0809999999999995</v>
      </c>
      <c r="J2453" s="8">
        <v>7.7009999999999996</v>
      </c>
      <c r="K2453" s="8">
        <v>7.1550000000000002</v>
      </c>
      <c r="L2453" s="8">
        <v>5.8890000000000002</v>
      </c>
      <c r="M2453" s="8">
        <v>4.0389999999999997</v>
      </c>
      <c r="N2453" s="8">
        <v>2.4529999999999998</v>
      </c>
      <c r="O2453" s="8">
        <v>1.6140000000000001</v>
      </c>
      <c r="P2453" s="8">
        <v>1.407</v>
      </c>
      <c r="Q2453" s="8">
        <v>0.97699999999999998</v>
      </c>
      <c r="R2453" s="8">
        <v>1.014</v>
      </c>
      <c r="S2453" s="8">
        <v>0.97599999999999998</v>
      </c>
      <c r="T2453" s="8">
        <v>1.095</v>
      </c>
      <c r="U2453" s="8">
        <v>1.135</v>
      </c>
      <c r="V2453" s="8">
        <v>0.95399999999999996</v>
      </c>
      <c r="W2453" s="8">
        <v>0.64200000000000002</v>
      </c>
      <c r="X2453" s="8">
        <v>0.33100000000000002</v>
      </c>
      <c r="Y2453" s="8">
        <v>0.113</v>
      </c>
      <c r="Z2453" s="8">
        <v>0.04</v>
      </c>
      <c r="AA2453" s="8">
        <v>8.9999999999999993E-3</v>
      </c>
      <c r="AB2453" s="8">
        <v>2E-3</v>
      </c>
      <c r="AC2453" s="8">
        <v>0</v>
      </c>
    </row>
    <row r="2454" spans="1:29" ht="11.65" x14ac:dyDescent="0.35">
      <c r="A2454" s="12">
        <v>2437</v>
      </c>
      <c r="B2454" s="10" t="s">
        <v>1015</v>
      </c>
      <c r="C2454" s="11" t="s">
        <v>1186</v>
      </c>
      <c r="D2454" s="9"/>
      <c r="E2454" s="9">
        <v>670</v>
      </c>
      <c r="F2454" s="10" t="s">
        <v>1066</v>
      </c>
      <c r="G2454" s="9">
        <v>915</v>
      </c>
      <c r="H2454" s="9">
        <v>1980</v>
      </c>
      <c r="I2454" s="8">
        <v>7.4660000000000002</v>
      </c>
      <c r="J2454" s="8">
        <v>7.5650000000000004</v>
      </c>
      <c r="K2454" s="8">
        <v>7.1749999999999998</v>
      </c>
      <c r="L2454" s="8">
        <v>6.5359999999999996</v>
      </c>
      <c r="M2454" s="8">
        <v>4.88</v>
      </c>
      <c r="N2454" s="8">
        <v>2.97</v>
      </c>
      <c r="O2454" s="8">
        <v>2.024</v>
      </c>
      <c r="P2454" s="8">
        <v>1.5369999999999999</v>
      </c>
      <c r="Q2454" s="8">
        <v>1.526</v>
      </c>
      <c r="R2454" s="8">
        <v>1.296</v>
      </c>
      <c r="S2454" s="8">
        <v>1.1850000000000001</v>
      </c>
      <c r="T2454" s="8">
        <v>1.006</v>
      </c>
      <c r="U2454" s="8">
        <v>1.0820000000000001</v>
      </c>
      <c r="V2454" s="8">
        <v>0.999</v>
      </c>
      <c r="W2454" s="8">
        <v>0.74299999999999999</v>
      </c>
      <c r="X2454" s="8">
        <v>0.45800000000000002</v>
      </c>
      <c r="Y2454" s="8">
        <v>0.187</v>
      </c>
      <c r="Z2454" s="8">
        <v>4.7E-2</v>
      </c>
      <c r="AA2454" s="8">
        <v>1.0999999999999999E-2</v>
      </c>
      <c r="AB2454" s="8">
        <v>2E-3</v>
      </c>
      <c r="AC2454" s="8">
        <v>0</v>
      </c>
    </row>
    <row r="2455" spans="1:29" ht="11.65" x14ac:dyDescent="0.35">
      <c r="A2455" s="12">
        <v>2438</v>
      </c>
      <c r="B2455" s="10" t="s">
        <v>1015</v>
      </c>
      <c r="C2455" s="11" t="s">
        <v>1186</v>
      </c>
      <c r="D2455" s="9"/>
      <c r="E2455" s="9">
        <v>670</v>
      </c>
      <c r="F2455" s="10" t="s">
        <v>1066</v>
      </c>
      <c r="G2455" s="9">
        <v>915</v>
      </c>
      <c r="H2455" s="9">
        <v>1985</v>
      </c>
      <c r="I2455" s="8">
        <v>7</v>
      </c>
      <c r="J2455" s="8">
        <v>6.992</v>
      </c>
      <c r="K2455" s="8">
        <v>7.048</v>
      </c>
      <c r="L2455" s="8">
        <v>6.5629999999999997</v>
      </c>
      <c r="M2455" s="8">
        <v>5.5259999999999998</v>
      </c>
      <c r="N2455" s="8">
        <v>3.8079999999999998</v>
      </c>
      <c r="O2455" s="8">
        <v>2.5390000000000001</v>
      </c>
      <c r="P2455" s="8">
        <v>1.9450000000000001</v>
      </c>
      <c r="Q2455" s="8">
        <v>1.6579999999999999</v>
      </c>
      <c r="R2455" s="8">
        <v>1.831</v>
      </c>
      <c r="S2455" s="8">
        <v>1.46</v>
      </c>
      <c r="T2455" s="8">
        <v>1.208</v>
      </c>
      <c r="U2455" s="8">
        <v>1.004</v>
      </c>
      <c r="V2455" s="8">
        <v>0.96199999999999997</v>
      </c>
      <c r="W2455" s="8">
        <v>0.79200000000000004</v>
      </c>
      <c r="X2455" s="8">
        <v>0.51900000000000002</v>
      </c>
      <c r="Y2455" s="8">
        <v>0.248</v>
      </c>
      <c r="Z2455" s="8">
        <v>0.08</v>
      </c>
      <c r="AA2455" s="8">
        <v>1.4E-2</v>
      </c>
      <c r="AB2455" s="8">
        <v>2E-3</v>
      </c>
      <c r="AC2455" s="8">
        <v>0</v>
      </c>
    </row>
    <row r="2456" spans="1:29" ht="11.65" x14ac:dyDescent="0.35">
      <c r="A2456" s="12">
        <v>2439</v>
      </c>
      <c r="B2456" s="10" t="s">
        <v>1015</v>
      </c>
      <c r="C2456" s="11" t="s">
        <v>1186</v>
      </c>
      <c r="D2456" s="9"/>
      <c r="E2456" s="9">
        <v>670</v>
      </c>
      <c r="F2456" s="10" t="s">
        <v>1066</v>
      </c>
      <c r="G2456" s="9">
        <v>915</v>
      </c>
      <c r="H2456" s="9">
        <v>1990</v>
      </c>
      <c r="I2456" s="8">
        <v>6.7270000000000003</v>
      </c>
      <c r="J2456" s="8">
        <v>7.0190000000000001</v>
      </c>
      <c r="K2456" s="8">
        <v>6.835</v>
      </c>
      <c r="L2456" s="8">
        <v>6.1660000000000004</v>
      </c>
      <c r="M2456" s="8">
        <v>5.3250000000000002</v>
      </c>
      <c r="N2456" s="8">
        <v>4.8780000000000001</v>
      </c>
      <c r="O2456" s="8">
        <v>3.633</v>
      </c>
      <c r="P2456" s="8">
        <v>2.5470000000000002</v>
      </c>
      <c r="Q2456" s="8">
        <v>1.931</v>
      </c>
      <c r="R2456" s="8">
        <v>1.524</v>
      </c>
      <c r="S2456" s="8">
        <v>1.591</v>
      </c>
      <c r="T2456" s="8">
        <v>1.288</v>
      </c>
      <c r="U2456" s="8">
        <v>1.145</v>
      </c>
      <c r="V2456" s="8">
        <v>0.96499999999999997</v>
      </c>
      <c r="W2456" s="8">
        <v>0.83099999999999996</v>
      </c>
      <c r="X2456" s="8">
        <v>0.57599999999999996</v>
      </c>
      <c r="Y2456" s="8">
        <v>0.32900000000000001</v>
      </c>
      <c r="Z2456" s="8">
        <v>0.111</v>
      </c>
      <c r="AA2456" s="8">
        <v>2.5000000000000001E-2</v>
      </c>
      <c r="AB2456" s="8">
        <v>3.0000000000000001E-3</v>
      </c>
      <c r="AC2456" s="8">
        <v>0</v>
      </c>
    </row>
    <row r="2457" spans="1:29" ht="11.65" x14ac:dyDescent="0.35">
      <c r="A2457" s="12">
        <v>2440</v>
      </c>
      <c r="B2457" s="10" t="s">
        <v>1015</v>
      </c>
      <c r="C2457" s="11" t="s">
        <v>1186</v>
      </c>
      <c r="D2457" s="9"/>
      <c r="E2457" s="9">
        <v>670</v>
      </c>
      <c r="F2457" s="10" t="s">
        <v>1066</v>
      </c>
      <c r="G2457" s="9">
        <v>915</v>
      </c>
      <c r="H2457" s="9">
        <v>1995</v>
      </c>
      <c r="I2457" s="8">
        <v>6.1150000000000002</v>
      </c>
      <c r="J2457" s="8">
        <v>6.2320000000000002</v>
      </c>
      <c r="K2457" s="8">
        <v>6.3940000000000001</v>
      </c>
      <c r="L2457" s="8">
        <v>6.0919999999999996</v>
      </c>
      <c r="M2457" s="8">
        <v>5.359</v>
      </c>
      <c r="N2457" s="8">
        <v>4.6230000000000002</v>
      </c>
      <c r="O2457" s="8">
        <v>4.3970000000000002</v>
      </c>
      <c r="P2457" s="8">
        <v>3.3660000000000001</v>
      </c>
      <c r="Q2457" s="8">
        <v>2.41</v>
      </c>
      <c r="R2457" s="8">
        <v>1.85</v>
      </c>
      <c r="S2457" s="8">
        <v>1.4530000000000001</v>
      </c>
      <c r="T2457" s="8">
        <v>1.506</v>
      </c>
      <c r="U2457" s="8">
        <v>1.216</v>
      </c>
      <c r="V2457" s="8">
        <v>1.0609999999999999</v>
      </c>
      <c r="W2457" s="8">
        <v>0.85899999999999999</v>
      </c>
      <c r="X2457" s="8">
        <v>0.66300000000000003</v>
      </c>
      <c r="Y2457" s="8">
        <v>0.32400000000000001</v>
      </c>
      <c r="Z2457" s="8">
        <v>0.157</v>
      </c>
      <c r="AA2457" s="8">
        <v>3.5999999999999997E-2</v>
      </c>
      <c r="AB2457" s="8">
        <v>5.0000000000000001E-3</v>
      </c>
      <c r="AC2457" s="8">
        <v>0</v>
      </c>
    </row>
    <row r="2458" spans="1:29" ht="11.65" x14ac:dyDescent="0.35">
      <c r="A2458" s="12">
        <v>2441</v>
      </c>
      <c r="B2458" s="10" t="s">
        <v>1015</v>
      </c>
      <c r="C2458" s="11" t="s">
        <v>1186</v>
      </c>
      <c r="D2458" s="9"/>
      <c r="E2458" s="9">
        <v>670</v>
      </c>
      <c r="F2458" s="10" t="s">
        <v>1066</v>
      </c>
      <c r="G2458" s="9">
        <v>915</v>
      </c>
      <c r="H2458" s="9">
        <v>2000</v>
      </c>
      <c r="I2458" s="8">
        <v>5.524</v>
      </c>
      <c r="J2458" s="8">
        <v>5.7889999999999997</v>
      </c>
      <c r="K2458" s="8">
        <v>5.8029999999999999</v>
      </c>
      <c r="L2458" s="8">
        <v>5.76</v>
      </c>
      <c r="M2458" s="8">
        <v>5.2469999999999999</v>
      </c>
      <c r="N2458" s="8">
        <v>4.5419999999999998</v>
      </c>
      <c r="O2458" s="8">
        <v>4.0830000000000002</v>
      </c>
      <c r="P2458" s="8">
        <v>4.1520000000000001</v>
      </c>
      <c r="Q2458" s="8">
        <v>3.266</v>
      </c>
      <c r="R2458" s="8">
        <v>2.3540000000000001</v>
      </c>
      <c r="S2458" s="8">
        <v>1.7989999999999999</v>
      </c>
      <c r="T2458" s="8">
        <v>1.3580000000000001</v>
      </c>
      <c r="U2458" s="8">
        <v>1.387</v>
      </c>
      <c r="V2458" s="8">
        <v>1.1160000000000001</v>
      </c>
      <c r="W2458" s="8">
        <v>0.90900000000000003</v>
      </c>
      <c r="X2458" s="8">
        <v>0.628</v>
      </c>
      <c r="Y2458" s="8">
        <v>0.36399999999999999</v>
      </c>
      <c r="Z2458" s="8">
        <v>0.156</v>
      </c>
      <c r="AA2458" s="8">
        <v>5.2999999999999999E-2</v>
      </c>
      <c r="AB2458" s="8">
        <v>8.9999999999999993E-3</v>
      </c>
      <c r="AC2458" s="8">
        <v>1E-3</v>
      </c>
    </row>
    <row r="2459" spans="1:29" ht="11.65" x14ac:dyDescent="0.35">
      <c r="A2459" s="12">
        <v>2442</v>
      </c>
      <c r="B2459" s="10" t="s">
        <v>1015</v>
      </c>
      <c r="C2459" s="11" t="s">
        <v>1186</v>
      </c>
      <c r="D2459" s="9"/>
      <c r="E2459" s="9">
        <v>670</v>
      </c>
      <c r="F2459" s="10" t="s">
        <v>1066</v>
      </c>
      <c r="G2459" s="9">
        <v>915</v>
      </c>
      <c r="H2459" s="9">
        <v>2005</v>
      </c>
      <c r="I2459" s="8">
        <v>4.8689999999999998</v>
      </c>
      <c r="J2459" s="8">
        <v>5.3</v>
      </c>
      <c r="K2459" s="8">
        <v>5.4950000000000001</v>
      </c>
      <c r="L2459" s="8">
        <v>5.3680000000000003</v>
      </c>
      <c r="M2459" s="8">
        <v>5.1769999999999996</v>
      </c>
      <c r="N2459" s="8">
        <v>4.6820000000000004</v>
      </c>
      <c r="O2459" s="8">
        <v>4.1660000000000004</v>
      </c>
      <c r="P2459" s="8">
        <v>3.911</v>
      </c>
      <c r="Q2459" s="8">
        <v>4.0629999999999997</v>
      </c>
      <c r="R2459" s="8">
        <v>3.198</v>
      </c>
      <c r="S2459" s="8">
        <v>2.2869999999999999</v>
      </c>
      <c r="T2459" s="8">
        <v>1.696</v>
      </c>
      <c r="U2459" s="8">
        <v>1.256</v>
      </c>
      <c r="V2459" s="8">
        <v>1.25</v>
      </c>
      <c r="W2459" s="8">
        <v>0.94499999999999995</v>
      </c>
      <c r="X2459" s="8">
        <v>0.65600000000000003</v>
      </c>
      <c r="Y2459" s="8">
        <v>0.32200000000000001</v>
      </c>
      <c r="Z2459" s="8">
        <v>0.16900000000000001</v>
      </c>
      <c r="AA2459" s="8">
        <v>5.0999999999999997E-2</v>
      </c>
      <c r="AB2459" s="8">
        <v>0.01</v>
      </c>
      <c r="AC2459" s="8">
        <v>1E-3</v>
      </c>
    </row>
    <row r="2460" spans="1:29" ht="11.65" x14ac:dyDescent="0.35">
      <c r="A2460" s="12">
        <v>2443</v>
      </c>
      <c r="B2460" s="10" t="s">
        <v>1015</v>
      </c>
      <c r="C2460" s="11" t="s">
        <v>1186</v>
      </c>
      <c r="D2460" s="9"/>
      <c r="E2460" s="9">
        <v>670</v>
      </c>
      <c r="F2460" s="10" t="s">
        <v>1066</v>
      </c>
      <c r="G2460" s="9">
        <v>915</v>
      </c>
      <c r="H2460" s="9">
        <v>2010</v>
      </c>
      <c r="I2460" s="8">
        <v>4.4930000000000003</v>
      </c>
      <c r="J2460" s="8">
        <v>4.3760000000000003</v>
      </c>
      <c r="K2460" s="8">
        <v>5.3220000000000001</v>
      </c>
      <c r="L2460" s="8">
        <v>5.2309999999999999</v>
      </c>
      <c r="M2460" s="8">
        <v>4.4160000000000004</v>
      </c>
      <c r="N2460" s="8">
        <v>4.319</v>
      </c>
      <c r="O2460" s="8">
        <v>3.875</v>
      </c>
      <c r="P2460" s="8">
        <v>3.7959999999999998</v>
      </c>
      <c r="Q2460" s="8">
        <v>3.8140000000000001</v>
      </c>
      <c r="R2460" s="8">
        <v>4.0730000000000004</v>
      </c>
      <c r="S2460" s="8">
        <v>3.1120000000000001</v>
      </c>
      <c r="T2460" s="8">
        <v>2.2570000000000001</v>
      </c>
      <c r="U2460" s="8">
        <v>1.72</v>
      </c>
      <c r="V2460" s="8">
        <v>1.2949999999999999</v>
      </c>
      <c r="W2460" s="8">
        <v>1.369</v>
      </c>
      <c r="X2460" s="8">
        <v>0.89900000000000002</v>
      </c>
      <c r="Y2460" s="8">
        <v>0.51400000000000001</v>
      </c>
      <c r="Z2460" s="8">
        <v>0.154</v>
      </c>
      <c r="AA2460" s="8">
        <v>5.6000000000000001E-2</v>
      </c>
      <c r="AB2460" s="8">
        <v>0.01</v>
      </c>
      <c r="AC2460" s="8">
        <v>1E-3</v>
      </c>
    </row>
    <row r="2461" spans="1:29" ht="11.65" x14ac:dyDescent="0.35">
      <c r="A2461" s="12">
        <v>2444</v>
      </c>
      <c r="B2461" s="10" t="s">
        <v>1015</v>
      </c>
      <c r="C2461" s="11" t="s">
        <v>1186</v>
      </c>
      <c r="D2461" s="9"/>
      <c r="E2461" s="9">
        <v>670</v>
      </c>
      <c r="F2461" s="10" t="s">
        <v>1066</v>
      </c>
      <c r="G2461" s="9">
        <v>915</v>
      </c>
      <c r="H2461" s="9">
        <v>2015</v>
      </c>
      <c r="I2461" s="8">
        <v>4.1349999999999998</v>
      </c>
      <c r="J2461" s="8">
        <v>4.2409999999999997</v>
      </c>
      <c r="K2461" s="8">
        <v>4.7610000000000001</v>
      </c>
      <c r="L2461" s="8">
        <v>4.8730000000000002</v>
      </c>
      <c r="M2461" s="8">
        <v>4.2910000000000004</v>
      </c>
      <c r="N2461" s="8">
        <v>4.1369999999999996</v>
      </c>
      <c r="O2461" s="8">
        <v>3.9009999999999998</v>
      </c>
      <c r="P2461" s="8">
        <v>3.883</v>
      </c>
      <c r="Q2461" s="8">
        <v>3.7309999999999999</v>
      </c>
      <c r="R2461" s="8">
        <v>3.6459999999999999</v>
      </c>
      <c r="S2461" s="8">
        <v>3.7589999999999999</v>
      </c>
      <c r="T2461" s="8">
        <v>3.0289999999999999</v>
      </c>
      <c r="U2461" s="8">
        <v>2.2240000000000002</v>
      </c>
      <c r="V2461" s="8">
        <v>1.615</v>
      </c>
      <c r="W2461" s="8">
        <v>1.19</v>
      </c>
      <c r="X2461" s="8">
        <v>1.0289999999999999</v>
      </c>
      <c r="Y2461" s="8">
        <v>0.81100000000000005</v>
      </c>
      <c r="Z2461" s="8">
        <v>0.25700000000000001</v>
      </c>
      <c r="AA2461" s="8">
        <v>5.3999999999999999E-2</v>
      </c>
      <c r="AB2461" s="8">
        <v>1.2999999999999999E-2</v>
      </c>
      <c r="AC2461" s="8">
        <v>1E-3</v>
      </c>
    </row>
    <row r="2462" spans="1:29" ht="11.65" x14ac:dyDescent="0.35">
      <c r="A2462" s="12">
        <v>2445</v>
      </c>
      <c r="B2462" s="10" t="s">
        <v>1015</v>
      </c>
      <c r="C2462" s="11" t="s">
        <v>1186</v>
      </c>
      <c r="D2462" s="9"/>
      <c r="E2462" s="9">
        <v>670</v>
      </c>
      <c r="F2462" s="10" t="s">
        <v>1066</v>
      </c>
      <c r="G2462" s="9">
        <v>915</v>
      </c>
      <c r="H2462" s="9">
        <v>2020</v>
      </c>
      <c r="I2462" s="8">
        <v>3.9039999999999999</v>
      </c>
      <c r="J2462" s="8">
        <v>4.1130000000000004</v>
      </c>
      <c r="K2462" s="8">
        <v>4.2229999999999999</v>
      </c>
      <c r="L2462" s="8">
        <v>4.6929999999999996</v>
      </c>
      <c r="M2462" s="8">
        <v>4.7430000000000003</v>
      </c>
      <c r="N2462" s="8">
        <v>4.16</v>
      </c>
      <c r="O2462" s="8">
        <v>4.0270000000000001</v>
      </c>
      <c r="P2462" s="8">
        <v>3.8029999999999999</v>
      </c>
      <c r="Q2462" s="8">
        <v>3.782</v>
      </c>
      <c r="R2462" s="8">
        <v>3.6120000000000001</v>
      </c>
      <c r="S2462" s="8">
        <v>3.4849999999999999</v>
      </c>
      <c r="T2462" s="8">
        <v>3.5179999999999998</v>
      </c>
      <c r="U2462" s="8">
        <v>2.7570000000000001</v>
      </c>
      <c r="V2462" s="8">
        <v>1.954</v>
      </c>
      <c r="W2462" s="8">
        <v>1.345</v>
      </c>
      <c r="X2462" s="8">
        <v>0.90200000000000002</v>
      </c>
      <c r="Y2462" s="8">
        <v>0.66900000000000004</v>
      </c>
      <c r="Z2462" s="8">
        <v>0.41799999999999998</v>
      </c>
      <c r="AA2462" s="8">
        <v>9.5000000000000001E-2</v>
      </c>
      <c r="AB2462" s="8">
        <v>1.2999999999999999E-2</v>
      </c>
      <c r="AC2462" s="8">
        <v>2E-3</v>
      </c>
    </row>
    <row r="2463" spans="1:29" ht="11.65" x14ac:dyDescent="0.35">
      <c r="A2463" s="12">
        <v>2446</v>
      </c>
      <c r="B2463" s="10" t="s">
        <v>1015</v>
      </c>
      <c r="C2463" s="11" t="s">
        <v>1187</v>
      </c>
      <c r="D2463" s="9"/>
      <c r="E2463" s="9">
        <v>780</v>
      </c>
      <c r="F2463" s="10" t="s">
        <v>1066</v>
      </c>
      <c r="G2463" s="9">
        <v>915</v>
      </c>
      <c r="H2463" s="9">
        <v>1950</v>
      </c>
      <c r="I2463" s="8">
        <v>53.551000000000002</v>
      </c>
      <c r="J2463" s="8">
        <v>42.627000000000002</v>
      </c>
      <c r="K2463" s="8">
        <v>33.167000000000002</v>
      </c>
      <c r="L2463" s="8">
        <v>27.225999999999999</v>
      </c>
      <c r="M2463" s="8">
        <v>25.390999999999998</v>
      </c>
      <c r="N2463" s="8">
        <v>24.952999999999999</v>
      </c>
      <c r="O2463" s="8">
        <v>23.803000000000001</v>
      </c>
      <c r="P2463" s="8">
        <v>21.663</v>
      </c>
      <c r="Q2463" s="8">
        <v>18.364999999999998</v>
      </c>
      <c r="R2463" s="8">
        <v>15.494999999999999</v>
      </c>
      <c r="S2463" s="8">
        <v>11.6</v>
      </c>
      <c r="T2463" s="8">
        <v>8.3930000000000007</v>
      </c>
      <c r="U2463" s="8">
        <v>6.3319999999999999</v>
      </c>
      <c r="V2463" s="8">
        <v>5.2030000000000003</v>
      </c>
      <c r="W2463" s="8">
        <v>3.4409999999999998</v>
      </c>
      <c r="X2463" s="8">
        <v>1.7210000000000001</v>
      </c>
      <c r="Y2463" s="8">
        <v>0.68200000000000005</v>
      </c>
      <c r="Z2463" s="8">
        <v>0.25800000000000001</v>
      </c>
      <c r="AA2463" s="8">
        <v>6.7000000000000004E-2</v>
      </c>
      <c r="AB2463" s="8">
        <v>1.2E-2</v>
      </c>
      <c r="AC2463" s="8">
        <v>1E-3</v>
      </c>
    </row>
    <row r="2464" spans="1:29" ht="11.65" x14ac:dyDescent="0.35">
      <c r="A2464" s="12">
        <v>2447</v>
      </c>
      <c r="B2464" s="10" t="s">
        <v>1015</v>
      </c>
      <c r="C2464" s="11" t="s">
        <v>1187</v>
      </c>
      <c r="D2464" s="9"/>
      <c r="E2464" s="9">
        <v>780</v>
      </c>
      <c r="F2464" s="10" t="s">
        <v>1066</v>
      </c>
      <c r="G2464" s="9">
        <v>915</v>
      </c>
      <c r="H2464" s="9">
        <v>1955</v>
      </c>
      <c r="I2464" s="8">
        <v>63.16</v>
      </c>
      <c r="J2464" s="8">
        <v>52.000999999999998</v>
      </c>
      <c r="K2464" s="8">
        <v>42.042999999999999</v>
      </c>
      <c r="L2464" s="8">
        <v>32.744</v>
      </c>
      <c r="M2464" s="8">
        <v>26.632999999999999</v>
      </c>
      <c r="N2464" s="8">
        <v>24.713000000000001</v>
      </c>
      <c r="O2464" s="8">
        <v>24.260999999999999</v>
      </c>
      <c r="P2464" s="8">
        <v>23.067</v>
      </c>
      <c r="Q2464" s="8">
        <v>20.882000000000001</v>
      </c>
      <c r="R2464" s="8">
        <v>17.425999999999998</v>
      </c>
      <c r="S2464" s="8">
        <v>14.345000000000001</v>
      </c>
      <c r="T2464" s="8">
        <v>10.365</v>
      </c>
      <c r="U2464" s="8">
        <v>7.2380000000000004</v>
      </c>
      <c r="V2464" s="8">
        <v>5.226</v>
      </c>
      <c r="W2464" s="8">
        <v>3.8889999999999998</v>
      </c>
      <c r="X2464" s="8">
        <v>2.294</v>
      </c>
      <c r="Y2464" s="8">
        <v>1.0109999999999999</v>
      </c>
      <c r="Z2464" s="8">
        <v>0.17100000000000001</v>
      </c>
      <c r="AA2464" s="8">
        <v>3.5000000000000003E-2</v>
      </c>
      <c r="AB2464" s="8">
        <v>5.0000000000000001E-3</v>
      </c>
      <c r="AC2464" s="8">
        <v>1E-3</v>
      </c>
    </row>
    <row r="2465" spans="1:29" ht="11.65" x14ac:dyDescent="0.35">
      <c r="A2465" s="12">
        <v>2448</v>
      </c>
      <c r="B2465" s="10" t="s">
        <v>1015</v>
      </c>
      <c r="C2465" s="11" t="s">
        <v>1187</v>
      </c>
      <c r="D2465" s="9"/>
      <c r="E2465" s="9">
        <v>780</v>
      </c>
      <c r="F2465" s="10" t="s">
        <v>1066</v>
      </c>
      <c r="G2465" s="9">
        <v>915</v>
      </c>
      <c r="H2465" s="9">
        <v>1960</v>
      </c>
      <c r="I2465" s="8">
        <v>70.418000000000006</v>
      </c>
      <c r="J2465" s="8">
        <v>61.758000000000003</v>
      </c>
      <c r="K2465" s="8">
        <v>51.43</v>
      </c>
      <c r="L2465" s="8">
        <v>41.591999999999999</v>
      </c>
      <c r="M2465" s="8">
        <v>32.131999999999998</v>
      </c>
      <c r="N2465" s="8">
        <v>25.981999999999999</v>
      </c>
      <c r="O2465" s="8">
        <v>24.076000000000001</v>
      </c>
      <c r="P2465" s="8">
        <v>23.577999999999999</v>
      </c>
      <c r="Q2465" s="8">
        <v>22.324000000000002</v>
      </c>
      <c r="R2465" s="8">
        <v>19.913</v>
      </c>
      <c r="S2465" s="8">
        <v>16.231000000000002</v>
      </c>
      <c r="T2465" s="8">
        <v>12.917</v>
      </c>
      <c r="U2465" s="8">
        <v>8.9949999999999992</v>
      </c>
      <c r="V2465" s="8">
        <v>6.0039999999999996</v>
      </c>
      <c r="W2465" s="8">
        <v>3.9430000000000001</v>
      </c>
      <c r="X2465" s="8">
        <v>2.605</v>
      </c>
      <c r="Y2465" s="8">
        <v>1.329</v>
      </c>
      <c r="Z2465" s="8">
        <v>0.27</v>
      </c>
      <c r="AA2465" s="8">
        <v>2.5999999999999999E-2</v>
      </c>
      <c r="AB2465" s="8">
        <v>3.0000000000000001E-3</v>
      </c>
      <c r="AC2465" s="8">
        <v>0</v>
      </c>
    </row>
    <row r="2466" spans="1:29" ht="11.65" x14ac:dyDescent="0.35">
      <c r="A2466" s="12">
        <v>2449</v>
      </c>
      <c r="B2466" s="10" t="s">
        <v>1015</v>
      </c>
      <c r="C2466" s="11" t="s">
        <v>1187</v>
      </c>
      <c r="D2466" s="9"/>
      <c r="E2466" s="9">
        <v>780</v>
      </c>
      <c r="F2466" s="10" t="s">
        <v>1066</v>
      </c>
      <c r="G2466" s="9">
        <v>915</v>
      </c>
      <c r="H2466" s="9">
        <v>1965</v>
      </c>
      <c r="I2466" s="8">
        <v>74.051000000000002</v>
      </c>
      <c r="J2466" s="8">
        <v>67.774000000000001</v>
      </c>
      <c r="K2466" s="8">
        <v>58.466000000000001</v>
      </c>
      <c r="L2466" s="8">
        <v>45.558999999999997</v>
      </c>
      <c r="M2466" s="8">
        <v>38.259</v>
      </c>
      <c r="N2466" s="8">
        <v>28.936</v>
      </c>
      <c r="O2466" s="8">
        <v>23.977</v>
      </c>
      <c r="P2466" s="8">
        <v>22.166</v>
      </c>
      <c r="Q2466" s="8">
        <v>21.547000000000001</v>
      </c>
      <c r="R2466" s="8">
        <v>18.733000000000001</v>
      </c>
      <c r="S2466" s="8">
        <v>17.257999999999999</v>
      </c>
      <c r="T2466" s="8">
        <v>13.44</v>
      </c>
      <c r="U2466" s="8">
        <v>10.4</v>
      </c>
      <c r="V2466" s="8">
        <v>6.7460000000000004</v>
      </c>
      <c r="W2466" s="8">
        <v>3.8380000000000001</v>
      </c>
      <c r="X2466" s="8">
        <v>2.093</v>
      </c>
      <c r="Y2466" s="8">
        <v>1.1419999999999999</v>
      </c>
      <c r="Z2466" s="8">
        <v>0.38700000000000001</v>
      </c>
      <c r="AA2466" s="8">
        <v>4.4999999999999998E-2</v>
      </c>
      <c r="AB2466" s="8">
        <v>2E-3</v>
      </c>
      <c r="AC2466" s="8">
        <v>0</v>
      </c>
    </row>
    <row r="2467" spans="1:29" ht="11.65" x14ac:dyDescent="0.35">
      <c r="A2467" s="12">
        <v>2450</v>
      </c>
      <c r="B2467" s="10" t="s">
        <v>1015</v>
      </c>
      <c r="C2467" s="11" t="s">
        <v>1187</v>
      </c>
      <c r="D2467" s="9"/>
      <c r="E2467" s="9">
        <v>780</v>
      </c>
      <c r="F2467" s="10" t="s">
        <v>1066</v>
      </c>
      <c r="G2467" s="9">
        <v>915</v>
      </c>
      <c r="H2467" s="9">
        <v>1970</v>
      </c>
      <c r="I2467" s="8">
        <v>61.307000000000002</v>
      </c>
      <c r="J2467" s="8">
        <v>72.350999999999999</v>
      </c>
      <c r="K2467" s="8">
        <v>63.902999999999999</v>
      </c>
      <c r="L2467" s="8">
        <v>53.198</v>
      </c>
      <c r="M2467" s="8">
        <v>39.548000000000002</v>
      </c>
      <c r="N2467" s="8">
        <v>30.837</v>
      </c>
      <c r="O2467" s="8">
        <v>24.353000000000002</v>
      </c>
      <c r="P2467" s="8">
        <v>21.43</v>
      </c>
      <c r="Q2467" s="8">
        <v>20.093</v>
      </c>
      <c r="R2467" s="8">
        <v>19.338000000000001</v>
      </c>
      <c r="S2467" s="8">
        <v>17.216999999999999</v>
      </c>
      <c r="T2467" s="8">
        <v>15.510999999999999</v>
      </c>
      <c r="U2467" s="8">
        <v>11.624000000000001</v>
      </c>
      <c r="V2467" s="8">
        <v>8.7889999999999997</v>
      </c>
      <c r="W2467" s="8">
        <v>5.3479999999999999</v>
      </c>
      <c r="X2467" s="8">
        <v>2.6930000000000001</v>
      </c>
      <c r="Y2467" s="8">
        <v>1.329</v>
      </c>
      <c r="Z2467" s="8">
        <v>0.371</v>
      </c>
      <c r="AA2467" s="8">
        <v>7.6999999999999999E-2</v>
      </c>
      <c r="AB2467" s="8">
        <v>5.0000000000000001E-3</v>
      </c>
      <c r="AC2467" s="8">
        <v>0</v>
      </c>
    </row>
    <row r="2468" spans="1:29" ht="11.65" x14ac:dyDescent="0.35">
      <c r="A2468" s="12">
        <v>2451</v>
      </c>
      <c r="B2468" s="10" t="s">
        <v>1015</v>
      </c>
      <c r="C2468" s="11" t="s">
        <v>1187</v>
      </c>
      <c r="D2468" s="9"/>
      <c r="E2468" s="9">
        <v>780</v>
      </c>
      <c r="F2468" s="10" t="s">
        <v>1066</v>
      </c>
      <c r="G2468" s="9">
        <v>915</v>
      </c>
      <c r="H2468" s="9">
        <v>1975</v>
      </c>
      <c r="I2468" s="8">
        <v>61.761000000000003</v>
      </c>
      <c r="J2468" s="8">
        <v>59.606999999999999</v>
      </c>
      <c r="K2468" s="8">
        <v>70.733000000000004</v>
      </c>
      <c r="L2468" s="8">
        <v>61.136000000000003</v>
      </c>
      <c r="M2468" s="8">
        <v>49.656999999999996</v>
      </c>
      <c r="N2468" s="8">
        <v>36.512</v>
      </c>
      <c r="O2468" s="8">
        <v>29.42</v>
      </c>
      <c r="P2468" s="8">
        <v>23.315999999999999</v>
      </c>
      <c r="Q2468" s="8">
        <v>20.353999999999999</v>
      </c>
      <c r="R2468" s="8">
        <v>18.925000000000001</v>
      </c>
      <c r="S2468" s="8">
        <v>17.948</v>
      </c>
      <c r="T2468" s="8">
        <v>15.628</v>
      </c>
      <c r="U2468" s="8">
        <v>13.855</v>
      </c>
      <c r="V2468" s="8">
        <v>9.9600000000000009</v>
      </c>
      <c r="W2468" s="8">
        <v>6.8410000000000002</v>
      </c>
      <c r="X2468" s="8">
        <v>3.7570000000000001</v>
      </c>
      <c r="Y2468" s="8">
        <v>1.5980000000000001</v>
      </c>
      <c r="Z2468" s="8">
        <v>0.47699999999999998</v>
      </c>
      <c r="AA2468" s="8">
        <v>8.4000000000000005E-2</v>
      </c>
      <c r="AB2468" s="8">
        <v>8.9999999999999993E-3</v>
      </c>
      <c r="AC2468" s="8">
        <v>0</v>
      </c>
    </row>
    <row r="2469" spans="1:29" ht="11.65" x14ac:dyDescent="0.35">
      <c r="A2469" s="12">
        <v>2452</v>
      </c>
      <c r="B2469" s="10" t="s">
        <v>1015</v>
      </c>
      <c r="C2469" s="11" t="s">
        <v>1187</v>
      </c>
      <c r="D2469" s="9"/>
      <c r="E2469" s="9">
        <v>780</v>
      </c>
      <c r="F2469" s="10" t="s">
        <v>1066</v>
      </c>
      <c r="G2469" s="9">
        <v>915</v>
      </c>
      <c r="H2469" s="9">
        <v>1980</v>
      </c>
      <c r="I2469" s="8">
        <v>67.350999999999999</v>
      </c>
      <c r="J2469" s="8">
        <v>60.466999999999999</v>
      </c>
      <c r="K2469" s="8">
        <v>58.597000000000001</v>
      </c>
      <c r="L2469" s="8">
        <v>68.034999999999997</v>
      </c>
      <c r="M2469" s="8">
        <v>57.487000000000002</v>
      </c>
      <c r="N2469" s="8">
        <v>46.319000000000003</v>
      </c>
      <c r="O2469" s="8">
        <v>35.039000000000001</v>
      </c>
      <c r="P2469" s="8">
        <v>28.507999999999999</v>
      </c>
      <c r="Q2469" s="8">
        <v>23.501999999999999</v>
      </c>
      <c r="R2469" s="8">
        <v>19.183</v>
      </c>
      <c r="S2469" s="8">
        <v>17.629000000000001</v>
      </c>
      <c r="T2469" s="8">
        <v>16.132000000000001</v>
      </c>
      <c r="U2469" s="8">
        <v>13.532999999999999</v>
      </c>
      <c r="V2469" s="8">
        <v>11.755000000000001</v>
      </c>
      <c r="W2469" s="8">
        <v>7.8680000000000003</v>
      </c>
      <c r="X2469" s="8">
        <v>4.694</v>
      </c>
      <c r="Y2469" s="8">
        <v>2.2890000000000001</v>
      </c>
      <c r="Z2469" s="8">
        <v>0.61199999999999999</v>
      </c>
      <c r="AA2469" s="8">
        <v>0.11799999999999999</v>
      </c>
      <c r="AB2469" s="8">
        <v>1.2E-2</v>
      </c>
      <c r="AC2469" s="8">
        <v>1E-3</v>
      </c>
    </row>
    <row r="2470" spans="1:29" ht="11.65" x14ac:dyDescent="0.35">
      <c r="A2470" s="12">
        <v>2453</v>
      </c>
      <c r="B2470" s="10" t="s">
        <v>1015</v>
      </c>
      <c r="C2470" s="11" t="s">
        <v>1187</v>
      </c>
      <c r="D2470" s="9"/>
      <c r="E2470" s="9">
        <v>780</v>
      </c>
      <c r="F2470" s="10" t="s">
        <v>1066</v>
      </c>
      <c r="G2470" s="9">
        <v>915</v>
      </c>
      <c r="H2470" s="9">
        <v>1985</v>
      </c>
      <c r="I2470" s="8">
        <v>78.072999999999993</v>
      </c>
      <c r="J2470" s="8">
        <v>65.59</v>
      </c>
      <c r="K2470" s="8">
        <v>59.957999999999998</v>
      </c>
      <c r="L2470" s="8">
        <v>57.313000000000002</v>
      </c>
      <c r="M2470" s="8">
        <v>64.551000000000002</v>
      </c>
      <c r="N2470" s="8">
        <v>50.753</v>
      </c>
      <c r="O2470" s="8">
        <v>42.962000000000003</v>
      </c>
      <c r="P2470" s="8">
        <v>33.606999999999999</v>
      </c>
      <c r="Q2470" s="8">
        <v>28.123999999999999</v>
      </c>
      <c r="R2470" s="8">
        <v>23.009</v>
      </c>
      <c r="S2470" s="8">
        <v>18.373999999999999</v>
      </c>
      <c r="T2470" s="8">
        <v>16.302</v>
      </c>
      <c r="U2470" s="8">
        <v>14.257999999999999</v>
      </c>
      <c r="V2470" s="8">
        <v>11.241</v>
      </c>
      <c r="W2470" s="8">
        <v>8.9779999999999998</v>
      </c>
      <c r="X2470" s="8">
        <v>5.226</v>
      </c>
      <c r="Y2470" s="8">
        <v>2.633</v>
      </c>
      <c r="Z2470" s="8">
        <v>0.92100000000000004</v>
      </c>
      <c r="AA2470" s="8">
        <v>0.16200000000000001</v>
      </c>
      <c r="AB2470" s="8">
        <v>1.7999999999999999E-2</v>
      </c>
      <c r="AC2470" s="8">
        <v>1E-3</v>
      </c>
    </row>
    <row r="2471" spans="1:29" ht="11.65" x14ac:dyDescent="0.35">
      <c r="A2471" s="12">
        <v>2454</v>
      </c>
      <c r="B2471" s="10" t="s">
        <v>1015</v>
      </c>
      <c r="C2471" s="11" t="s">
        <v>1187</v>
      </c>
      <c r="D2471" s="9"/>
      <c r="E2471" s="9">
        <v>780</v>
      </c>
      <c r="F2471" s="10" t="s">
        <v>1066</v>
      </c>
      <c r="G2471" s="9">
        <v>915</v>
      </c>
      <c r="H2471" s="9">
        <v>1990</v>
      </c>
      <c r="I2471" s="8">
        <v>67.543999999999997</v>
      </c>
      <c r="J2471" s="8">
        <v>75.988</v>
      </c>
      <c r="K2471" s="8">
        <v>64.644000000000005</v>
      </c>
      <c r="L2471" s="8">
        <v>58.406999999999996</v>
      </c>
      <c r="M2471" s="8">
        <v>52.006999999999998</v>
      </c>
      <c r="N2471" s="8">
        <v>56.552999999999997</v>
      </c>
      <c r="O2471" s="8">
        <v>48.22</v>
      </c>
      <c r="P2471" s="8">
        <v>40.116</v>
      </c>
      <c r="Q2471" s="8">
        <v>33.279000000000003</v>
      </c>
      <c r="R2471" s="8">
        <v>27.463000000000001</v>
      </c>
      <c r="S2471" s="8">
        <v>21.997</v>
      </c>
      <c r="T2471" s="8">
        <v>17.033000000000001</v>
      </c>
      <c r="U2471" s="8">
        <v>14.52</v>
      </c>
      <c r="V2471" s="8">
        <v>11.888999999999999</v>
      </c>
      <c r="W2471" s="8">
        <v>8.6</v>
      </c>
      <c r="X2471" s="8">
        <v>6.0179999999999998</v>
      </c>
      <c r="Y2471" s="8">
        <v>2.9180000000000001</v>
      </c>
      <c r="Z2471" s="8">
        <v>1.093</v>
      </c>
      <c r="AA2471" s="8">
        <v>0.253</v>
      </c>
      <c r="AB2471" s="8">
        <v>2.5999999999999999E-2</v>
      </c>
      <c r="AC2471" s="8">
        <v>2E-3</v>
      </c>
    </row>
    <row r="2472" spans="1:29" ht="11.65" x14ac:dyDescent="0.35">
      <c r="A2472" s="12">
        <v>2455</v>
      </c>
      <c r="B2472" s="10" t="s">
        <v>1015</v>
      </c>
      <c r="C2472" s="11" t="s">
        <v>1187</v>
      </c>
      <c r="D2472" s="9"/>
      <c r="E2472" s="9">
        <v>780</v>
      </c>
      <c r="F2472" s="10" t="s">
        <v>1066</v>
      </c>
      <c r="G2472" s="9">
        <v>915</v>
      </c>
      <c r="H2472" s="9">
        <v>1995</v>
      </c>
      <c r="I2472" s="8">
        <v>53.703000000000003</v>
      </c>
      <c r="J2472" s="8">
        <v>66.650000000000006</v>
      </c>
      <c r="K2472" s="8">
        <v>75.268000000000001</v>
      </c>
      <c r="L2472" s="8">
        <v>61.866999999999997</v>
      </c>
      <c r="M2472" s="8">
        <v>53.651000000000003</v>
      </c>
      <c r="N2472" s="8">
        <v>47.292999999999999</v>
      </c>
      <c r="O2472" s="8">
        <v>53.603000000000002</v>
      </c>
      <c r="P2472" s="8">
        <v>45.712000000000003</v>
      </c>
      <c r="Q2472" s="8">
        <v>39.709000000000003</v>
      </c>
      <c r="R2472" s="8">
        <v>32.545000000000002</v>
      </c>
      <c r="S2472" s="8">
        <v>26.433</v>
      </c>
      <c r="T2472" s="8">
        <v>20.468</v>
      </c>
      <c r="U2472" s="8">
        <v>15.349</v>
      </c>
      <c r="V2472" s="8">
        <v>12.404999999999999</v>
      </c>
      <c r="W2472" s="8">
        <v>9.2509999999999994</v>
      </c>
      <c r="X2472" s="8">
        <v>5.8780000000000001</v>
      </c>
      <c r="Y2472" s="8">
        <v>3.4860000000000002</v>
      </c>
      <c r="Z2472" s="8">
        <v>1.276</v>
      </c>
      <c r="AA2472" s="8">
        <v>0.32200000000000001</v>
      </c>
      <c r="AB2472" s="8">
        <v>4.4999999999999998E-2</v>
      </c>
      <c r="AC2472" s="8">
        <v>3.0000000000000001E-3</v>
      </c>
    </row>
    <row r="2473" spans="1:29" ht="11.65" x14ac:dyDescent="0.35">
      <c r="A2473" s="12">
        <v>2456</v>
      </c>
      <c r="B2473" s="10" t="s">
        <v>1015</v>
      </c>
      <c r="C2473" s="11" t="s">
        <v>1187</v>
      </c>
      <c r="D2473" s="9"/>
      <c r="E2473" s="9">
        <v>780</v>
      </c>
      <c r="F2473" s="10" t="s">
        <v>1066</v>
      </c>
      <c r="G2473" s="9">
        <v>915</v>
      </c>
      <c r="H2473" s="9">
        <v>2000</v>
      </c>
      <c r="I2473" s="8">
        <v>45.475999999999999</v>
      </c>
      <c r="J2473" s="8">
        <v>52.970999999999997</v>
      </c>
      <c r="K2473" s="8">
        <v>65.899000000000001</v>
      </c>
      <c r="L2473" s="8">
        <v>72.396000000000001</v>
      </c>
      <c r="M2473" s="8">
        <v>56.792999999999999</v>
      </c>
      <c r="N2473" s="8">
        <v>48.598999999999997</v>
      </c>
      <c r="O2473" s="8">
        <v>44.697000000000003</v>
      </c>
      <c r="P2473" s="8">
        <v>51.152999999999999</v>
      </c>
      <c r="Q2473" s="8">
        <v>44.975999999999999</v>
      </c>
      <c r="R2473" s="8">
        <v>38.69</v>
      </c>
      <c r="S2473" s="8">
        <v>31.213000000000001</v>
      </c>
      <c r="T2473" s="8">
        <v>24.533000000000001</v>
      </c>
      <c r="U2473" s="8">
        <v>18.363</v>
      </c>
      <c r="V2473" s="8">
        <v>13.074999999999999</v>
      </c>
      <c r="W2473" s="8">
        <v>9.8010000000000002</v>
      </c>
      <c r="X2473" s="8">
        <v>6.46</v>
      </c>
      <c r="Y2473" s="8">
        <v>3.544</v>
      </c>
      <c r="Z2473" s="8">
        <v>1.62</v>
      </c>
      <c r="AA2473" s="8">
        <v>0.41199999999999998</v>
      </c>
      <c r="AB2473" s="8">
        <v>6.6000000000000003E-2</v>
      </c>
      <c r="AC2473" s="8">
        <v>6.0000000000000001E-3</v>
      </c>
    </row>
    <row r="2474" spans="1:29" ht="11.65" x14ac:dyDescent="0.35">
      <c r="A2474" s="12">
        <v>2457</v>
      </c>
      <c r="B2474" s="10" t="s">
        <v>1015</v>
      </c>
      <c r="C2474" s="11" t="s">
        <v>1187</v>
      </c>
      <c r="D2474" s="9"/>
      <c r="E2474" s="9">
        <v>780</v>
      </c>
      <c r="F2474" s="10" t="s">
        <v>1066</v>
      </c>
      <c r="G2474" s="9">
        <v>915</v>
      </c>
      <c r="H2474" s="9">
        <v>2005</v>
      </c>
      <c r="I2474" s="8">
        <v>46.414000000000001</v>
      </c>
      <c r="J2474" s="8">
        <v>44.795999999999999</v>
      </c>
      <c r="K2474" s="8">
        <v>52.354999999999997</v>
      </c>
      <c r="L2474" s="8">
        <v>63.985999999999997</v>
      </c>
      <c r="M2474" s="8">
        <v>68.445999999999998</v>
      </c>
      <c r="N2474" s="8">
        <v>53.195</v>
      </c>
      <c r="O2474" s="8">
        <v>47.447000000000003</v>
      </c>
      <c r="P2474" s="8">
        <v>43.715000000000003</v>
      </c>
      <c r="Q2474" s="8">
        <v>50.246000000000002</v>
      </c>
      <c r="R2474" s="8">
        <v>43.929000000000002</v>
      </c>
      <c r="S2474" s="8">
        <v>37.262</v>
      </c>
      <c r="T2474" s="8">
        <v>29.216999999999999</v>
      </c>
      <c r="U2474" s="8">
        <v>22.361000000000001</v>
      </c>
      <c r="V2474" s="8">
        <v>15.893000000000001</v>
      </c>
      <c r="W2474" s="8">
        <v>10.547000000000001</v>
      </c>
      <c r="X2474" s="8">
        <v>6.9989999999999997</v>
      </c>
      <c r="Y2474" s="8">
        <v>4.0179999999999998</v>
      </c>
      <c r="Z2474" s="8">
        <v>1.746</v>
      </c>
      <c r="AA2474" s="8">
        <v>0.56799999999999995</v>
      </c>
      <c r="AB2474" s="8">
        <v>9.4E-2</v>
      </c>
      <c r="AC2474" s="8">
        <v>0.01</v>
      </c>
    </row>
    <row r="2475" spans="1:29" ht="11.65" x14ac:dyDescent="0.35">
      <c r="A2475" s="12">
        <v>2458</v>
      </c>
      <c r="B2475" s="10" t="s">
        <v>1015</v>
      </c>
      <c r="C2475" s="11" t="s">
        <v>1187</v>
      </c>
      <c r="D2475" s="9"/>
      <c r="E2475" s="9">
        <v>780</v>
      </c>
      <c r="F2475" s="10" t="s">
        <v>1066</v>
      </c>
      <c r="G2475" s="9">
        <v>915</v>
      </c>
      <c r="H2475" s="9">
        <v>2010</v>
      </c>
      <c r="I2475" s="8">
        <v>49.268000000000001</v>
      </c>
      <c r="J2475" s="8">
        <v>45.866999999999997</v>
      </c>
      <c r="K2475" s="8">
        <v>44.368000000000002</v>
      </c>
      <c r="L2475" s="8">
        <v>50.503999999999998</v>
      </c>
      <c r="M2475" s="8">
        <v>60.444000000000003</v>
      </c>
      <c r="N2475" s="8">
        <v>64.525999999999996</v>
      </c>
      <c r="O2475" s="8">
        <v>52.142000000000003</v>
      </c>
      <c r="P2475" s="8">
        <v>46.518999999999998</v>
      </c>
      <c r="Q2475" s="8">
        <v>43.043999999999997</v>
      </c>
      <c r="R2475" s="8">
        <v>49.161999999999999</v>
      </c>
      <c r="S2475" s="8">
        <v>42.448999999999998</v>
      </c>
      <c r="T2475" s="8">
        <v>35.006</v>
      </c>
      <c r="U2475" s="8">
        <v>26.803999999999998</v>
      </c>
      <c r="V2475" s="8">
        <v>19.527999999999999</v>
      </c>
      <c r="W2475" s="8">
        <v>12.994</v>
      </c>
      <c r="X2475" s="8">
        <v>7.7370000000000001</v>
      </c>
      <c r="Y2475" s="8">
        <v>4.5250000000000004</v>
      </c>
      <c r="Z2475" s="8">
        <v>2.0659999999999998</v>
      </c>
      <c r="AA2475" s="8">
        <v>0.65</v>
      </c>
      <c r="AB2475" s="8">
        <v>0.14000000000000001</v>
      </c>
      <c r="AC2475" s="8">
        <v>1.4999999999999999E-2</v>
      </c>
    </row>
    <row r="2476" spans="1:29" ht="11.65" x14ac:dyDescent="0.35">
      <c r="A2476" s="12">
        <v>2459</v>
      </c>
      <c r="B2476" s="10" t="s">
        <v>1015</v>
      </c>
      <c r="C2476" s="11" t="s">
        <v>1187</v>
      </c>
      <c r="D2476" s="9"/>
      <c r="E2476" s="9">
        <v>780</v>
      </c>
      <c r="F2476" s="10" t="s">
        <v>1066</v>
      </c>
      <c r="G2476" s="9">
        <v>915</v>
      </c>
      <c r="H2476" s="9">
        <v>2015</v>
      </c>
      <c r="I2476" s="8">
        <v>49.052</v>
      </c>
      <c r="J2476" s="8">
        <v>49.003999999999998</v>
      </c>
      <c r="K2476" s="8">
        <v>45.691000000000003</v>
      </c>
      <c r="L2476" s="8">
        <v>43.972000000000001</v>
      </c>
      <c r="M2476" s="8">
        <v>49.744</v>
      </c>
      <c r="N2476" s="8">
        <v>59.564999999999998</v>
      </c>
      <c r="O2476" s="8">
        <v>63.670999999999999</v>
      </c>
      <c r="P2476" s="8">
        <v>51.377000000000002</v>
      </c>
      <c r="Q2476" s="8">
        <v>45.686</v>
      </c>
      <c r="R2476" s="8">
        <v>41.981999999999999</v>
      </c>
      <c r="S2476" s="8">
        <v>47.344999999999999</v>
      </c>
      <c r="T2476" s="8">
        <v>39.975000000000001</v>
      </c>
      <c r="U2476" s="8">
        <v>32.055</v>
      </c>
      <c r="V2476" s="8">
        <v>23.782</v>
      </c>
      <c r="W2476" s="8">
        <v>16.48</v>
      </c>
      <c r="X2476" s="8">
        <v>9.9740000000000002</v>
      </c>
      <c r="Y2476" s="8">
        <v>5.0679999999999996</v>
      </c>
      <c r="Z2476" s="8">
        <v>2.343</v>
      </c>
      <c r="AA2476" s="8">
        <v>0.76900000000000002</v>
      </c>
      <c r="AB2476" s="8">
        <v>0.159</v>
      </c>
      <c r="AC2476" s="8">
        <v>2.3E-2</v>
      </c>
    </row>
    <row r="2477" spans="1:29" ht="11.65" x14ac:dyDescent="0.35">
      <c r="A2477" s="12">
        <v>2460</v>
      </c>
      <c r="B2477" s="10" t="s">
        <v>1015</v>
      </c>
      <c r="C2477" s="11" t="s">
        <v>1187</v>
      </c>
      <c r="D2477" s="9"/>
      <c r="E2477" s="9">
        <v>780</v>
      </c>
      <c r="F2477" s="10" t="s">
        <v>1066</v>
      </c>
      <c r="G2477" s="9">
        <v>915</v>
      </c>
      <c r="H2477" s="9">
        <v>2020</v>
      </c>
      <c r="I2477" s="8">
        <v>44.905000000000001</v>
      </c>
      <c r="J2477" s="8">
        <v>48.795000000000002</v>
      </c>
      <c r="K2477" s="8">
        <v>48.834000000000003</v>
      </c>
      <c r="L2477" s="8">
        <v>45.302999999999997</v>
      </c>
      <c r="M2477" s="8">
        <v>43.277000000000001</v>
      </c>
      <c r="N2477" s="8">
        <v>48.973999999999997</v>
      </c>
      <c r="O2477" s="8">
        <v>58.774999999999999</v>
      </c>
      <c r="P2477" s="8">
        <v>62.801000000000002</v>
      </c>
      <c r="Q2477" s="8">
        <v>50.491999999999997</v>
      </c>
      <c r="R2477" s="8">
        <v>44.587000000000003</v>
      </c>
      <c r="S2477" s="8">
        <v>40.451999999999998</v>
      </c>
      <c r="T2477" s="8">
        <v>44.637</v>
      </c>
      <c r="U2477" s="8">
        <v>36.701000000000001</v>
      </c>
      <c r="V2477" s="8">
        <v>28.619</v>
      </c>
      <c r="W2477" s="8">
        <v>20.300999999999998</v>
      </c>
      <c r="X2477" s="8">
        <v>12.885</v>
      </c>
      <c r="Y2477" s="8">
        <v>6.7169999999999996</v>
      </c>
      <c r="Z2477" s="8">
        <v>2.7330000000000001</v>
      </c>
      <c r="AA2477" s="8">
        <v>0.92500000000000004</v>
      </c>
      <c r="AB2477" s="8">
        <v>0.20499999999999999</v>
      </c>
      <c r="AC2477" s="8">
        <v>2.9000000000000001E-2</v>
      </c>
    </row>
    <row r="2478" spans="1:29" ht="11.65" x14ac:dyDescent="0.35">
      <c r="A2478" s="12">
        <v>2461</v>
      </c>
      <c r="B2478" s="10" t="s">
        <v>1015</v>
      </c>
      <c r="C2478" s="11" t="s">
        <v>1188</v>
      </c>
      <c r="D2478" s="9">
        <v>14</v>
      </c>
      <c r="E2478" s="9">
        <v>850</v>
      </c>
      <c r="F2478" s="10" t="s">
        <v>1066</v>
      </c>
      <c r="G2478" s="9">
        <v>915</v>
      </c>
      <c r="H2478" s="9">
        <v>1950</v>
      </c>
      <c r="I2478" s="8">
        <v>1.9590000000000001</v>
      </c>
      <c r="J2478" s="8">
        <v>1.823</v>
      </c>
      <c r="K2478" s="8">
        <v>1.4830000000000001</v>
      </c>
      <c r="L2478" s="8">
        <v>1.1579999999999999</v>
      </c>
      <c r="M2478" s="8">
        <v>0.84499999999999997</v>
      </c>
      <c r="N2478" s="8">
        <v>0.89400000000000002</v>
      </c>
      <c r="O2478" s="8">
        <v>0.90700000000000003</v>
      </c>
      <c r="P2478" s="8">
        <v>0.77</v>
      </c>
      <c r="Q2478" s="8">
        <v>0.59199999999999997</v>
      </c>
      <c r="R2478" s="8">
        <v>0.58199999999999996</v>
      </c>
      <c r="S2478" s="8">
        <v>0.47299999999999998</v>
      </c>
      <c r="T2478" s="8">
        <v>0.42699999999999999</v>
      </c>
      <c r="U2478" s="8">
        <v>0.41599999999999998</v>
      </c>
      <c r="V2478" s="8">
        <v>0.32900000000000001</v>
      </c>
      <c r="W2478" s="8">
        <v>0.24399999999999999</v>
      </c>
      <c r="X2478" s="8">
        <v>0.13400000000000001</v>
      </c>
      <c r="Y2478" s="8">
        <v>7.0000000000000007E-2</v>
      </c>
      <c r="Z2478" s="8">
        <v>2.5999999999999999E-2</v>
      </c>
      <c r="AA2478" s="8">
        <v>7.0000000000000001E-3</v>
      </c>
      <c r="AB2478" s="8">
        <v>0</v>
      </c>
      <c r="AC2478" s="8">
        <v>0</v>
      </c>
    </row>
    <row r="2479" spans="1:29" ht="11.65" x14ac:dyDescent="0.35">
      <c r="A2479" s="12">
        <v>2462</v>
      </c>
      <c r="B2479" s="10" t="s">
        <v>1015</v>
      </c>
      <c r="C2479" s="11" t="s">
        <v>1188</v>
      </c>
      <c r="D2479" s="9">
        <v>14</v>
      </c>
      <c r="E2479" s="9">
        <v>850</v>
      </c>
      <c r="F2479" s="10" t="s">
        <v>1066</v>
      </c>
      <c r="G2479" s="9">
        <v>915</v>
      </c>
      <c r="H2479" s="9">
        <v>1955</v>
      </c>
      <c r="I2479" s="8">
        <v>2.411</v>
      </c>
      <c r="J2479" s="8">
        <v>1.819</v>
      </c>
      <c r="K2479" s="8">
        <v>1.712</v>
      </c>
      <c r="L2479" s="8">
        <v>1.2829999999999999</v>
      </c>
      <c r="M2479" s="8">
        <v>1.0049999999999999</v>
      </c>
      <c r="N2479" s="8">
        <v>0.84899999999999998</v>
      </c>
      <c r="O2479" s="8">
        <v>0.92800000000000005</v>
      </c>
      <c r="P2479" s="8">
        <v>0.88900000000000001</v>
      </c>
      <c r="Q2479" s="8">
        <v>0.78300000000000003</v>
      </c>
      <c r="R2479" s="8">
        <v>0.63</v>
      </c>
      <c r="S2479" s="8">
        <v>0.57299999999999995</v>
      </c>
      <c r="T2479" s="8">
        <v>0.443</v>
      </c>
      <c r="U2479" s="8">
        <v>0.41399999999999998</v>
      </c>
      <c r="V2479" s="8">
        <v>0.39100000000000001</v>
      </c>
      <c r="W2479" s="8">
        <v>0.28599999999999998</v>
      </c>
      <c r="X2479" s="8">
        <v>0.18</v>
      </c>
      <c r="Y2479" s="8">
        <v>8.3000000000000004E-2</v>
      </c>
      <c r="Z2479" s="8">
        <v>2.7E-2</v>
      </c>
      <c r="AA2479" s="8">
        <v>6.0000000000000001E-3</v>
      </c>
      <c r="AB2479" s="8">
        <v>0</v>
      </c>
      <c r="AC2479" s="8">
        <v>0</v>
      </c>
    </row>
    <row r="2480" spans="1:29" ht="11.65" x14ac:dyDescent="0.35">
      <c r="A2480" s="12">
        <v>2463</v>
      </c>
      <c r="B2480" s="10" t="s">
        <v>1015</v>
      </c>
      <c r="C2480" s="11" t="s">
        <v>1188</v>
      </c>
      <c r="D2480" s="9">
        <v>14</v>
      </c>
      <c r="E2480" s="9">
        <v>850</v>
      </c>
      <c r="F2480" s="10" t="s">
        <v>1066</v>
      </c>
      <c r="G2480" s="9">
        <v>915</v>
      </c>
      <c r="H2480" s="9">
        <v>1960</v>
      </c>
      <c r="I2480" s="8">
        <v>2.6269999999999998</v>
      </c>
      <c r="J2480" s="8">
        <v>2.093</v>
      </c>
      <c r="K2480" s="8">
        <v>1.7030000000000001</v>
      </c>
      <c r="L2480" s="8">
        <v>1.603</v>
      </c>
      <c r="M2480" s="8">
        <v>1.1339999999999999</v>
      </c>
      <c r="N2480" s="8">
        <v>0.95599999999999996</v>
      </c>
      <c r="O2480" s="8">
        <v>0.91200000000000003</v>
      </c>
      <c r="P2480" s="8">
        <v>0.98799999999999999</v>
      </c>
      <c r="Q2480" s="8">
        <v>0.89600000000000002</v>
      </c>
      <c r="R2480" s="8">
        <v>0.79300000000000004</v>
      </c>
      <c r="S2480" s="8">
        <v>0.65700000000000003</v>
      </c>
      <c r="T2480" s="8">
        <v>0.55700000000000005</v>
      </c>
      <c r="U2480" s="8">
        <v>0.39900000000000002</v>
      </c>
      <c r="V2480" s="8">
        <v>0.38600000000000001</v>
      </c>
      <c r="W2480" s="8">
        <v>0.34399999999999997</v>
      </c>
      <c r="X2480" s="8">
        <v>0.22600000000000001</v>
      </c>
      <c r="Y2480" s="8">
        <v>0.115</v>
      </c>
      <c r="Z2480" s="8">
        <v>3.3000000000000002E-2</v>
      </c>
      <c r="AA2480" s="8">
        <v>6.0000000000000001E-3</v>
      </c>
      <c r="AB2480" s="8">
        <v>0</v>
      </c>
      <c r="AC2480" s="8">
        <v>0</v>
      </c>
    </row>
    <row r="2481" spans="1:29" ht="11.65" x14ac:dyDescent="0.35">
      <c r="A2481" s="12">
        <v>2464</v>
      </c>
      <c r="B2481" s="10" t="s">
        <v>1015</v>
      </c>
      <c r="C2481" s="11" t="s">
        <v>1188</v>
      </c>
      <c r="D2481" s="9">
        <v>14</v>
      </c>
      <c r="E2481" s="9">
        <v>850</v>
      </c>
      <c r="F2481" s="10" t="s">
        <v>1066</v>
      </c>
      <c r="G2481" s="9">
        <v>915</v>
      </c>
      <c r="H2481" s="9">
        <v>1965</v>
      </c>
      <c r="I2481" s="8">
        <v>4.5339999999999998</v>
      </c>
      <c r="J2481" s="8">
        <v>3.1930000000000001</v>
      </c>
      <c r="K2481" s="8">
        <v>2.4279999999999999</v>
      </c>
      <c r="L2481" s="8">
        <v>2.2210000000000001</v>
      </c>
      <c r="M2481" s="8">
        <v>2.4740000000000002</v>
      </c>
      <c r="N2481" s="8">
        <v>1.9530000000000001</v>
      </c>
      <c r="O2481" s="8">
        <v>1.55</v>
      </c>
      <c r="P2481" s="8">
        <v>1.2929999999999999</v>
      </c>
      <c r="Q2481" s="8">
        <v>1.2270000000000001</v>
      </c>
      <c r="R2481" s="8">
        <v>1.054</v>
      </c>
      <c r="S2481" s="8">
        <v>0.88900000000000001</v>
      </c>
      <c r="T2481" s="8">
        <v>0.67900000000000005</v>
      </c>
      <c r="U2481" s="8">
        <v>0.53100000000000003</v>
      </c>
      <c r="V2481" s="8">
        <v>0.36599999999999999</v>
      </c>
      <c r="W2481" s="8">
        <v>0.315</v>
      </c>
      <c r="X2481" s="8">
        <v>0.23300000000000001</v>
      </c>
      <c r="Y2481" s="8">
        <v>0.128</v>
      </c>
      <c r="Z2481" s="8">
        <v>4.3999999999999997E-2</v>
      </c>
      <c r="AA2481" s="8">
        <v>8.0000000000000002E-3</v>
      </c>
      <c r="AB2481" s="8">
        <v>0</v>
      </c>
      <c r="AC2481" s="8">
        <v>0</v>
      </c>
    </row>
    <row r="2482" spans="1:29" ht="11.65" x14ac:dyDescent="0.35">
      <c r="A2482" s="12">
        <v>2465</v>
      </c>
      <c r="B2482" s="10" t="s">
        <v>1015</v>
      </c>
      <c r="C2482" s="11" t="s">
        <v>1188</v>
      </c>
      <c r="D2482" s="9">
        <v>14</v>
      </c>
      <c r="E2482" s="9">
        <v>850</v>
      </c>
      <c r="F2482" s="10" t="s">
        <v>1066</v>
      </c>
      <c r="G2482" s="9">
        <v>915</v>
      </c>
      <c r="H2482" s="9">
        <v>1970</v>
      </c>
      <c r="I2482" s="8">
        <v>4.423</v>
      </c>
      <c r="J2482" s="8">
        <v>3.7629999999999999</v>
      </c>
      <c r="K2482" s="8">
        <v>3.41</v>
      </c>
      <c r="L2482" s="8">
        <v>2.4769999999999999</v>
      </c>
      <c r="M2482" s="8">
        <v>3.1219999999999999</v>
      </c>
      <c r="N2482" s="8">
        <v>3.1379999999999999</v>
      </c>
      <c r="O2482" s="8">
        <v>2.911</v>
      </c>
      <c r="P2482" s="8">
        <v>1.9350000000000001</v>
      </c>
      <c r="Q2482" s="8">
        <v>1.6639999999999999</v>
      </c>
      <c r="R2482" s="8">
        <v>1.452</v>
      </c>
      <c r="S2482" s="8">
        <v>1.1919999999999999</v>
      </c>
      <c r="T2482" s="8">
        <v>0.96499999999999997</v>
      </c>
      <c r="U2482" s="8">
        <v>0.67800000000000005</v>
      </c>
      <c r="V2482" s="8">
        <v>0.48499999999999999</v>
      </c>
      <c r="W2482" s="8">
        <v>0.314</v>
      </c>
      <c r="X2482" s="8">
        <v>0.22700000000000001</v>
      </c>
      <c r="Y2482" s="8">
        <v>0.13100000000000001</v>
      </c>
      <c r="Z2482" s="8">
        <v>5.1999999999999998E-2</v>
      </c>
      <c r="AA2482" s="8">
        <v>1.0999999999999999E-2</v>
      </c>
      <c r="AB2482" s="8">
        <v>0</v>
      </c>
      <c r="AC2482" s="8">
        <v>0</v>
      </c>
    </row>
    <row r="2483" spans="1:29" ht="11.65" x14ac:dyDescent="0.35">
      <c r="A2483" s="12">
        <v>2466</v>
      </c>
      <c r="B2483" s="10" t="s">
        <v>1015</v>
      </c>
      <c r="C2483" s="11" t="s">
        <v>1188</v>
      </c>
      <c r="D2483" s="9">
        <v>14</v>
      </c>
      <c r="E2483" s="9">
        <v>850</v>
      </c>
      <c r="F2483" s="10" t="s">
        <v>1066</v>
      </c>
      <c r="G2483" s="9">
        <v>915</v>
      </c>
      <c r="H2483" s="9">
        <v>1975</v>
      </c>
      <c r="I2483" s="8">
        <v>7.9580000000000002</v>
      </c>
      <c r="J2483" s="8">
        <v>5.3609999999999998</v>
      </c>
      <c r="K2483" s="8">
        <v>4.7430000000000003</v>
      </c>
      <c r="L2483" s="8">
        <v>3.351</v>
      </c>
      <c r="M2483" s="8">
        <v>2.3109999999999999</v>
      </c>
      <c r="N2483" s="8">
        <v>3.4830000000000001</v>
      </c>
      <c r="O2483" s="8">
        <v>3.3929999999999998</v>
      </c>
      <c r="P2483" s="8">
        <v>2.8319999999999999</v>
      </c>
      <c r="Q2483" s="8">
        <v>1.87</v>
      </c>
      <c r="R2483" s="8">
        <v>1.7230000000000001</v>
      </c>
      <c r="S2483" s="8">
        <v>1.4850000000000001</v>
      </c>
      <c r="T2483" s="8">
        <v>1.2609999999999999</v>
      </c>
      <c r="U2483" s="8">
        <v>1.0269999999999999</v>
      </c>
      <c r="V2483" s="8">
        <v>0.68799999999999994</v>
      </c>
      <c r="W2483" s="8">
        <v>0.44700000000000001</v>
      </c>
      <c r="X2483" s="8">
        <v>0.247</v>
      </c>
      <c r="Y2483" s="8">
        <v>0.153</v>
      </c>
      <c r="Z2483" s="8">
        <v>5.2999999999999999E-2</v>
      </c>
      <c r="AA2483" s="8">
        <v>1.2999999999999999E-2</v>
      </c>
      <c r="AB2483" s="8">
        <v>0</v>
      </c>
      <c r="AC2483" s="8">
        <v>0</v>
      </c>
    </row>
    <row r="2484" spans="1:29" ht="11.65" x14ac:dyDescent="0.35">
      <c r="A2484" s="12">
        <v>2467</v>
      </c>
      <c r="B2484" s="10" t="s">
        <v>1015</v>
      </c>
      <c r="C2484" s="11" t="s">
        <v>1188</v>
      </c>
      <c r="D2484" s="9">
        <v>14</v>
      </c>
      <c r="E2484" s="9">
        <v>850</v>
      </c>
      <c r="F2484" s="10" t="s">
        <v>1066</v>
      </c>
      <c r="G2484" s="9">
        <v>915</v>
      </c>
      <c r="H2484" s="9">
        <v>1980</v>
      </c>
      <c r="I2484" s="8">
        <v>5.51</v>
      </c>
      <c r="J2484" s="8">
        <v>5.7489999999999997</v>
      </c>
      <c r="K2484" s="8">
        <v>6.6130000000000004</v>
      </c>
      <c r="L2484" s="8">
        <v>5.468</v>
      </c>
      <c r="M2484" s="8">
        <v>3.0379999999999998</v>
      </c>
      <c r="N2484" s="8">
        <v>2.6949999999999998</v>
      </c>
      <c r="O2484" s="8">
        <v>4.0510000000000002</v>
      </c>
      <c r="P2484" s="8">
        <v>3.3079999999999998</v>
      </c>
      <c r="Q2484" s="8">
        <v>2.7480000000000002</v>
      </c>
      <c r="R2484" s="8">
        <v>1.7949999999999999</v>
      </c>
      <c r="S2484" s="8">
        <v>1.76</v>
      </c>
      <c r="T2484" s="8">
        <v>1.49</v>
      </c>
      <c r="U2484" s="8">
        <v>1.2889999999999999</v>
      </c>
      <c r="V2484" s="8">
        <v>1.0389999999999999</v>
      </c>
      <c r="W2484" s="8">
        <v>0.65100000000000002</v>
      </c>
      <c r="X2484" s="8">
        <v>0.373</v>
      </c>
      <c r="Y2484" s="8">
        <v>0.16900000000000001</v>
      </c>
      <c r="Z2484" s="8">
        <v>6.3E-2</v>
      </c>
      <c r="AA2484" s="8">
        <v>1.4E-2</v>
      </c>
      <c r="AB2484" s="8">
        <v>2E-3</v>
      </c>
      <c r="AC2484" s="8">
        <v>0</v>
      </c>
    </row>
    <row r="2485" spans="1:29" ht="11.65" x14ac:dyDescent="0.35">
      <c r="A2485" s="12">
        <v>2468</v>
      </c>
      <c r="B2485" s="10" t="s">
        <v>1015</v>
      </c>
      <c r="C2485" s="11" t="s">
        <v>1188</v>
      </c>
      <c r="D2485" s="9">
        <v>14</v>
      </c>
      <c r="E2485" s="9">
        <v>850</v>
      </c>
      <c r="F2485" s="10" t="s">
        <v>1066</v>
      </c>
      <c r="G2485" s="9">
        <v>915</v>
      </c>
      <c r="H2485" s="9">
        <v>1985</v>
      </c>
      <c r="I2485" s="8">
        <v>7.3010000000000002</v>
      </c>
      <c r="J2485" s="8">
        <v>5.0739999999999998</v>
      </c>
      <c r="K2485" s="8">
        <v>5.5730000000000004</v>
      </c>
      <c r="L2485" s="8">
        <v>5.2370000000000001</v>
      </c>
      <c r="M2485" s="8">
        <v>4.0739999999999998</v>
      </c>
      <c r="N2485" s="8">
        <v>3.0750000000000002</v>
      </c>
      <c r="O2485" s="8">
        <v>3.14</v>
      </c>
      <c r="P2485" s="8">
        <v>3.9889999999999999</v>
      </c>
      <c r="Q2485" s="8">
        <v>3.2589999999999999</v>
      </c>
      <c r="R2485" s="8">
        <v>2.7890000000000001</v>
      </c>
      <c r="S2485" s="8">
        <v>1.8560000000000001</v>
      </c>
      <c r="T2485" s="8">
        <v>1.802</v>
      </c>
      <c r="U2485" s="8">
        <v>1.4019999999999999</v>
      </c>
      <c r="V2485" s="8">
        <v>1.1519999999999999</v>
      </c>
      <c r="W2485" s="8">
        <v>0.84599999999999997</v>
      </c>
      <c r="X2485" s="8">
        <v>0.436</v>
      </c>
      <c r="Y2485" s="8">
        <v>0.219</v>
      </c>
      <c r="Z2485" s="8">
        <v>7.0999999999999994E-2</v>
      </c>
      <c r="AA2485" s="8">
        <v>1.4999999999999999E-2</v>
      </c>
      <c r="AB2485" s="8">
        <v>2E-3</v>
      </c>
      <c r="AC2485" s="8">
        <v>0</v>
      </c>
    </row>
    <row r="2486" spans="1:29" ht="11.65" x14ac:dyDescent="0.35">
      <c r="A2486" s="12">
        <v>2469</v>
      </c>
      <c r="B2486" s="10" t="s">
        <v>1015</v>
      </c>
      <c r="C2486" s="11" t="s">
        <v>1188</v>
      </c>
      <c r="D2486" s="9">
        <v>14</v>
      </c>
      <c r="E2486" s="9">
        <v>850</v>
      </c>
      <c r="F2486" s="10" t="s">
        <v>1066</v>
      </c>
      <c r="G2486" s="9">
        <v>915</v>
      </c>
      <c r="H2486" s="9">
        <v>1990</v>
      </c>
      <c r="I2486" s="8">
        <v>4.8159999999999998</v>
      </c>
      <c r="J2486" s="8">
        <v>5.12</v>
      </c>
      <c r="K2486" s="8">
        <v>5.1509999999999998</v>
      </c>
      <c r="L2486" s="8">
        <v>5.0049999999999999</v>
      </c>
      <c r="M2486" s="8">
        <v>3.52</v>
      </c>
      <c r="N2486" s="8">
        <v>3.4870000000000001</v>
      </c>
      <c r="O2486" s="8">
        <v>3.4620000000000002</v>
      </c>
      <c r="P2486" s="8">
        <v>3.1</v>
      </c>
      <c r="Q2486" s="8">
        <v>3.7410000000000001</v>
      </c>
      <c r="R2486" s="8">
        <v>3.5830000000000002</v>
      </c>
      <c r="S2486" s="8">
        <v>2.8090000000000002</v>
      </c>
      <c r="T2486" s="8">
        <v>1.89</v>
      </c>
      <c r="U2486" s="8">
        <v>1.798</v>
      </c>
      <c r="V2486" s="8">
        <v>1.27</v>
      </c>
      <c r="W2486" s="8">
        <v>0.96499999999999997</v>
      </c>
      <c r="X2486" s="8">
        <v>0.61599999999999999</v>
      </c>
      <c r="Y2486" s="8">
        <v>0.214</v>
      </c>
      <c r="Z2486" s="8">
        <v>9.4E-2</v>
      </c>
      <c r="AA2486" s="8">
        <v>1.7999999999999999E-2</v>
      </c>
      <c r="AB2486" s="8">
        <v>2E-3</v>
      </c>
      <c r="AC2486" s="8">
        <v>0</v>
      </c>
    </row>
    <row r="2487" spans="1:29" ht="11.65" x14ac:dyDescent="0.35">
      <c r="A2487" s="12">
        <v>2470</v>
      </c>
      <c r="B2487" s="10" t="s">
        <v>1015</v>
      </c>
      <c r="C2487" s="11" t="s">
        <v>1188</v>
      </c>
      <c r="D2487" s="9">
        <v>14</v>
      </c>
      <c r="E2487" s="9">
        <v>850</v>
      </c>
      <c r="F2487" s="10" t="s">
        <v>1066</v>
      </c>
      <c r="G2487" s="9">
        <v>915</v>
      </c>
      <c r="H2487" s="9">
        <v>1995</v>
      </c>
      <c r="I2487" s="8">
        <v>5.8739999999999997</v>
      </c>
      <c r="J2487" s="8">
        <v>4.2530000000000001</v>
      </c>
      <c r="K2487" s="8">
        <v>4.5919999999999996</v>
      </c>
      <c r="L2487" s="8">
        <v>4.0359999999999996</v>
      </c>
      <c r="M2487" s="8">
        <v>3.7149999999999999</v>
      </c>
      <c r="N2487" s="8">
        <v>3.2080000000000002</v>
      </c>
      <c r="O2487" s="8">
        <v>3.7469999999999999</v>
      </c>
      <c r="P2487" s="8">
        <v>3.6110000000000002</v>
      </c>
      <c r="Q2487" s="8">
        <v>3.2360000000000002</v>
      </c>
      <c r="R2487" s="8">
        <v>3.835</v>
      </c>
      <c r="S2487" s="8">
        <v>3.573</v>
      </c>
      <c r="T2487" s="8">
        <v>2.6669999999999998</v>
      </c>
      <c r="U2487" s="8">
        <v>1.788</v>
      </c>
      <c r="V2487" s="8">
        <v>1.611</v>
      </c>
      <c r="W2487" s="8">
        <v>1.02</v>
      </c>
      <c r="X2487" s="8">
        <v>0.70899999999999996</v>
      </c>
      <c r="Y2487" s="8">
        <v>0.41299999999999998</v>
      </c>
      <c r="Z2487" s="8">
        <v>9.6000000000000002E-2</v>
      </c>
      <c r="AA2487" s="8">
        <v>2.5999999999999999E-2</v>
      </c>
      <c r="AB2487" s="8">
        <v>3.0000000000000001E-3</v>
      </c>
      <c r="AC2487" s="8">
        <v>0</v>
      </c>
    </row>
    <row r="2488" spans="1:29" ht="11.65" x14ac:dyDescent="0.35">
      <c r="A2488" s="12">
        <v>2471</v>
      </c>
      <c r="B2488" s="10" t="s">
        <v>1015</v>
      </c>
      <c r="C2488" s="11" t="s">
        <v>1188</v>
      </c>
      <c r="D2488" s="9">
        <v>14</v>
      </c>
      <c r="E2488" s="9">
        <v>850</v>
      </c>
      <c r="F2488" s="10" t="s">
        <v>1066</v>
      </c>
      <c r="G2488" s="9">
        <v>915</v>
      </c>
      <c r="H2488" s="9">
        <v>2000</v>
      </c>
      <c r="I2488" s="8">
        <v>4.3550000000000004</v>
      </c>
      <c r="J2488" s="8">
        <v>5.0369999999999999</v>
      </c>
      <c r="K2488" s="8">
        <v>4.7789999999999999</v>
      </c>
      <c r="L2488" s="8">
        <v>4.2679999999999998</v>
      </c>
      <c r="M2488" s="8">
        <v>2.766</v>
      </c>
      <c r="N2488" s="8">
        <v>2.8519999999999999</v>
      </c>
      <c r="O2488" s="8">
        <v>3.3479999999999999</v>
      </c>
      <c r="P2488" s="8">
        <v>3.6509999999999998</v>
      </c>
      <c r="Q2488" s="8">
        <v>3.6949999999999998</v>
      </c>
      <c r="R2488" s="8">
        <v>3.4089999999999998</v>
      </c>
      <c r="S2488" s="8">
        <v>3.8660000000000001</v>
      </c>
      <c r="T2488" s="8">
        <v>3.4710000000000001</v>
      </c>
      <c r="U2488" s="8">
        <v>2.4750000000000001</v>
      </c>
      <c r="V2488" s="8">
        <v>1.724</v>
      </c>
      <c r="W2488" s="8">
        <v>1.29</v>
      </c>
      <c r="X2488" s="8">
        <v>0.77</v>
      </c>
      <c r="Y2488" s="8">
        <v>0.52200000000000002</v>
      </c>
      <c r="Z2488" s="8">
        <v>0.191</v>
      </c>
      <c r="AA2488" s="8">
        <v>2.8000000000000001E-2</v>
      </c>
      <c r="AB2488" s="8">
        <v>4.0000000000000001E-3</v>
      </c>
      <c r="AC2488" s="8">
        <v>0</v>
      </c>
    </row>
    <row r="2489" spans="1:29" ht="11.65" x14ac:dyDescent="0.35">
      <c r="A2489" s="12">
        <v>2472</v>
      </c>
      <c r="B2489" s="10" t="s">
        <v>1015</v>
      </c>
      <c r="C2489" s="11" t="s">
        <v>1188</v>
      </c>
      <c r="D2489" s="9">
        <v>14</v>
      </c>
      <c r="E2489" s="9">
        <v>850</v>
      </c>
      <c r="F2489" s="10" t="s">
        <v>1066</v>
      </c>
      <c r="G2489" s="9">
        <v>915</v>
      </c>
      <c r="H2489" s="9">
        <v>2005</v>
      </c>
      <c r="I2489" s="8">
        <v>3.8260000000000001</v>
      </c>
      <c r="J2489" s="8">
        <v>4.0759999999999996</v>
      </c>
      <c r="K2489" s="8">
        <v>4.4009999999999998</v>
      </c>
      <c r="L2489" s="8">
        <v>3.7269999999999999</v>
      </c>
      <c r="M2489" s="8">
        <v>3.468</v>
      </c>
      <c r="N2489" s="8">
        <v>2.79</v>
      </c>
      <c r="O2489" s="8">
        <v>2.9740000000000002</v>
      </c>
      <c r="P2489" s="8">
        <v>3.419</v>
      </c>
      <c r="Q2489" s="8">
        <v>3.6640000000000001</v>
      </c>
      <c r="R2489" s="8">
        <v>3.7749999999999999</v>
      </c>
      <c r="S2489" s="8">
        <v>3.395</v>
      </c>
      <c r="T2489" s="8">
        <v>3.7650000000000001</v>
      </c>
      <c r="U2489" s="8">
        <v>3.3079999999999998</v>
      </c>
      <c r="V2489" s="8">
        <v>2.2290000000000001</v>
      </c>
      <c r="W2489" s="8">
        <v>1.4710000000000001</v>
      </c>
      <c r="X2489" s="8">
        <v>0.99199999999999999</v>
      </c>
      <c r="Y2489" s="8">
        <v>0.495</v>
      </c>
      <c r="Z2489" s="8">
        <v>0.248</v>
      </c>
      <c r="AA2489" s="8">
        <v>5.8000000000000003E-2</v>
      </c>
      <c r="AB2489" s="8">
        <v>5.0000000000000001E-3</v>
      </c>
      <c r="AC2489" s="8">
        <v>0</v>
      </c>
    </row>
    <row r="2490" spans="1:29" ht="11.65" x14ac:dyDescent="0.35">
      <c r="A2490" s="12">
        <v>2473</v>
      </c>
      <c r="B2490" s="10" t="s">
        <v>1015</v>
      </c>
      <c r="C2490" s="11" t="s">
        <v>1188</v>
      </c>
      <c r="D2490" s="9">
        <v>14</v>
      </c>
      <c r="E2490" s="9">
        <v>850</v>
      </c>
      <c r="F2490" s="10" t="s">
        <v>1066</v>
      </c>
      <c r="G2490" s="9">
        <v>915</v>
      </c>
      <c r="H2490" s="9">
        <v>2010</v>
      </c>
      <c r="I2490" s="8">
        <v>3.6920000000000002</v>
      </c>
      <c r="J2490" s="8">
        <v>3.681</v>
      </c>
      <c r="K2490" s="8">
        <v>3.8279999999999998</v>
      </c>
      <c r="L2490" s="8">
        <v>3.7789999999999999</v>
      </c>
      <c r="M2490" s="8">
        <v>2.6840000000000002</v>
      </c>
      <c r="N2490" s="8">
        <v>2.653</v>
      </c>
      <c r="O2490" s="8">
        <v>2.819</v>
      </c>
      <c r="P2490" s="8">
        <v>3.129</v>
      </c>
      <c r="Q2490" s="8">
        <v>3.508</v>
      </c>
      <c r="R2490" s="8">
        <v>3.6789999999999998</v>
      </c>
      <c r="S2490" s="8">
        <v>3.8250000000000002</v>
      </c>
      <c r="T2490" s="8">
        <v>3.3439999999999999</v>
      </c>
      <c r="U2490" s="8">
        <v>3.51</v>
      </c>
      <c r="V2490" s="8">
        <v>2.9169999999999998</v>
      </c>
      <c r="W2490" s="8">
        <v>1.766</v>
      </c>
      <c r="X2490" s="8">
        <v>1.0509999999999999</v>
      </c>
      <c r="Y2490" s="8">
        <v>0.57199999999999995</v>
      </c>
      <c r="Z2490" s="8">
        <v>0.24299999999999999</v>
      </c>
      <c r="AA2490" s="8">
        <v>7.8E-2</v>
      </c>
      <c r="AB2490" s="8">
        <v>8.9999999999999993E-3</v>
      </c>
      <c r="AC2490" s="8">
        <v>0</v>
      </c>
    </row>
    <row r="2491" spans="1:29" ht="11.65" x14ac:dyDescent="0.35">
      <c r="A2491" s="12">
        <v>2474</v>
      </c>
      <c r="B2491" s="10" t="s">
        <v>1015</v>
      </c>
      <c r="C2491" s="11" t="s">
        <v>1188</v>
      </c>
      <c r="D2491" s="9">
        <v>14</v>
      </c>
      <c r="E2491" s="9">
        <v>850</v>
      </c>
      <c r="F2491" s="10" t="s">
        <v>1066</v>
      </c>
      <c r="G2491" s="9">
        <v>915</v>
      </c>
      <c r="H2491" s="9">
        <v>2015</v>
      </c>
      <c r="I2491" s="8">
        <v>3.585</v>
      </c>
      <c r="J2491" s="8">
        <v>3.625</v>
      </c>
      <c r="K2491" s="8">
        <v>3.633</v>
      </c>
      <c r="L2491" s="8">
        <v>3.589</v>
      </c>
      <c r="M2491" s="8">
        <v>3.3439999999999999</v>
      </c>
      <c r="N2491" s="8">
        <v>2.27</v>
      </c>
      <c r="O2491" s="8">
        <v>2.339</v>
      </c>
      <c r="P2491" s="8">
        <v>2.5979999999999999</v>
      </c>
      <c r="Q2491" s="8">
        <v>2.972</v>
      </c>
      <c r="R2491" s="8">
        <v>3.3849999999999998</v>
      </c>
      <c r="S2491" s="8">
        <v>3.5609999999999999</v>
      </c>
      <c r="T2491" s="8">
        <v>3.6829999999999998</v>
      </c>
      <c r="U2491" s="8">
        <v>3.165</v>
      </c>
      <c r="V2491" s="8">
        <v>3.2280000000000002</v>
      </c>
      <c r="W2491" s="8">
        <v>2.5390000000000001</v>
      </c>
      <c r="X2491" s="8">
        <v>1.399</v>
      </c>
      <c r="Y2491" s="8">
        <v>0.70499999999999996</v>
      </c>
      <c r="Z2491" s="8">
        <v>0.29399999999999998</v>
      </c>
      <c r="AA2491" s="8">
        <v>8.2000000000000003E-2</v>
      </c>
      <c r="AB2491" s="8">
        <v>1.4999999999999999E-2</v>
      </c>
      <c r="AC2491" s="8">
        <v>1E-3</v>
      </c>
    </row>
    <row r="2492" spans="1:29" ht="11.65" x14ac:dyDescent="0.35">
      <c r="A2492" s="12">
        <v>2475</v>
      </c>
      <c r="B2492" s="10" t="s">
        <v>1015</v>
      </c>
      <c r="C2492" s="11" t="s">
        <v>1188</v>
      </c>
      <c r="D2492" s="9">
        <v>14</v>
      </c>
      <c r="E2492" s="9">
        <v>850</v>
      </c>
      <c r="F2492" s="10" t="s">
        <v>1066</v>
      </c>
      <c r="G2492" s="9">
        <v>915</v>
      </c>
      <c r="H2492" s="9">
        <v>2020</v>
      </c>
      <c r="I2492" s="8">
        <v>3.073</v>
      </c>
      <c r="J2492" s="8">
        <v>3.552</v>
      </c>
      <c r="K2492" s="8">
        <v>3.6</v>
      </c>
      <c r="L2492" s="8">
        <v>3.5110000000000001</v>
      </c>
      <c r="M2492" s="8">
        <v>3.3690000000000002</v>
      </c>
      <c r="N2492" s="8">
        <v>3.1339999999999999</v>
      </c>
      <c r="O2492" s="8">
        <v>2.1120000000000001</v>
      </c>
      <c r="P2492" s="8">
        <v>2.2250000000000001</v>
      </c>
      <c r="Q2492" s="8">
        <v>2.516</v>
      </c>
      <c r="R2492" s="8">
        <v>2.9020000000000001</v>
      </c>
      <c r="S2492" s="8">
        <v>3.3079999999999998</v>
      </c>
      <c r="T2492" s="8">
        <v>3.4580000000000002</v>
      </c>
      <c r="U2492" s="8">
        <v>3.52</v>
      </c>
      <c r="V2492" s="8">
        <v>2.9409999999999998</v>
      </c>
      <c r="W2492" s="8">
        <v>2.8490000000000002</v>
      </c>
      <c r="X2492" s="8">
        <v>2.0550000000000002</v>
      </c>
      <c r="Y2492" s="8">
        <v>0.97199999999999998</v>
      </c>
      <c r="Z2492" s="8">
        <v>0.38100000000000001</v>
      </c>
      <c r="AA2492" s="8">
        <v>0.106</v>
      </c>
      <c r="AB2492" s="8">
        <v>1.4999999999999999E-2</v>
      </c>
      <c r="AC2492" s="8">
        <v>2E-3</v>
      </c>
    </row>
    <row r="2493" spans="1:29" ht="11.65" x14ac:dyDescent="0.35">
      <c r="A2493" s="23">
        <v>2476</v>
      </c>
      <c r="B2493" s="21" t="s">
        <v>1015</v>
      </c>
      <c r="C2493" s="29" t="s">
        <v>1189</v>
      </c>
      <c r="D2493" s="20"/>
      <c r="E2493" s="20">
        <v>916</v>
      </c>
      <c r="F2493" s="21" t="s">
        <v>1065</v>
      </c>
      <c r="G2493" s="20">
        <v>1830</v>
      </c>
      <c r="H2493" s="20">
        <v>1950</v>
      </c>
      <c r="I2493" s="19">
        <v>3344.7089999999998</v>
      </c>
      <c r="J2493" s="19">
        <v>2687.3829999999998</v>
      </c>
      <c r="K2493" s="19">
        <v>2219.3270000000002</v>
      </c>
      <c r="L2493" s="19">
        <v>1932.915</v>
      </c>
      <c r="M2493" s="19">
        <v>1670.971</v>
      </c>
      <c r="N2493" s="19">
        <v>1409.846</v>
      </c>
      <c r="O2493" s="19">
        <v>1089.443</v>
      </c>
      <c r="P2493" s="19">
        <v>991.11800000000005</v>
      </c>
      <c r="Q2493" s="19">
        <v>834.68200000000002</v>
      </c>
      <c r="R2493" s="19">
        <v>748.59500000000003</v>
      </c>
      <c r="S2493" s="19">
        <v>609.63499999999999</v>
      </c>
      <c r="T2493" s="19">
        <v>462.63400000000001</v>
      </c>
      <c r="U2493" s="19">
        <v>353.41</v>
      </c>
      <c r="V2493" s="19">
        <v>255.16200000000001</v>
      </c>
      <c r="W2493" s="19">
        <v>173.834</v>
      </c>
      <c r="X2493" s="19">
        <v>88.006</v>
      </c>
      <c r="Y2493" s="19">
        <v>56.3</v>
      </c>
      <c r="Z2493" s="19">
        <v>26.109000000000002</v>
      </c>
      <c r="AA2493" s="19">
        <v>9.1839999999999993</v>
      </c>
      <c r="AB2493" s="19">
        <v>2.58</v>
      </c>
      <c r="AC2493" s="19">
        <v>0.64</v>
      </c>
    </row>
    <row r="2494" spans="1:29" ht="11.65" x14ac:dyDescent="0.35">
      <c r="A2494" s="23">
        <v>2477</v>
      </c>
      <c r="B2494" s="21" t="s">
        <v>1015</v>
      </c>
      <c r="C2494" s="29" t="s">
        <v>1189</v>
      </c>
      <c r="D2494" s="20"/>
      <c r="E2494" s="20">
        <v>916</v>
      </c>
      <c r="F2494" s="21" t="s">
        <v>1065</v>
      </c>
      <c r="G2494" s="20">
        <v>1830</v>
      </c>
      <c r="H2494" s="20">
        <v>1955</v>
      </c>
      <c r="I2494" s="19">
        <v>4167.3590000000004</v>
      </c>
      <c r="J2494" s="19">
        <v>3121.3879999999999</v>
      </c>
      <c r="K2494" s="19">
        <v>2612.2649999999999</v>
      </c>
      <c r="L2494" s="19">
        <v>2145.9580000000001</v>
      </c>
      <c r="M2494" s="19">
        <v>1846.87</v>
      </c>
      <c r="N2494" s="19">
        <v>1592.7550000000001</v>
      </c>
      <c r="O2494" s="19">
        <v>1345.8589999999999</v>
      </c>
      <c r="P2494" s="19">
        <v>1040.875</v>
      </c>
      <c r="Q2494" s="19">
        <v>940.68499999999995</v>
      </c>
      <c r="R2494" s="19">
        <v>783.53499999999997</v>
      </c>
      <c r="S2494" s="19">
        <v>691.73500000000001</v>
      </c>
      <c r="T2494" s="19">
        <v>549.58000000000004</v>
      </c>
      <c r="U2494" s="19">
        <v>401.43200000000002</v>
      </c>
      <c r="V2494" s="19">
        <v>289.11700000000002</v>
      </c>
      <c r="W2494" s="19">
        <v>191.77699999999999</v>
      </c>
      <c r="X2494" s="19">
        <v>115.82299999999999</v>
      </c>
      <c r="Y2494" s="19">
        <v>45.713999999999999</v>
      </c>
      <c r="Z2494" s="19">
        <v>20.001999999999999</v>
      </c>
      <c r="AA2494" s="19">
        <v>6.1</v>
      </c>
      <c r="AB2494" s="19">
        <v>1.361</v>
      </c>
      <c r="AC2494" s="19">
        <v>0.28699999999999998</v>
      </c>
    </row>
    <row r="2495" spans="1:29" ht="11.65" x14ac:dyDescent="0.35">
      <c r="A2495" s="23">
        <v>2478</v>
      </c>
      <c r="B2495" s="21" t="s">
        <v>1015</v>
      </c>
      <c r="C2495" s="29" t="s">
        <v>1189</v>
      </c>
      <c r="D2495" s="20"/>
      <c r="E2495" s="20">
        <v>916</v>
      </c>
      <c r="F2495" s="21" t="s">
        <v>1065</v>
      </c>
      <c r="G2495" s="20">
        <v>1830</v>
      </c>
      <c r="H2495" s="20">
        <v>1960</v>
      </c>
      <c r="I2495" s="19">
        <v>4845.5429999999997</v>
      </c>
      <c r="J2495" s="19">
        <v>3939.2060000000001</v>
      </c>
      <c r="K2495" s="19">
        <v>3049.4769999999999</v>
      </c>
      <c r="L2495" s="19">
        <v>2537.6019999999999</v>
      </c>
      <c r="M2495" s="19">
        <v>2057.723</v>
      </c>
      <c r="N2495" s="19">
        <v>1768.386</v>
      </c>
      <c r="O2495" s="19">
        <v>1528.3979999999999</v>
      </c>
      <c r="P2495" s="19">
        <v>1293.9269999999999</v>
      </c>
      <c r="Q2495" s="19">
        <v>994.81299999999999</v>
      </c>
      <c r="R2495" s="19">
        <v>890.91899999999998</v>
      </c>
      <c r="S2495" s="19">
        <v>731.75099999999998</v>
      </c>
      <c r="T2495" s="19">
        <v>632.25800000000004</v>
      </c>
      <c r="U2495" s="19">
        <v>485.59300000000002</v>
      </c>
      <c r="V2495" s="19">
        <v>337.21199999999999</v>
      </c>
      <c r="W2495" s="19">
        <v>225.56100000000001</v>
      </c>
      <c r="X2495" s="19">
        <v>134.74600000000001</v>
      </c>
      <c r="Y2495" s="19">
        <v>67.287000000000006</v>
      </c>
      <c r="Z2495" s="19">
        <v>19.658000000000001</v>
      </c>
      <c r="AA2495" s="19">
        <v>6.3029999999999999</v>
      </c>
      <c r="AB2495" s="19">
        <v>1.3540000000000001</v>
      </c>
      <c r="AC2495" s="19">
        <v>0.23899999999999999</v>
      </c>
    </row>
    <row r="2496" spans="1:29" ht="11.65" x14ac:dyDescent="0.35">
      <c r="A2496" s="23">
        <v>2479</v>
      </c>
      <c r="B2496" s="21" t="s">
        <v>1015</v>
      </c>
      <c r="C2496" s="29" t="s">
        <v>1189</v>
      </c>
      <c r="D2496" s="20"/>
      <c r="E2496" s="20">
        <v>916</v>
      </c>
      <c r="F2496" s="21" t="s">
        <v>1065</v>
      </c>
      <c r="G2496" s="20">
        <v>1830</v>
      </c>
      <c r="H2496" s="20">
        <v>1965</v>
      </c>
      <c r="I2496" s="19">
        <v>5561.5630000000001</v>
      </c>
      <c r="J2496" s="19">
        <v>4621.6610000000001</v>
      </c>
      <c r="K2496" s="19">
        <v>3855.1990000000001</v>
      </c>
      <c r="L2496" s="19">
        <v>2962.12</v>
      </c>
      <c r="M2496" s="19">
        <v>2433.91</v>
      </c>
      <c r="N2496" s="19">
        <v>1971.6859999999999</v>
      </c>
      <c r="O2496" s="19">
        <v>1700.2449999999999</v>
      </c>
      <c r="P2496" s="19">
        <v>1474.4349999999999</v>
      </c>
      <c r="Q2496" s="19">
        <v>1241.711</v>
      </c>
      <c r="R2496" s="19">
        <v>946.33900000000006</v>
      </c>
      <c r="S2496" s="19">
        <v>836.84299999999996</v>
      </c>
      <c r="T2496" s="19">
        <v>673.66899999999998</v>
      </c>
      <c r="U2496" s="19">
        <v>564.13400000000001</v>
      </c>
      <c r="V2496" s="19">
        <v>413.61399999999998</v>
      </c>
      <c r="W2496" s="19">
        <v>268.62400000000002</v>
      </c>
      <c r="X2496" s="19">
        <v>162.82900000000001</v>
      </c>
      <c r="Y2496" s="19">
        <v>82.266000000000005</v>
      </c>
      <c r="Z2496" s="19">
        <v>32.054000000000002</v>
      </c>
      <c r="AA2496" s="19">
        <v>6.968</v>
      </c>
      <c r="AB2496" s="19">
        <v>1.6659999999999999</v>
      </c>
      <c r="AC2496" s="19">
        <v>0.28899999999999998</v>
      </c>
    </row>
    <row r="2497" spans="1:29" ht="11.65" x14ac:dyDescent="0.35">
      <c r="A2497" s="23">
        <v>2480</v>
      </c>
      <c r="B2497" s="21" t="s">
        <v>1015</v>
      </c>
      <c r="C2497" s="29" t="s">
        <v>1189</v>
      </c>
      <c r="D2497" s="20"/>
      <c r="E2497" s="20">
        <v>916</v>
      </c>
      <c r="F2497" s="21" t="s">
        <v>1065</v>
      </c>
      <c r="G2497" s="20">
        <v>1830</v>
      </c>
      <c r="H2497" s="20">
        <v>1970</v>
      </c>
      <c r="I2497" s="19">
        <v>6421.8329999999996</v>
      </c>
      <c r="J2497" s="19">
        <v>5333.3890000000001</v>
      </c>
      <c r="K2497" s="19">
        <v>4516.3789999999999</v>
      </c>
      <c r="L2497" s="19">
        <v>3733.2739999999999</v>
      </c>
      <c r="M2497" s="19">
        <v>2819.7379999999998</v>
      </c>
      <c r="N2497" s="19">
        <v>2317.2510000000002</v>
      </c>
      <c r="O2497" s="19">
        <v>1888.2239999999999</v>
      </c>
      <c r="P2497" s="19">
        <v>1642.655</v>
      </c>
      <c r="Q2497" s="19">
        <v>1419.1030000000001</v>
      </c>
      <c r="R2497" s="19">
        <v>1184.788</v>
      </c>
      <c r="S2497" s="19">
        <v>890.65499999999997</v>
      </c>
      <c r="T2497" s="19">
        <v>772.04899999999998</v>
      </c>
      <c r="U2497" s="19">
        <v>602.673</v>
      </c>
      <c r="V2497" s="19">
        <v>482.50599999999997</v>
      </c>
      <c r="W2497" s="19">
        <v>331.39499999999998</v>
      </c>
      <c r="X2497" s="19">
        <v>195.798</v>
      </c>
      <c r="Y2497" s="19">
        <v>100.557</v>
      </c>
      <c r="Z2497" s="19">
        <v>39.787999999999997</v>
      </c>
      <c r="AA2497" s="19">
        <v>11.762</v>
      </c>
      <c r="AB2497" s="19">
        <v>1.8580000000000001</v>
      </c>
      <c r="AC2497" s="19">
        <v>0.36099999999999999</v>
      </c>
    </row>
    <row r="2498" spans="1:29" ht="11.65" x14ac:dyDescent="0.35">
      <c r="A2498" s="23">
        <v>2481</v>
      </c>
      <c r="B2498" s="21" t="s">
        <v>1015</v>
      </c>
      <c r="C2498" s="29" t="s">
        <v>1189</v>
      </c>
      <c r="D2498" s="20"/>
      <c r="E2498" s="20">
        <v>916</v>
      </c>
      <c r="F2498" s="21" t="s">
        <v>1065</v>
      </c>
      <c r="G2498" s="20">
        <v>1830</v>
      </c>
      <c r="H2498" s="20">
        <v>1975</v>
      </c>
      <c r="I2498" s="19">
        <v>7202.9639999999999</v>
      </c>
      <c r="J2498" s="19">
        <v>6189.6589999999997</v>
      </c>
      <c r="K2498" s="19">
        <v>5191.2879999999996</v>
      </c>
      <c r="L2498" s="19">
        <v>4341.8919999999998</v>
      </c>
      <c r="M2498" s="19">
        <v>3522.134</v>
      </c>
      <c r="N2498" s="19">
        <v>2653.6509999999998</v>
      </c>
      <c r="O2498" s="19">
        <v>2203.279</v>
      </c>
      <c r="P2498" s="19">
        <v>1820.739</v>
      </c>
      <c r="Q2498" s="19">
        <v>1582.057</v>
      </c>
      <c r="R2498" s="19">
        <v>1356.9829999999999</v>
      </c>
      <c r="S2498" s="19">
        <v>1118.2460000000001</v>
      </c>
      <c r="T2498" s="19">
        <v>823.94</v>
      </c>
      <c r="U2498" s="19">
        <v>693.25599999999997</v>
      </c>
      <c r="V2498" s="19">
        <v>518.08199999999999</v>
      </c>
      <c r="W2498" s="19">
        <v>389.536</v>
      </c>
      <c r="X2498" s="19">
        <v>244.39699999999999</v>
      </c>
      <c r="Y2498" s="19">
        <v>123.111</v>
      </c>
      <c r="Z2498" s="19">
        <v>49.530999999999999</v>
      </c>
      <c r="AA2498" s="19">
        <v>14.904999999999999</v>
      </c>
      <c r="AB2498" s="19">
        <v>3.2450000000000001</v>
      </c>
      <c r="AC2498" s="19">
        <v>0.41599999999999998</v>
      </c>
    </row>
    <row r="2499" spans="1:29" ht="11.65" x14ac:dyDescent="0.35">
      <c r="A2499" s="23">
        <v>2482</v>
      </c>
      <c r="B2499" s="21" t="s">
        <v>1015</v>
      </c>
      <c r="C2499" s="29" t="s">
        <v>1189</v>
      </c>
      <c r="D2499" s="20"/>
      <c r="E2499" s="20">
        <v>916</v>
      </c>
      <c r="F2499" s="21" t="s">
        <v>1065</v>
      </c>
      <c r="G2499" s="20">
        <v>1830</v>
      </c>
      <c r="H2499" s="20">
        <v>1980</v>
      </c>
      <c r="I2499" s="19">
        <v>7653.1549999999997</v>
      </c>
      <c r="J2499" s="19">
        <v>6986.7969999999996</v>
      </c>
      <c r="K2499" s="19">
        <v>6015.4889999999996</v>
      </c>
      <c r="L2499" s="19">
        <v>4964.8530000000001</v>
      </c>
      <c r="M2499" s="19">
        <v>4057.4650000000001</v>
      </c>
      <c r="N2499" s="19">
        <v>3292.683</v>
      </c>
      <c r="O2499" s="19">
        <v>2502.261</v>
      </c>
      <c r="P2499" s="19">
        <v>2117.4229999999998</v>
      </c>
      <c r="Q2499" s="19">
        <v>1752.1379999999999</v>
      </c>
      <c r="R2499" s="19">
        <v>1513.8240000000001</v>
      </c>
      <c r="S2499" s="19">
        <v>1283.0050000000001</v>
      </c>
      <c r="T2499" s="19">
        <v>1037.4269999999999</v>
      </c>
      <c r="U2499" s="19">
        <v>743.00800000000004</v>
      </c>
      <c r="V2499" s="19">
        <v>599.84100000000001</v>
      </c>
      <c r="W2499" s="19">
        <v>422.21199999999999</v>
      </c>
      <c r="X2499" s="19">
        <v>291.62700000000001</v>
      </c>
      <c r="Y2499" s="19">
        <v>157.221</v>
      </c>
      <c r="Z2499" s="19">
        <v>62.343000000000004</v>
      </c>
      <c r="AA2499" s="19">
        <v>19.062999999999999</v>
      </c>
      <c r="AB2499" s="19">
        <v>4.2389999999999999</v>
      </c>
      <c r="AC2499" s="19">
        <v>0.71099999999999997</v>
      </c>
    </row>
    <row r="2500" spans="1:29" ht="11.65" x14ac:dyDescent="0.35">
      <c r="A2500" s="23">
        <v>2483</v>
      </c>
      <c r="B2500" s="21" t="s">
        <v>1015</v>
      </c>
      <c r="C2500" s="29" t="s">
        <v>1189</v>
      </c>
      <c r="D2500" s="20"/>
      <c r="E2500" s="20">
        <v>916</v>
      </c>
      <c r="F2500" s="21" t="s">
        <v>1065</v>
      </c>
      <c r="G2500" s="20">
        <v>1830</v>
      </c>
      <c r="H2500" s="20">
        <v>1985</v>
      </c>
      <c r="I2500" s="19">
        <v>7887.3720000000003</v>
      </c>
      <c r="J2500" s="19">
        <v>7444.9669999999996</v>
      </c>
      <c r="K2500" s="19">
        <v>6706.223</v>
      </c>
      <c r="L2500" s="19">
        <v>5671.2830000000004</v>
      </c>
      <c r="M2500" s="19">
        <v>4653.1360000000004</v>
      </c>
      <c r="N2500" s="19">
        <v>3807.3910000000001</v>
      </c>
      <c r="O2500" s="19">
        <v>3105.0520000000001</v>
      </c>
      <c r="P2500" s="19">
        <v>2404.5100000000002</v>
      </c>
      <c r="Q2500" s="19">
        <v>2039.924</v>
      </c>
      <c r="R2500" s="19">
        <v>1679.7070000000001</v>
      </c>
      <c r="S2500" s="19">
        <v>1435.644</v>
      </c>
      <c r="T2500" s="19">
        <v>1196.075</v>
      </c>
      <c r="U2500" s="19">
        <v>941.71500000000003</v>
      </c>
      <c r="V2500" s="19">
        <v>648.44399999999996</v>
      </c>
      <c r="W2500" s="19">
        <v>494.73</v>
      </c>
      <c r="X2500" s="19">
        <v>320.54300000000001</v>
      </c>
      <c r="Y2500" s="19">
        <v>191.16800000000001</v>
      </c>
      <c r="Z2500" s="19">
        <v>81.540000000000006</v>
      </c>
      <c r="AA2500" s="19">
        <v>24.68</v>
      </c>
      <c r="AB2500" s="19">
        <v>5.56</v>
      </c>
      <c r="AC2500" s="19">
        <v>0.98399999999999999</v>
      </c>
    </row>
    <row r="2501" spans="1:29" ht="11.65" x14ac:dyDescent="0.35">
      <c r="A2501" s="23">
        <v>2484</v>
      </c>
      <c r="B2501" s="21" t="s">
        <v>1015</v>
      </c>
      <c r="C2501" s="29" t="s">
        <v>1189</v>
      </c>
      <c r="D2501" s="20"/>
      <c r="E2501" s="20">
        <v>916</v>
      </c>
      <c r="F2501" s="21" t="s">
        <v>1065</v>
      </c>
      <c r="G2501" s="20">
        <v>1830</v>
      </c>
      <c r="H2501" s="20">
        <v>1990</v>
      </c>
      <c r="I2501" s="19">
        <v>8233.7559999999994</v>
      </c>
      <c r="J2501" s="19">
        <v>7680.6989999999996</v>
      </c>
      <c r="K2501" s="19">
        <v>7205.8649999999998</v>
      </c>
      <c r="L2501" s="19">
        <v>6380.009</v>
      </c>
      <c r="M2501" s="19">
        <v>5273.2259999999997</v>
      </c>
      <c r="N2501" s="19">
        <v>4343.0370000000003</v>
      </c>
      <c r="O2501" s="19">
        <v>3602.99</v>
      </c>
      <c r="P2501" s="19">
        <v>2998.761</v>
      </c>
      <c r="Q2501" s="19">
        <v>2325.6170000000002</v>
      </c>
      <c r="R2501" s="19">
        <v>1964.5530000000001</v>
      </c>
      <c r="S2501" s="19">
        <v>1601.395</v>
      </c>
      <c r="T2501" s="19">
        <v>1347.482</v>
      </c>
      <c r="U2501" s="19">
        <v>1094.5329999999999</v>
      </c>
      <c r="V2501" s="19">
        <v>830.20799999999997</v>
      </c>
      <c r="W2501" s="19">
        <v>541.04</v>
      </c>
      <c r="X2501" s="19">
        <v>380.75599999999997</v>
      </c>
      <c r="Y2501" s="19">
        <v>213.77799999999999</v>
      </c>
      <c r="Z2501" s="19">
        <v>101.45</v>
      </c>
      <c r="AA2501" s="19">
        <v>33.148000000000003</v>
      </c>
      <c r="AB2501" s="19">
        <v>7.4059999999999997</v>
      </c>
      <c r="AC2501" s="19">
        <v>1.33</v>
      </c>
    </row>
    <row r="2502" spans="1:29" ht="11.65" x14ac:dyDescent="0.35">
      <c r="A2502" s="23">
        <v>2485</v>
      </c>
      <c r="B2502" s="21" t="s">
        <v>1015</v>
      </c>
      <c r="C2502" s="29" t="s">
        <v>1189</v>
      </c>
      <c r="D2502" s="20"/>
      <c r="E2502" s="20">
        <v>916</v>
      </c>
      <c r="F2502" s="21" t="s">
        <v>1065</v>
      </c>
      <c r="G2502" s="20">
        <v>1830</v>
      </c>
      <c r="H2502" s="20">
        <v>1995</v>
      </c>
      <c r="I2502" s="19">
        <v>8400.3259999999991</v>
      </c>
      <c r="J2502" s="19">
        <v>8069.9520000000002</v>
      </c>
      <c r="K2502" s="19">
        <v>7499.8329999999996</v>
      </c>
      <c r="L2502" s="19">
        <v>6660.9350000000004</v>
      </c>
      <c r="M2502" s="19">
        <v>5716.1030000000001</v>
      </c>
      <c r="N2502" s="19">
        <v>4915.835</v>
      </c>
      <c r="O2502" s="19">
        <v>4223.4129999999996</v>
      </c>
      <c r="P2502" s="19">
        <v>3511.674</v>
      </c>
      <c r="Q2502" s="19">
        <v>2920.288</v>
      </c>
      <c r="R2502" s="19">
        <v>2254.873</v>
      </c>
      <c r="S2502" s="19">
        <v>1887.0519999999999</v>
      </c>
      <c r="T2502" s="19">
        <v>1514.761</v>
      </c>
      <c r="U2502" s="19">
        <v>1244.5260000000001</v>
      </c>
      <c r="V2502" s="19">
        <v>975.58199999999999</v>
      </c>
      <c r="W2502" s="19">
        <v>702.91499999999996</v>
      </c>
      <c r="X2502" s="19">
        <v>423.178</v>
      </c>
      <c r="Y2502" s="19">
        <v>258.97800000000001</v>
      </c>
      <c r="Z2502" s="19">
        <v>115.15</v>
      </c>
      <c r="AA2502" s="19">
        <v>41.573</v>
      </c>
      <c r="AB2502" s="19">
        <v>9.8940000000000001</v>
      </c>
      <c r="AC2502" s="19">
        <v>1.734</v>
      </c>
    </row>
    <row r="2503" spans="1:29" ht="11.65" x14ac:dyDescent="0.35">
      <c r="A2503" s="23">
        <v>2486</v>
      </c>
      <c r="B2503" s="21" t="s">
        <v>1015</v>
      </c>
      <c r="C2503" s="29" t="s">
        <v>1189</v>
      </c>
      <c r="D2503" s="20"/>
      <c r="E2503" s="20">
        <v>916</v>
      </c>
      <c r="F2503" s="21" t="s">
        <v>1065</v>
      </c>
      <c r="G2503" s="20">
        <v>1830</v>
      </c>
      <c r="H2503" s="20">
        <v>2000</v>
      </c>
      <c r="I2503" s="19">
        <v>8463.4150000000009</v>
      </c>
      <c r="J2503" s="19">
        <v>8260.9670000000006</v>
      </c>
      <c r="K2503" s="19">
        <v>7752.2439999999997</v>
      </c>
      <c r="L2503" s="19">
        <v>7084.8149999999996</v>
      </c>
      <c r="M2503" s="19">
        <v>6165.0709999999999</v>
      </c>
      <c r="N2503" s="19">
        <v>5446.4</v>
      </c>
      <c r="O2503" s="19">
        <v>4694.3760000000002</v>
      </c>
      <c r="P2503" s="19">
        <v>4081.43</v>
      </c>
      <c r="Q2503" s="19">
        <v>3414.2719999999999</v>
      </c>
      <c r="R2503" s="19">
        <v>2823.91</v>
      </c>
      <c r="S2503" s="19">
        <v>2158.9079999999999</v>
      </c>
      <c r="T2503" s="19">
        <v>1780.2180000000001</v>
      </c>
      <c r="U2503" s="19">
        <v>1396.605</v>
      </c>
      <c r="V2503" s="19">
        <v>1108.8119999999999</v>
      </c>
      <c r="W2503" s="19">
        <v>825.92100000000005</v>
      </c>
      <c r="X2503" s="19">
        <v>551.14099999999996</v>
      </c>
      <c r="Y2503" s="19">
        <v>295.83199999999999</v>
      </c>
      <c r="Z2503" s="19">
        <v>153.923</v>
      </c>
      <c r="AA2503" s="19">
        <v>54.015000000000001</v>
      </c>
      <c r="AB2503" s="19">
        <v>13.723000000000001</v>
      </c>
      <c r="AC2503" s="19">
        <v>1.9710000000000001</v>
      </c>
    </row>
    <row r="2504" spans="1:29" ht="11.65" x14ac:dyDescent="0.35">
      <c r="A2504" s="23">
        <v>2487</v>
      </c>
      <c r="B2504" s="21" t="s">
        <v>1015</v>
      </c>
      <c r="C2504" s="29" t="s">
        <v>1189</v>
      </c>
      <c r="D2504" s="20"/>
      <c r="E2504" s="20">
        <v>916</v>
      </c>
      <c r="F2504" s="21" t="s">
        <v>1065</v>
      </c>
      <c r="G2504" s="20">
        <v>1830</v>
      </c>
      <c r="H2504" s="20">
        <v>2005</v>
      </c>
      <c r="I2504" s="19">
        <v>8401.634</v>
      </c>
      <c r="J2504" s="19">
        <v>8275.9130000000005</v>
      </c>
      <c r="K2504" s="19">
        <v>8065.1170000000002</v>
      </c>
      <c r="L2504" s="19">
        <v>7242.5839999999998</v>
      </c>
      <c r="M2504" s="19">
        <v>6557.826</v>
      </c>
      <c r="N2504" s="19">
        <v>5825.47</v>
      </c>
      <c r="O2504" s="19">
        <v>5300.1819999999998</v>
      </c>
      <c r="P2504" s="19">
        <v>4577.5379999999996</v>
      </c>
      <c r="Q2504" s="19">
        <v>3977.8319999999999</v>
      </c>
      <c r="R2504" s="19">
        <v>3312.9720000000002</v>
      </c>
      <c r="S2504" s="19">
        <v>2717.6669999999999</v>
      </c>
      <c r="T2504" s="19">
        <v>2050.3870000000002</v>
      </c>
      <c r="U2504" s="19">
        <v>1656.3620000000001</v>
      </c>
      <c r="V2504" s="19">
        <v>1259.8620000000001</v>
      </c>
      <c r="W2504" s="19">
        <v>955.15200000000004</v>
      </c>
      <c r="X2504" s="19">
        <v>662.59699999999998</v>
      </c>
      <c r="Y2504" s="19">
        <v>396.61599999999999</v>
      </c>
      <c r="Z2504" s="19">
        <v>181.61600000000001</v>
      </c>
      <c r="AA2504" s="19">
        <v>75.399000000000001</v>
      </c>
      <c r="AB2504" s="19">
        <v>18.741</v>
      </c>
      <c r="AC2504" s="19">
        <v>2.7970000000000002</v>
      </c>
    </row>
    <row r="2505" spans="1:29" ht="11.65" x14ac:dyDescent="0.35">
      <c r="A2505" s="23">
        <v>2488</v>
      </c>
      <c r="B2505" s="21" t="s">
        <v>1015</v>
      </c>
      <c r="C2505" s="29" t="s">
        <v>1189</v>
      </c>
      <c r="D2505" s="20"/>
      <c r="E2505" s="20">
        <v>916</v>
      </c>
      <c r="F2505" s="21" t="s">
        <v>1065</v>
      </c>
      <c r="G2505" s="20">
        <v>1830</v>
      </c>
      <c r="H2505" s="20">
        <v>2010</v>
      </c>
      <c r="I2505" s="19">
        <v>8290.2039999999997</v>
      </c>
      <c r="J2505" s="19">
        <v>8332.3359999999993</v>
      </c>
      <c r="K2505" s="19">
        <v>8205.482</v>
      </c>
      <c r="L2505" s="19">
        <v>7954.625</v>
      </c>
      <c r="M2505" s="19">
        <v>7019.2790000000005</v>
      </c>
      <c r="N2505" s="19">
        <v>6331.43</v>
      </c>
      <c r="O2505" s="19">
        <v>5687.8119999999999</v>
      </c>
      <c r="P2505" s="19">
        <v>5189.8720000000003</v>
      </c>
      <c r="Q2505" s="19">
        <v>4473.8999999999996</v>
      </c>
      <c r="R2505" s="19">
        <v>3870.9989999999998</v>
      </c>
      <c r="S2505" s="19">
        <v>3197.0239999999999</v>
      </c>
      <c r="T2505" s="19">
        <v>2588.2930000000001</v>
      </c>
      <c r="U2505" s="19">
        <v>1912.13</v>
      </c>
      <c r="V2505" s="19">
        <v>1496.4739999999999</v>
      </c>
      <c r="W2505" s="19">
        <v>1086.3130000000001</v>
      </c>
      <c r="X2505" s="19">
        <v>766.60599999999999</v>
      </c>
      <c r="Y2505" s="19">
        <v>477.10599999999999</v>
      </c>
      <c r="Z2505" s="19">
        <v>243.24199999999999</v>
      </c>
      <c r="AA2505" s="19">
        <v>87.980999999999995</v>
      </c>
      <c r="AB2505" s="19">
        <v>25.698</v>
      </c>
      <c r="AC2505" s="19">
        <v>3.7559999999999998</v>
      </c>
    </row>
    <row r="2506" spans="1:29" ht="11.65" x14ac:dyDescent="0.35">
      <c r="A2506" s="23">
        <v>2489</v>
      </c>
      <c r="B2506" s="21" t="s">
        <v>1015</v>
      </c>
      <c r="C2506" s="29" t="s">
        <v>1189</v>
      </c>
      <c r="D2506" s="20"/>
      <c r="E2506" s="20">
        <v>916</v>
      </c>
      <c r="F2506" s="21" t="s">
        <v>1065</v>
      </c>
      <c r="G2506" s="20">
        <v>1830</v>
      </c>
      <c r="H2506" s="20">
        <v>2015</v>
      </c>
      <c r="I2506" s="19">
        <v>8312.8829999999998</v>
      </c>
      <c r="J2506" s="19">
        <v>8245.5310000000009</v>
      </c>
      <c r="K2506" s="19">
        <v>8292.5429999999997</v>
      </c>
      <c r="L2506" s="19">
        <v>8075.8689999999997</v>
      </c>
      <c r="M2506" s="19">
        <v>7762.2830000000004</v>
      </c>
      <c r="N2506" s="19">
        <v>6827.2039999999997</v>
      </c>
      <c r="O2506" s="19">
        <v>6164.6480000000001</v>
      </c>
      <c r="P2506" s="19">
        <v>5576.0529999999999</v>
      </c>
      <c r="Q2506" s="19">
        <v>5078.9949999999999</v>
      </c>
      <c r="R2506" s="19">
        <v>4357.2889999999998</v>
      </c>
      <c r="S2506" s="19">
        <v>3738.5230000000001</v>
      </c>
      <c r="T2506" s="19">
        <v>3046.1190000000001</v>
      </c>
      <c r="U2506" s="19">
        <v>2414.7950000000001</v>
      </c>
      <c r="V2506" s="19">
        <v>1728.221</v>
      </c>
      <c r="W2506" s="19">
        <v>1290.2370000000001</v>
      </c>
      <c r="X2506" s="19">
        <v>871.99900000000002</v>
      </c>
      <c r="Y2506" s="19">
        <v>551.29999999999995</v>
      </c>
      <c r="Z2506" s="19">
        <v>290.97300000000001</v>
      </c>
      <c r="AA2506" s="19">
        <v>116.47199999999999</v>
      </c>
      <c r="AB2506" s="19">
        <v>29.309000000000001</v>
      </c>
      <c r="AC2506" s="19">
        <v>5.0170000000000003</v>
      </c>
    </row>
    <row r="2507" spans="1:29" ht="11.65" x14ac:dyDescent="0.35">
      <c r="A2507" s="23">
        <v>2490</v>
      </c>
      <c r="B2507" s="21" t="s">
        <v>1015</v>
      </c>
      <c r="C2507" s="29" t="s">
        <v>1189</v>
      </c>
      <c r="D2507" s="20"/>
      <c r="E2507" s="20">
        <v>916</v>
      </c>
      <c r="F2507" s="21" t="s">
        <v>1065</v>
      </c>
      <c r="G2507" s="20">
        <v>1830</v>
      </c>
      <c r="H2507" s="20">
        <v>2020</v>
      </c>
      <c r="I2507" s="19">
        <v>8208.0190000000002</v>
      </c>
      <c r="J2507" s="19">
        <v>8279.17</v>
      </c>
      <c r="K2507" s="19">
        <v>8211.7870000000003</v>
      </c>
      <c r="L2507" s="19">
        <v>8212.8870000000006</v>
      </c>
      <c r="M2507" s="19">
        <v>7946.2520000000004</v>
      </c>
      <c r="N2507" s="19">
        <v>7611.5510000000004</v>
      </c>
      <c r="O2507" s="19">
        <v>6689.8909999999996</v>
      </c>
      <c r="P2507" s="19">
        <v>6042.2250000000004</v>
      </c>
      <c r="Q2507" s="19">
        <v>5455.67</v>
      </c>
      <c r="R2507" s="19">
        <v>4945.6790000000001</v>
      </c>
      <c r="S2507" s="19">
        <v>4206.2569999999996</v>
      </c>
      <c r="T2507" s="19">
        <v>3559.444</v>
      </c>
      <c r="U2507" s="19">
        <v>2838.9650000000001</v>
      </c>
      <c r="V2507" s="19">
        <v>2178.94</v>
      </c>
      <c r="W2507" s="19">
        <v>1486.8789999999999</v>
      </c>
      <c r="X2507" s="19">
        <v>1032.7460000000001</v>
      </c>
      <c r="Y2507" s="19">
        <v>625.32100000000003</v>
      </c>
      <c r="Z2507" s="19">
        <v>336.40199999999999</v>
      </c>
      <c r="AA2507" s="19">
        <v>138.995</v>
      </c>
      <c r="AB2507" s="19">
        <v>38.527999999999999</v>
      </c>
      <c r="AC2507" s="19">
        <v>5.8570000000000002</v>
      </c>
    </row>
    <row r="2508" spans="1:29" ht="11.65" x14ac:dyDescent="0.35">
      <c r="A2508" s="12">
        <v>2491</v>
      </c>
      <c r="B2508" s="10" t="s">
        <v>1015</v>
      </c>
      <c r="C2508" s="11" t="s">
        <v>1190</v>
      </c>
      <c r="D2508" s="9"/>
      <c r="E2508" s="9">
        <v>84</v>
      </c>
      <c r="F2508" s="10" t="s">
        <v>1066</v>
      </c>
      <c r="G2508" s="9">
        <v>916</v>
      </c>
      <c r="H2508" s="9">
        <v>1950</v>
      </c>
      <c r="I2508" s="8">
        <v>5.4560000000000004</v>
      </c>
      <c r="J2508" s="8">
        <v>3.9780000000000002</v>
      </c>
      <c r="K2508" s="8">
        <v>3.6680000000000001</v>
      </c>
      <c r="L2508" s="8">
        <v>3.2650000000000001</v>
      </c>
      <c r="M2508" s="8">
        <v>3.121</v>
      </c>
      <c r="N2508" s="8">
        <v>2.5310000000000001</v>
      </c>
      <c r="O2508" s="8">
        <v>2.0720000000000001</v>
      </c>
      <c r="P2508" s="8">
        <v>2.0950000000000002</v>
      </c>
      <c r="Q2508" s="8">
        <v>1.8280000000000001</v>
      </c>
      <c r="R2508" s="8">
        <v>1.494</v>
      </c>
      <c r="S2508" s="8">
        <v>1.2370000000000001</v>
      </c>
      <c r="T2508" s="8">
        <v>1.016</v>
      </c>
      <c r="U2508" s="8">
        <v>0.78300000000000003</v>
      </c>
      <c r="V2508" s="8">
        <v>0.56000000000000005</v>
      </c>
      <c r="W2508" s="8">
        <v>0.32700000000000001</v>
      </c>
      <c r="X2508" s="8">
        <v>0.188</v>
      </c>
      <c r="Y2508" s="8">
        <v>7.4999999999999997E-2</v>
      </c>
      <c r="Z2508" s="8">
        <v>3.3000000000000002E-2</v>
      </c>
      <c r="AA2508" s="8">
        <v>8.9999999999999993E-3</v>
      </c>
      <c r="AB2508" s="8">
        <v>2E-3</v>
      </c>
      <c r="AC2508" s="8">
        <v>0</v>
      </c>
    </row>
    <row r="2509" spans="1:29" ht="11.65" x14ac:dyDescent="0.35">
      <c r="A2509" s="12">
        <v>2492</v>
      </c>
      <c r="B2509" s="10" t="s">
        <v>1015</v>
      </c>
      <c r="C2509" s="11" t="s">
        <v>1190</v>
      </c>
      <c r="D2509" s="9"/>
      <c r="E2509" s="9">
        <v>84</v>
      </c>
      <c r="F2509" s="10" t="s">
        <v>1066</v>
      </c>
      <c r="G2509" s="9">
        <v>916</v>
      </c>
      <c r="H2509" s="9">
        <v>1955</v>
      </c>
      <c r="I2509" s="8">
        <v>8.2669999999999995</v>
      </c>
      <c r="J2509" s="8">
        <v>5.1420000000000003</v>
      </c>
      <c r="K2509" s="8">
        <v>3.8820000000000001</v>
      </c>
      <c r="L2509" s="8">
        <v>3.5419999999999998</v>
      </c>
      <c r="M2509" s="8">
        <v>3.0249999999999999</v>
      </c>
      <c r="N2509" s="8">
        <v>2.8180000000000001</v>
      </c>
      <c r="O2509" s="8">
        <v>2.266</v>
      </c>
      <c r="P2509" s="8">
        <v>1.867</v>
      </c>
      <c r="Q2509" s="8">
        <v>1.9259999999999999</v>
      </c>
      <c r="R2509" s="8">
        <v>1.6879999999999999</v>
      </c>
      <c r="S2509" s="8">
        <v>1.373</v>
      </c>
      <c r="T2509" s="8">
        <v>1.1160000000000001</v>
      </c>
      <c r="U2509" s="8">
        <v>0.89100000000000001</v>
      </c>
      <c r="V2509" s="8">
        <v>0.65400000000000003</v>
      </c>
      <c r="W2509" s="8">
        <v>0.43</v>
      </c>
      <c r="X2509" s="8">
        <v>0.22600000000000001</v>
      </c>
      <c r="Y2509" s="8">
        <v>0.104</v>
      </c>
      <c r="Z2509" s="8">
        <v>3.2000000000000001E-2</v>
      </c>
      <c r="AA2509" s="8">
        <v>1.0999999999999999E-2</v>
      </c>
      <c r="AB2509" s="8">
        <v>2E-3</v>
      </c>
      <c r="AC2509" s="8">
        <v>0</v>
      </c>
    </row>
    <row r="2510" spans="1:29" ht="11.65" x14ac:dyDescent="0.35">
      <c r="A2510" s="12">
        <v>2493</v>
      </c>
      <c r="B2510" s="10" t="s">
        <v>1015</v>
      </c>
      <c r="C2510" s="11" t="s">
        <v>1190</v>
      </c>
      <c r="D2510" s="9"/>
      <c r="E2510" s="9">
        <v>84</v>
      </c>
      <c r="F2510" s="10" t="s">
        <v>1066</v>
      </c>
      <c r="G2510" s="9">
        <v>916</v>
      </c>
      <c r="H2510" s="9">
        <v>1960</v>
      </c>
      <c r="I2510" s="8">
        <v>8.9909999999999997</v>
      </c>
      <c r="J2510" s="8">
        <v>6.8520000000000003</v>
      </c>
      <c r="K2510" s="8">
        <v>5.1369999999999996</v>
      </c>
      <c r="L2510" s="8">
        <v>3.8010000000000002</v>
      </c>
      <c r="M2510" s="8">
        <v>3.3650000000000002</v>
      </c>
      <c r="N2510" s="8">
        <v>2.8740000000000001</v>
      </c>
      <c r="O2510" s="8">
        <v>2.738</v>
      </c>
      <c r="P2510" s="8">
        <v>2.2229999999999999</v>
      </c>
      <c r="Q2510" s="8">
        <v>1.8360000000000001</v>
      </c>
      <c r="R2510" s="8">
        <v>1.879</v>
      </c>
      <c r="S2510" s="8">
        <v>1.6279999999999999</v>
      </c>
      <c r="T2510" s="8">
        <v>1.2949999999999999</v>
      </c>
      <c r="U2510" s="8">
        <v>1.0249999999999999</v>
      </c>
      <c r="V2510" s="8">
        <v>0.77900000000000003</v>
      </c>
      <c r="W2510" s="8">
        <v>0.53300000000000003</v>
      </c>
      <c r="X2510" s="8">
        <v>0.318</v>
      </c>
      <c r="Y2510" s="8">
        <v>0.13200000000000001</v>
      </c>
      <c r="Z2510" s="8">
        <v>4.5999999999999999E-2</v>
      </c>
      <c r="AA2510" s="8">
        <v>8.9999999999999993E-3</v>
      </c>
      <c r="AB2510" s="8">
        <v>2E-3</v>
      </c>
      <c r="AC2510" s="8">
        <v>0</v>
      </c>
    </row>
    <row r="2511" spans="1:29" ht="11.65" x14ac:dyDescent="0.35">
      <c r="A2511" s="12">
        <v>2494</v>
      </c>
      <c r="B2511" s="10" t="s">
        <v>1015</v>
      </c>
      <c r="C2511" s="11" t="s">
        <v>1190</v>
      </c>
      <c r="D2511" s="9"/>
      <c r="E2511" s="9">
        <v>84</v>
      </c>
      <c r="F2511" s="10" t="s">
        <v>1066</v>
      </c>
      <c r="G2511" s="9">
        <v>916</v>
      </c>
      <c r="H2511" s="9">
        <v>1965</v>
      </c>
      <c r="I2511" s="8">
        <v>9.7690000000000001</v>
      </c>
      <c r="J2511" s="8">
        <v>8.6590000000000007</v>
      </c>
      <c r="K2511" s="8">
        <v>6.7549999999999999</v>
      </c>
      <c r="L2511" s="8">
        <v>5.0350000000000001</v>
      </c>
      <c r="M2511" s="8">
        <v>3.6080000000000001</v>
      </c>
      <c r="N2511" s="8">
        <v>3.1269999999999998</v>
      </c>
      <c r="O2511" s="8">
        <v>2.6629999999999998</v>
      </c>
      <c r="P2511" s="8">
        <v>2.5649999999999999</v>
      </c>
      <c r="Q2511" s="8">
        <v>2.09</v>
      </c>
      <c r="R2511" s="8">
        <v>1.7250000000000001</v>
      </c>
      <c r="S2511" s="8">
        <v>1.764</v>
      </c>
      <c r="T2511" s="8">
        <v>1.5049999999999999</v>
      </c>
      <c r="U2511" s="8">
        <v>1.163</v>
      </c>
      <c r="V2511" s="8">
        <v>0.879</v>
      </c>
      <c r="W2511" s="8">
        <v>0.62</v>
      </c>
      <c r="X2511" s="8">
        <v>0.38100000000000001</v>
      </c>
      <c r="Y2511" s="8">
        <v>0.184</v>
      </c>
      <c r="Z2511" s="8">
        <v>6.0999999999999999E-2</v>
      </c>
      <c r="AA2511" s="8">
        <v>1.4999999999999999E-2</v>
      </c>
      <c r="AB2511" s="8">
        <v>2E-3</v>
      </c>
      <c r="AC2511" s="8">
        <v>0</v>
      </c>
    </row>
    <row r="2512" spans="1:29" ht="11.65" x14ac:dyDescent="0.35">
      <c r="A2512" s="12">
        <v>2495</v>
      </c>
      <c r="B2512" s="10" t="s">
        <v>1015</v>
      </c>
      <c r="C2512" s="11" t="s">
        <v>1190</v>
      </c>
      <c r="D2512" s="9"/>
      <c r="E2512" s="9">
        <v>84</v>
      </c>
      <c r="F2512" s="10" t="s">
        <v>1066</v>
      </c>
      <c r="G2512" s="9">
        <v>916</v>
      </c>
      <c r="H2512" s="9">
        <v>1970</v>
      </c>
      <c r="I2512" s="8">
        <v>10.923</v>
      </c>
      <c r="J2512" s="8">
        <v>9.6039999999999992</v>
      </c>
      <c r="K2512" s="8">
        <v>8.4920000000000009</v>
      </c>
      <c r="L2512" s="8">
        <v>6.633</v>
      </c>
      <c r="M2512" s="8">
        <v>4.806</v>
      </c>
      <c r="N2512" s="8">
        <v>3.3359999999999999</v>
      </c>
      <c r="O2512" s="8">
        <v>2.887</v>
      </c>
      <c r="P2512" s="8">
        <v>2.4809999999999999</v>
      </c>
      <c r="Q2512" s="8">
        <v>2.42</v>
      </c>
      <c r="R2512" s="8">
        <v>1.966</v>
      </c>
      <c r="S2512" s="8">
        <v>1.615</v>
      </c>
      <c r="T2512" s="8">
        <v>1.6359999999999999</v>
      </c>
      <c r="U2512" s="8">
        <v>1.3640000000000001</v>
      </c>
      <c r="V2512" s="8">
        <v>1.0069999999999999</v>
      </c>
      <c r="W2512" s="8">
        <v>0.71499999999999997</v>
      </c>
      <c r="X2512" s="8">
        <v>0.45900000000000002</v>
      </c>
      <c r="Y2512" s="8">
        <v>0.22800000000000001</v>
      </c>
      <c r="Z2512" s="8">
        <v>8.6999999999999994E-2</v>
      </c>
      <c r="AA2512" s="8">
        <v>2.1000000000000001E-2</v>
      </c>
      <c r="AB2512" s="8">
        <v>4.0000000000000001E-3</v>
      </c>
      <c r="AC2512" s="8">
        <v>0</v>
      </c>
    </row>
    <row r="2513" spans="1:29" ht="11.65" x14ac:dyDescent="0.35">
      <c r="A2513" s="12">
        <v>2496</v>
      </c>
      <c r="B2513" s="10" t="s">
        <v>1015</v>
      </c>
      <c r="C2513" s="11" t="s">
        <v>1190</v>
      </c>
      <c r="D2513" s="9"/>
      <c r="E2513" s="9">
        <v>84</v>
      </c>
      <c r="F2513" s="10" t="s">
        <v>1066</v>
      </c>
      <c r="G2513" s="9">
        <v>916</v>
      </c>
      <c r="H2513" s="9">
        <v>1975</v>
      </c>
      <c r="I2513" s="8">
        <v>12.121</v>
      </c>
      <c r="J2513" s="8">
        <v>10.486000000000001</v>
      </c>
      <c r="K2513" s="8">
        <v>9.423</v>
      </c>
      <c r="L2513" s="8">
        <v>8.1530000000000005</v>
      </c>
      <c r="M2513" s="8">
        <v>5.891</v>
      </c>
      <c r="N2513" s="8">
        <v>3.8780000000000001</v>
      </c>
      <c r="O2513" s="8">
        <v>2.5409999999999999</v>
      </c>
      <c r="P2513" s="8">
        <v>2.2959999999999998</v>
      </c>
      <c r="Q2513" s="8">
        <v>2.0579999999999998</v>
      </c>
      <c r="R2513" s="8">
        <v>2.11</v>
      </c>
      <c r="S2513" s="8">
        <v>1.7350000000000001</v>
      </c>
      <c r="T2513" s="8">
        <v>1.423</v>
      </c>
      <c r="U2513" s="8">
        <v>1.4370000000000001</v>
      </c>
      <c r="V2513" s="8">
        <v>1.159</v>
      </c>
      <c r="W2513" s="8">
        <v>0.81100000000000005</v>
      </c>
      <c r="X2513" s="8">
        <v>0.52</v>
      </c>
      <c r="Y2513" s="8">
        <v>0.27100000000000002</v>
      </c>
      <c r="Z2513" s="8">
        <v>0.114</v>
      </c>
      <c r="AA2513" s="8">
        <v>3.2000000000000001E-2</v>
      </c>
      <c r="AB2513" s="8">
        <v>5.0000000000000001E-3</v>
      </c>
      <c r="AC2513" s="8">
        <v>1E-3</v>
      </c>
    </row>
    <row r="2514" spans="1:29" ht="11.65" x14ac:dyDescent="0.35">
      <c r="A2514" s="12">
        <v>2497</v>
      </c>
      <c r="B2514" s="10" t="s">
        <v>1015</v>
      </c>
      <c r="C2514" s="11" t="s">
        <v>1190</v>
      </c>
      <c r="D2514" s="9"/>
      <c r="E2514" s="9">
        <v>84</v>
      </c>
      <c r="F2514" s="10" t="s">
        <v>1066</v>
      </c>
      <c r="G2514" s="9">
        <v>916</v>
      </c>
      <c r="H2514" s="9">
        <v>1980</v>
      </c>
      <c r="I2514" s="8">
        <v>12.387</v>
      </c>
      <c r="J2514" s="8">
        <v>11.318</v>
      </c>
      <c r="K2514" s="8">
        <v>10.109</v>
      </c>
      <c r="L2514" s="8">
        <v>9.0709999999999997</v>
      </c>
      <c r="M2514" s="8">
        <v>6.2839999999999998</v>
      </c>
      <c r="N2514" s="8">
        <v>4.4820000000000002</v>
      </c>
      <c r="O2514" s="8">
        <v>3.3170000000000002</v>
      </c>
      <c r="P2514" s="8">
        <v>2.5590000000000002</v>
      </c>
      <c r="Q2514" s="8">
        <v>2.5499999999999998</v>
      </c>
      <c r="R2514" s="8">
        <v>2.3220000000000001</v>
      </c>
      <c r="S2514" s="8">
        <v>2.2629999999999999</v>
      </c>
      <c r="T2514" s="8">
        <v>1.613</v>
      </c>
      <c r="U2514" s="8">
        <v>1.375</v>
      </c>
      <c r="V2514" s="8">
        <v>1.1879999999999999</v>
      </c>
      <c r="W2514" s="8">
        <v>0.74299999999999999</v>
      </c>
      <c r="X2514" s="8">
        <v>0.54400000000000004</v>
      </c>
      <c r="Y2514" s="8">
        <v>0.40899999999999997</v>
      </c>
      <c r="Z2514" s="8">
        <v>0.13800000000000001</v>
      </c>
      <c r="AA2514" s="8">
        <v>4.2000000000000003E-2</v>
      </c>
      <c r="AB2514" s="8">
        <v>8.0000000000000002E-3</v>
      </c>
      <c r="AC2514" s="8">
        <v>1E-3</v>
      </c>
    </row>
    <row r="2515" spans="1:29" ht="11.65" x14ac:dyDescent="0.35">
      <c r="A2515" s="12">
        <v>2498</v>
      </c>
      <c r="B2515" s="10" t="s">
        <v>1015</v>
      </c>
      <c r="C2515" s="11" t="s">
        <v>1190</v>
      </c>
      <c r="D2515" s="9"/>
      <c r="E2515" s="9">
        <v>84</v>
      </c>
      <c r="F2515" s="10" t="s">
        <v>1066</v>
      </c>
      <c r="G2515" s="9">
        <v>916</v>
      </c>
      <c r="H2515" s="9">
        <v>1985</v>
      </c>
      <c r="I2515" s="8">
        <v>14.46</v>
      </c>
      <c r="J2515" s="8">
        <v>11.871</v>
      </c>
      <c r="K2515" s="8">
        <v>10.926</v>
      </c>
      <c r="L2515" s="8">
        <v>9.7530000000000001</v>
      </c>
      <c r="M2515" s="8">
        <v>8.7330000000000005</v>
      </c>
      <c r="N2515" s="8">
        <v>6.024</v>
      </c>
      <c r="O2515" s="8">
        <v>4.298</v>
      </c>
      <c r="P2515" s="8">
        <v>3.1760000000000002</v>
      </c>
      <c r="Q2515" s="8">
        <v>2.4369999999999998</v>
      </c>
      <c r="R2515" s="8">
        <v>2.4209999999999998</v>
      </c>
      <c r="S2515" s="8">
        <v>2.1779999999999999</v>
      </c>
      <c r="T2515" s="8">
        <v>2.089</v>
      </c>
      <c r="U2515" s="8">
        <v>1.44</v>
      </c>
      <c r="V2515" s="8">
        <v>1.175</v>
      </c>
      <c r="W2515" s="8">
        <v>0.95099999999999996</v>
      </c>
      <c r="X2515" s="8">
        <v>0.53400000000000003</v>
      </c>
      <c r="Y2515" s="8">
        <v>0.33700000000000002</v>
      </c>
      <c r="Z2515" s="8">
        <v>0.20699999999999999</v>
      </c>
      <c r="AA2515" s="8">
        <v>5.1999999999999998E-2</v>
      </c>
      <c r="AB2515" s="8">
        <v>1.0999999999999999E-2</v>
      </c>
      <c r="AC2515" s="8">
        <v>1E-3</v>
      </c>
    </row>
    <row r="2516" spans="1:29" ht="11.65" x14ac:dyDescent="0.35">
      <c r="A2516" s="12">
        <v>2499</v>
      </c>
      <c r="B2516" s="10" t="s">
        <v>1015</v>
      </c>
      <c r="C2516" s="11" t="s">
        <v>1190</v>
      </c>
      <c r="D2516" s="9"/>
      <c r="E2516" s="9">
        <v>84</v>
      </c>
      <c r="F2516" s="10" t="s">
        <v>1066</v>
      </c>
      <c r="G2516" s="9">
        <v>916</v>
      </c>
      <c r="H2516" s="9">
        <v>1990</v>
      </c>
      <c r="I2516" s="8">
        <v>15.391</v>
      </c>
      <c r="J2516" s="8">
        <v>13.929</v>
      </c>
      <c r="K2516" s="8">
        <v>11.895</v>
      </c>
      <c r="L2516" s="8">
        <v>10.523</v>
      </c>
      <c r="M2516" s="8">
        <v>9.0839999999999996</v>
      </c>
      <c r="N2516" s="8">
        <v>8.0760000000000005</v>
      </c>
      <c r="O2516" s="8">
        <v>5.7869999999999999</v>
      </c>
      <c r="P2516" s="8">
        <v>4.3419999999999996</v>
      </c>
      <c r="Q2516" s="8">
        <v>3.2309999999999999</v>
      </c>
      <c r="R2516" s="8">
        <v>2.4049999999999998</v>
      </c>
      <c r="S2516" s="8">
        <v>2.3260000000000001</v>
      </c>
      <c r="T2516" s="8">
        <v>2.0369999999999999</v>
      </c>
      <c r="U2516" s="8">
        <v>1.871</v>
      </c>
      <c r="V2516" s="8">
        <v>1.304</v>
      </c>
      <c r="W2516" s="8">
        <v>0.99</v>
      </c>
      <c r="X2516" s="8">
        <v>0.68400000000000005</v>
      </c>
      <c r="Y2516" s="8">
        <v>0.43099999999999999</v>
      </c>
      <c r="Z2516" s="8">
        <v>0.17199999999999999</v>
      </c>
      <c r="AA2516" s="8">
        <v>7.9000000000000001E-2</v>
      </c>
      <c r="AB2516" s="8">
        <v>1.2999999999999999E-2</v>
      </c>
      <c r="AC2516" s="8">
        <v>2E-3</v>
      </c>
    </row>
    <row r="2517" spans="1:29" ht="11.65" x14ac:dyDescent="0.35">
      <c r="A2517" s="12">
        <v>2500</v>
      </c>
      <c r="B2517" s="10" t="s">
        <v>1015</v>
      </c>
      <c r="C2517" s="11" t="s">
        <v>1190</v>
      </c>
      <c r="D2517" s="9"/>
      <c r="E2517" s="9">
        <v>84</v>
      </c>
      <c r="F2517" s="10" t="s">
        <v>1066</v>
      </c>
      <c r="G2517" s="9">
        <v>916</v>
      </c>
      <c r="H2517" s="9">
        <v>1995</v>
      </c>
      <c r="I2517" s="8">
        <v>15.972</v>
      </c>
      <c r="J2517" s="8">
        <v>14.69</v>
      </c>
      <c r="K2517" s="8">
        <v>14.013</v>
      </c>
      <c r="L2517" s="8">
        <v>11.145</v>
      </c>
      <c r="M2517" s="8">
        <v>8.9329999999999998</v>
      </c>
      <c r="N2517" s="8">
        <v>7.4160000000000004</v>
      </c>
      <c r="O2517" s="8">
        <v>7.7839999999999998</v>
      </c>
      <c r="P2517" s="8">
        <v>5.7649999999999997</v>
      </c>
      <c r="Q2517" s="8">
        <v>4.3360000000000003</v>
      </c>
      <c r="R2517" s="8">
        <v>3.2949999999999999</v>
      </c>
      <c r="S2517" s="8">
        <v>2.3759999999999999</v>
      </c>
      <c r="T2517" s="8">
        <v>2.2240000000000002</v>
      </c>
      <c r="U2517" s="8">
        <v>1.792</v>
      </c>
      <c r="V2517" s="8">
        <v>1.7669999999999999</v>
      </c>
      <c r="W2517" s="8">
        <v>1.143</v>
      </c>
      <c r="X2517" s="8">
        <v>0.70799999999999996</v>
      </c>
      <c r="Y2517" s="8">
        <v>0.57599999999999996</v>
      </c>
      <c r="Z2517" s="8">
        <v>0.219</v>
      </c>
      <c r="AA2517" s="8">
        <v>6.5000000000000002E-2</v>
      </c>
      <c r="AB2517" s="8">
        <v>0.02</v>
      </c>
      <c r="AC2517" s="8">
        <v>2E-3</v>
      </c>
    </row>
    <row r="2518" spans="1:29" ht="11.65" x14ac:dyDescent="0.35">
      <c r="A2518" s="12">
        <v>2501</v>
      </c>
      <c r="B2518" s="10" t="s">
        <v>1015</v>
      </c>
      <c r="C2518" s="11" t="s">
        <v>1190</v>
      </c>
      <c r="D2518" s="9"/>
      <c r="E2518" s="9">
        <v>84</v>
      </c>
      <c r="F2518" s="10" t="s">
        <v>1066</v>
      </c>
      <c r="G2518" s="9">
        <v>916</v>
      </c>
      <c r="H2518" s="9">
        <v>2000</v>
      </c>
      <c r="I2518" s="8">
        <v>18.814</v>
      </c>
      <c r="J2518" s="8">
        <v>17.175999999999998</v>
      </c>
      <c r="K2518" s="8">
        <v>14.89</v>
      </c>
      <c r="L2518" s="8">
        <v>13.736000000000001</v>
      </c>
      <c r="M2518" s="8">
        <v>11.622</v>
      </c>
      <c r="N2518" s="8">
        <v>10.728</v>
      </c>
      <c r="O2518" s="8">
        <v>8.8010000000000002</v>
      </c>
      <c r="P2518" s="8">
        <v>7.242</v>
      </c>
      <c r="Q2518" s="8">
        <v>5.5519999999999996</v>
      </c>
      <c r="R2518" s="8">
        <v>3.996</v>
      </c>
      <c r="S2518" s="8">
        <v>3.0209999999999999</v>
      </c>
      <c r="T2518" s="8">
        <v>2.21</v>
      </c>
      <c r="U2518" s="8">
        <v>2.0499999999999998</v>
      </c>
      <c r="V2518" s="8">
        <v>1.68</v>
      </c>
      <c r="W2518" s="8">
        <v>1.405</v>
      </c>
      <c r="X2518" s="8">
        <v>0.81200000000000006</v>
      </c>
      <c r="Y2518" s="8">
        <v>0.497</v>
      </c>
      <c r="Z2518" s="8">
        <v>0.221</v>
      </c>
      <c r="AA2518" s="8">
        <v>5.1999999999999998E-2</v>
      </c>
      <c r="AB2518" s="8">
        <v>8.9999999999999993E-3</v>
      </c>
      <c r="AC2518" s="8">
        <v>2E-3</v>
      </c>
    </row>
    <row r="2519" spans="1:29" ht="11.65" x14ac:dyDescent="0.35">
      <c r="A2519" s="12">
        <v>2502</v>
      </c>
      <c r="B2519" s="10" t="s">
        <v>1015</v>
      </c>
      <c r="C2519" s="11" t="s">
        <v>1190</v>
      </c>
      <c r="D2519" s="9"/>
      <c r="E2519" s="9">
        <v>84</v>
      </c>
      <c r="F2519" s="10" t="s">
        <v>1066</v>
      </c>
      <c r="G2519" s="9">
        <v>916</v>
      </c>
      <c r="H2519" s="9">
        <v>2005</v>
      </c>
      <c r="I2519" s="8">
        <v>19.346</v>
      </c>
      <c r="J2519" s="8">
        <v>19.245999999999999</v>
      </c>
      <c r="K2519" s="8">
        <v>17.166</v>
      </c>
      <c r="L2519" s="8">
        <v>15.105</v>
      </c>
      <c r="M2519" s="8">
        <v>13.821999999999999</v>
      </c>
      <c r="N2519" s="8">
        <v>11.605</v>
      </c>
      <c r="O2519" s="8">
        <v>11.456</v>
      </c>
      <c r="P2519" s="8">
        <v>9.7959999999999994</v>
      </c>
      <c r="Q2519" s="8">
        <v>7.3419999999999996</v>
      </c>
      <c r="R2519" s="8">
        <v>5.07</v>
      </c>
      <c r="S2519" s="8">
        <v>3.5150000000000001</v>
      </c>
      <c r="T2519" s="8">
        <v>2.5579999999999998</v>
      </c>
      <c r="U2519" s="8">
        <v>1.903</v>
      </c>
      <c r="V2519" s="8">
        <v>1.722</v>
      </c>
      <c r="W2519" s="8">
        <v>1.2769999999999999</v>
      </c>
      <c r="X2519" s="8">
        <v>0.98</v>
      </c>
      <c r="Y2519" s="8">
        <v>0.44800000000000001</v>
      </c>
      <c r="Z2519" s="8">
        <v>0.223</v>
      </c>
      <c r="AA2519" s="8">
        <v>6.9000000000000006E-2</v>
      </c>
      <c r="AB2519" s="8">
        <v>1.2E-2</v>
      </c>
      <c r="AC2519" s="8">
        <v>1E-3</v>
      </c>
    </row>
    <row r="2520" spans="1:29" ht="11.65" x14ac:dyDescent="0.35">
      <c r="A2520" s="12">
        <v>2503</v>
      </c>
      <c r="B2520" s="10" t="s">
        <v>1015</v>
      </c>
      <c r="C2520" s="11" t="s">
        <v>1190</v>
      </c>
      <c r="D2520" s="9"/>
      <c r="E2520" s="9">
        <v>84</v>
      </c>
      <c r="F2520" s="10" t="s">
        <v>1066</v>
      </c>
      <c r="G2520" s="9">
        <v>916</v>
      </c>
      <c r="H2520" s="9">
        <v>2010</v>
      </c>
      <c r="I2520" s="8">
        <v>19.277000000000001</v>
      </c>
      <c r="J2520" s="8">
        <v>19.782</v>
      </c>
      <c r="K2520" s="8">
        <v>18.920000000000002</v>
      </c>
      <c r="L2520" s="8">
        <v>17.28</v>
      </c>
      <c r="M2520" s="8">
        <v>15.08</v>
      </c>
      <c r="N2520" s="8">
        <v>12.965</v>
      </c>
      <c r="O2520" s="8">
        <v>10.997999999999999</v>
      </c>
      <c r="P2520" s="8">
        <v>10.231999999999999</v>
      </c>
      <c r="Q2520" s="8">
        <v>8.8989999999999991</v>
      </c>
      <c r="R2520" s="8">
        <v>7.6989999999999998</v>
      </c>
      <c r="S2520" s="8">
        <v>5.8259999999999996</v>
      </c>
      <c r="T2520" s="8">
        <v>4.3769999999999998</v>
      </c>
      <c r="U2520" s="8">
        <v>3.2010000000000001</v>
      </c>
      <c r="V2520" s="8">
        <v>2.3039999999999998</v>
      </c>
      <c r="W2520" s="8">
        <v>1.8779999999999999</v>
      </c>
      <c r="X2520" s="8">
        <v>1.343</v>
      </c>
      <c r="Y2520" s="8">
        <v>0.92900000000000005</v>
      </c>
      <c r="Z2520" s="8">
        <v>0.23</v>
      </c>
      <c r="AA2520" s="8">
        <v>8.6999999999999994E-2</v>
      </c>
      <c r="AB2520" s="8">
        <v>1.9E-2</v>
      </c>
      <c r="AC2520" s="8">
        <v>2E-3</v>
      </c>
    </row>
    <row r="2521" spans="1:29" ht="11.65" x14ac:dyDescent="0.35">
      <c r="A2521" s="12">
        <v>2504</v>
      </c>
      <c r="B2521" s="10" t="s">
        <v>1015</v>
      </c>
      <c r="C2521" s="11" t="s">
        <v>1190</v>
      </c>
      <c r="D2521" s="9"/>
      <c r="E2521" s="9">
        <v>84</v>
      </c>
      <c r="F2521" s="10" t="s">
        <v>1066</v>
      </c>
      <c r="G2521" s="9">
        <v>916</v>
      </c>
      <c r="H2521" s="9">
        <v>2015</v>
      </c>
      <c r="I2521" s="8">
        <v>19.547000000000001</v>
      </c>
      <c r="J2521" s="8">
        <v>19.327999999999999</v>
      </c>
      <c r="K2521" s="8">
        <v>19.817</v>
      </c>
      <c r="L2521" s="8">
        <v>19.231000000000002</v>
      </c>
      <c r="M2521" s="8">
        <v>17.809999999999999</v>
      </c>
      <c r="N2521" s="8">
        <v>15.529</v>
      </c>
      <c r="O2521" s="8">
        <v>13.231999999999999</v>
      </c>
      <c r="P2521" s="8">
        <v>11.135</v>
      </c>
      <c r="Q2521" s="8">
        <v>10.252000000000001</v>
      </c>
      <c r="R2521" s="8">
        <v>8.8079999999999998</v>
      </c>
      <c r="S2521" s="8">
        <v>7.5090000000000003</v>
      </c>
      <c r="T2521" s="8">
        <v>5.5650000000000004</v>
      </c>
      <c r="U2521" s="8">
        <v>4.1040000000000001</v>
      </c>
      <c r="V2521" s="8">
        <v>2.9350000000000001</v>
      </c>
      <c r="W2521" s="8">
        <v>2.016</v>
      </c>
      <c r="X2521" s="8">
        <v>1.54</v>
      </c>
      <c r="Y2521" s="8">
        <v>1.0049999999999999</v>
      </c>
      <c r="Z2521" s="8">
        <v>0.60299999999999998</v>
      </c>
      <c r="AA2521" s="8">
        <v>0.125</v>
      </c>
      <c r="AB2521" s="8">
        <v>3.7999999999999999E-2</v>
      </c>
      <c r="AC2521" s="8">
        <v>6.0000000000000001E-3</v>
      </c>
    </row>
    <row r="2522" spans="1:29" ht="11.65" x14ac:dyDescent="0.35">
      <c r="A2522" s="12">
        <v>2505</v>
      </c>
      <c r="B2522" s="10" t="s">
        <v>1015</v>
      </c>
      <c r="C2522" s="11" t="s">
        <v>1190</v>
      </c>
      <c r="D2522" s="9"/>
      <c r="E2522" s="9">
        <v>84</v>
      </c>
      <c r="F2522" s="10" t="s">
        <v>1066</v>
      </c>
      <c r="G2522" s="9">
        <v>916</v>
      </c>
      <c r="H2522" s="9">
        <v>2020</v>
      </c>
      <c r="I2522" s="8">
        <v>19.984999999999999</v>
      </c>
      <c r="J2522" s="8">
        <v>19.577999999999999</v>
      </c>
      <c r="K2522" s="8">
        <v>19.350000000000001</v>
      </c>
      <c r="L2522" s="8">
        <v>20.047000000000001</v>
      </c>
      <c r="M2522" s="8">
        <v>19.61</v>
      </c>
      <c r="N2522" s="8">
        <v>18.097000000000001</v>
      </c>
      <c r="O2522" s="8">
        <v>15.648</v>
      </c>
      <c r="P2522" s="8">
        <v>13.243</v>
      </c>
      <c r="Q2522" s="8">
        <v>11.077</v>
      </c>
      <c r="R2522" s="8">
        <v>10.098000000000001</v>
      </c>
      <c r="S2522" s="8">
        <v>8.5820000000000007</v>
      </c>
      <c r="T2522" s="8">
        <v>7.1760000000000002</v>
      </c>
      <c r="U2522" s="8">
        <v>5.18</v>
      </c>
      <c r="V2522" s="8">
        <v>3.7320000000000002</v>
      </c>
      <c r="W2522" s="8">
        <v>2.5920000000000001</v>
      </c>
      <c r="X2522" s="8">
        <v>1.681</v>
      </c>
      <c r="Y2522" s="8">
        <v>1.127</v>
      </c>
      <c r="Z2522" s="8">
        <v>0.59799999999999998</v>
      </c>
      <c r="AA2522" s="8">
        <v>0.30499999999999999</v>
      </c>
      <c r="AB2522" s="8">
        <v>4.7E-2</v>
      </c>
      <c r="AC2522" s="8">
        <v>8.0000000000000002E-3</v>
      </c>
    </row>
    <row r="2523" spans="1:29" ht="11.65" x14ac:dyDescent="0.35">
      <c r="A2523" s="12">
        <v>2506</v>
      </c>
      <c r="B2523" s="10" t="s">
        <v>1015</v>
      </c>
      <c r="C2523" s="11" t="s">
        <v>1191</v>
      </c>
      <c r="D2523" s="9"/>
      <c r="E2523" s="9">
        <v>188</v>
      </c>
      <c r="F2523" s="10" t="s">
        <v>1066</v>
      </c>
      <c r="G2523" s="9">
        <v>916</v>
      </c>
      <c r="H2523" s="9">
        <v>1950</v>
      </c>
      <c r="I2523" s="8">
        <v>87.481999999999999</v>
      </c>
      <c r="J2523" s="8">
        <v>65.460999999999999</v>
      </c>
      <c r="K2523" s="8">
        <v>55.567999999999998</v>
      </c>
      <c r="L2523" s="8">
        <v>47.67</v>
      </c>
      <c r="M2523" s="8">
        <v>42.014000000000003</v>
      </c>
      <c r="N2523" s="8">
        <v>35.325000000000003</v>
      </c>
      <c r="O2523" s="8">
        <v>29.954000000000001</v>
      </c>
      <c r="P2523" s="8">
        <v>27.341999999999999</v>
      </c>
      <c r="Q2523" s="8">
        <v>23.106000000000002</v>
      </c>
      <c r="R2523" s="8">
        <v>18.928999999999998</v>
      </c>
      <c r="S2523" s="8">
        <v>14.898999999999999</v>
      </c>
      <c r="T2523" s="8">
        <v>11.478</v>
      </c>
      <c r="U2523" s="8">
        <v>8.9629999999999992</v>
      </c>
      <c r="V2523" s="8">
        <v>6.3120000000000003</v>
      </c>
      <c r="W2523" s="8">
        <v>3.9950000000000001</v>
      </c>
      <c r="X2523" s="8">
        <v>2.2469999999999999</v>
      </c>
      <c r="Y2523" s="8">
        <v>0.878</v>
      </c>
      <c r="Z2523" s="8">
        <v>0.20100000000000001</v>
      </c>
      <c r="AA2523" s="8">
        <v>6.7000000000000004E-2</v>
      </c>
      <c r="AB2523" s="8">
        <v>2.4E-2</v>
      </c>
      <c r="AC2523" s="8">
        <v>4.0000000000000001E-3</v>
      </c>
    </row>
    <row r="2524" spans="1:29" ht="11.65" x14ac:dyDescent="0.35">
      <c r="A2524" s="12">
        <v>2507</v>
      </c>
      <c r="B2524" s="10" t="s">
        <v>1015</v>
      </c>
      <c r="C2524" s="11" t="s">
        <v>1191</v>
      </c>
      <c r="D2524" s="9"/>
      <c r="E2524" s="9">
        <v>188</v>
      </c>
      <c r="F2524" s="10" t="s">
        <v>1066</v>
      </c>
      <c r="G2524" s="9">
        <v>916</v>
      </c>
      <c r="H2524" s="9">
        <v>1955</v>
      </c>
      <c r="I2524" s="8">
        <v>99.222999999999999</v>
      </c>
      <c r="J2524" s="8">
        <v>83.775000000000006</v>
      </c>
      <c r="K2524" s="8">
        <v>65.061000000000007</v>
      </c>
      <c r="L2524" s="8">
        <v>55.552999999999997</v>
      </c>
      <c r="M2524" s="8">
        <v>47.567</v>
      </c>
      <c r="N2524" s="8">
        <v>41.710999999999999</v>
      </c>
      <c r="O2524" s="8">
        <v>34.94</v>
      </c>
      <c r="P2524" s="8">
        <v>29.535</v>
      </c>
      <c r="Q2524" s="8">
        <v>26.789000000000001</v>
      </c>
      <c r="R2524" s="8">
        <v>22.385000000000002</v>
      </c>
      <c r="S2524" s="8">
        <v>17.943000000000001</v>
      </c>
      <c r="T2524" s="8">
        <v>13.731</v>
      </c>
      <c r="U2524" s="8">
        <v>10.153</v>
      </c>
      <c r="V2524" s="8">
        <v>7.44</v>
      </c>
      <c r="W2524" s="8">
        <v>4.7610000000000001</v>
      </c>
      <c r="X2524" s="8">
        <v>2.625</v>
      </c>
      <c r="Y2524" s="8">
        <v>1.2030000000000001</v>
      </c>
      <c r="Z2524" s="8">
        <v>0.34799999999999998</v>
      </c>
      <c r="AA2524" s="8">
        <v>5.1999999999999998E-2</v>
      </c>
      <c r="AB2524" s="8">
        <v>0.01</v>
      </c>
      <c r="AC2524" s="8">
        <v>2E-3</v>
      </c>
    </row>
    <row r="2525" spans="1:29" ht="11.65" x14ac:dyDescent="0.35">
      <c r="A2525" s="12">
        <v>2508</v>
      </c>
      <c r="B2525" s="10" t="s">
        <v>1015</v>
      </c>
      <c r="C2525" s="11" t="s">
        <v>1191</v>
      </c>
      <c r="D2525" s="9"/>
      <c r="E2525" s="9">
        <v>188</v>
      </c>
      <c r="F2525" s="10" t="s">
        <v>1066</v>
      </c>
      <c r="G2525" s="9">
        <v>916</v>
      </c>
      <c r="H2525" s="9">
        <v>1960</v>
      </c>
      <c r="I2525" s="8">
        <v>127.35299999999999</v>
      </c>
      <c r="J2525" s="8">
        <v>95.864000000000004</v>
      </c>
      <c r="K2525" s="8">
        <v>83.412000000000006</v>
      </c>
      <c r="L2525" s="8">
        <v>65.227999999999994</v>
      </c>
      <c r="M2525" s="8">
        <v>55.655000000000001</v>
      </c>
      <c r="N2525" s="8">
        <v>47.469000000000001</v>
      </c>
      <c r="O2525" s="8">
        <v>41.484000000000002</v>
      </c>
      <c r="P2525" s="8">
        <v>34.655000000000001</v>
      </c>
      <c r="Q2525" s="8">
        <v>29.126999999999999</v>
      </c>
      <c r="R2525" s="8">
        <v>26.113</v>
      </c>
      <c r="S2525" s="8">
        <v>21.369</v>
      </c>
      <c r="T2525" s="8">
        <v>16.690000000000001</v>
      </c>
      <c r="U2525" s="8">
        <v>12.28</v>
      </c>
      <c r="V2525" s="8">
        <v>8.5399999999999991</v>
      </c>
      <c r="W2525" s="8">
        <v>5.7030000000000003</v>
      </c>
      <c r="X2525" s="8">
        <v>3.2240000000000002</v>
      </c>
      <c r="Y2525" s="8">
        <v>1.468</v>
      </c>
      <c r="Z2525" s="8">
        <v>0.499</v>
      </c>
      <c r="AA2525" s="8">
        <v>9.4E-2</v>
      </c>
      <c r="AB2525" s="8">
        <v>8.9999999999999993E-3</v>
      </c>
      <c r="AC2525" s="8">
        <v>1E-3</v>
      </c>
    </row>
    <row r="2526" spans="1:29" ht="11.65" x14ac:dyDescent="0.35">
      <c r="A2526" s="12">
        <v>2509</v>
      </c>
      <c r="B2526" s="10" t="s">
        <v>1015</v>
      </c>
      <c r="C2526" s="11" t="s">
        <v>1191</v>
      </c>
      <c r="D2526" s="9"/>
      <c r="E2526" s="9">
        <v>188</v>
      </c>
      <c r="F2526" s="10" t="s">
        <v>1066</v>
      </c>
      <c r="G2526" s="9">
        <v>916</v>
      </c>
      <c r="H2526" s="9">
        <v>1965</v>
      </c>
      <c r="I2526" s="8">
        <v>148.499</v>
      </c>
      <c r="J2526" s="8">
        <v>124.145</v>
      </c>
      <c r="K2526" s="8">
        <v>95.552000000000007</v>
      </c>
      <c r="L2526" s="8">
        <v>83.620999999999995</v>
      </c>
      <c r="M2526" s="8">
        <v>65.448999999999998</v>
      </c>
      <c r="N2526" s="8">
        <v>55.710999999999999</v>
      </c>
      <c r="O2526" s="8">
        <v>47.414000000000001</v>
      </c>
      <c r="P2526" s="8">
        <v>41.319000000000003</v>
      </c>
      <c r="Q2526" s="8">
        <v>34.335000000000001</v>
      </c>
      <c r="R2526" s="8">
        <v>28.530999999999999</v>
      </c>
      <c r="S2526" s="8">
        <v>25.038</v>
      </c>
      <c r="T2526" s="8">
        <v>20.004999999999999</v>
      </c>
      <c r="U2526" s="8">
        <v>15.051</v>
      </c>
      <c r="V2526" s="8">
        <v>10.429</v>
      </c>
      <c r="W2526" s="8">
        <v>6.6459999999999999</v>
      </c>
      <c r="X2526" s="8">
        <v>3.9409999999999998</v>
      </c>
      <c r="Y2526" s="8">
        <v>1.8580000000000001</v>
      </c>
      <c r="Z2526" s="8">
        <v>0.63300000000000001</v>
      </c>
      <c r="AA2526" s="8">
        <v>0.14099999999999999</v>
      </c>
      <c r="AB2526" s="8">
        <v>1.4999999999999999E-2</v>
      </c>
      <c r="AC2526" s="8">
        <v>1E-3</v>
      </c>
    </row>
    <row r="2527" spans="1:29" ht="11.65" x14ac:dyDescent="0.35">
      <c r="A2527" s="12">
        <v>2510</v>
      </c>
      <c r="B2527" s="10" t="s">
        <v>1015</v>
      </c>
      <c r="C2527" s="11" t="s">
        <v>1191</v>
      </c>
      <c r="D2527" s="9"/>
      <c r="E2527" s="9">
        <v>188</v>
      </c>
      <c r="F2527" s="10" t="s">
        <v>1066</v>
      </c>
      <c r="G2527" s="9">
        <v>916</v>
      </c>
      <c r="H2527" s="9">
        <v>1970</v>
      </c>
      <c r="I2527" s="8">
        <v>145.43299999999999</v>
      </c>
      <c r="J2527" s="8">
        <v>145.548</v>
      </c>
      <c r="K2527" s="8">
        <v>123.8</v>
      </c>
      <c r="L2527" s="8">
        <v>95.742999999999995</v>
      </c>
      <c r="M2527" s="8">
        <v>83.748999999999995</v>
      </c>
      <c r="N2527" s="8">
        <v>65.483999999999995</v>
      </c>
      <c r="O2527" s="8">
        <v>55.648000000000003</v>
      </c>
      <c r="P2527" s="8">
        <v>47.258000000000003</v>
      </c>
      <c r="Q2527" s="8">
        <v>40.970999999999997</v>
      </c>
      <c r="R2527" s="8">
        <v>33.704000000000001</v>
      </c>
      <c r="S2527" s="8">
        <v>27.48</v>
      </c>
      <c r="T2527" s="8">
        <v>23.577999999999999</v>
      </c>
      <c r="U2527" s="8">
        <v>18.189</v>
      </c>
      <c r="V2527" s="8">
        <v>12.911</v>
      </c>
      <c r="W2527" s="8">
        <v>8.2349999999999994</v>
      </c>
      <c r="X2527" s="8">
        <v>4.694</v>
      </c>
      <c r="Y2527" s="8">
        <v>2.3420000000000001</v>
      </c>
      <c r="Z2527" s="8">
        <v>0.83099999999999996</v>
      </c>
      <c r="AA2527" s="8">
        <v>0.186</v>
      </c>
      <c r="AB2527" s="8">
        <v>2.3E-2</v>
      </c>
      <c r="AC2527" s="8">
        <v>1E-3</v>
      </c>
    </row>
    <row r="2528" spans="1:29" ht="11.65" x14ac:dyDescent="0.35">
      <c r="A2528" s="12">
        <v>2511</v>
      </c>
      <c r="B2528" s="10" t="s">
        <v>1015</v>
      </c>
      <c r="C2528" s="11" t="s">
        <v>1191</v>
      </c>
      <c r="D2528" s="9"/>
      <c r="E2528" s="9">
        <v>188</v>
      </c>
      <c r="F2528" s="10" t="s">
        <v>1066</v>
      </c>
      <c r="G2528" s="9">
        <v>916</v>
      </c>
      <c r="H2528" s="9">
        <v>1975</v>
      </c>
      <c r="I2528" s="8">
        <v>139.91200000000001</v>
      </c>
      <c r="J2528" s="8">
        <v>143.376</v>
      </c>
      <c r="K2528" s="8">
        <v>145.434</v>
      </c>
      <c r="L2528" s="8">
        <v>124.27200000000001</v>
      </c>
      <c r="M2528" s="8">
        <v>96.245000000000005</v>
      </c>
      <c r="N2528" s="8">
        <v>84.04</v>
      </c>
      <c r="O2528" s="8">
        <v>65.692999999999998</v>
      </c>
      <c r="P2528" s="8">
        <v>55.716000000000001</v>
      </c>
      <c r="Q2528" s="8">
        <v>47.1</v>
      </c>
      <c r="R2528" s="8">
        <v>40.435000000000002</v>
      </c>
      <c r="S2528" s="8">
        <v>32.658000000000001</v>
      </c>
      <c r="T2528" s="8">
        <v>26.06</v>
      </c>
      <c r="U2528" s="8">
        <v>21.61</v>
      </c>
      <c r="V2528" s="8">
        <v>15.78</v>
      </c>
      <c r="W2528" s="8">
        <v>10.343</v>
      </c>
      <c r="X2528" s="8">
        <v>5.944</v>
      </c>
      <c r="Y2528" s="8">
        <v>2.8730000000000002</v>
      </c>
      <c r="Z2528" s="8">
        <v>1.087</v>
      </c>
      <c r="AA2528" s="8">
        <v>0.254</v>
      </c>
      <c r="AB2528" s="8">
        <v>0.03</v>
      </c>
      <c r="AC2528" s="8">
        <v>2E-3</v>
      </c>
    </row>
    <row r="2529" spans="1:29" ht="11.65" x14ac:dyDescent="0.35">
      <c r="A2529" s="12">
        <v>2512</v>
      </c>
      <c r="B2529" s="10" t="s">
        <v>1015</v>
      </c>
      <c r="C2529" s="11" t="s">
        <v>1191</v>
      </c>
      <c r="D2529" s="9"/>
      <c r="E2529" s="9">
        <v>188</v>
      </c>
      <c r="F2529" s="10" t="s">
        <v>1066</v>
      </c>
      <c r="G2529" s="9">
        <v>916</v>
      </c>
      <c r="H2529" s="9">
        <v>1980</v>
      </c>
      <c r="I2529" s="8">
        <v>164.28399999999999</v>
      </c>
      <c r="J2529" s="8">
        <v>139.06200000000001</v>
      </c>
      <c r="K2529" s="8">
        <v>143.62899999999999</v>
      </c>
      <c r="L2529" s="8">
        <v>146.131</v>
      </c>
      <c r="M2529" s="8">
        <v>124.943</v>
      </c>
      <c r="N2529" s="8">
        <v>96.784000000000006</v>
      </c>
      <c r="O2529" s="8">
        <v>84.382000000000005</v>
      </c>
      <c r="P2529" s="8">
        <v>65.933999999999997</v>
      </c>
      <c r="Q2529" s="8">
        <v>55.679000000000002</v>
      </c>
      <c r="R2529" s="8">
        <v>46.668999999999997</v>
      </c>
      <c r="S2529" s="8">
        <v>39.392000000000003</v>
      </c>
      <c r="T2529" s="8">
        <v>31.178999999999998</v>
      </c>
      <c r="U2529" s="8">
        <v>24.082999999999998</v>
      </c>
      <c r="V2529" s="8">
        <v>18.946000000000002</v>
      </c>
      <c r="W2529" s="8">
        <v>12.821</v>
      </c>
      <c r="X2529" s="8">
        <v>7.64</v>
      </c>
      <c r="Y2529" s="8">
        <v>3.75</v>
      </c>
      <c r="Z2529" s="8">
        <v>1.3839999999999999</v>
      </c>
      <c r="AA2529" s="8">
        <v>0.34699999999999998</v>
      </c>
      <c r="AB2529" s="8">
        <v>4.4999999999999998E-2</v>
      </c>
      <c r="AC2529" s="8">
        <v>3.0000000000000001E-3</v>
      </c>
    </row>
    <row r="2530" spans="1:29" ht="11.65" x14ac:dyDescent="0.35">
      <c r="A2530" s="12">
        <v>2513</v>
      </c>
      <c r="B2530" s="10" t="s">
        <v>1015</v>
      </c>
      <c r="C2530" s="11" t="s">
        <v>1191</v>
      </c>
      <c r="D2530" s="9"/>
      <c r="E2530" s="9">
        <v>188</v>
      </c>
      <c r="F2530" s="10" t="s">
        <v>1066</v>
      </c>
      <c r="G2530" s="9">
        <v>916</v>
      </c>
      <c r="H2530" s="9">
        <v>1985</v>
      </c>
      <c r="I2530" s="8">
        <v>190.761</v>
      </c>
      <c r="J2530" s="8">
        <v>163.786</v>
      </c>
      <c r="K2530" s="8">
        <v>139.44900000000001</v>
      </c>
      <c r="L2530" s="8">
        <v>144.43100000000001</v>
      </c>
      <c r="M2530" s="8">
        <v>146.79900000000001</v>
      </c>
      <c r="N2530" s="8">
        <v>125.42100000000001</v>
      </c>
      <c r="O2530" s="8">
        <v>97.192999999999998</v>
      </c>
      <c r="P2530" s="8">
        <v>84.623999999999995</v>
      </c>
      <c r="Q2530" s="8">
        <v>65.97</v>
      </c>
      <c r="R2530" s="8">
        <v>55.323999999999998</v>
      </c>
      <c r="S2530" s="8">
        <v>45.706000000000003</v>
      </c>
      <c r="T2530" s="8">
        <v>37.878999999999998</v>
      </c>
      <c r="U2530" s="8">
        <v>29.013999999999999</v>
      </c>
      <c r="V2530" s="8">
        <v>21.271000000000001</v>
      </c>
      <c r="W2530" s="8">
        <v>15.582000000000001</v>
      </c>
      <c r="X2530" s="8">
        <v>9.6180000000000003</v>
      </c>
      <c r="Y2530" s="8">
        <v>4.9329999999999998</v>
      </c>
      <c r="Z2530" s="8">
        <v>1.8759999999999999</v>
      </c>
      <c r="AA2530" s="8">
        <v>0.46899999999999997</v>
      </c>
      <c r="AB2530" s="8">
        <v>6.6000000000000003E-2</v>
      </c>
      <c r="AC2530" s="8">
        <v>4.0000000000000001E-3</v>
      </c>
    </row>
    <row r="2531" spans="1:29" ht="11.65" x14ac:dyDescent="0.35">
      <c r="A2531" s="12">
        <v>2514</v>
      </c>
      <c r="B2531" s="10" t="s">
        <v>1015</v>
      </c>
      <c r="C2531" s="11" t="s">
        <v>1191</v>
      </c>
      <c r="D2531" s="9"/>
      <c r="E2531" s="9">
        <v>188</v>
      </c>
      <c r="F2531" s="10" t="s">
        <v>1066</v>
      </c>
      <c r="G2531" s="9">
        <v>916</v>
      </c>
      <c r="H2531" s="9">
        <v>1990</v>
      </c>
      <c r="I2531" s="8">
        <v>212.68199999999999</v>
      </c>
      <c r="J2531" s="8">
        <v>190.33600000000001</v>
      </c>
      <c r="K2531" s="8">
        <v>164.10300000000001</v>
      </c>
      <c r="L2531" s="8">
        <v>140.13300000000001</v>
      </c>
      <c r="M2531" s="8">
        <v>144.96700000000001</v>
      </c>
      <c r="N2531" s="8">
        <v>147.03700000000001</v>
      </c>
      <c r="O2531" s="8">
        <v>125.55</v>
      </c>
      <c r="P2531" s="8">
        <v>97.28</v>
      </c>
      <c r="Q2531" s="8">
        <v>84.444999999999993</v>
      </c>
      <c r="R2531" s="8">
        <v>65.486000000000004</v>
      </c>
      <c r="S2531" s="8">
        <v>54.267000000000003</v>
      </c>
      <c r="T2531" s="8">
        <v>44.107999999999997</v>
      </c>
      <c r="U2531" s="8">
        <v>35.491999999999997</v>
      </c>
      <c r="V2531" s="8">
        <v>25.937000000000001</v>
      </c>
      <c r="W2531" s="8">
        <v>17.824999999999999</v>
      </c>
      <c r="X2531" s="8">
        <v>11.976000000000001</v>
      </c>
      <c r="Y2531" s="8">
        <v>6.4320000000000004</v>
      </c>
      <c r="Z2531" s="8">
        <v>2.61</v>
      </c>
      <c r="AA2531" s="8">
        <v>0.69399999999999995</v>
      </c>
      <c r="AB2531" s="8">
        <v>0.10199999999999999</v>
      </c>
      <c r="AC2531" s="8">
        <v>7.0000000000000001E-3</v>
      </c>
    </row>
    <row r="2532" spans="1:29" ht="11.65" x14ac:dyDescent="0.35">
      <c r="A2532" s="12">
        <v>2515</v>
      </c>
      <c r="B2532" s="10" t="s">
        <v>1015</v>
      </c>
      <c r="C2532" s="11" t="s">
        <v>1191</v>
      </c>
      <c r="D2532" s="9"/>
      <c r="E2532" s="9">
        <v>188</v>
      </c>
      <c r="F2532" s="10" t="s">
        <v>1066</v>
      </c>
      <c r="G2532" s="9">
        <v>916</v>
      </c>
      <c r="H2532" s="9">
        <v>1995</v>
      </c>
      <c r="I2532" s="8">
        <v>212.62700000000001</v>
      </c>
      <c r="J2532" s="8">
        <v>212.75299999999999</v>
      </c>
      <c r="K2532" s="8">
        <v>192.38499999999999</v>
      </c>
      <c r="L2532" s="8">
        <v>167.82599999999999</v>
      </c>
      <c r="M2532" s="8">
        <v>144.327</v>
      </c>
      <c r="N2532" s="8">
        <v>148.785</v>
      </c>
      <c r="O2532" s="8">
        <v>150.203</v>
      </c>
      <c r="P2532" s="8">
        <v>128.137</v>
      </c>
      <c r="Q2532" s="8">
        <v>99.165999999999997</v>
      </c>
      <c r="R2532" s="8">
        <v>85.260999999999996</v>
      </c>
      <c r="S2532" s="8">
        <v>65.03</v>
      </c>
      <c r="T2532" s="8">
        <v>52.896000000000001</v>
      </c>
      <c r="U2532" s="8">
        <v>41.829000000000001</v>
      </c>
      <c r="V2532" s="8">
        <v>32.244999999999997</v>
      </c>
      <c r="W2532" s="8">
        <v>22.201000000000001</v>
      </c>
      <c r="X2532" s="8">
        <v>14.058</v>
      </c>
      <c r="Y2532" s="8">
        <v>8.2899999999999991</v>
      </c>
      <c r="Z2532" s="8">
        <v>3.601</v>
      </c>
      <c r="AA2532" s="8">
        <v>1.052</v>
      </c>
      <c r="AB2532" s="8">
        <v>0.17100000000000001</v>
      </c>
      <c r="AC2532" s="8">
        <v>1.2E-2</v>
      </c>
    </row>
    <row r="2533" spans="1:29" ht="11.65" x14ac:dyDescent="0.35">
      <c r="A2533" s="12">
        <v>2516</v>
      </c>
      <c r="B2533" s="10" t="s">
        <v>1015</v>
      </c>
      <c r="C2533" s="11" t="s">
        <v>1191</v>
      </c>
      <c r="D2533" s="9"/>
      <c r="E2533" s="9">
        <v>188</v>
      </c>
      <c r="F2533" s="10" t="s">
        <v>1066</v>
      </c>
      <c r="G2533" s="9">
        <v>916</v>
      </c>
      <c r="H2533" s="9">
        <v>2000</v>
      </c>
      <c r="I2533" s="8">
        <v>202.304</v>
      </c>
      <c r="J2533" s="8">
        <v>212.98500000000001</v>
      </c>
      <c r="K2533" s="8">
        <v>215.45</v>
      </c>
      <c r="L2533" s="8">
        <v>197.09100000000001</v>
      </c>
      <c r="M2533" s="8">
        <v>173.14</v>
      </c>
      <c r="N2533" s="8">
        <v>149.49700000000001</v>
      </c>
      <c r="O2533" s="8">
        <v>153.202</v>
      </c>
      <c r="P2533" s="8">
        <v>153.65199999999999</v>
      </c>
      <c r="Q2533" s="8">
        <v>130.53800000000001</v>
      </c>
      <c r="R2533" s="8">
        <v>100.39</v>
      </c>
      <c r="S2533" s="8">
        <v>84.789000000000001</v>
      </c>
      <c r="T2533" s="8">
        <v>63.631999999999998</v>
      </c>
      <c r="U2533" s="8">
        <v>50.539000000000001</v>
      </c>
      <c r="V2533" s="8">
        <v>38.524999999999999</v>
      </c>
      <c r="W2533" s="8">
        <v>28.14</v>
      </c>
      <c r="X2533" s="8">
        <v>17.927</v>
      </c>
      <c r="Y2533" s="8">
        <v>10.061</v>
      </c>
      <c r="Z2533" s="8">
        <v>4.8949999999999996</v>
      </c>
      <c r="AA2533" s="8">
        <v>1.5760000000000001</v>
      </c>
      <c r="AB2533" s="8">
        <v>0.29099999999999998</v>
      </c>
      <c r="AC2533" s="8">
        <v>2.3E-2</v>
      </c>
    </row>
    <row r="2534" spans="1:29" ht="11.65" x14ac:dyDescent="0.35">
      <c r="A2534" s="12">
        <v>2517</v>
      </c>
      <c r="B2534" s="10" t="s">
        <v>1015</v>
      </c>
      <c r="C2534" s="11" t="s">
        <v>1191</v>
      </c>
      <c r="D2534" s="9"/>
      <c r="E2534" s="9">
        <v>188</v>
      </c>
      <c r="F2534" s="10" t="s">
        <v>1066</v>
      </c>
      <c r="G2534" s="9">
        <v>916</v>
      </c>
      <c r="H2534" s="9">
        <v>2005</v>
      </c>
      <c r="I2534" s="8">
        <v>184.56700000000001</v>
      </c>
      <c r="J2534" s="8">
        <v>202.28399999999999</v>
      </c>
      <c r="K2534" s="8">
        <v>214.09</v>
      </c>
      <c r="L2534" s="8">
        <v>217.244</v>
      </c>
      <c r="M2534" s="8">
        <v>198.90299999999999</v>
      </c>
      <c r="N2534" s="8">
        <v>174.84399999999999</v>
      </c>
      <c r="O2534" s="8">
        <v>150.98099999999999</v>
      </c>
      <c r="P2534" s="8">
        <v>154.10300000000001</v>
      </c>
      <c r="Q2534" s="8">
        <v>153.74600000000001</v>
      </c>
      <c r="R2534" s="8">
        <v>129.839</v>
      </c>
      <c r="S2534" s="8">
        <v>98.914000000000001</v>
      </c>
      <c r="T2534" s="8">
        <v>82.441999999999993</v>
      </c>
      <c r="U2534" s="8">
        <v>60.725999999999999</v>
      </c>
      <c r="V2534" s="8">
        <v>46.774000000000001</v>
      </c>
      <c r="W2534" s="8">
        <v>33.987000000000002</v>
      </c>
      <c r="X2534" s="8">
        <v>23.067</v>
      </c>
      <c r="Y2534" s="8">
        <v>13.122</v>
      </c>
      <c r="Z2534" s="8">
        <v>6.1660000000000004</v>
      </c>
      <c r="AA2534" s="8">
        <v>2.27</v>
      </c>
      <c r="AB2534" s="8">
        <v>0.47299999999999998</v>
      </c>
      <c r="AC2534" s="8">
        <v>4.3999999999999997E-2</v>
      </c>
    </row>
    <row r="2535" spans="1:29" ht="11.65" x14ac:dyDescent="0.35">
      <c r="A2535" s="12">
        <v>2518</v>
      </c>
      <c r="B2535" s="10" t="s">
        <v>1015</v>
      </c>
      <c r="C2535" s="11" t="s">
        <v>1191</v>
      </c>
      <c r="D2535" s="9"/>
      <c r="E2535" s="9">
        <v>188</v>
      </c>
      <c r="F2535" s="10" t="s">
        <v>1066</v>
      </c>
      <c r="G2535" s="9">
        <v>916</v>
      </c>
      <c r="H2535" s="9">
        <v>2010</v>
      </c>
      <c r="I2535" s="8">
        <v>181.35400000000001</v>
      </c>
      <c r="J2535" s="8">
        <v>184.542</v>
      </c>
      <c r="K2535" s="8">
        <v>203.07</v>
      </c>
      <c r="L2535" s="8">
        <v>215.244</v>
      </c>
      <c r="M2535" s="8">
        <v>218.18100000000001</v>
      </c>
      <c r="N2535" s="8">
        <v>199.68799999999999</v>
      </c>
      <c r="O2535" s="8">
        <v>175.48699999999999</v>
      </c>
      <c r="P2535" s="8">
        <v>151.34399999999999</v>
      </c>
      <c r="Q2535" s="8">
        <v>153.76</v>
      </c>
      <c r="R2535" s="8">
        <v>152.42699999999999</v>
      </c>
      <c r="S2535" s="8">
        <v>127.651</v>
      </c>
      <c r="T2535" s="8">
        <v>96.153000000000006</v>
      </c>
      <c r="U2535" s="8">
        <v>78.734999999999999</v>
      </c>
      <c r="V2535" s="8">
        <v>56.374000000000002</v>
      </c>
      <c r="W2535" s="8">
        <v>41.534999999999997</v>
      </c>
      <c r="X2535" s="8">
        <v>28.131</v>
      </c>
      <c r="Y2535" s="8">
        <v>17.106999999999999</v>
      </c>
      <c r="Z2535" s="8">
        <v>8.2260000000000009</v>
      </c>
      <c r="AA2535" s="8">
        <v>2.968</v>
      </c>
      <c r="AB2535" s="8">
        <v>0.72099999999999997</v>
      </c>
      <c r="AC2535" s="8">
        <v>7.6999999999999999E-2</v>
      </c>
    </row>
    <row r="2536" spans="1:29" ht="11.65" x14ac:dyDescent="0.35">
      <c r="A2536" s="12">
        <v>2519</v>
      </c>
      <c r="B2536" s="10" t="s">
        <v>1015</v>
      </c>
      <c r="C2536" s="11" t="s">
        <v>1191</v>
      </c>
      <c r="D2536" s="9"/>
      <c r="E2536" s="9">
        <v>188</v>
      </c>
      <c r="F2536" s="10" t="s">
        <v>1066</v>
      </c>
      <c r="G2536" s="9">
        <v>916</v>
      </c>
      <c r="H2536" s="9">
        <v>2015</v>
      </c>
      <c r="I2536" s="8">
        <v>183.00899999999999</v>
      </c>
      <c r="J2536" s="8">
        <v>181.26900000000001</v>
      </c>
      <c r="K2536" s="8">
        <v>185.012</v>
      </c>
      <c r="L2536" s="8">
        <v>203.65600000000001</v>
      </c>
      <c r="M2536" s="8">
        <v>215.47200000000001</v>
      </c>
      <c r="N2536" s="8">
        <v>218.12700000000001</v>
      </c>
      <c r="O2536" s="8">
        <v>199.5</v>
      </c>
      <c r="P2536" s="8">
        <v>175.08600000000001</v>
      </c>
      <c r="Q2536" s="8">
        <v>150.624</v>
      </c>
      <c r="R2536" s="8">
        <v>152.19200000000001</v>
      </c>
      <c r="S2536" s="8">
        <v>149.70400000000001</v>
      </c>
      <c r="T2536" s="8">
        <v>124.071</v>
      </c>
      <c r="U2536" s="8">
        <v>91.965000000000003</v>
      </c>
      <c r="V2536" s="8">
        <v>73.334999999999994</v>
      </c>
      <c r="W2536" s="8">
        <v>50.390999999999998</v>
      </c>
      <c r="X2536" s="8">
        <v>34.722999999999999</v>
      </c>
      <c r="Y2536" s="8">
        <v>21.17</v>
      </c>
      <c r="Z2536" s="8">
        <v>10.983000000000001</v>
      </c>
      <c r="AA2536" s="8">
        <v>4.1150000000000002</v>
      </c>
      <c r="AB2536" s="8">
        <v>0.998</v>
      </c>
      <c r="AC2536" s="8">
        <v>0.128</v>
      </c>
    </row>
    <row r="2537" spans="1:29" ht="11.65" x14ac:dyDescent="0.35">
      <c r="A2537" s="12">
        <v>2520</v>
      </c>
      <c r="B2537" s="10" t="s">
        <v>1015</v>
      </c>
      <c r="C2537" s="11" t="s">
        <v>1191</v>
      </c>
      <c r="D2537" s="9"/>
      <c r="E2537" s="9">
        <v>188</v>
      </c>
      <c r="F2537" s="10" t="s">
        <v>1066</v>
      </c>
      <c r="G2537" s="9">
        <v>916</v>
      </c>
      <c r="H2537" s="9">
        <v>2020</v>
      </c>
      <c r="I2537" s="8">
        <v>178.09899999999999</v>
      </c>
      <c r="J2537" s="8">
        <v>182.964</v>
      </c>
      <c r="K2537" s="8">
        <v>181.78899999999999</v>
      </c>
      <c r="L2537" s="8">
        <v>185.75200000000001</v>
      </c>
      <c r="M2537" s="8">
        <v>204.06299999999999</v>
      </c>
      <c r="N2537" s="8">
        <v>215.602</v>
      </c>
      <c r="O2537" s="8">
        <v>217.91</v>
      </c>
      <c r="P2537" s="8">
        <v>199.00299999999999</v>
      </c>
      <c r="Q2537" s="8">
        <v>174.23099999999999</v>
      </c>
      <c r="R2537" s="8">
        <v>149.226</v>
      </c>
      <c r="S2537" s="8">
        <v>149.636</v>
      </c>
      <c r="T2537" s="8">
        <v>145.697</v>
      </c>
      <c r="U2537" s="8">
        <v>118.90600000000001</v>
      </c>
      <c r="V2537" s="8">
        <v>85.978999999999999</v>
      </c>
      <c r="W2537" s="8">
        <v>65.944000000000003</v>
      </c>
      <c r="X2537" s="8">
        <v>42.533999999999999</v>
      </c>
      <c r="Y2537" s="8">
        <v>26.504999999999999</v>
      </c>
      <c r="Z2537" s="8">
        <v>13.882999999999999</v>
      </c>
      <c r="AA2537" s="8">
        <v>5.6849999999999996</v>
      </c>
      <c r="AB2537" s="8">
        <v>1.464</v>
      </c>
      <c r="AC2537" s="8">
        <v>0.20399999999999999</v>
      </c>
    </row>
    <row r="2538" spans="1:29" ht="11.65" x14ac:dyDescent="0.35">
      <c r="A2538" s="12">
        <v>2521</v>
      </c>
      <c r="B2538" s="10" t="s">
        <v>1015</v>
      </c>
      <c r="C2538" s="11" t="s">
        <v>1192</v>
      </c>
      <c r="D2538" s="9"/>
      <c r="E2538" s="9">
        <v>222</v>
      </c>
      <c r="F2538" s="10" t="s">
        <v>1066</v>
      </c>
      <c r="G2538" s="9">
        <v>916</v>
      </c>
      <c r="H2538" s="9">
        <v>1950</v>
      </c>
      <c r="I2538" s="8">
        <v>183.96199999999999</v>
      </c>
      <c r="J2538" s="8">
        <v>153.36500000000001</v>
      </c>
      <c r="K2538" s="8">
        <v>135.70699999999999</v>
      </c>
      <c r="L2538" s="8">
        <v>112.539</v>
      </c>
      <c r="M2538" s="8">
        <v>90.185000000000002</v>
      </c>
      <c r="N2538" s="8">
        <v>77.962999999999994</v>
      </c>
      <c r="O2538" s="8">
        <v>64.917000000000002</v>
      </c>
      <c r="P2538" s="8">
        <v>54.49</v>
      </c>
      <c r="Q2538" s="8">
        <v>47.034999999999997</v>
      </c>
      <c r="R2538" s="8">
        <v>40.21</v>
      </c>
      <c r="S2538" s="8">
        <v>33.76</v>
      </c>
      <c r="T2538" s="8">
        <v>27.888000000000002</v>
      </c>
      <c r="U2538" s="8">
        <v>22.648</v>
      </c>
      <c r="V2538" s="8">
        <v>17.475999999999999</v>
      </c>
      <c r="W2538" s="8">
        <v>12.222</v>
      </c>
      <c r="X2538" s="8">
        <v>7.1959999999999997</v>
      </c>
      <c r="Y2538" s="8">
        <v>2.903</v>
      </c>
      <c r="Z2538" s="8">
        <v>0.80800000000000005</v>
      </c>
      <c r="AA2538" s="8">
        <v>0.156</v>
      </c>
      <c r="AB2538" s="8">
        <v>2.1000000000000001E-2</v>
      </c>
      <c r="AC2538" s="8">
        <v>2E-3</v>
      </c>
    </row>
    <row r="2539" spans="1:29" ht="11.65" x14ac:dyDescent="0.35">
      <c r="A2539" s="12">
        <v>2522</v>
      </c>
      <c r="B2539" s="10" t="s">
        <v>1015</v>
      </c>
      <c r="C2539" s="11" t="s">
        <v>1192</v>
      </c>
      <c r="D2539" s="9"/>
      <c r="E2539" s="9">
        <v>222</v>
      </c>
      <c r="F2539" s="10" t="s">
        <v>1066</v>
      </c>
      <c r="G2539" s="9">
        <v>916</v>
      </c>
      <c r="H2539" s="9">
        <v>1955</v>
      </c>
      <c r="I2539" s="8">
        <v>221.67400000000001</v>
      </c>
      <c r="J2539" s="8">
        <v>167.518</v>
      </c>
      <c r="K2539" s="8">
        <v>142.26</v>
      </c>
      <c r="L2539" s="8">
        <v>123.149</v>
      </c>
      <c r="M2539" s="8">
        <v>101.52200000000001</v>
      </c>
      <c r="N2539" s="8">
        <v>83.171000000000006</v>
      </c>
      <c r="O2539" s="8">
        <v>73.38</v>
      </c>
      <c r="P2539" s="8">
        <v>61.222000000000001</v>
      </c>
      <c r="Q2539" s="8">
        <v>51.048000000000002</v>
      </c>
      <c r="R2539" s="8">
        <v>43.418999999999997</v>
      </c>
      <c r="S2539" s="8">
        <v>36.204999999999998</v>
      </c>
      <c r="T2539" s="8">
        <v>29.247</v>
      </c>
      <c r="U2539" s="8">
        <v>22.696000000000002</v>
      </c>
      <c r="V2539" s="8">
        <v>16.789000000000001</v>
      </c>
      <c r="W2539" s="8">
        <v>11.215999999999999</v>
      </c>
      <c r="X2539" s="8">
        <v>6.3029999999999999</v>
      </c>
      <c r="Y2539" s="8">
        <v>2.702</v>
      </c>
      <c r="Z2539" s="8">
        <v>0.71299999999999997</v>
      </c>
      <c r="AA2539" s="8">
        <v>0.11600000000000001</v>
      </c>
      <c r="AB2539" s="8">
        <v>1.2E-2</v>
      </c>
      <c r="AC2539" s="8">
        <v>1E-3</v>
      </c>
    </row>
    <row r="2540" spans="1:29" ht="11.65" x14ac:dyDescent="0.35">
      <c r="A2540" s="12">
        <v>2523</v>
      </c>
      <c r="B2540" s="10" t="s">
        <v>1015</v>
      </c>
      <c r="C2540" s="11" t="s">
        <v>1192</v>
      </c>
      <c r="D2540" s="9"/>
      <c r="E2540" s="9">
        <v>222</v>
      </c>
      <c r="F2540" s="10" t="s">
        <v>1066</v>
      </c>
      <c r="G2540" s="9">
        <v>916</v>
      </c>
      <c r="H2540" s="9">
        <v>1960</v>
      </c>
      <c r="I2540" s="8">
        <v>258.55900000000003</v>
      </c>
      <c r="J2540" s="8">
        <v>205.386</v>
      </c>
      <c r="K2540" s="8">
        <v>161.511</v>
      </c>
      <c r="L2540" s="8">
        <v>133.83600000000001</v>
      </c>
      <c r="M2540" s="8">
        <v>113.843</v>
      </c>
      <c r="N2540" s="8">
        <v>95.715000000000003</v>
      </c>
      <c r="O2540" s="8">
        <v>79.585999999999999</v>
      </c>
      <c r="P2540" s="8">
        <v>69.962000000000003</v>
      </c>
      <c r="Q2540" s="8">
        <v>58.005000000000003</v>
      </c>
      <c r="R2540" s="8">
        <v>47.835999999999999</v>
      </c>
      <c r="S2540" s="8">
        <v>39.956000000000003</v>
      </c>
      <c r="T2540" s="8">
        <v>32.377000000000002</v>
      </c>
      <c r="U2540" s="8">
        <v>24.931000000000001</v>
      </c>
      <c r="V2540" s="8">
        <v>17.965</v>
      </c>
      <c r="W2540" s="8">
        <v>11.848000000000001</v>
      </c>
      <c r="X2540" s="8">
        <v>6.6310000000000002</v>
      </c>
      <c r="Y2540" s="8">
        <v>2.86</v>
      </c>
      <c r="Z2540" s="8">
        <v>0.84699999999999998</v>
      </c>
      <c r="AA2540" s="8">
        <v>0.13700000000000001</v>
      </c>
      <c r="AB2540" s="8">
        <v>1.2E-2</v>
      </c>
      <c r="AC2540" s="8">
        <v>1E-3</v>
      </c>
    </row>
    <row r="2541" spans="1:29" ht="11.65" x14ac:dyDescent="0.35">
      <c r="A2541" s="12">
        <v>2524</v>
      </c>
      <c r="B2541" s="10" t="s">
        <v>1015</v>
      </c>
      <c r="C2541" s="11" t="s">
        <v>1192</v>
      </c>
      <c r="D2541" s="9"/>
      <c r="E2541" s="9">
        <v>222</v>
      </c>
      <c r="F2541" s="10" t="s">
        <v>1066</v>
      </c>
      <c r="G2541" s="9">
        <v>916</v>
      </c>
      <c r="H2541" s="9">
        <v>1965</v>
      </c>
      <c r="I2541" s="8">
        <v>297.33100000000002</v>
      </c>
      <c r="J2541" s="8">
        <v>241.596</v>
      </c>
      <c r="K2541" s="8">
        <v>201.291</v>
      </c>
      <c r="L2541" s="8">
        <v>155.97200000000001</v>
      </c>
      <c r="M2541" s="8">
        <v>128</v>
      </c>
      <c r="N2541" s="8">
        <v>112.42400000000001</v>
      </c>
      <c r="O2541" s="8">
        <v>94.828000000000003</v>
      </c>
      <c r="P2541" s="8">
        <v>77.039000000000001</v>
      </c>
      <c r="Q2541" s="8">
        <v>66.765000000000001</v>
      </c>
      <c r="R2541" s="8">
        <v>54.74</v>
      </c>
      <c r="S2541" s="8">
        <v>44.491999999999997</v>
      </c>
      <c r="T2541" s="8">
        <v>36.404000000000003</v>
      </c>
      <c r="U2541" s="8">
        <v>28.402000000000001</v>
      </c>
      <c r="V2541" s="8">
        <v>20.539000000000001</v>
      </c>
      <c r="W2541" s="8">
        <v>13.436</v>
      </c>
      <c r="X2541" s="8">
        <v>7.5890000000000004</v>
      </c>
      <c r="Y2541" s="8">
        <v>3.343</v>
      </c>
      <c r="Z2541" s="8">
        <v>1.0129999999999999</v>
      </c>
      <c r="AA2541" s="8">
        <v>0.185</v>
      </c>
      <c r="AB2541" s="8">
        <v>1.4999999999999999E-2</v>
      </c>
      <c r="AC2541" s="8">
        <v>1E-3</v>
      </c>
    </row>
    <row r="2542" spans="1:29" ht="11.65" x14ac:dyDescent="0.35">
      <c r="A2542" s="12">
        <v>2525</v>
      </c>
      <c r="B2542" s="10" t="s">
        <v>1015</v>
      </c>
      <c r="C2542" s="11" t="s">
        <v>1192</v>
      </c>
      <c r="D2542" s="9"/>
      <c r="E2542" s="9">
        <v>222</v>
      </c>
      <c r="F2542" s="10" t="s">
        <v>1066</v>
      </c>
      <c r="G2542" s="9">
        <v>916</v>
      </c>
      <c r="H2542" s="9">
        <v>1970</v>
      </c>
      <c r="I2542" s="8">
        <v>329.18299999999999</v>
      </c>
      <c r="J2542" s="8">
        <v>280.22699999999998</v>
      </c>
      <c r="K2542" s="8">
        <v>236.34700000000001</v>
      </c>
      <c r="L2542" s="8">
        <v>193.43899999999999</v>
      </c>
      <c r="M2542" s="8">
        <v>147.48599999999999</v>
      </c>
      <c r="N2542" s="8">
        <v>123.378</v>
      </c>
      <c r="O2542" s="8">
        <v>109.944</v>
      </c>
      <c r="P2542" s="8">
        <v>92.331000000000003</v>
      </c>
      <c r="Q2542" s="8">
        <v>73.861000000000004</v>
      </c>
      <c r="R2542" s="8">
        <v>63.011000000000003</v>
      </c>
      <c r="S2542" s="8">
        <v>50.892000000000003</v>
      </c>
      <c r="T2542" s="8">
        <v>40.511000000000003</v>
      </c>
      <c r="U2542" s="8">
        <v>31.989000000000001</v>
      </c>
      <c r="V2542" s="8">
        <v>23.521999999999998</v>
      </c>
      <c r="W2542" s="8">
        <v>15.452999999999999</v>
      </c>
      <c r="X2542" s="8">
        <v>8.6839999999999993</v>
      </c>
      <c r="Y2542" s="8">
        <v>3.863</v>
      </c>
      <c r="Z2542" s="8">
        <v>1.1950000000000001</v>
      </c>
      <c r="AA2542" s="8">
        <v>0.222</v>
      </c>
      <c r="AB2542" s="8">
        <v>2.1000000000000001E-2</v>
      </c>
      <c r="AC2542" s="8">
        <v>1E-3</v>
      </c>
    </row>
    <row r="2543" spans="1:29" ht="11.65" x14ac:dyDescent="0.35">
      <c r="A2543" s="12">
        <v>2526</v>
      </c>
      <c r="B2543" s="10" t="s">
        <v>1015</v>
      </c>
      <c r="C2543" s="11" t="s">
        <v>1192</v>
      </c>
      <c r="D2543" s="9"/>
      <c r="E2543" s="9">
        <v>222</v>
      </c>
      <c r="F2543" s="10" t="s">
        <v>1066</v>
      </c>
      <c r="G2543" s="9">
        <v>916</v>
      </c>
      <c r="H2543" s="9">
        <v>1975</v>
      </c>
      <c r="I2543" s="8">
        <v>361.28399999999999</v>
      </c>
      <c r="J2543" s="8">
        <v>309.24299999999999</v>
      </c>
      <c r="K2543" s="8">
        <v>266.96699999999998</v>
      </c>
      <c r="L2543" s="8">
        <v>220.74299999999999</v>
      </c>
      <c r="M2543" s="8">
        <v>178.79300000000001</v>
      </c>
      <c r="N2543" s="8">
        <v>137.59</v>
      </c>
      <c r="O2543" s="8">
        <v>117.49299999999999</v>
      </c>
      <c r="P2543" s="8">
        <v>105.694</v>
      </c>
      <c r="Q2543" s="8">
        <v>88.552999999999997</v>
      </c>
      <c r="R2543" s="8">
        <v>70.200999999999993</v>
      </c>
      <c r="S2543" s="8">
        <v>59.101999999999997</v>
      </c>
      <c r="T2543" s="8">
        <v>46.701999999999998</v>
      </c>
      <c r="U2543" s="8">
        <v>35.844000000000001</v>
      </c>
      <c r="V2543" s="8">
        <v>26.722999999999999</v>
      </c>
      <c r="W2543" s="8">
        <v>17.943999999999999</v>
      </c>
      <c r="X2543" s="8">
        <v>10.182</v>
      </c>
      <c r="Y2543" s="8">
        <v>4.5469999999999997</v>
      </c>
      <c r="Z2543" s="8">
        <v>1.43</v>
      </c>
      <c r="AA2543" s="8">
        <v>0.27300000000000002</v>
      </c>
      <c r="AB2543" s="8">
        <v>2.9000000000000001E-2</v>
      </c>
      <c r="AC2543" s="8">
        <v>2E-3</v>
      </c>
    </row>
    <row r="2544" spans="1:29" ht="11.65" x14ac:dyDescent="0.35">
      <c r="A2544" s="12">
        <v>2527</v>
      </c>
      <c r="B2544" s="10" t="s">
        <v>1015</v>
      </c>
      <c r="C2544" s="11" t="s">
        <v>1192</v>
      </c>
      <c r="D2544" s="9"/>
      <c r="E2544" s="9">
        <v>222</v>
      </c>
      <c r="F2544" s="10" t="s">
        <v>1066</v>
      </c>
      <c r="G2544" s="9">
        <v>916</v>
      </c>
      <c r="H2544" s="9">
        <v>1980</v>
      </c>
      <c r="I2544" s="8">
        <v>385.74299999999999</v>
      </c>
      <c r="J2544" s="8">
        <v>339.39499999999998</v>
      </c>
      <c r="K2544" s="8">
        <v>289.786</v>
      </c>
      <c r="L2544" s="8">
        <v>242.43100000000001</v>
      </c>
      <c r="M2544" s="8">
        <v>196.01599999999999</v>
      </c>
      <c r="N2544" s="8">
        <v>158.76</v>
      </c>
      <c r="O2544" s="8">
        <v>124.919</v>
      </c>
      <c r="P2544" s="8">
        <v>109.63500000000001</v>
      </c>
      <c r="Q2544" s="8">
        <v>99.748000000000005</v>
      </c>
      <c r="R2544" s="8">
        <v>83.421999999999997</v>
      </c>
      <c r="S2544" s="8">
        <v>65.515000000000001</v>
      </c>
      <c r="T2544" s="8">
        <v>54.298999999999999</v>
      </c>
      <c r="U2544" s="8">
        <v>41.598999999999997</v>
      </c>
      <c r="V2544" s="8">
        <v>30.376999999999999</v>
      </c>
      <c r="W2544" s="8">
        <v>20.908999999999999</v>
      </c>
      <c r="X2544" s="8">
        <v>12.286</v>
      </c>
      <c r="Y2544" s="8">
        <v>5.6150000000000002</v>
      </c>
      <c r="Z2544" s="8">
        <v>1.7969999999999999</v>
      </c>
      <c r="AA2544" s="8">
        <v>0.35499999999999998</v>
      </c>
      <c r="AB2544" s="8">
        <v>3.7999999999999999E-2</v>
      </c>
      <c r="AC2544" s="8">
        <v>2E-3</v>
      </c>
    </row>
    <row r="2545" spans="1:29" ht="11.65" x14ac:dyDescent="0.35">
      <c r="A2545" s="12">
        <v>2528</v>
      </c>
      <c r="B2545" s="10" t="s">
        <v>1015</v>
      </c>
      <c r="C2545" s="11" t="s">
        <v>1192</v>
      </c>
      <c r="D2545" s="9"/>
      <c r="E2545" s="9">
        <v>222</v>
      </c>
      <c r="F2545" s="10" t="s">
        <v>1066</v>
      </c>
      <c r="G2545" s="9">
        <v>916</v>
      </c>
      <c r="H2545" s="9">
        <v>1985</v>
      </c>
      <c r="I2545" s="8">
        <v>382.387</v>
      </c>
      <c r="J2545" s="8">
        <v>361.23</v>
      </c>
      <c r="K2545" s="8">
        <v>313.976</v>
      </c>
      <c r="L2545" s="8">
        <v>256.16699999999997</v>
      </c>
      <c r="M2545" s="8">
        <v>208.78800000000001</v>
      </c>
      <c r="N2545" s="8">
        <v>169.304</v>
      </c>
      <c r="O2545" s="8">
        <v>141.31100000000001</v>
      </c>
      <c r="P2545" s="8">
        <v>114.80500000000001</v>
      </c>
      <c r="Q2545" s="8">
        <v>102.974</v>
      </c>
      <c r="R2545" s="8">
        <v>94.406999999999996</v>
      </c>
      <c r="S2545" s="8">
        <v>78.691999999999993</v>
      </c>
      <c r="T2545" s="8">
        <v>60.878999999999998</v>
      </c>
      <c r="U2545" s="8">
        <v>49.003</v>
      </c>
      <c r="V2545" s="8">
        <v>35.875</v>
      </c>
      <c r="W2545" s="8">
        <v>24.303999999999998</v>
      </c>
      <c r="X2545" s="8">
        <v>14.711</v>
      </c>
      <c r="Y2545" s="8">
        <v>6.9969999999999999</v>
      </c>
      <c r="Z2545" s="8">
        <v>2.302</v>
      </c>
      <c r="AA2545" s="8">
        <v>0.45900000000000002</v>
      </c>
      <c r="AB2545" s="8">
        <v>5.0999999999999997E-2</v>
      </c>
      <c r="AC2545" s="8">
        <v>3.0000000000000001E-3</v>
      </c>
    </row>
    <row r="2546" spans="1:29" ht="11.65" x14ac:dyDescent="0.35">
      <c r="A2546" s="12">
        <v>2529</v>
      </c>
      <c r="B2546" s="10" t="s">
        <v>1015</v>
      </c>
      <c r="C2546" s="11" t="s">
        <v>1192</v>
      </c>
      <c r="D2546" s="9"/>
      <c r="E2546" s="9">
        <v>222</v>
      </c>
      <c r="F2546" s="10" t="s">
        <v>1066</v>
      </c>
      <c r="G2546" s="9">
        <v>916</v>
      </c>
      <c r="H2546" s="9">
        <v>1990</v>
      </c>
      <c r="I2546" s="8">
        <v>380.17</v>
      </c>
      <c r="J2546" s="8">
        <v>355.63</v>
      </c>
      <c r="K2546" s="8">
        <v>330.14299999999997</v>
      </c>
      <c r="L2546" s="8">
        <v>280.34699999999998</v>
      </c>
      <c r="M2546" s="8">
        <v>226.404</v>
      </c>
      <c r="N2546" s="8">
        <v>186.054</v>
      </c>
      <c r="O2546" s="8">
        <v>153.721</v>
      </c>
      <c r="P2546" s="8">
        <v>131.23400000000001</v>
      </c>
      <c r="Q2546" s="8">
        <v>108.459</v>
      </c>
      <c r="R2546" s="8">
        <v>97.876999999999995</v>
      </c>
      <c r="S2546" s="8">
        <v>89.418999999999997</v>
      </c>
      <c r="T2546" s="8">
        <v>73.634</v>
      </c>
      <c r="U2546" s="8">
        <v>55.613999999999997</v>
      </c>
      <c r="V2546" s="8">
        <v>42.99</v>
      </c>
      <c r="W2546" s="8">
        <v>29.347000000000001</v>
      </c>
      <c r="X2546" s="8">
        <v>17.584</v>
      </c>
      <c r="Y2546" s="8">
        <v>8.6709999999999994</v>
      </c>
      <c r="Z2546" s="8">
        <v>2.988</v>
      </c>
      <c r="AA2546" s="8">
        <v>0.61599999999999999</v>
      </c>
      <c r="AB2546" s="8">
        <v>6.8000000000000005E-2</v>
      </c>
      <c r="AC2546" s="8">
        <v>4.0000000000000001E-3</v>
      </c>
    </row>
    <row r="2547" spans="1:29" ht="11.65" x14ac:dyDescent="0.35">
      <c r="A2547" s="12">
        <v>2530</v>
      </c>
      <c r="B2547" s="10" t="s">
        <v>1015</v>
      </c>
      <c r="C2547" s="11" t="s">
        <v>1192</v>
      </c>
      <c r="D2547" s="9"/>
      <c r="E2547" s="9">
        <v>222</v>
      </c>
      <c r="F2547" s="10" t="s">
        <v>1066</v>
      </c>
      <c r="G2547" s="9">
        <v>916</v>
      </c>
      <c r="H2547" s="9">
        <v>1995</v>
      </c>
      <c r="I2547" s="8">
        <v>396.93599999999998</v>
      </c>
      <c r="J2547" s="8">
        <v>360.51400000000001</v>
      </c>
      <c r="K2547" s="8">
        <v>323.69400000000002</v>
      </c>
      <c r="L2547" s="8">
        <v>291.43900000000002</v>
      </c>
      <c r="M2547" s="8">
        <v>246.238</v>
      </c>
      <c r="N2547" s="8">
        <v>202.82</v>
      </c>
      <c r="O2547" s="8">
        <v>171.928</v>
      </c>
      <c r="P2547" s="8">
        <v>144.93899999999999</v>
      </c>
      <c r="Q2547" s="8">
        <v>124.72</v>
      </c>
      <c r="R2547" s="8">
        <v>103.4</v>
      </c>
      <c r="S2547" s="8">
        <v>93.100999999999999</v>
      </c>
      <c r="T2547" s="8">
        <v>83.923000000000002</v>
      </c>
      <c r="U2547" s="8">
        <v>67.379000000000005</v>
      </c>
      <c r="V2547" s="8">
        <v>48.887</v>
      </c>
      <c r="W2547" s="8">
        <v>35.383000000000003</v>
      </c>
      <c r="X2547" s="8">
        <v>21.494</v>
      </c>
      <c r="Y2547" s="8">
        <v>10.525</v>
      </c>
      <c r="Z2547" s="8">
        <v>3.7450000000000001</v>
      </c>
      <c r="AA2547" s="8">
        <v>0.79500000000000004</v>
      </c>
      <c r="AB2547" s="8">
        <v>8.7999999999999995E-2</v>
      </c>
      <c r="AC2547" s="8">
        <v>5.0000000000000001E-3</v>
      </c>
    </row>
    <row r="2548" spans="1:29" ht="11.65" x14ac:dyDescent="0.35">
      <c r="A2548" s="12">
        <v>2531</v>
      </c>
      <c r="B2548" s="10" t="s">
        <v>1015</v>
      </c>
      <c r="C2548" s="11" t="s">
        <v>1192</v>
      </c>
      <c r="D2548" s="9"/>
      <c r="E2548" s="9">
        <v>222</v>
      </c>
      <c r="F2548" s="10" t="s">
        <v>1066</v>
      </c>
      <c r="G2548" s="9">
        <v>916</v>
      </c>
      <c r="H2548" s="9">
        <v>2000</v>
      </c>
      <c r="I2548" s="8">
        <v>384.52800000000002</v>
      </c>
      <c r="J2548" s="8">
        <v>380.762</v>
      </c>
      <c r="K2548" s="8">
        <v>332.904</v>
      </c>
      <c r="L2548" s="8">
        <v>286.91699999999997</v>
      </c>
      <c r="M2548" s="8">
        <v>252.07599999999999</v>
      </c>
      <c r="N2548" s="8">
        <v>212.74199999999999</v>
      </c>
      <c r="O2548" s="8">
        <v>180.893</v>
      </c>
      <c r="P2548" s="8">
        <v>157.15</v>
      </c>
      <c r="Q2548" s="8">
        <v>133.18199999999999</v>
      </c>
      <c r="R2548" s="8">
        <v>114.75700000000001</v>
      </c>
      <c r="S2548" s="8">
        <v>94.822999999999993</v>
      </c>
      <c r="T2548" s="8">
        <v>84.879000000000005</v>
      </c>
      <c r="U2548" s="8">
        <v>75.304000000000002</v>
      </c>
      <c r="V2548" s="8">
        <v>58.831000000000003</v>
      </c>
      <c r="W2548" s="8">
        <v>40.552999999999997</v>
      </c>
      <c r="X2548" s="8">
        <v>26.501000000000001</v>
      </c>
      <c r="Y2548" s="8">
        <v>13.382999999999999</v>
      </c>
      <c r="Z2548" s="8">
        <v>4.8010000000000002</v>
      </c>
      <c r="AA2548" s="8">
        <v>1.0760000000000001</v>
      </c>
      <c r="AB2548" s="8">
        <v>0.123</v>
      </c>
      <c r="AC2548" s="8">
        <v>7.0000000000000001E-3</v>
      </c>
    </row>
    <row r="2549" spans="1:29" ht="11.65" x14ac:dyDescent="0.35">
      <c r="A2549" s="12">
        <v>2532</v>
      </c>
      <c r="B2549" s="10" t="s">
        <v>1015</v>
      </c>
      <c r="C2549" s="11" t="s">
        <v>1192</v>
      </c>
      <c r="D2549" s="9"/>
      <c r="E2549" s="9">
        <v>222</v>
      </c>
      <c r="F2549" s="10" t="s">
        <v>1066</v>
      </c>
      <c r="G2549" s="9">
        <v>916</v>
      </c>
      <c r="H2549" s="9">
        <v>2005</v>
      </c>
      <c r="I2549" s="8">
        <v>333.74</v>
      </c>
      <c r="J2549" s="8">
        <v>374.34199999999998</v>
      </c>
      <c r="K2549" s="8">
        <v>364.47399999999999</v>
      </c>
      <c r="L2549" s="8">
        <v>302.17</v>
      </c>
      <c r="M2549" s="8">
        <v>247.09200000000001</v>
      </c>
      <c r="N2549" s="8">
        <v>215.21299999999999</v>
      </c>
      <c r="O2549" s="8">
        <v>186.30699999999999</v>
      </c>
      <c r="P2549" s="8">
        <v>163.06700000000001</v>
      </c>
      <c r="Q2549" s="8">
        <v>142.88300000000001</v>
      </c>
      <c r="R2549" s="8">
        <v>121.044</v>
      </c>
      <c r="S2549" s="8">
        <v>104.37</v>
      </c>
      <c r="T2549" s="8">
        <v>85.596000000000004</v>
      </c>
      <c r="U2549" s="8">
        <v>75.67</v>
      </c>
      <c r="V2549" s="8">
        <v>65.796999999999997</v>
      </c>
      <c r="W2549" s="8">
        <v>49.432000000000002</v>
      </c>
      <c r="X2549" s="8">
        <v>31.398</v>
      </c>
      <c r="Y2549" s="8">
        <v>17.486000000000001</v>
      </c>
      <c r="Z2549" s="8">
        <v>6.6870000000000003</v>
      </c>
      <c r="AA2549" s="8">
        <v>1.5720000000000001</v>
      </c>
      <c r="AB2549" s="8">
        <v>0.19900000000000001</v>
      </c>
      <c r="AC2549" s="8">
        <v>1.2E-2</v>
      </c>
    </row>
    <row r="2550" spans="1:29" ht="11.65" x14ac:dyDescent="0.35">
      <c r="A2550" s="12">
        <v>2533</v>
      </c>
      <c r="B2550" s="10" t="s">
        <v>1015</v>
      </c>
      <c r="C2550" s="11" t="s">
        <v>1192</v>
      </c>
      <c r="D2550" s="9"/>
      <c r="E2550" s="9">
        <v>222</v>
      </c>
      <c r="F2550" s="10" t="s">
        <v>1066</v>
      </c>
      <c r="G2550" s="9">
        <v>916</v>
      </c>
      <c r="H2550" s="9">
        <v>2010</v>
      </c>
      <c r="I2550" s="8">
        <v>310.01600000000002</v>
      </c>
      <c r="J2550" s="8">
        <v>325.17500000000001</v>
      </c>
      <c r="K2550" s="8">
        <v>363.096</v>
      </c>
      <c r="L2550" s="8">
        <v>335.863</v>
      </c>
      <c r="M2550" s="8">
        <v>263.495</v>
      </c>
      <c r="N2550" s="8">
        <v>212.274</v>
      </c>
      <c r="O2550" s="8">
        <v>190.54</v>
      </c>
      <c r="P2550" s="8">
        <v>169.95699999999999</v>
      </c>
      <c r="Q2550" s="8">
        <v>149.36199999999999</v>
      </c>
      <c r="R2550" s="8">
        <v>130.92599999999999</v>
      </c>
      <c r="S2550" s="8">
        <v>110.955</v>
      </c>
      <c r="T2550" s="8">
        <v>94.984999999999999</v>
      </c>
      <c r="U2550" s="8">
        <v>76.522999999999996</v>
      </c>
      <c r="V2550" s="8">
        <v>65.974000000000004</v>
      </c>
      <c r="W2550" s="8">
        <v>55.418999999999997</v>
      </c>
      <c r="X2550" s="8">
        <v>38.834000000000003</v>
      </c>
      <c r="Y2550" s="8">
        <v>21.305</v>
      </c>
      <c r="Z2550" s="8">
        <v>9.1259999999999994</v>
      </c>
      <c r="AA2550" s="8">
        <v>2.3220000000000001</v>
      </c>
      <c r="AB2550" s="8">
        <v>0.311</v>
      </c>
      <c r="AC2550" s="8">
        <v>2.1000000000000001E-2</v>
      </c>
    </row>
    <row r="2551" spans="1:29" ht="11.65" x14ac:dyDescent="0.35">
      <c r="A2551" s="12">
        <v>2534</v>
      </c>
      <c r="B2551" s="10" t="s">
        <v>1015</v>
      </c>
      <c r="C2551" s="11" t="s">
        <v>1192</v>
      </c>
      <c r="D2551" s="9"/>
      <c r="E2551" s="9">
        <v>222</v>
      </c>
      <c r="F2551" s="10" t="s">
        <v>1066</v>
      </c>
      <c r="G2551" s="9">
        <v>916</v>
      </c>
      <c r="H2551" s="9">
        <v>2015</v>
      </c>
      <c r="I2551" s="8">
        <v>297.87400000000002</v>
      </c>
      <c r="J2551" s="8">
        <v>302.96600000000001</v>
      </c>
      <c r="K2551" s="8">
        <v>315.69200000000001</v>
      </c>
      <c r="L2551" s="8">
        <v>339.08</v>
      </c>
      <c r="M2551" s="8">
        <v>302.63099999999997</v>
      </c>
      <c r="N2551" s="8">
        <v>233.42500000000001</v>
      </c>
      <c r="O2551" s="8">
        <v>191.02099999999999</v>
      </c>
      <c r="P2551" s="8">
        <v>176.017</v>
      </c>
      <c r="Q2551" s="8">
        <v>157.626</v>
      </c>
      <c r="R2551" s="8">
        <v>138.40899999999999</v>
      </c>
      <c r="S2551" s="8">
        <v>121.259</v>
      </c>
      <c r="T2551" s="8">
        <v>101.877</v>
      </c>
      <c r="U2551" s="8">
        <v>85.855000000000004</v>
      </c>
      <c r="V2551" s="8">
        <v>67.418000000000006</v>
      </c>
      <c r="W2551" s="8">
        <v>56.219000000000001</v>
      </c>
      <c r="X2551" s="8">
        <v>44.31</v>
      </c>
      <c r="Y2551" s="8">
        <v>27.071999999999999</v>
      </c>
      <c r="Z2551" s="8">
        <v>11.6</v>
      </c>
      <c r="AA2551" s="8">
        <v>3.363</v>
      </c>
      <c r="AB2551" s="8">
        <v>0.48199999999999998</v>
      </c>
      <c r="AC2551" s="8">
        <v>3.3000000000000002E-2</v>
      </c>
    </row>
    <row r="2552" spans="1:29" ht="11.65" x14ac:dyDescent="0.35">
      <c r="A2552" s="12">
        <v>2535</v>
      </c>
      <c r="B2552" s="10" t="s">
        <v>1015</v>
      </c>
      <c r="C2552" s="11" t="s">
        <v>1192</v>
      </c>
      <c r="D2552" s="9"/>
      <c r="E2552" s="9">
        <v>222</v>
      </c>
      <c r="F2552" s="10" t="s">
        <v>1066</v>
      </c>
      <c r="G2552" s="9">
        <v>916</v>
      </c>
      <c r="H2552" s="9">
        <v>2020</v>
      </c>
      <c r="I2552" s="8">
        <v>294.85599999999999</v>
      </c>
      <c r="J2552" s="8">
        <v>292.036</v>
      </c>
      <c r="K2552" s="8">
        <v>294.93700000000001</v>
      </c>
      <c r="L2552" s="8">
        <v>295.84399999999999</v>
      </c>
      <c r="M2552" s="8">
        <v>310.84800000000001</v>
      </c>
      <c r="N2552" s="8">
        <v>275.904</v>
      </c>
      <c r="O2552" s="8">
        <v>214.39599999999999</v>
      </c>
      <c r="P2552" s="8">
        <v>178.19200000000001</v>
      </c>
      <c r="Q2552" s="8">
        <v>164.893</v>
      </c>
      <c r="R2552" s="8">
        <v>147.488</v>
      </c>
      <c r="S2552" s="8">
        <v>129.20500000000001</v>
      </c>
      <c r="T2552" s="8">
        <v>112.25700000000001</v>
      </c>
      <c r="U2552" s="8">
        <v>92.893000000000001</v>
      </c>
      <c r="V2552" s="8">
        <v>76.492999999999995</v>
      </c>
      <c r="W2552" s="8">
        <v>58.107999999999997</v>
      </c>
      <c r="X2552" s="8">
        <v>45.689</v>
      </c>
      <c r="Y2552" s="8">
        <v>31.75</v>
      </c>
      <c r="Z2552" s="8">
        <v>15.345000000000001</v>
      </c>
      <c r="AA2552" s="8">
        <v>4.5</v>
      </c>
      <c r="AB2552" s="8">
        <v>0.73799999999999999</v>
      </c>
      <c r="AC2552" s="8">
        <v>5.1999999999999998E-2</v>
      </c>
    </row>
    <row r="2553" spans="1:29" ht="11.65" x14ac:dyDescent="0.35">
      <c r="A2553" s="12">
        <v>2536</v>
      </c>
      <c r="B2553" s="10" t="s">
        <v>1015</v>
      </c>
      <c r="C2553" s="11" t="s">
        <v>1193</v>
      </c>
      <c r="D2553" s="9"/>
      <c r="E2553" s="9">
        <v>320</v>
      </c>
      <c r="F2553" s="10" t="s">
        <v>1066</v>
      </c>
      <c r="G2553" s="9">
        <v>916</v>
      </c>
      <c r="H2553" s="9">
        <v>1950</v>
      </c>
      <c r="I2553" s="8">
        <v>275.5</v>
      </c>
      <c r="J2553" s="8">
        <v>211.47499999999999</v>
      </c>
      <c r="K2553" s="8">
        <v>185.18299999999999</v>
      </c>
      <c r="L2553" s="8">
        <v>170.46899999999999</v>
      </c>
      <c r="M2553" s="8">
        <v>153.62</v>
      </c>
      <c r="N2553" s="8">
        <v>125.845</v>
      </c>
      <c r="O2553" s="8">
        <v>98.784999999999997</v>
      </c>
      <c r="P2553" s="8">
        <v>82.322999999999993</v>
      </c>
      <c r="Q2553" s="8">
        <v>65.694000000000003</v>
      </c>
      <c r="R2553" s="8">
        <v>58.033999999999999</v>
      </c>
      <c r="S2553" s="8">
        <v>46.151000000000003</v>
      </c>
      <c r="T2553" s="8">
        <v>34.627000000000002</v>
      </c>
      <c r="U2553" s="8">
        <v>26.559000000000001</v>
      </c>
      <c r="V2553" s="8">
        <v>17.806999999999999</v>
      </c>
      <c r="W2553" s="8">
        <v>11.244999999999999</v>
      </c>
      <c r="X2553" s="8">
        <v>5.6520000000000001</v>
      </c>
      <c r="Y2553" s="8">
        <v>2.1739999999999999</v>
      </c>
      <c r="Z2553" s="8">
        <v>0.78200000000000003</v>
      </c>
      <c r="AA2553" s="8">
        <v>0.38500000000000001</v>
      </c>
      <c r="AB2553" s="8">
        <v>0.32700000000000001</v>
      </c>
      <c r="AC2553" s="8">
        <v>0.16700000000000001</v>
      </c>
    </row>
    <row r="2554" spans="1:29" ht="11.65" x14ac:dyDescent="0.35">
      <c r="A2554" s="12">
        <v>2537</v>
      </c>
      <c r="B2554" s="10" t="s">
        <v>1015</v>
      </c>
      <c r="C2554" s="11" t="s">
        <v>1193</v>
      </c>
      <c r="D2554" s="9"/>
      <c r="E2554" s="9">
        <v>320</v>
      </c>
      <c r="F2554" s="10" t="s">
        <v>1066</v>
      </c>
      <c r="G2554" s="9">
        <v>916</v>
      </c>
      <c r="H2554" s="9">
        <v>1955</v>
      </c>
      <c r="I2554" s="8">
        <v>360.63299999999998</v>
      </c>
      <c r="J2554" s="8">
        <v>251.81899999999999</v>
      </c>
      <c r="K2554" s="8">
        <v>205.08500000000001</v>
      </c>
      <c r="L2554" s="8">
        <v>180.465</v>
      </c>
      <c r="M2554" s="8">
        <v>165.221</v>
      </c>
      <c r="N2554" s="8">
        <v>148.03399999999999</v>
      </c>
      <c r="O2554" s="8">
        <v>120.54900000000001</v>
      </c>
      <c r="P2554" s="8">
        <v>94.013999999999996</v>
      </c>
      <c r="Q2554" s="8">
        <v>77.685000000000002</v>
      </c>
      <c r="R2554" s="8">
        <v>61.23</v>
      </c>
      <c r="S2554" s="8">
        <v>53.115000000000002</v>
      </c>
      <c r="T2554" s="8">
        <v>41.104999999999997</v>
      </c>
      <c r="U2554" s="8">
        <v>29.513999999999999</v>
      </c>
      <c r="V2554" s="8">
        <v>21.198</v>
      </c>
      <c r="W2554" s="8">
        <v>13.143000000000001</v>
      </c>
      <c r="X2554" s="8">
        <v>7.1760000000000002</v>
      </c>
      <c r="Y2554" s="8">
        <v>2.8479999999999999</v>
      </c>
      <c r="Z2554" s="8">
        <v>0.77400000000000002</v>
      </c>
      <c r="AA2554" s="8">
        <v>0.17499999999999999</v>
      </c>
      <c r="AB2554" s="8">
        <v>4.9000000000000002E-2</v>
      </c>
      <c r="AC2554" s="8">
        <v>3.5000000000000003E-2</v>
      </c>
    </row>
    <row r="2555" spans="1:29" ht="11.65" x14ac:dyDescent="0.35">
      <c r="A2555" s="12">
        <v>2538</v>
      </c>
      <c r="B2555" s="10" t="s">
        <v>1015</v>
      </c>
      <c r="C2555" s="11" t="s">
        <v>1193</v>
      </c>
      <c r="D2555" s="9"/>
      <c r="E2555" s="9">
        <v>320</v>
      </c>
      <c r="F2555" s="10" t="s">
        <v>1066</v>
      </c>
      <c r="G2555" s="9">
        <v>916</v>
      </c>
      <c r="H2555" s="9">
        <v>1960</v>
      </c>
      <c r="I2555" s="8">
        <v>407.33499999999998</v>
      </c>
      <c r="J2555" s="8">
        <v>331.62200000000001</v>
      </c>
      <c r="K2555" s="8">
        <v>244.83500000000001</v>
      </c>
      <c r="L2555" s="8">
        <v>200.399</v>
      </c>
      <c r="M2555" s="8">
        <v>175.23</v>
      </c>
      <c r="N2555" s="8">
        <v>159.67400000000001</v>
      </c>
      <c r="O2555" s="8">
        <v>142.36799999999999</v>
      </c>
      <c r="P2555" s="8">
        <v>115.307</v>
      </c>
      <c r="Q2555" s="8">
        <v>89.253</v>
      </c>
      <c r="R2555" s="8">
        <v>72.906999999999996</v>
      </c>
      <c r="S2555" s="8">
        <v>56.456000000000003</v>
      </c>
      <c r="T2555" s="8">
        <v>47.698999999999998</v>
      </c>
      <c r="U2555" s="8">
        <v>35.390999999999998</v>
      </c>
      <c r="V2555" s="8">
        <v>23.885000000000002</v>
      </c>
      <c r="W2555" s="8">
        <v>15.942</v>
      </c>
      <c r="X2555" s="8">
        <v>8.6059999999999999</v>
      </c>
      <c r="Y2555" s="8">
        <v>3.7450000000000001</v>
      </c>
      <c r="Z2555" s="8">
        <v>1.0580000000000001</v>
      </c>
      <c r="AA2555" s="8">
        <v>0.18099999999999999</v>
      </c>
      <c r="AB2555" s="8">
        <v>2.1999999999999999E-2</v>
      </c>
      <c r="AC2555" s="8">
        <v>6.0000000000000001E-3</v>
      </c>
    </row>
    <row r="2556" spans="1:29" ht="11.65" x14ac:dyDescent="0.35">
      <c r="A2556" s="12">
        <v>2539</v>
      </c>
      <c r="B2556" s="10" t="s">
        <v>1015</v>
      </c>
      <c r="C2556" s="11" t="s">
        <v>1193</v>
      </c>
      <c r="D2556" s="9"/>
      <c r="E2556" s="9">
        <v>320</v>
      </c>
      <c r="F2556" s="10" t="s">
        <v>1066</v>
      </c>
      <c r="G2556" s="9">
        <v>916</v>
      </c>
      <c r="H2556" s="9">
        <v>1965</v>
      </c>
      <c r="I2556" s="8">
        <v>454.16800000000001</v>
      </c>
      <c r="J2556" s="8">
        <v>377.702</v>
      </c>
      <c r="K2556" s="8">
        <v>323.00400000000002</v>
      </c>
      <c r="L2556" s="8">
        <v>239.49100000000001</v>
      </c>
      <c r="M2556" s="8">
        <v>194.48</v>
      </c>
      <c r="N2556" s="8">
        <v>169.06100000000001</v>
      </c>
      <c r="O2556" s="8">
        <v>153.709</v>
      </c>
      <c r="P2556" s="8">
        <v>136.55500000000001</v>
      </c>
      <c r="Q2556" s="8">
        <v>109.9</v>
      </c>
      <c r="R2556" s="8">
        <v>84.153000000000006</v>
      </c>
      <c r="S2556" s="8">
        <v>67.554000000000002</v>
      </c>
      <c r="T2556" s="8">
        <v>50.948</v>
      </c>
      <c r="U2556" s="8">
        <v>41.301000000000002</v>
      </c>
      <c r="V2556" s="8">
        <v>28.870999999999999</v>
      </c>
      <c r="W2556" s="8">
        <v>18.143000000000001</v>
      </c>
      <c r="X2556" s="8">
        <v>10.576000000000001</v>
      </c>
      <c r="Y2556" s="8">
        <v>4.5679999999999996</v>
      </c>
      <c r="Z2556" s="8">
        <v>1.4159999999999999</v>
      </c>
      <c r="AA2556" s="8">
        <v>0.252</v>
      </c>
      <c r="AB2556" s="8">
        <v>2.5000000000000001E-2</v>
      </c>
      <c r="AC2556" s="8">
        <v>2E-3</v>
      </c>
    </row>
    <row r="2557" spans="1:29" ht="11.65" x14ac:dyDescent="0.35">
      <c r="A2557" s="12">
        <v>2540</v>
      </c>
      <c r="B2557" s="10" t="s">
        <v>1015</v>
      </c>
      <c r="C2557" s="11" t="s">
        <v>1193</v>
      </c>
      <c r="D2557" s="9"/>
      <c r="E2557" s="9">
        <v>320</v>
      </c>
      <c r="F2557" s="10" t="s">
        <v>1066</v>
      </c>
      <c r="G2557" s="9">
        <v>916</v>
      </c>
      <c r="H2557" s="9">
        <v>1970</v>
      </c>
      <c r="I2557" s="8">
        <v>519.53399999999999</v>
      </c>
      <c r="J2557" s="8">
        <v>424.04500000000002</v>
      </c>
      <c r="K2557" s="8">
        <v>367.82</v>
      </c>
      <c r="L2557" s="8">
        <v>315.25</v>
      </c>
      <c r="M2557" s="8">
        <v>229.74799999999999</v>
      </c>
      <c r="N2557" s="8">
        <v>185.684</v>
      </c>
      <c r="O2557" s="8">
        <v>161.32300000000001</v>
      </c>
      <c r="P2557" s="8">
        <v>146.899</v>
      </c>
      <c r="Q2557" s="8">
        <v>130.26400000000001</v>
      </c>
      <c r="R2557" s="8">
        <v>104.004</v>
      </c>
      <c r="S2557" s="8">
        <v>78.347999999999999</v>
      </c>
      <c r="T2557" s="8">
        <v>61.317</v>
      </c>
      <c r="U2557" s="8">
        <v>44.48</v>
      </c>
      <c r="V2557" s="8">
        <v>34.012</v>
      </c>
      <c r="W2557" s="8">
        <v>22.187999999999999</v>
      </c>
      <c r="X2557" s="8">
        <v>12.244999999999999</v>
      </c>
      <c r="Y2557" s="8">
        <v>5.7350000000000003</v>
      </c>
      <c r="Z2557" s="8">
        <v>1.7749999999999999</v>
      </c>
      <c r="AA2557" s="8">
        <v>0.34899999999999998</v>
      </c>
      <c r="AB2557" s="8">
        <v>3.5000000000000003E-2</v>
      </c>
      <c r="AC2557" s="8">
        <v>2E-3</v>
      </c>
    </row>
    <row r="2558" spans="1:29" ht="11.65" x14ac:dyDescent="0.35">
      <c r="A2558" s="12">
        <v>2541</v>
      </c>
      <c r="B2558" s="10" t="s">
        <v>1015</v>
      </c>
      <c r="C2558" s="11" t="s">
        <v>1193</v>
      </c>
      <c r="D2558" s="9"/>
      <c r="E2558" s="9">
        <v>320</v>
      </c>
      <c r="F2558" s="10" t="s">
        <v>1066</v>
      </c>
      <c r="G2558" s="9">
        <v>916</v>
      </c>
      <c r="H2558" s="9">
        <v>1975</v>
      </c>
      <c r="I2558" s="8">
        <v>599.72400000000005</v>
      </c>
      <c r="J2558" s="8">
        <v>486.07100000000003</v>
      </c>
      <c r="K2558" s="8">
        <v>409.58300000000003</v>
      </c>
      <c r="L2558" s="8">
        <v>353.959</v>
      </c>
      <c r="M2558" s="8">
        <v>292.947</v>
      </c>
      <c r="N2558" s="8">
        <v>211.41</v>
      </c>
      <c r="O2558" s="8">
        <v>171.62799999999999</v>
      </c>
      <c r="P2558" s="8">
        <v>151.24600000000001</v>
      </c>
      <c r="Q2558" s="8">
        <v>138.96799999999999</v>
      </c>
      <c r="R2558" s="8">
        <v>123.114</v>
      </c>
      <c r="S2558" s="8">
        <v>97.004000000000005</v>
      </c>
      <c r="T2558" s="8">
        <v>71.256</v>
      </c>
      <c r="U2558" s="8">
        <v>53.73</v>
      </c>
      <c r="V2558" s="8">
        <v>36.826999999999998</v>
      </c>
      <c r="W2558" s="8">
        <v>26.268999999999998</v>
      </c>
      <c r="X2558" s="8">
        <v>15.144</v>
      </c>
      <c r="Y2558" s="8">
        <v>6.7290000000000001</v>
      </c>
      <c r="Z2558" s="8">
        <v>2.2599999999999998</v>
      </c>
      <c r="AA2558" s="8">
        <v>0.442</v>
      </c>
      <c r="AB2558" s="8">
        <v>0.05</v>
      </c>
      <c r="AC2558" s="8">
        <v>3.0000000000000001E-3</v>
      </c>
    </row>
    <row r="2559" spans="1:29" ht="11.65" x14ac:dyDescent="0.35">
      <c r="A2559" s="12">
        <v>2542</v>
      </c>
      <c r="B2559" s="10" t="s">
        <v>1015</v>
      </c>
      <c r="C2559" s="11" t="s">
        <v>1193</v>
      </c>
      <c r="D2559" s="9"/>
      <c r="E2559" s="9">
        <v>320</v>
      </c>
      <c r="F2559" s="10" t="s">
        <v>1066</v>
      </c>
      <c r="G2559" s="9">
        <v>916</v>
      </c>
      <c r="H2559" s="9">
        <v>1980</v>
      </c>
      <c r="I2559" s="8">
        <v>686.3</v>
      </c>
      <c r="J2559" s="8">
        <v>561.36800000000005</v>
      </c>
      <c r="K2559" s="8">
        <v>465.23399999999998</v>
      </c>
      <c r="L2559" s="8">
        <v>387.43099999999998</v>
      </c>
      <c r="M2559" s="8">
        <v>314.685</v>
      </c>
      <c r="N2559" s="8">
        <v>261.27300000000002</v>
      </c>
      <c r="O2559" s="8">
        <v>187.233</v>
      </c>
      <c r="P2559" s="8">
        <v>155.988</v>
      </c>
      <c r="Q2559" s="8">
        <v>141.05000000000001</v>
      </c>
      <c r="R2559" s="8">
        <v>130.47900000000001</v>
      </c>
      <c r="S2559" s="8">
        <v>114.51900000000001</v>
      </c>
      <c r="T2559" s="8">
        <v>88.09</v>
      </c>
      <c r="U2559" s="8">
        <v>62.569000000000003</v>
      </c>
      <c r="V2559" s="8">
        <v>44.643000000000001</v>
      </c>
      <c r="W2559" s="8">
        <v>28.692</v>
      </c>
      <c r="X2559" s="8">
        <v>18.076000000000001</v>
      </c>
      <c r="Y2559" s="8">
        <v>8.4949999999999992</v>
      </c>
      <c r="Z2559" s="8">
        <v>2.706</v>
      </c>
      <c r="AA2559" s="8">
        <v>0.57499999999999996</v>
      </c>
      <c r="AB2559" s="8">
        <v>6.3E-2</v>
      </c>
      <c r="AC2559" s="8">
        <v>4.0000000000000001E-3</v>
      </c>
    </row>
    <row r="2560" spans="1:29" ht="11.65" x14ac:dyDescent="0.35">
      <c r="A2560" s="12">
        <v>2543</v>
      </c>
      <c r="B2560" s="10" t="s">
        <v>1015</v>
      </c>
      <c r="C2560" s="11" t="s">
        <v>1193</v>
      </c>
      <c r="D2560" s="9"/>
      <c r="E2560" s="9">
        <v>320</v>
      </c>
      <c r="F2560" s="10" t="s">
        <v>1066</v>
      </c>
      <c r="G2560" s="9">
        <v>916</v>
      </c>
      <c r="H2560" s="9">
        <v>1985</v>
      </c>
      <c r="I2560" s="8">
        <v>760.44200000000001</v>
      </c>
      <c r="J2560" s="8">
        <v>648.90899999999999</v>
      </c>
      <c r="K2560" s="8">
        <v>539.70600000000002</v>
      </c>
      <c r="L2560" s="8">
        <v>440.96899999999999</v>
      </c>
      <c r="M2560" s="8">
        <v>344.37099999999998</v>
      </c>
      <c r="N2560" s="8">
        <v>279.416</v>
      </c>
      <c r="O2560" s="8">
        <v>233.05600000000001</v>
      </c>
      <c r="P2560" s="8">
        <v>169.19300000000001</v>
      </c>
      <c r="Q2560" s="8">
        <v>144.67400000000001</v>
      </c>
      <c r="R2560" s="8">
        <v>132.33500000000001</v>
      </c>
      <c r="S2560" s="8">
        <v>121.5</v>
      </c>
      <c r="T2560" s="8">
        <v>104.57899999999999</v>
      </c>
      <c r="U2560" s="8">
        <v>77.844999999999999</v>
      </c>
      <c r="V2560" s="8">
        <v>52.53</v>
      </c>
      <c r="W2560" s="8">
        <v>35.259</v>
      </c>
      <c r="X2560" s="8">
        <v>20.077999999999999</v>
      </c>
      <c r="Y2560" s="8">
        <v>10.342000000000001</v>
      </c>
      <c r="Z2560" s="8">
        <v>3.4940000000000002</v>
      </c>
      <c r="AA2560" s="8">
        <v>0.70199999999999996</v>
      </c>
      <c r="AB2560" s="8">
        <v>8.4000000000000005E-2</v>
      </c>
      <c r="AC2560" s="8">
        <v>5.0000000000000001E-3</v>
      </c>
    </row>
    <row r="2561" spans="1:29" ht="11.65" x14ac:dyDescent="0.35">
      <c r="A2561" s="12">
        <v>2544</v>
      </c>
      <c r="B2561" s="10" t="s">
        <v>1015</v>
      </c>
      <c r="C2561" s="11" t="s">
        <v>1193</v>
      </c>
      <c r="D2561" s="9"/>
      <c r="E2561" s="9">
        <v>320</v>
      </c>
      <c r="F2561" s="10" t="s">
        <v>1066</v>
      </c>
      <c r="G2561" s="9">
        <v>916</v>
      </c>
      <c r="H2561" s="9">
        <v>1990</v>
      </c>
      <c r="I2561" s="8">
        <v>805.84699999999998</v>
      </c>
      <c r="J2561" s="8">
        <v>727.91300000000001</v>
      </c>
      <c r="K2561" s="8">
        <v>626.85</v>
      </c>
      <c r="L2561" s="8">
        <v>512.45000000000005</v>
      </c>
      <c r="M2561" s="8">
        <v>392.923</v>
      </c>
      <c r="N2561" s="8">
        <v>306.68400000000003</v>
      </c>
      <c r="O2561" s="8">
        <v>248.46700000000001</v>
      </c>
      <c r="P2561" s="8">
        <v>213.97900000000001</v>
      </c>
      <c r="Q2561" s="8">
        <v>156.803</v>
      </c>
      <c r="R2561" s="8">
        <v>135.131</v>
      </c>
      <c r="S2561" s="8">
        <v>122.935</v>
      </c>
      <c r="T2561" s="8">
        <v>111.297</v>
      </c>
      <c r="U2561" s="8">
        <v>92.769000000000005</v>
      </c>
      <c r="V2561" s="8">
        <v>65.576999999999998</v>
      </c>
      <c r="W2561" s="8">
        <v>41.707999999999998</v>
      </c>
      <c r="X2561" s="8">
        <v>24.873000000000001</v>
      </c>
      <c r="Y2561" s="8">
        <v>11.634</v>
      </c>
      <c r="Z2561" s="8">
        <v>4.3150000000000004</v>
      </c>
      <c r="AA2561" s="8">
        <v>0.91800000000000004</v>
      </c>
      <c r="AB2561" s="8">
        <v>0.10299999999999999</v>
      </c>
      <c r="AC2561" s="8">
        <v>7.0000000000000001E-3</v>
      </c>
    </row>
    <row r="2562" spans="1:29" ht="11.65" x14ac:dyDescent="0.35">
      <c r="A2562" s="12">
        <v>2545</v>
      </c>
      <c r="B2562" s="10" t="s">
        <v>1015</v>
      </c>
      <c r="C2562" s="11" t="s">
        <v>1193</v>
      </c>
      <c r="D2562" s="9"/>
      <c r="E2562" s="9">
        <v>320</v>
      </c>
      <c r="F2562" s="10" t="s">
        <v>1066</v>
      </c>
      <c r="G2562" s="9">
        <v>916</v>
      </c>
      <c r="H2562" s="9">
        <v>1995</v>
      </c>
      <c r="I2562" s="8">
        <v>900.82299999999998</v>
      </c>
      <c r="J2562" s="8">
        <v>776.01400000000001</v>
      </c>
      <c r="K2562" s="8">
        <v>703.28499999999997</v>
      </c>
      <c r="L2562" s="8">
        <v>594.37199999999996</v>
      </c>
      <c r="M2562" s="8">
        <v>454.42099999999999</v>
      </c>
      <c r="N2562" s="8">
        <v>348.00700000000001</v>
      </c>
      <c r="O2562" s="8">
        <v>269.69299999999998</v>
      </c>
      <c r="P2562" s="8">
        <v>226.77199999999999</v>
      </c>
      <c r="Q2562" s="8">
        <v>198.624</v>
      </c>
      <c r="R2562" s="8">
        <v>145.80699999999999</v>
      </c>
      <c r="S2562" s="8">
        <v>125.06699999999999</v>
      </c>
      <c r="T2562" s="8">
        <v>112.419</v>
      </c>
      <c r="U2562" s="8">
        <v>98.825999999999993</v>
      </c>
      <c r="V2562" s="8">
        <v>78.475999999999999</v>
      </c>
      <c r="W2562" s="8">
        <v>52.505000000000003</v>
      </c>
      <c r="X2562" s="8">
        <v>29.734999999999999</v>
      </c>
      <c r="Y2562" s="8">
        <v>14.662000000000001</v>
      </c>
      <c r="Z2562" s="8">
        <v>4.9539999999999997</v>
      </c>
      <c r="AA2562" s="8">
        <v>1.1579999999999999</v>
      </c>
      <c r="AB2562" s="8">
        <v>0.13800000000000001</v>
      </c>
      <c r="AC2562" s="8">
        <v>8.9999999999999993E-3</v>
      </c>
    </row>
    <row r="2563" spans="1:29" ht="11.65" x14ac:dyDescent="0.35">
      <c r="A2563" s="12">
        <v>2546</v>
      </c>
      <c r="B2563" s="10" t="s">
        <v>1015</v>
      </c>
      <c r="C2563" s="11" t="s">
        <v>1193</v>
      </c>
      <c r="D2563" s="9"/>
      <c r="E2563" s="9">
        <v>320</v>
      </c>
      <c r="F2563" s="10" t="s">
        <v>1066</v>
      </c>
      <c r="G2563" s="9">
        <v>916</v>
      </c>
      <c r="H2563" s="9">
        <v>2000</v>
      </c>
      <c r="I2563" s="8">
        <v>966.73199999999997</v>
      </c>
      <c r="J2563" s="8">
        <v>871.88300000000004</v>
      </c>
      <c r="K2563" s="8">
        <v>749.89499999999998</v>
      </c>
      <c r="L2563" s="8">
        <v>668.05899999999997</v>
      </c>
      <c r="M2563" s="8">
        <v>531.12</v>
      </c>
      <c r="N2563" s="8">
        <v>404.78300000000002</v>
      </c>
      <c r="O2563" s="8">
        <v>307.93299999999999</v>
      </c>
      <c r="P2563" s="8">
        <v>246.965</v>
      </c>
      <c r="Q2563" s="8">
        <v>211.31700000000001</v>
      </c>
      <c r="R2563" s="8">
        <v>186.74</v>
      </c>
      <c r="S2563" s="8">
        <v>136.28200000000001</v>
      </c>
      <c r="T2563" s="8">
        <v>115.786</v>
      </c>
      <c r="U2563" s="8">
        <v>101.464</v>
      </c>
      <c r="V2563" s="8">
        <v>86.039000000000001</v>
      </c>
      <c r="W2563" s="8">
        <v>65.111999999999995</v>
      </c>
      <c r="X2563" s="8">
        <v>39.36</v>
      </c>
      <c r="Y2563" s="8">
        <v>18.715</v>
      </c>
      <c r="Z2563" s="8">
        <v>6.8410000000000002</v>
      </c>
      <c r="AA2563" s="8">
        <v>1.498</v>
      </c>
      <c r="AB2563" s="8">
        <v>0.2</v>
      </c>
      <c r="AC2563" s="8">
        <v>1.2999999999999999E-2</v>
      </c>
    </row>
    <row r="2564" spans="1:29" ht="11.65" x14ac:dyDescent="0.35">
      <c r="A2564" s="12">
        <v>2547</v>
      </c>
      <c r="B2564" s="10" t="s">
        <v>1015</v>
      </c>
      <c r="C2564" s="11" t="s">
        <v>1193</v>
      </c>
      <c r="D2564" s="9"/>
      <c r="E2564" s="9">
        <v>320</v>
      </c>
      <c r="F2564" s="10" t="s">
        <v>1066</v>
      </c>
      <c r="G2564" s="9">
        <v>916</v>
      </c>
      <c r="H2564" s="9">
        <v>2005</v>
      </c>
      <c r="I2564" s="8">
        <v>1016.799</v>
      </c>
      <c r="J2564" s="8">
        <v>945.96199999999999</v>
      </c>
      <c r="K2564" s="8">
        <v>853.70299999999997</v>
      </c>
      <c r="L2564" s="8">
        <v>725.005</v>
      </c>
      <c r="M2564" s="8">
        <v>622.80600000000004</v>
      </c>
      <c r="N2564" s="8">
        <v>493.68900000000002</v>
      </c>
      <c r="O2564" s="8">
        <v>374.08300000000003</v>
      </c>
      <c r="P2564" s="8">
        <v>289.52499999999998</v>
      </c>
      <c r="Q2564" s="8">
        <v>234.05600000000001</v>
      </c>
      <c r="R2564" s="8">
        <v>201.21</v>
      </c>
      <c r="S2564" s="8">
        <v>177.28800000000001</v>
      </c>
      <c r="T2564" s="8">
        <v>127.979</v>
      </c>
      <c r="U2564" s="8">
        <v>106.367</v>
      </c>
      <c r="V2564" s="8">
        <v>90.570999999999998</v>
      </c>
      <c r="W2564" s="8">
        <v>73.837999999999994</v>
      </c>
      <c r="X2564" s="8">
        <v>51.198</v>
      </c>
      <c r="Y2564" s="8">
        <v>26.337</v>
      </c>
      <c r="Z2564" s="8">
        <v>9.4969999999999999</v>
      </c>
      <c r="AA2564" s="8">
        <v>2.2959999999999998</v>
      </c>
      <c r="AB2564" s="8">
        <v>0.28799999999999998</v>
      </c>
      <c r="AC2564" s="8">
        <v>0.02</v>
      </c>
    </row>
    <row r="2565" spans="1:29" ht="11.65" x14ac:dyDescent="0.35">
      <c r="A2565" s="12">
        <v>2548</v>
      </c>
      <c r="B2565" s="10" t="s">
        <v>1015</v>
      </c>
      <c r="C2565" s="11" t="s">
        <v>1193</v>
      </c>
      <c r="D2565" s="9"/>
      <c r="E2565" s="9">
        <v>320</v>
      </c>
      <c r="F2565" s="10" t="s">
        <v>1066</v>
      </c>
      <c r="G2565" s="9">
        <v>916</v>
      </c>
      <c r="H2565" s="9">
        <v>2010</v>
      </c>
      <c r="I2565" s="8">
        <v>995.56500000000005</v>
      </c>
      <c r="J2565" s="8">
        <v>1005.3150000000001</v>
      </c>
      <c r="K2565" s="8">
        <v>937.40800000000002</v>
      </c>
      <c r="L2565" s="8">
        <v>840.78300000000002</v>
      </c>
      <c r="M2565" s="8">
        <v>701.97500000000002</v>
      </c>
      <c r="N2565" s="8">
        <v>600.178</v>
      </c>
      <c r="O2565" s="8">
        <v>473.58699999999999</v>
      </c>
      <c r="P2565" s="8">
        <v>359.92599999999999</v>
      </c>
      <c r="Q2565" s="8">
        <v>278.733</v>
      </c>
      <c r="R2565" s="8">
        <v>225.10300000000001</v>
      </c>
      <c r="S2565" s="8">
        <v>192.589</v>
      </c>
      <c r="T2565" s="8">
        <v>168.09100000000001</v>
      </c>
      <c r="U2565" s="8">
        <v>119.08199999999999</v>
      </c>
      <c r="V2565" s="8">
        <v>96.316000000000003</v>
      </c>
      <c r="W2565" s="8">
        <v>79.061000000000007</v>
      </c>
      <c r="X2565" s="8">
        <v>59.326999999999998</v>
      </c>
      <c r="Y2565" s="8">
        <v>35.353000000000002</v>
      </c>
      <c r="Z2565" s="8">
        <v>13.933</v>
      </c>
      <c r="AA2565" s="8">
        <v>3.3959999999999999</v>
      </c>
      <c r="AB2565" s="8">
        <v>0.48499999999999999</v>
      </c>
      <c r="AC2565" s="8">
        <v>0.03</v>
      </c>
    </row>
    <row r="2566" spans="1:29" ht="11.65" x14ac:dyDescent="0.35">
      <c r="A2566" s="12">
        <v>2549</v>
      </c>
      <c r="B2566" s="10" t="s">
        <v>1015</v>
      </c>
      <c r="C2566" s="11" t="s">
        <v>1193</v>
      </c>
      <c r="D2566" s="9"/>
      <c r="E2566" s="9">
        <v>320</v>
      </c>
      <c r="F2566" s="10" t="s">
        <v>1066</v>
      </c>
      <c r="G2566" s="9">
        <v>916</v>
      </c>
      <c r="H2566" s="9">
        <v>2015</v>
      </c>
      <c r="I2566" s="8">
        <v>1018.967</v>
      </c>
      <c r="J2566" s="8">
        <v>988.15800000000002</v>
      </c>
      <c r="K2566" s="8">
        <v>1000.19</v>
      </c>
      <c r="L2566" s="8">
        <v>928.67700000000002</v>
      </c>
      <c r="M2566" s="8">
        <v>824.99199999999996</v>
      </c>
      <c r="N2566" s="8">
        <v>684.51099999999997</v>
      </c>
      <c r="O2566" s="8">
        <v>582.99</v>
      </c>
      <c r="P2566" s="8">
        <v>459.78</v>
      </c>
      <c r="Q2566" s="8">
        <v>349.02300000000002</v>
      </c>
      <c r="R2566" s="8">
        <v>269.642</v>
      </c>
      <c r="S2566" s="8">
        <v>216.71100000000001</v>
      </c>
      <c r="T2566" s="8">
        <v>183.93199999999999</v>
      </c>
      <c r="U2566" s="8">
        <v>158.05000000000001</v>
      </c>
      <c r="V2566" s="8">
        <v>109.384</v>
      </c>
      <c r="W2566" s="8">
        <v>85.635999999999996</v>
      </c>
      <c r="X2566" s="8">
        <v>65.194999999999993</v>
      </c>
      <c r="Y2566" s="8">
        <v>42.728999999999999</v>
      </c>
      <c r="Z2566" s="8">
        <v>19.978000000000002</v>
      </c>
      <c r="AA2566" s="8">
        <v>5.5490000000000004</v>
      </c>
      <c r="AB2566" s="8">
        <v>0.84799999999999998</v>
      </c>
      <c r="AC2566" s="8">
        <v>5.8000000000000003E-2</v>
      </c>
    </row>
    <row r="2567" spans="1:29" ht="11.65" x14ac:dyDescent="0.35">
      <c r="A2567" s="12">
        <v>2550</v>
      </c>
      <c r="B2567" s="10" t="s">
        <v>1015</v>
      </c>
      <c r="C2567" s="11" t="s">
        <v>1193</v>
      </c>
      <c r="D2567" s="9"/>
      <c r="E2567" s="9">
        <v>320</v>
      </c>
      <c r="F2567" s="10" t="s">
        <v>1066</v>
      </c>
      <c r="G2567" s="9">
        <v>916</v>
      </c>
      <c r="H2567" s="9">
        <v>2020</v>
      </c>
      <c r="I2567" s="8">
        <v>1055.31</v>
      </c>
      <c r="J2567" s="8">
        <v>1012.605</v>
      </c>
      <c r="K2567" s="8">
        <v>983.64099999999996</v>
      </c>
      <c r="L2567" s="8">
        <v>991.66399999999999</v>
      </c>
      <c r="M2567" s="8">
        <v>913.16899999999998</v>
      </c>
      <c r="N2567" s="8">
        <v>806.63699999999994</v>
      </c>
      <c r="O2567" s="8">
        <v>666.77099999999996</v>
      </c>
      <c r="P2567" s="8">
        <v>567.57399999999996</v>
      </c>
      <c r="Q2567" s="8">
        <v>447.09699999999998</v>
      </c>
      <c r="R2567" s="8">
        <v>338.57100000000003</v>
      </c>
      <c r="S2567" s="8">
        <v>260.43299999999999</v>
      </c>
      <c r="T2567" s="8">
        <v>207.96600000000001</v>
      </c>
      <c r="U2567" s="8">
        <v>174.24199999999999</v>
      </c>
      <c r="V2567" s="8">
        <v>146.55000000000001</v>
      </c>
      <c r="W2567" s="8">
        <v>98.6</v>
      </c>
      <c r="X2567" s="8">
        <v>72.040000000000006</v>
      </c>
      <c r="Y2567" s="8">
        <v>48.521999999999998</v>
      </c>
      <c r="Z2567" s="8">
        <v>25.378</v>
      </c>
      <c r="AA2567" s="8">
        <v>8.6270000000000007</v>
      </c>
      <c r="AB2567" s="8">
        <v>1.5669999999999999</v>
      </c>
      <c r="AC2567" s="8">
        <v>0.14499999999999999</v>
      </c>
    </row>
    <row r="2568" spans="1:29" ht="11.65" x14ac:dyDescent="0.35">
      <c r="A2568" s="12">
        <v>2551</v>
      </c>
      <c r="B2568" s="10" t="s">
        <v>1015</v>
      </c>
      <c r="C2568" s="11" t="s">
        <v>1194</v>
      </c>
      <c r="D2568" s="9"/>
      <c r="E2568" s="9">
        <v>340</v>
      </c>
      <c r="F2568" s="10" t="s">
        <v>1066</v>
      </c>
      <c r="G2568" s="9">
        <v>916</v>
      </c>
      <c r="H2568" s="9">
        <v>1950</v>
      </c>
      <c r="I2568" s="8">
        <v>140.43100000000001</v>
      </c>
      <c r="J2568" s="8">
        <v>103.16800000000001</v>
      </c>
      <c r="K2568" s="8">
        <v>90.14</v>
      </c>
      <c r="L2568" s="8">
        <v>79.456000000000003</v>
      </c>
      <c r="M2568" s="8">
        <v>65.614000000000004</v>
      </c>
      <c r="N2568" s="8">
        <v>56.957999999999998</v>
      </c>
      <c r="O2568" s="8">
        <v>43.773000000000003</v>
      </c>
      <c r="P2568" s="8">
        <v>41.683</v>
      </c>
      <c r="Q2568" s="8">
        <v>35.084000000000003</v>
      </c>
      <c r="R2568" s="8">
        <v>29.713000000000001</v>
      </c>
      <c r="S2568" s="8">
        <v>25.788</v>
      </c>
      <c r="T2568" s="8">
        <v>19.821999999999999</v>
      </c>
      <c r="U2568" s="8">
        <v>16.776</v>
      </c>
      <c r="V2568" s="8">
        <v>10.401</v>
      </c>
      <c r="W2568" s="8">
        <v>7.4619999999999997</v>
      </c>
      <c r="X2568" s="8">
        <v>5.5119999999999996</v>
      </c>
      <c r="Y2568" s="8">
        <v>3.5739999999999998</v>
      </c>
      <c r="Z2568" s="8">
        <v>1.788</v>
      </c>
      <c r="AA2568" s="8">
        <v>0.56200000000000006</v>
      </c>
      <c r="AB2568" s="8">
        <v>0.109</v>
      </c>
      <c r="AC2568" s="8">
        <v>1.6E-2</v>
      </c>
    </row>
    <row r="2569" spans="1:29" ht="11.65" x14ac:dyDescent="0.35">
      <c r="A2569" s="12">
        <v>2552</v>
      </c>
      <c r="B2569" s="10" t="s">
        <v>1015</v>
      </c>
      <c r="C2569" s="11" t="s">
        <v>1194</v>
      </c>
      <c r="D2569" s="9"/>
      <c r="E2569" s="9">
        <v>340</v>
      </c>
      <c r="F2569" s="10" t="s">
        <v>1066</v>
      </c>
      <c r="G2569" s="9">
        <v>916</v>
      </c>
      <c r="H2569" s="9">
        <v>1955</v>
      </c>
      <c r="I2569" s="8">
        <v>175.096</v>
      </c>
      <c r="J2569" s="8">
        <v>124.43</v>
      </c>
      <c r="K2569" s="8">
        <v>100.258</v>
      </c>
      <c r="L2569" s="8">
        <v>88.111000000000004</v>
      </c>
      <c r="M2569" s="8">
        <v>77.034000000000006</v>
      </c>
      <c r="N2569" s="8">
        <v>62.966000000000001</v>
      </c>
      <c r="O2569" s="8">
        <v>54.112000000000002</v>
      </c>
      <c r="P2569" s="8">
        <v>41.268999999999998</v>
      </c>
      <c r="Q2569" s="8">
        <v>39.043999999999997</v>
      </c>
      <c r="R2569" s="8">
        <v>32.485999999999997</v>
      </c>
      <c r="S2569" s="8">
        <v>27.068000000000001</v>
      </c>
      <c r="T2569" s="8">
        <v>22.757000000000001</v>
      </c>
      <c r="U2569" s="8">
        <v>16.584</v>
      </c>
      <c r="V2569" s="8">
        <v>13.071</v>
      </c>
      <c r="W2569" s="8">
        <v>7.4059999999999997</v>
      </c>
      <c r="X2569" s="8">
        <v>4.7649999999999997</v>
      </c>
      <c r="Y2569" s="8">
        <v>2.7240000000000002</v>
      </c>
      <c r="Z2569" s="8">
        <v>1.155</v>
      </c>
      <c r="AA2569" s="8">
        <v>0.375</v>
      </c>
      <c r="AB2569" s="8">
        <v>7.3999999999999996E-2</v>
      </c>
      <c r="AC2569" s="8">
        <v>1.0999999999999999E-2</v>
      </c>
    </row>
    <row r="2570" spans="1:29" ht="11.65" x14ac:dyDescent="0.35">
      <c r="A2570" s="12">
        <v>2553</v>
      </c>
      <c r="B2570" s="10" t="s">
        <v>1015</v>
      </c>
      <c r="C2570" s="11" t="s">
        <v>1194</v>
      </c>
      <c r="D2570" s="9"/>
      <c r="E2570" s="9">
        <v>340</v>
      </c>
      <c r="F2570" s="10" t="s">
        <v>1066</v>
      </c>
      <c r="G2570" s="9">
        <v>916</v>
      </c>
      <c r="H2570" s="9">
        <v>1960</v>
      </c>
      <c r="I2570" s="8">
        <v>200.69200000000001</v>
      </c>
      <c r="J2570" s="8">
        <v>157.255</v>
      </c>
      <c r="K2570" s="8">
        <v>120.649</v>
      </c>
      <c r="L2570" s="8">
        <v>97.475999999999999</v>
      </c>
      <c r="M2570" s="8">
        <v>84.878</v>
      </c>
      <c r="N2570" s="8">
        <v>73.424999999999997</v>
      </c>
      <c r="O2570" s="8">
        <v>59.311</v>
      </c>
      <c r="P2570" s="8">
        <v>50.631999999999998</v>
      </c>
      <c r="Q2570" s="8">
        <v>38.414000000000001</v>
      </c>
      <c r="R2570" s="8">
        <v>36.136000000000003</v>
      </c>
      <c r="S2570" s="8">
        <v>29.74</v>
      </c>
      <c r="T2570" s="8">
        <v>24.097000000000001</v>
      </c>
      <c r="U2570" s="8">
        <v>19.265000000000001</v>
      </c>
      <c r="V2570" s="8">
        <v>13.106</v>
      </c>
      <c r="W2570" s="8">
        <v>9.4550000000000001</v>
      </c>
      <c r="X2570" s="8">
        <v>4.8019999999999996</v>
      </c>
      <c r="Y2570" s="8">
        <v>2.3090000000000002</v>
      </c>
      <c r="Z2570" s="8">
        <v>0.78</v>
      </c>
      <c r="AA2570" s="8">
        <v>0.19700000000000001</v>
      </c>
      <c r="AB2570" s="8">
        <v>3.7999999999999999E-2</v>
      </c>
      <c r="AC2570" s="8">
        <v>5.0000000000000001E-3</v>
      </c>
    </row>
    <row r="2571" spans="1:29" ht="11.65" x14ac:dyDescent="0.35">
      <c r="A2571" s="12">
        <v>2554</v>
      </c>
      <c r="B2571" s="10" t="s">
        <v>1015</v>
      </c>
      <c r="C2571" s="11" t="s">
        <v>1194</v>
      </c>
      <c r="D2571" s="9"/>
      <c r="E2571" s="9">
        <v>340</v>
      </c>
      <c r="F2571" s="10" t="s">
        <v>1066</v>
      </c>
      <c r="G2571" s="9">
        <v>916</v>
      </c>
      <c r="H2571" s="9">
        <v>1965</v>
      </c>
      <c r="I2571" s="8">
        <v>228.327</v>
      </c>
      <c r="J2571" s="8">
        <v>183.107</v>
      </c>
      <c r="K2571" s="8">
        <v>152.072</v>
      </c>
      <c r="L2571" s="8">
        <v>116.43</v>
      </c>
      <c r="M2571" s="8">
        <v>92.869</v>
      </c>
      <c r="N2571" s="8">
        <v>79.911000000000001</v>
      </c>
      <c r="O2571" s="8">
        <v>68.260000000000005</v>
      </c>
      <c r="P2571" s="8">
        <v>54.694000000000003</v>
      </c>
      <c r="Q2571" s="8">
        <v>46.747999999999998</v>
      </c>
      <c r="R2571" s="8">
        <v>35.366999999999997</v>
      </c>
      <c r="S2571" s="8">
        <v>33.253</v>
      </c>
      <c r="T2571" s="8">
        <v>26.757999999999999</v>
      </c>
      <c r="U2571" s="8">
        <v>20.702999999999999</v>
      </c>
      <c r="V2571" s="8">
        <v>15.526</v>
      </c>
      <c r="W2571" s="8">
        <v>9.7040000000000006</v>
      </c>
      <c r="X2571" s="8">
        <v>6.2859999999999996</v>
      </c>
      <c r="Y2571" s="8">
        <v>2.4409999999999998</v>
      </c>
      <c r="Z2571" s="8">
        <v>0.72699999999999998</v>
      </c>
      <c r="AA2571" s="8">
        <v>0.151</v>
      </c>
      <c r="AB2571" s="8">
        <v>2.3E-2</v>
      </c>
      <c r="AC2571" s="8">
        <v>3.0000000000000001E-3</v>
      </c>
    </row>
    <row r="2572" spans="1:29" ht="11.65" x14ac:dyDescent="0.35">
      <c r="A2572" s="12">
        <v>2555</v>
      </c>
      <c r="B2572" s="10" t="s">
        <v>1015</v>
      </c>
      <c r="C2572" s="11" t="s">
        <v>1194</v>
      </c>
      <c r="D2572" s="9"/>
      <c r="E2572" s="9">
        <v>340</v>
      </c>
      <c r="F2572" s="10" t="s">
        <v>1066</v>
      </c>
      <c r="G2572" s="9">
        <v>916</v>
      </c>
      <c r="H2572" s="9">
        <v>1970</v>
      </c>
      <c r="I2572" s="8">
        <v>265.89800000000002</v>
      </c>
      <c r="J2572" s="8">
        <v>211.405</v>
      </c>
      <c r="K2572" s="8">
        <v>176.88499999999999</v>
      </c>
      <c r="L2572" s="8">
        <v>145.916</v>
      </c>
      <c r="M2572" s="8">
        <v>109.655</v>
      </c>
      <c r="N2572" s="8">
        <v>85.924999999999997</v>
      </c>
      <c r="O2572" s="8">
        <v>73.293999999999997</v>
      </c>
      <c r="P2572" s="8">
        <v>63.290999999999997</v>
      </c>
      <c r="Q2572" s="8">
        <v>51.61</v>
      </c>
      <c r="R2572" s="8">
        <v>44.067</v>
      </c>
      <c r="S2572" s="8">
        <v>32.896999999999998</v>
      </c>
      <c r="T2572" s="8">
        <v>30.138000000000002</v>
      </c>
      <c r="U2572" s="8">
        <v>23.315000000000001</v>
      </c>
      <c r="V2572" s="8">
        <v>17.029</v>
      </c>
      <c r="W2572" s="8">
        <v>11.814</v>
      </c>
      <c r="X2572" s="8">
        <v>6.6660000000000004</v>
      </c>
      <c r="Y2572" s="8">
        <v>3.4119999999999999</v>
      </c>
      <c r="Z2572" s="8">
        <v>0.88400000000000001</v>
      </c>
      <c r="AA2572" s="8">
        <v>0.17299999999999999</v>
      </c>
      <c r="AB2572" s="8">
        <v>2.3E-2</v>
      </c>
      <c r="AC2572" s="8">
        <v>2E-3</v>
      </c>
    </row>
    <row r="2573" spans="1:29" ht="11.65" x14ac:dyDescent="0.35">
      <c r="A2573" s="12">
        <v>2556</v>
      </c>
      <c r="B2573" s="10" t="s">
        <v>1015</v>
      </c>
      <c r="C2573" s="11" t="s">
        <v>1194</v>
      </c>
      <c r="D2573" s="9"/>
      <c r="E2573" s="9">
        <v>340</v>
      </c>
      <c r="F2573" s="10" t="s">
        <v>1066</v>
      </c>
      <c r="G2573" s="9">
        <v>916</v>
      </c>
      <c r="H2573" s="9">
        <v>1975</v>
      </c>
      <c r="I2573" s="8">
        <v>302.28500000000003</v>
      </c>
      <c r="J2573" s="8">
        <v>249.744</v>
      </c>
      <c r="K2573" s="8">
        <v>204.95500000000001</v>
      </c>
      <c r="L2573" s="8">
        <v>170.273</v>
      </c>
      <c r="M2573" s="8">
        <v>138.38</v>
      </c>
      <c r="N2573" s="8">
        <v>102.03100000000001</v>
      </c>
      <c r="O2573" s="8">
        <v>78.897999999999996</v>
      </c>
      <c r="P2573" s="8">
        <v>68.125</v>
      </c>
      <c r="Q2573" s="8">
        <v>60.017000000000003</v>
      </c>
      <c r="R2573" s="8">
        <v>48.91</v>
      </c>
      <c r="S2573" s="8">
        <v>41.261000000000003</v>
      </c>
      <c r="T2573" s="8">
        <v>30.064</v>
      </c>
      <c r="U2573" s="8">
        <v>26.606999999999999</v>
      </c>
      <c r="V2573" s="8">
        <v>19.538</v>
      </c>
      <c r="W2573" s="8">
        <v>13.28</v>
      </c>
      <c r="X2573" s="8">
        <v>8.3539999999999992</v>
      </c>
      <c r="Y2573" s="8">
        <v>3.827</v>
      </c>
      <c r="Z2573" s="8">
        <v>1.385</v>
      </c>
      <c r="AA2573" s="8">
        <v>0.246</v>
      </c>
      <c r="AB2573" s="8">
        <v>0.03</v>
      </c>
      <c r="AC2573" s="8">
        <v>3.0000000000000001E-3</v>
      </c>
    </row>
    <row r="2574" spans="1:29" ht="11.65" x14ac:dyDescent="0.35">
      <c r="A2574" s="12">
        <v>2557</v>
      </c>
      <c r="B2574" s="10" t="s">
        <v>1015</v>
      </c>
      <c r="C2574" s="11" t="s">
        <v>1194</v>
      </c>
      <c r="D2574" s="9"/>
      <c r="E2574" s="9">
        <v>340</v>
      </c>
      <c r="F2574" s="10" t="s">
        <v>1066</v>
      </c>
      <c r="G2574" s="9">
        <v>916</v>
      </c>
      <c r="H2574" s="9">
        <v>1980</v>
      </c>
      <c r="I2574" s="8">
        <v>350.815</v>
      </c>
      <c r="J2574" s="8">
        <v>287.488</v>
      </c>
      <c r="K2574" s="8">
        <v>243.10300000000001</v>
      </c>
      <c r="L2574" s="8">
        <v>197.99199999999999</v>
      </c>
      <c r="M2574" s="8">
        <v>162.249</v>
      </c>
      <c r="N2574" s="8">
        <v>129.964</v>
      </c>
      <c r="O2574" s="8">
        <v>94.391000000000005</v>
      </c>
      <c r="P2574" s="8">
        <v>73.569999999999993</v>
      </c>
      <c r="Q2574" s="8">
        <v>64.855999999999995</v>
      </c>
      <c r="R2574" s="8">
        <v>57.16</v>
      </c>
      <c r="S2574" s="8">
        <v>46.058999999999997</v>
      </c>
      <c r="T2574" s="8">
        <v>38.030999999999999</v>
      </c>
      <c r="U2574" s="8">
        <v>26.853000000000002</v>
      </c>
      <c r="V2574" s="8">
        <v>22.669</v>
      </c>
      <c r="W2574" s="8">
        <v>15.573</v>
      </c>
      <c r="X2574" s="8">
        <v>9.6379999999999999</v>
      </c>
      <c r="Y2574" s="8">
        <v>5.0010000000000003</v>
      </c>
      <c r="Z2574" s="8">
        <v>1.6659999999999999</v>
      </c>
      <c r="AA2574" s="8">
        <v>0.42299999999999999</v>
      </c>
      <c r="AB2574" s="8">
        <v>5.1999999999999998E-2</v>
      </c>
      <c r="AC2574" s="8">
        <v>5.0000000000000001E-3</v>
      </c>
    </row>
    <row r="2575" spans="1:29" ht="11.65" x14ac:dyDescent="0.35">
      <c r="A2575" s="12">
        <v>2558</v>
      </c>
      <c r="B2575" s="10" t="s">
        <v>1015</v>
      </c>
      <c r="C2575" s="11" t="s">
        <v>1194</v>
      </c>
      <c r="D2575" s="9"/>
      <c r="E2575" s="9">
        <v>340</v>
      </c>
      <c r="F2575" s="10" t="s">
        <v>1066</v>
      </c>
      <c r="G2575" s="9">
        <v>916</v>
      </c>
      <c r="H2575" s="9">
        <v>1985</v>
      </c>
      <c r="I2575" s="8">
        <v>395.60899999999998</v>
      </c>
      <c r="J2575" s="8">
        <v>337.75599999999997</v>
      </c>
      <c r="K2575" s="8">
        <v>280.55799999999999</v>
      </c>
      <c r="L2575" s="8">
        <v>235.291</v>
      </c>
      <c r="M2575" s="8">
        <v>188.959</v>
      </c>
      <c r="N2575" s="8">
        <v>152.69399999999999</v>
      </c>
      <c r="O2575" s="8">
        <v>120.99299999999999</v>
      </c>
      <c r="P2575" s="8">
        <v>88.369</v>
      </c>
      <c r="Q2575" s="8">
        <v>70.28</v>
      </c>
      <c r="R2575" s="8">
        <v>62.095999999999997</v>
      </c>
      <c r="S2575" s="8">
        <v>54.183999999999997</v>
      </c>
      <c r="T2575" s="8">
        <v>42.835999999999999</v>
      </c>
      <c r="U2575" s="8">
        <v>34.436</v>
      </c>
      <c r="V2575" s="8">
        <v>23.32</v>
      </c>
      <c r="W2575" s="8">
        <v>18.529</v>
      </c>
      <c r="X2575" s="8">
        <v>11.637</v>
      </c>
      <c r="Y2575" s="8">
        <v>6.0030000000000001</v>
      </c>
      <c r="Z2575" s="8">
        <v>2.2949999999999999</v>
      </c>
      <c r="AA2575" s="8">
        <v>0.54200000000000004</v>
      </c>
      <c r="AB2575" s="8">
        <v>9.4E-2</v>
      </c>
      <c r="AC2575" s="8">
        <v>8.0000000000000002E-3</v>
      </c>
    </row>
    <row r="2576" spans="1:29" ht="11.65" x14ac:dyDescent="0.35">
      <c r="A2576" s="12">
        <v>2559</v>
      </c>
      <c r="B2576" s="10" t="s">
        <v>1015</v>
      </c>
      <c r="C2576" s="11" t="s">
        <v>1194</v>
      </c>
      <c r="D2576" s="9"/>
      <c r="E2576" s="9">
        <v>340</v>
      </c>
      <c r="F2576" s="10" t="s">
        <v>1066</v>
      </c>
      <c r="G2576" s="9">
        <v>916</v>
      </c>
      <c r="H2576" s="9">
        <v>1990</v>
      </c>
      <c r="I2576" s="8">
        <v>436.334</v>
      </c>
      <c r="J2576" s="8">
        <v>385.23200000000003</v>
      </c>
      <c r="K2576" s="8">
        <v>330.55900000000003</v>
      </c>
      <c r="L2576" s="8">
        <v>271.91300000000001</v>
      </c>
      <c r="M2576" s="8">
        <v>225.102</v>
      </c>
      <c r="N2576" s="8">
        <v>178.166</v>
      </c>
      <c r="O2576" s="8">
        <v>142.506</v>
      </c>
      <c r="P2576" s="8">
        <v>114.02</v>
      </c>
      <c r="Q2576" s="8">
        <v>84.811999999999998</v>
      </c>
      <c r="R2576" s="8">
        <v>67.632000000000005</v>
      </c>
      <c r="S2576" s="8">
        <v>59.228999999999999</v>
      </c>
      <c r="T2576" s="8">
        <v>50.844999999999999</v>
      </c>
      <c r="U2576" s="8">
        <v>39.298000000000002</v>
      </c>
      <c r="V2576" s="8">
        <v>30.462</v>
      </c>
      <c r="W2576" s="8">
        <v>19.526</v>
      </c>
      <c r="X2576" s="8">
        <v>14.239000000000001</v>
      </c>
      <c r="Y2576" s="8">
        <v>7.524</v>
      </c>
      <c r="Z2576" s="8">
        <v>2.8919999999999999</v>
      </c>
      <c r="AA2576" s="8">
        <v>0.79100000000000004</v>
      </c>
      <c r="AB2576" s="8">
        <v>0.127</v>
      </c>
      <c r="AC2576" s="8">
        <v>1.4999999999999999E-2</v>
      </c>
    </row>
    <row r="2577" spans="1:29" ht="11.65" x14ac:dyDescent="0.35">
      <c r="A2577" s="12">
        <v>2560</v>
      </c>
      <c r="B2577" s="10" t="s">
        <v>1015</v>
      </c>
      <c r="C2577" s="11" t="s">
        <v>1194</v>
      </c>
      <c r="D2577" s="9"/>
      <c r="E2577" s="9">
        <v>340</v>
      </c>
      <c r="F2577" s="10" t="s">
        <v>1066</v>
      </c>
      <c r="G2577" s="9">
        <v>916</v>
      </c>
      <c r="H2577" s="9">
        <v>1995</v>
      </c>
      <c r="I2577" s="8">
        <v>482.58699999999999</v>
      </c>
      <c r="J2577" s="8">
        <v>426.673</v>
      </c>
      <c r="K2577" s="8">
        <v>377.93599999999998</v>
      </c>
      <c r="L2577" s="8">
        <v>321.59800000000001</v>
      </c>
      <c r="M2577" s="8">
        <v>261.31799999999998</v>
      </c>
      <c r="N2577" s="8">
        <v>213.696</v>
      </c>
      <c r="O2577" s="8">
        <v>167.405</v>
      </c>
      <c r="P2577" s="8">
        <v>135.12799999999999</v>
      </c>
      <c r="Q2577" s="8">
        <v>109.98699999999999</v>
      </c>
      <c r="R2577" s="8">
        <v>81.908000000000001</v>
      </c>
      <c r="S2577" s="8">
        <v>64.757999999999996</v>
      </c>
      <c r="T2577" s="8">
        <v>55.853000000000002</v>
      </c>
      <c r="U2577" s="8">
        <v>46.951999999999998</v>
      </c>
      <c r="V2577" s="8">
        <v>35.069000000000003</v>
      </c>
      <c r="W2577" s="8">
        <v>25.802</v>
      </c>
      <c r="X2577" s="8">
        <v>15.234999999999999</v>
      </c>
      <c r="Y2577" s="8">
        <v>9.4540000000000006</v>
      </c>
      <c r="Z2577" s="8">
        <v>3.7989999999999999</v>
      </c>
      <c r="AA2577" s="8">
        <v>1.0629999999999999</v>
      </c>
      <c r="AB2577" s="8">
        <v>0.20100000000000001</v>
      </c>
      <c r="AC2577" s="8">
        <v>2.3E-2</v>
      </c>
    </row>
    <row r="2578" spans="1:29" ht="11.65" x14ac:dyDescent="0.35">
      <c r="A2578" s="12">
        <v>2561</v>
      </c>
      <c r="B2578" s="10" t="s">
        <v>1015</v>
      </c>
      <c r="C2578" s="11" t="s">
        <v>1194</v>
      </c>
      <c r="D2578" s="9"/>
      <c r="E2578" s="9">
        <v>340</v>
      </c>
      <c r="F2578" s="10" t="s">
        <v>1066</v>
      </c>
      <c r="G2578" s="9">
        <v>916</v>
      </c>
      <c r="H2578" s="9">
        <v>2000</v>
      </c>
      <c r="I2578" s="8">
        <v>537.05499999999995</v>
      </c>
      <c r="J2578" s="8">
        <v>473.86399999999998</v>
      </c>
      <c r="K2578" s="8">
        <v>420.37299999999999</v>
      </c>
      <c r="L2578" s="8">
        <v>370.18900000000002</v>
      </c>
      <c r="M2578" s="8">
        <v>312.27699999999999</v>
      </c>
      <c r="N2578" s="8">
        <v>251.22499999999999</v>
      </c>
      <c r="O2578" s="8">
        <v>203.96299999999999</v>
      </c>
      <c r="P2578" s="8">
        <v>160.61699999999999</v>
      </c>
      <c r="Q2578" s="8">
        <v>131.13200000000001</v>
      </c>
      <c r="R2578" s="8">
        <v>106.699</v>
      </c>
      <c r="S2578" s="8">
        <v>78.8</v>
      </c>
      <c r="T2578" s="8">
        <v>61.417000000000002</v>
      </c>
      <c r="U2578" s="8">
        <v>51.914999999999999</v>
      </c>
      <c r="V2578" s="8">
        <v>42.255000000000003</v>
      </c>
      <c r="W2578" s="8">
        <v>30.044</v>
      </c>
      <c r="X2578" s="8">
        <v>20.452000000000002</v>
      </c>
      <c r="Y2578" s="8">
        <v>10.397</v>
      </c>
      <c r="Z2578" s="8">
        <v>5.0019999999999998</v>
      </c>
      <c r="AA2578" s="8">
        <v>1.49</v>
      </c>
      <c r="AB2578" s="8">
        <v>0.29399999999999998</v>
      </c>
      <c r="AC2578" s="8">
        <v>0.04</v>
      </c>
    </row>
    <row r="2579" spans="1:29" ht="11.65" x14ac:dyDescent="0.35">
      <c r="A2579" s="12">
        <v>2562</v>
      </c>
      <c r="B2579" s="10" t="s">
        <v>1015</v>
      </c>
      <c r="C2579" s="11" t="s">
        <v>1194</v>
      </c>
      <c r="D2579" s="9"/>
      <c r="E2579" s="9">
        <v>340</v>
      </c>
      <c r="F2579" s="10" t="s">
        <v>1066</v>
      </c>
      <c r="G2579" s="9">
        <v>916</v>
      </c>
      <c r="H2579" s="9">
        <v>2005</v>
      </c>
      <c r="I2579" s="8">
        <v>543.27099999999996</v>
      </c>
      <c r="J2579" s="8">
        <v>529.96699999999998</v>
      </c>
      <c r="K2579" s="8">
        <v>469.00799999999998</v>
      </c>
      <c r="L2579" s="8">
        <v>414.68599999999998</v>
      </c>
      <c r="M2579" s="8">
        <v>363.03300000000002</v>
      </c>
      <c r="N2579" s="8">
        <v>304.30099999999999</v>
      </c>
      <c r="O2579" s="8">
        <v>243.38200000000001</v>
      </c>
      <c r="P2579" s="8">
        <v>197.99700000000001</v>
      </c>
      <c r="Q2579" s="8">
        <v>156.63499999999999</v>
      </c>
      <c r="R2579" s="8">
        <v>127.595</v>
      </c>
      <c r="S2579" s="8">
        <v>102.979</v>
      </c>
      <c r="T2579" s="8">
        <v>75.051000000000002</v>
      </c>
      <c r="U2579" s="8">
        <v>57.33</v>
      </c>
      <c r="V2579" s="8">
        <v>46.956000000000003</v>
      </c>
      <c r="W2579" s="8">
        <v>36.448999999999998</v>
      </c>
      <c r="X2579" s="8">
        <v>24.053000000000001</v>
      </c>
      <c r="Y2579" s="8">
        <v>14.106999999999999</v>
      </c>
      <c r="Z2579" s="8">
        <v>5.6180000000000003</v>
      </c>
      <c r="AA2579" s="8">
        <v>2.0230000000000001</v>
      </c>
      <c r="AB2579" s="8">
        <v>0.43099999999999999</v>
      </c>
      <c r="AC2579" s="8">
        <v>0.06</v>
      </c>
    </row>
    <row r="2580" spans="1:29" ht="11.65" x14ac:dyDescent="0.35">
      <c r="A2580" s="12">
        <v>2563</v>
      </c>
      <c r="B2580" s="10" t="s">
        <v>1015</v>
      </c>
      <c r="C2580" s="11" t="s">
        <v>1194</v>
      </c>
      <c r="D2580" s="9"/>
      <c r="E2580" s="9">
        <v>340</v>
      </c>
      <c r="F2580" s="10" t="s">
        <v>1066</v>
      </c>
      <c r="G2580" s="9">
        <v>916</v>
      </c>
      <c r="H2580" s="9">
        <v>2010</v>
      </c>
      <c r="I2580" s="8">
        <v>529.06200000000001</v>
      </c>
      <c r="J2580" s="8">
        <v>538.00400000000002</v>
      </c>
      <c r="K2580" s="8">
        <v>527.13900000000001</v>
      </c>
      <c r="L2580" s="8">
        <v>465.26499999999999</v>
      </c>
      <c r="M2580" s="8">
        <v>408.96100000000001</v>
      </c>
      <c r="N2580" s="8">
        <v>356.58199999999999</v>
      </c>
      <c r="O2580" s="8">
        <v>298.13400000000001</v>
      </c>
      <c r="P2580" s="8">
        <v>237.93899999999999</v>
      </c>
      <c r="Q2580" s="8">
        <v>193.11199999999999</v>
      </c>
      <c r="R2580" s="8">
        <v>152.18700000000001</v>
      </c>
      <c r="S2580" s="8">
        <v>123.173</v>
      </c>
      <c r="T2580" s="8">
        <v>98.308999999999997</v>
      </c>
      <c r="U2580" s="8">
        <v>70.307000000000002</v>
      </c>
      <c r="V2580" s="8">
        <v>52.088999999999999</v>
      </c>
      <c r="W2580" s="8">
        <v>40.622</v>
      </c>
      <c r="X2580" s="8">
        <v>29.175999999999998</v>
      </c>
      <c r="Y2580" s="8">
        <v>17.053999999999998</v>
      </c>
      <c r="Z2580" s="8">
        <v>8.3290000000000006</v>
      </c>
      <c r="AA2580" s="8">
        <v>2.5179999999999998</v>
      </c>
      <c r="AB2580" s="8">
        <v>0.60499999999999998</v>
      </c>
      <c r="AC2580" s="8">
        <v>7.6999999999999999E-2</v>
      </c>
    </row>
    <row r="2581" spans="1:29" ht="11.65" x14ac:dyDescent="0.35">
      <c r="A2581" s="12">
        <v>2564</v>
      </c>
      <c r="B2581" s="10" t="s">
        <v>1015</v>
      </c>
      <c r="C2581" s="11" t="s">
        <v>1194</v>
      </c>
      <c r="D2581" s="9"/>
      <c r="E2581" s="9">
        <v>340</v>
      </c>
      <c r="F2581" s="10" t="s">
        <v>1066</v>
      </c>
      <c r="G2581" s="9">
        <v>916</v>
      </c>
      <c r="H2581" s="9">
        <v>2015</v>
      </c>
      <c r="I2581" s="8">
        <v>508.74</v>
      </c>
      <c r="J2581" s="8">
        <v>524.71299999999997</v>
      </c>
      <c r="K2581" s="8">
        <v>535.23099999999999</v>
      </c>
      <c r="L2581" s="8">
        <v>522.98</v>
      </c>
      <c r="M2581" s="8">
        <v>458.86399999999998</v>
      </c>
      <c r="N2581" s="8">
        <v>401.78100000000001</v>
      </c>
      <c r="O2581" s="8">
        <v>349.589</v>
      </c>
      <c r="P2581" s="8">
        <v>291.77499999999998</v>
      </c>
      <c r="Q2581" s="8">
        <v>232.33</v>
      </c>
      <c r="R2581" s="8">
        <v>187.89500000000001</v>
      </c>
      <c r="S2581" s="8">
        <v>147.15899999999999</v>
      </c>
      <c r="T2581" s="8">
        <v>117.85</v>
      </c>
      <c r="U2581" s="8">
        <v>92.399000000000001</v>
      </c>
      <c r="V2581" s="8">
        <v>64.17</v>
      </c>
      <c r="W2581" s="8">
        <v>45.356999999999999</v>
      </c>
      <c r="X2581" s="8">
        <v>32.834000000000003</v>
      </c>
      <c r="Y2581" s="8">
        <v>20.99</v>
      </c>
      <c r="Z2581" s="8">
        <v>10.284000000000001</v>
      </c>
      <c r="AA2581" s="8">
        <v>3.85</v>
      </c>
      <c r="AB2581" s="8">
        <v>0.78400000000000003</v>
      </c>
      <c r="AC2581" s="8">
        <v>0.111</v>
      </c>
    </row>
    <row r="2582" spans="1:29" ht="11.65" x14ac:dyDescent="0.35">
      <c r="A2582" s="12">
        <v>2565</v>
      </c>
      <c r="B2582" s="10" t="s">
        <v>1015</v>
      </c>
      <c r="C2582" s="11" t="s">
        <v>1194</v>
      </c>
      <c r="D2582" s="9"/>
      <c r="E2582" s="9">
        <v>340</v>
      </c>
      <c r="F2582" s="10" t="s">
        <v>1066</v>
      </c>
      <c r="G2582" s="9">
        <v>916</v>
      </c>
      <c r="H2582" s="9">
        <v>2020</v>
      </c>
      <c r="I2582" s="8">
        <v>520.42700000000002</v>
      </c>
      <c r="J2582" s="8">
        <v>505.12099999999998</v>
      </c>
      <c r="K2582" s="8">
        <v>522.077</v>
      </c>
      <c r="L2582" s="8">
        <v>530.91</v>
      </c>
      <c r="M2582" s="8">
        <v>515.875</v>
      </c>
      <c r="N2582" s="8">
        <v>450.95400000000001</v>
      </c>
      <c r="O2582" s="8">
        <v>394.11599999999999</v>
      </c>
      <c r="P2582" s="8">
        <v>342.45299999999997</v>
      </c>
      <c r="Q2582" s="8">
        <v>285.262</v>
      </c>
      <c r="R2582" s="8">
        <v>226.369</v>
      </c>
      <c r="S2582" s="8">
        <v>182.00700000000001</v>
      </c>
      <c r="T2582" s="8">
        <v>141.10499999999999</v>
      </c>
      <c r="U2582" s="8">
        <v>111.101</v>
      </c>
      <c r="V2582" s="8">
        <v>84.710999999999999</v>
      </c>
      <c r="W2582" s="8">
        <v>56.234000000000002</v>
      </c>
      <c r="X2582" s="8">
        <v>37.003999999999998</v>
      </c>
      <c r="Y2582" s="8">
        <v>23.952000000000002</v>
      </c>
      <c r="Z2582" s="8">
        <v>12.916</v>
      </c>
      <c r="AA2582" s="8">
        <v>4.8949999999999996</v>
      </c>
      <c r="AB2582" s="8">
        <v>1.24</v>
      </c>
      <c r="AC2582" s="8">
        <v>0.151</v>
      </c>
    </row>
    <row r="2583" spans="1:29" ht="11.65" x14ac:dyDescent="0.35">
      <c r="A2583" s="12">
        <v>2566</v>
      </c>
      <c r="B2583" s="10" t="s">
        <v>1015</v>
      </c>
      <c r="C2583" s="11" t="s">
        <v>1195</v>
      </c>
      <c r="D2583" s="9"/>
      <c r="E2583" s="9">
        <v>484</v>
      </c>
      <c r="F2583" s="10" t="s">
        <v>1066</v>
      </c>
      <c r="G2583" s="9">
        <v>916</v>
      </c>
      <c r="H2583" s="9">
        <v>1950</v>
      </c>
      <c r="I2583" s="8">
        <v>2469.9279999999999</v>
      </c>
      <c r="J2583" s="8">
        <v>1994.404</v>
      </c>
      <c r="K2583" s="8">
        <v>1615.9639999999999</v>
      </c>
      <c r="L2583" s="8">
        <v>1405.6420000000001</v>
      </c>
      <c r="M2583" s="8">
        <v>1220.163</v>
      </c>
      <c r="N2583" s="8">
        <v>1029.5119999999999</v>
      </c>
      <c r="O2583" s="8">
        <v>781.66700000000003</v>
      </c>
      <c r="P2583" s="8">
        <v>726.00599999999997</v>
      </c>
      <c r="Q2583" s="8">
        <v>614.78200000000004</v>
      </c>
      <c r="R2583" s="8">
        <v>561.197</v>
      </c>
      <c r="S2583" s="8">
        <v>455.21699999999998</v>
      </c>
      <c r="T2583" s="8">
        <v>342.47399999999999</v>
      </c>
      <c r="U2583" s="8">
        <v>257.37799999999999</v>
      </c>
      <c r="V2583" s="8">
        <v>188.02600000000001</v>
      </c>
      <c r="W2583" s="8">
        <v>129.072</v>
      </c>
      <c r="X2583" s="8">
        <v>62.203000000000003</v>
      </c>
      <c r="Y2583" s="8">
        <v>44.53</v>
      </c>
      <c r="Z2583" s="8">
        <v>21.831</v>
      </c>
      <c r="AA2583" s="8">
        <v>7.8609999999999998</v>
      </c>
      <c r="AB2583" s="8">
        <v>2.0739999999999998</v>
      </c>
      <c r="AC2583" s="8">
        <v>0.44900000000000001</v>
      </c>
    </row>
    <row r="2584" spans="1:29" ht="11.65" x14ac:dyDescent="0.35">
      <c r="A2584" s="12">
        <v>2567</v>
      </c>
      <c r="B2584" s="10" t="s">
        <v>1015</v>
      </c>
      <c r="C2584" s="11" t="s">
        <v>1195</v>
      </c>
      <c r="D2584" s="9"/>
      <c r="E2584" s="9">
        <v>484</v>
      </c>
      <c r="F2584" s="10" t="s">
        <v>1066</v>
      </c>
      <c r="G2584" s="9">
        <v>916</v>
      </c>
      <c r="H2584" s="9">
        <v>1955</v>
      </c>
      <c r="I2584" s="8">
        <v>3061.5320000000002</v>
      </c>
      <c r="J2584" s="8">
        <v>2318.223</v>
      </c>
      <c r="K2584" s="8">
        <v>1943.9929999999999</v>
      </c>
      <c r="L2584" s="8">
        <v>1565.88</v>
      </c>
      <c r="M2584" s="8">
        <v>1343.47</v>
      </c>
      <c r="N2584" s="8">
        <v>1162.7070000000001</v>
      </c>
      <c r="O2584" s="8">
        <v>983.351</v>
      </c>
      <c r="P2584" s="8">
        <v>748.76099999999997</v>
      </c>
      <c r="Q2584" s="8">
        <v>691.06399999999996</v>
      </c>
      <c r="R2584" s="8">
        <v>579.04300000000001</v>
      </c>
      <c r="S2584" s="8">
        <v>520.66800000000001</v>
      </c>
      <c r="T2584" s="8">
        <v>412.85599999999999</v>
      </c>
      <c r="U2584" s="8">
        <v>300.15100000000001</v>
      </c>
      <c r="V2584" s="8">
        <v>213.881</v>
      </c>
      <c r="W2584" s="8">
        <v>144.32400000000001</v>
      </c>
      <c r="X2584" s="8">
        <v>88.808999999999997</v>
      </c>
      <c r="Y2584" s="8">
        <v>33.627000000000002</v>
      </c>
      <c r="Z2584" s="8">
        <v>16.175999999999998</v>
      </c>
      <c r="AA2584" s="8">
        <v>5.1929999999999996</v>
      </c>
      <c r="AB2584" s="8">
        <v>1.1890000000000001</v>
      </c>
      <c r="AC2584" s="8">
        <v>0.23599999999999999</v>
      </c>
    </row>
    <row r="2585" spans="1:29" ht="11.65" x14ac:dyDescent="0.35">
      <c r="A2585" s="12">
        <v>2568</v>
      </c>
      <c r="B2585" s="10" t="s">
        <v>1015</v>
      </c>
      <c r="C2585" s="11" t="s">
        <v>1195</v>
      </c>
      <c r="D2585" s="9"/>
      <c r="E2585" s="9">
        <v>484</v>
      </c>
      <c r="F2585" s="10" t="s">
        <v>1066</v>
      </c>
      <c r="G2585" s="9">
        <v>916</v>
      </c>
      <c r="H2585" s="9">
        <v>1960</v>
      </c>
      <c r="I2585" s="8">
        <v>3557.2159999999999</v>
      </c>
      <c r="J2585" s="8">
        <v>2914.8710000000001</v>
      </c>
      <c r="K2585" s="8">
        <v>2267.0720000000001</v>
      </c>
      <c r="L2585" s="8">
        <v>1888.95</v>
      </c>
      <c r="M2585" s="8">
        <v>1500.287</v>
      </c>
      <c r="N2585" s="8">
        <v>1285.049</v>
      </c>
      <c r="O2585" s="8">
        <v>1115.9269999999999</v>
      </c>
      <c r="P2585" s="8">
        <v>947.90300000000002</v>
      </c>
      <c r="Q2585" s="8">
        <v>717.87599999999998</v>
      </c>
      <c r="R2585" s="8">
        <v>656.63099999999997</v>
      </c>
      <c r="S2585" s="8">
        <v>542.79200000000003</v>
      </c>
      <c r="T2585" s="8">
        <v>478.29300000000001</v>
      </c>
      <c r="U2585" s="8">
        <v>367.79899999999998</v>
      </c>
      <c r="V2585" s="8">
        <v>255.416</v>
      </c>
      <c r="W2585" s="8">
        <v>170.11799999999999</v>
      </c>
      <c r="X2585" s="8">
        <v>104.39100000000001</v>
      </c>
      <c r="Y2585" s="8">
        <v>53.706000000000003</v>
      </c>
      <c r="Z2585" s="8">
        <v>15.443</v>
      </c>
      <c r="AA2585" s="8">
        <v>5.4560000000000004</v>
      </c>
      <c r="AB2585" s="8">
        <v>1.238</v>
      </c>
      <c r="AC2585" s="8">
        <v>0.224</v>
      </c>
    </row>
    <row r="2586" spans="1:29" ht="11.65" x14ac:dyDescent="0.35">
      <c r="A2586" s="12">
        <v>2569</v>
      </c>
      <c r="B2586" s="10" t="s">
        <v>1015</v>
      </c>
      <c r="C2586" s="11" t="s">
        <v>1195</v>
      </c>
      <c r="D2586" s="9"/>
      <c r="E2586" s="9">
        <v>484</v>
      </c>
      <c r="F2586" s="10" t="s">
        <v>1066</v>
      </c>
      <c r="G2586" s="9">
        <v>916</v>
      </c>
      <c r="H2586" s="9">
        <v>1965</v>
      </c>
      <c r="I2586" s="8">
        <v>4104.1310000000003</v>
      </c>
      <c r="J2586" s="8">
        <v>3415.07</v>
      </c>
      <c r="K2586" s="8">
        <v>2853.5810000000001</v>
      </c>
      <c r="L2586" s="8">
        <v>2198.826</v>
      </c>
      <c r="M2586" s="8">
        <v>1806.9259999999999</v>
      </c>
      <c r="N2586" s="8">
        <v>1432.3050000000001</v>
      </c>
      <c r="O2586" s="8">
        <v>1233.931</v>
      </c>
      <c r="P2586" s="8">
        <v>1079.54</v>
      </c>
      <c r="Q2586" s="8">
        <v>912.73099999999999</v>
      </c>
      <c r="R2586" s="8">
        <v>685.31600000000003</v>
      </c>
      <c r="S2586" s="8">
        <v>618.83500000000004</v>
      </c>
      <c r="T2586" s="8">
        <v>501.78100000000001</v>
      </c>
      <c r="U2586" s="8">
        <v>429.49200000000002</v>
      </c>
      <c r="V2586" s="8">
        <v>316.57600000000002</v>
      </c>
      <c r="W2586" s="8">
        <v>206.68</v>
      </c>
      <c r="X2586" s="8">
        <v>126.10599999999999</v>
      </c>
      <c r="Y2586" s="8">
        <v>66.203999999999994</v>
      </c>
      <c r="Z2586" s="8">
        <v>26.939</v>
      </c>
      <c r="AA2586" s="8">
        <v>5.9269999999999996</v>
      </c>
      <c r="AB2586" s="8">
        <v>1.542</v>
      </c>
      <c r="AC2586" s="8">
        <v>0.27900000000000003</v>
      </c>
    </row>
    <row r="2587" spans="1:29" ht="11.65" x14ac:dyDescent="0.35">
      <c r="A2587" s="12">
        <v>2570</v>
      </c>
      <c r="B2587" s="10" t="s">
        <v>1015</v>
      </c>
      <c r="C2587" s="11" t="s">
        <v>1195</v>
      </c>
      <c r="D2587" s="9"/>
      <c r="E2587" s="9">
        <v>484</v>
      </c>
      <c r="F2587" s="10" t="s">
        <v>1066</v>
      </c>
      <c r="G2587" s="9">
        <v>916</v>
      </c>
      <c r="H2587" s="9">
        <v>1970</v>
      </c>
      <c r="I2587" s="8">
        <v>4793.5429999999997</v>
      </c>
      <c r="J2587" s="8">
        <v>3956.8310000000001</v>
      </c>
      <c r="K2587" s="8">
        <v>3336.5360000000001</v>
      </c>
      <c r="L2587" s="8">
        <v>2758.5990000000002</v>
      </c>
      <c r="M2587" s="8">
        <v>2087.489</v>
      </c>
      <c r="N2587" s="8">
        <v>1716.807</v>
      </c>
      <c r="O2587" s="8">
        <v>1371.1389999999999</v>
      </c>
      <c r="P2587" s="8">
        <v>1195.498</v>
      </c>
      <c r="Q2587" s="8">
        <v>1041.481</v>
      </c>
      <c r="R2587" s="8">
        <v>872.84500000000003</v>
      </c>
      <c r="S2587" s="8">
        <v>646.57399999999996</v>
      </c>
      <c r="T2587" s="8">
        <v>572.66399999999999</v>
      </c>
      <c r="U2587" s="8">
        <v>451.00799999999998</v>
      </c>
      <c r="V2587" s="8">
        <v>370.22500000000002</v>
      </c>
      <c r="W2587" s="8">
        <v>256.80599999999998</v>
      </c>
      <c r="X2587" s="8">
        <v>153.91499999999999</v>
      </c>
      <c r="Y2587" s="8">
        <v>80.498999999999995</v>
      </c>
      <c r="Z2587" s="8">
        <v>33.415999999999997</v>
      </c>
      <c r="AA2587" s="8">
        <v>10.406000000000001</v>
      </c>
      <c r="AB2587" s="8">
        <v>1.6870000000000001</v>
      </c>
      <c r="AC2587" s="8">
        <v>0.34899999999999998</v>
      </c>
    </row>
    <row r="2588" spans="1:29" ht="11.65" x14ac:dyDescent="0.35">
      <c r="A2588" s="12">
        <v>2571</v>
      </c>
      <c r="B2588" s="10" t="s">
        <v>1015</v>
      </c>
      <c r="C2588" s="11" t="s">
        <v>1195</v>
      </c>
      <c r="D2588" s="9"/>
      <c r="E2588" s="9">
        <v>484</v>
      </c>
      <c r="F2588" s="10" t="s">
        <v>1066</v>
      </c>
      <c r="G2588" s="9">
        <v>916</v>
      </c>
      <c r="H2588" s="9">
        <v>1975</v>
      </c>
      <c r="I2588" s="8">
        <v>5377.0290000000005</v>
      </c>
      <c r="J2588" s="8">
        <v>4647.0519999999997</v>
      </c>
      <c r="K2588" s="8">
        <v>3854.7669999999998</v>
      </c>
      <c r="L2588" s="8">
        <v>3204.4409999999998</v>
      </c>
      <c r="M2588" s="8">
        <v>2600.116</v>
      </c>
      <c r="N2588" s="8">
        <v>1965.067</v>
      </c>
      <c r="O2588" s="8">
        <v>1636.6479999999999</v>
      </c>
      <c r="P2588" s="8">
        <v>1328.7919999999999</v>
      </c>
      <c r="Q2588" s="8">
        <v>1154.777</v>
      </c>
      <c r="R2588" s="8">
        <v>997.39599999999996</v>
      </c>
      <c r="S2588" s="8">
        <v>824.87599999999998</v>
      </c>
      <c r="T2588" s="8">
        <v>599.32399999999996</v>
      </c>
      <c r="U2588" s="8">
        <v>515.91099999999994</v>
      </c>
      <c r="V2588" s="8">
        <v>390.166</v>
      </c>
      <c r="W2588" s="8">
        <v>302.01799999999997</v>
      </c>
      <c r="X2588" s="8">
        <v>192.994</v>
      </c>
      <c r="Y2588" s="8">
        <v>99.552000000000007</v>
      </c>
      <c r="Z2588" s="8">
        <v>41.235999999999997</v>
      </c>
      <c r="AA2588" s="8">
        <v>13.128</v>
      </c>
      <c r="AB2588" s="8">
        <v>3.0129999999999999</v>
      </c>
      <c r="AC2588" s="8">
        <v>0.39700000000000002</v>
      </c>
    </row>
    <row r="2589" spans="1:29" ht="11.65" x14ac:dyDescent="0.35">
      <c r="A2589" s="12">
        <v>2572</v>
      </c>
      <c r="B2589" s="10" t="s">
        <v>1015</v>
      </c>
      <c r="C2589" s="11" t="s">
        <v>1195</v>
      </c>
      <c r="D2589" s="9"/>
      <c r="E2589" s="9">
        <v>484</v>
      </c>
      <c r="F2589" s="10" t="s">
        <v>1066</v>
      </c>
      <c r="G2589" s="9">
        <v>916</v>
      </c>
      <c r="H2589" s="9">
        <v>1980</v>
      </c>
      <c r="I2589" s="8">
        <v>5595.509</v>
      </c>
      <c r="J2589" s="8">
        <v>5252</v>
      </c>
      <c r="K2589" s="8">
        <v>4526.71</v>
      </c>
      <c r="L2589" s="8">
        <v>3690.2449999999999</v>
      </c>
      <c r="M2589" s="8">
        <v>3004.2220000000002</v>
      </c>
      <c r="N2589" s="8">
        <v>2442.433</v>
      </c>
      <c r="O2589" s="8">
        <v>1866.76</v>
      </c>
      <c r="P2589" s="8">
        <v>1586.1189999999999</v>
      </c>
      <c r="Q2589" s="8">
        <v>1284.6990000000001</v>
      </c>
      <c r="R2589" s="8">
        <v>1107.518</v>
      </c>
      <c r="S2589" s="8">
        <v>944.44200000000001</v>
      </c>
      <c r="T2589" s="8">
        <v>766.74599999999998</v>
      </c>
      <c r="U2589" s="8">
        <v>541.87599999999998</v>
      </c>
      <c r="V2589" s="8">
        <v>448.84800000000001</v>
      </c>
      <c r="W2589" s="8">
        <v>321.05099999999999</v>
      </c>
      <c r="X2589" s="8">
        <v>230.00899999999999</v>
      </c>
      <c r="Y2589" s="8">
        <v>127.239</v>
      </c>
      <c r="Z2589" s="8">
        <v>52.161999999999999</v>
      </c>
      <c r="AA2589" s="8">
        <v>16.632000000000001</v>
      </c>
      <c r="AB2589" s="8">
        <v>3.9129999999999998</v>
      </c>
      <c r="AC2589" s="8">
        <v>0.68400000000000005</v>
      </c>
    </row>
    <row r="2590" spans="1:29" ht="11.65" x14ac:dyDescent="0.35">
      <c r="A2590" s="12">
        <v>2573</v>
      </c>
      <c r="B2590" s="10" t="s">
        <v>1015</v>
      </c>
      <c r="C2590" s="11" t="s">
        <v>1195</v>
      </c>
      <c r="D2590" s="9"/>
      <c r="E2590" s="9">
        <v>484</v>
      </c>
      <c r="F2590" s="10" t="s">
        <v>1066</v>
      </c>
      <c r="G2590" s="9">
        <v>916</v>
      </c>
      <c r="H2590" s="9">
        <v>1985</v>
      </c>
      <c r="I2590" s="8">
        <v>5645.098</v>
      </c>
      <c r="J2590" s="8">
        <v>5479.174</v>
      </c>
      <c r="K2590" s="8">
        <v>5035.7470000000003</v>
      </c>
      <c r="L2590" s="8">
        <v>4260.7089999999998</v>
      </c>
      <c r="M2590" s="8">
        <v>3479.739</v>
      </c>
      <c r="N2590" s="8">
        <v>2840.1990000000001</v>
      </c>
      <c r="O2590" s="8">
        <v>2321.3339999999998</v>
      </c>
      <c r="P2590" s="8">
        <v>1812.337</v>
      </c>
      <c r="Q2590" s="8">
        <v>1537.7070000000001</v>
      </c>
      <c r="R2590" s="8">
        <v>1236.049</v>
      </c>
      <c r="S2590" s="8">
        <v>1052.703</v>
      </c>
      <c r="T2590" s="8">
        <v>882.18700000000001</v>
      </c>
      <c r="U2590" s="8">
        <v>697.64300000000003</v>
      </c>
      <c r="V2590" s="8">
        <v>475.21899999999999</v>
      </c>
      <c r="W2590" s="8">
        <v>373.11399999999998</v>
      </c>
      <c r="X2590" s="8">
        <v>247.666</v>
      </c>
      <c r="Y2590" s="8">
        <v>154.30199999999999</v>
      </c>
      <c r="Z2590" s="8">
        <v>68.116</v>
      </c>
      <c r="AA2590" s="8">
        <v>21.565999999999999</v>
      </c>
      <c r="AB2590" s="8">
        <v>5.0919999999999996</v>
      </c>
      <c r="AC2590" s="8">
        <v>0.94599999999999995</v>
      </c>
    </row>
    <row r="2591" spans="1:29" ht="11.65" x14ac:dyDescent="0.35">
      <c r="A2591" s="12">
        <v>2574</v>
      </c>
      <c r="B2591" s="10" t="s">
        <v>1015</v>
      </c>
      <c r="C2591" s="11" t="s">
        <v>1195</v>
      </c>
      <c r="D2591" s="9"/>
      <c r="E2591" s="9">
        <v>484</v>
      </c>
      <c r="F2591" s="10" t="s">
        <v>1066</v>
      </c>
      <c r="G2591" s="9">
        <v>916</v>
      </c>
      <c r="H2591" s="9">
        <v>1990</v>
      </c>
      <c r="I2591" s="8">
        <v>5871.4129999999996</v>
      </c>
      <c r="J2591" s="8">
        <v>5523.6859999999997</v>
      </c>
      <c r="K2591" s="8">
        <v>5313.3280000000004</v>
      </c>
      <c r="L2591" s="8">
        <v>4796.7719999999999</v>
      </c>
      <c r="M2591" s="8">
        <v>3971.6779999999999</v>
      </c>
      <c r="N2591" s="8">
        <v>3260.28</v>
      </c>
      <c r="O2591" s="8">
        <v>2707.7649999999999</v>
      </c>
      <c r="P2591" s="8">
        <v>2263.5340000000001</v>
      </c>
      <c r="Q2591" s="8">
        <v>1764.8009999999999</v>
      </c>
      <c r="R2591" s="8">
        <v>1486.9739999999999</v>
      </c>
      <c r="S2591" s="8">
        <v>1181.6990000000001</v>
      </c>
      <c r="T2591" s="8">
        <v>990.19500000000005</v>
      </c>
      <c r="U2591" s="8">
        <v>809.49599999999998</v>
      </c>
      <c r="V2591" s="8">
        <v>617.97900000000004</v>
      </c>
      <c r="W2591" s="8">
        <v>399.53500000000003</v>
      </c>
      <c r="X2591" s="8">
        <v>291.34899999999999</v>
      </c>
      <c r="Y2591" s="8">
        <v>168.755</v>
      </c>
      <c r="Z2591" s="8">
        <v>84.293999999999997</v>
      </c>
      <c r="AA2591" s="8">
        <v>28.821000000000002</v>
      </c>
      <c r="AB2591" s="8">
        <v>6.766</v>
      </c>
      <c r="AC2591" s="8">
        <v>1.27</v>
      </c>
    </row>
    <row r="2592" spans="1:29" ht="11.65" x14ac:dyDescent="0.35">
      <c r="A2592" s="12">
        <v>2575</v>
      </c>
      <c r="B2592" s="10" t="s">
        <v>1015</v>
      </c>
      <c r="C2592" s="11" t="s">
        <v>1195</v>
      </c>
      <c r="D2592" s="9"/>
      <c r="E2592" s="9">
        <v>484</v>
      </c>
      <c r="F2592" s="10" t="s">
        <v>1066</v>
      </c>
      <c r="G2592" s="9">
        <v>916</v>
      </c>
      <c r="H2592" s="9">
        <v>1995</v>
      </c>
      <c r="I2592" s="8">
        <v>5871.3689999999997</v>
      </c>
      <c r="J2592" s="8">
        <v>5776.6350000000002</v>
      </c>
      <c r="K2592" s="8">
        <v>5414.6180000000004</v>
      </c>
      <c r="L2592" s="8">
        <v>4859.84</v>
      </c>
      <c r="M2592" s="8">
        <v>4249.9560000000001</v>
      </c>
      <c r="N2592" s="8">
        <v>3706.5309999999999</v>
      </c>
      <c r="O2592" s="8">
        <v>3210.8139999999999</v>
      </c>
      <c r="P2592" s="8">
        <v>2660.6590000000001</v>
      </c>
      <c r="Q2592" s="8">
        <v>2216.4569999999999</v>
      </c>
      <c r="R2592" s="8">
        <v>1717.768</v>
      </c>
      <c r="S2592" s="8">
        <v>1433.153</v>
      </c>
      <c r="T2592" s="8">
        <v>1121.625</v>
      </c>
      <c r="U2592" s="8">
        <v>918.529</v>
      </c>
      <c r="V2592" s="8">
        <v>725.92499999999995</v>
      </c>
      <c r="W2592" s="8">
        <v>527.49199999999996</v>
      </c>
      <c r="X2592" s="8">
        <v>317.58499999999998</v>
      </c>
      <c r="Y2592" s="8">
        <v>202.3</v>
      </c>
      <c r="Z2592" s="8">
        <v>93.319000000000003</v>
      </c>
      <c r="AA2592" s="8">
        <v>35.732999999999997</v>
      </c>
      <c r="AB2592" s="8">
        <v>8.9280000000000008</v>
      </c>
      <c r="AC2592" s="8">
        <v>1.6419999999999999</v>
      </c>
    </row>
    <row r="2593" spans="1:29" ht="11.65" x14ac:dyDescent="0.35">
      <c r="A2593" s="12">
        <v>2576</v>
      </c>
      <c r="B2593" s="10" t="s">
        <v>1015</v>
      </c>
      <c r="C2593" s="11" t="s">
        <v>1195</v>
      </c>
      <c r="D2593" s="9"/>
      <c r="E2593" s="9">
        <v>484</v>
      </c>
      <c r="F2593" s="10" t="s">
        <v>1066</v>
      </c>
      <c r="G2593" s="9">
        <v>916</v>
      </c>
      <c r="H2593" s="9">
        <v>2000</v>
      </c>
      <c r="I2593" s="8">
        <v>5837.558</v>
      </c>
      <c r="J2593" s="8">
        <v>5792.5249999999996</v>
      </c>
      <c r="K2593" s="8">
        <v>5525.9690000000001</v>
      </c>
      <c r="L2593" s="8">
        <v>5090.1559999999999</v>
      </c>
      <c r="M2593" s="8">
        <v>4489.527</v>
      </c>
      <c r="N2593" s="8">
        <v>4084.1640000000002</v>
      </c>
      <c r="O2593" s="8">
        <v>3564.0239999999999</v>
      </c>
      <c r="P2593" s="8">
        <v>3119.54</v>
      </c>
      <c r="Q2593" s="8">
        <v>2600.0549999999998</v>
      </c>
      <c r="R2593" s="8">
        <v>2151.7310000000002</v>
      </c>
      <c r="S2593" s="8">
        <v>1649.827</v>
      </c>
      <c r="T2593" s="8">
        <v>1355.0609999999999</v>
      </c>
      <c r="U2593" s="8">
        <v>1035.788</v>
      </c>
      <c r="V2593" s="8">
        <v>819.35</v>
      </c>
      <c r="W2593" s="8">
        <v>615.6</v>
      </c>
      <c r="X2593" s="8">
        <v>416.33499999999998</v>
      </c>
      <c r="Y2593" s="8">
        <v>226.166</v>
      </c>
      <c r="Z2593" s="8">
        <v>124.72</v>
      </c>
      <c r="AA2593" s="8">
        <v>45.872</v>
      </c>
      <c r="AB2593" s="8">
        <v>12.255000000000001</v>
      </c>
      <c r="AC2593" s="8">
        <v>1.8109999999999999</v>
      </c>
    </row>
    <row r="2594" spans="1:29" ht="11.65" x14ac:dyDescent="0.35">
      <c r="A2594" s="12">
        <v>2577</v>
      </c>
      <c r="B2594" s="10" t="s">
        <v>1015</v>
      </c>
      <c r="C2594" s="11" t="s">
        <v>1195</v>
      </c>
      <c r="D2594" s="9"/>
      <c r="E2594" s="9">
        <v>484</v>
      </c>
      <c r="F2594" s="10" t="s">
        <v>1066</v>
      </c>
      <c r="G2594" s="9">
        <v>916</v>
      </c>
      <c r="H2594" s="9">
        <v>2005</v>
      </c>
      <c r="I2594" s="8">
        <v>5788.875</v>
      </c>
      <c r="J2594" s="8">
        <v>5695.4040000000005</v>
      </c>
      <c r="K2594" s="8">
        <v>5646.2889999999998</v>
      </c>
      <c r="L2594" s="8">
        <v>5092.1149999999998</v>
      </c>
      <c r="M2594" s="8">
        <v>4675.1170000000002</v>
      </c>
      <c r="N2594" s="8">
        <v>4251.37</v>
      </c>
      <c r="O2594" s="8">
        <v>4017.2080000000001</v>
      </c>
      <c r="P2594" s="8">
        <v>3499.0529999999999</v>
      </c>
      <c r="Q2594" s="8">
        <v>3055.13</v>
      </c>
      <c r="R2594" s="8">
        <v>2533.549</v>
      </c>
      <c r="S2594" s="8">
        <v>2078.3939999999998</v>
      </c>
      <c r="T2594" s="8">
        <v>1571.326</v>
      </c>
      <c r="U2594" s="8">
        <v>1263.6320000000001</v>
      </c>
      <c r="V2594" s="8">
        <v>935.88400000000001</v>
      </c>
      <c r="W2594" s="8">
        <v>706.77800000000002</v>
      </c>
      <c r="X2594" s="8">
        <v>496.23500000000001</v>
      </c>
      <c r="Y2594" s="8">
        <v>304.23200000000003</v>
      </c>
      <c r="Z2594" s="8">
        <v>143.601</v>
      </c>
      <c r="AA2594" s="8">
        <v>63.656999999999996</v>
      </c>
      <c r="AB2594" s="8">
        <v>16.474</v>
      </c>
      <c r="AC2594" s="8">
        <v>2.524</v>
      </c>
    </row>
    <row r="2595" spans="1:29" ht="11.65" x14ac:dyDescent="0.35">
      <c r="A2595" s="12">
        <v>2578</v>
      </c>
      <c r="B2595" s="10" t="s">
        <v>1015</v>
      </c>
      <c r="C2595" s="11" t="s">
        <v>1195</v>
      </c>
      <c r="D2595" s="9"/>
      <c r="E2595" s="9">
        <v>484</v>
      </c>
      <c r="F2595" s="10" t="s">
        <v>1066</v>
      </c>
      <c r="G2595" s="9">
        <v>916</v>
      </c>
      <c r="H2595" s="9">
        <v>2010</v>
      </c>
      <c r="I2595" s="8">
        <v>5726.7780000000002</v>
      </c>
      <c r="J2595" s="8">
        <v>5751.0959999999995</v>
      </c>
      <c r="K2595" s="8">
        <v>5657.1970000000001</v>
      </c>
      <c r="L2595" s="8">
        <v>5594.2979999999998</v>
      </c>
      <c r="M2595" s="8">
        <v>4954.6980000000003</v>
      </c>
      <c r="N2595" s="8">
        <v>4531.8130000000001</v>
      </c>
      <c r="O2595" s="8">
        <v>4179.8789999999999</v>
      </c>
      <c r="P2595" s="8">
        <v>3954.7080000000001</v>
      </c>
      <c r="Q2595" s="8">
        <v>3434.0309999999999</v>
      </c>
      <c r="R2595" s="8">
        <v>2982.395</v>
      </c>
      <c r="S2595" s="8">
        <v>2450.2370000000001</v>
      </c>
      <c r="T2595" s="8">
        <v>1981.748</v>
      </c>
      <c r="U2595" s="8">
        <v>1465.489</v>
      </c>
      <c r="V2595" s="8">
        <v>1140.92</v>
      </c>
      <c r="W2595" s="8">
        <v>805.39499999999998</v>
      </c>
      <c r="X2595" s="8">
        <v>566.98800000000006</v>
      </c>
      <c r="Y2595" s="8">
        <v>359.887</v>
      </c>
      <c r="Z2595" s="8">
        <v>190.792</v>
      </c>
      <c r="AA2595" s="8">
        <v>71.887</v>
      </c>
      <c r="AB2595" s="8">
        <v>22.241</v>
      </c>
      <c r="AC2595" s="8">
        <v>3.3069999999999999</v>
      </c>
    </row>
    <row r="2596" spans="1:29" ht="11.65" x14ac:dyDescent="0.35">
      <c r="A2596" s="12">
        <v>2579</v>
      </c>
      <c r="B2596" s="10" t="s">
        <v>1015</v>
      </c>
      <c r="C2596" s="11" t="s">
        <v>1195</v>
      </c>
      <c r="D2596" s="9"/>
      <c r="E2596" s="9">
        <v>484</v>
      </c>
      <c r="F2596" s="10" t="s">
        <v>1066</v>
      </c>
      <c r="G2596" s="9">
        <v>916</v>
      </c>
      <c r="H2596" s="9">
        <v>2015</v>
      </c>
      <c r="I2596" s="8">
        <v>5744.9049999999997</v>
      </c>
      <c r="J2596" s="8">
        <v>5706.4889999999996</v>
      </c>
      <c r="K2596" s="8">
        <v>5735.8140000000003</v>
      </c>
      <c r="L2596" s="8">
        <v>5574.3909999999996</v>
      </c>
      <c r="M2596" s="8">
        <v>5471.5770000000002</v>
      </c>
      <c r="N2596" s="8">
        <v>4832.2950000000001</v>
      </c>
      <c r="O2596" s="8">
        <v>4423.2950000000001</v>
      </c>
      <c r="P2596" s="8">
        <v>4112.9740000000002</v>
      </c>
      <c r="Q2596" s="8">
        <v>3881.2629999999999</v>
      </c>
      <c r="R2596" s="8">
        <v>3352.058</v>
      </c>
      <c r="S2596" s="8">
        <v>2884.24</v>
      </c>
      <c r="T2596" s="8">
        <v>2335.0329999999999</v>
      </c>
      <c r="U2596" s="8">
        <v>1846.72</v>
      </c>
      <c r="V2596" s="8">
        <v>1320.7529999999999</v>
      </c>
      <c r="W2596" s="8">
        <v>978.72500000000002</v>
      </c>
      <c r="X2596" s="8">
        <v>642.69000000000005</v>
      </c>
      <c r="Y2596" s="8">
        <v>407.27600000000001</v>
      </c>
      <c r="Z2596" s="8">
        <v>221.87799999999999</v>
      </c>
      <c r="AA2596" s="8">
        <v>93.197000000000003</v>
      </c>
      <c r="AB2596" s="8">
        <v>24.305</v>
      </c>
      <c r="AC2596" s="8">
        <v>4.2930000000000001</v>
      </c>
    </row>
    <row r="2597" spans="1:29" ht="11.65" x14ac:dyDescent="0.35">
      <c r="A2597" s="12">
        <v>2580</v>
      </c>
      <c r="B2597" s="10" t="s">
        <v>1015</v>
      </c>
      <c r="C2597" s="11" t="s">
        <v>1195</v>
      </c>
      <c r="D2597" s="9"/>
      <c r="E2597" s="9">
        <v>484</v>
      </c>
      <c r="F2597" s="10" t="s">
        <v>1066</v>
      </c>
      <c r="G2597" s="9">
        <v>916</v>
      </c>
      <c r="H2597" s="9">
        <v>2020</v>
      </c>
      <c r="I2597" s="8">
        <v>5604.7809999999999</v>
      </c>
      <c r="J2597" s="8">
        <v>5731.7060000000001</v>
      </c>
      <c r="K2597" s="8">
        <v>5692.8220000000001</v>
      </c>
      <c r="L2597" s="8">
        <v>5695.0129999999999</v>
      </c>
      <c r="M2597" s="8">
        <v>5505.1610000000001</v>
      </c>
      <c r="N2597" s="8">
        <v>5384.13</v>
      </c>
      <c r="O2597" s="8">
        <v>4748.4120000000003</v>
      </c>
      <c r="P2597" s="8">
        <v>4343.7889999999998</v>
      </c>
      <c r="Q2597" s="8">
        <v>4029.7379999999998</v>
      </c>
      <c r="R2597" s="8">
        <v>3782.7689999999998</v>
      </c>
      <c r="S2597" s="8">
        <v>3236.0439999999999</v>
      </c>
      <c r="T2597" s="8">
        <v>2742.491</v>
      </c>
      <c r="U2597" s="8">
        <v>2169.2710000000002</v>
      </c>
      <c r="V2597" s="8">
        <v>1657.202</v>
      </c>
      <c r="W2597" s="8">
        <v>1125.991</v>
      </c>
      <c r="X2597" s="8">
        <v>774.47799999999995</v>
      </c>
      <c r="Y2597" s="8">
        <v>456.06599999999997</v>
      </c>
      <c r="Z2597" s="8">
        <v>248.86600000000001</v>
      </c>
      <c r="AA2597" s="8">
        <v>107.03400000000001</v>
      </c>
      <c r="AB2597" s="8">
        <v>30.998000000000001</v>
      </c>
      <c r="AC2597" s="8">
        <v>4.7240000000000002</v>
      </c>
    </row>
    <row r="2598" spans="1:29" ht="11.65" x14ac:dyDescent="0.35">
      <c r="A2598" s="12">
        <v>2581</v>
      </c>
      <c r="B2598" s="10" t="s">
        <v>1015</v>
      </c>
      <c r="C2598" s="11" t="s">
        <v>1196</v>
      </c>
      <c r="D2598" s="9"/>
      <c r="E2598" s="9">
        <v>558</v>
      </c>
      <c r="F2598" s="10" t="s">
        <v>1066</v>
      </c>
      <c r="G2598" s="9">
        <v>916</v>
      </c>
      <c r="H2598" s="9">
        <v>1950</v>
      </c>
      <c r="I2598" s="8">
        <v>109.2</v>
      </c>
      <c r="J2598" s="8">
        <v>95.253</v>
      </c>
      <c r="K2598" s="8">
        <v>81.665000000000006</v>
      </c>
      <c r="L2598" s="8">
        <v>69.905000000000001</v>
      </c>
      <c r="M2598" s="8">
        <v>58.460999999999999</v>
      </c>
      <c r="N2598" s="8">
        <v>49.002000000000002</v>
      </c>
      <c r="O2598" s="8">
        <v>39.843000000000004</v>
      </c>
      <c r="P2598" s="8">
        <v>32.923000000000002</v>
      </c>
      <c r="Q2598" s="8">
        <v>26.792000000000002</v>
      </c>
      <c r="R2598" s="8">
        <v>21.8</v>
      </c>
      <c r="S2598" s="8">
        <v>18.199000000000002</v>
      </c>
      <c r="T2598" s="8">
        <v>13.531000000000001</v>
      </c>
      <c r="U2598" s="8">
        <v>11.041</v>
      </c>
      <c r="V2598" s="8">
        <v>7.7610000000000001</v>
      </c>
      <c r="W2598" s="8">
        <v>4.952</v>
      </c>
      <c r="X2598" s="8">
        <v>2.3639999999999999</v>
      </c>
      <c r="Y2598" s="8">
        <v>0.92900000000000005</v>
      </c>
      <c r="Z2598" s="8">
        <v>0.23699999999999999</v>
      </c>
      <c r="AA2598" s="8">
        <v>3.9E-2</v>
      </c>
      <c r="AB2598" s="8">
        <v>4.0000000000000001E-3</v>
      </c>
      <c r="AC2598" s="8">
        <v>0</v>
      </c>
    </row>
    <row r="2599" spans="1:29" ht="11.65" x14ac:dyDescent="0.35">
      <c r="A2599" s="12">
        <v>2582</v>
      </c>
      <c r="B2599" s="10" t="s">
        <v>1015</v>
      </c>
      <c r="C2599" s="11" t="s">
        <v>1196</v>
      </c>
      <c r="D2599" s="9"/>
      <c r="E2599" s="9">
        <v>558</v>
      </c>
      <c r="F2599" s="10" t="s">
        <v>1066</v>
      </c>
      <c r="G2599" s="9">
        <v>916</v>
      </c>
      <c r="H2599" s="9">
        <v>1955</v>
      </c>
      <c r="I2599" s="8">
        <v>155.36699999999999</v>
      </c>
      <c r="J2599" s="8">
        <v>100.717</v>
      </c>
      <c r="K2599" s="8">
        <v>92.504999999999995</v>
      </c>
      <c r="L2599" s="8">
        <v>78.897999999999996</v>
      </c>
      <c r="M2599" s="8">
        <v>66.450999999999993</v>
      </c>
      <c r="N2599" s="8">
        <v>55.091000000000001</v>
      </c>
      <c r="O2599" s="8">
        <v>46.023000000000003</v>
      </c>
      <c r="P2599" s="8">
        <v>37.174999999999997</v>
      </c>
      <c r="Q2599" s="8">
        <v>30.254999999999999</v>
      </c>
      <c r="R2599" s="8">
        <v>24.234999999999999</v>
      </c>
      <c r="S2599" s="8">
        <v>19.36</v>
      </c>
      <c r="T2599" s="8">
        <v>15.694000000000001</v>
      </c>
      <c r="U2599" s="8">
        <v>11.148</v>
      </c>
      <c r="V2599" s="8">
        <v>8.4670000000000005</v>
      </c>
      <c r="W2599" s="8">
        <v>5.335</v>
      </c>
      <c r="X2599" s="8">
        <v>2.85</v>
      </c>
      <c r="Y2599" s="8">
        <v>1.002</v>
      </c>
      <c r="Z2599" s="8">
        <v>0.252</v>
      </c>
      <c r="AA2599" s="8">
        <v>4.1000000000000002E-2</v>
      </c>
      <c r="AB2599" s="8">
        <v>4.0000000000000001E-3</v>
      </c>
      <c r="AC2599" s="8">
        <v>0</v>
      </c>
    </row>
    <row r="2600" spans="1:29" ht="11.65" x14ac:dyDescent="0.35">
      <c r="A2600" s="12">
        <v>2583</v>
      </c>
      <c r="B2600" s="10" t="s">
        <v>1015</v>
      </c>
      <c r="C2600" s="11" t="s">
        <v>1196</v>
      </c>
      <c r="D2600" s="9"/>
      <c r="E2600" s="9">
        <v>558</v>
      </c>
      <c r="F2600" s="10" t="s">
        <v>1066</v>
      </c>
      <c r="G2600" s="9">
        <v>916</v>
      </c>
      <c r="H2600" s="9">
        <v>1960</v>
      </c>
      <c r="I2600" s="8">
        <v>184.26900000000001</v>
      </c>
      <c r="J2600" s="8">
        <v>144.85400000000001</v>
      </c>
      <c r="K2600" s="8">
        <v>98.15</v>
      </c>
      <c r="L2600" s="8">
        <v>89.724999999999994</v>
      </c>
      <c r="M2600" s="8">
        <v>75.408000000000001</v>
      </c>
      <c r="N2600" s="8">
        <v>63.05</v>
      </c>
      <c r="O2600" s="8">
        <v>52.137999999999998</v>
      </c>
      <c r="P2600" s="8">
        <v>43.341000000000001</v>
      </c>
      <c r="Q2600" s="8">
        <v>34.572000000000003</v>
      </c>
      <c r="R2600" s="8">
        <v>27.756</v>
      </c>
      <c r="S2600" s="8">
        <v>21.853999999999999</v>
      </c>
      <c r="T2600" s="8">
        <v>17</v>
      </c>
      <c r="U2600" s="8">
        <v>13.23</v>
      </c>
      <c r="V2600" s="8">
        <v>8.8049999999999997</v>
      </c>
      <c r="W2600" s="8">
        <v>5.9969999999999999</v>
      </c>
      <c r="X2600" s="8">
        <v>3.1680000000000001</v>
      </c>
      <c r="Y2600" s="8">
        <v>1.2729999999999999</v>
      </c>
      <c r="Z2600" s="8">
        <v>0.29799999999999999</v>
      </c>
      <c r="AA2600" s="8">
        <v>0.05</v>
      </c>
      <c r="AB2600" s="8">
        <v>5.0000000000000001E-3</v>
      </c>
      <c r="AC2600" s="8">
        <v>0</v>
      </c>
    </row>
    <row r="2601" spans="1:29" ht="11.65" x14ac:dyDescent="0.35">
      <c r="A2601" s="12">
        <v>2584</v>
      </c>
      <c r="B2601" s="10" t="s">
        <v>1015</v>
      </c>
      <c r="C2601" s="11" t="s">
        <v>1196</v>
      </c>
      <c r="D2601" s="9"/>
      <c r="E2601" s="9">
        <v>558</v>
      </c>
      <c r="F2601" s="10" t="s">
        <v>1066</v>
      </c>
      <c r="G2601" s="9">
        <v>916</v>
      </c>
      <c r="H2601" s="9">
        <v>1965</v>
      </c>
      <c r="I2601" s="8">
        <v>202.47200000000001</v>
      </c>
      <c r="J2601" s="8">
        <v>173.36</v>
      </c>
      <c r="K2601" s="8">
        <v>141.57300000000001</v>
      </c>
      <c r="L2601" s="8">
        <v>95.171999999999997</v>
      </c>
      <c r="M2601" s="8">
        <v>85.802999999999997</v>
      </c>
      <c r="N2601" s="8">
        <v>71.665000000000006</v>
      </c>
      <c r="O2601" s="8">
        <v>59.86</v>
      </c>
      <c r="P2601" s="8">
        <v>49.335999999999999</v>
      </c>
      <c r="Q2601" s="8">
        <v>40.630000000000003</v>
      </c>
      <c r="R2601" s="8">
        <v>32.029000000000003</v>
      </c>
      <c r="S2601" s="8">
        <v>25.312000000000001</v>
      </c>
      <c r="T2601" s="8">
        <v>19.452000000000002</v>
      </c>
      <c r="U2601" s="8">
        <v>14.590999999999999</v>
      </c>
      <c r="V2601" s="8">
        <v>10.72</v>
      </c>
      <c r="W2601" s="8">
        <v>6.4130000000000003</v>
      </c>
      <c r="X2601" s="8">
        <v>3.6739999999999999</v>
      </c>
      <c r="Y2601" s="8">
        <v>1.4890000000000001</v>
      </c>
      <c r="Z2601" s="8">
        <v>0.41299999999999998</v>
      </c>
      <c r="AA2601" s="8">
        <v>6.5000000000000002E-2</v>
      </c>
      <c r="AB2601" s="8">
        <v>6.0000000000000001E-3</v>
      </c>
      <c r="AC2601" s="8">
        <v>0</v>
      </c>
    </row>
    <row r="2602" spans="1:29" ht="11.65" x14ac:dyDescent="0.35">
      <c r="A2602" s="12">
        <v>2585</v>
      </c>
      <c r="B2602" s="10" t="s">
        <v>1015</v>
      </c>
      <c r="C2602" s="11" t="s">
        <v>1196</v>
      </c>
      <c r="D2602" s="9"/>
      <c r="E2602" s="9">
        <v>558</v>
      </c>
      <c r="F2602" s="10" t="s">
        <v>1066</v>
      </c>
      <c r="G2602" s="9">
        <v>916</v>
      </c>
      <c r="H2602" s="9">
        <v>1970</v>
      </c>
      <c r="I2602" s="8">
        <v>227.25899999999999</v>
      </c>
      <c r="J2602" s="8">
        <v>191.983</v>
      </c>
      <c r="K2602" s="8">
        <v>169.65</v>
      </c>
      <c r="L2602" s="8">
        <v>137.506</v>
      </c>
      <c r="M2602" s="8">
        <v>90.680999999999997</v>
      </c>
      <c r="N2602" s="8">
        <v>81.450999999999993</v>
      </c>
      <c r="O2602" s="8">
        <v>68.063000000000002</v>
      </c>
      <c r="P2602" s="8">
        <v>56.774000000000001</v>
      </c>
      <c r="Q2602" s="8">
        <v>46.494</v>
      </c>
      <c r="R2602" s="8">
        <v>37.927</v>
      </c>
      <c r="S2602" s="8">
        <v>29.460999999999999</v>
      </c>
      <c r="T2602" s="8">
        <v>22.805</v>
      </c>
      <c r="U2602" s="8">
        <v>16.960999999999999</v>
      </c>
      <c r="V2602" s="8">
        <v>12.09</v>
      </c>
      <c r="W2602" s="8">
        <v>8.0069999999999997</v>
      </c>
      <c r="X2602" s="8">
        <v>4.0460000000000003</v>
      </c>
      <c r="Y2602" s="8">
        <v>1.8140000000000001</v>
      </c>
      <c r="Z2602" s="8">
        <v>0.52</v>
      </c>
      <c r="AA2602" s="8">
        <v>0.1</v>
      </c>
      <c r="AB2602" s="8">
        <v>1.0999999999999999E-2</v>
      </c>
      <c r="AC2602" s="8">
        <v>1E-3</v>
      </c>
    </row>
    <row r="2603" spans="1:29" ht="11.65" x14ac:dyDescent="0.35">
      <c r="A2603" s="12">
        <v>2586</v>
      </c>
      <c r="B2603" s="10" t="s">
        <v>1015</v>
      </c>
      <c r="C2603" s="11" t="s">
        <v>1196</v>
      </c>
      <c r="D2603" s="9"/>
      <c r="E2603" s="9">
        <v>558</v>
      </c>
      <c r="F2603" s="10" t="s">
        <v>1066</v>
      </c>
      <c r="G2603" s="9">
        <v>916</v>
      </c>
      <c r="H2603" s="9">
        <v>1975</v>
      </c>
      <c r="I2603" s="8">
        <v>269.18799999999999</v>
      </c>
      <c r="J2603" s="8">
        <v>216.613</v>
      </c>
      <c r="K2603" s="8">
        <v>187.75399999999999</v>
      </c>
      <c r="L2603" s="8">
        <v>164.53299999999999</v>
      </c>
      <c r="M2603" s="8">
        <v>131.12799999999999</v>
      </c>
      <c r="N2603" s="8">
        <v>85.134</v>
      </c>
      <c r="O2603" s="8">
        <v>76.694000000000003</v>
      </c>
      <c r="P2603" s="8">
        <v>64.311000000000007</v>
      </c>
      <c r="Q2603" s="8">
        <v>53.649000000000001</v>
      </c>
      <c r="R2603" s="8">
        <v>43.777999999999999</v>
      </c>
      <c r="S2603" s="8">
        <v>35.32</v>
      </c>
      <c r="T2603" s="8">
        <v>26.957000000000001</v>
      </c>
      <c r="U2603" s="8">
        <v>20.263000000000002</v>
      </c>
      <c r="V2603" s="8">
        <v>14.364000000000001</v>
      </c>
      <c r="W2603" s="8">
        <v>9.2469999999999999</v>
      </c>
      <c r="X2603" s="8">
        <v>5.2</v>
      </c>
      <c r="Y2603" s="8">
        <v>2.0920000000000001</v>
      </c>
      <c r="Z2603" s="8">
        <v>0.67900000000000005</v>
      </c>
      <c r="AA2603" s="8">
        <v>0.13900000000000001</v>
      </c>
      <c r="AB2603" s="8">
        <v>1.9E-2</v>
      </c>
      <c r="AC2603" s="8">
        <v>1E-3</v>
      </c>
    </row>
    <row r="2604" spans="1:29" ht="11.65" x14ac:dyDescent="0.35">
      <c r="A2604" s="12">
        <v>2587</v>
      </c>
      <c r="B2604" s="10" t="s">
        <v>1015</v>
      </c>
      <c r="C2604" s="11" t="s">
        <v>1196</v>
      </c>
      <c r="D2604" s="9"/>
      <c r="E2604" s="9">
        <v>558</v>
      </c>
      <c r="F2604" s="10" t="s">
        <v>1066</v>
      </c>
      <c r="G2604" s="9">
        <v>916</v>
      </c>
      <c r="H2604" s="9">
        <v>1980</v>
      </c>
      <c r="I2604" s="8">
        <v>311.108</v>
      </c>
      <c r="J2604" s="8">
        <v>257.11099999999999</v>
      </c>
      <c r="K2604" s="8">
        <v>211.22800000000001</v>
      </c>
      <c r="L2604" s="8">
        <v>180.73099999999999</v>
      </c>
      <c r="M2604" s="8">
        <v>155.53100000000001</v>
      </c>
      <c r="N2604" s="8">
        <v>122.465</v>
      </c>
      <c r="O2604" s="8">
        <v>78.679000000000002</v>
      </c>
      <c r="P2604" s="8">
        <v>71.644999999999996</v>
      </c>
      <c r="Q2604" s="8">
        <v>60.421999999999997</v>
      </c>
      <c r="R2604" s="8">
        <v>50.38</v>
      </c>
      <c r="S2604" s="8">
        <v>40.78</v>
      </c>
      <c r="T2604" s="8">
        <v>32.439</v>
      </c>
      <c r="U2604" s="8">
        <v>24.12</v>
      </c>
      <c r="V2604" s="8">
        <v>17.303999999999998</v>
      </c>
      <c r="W2604" s="8">
        <v>11.164</v>
      </c>
      <c r="X2604" s="8">
        <v>6.1849999999999996</v>
      </c>
      <c r="Y2604" s="8">
        <v>2.8119999999999998</v>
      </c>
      <c r="Z2604" s="8">
        <v>0.83899999999999997</v>
      </c>
      <c r="AA2604" s="8">
        <v>0.19700000000000001</v>
      </c>
      <c r="AB2604" s="8">
        <v>2.9000000000000001E-2</v>
      </c>
      <c r="AC2604" s="8">
        <v>3.0000000000000001E-3</v>
      </c>
    </row>
    <row r="2605" spans="1:29" ht="11.65" x14ac:dyDescent="0.35">
      <c r="A2605" s="12">
        <v>2588</v>
      </c>
      <c r="B2605" s="10" t="s">
        <v>1015</v>
      </c>
      <c r="C2605" s="11" t="s">
        <v>1196</v>
      </c>
      <c r="D2605" s="9"/>
      <c r="E2605" s="9">
        <v>558</v>
      </c>
      <c r="F2605" s="10" t="s">
        <v>1066</v>
      </c>
      <c r="G2605" s="9">
        <v>916</v>
      </c>
      <c r="H2605" s="9">
        <v>1985</v>
      </c>
      <c r="I2605" s="8">
        <v>346.79599999999999</v>
      </c>
      <c r="J2605" s="8">
        <v>296.911</v>
      </c>
      <c r="K2605" s="8">
        <v>247.8</v>
      </c>
      <c r="L2605" s="8">
        <v>199.46299999999999</v>
      </c>
      <c r="M2605" s="8">
        <v>166.59399999999999</v>
      </c>
      <c r="N2605" s="8">
        <v>142.666</v>
      </c>
      <c r="O2605" s="8">
        <v>112.027</v>
      </c>
      <c r="P2605" s="8">
        <v>70.876000000000005</v>
      </c>
      <c r="Q2605" s="8">
        <v>65.146000000000001</v>
      </c>
      <c r="R2605" s="8">
        <v>54.975000000000001</v>
      </c>
      <c r="S2605" s="8">
        <v>45.866</v>
      </c>
      <c r="T2605" s="8">
        <v>36.918999999999997</v>
      </c>
      <c r="U2605" s="8">
        <v>29.003</v>
      </c>
      <c r="V2605" s="8">
        <v>20.661999999999999</v>
      </c>
      <c r="W2605" s="8">
        <v>13.629</v>
      </c>
      <c r="X2605" s="8">
        <v>7.6849999999999996</v>
      </c>
      <c r="Y2605" s="8">
        <v>3.49</v>
      </c>
      <c r="Z2605" s="8">
        <v>1.1970000000000001</v>
      </c>
      <c r="AA2605" s="8">
        <v>0.26400000000000001</v>
      </c>
      <c r="AB2605" s="8">
        <v>4.3999999999999997E-2</v>
      </c>
      <c r="AC2605" s="8">
        <v>5.0000000000000001E-3</v>
      </c>
    </row>
    <row r="2606" spans="1:29" ht="11.65" x14ac:dyDescent="0.35">
      <c r="A2606" s="12">
        <v>2589</v>
      </c>
      <c r="B2606" s="10" t="s">
        <v>1015</v>
      </c>
      <c r="C2606" s="11" t="s">
        <v>1196</v>
      </c>
      <c r="D2606" s="9"/>
      <c r="E2606" s="9">
        <v>558</v>
      </c>
      <c r="F2606" s="10" t="s">
        <v>1066</v>
      </c>
      <c r="G2606" s="9">
        <v>916</v>
      </c>
      <c r="H2606" s="9">
        <v>1990</v>
      </c>
      <c r="I2606" s="8">
        <v>353.87299999999999</v>
      </c>
      <c r="J2606" s="8">
        <v>333.57400000000001</v>
      </c>
      <c r="K2606" s="8">
        <v>284.61900000000003</v>
      </c>
      <c r="L2606" s="8">
        <v>231.07499999999999</v>
      </c>
      <c r="M2606" s="8">
        <v>180.393</v>
      </c>
      <c r="N2606" s="8">
        <v>149.73099999999999</v>
      </c>
      <c r="O2606" s="8">
        <v>129.52699999999999</v>
      </c>
      <c r="P2606" s="8">
        <v>101.261</v>
      </c>
      <c r="Q2606" s="8">
        <v>63.387</v>
      </c>
      <c r="R2606" s="8">
        <v>59.506</v>
      </c>
      <c r="S2606" s="8">
        <v>50.610999999999997</v>
      </c>
      <c r="T2606" s="8">
        <v>42.003999999999998</v>
      </c>
      <c r="U2606" s="8">
        <v>33.116</v>
      </c>
      <c r="V2606" s="8">
        <v>24.908999999999999</v>
      </c>
      <c r="W2606" s="8">
        <v>16.446999999999999</v>
      </c>
      <c r="X2606" s="8">
        <v>9.6489999999999991</v>
      </c>
      <c r="Y2606" s="8">
        <v>4.5190000000000001</v>
      </c>
      <c r="Z2606" s="8">
        <v>1.5740000000000001</v>
      </c>
      <c r="AA2606" s="8">
        <v>0.40500000000000003</v>
      </c>
      <c r="AB2606" s="8">
        <v>6.5000000000000002E-2</v>
      </c>
      <c r="AC2606" s="8">
        <v>8.0000000000000002E-3</v>
      </c>
    </row>
    <row r="2607" spans="1:29" ht="11.65" x14ac:dyDescent="0.35">
      <c r="A2607" s="12">
        <v>2590</v>
      </c>
      <c r="B2607" s="10" t="s">
        <v>1015</v>
      </c>
      <c r="C2607" s="11" t="s">
        <v>1196</v>
      </c>
      <c r="D2607" s="9"/>
      <c r="E2607" s="9">
        <v>558</v>
      </c>
      <c r="F2607" s="10" t="s">
        <v>1066</v>
      </c>
      <c r="G2607" s="9">
        <v>916</v>
      </c>
      <c r="H2607" s="9">
        <v>1995</v>
      </c>
      <c r="I2607" s="8">
        <v>356.37400000000002</v>
      </c>
      <c r="J2607" s="8">
        <v>345.60199999999998</v>
      </c>
      <c r="K2607" s="8">
        <v>323.892</v>
      </c>
      <c r="L2607" s="8">
        <v>270.846</v>
      </c>
      <c r="M2607" s="8">
        <v>215.14500000000001</v>
      </c>
      <c r="N2607" s="8">
        <v>167.28100000000001</v>
      </c>
      <c r="O2607" s="8">
        <v>139.94200000000001</v>
      </c>
      <c r="P2607" s="8">
        <v>121.79</v>
      </c>
      <c r="Q2607" s="8">
        <v>94.957999999999998</v>
      </c>
      <c r="R2607" s="8">
        <v>58.889000000000003</v>
      </c>
      <c r="S2607" s="8">
        <v>55.356999999999999</v>
      </c>
      <c r="T2607" s="8">
        <v>46.531999999999996</v>
      </c>
      <c r="U2607" s="8">
        <v>37.86</v>
      </c>
      <c r="V2607" s="8">
        <v>28.802</v>
      </c>
      <c r="W2607" s="8">
        <v>20.268000000000001</v>
      </c>
      <c r="X2607" s="8">
        <v>11.954000000000001</v>
      </c>
      <c r="Y2607" s="8">
        <v>5.9009999999999998</v>
      </c>
      <c r="Z2607" s="8">
        <v>2.1539999999999999</v>
      </c>
      <c r="AA2607" s="8">
        <v>0.56799999999999995</v>
      </c>
      <c r="AB2607" s="8">
        <v>0.106</v>
      </c>
      <c r="AC2607" s="8">
        <v>1.2999999999999999E-2</v>
      </c>
    </row>
    <row r="2608" spans="1:29" ht="11.65" x14ac:dyDescent="0.35">
      <c r="A2608" s="12">
        <v>2591</v>
      </c>
      <c r="B2608" s="10" t="s">
        <v>1015</v>
      </c>
      <c r="C2608" s="11" t="s">
        <v>1196</v>
      </c>
      <c r="D2608" s="9"/>
      <c r="E2608" s="9">
        <v>558</v>
      </c>
      <c r="F2608" s="10" t="s">
        <v>1066</v>
      </c>
      <c r="G2608" s="9">
        <v>916</v>
      </c>
      <c r="H2608" s="9">
        <v>2000</v>
      </c>
      <c r="I2608" s="8">
        <v>342.12900000000002</v>
      </c>
      <c r="J2608" s="8">
        <v>348.91699999999997</v>
      </c>
      <c r="K2608" s="8">
        <v>335.70600000000002</v>
      </c>
      <c r="L2608" s="8">
        <v>308.64800000000002</v>
      </c>
      <c r="M2608" s="8">
        <v>251.9</v>
      </c>
      <c r="N2608" s="8">
        <v>198.352</v>
      </c>
      <c r="O2608" s="8">
        <v>155.19399999999999</v>
      </c>
      <c r="P2608" s="8">
        <v>131.465</v>
      </c>
      <c r="Q2608" s="8">
        <v>114.896</v>
      </c>
      <c r="R2608" s="8">
        <v>88.715999999999994</v>
      </c>
      <c r="S2608" s="8">
        <v>54.27</v>
      </c>
      <c r="T2608" s="8">
        <v>50.787999999999997</v>
      </c>
      <c r="U2608" s="8">
        <v>42.43</v>
      </c>
      <c r="V2608" s="8">
        <v>33.42</v>
      </c>
      <c r="W2608" s="8">
        <v>23.79</v>
      </c>
      <c r="X2608" s="8">
        <v>15.121</v>
      </c>
      <c r="Y2608" s="8">
        <v>7.5949999999999998</v>
      </c>
      <c r="Z2608" s="8">
        <v>2.9649999999999999</v>
      </c>
      <c r="AA2608" s="8">
        <v>0.82799999999999996</v>
      </c>
      <c r="AB2608" s="8">
        <v>0.161</v>
      </c>
      <c r="AC2608" s="8">
        <v>2.1999999999999999E-2</v>
      </c>
    </row>
    <row r="2609" spans="1:29" ht="11.65" x14ac:dyDescent="0.35">
      <c r="A2609" s="12">
        <v>2592</v>
      </c>
      <c r="B2609" s="10" t="s">
        <v>1015</v>
      </c>
      <c r="C2609" s="11" t="s">
        <v>1196</v>
      </c>
      <c r="D2609" s="9"/>
      <c r="E2609" s="9">
        <v>558</v>
      </c>
      <c r="F2609" s="10" t="s">
        <v>1066</v>
      </c>
      <c r="G2609" s="9">
        <v>916</v>
      </c>
      <c r="H2609" s="9">
        <v>2005</v>
      </c>
      <c r="I2609" s="8">
        <v>335.11799999999999</v>
      </c>
      <c r="J2609" s="8">
        <v>335.18799999999999</v>
      </c>
      <c r="K2609" s="8">
        <v>337.38799999999998</v>
      </c>
      <c r="L2609" s="8">
        <v>318.90600000000001</v>
      </c>
      <c r="M2609" s="8">
        <v>287.214</v>
      </c>
      <c r="N2609" s="8">
        <v>231.59100000000001</v>
      </c>
      <c r="O2609" s="8">
        <v>182.499</v>
      </c>
      <c r="P2609" s="8">
        <v>144.18</v>
      </c>
      <c r="Q2609" s="8">
        <v>123.886</v>
      </c>
      <c r="R2609" s="8">
        <v>108.193</v>
      </c>
      <c r="S2609" s="8">
        <v>83.003</v>
      </c>
      <c r="T2609" s="8">
        <v>50.377000000000002</v>
      </c>
      <c r="U2609" s="8">
        <v>46.767000000000003</v>
      </c>
      <c r="V2609" s="8">
        <v>38.033999999999999</v>
      </c>
      <c r="W2609" s="8">
        <v>28.154</v>
      </c>
      <c r="X2609" s="8">
        <v>18.201000000000001</v>
      </c>
      <c r="Y2609" s="8">
        <v>9.968</v>
      </c>
      <c r="Z2609" s="8">
        <v>4.0149999999999997</v>
      </c>
      <c r="AA2609" s="8">
        <v>1.1830000000000001</v>
      </c>
      <c r="AB2609" s="8">
        <v>0.24</v>
      </c>
      <c r="AC2609" s="8">
        <v>3.4000000000000002E-2</v>
      </c>
    </row>
    <row r="2610" spans="1:29" ht="11.65" x14ac:dyDescent="0.35">
      <c r="A2610" s="12">
        <v>2593</v>
      </c>
      <c r="B2610" s="10" t="s">
        <v>1015</v>
      </c>
      <c r="C2610" s="11" t="s">
        <v>1196</v>
      </c>
      <c r="D2610" s="9"/>
      <c r="E2610" s="9">
        <v>558</v>
      </c>
      <c r="F2610" s="10" t="s">
        <v>1066</v>
      </c>
      <c r="G2610" s="9">
        <v>916</v>
      </c>
      <c r="H2610" s="9">
        <v>2010</v>
      </c>
      <c r="I2610" s="8">
        <v>339.87</v>
      </c>
      <c r="J2610" s="8">
        <v>329.21</v>
      </c>
      <c r="K2610" s="8">
        <v>324.95100000000002</v>
      </c>
      <c r="L2610" s="8">
        <v>322.36500000000001</v>
      </c>
      <c r="M2610" s="8">
        <v>299.58499999999998</v>
      </c>
      <c r="N2610" s="8">
        <v>268.5</v>
      </c>
      <c r="O2610" s="8">
        <v>216.672</v>
      </c>
      <c r="P2610" s="8">
        <v>171.732</v>
      </c>
      <c r="Q2610" s="8">
        <v>136.53200000000001</v>
      </c>
      <c r="R2610" s="8">
        <v>117.15600000000001</v>
      </c>
      <c r="S2610" s="8">
        <v>102.111</v>
      </c>
      <c r="T2610" s="8">
        <v>77.930999999999997</v>
      </c>
      <c r="U2610" s="8">
        <v>46.692</v>
      </c>
      <c r="V2610" s="8">
        <v>42.031999999999996</v>
      </c>
      <c r="W2610" s="8">
        <v>32.279000000000003</v>
      </c>
      <c r="X2610" s="8">
        <v>21.876000000000001</v>
      </c>
      <c r="Y2610" s="8">
        <v>12.221</v>
      </c>
      <c r="Z2610" s="8">
        <v>5.3540000000000001</v>
      </c>
      <c r="AA2610" s="8">
        <v>1.617</v>
      </c>
      <c r="AB2610" s="8">
        <v>0.34200000000000003</v>
      </c>
      <c r="AC2610" s="8">
        <v>5.1999999999999998E-2</v>
      </c>
    </row>
    <row r="2611" spans="1:29" ht="11.65" x14ac:dyDescent="0.35">
      <c r="A2611" s="12">
        <v>2594</v>
      </c>
      <c r="B2611" s="10" t="s">
        <v>1015</v>
      </c>
      <c r="C2611" s="11" t="s">
        <v>1196</v>
      </c>
      <c r="D2611" s="9"/>
      <c r="E2611" s="9">
        <v>558</v>
      </c>
      <c r="F2611" s="10" t="s">
        <v>1066</v>
      </c>
      <c r="G2611" s="9">
        <v>916</v>
      </c>
      <c r="H2611" s="9">
        <v>2015</v>
      </c>
      <c r="I2611" s="8">
        <v>342.83800000000002</v>
      </c>
      <c r="J2611" s="8">
        <v>334.97300000000001</v>
      </c>
      <c r="K2611" s="8">
        <v>321.25900000000001</v>
      </c>
      <c r="L2611" s="8">
        <v>313.33199999999999</v>
      </c>
      <c r="M2611" s="8">
        <v>307.09899999999999</v>
      </c>
      <c r="N2611" s="8">
        <v>284.279</v>
      </c>
      <c r="O2611" s="8">
        <v>255.52</v>
      </c>
      <c r="P2611" s="8">
        <v>206.60499999999999</v>
      </c>
      <c r="Q2611" s="8">
        <v>163.922</v>
      </c>
      <c r="R2611" s="8">
        <v>129.79</v>
      </c>
      <c r="S2611" s="8">
        <v>111.07</v>
      </c>
      <c r="T2611" s="8">
        <v>96.244</v>
      </c>
      <c r="U2611" s="8">
        <v>72.427999999999997</v>
      </c>
      <c r="V2611" s="8">
        <v>42.075000000000003</v>
      </c>
      <c r="W2611" s="8">
        <v>35.935000000000002</v>
      </c>
      <c r="X2611" s="8">
        <v>25.463999999999999</v>
      </c>
      <c r="Y2611" s="8">
        <v>14.955</v>
      </c>
      <c r="Z2611" s="8">
        <v>6.6660000000000004</v>
      </c>
      <c r="AA2611" s="8">
        <v>2.1779999999999999</v>
      </c>
      <c r="AB2611" s="8">
        <v>0.47299999999999998</v>
      </c>
      <c r="AC2611" s="8">
        <v>7.4999999999999997E-2</v>
      </c>
    </row>
    <row r="2612" spans="1:29" ht="11.65" x14ac:dyDescent="0.35">
      <c r="A2612" s="12">
        <v>2595</v>
      </c>
      <c r="B2612" s="10" t="s">
        <v>1015</v>
      </c>
      <c r="C2612" s="11" t="s">
        <v>1196</v>
      </c>
      <c r="D2612" s="9"/>
      <c r="E2612" s="9">
        <v>558</v>
      </c>
      <c r="F2612" s="10" t="s">
        <v>1066</v>
      </c>
      <c r="G2612" s="9">
        <v>916</v>
      </c>
      <c r="H2612" s="9">
        <v>2020</v>
      </c>
      <c r="I2612" s="8">
        <v>335.51100000000002</v>
      </c>
      <c r="J2612" s="8">
        <v>338.76799999999997</v>
      </c>
      <c r="K2612" s="8">
        <v>328.58199999999999</v>
      </c>
      <c r="L2612" s="8">
        <v>311.89600000000002</v>
      </c>
      <c r="M2612" s="8">
        <v>300.93700000000001</v>
      </c>
      <c r="N2612" s="8">
        <v>294.42500000000001</v>
      </c>
      <c r="O2612" s="8">
        <v>273.32499999999999</v>
      </c>
      <c r="P2612" s="8">
        <v>246.411</v>
      </c>
      <c r="Q2612" s="8">
        <v>199.14</v>
      </c>
      <c r="R2612" s="8">
        <v>157.274</v>
      </c>
      <c r="S2612" s="8">
        <v>123.83499999999999</v>
      </c>
      <c r="T2612" s="8">
        <v>105.123</v>
      </c>
      <c r="U2612" s="8">
        <v>89.686999999999998</v>
      </c>
      <c r="V2612" s="8">
        <v>65.436000000000007</v>
      </c>
      <c r="W2612" s="8">
        <v>36.234999999999999</v>
      </c>
      <c r="X2612" s="8">
        <v>28.777000000000001</v>
      </c>
      <c r="Y2612" s="8">
        <v>17.719000000000001</v>
      </c>
      <c r="Z2612" s="8">
        <v>8.2859999999999996</v>
      </c>
      <c r="AA2612" s="8">
        <v>2.7360000000000002</v>
      </c>
      <c r="AB2612" s="8">
        <v>0.64100000000000001</v>
      </c>
      <c r="AC2612" s="8">
        <v>0.105</v>
      </c>
    </row>
    <row r="2613" spans="1:29" ht="11.65" x14ac:dyDescent="0.35">
      <c r="A2613" s="12">
        <v>2596</v>
      </c>
      <c r="B2613" s="10" t="s">
        <v>1015</v>
      </c>
      <c r="C2613" s="11" t="s">
        <v>1197</v>
      </c>
      <c r="D2613" s="9"/>
      <c r="E2613" s="9">
        <v>591</v>
      </c>
      <c r="F2613" s="10" t="s">
        <v>1066</v>
      </c>
      <c r="G2613" s="9">
        <v>916</v>
      </c>
      <c r="H2613" s="9">
        <v>1950</v>
      </c>
      <c r="I2613" s="8">
        <v>72.75</v>
      </c>
      <c r="J2613" s="8">
        <v>60.279000000000003</v>
      </c>
      <c r="K2613" s="8">
        <v>51.432000000000002</v>
      </c>
      <c r="L2613" s="8">
        <v>43.969000000000001</v>
      </c>
      <c r="M2613" s="8">
        <v>37.792999999999999</v>
      </c>
      <c r="N2613" s="8">
        <v>32.71</v>
      </c>
      <c r="O2613" s="8">
        <v>28.431999999999999</v>
      </c>
      <c r="P2613" s="8">
        <v>24.256</v>
      </c>
      <c r="Q2613" s="8">
        <v>20.361000000000001</v>
      </c>
      <c r="R2613" s="8">
        <v>17.218</v>
      </c>
      <c r="S2613" s="8">
        <v>14.384</v>
      </c>
      <c r="T2613" s="8">
        <v>11.798</v>
      </c>
      <c r="U2613" s="8">
        <v>9.2620000000000005</v>
      </c>
      <c r="V2613" s="8">
        <v>6.819</v>
      </c>
      <c r="W2613" s="8">
        <v>4.5590000000000002</v>
      </c>
      <c r="X2613" s="8">
        <v>2.6440000000000001</v>
      </c>
      <c r="Y2613" s="8">
        <v>1.2370000000000001</v>
      </c>
      <c r="Z2613" s="8">
        <v>0.42899999999999999</v>
      </c>
      <c r="AA2613" s="8">
        <v>0.105</v>
      </c>
      <c r="AB2613" s="8">
        <v>1.9E-2</v>
      </c>
      <c r="AC2613" s="8">
        <v>2E-3</v>
      </c>
    </row>
    <row r="2614" spans="1:29" ht="11.65" x14ac:dyDescent="0.35">
      <c r="A2614" s="12">
        <v>2597</v>
      </c>
      <c r="B2614" s="10" t="s">
        <v>1015</v>
      </c>
      <c r="C2614" s="11" t="s">
        <v>1197</v>
      </c>
      <c r="D2614" s="9"/>
      <c r="E2614" s="9">
        <v>591</v>
      </c>
      <c r="F2614" s="10" t="s">
        <v>1066</v>
      </c>
      <c r="G2614" s="9">
        <v>916</v>
      </c>
      <c r="H2614" s="9">
        <v>1955</v>
      </c>
      <c r="I2614" s="8">
        <v>85.566999999999993</v>
      </c>
      <c r="J2614" s="8">
        <v>69.763999999999996</v>
      </c>
      <c r="K2614" s="8">
        <v>59.220999999999997</v>
      </c>
      <c r="L2614" s="8">
        <v>50.36</v>
      </c>
      <c r="M2614" s="8">
        <v>42.58</v>
      </c>
      <c r="N2614" s="8">
        <v>36.256999999999998</v>
      </c>
      <c r="O2614" s="8">
        <v>31.238</v>
      </c>
      <c r="P2614" s="8">
        <v>27.032</v>
      </c>
      <c r="Q2614" s="8">
        <v>22.873999999999999</v>
      </c>
      <c r="R2614" s="8">
        <v>19.048999999999999</v>
      </c>
      <c r="S2614" s="8">
        <v>16.003</v>
      </c>
      <c r="T2614" s="8">
        <v>13.074</v>
      </c>
      <c r="U2614" s="8">
        <v>10.295</v>
      </c>
      <c r="V2614" s="8">
        <v>7.617</v>
      </c>
      <c r="W2614" s="8">
        <v>5.1619999999999999</v>
      </c>
      <c r="X2614" s="8">
        <v>3.069</v>
      </c>
      <c r="Y2614" s="8">
        <v>1.504</v>
      </c>
      <c r="Z2614" s="8">
        <v>0.55200000000000005</v>
      </c>
      <c r="AA2614" s="8">
        <v>0.13700000000000001</v>
      </c>
      <c r="AB2614" s="8">
        <v>2.1000000000000001E-2</v>
      </c>
      <c r="AC2614" s="8">
        <v>2E-3</v>
      </c>
    </row>
    <row r="2615" spans="1:29" ht="11.65" x14ac:dyDescent="0.35">
      <c r="A2615" s="12">
        <v>2598</v>
      </c>
      <c r="B2615" s="10" t="s">
        <v>1015</v>
      </c>
      <c r="C2615" s="11" t="s">
        <v>1197</v>
      </c>
      <c r="D2615" s="9"/>
      <c r="E2615" s="9">
        <v>591</v>
      </c>
      <c r="F2615" s="10" t="s">
        <v>1066</v>
      </c>
      <c r="G2615" s="9">
        <v>916</v>
      </c>
      <c r="H2615" s="9">
        <v>1960</v>
      </c>
      <c r="I2615" s="8">
        <v>101.128</v>
      </c>
      <c r="J2615" s="8">
        <v>82.501999999999995</v>
      </c>
      <c r="K2615" s="8">
        <v>68.710999999999999</v>
      </c>
      <c r="L2615" s="8">
        <v>58.186999999999998</v>
      </c>
      <c r="M2615" s="8">
        <v>49.057000000000002</v>
      </c>
      <c r="N2615" s="8">
        <v>41.13</v>
      </c>
      <c r="O2615" s="8">
        <v>34.845999999999997</v>
      </c>
      <c r="P2615" s="8">
        <v>29.904</v>
      </c>
      <c r="Q2615" s="8">
        <v>25.73</v>
      </c>
      <c r="R2615" s="8">
        <v>21.661000000000001</v>
      </c>
      <c r="S2615" s="8">
        <v>17.956</v>
      </c>
      <c r="T2615" s="8">
        <v>14.807</v>
      </c>
      <c r="U2615" s="8">
        <v>11.672000000000001</v>
      </c>
      <c r="V2615" s="8">
        <v>8.7159999999999993</v>
      </c>
      <c r="W2615" s="8">
        <v>5.9649999999999999</v>
      </c>
      <c r="X2615" s="8">
        <v>3.6059999999999999</v>
      </c>
      <c r="Y2615" s="8">
        <v>1.794</v>
      </c>
      <c r="Z2615" s="8">
        <v>0.68700000000000006</v>
      </c>
      <c r="AA2615" s="8">
        <v>0.17899999999999999</v>
      </c>
      <c r="AB2615" s="8">
        <v>2.8000000000000001E-2</v>
      </c>
      <c r="AC2615" s="8">
        <v>2E-3</v>
      </c>
    </row>
    <row r="2616" spans="1:29" ht="11.65" x14ac:dyDescent="0.35">
      <c r="A2616" s="12">
        <v>2599</v>
      </c>
      <c r="B2616" s="10" t="s">
        <v>1015</v>
      </c>
      <c r="C2616" s="11" t="s">
        <v>1197</v>
      </c>
      <c r="D2616" s="9"/>
      <c r="E2616" s="9">
        <v>591</v>
      </c>
      <c r="F2616" s="10" t="s">
        <v>1066</v>
      </c>
      <c r="G2616" s="9">
        <v>916</v>
      </c>
      <c r="H2616" s="9">
        <v>1965</v>
      </c>
      <c r="I2616" s="8">
        <v>116.866</v>
      </c>
      <c r="J2616" s="8">
        <v>98.022000000000006</v>
      </c>
      <c r="K2616" s="8">
        <v>81.370999999999995</v>
      </c>
      <c r="L2616" s="8">
        <v>67.572999999999993</v>
      </c>
      <c r="M2616" s="8">
        <v>56.774999999999999</v>
      </c>
      <c r="N2616" s="8">
        <v>47.481999999999999</v>
      </c>
      <c r="O2616" s="8">
        <v>39.58</v>
      </c>
      <c r="P2616" s="8">
        <v>33.387</v>
      </c>
      <c r="Q2616" s="8">
        <v>28.512</v>
      </c>
      <c r="R2616" s="8">
        <v>24.478000000000002</v>
      </c>
      <c r="S2616" s="8">
        <v>20.594999999999999</v>
      </c>
      <c r="T2616" s="8">
        <v>16.815999999999999</v>
      </c>
      <c r="U2616" s="8">
        <v>13.430999999999999</v>
      </c>
      <c r="V2616" s="8">
        <v>10.074</v>
      </c>
      <c r="W2616" s="8">
        <v>6.9820000000000002</v>
      </c>
      <c r="X2616" s="8">
        <v>4.2759999999999998</v>
      </c>
      <c r="Y2616" s="8">
        <v>2.1789999999999998</v>
      </c>
      <c r="Z2616" s="8">
        <v>0.85199999999999998</v>
      </c>
      <c r="AA2616" s="8">
        <v>0.23200000000000001</v>
      </c>
      <c r="AB2616" s="8">
        <v>3.7999999999999999E-2</v>
      </c>
      <c r="AC2616" s="8">
        <v>3.0000000000000001E-3</v>
      </c>
    </row>
    <row r="2617" spans="1:29" ht="11.65" x14ac:dyDescent="0.35">
      <c r="A2617" s="12">
        <v>2600</v>
      </c>
      <c r="B2617" s="10" t="s">
        <v>1015</v>
      </c>
      <c r="C2617" s="11" t="s">
        <v>1197</v>
      </c>
      <c r="D2617" s="9"/>
      <c r="E2617" s="9">
        <v>591</v>
      </c>
      <c r="F2617" s="10" t="s">
        <v>1066</v>
      </c>
      <c r="G2617" s="9">
        <v>916</v>
      </c>
      <c r="H2617" s="9">
        <v>1970</v>
      </c>
      <c r="I2617" s="8">
        <v>130.06</v>
      </c>
      <c r="J2617" s="8">
        <v>113.746</v>
      </c>
      <c r="K2617" s="8">
        <v>96.849000000000004</v>
      </c>
      <c r="L2617" s="8">
        <v>80.188000000000002</v>
      </c>
      <c r="M2617" s="8">
        <v>66.123999999999995</v>
      </c>
      <c r="N2617" s="8">
        <v>55.186</v>
      </c>
      <c r="O2617" s="8">
        <v>45.926000000000002</v>
      </c>
      <c r="P2617" s="8">
        <v>38.122999999999998</v>
      </c>
      <c r="Q2617" s="8">
        <v>32.002000000000002</v>
      </c>
      <c r="R2617" s="8">
        <v>27.263999999999999</v>
      </c>
      <c r="S2617" s="8">
        <v>23.388000000000002</v>
      </c>
      <c r="T2617" s="8">
        <v>19.399999999999999</v>
      </c>
      <c r="U2617" s="8">
        <v>15.367000000000001</v>
      </c>
      <c r="V2617" s="8">
        <v>11.71</v>
      </c>
      <c r="W2617" s="8">
        <v>8.1769999999999996</v>
      </c>
      <c r="X2617" s="8">
        <v>5.0890000000000004</v>
      </c>
      <c r="Y2617" s="8">
        <v>2.6640000000000001</v>
      </c>
      <c r="Z2617" s="8">
        <v>1.08</v>
      </c>
      <c r="AA2617" s="8">
        <v>0.30499999999999999</v>
      </c>
      <c r="AB2617" s="8">
        <v>5.3999999999999999E-2</v>
      </c>
      <c r="AC2617" s="8">
        <v>5.0000000000000001E-3</v>
      </c>
    </row>
    <row r="2618" spans="1:29" ht="11.65" x14ac:dyDescent="0.35">
      <c r="A2618" s="12">
        <v>2601</v>
      </c>
      <c r="B2618" s="10" t="s">
        <v>1015</v>
      </c>
      <c r="C2618" s="11" t="s">
        <v>1197</v>
      </c>
      <c r="D2618" s="9"/>
      <c r="E2618" s="9">
        <v>591</v>
      </c>
      <c r="F2618" s="10" t="s">
        <v>1066</v>
      </c>
      <c r="G2618" s="9">
        <v>916</v>
      </c>
      <c r="H2618" s="9">
        <v>1975</v>
      </c>
      <c r="I2618" s="8">
        <v>141.42099999999999</v>
      </c>
      <c r="J2618" s="8">
        <v>127.074</v>
      </c>
      <c r="K2618" s="8">
        <v>112.405</v>
      </c>
      <c r="L2618" s="8">
        <v>95.518000000000001</v>
      </c>
      <c r="M2618" s="8">
        <v>78.634</v>
      </c>
      <c r="N2618" s="8">
        <v>64.501000000000005</v>
      </c>
      <c r="O2618" s="8">
        <v>53.683999999999997</v>
      </c>
      <c r="P2618" s="8">
        <v>44.558999999999997</v>
      </c>
      <c r="Q2618" s="8">
        <v>36.935000000000002</v>
      </c>
      <c r="R2618" s="8">
        <v>31.039000000000001</v>
      </c>
      <c r="S2618" s="8">
        <v>26.29</v>
      </c>
      <c r="T2618" s="8">
        <v>22.154</v>
      </c>
      <c r="U2618" s="8">
        <v>17.853999999999999</v>
      </c>
      <c r="V2618" s="8">
        <v>13.525</v>
      </c>
      <c r="W2618" s="8">
        <v>9.6240000000000006</v>
      </c>
      <c r="X2618" s="8">
        <v>6.0590000000000002</v>
      </c>
      <c r="Y2618" s="8">
        <v>3.22</v>
      </c>
      <c r="Z2618" s="8">
        <v>1.34</v>
      </c>
      <c r="AA2618" s="8">
        <v>0.39100000000000001</v>
      </c>
      <c r="AB2618" s="8">
        <v>6.9000000000000006E-2</v>
      </c>
      <c r="AC2618" s="8">
        <v>7.0000000000000001E-3</v>
      </c>
    </row>
    <row r="2619" spans="1:29" ht="11.65" x14ac:dyDescent="0.35">
      <c r="A2619" s="12">
        <v>2602</v>
      </c>
      <c r="B2619" s="10" t="s">
        <v>1015</v>
      </c>
      <c r="C2619" s="11" t="s">
        <v>1197</v>
      </c>
      <c r="D2619" s="9"/>
      <c r="E2619" s="9">
        <v>591</v>
      </c>
      <c r="F2619" s="10" t="s">
        <v>1066</v>
      </c>
      <c r="G2619" s="9">
        <v>916</v>
      </c>
      <c r="H2619" s="9">
        <v>1980</v>
      </c>
      <c r="I2619" s="8">
        <v>147.00899999999999</v>
      </c>
      <c r="J2619" s="8">
        <v>139.05500000000001</v>
      </c>
      <c r="K2619" s="8">
        <v>125.69</v>
      </c>
      <c r="L2619" s="8">
        <v>110.821</v>
      </c>
      <c r="M2619" s="8">
        <v>93.534999999999997</v>
      </c>
      <c r="N2619" s="8">
        <v>76.522000000000006</v>
      </c>
      <c r="O2619" s="8">
        <v>62.58</v>
      </c>
      <c r="P2619" s="8">
        <v>51.972999999999999</v>
      </c>
      <c r="Q2619" s="8">
        <v>43.134</v>
      </c>
      <c r="R2619" s="8">
        <v>35.874000000000002</v>
      </c>
      <c r="S2619" s="8">
        <v>30.035</v>
      </c>
      <c r="T2619" s="8">
        <v>25.03</v>
      </c>
      <c r="U2619" s="8">
        <v>20.533000000000001</v>
      </c>
      <c r="V2619" s="8">
        <v>15.866</v>
      </c>
      <c r="W2619" s="8">
        <v>11.259</v>
      </c>
      <c r="X2619" s="8">
        <v>7.2489999999999997</v>
      </c>
      <c r="Y2619" s="8">
        <v>3.9</v>
      </c>
      <c r="Z2619" s="8">
        <v>1.651</v>
      </c>
      <c r="AA2619" s="8">
        <v>0.49199999999999999</v>
      </c>
      <c r="AB2619" s="8">
        <v>9.0999999999999998E-2</v>
      </c>
      <c r="AC2619" s="8">
        <v>8.9999999999999993E-3</v>
      </c>
    </row>
    <row r="2620" spans="1:29" ht="11.65" x14ac:dyDescent="0.35">
      <c r="A2620" s="12">
        <v>2603</v>
      </c>
      <c r="B2620" s="10" t="s">
        <v>1015</v>
      </c>
      <c r="C2620" s="11" t="s">
        <v>1197</v>
      </c>
      <c r="D2620" s="9"/>
      <c r="E2620" s="9">
        <v>591</v>
      </c>
      <c r="F2620" s="10" t="s">
        <v>1066</v>
      </c>
      <c r="G2620" s="9">
        <v>916</v>
      </c>
      <c r="H2620" s="9">
        <v>1985</v>
      </c>
      <c r="I2620" s="8">
        <v>151.81899999999999</v>
      </c>
      <c r="J2620" s="8">
        <v>145.33000000000001</v>
      </c>
      <c r="K2620" s="8">
        <v>138.06100000000001</v>
      </c>
      <c r="L2620" s="8">
        <v>124.5</v>
      </c>
      <c r="M2620" s="8">
        <v>109.15300000000001</v>
      </c>
      <c r="N2620" s="8">
        <v>91.667000000000002</v>
      </c>
      <c r="O2620" s="8">
        <v>74.84</v>
      </c>
      <c r="P2620" s="8">
        <v>61.13</v>
      </c>
      <c r="Q2620" s="8">
        <v>50.735999999999997</v>
      </c>
      <c r="R2620" s="8">
        <v>42.1</v>
      </c>
      <c r="S2620" s="8">
        <v>34.814999999999998</v>
      </c>
      <c r="T2620" s="8">
        <v>28.707000000000001</v>
      </c>
      <c r="U2620" s="8">
        <v>23.331</v>
      </c>
      <c r="V2620" s="8">
        <v>18.391999999999999</v>
      </c>
      <c r="W2620" s="8">
        <v>13.362</v>
      </c>
      <c r="X2620" s="8">
        <v>8.6140000000000008</v>
      </c>
      <c r="Y2620" s="8">
        <v>4.7640000000000002</v>
      </c>
      <c r="Z2620" s="8">
        <v>2.0529999999999999</v>
      </c>
      <c r="AA2620" s="8">
        <v>0.626</v>
      </c>
      <c r="AB2620" s="8">
        <v>0.11799999999999999</v>
      </c>
      <c r="AC2620" s="8">
        <v>1.2E-2</v>
      </c>
    </row>
    <row r="2621" spans="1:29" ht="11.65" x14ac:dyDescent="0.35">
      <c r="A2621" s="12">
        <v>2604</v>
      </c>
      <c r="B2621" s="10" t="s">
        <v>1015</v>
      </c>
      <c r="C2621" s="11" t="s">
        <v>1197</v>
      </c>
      <c r="D2621" s="9"/>
      <c r="E2621" s="9">
        <v>591</v>
      </c>
      <c r="F2621" s="10" t="s">
        <v>1066</v>
      </c>
      <c r="G2621" s="9">
        <v>916</v>
      </c>
      <c r="H2621" s="9">
        <v>1990</v>
      </c>
      <c r="I2621" s="8">
        <v>158.04599999999999</v>
      </c>
      <c r="J2621" s="8">
        <v>150.399</v>
      </c>
      <c r="K2621" s="8">
        <v>144.36799999999999</v>
      </c>
      <c r="L2621" s="8">
        <v>136.79599999999999</v>
      </c>
      <c r="M2621" s="8">
        <v>122.675</v>
      </c>
      <c r="N2621" s="8">
        <v>107.009</v>
      </c>
      <c r="O2621" s="8">
        <v>89.667000000000002</v>
      </c>
      <c r="P2621" s="8">
        <v>73.111000000000004</v>
      </c>
      <c r="Q2621" s="8">
        <v>59.679000000000002</v>
      </c>
      <c r="R2621" s="8">
        <v>49.542000000000002</v>
      </c>
      <c r="S2621" s="8">
        <v>40.908999999999999</v>
      </c>
      <c r="T2621" s="8">
        <v>33.362000000000002</v>
      </c>
      <c r="U2621" s="8">
        <v>26.876999999999999</v>
      </c>
      <c r="V2621" s="8">
        <v>21.05</v>
      </c>
      <c r="W2621" s="8">
        <v>15.662000000000001</v>
      </c>
      <c r="X2621" s="8">
        <v>10.401999999999999</v>
      </c>
      <c r="Y2621" s="8">
        <v>5.8120000000000003</v>
      </c>
      <c r="Z2621" s="8">
        <v>2.605</v>
      </c>
      <c r="AA2621" s="8">
        <v>0.82399999999999995</v>
      </c>
      <c r="AB2621" s="8">
        <v>0.16200000000000001</v>
      </c>
      <c r="AC2621" s="8">
        <v>1.7000000000000001E-2</v>
      </c>
    </row>
    <row r="2622" spans="1:29" ht="11.65" x14ac:dyDescent="0.35">
      <c r="A2622" s="12">
        <v>2605</v>
      </c>
      <c r="B2622" s="10" t="s">
        <v>1015</v>
      </c>
      <c r="C2622" s="11" t="s">
        <v>1197</v>
      </c>
      <c r="D2622" s="9"/>
      <c r="E2622" s="9">
        <v>591</v>
      </c>
      <c r="F2622" s="10" t="s">
        <v>1066</v>
      </c>
      <c r="G2622" s="9">
        <v>916</v>
      </c>
      <c r="H2622" s="9">
        <v>1995</v>
      </c>
      <c r="I2622" s="8">
        <v>163.63800000000001</v>
      </c>
      <c r="J2622" s="8">
        <v>157.071</v>
      </c>
      <c r="K2622" s="8">
        <v>150.01</v>
      </c>
      <c r="L2622" s="8">
        <v>143.869</v>
      </c>
      <c r="M2622" s="8">
        <v>135.76499999999999</v>
      </c>
      <c r="N2622" s="8">
        <v>121.29900000000001</v>
      </c>
      <c r="O2622" s="8">
        <v>105.64400000000001</v>
      </c>
      <c r="P2622" s="8">
        <v>88.483999999999995</v>
      </c>
      <c r="Q2622" s="8">
        <v>72.040000000000006</v>
      </c>
      <c r="R2622" s="8">
        <v>58.545000000000002</v>
      </c>
      <c r="S2622" s="8">
        <v>48.21</v>
      </c>
      <c r="T2622" s="8">
        <v>39.289000000000001</v>
      </c>
      <c r="U2622" s="8">
        <v>31.359000000000002</v>
      </c>
      <c r="V2622" s="8">
        <v>24.411000000000001</v>
      </c>
      <c r="W2622" s="8">
        <v>18.120999999999999</v>
      </c>
      <c r="X2622" s="8">
        <v>12.409000000000001</v>
      </c>
      <c r="Y2622" s="8">
        <v>7.27</v>
      </c>
      <c r="Z2622" s="8">
        <v>3.359</v>
      </c>
      <c r="AA2622" s="8">
        <v>1.139</v>
      </c>
      <c r="AB2622" s="8">
        <v>0.24199999999999999</v>
      </c>
      <c r="AC2622" s="8">
        <v>2.8000000000000001E-2</v>
      </c>
    </row>
    <row r="2623" spans="1:29" ht="11.65" x14ac:dyDescent="0.35">
      <c r="A2623" s="12">
        <v>2606</v>
      </c>
      <c r="B2623" s="10" t="s">
        <v>1015</v>
      </c>
      <c r="C2623" s="11" t="s">
        <v>1197</v>
      </c>
      <c r="D2623" s="9"/>
      <c r="E2623" s="9">
        <v>591</v>
      </c>
      <c r="F2623" s="10" t="s">
        <v>1066</v>
      </c>
      <c r="G2623" s="9">
        <v>916</v>
      </c>
      <c r="H2623" s="9">
        <v>2000</v>
      </c>
      <c r="I2623" s="8">
        <v>174.29499999999999</v>
      </c>
      <c r="J2623" s="8">
        <v>162.85499999999999</v>
      </c>
      <c r="K2623" s="8">
        <v>157.05699999999999</v>
      </c>
      <c r="L2623" s="8">
        <v>150.01900000000001</v>
      </c>
      <c r="M2623" s="8">
        <v>143.40899999999999</v>
      </c>
      <c r="N2623" s="8">
        <v>134.90899999999999</v>
      </c>
      <c r="O2623" s="8">
        <v>120.366</v>
      </c>
      <c r="P2623" s="8">
        <v>104.79900000000001</v>
      </c>
      <c r="Q2623" s="8">
        <v>87.6</v>
      </c>
      <c r="R2623" s="8">
        <v>70.881</v>
      </c>
      <c r="S2623" s="8">
        <v>57.095999999999997</v>
      </c>
      <c r="T2623" s="8">
        <v>46.445</v>
      </c>
      <c r="U2623" s="8">
        <v>37.115000000000002</v>
      </c>
      <c r="V2623" s="8">
        <v>28.712</v>
      </c>
      <c r="W2623" s="8">
        <v>21.277000000000001</v>
      </c>
      <c r="X2623" s="8">
        <v>14.632999999999999</v>
      </c>
      <c r="Y2623" s="8">
        <v>9.0180000000000007</v>
      </c>
      <c r="Z2623" s="8">
        <v>4.4779999999999998</v>
      </c>
      <c r="AA2623" s="8">
        <v>1.623</v>
      </c>
      <c r="AB2623" s="8">
        <v>0.39</v>
      </c>
      <c r="AC2623" s="8">
        <v>5.2999999999999999E-2</v>
      </c>
    </row>
    <row r="2624" spans="1:29" ht="11.65" x14ac:dyDescent="0.35">
      <c r="A2624" s="12">
        <v>2607</v>
      </c>
      <c r="B2624" s="10" t="s">
        <v>1015</v>
      </c>
      <c r="C2624" s="11" t="s">
        <v>1197</v>
      </c>
      <c r="D2624" s="9"/>
      <c r="E2624" s="9">
        <v>591</v>
      </c>
      <c r="F2624" s="10" t="s">
        <v>1066</v>
      </c>
      <c r="G2624" s="9">
        <v>916</v>
      </c>
      <c r="H2624" s="9">
        <v>2005</v>
      </c>
      <c r="I2624" s="8">
        <v>179.91800000000001</v>
      </c>
      <c r="J2624" s="8">
        <v>173.52</v>
      </c>
      <c r="K2624" s="8">
        <v>162.999</v>
      </c>
      <c r="L2624" s="8">
        <v>157.35300000000001</v>
      </c>
      <c r="M2624" s="8">
        <v>149.839</v>
      </c>
      <c r="N2624" s="8">
        <v>142.857</v>
      </c>
      <c r="O2624" s="8">
        <v>134.26599999999999</v>
      </c>
      <c r="P2624" s="8">
        <v>119.81699999999999</v>
      </c>
      <c r="Q2624" s="8">
        <v>104.154</v>
      </c>
      <c r="R2624" s="8">
        <v>86.471999999999994</v>
      </c>
      <c r="S2624" s="8">
        <v>69.203999999999994</v>
      </c>
      <c r="T2624" s="8">
        <v>55.058</v>
      </c>
      <c r="U2624" s="8">
        <v>43.966999999999999</v>
      </c>
      <c r="V2624" s="8">
        <v>34.124000000000002</v>
      </c>
      <c r="W2624" s="8">
        <v>25.236999999999998</v>
      </c>
      <c r="X2624" s="8">
        <v>17.465</v>
      </c>
      <c r="Y2624" s="8">
        <v>10.916</v>
      </c>
      <c r="Z2624" s="8">
        <v>5.8090000000000002</v>
      </c>
      <c r="AA2624" s="8">
        <v>2.3290000000000002</v>
      </c>
      <c r="AB2624" s="8">
        <v>0.624</v>
      </c>
      <c r="AC2624" s="8">
        <v>0.10199999999999999</v>
      </c>
    </row>
    <row r="2625" spans="1:29" ht="11.65" x14ac:dyDescent="0.35">
      <c r="A2625" s="12">
        <v>2608</v>
      </c>
      <c r="B2625" s="10" t="s">
        <v>1015</v>
      </c>
      <c r="C2625" s="11" t="s">
        <v>1197</v>
      </c>
      <c r="D2625" s="9"/>
      <c r="E2625" s="9">
        <v>591</v>
      </c>
      <c r="F2625" s="10" t="s">
        <v>1066</v>
      </c>
      <c r="G2625" s="9">
        <v>916</v>
      </c>
      <c r="H2625" s="9">
        <v>2010</v>
      </c>
      <c r="I2625" s="8">
        <v>188.28200000000001</v>
      </c>
      <c r="J2625" s="8">
        <v>179.21199999999999</v>
      </c>
      <c r="K2625" s="8">
        <v>173.70099999999999</v>
      </c>
      <c r="L2625" s="8">
        <v>163.52699999999999</v>
      </c>
      <c r="M2625" s="8">
        <v>157.304</v>
      </c>
      <c r="N2625" s="8">
        <v>149.43</v>
      </c>
      <c r="O2625" s="8">
        <v>142.51499999999999</v>
      </c>
      <c r="P2625" s="8">
        <v>134.03399999999999</v>
      </c>
      <c r="Q2625" s="8">
        <v>119.471</v>
      </c>
      <c r="R2625" s="8">
        <v>103.10599999999999</v>
      </c>
      <c r="S2625" s="8">
        <v>84.481999999999999</v>
      </c>
      <c r="T2625" s="8">
        <v>66.698999999999998</v>
      </c>
      <c r="U2625" s="8">
        <v>52.100999999999999</v>
      </c>
      <c r="V2625" s="8">
        <v>40.465000000000003</v>
      </c>
      <c r="W2625" s="8">
        <v>30.123999999999999</v>
      </c>
      <c r="X2625" s="8">
        <v>20.931000000000001</v>
      </c>
      <c r="Y2625" s="8">
        <v>13.25</v>
      </c>
      <c r="Z2625" s="8">
        <v>7.2519999999999998</v>
      </c>
      <c r="AA2625" s="8">
        <v>3.1859999999999999</v>
      </c>
      <c r="AB2625" s="8">
        <v>0.97399999999999998</v>
      </c>
      <c r="AC2625" s="8">
        <v>0.19</v>
      </c>
    </row>
    <row r="2626" spans="1:29" ht="11.65" x14ac:dyDescent="0.35">
      <c r="A2626" s="12">
        <v>2609</v>
      </c>
      <c r="B2626" s="10" t="s">
        <v>1015</v>
      </c>
      <c r="C2626" s="11" t="s">
        <v>1197</v>
      </c>
      <c r="D2626" s="9"/>
      <c r="E2626" s="9">
        <v>591</v>
      </c>
      <c r="F2626" s="10" t="s">
        <v>1066</v>
      </c>
      <c r="G2626" s="9">
        <v>916</v>
      </c>
      <c r="H2626" s="9">
        <v>2015</v>
      </c>
      <c r="I2626" s="8">
        <v>197.00299999999999</v>
      </c>
      <c r="J2626" s="8">
        <v>187.63499999999999</v>
      </c>
      <c r="K2626" s="8">
        <v>179.52799999999999</v>
      </c>
      <c r="L2626" s="8">
        <v>174.52199999999999</v>
      </c>
      <c r="M2626" s="8">
        <v>163.83799999999999</v>
      </c>
      <c r="N2626" s="8">
        <v>157.25700000000001</v>
      </c>
      <c r="O2626" s="8">
        <v>149.501</v>
      </c>
      <c r="P2626" s="8">
        <v>142.68100000000001</v>
      </c>
      <c r="Q2626" s="8">
        <v>133.95500000000001</v>
      </c>
      <c r="R2626" s="8">
        <v>118.495</v>
      </c>
      <c r="S2626" s="8">
        <v>100.871</v>
      </c>
      <c r="T2626" s="8">
        <v>81.546999999999997</v>
      </c>
      <c r="U2626" s="8">
        <v>63.274000000000001</v>
      </c>
      <c r="V2626" s="8">
        <v>48.151000000000003</v>
      </c>
      <c r="W2626" s="8">
        <v>35.957999999999998</v>
      </c>
      <c r="X2626" s="8">
        <v>25.242999999999999</v>
      </c>
      <c r="Y2626" s="8">
        <v>16.103000000000002</v>
      </c>
      <c r="Z2626" s="8">
        <v>8.9809999999999999</v>
      </c>
      <c r="AA2626" s="8">
        <v>4.0949999999999998</v>
      </c>
      <c r="AB2626" s="8">
        <v>1.381</v>
      </c>
      <c r="AC2626" s="8">
        <v>0.313</v>
      </c>
    </row>
    <row r="2627" spans="1:29" ht="11.65" x14ac:dyDescent="0.35">
      <c r="A2627" s="12">
        <v>2610</v>
      </c>
      <c r="B2627" s="10" t="s">
        <v>1015</v>
      </c>
      <c r="C2627" s="11" t="s">
        <v>1197</v>
      </c>
      <c r="D2627" s="9"/>
      <c r="E2627" s="9">
        <v>591</v>
      </c>
      <c r="F2627" s="10" t="s">
        <v>1066</v>
      </c>
      <c r="G2627" s="9">
        <v>916</v>
      </c>
      <c r="H2627" s="9">
        <v>2020</v>
      </c>
      <c r="I2627" s="8">
        <v>199.05</v>
      </c>
      <c r="J2627" s="8">
        <v>196.392</v>
      </c>
      <c r="K2627" s="8">
        <v>188.589</v>
      </c>
      <c r="L2627" s="8">
        <v>181.761</v>
      </c>
      <c r="M2627" s="8">
        <v>176.589</v>
      </c>
      <c r="N2627" s="8">
        <v>165.80199999999999</v>
      </c>
      <c r="O2627" s="8">
        <v>159.31299999999999</v>
      </c>
      <c r="P2627" s="8">
        <v>151.56</v>
      </c>
      <c r="Q2627" s="8">
        <v>144.232</v>
      </c>
      <c r="R2627" s="8">
        <v>133.88399999999999</v>
      </c>
      <c r="S2627" s="8">
        <v>116.515</v>
      </c>
      <c r="T2627" s="8">
        <v>97.629000000000005</v>
      </c>
      <c r="U2627" s="8">
        <v>77.685000000000002</v>
      </c>
      <c r="V2627" s="8">
        <v>58.837000000000003</v>
      </c>
      <c r="W2627" s="8">
        <v>43.174999999999997</v>
      </c>
      <c r="X2627" s="8">
        <v>30.542999999999999</v>
      </c>
      <c r="Y2627" s="8">
        <v>19.68</v>
      </c>
      <c r="Z2627" s="8">
        <v>11.13</v>
      </c>
      <c r="AA2627" s="8">
        <v>5.2130000000000001</v>
      </c>
      <c r="AB2627" s="8">
        <v>1.833</v>
      </c>
      <c r="AC2627" s="8">
        <v>0.46800000000000003</v>
      </c>
    </row>
    <row r="2628" spans="1:29" ht="11.65" x14ac:dyDescent="0.35">
      <c r="A2628" s="23">
        <v>2611</v>
      </c>
      <c r="B2628" s="21" t="s">
        <v>1015</v>
      </c>
      <c r="C2628" s="29" t="s">
        <v>1198</v>
      </c>
      <c r="D2628" s="20"/>
      <c r="E2628" s="20">
        <v>931</v>
      </c>
      <c r="F2628" s="21" t="s">
        <v>1065</v>
      </c>
      <c r="G2628" s="20">
        <v>1830</v>
      </c>
      <c r="H2628" s="20">
        <v>1950</v>
      </c>
      <c r="I2628" s="19">
        <v>9099.6080000000002</v>
      </c>
      <c r="J2628" s="19">
        <v>7272.1329999999998</v>
      </c>
      <c r="K2628" s="19">
        <v>6502.7240000000002</v>
      </c>
      <c r="L2628" s="19">
        <v>5695.1869999999999</v>
      </c>
      <c r="M2628" s="19">
        <v>5227.5879999999997</v>
      </c>
      <c r="N2628" s="19">
        <v>4398.6850000000004</v>
      </c>
      <c r="O2628" s="19">
        <v>3709.0169999999998</v>
      </c>
      <c r="P2628" s="19">
        <v>3333.67</v>
      </c>
      <c r="Q2628" s="19">
        <v>2850.4079999999999</v>
      </c>
      <c r="R2628" s="19">
        <v>2349.989</v>
      </c>
      <c r="S2628" s="19">
        <v>1954.3320000000001</v>
      </c>
      <c r="T2628" s="19">
        <v>1520.1690000000001</v>
      </c>
      <c r="U2628" s="19">
        <v>1148.5139999999999</v>
      </c>
      <c r="V2628" s="19">
        <v>806.08199999999999</v>
      </c>
      <c r="W2628" s="19">
        <v>515.54999999999995</v>
      </c>
      <c r="X2628" s="19">
        <v>294.351</v>
      </c>
      <c r="Y2628" s="19">
        <v>106.813</v>
      </c>
      <c r="Z2628" s="19">
        <v>48.71</v>
      </c>
      <c r="AA2628" s="19">
        <v>21.074000000000002</v>
      </c>
      <c r="AB2628" s="19">
        <v>9.3149999999999995</v>
      </c>
      <c r="AC2628" s="19">
        <v>4.1070000000000002</v>
      </c>
    </row>
    <row r="2629" spans="1:29" ht="11.65" x14ac:dyDescent="0.35">
      <c r="A2629" s="23">
        <v>2612</v>
      </c>
      <c r="B2629" s="21" t="s">
        <v>1015</v>
      </c>
      <c r="C2629" s="29" t="s">
        <v>1198</v>
      </c>
      <c r="D2629" s="20"/>
      <c r="E2629" s="20">
        <v>931</v>
      </c>
      <c r="F2629" s="21" t="s">
        <v>1065</v>
      </c>
      <c r="G2629" s="20">
        <v>1830</v>
      </c>
      <c r="H2629" s="20">
        <v>1955</v>
      </c>
      <c r="I2629" s="19">
        <v>10826.674000000001</v>
      </c>
      <c r="J2629" s="19">
        <v>8661.982</v>
      </c>
      <c r="K2629" s="19">
        <v>7188.2449999999999</v>
      </c>
      <c r="L2629" s="19">
        <v>6438.1440000000002</v>
      </c>
      <c r="M2629" s="19">
        <v>5607.6540000000005</v>
      </c>
      <c r="N2629" s="19">
        <v>5115.0749999999998</v>
      </c>
      <c r="O2629" s="19">
        <v>4288.2219999999998</v>
      </c>
      <c r="P2629" s="19">
        <v>3600.5740000000001</v>
      </c>
      <c r="Q2629" s="19">
        <v>3212.1019999999999</v>
      </c>
      <c r="R2629" s="19">
        <v>2712.5210000000002</v>
      </c>
      <c r="S2629" s="19">
        <v>2193.6999999999998</v>
      </c>
      <c r="T2629" s="19">
        <v>1776.3030000000001</v>
      </c>
      <c r="U2629" s="19">
        <v>1326.123</v>
      </c>
      <c r="V2629" s="19">
        <v>939.98400000000004</v>
      </c>
      <c r="W2629" s="19">
        <v>599.98800000000006</v>
      </c>
      <c r="X2629" s="19">
        <v>327.64699999999999</v>
      </c>
      <c r="Y2629" s="19">
        <v>146.82499999999999</v>
      </c>
      <c r="Z2629" s="19">
        <v>38.085000000000001</v>
      </c>
      <c r="AA2629" s="19">
        <v>11.516</v>
      </c>
      <c r="AB2629" s="19">
        <v>2.9420000000000002</v>
      </c>
      <c r="AC2629" s="19">
        <v>1.01</v>
      </c>
    </row>
    <row r="2630" spans="1:29" ht="11.65" x14ac:dyDescent="0.35">
      <c r="A2630" s="23">
        <v>2613</v>
      </c>
      <c r="B2630" s="21" t="s">
        <v>1015</v>
      </c>
      <c r="C2630" s="29" t="s">
        <v>1198</v>
      </c>
      <c r="D2630" s="20"/>
      <c r="E2630" s="20">
        <v>931</v>
      </c>
      <c r="F2630" s="21" t="s">
        <v>1065</v>
      </c>
      <c r="G2630" s="20">
        <v>1830</v>
      </c>
      <c r="H2630" s="20">
        <v>1960</v>
      </c>
      <c r="I2630" s="19">
        <v>12354.341</v>
      </c>
      <c r="J2630" s="19">
        <v>10345.804</v>
      </c>
      <c r="K2630" s="19">
        <v>8552.5740000000005</v>
      </c>
      <c r="L2630" s="19">
        <v>7092.5950000000003</v>
      </c>
      <c r="M2630" s="19">
        <v>6308.0659999999998</v>
      </c>
      <c r="N2630" s="19">
        <v>5460.7020000000002</v>
      </c>
      <c r="O2630" s="19">
        <v>4964.2839999999997</v>
      </c>
      <c r="P2630" s="19">
        <v>4146.49</v>
      </c>
      <c r="Q2630" s="19">
        <v>3459.7220000000002</v>
      </c>
      <c r="R2630" s="19">
        <v>3057.8240000000001</v>
      </c>
      <c r="S2630" s="19">
        <v>2534.953</v>
      </c>
      <c r="T2630" s="19">
        <v>1999.0940000000001</v>
      </c>
      <c r="U2630" s="19">
        <v>1556.9090000000001</v>
      </c>
      <c r="V2630" s="19">
        <v>1094.748</v>
      </c>
      <c r="W2630" s="19">
        <v>709.76300000000003</v>
      </c>
      <c r="X2630" s="19">
        <v>391.18400000000003</v>
      </c>
      <c r="Y2630" s="19">
        <v>170.11600000000001</v>
      </c>
      <c r="Z2630" s="19">
        <v>56.012999999999998</v>
      </c>
      <c r="AA2630" s="19">
        <v>10.252000000000001</v>
      </c>
      <c r="AB2630" s="19">
        <v>1.948</v>
      </c>
      <c r="AC2630" s="19">
        <v>0.35799999999999998</v>
      </c>
    </row>
    <row r="2631" spans="1:29" ht="11.65" x14ac:dyDescent="0.35">
      <c r="A2631" s="23">
        <v>2614</v>
      </c>
      <c r="B2631" s="21" t="s">
        <v>1015</v>
      </c>
      <c r="C2631" s="29" t="s">
        <v>1198</v>
      </c>
      <c r="D2631" s="20"/>
      <c r="E2631" s="20">
        <v>931</v>
      </c>
      <c r="F2631" s="21" t="s">
        <v>1065</v>
      </c>
      <c r="G2631" s="20">
        <v>1830</v>
      </c>
      <c r="H2631" s="20">
        <v>1965</v>
      </c>
      <c r="I2631" s="19">
        <v>13908.673000000001</v>
      </c>
      <c r="J2631" s="19">
        <v>11869.705</v>
      </c>
      <c r="K2631" s="19">
        <v>10223.703</v>
      </c>
      <c r="L2631" s="19">
        <v>8441.3889999999992</v>
      </c>
      <c r="M2631" s="19">
        <v>6949.8680000000004</v>
      </c>
      <c r="N2631" s="19">
        <v>6144.1850000000004</v>
      </c>
      <c r="O2631" s="19">
        <v>5303.2730000000001</v>
      </c>
      <c r="P2631" s="19">
        <v>4808.7309999999998</v>
      </c>
      <c r="Q2631" s="19">
        <v>3991.4830000000002</v>
      </c>
      <c r="R2631" s="19">
        <v>3301.2370000000001</v>
      </c>
      <c r="S2631" s="19">
        <v>2868.2539999999999</v>
      </c>
      <c r="T2631" s="19">
        <v>2319.8110000000001</v>
      </c>
      <c r="U2631" s="19">
        <v>1761.836</v>
      </c>
      <c r="V2631" s="19">
        <v>1293.626</v>
      </c>
      <c r="W2631" s="19">
        <v>831.53300000000002</v>
      </c>
      <c r="X2631" s="19">
        <v>468.86200000000002</v>
      </c>
      <c r="Y2631" s="19">
        <v>206.74600000000001</v>
      </c>
      <c r="Z2631" s="19">
        <v>65.356999999999999</v>
      </c>
      <c r="AA2631" s="19">
        <v>14.715999999999999</v>
      </c>
      <c r="AB2631" s="19">
        <v>1.7849999999999999</v>
      </c>
      <c r="AC2631" s="19">
        <v>0.23200000000000001</v>
      </c>
    </row>
    <row r="2632" spans="1:29" ht="11.65" x14ac:dyDescent="0.35">
      <c r="A2632" s="23">
        <v>2615</v>
      </c>
      <c r="B2632" s="21" t="s">
        <v>1015</v>
      </c>
      <c r="C2632" s="29" t="s">
        <v>1198</v>
      </c>
      <c r="D2632" s="20"/>
      <c r="E2632" s="20">
        <v>931</v>
      </c>
      <c r="F2632" s="21" t="s">
        <v>1065</v>
      </c>
      <c r="G2632" s="20">
        <v>1830</v>
      </c>
      <c r="H2632" s="20">
        <v>1970</v>
      </c>
      <c r="I2632" s="19">
        <v>14723.960999999999</v>
      </c>
      <c r="J2632" s="19">
        <v>13442.119000000001</v>
      </c>
      <c r="K2632" s="19">
        <v>11731.748</v>
      </c>
      <c r="L2632" s="19">
        <v>10087.797</v>
      </c>
      <c r="M2632" s="19">
        <v>8266.4179999999997</v>
      </c>
      <c r="N2632" s="19">
        <v>6766.29</v>
      </c>
      <c r="O2632" s="19">
        <v>5988.0479999999998</v>
      </c>
      <c r="P2632" s="19">
        <v>5152.3149999999996</v>
      </c>
      <c r="Q2632" s="19">
        <v>4644.2809999999999</v>
      </c>
      <c r="R2632" s="19">
        <v>3820.1610000000001</v>
      </c>
      <c r="S2632" s="19">
        <v>3108.2660000000001</v>
      </c>
      <c r="T2632" s="19">
        <v>2634.1660000000002</v>
      </c>
      <c r="U2632" s="19">
        <v>2054.3629999999998</v>
      </c>
      <c r="V2632" s="19">
        <v>1475.508</v>
      </c>
      <c r="W2632" s="19">
        <v>992.81299999999999</v>
      </c>
      <c r="X2632" s="19">
        <v>558.00599999999997</v>
      </c>
      <c r="Y2632" s="19">
        <v>253.255</v>
      </c>
      <c r="Z2632" s="19">
        <v>81.578999999999994</v>
      </c>
      <c r="AA2632" s="19">
        <v>17.667000000000002</v>
      </c>
      <c r="AB2632" s="19">
        <v>2.5510000000000002</v>
      </c>
      <c r="AC2632" s="19">
        <v>0.21299999999999999</v>
      </c>
    </row>
    <row r="2633" spans="1:29" ht="11.65" x14ac:dyDescent="0.35">
      <c r="A2633" s="23">
        <v>2616</v>
      </c>
      <c r="B2633" s="21" t="s">
        <v>1015</v>
      </c>
      <c r="C2633" s="29" t="s">
        <v>1198</v>
      </c>
      <c r="D2633" s="20"/>
      <c r="E2633" s="20">
        <v>931</v>
      </c>
      <c r="F2633" s="21" t="s">
        <v>1065</v>
      </c>
      <c r="G2633" s="20">
        <v>1830</v>
      </c>
      <c r="H2633" s="20">
        <v>1975</v>
      </c>
      <c r="I2633" s="19">
        <v>15377.343999999999</v>
      </c>
      <c r="J2633" s="19">
        <v>14307.089</v>
      </c>
      <c r="K2633" s="19">
        <v>13307.429</v>
      </c>
      <c r="L2633" s="19">
        <v>11576.636</v>
      </c>
      <c r="M2633" s="19">
        <v>9885.9290000000001</v>
      </c>
      <c r="N2633" s="19">
        <v>8056.134</v>
      </c>
      <c r="O2633" s="19">
        <v>6577.5219999999999</v>
      </c>
      <c r="P2633" s="19">
        <v>5827.0659999999998</v>
      </c>
      <c r="Q2633" s="19">
        <v>4982.2719999999999</v>
      </c>
      <c r="R2633" s="19">
        <v>4448.1809999999996</v>
      </c>
      <c r="S2633" s="19">
        <v>3602.8760000000002</v>
      </c>
      <c r="T2633" s="19">
        <v>2864.848</v>
      </c>
      <c r="U2633" s="19">
        <v>2342.2260000000001</v>
      </c>
      <c r="V2633" s="19">
        <v>1732.009</v>
      </c>
      <c r="W2633" s="19">
        <v>1144.076</v>
      </c>
      <c r="X2633" s="19">
        <v>677.005</v>
      </c>
      <c r="Y2633" s="19">
        <v>308.017</v>
      </c>
      <c r="Z2633" s="19">
        <v>102.72799999999999</v>
      </c>
      <c r="AA2633" s="19">
        <v>22.939</v>
      </c>
      <c r="AB2633" s="19">
        <v>3.194</v>
      </c>
      <c r="AC2633" s="19">
        <v>0.28499999999999998</v>
      </c>
    </row>
    <row r="2634" spans="1:29" ht="11.65" x14ac:dyDescent="0.35">
      <c r="A2634" s="23">
        <v>2617</v>
      </c>
      <c r="B2634" s="21" t="s">
        <v>1015</v>
      </c>
      <c r="C2634" s="29" t="s">
        <v>1198</v>
      </c>
      <c r="D2634" s="20"/>
      <c r="E2634" s="20">
        <v>931</v>
      </c>
      <c r="F2634" s="21" t="s">
        <v>1065</v>
      </c>
      <c r="G2634" s="20">
        <v>1830</v>
      </c>
      <c r="H2634" s="20">
        <v>1980</v>
      </c>
      <c r="I2634" s="19">
        <v>16920.564999999999</v>
      </c>
      <c r="J2634" s="19">
        <v>15020.974</v>
      </c>
      <c r="K2634" s="19">
        <v>14154.724</v>
      </c>
      <c r="L2634" s="19">
        <v>13134.031999999999</v>
      </c>
      <c r="M2634" s="19">
        <v>11326.450999999999</v>
      </c>
      <c r="N2634" s="19">
        <v>9648.7070000000003</v>
      </c>
      <c r="O2634" s="19">
        <v>7866.5029999999997</v>
      </c>
      <c r="P2634" s="19">
        <v>6392.6930000000002</v>
      </c>
      <c r="Q2634" s="19">
        <v>5626.7479999999996</v>
      </c>
      <c r="R2634" s="19">
        <v>4786.4179999999997</v>
      </c>
      <c r="S2634" s="19">
        <v>4213.4250000000002</v>
      </c>
      <c r="T2634" s="19">
        <v>3338.8789999999999</v>
      </c>
      <c r="U2634" s="19">
        <v>2562.5709999999999</v>
      </c>
      <c r="V2634" s="19">
        <v>1992.38</v>
      </c>
      <c r="W2634" s="19">
        <v>1358.8779999999999</v>
      </c>
      <c r="X2634" s="19">
        <v>792.81299999999999</v>
      </c>
      <c r="Y2634" s="19">
        <v>382.64600000000002</v>
      </c>
      <c r="Z2634" s="19">
        <v>128.43</v>
      </c>
      <c r="AA2634" s="19">
        <v>29.899000000000001</v>
      </c>
      <c r="AB2634" s="19">
        <v>4.3109999999999999</v>
      </c>
      <c r="AC2634" s="19">
        <v>0.371</v>
      </c>
    </row>
    <row r="2635" spans="1:29" ht="11.65" x14ac:dyDescent="0.35">
      <c r="A2635" s="23">
        <v>2618</v>
      </c>
      <c r="B2635" s="21" t="s">
        <v>1015</v>
      </c>
      <c r="C2635" s="29" t="s">
        <v>1198</v>
      </c>
      <c r="D2635" s="20"/>
      <c r="E2635" s="20">
        <v>931</v>
      </c>
      <c r="F2635" s="21" t="s">
        <v>1065</v>
      </c>
      <c r="G2635" s="20">
        <v>1830</v>
      </c>
      <c r="H2635" s="20">
        <v>1985</v>
      </c>
      <c r="I2635" s="19">
        <v>18092.132000000001</v>
      </c>
      <c r="J2635" s="19">
        <v>16627.114000000001</v>
      </c>
      <c r="K2635" s="19">
        <v>14905.337</v>
      </c>
      <c r="L2635" s="19">
        <v>13994.028</v>
      </c>
      <c r="M2635" s="19">
        <v>12890.824000000001</v>
      </c>
      <c r="N2635" s="19">
        <v>11055.861000000001</v>
      </c>
      <c r="O2635" s="19">
        <v>9443.2900000000009</v>
      </c>
      <c r="P2635" s="19">
        <v>7678.6109999999999</v>
      </c>
      <c r="Q2635" s="19">
        <v>6207.7749999999996</v>
      </c>
      <c r="R2635" s="19">
        <v>5413.9269999999997</v>
      </c>
      <c r="S2635" s="19">
        <v>4543.7560000000003</v>
      </c>
      <c r="T2635" s="19">
        <v>3918.6570000000002</v>
      </c>
      <c r="U2635" s="19">
        <v>2996.7289999999998</v>
      </c>
      <c r="V2635" s="19">
        <v>2185.8870000000002</v>
      </c>
      <c r="W2635" s="19">
        <v>1574.0809999999999</v>
      </c>
      <c r="X2635" s="19">
        <v>959.12199999999996</v>
      </c>
      <c r="Y2635" s="19">
        <v>462.233</v>
      </c>
      <c r="Z2635" s="19">
        <v>166.482</v>
      </c>
      <c r="AA2635" s="19">
        <v>39.314999999999998</v>
      </c>
      <c r="AB2635" s="19">
        <v>5.9550000000000001</v>
      </c>
      <c r="AC2635" s="19">
        <v>0.51600000000000001</v>
      </c>
    </row>
    <row r="2636" spans="1:29" ht="11.65" x14ac:dyDescent="0.35">
      <c r="A2636" s="23">
        <v>2619</v>
      </c>
      <c r="B2636" s="21" t="s">
        <v>1015</v>
      </c>
      <c r="C2636" s="29" t="s">
        <v>1198</v>
      </c>
      <c r="D2636" s="20"/>
      <c r="E2636" s="20">
        <v>931</v>
      </c>
      <c r="F2636" s="21" t="s">
        <v>1065</v>
      </c>
      <c r="G2636" s="20">
        <v>1830</v>
      </c>
      <c r="H2636" s="20">
        <v>1990</v>
      </c>
      <c r="I2636" s="19">
        <v>18426.665000000001</v>
      </c>
      <c r="J2636" s="19">
        <v>17850.240000000002</v>
      </c>
      <c r="K2636" s="19">
        <v>16520.563999999998</v>
      </c>
      <c r="L2636" s="19">
        <v>14748.3</v>
      </c>
      <c r="M2636" s="19">
        <v>13739.039000000001</v>
      </c>
      <c r="N2636" s="19">
        <v>12596.572</v>
      </c>
      <c r="O2636" s="19">
        <v>10786.003000000001</v>
      </c>
      <c r="P2636" s="19">
        <v>9221.0550000000003</v>
      </c>
      <c r="Q2636" s="19">
        <v>7468.2430000000004</v>
      </c>
      <c r="R2636" s="19">
        <v>5985.518</v>
      </c>
      <c r="S2636" s="19">
        <v>5150.4260000000004</v>
      </c>
      <c r="T2636" s="19">
        <v>4233.6809999999996</v>
      </c>
      <c r="U2636" s="19">
        <v>3528.944</v>
      </c>
      <c r="V2636" s="19">
        <v>2566.5</v>
      </c>
      <c r="W2636" s="19">
        <v>1743.432</v>
      </c>
      <c r="X2636" s="19">
        <v>1129.7260000000001</v>
      </c>
      <c r="Y2636" s="19">
        <v>573.47199999999998</v>
      </c>
      <c r="Z2636" s="19">
        <v>210.48400000000001</v>
      </c>
      <c r="AA2636" s="19">
        <v>53.994</v>
      </c>
      <c r="AB2636" s="19">
        <v>8.3729999999999993</v>
      </c>
      <c r="AC2636" s="19">
        <v>0.76900000000000002</v>
      </c>
    </row>
    <row r="2637" spans="1:29" ht="11.65" x14ac:dyDescent="0.35">
      <c r="A2637" s="23">
        <v>2620</v>
      </c>
      <c r="B2637" s="21" t="s">
        <v>1015</v>
      </c>
      <c r="C2637" s="29" t="s">
        <v>1198</v>
      </c>
      <c r="D2637" s="20"/>
      <c r="E2637" s="20">
        <v>931</v>
      </c>
      <c r="F2637" s="21" t="s">
        <v>1065</v>
      </c>
      <c r="G2637" s="20">
        <v>1830</v>
      </c>
      <c r="H2637" s="20">
        <v>1995</v>
      </c>
      <c r="I2637" s="19">
        <v>18592.535</v>
      </c>
      <c r="J2637" s="19">
        <v>18245.016</v>
      </c>
      <c r="K2637" s="19">
        <v>17773.504000000001</v>
      </c>
      <c r="L2637" s="19">
        <v>16365.257</v>
      </c>
      <c r="M2637" s="19">
        <v>14479.583000000001</v>
      </c>
      <c r="N2637" s="19">
        <v>13423.516</v>
      </c>
      <c r="O2637" s="19">
        <v>12296.89</v>
      </c>
      <c r="P2637" s="19">
        <v>10513.076999999999</v>
      </c>
      <c r="Q2637" s="19">
        <v>8962.4619999999995</v>
      </c>
      <c r="R2637" s="19">
        <v>7211.1480000000001</v>
      </c>
      <c r="S2637" s="19">
        <v>5713.4309999999996</v>
      </c>
      <c r="T2637" s="19">
        <v>4821.2849999999999</v>
      </c>
      <c r="U2637" s="19">
        <v>3842.0680000000002</v>
      </c>
      <c r="V2637" s="19">
        <v>3054.34</v>
      </c>
      <c r="W2637" s="19">
        <v>2079.5990000000002</v>
      </c>
      <c r="X2637" s="19">
        <v>1273.8430000000001</v>
      </c>
      <c r="Y2637" s="19">
        <v>697.66899999999998</v>
      </c>
      <c r="Z2637" s="19">
        <v>274.06400000000002</v>
      </c>
      <c r="AA2637" s="19">
        <v>72.001999999999995</v>
      </c>
      <c r="AB2637" s="19">
        <v>11.919</v>
      </c>
      <c r="AC2637" s="19">
        <v>1.071</v>
      </c>
    </row>
    <row r="2638" spans="1:29" ht="11.65" x14ac:dyDescent="0.35">
      <c r="A2638" s="23">
        <v>2621</v>
      </c>
      <c r="B2638" s="21" t="s">
        <v>1015</v>
      </c>
      <c r="C2638" s="29" t="s">
        <v>1198</v>
      </c>
      <c r="D2638" s="20"/>
      <c r="E2638" s="20">
        <v>931</v>
      </c>
      <c r="F2638" s="21" t="s">
        <v>1065</v>
      </c>
      <c r="G2638" s="20">
        <v>1830</v>
      </c>
      <c r="H2638" s="20">
        <v>2000</v>
      </c>
      <c r="I2638" s="19">
        <v>18500.530999999999</v>
      </c>
      <c r="J2638" s="19">
        <v>18445.458999999999</v>
      </c>
      <c r="K2638" s="19">
        <v>18159.39</v>
      </c>
      <c r="L2638" s="19">
        <v>17598.167000000001</v>
      </c>
      <c r="M2638" s="19">
        <v>16072.197</v>
      </c>
      <c r="N2638" s="19">
        <v>14156.303</v>
      </c>
      <c r="O2638" s="19">
        <v>13114.878000000001</v>
      </c>
      <c r="P2638" s="19">
        <v>12007.517</v>
      </c>
      <c r="Q2638" s="19">
        <v>10241.118</v>
      </c>
      <c r="R2638" s="19">
        <v>8678.83</v>
      </c>
      <c r="S2638" s="19">
        <v>6911.5360000000001</v>
      </c>
      <c r="T2638" s="19">
        <v>5376.1989999999996</v>
      </c>
      <c r="U2638" s="19">
        <v>4410.6109999999999</v>
      </c>
      <c r="V2638" s="19">
        <v>3369.114</v>
      </c>
      <c r="W2638" s="19">
        <v>2513.7950000000001</v>
      </c>
      <c r="X2638" s="19">
        <v>1551.8420000000001</v>
      </c>
      <c r="Y2638" s="19">
        <v>812.03399999999999</v>
      </c>
      <c r="Z2638" s="19">
        <v>348.33300000000003</v>
      </c>
      <c r="AA2638" s="19">
        <v>98.911000000000001</v>
      </c>
      <c r="AB2638" s="19">
        <v>17.067</v>
      </c>
      <c r="AC2638" s="19">
        <v>1.6419999999999999</v>
      </c>
    </row>
    <row r="2639" spans="1:29" ht="11.65" x14ac:dyDescent="0.35">
      <c r="A2639" s="23">
        <v>2622</v>
      </c>
      <c r="B2639" s="21" t="s">
        <v>1015</v>
      </c>
      <c r="C2639" s="29" t="s">
        <v>1198</v>
      </c>
      <c r="D2639" s="20"/>
      <c r="E2639" s="20">
        <v>931</v>
      </c>
      <c r="F2639" s="21" t="s">
        <v>1065</v>
      </c>
      <c r="G2639" s="20">
        <v>1830</v>
      </c>
      <c r="H2639" s="20">
        <v>2005</v>
      </c>
      <c r="I2639" s="19">
        <v>17830.363000000001</v>
      </c>
      <c r="J2639" s="19">
        <v>18371.534</v>
      </c>
      <c r="K2639" s="19">
        <v>18365.616000000002</v>
      </c>
      <c r="L2639" s="19">
        <v>17949.954000000002</v>
      </c>
      <c r="M2639" s="19">
        <v>17235.514999999999</v>
      </c>
      <c r="N2639" s="19">
        <v>15674.164000000001</v>
      </c>
      <c r="O2639" s="19">
        <v>13807.486999999999</v>
      </c>
      <c r="P2639" s="19">
        <v>12795.938</v>
      </c>
      <c r="Q2639" s="19">
        <v>11704.857</v>
      </c>
      <c r="R2639" s="19">
        <v>9928.4940000000006</v>
      </c>
      <c r="S2639" s="19">
        <v>8334.7119999999995</v>
      </c>
      <c r="T2639" s="19">
        <v>6527.2520000000004</v>
      </c>
      <c r="U2639" s="19">
        <v>4962.2740000000003</v>
      </c>
      <c r="V2639" s="19">
        <v>3920.174</v>
      </c>
      <c r="W2639" s="19">
        <v>2820.0830000000001</v>
      </c>
      <c r="X2639" s="19">
        <v>1922.0840000000001</v>
      </c>
      <c r="Y2639" s="19">
        <v>1019.4059999999999</v>
      </c>
      <c r="Z2639" s="19">
        <v>423.8</v>
      </c>
      <c r="AA2639" s="19">
        <v>133.64500000000001</v>
      </c>
      <c r="AB2639" s="19">
        <v>25.193000000000001</v>
      </c>
      <c r="AC2639" s="19">
        <v>2.5609999999999999</v>
      </c>
    </row>
    <row r="2640" spans="1:29" ht="11.65" x14ac:dyDescent="0.35">
      <c r="A2640" s="23">
        <v>2623</v>
      </c>
      <c r="B2640" s="21" t="s">
        <v>1015</v>
      </c>
      <c r="C2640" s="29" t="s">
        <v>1198</v>
      </c>
      <c r="D2640" s="20"/>
      <c r="E2640" s="20">
        <v>931</v>
      </c>
      <c r="F2640" s="21" t="s">
        <v>1065</v>
      </c>
      <c r="G2640" s="20">
        <v>1830</v>
      </c>
      <c r="H2640" s="20">
        <v>2010</v>
      </c>
      <c r="I2640" s="19">
        <v>17041.206999999999</v>
      </c>
      <c r="J2640" s="19">
        <v>17716.907999999999</v>
      </c>
      <c r="K2640" s="19">
        <v>18272.506000000001</v>
      </c>
      <c r="L2640" s="19">
        <v>18215.526000000002</v>
      </c>
      <c r="M2640" s="19">
        <v>17599.207999999999</v>
      </c>
      <c r="N2640" s="19">
        <v>16826.457999999999</v>
      </c>
      <c r="O2640" s="19">
        <v>15293.518</v>
      </c>
      <c r="P2640" s="19">
        <v>13477.191000000001</v>
      </c>
      <c r="Q2640" s="19">
        <v>12469.643</v>
      </c>
      <c r="R2640" s="19">
        <v>11358.591</v>
      </c>
      <c r="S2640" s="19">
        <v>9545.6170000000002</v>
      </c>
      <c r="T2640" s="19">
        <v>7896.49</v>
      </c>
      <c r="U2640" s="19">
        <v>6043.3230000000003</v>
      </c>
      <c r="V2640" s="19">
        <v>4443.0519999999997</v>
      </c>
      <c r="W2640" s="19">
        <v>3320.7489999999998</v>
      </c>
      <c r="X2640" s="19">
        <v>2193.4169999999999</v>
      </c>
      <c r="Y2640" s="19">
        <v>1305.1510000000001</v>
      </c>
      <c r="Z2640" s="19">
        <v>552.32600000000002</v>
      </c>
      <c r="AA2640" s="19">
        <v>172.9</v>
      </c>
      <c r="AB2640" s="19">
        <v>37.097000000000001</v>
      </c>
      <c r="AC2640" s="19">
        <v>4.1859999999999999</v>
      </c>
    </row>
    <row r="2641" spans="1:29" ht="11.65" x14ac:dyDescent="0.35">
      <c r="A2641" s="23">
        <v>2624</v>
      </c>
      <c r="B2641" s="21" t="s">
        <v>1015</v>
      </c>
      <c r="C2641" s="29" t="s">
        <v>1198</v>
      </c>
      <c r="D2641" s="20"/>
      <c r="E2641" s="20">
        <v>931</v>
      </c>
      <c r="F2641" s="21" t="s">
        <v>1065</v>
      </c>
      <c r="G2641" s="20">
        <v>1830</v>
      </c>
      <c r="H2641" s="20">
        <v>2015</v>
      </c>
      <c r="I2641" s="19">
        <v>16769.348000000002</v>
      </c>
      <c r="J2641" s="19">
        <v>16958.776000000002</v>
      </c>
      <c r="K2641" s="19">
        <v>17627.521000000001</v>
      </c>
      <c r="L2641" s="19">
        <v>18072.207999999999</v>
      </c>
      <c r="M2641" s="19">
        <v>17859.832999999999</v>
      </c>
      <c r="N2641" s="19">
        <v>17205.483</v>
      </c>
      <c r="O2641" s="19">
        <v>16515.916000000001</v>
      </c>
      <c r="P2641" s="19">
        <v>15001.388000000001</v>
      </c>
      <c r="Q2641" s="19">
        <v>13184.136</v>
      </c>
      <c r="R2641" s="19">
        <v>12143.474</v>
      </c>
      <c r="S2641" s="19">
        <v>10965.213</v>
      </c>
      <c r="T2641" s="19">
        <v>9103.2690000000002</v>
      </c>
      <c r="U2641" s="19">
        <v>7388.6180000000004</v>
      </c>
      <c r="V2641" s="19">
        <v>5465.2860000000001</v>
      </c>
      <c r="W2641" s="19">
        <v>3814.2579999999998</v>
      </c>
      <c r="X2641" s="19">
        <v>2644.58</v>
      </c>
      <c r="Y2641" s="19">
        <v>1536.019</v>
      </c>
      <c r="Z2641" s="19">
        <v>736.77099999999996</v>
      </c>
      <c r="AA2641" s="19">
        <v>238.82499999999999</v>
      </c>
      <c r="AB2641" s="19">
        <v>52.008000000000003</v>
      </c>
      <c r="AC2641" s="19">
        <v>6.9039999999999999</v>
      </c>
    </row>
    <row r="2642" spans="1:29" ht="11.65" x14ac:dyDescent="0.35">
      <c r="A2642" s="23">
        <v>2625</v>
      </c>
      <c r="B2642" s="21" t="s">
        <v>1015</v>
      </c>
      <c r="C2642" s="29" t="s">
        <v>1198</v>
      </c>
      <c r="D2642" s="20"/>
      <c r="E2642" s="20">
        <v>931</v>
      </c>
      <c r="F2642" s="21" t="s">
        <v>1065</v>
      </c>
      <c r="G2642" s="20">
        <v>1830</v>
      </c>
      <c r="H2642" s="20">
        <v>2020</v>
      </c>
      <c r="I2642" s="19">
        <v>16472.940999999999</v>
      </c>
      <c r="J2642" s="19">
        <v>16571.887999999999</v>
      </c>
      <c r="K2642" s="19">
        <v>16683.749</v>
      </c>
      <c r="L2642" s="19">
        <v>17225.021000000001</v>
      </c>
      <c r="M2642" s="19">
        <v>17561.547999999999</v>
      </c>
      <c r="N2642" s="19">
        <v>17480.677</v>
      </c>
      <c r="O2642" s="19">
        <v>17028.739000000001</v>
      </c>
      <c r="P2642" s="19">
        <v>16389.677</v>
      </c>
      <c r="Q2642" s="19">
        <v>14870.806</v>
      </c>
      <c r="R2642" s="19">
        <v>13006.585999999999</v>
      </c>
      <c r="S2642" s="19">
        <v>11862.6</v>
      </c>
      <c r="T2642" s="19">
        <v>10552.346</v>
      </c>
      <c r="U2642" s="19">
        <v>8578.8610000000008</v>
      </c>
      <c r="V2642" s="19">
        <v>6740.1189999999997</v>
      </c>
      <c r="W2642" s="19">
        <v>4750.3509999999997</v>
      </c>
      <c r="X2642" s="19">
        <v>3076.4409999999998</v>
      </c>
      <c r="Y2642" s="19">
        <v>1896.412</v>
      </c>
      <c r="Z2642" s="19">
        <v>906.1</v>
      </c>
      <c r="AA2642" s="19">
        <v>339.35700000000003</v>
      </c>
      <c r="AB2642" s="19">
        <v>77.953000000000003</v>
      </c>
      <c r="AC2642" s="19">
        <v>10.901</v>
      </c>
    </row>
    <row r="2643" spans="1:29" ht="11.65" x14ac:dyDescent="0.35">
      <c r="A2643" s="12">
        <v>2626</v>
      </c>
      <c r="B2643" s="10" t="s">
        <v>1015</v>
      </c>
      <c r="C2643" s="11" t="s">
        <v>1199</v>
      </c>
      <c r="D2643" s="9"/>
      <c r="E2643" s="9">
        <v>32</v>
      </c>
      <c r="F2643" s="10" t="s">
        <v>1066</v>
      </c>
      <c r="G2643" s="9">
        <v>931</v>
      </c>
      <c r="H2643" s="9">
        <v>1950</v>
      </c>
      <c r="I2643" s="8">
        <v>1009.182</v>
      </c>
      <c r="J2643" s="8">
        <v>877.43200000000002</v>
      </c>
      <c r="K2643" s="8">
        <v>800.66899999999998</v>
      </c>
      <c r="L2643" s="8">
        <v>785.93799999999999</v>
      </c>
      <c r="M2643" s="8">
        <v>778.18200000000002</v>
      </c>
      <c r="N2643" s="8">
        <v>726.43899999999996</v>
      </c>
      <c r="O2643" s="8">
        <v>653.05100000000004</v>
      </c>
      <c r="P2643" s="8">
        <v>619.82500000000005</v>
      </c>
      <c r="Q2643" s="8">
        <v>575.923</v>
      </c>
      <c r="R2643" s="8">
        <v>509.76499999999999</v>
      </c>
      <c r="S2643" s="8">
        <v>417.887</v>
      </c>
      <c r="T2643" s="8">
        <v>334.23399999999998</v>
      </c>
      <c r="U2643" s="8">
        <v>251.90100000000001</v>
      </c>
      <c r="V2643" s="8">
        <v>164.88</v>
      </c>
      <c r="W2643" s="8">
        <v>96.058000000000007</v>
      </c>
      <c r="X2643" s="8">
        <v>49.466000000000001</v>
      </c>
      <c r="Y2643" s="8">
        <v>22.42</v>
      </c>
      <c r="Z2643" s="8">
        <v>7.4569999999999999</v>
      </c>
      <c r="AA2643" s="8">
        <v>1.76</v>
      </c>
      <c r="AB2643" s="8">
        <v>0.26500000000000001</v>
      </c>
      <c r="AC2643" s="8">
        <v>2.7E-2</v>
      </c>
    </row>
    <row r="2644" spans="1:29" ht="11.65" x14ac:dyDescent="0.35">
      <c r="A2644" s="12">
        <v>2627</v>
      </c>
      <c r="B2644" s="10" t="s">
        <v>1015</v>
      </c>
      <c r="C2644" s="11" t="s">
        <v>1199</v>
      </c>
      <c r="D2644" s="9"/>
      <c r="E2644" s="9">
        <v>32</v>
      </c>
      <c r="F2644" s="10" t="s">
        <v>1066</v>
      </c>
      <c r="G2644" s="9">
        <v>931</v>
      </c>
      <c r="H2644" s="9">
        <v>1955</v>
      </c>
      <c r="I2644" s="8">
        <v>1086.7629999999999</v>
      </c>
      <c r="J2644" s="8">
        <v>1003.114</v>
      </c>
      <c r="K2644" s="8">
        <v>886.59799999999996</v>
      </c>
      <c r="L2644" s="8">
        <v>817.62400000000002</v>
      </c>
      <c r="M2644" s="8">
        <v>802.01700000000005</v>
      </c>
      <c r="N2644" s="8">
        <v>786.09500000000003</v>
      </c>
      <c r="O2644" s="8">
        <v>727.6</v>
      </c>
      <c r="P2644" s="8">
        <v>648.71299999999997</v>
      </c>
      <c r="Q2644" s="8">
        <v>608.93200000000002</v>
      </c>
      <c r="R2644" s="8">
        <v>556.84799999999996</v>
      </c>
      <c r="S2644" s="8">
        <v>482.02199999999999</v>
      </c>
      <c r="T2644" s="8">
        <v>383.48</v>
      </c>
      <c r="U2644" s="8">
        <v>294.17899999999997</v>
      </c>
      <c r="V2644" s="8">
        <v>209.24299999999999</v>
      </c>
      <c r="W2644" s="8">
        <v>126.408</v>
      </c>
      <c r="X2644" s="8">
        <v>64.447000000000003</v>
      </c>
      <c r="Y2644" s="8">
        <v>26.387</v>
      </c>
      <c r="Z2644" s="8">
        <v>8.9600000000000009</v>
      </c>
      <c r="AA2644" s="8">
        <v>2.129</v>
      </c>
      <c r="AB2644" s="8">
        <v>0.34799999999999998</v>
      </c>
      <c r="AC2644" s="8">
        <v>3.7999999999999999E-2</v>
      </c>
    </row>
    <row r="2645" spans="1:29" ht="11.65" x14ac:dyDescent="0.35">
      <c r="A2645" s="12">
        <v>2628</v>
      </c>
      <c r="B2645" s="10" t="s">
        <v>1015</v>
      </c>
      <c r="C2645" s="11" t="s">
        <v>1199</v>
      </c>
      <c r="D2645" s="9"/>
      <c r="E2645" s="9">
        <v>32</v>
      </c>
      <c r="F2645" s="10" t="s">
        <v>1066</v>
      </c>
      <c r="G2645" s="9">
        <v>931</v>
      </c>
      <c r="H2645" s="9">
        <v>1960</v>
      </c>
      <c r="I2645" s="8">
        <v>1140.402</v>
      </c>
      <c r="J2645" s="8">
        <v>1076.845</v>
      </c>
      <c r="K2645" s="8">
        <v>1006.157</v>
      </c>
      <c r="L2645" s="8">
        <v>892.44600000000003</v>
      </c>
      <c r="M2645" s="8">
        <v>822.86199999999997</v>
      </c>
      <c r="N2645" s="8">
        <v>803.52499999999998</v>
      </c>
      <c r="O2645" s="8">
        <v>782.95399999999995</v>
      </c>
      <c r="P2645" s="8">
        <v>720.5</v>
      </c>
      <c r="Q2645" s="8">
        <v>637.09900000000005</v>
      </c>
      <c r="R2645" s="8">
        <v>589.53</v>
      </c>
      <c r="S2645" s="8">
        <v>527.93899999999996</v>
      </c>
      <c r="T2645" s="8">
        <v>444.12900000000002</v>
      </c>
      <c r="U2645" s="8">
        <v>339.85599999999999</v>
      </c>
      <c r="V2645" s="8">
        <v>247.04</v>
      </c>
      <c r="W2645" s="8">
        <v>163.11600000000001</v>
      </c>
      <c r="X2645" s="8">
        <v>86.975999999999999</v>
      </c>
      <c r="Y2645" s="8">
        <v>35.536999999999999</v>
      </c>
      <c r="Z2645" s="8">
        <v>10.95</v>
      </c>
      <c r="AA2645" s="8">
        <v>2.665</v>
      </c>
      <c r="AB2645" s="8">
        <v>0.438</v>
      </c>
      <c r="AC2645" s="8">
        <v>5.1999999999999998E-2</v>
      </c>
    </row>
    <row r="2646" spans="1:29" ht="11.65" x14ac:dyDescent="0.35">
      <c r="A2646" s="12">
        <v>2629</v>
      </c>
      <c r="B2646" s="10" t="s">
        <v>1015</v>
      </c>
      <c r="C2646" s="11" t="s">
        <v>1199</v>
      </c>
      <c r="D2646" s="9"/>
      <c r="E2646" s="9">
        <v>32</v>
      </c>
      <c r="F2646" s="10" t="s">
        <v>1066</v>
      </c>
      <c r="G2646" s="9">
        <v>931</v>
      </c>
      <c r="H2646" s="9">
        <v>1965</v>
      </c>
      <c r="I2646" s="8">
        <v>1185.6500000000001</v>
      </c>
      <c r="J2646" s="8">
        <v>1131.751</v>
      </c>
      <c r="K2646" s="8">
        <v>1079.1289999999999</v>
      </c>
      <c r="L2646" s="8">
        <v>1010.588</v>
      </c>
      <c r="M2646" s="8">
        <v>896.07799999999997</v>
      </c>
      <c r="N2646" s="8">
        <v>823.47</v>
      </c>
      <c r="O2646" s="8">
        <v>799.67700000000002</v>
      </c>
      <c r="P2646" s="8">
        <v>774.81899999999996</v>
      </c>
      <c r="Q2646" s="8">
        <v>707.95100000000002</v>
      </c>
      <c r="R2646" s="8">
        <v>618.59299999999996</v>
      </c>
      <c r="S2646" s="8">
        <v>560.80499999999995</v>
      </c>
      <c r="T2646" s="8">
        <v>487.46499999999997</v>
      </c>
      <c r="U2646" s="8">
        <v>393.15600000000001</v>
      </c>
      <c r="V2646" s="8">
        <v>283.35899999999998</v>
      </c>
      <c r="W2646" s="8">
        <v>189.82400000000001</v>
      </c>
      <c r="X2646" s="8">
        <v>111.904</v>
      </c>
      <c r="Y2646" s="8">
        <v>46.813000000000002</v>
      </c>
      <c r="Z2646" s="8">
        <v>12.843</v>
      </c>
      <c r="AA2646" s="8">
        <v>2.5910000000000002</v>
      </c>
      <c r="AB2646" s="8">
        <v>0.4</v>
      </c>
      <c r="AC2646" s="8">
        <v>4.5999999999999999E-2</v>
      </c>
    </row>
    <row r="2647" spans="1:29" ht="11.65" x14ac:dyDescent="0.35">
      <c r="A2647" s="12">
        <v>2630</v>
      </c>
      <c r="B2647" s="10" t="s">
        <v>1015</v>
      </c>
      <c r="C2647" s="11" t="s">
        <v>1199</v>
      </c>
      <c r="D2647" s="9"/>
      <c r="E2647" s="9">
        <v>32</v>
      </c>
      <c r="F2647" s="10" t="s">
        <v>1066</v>
      </c>
      <c r="G2647" s="9">
        <v>931</v>
      </c>
      <c r="H2647" s="9">
        <v>1970</v>
      </c>
      <c r="I2647" s="8">
        <v>1255.057</v>
      </c>
      <c r="J2647" s="8">
        <v>1177.6210000000001</v>
      </c>
      <c r="K2647" s="8">
        <v>1134.54</v>
      </c>
      <c r="L2647" s="8">
        <v>1083.8879999999999</v>
      </c>
      <c r="M2647" s="8">
        <v>1014.144</v>
      </c>
      <c r="N2647" s="8">
        <v>896.73199999999997</v>
      </c>
      <c r="O2647" s="8">
        <v>819.90300000000002</v>
      </c>
      <c r="P2647" s="8">
        <v>790.947</v>
      </c>
      <c r="Q2647" s="8">
        <v>759.84400000000005</v>
      </c>
      <c r="R2647" s="8">
        <v>686.06</v>
      </c>
      <c r="S2647" s="8">
        <v>588.25599999999997</v>
      </c>
      <c r="T2647" s="8">
        <v>517.53099999999995</v>
      </c>
      <c r="U2647" s="8">
        <v>431.20400000000001</v>
      </c>
      <c r="V2647" s="8">
        <v>328.53399999999999</v>
      </c>
      <c r="W2647" s="8">
        <v>220.04599999999999</v>
      </c>
      <c r="X2647" s="8">
        <v>131.97800000000001</v>
      </c>
      <c r="Y2647" s="8">
        <v>60.741999999999997</v>
      </c>
      <c r="Z2647" s="8">
        <v>17.062999999999999</v>
      </c>
      <c r="AA2647" s="8">
        <v>3.0419999999999998</v>
      </c>
      <c r="AB2647" s="8">
        <v>0.38700000000000001</v>
      </c>
      <c r="AC2647" s="8">
        <v>4.1000000000000002E-2</v>
      </c>
    </row>
    <row r="2648" spans="1:29" ht="11.65" x14ac:dyDescent="0.35">
      <c r="A2648" s="12">
        <v>2631</v>
      </c>
      <c r="B2648" s="10" t="s">
        <v>1015</v>
      </c>
      <c r="C2648" s="11" t="s">
        <v>1199</v>
      </c>
      <c r="D2648" s="9"/>
      <c r="E2648" s="9">
        <v>32</v>
      </c>
      <c r="F2648" s="10" t="s">
        <v>1066</v>
      </c>
      <c r="G2648" s="9">
        <v>931</v>
      </c>
      <c r="H2648" s="9">
        <v>1975</v>
      </c>
      <c r="I2648" s="8">
        <v>1421.067</v>
      </c>
      <c r="J2648" s="8">
        <v>1244.377</v>
      </c>
      <c r="K2648" s="8">
        <v>1173.579</v>
      </c>
      <c r="L2648" s="8">
        <v>1129.3579999999999</v>
      </c>
      <c r="M2648" s="8">
        <v>1084.954</v>
      </c>
      <c r="N2648" s="8">
        <v>1011.783</v>
      </c>
      <c r="O2648" s="8">
        <v>887.56399999999996</v>
      </c>
      <c r="P2648" s="8">
        <v>808.20399999999995</v>
      </c>
      <c r="Q2648" s="8">
        <v>774.13499999999999</v>
      </c>
      <c r="R2648" s="8">
        <v>735.24699999999996</v>
      </c>
      <c r="S2648" s="8">
        <v>652.10699999999997</v>
      </c>
      <c r="T2648" s="8">
        <v>544.125</v>
      </c>
      <c r="U2648" s="8">
        <v>460.04</v>
      </c>
      <c r="V2648" s="8">
        <v>362.88099999999997</v>
      </c>
      <c r="W2648" s="8">
        <v>256.36599999999999</v>
      </c>
      <c r="X2648" s="8">
        <v>153.58699999999999</v>
      </c>
      <c r="Y2648" s="8">
        <v>72.478999999999999</v>
      </c>
      <c r="Z2648" s="8">
        <v>22.613</v>
      </c>
      <c r="AA2648" s="8">
        <v>4.1710000000000003</v>
      </c>
      <c r="AB2648" s="8">
        <v>0.47399999999999998</v>
      </c>
      <c r="AC2648" s="8">
        <v>4.1000000000000002E-2</v>
      </c>
    </row>
    <row r="2649" spans="1:29" ht="11.65" x14ac:dyDescent="0.35">
      <c r="A2649" s="12">
        <v>2632</v>
      </c>
      <c r="B2649" s="10" t="s">
        <v>1015</v>
      </c>
      <c r="C2649" s="11" t="s">
        <v>1199</v>
      </c>
      <c r="D2649" s="9"/>
      <c r="E2649" s="9">
        <v>32</v>
      </c>
      <c r="F2649" s="10" t="s">
        <v>1066</v>
      </c>
      <c r="G2649" s="9">
        <v>931</v>
      </c>
      <c r="H2649" s="9">
        <v>1980</v>
      </c>
      <c r="I2649" s="8">
        <v>1664.346</v>
      </c>
      <c r="J2649" s="8">
        <v>1399.9169999999999</v>
      </c>
      <c r="K2649" s="8">
        <v>1231.8779999999999</v>
      </c>
      <c r="L2649" s="8">
        <v>1166.6869999999999</v>
      </c>
      <c r="M2649" s="8">
        <v>1096.847</v>
      </c>
      <c r="N2649" s="8">
        <v>1046.797</v>
      </c>
      <c r="O2649" s="8">
        <v>975.43</v>
      </c>
      <c r="P2649" s="8">
        <v>852.56799999999998</v>
      </c>
      <c r="Q2649" s="8">
        <v>772.63300000000004</v>
      </c>
      <c r="R2649" s="8">
        <v>748.00199999999995</v>
      </c>
      <c r="S2649" s="8">
        <v>699.60699999999997</v>
      </c>
      <c r="T2649" s="8">
        <v>605.26099999999997</v>
      </c>
      <c r="U2649" s="8">
        <v>486.517</v>
      </c>
      <c r="V2649" s="8">
        <v>390.2</v>
      </c>
      <c r="W2649" s="8">
        <v>284.78699999999998</v>
      </c>
      <c r="X2649" s="8">
        <v>179.58799999999999</v>
      </c>
      <c r="Y2649" s="8">
        <v>85.254000000000005</v>
      </c>
      <c r="Z2649" s="8">
        <v>27.527999999999999</v>
      </c>
      <c r="AA2649" s="8">
        <v>5.6950000000000003</v>
      </c>
      <c r="AB2649" s="8">
        <v>0.67400000000000004</v>
      </c>
      <c r="AC2649" s="8">
        <v>5.1999999999999998E-2</v>
      </c>
    </row>
    <row r="2650" spans="1:29" ht="11.65" x14ac:dyDescent="0.35">
      <c r="A2650" s="12">
        <v>2633</v>
      </c>
      <c r="B2650" s="10" t="s">
        <v>1015</v>
      </c>
      <c r="C2650" s="11" t="s">
        <v>1199</v>
      </c>
      <c r="D2650" s="9"/>
      <c r="E2650" s="9">
        <v>32</v>
      </c>
      <c r="F2650" s="10" t="s">
        <v>1066</v>
      </c>
      <c r="G2650" s="9">
        <v>931</v>
      </c>
      <c r="H2650" s="9">
        <v>1985</v>
      </c>
      <c r="I2650" s="8">
        <v>1672.421</v>
      </c>
      <c r="J2650" s="8">
        <v>1657.9280000000001</v>
      </c>
      <c r="K2650" s="8">
        <v>1398.356</v>
      </c>
      <c r="L2650" s="8">
        <v>1230.182</v>
      </c>
      <c r="M2650" s="8">
        <v>1161.925</v>
      </c>
      <c r="N2650" s="8">
        <v>1090.211</v>
      </c>
      <c r="O2650" s="8">
        <v>1038.6769999999999</v>
      </c>
      <c r="P2650" s="8">
        <v>963.76400000000001</v>
      </c>
      <c r="Q2650" s="8">
        <v>836.97699999999998</v>
      </c>
      <c r="R2650" s="8">
        <v>750.05</v>
      </c>
      <c r="S2650" s="8">
        <v>714.04300000000001</v>
      </c>
      <c r="T2650" s="8">
        <v>652.12699999999995</v>
      </c>
      <c r="U2650" s="8">
        <v>544.82500000000005</v>
      </c>
      <c r="V2650" s="8">
        <v>416.66800000000001</v>
      </c>
      <c r="W2650" s="8">
        <v>309.41899999999998</v>
      </c>
      <c r="X2650" s="8">
        <v>201.501</v>
      </c>
      <c r="Y2650" s="8">
        <v>102.078</v>
      </c>
      <c r="Z2650" s="8">
        <v>34.222000000000001</v>
      </c>
      <c r="AA2650" s="8">
        <v>7.5350000000000001</v>
      </c>
      <c r="AB2650" s="8">
        <v>1.026</v>
      </c>
      <c r="AC2650" s="8">
        <v>8.2000000000000003E-2</v>
      </c>
    </row>
    <row r="2651" spans="1:29" ht="11.65" x14ac:dyDescent="0.35">
      <c r="A2651" s="12">
        <v>2634</v>
      </c>
      <c r="B2651" s="10" t="s">
        <v>1015</v>
      </c>
      <c r="C2651" s="11" t="s">
        <v>1199</v>
      </c>
      <c r="D2651" s="9"/>
      <c r="E2651" s="9">
        <v>32</v>
      </c>
      <c r="F2651" s="10" t="s">
        <v>1066</v>
      </c>
      <c r="G2651" s="9">
        <v>931</v>
      </c>
      <c r="H2651" s="9">
        <v>1990</v>
      </c>
      <c r="I2651" s="8">
        <v>1755.067</v>
      </c>
      <c r="J2651" s="8">
        <v>1665.72</v>
      </c>
      <c r="K2651" s="8">
        <v>1654.2339999999999</v>
      </c>
      <c r="L2651" s="8">
        <v>1393.6379999999999</v>
      </c>
      <c r="M2651" s="8">
        <v>1223.26</v>
      </c>
      <c r="N2651" s="8">
        <v>1154.3040000000001</v>
      </c>
      <c r="O2651" s="8">
        <v>1082.5650000000001</v>
      </c>
      <c r="P2651" s="8">
        <v>1029.127</v>
      </c>
      <c r="Q2651" s="8">
        <v>948.06</v>
      </c>
      <c r="R2651" s="8">
        <v>813.88800000000003</v>
      </c>
      <c r="S2651" s="8">
        <v>717.36900000000003</v>
      </c>
      <c r="T2651" s="8">
        <v>666.73</v>
      </c>
      <c r="U2651" s="8">
        <v>588.48299999999995</v>
      </c>
      <c r="V2651" s="8">
        <v>468.35500000000002</v>
      </c>
      <c r="W2651" s="8">
        <v>332.16500000000002</v>
      </c>
      <c r="X2651" s="8">
        <v>220.209</v>
      </c>
      <c r="Y2651" s="8">
        <v>116.679</v>
      </c>
      <c r="Z2651" s="8">
        <v>43.216000000000001</v>
      </c>
      <c r="AA2651" s="8">
        <v>10.199</v>
      </c>
      <c r="AB2651" s="8">
        <v>1.522</v>
      </c>
      <c r="AC2651" s="8">
        <v>0.14299999999999999</v>
      </c>
    </row>
    <row r="2652" spans="1:29" ht="11.65" x14ac:dyDescent="0.35">
      <c r="A2652" s="12">
        <v>2635</v>
      </c>
      <c r="B2652" s="10" t="s">
        <v>1015</v>
      </c>
      <c r="C2652" s="11" t="s">
        <v>1199</v>
      </c>
      <c r="D2652" s="9"/>
      <c r="E2652" s="9">
        <v>32</v>
      </c>
      <c r="F2652" s="10" t="s">
        <v>1066</v>
      </c>
      <c r="G2652" s="9">
        <v>931</v>
      </c>
      <c r="H2652" s="9">
        <v>1995</v>
      </c>
      <c r="I2652" s="8">
        <v>1819.7339999999999</v>
      </c>
      <c r="J2652" s="8">
        <v>1748.287</v>
      </c>
      <c r="K2652" s="8">
        <v>1661.319</v>
      </c>
      <c r="L2652" s="8">
        <v>1641.4280000000001</v>
      </c>
      <c r="M2652" s="8">
        <v>1372.4369999999999</v>
      </c>
      <c r="N2652" s="8">
        <v>1199.123</v>
      </c>
      <c r="O2652" s="8">
        <v>1132.778</v>
      </c>
      <c r="P2652" s="8">
        <v>1061.3530000000001</v>
      </c>
      <c r="Q2652" s="8">
        <v>1005.492</v>
      </c>
      <c r="R2652" s="8">
        <v>918.58199999999999</v>
      </c>
      <c r="S2652" s="8">
        <v>780.07500000000005</v>
      </c>
      <c r="T2652" s="8">
        <v>672.54499999999996</v>
      </c>
      <c r="U2652" s="8">
        <v>604.673</v>
      </c>
      <c r="V2652" s="8">
        <v>509.19900000000001</v>
      </c>
      <c r="W2652" s="8">
        <v>376.87</v>
      </c>
      <c r="X2652" s="8">
        <v>239.405</v>
      </c>
      <c r="Y2652" s="8">
        <v>133.053</v>
      </c>
      <c r="Z2652" s="8">
        <v>53.140999999999998</v>
      </c>
      <c r="AA2652" s="8">
        <v>13.129</v>
      </c>
      <c r="AB2652" s="8">
        <v>1.8</v>
      </c>
      <c r="AC2652" s="8">
        <v>0.14499999999999999</v>
      </c>
    </row>
    <row r="2653" spans="1:29" ht="11.65" x14ac:dyDescent="0.35">
      <c r="A2653" s="12">
        <v>2636</v>
      </c>
      <c r="B2653" s="10" t="s">
        <v>1015</v>
      </c>
      <c r="C2653" s="11" t="s">
        <v>1199</v>
      </c>
      <c r="D2653" s="9"/>
      <c r="E2653" s="9">
        <v>32</v>
      </c>
      <c r="F2653" s="10" t="s">
        <v>1066</v>
      </c>
      <c r="G2653" s="9">
        <v>931</v>
      </c>
      <c r="H2653" s="9">
        <v>2000</v>
      </c>
      <c r="I2653" s="8">
        <v>1784.6790000000001</v>
      </c>
      <c r="J2653" s="8">
        <v>1805.7070000000001</v>
      </c>
      <c r="K2653" s="8">
        <v>1732.684</v>
      </c>
      <c r="L2653" s="8">
        <v>1633.7909999999999</v>
      </c>
      <c r="M2653" s="8">
        <v>1605.0139999999999</v>
      </c>
      <c r="N2653" s="8">
        <v>1338.9349999999999</v>
      </c>
      <c r="O2653" s="8">
        <v>1178.8340000000001</v>
      </c>
      <c r="P2653" s="8">
        <v>1115.057</v>
      </c>
      <c r="Q2653" s="8">
        <v>1041.079</v>
      </c>
      <c r="R2653" s="8">
        <v>979.57500000000005</v>
      </c>
      <c r="S2653" s="8">
        <v>883.76800000000003</v>
      </c>
      <c r="T2653" s="8">
        <v>734.63900000000001</v>
      </c>
      <c r="U2653" s="8">
        <v>613.47799999999995</v>
      </c>
      <c r="V2653" s="8">
        <v>527.06299999999999</v>
      </c>
      <c r="W2653" s="8">
        <v>414.14299999999997</v>
      </c>
      <c r="X2653" s="8">
        <v>276.12099999999998</v>
      </c>
      <c r="Y2653" s="8">
        <v>148.02099999999999</v>
      </c>
      <c r="Z2653" s="8">
        <v>62.603999999999999</v>
      </c>
      <c r="AA2653" s="8">
        <v>16.896999999999998</v>
      </c>
      <c r="AB2653" s="8">
        <v>2.456</v>
      </c>
      <c r="AC2653" s="8">
        <v>0.18</v>
      </c>
    </row>
    <row r="2654" spans="1:29" ht="11.65" x14ac:dyDescent="0.35">
      <c r="A2654" s="12">
        <v>2637</v>
      </c>
      <c r="B2654" s="10" t="s">
        <v>1015</v>
      </c>
      <c r="C2654" s="11" t="s">
        <v>1199</v>
      </c>
      <c r="D2654" s="9"/>
      <c r="E2654" s="9">
        <v>32</v>
      </c>
      <c r="F2654" s="10" t="s">
        <v>1066</v>
      </c>
      <c r="G2654" s="9">
        <v>931</v>
      </c>
      <c r="H2654" s="9">
        <v>2005</v>
      </c>
      <c r="I2654" s="8">
        <v>1811.375</v>
      </c>
      <c r="J2654" s="8">
        <v>1779.644</v>
      </c>
      <c r="K2654" s="8">
        <v>1802.547</v>
      </c>
      <c r="L2654" s="8">
        <v>1710.634</v>
      </c>
      <c r="M2654" s="8">
        <v>1603.933</v>
      </c>
      <c r="N2654" s="8">
        <v>1574.838</v>
      </c>
      <c r="O2654" s="8">
        <v>1325.0450000000001</v>
      </c>
      <c r="P2654" s="8">
        <v>1165.1849999999999</v>
      </c>
      <c r="Q2654" s="8">
        <v>1098.461</v>
      </c>
      <c r="R2654" s="8">
        <v>1018.646</v>
      </c>
      <c r="S2654" s="8">
        <v>946.83399999999995</v>
      </c>
      <c r="T2654" s="8">
        <v>836.42200000000003</v>
      </c>
      <c r="U2654" s="8">
        <v>673.96799999999996</v>
      </c>
      <c r="V2654" s="8">
        <v>538.53099999999995</v>
      </c>
      <c r="W2654" s="8">
        <v>432.95</v>
      </c>
      <c r="X2654" s="8">
        <v>307.82799999999997</v>
      </c>
      <c r="Y2654" s="8">
        <v>174.26499999999999</v>
      </c>
      <c r="Z2654" s="8">
        <v>71.858000000000004</v>
      </c>
      <c r="AA2654" s="8">
        <v>20.798999999999999</v>
      </c>
      <c r="AB2654" s="8">
        <v>3.3439999999999999</v>
      </c>
      <c r="AC2654" s="8">
        <v>0.25800000000000001</v>
      </c>
    </row>
    <row r="2655" spans="1:29" ht="11.65" x14ac:dyDescent="0.35">
      <c r="A2655" s="12">
        <v>2638</v>
      </c>
      <c r="B2655" s="10" t="s">
        <v>1015</v>
      </c>
      <c r="C2655" s="11" t="s">
        <v>1199</v>
      </c>
      <c r="D2655" s="9"/>
      <c r="E2655" s="9">
        <v>32</v>
      </c>
      <c r="F2655" s="10" t="s">
        <v>1066</v>
      </c>
      <c r="G2655" s="9">
        <v>931</v>
      </c>
      <c r="H2655" s="9">
        <v>2010</v>
      </c>
      <c r="I2655" s="8">
        <v>1836.1869999999999</v>
      </c>
      <c r="J2655" s="8">
        <v>1805.9</v>
      </c>
      <c r="K2655" s="8">
        <v>1776.7329999999999</v>
      </c>
      <c r="L2655" s="8">
        <v>1796.8689999999999</v>
      </c>
      <c r="M2655" s="8">
        <v>1680.8530000000001</v>
      </c>
      <c r="N2655" s="8">
        <v>1573.057</v>
      </c>
      <c r="O2655" s="8">
        <v>1546.1179999999999</v>
      </c>
      <c r="P2655" s="8">
        <v>1311.913</v>
      </c>
      <c r="Q2655" s="8">
        <v>1150.492</v>
      </c>
      <c r="R2655" s="8">
        <v>1077.806</v>
      </c>
      <c r="S2655" s="8">
        <v>987.93200000000002</v>
      </c>
      <c r="T2655" s="8">
        <v>899.82399999999996</v>
      </c>
      <c r="U2655" s="8">
        <v>771.38400000000001</v>
      </c>
      <c r="V2655" s="8">
        <v>595.60199999999998</v>
      </c>
      <c r="W2655" s="8">
        <v>446.61799999999999</v>
      </c>
      <c r="X2655" s="8">
        <v>326.41699999999997</v>
      </c>
      <c r="Y2655" s="8">
        <v>198.25899999999999</v>
      </c>
      <c r="Z2655" s="8">
        <v>87.168000000000006</v>
      </c>
      <c r="AA2655" s="8">
        <v>24.9</v>
      </c>
      <c r="AB2655" s="8">
        <v>4.3449999999999998</v>
      </c>
      <c r="AC2655" s="8">
        <v>0.374</v>
      </c>
    </row>
    <row r="2656" spans="1:29" ht="11.65" x14ac:dyDescent="0.35">
      <c r="A2656" s="12">
        <v>2639</v>
      </c>
      <c r="B2656" s="10" t="s">
        <v>1015</v>
      </c>
      <c r="C2656" s="11" t="s">
        <v>1199</v>
      </c>
      <c r="D2656" s="9"/>
      <c r="E2656" s="9">
        <v>32</v>
      </c>
      <c r="F2656" s="10" t="s">
        <v>1066</v>
      </c>
      <c r="G2656" s="9">
        <v>931</v>
      </c>
      <c r="H2656" s="9">
        <v>2015</v>
      </c>
      <c r="I2656" s="8">
        <v>1891.8340000000001</v>
      </c>
      <c r="J2656" s="8">
        <v>1833.1010000000001</v>
      </c>
      <c r="K2656" s="8">
        <v>1803.86</v>
      </c>
      <c r="L2656" s="8">
        <v>1772.8679999999999</v>
      </c>
      <c r="M2656" s="8">
        <v>1787.2819999999999</v>
      </c>
      <c r="N2656" s="8">
        <v>1670.2080000000001</v>
      </c>
      <c r="O2656" s="8">
        <v>1562.5160000000001</v>
      </c>
      <c r="P2656" s="8">
        <v>1533.6780000000001</v>
      </c>
      <c r="Q2656" s="8">
        <v>1297.799</v>
      </c>
      <c r="R2656" s="8">
        <v>1131.5920000000001</v>
      </c>
      <c r="S2656" s="8">
        <v>1048.597</v>
      </c>
      <c r="T2656" s="8">
        <v>942.41700000000003</v>
      </c>
      <c r="U2656" s="8">
        <v>833.86900000000003</v>
      </c>
      <c r="V2656" s="8">
        <v>685.95899999999995</v>
      </c>
      <c r="W2656" s="8">
        <v>498.43099999999998</v>
      </c>
      <c r="X2656" s="8">
        <v>341.298</v>
      </c>
      <c r="Y2656" s="8">
        <v>214.327</v>
      </c>
      <c r="Z2656" s="8">
        <v>102.05800000000001</v>
      </c>
      <c r="AA2656" s="8">
        <v>31.454999999999998</v>
      </c>
      <c r="AB2656" s="8">
        <v>5.4829999999999997</v>
      </c>
      <c r="AC2656" s="8">
        <v>0.51800000000000002</v>
      </c>
    </row>
    <row r="2657" spans="1:29" ht="11.65" x14ac:dyDescent="0.35">
      <c r="A2657" s="12">
        <v>2640</v>
      </c>
      <c r="B2657" s="10" t="s">
        <v>1015</v>
      </c>
      <c r="C2657" s="11" t="s">
        <v>1199</v>
      </c>
      <c r="D2657" s="9"/>
      <c r="E2657" s="9">
        <v>32</v>
      </c>
      <c r="F2657" s="10" t="s">
        <v>1066</v>
      </c>
      <c r="G2657" s="9">
        <v>931</v>
      </c>
      <c r="H2657" s="9">
        <v>2020</v>
      </c>
      <c r="I2657" s="8">
        <v>1903.4259999999999</v>
      </c>
      <c r="J2657" s="8">
        <v>1889.1289999999999</v>
      </c>
      <c r="K2657" s="8">
        <v>1831.221</v>
      </c>
      <c r="L2657" s="8">
        <v>1799.76</v>
      </c>
      <c r="M2657" s="8">
        <v>1762.7380000000001</v>
      </c>
      <c r="N2657" s="8">
        <v>1775.21</v>
      </c>
      <c r="O2657" s="8">
        <v>1658.7439999999999</v>
      </c>
      <c r="P2657" s="8">
        <v>1550.297</v>
      </c>
      <c r="Q2657" s="8">
        <v>1518.1559999999999</v>
      </c>
      <c r="R2657" s="8">
        <v>1278.269</v>
      </c>
      <c r="S2657" s="8">
        <v>1103.4690000000001</v>
      </c>
      <c r="T2657" s="8">
        <v>1003.393</v>
      </c>
      <c r="U2657" s="8">
        <v>877.06500000000005</v>
      </c>
      <c r="V2657" s="8">
        <v>745.75099999999998</v>
      </c>
      <c r="W2657" s="8">
        <v>578.87599999999998</v>
      </c>
      <c r="X2657" s="8">
        <v>385.738</v>
      </c>
      <c r="Y2657" s="8">
        <v>228.22800000000001</v>
      </c>
      <c r="Z2657" s="8">
        <v>113.405</v>
      </c>
      <c r="AA2657" s="8">
        <v>38.29</v>
      </c>
      <c r="AB2657" s="8">
        <v>7.2859999999999996</v>
      </c>
      <c r="AC2657" s="8">
        <v>0.69499999999999995</v>
      </c>
    </row>
    <row r="2658" spans="1:29" ht="11.65" x14ac:dyDescent="0.35">
      <c r="A2658" s="12">
        <v>2641</v>
      </c>
      <c r="B2658" s="10" t="s">
        <v>1015</v>
      </c>
      <c r="C2658" s="11" t="s">
        <v>1200</v>
      </c>
      <c r="D2658" s="9"/>
      <c r="E2658" s="9">
        <v>68</v>
      </c>
      <c r="F2658" s="10" t="s">
        <v>1066</v>
      </c>
      <c r="G2658" s="9">
        <v>931</v>
      </c>
      <c r="H2658" s="9">
        <v>1950</v>
      </c>
      <c r="I2658" s="8">
        <v>252.12200000000001</v>
      </c>
      <c r="J2658" s="8">
        <v>198.59299999999999</v>
      </c>
      <c r="K2658" s="8">
        <v>165.78800000000001</v>
      </c>
      <c r="L2658" s="8">
        <v>148.994</v>
      </c>
      <c r="M2658" s="8">
        <v>133.44200000000001</v>
      </c>
      <c r="N2658" s="8">
        <v>107.553</v>
      </c>
      <c r="O2658" s="8">
        <v>88.813999999999993</v>
      </c>
      <c r="P2658" s="8">
        <v>79.962999999999994</v>
      </c>
      <c r="Q2658" s="8">
        <v>67.308999999999997</v>
      </c>
      <c r="R2658" s="8">
        <v>56.094000000000001</v>
      </c>
      <c r="S2658" s="8">
        <v>48.207999999999998</v>
      </c>
      <c r="T2658" s="8">
        <v>45.316000000000003</v>
      </c>
      <c r="U2658" s="8">
        <v>41.072000000000003</v>
      </c>
      <c r="V2658" s="8">
        <v>33.073999999999998</v>
      </c>
      <c r="W2658" s="8">
        <v>23.556000000000001</v>
      </c>
      <c r="X2658" s="8">
        <v>14.884</v>
      </c>
      <c r="Y2658" s="8">
        <v>9.0229999999999997</v>
      </c>
      <c r="Z2658" s="8">
        <v>4.1619999999999999</v>
      </c>
      <c r="AA2658" s="8">
        <v>1.3939999999999999</v>
      </c>
      <c r="AB2658" s="8">
        <v>0.34100000000000003</v>
      </c>
      <c r="AC2658" s="8">
        <v>0.04</v>
      </c>
    </row>
    <row r="2659" spans="1:29" ht="11.65" x14ac:dyDescent="0.35">
      <c r="A2659" s="12">
        <v>2642</v>
      </c>
      <c r="B2659" s="10" t="s">
        <v>1015</v>
      </c>
      <c r="C2659" s="11" t="s">
        <v>1200</v>
      </c>
      <c r="D2659" s="9"/>
      <c r="E2659" s="9">
        <v>68</v>
      </c>
      <c r="F2659" s="10" t="s">
        <v>1066</v>
      </c>
      <c r="G2659" s="9">
        <v>931</v>
      </c>
      <c r="H2659" s="9">
        <v>1955</v>
      </c>
      <c r="I2659" s="8">
        <v>273.86500000000001</v>
      </c>
      <c r="J2659" s="8">
        <v>222.53100000000001</v>
      </c>
      <c r="K2659" s="8">
        <v>192.59399999999999</v>
      </c>
      <c r="L2659" s="8">
        <v>160.46700000000001</v>
      </c>
      <c r="M2659" s="8">
        <v>141.28299999999999</v>
      </c>
      <c r="N2659" s="8">
        <v>125.221</v>
      </c>
      <c r="O2659" s="8">
        <v>100.89700000000001</v>
      </c>
      <c r="P2659" s="8">
        <v>83.266999999999996</v>
      </c>
      <c r="Q2659" s="8">
        <v>74.581999999999994</v>
      </c>
      <c r="R2659" s="8">
        <v>62.09</v>
      </c>
      <c r="S2659" s="8">
        <v>50.933</v>
      </c>
      <c r="T2659" s="8">
        <v>42.81</v>
      </c>
      <c r="U2659" s="8">
        <v>38.613</v>
      </c>
      <c r="V2659" s="8">
        <v>32.481000000000002</v>
      </c>
      <c r="W2659" s="8">
        <v>22.945</v>
      </c>
      <c r="X2659" s="8">
        <v>13.006</v>
      </c>
      <c r="Y2659" s="8">
        <v>5.7930000000000001</v>
      </c>
      <c r="Z2659" s="8">
        <v>2.0499999999999998</v>
      </c>
      <c r="AA2659" s="8">
        <v>0.498</v>
      </c>
      <c r="AB2659" s="8">
        <v>8.3000000000000004E-2</v>
      </c>
      <c r="AC2659" s="8">
        <v>1.0999999999999999E-2</v>
      </c>
    </row>
    <row r="2660" spans="1:29" ht="11.65" x14ac:dyDescent="0.35">
      <c r="A2660" s="12">
        <v>2643</v>
      </c>
      <c r="B2660" s="10" t="s">
        <v>1015</v>
      </c>
      <c r="C2660" s="11" t="s">
        <v>1200</v>
      </c>
      <c r="D2660" s="9"/>
      <c r="E2660" s="9">
        <v>68</v>
      </c>
      <c r="F2660" s="10" t="s">
        <v>1066</v>
      </c>
      <c r="G2660" s="9">
        <v>931</v>
      </c>
      <c r="H2660" s="9">
        <v>1960</v>
      </c>
      <c r="I2660" s="8">
        <v>299.54700000000003</v>
      </c>
      <c r="J2660" s="8">
        <v>244.80799999999999</v>
      </c>
      <c r="K2660" s="8">
        <v>217.09800000000001</v>
      </c>
      <c r="L2660" s="8">
        <v>187.678</v>
      </c>
      <c r="M2660" s="8">
        <v>153.40199999999999</v>
      </c>
      <c r="N2660" s="8">
        <v>133.74600000000001</v>
      </c>
      <c r="O2660" s="8">
        <v>118.65300000000001</v>
      </c>
      <c r="P2660" s="8">
        <v>95.475999999999999</v>
      </c>
      <c r="Q2660" s="8">
        <v>78.305000000000007</v>
      </c>
      <c r="R2660" s="8">
        <v>69.424000000000007</v>
      </c>
      <c r="S2660" s="8">
        <v>56.917000000000002</v>
      </c>
      <c r="T2660" s="8">
        <v>45.69</v>
      </c>
      <c r="U2660" s="8">
        <v>36.941000000000003</v>
      </c>
      <c r="V2660" s="8">
        <v>31.033000000000001</v>
      </c>
      <c r="W2660" s="8">
        <v>23.047000000000001</v>
      </c>
      <c r="X2660" s="8">
        <v>13.156000000000001</v>
      </c>
      <c r="Y2660" s="8">
        <v>5.4589999999999996</v>
      </c>
      <c r="Z2660" s="8">
        <v>1.429</v>
      </c>
      <c r="AA2660" s="8">
        <v>0.27600000000000002</v>
      </c>
      <c r="AB2660" s="8">
        <v>3.4000000000000002E-2</v>
      </c>
      <c r="AC2660" s="8">
        <v>3.0000000000000001E-3</v>
      </c>
    </row>
    <row r="2661" spans="1:29" ht="11.65" x14ac:dyDescent="0.35">
      <c r="A2661" s="12">
        <v>2644</v>
      </c>
      <c r="B2661" s="10" t="s">
        <v>1015</v>
      </c>
      <c r="C2661" s="11" t="s">
        <v>1200</v>
      </c>
      <c r="D2661" s="9"/>
      <c r="E2661" s="9">
        <v>68</v>
      </c>
      <c r="F2661" s="10" t="s">
        <v>1066</v>
      </c>
      <c r="G2661" s="9">
        <v>931</v>
      </c>
      <c r="H2661" s="9">
        <v>1965</v>
      </c>
      <c r="I2661" s="8">
        <v>331.69499999999999</v>
      </c>
      <c r="J2661" s="8">
        <v>269.43799999999999</v>
      </c>
      <c r="K2661" s="8">
        <v>238.495</v>
      </c>
      <c r="L2661" s="8">
        <v>211.58</v>
      </c>
      <c r="M2661" s="8">
        <v>179.73699999999999</v>
      </c>
      <c r="N2661" s="8">
        <v>145.42400000000001</v>
      </c>
      <c r="O2661" s="8">
        <v>126.86499999999999</v>
      </c>
      <c r="P2661" s="8">
        <v>112.521</v>
      </c>
      <c r="Q2661" s="8">
        <v>89.975999999999999</v>
      </c>
      <c r="R2661" s="8">
        <v>73.025000000000006</v>
      </c>
      <c r="S2661" s="8">
        <v>63.832999999999998</v>
      </c>
      <c r="T2661" s="8">
        <v>51.276000000000003</v>
      </c>
      <c r="U2661" s="8">
        <v>39.695</v>
      </c>
      <c r="V2661" s="8">
        <v>30.091000000000001</v>
      </c>
      <c r="W2661" s="8">
        <v>22.484000000000002</v>
      </c>
      <c r="X2661" s="8">
        <v>13.648</v>
      </c>
      <c r="Y2661" s="8">
        <v>5.7569999999999997</v>
      </c>
      <c r="Z2661" s="8">
        <v>1.466</v>
      </c>
      <c r="AA2661" s="8">
        <v>0.217</v>
      </c>
      <c r="AB2661" s="8">
        <v>2.1000000000000001E-2</v>
      </c>
      <c r="AC2661" s="8">
        <v>2E-3</v>
      </c>
    </row>
    <row r="2662" spans="1:29" ht="11.65" x14ac:dyDescent="0.35">
      <c r="A2662" s="12">
        <v>2645</v>
      </c>
      <c r="B2662" s="10" t="s">
        <v>1015</v>
      </c>
      <c r="C2662" s="11" t="s">
        <v>1200</v>
      </c>
      <c r="D2662" s="9"/>
      <c r="E2662" s="9">
        <v>68</v>
      </c>
      <c r="F2662" s="10" t="s">
        <v>1066</v>
      </c>
      <c r="G2662" s="9">
        <v>931</v>
      </c>
      <c r="H2662" s="9">
        <v>1970</v>
      </c>
      <c r="I2662" s="8">
        <v>367.202</v>
      </c>
      <c r="J2662" s="8">
        <v>301.05599999999998</v>
      </c>
      <c r="K2662" s="8">
        <v>263.28399999999999</v>
      </c>
      <c r="L2662" s="8">
        <v>232.566</v>
      </c>
      <c r="M2662" s="8">
        <v>203.066</v>
      </c>
      <c r="N2662" s="8">
        <v>170.94499999999999</v>
      </c>
      <c r="O2662" s="8">
        <v>138.24299999999999</v>
      </c>
      <c r="P2662" s="8">
        <v>120.542</v>
      </c>
      <c r="Q2662" s="8">
        <v>106.392</v>
      </c>
      <c r="R2662" s="8">
        <v>84.230999999999995</v>
      </c>
      <c r="S2662" s="8">
        <v>67.415000000000006</v>
      </c>
      <c r="T2662" s="8">
        <v>57.845999999999997</v>
      </c>
      <c r="U2662" s="8">
        <v>44.945</v>
      </c>
      <c r="V2662" s="8">
        <v>32.826999999999998</v>
      </c>
      <c r="W2662" s="8">
        <v>22.381</v>
      </c>
      <c r="X2662" s="8">
        <v>13.846</v>
      </c>
      <c r="Y2662" s="8">
        <v>6.3259999999999996</v>
      </c>
      <c r="Z2662" s="8">
        <v>1.69</v>
      </c>
      <c r="AA2662" s="8">
        <v>0.253</v>
      </c>
      <c r="AB2662" s="8">
        <v>2.1000000000000001E-2</v>
      </c>
      <c r="AC2662" s="8">
        <v>1E-3</v>
      </c>
    </row>
    <row r="2663" spans="1:29" ht="11.65" x14ac:dyDescent="0.35">
      <c r="A2663" s="12">
        <v>2646</v>
      </c>
      <c r="B2663" s="10" t="s">
        <v>1015</v>
      </c>
      <c r="C2663" s="11" t="s">
        <v>1200</v>
      </c>
      <c r="D2663" s="9"/>
      <c r="E2663" s="9">
        <v>68</v>
      </c>
      <c r="F2663" s="10" t="s">
        <v>1066</v>
      </c>
      <c r="G2663" s="9">
        <v>931</v>
      </c>
      <c r="H2663" s="9">
        <v>1975</v>
      </c>
      <c r="I2663" s="8">
        <v>409.08100000000002</v>
      </c>
      <c r="J2663" s="8">
        <v>336.92700000000002</v>
      </c>
      <c r="K2663" s="8">
        <v>294.17099999999999</v>
      </c>
      <c r="L2663" s="8">
        <v>257.15899999999999</v>
      </c>
      <c r="M2663" s="8">
        <v>223.53</v>
      </c>
      <c r="N2663" s="8">
        <v>193.50899999999999</v>
      </c>
      <c r="O2663" s="8">
        <v>162.899</v>
      </c>
      <c r="P2663" s="8">
        <v>131.57499999999999</v>
      </c>
      <c r="Q2663" s="8">
        <v>114.194</v>
      </c>
      <c r="R2663" s="8">
        <v>99.941999999999993</v>
      </c>
      <c r="S2663" s="8">
        <v>78.105000000000004</v>
      </c>
      <c r="T2663" s="8">
        <v>61.457999999999998</v>
      </c>
      <c r="U2663" s="8">
        <v>51.16</v>
      </c>
      <c r="V2663" s="8">
        <v>37.691000000000003</v>
      </c>
      <c r="W2663" s="8">
        <v>25.038</v>
      </c>
      <c r="X2663" s="8">
        <v>14.359</v>
      </c>
      <c r="Y2663" s="8">
        <v>6.8140000000000001</v>
      </c>
      <c r="Z2663" s="8">
        <v>2.028</v>
      </c>
      <c r="AA2663" s="8">
        <v>0.33100000000000002</v>
      </c>
      <c r="AB2663" s="8">
        <v>2.9000000000000001E-2</v>
      </c>
      <c r="AC2663" s="8">
        <v>1E-3</v>
      </c>
    </row>
    <row r="2664" spans="1:29" ht="11.65" x14ac:dyDescent="0.35">
      <c r="A2664" s="12">
        <v>2647</v>
      </c>
      <c r="B2664" s="10" t="s">
        <v>1015</v>
      </c>
      <c r="C2664" s="11" t="s">
        <v>1200</v>
      </c>
      <c r="D2664" s="9"/>
      <c r="E2664" s="9">
        <v>68</v>
      </c>
      <c r="F2664" s="10" t="s">
        <v>1066</v>
      </c>
      <c r="G2664" s="9">
        <v>931</v>
      </c>
      <c r="H2664" s="9">
        <v>1980</v>
      </c>
      <c r="I2664" s="8">
        <v>449.48599999999999</v>
      </c>
      <c r="J2664" s="8">
        <v>377.65100000000001</v>
      </c>
      <c r="K2664" s="8">
        <v>329.62400000000002</v>
      </c>
      <c r="L2664" s="8">
        <v>287.24</v>
      </c>
      <c r="M2664" s="8">
        <v>247.03700000000001</v>
      </c>
      <c r="N2664" s="8">
        <v>212.75</v>
      </c>
      <c r="O2664" s="8">
        <v>184.34100000000001</v>
      </c>
      <c r="P2664" s="8">
        <v>155.13</v>
      </c>
      <c r="Q2664" s="8">
        <v>124.717</v>
      </c>
      <c r="R2664" s="8">
        <v>107.39100000000001</v>
      </c>
      <c r="S2664" s="8">
        <v>92.974999999999994</v>
      </c>
      <c r="T2664" s="8">
        <v>71.656000000000006</v>
      </c>
      <c r="U2664" s="8">
        <v>55.012</v>
      </c>
      <c r="V2664" s="8">
        <v>43.649000000000001</v>
      </c>
      <c r="W2664" s="8">
        <v>29.539000000000001</v>
      </c>
      <c r="X2664" s="8">
        <v>16.77</v>
      </c>
      <c r="Y2664" s="8">
        <v>7.5629999999999997</v>
      </c>
      <c r="Z2664" s="8">
        <v>2.3879999999999999</v>
      </c>
      <c r="AA2664" s="8">
        <v>0.44600000000000001</v>
      </c>
      <c r="AB2664" s="8">
        <v>4.2999999999999997E-2</v>
      </c>
      <c r="AC2664" s="8">
        <v>2E-3</v>
      </c>
    </row>
    <row r="2665" spans="1:29" ht="11.65" x14ac:dyDescent="0.35">
      <c r="A2665" s="12">
        <v>2648</v>
      </c>
      <c r="B2665" s="10" t="s">
        <v>1015</v>
      </c>
      <c r="C2665" s="11" t="s">
        <v>1200</v>
      </c>
      <c r="D2665" s="9"/>
      <c r="E2665" s="9">
        <v>68</v>
      </c>
      <c r="F2665" s="10" t="s">
        <v>1066</v>
      </c>
      <c r="G2665" s="9">
        <v>931</v>
      </c>
      <c r="H2665" s="9">
        <v>1985</v>
      </c>
      <c r="I2665" s="8">
        <v>481.803</v>
      </c>
      <c r="J2665" s="8">
        <v>418.69400000000002</v>
      </c>
      <c r="K2665" s="8">
        <v>368.28199999999998</v>
      </c>
      <c r="L2665" s="8">
        <v>319.036</v>
      </c>
      <c r="M2665" s="8">
        <v>272.41000000000003</v>
      </c>
      <c r="N2665" s="8">
        <v>231.93199999999999</v>
      </c>
      <c r="O2665" s="8">
        <v>200.251</v>
      </c>
      <c r="P2665" s="8">
        <v>174.113</v>
      </c>
      <c r="Q2665" s="8">
        <v>146.12</v>
      </c>
      <c r="R2665" s="8">
        <v>116.601</v>
      </c>
      <c r="S2665" s="8">
        <v>99.899000000000001</v>
      </c>
      <c r="T2665" s="8">
        <v>86.369</v>
      </c>
      <c r="U2665" s="8">
        <v>65.995000000000005</v>
      </c>
      <c r="V2665" s="8">
        <v>49.237000000000002</v>
      </c>
      <c r="W2665" s="8">
        <v>36.241</v>
      </c>
      <c r="X2665" s="8">
        <v>21.23</v>
      </c>
      <c r="Y2665" s="8">
        <v>10.249000000000001</v>
      </c>
      <c r="Z2665" s="8">
        <v>2.8839999999999999</v>
      </c>
      <c r="AA2665" s="8">
        <v>0.58799999999999997</v>
      </c>
      <c r="AB2665" s="8">
        <v>6.7000000000000004E-2</v>
      </c>
      <c r="AC2665" s="8">
        <v>4.0000000000000001E-3</v>
      </c>
    </row>
    <row r="2666" spans="1:29" ht="11.65" x14ac:dyDescent="0.35">
      <c r="A2666" s="12">
        <v>2649</v>
      </c>
      <c r="B2666" s="10" t="s">
        <v>1015</v>
      </c>
      <c r="C2666" s="11" t="s">
        <v>1200</v>
      </c>
      <c r="D2666" s="9"/>
      <c r="E2666" s="9">
        <v>68</v>
      </c>
      <c r="F2666" s="10" t="s">
        <v>1066</v>
      </c>
      <c r="G2666" s="9">
        <v>931</v>
      </c>
      <c r="H2666" s="9">
        <v>1990</v>
      </c>
      <c r="I2666" s="8">
        <v>525.30399999999997</v>
      </c>
      <c r="J2666" s="8">
        <v>454.346</v>
      </c>
      <c r="K2666" s="8">
        <v>409.44400000000002</v>
      </c>
      <c r="L2666" s="8">
        <v>358.161</v>
      </c>
      <c r="M2666" s="8">
        <v>305.59300000000002</v>
      </c>
      <c r="N2666" s="8">
        <v>258.97199999999998</v>
      </c>
      <c r="O2666" s="8">
        <v>220.73699999999999</v>
      </c>
      <c r="P2666" s="8">
        <v>190.78</v>
      </c>
      <c r="Q2666" s="8">
        <v>165.399</v>
      </c>
      <c r="R2666" s="8">
        <v>137.887</v>
      </c>
      <c r="S2666" s="8">
        <v>109.297</v>
      </c>
      <c r="T2666" s="8">
        <v>93.153000000000006</v>
      </c>
      <c r="U2666" s="8">
        <v>79.215999999999994</v>
      </c>
      <c r="V2666" s="8">
        <v>58.552</v>
      </c>
      <c r="W2666" s="8">
        <v>40.76</v>
      </c>
      <c r="X2666" s="8">
        <v>26.117999999999999</v>
      </c>
      <c r="Y2666" s="8">
        <v>12.856999999999999</v>
      </c>
      <c r="Z2666" s="8">
        <v>4.2290000000000001</v>
      </c>
      <c r="AA2666" s="8">
        <v>0.79100000000000004</v>
      </c>
      <c r="AB2666" s="8">
        <v>0.10100000000000001</v>
      </c>
      <c r="AC2666" s="8">
        <v>7.0000000000000001E-3</v>
      </c>
    </row>
    <row r="2667" spans="1:29" ht="11.65" x14ac:dyDescent="0.35">
      <c r="A2667" s="12">
        <v>2650</v>
      </c>
      <c r="B2667" s="10" t="s">
        <v>1015</v>
      </c>
      <c r="C2667" s="11" t="s">
        <v>1200</v>
      </c>
      <c r="D2667" s="9"/>
      <c r="E2667" s="9">
        <v>68</v>
      </c>
      <c r="F2667" s="10" t="s">
        <v>1066</v>
      </c>
      <c r="G2667" s="9">
        <v>931</v>
      </c>
      <c r="H2667" s="9">
        <v>1995</v>
      </c>
      <c r="I2667" s="8">
        <v>559.70500000000004</v>
      </c>
      <c r="J2667" s="8">
        <v>500.90899999999999</v>
      </c>
      <c r="K2667" s="8">
        <v>446.26400000000001</v>
      </c>
      <c r="L2667" s="8">
        <v>400.77499999999998</v>
      </c>
      <c r="M2667" s="8">
        <v>345.93299999999999</v>
      </c>
      <c r="N2667" s="8">
        <v>293.24900000000002</v>
      </c>
      <c r="O2667" s="8">
        <v>248.61699999999999</v>
      </c>
      <c r="P2667" s="8">
        <v>211.94900000000001</v>
      </c>
      <c r="Q2667" s="8">
        <v>182.54900000000001</v>
      </c>
      <c r="R2667" s="8">
        <v>157.21700000000001</v>
      </c>
      <c r="S2667" s="8">
        <v>130.01400000000001</v>
      </c>
      <c r="T2667" s="8">
        <v>102.123</v>
      </c>
      <c r="U2667" s="8">
        <v>85.475999999999999</v>
      </c>
      <c r="V2667" s="8">
        <v>70.037000000000006</v>
      </c>
      <c r="W2667" s="8">
        <v>48.518000000000001</v>
      </c>
      <c r="X2667" s="8">
        <v>29.765999999999998</v>
      </c>
      <c r="Y2667" s="8">
        <v>15.814</v>
      </c>
      <c r="Z2667" s="8">
        <v>5.7009999999999996</v>
      </c>
      <c r="AA2667" s="8">
        <v>1.2709999999999999</v>
      </c>
      <c r="AB2667" s="8">
        <v>0.14899999999999999</v>
      </c>
      <c r="AC2667" s="8">
        <v>1.2E-2</v>
      </c>
    </row>
    <row r="2668" spans="1:29" ht="11.65" x14ac:dyDescent="0.35">
      <c r="A2668" s="12">
        <v>2651</v>
      </c>
      <c r="B2668" s="10" t="s">
        <v>1015</v>
      </c>
      <c r="C2668" s="11" t="s">
        <v>1200</v>
      </c>
      <c r="D2668" s="9"/>
      <c r="E2668" s="9">
        <v>68</v>
      </c>
      <c r="F2668" s="10" t="s">
        <v>1066</v>
      </c>
      <c r="G2668" s="9">
        <v>931</v>
      </c>
      <c r="H2668" s="9">
        <v>2000</v>
      </c>
      <c r="I2668" s="8">
        <v>588.85500000000002</v>
      </c>
      <c r="J2668" s="8">
        <v>538.98099999999999</v>
      </c>
      <c r="K2668" s="8">
        <v>491.69600000000003</v>
      </c>
      <c r="L2668" s="8">
        <v>437.76400000000001</v>
      </c>
      <c r="M2668" s="8">
        <v>384.995</v>
      </c>
      <c r="N2668" s="8">
        <v>329.71</v>
      </c>
      <c r="O2668" s="8">
        <v>279.69400000000002</v>
      </c>
      <c r="P2668" s="8">
        <v>237.43700000000001</v>
      </c>
      <c r="Q2668" s="8">
        <v>202.00899999999999</v>
      </c>
      <c r="R2668" s="8">
        <v>173.09</v>
      </c>
      <c r="S2668" s="8">
        <v>148.363</v>
      </c>
      <c r="T2668" s="8">
        <v>122.414</v>
      </c>
      <c r="U2668" s="8">
        <v>95.372</v>
      </c>
      <c r="V2668" s="8">
        <v>77.731999999999999</v>
      </c>
      <c r="W2668" s="8">
        <v>60.073</v>
      </c>
      <c r="X2668" s="8">
        <v>37.201000000000001</v>
      </c>
      <c r="Y2668" s="8">
        <v>19.835999999999999</v>
      </c>
      <c r="Z2668" s="8">
        <v>7.4660000000000002</v>
      </c>
      <c r="AA2668" s="8">
        <v>1.851</v>
      </c>
      <c r="AB2668" s="8">
        <v>0.26200000000000001</v>
      </c>
      <c r="AC2668" s="8">
        <v>1.9E-2</v>
      </c>
    </row>
    <row r="2669" spans="1:29" ht="11.65" x14ac:dyDescent="0.35">
      <c r="A2669" s="12">
        <v>2652</v>
      </c>
      <c r="B2669" s="10" t="s">
        <v>1015</v>
      </c>
      <c r="C2669" s="11" t="s">
        <v>1200</v>
      </c>
      <c r="D2669" s="9"/>
      <c r="E2669" s="9">
        <v>68</v>
      </c>
      <c r="F2669" s="10" t="s">
        <v>1066</v>
      </c>
      <c r="G2669" s="9">
        <v>931</v>
      </c>
      <c r="H2669" s="9">
        <v>2005</v>
      </c>
      <c r="I2669" s="8">
        <v>608.803</v>
      </c>
      <c r="J2669" s="8">
        <v>571.66800000000001</v>
      </c>
      <c r="K2669" s="8">
        <v>531.12900000000002</v>
      </c>
      <c r="L2669" s="8">
        <v>480.85700000000003</v>
      </c>
      <c r="M2669" s="8">
        <v>424.56299999999999</v>
      </c>
      <c r="N2669" s="8">
        <v>369.33499999999998</v>
      </c>
      <c r="O2669" s="8">
        <v>316.13</v>
      </c>
      <c r="P2669" s="8">
        <v>268.233</v>
      </c>
      <c r="Q2669" s="8">
        <v>227.172</v>
      </c>
      <c r="R2669" s="8">
        <v>192.298</v>
      </c>
      <c r="S2669" s="8">
        <v>163.92</v>
      </c>
      <c r="T2669" s="8">
        <v>139.97800000000001</v>
      </c>
      <c r="U2669" s="8">
        <v>114.23</v>
      </c>
      <c r="V2669" s="8">
        <v>86.869</v>
      </c>
      <c r="W2669" s="8">
        <v>67.203000000000003</v>
      </c>
      <c r="X2669" s="8">
        <v>46.691000000000003</v>
      </c>
      <c r="Y2669" s="8">
        <v>25.198</v>
      </c>
      <c r="Z2669" s="8">
        <v>10.073</v>
      </c>
      <c r="AA2669" s="8">
        <v>2.6970000000000001</v>
      </c>
      <c r="AB2669" s="8">
        <v>0.436</v>
      </c>
      <c r="AC2669" s="8">
        <v>0.04</v>
      </c>
    </row>
    <row r="2670" spans="1:29" ht="11.65" x14ac:dyDescent="0.35">
      <c r="A2670" s="12">
        <v>2653</v>
      </c>
      <c r="B2670" s="10" t="s">
        <v>1015</v>
      </c>
      <c r="C2670" s="11" t="s">
        <v>1200</v>
      </c>
      <c r="D2670" s="9"/>
      <c r="E2670" s="9">
        <v>68</v>
      </c>
      <c r="F2670" s="10" t="s">
        <v>1066</v>
      </c>
      <c r="G2670" s="9">
        <v>931</v>
      </c>
      <c r="H2670" s="9">
        <v>2010</v>
      </c>
      <c r="I2670" s="8">
        <v>609.37599999999998</v>
      </c>
      <c r="J2670" s="8">
        <v>595.79700000000003</v>
      </c>
      <c r="K2670" s="8">
        <v>563.90800000000002</v>
      </c>
      <c r="L2670" s="8">
        <v>522.08900000000006</v>
      </c>
      <c r="M2670" s="8">
        <v>466.52499999999998</v>
      </c>
      <c r="N2670" s="8">
        <v>409.858</v>
      </c>
      <c r="O2670" s="8">
        <v>355.81599999999997</v>
      </c>
      <c r="P2670" s="8">
        <v>304.46600000000001</v>
      </c>
      <c r="Q2670" s="8">
        <v>257.73200000000003</v>
      </c>
      <c r="R2670" s="8">
        <v>217.285</v>
      </c>
      <c r="S2670" s="8">
        <v>182.87799999999999</v>
      </c>
      <c r="T2670" s="8">
        <v>155.12799999999999</v>
      </c>
      <c r="U2670" s="8">
        <v>130.881</v>
      </c>
      <c r="V2670" s="8">
        <v>104.417</v>
      </c>
      <c r="W2670" s="8">
        <v>75.849999999999994</v>
      </c>
      <c r="X2670" s="8">
        <v>52.941000000000003</v>
      </c>
      <c r="Y2670" s="8">
        <v>31.942</v>
      </c>
      <c r="Z2670" s="8">
        <v>14.064</v>
      </c>
      <c r="AA2670" s="8">
        <v>4.2649999999999997</v>
      </c>
      <c r="AB2670" s="8">
        <v>0.79600000000000004</v>
      </c>
      <c r="AC2670" s="8">
        <v>9.6000000000000002E-2</v>
      </c>
    </row>
    <row r="2671" spans="1:29" ht="11.65" x14ac:dyDescent="0.35">
      <c r="A2671" s="12">
        <v>2654</v>
      </c>
      <c r="B2671" s="10" t="s">
        <v>1015</v>
      </c>
      <c r="C2671" s="11" t="s">
        <v>1200</v>
      </c>
      <c r="D2671" s="9"/>
      <c r="E2671" s="9">
        <v>68</v>
      </c>
      <c r="F2671" s="10" t="s">
        <v>1066</v>
      </c>
      <c r="G2671" s="9">
        <v>931</v>
      </c>
      <c r="H2671" s="9">
        <v>2015</v>
      </c>
      <c r="I2671" s="8">
        <v>611.85199999999998</v>
      </c>
      <c r="J2671" s="8">
        <v>598.86900000000003</v>
      </c>
      <c r="K2671" s="8">
        <v>588.41899999999998</v>
      </c>
      <c r="L2671" s="8">
        <v>555.01499999999999</v>
      </c>
      <c r="M2671" s="8">
        <v>507.80700000000002</v>
      </c>
      <c r="N2671" s="8">
        <v>451.31799999999998</v>
      </c>
      <c r="O2671" s="8">
        <v>396.55200000000002</v>
      </c>
      <c r="P2671" s="8">
        <v>344.23399999999998</v>
      </c>
      <c r="Q2671" s="8">
        <v>293.85199999999998</v>
      </c>
      <c r="R2671" s="8">
        <v>247.61799999999999</v>
      </c>
      <c r="S2671" s="8">
        <v>207.666</v>
      </c>
      <c r="T2671" s="8">
        <v>174.09399999999999</v>
      </c>
      <c r="U2671" s="8">
        <v>145.892</v>
      </c>
      <c r="V2671" s="8">
        <v>120.325</v>
      </c>
      <c r="W2671" s="8">
        <v>92.075999999999993</v>
      </c>
      <c r="X2671" s="8">
        <v>61.365000000000002</v>
      </c>
      <c r="Y2671" s="8">
        <v>38.46</v>
      </c>
      <c r="Z2671" s="8">
        <v>19.396000000000001</v>
      </c>
      <c r="AA2671" s="8">
        <v>6.867</v>
      </c>
      <c r="AB2671" s="8">
        <v>1.532</v>
      </c>
      <c r="AC2671" s="8">
        <v>0.23499999999999999</v>
      </c>
    </row>
    <row r="2672" spans="1:29" ht="11.65" x14ac:dyDescent="0.35">
      <c r="A2672" s="12">
        <v>2655</v>
      </c>
      <c r="B2672" s="10" t="s">
        <v>1015</v>
      </c>
      <c r="C2672" s="11" t="s">
        <v>1200</v>
      </c>
      <c r="D2672" s="9"/>
      <c r="E2672" s="9">
        <v>68</v>
      </c>
      <c r="F2672" s="10" t="s">
        <v>1066</v>
      </c>
      <c r="G2672" s="9">
        <v>931</v>
      </c>
      <c r="H2672" s="9">
        <v>2020</v>
      </c>
      <c r="I2672" s="8">
        <v>605.96400000000006</v>
      </c>
      <c r="J2672" s="8">
        <v>602.32500000000005</v>
      </c>
      <c r="K2672" s="8">
        <v>592.77</v>
      </c>
      <c r="L2672" s="8">
        <v>579.61099999999999</v>
      </c>
      <c r="M2672" s="8">
        <v>541.10400000000004</v>
      </c>
      <c r="N2672" s="8">
        <v>492.99400000000003</v>
      </c>
      <c r="O2672" s="8">
        <v>438.428</v>
      </c>
      <c r="P2672" s="8">
        <v>385.05799999999999</v>
      </c>
      <c r="Q2672" s="8">
        <v>333.31299999999999</v>
      </c>
      <c r="R2672" s="8">
        <v>283.20999999999998</v>
      </c>
      <c r="S2672" s="8">
        <v>237.46899999999999</v>
      </c>
      <c r="T2672" s="8">
        <v>198.04599999999999</v>
      </c>
      <c r="U2672" s="8">
        <v>163.721</v>
      </c>
      <c r="V2672" s="8">
        <v>134.23599999999999</v>
      </c>
      <c r="W2672" s="8">
        <v>107.09099999999999</v>
      </c>
      <c r="X2672" s="8">
        <v>76.944999999999993</v>
      </c>
      <c r="Y2672" s="8">
        <v>47.16</v>
      </c>
      <c r="Z2672" s="8">
        <v>24.975000000000001</v>
      </c>
      <c r="AA2672" s="8">
        <v>10.304</v>
      </c>
      <c r="AB2672" s="8">
        <v>2.8239999999999998</v>
      </c>
      <c r="AC2672" s="8">
        <v>0.47099999999999997</v>
      </c>
    </row>
    <row r="2673" spans="1:29" ht="11.65" x14ac:dyDescent="0.35">
      <c r="A2673" s="12">
        <v>2656</v>
      </c>
      <c r="B2673" s="10" t="s">
        <v>1015</v>
      </c>
      <c r="C2673" s="11" t="s">
        <v>1201</v>
      </c>
      <c r="D2673" s="9"/>
      <c r="E2673" s="9">
        <v>76</v>
      </c>
      <c r="F2673" s="10" t="s">
        <v>1066</v>
      </c>
      <c r="G2673" s="9">
        <v>931</v>
      </c>
      <c r="H2673" s="9">
        <v>1950</v>
      </c>
      <c r="I2673" s="8">
        <v>4532.7460000000001</v>
      </c>
      <c r="J2673" s="8">
        <v>3522.826</v>
      </c>
      <c r="K2673" s="8">
        <v>3230.4290000000001</v>
      </c>
      <c r="L2673" s="8">
        <v>2710.739</v>
      </c>
      <c r="M2673" s="8">
        <v>2514.5</v>
      </c>
      <c r="N2673" s="8">
        <v>2068.4960000000001</v>
      </c>
      <c r="O2673" s="8">
        <v>1718.231</v>
      </c>
      <c r="P2673" s="8">
        <v>1524.924</v>
      </c>
      <c r="Q2673" s="8">
        <v>1276.9349999999999</v>
      </c>
      <c r="R2673" s="8">
        <v>1009.527</v>
      </c>
      <c r="S2673" s="8">
        <v>856.45600000000002</v>
      </c>
      <c r="T2673" s="8">
        <v>633.28599999999994</v>
      </c>
      <c r="U2673" s="8">
        <v>461.18400000000003</v>
      </c>
      <c r="V2673" s="8">
        <v>329.779</v>
      </c>
      <c r="W2673" s="8">
        <v>206.46</v>
      </c>
      <c r="X2673" s="8">
        <v>116.098</v>
      </c>
      <c r="Y2673" s="8">
        <v>24.835000000000001</v>
      </c>
      <c r="Z2673" s="8">
        <v>17.759</v>
      </c>
      <c r="AA2673" s="8">
        <v>11.118</v>
      </c>
      <c r="AB2673" s="8">
        <v>6.2510000000000003</v>
      </c>
      <c r="AC2673" s="8">
        <v>3.4129999999999998</v>
      </c>
    </row>
    <row r="2674" spans="1:29" ht="11.65" x14ac:dyDescent="0.35">
      <c r="A2674" s="12">
        <v>2657</v>
      </c>
      <c r="B2674" s="10" t="s">
        <v>1015</v>
      </c>
      <c r="C2674" s="11" t="s">
        <v>1201</v>
      </c>
      <c r="D2674" s="9"/>
      <c r="E2674" s="9">
        <v>76</v>
      </c>
      <c r="F2674" s="10" t="s">
        <v>1066</v>
      </c>
      <c r="G2674" s="9">
        <v>931</v>
      </c>
      <c r="H2674" s="9">
        <v>1955</v>
      </c>
      <c r="I2674" s="8">
        <v>5450.482</v>
      </c>
      <c r="J2674" s="8">
        <v>4303.875</v>
      </c>
      <c r="K2674" s="8">
        <v>3483.6469999999999</v>
      </c>
      <c r="L2674" s="8">
        <v>3204.7660000000001</v>
      </c>
      <c r="M2674" s="8">
        <v>2680.4479999999999</v>
      </c>
      <c r="N2674" s="8">
        <v>2472.473</v>
      </c>
      <c r="O2674" s="8">
        <v>2022.7619999999999</v>
      </c>
      <c r="P2674" s="8">
        <v>1669.433</v>
      </c>
      <c r="Q2674" s="8">
        <v>1469.826</v>
      </c>
      <c r="R2674" s="8">
        <v>1217.2850000000001</v>
      </c>
      <c r="S2674" s="8">
        <v>945.20899999999995</v>
      </c>
      <c r="T2674" s="8">
        <v>779.91499999999996</v>
      </c>
      <c r="U2674" s="8">
        <v>553.12900000000002</v>
      </c>
      <c r="V2674" s="8">
        <v>377.56599999999997</v>
      </c>
      <c r="W2674" s="8">
        <v>245.727</v>
      </c>
      <c r="X2674" s="8">
        <v>131.86799999999999</v>
      </c>
      <c r="Y2674" s="8">
        <v>58.444000000000003</v>
      </c>
      <c r="Z2674" s="8">
        <v>8.8030000000000008</v>
      </c>
      <c r="AA2674" s="8">
        <v>3.9830000000000001</v>
      </c>
      <c r="AB2674" s="8">
        <v>1.427</v>
      </c>
      <c r="AC2674" s="8">
        <v>0.72899999999999998</v>
      </c>
    </row>
    <row r="2675" spans="1:29" ht="11.65" x14ac:dyDescent="0.35">
      <c r="A2675" s="12">
        <v>2658</v>
      </c>
      <c r="B2675" s="10" t="s">
        <v>1015</v>
      </c>
      <c r="C2675" s="11" t="s">
        <v>1201</v>
      </c>
      <c r="D2675" s="9"/>
      <c r="E2675" s="9">
        <v>76</v>
      </c>
      <c r="F2675" s="10" t="s">
        <v>1066</v>
      </c>
      <c r="G2675" s="9">
        <v>931</v>
      </c>
      <c r="H2675" s="9">
        <v>1960</v>
      </c>
      <c r="I2675" s="8">
        <v>6237.6149999999998</v>
      </c>
      <c r="J2675" s="8">
        <v>5194.0379999999996</v>
      </c>
      <c r="K2675" s="8">
        <v>4252.0129999999999</v>
      </c>
      <c r="L2675" s="8">
        <v>3448.0439999999999</v>
      </c>
      <c r="M2675" s="8">
        <v>3155.797</v>
      </c>
      <c r="N2675" s="8">
        <v>2622.7649999999999</v>
      </c>
      <c r="O2675" s="8">
        <v>2405.0500000000002</v>
      </c>
      <c r="P2675" s="8">
        <v>1956.7190000000001</v>
      </c>
      <c r="Q2675" s="8">
        <v>1602.905</v>
      </c>
      <c r="R2675" s="8">
        <v>1396.9949999999999</v>
      </c>
      <c r="S2675" s="8">
        <v>1136.1400000000001</v>
      </c>
      <c r="T2675" s="8">
        <v>858.78899999999999</v>
      </c>
      <c r="U2675" s="8">
        <v>682.16099999999994</v>
      </c>
      <c r="V2675" s="8">
        <v>454.60700000000003</v>
      </c>
      <c r="W2675" s="8">
        <v>282.41300000000001</v>
      </c>
      <c r="X2675" s="8">
        <v>158.19399999999999</v>
      </c>
      <c r="Y2675" s="8">
        <v>67.424999999999997</v>
      </c>
      <c r="Z2675" s="8">
        <v>21.428000000000001</v>
      </c>
      <c r="AA2675" s="8">
        <v>2.0550000000000002</v>
      </c>
      <c r="AB2675" s="8">
        <v>0.53800000000000003</v>
      </c>
      <c r="AC2675" s="8">
        <v>0.16500000000000001</v>
      </c>
    </row>
    <row r="2676" spans="1:29" ht="11.65" x14ac:dyDescent="0.35">
      <c r="A2676" s="12">
        <v>2659</v>
      </c>
      <c r="B2676" s="10" t="s">
        <v>1015</v>
      </c>
      <c r="C2676" s="11" t="s">
        <v>1201</v>
      </c>
      <c r="D2676" s="9"/>
      <c r="E2676" s="9">
        <v>76</v>
      </c>
      <c r="F2676" s="10" t="s">
        <v>1066</v>
      </c>
      <c r="G2676" s="9">
        <v>931</v>
      </c>
      <c r="H2676" s="9">
        <v>1965</v>
      </c>
      <c r="I2676" s="8">
        <v>7090.27</v>
      </c>
      <c r="J2676" s="8">
        <v>5980.0010000000002</v>
      </c>
      <c r="K2676" s="8">
        <v>5139.2929999999997</v>
      </c>
      <c r="L2676" s="8">
        <v>4214.9780000000001</v>
      </c>
      <c r="M2676" s="8">
        <v>3401.5650000000001</v>
      </c>
      <c r="N2676" s="8">
        <v>3095.9630000000002</v>
      </c>
      <c r="O2676" s="8">
        <v>2561.5219999999999</v>
      </c>
      <c r="P2676" s="8">
        <v>2335.808</v>
      </c>
      <c r="Q2676" s="8">
        <v>1883.7529999999999</v>
      </c>
      <c r="R2676" s="8">
        <v>1528.0350000000001</v>
      </c>
      <c r="S2676" s="8">
        <v>1309.348</v>
      </c>
      <c r="T2676" s="8">
        <v>1038.0139999999999</v>
      </c>
      <c r="U2676" s="8">
        <v>757.13400000000001</v>
      </c>
      <c r="V2676" s="8">
        <v>565.85299999999995</v>
      </c>
      <c r="W2676" s="8">
        <v>343.51900000000001</v>
      </c>
      <c r="X2676" s="8">
        <v>184.54</v>
      </c>
      <c r="Y2676" s="8">
        <v>82.847999999999999</v>
      </c>
      <c r="Z2676" s="8">
        <v>25.524999999999999</v>
      </c>
      <c r="AA2676" s="8">
        <v>5.22</v>
      </c>
      <c r="AB2676" s="8">
        <v>0.29199999999999998</v>
      </c>
      <c r="AC2676" s="8">
        <v>5.8000000000000003E-2</v>
      </c>
    </row>
    <row r="2677" spans="1:29" ht="11.65" x14ac:dyDescent="0.35">
      <c r="A2677" s="12">
        <v>2660</v>
      </c>
      <c r="B2677" s="10" t="s">
        <v>1015</v>
      </c>
      <c r="C2677" s="11" t="s">
        <v>1201</v>
      </c>
      <c r="D2677" s="9"/>
      <c r="E2677" s="9">
        <v>76</v>
      </c>
      <c r="F2677" s="10" t="s">
        <v>1066</v>
      </c>
      <c r="G2677" s="9">
        <v>931</v>
      </c>
      <c r="H2677" s="9">
        <v>1970</v>
      </c>
      <c r="I2677" s="8">
        <v>7432.3549999999996</v>
      </c>
      <c r="J2677" s="8">
        <v>6844.3090000000002</v>
      </c>
      <c r="K2677" s="8">
        <v>5926.48</v>
      </c>
      <c r="L2677" s="8">
        <v>5101.9309999999996</v>
      </c>
      <c r="M2677" s="8">
        <v>4165.4520000000002</v>
      </c>
      <c r="N2677" s="8">
        <v>3344.2139999999999</v>
      </c>
      <c r="O2677" s="8">
        <v>3032.683</v>
      </c>
      <c r="P2677" s="8">
        <v>2495.8969999999999</v>
      </c>
      <c r="Q2677" s="8">
        <v>2255.2220000000002</v>
      </c>
      <c r="R2677" s="8">
        <v>1802.45</v>
      </c>
      <c r="S2677" s="8">
        <v>1438.905</v>
      </c>
      <c r="T2677" s="8">
        <v>1201.693</v>
      </c>
      <c r="U2677" s="8">
        <v>920.80100000000004</v>
      </c>
      <c r="V2677" s="8">
        <v>633.82100000000003</v>
      </c>
      <c r="W2677" s="8">
        <v>432.04599999999999</v>
      </c>
      <c r="X2677" s="8">
        <v>228.065</v>
      </c>
      <c r="Y2677" s="8">
        <v>99.320999999999998</v>
      </c>
      <c r="Z2677" s="8">
        <v>32.49</v>
      </c>
      <c r="AA2677" s="8">
        <v>6.4950000000000001</v>
      </c>
      <c r="AB2677" s="8">
        <v>0.78600000000000003</v>
      </c>
      <c r="AC2677" s="8">
        <v>3.1E-2</v>
      </c>
    </row>
    <row r="2678" spans="1:29" ht="11.65" x14ac:dyDescent="0.35">
      <c r="A2678" s="12">
        <v>2661</v>
      </c>
      <c r="B2678" s="10" t="s">
        <v>1015</v>
      </c>
      <c r="C2678" s="11" t="s">
        <v>1201</v>
      </c>
      <c r="D2678" s="9"/>
      <c r="E2678" s="9">
        <v>76</v>
      </c>
      <c r="F2678" s="10" t="s">
        <v>1066</v>
      </c>
      <c r="G2678" s="9">
        <v>931</v>
      </c>
      <c r="H2678" s="9">
        <v>1975</v>
      </c>
      <c r="I2678" s="8">
        <v>7702.38</v>
      </c>
      <c r="J2678" s="8">
        <v>7226.1809999999996</v>
      </c>
      <c r="K2678" s="8">
        <v>6795.6459999999997</v>
      </c>
      <c r="L2678" s="8">
        <v>5889.9740000000002</v>
      </c>
      <c r="M2678" s="8">
        <v>5047.9009999999998</v>
      </c>
      <c r="N2678" s="8">
        <v>4103.6360000000004</v>
      </c>
      <c r="O2678" s="8">
        <v>3283.2159999999999</v>
      </c>
      <c r="P2678" s="8">
        <v>2960.5329999999999</v>
      </c>
      <c r="Q2678" s="8">
        <v>2415.6790000000001</v>
      </c>
      <c r="R2678" s="8">
        <v>2161.902</v>
      </c>
      <c r="S2678" s="8">
        <v>1702.1990000000001</v>
      </c>
      <c r="T2678" s="8">
        <v>1326.194</v>
      </c>
      <c r="U2678" s="8">
        <v>1068.942</v>
      </c>
      <c r="V2678" s="8">
        <v>775.06700000000001</v>
      </c>
      <c r="W2678" s="8">
        <v>489.08100000000002</v>
      </c>
      <c r="X2678" s="8">
        <v>291.68400000000003</v>
      </c>
      <c r="Y2678" s="8">
        <v>125.619</v>
      </c>
      <c r="Z2678" s="8">
        <v>40.136000000000003</v>
      </c>
      <c r="AA2678" s="8">
        <v>8.6649999999999991</v>
      </c>
      <c r="AB2678" s="8">
        <v>1.038</v>
      </c>
      <c r="AC2678" s="8">
        <v>6.7000000000000004E-2</v>
      </c>
    </row>
    <row r="2679" spans="1:29" ht="11.65" x14ac:dyDescent="0.35">
      <c r="A2679" s="12">
        <v>2662</v>
      </c>
      <c r="B2679" s="10" t="s">
        <v>1015</v>
      </c>
      <c r="C2679" s="11" t="s">
        <v>1201</v>
      </c>
      <c r="D2679" s="9"/>
      <c r="E2679" s="9">
        <v>76</v>
      </c>
      <c r="F2679" s="10" t="s">
        <v>1066</v>
      </c>
      <c r="G2679" s="9">
        <v>931</v>
      </c>
      <c r="H2679" s="9">
        <v>1980</v>
      </c>
      <c r="I2679" s="8">
        <v>8518.2939999999999</v>
      </c>
      <c r="J2679" s="8">
        <v>7538.473</v>
      </c>
      <c r="K2679" s="8">
        <v>7186.8710000000001</v>
      </c>
      <c r="L2679" s="8">
        <v>6755.62</v>
      </c>
      <c r="M2679" s="8">
        <v>5831.1319999999996</v>
      </c>
      <c r="N2679" s="8">
        <v>4979.8549999999996</v>
      </c>
      <c r="O2679" s="8">
        <v>4032.8069999999998</v>
      </c>
      <c r="P2679" s="8">
        <v>3209.8359999999998</v>
      </c>
      <c r="Q2679" s="8">
        <v>2873.82</v>
      </c>
      <c r="R2679" s="8">
        <v>2319.2930000000001</v>
      </c>
      <c r="S2679" s="8">
        <v>2045.9590000000001</v>
      </c>
      <c r="T2679" s="8">
        <v>1575.248</v>
      </c>
      <c r="U2679" s="8">
        <v>1183.164</v>
      </c>
      <c r="V2679" s="8">
        <v>904.98800000000006</v>
      </c>
      <c r="W2679" s="8">
        <v>604.49699999999996</v>
      </c>
      <c r="X2679" s="8">
        <v>335.197</v>
      </c>
      <c r="Y2679" s="8">
        <v>164.08699999999999</v>
      </c>
      <c r="Z2679" s="8">
        <v>52.45</v>
      </c>
      <c r="AA2679" s="8">
        <v>11.253</v>
      </c>
      <c r="AB2679" s="8">
        <v>1.4750000000000001</v>
      </c>
      <c r="AC2679" s="8">
        <v>9.6000000000000002E-2</v>
      </c>
    </row>
    <row r="2680" spans="1:29" ht="11.65" x14ac:dyDescent="0.35">
      <c r="A2680" s="12">
        <v>2663</v>
      </c>
      <c r="B2680" s="10" t="s">
        <v>1015</v>
      </c>
      <c r="C2680" s="11" t="s">
        <v>1201</v>
      </c>
      <c r="D2680" s="9"/>
      <c r="E2680" s="9">
        <v>76</v>
      </c>
      <c r="F2680" s="10" t="s">
        <v>1066</v>
      </c>
      <c r="G2680" s="9">
        <v>931</v>
      </c>
      <c r="H2680" s="9">
        <v>1985</v>
      </c>
      <c r="I2680" s="8">
        <v>9256.5789999999997</v>
      </c>
      <c r="J2680" s="8">
        <v>8382.1720000000005</v>
      </c>
      <c r="K2680" s="8">
        <v>7503.8720000000003</v>
      </c>
      <c r="L2680" s="8">
        <v>7145.9059999999999</v>
      </c>
      <c r="M2680" s="8">
        <v>6686.442</v>
      </c>
      <c r="N2680" s="8">
        <v>5748.8549999999996</v>
      </c>
      <c r="O2680" s="8">
        <v>4893.5550000000003</v>
      </c>
      <c r="P2680" s="8">
        <v>3945.739</v>
      </c>
      <c r="Q2680" s="8">
        <v>3119.32</v>
      </c>
      <c r="R2680" s="8">
        <v>2761.3389999999999</v>
      </c>
      <c r="S2680" s="8">
        <v>2196.2310000000002</v>
      </c>
      <c r="T2680" s="8">
        <v>1898.0170000000001</v>
      </c>
      <c r="U2680" s="8">
        <v>1404.979</v>
      </c>
      <c r="V2680" s="8">
        <v>993.64599999999996</v>
      </c>
      <c r="W2680" s="8">
        <v>706.04300000000001</v>
      </c>
      <c r="X2680" s="8">
        <v>421.35899999999998</v>
      </c>
      <c r="Y2680" s="8">
        <v>192.80199999999999</v>
      </c>
      <c r="Z2680" s="8">
        <v>70.906000000000006</v>
      </c>
      <c r="AA2680" s="8">
        <v>15.481</v>
      </c>
      <c r="AB2680" s="8">
        <v>2.0430000000000001</v>
      </c>
      <c r="AC2680" s="8">
        <v>0.14699999999999999</v>
      </c>
    </row>
    <row r="2681" spans="1:29" ht="11.65" x14ac:dyDescent="0.35">
      <c r="A2681" s="12">
        <v>2664</v>
      </c>
      <c r="B2681" s="10" t="s">
        <v>1015</v>
      </c>
      <c r="C2681" s="11" t="s">
        <v>1201</v>
      </c>
      <c r="D2681" s="9"/>
      <c r="E2681" s="9">
        <v>76</v>
      </c>
      <c r="F2681" s="10" t="s">
        <v>1066</v>
      </c>
      <c r="G2681" s="9">
        <v>931</v>
      </c>
      <c r="H2681" s="9">
        <v>1990</v>
      </c>
      <c r="I2681" s="8">
        <v>9044.3819999999996</v>
      </c>
      <c r="J2681" s="8">
        <v>9148.4619999999995</v>
      </c>
      <c r="K2681" s="8">
        <v>8348.7260000000006</v>
      </c>
      <c r="L2681" s="8">
        <v>7460.8760000000002</v>
      </c>
      <c r="M2681" s="8">
        <v>7066.5159999999996</v>
      </c>
      <c r="N2681" s="8">
        <v>6584.2049999999999</v>
      </c>
      <c r="O2681" s="8">
        <v>5642.6729999999998</v>
      </c>
      <c r="P2681" s="8">
        <v>4781.6379999999999</v>
      </c>
      <c r="Q2681" s="8">
        <v>3832.4569999999999</v>
      </c>
      <c r="R2681" s="8">
        <v>2999.5680000000002</v>
      </c>
      <c r="S2681" s="8">
        <v>2616.6999999999998</v>
      </c>
      <c r="T2681" s="8">
        <v>2036.6969999999999</v>
      </c>
      <c r="U2681" s="8">
        <v>1692.6310000000001</v>
      </c>
      <c r="V2681" s="8">
        <v>1180.6189999999999</v>
      </c>
      <c r="W2681" s="8">
        <v>780.71799999999996</v>
      </c>
      <c r="X2681" s="8">
        <v>500.82499999999999</v>
      </c>
      <c r="Y2681" s="8">
        <v>248.25200000000001</v>
      </c>
      <c r="Z2681" s="8">
        <v>86.46</v>
      </c>
      <c r="AA2681" s="8">
        <v>22.132000000000001</v>
      </c>
      <c r="AB2681" s="8">
        <v>3.0190000000000001</v>
      </c>
      <c r="AC2681" s="8">
        <v>0.221</v>
      </c>
    </row>
    <row r="2682" spans="1:29" ht="11.65" x14ac:dyDescent="0.35">
      <c r="A2682" s="12">
        <v>2665</v>
      </c>
      <c r="B2682" s="10" t="s">
        <v>1015</v>
      </c>
      <c r="C2682" s="11" t="s">
        <v>1201</v>
      </c>
      <c r="D2682" s="9"/>
      <c r="E2682" s="9">
        <v>76</v>
      </c>
      <c r="F2682" s="10" t="s">
        <v>1066</v>
      </c>
      <c r="G2682" s="9">
        <v>931</v>
      </c>
      <c r="H2682" s="9">
        <v>1995</v>
      </c>
      <c r="I2682" s="8">
        <v>8858.69</v>
      </c>
      <c r="J2682" s="8">
        <v>8967.0519999999997</v>
      </c>
      <c r="K2682" s="8">
        <v>9118.0889999999999</v>
      </c>
      <c r="L2682" s="8">
        <v>8301.9740000000002</v>
      </c>
      <c r="M2682" s="8">
        <v>7375.5230000000001</v>
      </c>
      <c r="N2682" s="8">
        <v>6954.5110000000004</v>
      </c>
      <c r="O2682" s="8">
        <v>6459.5010000000002</v>
      </c>
      <c r="P2682" s="8">
        <v>5514.5280000000002</v>
      </c>
      <c r="Q2682" s="8">
        <v>4648.8029999999999</v>
      </c>
      <c r="R2682" s="8">
        <v>3693.9520000000002</v>
      </c>
      <c r="S2682" s="8">
        <v>2851.3589999999999</v>
      </c>
      <c r="T2682" s="8">
        <v>2436.252</v>
      </c>
      <c r="U2682" s="8">
        <v>1830.5429999999999</v>
      </c>
      <c r="V2682" s="8">
        <v>1443.9169999999999</v>
      </c>
      <c r="W2682" s="8">
        <v>943.72699999999998</v>
      </c>
      <c r="X2682" s="8">
        <v>563.202</v>
      </c>
      <c r="Y2682" s="8">
        <v>303.76900000000001</v>
      </c>
      <c r="Z2682" s="8">
        <v>116.377</v>
      </c>
      <c r="AA2682" s="8">
        <v>28.584</v>
      </c>
      <c r="AB2682" s="8">
        <v>4.6509999999999998</v>
      </c>
      <c r="AC2682" s="8">
        <v>0.35499999999999998</v>
      </c>
    </row>
    <row r="2683" spans="1:29" ht="11.65" x14ac:dyDescent="0.35">
      <c r="A2683" s="12">
        <v>2666</v>
      </c>
      <c r="B2683" s="10" t="s">
        <v>1015</v>
      </c>
      <c r="C2683" s="11" t="s">
        <v>1201</v>
      </c>
      <c r="D2683" s="9"/>
      <c r="E2683" s="9">
        <v>76</v>
      </c>
      <c r="F2683" s="10" t="s">
        <v>1066</v>
      </c>
      <c r="G2683" s="9">
        <v>931</v>
      </c>
      <c r="H2683" s="9">
        <v>2000</v>
      </c>
      <c r="I2683" s="8">
        <v>8883.973</v>
      </c>
      <c r="J2683" s="8">
        <v>8800.0439999999999</v>
      </c>
      <c r="K2683" s="8">
        <v>8941.3189999999995</v>
      </c>
      <c r="L2683" s="8">
        <v>9069.3989999999994</v>
      </c>
      <c r="M2683" s="8">
        <v>8207.0810000000001</v>
      </c>
      <c r="N2683" s="8">
        <v>7262.53</v>
      </c>
      <c r="O2683" s="8">
        <v>6829.7479999999996</v>
      </c>
      <c r="P2683" s="8">
        <v>6322.7529999999997</v>
      </c>
      <c r="Q2683" s="8">
        <v>5370.5450000000001</v>
      </c>
      <c r="R2683" s="8">
        <v>4491.1180000000004</v>
      </c>
      <c r="S2683" s="8">
        <v>3526.616</v>
      </c>
      <c r="T2683" s="8">
        <v>2669.2710000000002</v>
      </c>
      <c r="U2683" s="8">
        <v>2209.3389999999999</v>
      </c>
      <c r="V2683" s="8">
        <v>1584.646</v>
      </c>
      <c r="W2683" s="8">
        <v>1171.6510000000001</v>
      </c>
      <c r="X2683" s="8">
        <v>692.93200000000002</v>
      </c>
      <c r="Y2683" s="8">
        <v>351.80900000000003</v>
      </c>
      <c r="Z2683" s="8">
        <v>148.94</v>
      </c>
      <c r="AA2683" s="8">
        <v>40.828000000000003</v>
      </c>
      <c r="AB2683" s="8">
        <v>6.4909999999999997</v>
      </c>
      <c r="AC2683" s="8">
        <v>0.60099999999999998</v>
      </c>
    </row>
    <row r="2684" spans="1:29" ht="11.65" x14ac:dyDescent="0.35">
      <c r="A2684" s="12">
        <v>2667</v>
      </c>
      <c r="B2684" s="10" t="s">
        <v>1015</v>
      </c>
      <c r="C2684" s="11" t="s">
        <v>1201</v>
      </c>
      <c r="D2684" s="9"/>
      <c r="E2684" s="9">
        <v>76</v>
      </c>
      <c r="F2684" s="10" t="s">
        <v>1066</v>
      </c>
      <c r="G2684" s="9">
        <v>931</v>
      </c>
      <c r="H2684" s="9">
        <v>2005</v>
      </c>
      <c r="I2684" s="8">
        <v>8332.0110000000004</v>
      </c>
      <c r="J2684" s="8">
        <v>8833.6919999999991</v>
      </c>
      <c r="K2684" s="8">
        <v>8778.4840000000004</v>
      </c>
      <c r="L2684" s="8">
        <v>8896.3439999999991</v>
      </c>
      <c r="M2684" s="8">
        <v>8964.1020000000008</v>
      </c>
      <c r="N2684" s="8">
        <v>8084.9610000000002</v>
      </c>
      <c r="O2684" s="8">
        <v>7141.7529999999997</v>
      </c>
      <c r="P2684" s="8">
        <v>6698.4110000000001</v>
      </c>
      <c r="Q2684" s="8">
        <v>6172.0810000000001</v>
      </c>
      <c r="R2684" s="8">
        <v>5201.5889999999999</v>
      </c>
      <c r="S2684" s="8">
        <v>4298.3119999999999</v>
      </c>
      <c r="T2684" s="8">
        <v>3314.5610000000001</v>
      </c>
      <c r="U2684" s="8">
        <v>2446.5189999999998</v>
      </c>
      <c r="V2684" s="8">
        <v>1948.836</v>
      </c>
      <c r="W2684" s="8">
        <v>1312.1189999999999</v>
      </c>
      <c r="X2684" s="8">
        <v>879.58299999999997</v>
      </c>
      <c r="Y2684" s="8">
        <v>448.88099999999997</v>
      </c>
      <c r="Z2684" s="8">
        <v>182.322</v>
      </c>
      <c r="AA2684" s="8">
        <v>56.335000000000001</v>
      </c>
      <c r="AB2684" s="8">
        <v>10.23</v>
      </c>
      <c r="AC2684" s="8">
        <v>0.96599999999999997</v>
      </c>
    </row>
    <row r="2685" spans="1:29" ht="11.65" x14ac:dyDescent="0.35">
      <c r="A2685" s="12">
        <v>2668</v>
      </c>
      <c r="B2685" s="10" t="s">
        <v>1015</v>
      </c>
      <c r="C2685" s="11" t="s">
        <v>1201</v>
      </c>
      <c r="D2685" s="9"/>
      <c r="E2685" s="9">
        <v>76</v>
      </c>
      <c r="F2685" s="10" t="s">
        <v>1066</v>
      </c>
      <c r="G2685" s="9">
        <v>931</v>
      </c>
      <c r="H2685" s="9">
        <v>2010</v>
      </c>
      <c r="I2685" s="8">
        <v>7654.1</v>
      </c>
      <c r="J2685" s="8">
        <v>8298.3510000000006</v>
      </c>
      <c r="K2685" s="8">
        <v>8814.9639999999999</v>
      </c>
      <c r="L2685" s="8">
        <v>8736.0840000000007</v>
      </c>
      <c r="M2685" s="8">
        <v>8793.3240000000005</v>
      </c>
      <c r="N2685" s="8">
        <v>8837.0810000000001</v>
      </c>
      <c r="O2685" s="8">
        <v>7966.6779999999999</v>
      </c>
      <c r="P2685" s="8">
        <v>7021.2730000000001</v>
      </c>
      <c r="Q2685" s="8">
        <v>6553.19</v>
      </c>
      <c r="R2685" s="8">
        <v>5995.0680000000002</v>
      </c>
      <c r="S2685" s="8">
        <v>4997.01</v>
      </c>
      <c r="T2685" s="8">
        <v>4057.864</v>
      </c>
      <c r="U2685" s="8">
        <v>3054.9969999999998</v>
      </c>
      <c r="V2685" s="8">
        <v>2176.1060000000002</v>
      </c>
      <c r="W2685" s="8">
        <v>1641.133</v>
      </c>
      <c r="X2685" s="8">
        <v>1014.046</v>
      </c>
      <c r="Y2685" s="8">
        <v>589.42700000000002</v>
      </c>
      <c r="Z2685" s="8">
        <v>242.94399999999999</v>
      </c>
      <c r="AA2685" s="8">
        <v>74.869</v>
      </c>
      <c r="AB2685" s="8">
        <v>15.981999999999999</v>
      </c>
      <c r="AC2685" s="8">
        <v>1.778</v>
      </c>
    </row>
    <row r="2686" spans="1:29" ht="11.65" x14ac:dyDescent="0.35">
      <c r="A2686" s="12">
        <v>2669</v>
      </c>
      <c r="B2686" s="10" t="s">
        <v>1015</v>
      </c>
      <c r="C2686" s="11" t="s">
        <v>1201</v>
      </c>
      <c r="D2686" s="9"/>
      <c r="E2686" s="9">
        <v>76</v>
      </c>
      <c r="F2686" s="10" t="s">
        <v>1066</v>
      </c>
      <c r="G2686" s="9">
        <v>931</v>
      </c>
      <c r="H2686" s="9">
        <v>2015</v>
      </c>
      <c r="I2686" s="8">
        <v>7480.1009999999997</v>
      </c>
      <c r="J2686" s="8">
        <v>7634.2830000000004</v>
      </c>
      <c r="K2686" s="8">
        <v>8284.2090000000007</v>
      </c>
      <c r="L2686" s="8">
        <v>8775.9619999999995</v>
      </c>
      <c r="M2686" s="8">
        <v>8637.8150000000005</v>
      </c>
      <c r="N2686" s="8">
        <v>8675.5450000000001</v>
      </c>
      <c r="O2686" s="8">
        <v>8718.0519999999997</v>
      </c>
      <c r="P2686" s="8">
        <v>7843.8980000000001</v>
      </c>
      <c r="Q2686" s="8">
        <v>6883.9179999999997</v>
      </c>
      <c r="R2686" s="8">
        <v>6383.6180000000004</v>
      </c>
      <c r="S2686" s="8">
        <v>5780.3680000000004</v>
      </c>
      <c r="T2686" s="8">
        <v>4741.8559999999998</v>
      </c>
      <c r="U2686" s="8">
        <v>3768.616</v>
      </c>
      <c r="V2686" s="8">
        <v>2736.1320000000001</v>
      </c>
      <c r="W2686" s="8">
        <v>1849.0730000000001</v>
      </c>
      <c r="X2686" s="8">
        <v>1292.8420000000001</v>
      </c>
      <c r="Y2686" s="8">
        <v>701.67899999999997</v>
      </c>
      <c r="Z2686" s="8">
        <v>335.32299999999998</v>
      </c>
      <c r="AA2686" s="8">
        <v>107.303</v>
      </c>
      <c r="AB2686" s="8">
        <v>23.657</v>
      </c>
      <c r="AC2686" s="8">
        <v>3.266</v>
      </c>
    </row>
    <row r="2687" spans="1:29" ht="11.65" x14ac:dyDescent="0.35">
      <c r="A2687" s="12">
        <v>2670</v>
      </c>
      <c r="B2687" s="10" t="s">
        <v>1015</v>
      </c>
      <c r="C2687" s="11" t="s">
        <v>1201</v>
      </c>
      <c r="D2687" s="9"/>
      <c r="E2687" s="9">
        <v>76</v>
      </c>
      <c r="F2687" s="10" t="s">
        <v>1066</v>
      </c>
      <c r="G2687" s="9">
        <v>931</v>
      </c>
      <c r="H2687" s="9">
        <v>2020</v>
      </c>
      <c r="I2687" s="8">
        <v>7404.6459999999997</v>
      </c>
      <c r="J2687" s="8">
        <v>7464.84</v>
      </c>
      <c r="K2687" s="8">
        <v>7623.3860000000004</v>
      </c>
      <c r="L2687" s="8">
        <v>8253.31</v>
      </c>
      <c r="M2687" s="8">
        <v>8685.5570000000007</v>
      </c>
      <c r="N2687" s="8">
        <v>8534.0040000000008</v>
      </c>
      <c r="O2687" s="8">
        <v>8571.6839999999993</v>
      </c>
      <c r="P2687" s="8">
        <v>8593.7219999999998</v>
      </c>
      <c r="Q2687" s="8">
        <v>7704.5280000000002</v>
      </c>
      <c r="R2687" s="8">
        <v>6721.6390000000001</v>
      </c>
      <c r="S2687" s="8">
        <v>6170.933</v>
      </c>
      <c r="T2687" s="8">
        <v>5508.4560000000001</v>
      </c>
      <c r="U2687" s="8">
        <v>4423.28</v>
      </c>
      <c r="V2687" s="8">
        <v>3394.482</v>
      </c>
      <c r="W2687" s="8">
        <v>2351.4639999999999</v>
      </c>
      <c r="X2687" s="8">
        <v>1480.9390000000001</v>
      </c>
      <c r="Y2687" s="8">
        <v>921.50800000000004</v>
      </c>
      <c r="Z2687" s="8">
        <v>423.00700000000001</v>
      </c>
      <c r="AA2687" s="8">
        <v>161.001</v>
      </c>
      <c r="AB2687" s="8">
        <v>37.722000000000001</v>
      </c>
      <c r="AC2687" s="8">
        <v>5.6749999999999998</v>
      </c>
    </row>
    <row r="2688" spans="1:29" ht="11.65" x14ac:dyDescent="0.35">
      <c r="A2688" s="12">
        <v>2671</v>
      </c>
      <c r="B2688" s="10" t="s">
        <v>1015</v>
      </c>
      <c r="C2688" s="11" t="s">
        <v>1202</v>
      </c>
      <c r="D2688" s="9"/>
      <c r="E2688" s="9">
        <v>152</v>
      </c>
      <c r="F2688" s="10" t="s">
        <v>1066</v>
      </c>
      <c r="G2688" s="9">
        <v>931</v>
      </c>
      <c r="H2688" s="9">
        <v>1950</v>
      </c>
      <c r="I2688" s="8">
        <v>486.988</v>
      </c>
      <c r="J2688" s="8">
        <v>415.03500000000003</v>
      </c>
      <c r="K2688" s="8">
        <v>376.80500000000001</v>
      </c>
      <c r="L2688" s="8">
        <v>361.42399999999998</v>
      </c>
      <c r="M2688" s="8">
        <v>348.274</v>
      </c>
      <c r="N2688" s="8">
        <v>272.45999999999998</v>
      </c>
      <c r="O2688" s="8">
        <v>221.16</v>
      </c>
      <c r="P2688" s="8">
        <v>192.51</v>
      </c>
      <c r="Q2688" s="8">
        <v>161.89500000000001</v>
      </c>
      <c r="R2688" s="8">
        <v>132.351</v>
      </c>
      <c r="S2688" s="8">
        <v>109.824</v>
      </c>
      <c r="T2688" s="8">
        <v>87.307000000000002</v>
      </c>
      <c r="U2688" s="8">
        <v>64.138000000000005</v>
      </c>
      <c r="V2688" s="8">
        <v>42.552</v>
      </c>
      <c r="W2688" s="8">
        <v>28.170999999999999</v>
      </c>
      <c r="X2688" s="8">
        <v>16.954999999999998</v>
      </c>
      <c r="Y2688" s="8">
        <v>9.2159999999999993</v>
      </c>
      <c r="Z2688" s="8">
        <v>4.7290000000000001</v>
      </c>
      <c r="AA2688" s="8">
        <v>2.3039999999999998</v>
      </c>
      <c r="AB2688" s="8">
        <v>1.169</v>
      </c>
      <c r="AC2688" s="8">
        <v>0.40300000000000002</v>
      </c>
    </row>
    <row r="2689" spans="1:29" ht="11.65" x14ac:dyDescent="0.35">
      <c r="A2689" s="12">
        <v>2672</v>
      </c>
      <c r="B2689" s="10" t="s">
        <v>1015</v>
      </c>
      <c r="C2689" s="11" t="s">
        <v>1202</v>
      </c>
      <c r="D2689" s="9"/>
      <c r="E2689" s="9">
        <v>152</v>
      </c>
      <c r="F2689" s="10" t="s">
        <v>1066</v>
      </c>
      <c r="G2689" s="9">
        <v>931</v>
      </c>
      <c r="H2689" s="9">
        <v>1955</v>
      </c>
      <c r="I2689" s="8">
        <v>568.93700000000001</v>
      </c>
      <c r="J2689" s="8">
        <v>466.08800000000002</v>
      </c>
      <c r="K2689" s="8">
        <v>405.67500000000001</v>
      </c>
      <c r="L2689" s="8">
        <v>366.06599999999997</v>
      </c>
      <c r="M2689" s="8">
        <v>346.41399999999999</v>
      </c>
      <c r="N2689" s="8">
        <v>329.50400000000002</v>
      </c>
      <c r="O2689" s="8">
        <v>255.02799999999999</v>
      </c>
      <c r="P2689" s="8">
        <v>206.34800000000001</v>
      </c>
      <c r="Q2689" s="8">
        <v>179.102</v>
      </c>
      <c r="R2689" s="8">
        <v>149.01300000000001</v>
      </c>
      <c r="S2689" s="8">
        <v>119.6</v>
      </c>
      <c r="T2689" s="8">
        <v>97.117000000000004</v>
      </c>
      <c r="U2689" s="8">
        <v>75.040000000000006</v>
      </c>
      <c r="V2689" s="8">
        <v>52.45</v>
      </c>
      <c r="W2689" s="8">
        <v>32.100999999999999</v>
      </c>
      <c r="X2689" s="8">
        <v>18.7</v>
      </c>
      <c r="Y2689" s="8">
        <v>9.3840000000000003</v>
      </c>
      <c r="Z2689" s="8">
        <v>3.88</v>
      </c>
      <c r="AA2689" s="8">
        <v>1.403</v>
      </c>
      <c r="AB2689" s="8">
        <v>0.42799999999999999</v>
      </c>
      <c r="AC2689" s="8">
        <v>0.14899999999999999</v>
      </c>
    </row>
    <row r="2690" spans="1:29" ht="11.65" x14ac:dyDescent="0.35">
      <c r="A2690" s="12">
        <v>2673</v>
      </c>
      <c r="B2690" s="10" t="s">
        <v>1015</v>
      </c>
      <c r="C2690" s="11" t="s">
        <v>1202</v>
      </c>
      <c r="D2690" s="9"/>
      <c r="E2690" s="9">
        <v>152</v>
      </c>
      <c r="F2690" s="10" t="s">
        <v>1066</v>
      </c>
      <c r="G2690" s="9">
        <v>931</v>
      </c>
      <c r="H2690" s="9">
        <v>1960</v>
      </c>
      <c r="I2690" s="8">
        <v>617.40700000000004</v>
      </c>
      <c r="J2690" s="8">
        <v>548.93899999999996</v>
      </c>
      <c r="K2690" s="8">
        <v>456.928</v>
      </c>
      <c r="L2690" s="8">
        <v>395.13299999999998</v>
      </c>
      <c r="M2690" s="8">
        <v>351.52499999999998</v>
      </c>
      <c r="N2690" s="8">
        <v>327.88799999999998</v>
      </c>
      <c r="O2690" s="8">
        <v>310.31200000000001</v>
      </c>
      <c r="P2690" s="8">
        <v>238.91399999999999</v>
      </c>
      <c r="Q2690" s="8">
        <v>192.20699999999999</v>
      </c>
      <c r="R2690" s="8">
        <v>165.10400000000001</v>
      </c>
      <c r="S2690" s="8">
        <v>134.90700000000001</v>
      </c>
      <c r="T2690" s="8">
        <v>105.879</v>
      </c>
      <c r="U2690" s="8">
        <v>83.676000000000002</v>
      </c>
      <c r="V2690" s="8">
        <v>61.558999999999997</v>
      </c>
      <c r="W2690" s="8">
        <v>39.878999999999998</v>
      </c>
      <c r="X2690" s="8">
        <v>21.629000000000001</v>
      </c>
      <c r="Y2690" s="8">
        <v>10.6</v>
      </c>
      <c r="Z2690" s="8">
        <v>4.1349999999999998</v>
      </c>
      <c r="AA2690" s="8">
        <v>1.236</v>
      </c>
      <c r="AB2690" s="8">
        <v>0.28999999999999998</v>
      </c>
      <c r="AC2690" s="8">
        <v>0.06</v>
      </c>
    </row>
    <row r="2691" spans="1:29" ht="11.65" x14ac:dyDescent="0.35">
      <c r="A2691" s="12">
        <v>2674</v>
      </c>
      <c r="B2691" s="10" t="s">
        <v>1015</v>
      </c>
      <c r="C2691" s="11" t="s">
        <v>1202</v>
      </c>
      <c r="D2691" s="9"/>
      <c r="E2691" s="9">
        <v>152</v>
      </c>
      <c r="F2691" s="10" t="s">
        <v>1066</v>
      </c>
      <c r="G2691" s="9">
        <v>931</v>
      </c>
      <c r="H2691" s="9">
        <v>1965</v>
      </c>
      <c r="I2691" s="8">
        <v>655.84400000000005</v>
      </c>
      <c r="J2691" s="8">
        <v>598.47299999999996</v>
      </c>
      <c r="K2691" s="8">
        <v>540.197</v>
      </c>
      <c r="L2691" s="8">
        <v>446.54500000000002</v>
      </c>
      <c r="M2691" s="8">
        <v>380.512</v>
      </c>
      <c r="N2691" s="8">
        <v>332.43099999999998</v>
      </c>
      <c r="O2691" s="8">
        <v>307.42200000000003</v>
      </c>
      <c r="P2691" s="8">
        <v>291.41500000000002</v>
      </c>
      <c r="Q2691" s="8">
        <v>223.04900000000001</v>
      </c>
      <c r="R2691" s="8">
        <v>177.245</v>
      </c>
      <c r="S2691" s="8">
        <v>149.66200000000001</v>
      </c>
      <c r="T2691" s="8">
        <v>119.67</v>
      </c>
      <c r="U2691" s="8">
        <v>91.394000000000005</v>
      </c>
      <c r="V2691" s="8">
        <v>68.822999999999993</v>
      </c>
      <c r="W2691" s="8">
        <v>46.91</v>
      </c>
      <c r="X2691" s="8">
        <v>27.048999999999999</v>
      </c>
      <c r="Y2691" s="8">
        <v>12.366</v>
      </c>
      <c r="Z2691" s="8">
        <v>4.7279999999999998</v>
      </c>
      <c r="AA2691" s="8">
        <v>1.339</v>
      </c>
      <c r="AB2691" s="8">
        <v>0.26</v>
      </c>
      <c r="AC2691" s="8">
        <v>3.6999999999999998E-2</v>
      </c>
    </row>
    <row r="2692" spans="1:29" ht="11.65" x14ac:dyDescent="0.35">
      <c r="A2692" s="12">
        <v>2675</v>
      </c>
      <c r="B2692" s="10" t="s">
        <v>1015</v>
      </c>
      <c r="C2692" s="11" t="s">
        <v>1202</v>
      </c>
      <c r="D2692" s="9"/>
      <c r="E2692" s="9">
        <v>152</v>
      </c>
      <c r="F2692" s="10" t="s">
        <v>1066</v>
      </c>
      <c r="G2692" s="9">
        <v>931</v>
      </c>
      <c r="H2692" s="9">
        <v>1970</v>
      </c>
      <c r="I2692" s="8">
        <v>658.10199999999998</v>
      </c>
      <c r="J2692" s="8">
        <v>639.92200000000003</v>
      </c>
      <c r="K2692" s="8">
        <v>589.15099999999995</v>
      </c>
      <c r="L2692" s="8">
        <v>527.94399999999996</v>
      </c>
      <c r="M2692" s="8">
        <v>428.64600000000002</v>
      </c>
      <c r="N2692" s="8">
        <v>356.67899999999997</v>
      </c>
      <c r="O2692" s="8">
        <v>307.096</v>
      </c>
      <c r="P2692" s="8">
        <v>285.05</v>
      </c>
      <c r="Q2692" s="8">
        <v>271.47500000000002</v>
      </c>
      <c r="R2692" s="8">
        <v>205.084</v>
      </c>
      <c r="S2692" s="8">
        <v>159.78899999999999</v>
      </c>
      <c r="T2692" s="8">
        <v>132.36600000000001</v>
      </c>
      <c r="U2692" s="8">
        <v>103.363</v>
      </c>
      <c r="V2692" s="8">
        <v>75.331999999999994</v>
      </c>
      <c r="W2692" s="8">
        <v>52.53</v>
      </c>
      <c r="X2692" s="8">
        <v>31.675000000000001</v>
      </c>
      <c r="Y2692" s="8">
        <v>15.353</v>
      </c>
      <c r="Z2692" s="8">
        <v>5.4</v>
      </c>
      <c r="AA2692" s="8">
        <v>1.47</v>
      </c>
      <c r="AB2692" s="8">
        <v>0.26400000000000001</v>
      </c>
      <c r="AC2692" s="8">
        <v>0.03</v>
      </c>
    </row>
    <row r="2693" spans="1:29" ht="11.65" x14ac:dyDescent="0.35">
      <c r="A2693" s="12">
        <v>2676</v>
      </c>
      <c r="B2693" s="10" t="s">
        <v>1015</v>
      </c>
      <c r="C2693" s="11" t="s">
        <v>1202</v>
      </c>
      <c r="D2693" s="9"/>
      <c r="E2693" s="9">
        <v>152</v>
      </c>
      <c r="F2693" s="10" t="s">
        <v>1066</v>
      </c>
      <c r="G2693" s="9">
        <v>931</v>
      </c>
      <c r="H2693" s="9">
        <v>1975</v>
      </c>
      <c r="I2693" s="8">
        <v>649.64599999999996</v>
      </c>
      <c r="J2693" s="8">
        <v>646.38</v>
      </c>
      <c r="K2693" s="8">
        <v>631.65499999999997</v>
      </c>
      <c r="L2693" s="8">
        <v>578.54499999999996</v>
      </c>
      <c r="M2693" s="8">
        <v>512.33199999999999</v>
      </c>
      <c r="N2693" s="8">
        <v>408.82900000000001</v>
      </c>
      <c r="O2693" s="8">
        <v>336.322</v>
      </c>
      <c r="P2693" s="8">
        <v>289.05</v>
      </c>
      <c r="Q2693" s="8">
        <v>268.267</v>
      </c>
      <c r="R2693" s="8">
        <v>253.78299999999999</v>
      </c>
      <c r="S2693" s="8">
        <v>188.04</v>
      </c>
      <c r="T2693" s="8">
        <v>143.21600000000001</v>
      </c>
      <c r="U2693" s="8">
        <v>115.628</v>
      </c>
      <c r="V2693" s="8">
        <v>86.11</v>
      </c>
      <c r="W2693" s="8">
        <v>58.133000000000003</v>
      </c>
      <c r="X2693" s="8">
        <v>35.972999999999999</v>
      </c>
      <c r="Y2693" s="8">
        <v>18.239000000000001</v>
      </c>
      <c r="Z2693" s="8">
        <v>6.8559999999999999</v>
      </c>
      <c r="AA2693" s="8">
        <v>1.7110000000000001</v>
      </c>
      <c r="AB2693" s="8">
        <v>0.29399999999999998</v>
      </c>
      <c r="AC2693" s="8">
        <v>3.1E-2</v>
      </c>
    </row>
    <row r="2694" spans="1:29" ht="11.65" x14ac:dyDescent="0.35">
      <c r="A2694" s="12">
        <v>2677</v>
      </c>
      <c r="B2694" s="10" t="s">
        <v>1015</v>
      </c>
      <c r="C2694" s="11" t="s">
        <v>1202</v>
      </c>
      <c r="D2694" s="9"/>
      <c r="E2694" s="9">
        <v>152</v>
      </c>
      <c r="F2694" s="10" t="s">
        <v>1066</v>
      </c>
      <c r="G2694" s="9">
        <v>931</v>
      </c>
      <c r="H2694" s="9">
        <v>1980</v>
      </c>
      <c r="I2694" s="8">
        <v>656.65300000000002</v>
      </c>
      <c r="J2694" s="8">
        <v>640.16999999999996</v>
      </c>
      <c r="K2694" s="8">
        <v>638.10900000000004</v>
      </c>
      <c r="L2694" s="8">
        <v>620.99800000000005</v>
      </c>
      <c r="M2694" s="8">
        <v>563.30399999999997</v>
      </c>
      <c r="N2694" s="8">
        <v>493.13499999999999</v>
      </c>
      <c r="O2694" s="8">
        <v>390.39100000000002</v>
      </c>
      <c r="P2694" s="8">
        <v>320.41199999999998</v>
      </c>
      <c r="Q2694" s="8">
        <v>274.26900000000001</v>
      </c>
      <c r="R2694" s="8">
        <v>252.453</v>
      </c>
      <c r="S2694" s="8">
        <v>235.67099999999999</v>
      </c>
      <c r="T2694" s="8">
        <v>170.839</v>
      </c>
      <c r="U2694" s="8">
        <v>126.67</v>
      </c>
      <c r="V2694" s="8">
        <v>97.676000000000002</v>
      </c>
      <c r="W2694" s="8">
        <v>67.625</v>
      </c>
      <c r="X2694" s="8">
        <v>40.762999999999998</v>
      </c>
      <c r="Y2694" s="8">
        <v>21.375</v>
      </c>
      <c r="Z2694" s="8">
        <v>8.4339999999999993</v>
      </c>
      <c r="AA2694" s="8">
        <v>2.2549999999999999</v>
      </c>
      <c r="AB2694" s="8">
        <v>0.35699999999999998</v>
      </c>
      <c r="AC2694" s="8">
        <v>3.5999999999999997E-2</v>
      </c>
    </row>
    <row r="2695" spans="1:29" ht="11.65" x14ac:dyDescent="0.35">
      <c r="A2695" s="12">
        <v>2678</v>
      </c>
      <c r="B2695" s="10" t="s">
        <v>1015</v>
      </c>
      <c r="C2695" s="11" t="s">
        <v>1202</v>
      </c>
      <c r="D2695" s="9"/>
      <c r="E2695" s="9">
        <v>152</v>
      </c>
      <c r="F2695" s="10" t="s">
        <v>1066</v>
      </c>
      <c r="G2695" s="9">
        <v>931</v>
      </c>
      <c r="H2695" s="9">
        <v>1985</v>
      </c>
      <c r="I2695" s="8">
        <v>668.17899999999997</v>
      </c>
      <c r="J2695" s="8">
        <v>649.69100000000003</v>
      </c>
      <c r="K2695" s="8">
        <v>632.50199999999995</v>
      </c>
      <c r="L2695" s="8">
        <v>627.92700000000002</v>
      </c>
      <c r="M2695" s="8">
        <v>606.10900000000004</v>
      </c>
      <c r="N2695" s="8">
        <v>544.12400000000002</v>
      </c>
      <c r="O2695" s="8">
        <v>473.86700000000002</v>
      </c>
      <c r="P2695" s="8">
        <v>374.17</v>
      </c>
      <c r="Q2695" s="8">
        <v>306.05799999999999</v>
      </c>
      <c r="R2695" s="8">
        <v>259.56099999999998</v>
      </c>
      <c r="S2695" s="8">
        <v>235.73699999999999</v>
      </c>
      <c r="T2695" s="8">
        <v>216.45</v>
      </c>
      <c r="U2695" s="8">
        <v>152.886</v>
      </c>
      <c r="V2695" s="8">
        <v>108.414</v>
      </c>
      <c r="W2695" s="8">
        <v>77.911000000000001</v>
      </c>
      <c r="X2695" s="8">
        <v>48.384</v>
      </c>
      <c r="Y2695" s="8">
        <v>24.855</v>
      </c>
      <c r="Z2695" s="8">
        <v>10.153</v>
      </c>
      <c r="AA2695" s="8">
        <v>2.8410000000000002</v>
      </c>
      <c r="AB2695" s="8">
        <v>0.47699999999999998</v>
      </c>
      <c r="AC2695" s="8">
        <v>4.4999999999999998E-2</v>
      </c>
    </row>
    <row r="2696" spans="1:29" ht="11.65" x14ac:dyDescent="0.35">
      <c r="A2696" s="12">
        <v>2679</v>
      </c>
      <c r="B2696" s="10" t="s">
        <v>1015</v>
      </c>
      <c r="C2696" s="11" t="s">
        <v>1202</v>
      </c>
      <c r="D2696" s="9"/>
      <c r="E2696" s="9">
        <v>152</v>
      </c>
      <c r="F2696" s="10" t="s">
        <v>1066</v>
      </c>
      <c r="G2696" s="9">
        <v>931</v>
      </c>
      <c r="H2696" s="9">
        <v>1990</v>
      </c>
      <c r="I2696" s="8">
        <v>721.40200000000004</v>
      </c>
      <c r="J2696" s="8">
        <v>664.28300000000002</v>
      </c>
      <c r="K2696" s="8">
        <v>645.83500000000004</v>
      </c>
      <c r="L2696" s="8">
        <v>627.24199999999996</v>
      </c>
      <c r="M2696" s="8">
        <v>619.69000000000005</v>
      </c>
      <c r="N2696" s="8">
        <v>594.923</v>
      </c>
      <c r="O2696" s="8">
        <v>532.18600000000004</v>
      </c>
      <c r="P2696" s="8">
        <v>462.86</v>
      </c>
      <c r="Q2696" s="8">
        <v>364.25700000000001</v>
      </c>
      <c r="R2696" s="8">
        <v>295.67200000000003</v>
      </c>
      <c r="S2696" s="8">
        <v>247.58199999999999</v>
      </c>
      <c r="T2696" s="8">
        <v>220.739</v>
      </c>
      <c r="U2696" s="8">
        <v>197.55500000000001</v>
      </c>
      <c r="V2696" s="8">
        <v>133.56399999999999</v>
      </c>
      <c r="W2696" s="8">
        <v>88.331000000000003</v>
      </c>
      <c r="X2696" s="8">
        <v>57.073</v>
      </c>
      <c r="Y2696" s="8">
        <v>30.285</v>
      </c>
      <c r="Z2696" s="8">
        <v>12.231999999999999</v>
      </c>
      <c r="AA2696" s="8">
        <v>3.5470000000000002</v>
      </c>
      <c r="AB2696" s="8">
        <v>0.621</v>
      </c>
      <c r="AC2696" s="8">
        <v>6.3E-2</v>
      </c>
    </row>
    <row r="2697" spans="1:29" ht="11.65" x14ac:dyDescent="0.35">
      <c r="A2697" s="12">
        <v>2680</v>
      </c>
      <c r="B2697" s="10" t="s">
        <v>1015</v>
      </c>
      <c r="C2697" s="11" t="s">
        <v>1202</v>
      </c>
      <c r="D2697" s="9"/>
      <c r="E2697" s="9">
        <v>152</v>
      </c>
      <c r="F2697" s="10" t="s">
        <v>1066</v>
      </c>
      <c r="G2697" s="9">
        <v>931</v>
      </c>
      <c r="H2697" s="9">
        <v>1995</v>
      </c>
      <c r="I2697" s="8">
        <v>743.08799999999997</v>
      </c>
      <c r="J2697" s="8">
        <v>719.149</v>
      </c>
      <c r="K2697" s="8">
        <v>663.15899999999999</v>
      </c>
      <c r="L2697" s="8">
        <v>643.93499999999995</v>
      </c>
      <c r="M2697" s="8">
        <v>623.46500000000003</v>
      </c>
      <c r="N2697" s="8">
        <v>614.72400000000005</v>
      </c>
      <c r="O2697" s="8">
        <v>589.53300000000002</v>
      </c>
      <c r="P2697" s="8">
        <v>526.31799999999998</v>
      </c>
      <c r="Q2697" s="8">
        <v>456.11</v>
      </c>
      <c r="R2697" s="8">
        <v>356.64699999999999</v>
      </c>
      <c r="S2697" s="8">
        <v>286.51499999999999</v>
      </c>
      <c r="T2697" s="8">
        <v>235.62700000000001</v>
      </c>
      <c r="U2697" s="8">
        <v>204.15799999999999</v>
      </c>
      <c r="V2697" s="8">
        <v>175.423</v>
      </c>
      <c r="W2697" s="8">
        <v>110.343</v>
      </c>
      <c r="X2697" s="8">
        <v>65.701999999999998</v>
      </c>
      <c r="Y2697" s="8">
        <v>36.247</v>
      </c>
      <c r="Z2697" s="8">
        <v>15.433999999999999</v>
      </c>
      <c r="AA2697" s="8">
        <v>4.7539999999999996</v>
      </c>
      <c r="AB2697" s="8">
        <v>0.85699999999999998</v>
      </c>
      <c r="AC2697" s="8">
        <v>8.3000000000000004E-2</v>
      </c>
    </row>
    <row r="2698" spans="1:29" ht="11.65" x14ac:dyDescent="0.35">
      <c r="A2698" s="12">
        <v>2681</v>
      </c>
      <c r="B2698" s="10" t="s">
        <v>1015</v>
      </c>
      <c r="C2698" s="11" t="s">
        <v>1202</v>
      </c>
      <c r="D2698" s="9"/>
      <c r="E2698" s="9">
        <v>152</v>
      </c>
      <c r="F2698" s="10" t="s">
        <v>1066</v>
      </c>
      <c r="G2698" s="9">
        <v>931</v>
      </c>
      <c r="H2698" s="9">
        <v>2000</v>
      </c>
      <c r="I2698" s="8">
        <v>673.84500000000003</v>
      </c>
      <c r="J2698" s="8">
        <v>741.58900000000006</v>
      </c>
      <c r="K2698" s="8">
        <v>718.64800000000002</v>
      </c>
      <c r="L2698" s="8">
        <v>662.09100000000001</v>
      </c>
      <c r="M2698" s="8">
        <v>641.27300000000002</v>
      </c>
      <c r="N2698" s="8">
        <v>620.04399999999998</v>
      </c>
      <c r="O2698" s="8">
        <v>610.69100000000003</v>
      </c>
      <c r="P2698" s="8">
        <v>584.45500000000004</v>
      </c>
      <c r="Q2698" s="8">
        <v>520.10199999999998</v>
      </c>
      <c r="R2698" s="8">
        <v>448.12900000000002</v>
      </c>
      <c r="S2698" s="8">
        <v>347.26499999999999</v>
      </c>
      <c r="T2698" s="8">
        <v>274.39699999999999</v>
      </c>
      <c r="U2698" s="8">
        <v>219.81800000000001</v>
      </c>
      <c r="V2698" s="8">
        <v>183.3</v>
      </c>
      <c r="W2698" s="8">
        <v>147.51900000000001</v>
      </c>
      <c r="X2698" s="8">
        <v>84.561000000000007</v>
      </c>
      <c r="Y2698" s="8">
        <v>43.36</v>
      </c>
      <c r="Z2698" s="8">
        <v>19.481000000000002</v>
      </c>
      <c r="AA2698" s="8">
        <v>6.2569999999999997</v>
      </c>
      <c r="AB2698" s="8">
        <v>1.2130000000000001</v>
      </c>
      <c r="AC2698" s="8">
        <v>0.127</v>
      </c>
    </row>
    <row r="2699" spans="1:29" ht="11.65" x14ac:dyDescent="0.35">
      <c r="A2699" s="12">
        <v>2682</v>
      </c>
      <c r="B2699" s="10" t="s">
        <v>1015</v>
      </c>
      <c r="C2699" s="11" t="s">
        <v>1202</v>
      </c>
      <c r="D2699" s="9"/>
      <c r="E2699" s="9">
        <v>152</v>
      </c>
      <c r="F2699" s="10" t="s">
        <v>1066</v>
      </c>
      <c r="G2699" s="9">
        <v>931</v>
      </c>
      <c r="H2699" s="9">
        <v>2005</v>
      </c>
      <c r="I2699" s="8">
        <v>616.654</v>
      </c>
      <c r="J2699" s="8">
        <v>673.452</v>
      </c>
      <c r="K2699" s="8">
        <v>741.87400000000002</v>
      </c>
      <c r="L2699" s="8">
        <v>718.47799999999995</v>
      </c>
      <c r="M2699" s="8">
        <v>661.3</v>
      </c>
      <c r="N2699" s="8">
        <v>640.01199999999994</v>
      </c>
      <c r="O2699" s="8">
        <v>618.03899999999999</v>
      </c>
      <c r="P2699" s="8">
        <v>607.06299999999999</v>
      </c>
      <c r="Q2699" s="8">
        <v>579.06200000000001</v>
      </c>
      <c r="R2699" s="8">
        <v>512.44500000000005</v>
      </c>
      <c r="S2699" s="8">
        <v>437.76900000000001</v>
      </c>
      <c r="T2699" s="8">
        <v>334.23</v>
      </c>
      <c r="U2699" s="8">
        <v>257.76499999999999</v>
      </c>
      <c r="V2699" s="8">
        <v>199.71100000000001</v>
      </c>
      <c r="W2699" s="8">
        <v>156.64699999999999</v>
      </c>
      <c r="X2699" s="8">
        <v>116.021</v>
      </c>
      <c r="Y2699" s="8">
        <v>57.954999999999998</v>
      </c>
      <c r="Z2699" s="8">
        <v>24.378</v>
      </c>
      <c r="AA2699" s="8">
        <v>8.1620000000000008</v>
      </c>
      <c r="AB2699" s="8">
        <v>1.6619999999999999</v>
      </c>
      <c r="AC2699" s="8">
        <v>0.19600000000000001</v>
      </c>
    </row>
    <row r="2700" spans="1:29" ht="11.65" x14ac:dyDescent="0.35">
      <c r="A2700" s="12">
        <v>2683</v>
      </c>
      <c r="B2700" s="10" t="s">
        <v>1015</v>
      </c>
      <c r="C2700" s="11" t="s">
        <v>1202</v>
      </c>
      <c r="D2700" s="9"/>
      <c r="E2700" s="9">
        <v>152</v>
      </c>
      <c r="F2700" s="10" t="s">
        <v>1066</v>
      </c>
      <c r="G2700" s="9">
        <v>931</v>
      </c>
      <c r="H2700" s="9">
        <v>2010</v>
      </c>
      <c r="I2700" s="8">
        <v>623.61300000000006</v>
      </c>
      <c r="J2700" s="8">
        <v>619.12400000000002</v>
      </c>
      <c r="K2700" s="8">
        <v>675.71199999999999</v>
      </c>
      <c r="L2700" s="8">
        <v>743.75300000000004</v>
      </c>
      <c r="M2700" s="8">
        <v>721.72900000000004</v>
      </c>
      <c r="N2700" s="8">
        <v>665.81100000000004</v>
      </c>
      <c r="O2700" s="8">
        <v>643.27</v>
      </c>
      <c r="P2700" s="8">
        <v>618.46600000000001</v>
      </c>
      <c r="Q2700" s="8">
        <v>604.29899999999998</v>
      </c>
      <c r="R2700" s="8">
        <v>572.702</v>
      </c>
      <c r="S2700" s="8">
        <v>502.26</v>
      </c>
      <c r="T2700" s="8">
        <v>423.30700000000002</v>
      </c>
      <c r="U2700" s="8">
        <v>316.52</v>
      </c>
      <c r="V2700" s="8">
        <v>236.78299999999999</v>
      </c>
      <c r="W2700" s="8">
        <v>173.90899999999999</v>
      </c>
      <c r="X2700" s="8">
        <v>126.086</v>
      </c>
      <c r="Y2700" s="8">
        <v>82.302999999999997</v>
      </c>
      <c r="Z2700" s="8">
        <v>33.884</v>
      </c>
      <c r="AA2700" s="8">
        <v>10.795</v>
      </c>
      <c r="AB2700" s="8">
        <v>2.367</v>
      </c>
      <c r="AC2700" s="8">
        <v>0.308</v>
      </c>
    </row>
    <row r="2701" spans="1:29" ht="11.65" x14ac:dyDescent="0.35">
      <c r="A2701" s="12">
        <v>2684</v>
      </c>
      <c r="B2701" s="10" t="s">
        <v>1015</v>
      </c>
      <c r="C2701" s="11" t="s">
        <v>1202</v>
      </c>
      <c r="D2701" s="9"/>
      <c r="E2701" s="9">
        <v>152</v>
      </c>
      <c r="F2701" s="10" t="s">
        <v>1066</v>
      </c>
      <c r="G2701" s="9">
        <v>931</v>
      </c>
      <c r="H2701" s="9">
        <v>2015</v>
      </c>
      <c r="I2701" s="8">
        <v>632.25900000000001</v>
      </c>
      <c r="J2701" s="8">
        <v>627.125</v>
      </c>
      <c r="K2701" s="8">
        <v>622.12800000000004</v>
      </c>
      <c r="L2701" s="8">
        <v>678.36099999999999</v>
      </c>
      <c r="M2701" s="8">
        <v>749.95799999999997</v>
      </c>
      <c r="N2701" s="8">
        <v>733.072</v>
      </c>
      <c r="O2701" s="8">
        <v>675.71199999999999</v>
      </c>
      <c r="P2701" s="8">
        <v>648.04600000000005</v>
      </c>
      <c r="Q2701" s="8">
        <v>618.16499999999996</v>
      </c>
      <c r="R2701" s="8">
        <v>599.37199999999996</v>
      </c>
      <c r="S2701" s="8">
        <v>562.78599999999994</v>
      </c>
      <c r="T2701" s="8">
        <v>487.46600000000001</v>
      </c>
      <c r="U2701" s="8">
        <v>403.33100000000002</v>
      </c>
      <c r="V2701" s="8">
        <v>293.25099999999998</v>
      </c>
      <c r="W2701" s="8">
        <v>209.31399999999999</v>
      </c>
      <c r="X2701" s="8">
        <v>143.25200000000001</v>
      </c>
      <c r="Y2701" s="8">
        <v>91.914000000000001</v>
      </c>
      <c r="Z2701" s="8">
        <v>49.718000000000004</v>
      </c>
      <c r="AA2701" s="8">
        <v>15.711</v>
      </c>
      <c r="AB2701" s="8">
        <v>3.3660000000000001</v>
      </c>
      <c r="AC2701" s="8">
        <v>0.49299999999999999</v>
      </c>
    </row>
    <row r="2702" spans="1:29" ht="11.65" x14ac:dyDescent="0.35">
      <c r="A2702" s="12">
        <v>2685</v>
      </c>
      <c r="B2702" s="10" t="s">
        <v>1015</v>
      </c>
      <c r="C2702" s="11" t="s">
        <v>1202</v>
      </c>
      <c r="D2702" s="9"/>
      <c r="E2702" s="9">
        <v>152</v>
      </c>
      <c r="F2702" s="10" t="s">
        <v>1066</v>
      </c>
      <c r="G2702" s="9">
        <v>931</v>
      </c>
      <c r="H2702" s="9">
        <v>2020</v>
      </c>
      <c r="I2702" s="8">
        <v>591.86</v>
      </c>
      <c r="J2702" s="8">
        <v>643.99099999999999</v>
      </c>
      <c r="K2702" s="8">
        <v>635.58399999999995</v>
      </c>
      <c r="L2702" s="8">
        <v>632.46100000000001</v>
      </c>
      <c r="M2702" s="8">
        <v>712.07600000000002</v>
      </c>
      <c r="N2702" s="8">
        <v>808.86900000000003</v>
      </c>
      <c r="O2702" s="8">
        <v>785.25300000000004</v>
      </c>
      <c r="P2702" s="8">
        <v>707.03499999999997</v>
      </c>
      <c r="Q2702" s="8">
        <v>663.01900000000001</v>
      </c>
      <c r="R2702" s="8">
        <v>621.476</v>
      </c>
      <c r="S2702" s="8">
        <v>595.30100000000004</v>
      </c>
      <c r="T2702" s="8">
        <v>550.47699999999998</v>
      </c>
      <c r="U2702" s="8">
        <v>467.46100000000001</v>
      </c>
      <c r="V2702" s="8">
        <v>376.58600000000001</v>
      </c>
      <c r="W2702" s="8">
        <v>263.35899999999998</v>
      </c>
      <c r="X2702" s="8">
        <v>175.953</v>
      </c>
      <c r="Y2702" s="8">
        <v>107.532</v>
      </c>
      <c r="Z2702" s="8">
        <v>57.264000000000003</v>
      </c>
      <c r="AA2702" s="8">
        <v>24.091000000000001</v>
      </c>
      <c r="AB2702" s="8">
        <v>5.242</v>
      </c>
      <c r="AC2702" s="8">
        <v>0.77900000000000003</v>
      </c>
    </row>
    <row r="2703" spans="1:29" ht="11.65" x14ac:dyDescent="0.35">
      <c r="A2703" s="12">
        <v>2686</v>
      </c>
      <c r="B2703" s="10" t="s">
        <v>1015</v>
      </c>
      <c r="C2703" s="11" t="s">
        <v>1203</v>
      </c>
      <c r="D2703" s="9"/>
      <c r="E2703" s="9">
        <v>170</v>
      </c>
      <c r="F2703" s="10" t="s">
        <v>1066</v>
      </c>
      <c r="G2703" s="9">
        <v>931</v>
      </c>
      <c r="H2703" s="9">
        <v>1950</v>
      </c>
      <c r="I2703" s="8">
        <v>1063.472</v>
      </c>
      <c r="J2703" s="8">
        <v>846.28800000000001</v>
      </c>
      <c r="K2703" s="8">
        <v>708.49900000000002</v>
      </c>
      <c r="L2703" s="8">
        <v>630.26199999999994</v>
      </c>
      <c r="M2703" s="8">
        <v>541.73</v>
      </c>
      <c r="N2703" s="8">
        <v>446.46899999999999</v>
      </c>
      <c r="O2703" s="8">
        <v>367.72399999999999</v>
      </c>
      <c r="P2703" s="8">
        <v>321.738</v>
      </c>
      <c r="Q2703" s="8">
        <v>256.04700000000003</v>
      </c>
      <c r="R2703" s="8">
        <v>208.31200000000001</v>
      </c>
      <c r="S2703" s="8">
        <v>158.245</v>
      </c>
      <c r="T2703" s="8">
        <v>126.8</v>
      </c>
      <c r="U2703" s="8">
        <v>102.029</v>
      </c>
      <c r="V2703" s="8">
        <v>72.131</v>
      </c>
      <c r="W2703" s="8">
        <v>48.057000000000002</v>
      </c>
      <c r="X2703" s="8">
        <v>33.201000000000001</v>
      </c>
      <c r="Y2703" s="8">
        <v>15.092000000000001</v>
      </c>
      <c r="Z2703" s="8">
        <v>4.1459999999999999</v>
      </c>
      <c r="AA2703" s="8">
        <v>0.86099999999999999</v>
      </c>
      <c r="AB2703" s="8">
        <v>9.8000000000000004E-2</v>
      </c>
      <c r="AC2703" s="8">
        <v>0.01</v>
      </c>
    </row>
    <row r="2704" spans="1:29" ht="11.65" x14ac:dyDescent="0.35">
      <c r="A2704" s="12">
        <v>2687</v>
      </c>
      <c r="B2704" s="10" t="s">
        <v>1015</v>
      </c>
      <c r="C2704" s="11" t="s">
        <v>1203</v>
      </c>
      <c r="D2704" s="9"/>
      <c r="E2704" s="9">
        <v>170</v>
      </c>
      <c r="F2704" s="10" t="s">
        <v>1066</v>
      </c>
      <c r="G2704" s="9">
        <v>931</v>
      </c>
      <c r="H2704" s="9">
        <v>1955</v>
      </c>
      <c r="I2704" s="8">
        <v>1298.252</v>
      </c>
      <c r="J2704" s="8">
        <v>1006.153</v>
      </c>
      <c r="K2704" s="8">
        <v>823.096</v>
      </c>
      <c r="L2704" s="8">
        <v>682.47299999999996</v>
      </c>
      <c r="M2704" s="8">
        <v>595.67600000000004</v>
      </c>
      <c r="N2704" s="8">
        <v>505.25</v>
      </c>
      <c r="O2704" s="8">
        <v>413.72300000000001</v>
      </c>
      <c r="P2704" s="8">
        <v>340.52300000000002</v>
      </c>
      <c r="Q2704" s="8">
        <v>299.00900000000001</v>
      </c>
      <c r="R2704" s="8">
        <v>237.23699999999999</v>
      </c>
      <c r="S2704" s="8">
        <v>190.934</v>
      </c>
      <c r="T2704" s="8">
        <v>141.506</v>
      </c>
      <c r="U2704" s="8">
        <v>108.997</v>
      </c>
      <c r="V2704" s="8">
        <v>82.460999999999999</v>
      </c>
      <c r="W2704" s="8">
        <v>52.658999999999999</v>
      </c>
      <c r="X2704" s="8">
        <v>28.920999999999999</v>
      </c>
      <c r="Y2704" s="8">
        <v>14.781000000000001</v>
      </c>
      <c r="Z2704" s="8">
        <v>4.5449999999999999</v>
      </c>
      <c r="AA2704" s="8">
        <v>0.77900000000000003</v>
      </c>
      <c r="AB2704" s="8">
        <v>0.113</v>
      </c>
      <c r="AC2704" s="8">
        <v>0.01</v>
      </c>
    </row>
    <row r="2705" spans="1:29" ht="11.65" x14ac:dyDescent="0.35">
      <c r="A2705" s="12">
        <v>2688</v>
      </c>
      <c r="B2705" s="10" t="s">
        <v>1015</v>
      </c>
      <c r="C2705" s="11" t="s">
        <v>1203</v>
      </c>
      <c r="D2705" s="9"/>
      <c r="E2705" s="9">
        <v>170</v>
      </c>
      <c r="F2705" s="10" t="s">
        <v>1066</v>
      </c>
      <c r="G2705" s="9">
        <v>931</v>
      </c>
      <c r="H2705" s="9">
        <v>1960</v>
      </c>
      <c r="I2705" s="8">
        <v>1545.5260000000001</v>
      </c>
      <c r="J2705" s="8">
        <v>1240.152</v>
      </c>
      <c r="K2705" s="8">
        <v>983.36099999999999</v>
      </c>
      <c r="L2705" s="8">
        <v>797.73800000000006</v>
      </c>
      <c r="M2705" s="8">
        <v>648.80999999999995</v>
      </c>
      <c r="N2705" s="8">
        <v>558.79499999999996</v>
      </c>
      <c r="O2705" s="8">
        <v>471.46300000000002</v>
      </c>
      <c r="P2705" s="8">
        <v>385.80700000000002</v>
      </c>
      <c r="Q2705" s="8">
        <v>318.42399999999998</v>
      </c>
      <c r="R2705" s="8">
        <v>280.11399999999998</v>
      </c>
      <c r="S2705" s="8">
        <v>220.04300000000001</v>
      </c>
      <c r="T2705" s="8">
        <v>172.94200000000001</v>
      </c>
      <c r="U2705" s="8">
        <v>123.217</v>
      </c>
      <c r="V2705" s="8">
        <v>89.313999999999993</v>
      </c>
      <c r="W2705" s="8">
        <v>61.497</v>
      </c>
      <c r="X2705" s="8">
        <v>33.281999999999996</v>
      </c>
      <c r="Y2705" s="8">
        <v>14.569000000000001</v>
      </c>
      <c r="Z2705" s="8">
        <v>5.766</v>
      </c>
      <c r="AA2705" s="8">
        <v>1.2490000000000001</v>
      </c>
      <c r="AB2705" s="8">
        <v>0.13600000000000001</v>
      </c>
      <c r="AC2705" s="8">
        <v>1.0999999999999999E-2</v>
      </c>
    </row>
    <row r="2706" spans="1:29" ht="11.65" x14ac:dyDescent="0.35">
      <c r="A2706" s="12">
        <v>2689</v>
      </c>
      <c r="B2706" s="10" t="s">
        <v>1015</v>
      </c>
      <c r="C2706" s="11" t="s">
        <v>1203</v>
      </c>
      <c r="D2706" s="9"/>
      <c r="E2706" s="9">
        <v>170</v>
      </c>
      <c r="F2706" s="10" t="s">
        <v>1066</v>
      </c>
      <c r="G2706" s="9">
        <v>931</v>
      </c>
      <c r="H2706" s="9">
        <v>1965</v>
      </c>
      <c r="I2706" s="8">
        <v>1779.9690000000001</v>
      </c>
      <c r="J2706" s="8">
        <v>1484.98</v>
      </c>
      <c r="K2706" s="8">
        <v>1215.143</v>
      </c>
      <c r="L2706" s="8">
        <v>954.67200000000003</v>
      </c>
      <c r="M2706" s="8">
        <v>757.58299999999997</v>
      </c>
      <c r="N2706" s="8">
        <v>606.32100000000003</v>
      </c>
      <c r="O2706" s="8">
        <v>521.31600000000003</v>
      </c>
      <c r="P2706" s="8">
        <v>442.29500000000002</v>
      </c>
      <c r="Q2706" s="8">
        <v>362.60399999999998</v>
      </c>
      <c r="R2706" s="8">
        <v>298.88900000000001</v>
      </c>
      <c r="S2706" s="8">
        <v>261.20800000000003</v>
      </c>
      <c r="T2706" s="8">
        <v>200.405</v>
      </c>
      <c r="U2706" s="8">
        <v>151.64099999999999</v>
      </c>
      <c r="V2706" s="8">
        <v>101.639</v>
      </c>
      <c r="W2706" s="8">
        <v>67.257000000000005</v>
      </c>
      <c r="X2706" s="8">
        <v>39.808999999999997</v>
      </c>
      <c r="Y2706" s="8">
        <v>17.73</v>
      </c>
      <c r="Z2706" s="8">
        <v>6.3680000000000003</v>
      </c>
      <c r="AA2706" s="8">
        <v>1.8720000000000001</v>
      </c>
      <c r="AB2706" s="8">
        <v>0.253</v>
      </c>
      <c r="AC2706" s="8">
        <v>1.4999999999999999E-2</v>
      </c>
    </row>
    <row r="2707" spans="1:29" ht="11.65" x14ac:dyDescent="0.35">
      <c r="A2707" s="12">
        <v>2690</v>
      </c>
      <c r="B2707" s="10" t="s">
        <v>1015</v>
      </c>
      <c r="C2707" s="11" t="s">
        <v>1203</v>
      </c>
      <c r="D2707" s="9"/>
      <c r="E2707" s="9">
        <v>170</v>
      </c>
      <c r="F2707" s="10" t="s">
        <v>1066</v>
      </c>
      <c r="G2707" s="9">
        <v>931</v>
      </c>
      <c r="H2707" s="9">
        <v>1970</v>
      </c>
      <c r="I2707" s="8">
        <v>1849.6559999999999</v>
      </c>
      <c r="J2707" s="8">
        <v>1720.0060000000001</v>
      </c>
      <c r="K2707" s="8">
        <v>1446.0429999999999</v>
      </c>
      <c r="L2707" s="8">
        <v>1170.895</v>
      </c>
      <c r="M2707" s="8">
        <v>900.14800000000002</v>
      </c>
      <c r="N2707" s="8">
        <v>708.11500000000001</v>
      </c>
      <c r="O2707" s="8">
        <v>581.74300000000005</v>
      </c>
      <c r="P2707" s="8">
        <v>501.59199999999998</v>
      </c>
      <c r="Q2707" s="8">
        <v>427.78399999999999</v>
      </c>
      <c r="R2707" s="8">
        <v>347.86500000000001</v>
      </c>
      <c r="S2707" s="8">
        <v>282.726</v>
      </c>
      <c r="T2707" s="8">
        <v>240.471</v>
      </c>
      <c r="U2707" s="8">
        <v>178.08699999999999</v>
      </c>
      <c r="V2707" s="8">
        <v>127.377</v>
      </c>
      <c r="W2707" s="8">
        <v>78.096000000000004</v>
      </c>
      <c r="X2707" s="8">
        <v>44.920999999999999</v>
      </c>
      <c r="Y2707" s="8">
        <v>22.306999999999999</v>
      </c>
      <c r="Z2707" s="8">
        <v>8.3109999999999999</v>
      </c>
      <c r="AA2707" s="8">
        <v>2.2919999999999998</v>
      </c>
      <c r="AB2707" s="8">
        <v>0.41799999999999998</v>
      </c>
      <c r="AC2707" s="8">
        <v>2.9000000000000001E-2</v>
      </c>
    </row>
    <row r="2708" spans="1:29" ht="11.65" x14ac:dyDescent="0.35">
      <c r="A2708" s="12">
        <v>2691</v>
      </c>
      <c r="B2708" s="10" t="s">
        <v>1015</v>
      </c>
      <c r="C2708" s="11" t="s">
        <v>1203</v>
      </c>
      <c r="D2708" s="9"/>
      <c r="E2708" s="9">
        <v>170</v>
      </c>
      <c r="F2708" s="10" t="s">
        <v>1066</v>
      </c>
      <c r="G2708" s="9">
        <v>931</v>
      </c>
      <c r="H2708" s="9">
        <v>1975</v>
      </c>
      <c r="I2708" s="8">
        <v>1795.3810000000001</v>
      </c>
      <c r="J2708" s="8">
        <v>1790.5029999999999</v>
      </c>
      <c r="K2708" s="8">
        <v>1696.35</v>
      </c>
      <c r="L2708" s="8">
        <v>1404.049</v>
      </c>
      <c r="M2708" s="8">
        <v>1115.2059999999999</v>
      </c>
      <c r="N2708" s="8">
        <v>840.42499999999995</v>
      </c>
      <c r="O2708" s="8">
        <v>655.95899999999995</v>
      </c>
      <c r="P2708" s="8">
        <v>562.79600000000005</v>
      </c>
      <c r="Q2708" s="8">
        <v>485.17200000000003</v>
      </c>
      <c r="R2708" s="8">
        <v>408.49400000000003</v>
      </c>
      <c r="S2708" s="8">
        <v>326.976</v>
      </c>
      <c r="T2708" s="8">
        <v>260.649</v>
      </c>
      <c r="U2708" s="8">
        <v>214.57400000000001</v>
      </c>
      <c r="V2708" s="8">
        <v>150.351</v>
      </c>
      <c r="W2708" s="8">
        <v>99.188000000000002</v>
      </c>
      <c r="X2708" s="8">
        <v>53.713000000000001</v>
      </c>
      <c r="Y2708" s="8">
        <v>26.055</v>
      </c>
      <c r="Z2708" s="8">
        <v>10.861000000000001</v>
      </c>
      <c r="AA2708" s="8">
        <v>3.2090000000000001</v>
      </c>
      <c r="AB2708" s="8">
        <v>0.55500000000000005</v>
      </c>
      <c r="AC2708" s="8">
        <v>0.05</v>
      </c>
    </row>
    <row r="2709" spans="1:29" ht="11.65" x14ac:dyDescent="0.35">
      <c r="A2709" s="12">
        <v>2692</v>
      </c>
      <c r="B2709" s="10" t="s">
        <v>1015</v>
      </c>
      <c r="C2709" s="11" t="s">
        <v>1203</v>
      </c>
      <c r="D2709" s="9"/>
      <c r="E2709" s="9">
        <v>170</v>
      </c>
      <c r="F2709" s="10" t="s">
        <v>1066</v>
      </c>
      <c r="G2709" s="9">
        <v>931</v>
      </c>
      <c r="H2709" s="9">
        <v>1980</v>
      </c>
      <c r="I2709" s="8">
        <v>1961.915</v>
      </c>
      <c r="J2709" s="8">
        <v>1753.29</v>
      </c>
      <c r="K2709" s="8">
        <v>1743.2840000000001</v>
      </c>
      <c r="L2709" s="8">
        <v>1636.88</v>
      </c>
      <c r="M2709" s="8">
        <v>1334.3389999999999</v>
      </c>
      <c r="N2709" s="8">
        <v>1063.0250000000001</v>
      </c>
      <c r="O2709" s="8">
        <v>822.03399999999999</v>
      </c>
      <c r="P2709" s="8">
        <v>635.71299999999997</v>
      </c>
      <c r="Q2709" s="8">
        <v>540.26199999999994</v>
      </c>
      <c r="R2709" s="8">
        <v>466.94099999999997</v>
      </c>
      <c r="S2709" s="8">
        <v>388.19299999999998</v>
      </c>
      <c r="T2709" s="8">
        <v>304.70100000000002</v>
      </c>
      <c r="U2709" s="8">
        <v>235.346</v>
      </c>
      <c r="V2709" s="8">
        <v>184.38800000000001</v>
      </c>
      <c r="W2709" s="8">
        <v>119.98099999999999</v>
      </c>
      <c r="X2709" s="8">
        <v>70.62</v>
      </c>
      <c r="Y2709" s="8">
        <v>32.426000000000002</v>
      </c>
      <c r="Z2709" s="8">
        <v>12.933999999999999</v>
      </c>
      <c r="AA2709" s="8">
        <v>4.2539999999999996</v>
      </c>
      <c r="AB2709" s="8">
        <v>0.80200000000000005</v>
      </c>
      <c r="AC2709" s="8">
        <v>7.1999999999999995E-2</v>
      </c>
    </row>
    <row r="2710" spans="1:29" ht="11.65" x14ac:dyDescent="0.35">
      <c r="A2710" s="12">
        <v>2693</v>
      </c>
      <c r="B2710" s="10" t="s">
        <v>1015</v>
      </c>
      <c r="C2710" s="11" t="s">
        <v>1203</v>
      </c>
      <c r="D2710" s="9"/>
      <c r="E2710" s="9">
        <v>170</v>
      </c>
      <c r="F2710" s="10" t="s">
        <v>1066</v>
      </c>
      <c r="G2710" s="9">
        <v>931</v>
      </c>
      <c r="H2710" s="9">
        <v>1985</v>
      </c>
      <c r="I2710" s="8">
        <v>2063.3510000000001</v>
      </c>
      <c r="J2710" s="8">
        <v>1920.768</v>
      </c>
      <c r="K2710" s="8">
        <v>1721.4970000000001</v>
      </c>
      <c r="L2710" s="8">
        <v>1697.5830000000001</v>
      </c>
      <c r="M2710" s="8">
        <v>1564.8920000000001</v>
      </c>
      <c r="N2710" s="8">
        <v>1250.8910000000001</v>
      </c>
      <c r="O2710" s="8">
        <v>1034.174</v>
      </c>
      <c r="P2710" s="8">
        <v>801.61199999999997</v>
      </c>
      <c r="Q2710" s="8">
        <v>618.18499999999995</v>
      </c>
      <c r="R2710" s="8">
        <v>523.82899999999995</v>
      </c>
      <c r="S2710" s="8">
        <v>447.69299999999998</v>
      </c>
      <c r="T2710" s="8">
        <v>364.99900000000002</v>
      </c>
      <c r="U2710" s="8">
        <v>278.28500000000003</v>
      </c>
      <c r="V2710" s="8">
        <v>205.376</v>
      </c>
      <c r="W2710" s="8">
        <v>149.21899999999999</v>
      </c>
      <c r="X2710" s="8">
        <v>87.632999999999996</v>
      </c>
      <c r="Y2710" s="8">
        <v>44.368000000000002</v>
      </c>
      <c r="Z2710" s="8">
        <v>16.626999999999999</v>
      </c>
      <c r="AA2710" s="8">
        <v>5.1319999999999997</v>
      </c>
      <c r="AB2710" s="8">
        <v>1.0960000000000001</v>
      </c>
      <c r="AC2710" s="8">
        <v>0.10100000000000001</v>
      </c>
    </row>
    <row r="2711" spans="1:29" ht="11.65" x14ac:dyDescent="0.35">
      <c r="A2711" s="12">
        <v>2694</v>
      </c>
      <c r="B2711" s="10" t="s">
        <v>1015</v>
      </c>
      <c r="C2711" s="11" t="s">
        <v>1203</v>
      </c>
      <c r="D2711" s="9"/>
      <c r="E2711" s="9">
        <v>170</v>
      </c>
      <c r="F2711" s="10" t="s">
        <v>1066</v>
      </c>
      <c r="G2711" s="9">
        <v>931</v>
      </c>
      <c r="H2711" s="9">
        <v>1990</v>
      </c>
      <c r="I2711" s="8">
        <v>2141.2080000000001</v>
      </c>
      <c r="J2711" s="8">
        <v>2031.903</v>
      </c>
      <c r="K2711" s="8">
        <v>1889.778</v>
      </c>
      <c r="L2711" s="8">
        <v>1681.02</v>
      </c>
      <c r="M2711" s="8">
        <v>1634.62</v>
      </c>
      <c r="N2711" s="8">
        <v>1489.366</v>
      </c>
      <c r="O2711" s="8">
        <v>1182.7929999999999</v>
      </c>
      <c r="P2711" s="8">
        <v>1006.758</v>
      </c>
      <c r="Q2711" s="8">
        <v>780.33600000000001</v>
      </c>
      <c r="R2711" s="8">
        <v>599.63800000000003</v>
      </c>
      <c r="S2711" s="8">
        <v>504.01499999999999</v>
      </c>
      <c r="T2711" s="8">
        <v>422.94099999999997</v>
      </c>
      <c r="U2711" s="8">
        <v>335.93900000000002</v>
      </c>
      <c r="V2711" s="8">
        <v>245.54</v>
      </c>
      <c r="W2711" s="8">
        <v>169.428</v>
      </c>
      <c r="X2711" s="8">
        <v>111.761</v>
      </c>
      <c r="Y2711" s="8">
        <v>56.874000000000002</v>
      </c>
      <c r="Z2711" s="8">
        <v>23.19</v>
      </c>
      <c r="AA2711" s="8">
        <v>6.6849999999999996</v>
      </c>
      <c r="AB2711" s="8">
        <v>1.369</v>
      </c>
      <c r="AC2711" s="8">
        <v>0.14399999999999999</v>
      </c>
    </row>
    <row r="2712" spans="1:29" ht="11.65" x14ac:dyDescent="0.35">
      <c r="A2712" s="12">
        <v>2695</v>
      </c>
      <c r="B2712" s="10" t="s">
        <v>1015</v>
      </c>
      <c r="C2712" s="11" t="s">
        <v>1203</v>
      </c>
      <c r="D2712" s="9"/>
      <c r="E2712" s="9">
        <v>170</v>
      </c>
      <c r="F2712" s="10" t="s">
        <v>1066</v>
      </c>
      <c r="G2712" s="9">
        <v>931</v>
      </c>
      <c r="H2712" s="9">
        <v>1995</v>
      </c>
      <c r="I2712" s="8">
        <v>2267.2170000000001</v>
      </c>
      <c r="J2712" s="8">
        <v>2118.819</v>
      </c>
      <c r="K2712" s="8">
        <v>2021.259</v>
      </c>
      <c r="L2712" s="8">
        <v>1849.4780000000001</v>
      </c>
      <c r="M2712" s="8">
        <v>1613.65</v>
      </c>
      <c r="N2712" s="8">
        <v>1558.566</v>
      </c>
      <c r="O2712" s="8">
        <v>1421.8240000000001</v>
      </c>
      <c r="P2712" s="8">
        <v>1130.181</v>
      </c>
      <c r="Q2712" s="8">
        <v>968.34699999999998</v>
      </c>
      <c r="R2712" s="8">
        <v>752.79700000000003</v>
      </c>
      <c r="S2712" s="8">
        <v>575.62900000000002</v>
      </c>
      <c r="T2712" s="8">
        <v>476.23500000000001</v>
      </c>
      <c r="U2712" s="8">
        <v>391.24</v>
      </c>
      <c r="V2712" s="8">
        <v>298.834</v>
      </c>
      <c r="W2712" s="8">
        <v>205.35499999999999</v>
      </c>
      <c r="X2712" s="8">
        <v>129.74700000000001</v>
      </c>
      <c r="Y2712" s="8">
        <v>74.491</v>
      </c>
      <c r="Z2712" s="8">
        <v>30.556999999999999</v>
      </c>
      <c r="AA2712" s="8">
        <v>9.7479999999999993</v>
      </c>
      <c r="AB2712" s="8">
        <v>1.8879999999999999</v>
      </c>
      <c r="AC2712" s="8">
        <v>0.189</v>
      </c>
    </row>
    <row r="2713" spans="1:29" ht="11.65" x14ac:dyDescent="0.35">
      <c r="A2713" s="12">
        <v>2696</v>
      </c>
      <c r="B2713" s="10" t="s">
        <v>1015</v>
      </c>
      <c r="C2713" s="11" t="s">
        <v>1203</v>
      </c>
      <c r="D2713" s="9"/>
      <c r="E2713" s="9">
        <v>170</v>
      </c>
      <c r="F2713" s="10" t="s">
        <v>1066</v>
      </c>
      <c r="G2713" s="9">
        <v>931</v>
      </c>
      <c r="H2713" s="9">
        <v>2000</v>
      </c>
      <c r="I2713" s="8">
        <v>2224.8969999999999</v>
      </c>
      <c r="J2713" s="8">
        <v>2254.0509999999999</v>
      </c>
      <c r="K2713" s="8">
        <v>2110.6120000000001</v>
      </c>
      <c r="L2713" s="8">
        <v>1979.7249999999999</v>
      </c>
      <c r="M2713" s="8">
        <v>1783.104</v>
      </c>
      <c r="N2713" s="8">
        <v>1542.521</v>
      </c>
      <c r="O2713" s="8">
        <v>1492.376</v>
      </c>
      <c r="P2713" s="8">
        <v>1369.348</v>
      </c>
      <c r="Q2713" s="8">
        <v>1093.4970000000001</v>
      </c>
      <c r="R2713" s="8">
        <v>939.24900000000002</v>
      </c>
      <c r="S2713" s="8">
        <v>726.66899999999998</v>
      </c>
      <c r="T2713" s="8">
        <v>547.65800000000002</v>
      </c>
      <c r="U2713" s="8">
        <v>445.05599999999998</v>
      </c>
      <c r="V2713" s="8">
        <v>353.48399999999998</v>
      </c>
      <c r="W2713" s="8">
        <v>255.48599999999999</v>
      </c>
      <c r="X2713" s="8">
        <v>162.334</v>
      </c>
      <c r="Y2713" s="8">
        <v>89.492000000000004</v>
      </c>
      <c r="Z2713" s="8">
        <v>41.146000000000001</v>
      </c>
      <c r="AA2713" s="8">
        <v>13.433999999999999</v>
      </c>
      <c r="AB2713" s="8">
        <v>2.9</v>
      </c>
      <c r="AC2713" s="8">
        <v>0.26800000000000002</v>
      </c>
    </row>
    <row r="2714" spans="1:29" ht="11.65" x14ac:dyDescent="0.35">
      <c r="A2714" s="12">
        <v>2697</v>
      </c>
      <c r="B2714" s="10" t="s">
        <v>1015</v>
      </c>
      <c r="C2714" s="11" t="s">
        <v>1203</v>
      </c>
      <c r="D2714" s="9"/>
      <c r="E2714" s="9">
        <v>170</v>
      </c>
      <c r="F2714" s="10" t="s">
        <v>1066</v>
      </c>
      <c r="G2714" s="9">
        <v>931</v>
      </c>
      <c r="H2714" s="9">
        <v>2005</v>
      </c>
      <c r="I2714" s="8">
        <v>2149.9259999999999</v>
      </c>
      <c r="J2714" s="8">
        <v>2212.1329999999998</v>
      </c>
      <c r="K2714" s="8">
        <v>2241.6129999999998</v>
      </c>
      <c r="L2714" s="8">
        <v>2082.3020000000001</v>
      </c>
      <c r="M2714" s="8">
        <v>1923.595</v>
      </c>
      <c r="N2714" s="8">
        <v>1721.5139999999999</v>
      </c>
      <c r="O2714" s="8">
        <v>1488.846</v>
      </c>
      <c r="P2714" s="8">
        <v>1447.5170000000001</v>
      </c>
      <c r="Q2714" s="8">
        <v>1335.0809999999999</v>
      </c>
      <c r="R2714" s="8">
        <v>1067.7670000000001</v>
      </c>
      <c r="S2714" s="8">
        <v>912.7</v>
      </c>
      <c r="T2714" s="8">
        <v>696.24300000000005</v>
      </c>
      <c r="U2714" s="8">
        <v>515.46</v>
      </c>
      <c r="V2714" s="8">
        <v>405.49299999999999</v>
      </c>
      <c r="W2714" s="8">
        <v>306.12099999999998</v>
      </c>
      <c r="X2714" s="8">
        <v>205.87299999999999</v>
      </c>
      <c r="Y2714" s="8">
        <v>114.666</v>
      </c>
      <c r="Z2714" s="8">
        <v>50.77</v>
      </c>
      <c r="AA2714" s="8">
        <v>18.856000000000002</v>
      </c>
      <c r="AB2714" s="8">
        <v>4.194</v>
      </c>
      <c r="AC2714" s="8">
        <v>0.42199999999999999</v>
      </c>
    </row>
    <row r="2715" spans="1:29" ht="11.65" x14ac:dyDescent="0.35">
      <c r="A2715" s="12">
        <v>2698</v>
      </c>
      <c r="B2715" s="10" t="s">
        <v>1015</v>
      </c>
      <c r="C2715" s="11" t="s">
        <v>1203</v>
      </c>
      <c r="D2715" s="9"/>
      <c r="E2715" s="9">
        <v>170</v>
      </c>
      <c r="F2715" s="10" t="s">
        <v>1066</v>
      </c>
      <c r="G2715" s="9">
        <v>931</v>
      </c>
      <c r="H2715" s="9">
        <v>2010</v>
      </c>
      <c r="I2715" s="8">
        <v>1959.8130000000001</v>
      </c>
      <c r="J2715" s="8">
        <v>2140.3049999999998</v>
      </c>
      <c r="K2715" s="8">
        <v>2198.5320000000002</v>
      </c>
      <c r="L2715" s="8">
        <v>2217.3209999999999</v>
      </c>
      <c r="M2715" s="8">
        <v>2036.172</v>
      </c>
      <c r="N2715" s="8">
        <v>1868.973</v>
      </c>
      <c r="O2715" s="8">
        <v>1674.4059999999999</v>
      </c>
      <c r="P2715" s="8">
        <v>1452.63</v>
      </c>
      <c r="Q2715" s="8">
        <v>1415.681</v>
      </c>
      <c r="R2715" s="8">
        <v>1305.846</v>
      </c>
      <c r="S2715" s="8">
        <v>1038.5809999999999</v>
      </c>
      <c r="T2715" s="8">
        <v>877.08600000000001</v>
      </c>
      <c r="U2715" s="8">
        <v>656.59900000000005</v>
      </c>
      <c r="V2715" s="8">
        <v>471.137</v>
      </c>
      <c r="W2715" s="8">
        <v>353.20400000000001</v>
      </c>
      <c r="X2715" s="8">
        <v>248.08600000000001</v>
      </c>
      <c r="Y2715" s="8">
        <v>147.53800000000001</v>
      </c>
      <c r="Z2715" s="8">
        <v>66.77</v>
      </c>
      <c r="AA2715" s="8">
        <v>24.184000000000001</v>
      </c>
      <c r="AB2715" s="8">
        <v>6.1539999999999999</v>
      </c>
      <c r="AC2715" s="8">
        <v>0.64</v>
      </c>
    </row>
    <row r="2716" spans="1:29" ht="11.65" x14ac:dyDescent="0.35">
      <c r="A2716" s="12">
        <v>2699</v>
      </c>
      <c r="B2716" s="10" t="s">
        <v>1015</v>
      </c>
      <c r="C2716" s="11" t="s">
        <v>1203</v>
      </c>
      <c r="D2716" s="9"/>
      <c r="E2716" s="9">
        <v>170</v>
      </c>
      <c r="F2716" s="10" t="s">
        <v>1066</v>
      </c>
      <c r="G2716" s="9">
        <v>931</v>
      </c>
      <c r="H2716" s="9">
        <v>2015</v>
      </c>
      <c r="I2716" s="8">
        <v>1876.9690000000001</v>
      </c>
      <c r="J2716" s="8">
        <v>1951.394</v>
      </c>
      <c r="K2716" s="8">
        <v>2128.8829999999998</v>
      </c>
      <c r="L2716" s="8">
        <v>2177.9279999999999</v>
      </c>
      <c r="M2716" s="8">
        <v>2176.3020000000001</v>
      </c>
      <c r="N2716" s="8">
        <v>1986.1379999999999</v>
      </c>
      <c r="O2716" s="8">
        <v>1824.393</v>
      </c>
      <c r="P2716" s="8">
        <v>1636.9690000000001</v>
      </c>
      <c r="Q2716" s="8">
        <v>1422.125</v>
      </c>
      <c r="R2716" s="8">
        <v>1386.636</v>
      </c>
      <c r="S2716" s="8">
        <v>1271.8889999999999</v>
      </c>
      <c r="T2716" s="8">
        <v>999.70799999999997</v>
      </c>
      <c r="U2716" s="8">
        <v>829.60500000000002</v>
      </c>
      <c r="V2716" s="8">
        <v>603.24199999999996</v>
      </c>
      <c r="W2716" s="8">
        <v>413.87099999999998</v>
      </c>
      <c r="X2716" s="8">
        <v>290.06599999999997</v>
      </c>
      <c r="Y2716" s="8">
        <v>181.92400000000001</v>
      </c>
      <c r="Z2716" s="8">
        <v>88.591999999999999</v>
      </c>
      <c r="AA2716" s="8">
        <v>32.951999999999998</v>
      </c>
      <c r="AB2716" s="8">
        <v>8.2260000000000009</v>
      </c>
      <c r="AC2716" s="8">
        <v>0.96899999999999997</v>
      </c>
    </row>
    <row r="2717" spans="1:29" ht="11.65" x14ac:dyDescent="0.35">
      <c r="A2717" s="12">
        <v>2700</v>
      </c>
      <c r="B2717" s="10" t="s">
        <v>1015</v>
      </c>
      <c r="C2717" s="11" t="s">
        <v>1203</v>
      </c>
      <c r="D2717" s="9"/>
      <c r="E2717" s="9">
        <v>170</v>
      </c>
      <c r="F2717" s="10" t="s">
        <v>1066</v>
      </c>
      <c r="G2717" s="9">
        <v>931</v>
      </c>
      <c r="H2717" s="9">
        <v>2020</v>
      </c>
      <c r="I2717" s="8">
        <v>1898.922</v>
      </c>
      <c r="J2717" s="8">
        <v>1893.684</v>
      </c>
      <c r="K2717" s="8">
        <v>1978.788</v>
      </c>
      <c r="L2717" s="8">
        <v>2166.8220000000001</v>
      </c>
      <c r="M2717" s="8">
        <v>2246.5680000000002</v>
      </c>
      <c r="N2717" s="8">
        <v>2235.0079999999998</v>
      </c>
      <c r="O2717" s="8">
        <v>2032.1110000000001</v>
      </c>
      <c r="P2717" s="8">
        <v>1850.248</v>
      </c>
      <c r="Q2717" s="8">
        <v>1647.7860000000001</v>
      </c>
      <c r="R2717" s="8">
        <v>1422.231</v>
      </c>
      <c r="S2717" s="8">
        <v>1371.075</v>
      </c>
      <c r="T2717" s="8">
        <v>1239.798</v>
      </c>
      <c r="U2717" s="8">
        <v>957.01900000000001</v>
      </c>
      <c r="V2717" s="8">
        <v>771.77099999999996</v>
      </c>
      <c r="W2717" s="8">
        <v>537.85599999999999</v>
      </c>
      <c r="X2717" s="8">
        <v>346.35599999999999</v>
      </c>
      <c r="Y2717" s="8">
        <v>218.26900000000001</v>
      </c>
      <c r="Z2717" s="8">
        <v>112.047</v>
      </c>
      <c r="AA2717" s="8">
        <v>45.207999999999998</v>
      </c>
      <c r="AB2717" s="8">
        <v>11.65</v>
      </c>
      <c r="AC2717" s="8">
        <v>1.347</v>
      </c>
    </row>
    <row r="2718" spans="1:29" ht="11.65" x14ac:dyDescent="0.35">
      <c r="A2718" s="12">
        <v>2701</v>
      </c>
      <c r="B2718" s="10" t="s">
        <v>1015</v>
      </c>
      <c r="C2718" s="11" t="s">
        <v>1204</v>
      </c>
      <c r="D2718" s="9"/>
      <c r="E2718" s="9">
        <v>218</v>
      </c>
      <c r="F2718" s="10" t="s">
        <v>1066</v>
      </c>
      <c r="G2718" s="9">
        <v>931</v>
      </c>
      <c r="H2718" s="9">
        <v>1950</v>
      </c>
      <c r="I2718" s="8">
        <v>274.99700000000001</v>
      </c>
      <c r="J2718" s="8">
        <v>230.57900000000001</v>
      </c>
      <c r="K2718" s="8">
        <v>192.48099999999999</v>
      </c>
      <c r="L2718" s="8">
        <v>166.22499999999999</v>
      </c>
      <c r="M2718" s="8">
        <v>142.84</v>
      </c>
      <c r="N2718" s="8">
        <v>121.105</v>
      </c>
      <c r="O2718" s="8">
        <v>104.574</v>
      </c>
      <c r="P2718" s="8">
        <v>96.57</v>
      </c>
      <c r="Q2718" s="8">
        <v>80.759</v>
      </c>
      <c r="R2718" s="8">
        <v>70.784000000000006</v>
      </c>
      <c r="S2718" s="8">
        <v>61.988999999999997</v>
      </c>
      <c r="T2718" s="8">
        <v>54.777000000000001</v>
      </c>
      <c r="U2718" s="8">
        <v>46.012999999999998</v>
      </c>
      <c r="V2718" s="8">
        <v>35.722000000000001</v>
      </c>
      <c r="W2718" s="8">
        <v>24.06</v>
      </c>
      <c r="X2718" s="8">
        <v>13.281000000000001</v>
      </c>
      <c r="Y2718" s="8">
        <v>3.0030000000000001</v>
      </c>
      <c r="Z2718" s="8">
        <v>2.363</v>
      </c>
      <c r="AA2718" s="8">
        <v>1.5669999999999999</v>
      </c>
      <c r="AB2718" s="8">
        <v>0.79900000000000004</v>
      </c>
      <c r="AC2718" s="8">
        <v>0.14099999999999999</v>
      </c>
    </row>
    <row r="2719" spans="1:29" ht="11.65" x14ac:dyDescent="0.35">
      <c r="A2719" s="12">
        <v>2702</v>
      </c>
      <c r="B2719" s="10" t="s">
        <v>1015</v>
      </c>
      <c r="C2719" s="11" t="s">
        <v>1204</v>
      </c>
      <c r="D2719" s="9"/>
      <c r="E2719" s="9">
        <v>218</v>
      </c>
      <c r="F2719" s="10" t="s">
        <v>1066</v>
      </c>
      <c r="G2719" s="9">
        <v>931</v>
      </c>
      <c r="H2719" s="9">
        <v>1955</v>
      </c>
      <c r="I2719" s="8">
        <v>357.42700000000002</v>
      </c>
      <c r="J2719" s="8">
        <v>257.29300000000001</v>
      </c>
      <c r="K2719" s="8">
        <v>225.14</v>
      </c>
      <c r="L2719" s="8">
        <v>188.965</v>
      </c>
      <c r="M2719" s="8">
        <v>162.59399999999999</v>
      </c>
      <c r="N2719" s="8">
        <v>138.85599999999999</v>
      </c>
      <c r="O2719" s="8">
        <v>117.002</v>
      </c>
      <c r="P2719" s="8">
        <v>100.464</v>
      </c>
      <c r="Q2719" s="8">
        <v>92.213999999999999</v>
      </c>
      <c r="R2719" s="8">
        <v>76.424000000000007</v>
      </c>
      <c r="S2719" s="8">
        <v>65.992999999999995</v>
      </c>
      <c r="T2719" s="8">
        <v>56.356000000000002</v>
      </c>
      <c r="U2719" s="8">
        <v>47.768000000000001</v>
      </c>
      <c r="V2719" s="8">
        <v>37.491</v>
      </c>
      <c r="W2719" s="8">
        <v>26.111999999999998</v>
      </c>
      <c r="X2719" s="8">
        <v>14.837</v>
      </c>
      <c r="Y2719" s="8">
        <v>6.3170000000000002</v>
      </c>
      <c r="Z2719" s="8">
        <v>0.97199999999999998</v>
      </c>
      <c r="AA2719" s="8">
        <v>0.441</v>
      </c>
      <c r="AB2719" s="8">
        <v>0.13300000000000001</v>
      </c>
      <c r="AC2719" s="8">
        <v>1.4999999999999999E-2</v>
      </c>
    </row>
    <row r="2720" spans="1:29" ht="11.65" x14ac:dyDescent="0.35">
      <c r="A2720" s="12">
        <v>2703</v>
      </c>
      <c r="B2720" s="10" t="s">
        <v>1015</v>
      </c>
      <c r="C2720" s="11" t="s">
        <v>1204</v>
      </c>
      <c r="D2720" s="9"/>
      <c r="E2720" s="9">
        <v>218</v>
      </c>
      <c r="F2720" s="10" t="s">
        <v>1066</v>
      </c>
      <c r="G2720" s="9">
        <v>931</v>
      </c>
      <c r="H2720" s="9">
        <v>1960</v>
      </c>
      <c r="I2720" s="8">
        <v>408.40100000000001</v>
      </c>
      <c r="J2720" s="8">
        <v>337.08199999999999</v>
      </c>
      <c r="K2720" s="8">
        <v>252.4</v>
      </c>
      <c r="L2720" s="8">
        <v>221.71899999999999</v>
      </c>
      <c r="M2720" s="8">
        <v>185.14400000000001</v>
      </c>
      <c r="N2720" s="8">
        <v>158.14500000000001</v>
      </c>
      <c r="O2720" s="8">
        <v>134.11500000000001</v>
      </c>
      <c r="P2720" s="8">
        <v>112.399</v>
      </c>
      <c r="Q2720" s="8">
        <v>96.105999999999995</v>
      </c>
      <c r="R2720" s="8">
        <v>87.704999999999998</v>
      </c>
      <c r="S2720" s="8">
        <v>71.846000000000004</v>
      </c>
      <c r="T2720" s="8">
        <v>60.746000000000002</v>
      </c>
      <c r="U2720" s="8">
        <v>50.054000000000002</v>
      </c>
      <c r="V2720" s="8">
        <v>39.981000000000002</v>
      </c>
      <c r="W2720" s="8">
        <v>28.489000000000001</v>
      </c>
      <c r="X2720" s="8">
        <v>17.007000000000001</v>
      </c>
      <c r="Y2720" s="8">
        <v>7.6050000000000004</v>
      </c>
      <c r="Z2720" s="8">
        <v>2.2519999999999998</v>
      </c>
      <c r="AA2720" s="8">
        <v>0.20399999999999999</v>
      </c>
      <c r="AB2720" s="8">
        <v>4.2000000000000003E-2</v>
      </c>
      <c r="AC2720" s="8">
        <v>3.0000000000000001E-3</v>
      </c>
    </row>
    <row r="2721" spans="1:29" ht="11.65" x14ac:dyDescent="0.35">
      <c r="A2721" s="12">
        <v>2704</v>
      </c>
      <c r="B2721" s="10" t="s">
        <v>1015</v>
      </c>
      <c r="C2721" s="11" t="s">
        <v>1204</v>
      </c>
      <c r="D2721" s="9"/>
      <c r="E2721" s="9">
        <v>218</v>
      </c>
      <c r="F2721" s="10" t="s">
        <v>1066</v>
      </c>
      <c r="G2721" s="9">
        <v>931</v>
      </c>
      <c r="H2721" s="9">
        <v>1965</v>
      </c>
      <c r="I2721" s="8">
        <v>467.33699999999999</v>
      </c>
      <c r="J2721" s="8">
        <v>388.16800000000001</v>
      </c>
      <c r="K2721" s="8">
        <v>331.88400000000001</v>
      </c>
      <c r="L2721" s="8">
        <v>249.21199999999999</v>
      </c>
      <c r="M2721" s="8">
        <v>217.815</v>
      </c>
      <c r="N2721" s="8">
        <v>180.62200000000001</v>
      </c>
      <c r="O2721" s="8">
        <v>153.28100000000001</v>
      </c>
      <c r="P2721" s="8">
        <v>129.35900000000001</v>
      </c>
      <c r="Q2721" s="8">
        <v>108</v>
      </c>
      <c r="R2721" s="8">
        <v>91.867000000000004</v>
      </c>
      <c r="S2721" s="8">
        <v>83.001999999999995</v>
      </c>
      <c r="T2721" s="8">
        <v>66.712999999999994</v>
      </c>
      <c r="U2721" s="8">
        <v>54.615000000000002</v>
      </c>
      <c r="V2721" s="8">
        <v>42.634</v>
      </c>
      <c r="W2721" s="8">
        <v>31.161000000000001</v>
      </c>
      <c r="X2721" s="8">
        <v>19.245999999999999</v>
      </c>
      <c r="Y2721" s="8">
        <v>9.1809999999999992</v>
      </c>
      <c r="Z2721" s="8">
        <v>2.911</v>
      </c>
      <c r="AA2721" s="8">
        <v>0.52</v>
      </c>
      <c r="AB2721" s="8">
        <v>2.1999999999999999E-2</v>
      </c>
      <c r="AC2721" s="8">
        <v>1E-3</v>
      </c>
    </row>
    <row r="2722" spans="1:29" ht="11.65" x14ac:dyDescent="0.35">
      <c r="A2722" s="12">
        <v>2705</v>
      </c>
      <c r="B2722" s="10" t="s">
        <v>1015</v>
      </c>
      <c r="C2722" s="11" t="s">
        <v>1204</v>
      </c>
      <c r="D2722" s="9"/>
      <c r="E2722" s="9">
        <v>218</v>
      </c>
      <c r="F2722" s="10" t="s">
        <v>1066</v>
      </c>
      <c r="G2722" s="9">
        <v>931</v>
      </c>
      <c r="H2722" s="9">
        <v>1970</v>
      </c>
      <c r="I2722" s="8">
        <v>532.67999999999995</v>
      </c>
      <c r="J2722" s="8">
        <v>447.88</v>
      </c>
      <c r="K2722" s="8">
        <v>383.17899999999997</v>
      </c>
      <c r="L2722" s="8">
        <v>328.36399999999998</v>
      </c>
      <c r="M2722" s="8">
        <v>245.56200000000001</v>
      </c>
      <c r="N2722" s="8">
        <v>213.47499999999999</v>
      </c>
      <c r="O2722" s="8">
        <v>176.1</v>
      </c>
      <c r="P2722" s="8">
        <v>148.79</v>
      </c>
      <c r="Q2722" s="8">
        <v>125.03400000000001</v>
      </c>
      <c r="R2722" s="8">
        <v>103.76</v>
      </c>
      <c r="S2722" s="8">
        <v>87.337000000000003</v>
      </c>
      <c r="T2722" s="8">
        <v>77.463999999999999</v>
      </c>
      <c r="U2722" s="8">
        <v>60.353999999999999</v>
      </c>
      <c r="V2722" s="8">
        <v>46.918999999999997</v>
      </c>
      <c r="W2722" s="8">
        <v>33.656999999999996</v>
      </c>
      <c r="X2722" s="8">
        <v>21.475999999999999</v>
      </c>
      <c r="Y2722" s="8">
        <v>10.718</v>
      </c>
      <c r="Z2722" s="8">
        <v>3.6909999999999998</v>
      </c>
      <c r="AA2722" s="8">
        <v>0.72499999999999998</v>
      </c>
      <c r="AB2722" s="8">
        <v>6.4000000000000001E-2</v>
      </c>
      <c r="AC2722" s="8">
        <v>1E-3</v>
      </c>
    </row>
    <row r="2723" spans="1:29" ht="11.65" x14ac:dyDescent="0.35">
      <c r="A2723" s="12">
        <v>2706</v>
      </c>
      <c r="B2723" s="10" t="s">
        <v>1015</v>
      </c>
      <c r="C2723" s="11" t="s">
        <v>1204</v>
      </c>
      <c r="D2723" s="9"/>
      <c r="E2723" s="9">
        <v>218</v>
      </c>
      <c r="F2723" s="10" t="s">
        <v>1066</v>
      </c>
      <c r="G2723" s="9">
        <v>931</v>
      </c>
      <c r="H2723" s="9">
        <v>1975</v>
      </c>
      <c r="I2723" s="8">
        <v>585.07899999999995</v>
      </c>
      <c r="J2723" s="8">
        <v>513.94399999999996</v>
      </c>
      <c r="K2723" s="8">
        <v>443.06400000000002</v>
      </c>
      <c r="L2723" s="8">
        <v>379.68799999999999</v>
      </c>
      <c r="M2723" s="8">
        <v>324.18599999999998</v>
      </c>
      <c r="N2723" s="8">
        <v>241.22900000000001</v>
      </c>
      <c r="O2723" s="8">
        <v>208.72499999999999</v>
      </c>
      <c r="P2723" s="8">
        <v>171.45099999999999</v>
      </c>
      <c r="Q2723" s="8">
        <v>144.25200000000001</v>
      </c>
      <c r="R2723" s="8">
        <v>120.49299999999999</v>
      </c>
      <c r="S2723" s="8">
        <v>98.97</v>
      </c>
      <c r="T2723" s="8">
        <v>81.84</v>
      </c>
      <c r="U2723" s="8">
        <v>70.472999999999999</v>
      </c>
      <c r="V2723" s="8">
        <v>52.281999999999996</v>
      </c>
      <c r="W2723" s="8">
        <v>37.529000000000003</v>
      </c>
      <c r="X2723" s="8">
        <v>23.69</v>
      </c>
      <c r="Y2723" s="8">
        <v>12.366</v>
      </c>
      <c r="Z2723" s="8">
        <v>4.5380000000000003</v>
      </c>
      <c r="AA2723" s="8">
        <v>0.99199999999999999</v>
      </c>
      <c r="AB2723" s="8">
        <v>0.10100000000000001</v>
      </c>
      <c r="AC2723" s="8">
        <v>4.0000000000000001E-3</v>
      </c>
    </row>
    <row r="2724" spans="1:29" ht="11.65" x14ac:dyDescent="0.35">
      <c r="A2724" s="12">
        <v>2707</v>
      </c>
      <c r="B2724" s="10" t="s">
        <v>1015</v>
      </c>
      <c r="C2724" s="11" t="s">
        <v>1204</v>
      </c>
      <c r="D2724" s="9"/>
      <c r="E2724" s="9">
        <v>218</v>
      </c>
      <c r="F2724" s="10" t="s">
        <v>1066</v>
      </c>
      <c r="G2724" s="9">
        <v>931</v>
      </c>
      <c r="H2724" s="9">
        <v>1980</v>
      </c>
      <c r="I2724" s="8">
        <v>623.85599999999999</v>
      </c>
      <c r="J2724" s="8">
        <v>568.45500000000004</v>
      </c>
      <c r="K2724" s="8">
        <v>509.28</v>
      </c>
      <c r="L2724" s="8">
        <v>439.50700000000001</v>
      </c>
      <c r="M2724" s="8">
        <v>375.34300000000002</v>
      </c>
      <c r="N2724" s="8">
        <v>319.06099999999998</v>
      </c>
      <c r="O2724" s="8">
        <v>236.27699999999999</v>
      </c>
      <c r="P2724" s="8">
        <v>203.619</v>
      </c>
      <c r="Q2724" s="8">
        <v>166.55600000000001</v>
      </c>
      <c r="R2724" s="8">
        <v>139.322</v>
      </c>
      <c r="S2724" s="8">
        <v>115.23399999999999</v>
      </c>
      <c r="T2724" s="8">
        <v>93.07</v>
      </c>
      <c r="U2724" s="8">
        <v>74.843000000000004</v>
      </c>
      <c r="V2724" s="8">
        <v>61.563000000000002</v>
      </c>
      <c r="W2724" s="8">
        <v>42.392000000000003</v>
      </c>
      <c r="X2724" s="8">
        <v>27.009</v>
      </c>
      <c r="Y2724" s="8">
        <v>14.135</v>
      </c>
      <c r="Z2724" s="8">
        <v>5.5330000000000004</v>
      </c>
      <c r="AA2724" s="8">
        <v>1.325</v>
      </c>
      <c r="AB2724" s="8">
        <v>0.156</v>
      </c>
      <c r="AC2724" s="8">
        <v>8.0000000000000002E-3</v>
      </c>
    </row>
    <row r="2725" spans="1:29" ht="11.65" x14ac:dyDescent="0.35">
      <c r="A2725" s="12">
        <v>2708</v>
      </c>
      <c r="B2725" s="10" t="s">
        <v>1015</v>
      </c>
      <c r="C2725" s="11" t="s">
        <v>1204</v>
      </c>
      <c r="D2725" s="9"/>
      <c r="E2725" s="9">
        <v>218</v>
      </c>
      <c r="F2725" s="10" t="s">
        <v>1066</v>
      </c>
      <c r="G2725" s="9">
        <v>931</v>
      </c>
      <c r="H2725" s="9">
        <v>1985</v>
      </c>
      <c r="I2725" s="8">
        <v>672.61599999999999</v>
      </c>
      <c r="J2725" s="8">
        <v>611.01300000000003</v>
      </c>
      <c r="K2725" s="8">
        <v>564.23699999999997</v>
      </c>
      <c r="L2725" s="8">
        <v>505.6</v>
      </c>
      <c r="M2725" s="8">
        <v>434.37900000000002</v>
      </c>
      <c r="N2725" s="8">
        <v>369.06700000000001</v>
      </c>
      <c r="O2725" s="8">
        <v>312.22800000000001</v>
      </c>
      <c r="P2725" s="8">
        <v>230.12200000000001</v>
      </c>
      <c r="Q2725" s="8">
        <v>197.685</v>
      </c>
      <c r="R2725" s="8">
        <v>160.93100000000001</v>
      </c>
      <c r="S2725" s="8">
        <v>133.46</v>
      </c>
      <c r="T2725" s="8">
        <v>108.68899999999999</v>
      </c>
      <c r="U2725" s="8">
        <v>85.552000000000007</v>
      </c>
      <c r="V2725" s="8">
        <v>65.966999999999999</v>
      </c>
      <c r="W2725" s="8">
        <v>50.631</v>
      </c>
      <c r="X2725" s="8">
        <v>31.265000000000001</v>
      </c>
      <c r="Y2725" s="8">
        <v>16.798999999999999</v>
      </c>
      <c r="Z2725" s="8">
        <v>6.8109999999999999</v>
      </c>
      <c r="AA2725" s="8">
        <v>1.85</v>
      </c>
      <c r="AB2725" s="8">
        <v>0.25</v>
      </c>
      <c r="AC2725" s="8">
        <v>1.4E-2</v>
      </c>
    </row>
    <row r="2726" spans="1:29" ht="11.65" x14ac:dyDescent="0.35">
      <c r="A2726" s="12">
        <v>2709</v>
      </c>
      <c r="B2726" s="10" t="s">
        <v>1015</v>
      </c>
      <c r="C2726" s="11" t="s">
        <v>1204</v>
      </c>
      <c r="D2726" s="9"/>
      <c r="E2726" s="9">
        <v>218</v>
      </c>
      <c r="F2726" s="10" t="s">
        <v>1066</v>
      </c>
      <c r="G2726" s="9">
        <v>931</v>
      </c>
      <c r="H2726" s="9">
        <v>1990</v>
      </c>
      <c r="I2726" s="8">
        <v>721.25300000000004</v>
      </c>
      <c r="J2726" s="8">
        <v>662.90800000000002</v>
      </c>
      <c r="K2726" s="8">
        <v>607.54499999999996</v>
      </c>
      <c r="L2726" s="8">
        <v>560.58399999999995</v>
      </c>
      <c r="M2726" s="8">
        <v>499.63900000000001</v>
      </c>
      <c r="N2726" s="8">
        <v>427.101</v>
      </c>
      <c r="O2726" s="8">
        <v>361.42700000000002</v>
      </c>
      <c r="P2726" s="8">
        <v>304.75299999999999</v>
      </c>
      <c r="Q2726" s="8">
        <v>223.75700000000001</v>
      </c>
      <c r="R2726" s="8">
        <v>191.39599999999999</v>
      </c>
      <c r="S2726" s="8">
        <v>154.55199999999999</v>
      </c>
      <c r="T2726" s="8">
        <v>126.36</v>
      </c>
      <c r="U2726" s="8">
        <v>100.52800000000001</v>
      </c>
      <c r="V2726" s="8">
        <v>76.194000000000003</v>
      </c>
      <c r="W2726" s="8">
        <v>55.098999999999997</v>
      </c>
      <c r="X2726" s="8">
        <v>38.384999999999998</v>
      </c>
      <c r="Y2726" s="8">
        <v>20.393999999999998</v>
      </c>
      <c r="Z2726" s="8">
        <v>8.7970000000000006</v>
      </c>
      <c r="AA2726" s="8">
        <v>2.5990000000000002</v>
      </c>
      <c r="AB2726" s="8">
        <v>0.40699999999999997</v>
      </c>
      <c r="AC2726" s="8">
        <v>2.7E-2</v>
      </c>
    </row>
    <row r="2727" spans="1:29" ht="11.65" x14ac:dyDescent="0.35">
      <c r="A2727" s="12">
        <v>2710</v>
      </c>
      <c r="B2727" s="10" t="s">
        <v>1015</v>
      </c>
      <c r="C2727" s="11" t="s">
        <v>1204</v>
      </c>
      <c r="D2727" s="9"/>
      <c r="E2727" s="9">
        <v>218</v>
      </c>
      <c r="F2727" s="10" t="s">
        <v>1066</v>
      </c>
      <c r="G2727" s="9">
        <v>931</v>
      </c>
      <c r="H2727" s="9">
        <v>1995</v>
      </c>
      <c r="I2727" s="8">
        <v>759.11300000000006</v>
      </c>
      <c r="J2727" s="8">
        <v>713.81100000000004</v>
      </c>
      <c r="K2727" s="8">
        <v>659.87400000000002</v>
      </c>
      <c r="L2727" s="8">
        <v>603.85699999999997</v>
      </c>
      <c r="M2727" s="8">
        <v>553.78099999999995</v>
      </c>
      <c r="N2727" s="8">
        <v>491.11399999999998</v>
      </c>
      <c r="O2727" s="8">
        <v>418.39800000000002</v>
      </c>
      <c r="P2727" s="8">
        <v>353.10300000000001</v>
      </c>
      <c r="Q2727" s="8">
        <v>296.93400000000003</v>
      </c>
      <c r="R2727" s="8">
        <v>216.982</v>
      </c>
      <c r="S2727" s="8">
        <v>184.20699999999999</v>
      </c>
      <c r="T2727" s="8">
        <v>146.77699999999999</v>
      </c>
      <c r="U2727" s="8">
        <v>117.46599999999999</v>
      </c>
      <c r="V2727" s="8">
        <v>90.332999999999998</v>
      </c>
      <c r="W2727" s="8">
        <v>64.622</v>
      </c>
      <c r="X2727" s="8">
        <v>42.93</v>
      </c>
      <c r="Y2727" s="8">
        <v>26.279</v>
      </c>
      <c r="Z2727" s="8">
        <v>11.391</v>
      </c>
      <c r="AA2727" s="8">
        <v>3.629</v>
      </c>
      <c r="AB2727" s="8">
        <v>0.63900000000000001</v>
      </c>
      <c r="AC2727" s="8">
        <v>4.9000000000000002E-2</v>
      </c>
    </row>
    <row r="2728" spans="1:29" ht="11.65" x14ac:dyDescent="0.35">
      <c r="A2728" s="12">
        <v>2711</v>
      </c>
      <c r="B2728" s="10" t="s">
        <v>1015</v>
      </c>
      <c r="C2728" s="11" t="s">
        <v>1204</v>
      </c>
      <c r="D2728" s="9"/>
      <c r="E2728" s="9">
        <v>218</v>
      </c>
      <c r="F2728" s="10" t="s">
        <v>1066</v>
      </c>
      <c r="G2728" s="9">
        <v>931</v>
      </c>
      <c r="H2728" s="9">
        <v>2000</v>
      </c>
      <c r="I2728" s="8">
        <v>798.25699999999995</v>
      </c>
      <c r="J2728" s="8">
        <v>752.92499999999995</v>
      </c>
      <c r="K2728" s="8">
        <v>710.61800000000005</v>
      </c>
      <c r="L2728" s="8">
        <v>655.48400000000004</v>
      </c>
      <c r="M2728" s="8">
        <v>593.71699999999998</v>
      </c>
      <c r="N2728" s="8">
        <v>539.50400000000002</v>
      </c>
      <c r="O2728" s="8">
        <v>475.47</v>
      </c>
      <c r="P2728" s="8">
        <v>403.88200000000001</v>
      </c>
      <c r="Q2728" s="8">
        <v>340.93799999999999</v>
      </c>
      <c r="R2728" s="8">
        <v>286.59300000000002</v>
      </c>
      <c r="S2728" s="8">
        <v>208.29300000000001</v>
      </c>
      <c r="T2728" s="8">
        <v>174.82300000000001</v>
      </c>
      <c r="U2728" s="8">
        <v>136.66800000000001</v>
      </c>
      <c r="V2728" s="8">
        <v>106.107</v>
      </c>
      <c r="W2728" s="8">
        <v>77.616</v>
      </c>
      <c r="X2728" s="8">
        <v>51.655999999999999</v>
      </c>
      <c r="Y2728" s="8">
        <v>30.827000000000002</v>
      </c>
      <c r="Z2728" s="8">
        <v>15.692</v>
      </c>
      <c r="AA2728" s="8">
        <v>5.03</v>
      </c>
      <c r="AB2728" s="8">
        <v>0.97699999999999998</v>
      </c>
      <c r="AC2728" s="8">
        <v>8.2000000000000003E-2</v>
      </c>
    </row>
    <row r="2729" spans="1:29" ht="11.65" x14ac:dyDescent="0.35">
      <c r="A2729" s="12">
        <v>2712</v>
      </c>
      <c r="B2729" s="10" t="s">
        <v>1015</v>
      </c>
      <c r="C2729" s="11" t="s">
        <v>1204</v>
      </c>
      <c r="D2729" s="9"/>
      <c r="E2729" s="9">
        <v>218</v>
      </c>
      <c r="F2729" s="10" t="s">
        <v>1066</v>
      </c>
      <c r="G2729" s="9">
        <v>931</v>
      </c>
      <c r="H2729" s="9">
        <v>2005</v>
      </c>
      <c r="I2729" s="8">
        <v>795.85299999999995</v>
      </c>
      <c r="J2729" s="8">
        <v>792.995</v>
      </c>
      <c r="K2729" s="8">
        <v>749.70100000000002</v>
      </c>
      <c r="L2729" s="8">
        <v>705.71900000000005</v>
      </c>
      <c r="M2729" s="8">
        <v>642.48800000000006</v>
      </c>
      <c r="N2729" s="8">
        <v>574.74599999999998</v>
      </c>
      <c r="O2729" s="8">
        <v>518.09900000000005</v>
      </c>
      <c r="P2729" s="8">
        <v>455.68299999999999</v>
      </c>
      <c r="Q2729" s="8">
        <v>388.02800000000002</v>
      </c>
      <c r="R2729" s="8">
        <v>328.33800000000002</v>
      </c>
      <c r="S2729" s="8">
        <v>275.32299999999998</v>
      </c>
      <c r="T2729" s="8">
        <v>197.93199999999999</v>
      </c>
      <c r="U2729" s="8">
        <v>163.40600000000001</v>
      </c>
      <c r="V2729" s="8">
        <v>124.345</v>
      </c>
      <c r="W2729" s="8">
        <v>92.320999999999998</v>
      </c>
      <c r="X2729" s="8">
        <v>63.122</v>
      </c>
      <c r="Y2729" s="8">
        <v>38.037999999999997</v>
      </c>
      <c r="Z2729" s="8">
        <v>18.882000000000001</v>
      </c>
      <c r="AA2729" s="8">
        <v>7.1150000000000002</v>
      </c>
      <c r="AB2729" s="8">
        <v>1.4159999999999999</v>
      </c>
      <c r="AC2729" s="8">
        <v>0.128</v>
      </c>
    </row>
    <row r="2730" spans="1:29" ht="11.65" x14ac:dyDescent="0.35">
      <c r="A2730" s="12">
        <v>2713</v>
      </c>
      <c r="B2730" s="10" t="s">
        <v>1015</v>
      </c>
      <c r="C2730" s="11" t="s">
        <v>1204</v>
      </c>
      <c r="D2730" s="9"/>
      <c r="E2730" s="9">
        <v>218</v>
      </c>
      <c r="F2730" s="10" t="s">
        <v>1066</v>
      </c>
      <c r="G2730" s="9">
        <v>931</v>
      </c>
      <c r="H2730" s="9">
        <v>2010</v>
      </c>
      <c r="I2730" s="8">
        <v>797.572</v>
      </c>
      <c r="J2730" s="8">
        <v>792.05200000000002</v>
      </c>
      <c r="K2730" s="8">
        <v>790.40800000000002</v>
      </c>
      <c r="L2730" s="8">
        <v>745.61400000000003</v>
      </c>
      <c r="M2730" s="8">
        <v>695.8</v>
      </c>
      <c r="N2730" s="8">
        <v>628.95899999999995</v>
      </c>
      <c r="O2730" s="8">
        <v>560.57799999999997</v>
      </c>
      <c r="P2730" s="8">
        <v>504.82400000000001</v>
      </c>
      <c r="Q2730" s="8">
        <v>443.98200000000003</v>
      </c>
      <c r="R2730" s="8">
        <v>377.471</v>
      </c>
      <c r="S2730" s="8">
        <v>317.54599999999999</v>
      </c>
      <c r="T2730" s="8">
        <v>263.286</v>
      </c>
      <c r="U2730" s="8">
        <v>186.322</v>
      </c>
      <c r="V2730" s="8">
        <v>150.06100000000001</v>
      </c>
      <c r="W2730" s="8">
        <v>109.254</v>
      </c>
      <c r="X2730" s="8">
        <v>75.649000000000001</v>
      </c>
      <c r="Y2730" s="8">
        <v>46.576999999999998</v>
      </c>
      <c r="Z2730" s="8">
        <v>23.46</v>
      </c>
      <c r="AA2730" s="8">
        <v>8.7070000000000007</v>
      </c>
      <c r="AB2730" s="8">
        <v>2.0390000000000001</v>
      </c>
      <c r="AC2730" s="8">
        <v>0.192</v>
      </c>
    </row>
    <row r="2731" spans="1:29" ht="11.65" x14ac:dyDescent="0.35">
      <c r="A2731" s="12">
        <v>2714</v>
      </c>
      <c r="B2731" s="10" t="s">
        <v>1015</v>
      </c>
      <c r="C2731" s="11" t="s">
        <v>1204</v>
      </c>
      <c r="D2731" s="9"/>
      <c r="E2731" s="9">
        <v>218</v>
      </c>
      <c r="F2731" s="10" t="s">
        <v>1066</v>
      </c>
      <c r="G2731" s="9">
        <v>931</v>
      </c>
      <c r="H2731" s="9">
        <v>2015</v>
      </c>
      <c r="I2731" s="8">
        <v>822.86199999999997</v>
      </c>
      <c r="J2731" s="8">
        <v>794.29499999999996</v>
      </c>
      <c r="K2731" s="8">
        <v>789.49900000000002</v>
      </c>
      <c r="L2731" s="8">
        <v>786.16800000000001</v>
      </c>
      <c r="M2731" s="8">
        <v>735.54899999999998</v>
      </c>
      <c r="N2731" s="8">
        <v>681.95699999999999</v>
      </c>
      <c r="O2731" s="8">
        <v>614.83900000000006</v>
      </c>
      <c r="P2731" s="8">
        <v>548.04700000000003</v>
      </c>
      <c r="Q2731" s="8">
        <v>493.35199999999998</v>
      </c>
      <c r="R2731" s="8">
        <v>432.96899999999999</v>
      </c>
      <c r="S2731" s="8">
        <v>366.209</v>
      </c>
      <c r="T2731" s="8">
        <v>305.05799999999999</v>
      </c>
      <c r="U2731" s="8">
        <v>249.292</v>
      </c>
      <c r="V2731" s="8">
        <v>172.34</v>
      </c>
      <c r="W2731" s="8">
        <v>133.20099999999999</v>
      </c>
      <c r="X2731" s="8">
        <v>90.346000000000004</v>
      </c>
      <c r="Y2731" s="8">
        <v>56.207000000000001</v>
      </c>
      <c r="Z2731" s="8">
        <v>28.96</v>
      </c>
      <c r="AA2731" s="8">
        <v>10.959</v>
      </c>
      <c r="AB2731" s="8">
        <v>2.5590000000000002</v>
      </c>
      <c r="AC2731" s="8">
        <v>0.29099999999999998</v>
      </c>
    </row>
    <row r="2732" spans="1:29" ht="11.65" x14ac:dyDescent="0.35">
      <c r="A2732" s="12">
        <v>2715</v>
      </c>
      <c r="B2732" s="10" t="s">
        <v>1015</v>
      </c>
      <c r="C2732" s="11" t="s">
        <v>1204</v>
      </c>
      <c r="D2732" s="9"/>
      <c r="E2732" s="9">
        <v>218</v>
      </c>
      <c r="F2732" s="10" t="s">
        <v>1066</v>
      </c>
      <c r="G2732" s="9">
        <v>931</v>
      </c>
      <c r="H2732" s="9">
        <v>2020</v>
      </c>
      <c r="I2732" s="8">
        <v>852.48</v>
      </c>
      <c r="J2732" s="8">
        <v>822.971</v>
      </c>
      <c r="K2732" s="8">
        <v>794.178</v>
      </c>
      <c r="L2732" s="8">
        <v>795.39800000000002</v>
      </c>
      <c r="M2732" s="8">
        <v>795.84100000000001</v>
      </c>
      <c r="N2732" s="8">
        <v>741.93</v>
      </c>
      <c r="O2732" s="8">
        <v>684.11900000000003</v>
      </c>
      <c r="P2732" s="8">
        <v>614.34500000000003</v>
      </c>
      <c r="Q2732" s="8">
        <v>544.91899999999998</v>
      </c>
      <c r="R2732" s="8">
        <v>487.45299999999997</v>
      </c>
      <c r="S2732" s="8">
        <v>424.18299999999999</v>
      </c>
      <c r="T2732" s="8">
        <v>354.80099999999999</v>
      </c>
      <c r="U2732" s="8">
        <v>291.42</v>
      </c>
      <c r="V2732" s="8">
        <v>233.02600000000001</v>
      </c>
      <c r="W2732" s="8">
        <v>154.89599999999999</v>
      </c>
      <c r="X2732" s="8">
        <v>111.56100000000001</v>
      </c>
      <c r="Y2732" s="8">
        <v>67.832999999999998</v>
      </c>
      <c r="Z2732" s="8">
        <v>35.155000000000001</v>
      </c>
      <c r="AA2732" s="8">
        <v>13.670999999999999</v>
      </c>
      <c r="AB2732" s="8">
        <v>3.27</v>
      </c>
      <c r="AC2732" s="8">
        <v>0.377</v>
      </c>
    </row>
    <row r="2733" spans="1:29" ht="11.65" x14ac:dyDescent="0.35">
      <c r="A2733" s="12">
        <v>2716</v>
      </c>
      <c r="B2733" s="10" t="s">
        <v>1015</v>
      </c>
      <c r="C2733" s="11" t="s">
        <v>1205</v>
      </c>
      <c r="D2733" s="9">
        <v>2</v>
      </c>
      <c r="E2733" s="9">
        <v>254</v>
      </c>
      <c r="F2733" s="10" t="s">
        <v>1066</v>
      </c>
      <c r="G2733" s="9">
        <v>931</v>
      </c>
      <c r="H2733" s="9">
        <v>1950</v>
      </c>
      <c r="I2733" s="8">
        <v>1.8009999999999999</v>
      </c>
      <c r="J2733" s="8">
        <v>1.105</v>
      </c>
      <c r="K2733" s="8">
        <v>0.90600000000000003</v>
      </c>
      <c r="L2733" s="8">
        <v>1.034</v>
      </c>
      <c r="M2733" s="8">
        <v>1.1359999999999999</v>
      </c>
      <c r="N2733" s="8">
        <v>1.151</v>
      </c>
      <c r="O2733" s="8">
        <v>1.089</v>
      </c>
      <c r="P2733" s="8">
        <v>0.997</v>
      </c>
      <c r="Q2733" s="8">
        <v>0.90100000000000002</v>
      </c>
      <c r="R2733" s="8">
        <v>0.78100000000000003</v>
      </c>
      <c r="S2733" s="8">
        <v>0.68899999999999995</v>
      </c>
      <c r="T2733" s="8">
        <v>0.495</v>
      </c>
      <c r="U2733" s="8">
        <v>0.42499999999999999</v>
      </c>
      <c r="V2733" s="8">
        <v>0.34499999999999997</v>
      </c>
      <c r="W2733" s="8">
        <v>0.193</v>
      </c>
      <c r="X2733" s="8">
        <v>0.109</v>
      </c>
      <c r="Y2733" s="8">
        <v>4.2000000000000003E-2</v>
      </c>
      <c r="Z2733" s="8">
        <v>1.4999999999999999E-2</v>
      </c>
      <c r="AA2733" s="8">
        <v>3.0000000000000001E-3</v>
      </c>
      <c r="AB2733" s="8">
        <v>0</v>
      </c>
      <c r="AC2733" s="8">
        <v>0</v>
      </c>
    </row>
    <row r="2734" spans="1:29" ht="11.65" x14ac:dyDescent="0.35">
      <c r="A2734" s="12">
        <v>2717</v>
      </c>
      <c r="B2734" s="10" t="s">
        <v>1015</v>
      </c>
      <c r="C2734" s="11" t="s">
        <v>1205</v>
      </c>
      <c r="D2734" s="9">
        <v>2</v>
      </c>
      <c r="E2734" s="9">
        <v>254</v>
      </c>
      <c r="F2734" s="10" t="s">
        <v>1066</v>
      </c>
      <c r="G2734" s="9">
        <v>931</v>
      </c>
      <c r="H2734" s="9">
        <v>1955</v>
      </c>
      <c r="I2734" s="8">
        <v>2.1640000000000001</v>
      </c>
      <c r="J2734" s="8">
        <v>1.7290000000000001</v>
      </c>
      <c r="K2734" s="8">
        <v>1.113</v>
      </c>
      <c r="L2734" s="8">
        <v>0.90500000000000003</v>
      </c>
      <c r="M2734" s="8">
        <v>1.0209999999999999</v>
      </c>
      <c r="N2734" s="8">
        <v>1.1220000000000001</v>
      </c>
      <c r="O2734" s="8">
        <v>1.1339999999999999</v>
      </c>
      <c r="P2734" s="8">
        <v>1.0629999999999999</v>
      </c>
      <c r="Q2734" s="8">
        <v>0.95699999999999996</v>
      </c>
      <c r="R2734" s="8">
        <v>0.85099999999999998</v>
      </c>
      <c r="S2734" s="8">
        <v>0.72499999999999998</v>
      </c>
      <c r="T2734" s="8">
        <v>0.62</v>
      </c>
      <c r="U2734" s="8">
        <v>0.42599999999999999</v>
      </c>
      <c r="V2734" s="8">
        <v>0.34300000000000003</v>
      </c>
      <c r="W2734" s="8">
        <v>0.251</v>
      </c>
      <c r="X2734" s="8">
        <v>0.11899999999999999</v>
      </c>
      <c r="Y2734" s="8">
        <v>5.2999999999999999E-2</v>
      </c>
      <c r="Z2734" s="8">
        <v>1.4999999999999999E-2</v>
      </c>
      <c r="AA2734" s="8">
        <v>3.0000000000000001E-3</v>
      </c>
      <c r="AB2734" s="8">
        <v>0</v>
      </c>
      <c r="AC2734" s="8">
        <v>0</v>
      </c>
    </row>
    <row r="2735" spans="1:29" ht="11.65" x14ac:dyDescent="0.35">
      <c r="A2735" s="12">
        <v>2718</v>
      </c>
      <c r="B2735" s="10" t="s">
        <v>1015</v>
      </c>
      <c r="C2735" s="11" t="s">
        <v>1205</v>
      </c>
      <c r="D2735" s="9">
        <v>2</v>
      </c>
      <c r="E2735" s="9">
        <v>254</v>
      </c>
      <c r="F2735" s="10" t="s">
        <v>1066</v>
      </c>
      <c r="G2735" s="9">
        <v>931</v>
      </c>
      <c r="H2735" s="9">
        <v>1960</v>
      </c>
      <c r="I2735" s="8">
        <v>2.2669999999999999</v>
      </c>
      <c r="J2735" s="8">
        <v>2.0499999999999998</v>
      </c>
      <c r="K2735" s="8">
        <v>1.623</v>
      </c>
      <c r="L2735" s="8">
        <v>1.006</v>
      </c>
      <c r="M2735" s="8">
        <v>0.85599999999999998</v>
      </c>
      <c r="N2735" s="8">
        <v>1.0489999999999999</v>
      </c>
      <c r="O2735" s="8">
        <v>1.1240000000000001</v>
      </c>
      <c r="P2735" s="8">
        <v>1.099</v>
      </c>
      <c r="Q2735" s="8">
        <v>1.0269999999999999</v>
      </c>
      <c r="R2735" s="8">
        <v>0.93799999999999994</v>
      </c>
      <c r="S2735" s="8">
        <v>0.84299999999999997</v>
      </c>
      <c r="T2735" s="8">
        <v>0.69499999999999995</v>
      </c>
      <c r="U2735" s="8">
        <v>0.56299999999999994</v>
      </c>
      <c r="V2735" s="8">
        <v>0.378</v>
      </c>
      <c r="W2735" s="8">
        <v>0.3</v>
      </c>
      <c r="X2735" s="8">
        <v>0.21</v>
      </c>
      <c r="Y2735" s="8">
        <v>8.7999999999999995E-2</v>
      </c>
      <c r="Z2735" s="8">
        <v>2.3E-2</v>
      </c>
      <c r="AA2735" s="8">
        <v>3.0000000000000001E-3</v>
      </c>
      <c r="AB2735" s="8">
        <v>0</v>
      </c>
      <c r="AC2735" s="8">
        <v>0</v>
      </c>
    </row>
    <row r="2736" spans="1:29" ht="11.65" x14ac:dyDescent="0.35">
      <c r="A2736" s="12">
        <v>2719</v>
      </c>
      <c r="B2736" s="10" t="s">
        <v>1015</v>
      </c>
      <c r="C2736" s="11" t="s">
        <v>1205</v>
      </c>
      <c r="D2736" s="9">
        <v>2</v>
      </c>
      <c r="E2736" s="9">
        <v>254</v>
      </c>
      <c r="F2736" s="10" t="s">
        <v>1066</v>
      </c>
      <c r="G2736" s="9">
        <v>931</v>
      </c>
      <c r="H2736" s="9">
        <v>1965</v>
      </c>
      <c r="I2736" s="8">
        <v>2.863</v>
      </c>
      <c r="J2736" s="8">
        <v>2.6110000000000002</v>
      </c>
      <c r="K2736" s="8">
        <v>1.9850000000000001</v>
      </c>
      <c r="L2736" s="8">
        <v>1.5680000000000001</v>
      </c>
      <c r="M2736" s="8">
        <v>1.472</v>
      </c>
      <c r="N2736" s="8">
        <v>1.335</v>
      </c>
      <c r="O2736" s="8">
        <v>1.276</v>
      </c>
      <c r="P2736" s="8">
        <v>1.3340000000000001</v>
      </c>
      <c r="Q2736" s="8">
        <v>1.2589999999999999</v>
      </c>
      <c r="R2736" s="8">
        <v>1.1040000000000001</v>
      </c>
      <c r="S2736" s="8">
        <v>0.94799999999999995</v>
      </c>
      <c r="T2736" s="8">
        <v>0.73399999999999999</v>
      </c>
      <c r="U2736" s="8">
        <v>0.57599999999999996</v>
      </c>
      <c r="V2736" s="8">
        <v>0.46500000000000002</v>
      </c>
      <c r="W2736" s="8">
        <v>0.29599999999999999</v>
      </c>
      <c r="X2736" s="8">
        <v>0.19900000000000001</v>
      </c>
      <c r="Y2736" s="8">
        <v>0.10299999999999999</v>
      </c>
      <c r="Z2736" s="8">
        <v>0.03</v>
      </c>
      <c r="AA2736" s="8">
        <v>5.0000000000000001E-3</v>
      </c>
      <c r="AB2736" s="8">
        <v>0</v>
      </c>
      <c r="AC2736" s="8">
        <v>0</v>
      </c>
    </row>
    <row r="2737" spans="1:29" ht="11.65" x14ac:dyDescent="0.35">
      <c r="A2737" s="12">
        <v>2720</v>
      </c>
      <c r="B2737" s="10" t="s">
        <v>1015</v>
      </c>
      <c r="C2737" s="11" t="s">
        <v>1205</v>
      </c>
      <c r="D2737" s="9">
        <v>2</v>
      </c>
      <c r="E2737" s="9">
        <v>254</v>
      </c>
      <c r="F2737" s="10" t="s">
        <v>1066</v>
      </c>
      <c r="G2737" s="9">
        <v>931</v>
      </c>
      <c r="H2737" s="9">
        <v>1970</v>
      </c>
      <c r="I2737" s="8">
        <v>3.4340000000000002</v>
      </c>
      <c r="J2737" s="8">
        <v>3.1160000000000001</v>
      </c>
      <c r="K2737" s="8">
        <v>2.7269999999999999</v>
      </c>
      <c r="L2737" s="8">
        <v>2.0449999999999999</v>
      </c>
      <c r="M2737" s="8">
        <v>2.1240000000000001</v>
      </c>
      <c r="N2737" s="8">
        <v>1.9570000000000001</v>
      </c>
      <c r="O2737" s="8">
        <v>1.659</v>
      </c>
      <c r="P2737" s="8">
        <v>1.5109999999999999</v>
      </c>
      <c r="Q2737" s="8">
        <v>1.4350000000000001</v>
      </c>
      <c r="R2737" s="8">
        <v>1.3169999999999999</v>
      </c>
      <c r="S2737" s="8">
        <v>1.028</v>
      </c>
      <c r="T2737" s="8">
        <v>0.81200000000000006</v>
      </c>
      <c r="U2737" s="8">
        <v>0.58599999999999997</v>
      </c>
      <c r="V2737" s="8">
        <v>0.46800000000000003</v>
      </c>
      <c r="W2737" s="8">
        <v>0.33700000000000002</v>
      </c>
      <c r="X2737" s="8">
        <v>0.17599999999999999</v>
      </c>
      <c r="Y2737" s="8">
        <v>0.10199999999999999</v>
      </c>
      <c r="Z2737" s="8">
        <v>3.9E-2</v>
      </c>
      <c r="AA2737" s="8">
        <v>8.0000000000000002E-3</v>
      </c>
      <c r="AB2737" s="8">
        <v>0</v>
      </c>
      <c r="AC2737" s="8">
        <v>0</v>
      </c>
    </row>
    <row r="2738" spans="1:29" ht="11.65" x14ac:dyDescent="0.35">
      <c r="A2738" s="12">
        <v>2721</v>
      </c>
      <c r="B2738" s="10" t="s">
        <v>1015</v>
      </c>
      <c r="C2738" s="11" t="s">
        <v>1205</v>
      </c>
      <c r="D2738" s="9">
        <v>2</v>
      </c>
      <c r="E2738" s="9">
        <v>254</v>
      </c>
      <c r="F2738" s="10" t="s">
        <v>1066</v>
      </c>
      <c r="G2738" s="9">
        <v>931</v>
      </c>
      <c r="H2738" s="9">
        <v>1975</v>
      </c>
      <c r="I2738" s="8">
        <v>3.819</v>
      </c>
      <c r="J2738" s="8">
        <v>3.68</v>
      </c>
      <c r="K2738" s="8">
        <v>3.383</v>
      </c>
      <c r="L2738" s="8">
        <v>2.7559999999999998</v>
      </c>
      <c r="M2738" s="8">
        <v>2.0640000000000001</v>
      </c>
      <c r="N2738" s="8">
        <v>2.37</v>
      </c>
      <c r="O2738" s="8">
        <v>1.944</v>
      </c>
      <c r="P2738" s="8">
        <v>1.5289999999999999</v>
      </c>
      <c r="Q2738" s="8">
        <v>1.6060000000000001</v>
      </c>
      <c r="R2738" s="8">
        <v>1.367</v>
      </c>
      <c r="S2738" s="8">
        <v>1.1919999999999999</v>
      </c>
      <c r="T2738" s="8">
        <v>0.82499999999999996</v>
      </c>
      <c r="U2738" s="8">
        <v>0.64500000000000002</v>
      </c>
      <c r="V2738" s="8">
        <v>0.47299999999999998</v>
      </c>
      <c r="W2738" s="8">
        <v>0.36599999999999999</v>
      </c>
      <c r="X2738" s="8">
        <v>0.23899999999999999</v>
      </c>
      <c r="Y2738" s="8">
        <v>9.8000000000000004E-2</v>
      </c>
      <c r="Z2738" s="8">
        <v>4.1000000000000002E-2</v>
      </c>
      <c r="AA2738" s="8">
        <v>8.9999999999999993E-3</v>
      </c>
      <c r="AB2738" s="8">
        <v>0</v>
      </c>
      <c r="AC2738" s="8">
        <v>0</v>
      </c>
    </row>
    <row r="2739" spans="1:29" ht="11.65" x14ac:dyDescent="0.35">
      <c r="A2739" s="12">
        <v>2722</v>
      </c>
      <c r="B2739" s="10" t="s">
        <v>1015</v>
      </c>
      <c r="C2739" s="11" t="s">
        <v>1205</v>
      </c>
      <c r="D2739" s="9">
        <v>2</v>
      </c>
      <c r="E2739" s="9">
        <v>254</v>
      </c>
      <c r="F2739" s="10" t="s">
        <v>1066</v>
      </c>
      <c r="G2739" s="9">
        <v>931</v>
      </c>
      <c r="H2739" s="9">
        <v>1980</v>
      </c>
      <c r="I2739" s="8">
        <v>3.847</v>
      </c>
      <c r="J2739" s="8">
        <v>4.0460000000000003</v>
      </c>
      <c r="K2739" s="8">
        <v>3.7490000000000001</v>
      </c>
      <c r="L2739" s="8">
        <v>3.2440000000000002</v>
      </c>
      <c r="M2739" s="8">
        <v>3.5750000000000002</v>
      </c>
      <c r="N2739" s="8">
        <v>3.1480000000000001</v>
      </c>
      <c r="O2739" s="8">
        <v>2.9089999999999998</v>
      </c>
      <c r="P2739" s="8">
        <v>2.3639999999999999</v>
      </c>
      <c r="Q2739" s="8">
        <v>1.958</v>
      </c>
      <c r="R2739" s="8">
        <v>1.6279999999999999</v>
      </c>
      <c r="S2739" s="8">
        <v>1.1870000000000001</v>
      </c>
      <c r="T2739" s="8">
        <v>1.0569999999999999</v>
      </c>
      <c r="U2739" s="8">
        <v>0.73799999999999999</v>
      </c>
      <c r="V2739" s="8">
        <v>0.65200000000000002</v>
      </c>
      <c r="W2739" s="8">
        <v>0.43</v>
      </c>
      <c r="X2739" s="8">
        <v>0.27700000000000002</v>
      </c>
      <c r="Y2739" s="8">
        <v>0.126</v>
      </c>
      <c r="Z2739" s="8">
        <v>3.5999999999999997E-2</v>
      </c>
      <c r="AA2739" s="8">
        <v>1.0999999999999999E-2</v>
      </c>
      <c r="AB2739" s="8">
        <v>0</v>
      </c>
      <c r="AC2739" s="8">
        <v>0</v>
      </c>
    </row>
    <row r="2740" spans="1:29" ht="11.65" x14ac:dyDescent="0.35">
      <c r="A2740" s="12">
        <v>2723</v>
      </c>
      <c r="B2740" s="10" t="s">
        <v>1015</v>
      </c>
      <c r="C2740" s="11" t="s">
        <v>1205</v>
      </c>
      <c r="D2740" s="9">
        <v>2</v>
      </c>
      <c r="E2740" s="9">
        <v>254</v>
      </c>
      <c r="F2740" s="10" t="s">
        <v>1066</v>
      </c>
      <c r="G2740" s="9">
        <v>931</v>
      </c>
      <c r="H2740" s="9">
        <v>1985</v>
      </c>
      <c r="I2740" s="8">
        <v>4.7089999999999996</v>
      </c>
      <c r="J2740" s="8">
        <v>5.0170000000000003</v>
      </c>
      <c r="K2740" s="8">
        <v>4.7889999999999997</v>
      </c>
      <c r="L2740" s="8">
        <v>4.0410000000000004</v>
      </c>
      <c r="M2740" s="8">
        <v>4.8559999999999999</v>
      </c>
      <c r="N2740" s="8">
        <v>4.0880000000000001</v>
      </c>
      <c r="O2740" s="8">
        <v>4.2469999999999999</v>
      </c>
      <c r="P2740" s="8">
        <v>3.2949999999999999</v>
      </c>
      <c r="Q2740" s="8">
        <v>2.7040000000000002</v>
      </c>
      <c r="R2740" s="8">
        <v>2.2269999999999999</v>
      </c>
      <c r="S2740" s="8">
        <v>1.472</v>
      </c>
      <c r="T2740" s="8">
        <v>1.3260000000000001</v>
      </c>
      <c r="U2740" s="8">
        <v>0.90900000000000003</v>
      </c>
      <c r="V2740" s="8">
        <v>0.68300000000000005</v>
      </c>
      <c r="W2740" s="8">
        <v>0.55000000000000004</v>
      </c>
      <c r="X2740" s="8">
        <v>0.29899999999999999</v>
      </c>
      <c r="Y2740" s="8">
        <v>0.16400000000000001</v>
      </c>
      <c r="Z2740" s="8">
        <v>5.2999999999999999E-2</v>
      </c>
      <c r="AA2740" s="8">
        <v>8.9999999999999993E-3</v>
      </c>
      <c r="AB2740" s="8">
        <v>0</v>
      </c>
      <c r="AC2740" s="8">
        <v>0</v>
      </c>
    </row>
    <row r="2741" spans="1:29" ht="11.65" x14ac:dyDescent="0.35">
      <c r="A2741" s="12">
        <v>2724</v>
      </c>
      <c r="B2741" s="10" t="s">
        <v>1015</v>
      </c>
      <c r="C2741" s="11" t="s">
        <v>1205</v>
      </c>
      <c r="D2741" s="9">
        <v>2</v>
      </c>
      <c r="E2741" s="9">
        <v>254</v>
      </c>
      <c r="F2741" s="10" t="s">
        <v>1066</v>
      </c>
      <c r="G2741" s="9">
        <v>931</v>
      </c>
      <c r="H2741" s="9">
        <v>1990</v>
      </c>
      <c r="I2741" s="8">
        <v>7.7750000000000004</v>
      </c>
      <c r="J2741" s="8">
        <v>6.22</v>
      </c>
      <c r="K2741" s="8">
        <v>6.3659999999999997</v>
      </c>
      <c r="L2741" s="8">
        <v>5.016</v>
      </c>
      <c r="M2741" s="8">
        <v>4.7960000000000003</v>
      </c>
      <c r="N2741" s="8">
        <v>6.1210000000000004</v>
      </c>
      <c r="O2741" s="8">
        <v>5.2679999999999998</v>
      </c>
      <c r="P2741" s="8">
        <v>5.0119999999999996</v>
      </c>
      <c r="Q2741" s="8">
        <v>3.823</v>
      </c>
      <c r="R2741" s="8">
        <v>2.9990000000000001</v>
      </c>
      <c r="S2741" s="8">
        <v>2.3180000000000001</v>
      </c>
      <c r="T2741" s="8">
        <v>1.4379999999999999</v>
      </c>
      <c r="U2741" s="8">
        <v>1.1619999999999999</v>
      </c>
      <c r="V2741" s="8">
        <v>0.78700000000000003</v>
      </c>
      <c r="W2741" s="8">
        <v>0.55700000000000005</v>
      </c>
      <c r="X2741" s="8">
        <v>0.38900000000000001</v>
      </c>
      <c r="Y2741" s="8">
        <v>0.192</v>
      </c>
      <c r="Z2741" s="8">
        <v>7.3999999999999996E-2</v>
      </c>
      <c r="AA2741" s="8">
        <v>1.2999999999999999E-2</v>
      </c>
      <c r="AB2741" s="8">
        <v>0</v>
      </c>
      <c r="AC2741" s="8">
        <v>0</v>
      </c>
    </row>
    <row r="2742" spans="1:29" ht="11.65" x14ac:dyDescent="0.35">
      <c r="A2742" s="12">
        <v>2725</v>
      </c>
      <c r="B2742" s="10" t="s">
        <v>1015</v>
      </c>
      <c r="C2742" s="11" t="s">
        <v>1205</v>
      </c>
      <c r="D2742" s="9">
        <v>2</v>
      </c>
      <c r="E2742" s="9">
        <v>254</v>
      </c>
      <c r="F2742" s="10" t="s">
        <v>1066</v>
      </c>
      <c r="G2742" s="9">
        <v>931</v>
      </c>
      <c r="H2742" s="9">
        <v>1995</v>
      </c>
      <c r="I2742" s="8">
        <v>9.9710000000000001</v>
      </c>
      <c r="J2742" s="8">
        <v>7.9960000000000004</v>
      </c>
      <c r="K2742" s="8">
        <v>6.6740000000000004</v>
      </c>
      <c r="L2742" s="8">
        <v>6.6050000000000004</v>
      </c>
      <c r="M2742" s="8">
        <v>5.1710000000000003</v>
      </c>
      <c r="N2742" s="8">
        <v>5.1120000000000001</v>
      </c>
      <c r="O2742" s="8">
        <v>6.4610000000000003</v>
      </c>
      <c r="P2742" s="8">
        <v>5.4790000000000001</v>
      </c>
      <c r="Q2742" s="8">
        <v>5.0759999999999996</v>
      </c>
      <c r="R2742" s="8">
        <v>3.7890000000000001</v>
      </c>
      <c r="S2742" s="8">
        <v>2.9460000000000002</v>
      </c>
      <c r="T2742" s="8">
        <v>2.222</v>
      </c>
      <c r="U2742" s="8">
        <v>1.3120000000000001</v>
      </c>
      <c r="V2742" s="8">
        <v>1.02</v>
      </c>
      <c r="W2742" s="8">
        <v>0.64200000000000002</v>
      </c>
      <c r="X2742" s="8">
        <v>0.39900000000000002</v>
      </c>
      <c r="Y2742" s="8">
        <v>0.23200000000000001</v>
      </c>
      <c r="Z2742" s="8">
        <v>8.3000000000000004E-2</v>
      </c>
      <c r="AA2742" s="8">
        <v>0.02</v>
      </c>
      <c r="AB2742" s="8">
        <v>2E-3</v>
      </c>
      <c r="AC2742" s="8">
        <v>0</v>
      </c>
    </row>
    <row r="2743" spans="1:29" ht="11.65" x14ac:dyDescent="0.35">
      <c r="A2743" s="12">
        <v>2726</v>
      </c>
      <c r="B2743" s="10" t="s">
        <v>1015</v>
      </c>
      <c r="C2743" s="11" t="s">
        <v>1205</v>
      </c>
      <c r="D2743" s="9">
        <v>2</v>
      </c>
      <c r="E2743" s="9">
        <v>254</v>
      </c>
      <c r="F2743" s="10" t="s">
        <v>1066</v>
      </c>
      <c r="G2743" s="9">
        <v>931</v>
      </c>
      <c r="H2743" s="9">
        <v>2000</v>
      </c>
      <c r="I2743" s="8">
        <v>11.102</v>
      </c>
      <c r="J2743" s="8">
        <v>10.318</v>
      </c>
      <c r="K2743" s="8">
        <v>8.6760000000000002</v>
      </c>
      <c r="L2743" s="8">
        <v>7.04</v>
      </c>
      <c r="M2743" s="8">
        <v>6.8470000000000004</v>
      </c>
      <c r="N2743" s="8">
        <v>5.6580000000000004</v>
      </c>
      <c r="O2743" s="8">
        <v>5.6479999999999997</v>
      </c>
      <c r="P2743" s="8">
        <v>6.7949999999999999</v>
      </c>
      <c r="Q2743" s="8">
        <v>5.6070000000000002</v>
      </c>
      <c r="R2743" s="8">
        <v>5.0519999999999996</v>
      </c>
      <c r="S2743" s="8">
        <v>3.746</v>
      </c>
      <c r="T2743" s="8">
        <v>2.8410000000000002</v>
      </c>
      <c r="U2743" s="8">
        <v>2.04</v>
      </c>
      <c r="V2743" s="8">
        <v>1.1619999999999999</v>
      </c>
      <c r="W2743" s="8">
        <v>0.84499999999999997</v>
      </c>
      <c r="X2743" s="8">
        <v>0.47</v>
      </c>
      <c r="Y2743" s="8">
        <v>0.247</v>
      </c>
      <c r="Z2743" s="8">
        <v>0.10299999999999999</v>
      </c>
      <c r="AA2743" s="8">
        <v>2.1999999999999999E-2</v>
      </c>
      <c r="AB2743" s="8">
        <v>3.0000000000000001E-3</v>
      </c>
      <c r="AC2743" s="8">
        <v>0</v>
      </c>
    </row>
    <row r="2744" spans="1:29" ht="11.65" x14ac:dyDescent="0.35">
      <c r="A2744" s="12">
        <v>2727</v>
      </c>
      <c r="B2744" s="10" t="s">
        <v>1015</v>
      </c>
      <c r="C2744" s="11" t="s">
        <v>1205</v>
      </c>
      <c r="D2744" s="9">
        <v>2</v>
      </c>
      <c r="E2744" s="9">
        <v>254</v>
      </c>
      <c r="F2744" s="10" t="s">
        <v>1066</v>
      </c>
      <c r="G2744" s="9">
        <v>931</v>
      </c>
      <c r="H2744" s="9">
        <v>2005</v>
      </c>
      <c r="I2744" s="8">
        <v>13.432</v>
      </c>
      <c r="J2744" s="8">
        <v>12.087</v>
      </c>
      <c r="K2744" s="8">
        <v>11.196999999999999</v>
      </c>
      <c r="L2744" s="8">
        <v>9.3360000000000003</v>
      </c>
      <c r="M2744" s="8">
        <v>7.157</v>
      </c>
      <c r="N2744" s="8">
        <v>6.6909999999999998</v>
      </c>
      <c r="O2744" s="8">
        <v>7.234</v>
      </c>
      <c r="P2744" s="8">
        <v>7.3049999999999997</v>
      </c>
      <c r="Q2744" s="8">
        <v>6.7729999999999997</v>
      </c>
      <c r="R2744" s="8">
        <v>5.641</v>
      </c>
      <c r="S2744" s="8">
        <v>4.7789999999999999</v>
      </c>
      <c r="T2744" s="8">
        <v>3.3090000000000002</v>
      </c>
      <c r="U2744" s="8">
        <v>2.2970000000000002</v>
      </c>
      <c r="V2744" s="8">
        <v>1.218</v>
      </c>
      <c r="W2744" s="8">
        <v>0.872</v>
      </c>
      <c r="X2744" s="8">
        <v>0.65400000000000003</v>
      </c>
      <c r="Y2744" s="8">
        <v>0.376</v>
      </c>
      <c r="Z2744" s="8">
        <v>0.16600000000000001</v>
      </c>
      <c r="AA2744" s="8">
        <v>0.03</v>
      </c>
      <c r="AB2744" s="8">
        <v>3.0000000000000001E-3</v>
      </c>
      <c r="AC2744" s="8">
        <v>0</v>
      </c>
    </row>
    <row r="2745" spans="1:29" ht="11.65" x14ac:dyDescent="0.35">
      <c r="A2745" s="12">
        <v>2728</v>
      </c>
      <c r="B2745" s="10" t="s">
        <v>1015</v>
      </c>
      <c r="C2745" s="11" t="s">
        <v>1205</v>
      </c>
      <c r="D2745" s="9">
        <v>2</v>
      </c>
      <c r="E2745" s="9">
        <v>254</v>
      </c>
      <c r="F2745" s="10" t="s">
        <v>1066</v>
      </c>
      <c r="G2745" s="9">
        <v>931</v>
      </c>
      <c r="H2745" s="9">
        <v>2010</v>
      </c>
      <c r="I2745" s="8">
        <v>15.56</v>
      </c>
      <c r="J2745" s="8">
        <v>13.847</v>
      </c>
      <c r="K2745" s="8">
        <v>12.191000000000001</v>
      </c>
      <c r="L2745" s="8">
        <v>10.147</v>
      </c>
      <c r="M2745" s="8">
        <v>8.1920000000000002</v>
      </c>
      <c r="N2745" s="8">
        <v>8.0280000000000005</v>
      </c>
      <c r="O2745" s="8">
        <v>8.8209999999999997</v>
      </c>
      <c r="P2745" s="8">
        <v>8.6539999999999999</v>
      </c>
      <c r="Q2745" s="8">
        <v>7.6760000000000002</v>
      </c>
      <c r="R2745" s="8">
        <v>6.4779999999999998</v>
      </c>
      <c r="S2745" s="8">
        <v>5.194</v>
      </c>
      <c r="T2745" s="8">
        <v>4.2910000000000004</v>
      </c>
      <c r="U2745" s="8">
        <v>2.87</v>
      </c>
      <c r="V2745" s="8">
        <v>1.9650000000000001</v>
      </c>
      <c r="W2745" s="8">
        <v>0.96199999999999997</v>
      </c>
      <c r="X2745" s="8">
        <v>0.70899999999999996</v>
      </c>
      <c r="Y2745" s="8">
        <v>0.57799999999999996</v>
      </c>
      <c r="Z2745" s="8">
        <v>0.23400000000000001</v>
      </c>
      <c r="AA2745" s="8">
        <v>5.0999999999999997E-2</v>
      </c>
      <c r="AB2745" s="8">
        <v>5.0000000000000001E-3</v>
      </c>
      <c r="AC2745" s="8">
        <v>0</v>
      </c>
    </row>
    <row r="2746" spans="1:29" ht="11.65" x14ac:dyDescent="0.35">
      <c r="A2746" s="12">
        <v>2729</v>
      </c>
      <c r="B2746" s="10" t="s">
        <v>1015</v>
      </c>
      <c r="C2746" s="11" t="s">
        <v>1205</v>
      </c>
      <c r="D2746" s="9">
        <v>2</v>
      </c>
      <c r="E2746" s="9">
        <v>254</v>
      </c>
      <c r="F2746" s="10" t="s">
        <v>1066</v>
      </c>
      <c r="G2746" s="9">
        <v>931</v>
      </c>
      <c r="H2746" s="9">
        <v>2015</v>
      </c>
      <c r="I2746" s="8">
        <v>15.585000000000001</v>
      </c>
      <c r="J2746" s="8">
        <v>14.573</v>
      </c>
      <c r="K2746" s="8">
        <v>14.042999999999999</v>
      </c>
      <c r="L2746" s="8">
        <v>12.233000000000001</v>
      </c>
      <c r="M2746" s="8">
        <v>9.4649999999999999</v>
      </c>
      <c r="N2746" s="8">
        <v>8.1180000000000003</v>
      </c>
      <c r="O2746" s="8">
        <v>9.1760000000000002</v>
      </c>
      <c r="P2746" s="8">
        <v>9.4260000000000002</v>
      </c>
      <c r="Q2746" s="8">
        <v>8.5350000000000001</v>
      </c>
      <c r="R2746" s="8">
        <v>7.3440000000000003</v>
      </c>
      <c r="S2746" s="8">
        <v>5.976</v>
      </c>
      <c r="T2746" s="8">
        <v>4.968</v>
      </c>
      <c r="U2746" s="8">
        <v>4.0229999999999997</v>
      </c>
      <c r="V2746" s="8">
        <v>2.5310000000000001</v>
      </c>
      <c r="W2746" s="8">
        <v>1.61</v>
      </c>
      <c r="X2746" s="8">
        <v>0.76900000000000002</v>
      </c>
      <c r="Y2746" s="8">
        <v>0.249</v>
      </c>
      <c r="Z2746" s="8">
        <v>0.153</v>
      </c>
      <c r="AA2746" s="8">
        <v>7.8E-2</v>
      </c>
      <c r="AB2746" s="8">
        <v>8.0000000000000002E-3</v>
      </c>
      <c r="AC2746" s="8">
        <v>0</v>
      </c>
    </row>
    <row r="2747" spans="1:29" ht="11.65" x14ac:dyDescent="0.35">
      <c r="A2747" s="12">
        <v>2730</v>
      </c>
      <c r="B2747" s="10" t="s">
        <v>1015</v>
      </c>
      <c r="C2747" s="11" t="s">
        <v>1205</v>
      </c>
      <c r="D2747" s="9">
        <v>2</v>
      </c>
      <c r="E2747" s="9">
        <v>254</v>
      </c>
      <c r="F2747" s="10" t="s">
        <v>1066</v>
      </c>
      <c r="G2747" s="9">
        <v>931</v>
      </c>
      <c r="H2747" s="9">
        <v>2020</v>
      </c>
      <c r="I2747" s="8">
        <v>18.222000000000001</v>
      </c>
      <c r="J2747" s="8">
        <v>15.696999999999999</v>
      </c>
      <c r="K2747" s="8">
        <v>14.63</v>
      </c>
      <c r="L2747" s="8">
        <v>14.212999999999999</v>
      </c>
      <c r="M2747" s="8">
        <v>12.646000000000001</v>
      </c>
      <c r="N2747" s="8">
        <v>9.9949999999999992</v>
      </c>
      <c r="O2747" s="8">
        <v>8.5739999999999998</v>
      </c>
      <c r="P2747" s="8">
        <v>9.4949999999999992</v>
      </c>
      <c r="Q2747" s="8">
        <v>9.6210000000000004</v>
      </c>
      <c r="R2747" s="8">
        <v>8.6259999999999994</v>
      </c>
      <c r="S2747" s="8">
        <v>7.3440000000000003</v>
      </c>
      <c r="T2747" s="8">
        <v>5.891</v>
      </c>
      <c r="U2747" s="8">
        <v>4.79</v>
      </c>
      <c r="V2747" s="8">
        <v>3.7490000000000001</v>
      </c>
      <c r="W2747" s="8">
        <v>2.2320000000000002</v>
      </c>
      <c r="X2747" s="8">
        <v>1.2969999999999999</v>
      </c>
      <c r="Y2747" s="8">
        <v>0.52900000000000003</v>
      </c>
      <c r="Z2747" s="8">
        <v>0.13100000000000001</v>
      </c>
      <c r="AA2747" s="8">
        <v>5.2999999999999999E-2</v>
      </c>
      <c r="AB2747" s="8">
        <v>1.4E-2</v>
      </c>
      <c r="AC2747" s="8">
        <v>1E-3</v>
      </c>
    </row>
    <row r="2748" spans="1:29" ht="11.65" x14ac:dyDescent="0.35">
      <c r="A2748" s="12">
        <v>2731</v>
      </c>
      <c r="B2748" s="10" t="s">
        <v>1015</v>
      </c>
      <c r="C2748" s="11" t="s">
        <v>1206</v>
      </c>
      <c r="D2748" s="9"/>
      <c r="E2748" s="9">
        <v>328</v>
      </c>
      <c r="F2748" s="10" t="s">
        <v>1066</v>
      </c>
      <c r="G2748" s="9">
        <v>931</v>
      </c>
      <c r="H2748" s="9">
        <v>1950</v>
      </c>
      <c r="I2748" s="8">
        <v>34.625</v>
      </c>
      <c r="J2748" s="8">
        <v>25.19</v>
      </c>
      <c r="K2748" s="8">
        <v>22.199000000000002</v>
      </c>
      <c r="L2748" s="8">
        <v>19.149000000000001</v>
      </c>
      <c r="M2748" s="8">
        <v>17.035</v>
      </c>
      <c r="N2748" s="8">
        <v>13.683999999999999</v>
      </c>
      <c r="O2748" s="8">
        <v>13.265000000000001</v>
      </c>
      <c r="P2748" s="8">
        <v>11.945</v>
      </c>
      <c r="Q2748" s="8">
        <v>10.840999999999999</v>
      </c>
      <c r="R2748" s="8">
        <v>10.045</v>
      </c>
      <c r="S2748" s="8">
        <v>7.3250000000000002</v>
      </c>
      <c r="T2748" s="8">
        <v>5.6689999999999996</v>
      </c>
      <c r="U2748" s="8">
        <v>4.12</v>
      </c>
      <c r="V2748" s="8">
        <v>3.0049999999999999</v>
      </c>
      <c r="W2748" s="8">
        <v>1.92</v>
      </c>
      <c r="X2748" s="8">
        <v>0.92</v>
      </c>
      <c r="Y2748" s="8">
        <v>0.42</v>
      </c>
      <c r="Z2748" s="8">
        <v>0.20399999999999999</v>
      </c>
      <c r="AA2748" s="8">
        <v>0.10299999999999999</v>
      </c>
      <c r="AB2748" s="8">
        <v>5.1999999999999998E-2</v>
      </c>
      <c r="AC2748" s="8">
        <v>2.5999999999999999E-2</v>
      </c>
    </row>
    <row r="2749" spans="1:29" ht="11.65" x14ac:dyDescent="0.35">
      <c r="A2749" s="12">
        <v>2732</v>
      </c>
      <c r="B2749" s="10" t="s">
        <v>1015</v>
      </c>
      <c r="C2749" s="11" t="s">
        <v>1206</v>
      </c>
      <c r="D2749" s="9"/>
      <c r="E2749" s="9">
        <v>328</v>
      </c>
      <c r="F2749" s="10" t="s">
        <v>1066</v>
      </c>
      <c r="G2749" s="9">
        <v>931</v>
      </c>
      <c r="H2749" s="9">
        <v>1955</v>
      </c>
      <c r="I2749" s="8">
        <v>46.527000000000001</v>
      </c>
      <c r="J2749" s="8">
        <v>33.779000000000003</v>
      </c>
      <c r="K2749" s="8">
        <v>24.904</v>
      </c>
      <c r="L2749" s="8">
        <v>23.048999999999999</v>
      </c>
      <c r="M2749" s="8">
        <v>18.986999999999998</v>
      </c>
      <c r="N2749" s="8">
        <v>16.109000000000002</v>
      </c>
      <c r="O2749" s="8">
        <v>13.801</v>
      </c>
      <c r="P2749" s="8">
        <v>13.292</v>
      </c>
      <c r="Q2749" s="8">
        <v>11.472</v>
      </c>
      <c r="R2749" s="8">
        <v>11.023999999999999</v>
      </c>
      <c r="S2749" s="8">
        <v>8.407</v>
      </c>
      <c r="T2749" s="8">
        <v>6.7809999999999997</v>
      </c>
      <c r="U2749" s="8">
        <v>4.8949999999999996</v>
      </c>
      <c r="V2749" s="8">
        <v>3.323</v>
      </c>
      <c r="W2749" s="8">
        <v>2.0510000000000002</v>
      </c>
      <c r="X2749" s="8">
        <v>1.079</v>
      </c>
      <c r="Y2749" s="8">
        <v>0.65200000000000002</v>
      </c>
      <c r="Z2749" s="8">
        <v>0.155</v>
      </c>
      <c r="AA2749" s="8">
        <v>4.9000000000000002E-2</v>
      </c>
      <c r="AB2749" s="8">
        <v>1.4E-2</v>
      </c>
      <c r="AC2749" s="8">
        <v>6.0000000000000001E-3</v>
      </c>
    </row>
    <row r="2750" spans="1:29" ht="11.65" x14ac:dyDescent="0.35">
      <c r="A2750" s="12">
        <v>2733</v>
      </c>
      <c r="B2750" s="10" t="s">
        <v>1015</v>
      </c>
      <c r="C2750" s="11" t="s">
        <v>1206</v>
      </c>
      <c r="D2750" s="9"/>
      <c r="E2750" s="9">
        <v>328</v>
      </c>
      <c r="F2750" s="10" t="s">
        <v>1066</v>
      </c>
      <c r="G2750" s="9">
        <v>931</v>
      </c>
      <c r="H2750" s="9">
        <v>1960</v>
      </c>
      <c r="I2750" s="8">
        <v>55.499000000000002</v>
      </c>
      <c r="J2750" s="8">
        <v>45.337000000000003</v>
      </c>
      <c r="K2750" s="8">
        <v>33.872</v>
      </c>
      <c r="L2750" s="8">
        <v>26.59</v>
      </c>
      <c r="M2750" s="8">
        <v>21.795999999999999</v>
      </c>
      <c r="N2750" s="8">
        <v>17.568000000000001</v>
      </c>
      <c r="O2750" s="8">
        <v>16.84</v>
      </c>
      <c r="P2750" s="8">
        <v>13.717000000000001</v>
      </c>
      <c r="Q2750" s="8">
        <v>12.147</v>
      </c>
      <c r="R2750" s="8">
        <v>12.038</v>
      </c>
      <c r="S2750" s="8">
        <v>9.5030000000000001</v>
      </c>
      <c r="T2750" s="8">
        <v>7.9020000000000001</v>
      </c>
      <c r="U2750" s="8">
        <v>5.6609999999999996</v>
      </c>
      <c r="V2750" s="8">
        <v>3.6360000000000001</v>
      </c>
      <c r="W2750" s="8">
        <v>2.1709999999999998</v>
      </c>
      <c r="X2750" s="8">
        <v>1.2310000000000001</v>
      </c>
      <c r="Y2750" s="8">
        <v>0.66300000000000003</v>
      </c>
      <c r="Z2750" s="8">
        <v>0.23899999999999999</v>
      </c>
      <c r="AA2750" s="8">
        <v>3.5999999999999997E-2</v>
      </c>
      <c r="AB2750" s="8">
        <v>6.0000000000000001E-3</v>
      </c>
      <c r="AC2750" s="8">
        <v>2E-3</v>
      </c>
    </row>
    <row r="2751" spans="1:29" ht="11.65" x14ac:dyDescent="0.35">
      <c r="A2751" s="12">
        <v>2734</v>
      </c>
      <c r="B2751" s="10" t="s">
        <v>1015</v>
      </c>
      <c r="C2751" s="11" t="s">
        <v>1206</v>
      </c>
      <c r="D2751" s="9"/>
      <c r="E2751" s="9">
        <v>328</v>
      </c>
      <c r="F2751" s="10" t="s">
        <v>1066</v>
      </c>
      <c r="G2751" s="9">
        <v>931</v>
      </c>
      <c r="H2751" s="9">
        <v>1965</v>
      </c>
      <c r="I2751" s="8">
        <v>58.524999999999999</v>
      </c>
      <c r="J2751" s="8">
        <v>54.22</v>
      </c>
      <c r="K2751" s="8">
        <v>44.945999999999998</v>
      </c>
      <c r="L2751" s="8">
        <v>33.381999999999998</v>
      </c>
      <c r="M2751" s="8">
        <v>25.552</v>
      </c>
      <c r="N2751" s="8">
        <v>19.587</v>
      </c>
      <c r="O2751" s="8">
        <v>16.619</v>
      </c>
      <c r="P2751" s="8">
        <v>15.851000000000001</v>
      </c>
      <c r="Q2751" s="8">
        <v>12.41</v>
      </c>
      <c r="R2751" s="8">
        <v>12.491</v>
      </c>
      <c r="S2751" s="8">
        <v>9.9730000000000008</v>
      </c>
      <c r="T2751" s="8">
        <v>8.81</v>
      </c>
      <c r="U2751" s="8">
        <v>6.1630000000000003</v>
      </c>
      <c r="V2751" s="8">
        <v>4.6139999999999999</v>
      </c>
      <c r="W2751" s="8">
        <v>2.7050000000000001</v>
      </c>
      <c r="X2751" s="8">
        <v>1.3660000000000001</v>
      </c>
      <c r="Y2751" s="8">
        <v>0.72199999999999998</v>
      </c>
      <c r="Z2751" s="8">
        <v>0.24299999999999999</v>
      </c>
      <c r="AA2751" s="8">
        <v>5.6000000000000001E-2</v>
      </c>
      <c r="AB2751" s="8">
        <v>5.0000000000000001E-3</v>
      </c>
      <c r="AC2751" s="8">
        <v>1E-3</v>
      </c>
    </row>
    <row r="2752" spans="1:29" ht="11.65" x14ac:dyDescent="0.35">
      <c r="A2752" s="12">
        <v>2735</v>
      </c>
      <c r="B2752" s="10" t="s">
        <v>1015</v>
      </c>
      <c r="C2752" s="11" t="s">
        <v>1206</v>
      </c>
      <c r="D2752" s="9"/>
      <c r="E2752" s="9">
        <v>328</v>
      </c>
      <c r="F2752" s="10" t="s">
        <v>1066</v>
      </c>
      <c r="G2752" s="9">
        <v>931</v>
      </c>
      <c r="H2752" s="9">
        <v>1970</v>
      </c>
      <c r="I2752" s="8">
        <v>59.832999999999998</v>
      </c>
      <c r="J2752" s="8">
        <v>57.302</v>
      </c>
      <c r="K2752" s="8">
        <v>50.957000000000001</v>
      </c>
      <c r="L2752" s="8">
        <v>41.009</v>
      </c>
      <c r="M2752" s="8">
        <v>28.204000000000001</v>
      </c>
      <c r="N2752" s="8">
        <v>20.413</v>
      </c>
      <c r="O2752" s="8">
        <v>17.192</v>
      </c>
      <c r="P2752" s="8">
        <v>15.52</v>
      </c>
      <c r="Q2752" s="8">
        <v>14.462</v>
      </c>
      <c r="R2752" s="8">
        <v>11.65</v>
      </c>
      <c r="S2752" s="8">
        <v>10.167</v>
      </c>
      <c r="T2752" s="8">
        <v>9.5030000000000001</v>
      </c>
      <c r="U2752" s="8">
        <v>6.5</v>
      </c>
      <c r="V2752" s="8">
        <v>5.4749999999999996</v>
      </c>
      <c r="W2752" s="8">
        <v>3.133</v>
      </c>
      <c r="X2752" s="8">
        <v>1.4379999999999999</v>
      </c>
      <c r="Y2752" s="8">
        <v>0.746</v>
      </c>
      <c r="Z2752" s="8">
        <v>0.26400000000000001</v>
      </c>
      <c r="AA2752" s="8">
        <v>5.5E-2</v>
      </c>
      <c r="AB2752" s="8">
        <v>6.0000000000000001E-3</v>
      </c>
      <c r="AC2752" s="8">
        <v>0</v>
      </c>
    </row>
    <row r="2753" spans="1:29" ht="11.65" x14ac:dyDescent="0.35">
      <c r="A2753" s="12">
        <v>2736</v>
      </c>
      <c r="B2753" s="10" t="s">
        <v>1015</v>
      </c>
      <c r="C2753" s="11" t="s">
        <v>1206</v>
      </c>
      <c r="D2753" s="9"/>
      <c r="E2753" s="9">
        <v>328</v>
      </c>
      <c r="F2753" s="10" t="s">
        <v>1066</v>
      </c>
      <c r="G2753" s="9">
        <v>931</v>
      </c>
      <c r="H2753" s="9">
        <v>1975</v>
      </c>
      <c r="I2753" s="8">
        <v>60.234999999999999</v>
      </c>
      <c r="J2753" s="8">
        <v>58.646999999999998</v>
      </c>
      <c r="K2753" s="8">
        <v>49.518000000000001</v>
      </c>
      <c r="L2753" s="8">
        <v>44.595999999999997</v>
      </c>
      <c r="M2753" s="8">
        <v>34.366999999999997</v>
      </c>
      <c r="N2753" s="8">
        <v>24.623000000000001</v>
      </c>
      <c r="O2753" s="8">
        <v>20.163</v>
      </c>
      <c r="P2753" s="8">
        <v>17.007000000000001</v>
      </c>
      <c r="Q2753" s="8">
        <v>14.125</v>
      </c>
      <c r="R2753" s="8">
        <v>13.141999999999999</v>
      </c>
      <c r="S2753" s="8">
        <v>10.053000000000001</v>
      </c>
      <c r="T2753" s="8">
        <v>9.4559999999999995</v>
      </c>
      <c r="U2753" s="8">
        <v>6.6340000000000003</v>
      </c>
      <c r="V2753" s="8">
        <v>5.8970000000000002</v>
      </c>
      <c r="W2753" s="8">
        <v>3.4</v>
      </c>
      <c r="X2753" s="8">
        <v>1.9470000000000001</v>
      </c>
      <c r="Y2753" s="8">
        <v>1.0129999999999999</v>
      </c>
      <c r="Z2753" s="8">
        <v>0.27300000000000002</v>
      </c>
      <c r="AA2753" s="8">
        <v>5.8999999999999997E-2</v>
      </c>
      <c r="AB2753" s="8">
        <v>7.0000000000000001E-3</v>
      </c>
      <c r="AC2753" s="8">
        <v>1E-3</v>
      </c>
    </row>
    <row r="2754" spans="1:29" ht="11.65" x14ac:dyDescent="0.35">
      <c r="A2754" s="12">
        <v>2737</v>
      </c>
      <c r="B2754" s="10" t="s">
        <v>1015</v>
      </c>
      <c r="C2754" s="11" t="s">
        <v>1206</v>
      </c>
      <c r="D2754" s="9"/>
      <c r="E2754" s="9">
        <v>328</v>
      </c>
      <c r="F2754" s="10" t="s">
        <v>1066</v>
      </c>
      <c r="G2754" s="9">
        <v>931</v>
      </c>
      <c r="H2754" s="9">
        <v>1980</v>
      </c>
      <c r="I2754" s="8">
        <v>54.600999999999999</v>
      </c>
      <c r="J2754" s="8">
        <v>57.161999999999999</v>
      </c>
      <c r="K2754" s="8">
        <v>56.097000000000001</v>
      </c>
      <c r="L2754" s="8">
        <v>45.796999999999997</v>
      </c>
      <c r="M2754" s="8">
        <v>38.783000000000001</v>
      </c>
      <c r="N2754" s="8">
        <v>30.448</v>
      </c>
      <c r="O2754" s="8">
        <v>22.484999999999999</v>
      </c>
      <c r="P2754" s="8">
        <v>17.77</v>
      </c>
      <c r="Q2754" s="8">
        <v>15.087999999999999</v>
      </c>
      <c r="R2754" s="8">
        <v>12.914999999999999</v>
      </c>
      <c r="S2754" s="8">
        <v>12.063000000000001</v>
      </c>
      <c r="T2754" s="8">
        <v>8.6029999999999998</v>
      </c>
      <c r="U2754" s="8">
        <v>6.8029999999999999</v>
      </c>
      <c r="V2754" s="8">
        <v>6.3209999999999997</v>
      </c>
      <c r="W2754" s="8">
        <v>3.6469999999999998</v>
      </c>
      <c r="X2754" s="8">
        <v>2.4460000000000002</v>
      </c>
      <c r="Y2754" s="8">
        <v>1.244</v>
      </c>
      <c r="Z2754" s="8">
        <v>0.37</v>
      </c>
      <c r="AA2754" s="8">
        <v>6.0999999999999999E-2</v>
      </c>
      <c r="AB2754" s="8">
        <v>7.0000000000000001E-3</v>
      </c>
      <c r="AC2754" s="8">
        <v>1E-3</v>
      </c>
    </row>
    <row r="2755" spans="1:29" ht="11.65" x14ac:dyDescent="0.35">
      <c r="A2755" s="12">
        <v>2738</v>
      </c>
      <c r="B2755" s="10" t="s">
        <v>1015</v>
      </c>
      <c r="C2755" s="11" t="s">
        <v>1206</v>
      </c>
      <c r="D2755" s="9"/>
      <c r="E2755" s="9">
        <v>328</v>
      </c>
      <c r="F2755" s="10" t="s">
        <v>1066</v>
      </c>
      <c r="G2755" s="9">
        <v>931</v>
      </c>
      <c r="H2755" s="9">
        <v>1985</v>
      </c>
      <c r="I2755" s="8">
        <v>52.834000000000003</v>
      </c>
      <c r="J2755" s="8">
        <v>48.828000000000003</v>
      </c>
      <c r="K2755" s="8">
        <v>51.807000000000002</v>
      </c>
      <c r="L2755" s="8">
        <v>47.77</v>
      </c>
      <c r="M2755" s="8">
        <v>42.750999999999998</v>
      </c>
      <c r="N2755" s="8">
        <v>32.173999999999999</v>
      </c>
      <c r="O2755" s="8">
        <v>25.884</v>
      </c>
      <c r="P2755" s="8">
        <v>17.347999999999999</v>
      </c>
      <c r="Q2755" s="8">
        <v>13.859</v>
      </c>
      <c r="R2755" s="8">
        <v>12.946</v>
      </c>
      <c r="S2755" s="8">
        <v>11.378</v>
      </c>
      <c r="T2755" s="8">
        <v>9.548</v>
      </c>
      <c r="U2755" s="8">
        <v>3.863</v>
      </c>
      <c r="V2755" s="8">
        <v>7.5979999999999999</v>
      </c>
      <c r="W2755" s="8">
        <v>2.819</v>
      </c>
      <c r="X2755" s="8">
        <v>2.9359999999999999</v>
      </c>
      <c r="Y2755" s="8">
        <v>1.839</v>
      </c>
      <c r="Z2755" s="8">
        <v>0.45400000000000001</v>
      </c>
      <c r="AA2755" s="8">
        <v>8.3000000000000004E-2</v>
      </c>
      <c r="AB2755" s="8">
        <v>8.9999999999999993E-3</v>
      </c>
      <c r="AC2755" s="8">
        <v>1E-3</v>
      </c>
    </row>
    <row r="2756" spans="1:29" ht="11.65" x14ac:dyDescent="0.35">
      <c r="A2756" s="12">
        <v>2739</v>
      </c>
      <c r="B2756" s="10" t="s">
        <v>1015</v>
      </c>
      <c r="C2756" s="11" t="s">
        <v>1206</v>
      </c>
      <c r="D2756" s="9"/>
      <c r="E2756" s="9">
        <v>328</v>
      </c>
      <c r="F2756" s="10" t="s">
        <v>1066</v>
      </c>
      <c r="G2756" s="9">
        <v>931</v>
      </c>
      <c r="H2756" s="9">
        <v>1990</v>
      </c>
      <c r="I2756" s="8">
        <v>45.119</v>
      </c>
      <c r="J2756" s="8">
        <v>45.283999999999999</v>
      </c>
      <c r="K2756" s="8">
        <v>44.06</v>
      </c>
      <c r="L2756" s="8">
        <v>41.597000000000001</v>
      </c>
      <c r="M2756" s="8">
        <v>38.366</v>
      </c>
      <c r="N2756" s="8">
        <v>33.729999999999997</v>
      </c>
      <c r="O2756" s="8">
        <v>27.507999999999999</v>
      </c>
      <c r="P2756" s="8">
        <v>21.774000000000001</v>
      </c>
      <c r="Q2756" s="8">
        <v>17.295999999999999</v>
      </c>
      <c r="R2756" s="8">
        <v>12.503</v>
      </c>
      <c r="S2756" s="8">
        <v>11.055999999999999</v>
      </c>
      <c r="T2756" s="8">
        <v>8.09</v>
      </c>
      <c r="U2756" s="8">
        <v>6.851</v>
      </c>
      <c r="V2756" s="8">
        <v>5.7430000000000003</v>
      </c>
      <c r="W2756" s="8">
        <v>3.665</v>
      </c>
      <c r="X2756" s="8">
        <v>1.8069999999999999</v>
      </c>
      <c r="Y2756" s="8">
        <v>1.506</v>
      </c>
      <c r="Z2756" s="8">
        <v>0.66500000000000004</v>
      </c>
      <c r="AA2756" s="8">
        <v>0.10100000000000001</v>
      </c>
      <c r="AB2756" s="8">
        <v>0.01</v>
      </c>
      <c r="AC2756" s="8">
        <v>1E-3</v>
      </c>
    </row>
    <row r="2757" spans="1:29" ht="11.65" x14ac:dyDescent="0.35">
      <c r="A2757" s="12">
        <v>2740</v>
      </c>
      <c r="B2757" s="10" t="s">
        <v>1015</v>
      </c>
      <c r="C2757" s="11" t="s">
        <v>1206</v>
      </c>
      <c r="D2757" s="9"/>
      <c r="E2757" s="9">
        <v>328</v>
      </c>
      <c r="F2757" s="10" t="s">
        <v>1066</v>
      </c>
      <c r="G2757" s="9">
        <v>931</v>
      </c>
      <c r="H2757" s="9">
        <v>1995</v>
      </c>
      <c r="I2757" s="8">
        <v>50.811999999999998</v>
      </c>
      <c r="J2757" s="8">
        <v>43.670999999999999</v>
      </c>
      <c r="K2757" s="8">
        <v>44.237000000000002</v>
      </c>
      <c r="L2757" s="8">
        <v>40.442</v>
      </c>
      <c r="M2757" s="8">
        <v>35.241999999999997</v>
      </c>
      <c r="N2757" s="8">
        <v>32.154000000000003</v>
      </c>
      <c r="O2757" s="8">
        <v>28.882000000000001</v>
      </c>
      <c r="P2757" s="8">
        <v>23.954999999999998</v>
      </c>
      <c r="Q2757" s="8">
        <v>19.161000000000001</v>
      </c>
      <c r="R2757" s="8">
        <v>15.295</v>
      </c>
      <c r="S2757" s="8">
        <v>10.936</v>
      </c>
      <c r="T2757" s="8">
        <v>9.5939999999999994</v>
      </c>
      <c r="U2757" s="8">
        <v>6.7690000000000001</v>
      </c>
      <c r="V2757" s="8">
        <v>5.4409999999999998</v>
      </c>
      <c r="W2757" s="8">
        <v>4.1760000000000002</v>
      </c>
      <c r="X2757" s="8">
        <v>2.379</v>
      </c>
      <c r="Y2757" s="8">
        <v>0.92800000000000005</v>
      </c>
      <c r="Z2757" s="8">
        <v>0.54600000000000004</v>
      </c>
      <c r="AA2757" s="8">
        <v>0.14899999999999999</v>
      </c>
      <c r="AB2757" s="8">
        <v>1.2999999999999999E-2</v>
      </c>
      <c r="AC2757" s="8">
        <v>1E-3</v>
      </c>
    </row>
    <row r="2758" spans="1:29" ht="11.65" x14ac:dyDescent="0.35">
      <c r="A2758" s="12">
        <v>2741</v>
      </c>
      <c r="B2758" s="10" t="s">
        <v>1015</v>
      </c>
      <c r="C2758" s="11" t="s">
        <v>1206</v>
      </c>
      <c r="D2758" s="9"/>
      <c r="E2758" s="9">
        <v>328</v>
      </c>
      <c r="F2758" s="10" t="s">
        <v>1066</v>
      </c>
      <c r="G2758" s="9">
        <v>931</v>
      </c>
      <c r="H2758" s="9">
        <v>2000</v>
      </c>
      <c r="I2758" s="8">
        <v>48.878999999999998</v>
      </c>
      <c r="J2758" s="8">
        <v>47.978999999999999</v>
      </c>
      <c r="K2758" s="8">
        <v>37.533999999999999</v>
      </c>
      <c r="L2758" s="8">
        <v>33.912999999999997</v>
      </c>
      <c r="M2758" s="8">
        <v>34.198</v>
      </c>
      <c r="N2758" s="8">
        <v>31.984000000000002</v>
      </c>
      <c r="O2758" s="8">
        <v>29.66</v>
      </c>
      <c r="P2758" s="8">
        <v>26.204000000000001</v>
      </c>
      <c r="Q2758" s="8">
        <v>22.466000000000001</v>
      </c>
      <c r="R2758" s="8">
        <v>16.581</v>
      </c>
      <c r="S2758" s="8">
        <v>13.364000000000001</v>
      </c>
      <c r="T2758" s="8">
        <v>7.5730000000000004</v>
      </c>
      <c r="U2758" s="8">
        <v>7.665</v>
      </c>
      <c r="V2758" s="8">
        <v>5.1520000000000001</v>
      </c>
      <c r="W2758" s="8">
        <v>4.2140000000000004</v>
      </c>
      <c r="X2758" s="8">
        <v>3.01</v>
      </c>
      <c r="Y2758" s="8">
        <v>1.234</v>
      </c>
      <c r="Z2758" s="8">
        <v>0.34</v>
      </c>
      <c r="AA2758" s="8">
        <v>0.124</v>
      </c>
      <c r="AB2758" s="8">
        <v>1.9E-2</v>
      </c>
      <c r="AC2758" s="8">
        <v>1E-3</v>
      </c>
    </row>
    <row r="2759" spans="1:29" ht="11.65" x14ac:dyDescent="0.35">
      <c r="A2759" s="12">
        <v>2742</v>
      </c>
      <c r="B2759" s="10" t="s">
        <v>1015</v>
      </c>
      <c r="C2759" s="11" t="s">
        <v>1206</v>
      </c>
      <c r="D2759" s="9"/>
      <c r="E2759" s="9">
        <v>328</v>
      </c>
      <c r="F2759" s="10" t="s">
        <v>1066</v>
      </c>
      <c r="G2759" s="9">
        <v>931</v>
      </c>
      <c r="H2759" s="9">
        <v>2005</v>
      </c>
      <c r="I2759" s="8">
        <v>42.433</v>
      </c>
      <c r="J2759" s="8">
        <v>47.773000000000003</v>
      </c>
      <c r="K2759" s="8">
        <v>47.3</v>
      </c>
      <c r="L2759" s="8">
        <v>34.378999999999998</v>
      </c>
      <c r="M2759" s="8">
        <v>28.190999999999999</v>
      </c>
      <c r="N2759" s="8">
        <v>28.481000000000002</v>
      </c>
      <c r="O2759" s="8">
        <v>27.356000000000002</v>
      </c>
      <c r="P2759" s="8">
        <v>26.094000000000001</v>
      </c>
      <c r="Q2759" s="8">
        <v>23.475999999999999</v>
      </c>
      <c r="R2759" s="8">
        <v>20.241</v>
      </c>
      <c r="S2759" s="8">
        <v>14.725</v>
      </c>
      <c r="T2759" s="8">
        <v>11.616</v>
      </c>
      <c r="U2759" s="8">
        <v>6.2830000000000004</v>
      </c>
      <c r="V2759" s="8">
        <v>6.15</v>
      </c>
      <c r="W2759" s="8">
        <v>3.8250000000000002</v>
      </c>
      <c r="X2759" s="8">
        <v>2.9329999999999998</v>
      </c>
      <c r="Y2759" s="8">
        <v>1.8160000000000001</v>
      </c>
      <c r="Z2759" s="8">
        <v>0.622</v>
      </c>
      <c r="AA2759" s="8">
        <v>0.13600000000000001</v>
      </c>
      <c r="AB2759" s="8">
        <v>3.7999999999999999E-2</v>
      </c>
      <c r="AC2759" s="8">
        <v>4.0000000000000001E-3</v>
      </c>
    </row>
    <row r="2760" spans="1:29" ht="11.65" x14ac:dyDescent="0.35">
      <c r="A2760" s="12">
        <v>2743</v>
      </c>
      <c r="B2760" s="10" t="s">
        <v>1015</v>
      </c>
      <c r="C2760" s="11" t="s">
        <v>1206</v>
      </c>
      <c r="D2760" s="9"/>
      <c r="E2760" s="9">
        <v>328</v>
      </c>
      <c r="F2760" s="10" t="s">
        <v>1066</v>
      </c>
      <c r="G2760" s="9">
        <v>931</v>
      </c>
      <c r="H2760" s="9">
        <v>2010</v>
      </c>
      <c r="I2760" s="8">
        <v>36.968000000000004</v>
      </c>
      <c r="J2760" s="8">
        <v>39.755000000000003</v>
      </c>
      <c r="K2760" s="8">
        <v>45.051000000000002</v>
      </c>
      <c r="L2760" s="8">
        <v>41.033999999999999</v>
      </c>
      <c r="M2760" s="8">
        <v>27.434000000000001</v>
      </c>
      <c r="N2760" s="8">
        <v>28.937000000000001</v>
      </c>
      <c r="O2760" s="8">
        <v>26.106999999999999</v>
      </c>
      <c r="P2760" s="8">
        <v>25.413</v>
      </c>
      <c r="Q2760" s="8">
        <v>24.395</v>
      </c>
      <c r="R2760" s="8">
        <v>20.863</v>
      </c>
      <c r="S2760" s="8">
        <v>18.155999999999999</v>
      </c>
      <c r="T2760" s="8">
        <v>12.281000000000001</v>
      </c>
      <c r="U2760" s="8">
        <v>10.135999999999999</v>
      </c>
      <c r="V2760" s="8">
        <v>5.4189999999999996</v>
      </c>
      <c r="W2760" s="8">
        <v>5.4009999999999998</v>
      </c>
      <c r="X2760" s="8">
        <v>1.9019999999999999</v>
      </c>
      <c r="Y2760" s="8">
        <v>1.2969999999999999</v>
      </c>
      <c r="Z2760" s="8">
        <v>1.0409999999999999</v>
      </c>
      <c r="AA2760" s="8">
        <v>0.29899999999999999</v>
      </c>
      <c r="AB2760" s="8">
        <v>5.1999999999999998E-2</v>
      </c>
      <c r="AC2760" s="8">
        <v>1.2E-2</v>
      </c>
    </row>
    <row r="2761" spans="1:29" ht="11.65" x14ac:dyDescent="0.35">
      <c r="A2761" s="12">
        <v>2744</v>
      </c>
      <c r="B2761" s="10" t="s">
        <v>1015</v>
      </c>
      <c r="C2761" s="11" t="s">
        <v>1206</v>
      </c>
      <c r="D2761" s="9"/>
      <c r="E2761" s="9">
        <v>328</v>
      </c>
      <c r="F2761" s="10" t="s">
        <v>1066</v>
      </c>
      <c r="G2761" s="9">
        <v>931</v>
      </c>
      <c r="H2761" s="9">
        <v>2015</v>
      </c>
      <c r="I2761" s="8">
        <v>38.527000000000001</v>
      </c>
      <c r="J2761" s="8">
        <v>36.289000000000001</v>
      </c>
      <c r="K2761" s="8">
        <v>39.241</v>
      </c>
      <c r="L2761" s="8">
        <v>43.222999999999999</v>
      </c>
      <c r="M2761" s="8">
        <v>37.744999999999997</v>
      </c>
      <c r="N2761" s="8">
        <v>24.283999999999999</v>
      </c>
      <c r="O2761" s="8">
        <v>26.280999999999999</v>
      </c>
      <c r="P2761" s="8">
        <v>24.074000000000002</v>
      </c>
      <c r="Q2761" s="8">
        <v>23.712</v>
      </c>
      <c r="R2761" s="8">
        <v>22.928000000000001</v>
      </c>
      <c r="S2761" s="8">
        <v>19.456</v>
      </c>
      <c r="T2761" s="8">
        <v>16.632999999999999</v>
      </c>
      <c r="U2761" s="8">
        <v>10.952</v>
      </c>
      <c r="V2761" s="8">
        <v>8.718</v>
      </c>
      <c r="W2761" s="8">
        <v>4.45</v>
      </c>
      <c r="X2761" s="8">
        <v>4.2510000000000003</v>
      </c>
      <c r="Y2761" s="8">
        <v>1.375</v>
      </c>
      <c r="Z2761" s="8">
        <v>0.83499999999999996</v>
      </c>
      <c r="AA2761" s="8">
        <v>0.58099999999999996</v>
      </c>
      <c r="AB2761" s="8">
        <v>0.14000000000000001</v>
      </c>
      <c r="AC2761" s="8">
        <v>2.1999999999999999E-2</v>
      </c>
    </row>
    <row r="2762" spans="1:29" ht="11.65" x14ac:dyDescent="0.35">
      <c r="A2762" s="12">
        <v>2745</v>
      </c>
      <c r="B2762" s="10" t="s">
        <v>1015</v>
      </c>
      <c r="C2762" s="11" t="s">
        <v>1206</v>
      </c>
      <c r="D2762" s="9"/>
      <c r="E2762" s="9">
        <v>328</v>
      </c>
      <c r="F2762" s="10" t="s">
        <v>1066</v>
      </c>
      <c r="G2762" s="9">
        <v>931</v>
      </c>
      <c r="H2762" s="9">
        <v>2020</v>
      </c>
      <c r="I2762" s="8">
        <v>37.908000000000001</v>
      </c>
      <c r="J2762" s="8">
        <v>37.963999999999999</v>
      </c>
      <c r="K2762" s="8">
        <v>35.865000000000002</v>
      </c>
      <c r="L2762" s="8">
        <v>37.713999999999999</v>
      </c>
      <c r="M2762" s="8">
        <v>40.357999999999997</v>
      </c>
      <c r="N2762" s="8">
        <v>34.805999999999997</v>
      </c>
      <c r="O2762" s="8">
        <v>22.081</v>
      </c>
      <c r="P2762" s="8">
        <v>24.489000000000001</v>
      </c>
      <c r="Q2762" s="8">
        <v>22.594999999999999</v>
      </c>
      <c r="R2762" s="8">
        <v>22.402000000000001</v>
      </c>
      <c r="S2762" s="8">
        <v>21.527999999999999</v>
      </c>
      <c r="T2762" s="8">
        <v>17.928000000000001</v>
      </c>
      <c r="U2762" s="8">
        <v>14.961</v>
      </c>
      <c r="V2762" s="8">
        <v>9.4719999999999995</v>
      </c>
      <c r="W2762" s="8">
        <v>7.2389999999999999</v>
      </c>
      <c r="X2762" s="8">
        <v>3.4780000000000002</v>
      </c>
      <c r="Y2762" s="8">
        <v>3.0659999999999998</v>
      </c>
      <c r="Z2762" s="8">
        <v>0.89200000000000002</v>
      </c>
      <c r="AA2762" s="8">
        <v>0.47099999999999997</v>
      </c>
      <c r="AB2762" s="8">
        <v>0.27600000000000002</v>
      </c>
      <c r="AC2762" s="8">
        <v>5.6000000000000001E-2</v>
      </c>
    </row>
    <row r="2763" spans="1:29" ht="11.65" x14ac:dyDescent="0.35">
      <c r="A2763" s="12">
        <v>2746</v>
      </c>
      <c r="B2763" s="10" t="s">
        <v>1015</v>
      </c>
      <c r="C2763" s="11" t="s">
        <v>1207</v>
      </c>
      <c r="D2763" s="9"/>
      <c r="E2763" s="9">
        <v>600</v>
      </c>
      <c r="F2763" s="10" t="s">
        <v>1066</v>
      </c>
      <c r="G2763" s="9">
        <v>931</v>
      </c>
      <c r="H2763" s="9">
        <v>1950</v>
      </c>
      <c r="I2763" s="8">
        <v>137.096</v>
      </c>
      <c r="J2763" s="8">
        <v>116.384</v>
      </c>
      <c r="K2763" s="8">
        <v>100.238</v>
      </c>
      <c r="L2763" s="8">
        <v>75.332999999999998</v>
      </c>
      <c r="M2763" s="8">
        <v>65.614000000000004</v>
      </c>
      <c r="N2763" s="8">
        <v>51.445999999999998</v>
      </c>
      <c r="O2763" s="8">
        <v>40.142000000000003</v>
      </c>
      <c r="P2763" s="8">
        <v>31.978999999999999</v>
      </c>
      <c r="Q2763" s="8">
        <v>26.088999999999999</v>
      </c>
      <c r="R2763" s="8">
        <v>21.439</v>
      </c>
      <c r="S2763" s="8">
        <v>17.372</v>
      </c>
      <c r="T2763" s="8">
        <v>13.694000000000001</v>
      </c>
      <c r="U2763" s="8">
        <v>10.473000000000001</v>
      </c>
      <c r="V2763" s="8">
        <v>7.6230000000000002</v>
      </c>
      <c r="W2763" s="8">
        <v>5.1529999999999996</v>
      </c>
      <c r="X2763" s="8">
        <v>3.0190000000000001</v>
      </c>
      <c r="Y2763" s="8">
        <v>1.335</v>
      </c>
      <c r="Z2763" s="8">
        <v>0.43099999999999999</v>
      </c>
      <c r="AA2763" s="8">
        <v>9.7000000000000003E-2</v>
      </c>
      <c r="AB2763" s="8">
        <v>1.4999999999999999E-2</v>
      </c>
      <c r="AC2763" s="8">
        <v>2E-3</v>
      </c>
    </row>
    <row r="2764" spans="1:29" ht="11.65" x14ac:dyDescent="0.35">
      <c r="A2764" s="12">
        <v>2747</v>
      </c>
      <c r="B2764" s="10" t="s">
        <v>1015</v>
      </c>
      <c r="C2764" s="11" t="s">
        <v>1207</v>
      </c>
      <c r="D2764" s="9"/>
      <c r="E2764" s="9">
        <v>600</v>
      </c>
      <c r="F2764" s="10" t="s">
        <v>1066</v>
      </c>
      <c r="G2764" s="9">
        <v>931</v>
      </c>
      <c r="H2764" s="9">
        <v>1955</v>
      </c>
      <c r="I2764" s="8">
        <v>162.53800000000001</v>
      </c>
      <c r="J2764" s="8">
        <v>133.5</v>
      </c>
      <c r="K2764" s="8">
        <v>109.309</v>
      </c>
      <c r="L2764" s="8">
        <v>85.792000000000002</v>
      </c>
      <c r="M2764" s="8">
        <v>62.765999999999998</v>
      </c>
      <c r="N2764" s="8">
        <v>55.551000000000002</v>
      </c>
      <c r="O2764" s="8">
        <v>45.561</v>
      </c>
      <c r="P2764" s="8">
        <v>37.49</v>
      </c>
      <c r="Q2764" s="8">
        <v>31.390999999999998</v>
      </c>
      <c r="R2764" s="8">
        <v>25.75</v>
      </c>
      <c r="S2764" s="8">
        <v>21.297999999999998</v>
      </c>
      <c r="T2764" s="8">
        <v>17.062000000000001</v>
      </c>
      <c r="U2764" s="8">
        <v>13.009</v>
      </c>
      <c r="V2764" s="8">
        <v>9.2680000000000007</v>
      </c>
      <c r="W2764" s="8">
        <v>6.1440000000000001</v>
      </c>
      <c r="X2764" s="8">
        <v>3.5179999999999998</v>
      </c>
      <c r="Y2764" s="8">
        <v>1.6479999999999999</v>
      </c>
      <c r="Z2764" s="8">
        <v>0.54600000000000004</v>
      </c>
      <c r="AA2764" s="8">
        <v>0.127</v>
      </c>
      <c r="AB2764" s="8">
        <v>1.9E-2</v>
      </c>
      <c r="AC2764" s="8">
        <v>2E-3</v>
      </c>
    </row>
    <row r="2765" spans="1:29" ht="11.65" x14ac:dyDescent="0.35">
      <c r="A2765" s="12">
        <v>2748</v>
      </c>
      <c r="B2765" s="10" t="s">
        <v>1015</v>
      </c>
      <c r="C2765" s="11" t="s">
        <v>1207</v>
      </c>
      <c r="D2765" s="9"/>
      <c r="E2765" s="9">
        <v>600</v>
      </c>
      <c r="F2765" s="10" t="s">
        <v>1066</v>
      </c>
      <c r="G2765" s="9">
        <v>931</v>
      </c>
      <c r="H2765" s="9">
        <v>1960</v>
      </c>
      <c r="I2765" s="8">
        <v>178.60400000000001</v>
      </c>
      <c r="J2765" s="8">
        <v>158.535</v>
      </c>
      <c r="K2765" s="8">
        <v>127.708</v>
      </c>
      <c r="L2765" s="8">
        <v>95.161000000000001</v>
      </c>
      <c r="M2765" s="8">
        <v>73.457999999999998</v>
      </c>
      <c r="N2765" s="8">
        <v>53.523000000000003</v>
      </c>
      <c r="O2765" s="8">
        <v>50.896999999999998</v>
      </c>
      <c r="P2765" s="8">
        <v>43.619</v>
      </c>
      <c r="Q2765" s="8">
        <v>36.994</v>
      </c>
      <c r="R2765" s="8">
        <v>31.048999999999999</v>
      </c>
      <c r="S2765" s="8">
        <v>25.373000000000001</v>
      </c>
      <c r="T2765" s="8">
        <v>20.552</v>
      </c>
      <c r="U2765" s="8">
        <v>15.943</v>
      </c>
      <c r="V2765" s="8">
        <v>11.467000000000001</v>
      </c>
      <c r="W2765" s="8">
        <v>7.4359999999999999</v>
      </c>
      <c r="X2765" s="8">
        <v>4.3170000000000002</v>
      </c>
      <c r="Y2765" s="8">
        <v>1.927</v>
      </c>
      <c r="Z2765" s="8">
        <v>0.67700000000000005</v>
      </c>
      <c r="AA2765" s="8">
        <v>0.159</v>
      </c>
      <c r="AB2765" s="8">
        <v>2.5999999999999999E-2</v>
      </c>
      <c r="AC2765" s="8">
        <v>3.0000000000000001E-3</v>
      </c>
    </row>
    <row r="2766" spans="1:29" ht="11.65" x14ac:dyDescent="0.35">
      <c r="A2766" s="12">
        <v>2749</v>
      </c>
      <c r="B2766" s="10" t="s">
        <v>1015</v>
      </c>
      <c r="C2766" s="11" t="s">
        <v>1207</v>
      </c>
      <c r="D2766" s="9"/>
      <c r="E2766" s="9">
        <v>600</v>
      </c>
      <c r="F2766" s="10" t="s">
        <v>1066</v>
      </c>
      <c r="G2766" s="9">
        <v>931</v>
      </c>
      <c r="H2766" s="9">
        <v>1965</v>
      </c>
      <c r="I2766" s="8">
        <v>198.51599999999999</v>
      </c>
      <c r="J2766" s="8">
        <v>174.75700000000001</v>
      </c>
      <c r="K2766" s="8">
        <v>153.476</v>
      </c>
      <c r="L2766" s="8">
        <v>113.94499999999999</v>
      </c>
      <c r="M2766" s="8">
        <v>83.414000000000001</v>
      </c>
      <c r="N2766" s="8">
        <v>65.388000000000005</v>
      </c>
      <c r="O2766" s="8">
        <v>51.247</v>
      </c>
      <c r="P2766" s="8">
        <v>50.125999999999998</v>
      </c>
      <c r="Q2766" s="8">
        <v>43.182000000000002</v>
      </c>
      <c r="R2766" s="8">
        <v>36.46</v>
      </c>
      <c r="S2766" s="8">
        <v>30.303999999999998</v>
      </c>
      <c r="T2766" s="8">
        <v>24.167999999999999</v>
      </c>
      <c r="U2766" s="8">
        <v>19.007999999999999</v>
      </c>
      <c r="V2766" s="8">
        <v>13.962999999999999</v>
      </c>
      <c r="W2766" s="8">
        <v>9.1519999999999992</v>
      </c>
      <c r="X2766" s="8">
        <v>5.2439999999999998</v>
      </c>
      <c r="Y2766" s="8">
        <v>2.3769999999999998</v>
      </c>
      <c r="Z2766" s="8">
        <v>0.79800000000000004</v>
      </c>
      <c r="AA2766" s="8">
        <v>0.2</v>
      </c>
      <c r="AB2766" s="8">
        <v>3.4000000000000002E-2</v>
      </c>
      <c r="AC2766" s="8">
        <v>4.0000000000000001E-3</v>
      </c>
    </row>
    <row r="2767" spans="1:29" ht="11.65" x14ac:dyDescent="0.35">
      <c r="A2767" s="12">
        <v>2750</v>
      </c>
      <c r="B2767" s="10" t="s">
        <v>1015</v>
      </c>
      <c r="C2767" s="11" t="s">
        <v>1207</v>
      </c>
      <c r="D2767" s="9"/>
      <c r="E2767" s="9">
        <v>600</v>
      </c>
      <c r="F2767" s="10" t="s">
        <v>1066</v>
      </c>
      <c r="G2767" s="9">
        <v>931</v>
      </c>
      <c r="H2767" s="9">
        <v>1970</v>
      </c>
      <c r="I2767" s="8">
        <v>217.131</v>
      </c>
      <c r="J2767" s="8">
        <v>194.60499999999999</v>
      </c>
      <c r="K2767" s="8">
        <v>170.03800000000001</v>
      </c>
      <c r="L2767" s="8">
        <v>140.49</v>
      </c>
      <c r="M2767" s="8">
        <v>102.98699999999999</v>
      </c>
      <c r="N2767" s="8">
        <v>76.608000000000004</v>
      </c>
      <c r="O2767" s="8">
        <v>64.739999999999995</v>
      </c>
      <c r="P2767" s="8">
        <v>51.17</v>
      </c>
      <c r="Q2767" s="8">
        <v>49.832999999999998</v>
      </c>
      <c r="R2767" s="8">
        <v>42.436999999999998</v>
      </c>
      <c r="S2767" s="8">
        <v>35.545999999999999</v>
      </c>
      <c r="T2767" s="8">
        <v>28.72</v>
      </c>
      <c r="U2767" s="8">
        <v>22.175000000000001</v>
      </c>
      <c r="V2767" s="8">
        <v>16.475000000000001</v>
      </c>
      <c r="W2767" s="8">
        <v>11.085000000000001</v>
      </c>
      <c r="X2767" s="8">
        <v>6.36</v>
      </c>
      <c r="Y2767" s="8">
        <v>2.851</v>
      </c>
      <c r="Z2767" s="8">
        <v>0.92700000000000005</v>
      </c>
      <c r="AA2767" s="8">
        <v>0.21199999999999999</v>
      </c>
      <c r="AB2767" s="8">
        <v>3.5000000000000003E-2</v>
      </c>
      <c r="AC2767" s="8">
        <v>4.0000000000000001E-3</v>
      </c>
    </row>
    <row r="2768" spans="1:29" ht="11.65" x14ac:dyDescent="0.35">
      <c r="A2768" s="12">
        <v>2751</v>
      </c>
      <c r="B2768" s="10" t="s">
        <v>1015</v>
      </c>
      <c r="C2768" s="11" t="s">
        <v>1207</v>
      </c>
      <c r="D2768" s="9"/>
      <c r="E2768" s="9">
        <v>600</v>
      </c>
      <c r="F2768" s="10" t="s">
        <v>1066</v>
      </c>
      <c r="G2768" s="9">
        <v>931</v>
      </c>
      <c r="H2768" s="9">
        <v>1975</v>
      </c>
      <c r="I2768" s="8">
        <v>224.25299999999999</v>
      </c>
      <c r="J2768" s="8">
        <v>213.703</v>
      </c>
      <c r="K2768" s="8">
        <v>189.59700000000001</v>
      </c>
      <c r="L2768" s="8">
        <v>158.30000000000001</v>
      </c>
      <c r="M2768" s="8">
        <v>130.28399999999999</v>
      </c>
      <c r="N2768" s="8">
        <v>97.113</v>
      </c>
      <c r="O2768" s="8">
        <v>76.433999999999997</v>
      </c>
      <c r="P2768" s="8">
        <v>64.988</v>
      </c>
      <c r="Q2768" s="8">
        <v>51.424999999999997</v>
      </c>
      <c r="R2768" s="8">
        <v>49.389000000000003</v>
      </c>
      <c r="S2768" s="8">
        <v>41.332000000000001</v>
      </c>
      <c r="T2768" s="8">
        <v>33.719000000000001</v>
      </c>
      <c r="U2768" s="8">
        <v>26.318999999999999</v>
      </c>
      <c r="V2768" s="8">
        <v>19.219000000000001</v>
      </c>
      <c r="W2768" s="8">
        <v>13.147</v>
      </c>
      <c r="X2768" s="8">
        <v>7.7569999999999997</v>
      </c>
      <c r="Y2768" s="8">
        <v>3.5</v>
      </c>
      <c r="Z2768" s="8">
        <v>1.091</v>
      </c>
      <c r="AA2768" s="8">
        <v>0.23400000000000001</v>
      </c>
      <c r="AB2768" s="8">
        <v>3.5000000000000003E-2</v>
      </c>
      <c r="AC2768" s="8">
        <v>4.0000000000000001E-3</v>
      </c>
    </row>
    <row r="2769" spans="1:29" ht="11.65" x14ac:dyDescent="0.35">
      <c r="A2769" s="12">
        <v>2752</v>
      </c>
      <c r="B2769" s="10" t="s">
        <v>1015</v>
      </c>
      <c r="C2769" s="11" t="s">
        <v>1207</v>
      </c>
      <c r="D2769" s="9"/>
      <c r="E2769" s="9">
        <v>600</v>
      </c>
      <c r="F2769" s="10" t="s">
        <v>1066</v>
      </c>
      <c r="G2769" s="9">
        <v>931</v>
      </c>
      <c r="H2769" s="9">
        <v>1980</v>
      </c>
      <c r="I2769" s="8">
        <v>259.3</v>
      </c>
      <c r="J2769" s="8">
        <v>221.08699999999999</v>
      </c>
      <c r="K2769" s="8">
        <v>209.23500000000001</v>
      </c>
      <c r="L2769" s="8">
        <v>179.19900000000001</v>
      </c>
      <c r="M2769" s="8">
        <v>149.04300000000001</v>
      </c>
      <c r="N2769" s="8">
        <v>125.61499999999999</v>
      </c>
      <c r="O2769" s="8">
        <v>96.588999999999999</v>
      </c>
      <c r="P2769" s="8">
        <v>76.575000000000003</v>
      </c>
      <c r="Q2769" s="8">
        <v>65.391999999999996</v>
      </c>
      <c r="R2769" s="8">
        <v>51.387</v>
      </c>
      <c r="S2769" s="8">
        <v>48.326999999999998</v>
      </c>
      <c r="T2769" s="8">
        <v>39.521000000000001</v>
      </c>
      <c r="U2769" s="8">
        <v>31.166</v>
      </c>
      <c r="V2769" s="8">
        <v>23.120999999999999</v>
      </c>
      <c r="W2769" s="8">
        <v>15.58</v>
      </c>
      <c r="X2769" s="8">
        <v>9.4130000000000003</v>
      </c>
      <c r="Y2769" s="8">
        <v>4.468</v>
      </c>
      <c r="Z2769" s="8">
        <v>1.427</v>
      </c>
      <c r="AA2769" s="8">
        <v>0.30299999999999999</v>
      </c>
      <c r="AB2769" s="8">
        <v>4.2999999999999997E-2</v>
      </c>
      <c r="AC2769" s="8">
        <v>4.0000000000000001E-3</v>
      </c>
    </row>
    <row r="2770" spans="1:29" ht="11.65" x14ac:dyDescent="0.35">
      <c r="A2770" s="12">
        <v>2753</v>
      </c>
      <c r="B2770" s="10" t="s">
        <v>1015</v>
      </c>
      <c r="C2770" s="11" t="s">
        <v>1207</v>
      </c>
      <c r="D2770" s="9"/>
      <c r="E2770" s="9">
        <v>600</v>
      </c>
      <c r="F2770" s="10" t="s">
        <v>1066</v>
      </c>
      <c r="G2770" s="9">
        <v>931</v>
      </c>
      <c r="H2770" s="9">
        <v>1985</v>
      </c>
      <c r="I2770" s="8">
        <v>304.80799999999999</v>
      </c>
      <c r="J2770" s="8">
        <v>256.20100000000002</v>
      </c>
      <c r="K2770" s="8">
        <v>218.358</v>
      </c>
      <c r="L2770" s="8">
        <v>202.995</v>
      </c>
      <c r="M2770" s="8">
        <v>172.952</v>
      </c>
      <c r="N2770" s="8">
        <v>145.53100000000001</v>
      </c>
      <c r="O2770" s="8">
        <v>124.41</v>
      </c>
      <c r="P2770" s="8">
        <v>96.331000000000003</v>
      </c>
      <c r="Q2770" s="8">
        <v>76.662999999999997</v>
      </c>
      <c r="R2770" s="8">
        <v>64.935000000000002</v>
      </c>
      <c r="S2770" s="8">
        <v>50.206000000000003</v>
      </c>
      <c r="T2770" s="8">
        <v>46.152000000000001</v>
      </c>
      <c r="U2770" s="8">
        <v>36.478999999999999</v>
      </c>
      <c r="V2770" s="8">
        <v>27.364000000000001</v>
      </c>
      <c r="W2770" s="8">
        <v>18.806000000000001</v>
      </c>
      <c r="X2770" s="8">
        <v>11.332000000000001</v>
      </c>
      <c r="Y2770" s="8">
        <v>5.5620000000000003</v>
      </c>
      <c r="Z2770" s="8">
        <v>1.8779999999999999</v>
      </c>
      <c r="AA2770" s="8">
        <v>0.41</v>
      </c>
      <c r="AB2770" s="8">
        <v>5.7000000000000002E-2</v>
      </c>
      <c r="AC2770" s="8">
        <v>5.0000000000000001E-3</v>
      </c>
    </row>
    <row r="2771" spans="1:29" ht="11.65" x14ac:dyDescent="0.35">
      <c r="A2771" s="12">
        <v>2754</v>
      </c>
      <c r="B2771" s="10" t="s">
        <v>1015</v>
      </c>
      <c r="C2771" s="11" t="s">
        <v>1207</v>
      </c>
      <c r="D2771" s="9"/>
      <c r="E2771" s="9">
        <v>600</v>
      </c>
      <c r="F2771" s="10" t="s">
        <v>1066</v>
      </c>
      <c r="G2771" s="9">
        <v>931</v>
      </c>
      <c r="H2771" s="9">
        <v>1990</v>
      </c>
      <c r="I2771" s="8">
        <v>336.803</v>
      </c>
      <c r="J2771" s="8">
        <v>301.79000000000002</v>
      </c>
      <c r="K2771" s="8">
        <v>254.03899999999999</v>
      </c>
      <c r="L2771" s="8">
        <v>214.233</v>
      </c>
      <c r="M2771" s="8">
        <v>196.01599999999999</v>
      </c>
      <c r="N2771" s="8">
        <v>167.89599999999999</v>
      </c>
      <c r="O2771" s="8">
        <v>142.98699999999999</v>
      </c>
      <c r="P2771" s="8">
        <v>123.357</v>
      </c>
      <c r="Q2771" s="8">
        <v>95.683000000000007</v>
      </c>
      <c r="R2771" s="8">
        <v>75.513999999999996</v>
      </c>
      <c r="S2771" s="8">
        <v>62.994999999999997</v>
      </c>
      <c r="T2771" s="8">
        <v>47.771000000000001</v>
      </c>
      <c r="U2771" s="8">
        <v>42.503</v>
      </c>
      <c r="V2771" s="8">
        <v>31.963000000000001</v>
      </c>
      <c r="W2771" s="8">
        <v>22.289000000000001</v>
      </c>
      <c r="X2771" s="8">
        <v>13.79</v>
      </c>
      <c r="Y2771" s="8">
        <v>6.7809999999999997</v>
      </c>
      <c r="Z2771" s="8">
        <v>2.3580000000000001</v>
      </c>
      <c r="AA2771" s="8">
        <v>0.54</v>
      </c>
      <c r="AB2771" s="8">
        <v>7.3999999999999996E-2</v>
      </c>
      <c r="AC2771" s="8">
        <v>6.0000000000000001E-3</v>
      </c>
    </row>
    <row r="2772" spans="1:29" ht="11.65" x14ac:dyDescent="0.35">
      <c r="A2772" s="12">
        <v>2755</v>
      </c>
      <c r="B2772" s="10" t="s">
        <v>1015</v>
      </c>
      <c r="C2772" s="11" t="s">
        <v>1207</v>
      </c>
      <c r="D2772" s="9"/>
      <c r="E2772" s="9">
        <v>600</v>
      </c>
      <c r="F2772" s="10" t="s">
        <v>1066</v>
      </c>
      <c r="G2772" s="9">
        <v>931</v>
      </c>
      <c r="H2772" s="9">
        <v>1995</v>
      </c>
      <c r="I2772" s="8">
        <v>352.66199999999998</v>
      </c>
      <c r="J2772" s="8">
        <v>334.18700000000001</v>
      </c>
      <c r="K2772" s="8">
        <v>300.11200000000002</v>
      </c>
      <c r="L2772" s="8">
        <v>250.398</v>
      </c>
      <c r="M2772" s="8">
        <v>207.91200000000001</v>
      </c>
      <c r="N2772" s="8">
        <v>186.589</v>
      </c>
      <c r="O2772" s="8">
        <v>162.81399999999999</v>
      </c>
      <c r="P2772" s="8">
        <v>140.71199999999999</v>
      </c>
      <c r="Q2772" s="8">
        <v>121.867</v>
      </c>
      <c r="R2772" s="8">
        <v>93.924999999999997</v>
      </c>
      <c r="S2772" s="8">
        <v>73.131</v>
      </c>
      <c r="T2772" s="8">
        <v>59.936</v>
      </c>
      <c r="U2772" s="8">
        <v>44.116</v>
      </c>
      <c r="V2772" s="8">
        <v>37.429000000000002</v>
      </c>
      <c r="W2772" s="8">
        <v>26.323</v>
      </c>
      <c r="X2772" s="8">
        <v>16.786000000000001</v>
      </c>
      <c r="Y2772" s="8">
        <v>8.6329999999999991</v>
      </c>
      <c r="Z2772" s="8">
        <v>3.0649999999999999</v>
      </c>
      <c r="AA2772" s="8">
        <v>0.73699999999999999</v>
      </c>
      <c r="AB2772" s="8">
        <v>0.109</v>
      </c>
      <c r="AC2772" s="8">
        <v>8.9999999999999993E-3</v>
      </c>
    </row>
    <row r="2773" spans="1:29" ht="11.65" x14ac:dyDescent="0.35">
      <c r="A2773" s="12">
        <v>2756</v>
      </c>
      <c r="B2773" s="10" t="s">
        <v>1015</v>
      </c>
      <c r="C2773" s="11" t="s">
        <v>1207</v>
      </c>
      <c r="D2773" s="9"/>
      <c r="E2773" s="9">
        <v>600</v>
      </c>
      <c r="F2773" s="10" t="s">
        <v>1066</v>
      </c>
      <c r="G2773" s="9">
        <v>931</v>
      </c>
      <c r="H2773" s="9">
        <v>2000</v>
      </c>
      <c r="I2773" s="8">
        <v>362.38200000000001</v>
      </c>
      <c r="J2773" s="8">
        <v>350.29599999999999</v>
      </c>
      <c r="K2773" s="8">
        <v>332.46100000000001</v>
      </c>
      <c r="L2773" s="8">
        <v>297.81099999999998</v>
      </c>
      <c r="M2773" s="8">
        <v>244.83199999999999</v>
      </c>
      <c r="N2773" s="8">
        <v>198.43199999999999</v>
      </c>
      <c r="O2773" s="8">
        <v>176.667</v>
      </c>
      <c r="P2773" s="8">
        <v>157.05500000000001</v>
      </c>
      <c r="Q2773" s="8">
        <v>138.46799999999999</v>
      </c>
      <c r="R2773" s="8">
        <v>119.33799999999999</v>
      </c>
      <c r="S2773" s="8">
        <v>90.912000000000006</v>
      </c>
      <c r="T2773" s="8">
        <v>69.792000000000002</v>
      </c>
      <c r="U2773" s="8">
        <v>55.598999999999997</v>
      </c>
      <c r="V2773" s="8">
        <v>39.124000000000002</v>
      </c>
      <c r="W2773" s="8">
        <v>31.210999999999999</v>
      </c>
      <c r="X2773" s="8">
        <v>20.332999999999998</v>
      </c>
      <c r="Y2773" s="8">
        <v>10.954000000000001</v>
      </c>
      <c r="Z2773" s="8">
        <v>4.1280000000000001</v>
      </c>
      <c r="AA2773" s="8">
        <v>1.032</v>
      </c>
      <c r="AB2773" s="8">
        <v>0.16400000000000001</v>
      </c>
      <c r="AC2773" s="8">
        <v>1.4999999999999999E-2</v>
      </c>
    </row>
    <row r="2774" spans="1:29" ht="11.65" x14ac:dyDescent="0.35">
      <c r="A2774" s="12">
        <v>2757</v>
      </c>
      <c r="B2774" s="10" t="s">
        <v>1015</v>
      </c>
      <c r="C2774" s="11" t="s">
        <v>1207</v>
      </c>
      <c r="D2774" s="9"/>
      <c r="E2774" s="9">
        <v>600</v>
      </c>
      <c r="F2774" s="10" t="s">
        <v>1066</v>
      </c>
      <c r="G2774" s="9">
        <v>931</v>
      </c>
      <c r="H2774" s="9">
        <v>2005</v>
      </c>
      <c r="I2774" s="8">
        <v>346.26400000000001</v>
      </c>
      <c r="J2774" s="8">
        <v>360.30900000000003</v>
      </c>
      <c r="K2774" s="8">
        <v>348.815</v>
      </c>
      <c r="L2774" s="8">
        <v>329.78899999999999</v>
      </c>
      <c r="M2774" s="8">
        <v>291.68700000000001</v>
      </c>
      <c r="N2774" s="8">
        <v>235.685</v>
      </c>
      <c r="O2774" s="8">
        <v>188.94499999999999</v>
      </c>
      <c r="P2774" s="8">
        <v>170.994</v>
      </c>
      <c r="Q2774" s="8">
        <v>153.703</v>
      </c>
      <c r="R2774" s="8">
        <v>135.01</v>
      </c>
      <c r="S2774" s="8">
        <v>115.30500000000001</v>
      </c>
      <c r="T2774" s="8">
        <v>86.811999999999998</v>
      </c>
      <c r="U2774" s="8">
        <v>65.007000000000005</v>
      </c>
      <c r="V2774" s="8">
        <v>49.77</v>
      </c>
      <c r="W2774" s="8">
        <v>33.158999999999999</v>
      </c>
      <c r="X2774" s="8">
        <v>24.73</v>
      </c>
      <c r="Y2774" s="8">
        <v>13.805</v>
      </c>
      <c r="Z2774" s="8">
        <v>5.556</v>
      </c>
      <c r="AA2774" s="8">
        <v>1.5029999999999999</v>
      </c>
      <c r="AB2774" s="8">
        <v>0.253</v>
      </c>
      <c r="AC2774" s="8">
        <v>2.5000000000000001E-2</v>
      </c>
    </row>
    <row r="2775" spans="1:29" ht="11.65" x14ac:dyDescent="0.35">
      <c r="A2775" s="12">
        <v>2758</v>
      </c>
      <c r="B2775" s="10" t="s">
        <v>1015</v>
      </c>
      <c r="C2775" s="11" t="s">
        <v>1207</v>
      </c>
      <c r="D2775" s="9"/>
      <c r="E2775" s="9">
        <v>600</v>
      </c>
      <c r="F2775" s="10" t="s">
        <v>1066</v>
      </c>
      <c r="G2775" s="9">
        <v>931</v>
      </c>
      <c r="H2775" s="9">
        <v>2010</v>
      </c>
      <c r="I2775" s="8">
        <v>350.81200000000001</v>
      </c>
      <c r="J2775" s="8">
        <v>343.459</v>
      </c>
      <c r="K2775" s="8">
        <v>357.31700000000001</v>
      </c>
      <c r="L2775" s="8">
        <v>343.91699999999997</v>
      </c>
      <c r="M2775" s="8">
        <v>321.71800000000002</v>
      </c>
      <c r="N2775" s="8">
        <v>281.60300000000001</v>
      </c>
      <c r="O2775" s="8">
        <v>225.417</v>
      </c>
      <c r="P2775" s="8">
        <v>178.29499999999999</v>
      </c>
      <c r="Q2775" s="8">
        <v>162.55600000000001</v>
      </c>
      <c r="R2775" s="8">
        <v>145.155</v>
      </c>
      <c r="S2775" s="8">
        <v>126.02500000000001</v>
      </c>
      <c r="T2775" s="8">
        <v>108.003</v>
      </c>
      <c r="U2775" s="8">
        <v>80.153999999999996</v>
      </c>
      <c r="V2775" s="8">
        <v>58.213999999999999</v>
      </c>
      <c r="W2775" s="8">
        <v>42.405999999999999</v>
      </c>
      <c r="X2775" s="8">
        <v>26.425000000000001</v>
      </c>
      <c r="Y2775" s="8">
        <v>16.945</v>
      </c>
      <c r="Z2775" s="8">
        <v>7.125</v>
      </c>
      <c r="AA2775" s="8">
        <v>2.0670000000000002</v>
      </c>
      <c r="AB2775" s="8">
        <v>0.376</v>
      </c>
      <c r="AC2775" s="8">
        <v>0.04</v>
      </c>
    </row>
    <row r="2776" spans="1:29" ht="11.65" x14ac:dyDescent="0.35">
      <c r="A2776" s="12">
        <v>2759</v>
      </c>
      <c r="B2776" s="10" t="s">
        <v>1015</v>
      </c>
      <c r="C2776" s="11" t="s">
        <v>1207</v>
      </c>
      <c r="D2776" s="9"/>
      <c r="E2776" s="9">
        <v>600</v>
      </c>
      <c r="F2776" s="10" t="s">
        <v>1066</v>
      </c>
      <c r="G2776" s="9">
        <v>931</v>
      </c>
      <c r="H2776" s="9">
        <v>2015</v>
      </c>
      <c r="I2776" s="8">
        <v>351.10300000000001</v>
      </c>
      <c r="J2776" s="8">
        <v>348.29399999999998</v>
      </c>
      <c r="K2776" s="8">
        <v>341.053</v>
      </c>
      <c r="L2776" s="8">
        <v>353.29500000000002</v>
      </c>
      <c r="M2776" s="8">
        <v>337.16300000000001</v>
      </c>
      <c r="N2776" s="8">
        <v>313.06700000000001</v>
      </c>
      <c r="O2776" s="8">
        <v>272.661</v>
      </c>
      <c r="P2776" s="8">
        <v>216.35900000000001</v>
      </c>
      <c r="Q2776" s="8">
        <v>171.25800000000001</v>
      </c>
      <c r="R2776" s="8">
        <v>155.24</v>
      </c>
      <c r="S2776" s="8">
        <v>137.20400000000001</v>
      </c>
      <c r="T2776" s="8">
        <v>119.07599999999999</v>
      </c>
      <c r="U2776" s="8">
        <v>100.514</v>
      </c>
      <c r="V2776" s="8">
        <v>72.295000000000002</v>
      </c>
      <c r="W2776" s="8">
        <v>50.026000000000003</v>
      </c>
      <c r="X2776" s="8">
        <v>34.152999999999999</v>
      </c>
      <c r="Y2776" s="8">
        <v>18.420999999999999</v>
      </c>
      <c r="Z2776" s="8">
        <v>9.0440000000000005</v>
      </c>
      <c r="AA2776" s="8">
        <v>2.7909999999999999</v>
      </c>
      <c r="AB2776" s="8">
        <v>0.55800000000000005</v>
      </c>
      <c r="AC2776" s="8">
        <v>6.6000000000000003E-2</v>
      </c>
    </row>
    <row r="2777" spans="1:29" ht="11.65" x14ac:dyDescent="0.35">
      <c r="A2777" s="12">
        <v>2760</v>
      </c>
      <c r="B2777" s="10" t="s">
        <v>1015</v>
      </c>
      <c r="C2777" s="11" t="s">
        <v>1207</v>
      </c>
      <c r="D2777" s="9"/>
      <c r="E2777" s="9">
        <v>600</v>
      </c>
      <c r="F2777" s="10" t="s">
        <v>1066</v>
      </c>
      <c r="G2777" s="9">
        <v>931</v>
      </c>
      <c r="H2777" s="9">
        <v>2020</v>
      </c>
      <c r="I2777" s="8">
        <v>358.637</v>
      </c>
      <c r="J2777" s="8">
        <v>348.935</v>
      </c>
      <c r="K2777" s="8">
        <v>345.84199999999998</v>
      </c>
      <c r="L2777" s="8">
        <v>337.03800000000001</v>
      </c>
      <c r="M2777" s="8">
        <v>346.44299999999998</v>
      </c>
      <c r="N2777" s="8">
        <v>328.30099999999999</v>
      </c>
      <c r="O2777" s="8">
        <v>303.62700000000001</v>
      </c>
      <c r="P2777" s="8">
        <v>262.78199999999998</v>
      </c>
      <c r="Q2777" s="8">
        <v>208.61099999999999</v>
      </c>
      <c r="R2777" s="8">
        <v>163.65299999999999</v>
      </c>
      <c r="S2777" s="8">
        <v>146.953</v>
      </c>
      <c r="T2777" s="8">
        <v>129.886</v>
      </c>
      <c r="U2777" s="8">
        <v>111.11</v>
      </c>
      <c r="V2777" s="8">
        <v>91.006</v>
      </c>
      <c r="W2777" s="8">
        <v>62.432000000000002</v>
      </c>
      <c r="X2777" s="8">
        <v>40.523000000000003</v>
      </c>
      <c r="Y2777" s="8">
        <v>24.038</v>
      </c>
      <c r="Z2777" s="8">
        <v>10.018000000000001</v>
      </c>
      <c r="AA2777" s="8">
        <v>3.6389999999999998</v>
      </c>
      <c r="AB2777" s="8">
        <v>0.78200000000000003</v>
      </c>
      <c r="AC2777" s="8">
        <v>0.104</v>
      </c>
    </row>
    <row r="2778" spans="1:29" ht="11.65" x14ac:dyDescent="0.35">
      <c r="A2778" s="12">
        <v>2761</v>
      </c>
      <c r="B2778" s="10" t="s">
        <v>1015</v>
      </c>
      <c r="C2778" s="11" t="s">
        <v>1208</v>
      </c>
      <c r="D2778" s="9"/>
      <c r="E2778" s="9">
        <v>604</v>
      </c>
      <c r="F2778" s="10" t="s">
        <v>1066</v>
      </c>
      <c r="G2778" s="9">
        <v>931</v>
      </c>
      <c r="H2778" s="9">
        <v>1950</v>
      </c>
      <c r="I2778" s="8">
        <v>660.45299999999997</v>
      </c>
      <c r="J2778" s="8">
        <v>516.24900000000002</v>
      </c>
      <c r="K2778" s="8">
        <v>456.49900000000002</v>
      </c>
      <c r="L2778" s="8">
        <v>401.55</v>
      </c>
      <c r="M2778" s="8">
        <v>336.19200000000001</v>
      </c>
      <c r="N2778" s="8">
        <v>285.43200000000002</v>
      </c>
      <c r="O2778" s="8">
        <v>238.60900000000001</v>
      </c>
      <c r="P2778" s="8">
        <v>215.38499999999999</v>
      </c>
      <c r="Q2778" s="8">
        <v>188.68199999999999</v>
      </c>
      <c r="R2778" s="8">
        <v>155.995</v>
      </c>
      <c r="S2778" s="8">
        <v>135.90299999999999</v>
      </c>
      <c r="T2778" s="8">
        <v>109.404</v>
      </c>
      <c r="U2778" s="8">
        <v>82.855000000000004</v>
      </c>
      <c r="V2778" s="8">
        <v>54.451000000000001</v>
      </c>
      <c r="W2778" s="8">
        <v>37.86</v>
      </c>
      <c r="X2778" s="8">
        <v>19.725999999999999</v>
      </c>
      <c r="Y2778" s="8">
        <v>7.8310000000000004</v>
      </c>
      <c r="Z2778" s="8">
        <v>2.1230000000000002</v>
      </c>
      <c r="AA2778" s="8">
        <v>0.372</v>
      </c>
      <c r="AB2778" s="8">
        <v>4.2000000000000003E-2</v>
      </c>
      <c r="AC2778" s="8">
        <v>3.0000000000000001E-3</v>
      </c>
    </row>
    <row r="2779" spans="1:29" ht="11.65" x14ac:dyDescent="0.35">
      <c r="A2779" s="12">
        <v>2762</v>
      </c>
      <c r="B2779" s="10" t="s">
        <v>1015</v>
      </c>
      <c r="C2779" s="11" t="s">
        <v>1208</v>
      </c>
      <c r="D2779" s="9"/>
      <c r="E2779" s="9">
        <v>604</v>
      </c>
      <c r="F2779" s="10" t="s">
        <v>1066</v>
      </c>
      <c r="G2779" s="9">
        <v>931</v>
      </c>
      <c r="H2779" s="9">
        <v>1955</v>
      </c>
      <c r="I2779" s="8">
        <v>803.30499999999995</v>
      </c>
      <c r="J2779" s="8">
        <v>599.36500000000001</v>
      </c>
      <c r="K2779" s="8">
        <v>503.77800000000002</v>
      </c>
      <c r="L2779" s="8">
        <v>446.16399999999999</v>
      </c>
      <c r="M2779" s="8">
        <v>387.75299999999999</v>
      </c>
      <c r="N2779" s="8">
        <v>322.23</v>
      </c>
      <c r="O2779" s="8">
        <v>273.69400000000002</v>
      </c>
      <c r="P2779" s="8">
        <v>228.19499999999999</v>
      </c>
      <c r="Q2779" s="8">
        <v>204.797</v>
      </c>
      <c r="R2779" s="8">
        <v>177.54300000000001</v>
      </c>
      <c r="S2779" s="8">
        <v>144.49700000000001</v>
      </c>
      <c r="T2779" s="8">
        <v>122.61</v>
      </c>
      <c r="U2779" s="8">
        <v>94.412999999999997</v>
      </c>
      <c r="V2779" s="8">
        <v>66.442999999999998</v>
      </c>
      <c r="W2779" s="8">
        <v>38.741999999999997</v>
      </c>
      <c r="X2779" s="8">
        <v>21.852</v>
      </c>
      <c r="Y2779" s="8">
        <v>8.3369999999999997</v>
      </c>
      <c r="Z2779" s="8">
        <v>2.2330000000000001</v>
      </c>
      <c r="AA2779" s="8">
        <v>0.38900000000000001</v>
      </c>
      <c r="AB2779" s="8">
        <v>4.3999999999999997E-2</v>
      </c>
      <c r="AC2779" s="8">
        <v>3.0000000000000001E-3</v>
      </c>
    </row>
    <row r="2780" spans="1:29" ht="11.65" x14ac:dyDescent="0.35">
      <c r="A2780" s="12">
        <v>2763</v>
      </c>
      <c r="B2780" s="10" t="s">
        <v>1015</v>
      </c>
      <c r="C2780" s="11" t="s">
        <v>1208</v>
      </c>
      <c r="D2780" s="9"/>
      <c r="E2780" s="9">
        <v>604</v>
      </c>
      <c r="F2780" s="10" t="s">
        <v>1066</v>
      </c>
      <c r="G2780" s="9">
        <v>931</v>
      </c>
      <c r="H2780" s="9">
        <v>1960</v>
      </c>
      <c r="I2780" s="8">
        <v>926.43700000000001</v>
      </c>
      <c r="J2780" s="8">
        <v>737.77200000000005</v>
      </c>
      <c r="K2780" s="8">
        <v>586.66499999999996</v>
      </c>
      <c r="L2780" s="8">
        <v>493.17</v>
      </c>
      <c r="M2780" s="8">
        <v>431.714</v>
      </c>
      <c r="N2780" s="8">
        <v>372.90300000000002</v>
      </c>
      <c r="O2780" s="8">
        <v>309.88299999999998</v>
      </c>
      <c r="P2780" s="8">
        <v>262.654</v>
      </c>
      <c r="Q2780" s="8">
        <v>217.68</v>
      </c>
      <c r="R2780" s="8">
        <v>193.482</v>
      </c>
      <c r="S2780" s="8">
        <v>165.17699999999999</v>
      </c>
      <c r="T2780" s="8">
        <v>131.00899999999999</v>
      </c>
      <c r="U2780" s="8">
        <v>106.523</v>
      </c>
      <c r="V2780" s="8">
        <v>76.555999999999997</v>
      </c>
      <c r="W2780" s="8">
        <v>48.021000000000001</v>
      </c>
      <c r="X2780" s="8">
        <v>22.869</v>
      </c>
      <c r="Y2780" s="8">
        <v>9.4849999999999994</v>
      </c>
      <c r="Z2780" s="8">
        <v>2.4420000000000002</v>
      </c>
      <c r="AA2780" s="8">
        <v>0.42199999999999999</v>
      </c>
      <c r="AB2780" s="8">
        <v>4.5999999999999999E-2</v>
      </c>
      <c r="AC2780" s="8">
        <v>4.0000000000000001E-3</v>
      </c>
    </row>
    <row r="2781" spans="1:29" ht="11.65" x14ac:dyDescent="0.35">
      <c r="A2781" s="12">
        <v>2764</v>
      </c>
      <c r="B2781" s="10" t="s">
        <v>1015</v>
      </c>
      <c r="C2781" s="11" t="s">
        <v>1208</v>
      </c>
      <c r="D2781" s="9"/>
      <c r="E2781" s="9">
        <v>604</v>
      </c>
      <c r="F2781" s="10" t="s">
        <v>1066</v>
      </c>
      <c r="G2781" s="9">
        <v>931</v>
      </c>
      <c r="H2781" s="9">
        <v>1965</v>
      </c>
      <c r="I2781" s="8">
        <v>1066.6379999999999</v>
      </c>
      <c r="J2781" s="8">
        <v>864.04700000000003</v>
      </c>
      <c r="K2781" s="8">
        <v>724.26800000000003</v>
      </c>
      <c r="L2781" s="8">
        <v>575.22799999999995</v>
      </c>
      <c r="M2781" s="8">
        <v>477.89800000000002</v>
      </c>
      <c r="N2781" s="8">
        <v>415.93700000000001</v>
      </c>
      <c r="O2781" s="8">
        <v>359.36</v>
      </c>
      <c r="P2781" s="8">
        <v>298.072</v>
      </c>
      <c r="Q2781" s="8">
        <v>251.416</v>
      </c>
      <c r="R2781" s="8">
        <v>206.41399999999999</v>
      </c>
      <c r="S2781" s="8">
        <v>180.83799999999999</v>
      </c>
      <c r="T2781" s="8">
        <v>150.69</v>
      </c>
      <c r="U2781" s="8">
        <v>114.749</v>
      </c>
      <c r="V2781" s="8">
        <v>87.400999999999996</v>
      </c>
      <c r="W2781" s="8">
        <v>56.356999999999999</v>
      </c>
      <c r="X2781" s="8">
        <v>29.097999999999999</v>
      </c>
      <c r="Y2781" s="8">
        <v>10.254</v>
      </c>
      <c r="Z2781" s="8">
        <v>2.875</v>
      </c>
      <c r="AA2781" s="8">
        <v>0.47499999999999998</v>
      </c>
      <c r="AB2781" s="8">
        <v>5.1999999999999998E-2</v>
      </c>
      <c r="AC2781" s="8">
        <v>4.0000000000000001E-3</v>
      </c>
    </row>
    <row r="2782" spans="1:29" ht="11.65" x14ac:dyDescent="0.35">
      <c r="A2782" s="12">
        <v>2765</v>
      </c>
      <c r="B2782" s="10" t="s">
        <v>1015</v>
      </c>
      <c r="C2782" s="11" t="s">
        <v>1208</v>
      </c>
      <c r="D2782" s="9"/>
      <c r="E2782" s="9">
        <v>604</v>
      </c>
      <c r="F2782" s="10" t="s">
        <v>1066</v>
      </c>
      <c r="G2782" s="9">
        <v>931</v>
      </c>
      <c r="H2782" s="9">
        <v>1970</v>
      </c>
      <c r="I2782" s="8">
        <v>1185.21</v>
      </c>
      <c r="J2782" s="8">
        <v>1005.03</v>
      </c>
      <c r="K2782" s="8">
        <v>850.30100000000004</v>
      </c>
      <c r="L2782" s="8">
        <v>710.91600000000005</v>
      </c>
      <c r="M2782" s="8">
        <v>557.12099999999998</v>
      </c>
      <c r="N2782" s="8">
        <v>459.86900000000003</v>
      </c>
      <c r="O2782" s="8">
        <v>400.54399999999998</v>
      </c>
      <c r="P2782" s="8">
        <v>345.79599999999999</v>
      </c>
      <c r="Q2782" s="8">
        <v>285.61799999999999</v>
      </c>
      <c r="R2782" s="8">
        <v>238.88900000000001</v>
      </c>
      <c r="S2782" s="8">
        <v>193.423</v>
      </c>
      <c r="T2782" s="8">
        <v>165.696</v>
      </c>
      <c r="U2782" s="8">
        <v>132.88800000000001</v>
      </c>
      <c r="V2782" s="8">
        <v>95.046999999999997</v>
      </c>
      <c r="W2782" s="8">
        <v>65.304000000000002</v>
      </c>
      <c r="X2782" s="8">
        <v>34.877000000000002</v>
      </c>
      <c r="Y2782" s="8">
        <v>13.401999999999999</v>
      </c>
      <c r="Z2782" s="8">
        <v>3.2050000000000001</v>
      </c>
      <c r="AA2782" s="8">
        <v>0.57999999999999996</v>
      </c>
      <c r="AB2782" s="8">
        <v>0.06</v>
      </c>
      <c r="AC2782" s="8">
        <v>4.0000000000000001E-3</v>
      </c>
    </row>
    <row r="2783" spans="1:29" ht="11.65" x14ac:dyDescent="0.35">
      <c r="A2783" s="12">
        <v>2766</v>
      </c>
      <c r="B2783" s="10" t="s">
        <v>1015</v>
      </c>
      <c r="C2783" s="11" t="s">
        <v>1208</v>
      </c>
      <c r="D2783" s="9"/>
      <c r="E2783" s="9">
        <v>604</v>
      </c>
      <c r="F2783" s="10" t="s">
        <v>1066</v>
      </c>
      <c r="G2783" s="9">
        <v>931</v>
      </c>
      <c r="H2783" s="9">
        <v>1975</v>
      </c>
      <c r="I2783" s="8">
        <v>1305.921</v>
      </c>
      <c r="J2783" s="8">
        <v>1132.001</v>
      </c>
      <c r="K2783" s="8">
        <v>991.99800000000005</v>
      </c>
      <c r="L2783" s="8">
        <v>834.91499999999996</v>
      </c>
      <c r="M2783" s="8">
        <v>688.47799999999995</v>
      </c>
      <c r="N2783" s="8">
        <v>535.66300000000001</v>
      </c>
      <c r="O2783" s="8">
        <v>442.27699999999999</v>
      </c>
      <c r="P2783" s="8">
        <v>385.47800000000001</v>
      </c>
      <c r="Q2783" s="8">
        <v>331.99799999999999</v>
      </c>
      <c r="R2783" s="8">
        <v>272.34199999999998</v>
      </c>
      <c r="S2783" s="8">
        <v>224.80699999999999</v>
      </c>
      <c r="T2783" s="8">
        <v>178.19399999999999</v>
      </c>
      <c r="U2783" s="8">
        <v>147.60900000000001</v>
      </c>
      <c r="V2783" s="8">
        <v>111.809</v>
      </c>
      <c r="W2783" s="8">
        <v>72.765000000000001</v>
      </c>
      <c r="X2783" s="8">
        <v>41.826999999999998</v>
      </c>
      <c r="Y2783" s="8">
        <v>16.811</v>
      </c>
      <c r="Z2783" s="8">
        <v>4.4290000000000003</v>
      </c>
      <c r="AA2783" s="8">
        <v>0.68799999999999994</v>
      </c>
      <c r="AB2783" s="8">
        <v>0.08</v>
      </c>
      <c r="AC2783" s="8">
        <v>5.0000000000000001E-3</v>
      </c>
    </row>
    <row r="2784" spans="1:29" ht="11.65" x14ac:dyDescent="0.35">
      <c r="A2784" s="12">
        <v>2767</v>
      </c>
      <c r="B2784" s="10" t="s">
        <v>1015</v>
      </c>
      <c r="C2784" s="11" t="s">
        <v>1208</v>
      </c>
      <c r="D2784" s="9"/>
      <c r="E2784" s="9">
        <v>604</v>
      </c>
      <c r="F2784" s="10" t="s">
        <v>1066</v>
      </c>
      <c r="G2784" s="9">
        <v>931</v>
      </c>
      <c r="H2784" s="9">
        <v>1980</v>
      </c>
      <c r="I2784" s="8">
        <v>1395.73</v>
      </c>
      <c r="J2784" s="8">
        <v>1257.0419999999999</v>
      </c>
      <c r="K2784" s="8">
        <v>1120.2909999999999</v>
      </c>
      <c r="L2784" s="8">
        <v>976.548</v>
      </c>
      <c r="M2784" s="8">
        <v>811.46100000000001</v>
      </c>
      <c r="N2784" s="8">
        <v>665.13199999999995</v>
      </c>
      <c r="O2784" s="8">
        <v>517.13699999999994</v>
      </c>
      <c r="P2784" s="8">
        <v>426.89100000000002</v>
      </c>
      <c r="Q2784" s="8">
        <v>371.46499999999997</v>
      </c>
      <c r="R2784" s="8">
        <v>317.95600000000002</v>
      </c>
      <c r="S2784" s="8">
        <v>257.62799999999999</v>
      </c>
      <c r="T2784" s="8">
        <v>208.465</v>
      </c>
      <c r="U2784" s="8">
        <v>160.00899999999999</v>
      </c>
      <c r="V2784" s="8">
        <v>125.723</v>
      </c>
      <c r="W2784" s="8">
        <v>87.049000000000007</v>
      </c>
      <c r="X2784" s="8">
        <v>47.731999999999999</v>
      </c>
      <c r="Y2784" s="8">
        <v>20.748999999999999</v>
      </c>
      <c r="Z2784" s="8">
        <v>5.718</v>
      </c>
      <c r="AA2784" s="8">
        <v>0.97599999999999998</v>
      </c>
      <c r="AB2784" s="8">
        <v>9.7000000000000003E-2</v>
      </c>
      <c r="AC2784" s="8">
        <v>7.0000000000000001E-3</v>
      </c>
    </row>
    <row r="2785" spans="1:29" ht="11.65" x14ac:dyDescent="0.35">
      <c r="A2785" s="12">
        <v>2768</v>
      </c>
      <c r="B2785" s="10" t="s">
        <v>1015</v>
      </c>
      <c r="C2785" s="11" t="s">
        <v>1208</v>
      </c>
      <c r="D2785" s="9"/>
      <c r="E2785" s="9">
        <v>604</v>
      </c>
      <c r="F2785" s="10" t="s">
        <v>1066</v>
      </c>
      <c r="G2785" s="9">
        <v>931</v>
      </c>
      <c r="H2785" s="9">
        <v>1985</v>
      </c>
      <c r="I2785" s="8">
        <v>1491.9480000000001</v>
      </c>
      <c r="J2785" s="8">
        <v>1353.008</v>
      </c>
      <c r="K2785" s="8">
        <v>1245.6130000000001</v>
      </c>
      <c r="L2785" s="8">
        <v>1099.3689999999999</v>
      </c>
      <c r="M2785" s="8">
        <v>941.98500000000001</v>
      </c>
      <c r="N2785" s="8">
        <v>777.38</v>
      </c>
      <c r="O2785" s="8">
        <v>637.60900000000004</v>
      </c>
      <c r="P2785" s="8">
        <v>495.66399999999999</v>
      </c>
      <c r="Q2785" s="8">
        <v>408.91399999999999</v>
      </c>
      <c r="R2785" s="8">
        <v>354.709</v>
      </c>
      <c r="S2785" s="8">
        <v>300.72000000000003</v>
      </c>
      <c r="T2785" s="8">
        <v>239.21799999999999</v>
      </c>
      <c r="U2785" s="8">
        <v>187.916</v>
      </c>
      <c r="V2785" s="8">
        <v>137.52500000000001</v>
      </c>
      <c r="W2785" s="8">
        <v>100.057</v>
      </c>
      <c r="X2785" s="8">
        <v>59.857999999999997</v>
      </c>
      <c r="Y2785" s="8">
        <v>25.783999999999999</v>
      </c>
      <c r="Z2785" s="8">
        <v>7.7309999999999999</v>
      </c>
      <c r="AA2785" s="8">
        <v>1.331</v>
      </c>
      <c r="AB2785" s="8">
        <v>0.14199999999999999</v>
      </c>
      <c r="AC2785" s="8">
        <v>8.9999999999999993E-3</v>
      </c>
    </row>
    <row r="2786" spans="1:29" ht="11.65" x14ac:dyDescent="0.35">
      <c r="A2786" s="12">
        <v>2769</v>
      </c>
      <c r="B2786" s="10" t="s">
        <v>1015</v>
      </c>
      <c r="C2786" s="11" t="s">
        <v>1208</v>
      </c>
      <c r="D2786" s="9"/>
      <c r="E2786" s="9">
        <v>604</v>
      </c>
      <c r="F2786" s="10" t="s">
        <v>1066</v>
      </c>
      <c r="G2786" s="9">
        <v>931</v>
      </c>
      <c r="H2786" s="9">
        <v>1990</v>
      </c>
      <c r="I2786" s="8">
        <v>1583.52</v>
      </c>
      <c r="J2786" s="8">
        <v>1455.11</v>
      </c>
      <c r="K2786" s="8">
        <v>1341.4770000000001</v>
      </c>
      <c r="L2786" s="8">
        <v>1217.8389999999999</v>
      </c>
      <c r="M2786" s="8">
        <v>1051.1949999999999</v>
      </c>
      <c r="N2786" s="8">
        <v>894.03599999999994</v>
      </c>
      <c r="O2786" s="8">
        <v>739.13400000000001</v>
      </c>
      <c r="P2786" s="8">
        <v>607.88400000000001</v>
      </c>
      <c r="Q2786" s="8">
        <v>472.14499999999998</v>
      </c>
      <c r="R2786" s="8">
        <v>388.77199999999999</v>
      </c>
      <c r="S2786" s="8">
        <v>335.01600000000002</v>
      </c>
      <c r="T2786" s="8">
        <v>279.608</v>
      </c>
      <c r="U2786" s="8">
        <v>216.76499999999999</v>
      </c>
      <c r="V2786" s="8">
        <v>163.31899999999999</v>
      </c>
      <c r="W2786" s="8">
        <v>112.386</v>
      </c>
      <c r="X2786" s="8">
        <v>72.283000000000001</v>
      </c>
      <c r="Y2786" s="8">
        <v>34.972000000000001</v>
      </c>
      <c r="Z2786" s="8">
        <v>10.724</v>
      </c>
      <c r="AA2786" s="8">
        <v>1.988</v>
      </c>
      <c r="AB2786" s="8">
        <v>0.20499999999999999</v>
      </c>
      <c r="AC2786" s="8">
        <v>1.2999999999999999E-2</v>
      </c>
    </row>
    <row r="2787" spans="1:29" ht="11.65" x14ac:dyDescent="0.35">
      <c r="A2787" s="12">
        <v>2770</v>
      </c>
      <c r="B2787" s="10" t="s">
        <v>1015</v>
      </c>
      <c r="C2787" s="11" t="s">
        <v>1208</v>
      </c>
      <c r="D2787" s="9"/>
      <c r="E2787" s="9">
        <v>604</v>
      </c>
      <c r="F2787" s="10" t="s">
        <v>1066</v>
      </c>
      <c r="G2787" s="9">
        <v>931</v>
      </c>
      <c r="H2787" s="9">
        <v>1995</v>
      </c>
      <c r="I2787" s="8">
        <v>1594.5550000000001</v>
      </c>
      <c r="J2787" s="8">
        <v>1553.885</v>
      </c>
      <c r="K2787" s="8">
        <v>1443.002</v>
      </c>
      <c r="L2787" s="8">
        <v>1315.3009999999999</v>
      </c>
      <c r="M2787" s="8">
        <v>1172.829</v>
      </c>
      <c r="N2787" s="8">
        <v>1005.601</v>
      </c>
      <c r="O2787" s="8">
        <v>856.81200000000001</v>
      </c>
      <c r="P2787" s="8">
        <v>710.17399999999998</v>
      </c>
      <c r="Q2787" s="8">
        <v>584.08199999999999</v>
      </c>
      <c r="R2787" s="8">
        <v>451.83699999999999</v>
      </c>
      <c r="S2787" s="8">
        <v>369.267</v>
      </c>
      <c r="T2787" s="8">
        <v>313.88</v>
      </c>
      <c r="U2787" s="8">
        <v>256.49900000000002</v>
      </c>
      <c r="V2787" s="8">
        <v>191.874</v>
      </c>
      <c r="W2787" s="8">
        <v>136.82300000000001</v>
      </c>
      <c r="X2787" s="8">
        <v>83.741</v>
      </c>
      <c r="Y2787" s="8">
        <v>43.655999999999999</v>
      </c>
      <c r="Z2787" s="8">
        <v>14.959</v>
      </c>
      <c r="AA2787" s="8">
        <v>2.8690000000000002</v>
      </c>
      <c r="AB2787" s="8">
        <v>0.32400000000000001</v>
      </c>
      <c r="AC2787" s="8">
        <v>1.9E-2</v>
      </c>
    </row>
    <row r="2788" spans="1:29" ht="11.65" x14ac:dyDescent="0.35">
      <c r="A2788" s="12">
        <v>2771</v>
      </c>
      <c r="B2788" s="10" t="s">
        <v>1015</v>
      </c>
      <c r="C2788" s="11" t="s">
        <v>1208</v>
      </c>
      <c r="D2788" s="9"/>
      <c r="E2788" s="9">
        <v>604</v>
      </c>
      <c r="F2788" s="10" t="s">
        <v>1066</v>
      </c>
      <c r="G2788" s="9">
        <v>931</v>
      </c>
      <c r="H2788" s="9">
        <v>2000</v>
      </c>
      <c r="I2788" s="8">
        <v>1531.8009999999999</v>
      </c>
      <c r="J2788" s="8">
        <v>1574.3440000000001</v>
      </c>
      <c r="K2788" s="8">
        <v>1543.68</v>
      </c>
      <c r="L2788" s="8">
        <v>1422.5640000000001</v>
      </c>
      <c r="M2788" s="8">
        <v>1280.2860000000001</v>
      </c>
      <c r="N2788" s="8">
        <v>1136.0160000000001</v>
      </c>
      <c r="O2788" s="8">
        <v>974.36800000000005</v>
      </c>
      <c r="P2788" s="8">
        <v>831.50699999999995</v>
      </c>
      <c r="Q2788" s="8">
        <v>688.43700000000001</v>
      </c>
      <c r="R2788" s="8">
        <v>563.95500000000004</v>
      </c>
      <c r="S2788" s="8">
        <v>432.44</v>
      </c>
      <c r="T2788" s="8">
        <v>348.55599999999998</v>
      </c>
      <c r="U2788" s="8">
        <v>290.23899999999998</v>
      </c>
      <c r="V2788" s="8">
        <v>229.32</v>
      </c>
      <c r="W2788" s="8">
        <v>162.56</v>
      </c>
      <c r="X2788" s="8">
        <v>103.834</v>
      </c>
      <c r="Y2788" s="8">
        <v>52.206000000000003</v>
      </c>
      <c r="Z2788" s="8">
        <v>19.751000000000001</v>
      </c>
      <c r="AA2788" s="8">
        <v>4.3550000000000004</v>
      </c>
      <c r="AB2788" s="8">
        <v>0.51700000000000002</v>
      </c>
      <c r="AC2788" s="8">
        <v>3.3000000000000002E-2</v>
      </c>
    </row>
    <row r="2789" spans="1:29" ht="11.65" x14ac:dyDescent="0.35">
      <c r="A2789" s="12">
        <v>2772</v>
      </c>
      <c r="B2789" s="10" t="s">
        <v>1015</v>
      </c>
      <c r="C2789" s="11" t="s">
        <v>1208</v>
      </c>
      <c r="D2789" s="9"/>
      <c r="E2789" s="9">
        <v>604</v>
      </c>
      <c r="F2789" s="10" t="s">
        <v>1066</v>
      </c>
      <c r="G2789" s="9">
        <v>931</v>
      </c>
      <c r="H2789" s="9">
        <v>2005</v>
      </c>
      <c r="I2789" s="8">
        <v>1496.1990000000001</v>
      </c>
      <c r="J2789" s="8">
        <v>1504.6010000000001</v>
      </c>
      <c r="K2789" s="8">
        <v>1552.0409999999999</v>
      </c>
      <c r="L2789" s="8">
        <v>1466.711</v>
      </c>
      <c r="M2789" s="8">
        <v>1321.5519999999999</v>
      </c>
      <c r="N2789" s="8">
        <v>1183.29</v>
      </c>
      <c r="O2789" s="8">
        <v>1055.83</v>
      </c>
      <c r="P2789" s="8">
        <v>913.57299999999998</v>
      </c>
      <c r="Q2789" s="8">
        <v>789.46100000000001</v>
      </c>
      <c r="R2789" s="8">
        <v>650.61599999999999</v>
      </c>
      <c r="S2789" s="8">
        <v>532.89099999999996</v>
      </c>
      <c r="T2789" s="8">
        <v>403.84300000000002</v>
      </c>
      <c r="U2789" s="8">
        <v>326.25400000000002</v>
      </c>
      <c r="V2789" s="8">
        <v>263.459</v>
      </c>
      <c r="W2789" s="8">
        <v>199.43899999999999</v>
      </c>
      <c r="X2789" s="8">
        <v>133.98500000000001</v>
      </c>
      <c r="Y2789" s="8">
        <v>66.852000000000004</v>
      </c>
      <c r="Z2789" s="8">
        <v>24.998999999999999</v>
      </c>
      <c r="AA2789" s="8">
        <v>6.2670000000000003</v>
      </c>
      <c r="AB2789" s="8">
        <v>0.874</v>
      </c>
      <c r="AC2789" s="8">
        <v>0.06</v>
      </c>
    </row>
    <row r="2790" spans="1:29" ht="11.65" x14ac:dyDescent="0.35">
      <c r="A2790" s="12">
        <v>2773</v>
      </c>
      <c r="B2790" s="10" t="s">
        <v>1015</v>
      </c>
      <c r="C2790" s="11" t="s">
        <v>1208</v>
      </c>
      <c r="D2790" s="9"/>
      <c r="E2790" s="9">
        <v>604</v>
      </c>
      <c r="F2790" s="10" t="s">
        <v>1066</v>
      </c>
      <c r="G2790" s="9">
        <v>931</v>
      </c>
      <c r="H2790" s="9">
        <v>2010</v>
      </c>
      <c r="I2790" s="8">
        <v>1525.952</v>
      </c>
      <c r="J2790" s="8">
        <v>1458.7270000000001</v>
      </c>
      <c r="K2790" s="8">
        <v>1469.894</v>
      </c>
      <c r="L2790" s="8">
        <v>1524.403</v>
      </c>
      <c r="M2790" s="8">
        <v>1374.7260000000001</v>
      </c>
      <c r="N2790" s="8">
        <v>1202.249</v>
      </c>
      <c r="O2790" s="8">
        <v>1071.6669999999999</v>
      </c>
      <c r="P2790" s="8">
        <v>965.149</v>
      </c>
      <c r="Q2790" s="8">
        <v>843.92100000000005</v>
      </c>
      <c r="R2790" s="8">
        <v>740.17</v>
      </c>
      <c r="S2790" s="8">
        <v>605.89800000000002</v>
      </c>
      <c r="T2790" s="8">
        <v>495.21</v>
      </c>
      <c r="U2790" s="8">
        <v>369.15100000000001</v>
      </c>
      <c r="V2790" s="8">
        <v>297.17399999999998</v>
      </c>
      <c r="W2790" s="8">
        <v>227.73099999999999</v>
      </c>
      <c r="X2790" s="8">
        <v>159.62299999999999</v>
      </c>
      <c r="Y2790" s="8">
        <v>98.191999999999993</v>
      </c>
      <c r="Z2790" s="8">
        <v>33.884</v>
      </c>
      <c r="AA2790" s="8">
        <v>8.657</v>
      </c>
      <c r="AB2790" s="8">
        <v>1.405</v>
      </c>
      <c r="AC2790" s="8">
        <v>0.11600000000000001</v>
      </c>
    </row>
    <row r="2791" spans="1:29" ht="11.65" x14ac:dyDescent="0.35">
      <c r="A2791" s="12">
        <v>2774</v>
      </c>
      <c r="B2791" s="10" t="s">
        <v>1015</v>
      </c>
      <c r="C2791" s="11" t="s">
        <v>1208</v>
      </c>
      <c r="D2791" s="9"/>
      <c r="E2791" s="9">
        <v>604</v>
      </c>
      <c r="F2791" s="10" t="s">
        <v>1066</v>
      </c>
      <c r="G2791" s="9">
        <v>931</v>
      </c>
      <c r="H2791" s="9">
        <v>2015</v>
      </c>
      <c r="I2791" s="8">
        <v>1430.067</v>
      </c>
      <c r="J2791" s="8">
        <v>1510.336</v>
      </c>
      <c r="K2791" s="8">
        <v>1430.896</v>
      </c>
      <c r="L2791" s="8">
        <v>1389.8340000000001</v>
      </c>
      <c r="M2791" s="8">
        <v>1402.3979999999999</v>
      </c>
      <c r="N2791" s="8">
        <v>1247.8399999999999</v>
      </c>
      <c r="O2791" s="8">
        <v>1146.8589999999999</v>
      </c>
      <c r="P2791" s="8">
        <v>1028.7149999999999</v>
      </c>
      <c r="Q2791" s="8">
        <v>926.04600000000005</v>
      </c>
      <c r="R2791" s="8">
        <v>812.55700000000002</v>
      </c>
      <c r="S2791" s="8">
        <v>704.51199999999994</v>
      </c>
      <c r="T2791" s="8">
        <v>586.03</v>
      </c>
      <c r="U2791" s="8">
        <v>487.149</v>
      </c>
      <c r="V2791" s="8">
        <v>359.00200000000001</v>
      </c>
      <c r="W2791" s="8">
        <v>275.29599999999999</v>
      </c>
      <c r="X2791" s="8">
        <v>202.69800000000001</v>
      </c>
      <c r="Y2791" s="8">
        <v>125.197</v>
      </c>
      <c r="Z2791" s="8">
        <v>52.703000000000003</v>
      </c>
      <c r="AA2791" s="8">
        <v>12.832000000000001</v>
      </c>
      <c r="AB2791" s="8">
        <v>2.181</v>
      </c>
      <c r="AC2791" s="8">
        <v>0.217</v>
      </c>
    </row>
    <row r="2792" spans="1:29" ht="11.65" x14ac:dyDescent="0.35">
      <c r="A2792" s="12">
        <v>2775</v>
      </c>
      <c r="B2792" s="10" t="s">
        <v>1015</v>
      </c>
      <c r="C2792" s="11" t="s">
        <v>1208</v>
      </c>
      <c r="D2792" s="9"/>
      <c r="E2792" s="9">
        <v>604</v>
      </c>
      <c r="F2792" s="10" t="s">
        <v>1066</v>
      </c>
      <c r="G2792" s="9">
        <v>931</v>
      </c>
      <c r="H2792" s="9">
        <v>2020</v>
      </c>
      <c r="I2792" s="8">
        <v>1449.8679999999999</v>
      </c>
      <c r="J2792" s="8">
        <v>1309.452</v>
      </c>
      <c r="K2792" s="8">
        <v>1325.559</v>
      </c>
      <c r="L2792" s="8">
        <v>1181.7349999999999</v>
      </c>
      <c r="M2792" s="8">
        <v>1208.9749999999999</v>
      </c>
      <c r="N2792" s="8">
        <v>1361.3489999999999</v>
      </c>
      <c r="O2792" s="8">
        <v>1372.9680000000001</v>
      </c>
      <c r="P2792" s="8">
        <v>1309.0740000000001</v>
      </c>
      <c r="Q2792" s="8">
        <v>1180.5609999999999</v>
      </c>
      <c r="R2792" s="8">
        <v>1047.925</v>
      </c>
      <c r="S2792" s="8">
        <v>900.04399999999998</v>
      </c>
      <c r="T2792" s="8">
        <v>757.90200000000004</v>
      </c>
      <c r="U2792" s="8">
        <v>617.11800000000005</v>
      </c>
      <c r="V2792" s="8">
        <v>501.38400000000001</v>
      </c>
      <c r="W2792" s="8">
        <v>352.74799999999999</v>
      </c>
      <c r="X2792" s="8">
        <v>243.75200000000001</v>
      </c>
      <c r="Y2792" s="8">
        <v>161.173</v>
      </c>
      <c r="Z2792" s="8">
        <v>71.135999999999996</v>
      </c>
      <c r="AA2792" s="8">
        <v>21.841999999999999</v>
      </c>
      <c r="AB2792" s="8">
        <v>3.6459999999999999</v>
      </c>
      <c r="AC2792" s="8">
        <v>0.39500000000000002</v>
      </c>
    </row>
    <row r="2793" spans="1:29" ht="11.65" x14ac:dyDescent="0.35">
      <c r="A2793" s="12">
        <v>2776</v>
      </c>
      <c r="B2793" s="10" t="s">
        <v>1015</v>
      </c>
      <c r="C2793" s="11" t="s">
        <v>1209</v>
      </c>
      <c r="D2793" s="9"/>
      <c r="E2793" s="9">
        <v>740</v>
      </c>
      <c r="F2793" s="10" t="s">
        <v>1066</v>
      </c>
      <c r="G2793" s="9">
        <v>931</v>
      </c>
      <c r="H2793" s="9">
        <v>1950</v>
      </c>
      <c r="I2793" s="8">
        <v>19</v>
      </c>
      <c r="J2793" s="8">
        <v>13</v>
      </c>
      <c r="K2793" s="8">
        <v>11.000999999999999</v>
      </c>
      <c r="L2793" s="8">
        <v>9.9990000000000006</v>
      </c>
      <c r="M2793" s="8">
        <v>9.0009999999999994</v>
      </c>
      <c r="N2793" s="8">
        <v>8.0009999999999994</v>
      </c>
      <c r="O2793" s="8">
        <v>6.0019999999999998</v>
      </c>
      <c r="P2793" s="8">
        <v>6.0010000000000003</v>
      </c>
      <c r="Q2793" s="8">
        <v>5</v>
      </c>
      <c r="R2793" s="8">
        <v>4.0010000000000003</v>
      </c>
      <c r="S2793" s="8">
        <v>4.0019999999999998</v>
      </c>
      <c r="T2793" s="8">
        <v>2.9980000000000002</v>
      </c>
      <c r="U2793" s="8">
        <v>3.0019999999999998</v>
      </c>
      <c r="V2793" s="8">
        <v>1.998</v>
      </c>
      <c r="W2793" s="8">
        <v>2</v>
      </c>
      <c r="X2793" s="8">
        <v>0.999</v>
      </c>
      <c r="Y2793" s="8">
        <v>0.61599999999999999</v>
      </c>
      <c r="Z2793" s="8">
        <v>0.27500000000000002</v>
      </c>
      <c r="AA2793" s="8">
        <v>8.5999999999999993E-2</v>
      </c>
      <c r="AB2793" s="8">
        <v>1.4999999999999999E-2</v>
      </c>
      <c r="AC2793" s="8">
        <v>2E-3</v>
      </c>
    </row>
    <row r="2794" spans="1:29" ht="11.65" x14ac:dyDescent="0.35">
      <c r="A2794" s="12">
        <v>2777</v>
      </c>
      <c r="B2794" s="10" t="s">
        <v>1015</v>
      </c>
      <c r="C2794" s="11" t="s">
        <v>1209</v>
      </c>
      <c r="D2794" s="9"/>
      <c r="E2794" s="9">
        <v>740</v>
      </c>
      <c r="F2794" s="10" t="s">
        <v>1066</v>
      </c>
      <c r="G2794" s="9">
        <v>931</v>
      </c>
      <c r="H2794" s="9">
        <v>1955</v>
      </c>
      <c r="I2794" s="8">
        <v>23.606000000000002</v>
      </c>
      <c r="J2794" s="8">
        <v>17.890999999999998</v>
      </c>
      <c r="K2794" s="8">
        <v>12.994999999999999</v>
      </c>
      <c r="L2794" s="8">
        <v>10.99</v>
      </c>
      <c r="M2794" s="8">
        <v>10.007</v>
      </c>
      <c r="N2794" s="8">
        <v>9.0020000000000007</v>
      </c>
      <c r="O2794" s="8">
        <v>7.9980000000000002</v>
      </c>
      <c r="P2794" s="8">
        <v>6.0010000000000003</v>
      </c>
      <c r="Q2794" s="8">
        <v>6.0010000000000003</v>
      </c>
      <c r="R2794" s="8">
        <v>5</v>
      </c>
      <c r="S2794" s="8">
        <v>4.0010000000000003</v>
      </c>
      <c r="T2794" s="8">
        <v>3.9990000000000001</v>
      </c>
      <c r="U2794" s="8">
        <v>2.9969999999999999</v>
      </c>
      <c r="V2794" s="8">
        <v>1.998</v>
      </c>
      <c r="W2794" s="8">
        <v>1</v>
      </c>
      <c r="X2794" s="8">
        <v>0.998</v>
      </c>
      <c r="Y2794" s="8">
        <v>0.66400000000000003</v>
      </c>
      <c r="Z2794" s="8">
        <v>0.245</v>
      </c>
      <c r="AA2794" s="8">
        <v>7.5999999999999998E-2</v>
      </c>
      <c r="AB2794" s="8">
        <v>1.4999999999999999E-2</v>
      </c>
      <c r="AC2794" s="8">
        <v>2E-3</v>
      </c>
    </row>
    <row r="2795" spans="1:29" ht="11.65" x14ac:dyDescent="0.35">
      <c r="A2795" s="12">
        <v>2778</v>
      </c>
      <c r="B2795" s="10" t="s">
        <v>1015</v>
      </c>
      <c r="C2795" s="11" t="s">
        <v>1209</v>
      </c>
      <c r="D2795" s="9"/>
      <c r="E2795" s="9">
        <v>740</v>
      </c>
      <c r="F2795" s="10" t="s">
        <v>1066</v>
      </c>
      <c r="G2795" s="9">
        <v>931</v>
      </c>
      <c r="H2795" s="9">
        <v>1960</v>
      </c>
      <c r="I2795" s="8">
        <v>29.524999999999999</v>
      </c>
      <c r="J2795" s="8">
        <v>22.516999999999999</v>
      </c>
      <c r="K2795" s="8">
        <v>16.885000000000002</v>
      </c>
      <c r="L2795" s="8">
        <v>11.987</v>
      </c>
      <c r="M2795" s="8">
        <v>9.9969999999999999</v>
      </c>
      <c r="N2795" s="8">
        <v>10.009</v>
      </c>
      <c r="O2795" s="8">
        <v>8.0009999999999994</v>
      </c>
      <c r="P2795" s="8">
        <v>6.9980000000000002</v>
      </c>
      <c r="Q2795" s="8">
        <v>4.9989999999999997</v>
      </c>
      <c r="R2795" s="8">
        <v>5.9989999999999997</v>
      </c>
      <c r="S2795" s="8">
        <v>4</v>
      </c>
      <c r="T2795" s="8">
        <v>4.0010000000000003</v>
      </c>
      <c r="U2795" s="8">
        <v>2.996</v>
      </c>
      <c r="V2795" s="8">
        <v>1.9970000000000001</v>
      </c>
      <c r="W2795" s="8">
        <v>2.0009999999999999</v>
      </c>
      <c r="X2795" s="8">
        <v>1.0009999999999999</v>
      </c>
      <c r="Y2795" s="8">
        <v>0.64400000000000002</v>
      </c>
      <c r="Z2795" s="8">
        <v>0.27200000000000002</v>
      </c>
      <c r="AA2795" s="8">
        <v>7.0000000000000007E-2</v>
      </c>
      <c r="AB2795" s="8">
        <v>1.4E-2</v>
      </c>
      <c r="AC2795" s="8">
        <v>2E-3</v>
      </c>
    </row>
    <row r="2796" spans="1:29" ht="11.65" x14ac:dyDescent="0.35">
      <c r="A2796" s="12">
        <v>2779</v>
      </c>
      <c r="B2796" s="10" t="s">
        <v>1015</v>
      </c>
      <c r="C2796" s="11" t="s">
        <v>1209</v>
      </c>
      <c r="D2796" s="9"/>
      <c r="E2796" s="9">
        <v>740</v>
      </c>
      <c r="F2796" s="10" t="s">
        <v>1066</v>
      </c>
      <c r="G2796" s="9">
        <v>931</v>
      </c>
      <c r="H2796" s="9">
        <v>1965</v>
      </c>
      <c r="I2796" s="8">
        <v>32.018999999999998</v>
      </c>
      <c r="J2796" s="8">
        <v>26.731000000000002</v>
      </c>
      <c r="K2796" s="8">
        <v>20.818999999999999</v>
      </c>
      <c r="L2796" s="8">
        <v>15.178000000000001</v>
      </c>
      <c r="M2796" s="8">
        <v>11.093</v>
      </c>
      <c r="N2796" s="8">
        <v>10.298</v>
      </c>
      <c r="O2796" s="8">
        <v>9.3089999999999993</v>
      </c>
      <c r="P2796" s="8">
        <v>8.2010000000000005</v>
      </c>
      <c r="Q2796" s="8">
        <v>6.899</v>
      </c>
      <c r="R2796" s="8">
        <v>5</v>
      </c>
      <c r="S2796" s="8">
        <v>5</v>
      </c>
      <c r="T2796" s="8">
        <v>3.6989999999999998</v>
      </c>
      <c r="U2796" s="8">
        <v>3.198</v>
      </c>
      <c r="V2796" s="8">
        <v>2.6970000000000001</v>
      </c>
      <c r="W2796" s="8">
        <v>1.798</v>
      </c>
      <c r="X2796" s="8">
        <v>1.099</v>
      </c>
      <c r="Y2796" s="8">
        <v>0.44400000000000001</v>
      </c>
      <c r="Z2796" s="8">
        <v>0.26200000000000001</v>
      </c>
      <c r="AA2796" s="8">
        <v>7.6999999999999999E-2</v>
      </c>
      <c r="AB2796" s="8">
        <v>1.2999999999999999E-2</v>
      </c>
      <c r="AC2796" s="8">
        <v>2E-3</v>
      </c>
    </row>
    <row r="2797" spans="1:29" ht="11.65" x14ac:dyDescent="0.35">
      <c r="A2797" s="12">
        <v>2780</v>
      </c>
      <c r="B2797" s="10" t="s">
        <v>1015</v>
      </c>
      <c r="C2797" s="11" t="s">
        <v>1209</v>
      </c>
      <c r="D2797" s="9"/>
      <c r="E2797" s="9">
        <v>740</v>
      </c>
      <c r="F2797" s="10" t="s">
        <v>1066</v>
      </c>
      <c r="G2797" s="9">
        <v>931</v>
      </c>
      <c r="H2797" s="9">
        <v>1970</v>
      </c>
      <c r="I2797" s="8">
        <v>31.872</v>
      </c>
      <c r="J2797" s="8">
        <v>31.28</v>
      </c>
      <c r="K2797" s="8">
        <v>26.32</v>
      </c>
      <c r="L2797" s="8">
        <v>20.006</v>
      </c>
      <c r="M2797" s="8">
        <v>13.287000000000001</v>
      </c>
      <c r="N2797" s="8">
        <v>9.3940000000000001</v>
      </c>
      <c r="O2797" s="8">
        <v>9.1980000000000004</v>
      </c>
      <c r="P2797" s="8">
        <v>8.6080000000000005</v>
      </c>
      <c r="Q2797" s="8">
        <v>7.702</v>
      </c>
      <c r="R2797" s="8">
        <v>6.4980000000000002</v>
      </c>
      <c r="S2797" s="8">
        <v>4.6989999999999998</v>
      </c>
      <c r="T2797" s="8">
        <v>4.5979999999999999</v>
      </c>
      <c r="U2797" s="8">
        <v>3.2959999999999998</v>
      </c>
      <c r="V2797" s="8">
        <v>2.6989999999999998</v>
      </c>
      <c r="W2797" s="8">
        <v>2.0979999999999999</v>
      </c>
      <c r="X2797" s="8">
        <v>1.198</v>
      </c>
      <c r="Y2797" s="8">
        <v>0.52200000000000002</v>
      </c>
      <c r="Z2797" s="8">
        <v>0.185</v>
      </c>
      <c r="AA2797" s="8">
        <v>7.4999999999999997E-2</v>
      </c>
      <c r="AB2797" s="8">
        <v>1.4E-2</v>
      </c>
      <c r="AC2797" s="8">
        <v>2E-3</v>
      </c>
    </row>
    <row r="2798" spans="1:29" ht="11.65" x14ac:dyDescent="0.35">
      <c r="A2798" s="12">
        <v>2781</v>
      </c>
      <c r="B2798" s="10" t="s">
        <v>1015</v>
      </c>
      <c r="C2798" s="11" t="s">
        <v>1209</v>
      </c>
      <c r="D2798" s="9"/>
      <c r="E2798" s="9">
        <v>740</v>
      </c>
      <c r="F2798" s="10" t="s">
        <v>1066</v>
      </c>
      <c r="G2798" s="9">
        <v>931</v>
      </c>
      <c r="H2798" s="9">
        <v>1975</v>
      </c>
      <c r="I2798" s="8">
        <v>28.15</v>
      </c>
      <c r="J2798" s="8">
        <v>30.913</v>
      </c>
      <c r="K2798" s="8">
        <v>27.361000000000001</v>
      </c>
      <c r="L2798" s="8">
        <v>20.792999999999999</v>
      </c>
      <c r="M2798" s="8">
        <v>12.909000000000001</v>
      </c>
      <c r="N2798" s="8">
        <v>9.7469999999999999</v>
      </c>
      <c r="O2798" s="8">
        <v>8.9209999999999994</v>
      </c>
      <c r="P2798" s="8">
        <v>8.5519999999999996</v>
      </c>
      <c r="Q2798" s="8">
        <v>7.4480000000000004</v>
      </c>
      <c r="R2798" s="8">
        <v>6.3239999999999998</v>
      </c>
      <c r="S2798" s="8">
        <v>4.6470000000000002</v>
      </c>
      <c r="T2798" s="8">
        <v>3.9060000000000001</v>
      </c>
      <c r="U2798" s="8">
        <v>3.5329999999999999</v>
      </c>
      <c r="V2798" s="8">
        <v>2.6019999999999999</v>
      </c>
      <c r="W2798" s="8">
        <v>2.2320000000000002</v>
      </c>
      <c r="X2798" s="8">
        <v>1.486</v>
      </c>
      <c r="Y2798" s="8">
        <v>0.26800000000000002</v>
      </c>
      <c r="Z2798" s="8">
        <v>0.223</v>
      </c>
      <c r="AA2798" s="8">
        <v>5.5E-2</v>
      </c>
      <c r="AB2798" s="8">
        <v>1.4E-2</v>
      </c>
      <c r="AC2798" s="8">
        <v>2E-3</v>
      </c>
    </row>
    <row r="2799" spans="1:29" ht="11.65" x14ac:dyDescent="0.35">
      <c r="A2799" s="12">
        <v>2782</v>
      </c>
      <c r="B2799" s="10" t="s">
        <v>1015</v>
      </c>
      <c r="C2799" s="11" t="s">
        <v>1209</v>
      </c>
      <c r="D2799" s="9"/>
      <c r="E2799" s="9">
        <v>740</v>
      </c>
      <c r="F2799" s="10" t="s">
        <v>1066</v>
      </c>
      <c r="G2799" s="9">
        <v>931</v>
      </c>
      <c r="H2799" s="9">
        <v>1980</v>
      </c>
      <c r="I2799" s="8">
        <v>22.872</v>
      </c>
      <c r="J2799" s="8">
        <v>24.753</v>
      </c>
      <c r="K2799" s="8">
        <v>25.146999999999998</v>
      </c>
      <c r="L2799" s="8">
        <v>23.917000000000002</v>
      </c>
      <c r="M2799" s="8">
        <v>17.402999999999999</v>
      </c>
      <c r="N2799" s="8">
        <v>12.058</v>
      </c>
      <c r="O2799" s="8">
        <v>9.5120000000000005</v>
      </c>
      <c r="P2799" s="8">
        <v>8.5860000000000003</v>
      </c>
      <c r="Q2799" s="8">
        <v>8.0730000000000004</v>
      </c>
      <c r="R2799" s="8">
        <v>7.4</v>
      </c>
      <c r="S2799" s="8">
        <v>6.1120000000000001</v>
      </c>
      <c r="T2799" s="8">
        <v>4.8600000000000003</v>
      </c>
      <c r="U2799" s="8">
        <v>3.2879999999999998</v>
      </c>
      <c r="V2799" s="8">
        <v>2.823</v>
      </c>
      <c r="W2799" s="8">
        <v>2.089</v>
      </c>
      <c r="X2799" s="8">
        <v>1.4590000000000001</v>
      </c>
      <c r="Y2799" s="8">
        <v>1.034</v>
      </c>
      <c r="Z2799" s="8">
        <v>0.122</v>
      </c>
      <c r="AA2799" s="8">
        <v>6.7000000000000004E-2</v>
      </c>
      <c r="AB2799" s="8">
        <v>1.0999999999999999E-2</v>
      </c>
      <c r="AC2799" s="8">
        <v>2E-3</v>
      </c>
    </row>
    <row r="2800" spans="1:29" ht="11.65" x14ac:dyDescent="0.35">
      <c r="A2800" s="12">
        <v>2783</v>
      </c>
      <c r="B2800" s="10" t="s">
        <v>1015</v>
      </c>
      <c r="C2800" s="11" t="s">
        <v>1209</v>
      </c>
      <c r="D2800" s="9"/>
      <c r="E2800" s="9">
        <v>740</v>
      </c>
      <c r="F2800" s="10" t="s">
        <v>1066</v>
      </c>
      <c r="G2800" s="9">
        <v>931</v>
      </c>
      <c r="H2800" s="9">
        <v>1985</v>
      </c>
      <c r="I2800" s="8">
        <v>25.052</v>
      </c>
      <c r="J2800" s="8">
        <v>20.350999999999999</v>
      </c>
      <c r="K2800" s="8">
        <v>22.209</v>
      </c>
      <c r="L2800" s="8">
        <v>21.794</v>
      </c>
      <c r="M2800" s="8">
        <v>20.991</v>
      </c>
      <c r="N2800" s="8">
        <v>15.436999999999999</v>
      </c>
      <c r="O2800" s="8">
        <v>11.361000000000001</v>
      </c>
      <c r="P2800" s="8">
        <v>9.32</v>
      </c>
      <c r="Q2800" s="8">
        <v>8.3629999999999995</v>
      </c>
      <c r="R2800" s="8">
        <v>7.7869999999999999</v>
      </c>
      <c r="S2800" s="8">
        <v>7.0350000000000001</v>
      </c>
      <c r="T2800" s="8">
        <v>5.6790000000000003</v>
      </c>
      <c r="U2800" s="8">
        <v>4.3460000000000001</v>
      </c>
      <c r="V2800" s="8">
        <v>2.7930000000000001</v>
      </c>
      <c r="W2800" s="8">
        <v>2.2130000000000001</v>
      </c>
      <c r="X2800" s="8">
        <v>1.4390000000000001</v>
      </c>
      <c r="Y2800" s="8">
        <v>0.85399999999999998</v>
      </c>
      <c r="Z2800" s="8">
        <v>0.47099999999999997</v>
      </c>
      <c r="AA2800" s="8">
        <v>3.7999999999999999E-2</v>
      </c>
      <c r="AB2800" s="8">
        <v>1.4E-2</v>
      </c>
      <c r="AC2800" s="8">
        <v>2E-3</v>
      </c>
    </row>
    <row r="2801" spans="1:29" ht="11.65" x14ac:dyDescent="0.35">
      <c r="A2801" s="12">
        <v>2784</v>
      </c>
      <c r="B2801" s="10" t="s">
        <v>1015</v>
      </c>
      <c r="C2801" s="11" t="s">
        <v>1209</v>
      </c>
      <c r="D2801" s="9"/>
      <c r="E2801" s="9">
        <v>740</v>
      </c>
      <c r="F2801" s="10" t="s">
        <v>1066</v>
      </c>
      <c r="G2801" s="9">
        <v>931</v>
      </c>
      <c r="H2801" s="9">
        <v>1990</v>
      </c>
      <c r="I2801" s="8">
        <v>27.154</v>
      </c>
      <c r="J2801" s="8">
        <v>24.407</v>
      </c>
      <c r="K2801" s="8">
        <v>19.974</v>
      </c>
      <c r="L2801" s="8">
        <v>21.824000000000002</v>
      </c>
      <c r="M2801" s="8">
        <v>21.222999999999999</v>
      </c>
      <c r="N2801" s="8">
        <v>20.370999999999999</v>
      </c>
      <c r="O2801" s="8">
        <v>14.96</v>
      </c>
      <c r="P2801" s="8">
        <v>11.071</v>
      </c>
      <c r="Q2801" s="8">
        <v>9.077</v>
      </c>
      <c r="R2801" s="8">
        <v>8.0660000000000007</v>
      </c>
      <c r="S2801" s="8">
        <v>7.4050000000000002</v>
      </c>
      <c r="T2801" s="8">
        <v>6.5330000000000004</v>
      </c>
      <c r="U2801" s="8">
        <v>5.0789999999999997</v>
      </c>
      <c r="V2801" s="8">
        <v>3.6920000000000002</v>
      </c>
      <c r="W2801" s="8">
        <v>2.1909999999999998</v>
      </c>
      <c r="X2801" s="8">
        <v>1.524</v>
      </c>
      <c r="Y2801" s="8">
        <v>0.84499999999999997</v>
      </c>
      <c r="Z2801" s="8">
        <v>0.38900000000000001</v>
      </c>
      <c r="AA2801" s="8">
        <v>0.155</v>
      </c>
      <c r="AB2801" s="8">
        <v>8.0000000000000002E-3</v>
      </c>
      <c r="AC2801" s="8">
        <v>2E-3</v>
      </c>
    </row>
    <row r="2802" spans="1:29" ht="11.65" x14ac:dyDescent="0.35">
      <c r="A2802" s="12">
        <v>2785</v>
      </c>
      <c r="B2802" s="10" t="s">
        <v>1015</v>
      </c>
      <c r="C2802" s="11" t="s">
        <v>1209</v>
      </c>
      <c r="D2802" s="9"/>
      <c r="E2802" s="9">
        <v>740</v>
      </c>
      <c r="F2802" s="10" t="s">
        <v>1066</v>
      </c>
      <c r="G2802" s="9">
        <v>931</v>
      </c>
      <c r="H2802" s="9">
        <v>1995</v>
      </c>
      <c r="I2802" s="8">
        <v>28.231999999999999</v>
      </c>
      <c r="J2802" s="8">
        <v>26.687999999999999</v>
      </c>
      <c r="K2802" s="8">
        <v>23.847000000000001</v>
      </c>
      <c r="L2802" s="8">
        <v>19.609000000000002</v>
      </c>
      <c r="M2802" s="8">
        <v>21.355</v>
      </c>
      <c r="N2802" s="8">
        <v>20.533000000000001</v>
      </c>
      <c r="O2802" s="8">
        <v>19.677</v>
      </c>
      <c r="P2802" s="8">
        <v>14.44</v>
      </c>
      <c r="Q2802" s="8">
        <v>10.721</v>
      </c>
      <c r="R2802" s="8">
        <v>8.7550000000000008</v>
      </c>
      <c r="S2802" s="8">
        <v>7.6660000000000004</v>
      </c>
      <c r="T2802" s="8">
        <v>6.8760000000000003</v>
      </c>
      <c r="U2802" s="8">
        <v>5.843</v>
      </c>
      <c r="V2802" s="8">
        <v>4.3120000000000003</v>
      </c>
      <c r="W2802" s="8">
        <v>2.8980000000000001</v>
      </c>
      <c r="X2802" s="8">
        <v>1.5109999999999999</v>
      </c>
      <c r="Y2802" s="8">
        <v>0.89800000000000002</v>
      </c>
      <c r="Z2802" s="8">
        <v>0.38400000000000001</v>
      </c>
      <c r="AA2802" s="8">
        <v>0.129</v>
      </c>
      <c r="AB2802" s="8">
        <v>3.3000000000000002E-2</v>
      </c>
      <c r="AC2802" s="8">
        <v>1E-3</v>
      </c>
    </row>
    <row r="2803" spans="1:29" ht="11.65" x14ac:dyDescent="0.35">
      <c r="A2803" s="12">
        <v>2786</v>
      </c>
      <c r="B2803" s="10" t="s">
        <v>1015</v>
      </c>
      <c r="C2803" s="11" t="s">
        <v>1209</v>
      </c>
      <c r="D2803" s="9"/>
      <c r="E2803" s="9">
        <v>740</v>
      </c>
      <c r="F2803" s="10" t="s">
        <v>1066</v>
      </c>
      <c r="G2803" s="9">
        <v>931</v>
      </c>
      <c r="H2803" s="9">
        <v>2000</v>
      </c>
      <c r="I2803" s="8">
        <v>27.748000000000001</v>
      </c>
      <c r="J2803" s="8">
        <v>26.446000000000002</v>
      </c>
      <c r="K2803" s="8">
        <v>25.071000000000002</v>
      </c>
      <c r="L2803" s="8">
        <v>22.254999999999999</v>
      </c>
      <c r="M2803" s="8">
        <v>19.824999999999999</v>
      </c>
      <c r="N2803" s="8">
        <v>21.167000000000002</v>
      </c>
      <c r="O2803" s="8">
        <v>19.395</v>
      </c>
      <c r="P2803" s="8">
        <v>18.989000000000001</v>
      </c>
      <c r="Q2803" s="8">
        <v>13.664</v>
      </c>
      <c r="R2803" s="8">
        <v>10.018000000000001</v>
      </c>
      <c r="S2803" s="8">
        <v>8.5039999999999996</v>
      </c>
      <c r="T2803" s="8">
        <v>6.5460000000000003</v>
      </c>
      <c r="U2803" s="8">
        <v>6.0419999999999998</v>
      </c>
      <c r="V2803" s="8">
        <v>4.9409999999999998</v>
      </c>
      <c r="W2803" s="8">
        <v>3.6739999999999999</v>
      </c>
      <c r="X2803" s="8">
        <v>2.145</v>
      </c>
      <c r="Y2803" s="8">
        <v>0.89</v>
      </c>
      <c r="Z2803" s="8">
        <v>0.40699999999999997</v>
      </c>
      <c r="AA2803" s="8">
        <v>0.126</v>
      </c>
      <c r="AB2803" s="8">
        <v>2.8000000000000001E-2</v>
      </c>
      <c r="AC2803" s="8">
        <v>4.0000000000000001E-3</v>
      </c>
    </row>
    <row r="2804" spans="1:29" ht="11.65" x14ac:dyDescent="0.35">
      <c r="A2804" s="12">
        <v>2787</v>
      </c>
      <c r="B2804" s="10" t="s">
        <v>1015</v>
      </c>
      <c r="C2804" s="11" t="s">
        <v>1209</v>
      </c>
      <c r="D2804" s="9"/>
      <c r="E2804" s="9">
        <v>740</v>
      </c>
      <c r="F2804" s="10" t="s">
        <v>1066</v>
      </c>
      <c r="G2804" s="9">
        <v>931</v>
      </c>
      <c r="H2804" s="9">
        <v>2005</v>
      </c>
      <c r="I2804" s="8">
        <v>27.585000000000001</v>
      </c>
      <c r="J2804" s="8">
        <v>27.091000000000001</v>
      </c>
      <c r="K2804" s="8">
        <v>25.927</v>
      </c>
      <c r="L2804" s="8">
        <v>24.032</v>
      </c>
      <c r="M2804" s="8">
        <v>21.623999999999999</v>
      </c>
      <c r="N2804" s="8">
        <v>19.234999999999999</v>
      </c>
      <c r="O2804" s="8">
        <v>20.391999999999999</v>
      </c>
      <c r="P2804" s="8">
        <v>18.466999999999999</v>
      </c>
      <c r="Q2804" s="8">
        <v>18.050999999999998</v>
      </c>
      <c r="R2804" s="8">
        <v>12.936</v>
      </c>
      <c r="S2804" s="8">
        <v>9.4649999999999999</v>
      </c>
      <c r="T2804" s="8">
        <v>7.9009999999999998</v>
      </c>
      <c r="U2804" s="8">
        <v>5.8529999999999998</v>
      </c>
      <c r="V2804" s="8">
        <v>5.13</v>
      </c>
      <c r="W2804" s="8">
        <v>3.879</v>
      </c>
      <c r="X2804" s="8">
        <v>2.5310000000000001</v>
      </c>
      <c r="Y2804" s="8">
        <v>1.254</v>
      </c>
      <c r="Z2804" s="8">
        <v>0.40300000000000002</v>
      </c>
      <c r="AA2804" s="8">
        <v>0.13300000000000001</v>
      </c>
      <c r="AB2804" s="8">
        <v>2.8000000000000001E-2</v>
      </c>
      <c r="AC2804" s="8">
        <v>4.0000000000000001E-3</v>
      </c>
    </row>
    <row r="2805" spans="1:29" ht="11.65" x14ac:dyDescent="0.35">
      <c r="A2805" s="12">
        <v>2788</v>
      </c>
      <c r="B2805" s="10" t="s">
        <v>1015</v>
      </c>
      <c r="C2805" s="11" t="s">
        <v>1209</v>
      </c>
      <c r="D2805" s="9"/>
      <c r="E2805" s="9">
        <v>740</v>
      </c>
      <c r="F2805" s="10" t="s">
        <v>1066</v>
      </c>
      <c r="G2805" s="9">
        <v>931</v>
      </c>
      <c r="H2805" s="9">
        <v>2010</v>
      </c>
      <c r="I2805" s="8">
        <v>27.126000000000001</v>
      </c>
      <c r="J2805" s="8">
        <v>27.032</v>
      </c>
      <c r="K2805" s="8">
        <v>26.417999999999999</v>
      </c>
      <c r="L2805" s="8">
        <v>25.332999999999998</v>
      </c>
      <c r="M2805" s="8">
        <v>23.359000000000002</v>
      </c>
      <c r="N2805" s="8">
        <v>21.001999999999999</v>
      </c>
      <c r="O2805" s="8">
        <v>18.696000000000002</v>
      </c>
      <c r="P2805" s="8">
        <v>19.812999999999999</v>
      </c>
      <c r="Q2805" s="8">
        <v>17.881</v>
      </c>
      <c r="R2805" s="8">
        <v>17.411999999999999</v>
      </c>
      <c r="S2805" s="8">
        <v>12.356</v>
      </c>
      <c r="T2805" s="8">
        <v>8.8510000000000009</v>
      </c>
      <c r="U2805" s="8">
        <v>7.1280000000000001</v>
      </c>
      <c r="V2805" s="8">
        <v>5.03</v>
      </c>
      <c r="W2805" s="8">
        <v>4.09</v>
      </c>
      <c r="X2805" s="8">
        <v>2.7320000000000002</v>
      </c>
      <c r="Y2805" s="8">
        <v>1.5009999999999999</v>
      </c>
      <c r="Z2805" s="8">
        <v>0.58899999999999997</v>
      </c>
      <c r="AA2805" s="8">
        <v>0.13800000000000001</v>
      </c>
      <c r="AB2805" s="8">
        <v>3.1E-2</v>
      </c>
      <c r="AC2805" s="8">
        <v>4.0000000000000001E-3</v>
      </c>
    </row>
    <row r="2806" spans="1:29" ht="11.65" x14ac:dyDescent="0.35">
      <c r="A2806" s="12">
        <v>2789</v>
      </c>
      <c r="B2806" s="10" t="s">
        <v>1015</v>
      </c>
      <c r="C2806" s="11" t="s">
        <v>1209</v>
      </c>
      <c r="D2806" s="9"/>
      <c r="E2806" s="9">
        <v>740</v>
      </c>
      <c r="F2806" s="10" t="s">
        <v>1066</v>
      </c>
      <c r="G2806" s="9">
        <v>931</v>
      </c>
      <c r="H2806" s="9">
        <v>2015</v>
      </c>
      <c r="I2806" s="8">
        <v>27.42</v>
      </c>
      <c r="J2806" s="8">
        <v>26.844000000000001</v>
      </c>
      <c r="K2806" s="8">
        <v>26.587</v>
      </c>
      <c r="L2806" s="8">
        <v>25.834</v>
      </c>
      <c r="M2806" s="8">
        <v>24.670999999999999</v>
      </c>
      <c r="N2806" s="8">
        <v>22.748999999999999</v>
      </c>
      <c r="O2806" s="8">
        <v>20.471</v>
      </c>
      <c r="P2806" s="8">
        <v>18.196999999999999</v>
      </c>
      <c r="Q2806" s="8">
        <v>19.239000000000001</v>
      </c>
      <c r="R2806" s="8">
        <v>17.29</v>
      </c>
      <c r="S2806" s="8">
        <v>16.7</v>
      </c>
      <c r="T2806" s="8">
        <v>11.606999999999999</v>
      </c>
      <c r="U2806" s="8">
        <v>8.0329999999999995</v>
      </c>
      <c r="V2806" s="8">
        <v>6.1420000000000003</v>
      </c>
      <c r="W2806" s="8">
        <v>4.01</v>
      </c>
      <c r="X2806" s="8">
        <v>2.9089999999999998</v>
      </c>
      <c r="Y2806" s="8">
        <v>1.647</v>
      </c>
      <c r="Z2806" s="8">
        <v>0.71899999999999997</v>
      </c>
      <c r="AA2806" s="8">
        <v>0.20699999999999999</v>
      </c>
      <c r="AB2806" s="8">
        <v>3.4000000000000002E-2</v>
      </c>
      <c r="AC2806" s="8">
        <v>5.0000000000000001E-3</v>
      </c>
    </row>
    <row r="2807" spans="1:29" ht="11.65" x14ac:dyDescent="0.35">
      <c r="A2807" s="12">
        <v>2790</v>
      </c>
      <c r="B2807" s="10" t="s">
        <v>1015</v>
      </c>
      <c r="C2807" s="11" t="s">
        <v>1209</v>
      </c>
      <c r="D2807" s="9"/>
      <c r="E2807" s="9">
        <v>740</v>
      </c>
      <c r="F2807" s="10" t="s">
        <v>1066</v>
      </c>
      <c r="G2807" s="9">
        <v>931</v>
      </c>
      <c r="H2807" s="9">
        <v>2020</v>
      </c>
      <c r="I2807" s="8">
        <v>27.047000000000001</v>
      </c>
      <c r="J2807" s="8">
        <v>27.268999999999998</v>
      </c>
      <c r="K2807" s="8">
        <v>26.727</v>
      </c>
      <c r="L2807" s="8">
        <v>26.26</v>
      </c>
      <c r="M2807" s="8">
        <v>25.222999999999999</v>
      </c>
      <c r="N2807" s="8">
        <v>23.975000000000001</v>
      </c>
      <c r="O2807" s="8">
        <v>22.065000000000001</v>
      </c>
      <c r="P2807" s="8">
        <v>19.815000000000001</v>
      </c>
      <c r="Q2807" s="8">
        <v>17.579000000000001</v>
      </c>
      <c r="R2807" s="8">
        <v>18.553999999999998</v>
      </c>
      <c r="S2807" s="8">
        <v>16.536000000000001</v>
      </c>
      <c r="T2807" s="8">
        <v>15.673999999999999</v>
      </c>
      <c r="U2807" s="8">
        <v>10.532</v>
      </c>
      <c r="V2807" s="8">
        <v>6.9249999999999998</v>
      </c>
      <c r="W2807" s="8">
        <v>4.9080000000000004</v>
      </c>
      <c r="X2807" s="8">
        <v>2.863</v>
      </c>
      <c r="Y2807" s="8">
        <v>1.7609999999999999</v>
      </c>
      <c r="Z2807" s="8">
        <v>0.79800000000000004</v>
      </c>
      <c r="AA2807" s="8">
        <v>0.25600000000000001</v>
      </c>
      <c r="AB2807" s="8">
        <v>0.05</v>
      </c>
      <c r="AC2807" s="8">
        <v>5.0000000000000001E-3</v>
      </c>
    </row>
    <row r="2808" spans="1:29" ht="11.65" x14ac:dyDescent="0.35">
      <c r="A2808" s="12">
        <v>2791</v>
      </c>
      <c r="B2808" s="10" t="s">
        <v>1015</v>
      </c>
      <c r="C2808" s="11" t="s">
        <v>1210</v>
      </c>
      <c r="D2808" s="9"/>
      <c r="E2808" s="9">
        <v>858</v>
      </c>
      <c r="F2808" s="10" t="s">
        <v>1066</v>
      </c>
      <c r="G2808" s="9">
        <v>931</v>
      </c>
      <c r="H2808" s="9">
        <v>1950</v>
      </c>
      <c r="I2808" s="8">
        <v>110.529</v>
      </c>
      <c r="J2808" s="8">
        <v>102.565</v>
      </c>
      <c r="K2808" s="8">
        <v>100.92100000000001</v>
      </c>
      <c r="L2808" s="8">
        <v>100.81100000000001</v>
      </c>
      <c r="M2808" s="8">
        <v>98.075999999999993</v>
      </c>
      <c r="N2808" s="8">
        <v>89.766999999999996</v>
      </c>
      <c r="O2808" s="8">
        <v>79.19</v>
      </c>
      <c r="P2808" s="8">
        <v>80.557000000000002</v>
      </c>
      <c r="Q2808" s="8">
        <v>72.206000000000003</v>
      </c>
      <c r="R2808" s="8">
        <v>66.486999999999995</v>
      </c>
      <c r="S2808" s="8">
        <v>56.472000000000001</v>
      </c>
      <c r="T2808" s="8">
        <v>47.756999999999998</v>
      </c>
      <c r="U2808" s="8">
        <v>40.006999999999998</v>
      </c>
      <c r="V2808" s="8">
        <v>32.779000000000003</v>
      </c>
      <c r="W2808" s="8">
        <v>24.806999999999999</v>
      </c>
      <c r="X2808" s="8">
        <v>16.146999999999998</v>
      </c>
      <c r="Y2808" s="8">
        <v>8.516</v>
      </c>
      <c r="Z2808" s="8">
        <v>3.4329999999999998</v>
      </c>
      <c r="AA2808" s="8">
        <v>1.0149999999999999</v>
      </c>
      <c r="AB2808" s="8">
        <v>0.21099999999999999</v>
      </c>
      <c r="AC2808" s="8">
        <v>3.4000000000000002E-2</v>
      </c>
    </row>
    <row r="2809" spans="1:29" ht="11.65" x14ac:dyDescent="0.35">
      <c r="A2809" s="12">
        <v>2792</v>
      </c>
      <c r="B2809" s="10" t="s">
        <v>1015</v>
      </c>
      <c r="C2809" s="11" t="s">
        <v>1210</v>
      </c>
      <c r="D2809" s="9"/>
      <c r="E2809" s="9">
        <v>858</v>
      </c>
      <c r="F2809" s="10" t="s">
        <v>1066</v>
      </c>
      <c r="G2809" s="9">
        <v>931</v>
      </c>
      <c r="H2809" s="9">
        <v>1955</v>
      </c>
      <c r="I2809" s="8">
        <v>117.598</v>
      </c>
      <c r="J2809" s="8">
        <v>110.28400000000001</v>
      </c>
      <c r="K2809" s="8">
        <v>102.613</v>
      </c>
      <c r="L2809" s="8">
        <v>100.72199999999999</v>
      </c>
      <c r="M2809" s="8">
        <v>100.337</v>
      </c>
      <c r="N2809" s="8">
        <v>97.885999999999996</v>
      </c>
      <c r="O2809" s="8">
        <v>89.480999999999995</v>
      </c>
      <c r="P2809" s="8">
        <v>78.563999999999993</v>
      </c>
      <c r="Q2809" s="8">
        <v>79.197999999999993</v>
      </c>
      <c r="R2809" s="8">
        <v>70.033000000000001</v>
      </c>
      <c r="S2809" s="8">
        <v>63.103999999999999</v>
      </c>
      <c r="T2809" s="8">
        <v>52.078000000000003</v>
      </c>
      <c r="U2809" s="8">
        <v>42.247</v>
      </c>
      <c r="V2809" s="8">
        <v>33.344999999999999</v>
      </c>
      <c r="W2809" s="8">
        <v>25.073</v>
      </c>
      <c r="X2809" s="8">
        <v>16.77</v>
      </c>
      <c r="Y2809" s="8">
        <v>8.9030000000000005</v>
      </c>
      <c r="Z2809" s="8">
        <v>3.6080000000000001</v>
      </c>
      <c r="AA2809" s="8">
        <v>1.0740000000000001</v>
      </c>
      <c r="AB2809" s="8">
        <v>0.22700000000000001</v>
      </c>
      <c r="AC2809" s="8">
        <v>3.6999999999999998E-2</v>
      </c>
    </row>
    <row r="2810" spans="1:29" ht="11.65" x14ac:dyDescent="0.35">
      <c r="A2810" s="12">
        <v>2793</v>
      </c>
      <c r="B2810" s="10" t="s">
        <v>1015</v>
      </c>
      <c r="C2810" s="11" t="s">
        <v>1210</v>
      </c>
      <c r="D2810" s="9"/>
      <c r="E2810" s="9">
        <v>858</v>
      </c>
      <c r="F2810" s="10" t="s">
        <v>1066</v>
      </c>
      <c r="G2810" s="9">
        <v>931</v>
      </c>
      <c r="H2810" s="9">
        <v>1960</v>
      </c>
      <c r="I2810" s="8">
        <v>130.197</v>
      </c>
      <c r="J2810" s="8">
        <v>117.902</v>
      </c>
      <c r="K2810" s="8">
        <v>110.687</v>
      </c>
      <c r="L2810" s="8">
        <v>102.746</v>
      </c>
      <c r="M2810" s="8">
        <v>100.634</v>
      </c>
      <c r="N2810" s="8">
        <v>100.952</v>
      </c>
      <c r="O2810" s="8">
        <v>98.283000000000001</v>
      </c>
      <c r="P2810" s="8">
        <v>89.304000000000002</v>
      </c>
      <c r="Q2810" s="8">
        <v>77.709000000000003</v>
      </c>
      <c r="R2810" s="8">
        <v>77.171999999999997</v>
      </c>
      <c r="S2810" s="8">
        <v>66.774000000000001</v>
      </c>
      <c r="T2810" s="8">
        <v>58.530999999999999</v>
      </c>
      <c r="U2810" s="8">
        <v>46.392000000000003</v>
      </c>
      <c r="V2810" s="8">
        <v>35.518999999999998</v>
      </c>
      <c r="W2810" s="8">
        <v>25.760999999999999</v>
      </c>
      <c r="X2810" s="8">
        <v>17.120999999999999</v>
      </c>
      <c r="Y2810" s="8">
        <v>9.3520000000000003</v>
      </c>
      <c r="Z2810" s="8">
        <v>3.81</v>
      </c>
      <c r="AA2810" s="8">
        <v>1.137</v>
      </c>
      <c r="AB2810" s="8">
        <v>0.24199999999999999</v>
      </c>
      <c r="AC2810" s="8">
        <v>0.04</v>
      </c>
    </row>
    <row r="2811" spans="1:29" ht="11.65" x14ac:dyDescent="0.35">
      <c r="A2811" s="12">
        <v>2794</v>
      </c>
      <c r="B2811" s="10" t="s">
        <v>1015</v>
      </c>
      <c r="C2811" s="11" t="s">
        <v>1210</v>
      </c>
      <c r="D2811" s="9"/>
      <c r="E2811" s="9">
        <v>858</v>
      </c>
      <c r="F2811" s="10" t="s">
        <v>1066</v>
      </c>
      <c r="G2811" s="9">
        <v>931</v>
      </c>
      <c r="H2811" s="9">
        <v>1965</v>
      </c>
      <c r="I2811" s="8">
        <v>138.72499999999999</v>
      </c>
      <c r="J2811" s="8">
        <v>129.042</v>
      </c>
      <c r="K2811" s="8">
        <v>117.392</v>
      </c>
      <c r="L2811" s="8">
        <v>109.89100000000001</v>
      </c>
      <c r="M2811" s="8">
        <v>101.512</v>
      </c>
      <c r="N2811" s="8">
        <v>99.263000000000005</v>
      </c>
      <c r="O2811" s="8">
        <v>99.638000000000005</v>
      </c>
      <c r="P2811" s="8">
        <v>96.813000000000002</v>
      </c>
      <c r="Q2811" s="8">
        <v>87.484999999999999</v>
      </c>
      <c r="R2811" s="8">
        <v>75.375</v>
      </c>
      <c r="S2811" s="8">
        <v>73.600999999999999</v>
      </c>
      <c r="T2811" s="8">
        <v>62.11</v>
      </c>
      <c r="U2811" s="8">
        <v>52.469000000000001</v>
      </c>
      <c r="V2811" s="8">
        <v>39.357999999999997</v>
      </c>
      <c r="W2811" s="8">
        <v>27.754000000000001</v>
      </c>
      <c r="X2811" s="8">
        <v>17.835999999999999</v>
      </c>
      <c r="Y2811" s="8">
        <v>9.6969999999999992</v>
      </c>
      <c r="Z2811" s="8">
        <v>4.0549999999999997</v>
      </c>
      <c r="AA2811" s="8">
        <v>1.214</v>
      </c>
      <c r="AB2811" s="8">
        <v>0.25800000000000001</v>
      </c>
      <c r="AC2811" s="8">
        <v>4.2999999999999997E-2</v>
      </c>
    </row>
    <row r="2812" spans="1:29" ht="11.65" x14ac:dyDescent="0.35">
      <c r="A2812" s="12">
        <v>2795</v>
      </c>
      <c r="B2812" s="10" t="s">
        <v>1015</v>
      </c>
      <c r="C2812" s="11" t="s">
        <v>1210</v>
      </c>
      <c r="D2812" s="9"/>
      <c r="E2812" s="9">
        <v>858</v>
      </c>
      <c r="F2812" s="10" t="s">
        <v>1066</v>
      </c>
      <c r="G2812" s="9">
        <v>931</v>
      </c>
      <c r="H2812" s="9">
        <v>1970</v>
      </c>
      <c r="I2812" s="8">
        <v>135.602</v>
      </c>
      <c r="J2812" s="8">
        <v>136.006</v>
      </c>
      <c r="K2812" s="8">
        <v>127.678</v>
      </c>
      <c r="L2812" s="8">
        <v>115.196</v>
      </c>
      <c r="M2812" s="8">
        <v>106.407</v>
      </c>
      <c r="N2812" s="8">
        <v>97.933000000000007</v>
      </c>
      <c r="O2812" s="8">
        <v>96.456999999999994</v>
      </c>
      <c r="P2812" s="8">
        <v>97.057000000000002</v>
      </c>
      <c r="Q2812" s="8">
        <v>94.046999999999997</v>
      </c>
      <c r="R2812" s="8">
        <v>84.346000000000004</v>
      </c>
      <c r="S2812" s="8">
        <v>71.569999999999993</v>
      </c>
      <c r="T2812" s="8">
        <v>68.296999999999997</v>
      </c>
      <c r="U2812" s="8">
        <v>55.582999999999998</v>
      </c>
      <c r="V2812" s="8">
        <v>44.491999999999997</v>
      </c>
      <c r="W2812" s="8">
        <v>30.727</v>
      </c>
      <c r="X2812" s="8">
        <v>19.242999999999999</v>
      </c>
      <c r="Y2812" s="8">
        <v>10.118</v>
      </c>
      <c r="Z2812" s="8">
        <v>4.2130000000000001</v>
      </c>
      <c r="AA2812" s="8">
        <v>1.294</v>
      </c>
      <c r="AB2812" s="8">
        <v>0.27500000000000002</v>
      </c>
      <c r="AC2812" s="8">
        <v>4.4999999999999998E-2</v>
      </c>
    </row>
    <row r="2813" spans="1:29" ht="11.65" x14ac:dyDescent="0.35">
      <c r="A2813" s="12">
        <v>2796</v>
      </c>
      <c r="B2813" s="10" t="s">
        <v>1015</v>
      </c>
      <c r="C2813" s="11" t="s">
        <v>1210</v>
      </c>
      <c r="D2813" s="9"/>
      <c r="E2813" s="9">
        <v>858</v>
      </c>
      <c r="F2813" s="10" t="s">
        <v>1066</v>
      </c>
      <c r="G2813" s="9">
        <v>931</v>
      </c>
      <c r="H2813" s="9">
        <v>1975</v>
      </c>
      <c r="I2813" s="8">
        <v>140.44900000000001</v>
      </c>
      <c r="J2813" s="8">
        <v>127.24</v>
      </c>
      <c r="K2813" s="8">
        <v>131.53200000000001</v>
      </c>
      <c r="L2813" s="8">
        <v>120.28400000000001</v>
      </c>
      <c r="M2813" s="8">
        <v>103.426</v>
      </c>
      <c r="N2813" s="8">
        <v>94.543000000000006</v>
      </c>
      <c r="O2813" s="8">
        <v>89.47</v>
      </c>
      <c r="P2813" s="8">
        <v>89.8</v>
      </c>
      <c r="Q2813" s="8">
        <v>91.206000000000003</v>
      </c>
      <c r="R2813" s="8">
        <v>88.68</v>
      </c>
      <c r="S2813" s="8">
        <v>78.884</v>
      </c>
      <c r="T2813" s="8">
        <v>65.67</v>
      </c>
      <c r="U2813" s="8">
        <v>60.671999999999997</v>
      </c>
      <c r="V2813" s="8">
        <v>46.930999999999997</v>
      </c>
      <c r="W2813" s="8">
        <v>34.534999999999997</v>
      </c>
      <c r="X2813" s="8">
        <v>21.334</v>
      </c>
      <c r="Y2813" s="8">
        <v>10.935</v>
      </c>
      <c r="Z2813" s="8">
        <v>4.4000000000000004</v>
      </c>
      <c r="AA2813" s="8">
        <v>1.345</v>
      </c>
      <c r="AB2813" s="8">
        <v>0.29299999999999998</v>
      </c>
      <c r="AC2813" s="8">
        <v>4.8000000000000001E-2</v>
      </c>
    </row>
    <row r="2814" spans="1:29" ht="11.65" x14ac:dyDescent="0.35">
      <c r="A2814" s="12">
        <v>2797</v>
      </c>
      <c r="B2814" s="10" t="s">
        <v>1015</v>
      </c>
      <c r="C2814" s="11" t="s">
        <v>1210</v>
      </c>
      <c r="D2814" s="9"/>
      <c r="E2814" s="9">
        <v>858</v>
      </c>
      <c r="F2814" s="10" t="s">
        <v>1066</v>
      </c>
      <c r="G2814" s="9">
        <v>931</v>
      </c>
      <c r="H2814" s="9">
        <v>1980</v>
      </c>
      <c r="I2814" s="8">
        <v>141.16800000000001</v>
      </c>
      <c r="J2814" s="8">
        <v>136.679</v>
      </c>
      <c r="K2814" s="8">
        <v>122.529</v>
      </c>
      <c r="L2814" s="8">
        <v>123.943</v>
      </c>
      <c r="M2814" s="8">
        <v>109.544</v>
      </c>
      <c r="N2814" s="8">
        <v>99.162999999999997</v>
      </c>
      <c r="O2814" s="8">
        <v>91.057000000000002</v>
      </c>
      <c r="P2814" s="8">
        <v>86.397000000000006</v>
      </c>
      <c r="Q2814" s="8">
        <v>83.825999999999993</v>
      </c>
      <c r="R2814" s="8">
        <v>87.8</v>
      </c>
      <c r="S2814" s="8">
        <v>84.185000000000002</v>
      </c>
      <c r="T2814" s="8">
        <v>73.113</v>
      </c>
      <c r="U2814" s="8">
        <v>58.679000000000002</v>
      </c>
      <c r="V2814" s="8">
        <v>51.786999999999999</v>
      </c>
      <c r="W2814" s="8">
        <v>37.046999999999997</v>
      </c>
      <c r="X2814" s="8">
        <v>24.25</v>
      </c>
      <c r="Y2814" s="8">
        <v>12.295999999999999</v>
      </c>
      <c r="Z2814" s="8">
        <v>4.8019999999999996</v>
      </c>
      <c r="AA2814" s="8">
        <v>1.4139999999999999</v>
      </c>
      <c r="AB2814" s="8">
        <v>0.30499999999999999</v>
      </c>
      <c r="AC2814" s="8">
        <v>5.0999999999999997E-2</v>
      </c>
    </row>
    <row r="2815" spans="1:29" ht="11.65" x14ac:dyDescent="0.35">
      <c r="A2815" s="12">
        <v>2798</v>
      </c>
      <c r="B2815" s="10" t="s">
        <v>1015</v>
      </c>
      <c r="C2815" s="11" t="s">
        <v>1210</v>
      </c>
      <c r="D2815" s="9"/>
      <c r="E2815" s="9">
        <v>858</v>
      </c>
      <c r="F2815" s="10" t="s">
        <v>1066</v>
      </c>
      <c r="G2815" s="9">
        <v>931</v>
      </c>
      <c r="H2815" s="9">
        <v>1985</v>
      </c>
      <c r="I2815" s="8">
        <v>134.357</v>
      </c>
      <c r="J2815" s="8">
        <v>142.767</v>
      </c>
      <c r="K2815" s="8">
        <v>134.869</v>
      </c>
      <c r="L2815" s="8">
        <v>118.404</v>
      </c>
      <c r="M2815" s="8">
        <v>115.264</v>
      </c>
      <c r="N2815" s="8">
        <v>106.81399999999999</v>
      </c>
      <c r="O2815" s="8">
        <v>96.611000000000004</v>
      </c>
      <c r="P2815" s="8">
        <v>88.944999999999993</v>
      </c>
      <c r="Q2815" s="8">
        <v>83.983000000000004</v>
      </c>
      <c r="R2815" s="8">
        <v>79.754999999999995</v>
      </c>
      <c r="S2815" s="8">
        <v>83.626999999999995</v>
      </c>
      <c r="T2815" s="8">
        <v>78.233000000000004</v>
      </c>
      <c r="U2815" s="8">
        <v>65.718000000000004</v>
      </c>
      <c r="V2815" s="8">
        <v>50.222999999999999</v>
      </c>
      <c r="W2815" s="8">
        <v>41.097999999999999</v>
      </c>
      <c r="X2815" s="8">
        <v>26.196999999999999</v>
      </c>
      <c r="Y2815" s="8">
        <v>14.173999999999999</v>
      </c>
      <c r="Z2815" s="8">
        <v>5.5679999999999996</v>
      </c>
      <c r="AA2815" s="8">
        <v>1.615</v>
      </c>
      <c r="AB2815" s="8">
        <v>0.34</v>
      </c>
      <c r="AC2815" s="8">
        <v>5.7000000000000002E-2</v>
      </c>
    </row>
    <row r="2816" spans="1:29" ht="11.65" x14ac:dyDescent="0.35">
      <c r="A2816" s="12">
        <v>2799</v>
      </c>
      <c r="B2816" s="10" t="s">
        <v>1015</v>
      </c>
      <c r="C2816" s="11" t="s">
        <v>1210</v>
      </c>
      <c r="D2816" s="9"/>
      <c r="E2816" s="9">
        <v>858</v>
      </c>
      <c r="F2816" s="10" t="s">
        <v>1066</v>
      </c>
      <c r="G2816" s="9">
        <v>931</v>
      </c>
      <c r="H2816" s="9">
        <v>1990</v>
      </c>
      <c r="I2816" s="8">
        <v>138.6</v>
      </c>
      <c r="J2816" s="8">
        <v>132.57</v>
      </c>
      <c r="K2816" s="8">
        <v>141.24</v>
      </c>
      <c r="L2816" s="8">
        <v>132.42599999999999</v>
      </c>
      <c r="M2816" s="8">
        <v>114.325</v>
      </c>
      <c r="N2816" s="8">
        <v>110.577</v>
      </c>
      <c r="O2816" s="8">
        <v>104.07299999999999</v>
      </c>
      <c r="P2816" s="8">
        <v>93.882000000000005</v>
      </c>
      <c r="Q2816" s="8">
        <v>86.602000000000004</v>
      </c>
      <c r="R2816" s="8">
        <v>81.016999999999996</v>
      </c>
      <c r="S2816" s="8">
        <v>75.691999999999993</v>
      </c>
      <c r="T2816" s="8">
        <v>77.632000000000005</v>
      </c>
      <c r="U2816" s="8">
        <v>70.361999999999995</v>
      </c>
      <c r="V2816" s="8">
        <v>56.173999999999999</v>
      </c>
      <c r="W2816" s="8">
        <v>39.667999999999999</v>
      </c>
      <c r="X2816" s="8">
        <v>28.895</v>
      </c>
      <c r="Y2816" s="8">
        <v>15.362</v>
      </c>
      <c r="Z2816" s="8">
        <v>6.6680000000000001</v>
      </c>
      <c r="AA2816" s="8">
        <v>2.0110000000000001</v>
      </c>
      <c r="AB2816" s="8">
        <v>0.433</v>
      </c>
      <c r="AC2816" s="8">
        <v>7.2999999999999995E-2</v>
      </c>
    </row>
    <row r="2817" spans="1:29" ht="11.65" x14ac:dyDescent="0.35">
      <c r="A2817" s="12">
        <v>2800</v>
      </c>
      <c r="B2817" s="10" t="s">
        <v>1015</v>
      </c>
      <c r="C2817" s="11" t="s">
        <v>1210</v>
      </c>
      <c r="D2817" s="9"/>
      <c r="E2817" s="9">
        <v>858</v>
      </c>
      <c r="F2817" s="10" t="s">
        <v>1066</v>
      </c>
      <c r="G2817" s="9">
        <v>931</v>
      </c>
      <c r="H2817" s="9">
        <v>1995</v>
      </c>
      <c r="I2817" s="8">
        <v>143.488</v>
      </c>
      <c r="J2817" s="8">
        <v>136.94300000000001</v>
      </c>
      <c r="K2817" s="8">
        <v>131.30699999999999</v>
      </c>
      <c r="L2817" s="8">
        <v>139.72999999999999</v>
      </c>
      <c r="M2817" s="8">
        <v>130.346</v>
      </c>
      <c r="N2817" s="8">
        <v>111.81399999999999</v>
      </c>
      <c r="O2817" s="8">
        <v>108.70699999999999</v>
      </c>
      <c r="P2817" s="8">
        <v>102.248</v>
      </c>
      <c r="Q2817" s="8">
        <v>92.051000000000002</v>
      </c>
      <c r="R2817" s="8">
        <v>84.201999999999998</v>
      </c>
      <c r="S2817" s="8">
        <v>77.561000000000007</v>
      </c>
      <c r="T2817" s="8">
        <v>70.805000000000007</v>
      </c>
      <c r="U2817" s="8">
        <v>70.233999999999995</v>
      </c>
      <c r="V2817" s="8">
        <v>60.616</v>
      </c>
      <c r="W2817" s="8">
        <v>45.021999999999998</v>
      </c>
      <c r="X2817" s="8">
        <v>28.550999999999998</v>
      </c>
      <c r="Y2817" s="8">
        <v>17.574000000000002</v>
      </c>
      <c r="Z2817" s="8">
        <v>7.5179999999999998</v>
      </c>
      <c r="AA2817" s="8">
        <v>2.5219999999999998</v>
      </c>
      <c r="AB2817" s="8">
        <v>0.56799999999999995</v>
      </c>
      <c r="AC2817" s="8">
        <v>9.8000000000000004E-2</v>
      </c>
    </row>
    <row r="2818" spans="1:29" ht="11.65" x14ac:dyDescent="0.35">
      <c r="A2818" s="12">
        <v>2801</v>
      </c>
      <c r="B2818" s="10" t="s">
        <v>1015</v>
      </c>
      <c r="C2818" s="11" t="s">
        <v>1210</v>
      </c>
      <c r="D2818" s="9"/>
      <c r="E2818" s="9">
        <v>858</v>
      </c>
      <c r="F2818" s="10" t="s">
        <v>1066</v>
      </c>
      <c r="G2818" s="9">
        <v>931</v>
      </c>
      <c r="H2818" s="9">
        <v>2000</v>
      </c>
      <c r="I2818" s="8">
        <v>138.01300000000001</v>
      </c>
      <c r="J2818" s="8">
        <v>142.24600000000001</v>
      </c>
      <c r="K2818" s="8">
        <v>135.73699999999999</v>
      </c>
      <c r="L2818" s="8">
        <v>129.74600000000001</v>
      </c>
      <c r="M2818" s="8">
        <v>137.19800000000001</v>
      </c>
      <c r="N2818" s="8">
        <v>126.89400000000001</v>
      </c>
      <c r="O2818" s="8">
        <v>108.96</v>
      </c>
      <c r="P2818" s="8">
        <v>106.151</v>
      </c>
      <c r="Q2818" s="8">
        <v>99.956000000000003</v>
      </c>
      <c r="R2818" s="8">
        <v>89.662999999999997</v>
      </c>
      <c r="S2818" s="8">
        <v>80.956000000000003</v>
      </c>
      <c r="T2818" s="8">
        <v>72.995000000000005</v>
      </c>
      <c r="U2818" s="8">
        <v>64.388999999999996</v>
      </c>
      <c r="V2818" s="8">
        <v>60.899000000000001</v>
      </c>
      <c r="W2818" s="8">
        <v>49.207000000000001</v>
      </c>
      <c r="X2818" s="8">
        <v>33.21</v>
      </c>
      <c r="Y2818" s="8">
        <v>17.895</v>
      </c>
      <c r="Z2818" s="8">
        <v>8.8040000000000003</v>
      </c>
      <c r="AA2818" s="8">
        <v>2.8919999999999999</v>
      </c>
      <c r="AB2818" s="8">
        <v>0.71799999999999997</v>
      </c>
      <c r="AC2818" s="8">
        <v>0.129</v>
      </c>
    </row>
    <row r="2819" spans="1:29" ht="11.65" x14ac:dyDescent="0.35">
      <c r="A2819" s="12">
        <v>2802</v>
      </c>
      <c r="B2819" s="10" t="s">
        <v>1015</v>
      </c>
      <c r="C2819" s="11" t="s">
        <v>1210</v>
      </c>
      <c r="D2819" s="9"/>
      <c r="E2819" s="9">
        <v>858</v>
      </c>
      <c r="F2819" s="10" t="s">
        <v>1066</v>
      </c>
      <c r="G2819" s="9">
        <v>931</v>
      </c>
      <c r="H2819" s="9">
        <v>2005</v>
      </c>
      <c r="I2819" s="8">
        <v>129.196</v>
      </c>
      <c r="J2819" s="8">
        <v>134.28100000000001</v>
      </c>
      <c r="K2819" s="8">
        <v>138.11699999999999</v>
      </c>
      <c r="L2819" s="8">
        <v>130.90899999999999</v>
      </c>
      <c r="M2819" s="8">
        <v>121.566</v>
      </c>
      <c r="N2819" s="8">
        <v>125.962</v>
      </c>
      <c r="O2819" s="8">
        <v>117.124</v>
      </c>
      <c r="P2819" s="8">
        <v>101.919</v>
      </c>
      <c r="Q2819" s="8">
        <v>102.446</v>
      </c>
      <c r="R2819" s="8">
        <v>96.676000000000002</v>
      </c>
      <c r="S2819" s="8">
        <v>85.561000000000007</v>
      </c>
      <c r="T2819" s="8">
        <v>75.855000000000004</v>
      </c>
      <c r="U2819" s="8">
        <v>66.382000000000005</v>
      </c>
      <c r="V2819" s="8">
        <v>55.945999999999998</v>
      </c>
      <c r="W2819" s="8">
        <v>49.473999999999997</v>
      </c>
      <c r="X2819" s="8">
        <v>36.692</v>
      </c>
      <c r="Y2819" s="8">
        <v>21.050999999999998</v>
      </c>
      <c r="Z2819" s="8">
        <v>8.9670000000000005</v>
      </c>
      <c r="AA2819" s="8">
        <v>3.3340000000000001</v>
      </c>
      <c r="AB2819" s="8">
        <v>0.79600000000000004</v>
      </c>
      <c r="AC2819" s="8">
        <v>0.15</v>
      </c>
    </row>
    <row r="2820" spans="1:29" ht="11.65" x14ac:dyDescent="0.35">
      <c r="A2820" s="12">
        <v>2803</v>
      </c>
      <c r="B2820" s="10" t="s">
        <v>1015</v>
      </c>
      <c r="C2820" s="11" t="s">
        <v>1210</v>
      </c>
      <c r="D2820" s="9"/>
      <c r="E2820" s="9">
        <v>858</v>
      </c>
      <c r="F2820" s="10" t="s">
        <v>1066</v>
      </c>
      <c r="G2820" s="9">
        <v>931</v>
      </c>
      <c r="H2820" s="9">
        <v>2010</v>
      </c>
      <c r="I2820" s="8">
        <v>121.217</v>
      </c>
      <c r="J2820" s="8">
        <v>127.33199999999999</v>
      </c>
      <c r="K2820" s="8">
        <v>132.20500000000001</v>
      </c>
      <c r="L2820" s="8">
        <v>135.77000000000001</v>
      </c>
      <c r="M2820" s="8">
        <v>126.729</v>
      </c>
      <c r="N2820" s="8">
        <v>115.76300000000001</v>
      </c>
      <c r="O2820" s="8">
        <v>120.84399999999999</v>
      </c>
      <c r="P2820" s="8">
        <v>113.187</v>
      </c>
      <c r="Q2820" s="8">
        <v>99.760999999999996</v>
      </c>
      <c r="R2820" s="8">
        <v>99.885999999999996</v>
      </c>
      <c r="S2820" s="8">
        <v>93.192999999999998</v>
      </c>
      <c r="T2820" s="8">
        <v>81.206999999999994</v>
      </c>
      <c r="U2820" s="8">
        <v>70.016000000000005</v>
      </c>
      <c r="V2820" s="8">
        <v>58.631</v>
      </c>
      <c r="W2820" s="8">
        <v>46.286000000000001</v>
      </c>
      <c r="X2820" s="8">
        <v>37.551000000000002</v>
      </c>
      <c r="Y2820" s="8">
        <v>23.902999999999999</v>
      </c>
      <c r="Z2820" s="8">
        <v>10.887</v>
      </c>
      <c r="AA2820" s="8">
        <v>3.4239999999999999</v>
      </c>
      <c r="AB2820" s="8">
        <v>0.92400000000000004</v>
      </c>
      <c r="AC2820" s="8">
        <v>0.17</v>
      </c>
    </row>
    <row r="2821" spans="1:29" ht="11.65" x14ac:dyDescent="0.35">
      <c r="A2821" s="12">
        <v>2804</v>
      </c>
      <c r="B2821" s="10" t="s">
        <v>1015</v>
      </c>
      <c r="C2821" s="11" t="s">
        <v>1210</v>
      </c>
      <c r="D2821" s="9"/>
      <c r="E2821" s="9">
        <v>858</v>
      </c>
      <c r="F2821" s="10" t="s">
        <v>1066</v>
      </c>
      <c r="G2821" s="9">
        <v>931</v>
      </c>
      <c r="H2821" s="9">
        <v>2015</v>
      </c>
      <c r="I2821" s="8">
        <v>121.395</v>
      </c>
      <c r="J2821" s="8">
        <v>119.995</v>
      </c>
      <c r="K2821" s="8">
        <v>126.173</v>
      </c>
      <c r="L2821" s="8">
        <v>130.881</v>
      </c>
      <c r="M2821" s="8">
        <v>133.06100000000001</v>
      </c>
      <c r="N2821" s="8">
        <v>122.89100000000001</v>
      </c>
      <c r="O2821" s="8">
        <v>112.449</v>
      </c>
      <c r="P2821" s="8">
        <v>117.861</v>
      </c>
      <c r="Q2821" s="8">
        <v>111.136</v>
      </c>
      <c r="R2821" s="8">
        <v>97.55</v>
      </c>
      <c r="S2821" s="8">
        <v>96.736999999999995</v>
      </c>
      <c r="T2821" s="8">
        <v>88.988</v>
      </c>
      <c r="U2821" s="8">
        <v>75.563000000000002</v>
      </c>
      <c r="V2821" s="8">
        <v>62.537999999999997</v>
      </c>
      <c r="W2821" s="8">
        <v>49.527999999999999</v>
      </c>
      <c r="X2821" s="8">
        <v>35.667000000000002</v>
      </c>
      <c r="Y2821" s="8">
        <v>25.027000000000001</v>
      </c>
      <c r="Z2821" s="8">
        <v>12.811999999999999</v>
      </c>
      <c r="AA2821" s="8">
        <v>4.2709999999999999</v>
      </c>
      <c r="AB2821" s="8">
        <v>0.95299999999999996</v>
      </c>
      <c r="AC2821" s="8">
        <v>0.19600000000000001</v>
      </c>
    </row>
    <row r="2822" spans="1:29" ht="11.65" x14ac:dyDescent="0.35">
      <c r="A2822" s="12">
        <v>2805</v>
      </c>
      <c r="B2822" s="10" t="s">
        <v>1015</v>
      </c>
      <c r="C2822" s="11" t="s">
        <v>1210</v>
      </c>
      <c r="D2822" s="9"/>
      <c r="E2822" s="9">
        <v>858</v>
      </c>
      <c r="F2822" s="10" t="s">
        <v>1066</v>
      </c>
      <c r="G2822" s="9">
        <v>931</v>
      </c>
      <c r="H2822" s="9">
        <v>2020</v>
      </c>
      <c r="I2822" s="8">
        <v>120.998</v>
      </c>
      <c r="J2822" s="8">
        <v>120.696</v>
      </c>
      <c r="K2822" s="8">
        <v>119.355</v>
      </c>
      <c r="L2822" s="8">
        <v>125.373</v>
      </c>
      <c r="M2822" s="8">
        <v>129.196</v>
      </c>
      <c r="N2822" s="8">
        <v>130.68</v>
      </c>
      <c r="O2822" s="8">
        <v>120.774</v>
      </c>
      <c r="P2822" s="8">
        <v>110.535</v>
      </c>
      <c r="Q2822" s="8">
        <v>116.131</v>
      </c>
      <c r="R2822" s="8">
        <v>108.977</v>
      </c>
      <c r="S2822" s="8">
        <v>94.801000000000002</v>
      </c>
      <c r="T2822" s="8">
        <v>92.751999999999995</v>
      </c>
      <c r="U2822" s="8">
        <v>83.283000000000001</v>
      </c>
      <c r="V2822" s="8">
        <v>68.057000000000002</v>
      </c>
      <c r="W2822" s="8">
        <v>53.325000000000003</v>
      </c>
      <c r="X2822" s="8">
        <v>38.710999999999999</v>
      </c>
      <c r="Y2822" s="8">
        <v>24.277999999999999</v>
      </c>
      <c r="Z2822" s="8">
        <v>13.862</v>
      </c>
      <c r="AA2822" s="8">
        <v>5.1550000000000002</v>
      </c>
      <c r="AB2822" s="8">
        <v>1.1919999999999999</v>
      </c>
      <c r="AC2822" s="8">
        <v>0.20499999999999999</v>
      </c>
    </row>
    <row r="2823" spans="1:29" ht="11.65" x14ac:dyDescent="0.35">
      <c r="A2823" s="12">
        <v>2806</v>
      </c>
      <c r="B2823" s="10" t="s">
        <v>1015</v>
      </c>
      <c r="C2823" s="11" t="s">
        <v>1211</v>
      </c>
      <c r="D2823" s="9"/>
      <c r="E2823" s="9">
        <v>862</v>
      </c>
      <c r="F2823" s="10" t="s">
        <v>1066</v>
      </c>
      <c r="G2823" s="9">
        <v>931</v>
      </c>
      <c r="H2823" s="9">
        <v>1950</v>
      </c>
      <c r="I2823" s="8">
        <v>516.38400000000001</v>
      </c>
      <c r="J2823" s="8">
        <v>406.71199999999999</v>
      </c>
      <c r="K2823" s="8">
        <v>336.15699999999998</v>
      </c>
      <c r="L2823" s="8">
        <v>283.63499999999999</v>
      </c>
      <c r="M2823" s="8">
        <v>241.49600000000001</v>
      </c>
      <c r="N2823" s="8">
        <v>206.60900000000001</v>
      </c>
      <c r="O2823" s="8">
        <v>177.09100000000001</v>
      </c>
      <c r="P2823" s="8">
        <v>151.221</v>
      </c>
      <c r="Q2823" s="8">
        <v>127.78</v>
      </c>
      <c r="R2823" s="8">
        <v>104.37</v>
      </c>
      <c r="S2823" s="8">
        <v>79.933000000000007</v>
      </c>
      <c r="T2823" s="8">
        <v>58.406999999999996</v>
      </c>
      <c r="U2823" s="8">
        <v>41.27</v>
      </c>
      <c r="V2823" s="8">
        <v>27.72</v>
      </c>
      <c r="W2823" s="8">
        <v>17.225999999999999</v>
      </c>
      <c r="X2823" s="8">
        <v>9.5280000000000005</v>
      </c>
      <c r="Y2823" s="8">
        <v>4.4509999999999996</v>
      </c>
      <c r="Z2823" s="8">
        <v>1.61</v>
      </c>
      <c r="AA2823" s="8">
        <v>0.39200000000000002</v>
      </c>
      <c r="AB2823" s="8">
        <v>5.7000000000000002E-2</v>
      </c>
      <c r="AC2823" s="8">
        <v>6.0000000000000001E-3</v>
      </c>
    </row>
    <row r="2824" spans="1:29" ht="11.65" x14ac:dyDescent="0.35">
      <c r="A2824" s="12">
        <v>2807</v>
      </c>
      <c r="B2824" s="10" t="s">
        <v>1015</v>
      </c>
      <c r="C2824" s="11" t="s">
        <v>1211</v>
      </c>
      <c r="D2824" s="9"/>
      <c r="E2824" s="9">
        <v>862</v>
      </c>
      <c r="F2824" s="10" t="s">
        <v>1066</v>
      </c>
      <c r="G2824" s="9">
        <v>931</v>
      </c>
      <c r="H2824" s="9">
        <v>1955</v>
      </c>
      <c r="I2824" s="8">
        <v>635.11400000000003</v>
      </c>
      <c r="J2824" s="8">
        <v>506.18099999999998</v>
      </c>
      <c r="K2824" s="8">
        <v>416.62200000000001</v>
      </c>
      <c r="L2824" s="8">
        <v>350.04</v>
      </c>
      <c r="M2824" s="8">
        <v>298.26499999999999</v>
      </c>
      <c r="N2824" s="8">
        <v>255.71199999999999</v>
      </c>
      <c r="O2824" s="8">
        <v>219.47399999999999</v>
      </c>
      <c r="P2824" s="8">
        <v>187.15199999999999</v>
      </c>
      <c r="Q2824" s="8">
        <v>154.57</v>
      </c>
      <c r="R2824" s="8">
        <v>123.387</v>
      </c>
      <c r="S2824" s="8">
        <v>96.942999999999998</v>
      </c>
      <c r="T2824" s="8">
        <v>71.944000000000003</v>
      </c>
      <c r="U2824" s="8">
        <v>50.386000000000003</v>
      </c>
      <c r="V2824" s="8">
        <v>33.552</v>
      </c>
      <c r="W2824" s="8">
        <v>20.757999999999999</v>
      </c>
      <c r="X2824" s="8">
        <v>11.513</v>
      </c>
      <c r="Y2824" s="8">
        <v>5.4530000000000003</v>
      </c>
      <c r="Z2824" s="8">
        <v>2.0680000000000001</v>
      </c>
      <c r="AA2824" s="8">
        <v>0.56499999999999995</v>
      </c>
      <c r="AB2824" s="8">
        <v>9.0999999999999998E-2</v>
      </c>
      <c r="AC2824" s="8">
        <v>8.0000000000000002E-3</v>
      </c>
    </row>
    <row r="2825" spans="1:29" ht="11.65" x14ac:dyDescent="0.35">
      <c r="A2825" s="12">
        <v>2808</v>
      </c>
      <c r="B2825" s="10" t="s">
        <v>1015</v>
      </c>
      <c r="C2825" s="11" t="s">
        <v>1211</v>
      </c>
      <c r="D2825" s="9"/>
      <c r="E2825" s="9">
        <v>862</v>
      </c>
      <c r="F2825" s="10" t="s">
        <v>1066</v>
      </c>
      <c r="G2825" s="9">
        <v>931</v>
      </c>
      <c r="H2825" s="9">
        <v>1960</v>
      </c>
      <c r="I2825" s="8">
        <v>782.80899999999997</v>
      </c>
      <c r="J2825" s="8">
        <v>619.74199999999996</v>
      </c>
      <c r="K2825" s="8">
        <v>506.99299999999999</v>
      </c>
      <c r="L2825" s="8">
        <v>419.03100000000001</v>
      </c>
      <c r="M2825" s="8">
        <v>351.96199999999999</v>
      </c>
      <c r="N2825" s="8">
        <v>299.75599999999997</v>
      </c>
      <c r="O2825" s="8">
        <v>256.65199999999999</v>
      </c>
      <c r="P2825" s="8">
        <v>219.22499999999999</v>
      </c>
      <c r="Q2825" s="8">
        <v>184.05799999999999</v>
      </c>
      <c r="R2825" s="8">
        <v>148.23099999999999</v>
      </c>
      <c r="S2825" s="8">
        <v>115.46</v>
      </c>
      <c r="T2825" s="8">
        <v>88.2</v>
      </c>
      <c r="U2825" s="8">
        <v>62.905000000000001</v>
      </c>
      <c r="V2825" s="8">
        <v>41.642000000000003</v>
      </c>
      <c r="W2825" s="8">
        <v>25.617000000000001</v>
      </c>
      <c r="X2825" s="8">
        <v>14.180999999999999</v>
      </c>
      <c r="Y2825" s="8">
        <v>6.7519999999999998</v>
      </c>
      <c r="Z2825" s="8">
        <v>2.5880000000000001</v>
      </c>
      <c r="AA2825" s="8">
        <v>0.74</v>
      </c>
      <c r="AB2825" s="8">
        <v>0.13600000000000001</v>
      </c>
      <c r="AC2825" s="8">
        <v>1.2999999999999999E-2</v>
      </c>
    </row>
    <row r="2826" spans="1:29" ht="11.65" x14ac:dyDescent="0.35">
      <c r="A2826" s="12">
        <v>2809</v>
      </c>
      <c r="B2826" s="10" t="s">
        <v>1015</v>
      </c>
      <c r="C2826" s="11" t="s">
        <v>1211</v>
      </c>
      <c r="D2826" s="9"/>
      <c r="E2826" s="9">
        <v>862</v>
      </c>
      <c r="F2826" s="10" t="s">
        <v>1066</v>
      </c>
      <c r="G2826" s="9">
        <v>931</v>
      </c>
      <c r="H2826" s="9">
        <v>1965</v>
      </c>
      <c r="I2826" s="8">
        <v>900.505</v>
      </c>
      <c r="J2826" s="8">
        <v>765.39400000000001</v>
      </c>
      <c r="K2826" s="8">
        <v>616.60500000000002</v>
      </c>
      <c r="L2826" s="8">
        <v>504.45600000000002</v>
      </c>
      <c r="M2826" s="8">
        <v>415.50900000000001</v>
      </c>
      <c r="N2826" s="8">
        <v>348.05</v>
      </c>
      <c r="O2826" s="8">
        <v>295.67099999999999</v>
      </c>
      <c r="P2826" s="8">
        <v>252.06800000000001</v>
      </c>
      <c r="Q2826" s="8">
        <v>213.447</v>
      </c>
      <c r="R2826" s="8">
        <v>176.685</v>
      </c>
      <c r="S2826" s="8">
        <v>139.69499999999999</v>
      </c>
      <c r="T2826" s="8">
        <v>106.03100000000001</v>
      </c>
      <c r="U2826" s="8">
        <v>78.013999999999996</v>
      </c>
      <c r="V2826" s="8">
        <v>52.713000000000001</v>
      </c>
      <c r="W2826" s="8">
        <v>32.302</v>
      </c>
      <c r="X2826" s="8">
        <v>17.815000000000001</v>
      </c>
      <c r="Y2826" s="8">
        <v>8.4489999999999998</v>
      </c>
      <c r="Z2826" s="8">
        <v>3.2480000000000002</v>
      </c>
      <c r="AA2826" s="8">
        <v>0.93</v>
      </c>
      <c r="AB2826" s="8">
        <v>0.17499999999999999</v>
      </c>
      <c r="AC2826" s="8">
        <v>1.9E-2</v>
      </c>
    </row>
    <row r="2827" spans="1:29" ht="11.65" x14ac:dyDescent="0.35">
      <c r="A2827" s="12">
        <v>2810</v>
      </c>
      <c r="B2827" s="10" t="s">
        <v>1015</v>
      </c>
      <c r="C2827" s="11" t="s">
        <v>1211</v>
      </c>
      <c r="D2827" s="9"/>
      <c r="E2827" s="9">
        <v>862</v>
      </c>
      <c r="F2827" s="10" t="s">
        <v>1066</v>
      </c>
      <c r="G2827" s="9">
        <v>931</v>
      </c>
      <c r="H2827" s="9">
        <v>1970</v>
      </c>
      <c r="I2827" s="8">
        <v>995.71500000000003</v>
      </c>
      <c r="J2827" s="8">
        <v>883.88300000000004</v>
      </c>
      <c r="K2827" s="8">
        <v>760.96900000000005</v>
      </c>
      <c r="L2827" s="8">
        <v>612.49</v>
      </c>
      <c r="M2827" s="8">
        <v>499.12200000000001</v>
      </c>
      <c r="N2827" s="8">
        <v>409.84399999999999</v>
      </c>
      <c r="O2827" s="8">
        <v>342.40499999999997</v>
      </c>
      <c r="P2827" s="8">
        <v>289.77499999999998</v>
      </c>
      <c r="Q2827" s="8">
        <v>245.392</v>
      </c>
      <c r="R2827" s="8">
        <v>205.529</v>
      </c>
      <c r="S2827" s="8">
        <v>167.35900000000001</v>
      </c>
      <c r="T2827" s="8">
        <v>129.137</v>
      </c>
      <c r="U2827" s="8">
        <v>94.56</v>
      </c>
      <c r="V2827" s="8">
        <v>66.024000000000001</v>
      </c>
      <c r="W2827" s="8">
        <v>41.362000000000002</v>
      </c>
      <c r="X2827" s="8">
        <v>22.744</v>
      </c>
      <c r="Y2827" s="8">
        <v>10.742000000000001</v>
      </c>
      <c r="Z2827" s="8">
        <v>4.0999999999999996</v>
      </c>
      <c r="AA2827" s="8">
        <v>1.1659999999999999</v>
      </c>
      <c r="AB2827" s="8">
        <v>0.221</v>
      </c>
      <c r="AC2827" s="8">
        <v>2.5000000000000001E-2</v>
      </c>
    </row>
    <row r="2828" spans="1:29" ht="11.65" x14ac:dyDescent="0.35">
      <c r="A2828" s="12">
        <v>2811</v>
      </c>
      <c r="B2828" s="10" t="s">
        <v>1015</v>
      </c>
      <c r="C2828" s="11" t="s">
        <v>1211</v>
      </c>
      <c r="D2828" s="9"/>
      <c r="E2828" s="9">
        <v>862</v>
      </c>
      <c r="F2828" s="10" t="s">
        <v>1066</v>
      </c>
      <c r="G2828" s="9">
        <v>931</v>
      </c>
      <c r="H2828" s="9">
        <v>1975</v>
      </c>
      <c r="I2828" s="8">
        <v>1051.7950000000001</v>
      </c>
      <c r="J2828" s="8">
        <v>982.49300000000005</v>
      </c>
      <c r="K2828" s="8">
        <v>879.48199999999997</v>
      </c>
      <c r="L2828" s="8">
        <v>756.14800000000002</v>
      </c>
      <c r="M2828" s="8">
        <v>606.24300000000005</v>
      </c>
      <c r="N2828" s="8">
        <v>492.529</v>
      </c>
      <c r="O2828" s="8">
        <v>403.53</v>
      </c>
      <c r="P2828" s="8">
        <v>336.02800000000002</v>
      </c>
      <c r="Q2828" s="8">
        <v>282.71300000000002</v>
      </c>
      <c r="R2828" s="8">
        <v>237.04</v>
      </c>
      <c r="S2828" s="8">
        <v>195.52500000000001</v>
      </c>
      <c r="T2828" s="8">
        <v>155.55699999999999</v>
      </c>
      <c r="U2828" s="8">
        <v>115.973</v>
      </c>
      <c r="V2828" s="8">
        <v>80.680000000000007</v>
      </c>
      <c r="W2828" s="8">
        <v>52.283000000000001</v>
      </c>
      <c r="X2828" s="8">
        <v>29.402999999999999</v>
      </c>
      <c r="Y2828" s="8">
        <v>13.815</v>
      </c>
      <c r="Z2828" s="8">
        <v>5.2389999999999999</v>
      </c>
      <c r="AA2828" s="8">
        <v>1.47</v>
      </c>
      <c r="AB2828" s="8">
        <v>0.27400000000000002</v>
      </c>
      <c r="AC2828" s="8">
        <v>3.1E-2</v>
      </c>
    </row>
    <row r="2829" spans="1:29" ht="11.65" x14ac:dyDescent="0.35">
      <c r="A2829" s="12">
        <v>2812</v>
      </c>
      <c r="B2829" s="10" t="s">
        <v>1015</v>
      </c>
      <c r="C2829" s="11" t="s">
        <v>1211</v>
      </c>
      <c r="D2829" s="9"/>
      <c r="E2829" s="9">
        <v>862</v>
      </c>
      <c r="F2829" s="10" t="s">
        <v>1066</v>
      </c>
      <c r="G2829" s="9">
        <v>931</v>
      </c>
      <c r="H2829" s="9">
        <v>1980</v>
      </c>
      <c r="I2829" s="8">
        <v>1168.43</v>
      </c>
      <c r="J2829" s="8">
        <v>1042.1679999999999</v>
      </c>
      <c r="K2829" s="8">
        <v>978.53599999999994</v>
      </c>
      <c r="L2829" s="8">
        <v>874.36699999999996</v>
      </c>
      <c r="M2829" s="8">
        <v>748.57399999999996</v>
      </c>
      <c r="N2829" s="8">
        <v>598.476</v>
      </c>
      <c r="O2829" s="8">
        <v>485.40800000000002</v>
      </c>
      <c r="P2829" s="8">
        <v>396.74200000000002</v>
      </c>
      <c r="Q2829" s="8">
        <v>328.62099999999998</v>
      </c>
      <c r="R2829" s="8">
        <v>273.88299999999998</v>
      </c>
      <c r="S2829" s="8">
        <v>226.25299999999999</v>
      </c>
      <c r="T2829" s="8">
        <v>182.45099999999999</v>
      </c>
      <c r="U2829" s="8">
        <v>140.30199999999999</v>
      </c>
      <c r="V2829" s="8">
        <v>99.47</v>
      </c>
      <c r="W2829" s="8">
        <v>64.203000000000003</v>
      </c>
      <c r="X2829" s="8">
        <v>37.28</v>
      </c>
      <c r="Y2829" s="8">
        <v>17.887</v>
      </c>
      <c r="Z2829" s="8">
        <v>6.6879999999999997</v>
      </c>
      <c r="AA2829" s="8">
        <v>1.839</v>
      </c>
      <c r="AB2829" s="8">
        <v>0.34100000000000003</v>
      </c>
      <c r="AC2829" s="8">
        <v>0.04</v>
      </c>
    </row>
    <row r="2830" spans="1:29" ht="11.65" x14ac:dyDescent="0.35">
      <c r="A2830" s="12">
        <v>2813</v>
      </c>
      <c r="B2830" s="10" t="s">
        <v>1015</v>
      </c>
      <c r="C2830" s="11" t="s">
        <v>1211</v>
      </c>
      <c r="D2830" s="9"/>
      <c r="E2830" s="9">
        <v>862</v>
      </c>
      <c r="F2830" s="10" t="s">
        <v>1066</v>
      </c>
      <c r="G2830" s="9">
        <v>931</v>
      </c>
      <c r="H2830" s="9">
        <v>1985</v>
      </c>
      <c r="I2830" s="8">
        <v>1263.413</v>
      </c>
      <c r="J2830" s="8">
        <v>1160.6110000000001</v>
      </c>
      <c r="K2830" s="8">
        <v>1038.8689999999999</v>
      </c>
      <c r="L2830" s="8">
        <v>973.33199999999999</v>
      </c>
      <c r="M2830" s="8">
        <v>865.78700000000003</v>
      </c>
      <c r="N2830" s="8">
        <v>739.29600000000005</v>
      </c>
      <c r="O2830" s="8">
        <v>590.37699999999995</v>
      </c>
      <c r="P2830" s="8">
        <v>478.06700000000001</v>
      </c>
      <c r="Q2830" s="8">
        <v>388.85899999999998</v>
      </c>
      <c r="R2830" s="8">
        <v>319.19299999999998</v>
      </c>
      <c r="S2830" s="8">
        <v>262.21100000000001</v>
      </c>
      <c r="T2830" s="8">
        <v>211.821</v>
      </c>
      <c r="U2830" s="8">
        <v>164.946</v>
      </c>
      <c r="V2830" s="8">
        <v>120.364</v>
      </c>
      <c r="W2830" s="8">
        <v>79.058000000000007</v>
      </c>
      <c r="X2830" s="8">
        <v>45.680999999999997</v>
      </c>
      <c r="Y2830" s="8">
        <v>22.7</v>
      </c>
      <c r="Z2830" s="8">
        <v>8.7240000000000002</v>
      </c>
      <c r="AA2830" s="8">
        <v>2.4020000000000001</v>
      </c>
      <c r="AB2830" s="8">
        <v>0.434</v>
      </c>
      <c r="AC2830" s="8">
        <v>4.9000000000000002E-2</v>
      </c>
    </row>
    <row r="2831" spans="1:29" ht="11.65" x14ac:dyDescent="0.35">
      <c r="A2831" s="12">
        <v>2814</v>
      </c>
      <c r="B2831" s="10" t="s">
        <v>1015</v>
      </c>
      <c r="C2831" s="11" t="s">
        <v>1211</v>
      </c>
      <c r="D2831" s="9"/>
      <c r="E2831" s="9">
        <v>862</v>
      </c>
      <c r="F2831" s="10" t="s">
        <v>1066</v>
      </c>
      <c r="G2831" s="9">
        <v>931</v>
      </c>
      <c r="H2831" s="9">
        <v>1990</v>
      </c>
      <c r="I2831" s="8">
        <v>1379.0129999999999</v>
      </c>
      <c r="J2831" s="8">
        <v>1257.172</v>
      </c>
      <c r="K2831" s="8">
        <v>1157.779</v>
      </c>
      <c r="L2831" s="8">
        <v>1033.7650000000001</v>
      </c>
      <c r="M2831" s="8">
        <v>963.70899999999995</v>
      </c>
      <c r="N2831" s="8">
        <v>854.88699999999994</v>
      </c>
      <c r="O2831" s="8">
        <v>729.62800000000004</v>
      </c>
      <c r="P2831" s="8">
        <v>582.11699999999996</v>
      </c>
      <c r="Q2831" s="8">
        <v>469.22800000000001</v>
      </c>
      <c r="R2831" s="8">
        <v>378.512</v>
      </c>
      <c r="S2831" s="8">
        <v>306.36399999999998</v>
      </c>
      <c r="T2831" s="8">
        <v>245.94499999999999</v>
      </c>
      <c r="U2831" s="8">
        <v>191.84299999999999</v>
      </c>
      <c r="V2831" s="8">
        <v>141.96899999999999</v>
      </c>
      <c r="W2831" s="8">
        <v>96.150999999999996</v>
      </c>
      <c r="X2831" s="8">
        <v>56.655000000000001</v>
      </c>
      <c r="Y2831" s="8">
        <v>28.468</v>
      </c>
      <c r="Z2831" s="8">
        <v>11.481</v>
      </c>
      <c r="AA2831" s="8">
        <v>3.2330000000000001</v>
      </c>
      <c r="AB2831" s="8">
        <v>0.60399999999999998</v>
      </c>
      <c r="AC2831" s="8">
        <v>6.9000000000000006E-2</v>
      </c>
    </row>
    <row r="2832" spans="1:29" ht="11.65" x14ac:dyDescent="0.35">
      <c r="A2832" s="12">
        <v>2815</v>
      </c>
      <c r="B2832" s="10" t="s">
        <v>1015</v>
      </c>
      <c r="C2832" s="11" t="s">
        <v>1211</v>
      </c>
      <c r="D2832" s="9"/>
      <c r="E2832" s="9">
        <v>862</v>
      </c>
      <c r="F2832" s="10" t="s">
        <v>1066</v>
      </c>
      <c r="G2832" s="9">
        <v>931</v>
      </c>
      <c r="H2832" s="9">
        <v>1995</v>
      </c>
      <c r="I2832" s="8">
        <v>1405.1880000000001</v>
      </c>
      <c r="J2832" s="8">
        <v>1373.539</v>
      </c>
      <c r="K2832" s="8">
        <v>1254.2809999999999</v>
      </c>
      <c r="L2832" s="8">
        <v>1151.643</v>
      </c>
      <c r="M2832" s="8">
        <v>1021.842</v>
      </c>
      <c r="N2832" s="8">
        <v>950.31700000000001</v>
      </c>
      <c r="O2832" s="8">
        <v>842.78700000000003</v>
      </c>
      <c r="P2832" s="8">
        <v>718.56</v>
      </c>
      <c r="Q2832" s="8">
        <v>571.21400000000006</v>
      </c>
      <c r="R2832" s="8">
        <v>457.02600000000001</v>
      </c>
      <c r="S2832" s="8">
        <v>364.02100000000002</v>
      </c>
      <c r="T2832" s="8">
        <v>288.33800000000002</v>
      </c>
      <c r="U2832" s="8">
        <v>223.68899999999999</v>
      </c>
      <c r="V2832" s="8">
        <v>165.874</v>
      </c>
      <c r="W2832" s="8">
        <v>114.251</v>
      </c>
      <c r="X2832" s="8">
        <v>69.701999999999998</v>
      </c>
      <c r="Y2832" s="8">
        <v>36.085999999999999</v>
      </c>
      <c r="Z2832" s="8">
        <v>14.904999999999999</v>
      </c>
      <c r="AA2832" s="8">
        <v>4.4610000000000003</v>
      </c>
      <c r="AB2832" s="8">
        <v>0.88600000000000001</v>
      </c>
      <c r="AC2832" s="8">
        <v>0.11</v>
      </c>
    </row>
    <row r="2833" spans="1:29" ht="11.65" x14ac:dyDescent="0.35">
      <c r="A2833" s="12">
        <v>2816</v>
      </c>
      <c r="B2833" s="10" t="s">
        <v>1015</v>
      </c>
      <c r="C2833" s="11" t="s">
        <v>1211</v>
      </c>
      <c r="D2833" s="9"/>
      <c r="E2833" s="9">
        <v>862</v>
      </c>
      <c r="F2833" s="10" t="s">
        <v>1066</v>
      </c>
      <c r="G2833" s="9">
        <v>931</v>
      </c>
      <c r="H2833" s="9">
        <v>2000</v>
      </c>
      <c r="I2833" s="8">
        <v>1426.0119999999999</v>
      </c>
      <c r="J2833" s="8">
        <v>1400.443</v>
      </c>
      <c r="K2833" s="8">
        <v>1370.5640000000001</v>
      </c>
      <c r="L2833" s="8">
        <v>1246.4939999999999</v>
      </c>
      <c r="M2833" s="8">
        <v>1133.7339999999999</v>
      </c>
      <c r="N2833" s="8">
        <v>1002.8</v>
      </c>
      <c r="O2833" s="8">
        <v>933.245</v>
      </c>
      <c r="P2833" s="8">
        <v>827.77099999999996</v>
      </c>
      <c r="Q2833" s="8">
        <v>704.26300000000003</v>
      </c>
      <c r="R2833" s="8">
        <v>556.40300000000002</v>
      </c>
      <c r="S2833" s="8">
        <v>440.48700000000002</v>
      </c>
      <c r="T2833" s="8">
        <v>344.58100000000002</v>
      </c>
      <c r="U2833" s="8">
        <v>264.82499999999999</v>
      </c>
      <c r="V2833" s="8">
        <v>196.13300000000001</v>
      </c>
      <c r="W2833" s="8">
        <v>135.56700000000001</v>
      </c>
      <c r="X2833" s="8">
        <v>84.010999999999996</v>
      </c>
      <c r="Y2833" s="8">
        <v>45.247</v>
      </c>
      <c r="Z2833" s="8">
        <v>19.466000000000001</v>
      </c>
      <c r="AA2833" s="8">
        <v>6.0629999999999997</v>
      </c>
      <c r="AB2833" s="8">
        <v>1.319</v>
      </c>
      <c r="AC2833" s="8">
        <v>0.183</v>
      </c>
    </row>
    <row r="2834" spans="1:29" ht="11.65" x14ac:dyDescent="0.35">
      <c r="A2834" s="12">
        <v>2817</v>
      </c>
      <c r="B2834" s="10" t="s">
        <v>1015</v>
      </c>
      <c r="C2834" s="11" t="s">
        <v>1211</v>
      </c>
      <c r="D2834" s="9"/>
      <c r="E2834" s="9">
        <v>862</v>
      </c>
      <c r="F2834" s="10" t="s">
        <v>1066</v>
      </c>
      <c r="G2834" s="9">
        <v>931</v>
      </c>
      <c r="H2834" s="9">
        <v>2005</v>
      </c>
      <c r="I2834" s="8">
        <v>1460.55</v>
      </c>
      <c r="J2834" s="8">
        <v>1421.72</v>
      </c>
      <c r="K2834" s="8">
        <v>1396.7809999999999</v>
      </c>
      <c r="L2834" s="8">
        <v>1360.374</v>
      </c>
      <c r="M2834" s="8">
        <v>1223.6669999999999</v>
      </c>
      <c r="N2834" s="8">
        <v>1109.3219999999999</v>
      </c>
      <c r="O2834" s="8">
        <v>982.58699999999999</v>
      </c>
      <c r="P2834" s="8">
        <v>915.37199999999996</v>
      </c>
      <c r="Q2834" s="8">
        <v>810.952</v>
      </c>
      <c r="R2834" s="8">
        <v>686.20500000000004</v>
      </c>
      <c r="S2834" s="8">
        <v>537.06299999999999</v>
      </c>
      <c r="T2834" s="8">
        <v>418.40199999999999</v>
      </c>
      <c r="U2834" s="8">
        <v>318.74299999999999</v>
      </c>
      <c r="V2834" s="8">
        <v>234.642</v>
      </c>
      <c r="W2834" s="8">
        <v>162.029</v>
      </c>
      <c r="X2834" s="8">
        <v>101.417</v>
      </c>
      <c r="Y2834" s="8">
        <v>55.231000000000002</v>
      </c>
      <c r="Z2834" s="8">
        <v>24.795999999999999</v>
      </c>
      <c r="AA2834" s="8">
        <v>8.2759999999999998</v>
      </c>
      <c r="AB2834" s="8">
        <v>1.919</v>
      </c>
      <c r="AC2834" s="8">
        <v>0.308</v>
      </c>
    </row>
    <row r="2835" spans="1:29" ht="11.65" x14ac:dyDescent="0.35">
      <c r="A2835" s="12">
        <v>2818</v>
      </c>
      <c r="B2835" s="10" t="s">
        <v>1015</v>
      </c>
      <c r="C2835" s="11" t="s">
        <v>1211</v>
      </c>
      <c r="D2835" s="9"/>
      <c r="E2835" s="9">
        <v>862</v>
      </c>
      <c r="F2835" s="10" t="s">
        <v>1066</v>
      </c>
      <c r="G2835" s="9">
        <v>931</v>
      </c>
      <c r="H2835" s="9">
        <v>2010</v>
      </c>
      <c r="I2835" s="8">
        <v>1482.828</v>
      </c>
      <c r="J2835" s="8">
        <v>1455.1469999999999</v>
      </c>
      <c r="K2835" s="8">
        <v>1409.0889999999999</v>
      </c>
      <c r="L2835" s="8">
        <v>1373.107</v>
      </c>
      <c r="M2835" s="8">
        <v>1322.5619999999999</v>
      </c>
      <c r="N2835" s="8">
        <v>1185.0519999999999</v>
      </c>
      <c r="O2835" s="8">
        <v>1075.011</v>
      </c>
      <c r="P2835" s="8">
        <v>953.005</v>
      </c>
      <c r="Q2835" s="8">
        <v>887.96</v>
      </c>
      <c r="R2835" s="8">
        <v>782.34100000000001</v>
      </c>
      <c r="S2835" s="8">
        <v>658.50599999999997</v>
      </c>
      <c r="T2835" s="8">
        <v>510.09100000000001</v>
      </c>
      <c r="U2835" s="8">
        <v>387.02600000000001</v>
      </c>
      <c r="V2835" s="8">
        <v>282.416</v>
      </c>
      <c r="W2835" s="8">
        <v>193.84200000000001</v>
      </c>
      <c r="X2835" s="8">
        <v>121.215</v>
      </c>
      <c r="Y2835" s="8">
        <v>66.673000000000002</v>
      </c>
      <c r="Z2835" s="8">
        <v>30.266999999999999</v>
      </c>
      <c r="AA2835" s="8">
        <v>10.541</v>
      </c>
      <c r="AB2835" s="8">
        <v>2.621</v>
      </c>
      <c r="AC2835" s="8">
        <v>0.45600000000000002</v>
      </c>
    </row>
    <row r="2836" spans="1:29" ht="11.65" x14ac:dyDescent="0.35">
      <c r="A2836" s="12">
        <v>2819</v>
      </c>
      <c r="B2836" s="10" t="s">
        <v>1015</v>
      </c>
      <c r="C2836" s="11" t="s">
        <v>1211</v>
      </c>
      <c r="D2836" s="9"/>
      <c r="E2836" s="9">
        <v>862</v>
      </c>
      <c r="F2836" s="10" t="s">
        <v>1066</v>
      </c>
      <c r="G2836" s="9">
        <v>931</v>
      </c>
      <c r="H2836" s="9">
        <v>2015</v>
      </c>
      <c r="I2836" s="8">
        <v>1469.298</v>
      </c>
      <c r="J2836" s="8">
        <v>1463.298</v>
      </c>
      <c r="K2836" s="8">
        <v>1432.454</v>
      </c>
      <c r="L2836" s="8">
        <v>1370.5229999999999</v>
      </c>
      <c r="M2836" s="8">
        <v>1320.5319999999999</v>
      </c>
      <c r="N2836" s="8">
        <v>1268.212</v>
      </c>
      <c r="O2836" s="8">
        <v>1135.874</v>
      </c>
      <c r="P2836" s="8">
        <v>1031.798</v>
      </c>
      <c r="Q2836" s="8">
        <v>914.9</v>
      </c>
      <c r="R2836" s="8">
        <v>848.64700000000005</v>
      </c>
      <c r="S2836" s="8">
        <v>747.01</v>
      </c>
      <c r="T2836" s="8">
        <v>625.29</v>
      </c>
      <c r="U2836" s="8">
        <v>471.72199999999998</v>
      </c>
      <c r="V2836" s="8">
        <v>342.685</v>
      </c>
      <c r="W2836" s="8">
        <v>233.28899999999999</v>
      </c>
      <c r="X2836" s="8">
        <v>144.91399999999999</v>
      </c>
      <c r="Y2836" s="8">
        <v>79.566999999999993</v>
      </c>
      <c r="Z2836" s="8">
        <v>36.448999999999998</v>
      </c>
      <c r="AA2836" s="8">
        <v>12.815</v>
      </c>
      <c r="AB2836" s="8">
        <v>3.3109999999999999</v>
      </c>
      <c r="AC2836" s="8">
        <v>0.626</v>
      </c>
    </row>
    <row r="2837" spans="1:29" ht="11.65" x14ac:dyDescent="0.35">
      <c r="A2837" s="12">
        <v>2820</v>
      </c>
      <c r="B2837" s="10" t="s">
        <v>1015</v>
      </c>
      <c r="C2837" s="11" t="s">
        <v>1211</v>
      </c>
      <c r="D2837" s="9"/>
      <c r="E2837" s="9">
        <v>862</v>
      </c>
      <c r="F2837" s="10" t="s">
        <v>1066</v>
      </c>
      <c r="G2837" s="9">
        <v>931</v>
      </c>
      <c r="H2837" s="9">
        <v>2020</v>
      </c>
      <c r="I2837" s="8">
        <v>1202.873</v>
      </c>
      <c r="J2837" s="8">
        <v>1394.8430000000001</v>
      </c>
      <c r="K2837" s="8">
        <v>1359.749</v>
      </c>
      <c r="L2837" s="8">
        <v>1275.2329999999999</v>
      </c>
      <c r="M2837" s="8">
        <v>1054.7239999999999</v>
      </c>
      <c r="N2837" s="8">
        <v>1003.451</v>
      </c>
      <c r="O2837" s="8">
        <v>1008.211</v>
      </c>
      <c r="P2837" s="8">
        <v>952.68200000000002</v>
      </c>
      <c r="Q2837" s="8">
        <v>903.88</v>
      </c>
      <c r="R2837" s="8">
        <v>822.05</v>
      </c>
      <c r="S2837" s="8">
        <v>772.827</v>
      </c>
      <c r="T2837" s="8">
        <v>677.22</v>
      </c>
      <c r="U2837" s="8">
        <v>557.00900000000001</v>
      </c>
      <c r="V2837" s="8">
        <v>403.60300000000001</v>
      </c>
      <c r="W2837" s="8">
        <v>273.791</v>
      </c>
      <c r="X2837" s="8">
        <v>168.24</v>
      </c>
      <c r="Y2837" s="8">
        <v>90.992000000000004</v>
      </c>
      <c r="Z2837" s="8">
        <v>43.393000000000001</v>
      </c>
      <c r="AA2837" s="8">
        <v>15.371</v>
      </c>
      <c r="AB2837" s="8">
        <v>3.9990000000000001</v>
      </c>
      <c r="AC2837" s="8">
        <v>0.79100000000000004</v>
      </c>
    </row>
    <row r="2838" spans="1:29" ht="11.65" x14ac:dyDescent="0.35">
      <c r="A2838" s="28">
        <v>2821</v>
      </c>
      <c r="B2838" s="26" t="s">
        <v>1015</v>
      </c>
      <c r="C2838" s="27" t="s">
        <v>1212</v>
      </c>
      <c r="D2838" s="25"/>
      <c r="E2838" s="25">
        <v>927</v>
      </c>
      <c r="F2838" s="26" t="s">
        <v>1063</v>
      </c>
      <c r="G2838" s="25">
        <v>1828</v>
      </c>
      <c r="H2838" s="25">
        <v>1950</v>
      </c>
      <c r="I2838" s="24">
        <v>573.774</v>
      </c>
      <c r="J2838" s="24">
        <v>448.22</v>
      </c>
      <c r="K2838" s="24">
        <v>370.79700000000003</v>
      </c>
      <c r="L2838" s="24">
        <v>349.89299999999997</v>
      </c>
      <c r="M2838" s="24">
        <v>399.221</v>
      </c>
      <c r="N2838" s="24">
        <v>414.77</v>
      </c>
      <c r="O2838" s="24">
        <v>376.45600000000002</v>
      </c>
      <c r="P2838" s="24">
        <v>384.55099999999999</v>
      </c>
      <c r="Q2838" s="24">
        <v>351.39699999999999</v>
      </c>
      <c r="R2838" s="24">
        <v>307.13099999999997</v>
      </c>
      <c r="S2838" s="24">
        <v>264.77800000000002</v>
      </c>
      <c r="T2838" s="24">
        <v>238.17</v>
      </c>
      <c r="U2838" s="24">
        <v>213.44200000000001</v>
      </c>
      <c r="V2838" s="24">
        <v>161.239</v>
      </c>
      <c r="W2838" s="24">
        <v>109.188</v>
      </c>
      <c r="X2838" s="24">
        <v>65.275999999999996</v>
      </c>
      <c r="Y2838" s="24">
        <v>32.887</v>
      </c>
      <c r="Z2838" s="24">
        <v>13.388999999999999</v>
      </c>
      <c r="AA2838" s="24">
        <v>4.0170000000000003</v>
      </c>
      <c r="AB2838" s="24">
        <v>0.78300000000000003</v>
      </c>
      <c r="AC2838" s="24">
        <v>9.1999999999999998E-2</v>
      </c>
    </row>
    <row r="2839" spans="1:29" ht="11.65" x14ac:dyDescent="0.35">
      <c r="A2839" s="28">
        <v>2822</v>
      </c>
      <c r="B2839" s="26" t="s">
        <v>1015</v>
      </c>
      <c r="C2839" s="27" t="s">
        <v>1212</v>
      </c>
      <c r="D2839" s="25"/>
      <c r="E2839" s="25">
        <v>927</v>
      </c>
      <c r="F2839" s="26" t="s">
        <v>1063</v>
      </c>
      <c r="G2839" s="25">
        <v>1828</v>
      </c>
      <c r="H2839" s="25">
        <v>1955</v>
      </c>
      <c r="I2839" s="24">
        <v>635.25099999999998</v>
      </c>
      <c r="J2839" s="24">
        <v>596.36900000000003</v>
      </c>
      <c r="K2839" s="24">
        <v>468.10500000000002</v>
      </c>
      <c r="L2839" s="24">
        <v>388.20400000000001</v>
      </c>
      <c r="M2839" s="24">
        <v>378.19799999999998</v>
      </c>
      <c r="N2839" s="24">
        <v>443.58</v>
      </c>
      <c r="O2839" s="24">
        <v>450.08100000000002</v>
      </c>
      <c r="P2839" s="24">
        <v>395.54199999999997</v>
      </c>
      <c r="Q2839" s="24">
        <v>399.48500000000001</v>
      </c>
      <c r="R2839" s="24">
        <v>355.10700000000003</v>
      </c>
      <c r="S2839" s="24">
        <v>301.42</v>
      </c>
      <c r="T2839" s="24">
        <v>249.33199999999999</v>
      </c>
      <c r="U2839" s="24">
        <v>215.196</v>
      </c>
      <c r="V2839" s="24">
        <v>179.971</v>
      </c>
      <c r="W2839" s="24">
        <v>124.55200000000001</v>
      </c>
      <c r="X2839" s="24">
        <v>74.451999999999998</v>
      </c>
      <c r="Y2839" s="24">
        <v>38.063000000000002</v>
      </c>
      <c r="Z2839" s="24">
        <v>13.353</v>
      </c>
      <c r="AA2839" s="24">
        <v>3.6269999999999998</v>
      </c>
      <c r="AB2839" s="24">
        <v>0.63400000000000001</v>
      </c>
      <c r="AC2839" s="24">
        <v>6.9000000000000006E-2</v>
      </c>
    </row>
    <row r="2840" spans="1:29" ht="11.65" x14ac:dyDescent="0.35">
      <c r="A2840" s="28">
        <v>2823</v>
      </c>
      <c r="B2840" s="26" t="s">
        <v>1015</v>
      </c>
      <c r="C2840" s="27" t="s">
        <v>1212</v>
      </c>
      <c r="D2840" s="25"/>
      <c r="E2840" s="25">
        <v>927</v>
      </c>
      <c r="F2840" s="26" t="s">
        <v>1063</v>
      </c>
      <c r="G2840" s="25">
        <v>1828</v>
      </c>
      <c r="H2840" s="25">
        <v>1960</v>
      </c>
      <c r="I2840" s="24">
        <v>705.71799999999996</v>
      </c>
      <c r="J2840" s="24">
        <v>654.21799999999996</v>
      </c>
      <c r="K2840" s="24">
        <v>620.62099999999998</v>
      </c>
      <c r="L2840" s="24">
        <v>485.90499999999997</v>
      </c>
      <c r="M2840" s="24">
        <v>421.09800000000001</v>
      </c>
      <c r="N2840" s="24">
        <v>414.70100000000002</v>
      </c>
      <c r="O2840" s="24">
        <v>466.851</v>
      </c>
      <c r="P2840" s="24">
        <v>463.22800000000001</v>
      </c>
      <c r="Q2840" s="24">
        <v>403.49</v>
      </c>
      <c r="R2840" s="24">
        <v>399.721</v>
      </c>
      <c r="S2840" s="24">
        <v>346.63</v>
      </c>
      <c r="T2840" s="24">
        <v>283.52800000000002</v>
      </c>
      <c r="U2840" s="24">
        <v>226.328</v>
      </c>
      <c r="V2840" s="24">
        <v>180.74799999999999</v>
      </c>
      <c r="W2840" s="24">
        <v>141.12100000000001</v>
      </c>
      <c r="X2840" s="24">
        <v>85.429000000000002</v>
      </c>
      <c r="Y2840" s="24">
        <v>43.762999999999998</v>
      </c>
      <c r="Z2840" s="24">
        <v>15.765000000000001</v>
      </c>
      <c r="AA2840" s="24">
        <v>3.649</v>
      </c>
      <c r="AB2840" s="24">
        <v>0.56999999999999995</v>
      </c>
      <c r="AC2840" s="24">
        <v>5.5E-2</v>
      </c>
    </row>
    <row r="2841" spans="1:29" ht="11.65" x14ac:dyDescent="0.35">
      <c r="A2841" s="28">
        <v>2824</v>
      </c>
      <c r="B2841" s="26" t="s">
        <v>1015</v>
      </c>
      <c r="C2841" s="27" t="s">
        <v>1212</v>
      </c>
      <c r="D2841" s="25"/>
      <c r="E2841" s="25">
        <v>927</v>
      </c>
      <c r="F2841" s="26" t="s">
        <v>1063</v>
      </c>
      <c r="G2841" s="25">
        <v>1828</v>
      </c>
      <c r="H2841" s="25">
        <v>1965</v>
      </c>
      <c r="I2841" s="24">
        <v>748.48</v>
      </c>
      <c r="J2841" s="24">
        <v>727.61699999999996</v>
      </c>
      <c r="K2841" s="24">
        <v>677.697</v>
      </c>
      <c r="L2841" s="24">
        <v>641.57299999999998</v>
      </c>
      <c r="M2841" s="24">
        <v>514.06799999999998</v>
      </c>
      <c r="N2841" s="24">
        <v>453.36900000000003</v>
      </c>
      <c r="O2841" s="24">
        <v>431.96699999999998</v>
      </c>
      <c r="P2841" s="24">
        <v>478.14299999999997</v>
      </c>
      <c r="Q2841" s="24">
        <v>468.69099999999997</v>
      </c>
      <c r="R2841" s="24">
        <v>400.863</v>
      </c>
      <c r="S2841" s="24">
        <v>386.96199999999999</v>
      </c>
      <c r="T2841" s="24">
        <v>327.86099999999999</v>
      </c>
      <c r="U2841" s="24">
        <v>257.12700000000001</v>
      </c>
      <c r="V2841" s="24">
        <v>193.28700000000001</v>
      </c>
      <c r="W2841" s="24">
        <v>138.74100000000001</v>
      </c>
      <c r="X2841" s="24">
        <v>93.656000000000006</v>
      </c>
      <c r="Y2841" s="24">
        <v>48.415999999999997</v>
      </c>
      <c r="Z2841" s="24">
        <v>18.163</v>
      </c>
      <c r="AA2841" s="24">
        <v>4.319</v>
      </c>
      <c r="AB2841" s="24">
        <v>0.57699999999999996</v>
      </c>
      <c r="AC2841" s="24">
        <v>4.9000000000000002E-2</v>
      </c>
    </row>
    <row r="2842" spans="1:29" ht="11.65" x14ac:dyDescent="0.35">
      <c r="A2842" s="28">
        <v>2825</v>
      </c>
      <c r="B2842" s="26" t="s">
        <v>1015</v>
      </c>
      <c r="C2842" s="27" t="s">
        <v>1212</v>
      </c>
      <c r="D2842" s="25"/>
      <c r="E2842" s="25">
        <v>927</v>
      </c>
      <c r="F2842" s="26" t="s">
        <v>1063</v>
      </c>
      <c r="G2842" s="25">
        <v>1828</v>
      </c>
      <c r="H2842" s="25">
        <v>1970</v>
      </c>
      <c r="I2842" s="24">
        <v>784.37</v>
      </c>
      <c r="J2842" s="24">
        <v>796.84799999999996</v>
      </c>
      <c r="K2842" s="24">
        <v>784.11599999999999</v>
      </c>
      <c r="L2842" s="24">
        <v>698.58</v>
      </c>
      <c r="M2842" s="24">
        <v>695.51300000000003</v>
      </c>
      <c r="N2842" s="24">
        <v>559.91200000000003</v>
      </c>
      <c r="O2842" s="24">
        <v>487.971</v>
      </c>
      <c r="P2842" s="24">
        <v>451.11599999999999</v>
      </c>
      <c r="Q2842" s="24">
        <v>498.81099999999998</v>
      </c>
      <c r="R2842" s="24">
        <v>478.52499999999998</v>
      </c>
      <c r="S2842" s="24">
        <v>393.75200000000001</v>
      </c>
      <c r="T2842" s="24">
        <v>366.88299999999998</v>
      </c>
      <c r="U2842" s="24">
        <v>295.64499999999998</v>
      </c>
      <c r="V2842" s="24">
        <v>223.93199999999999</v>
      </c>
      <c r="W2842" s="24">
        <v>149.73699999999999</v>
      </c>
      <c r="X2842" s="24">
        <v>92.495000000000005</v>
      </c>
      <c r="Y2842" s="24">
        <v>52.497</v>
      </c>
      <c r="Z2842" s="24">
        <v>19.963000000000001</v>
      </c>
      <c r="AA2842" s="24">
        <v>5.0069999999999997</v>
      </c>
      <c r="AB2842" s="24">
        <v>0.71</v>
      </c>
      <c r="AC2842" s="24">
        <v>5.1999999999999998E-2</v>
      </c>
    </row>
    <row r="2843" spans="1:29" ht="11.65" x14ac:dyDescent="0.35">
      <c r="A2843" s="28">
        <v>2826</v>
      </c>
      <c r="B2843" s="26" t="s">
        <v>1015</v>
      </c>
      <c r="C2843" s="27" t="s">
        <v>1212</v>
      </c>
      <c r="D2843" s="25"/>
      <c r="E2843" s="25">
        <v>927</v>
      </c>
      <c r="F2843" s="26" t="s">
        <v>1063</v>
      </c>
      <c r="G2843" s="25">
        <v>1828</v>
      </c>
      <c r="H2843" s="25">
        <v>1975</v>
      </c>
      <c r="I2843" s="24">
        <v>800.67700000000002</v>
      </c>
      <c r="J2843" s="24">
        <v>791.73199999999997</v>
      </c>
      <c r="K2843" s="24">
        <v>821.41700000000003</v>
      </c>
      <c r="L2843" s="24">
        <v>779.71100000000001</v>
      </c>
      <c r="M2843" s="24">
        <v>717.91499999999996</v>
      </c>
      <c r="N2843" s="24">
        <v>708.98299999999995</v>
      </c>
      <c r="O2843" s="24">
        <v>578.56899999999996</v>
      </c>
      <c r="P2843" s="24">
        <v>501.48099999999999</v>
      </c>
      <c r="Q2843" s="24">
        <v>463.89600000000002</v>
      </c>
      <c r="R2843" s="24">
        <v>488.40699999999998</v>
      </c>
      <c r="S2843" s="24">
        <v>459.74900000000002</v>
      </c>
      <c r="T2843" s="24">
        <v>372.17500000000001</v>
      </c>
      <c r="U2843" s="24">
        <v>335.16399999999999</v>
      </c>
      <c r="V2843" s="24">
        <v>257.34199999999998</v>
      </c>
      <c r="W2843" s="24">
        <v>177.24600000000001</v>
      </c>
      <c r="X2843" s="24">
        <v>101.712</v>
      </c>
      <c r="Y2843" s="24">
        <v>54.546999999999997</v>
      </c>
      <c r="Z2843" s="24">
        <v>22.032</v>
      </c>
      <c r="AA2843" s="24">
        <v>5.609</v>
      </c>
      <c r="AB2843" s="24">
        <v>0.84499999999999997</v>
      </c>
      <c r="AC2843" s="24">
        <v>6.7000000000000004E-2</v>
      </c>
    </row>
    <row r="2844" spans="1:29" ht="11.65" x14ac:dyDescent="0.35">
      <c r="A2844" s="28">
        <v>2827</v>
      </c>
      <c r="B2844" s="26" t="s">
        <v>1015</v>
      </c>
      <c r="C2844" s="27" t="s">
        <v>1212</v>
      </c>
      <c r="D2844" s="25"/>
      <c r="E2844" s="25">
        <v>927</v>
      </c>
      <c r="F2844" s="26" t="s">
        <v>1063</v>
      </c>
      <c r="G2844" s="25">
        <v>1828</v>
      </c>
      <c r="H2844" s="25">
        <v>1980</v>
      </c>
      <c r="I2844" s="24">
        <v>708.55799999999999</v>
      </c>
      <c r="J2844" s="24">
        <v>809.774</v>
      </c>
      <c r="K2844" s="24">
        <v>804.03200000000004</v>
      </c>
      <c r="L2844" s="24">
        <v>823.47500000000002</v>
      </c>
      <c r="M2844" s="24">
        <v>778.37300000000005</v>
      </c>
      <c r="N2844" s="24">
        <v>727.64499999999998</v>
      </c>
      <c r="O2844" s="24">
        <v>715.495</v>
      </c>
      <c r="P2844" s="24">
        <v>572.69500000000005</v>
      </c>
      <c r="Q2844" s="24">
        <v>490.96499999999997</v>
      </c>
      <c r="R2844" s="24">
        <v>451.85500000000002</v>
      </c>
      <c r="S2844" s="24">
        <v>469.92700000000002</v>
      </c>
      <c r="T2844" s="24">
        <v>431.33</v>
      </c>
      <c r="U2844" s="24">
        <v>340.54599999999999</v>
      </c>
      <c r="V2844" s="24">
        <v>294.96800000000002</v>
      </c>
      <c r="W2844" s="24">
        <v>206.74100000000001</v>
      </c>
      <c r="X2844" s="24">
        <v>124.34399999999999</v>
      </c>
      <c r="Y2844" s="24">
        <v>59.718000000000004</v>
      </c>
      <c r="Z2844" s="24">
        <v>24.465</v>
      </c>
      <c r="AA2844" s="24">
        <v>6.9089999999999998</v>
      </c>
      <c r="AB2844" s="24">
        <v>1.0760000000000001</v>
      </c>
      <c r="AC2844" s="24">
        <v>9.4E-2</v>
      </c>
    </row>
    <row r="2845" spans="1:29" ht="11.65" x14ac:dyDescent="0.35">
      <c r="A2845" s="28">
        <v>2828</v>
      </c>
      <c r="B2845" s="26" t="s">
        <v>1015</v>
      </c>
      <c r="C2845" s="27" t="s">
        <v>1212</v>
      </c>
      <c r="D2845" s="25"/>
      <c r="E2845" s="25">
        <v>927</v>
      </c>
      <c r="F2845" s="26" t="s">
        <v>1063</v>
      </c>
      <c r="G2845" s="25">
        <v>1828</v>
      </c>
      <c r="H2845" s="25">
        <v>1985</v>
      </c>
      <c r="I2845" s="24">
        <v>739.91099999999994</v>
      </c>
      <c r="J2845" s="24">
        <v>731.99400000000003</v>
      </c>
      <c r="K2845" s="24">
        <v>833.72699999999998</v>
      </c>
      <c r="L2845" s="24">
        <v>819.81299999999999</v>
      </c>
      <c r="M2845" s="24">
        <v>830.35599999999999</v>
      </c>
      <c r="N2845" s="24">
        <v>794.67899999999997</v>
      </c>
      <c r="O2845" s="24">
        <v>751.96199999999999</v>
      </c>
      <c r="P2845" s="24">
        <v>738.05600000000004</v>
      </c>
      <c r="Q2845" s="24">
        <v>582.56600000000003</v>
      </c>
      <c r="R2845" s="24">
        <v>494.93299999999999</v>
      </c>
      <c r="S2845" s="24">
        <v>446.16300000000001</v>
      </c>
      <c r="T2845" s="24">
        <v>452.42700000000002</v>
      </c>
      <c r="U2845" s="24">
        <v>405.43599999999998</v>
      </c>
      <c r="V2845" s="24">
        <v>305.74900000000002</v>
      </c>
      <c r="W2845" s="24">
        <v>244.18100000000001</v>
      </c>
      <c r="X2845" s="24">
        <v>151.726</v>
      </c>
      <c r="Y2845" s="24">
        <v>75.174000000000007</v>
      </c>
      <c r="Z2845" s="24">
        <v>27.893000000000001</v>
      </c>
      <c r="AA2845" s="24">
        <v>7.9530000000000003</v>
      </c>
      <c r="AB2845" s="24">
        <v>1.3720000000000001</v>
      </c>
      <c r="AC2845" s="24">
        <v>0.125</v>
      </c>
    </row>
    <row r="2846" spans="1:29" ht="11.65" x14ac:dyDescent="0.35">
      <c r="A2846" s="28">
        <v>2829</v>
      </c>
      <c r="B2846" s="26" t="s">
        <v>1015</v>
      </c>
      <c r="C2846" s="27" t="s">
        <v>1212</v>
      </c>
      <c r="D2846" s="25"/>
      <c r="E2846" s="25">
        <v>927</v>
      </c>
      <c r="F2846" s="26" t="s">
        <v>1063</v>
      </c>
      <c r="G2846" s="25">
        <v>1828</v>
      </c>
      <c r="H2846" s="25">
        <v>1990</v>
      </c>
      <c r="I2846" s="24">
        <v>785.18299999999999</v>
      </c>
      <c r="J2846" s="24">
        <v>774.47</v>
      </c>
      <c r="K2846" s="24">
        <v>765.76599999999996</v>
      </c>
      <c r="L2846" s="24">
        <v>857.95699999999999</v>
      </c>
      <c r="M2846" s="24">
        <v>823.73299999999995</v>
      </c>
      <c r="N2846" s="24">
        <v>848.58199999999999</v>
      </c>
      <c r="O2846" s="24">
        <v>832.14400000000001</v>
      </c>
      <c r="P2846" s="24">
        <v>775.65599999999995</v>
      </c>
      <c r="Q2846" s="24">
        <v>754.20299999999997</v>
      </c>
      <c r="R2846" s="24">
        <v>590.495</v>
      </c>
      <c r="S2846" s="24">
        <v>491.79199999999997</v>
      </c>
      <c r="T2846" s="24">
        <v>436.899</v>
      </c>
      <c r="U2846" s="24">
        <v>432.31200000000001</v>
      </c>
      <c r="V2846" s="24">
        <v>369.06099999999998</v>
      </c>
      <c r="W2846" s="24">
        <v>261.02600000000001</v>
      </c>
      <c r="X2846" s="24">
        <v>184.87100000000001</v>
      </c>
      <c r="Y2846" s="24">
        <v>96.478999999999999</v>
      </c>
      <c r="Z2846" s="24">
        <v>36.116999999999997</v>
      </c>
      <c r="AA2846" s="24">
        <v>9.1340000000000003</v>
      </c>
      <c r="AB2846" s="24">
        <v>1.587</v>
      </c>
      <c r="AC2846" s="24">
        <v>0.156</v>
      </c>
    </row>
    <row r="2847" spans="1:29" ht="11.65" x14ac:dyDescent="0.35">
      <c r="A2847" s="28">
        <v>2830</v>
      </c>
      <c r="B2847" s="26" t="s">
        <v>1015</v>
      </c>
      <c r="C2847" s="27" t="s">
        <v>1212</v>
      </c>
      <c r="D2847" s="25"/>
      <c r="E2847" s="25">
        <v>927</v>
      </c>
      <c r="F2847" s="26" t="s">
        <v>1063</v>
      </c>
      <c r="G2847" s="25">
        <v>1828</v>
      </c>
      <c r="H2847" s="25">
        <v>1995</v>
      </c>
      <c r="I2847" s="24">
        <v>818.51700000000005</v>
      </c>
      <c r="J2847" s="24">
        <v>808.21600000000001</v>
      </c>
      <c r="K2847" s="24">
        <v>797.76400000000001</v>
      </c>
      <c r="L2847" s="24">
        <v>789.02499999999998</v>
      </c>
      <c r="M2847" s="24">
        <v>860.27300000000002</v>
      </c>
      <c r="N2847" s="24">
        <v>827.44799999999998</v>
      </c>
      <c r="O2847" s="24">
        <v>875.16600000000005</v>
      </c>
      <c r="P2847" s="24">
        <v>850.12099999999998</v>
      </c>
      <c r="Q2847" s="24">
        <v>792.89700000000005</v>
      </c>
      <c r="R2847" s="24">
        <v>753.92899999999997</v>
      </c>
      <c r="S2847" s="24">
        <v>582.10400000000004</v>
      </c>
      <c r="T2847" s="24">
        <v>480.173</v>
      </c>
      <c r="U2847" s="24">
        <v>419.947</v>
      </c>
      <c r="V2847" s="24">
        <v>397.077</v>
      </c>
      <c r="W2847" s="24">
        <v>319.30900000000003</v>
      </c>
      <c r="X2847" s="24">
        <v>203.315</v>
      </c>
      <c r="Y2847" s="24">
        <v>122.339</v>
      </c>
      <c r="Z2847" s="24">
        <v>49.338000000000001</v>
      </c>
      <c r="AA2847" s="24">
        <v>12.868</v>
      </c>
      <c r="AB2847" s="24">
        <v>1.972</v>
      </c>
      <c r="AC2847" s="24">
        <v>0.192</v>
      </c>
    </row>
    <row r="2848" spans="1:29" ht="11.65" x14ac:dyDescent="0.35">
      <c r="A2848" s="28">
        <v>2831</v>
      </c>
      <c r="B2848" s="26" t="s">
        <v>1015</v>
      </c>
      <c r="C2848" s="27" t="s">
        <v>1212</v>
      </c>
      <c r="D2848" s="25"/>
      <c r="E2848" s="25">
        <v>927</v>
      </c>
      <c r="F2848" s="26" t="s">
        <v>1063</v>
      </c>
      <c r="G2848" s="25">
        <v>1828</v>
      </c>
      <c r="H2848" s="25">
        <v>2000</v>
      </c>
      <c r="I2848" s="24">
        <v>807.02599999999995</v>
      </c>
      <c r="J2848" s="24">
        <v>859.90200000000004</v>
      </c>
      <c r="K2848" s="24">
        <v>836.67</v>
      </c>
      <c r="L2848" s="24">
        <v>809.23800000000006</v>
      </c>
      <c r="M2848" s="24">
        <v>761.06799999999998</v>
      </c>
      <c r="N2848" s="24">
        <v>851.798</v>
      </c>
      <c r="O2848" s="24">
        <v>839.97400000000005</v>
      </c>
      <c r="P2848" s="24">
        <v>918.10199999999998</v>
      </c>
      <c r="Q2848" s="24">
        <v>859.64200000000005</v>
      </c>
      <c r="R2848" s="24">
        <v>790.41700000000003</v>
      </c>
      <c r="S2848" s="24">
        <v>761.12599999999998</v>
      </c>
      <c r="T2848" s="24">
        <v>570.10199999999998</v>
      </c>
      <c r="U2848" s="24">
        <v>470.24900000000002</v>
      </c>
      <c r="V2848" s="24">
        <v>394.68900000000002</v>
      </c>
      <c r="W2848" s="24">
        <v>357.31599999999997</v>
      </c>
      <c r="X2848" s="24">
        <v>261.43200000000002</v>
      </c>
      <c r="Y2848" s="24">
        <v>132.14400000000001</v>
      </c>
      <c r="Z2848" s="24">
        <v>65.528000000000006</v>
      </c>
      <c r="AA2848" s="24">
        <v>18.106999999999999</v>
      </c>
      <c r="AB2848" s="24">
        <v>2.7679999999999998</v>
      </c>
      <c r="AC2848" s="24">
        <v>0.22900000000000001</v>
      </c>
    </row>
    <row r="2849" spans="1:29" ht="11.65" x14ac:dyDescent="0.35">
      <c r="A2849" s="28">
        <v>2832</v>
      </c>
      <c r="B2849" s="26" t="s">
        <v>1015</v>
      </c>
      <c r="C2849" s="27" t="s">
        <v>1212</v>
      </c>
      <c r="D2849" s="25"/>
      <c r="E2849" s="25">
        <v>927</v>
      </c>
      <c r="F2849" s="26" t="s">
        <v>1063</v>
      </c>
      <c r="G2849" s="25">
        <v>1828</v>
      </c>
      <c r="H2849" s="25">
        <v>2005</v>
      </c>
      <c r="I2849" s="24">
        <v>796.649</v>
      </c>
      <c r="J2849" s="24">
        <v>835.93</v>
      </c>
      <c r="K2849" s="24">
        <v>890.904</v>
      </c>
      <c r="L2849" s="24">
        <v>871.34400000000005</v>
      </c>
      <c r="M2849" s="24">
        <v>865.83900000000006</v>
      </c>
      <c r="N2849" s="24">
        <v>788.86699999999996</v>
      </c>
      <c r="O2849" s="24">
        <v>891.8</v>
      </c>
      <c r="P2849" s="24">
        <v>872.851</v>
      </c>
      <c r="Q2849" s="24">
        <v>937.45699999999999</v>
      </c>
      <c r="R2849" s="24">
        <v>870.86800000000005</v>
      </c>
      <c r="S2849" s="24">
        <v>782.02099999999996</v>
      </c>
      <c r="T2849" s="24">
        <v>746.29300000000001</v>
      </c>
      <c r="U2849" s="24">
        <v>550.48699999999997</v>
      </c>
      <c r="V2849" s="24">
        <v>443.37099999999998</v>
      </c>
      <c r="W2849" s="24">
        <v>355.93900000000002</v>
      </c>
      <c r="X2849" s="24">
        <v>297.62299999999999</v>
      </c>
      <c r="Y2849" s="24">
        <v>192.09299999999999</v>
      </c>
      <c r="Z2849" s="24">
        <v>75.611999999999995</v>
      </c>
      <c r="AA2849" s="24">
        <v>25.486000000000001</v>
      </c>
      <c r="AB2849" s="24">
        <v>4.0709999999999997</v>
      </c>
      <c r="AC2849" s="24">
        <v>0.312</v>
      </c>
    </row>
    <row r="2850" spans="1:29" ht="11.65" x14ac:dyDescent="0.35">
      <c r="A2850" s="28">
        <v>2833</v>
      </c>
      <c r="B2850" s="26" t="s">
        <v>1015</v>
      </c>
      <c r="C2850" s="27" t="s">
        <v>1212</v>
      </c>
      <c r="D2850" s="25"/>
      <c r="E2850" s="25">
        <v>927</v>
      </c>
      <c r="F2850" s="26" t="s">
        <v>1063</v>
      </c>
      <c r="G2850" s="25">
        <v>1828</v>
      </c>
      <c r="H2850" s="25">
        <v>2010</v>
      </c>
      <c r="I2850" s="24">
        <v>910.80399999999997</v>
      </c>
      <c r="J2850" s="24">
        <v>843.47299999999996</v>
      </c>
      <c r="K2850" s="24">
        <v>873.94500000000005</v>
      </c>
      <c r="L2850" s="24">
        <v>940.06600000000003</v>
      </c>
      <c r="M2850" s="24">
        <v>1013.09</v>
      </c>
      <c r="N2850" s="24">
        <v>984.51199999999994</v>
      </c>
      <c r="O2850" s="24">
        <v>869.17700000000002</v>
      </c>
      <c r="P2850" s="24">
        <v>951.05600000000004</v>
      </c>
      <c r="Q2850" s="24">
        <v>908.96500000000003</v>
      </c>
      <c r="R2850" s="24">
        <v>944.23400000000004</v>
      </c>
      <c r="S2850" s="24">
        <v>868.98299999999995</v>
      </c>
      <c r="T2850" s="24">
        <v>770.28599999999994</v>
      </c>
      <c r="U2850" s="24">
        <v>723.96</v>
      </c>
      <c r="V2850" s="24">
        <v>528.25</v>
      </c>
      <c r="W2850" s="24">
        <v>410.13799999999998</v>
      </c>
      <c r="X2850" s="24">
        <v>303.33100000000002</v>
      </c>
      <c r="Y2850" s="24">
        <v>225.34100000000001</v>
      </c>
      <c r="Z2850" s="24">
        <v>116.7</v>
      </c>
      <c r="AA2850" s="24">
        <v>32.064</v>
      </c>
      <c r="AB2850" s="24">
        <v>6.2590000000000003</v>
      </c>
      <c r="AC2850" s="24">
        <v>0.501</v>
      </c>
    </row>
    <row r="2851" spans="1:29" ht="11.65" x14ac:dyDescent="0.35">
      <c r="A2851" s="28">
        <v>2834</v>
      </c>
      <c r="B2851" s="26" t="s">
        <v>1015</v>
      </c>
      <c r="C2851" s="27" t="s">
        <v>1212</v>
      </c>
      <c r="D2851" s="25"/>
      <c r="E2851" s="25">
        <v>927</v>
      </c>
      <c r="F2851" s="26" t="s">
        <v>1063</v>
      </c>
      <c r="G2851" s="25">
        <v>1828</v>
      </c>
      <c r="H2851" s="25">
        <v>2015</v>
      </c>
      <c r="I2851" s="24">
        <v>961.56399999999996</v>
      </c>
      <c r="J2851" s="24">
        <v>949.16899999999998</v>
      </c>
      <c r="K2851" s="24">
        <v>885.02599999999995</v>
      </c>
      <c r="L2851" s="24">
        <v>928.61800000000005</v>
      </c>
      <c r="M2851" s="24">
        <v>1042.104</v>
      </c>
      <c r="N2851" s="24">
        <v>1059.615</v>
      </c>
      <c r="O2851" s="24">
        <v>1029.9960000000001</v>
      </c>
      <c r="P2851" s="24">
        <v>923.50199999999995</v>
      </c>
      <c r="Q2851" s="24">
        <v>974.63900000000001</v>
      </c>
      <c r="R2851" s="24">
        <v>924.38900000000001</v>
      </c>
      <c r="S2851" s="24">
        <v>935.18600000000004</v>
      </c>
      <c r="T2851" s="24">
        <v>852.21100000000001</v>
      </c>
      <c r="U2851" s="24">
        <v>749.96500000000003</v>
      </c>
      <c r="V2851" s="24">
        <v>678.59199999999998</v>
      </c>
      <c r="W2851" s="24">
        <v>493.827</v>
      </c>
      <c r="X2851" s="24">
        <v>357.42599999999999</v>
      </c>
      <c r="Y2851" s="24">
        <v>244.21799999999999</v>
      </c>
      <c r="Z2851" s="24">
        <v>142.929</v>
      </c>
      <c r="AA2851" s="24">
        <v>52.137999999999998</v>
      </c>
      <c r="AB2851" s="24">
        <v>8.3989999999999991</v>
      </c>
      <c r="AC2851" s="24">
        <v>0.80300000000000005</v>
      </c>
    </row>
    <row r="2852" spans="1:29" ht="11.65" x14ac:dyDescent="0.35">
      <c r="A2852" s="28">
        <v>2835</v>
      </c>
      <c r="B2852" s="26" t="s">
        <v>1015</v>
      </c>
      <c r="C2852" s="27" t="s">
        <v>1212</v>
      </c>
      <c r="D2852" s="25"/>
      <c r="E2852" s="25">
        <v>927</v>
      </c>
      <c r="F2852" s="26" t="s">
        <v>1063</v>
      </c>
      <c r="G2852" s="25">
        <v>1828</v>
      </c>
      <c r="H2852" s="25">
        <v>2020</v>
      </c>
      <c r="I2852" s="24">
        <v>1012.191</v>
      </c>
      <c r="J2852" s="24">
        <v>1002.076</v>
      </c>
      <c r="K2852" s="24">
        <v>991.18299999999999</v>
      </c>
      <c r="L2852" s="24">
        <v>931.95399999999995</v>
      </c>
      <c r="M2852" s="24">
        <v>977.57899999999995</v>
      </c>
      <c r="N2852" s="24">
        <v>1088.08</v>
      </c>
      <c r="O2852" s="24">
        <v>1101.05</v>
      </c>
      <c r="P2852" s="24">
        <v>1062.9480000000001</v>
      </c>
      <c r="Q2852" s="24">
        <v>943.56299999999999</v>
      </c>
      <c r="R2852" s="24">
        <v>980.23900000000003</v>
      </c>
      <c r="S2852" s="24">
        <v>917.72799999999995</v>
      </c>
      <c r="T2852" s="24">
        <v>920.327</v>
      </c>
      <c r="U2852" s="24">
        <v>829.5</v>
      </c>
      <c r="V2852" s="24">
        <v>717.86199999999997</v>
      </c>
      <c r="W2852" s="24">
        <v>630.70799999999997</v>
      </c>
      <c r="X2852" s="24">
        <v>435.733</v>
      </c>
      <c r="Y2852" s="24">
        <v>284.68900000000002</v>
      </c>
      <c r="Z2852" s="24">
        <v>159.785</v>
      </c>
      <c r="AA2852" s="24">
        <v>66.274000000000001</v>
      </c>
      <c r="AB2852" s="24">
        <v>14.234999999999999</v>
      </c>
      <c r="AC2852" s="24">
        <v>1.0840000000000001</v>
      </c>
    </row>
    <row r="2853" spans="1:29" ht="11.65" x14ac:dyDescent="0.35">
      <c r="A2853" s="12">
        <v>2836</v>
      </c>
      <c r="B2853" s="10" t="s">
        <v>1015</v>
      </c>
      <c r="C2853" s="30" t="s">
        <v>1213</v>
      </c>
      <c r="D2853" s="9">
        <v>15</v>
      </c>
      <c r="E2853" s="9">
        <v>36</v>
      </c>
      <c r="F2853" s="10" t="s">
        <v>1066</v>
      </c>
      <c r="G2853" s="9">
        <v>927</v>
      </c>
      <c r="H2853" s="9">
        <v>1950</v>
      </c>
      <c r="I2853" s="8">
        <v>454.774</v>
      </c>
      <c r="J2853" s="8">
        <v>358.22</v>
      </c>
      <c r="K2853" s="8">
        <v>296.79700000000003</v>
      </c>
      <c r="L2853" s="8">
        <v>281.89299999999997</v>
      </c>
      <c r="M2853" s="8">
        <v>327.221</v>
      </c>
      <c r="N2853" s="8">
        <v>343.76900000000001</v>
      </c>
      <c r="O2853" s="8">
        <v>309.45499999999998</v>
      </c>
      <c r="P2853" s="8">
        <v>315.55200000000002</v>
      </c>
      <c r="Q2853" s="8">
        <v>286.39600000000002</v>
      </c>
      <c r="R2853" s="8">
        <v>251.131</v>
      </c>
      <c r="S2853" s="8">
        <v>217.77699999999999</v>
      </c>
      <c r="T2853" s="8">
        <v>198.17099999999999</v>
      </c>
      <c r="U2853" s="8">
        <v>174.44200000000001</v>
      </c>
      <c r="V2853" s="8">
        <v>127.239</v>
      </c>
      <c r="W2853" s="8">
        <v>84.188000000000002</v>
      </c>
      <c r="X2853" s="8">
        <v>51.276000000000003</v>
      </c>
      <c r="Y2853" s="8">
        <v>27.381</v>
      </c>
      <c r="Z2853" s="8">
        <v>10.82</v>
      </c>
      <c r="AA2853" s="8">
        <v>3.234</v>
      </c>
      <c r="AB2853" s="8">
        <v>0.64800000000000002</v>
      </c>
      <c r="AC2853" s="8">
        <v>8.1000000000000003E-2</v>
      </c>
    </row>
    <row r="2854" spans="1:29" ht="11.65" x14ac:dyDescent="0.35">
      <c r="A2854" s="12">
        <v>2837</v>
      </c>
      <c r="B2854" s="10" t="s">
        <v>1015</v>
      </c>
      <c r="C2854" s="30" t="s">
        <v>1213</v>
      </c>
      <c r="D2854" s="9">
        <v>15</v>
      </c>
      <c r="E2854" s="9">
        <v>36</v>
      </c>
      <c r="F2854" s="10" t="s">
        <v>1066</v>
      </c>
      <c r="G2854" s="9">
        <v>927</v>
      </c>
      <c r="H2854" s="9">
        <v>1955</v>
      </c>
      <c r="I2854" s="8">
        <v>504.92899999999997</v>
      </c>
      <c r="J2854" s="8">
        <v>478.358</v>
      </c>
      <c r="K2854" s="8">
        <v>375.08800000000002</v>
      </c>
      <c r="L2854" s="8">
        <v>312.197</v>
      </c>
      <c r="M2854" s="8">
        <v>307.21600000000001</v>
      </c>
      <c r="N2854" s="8">
        <v>363.56200000000001</v>
      </c>
      <c r="O2854" s="8">
        <v>372.09199999999998</v>
      </c>
      <c r="P2854" s="8">
        <v>326.52499999999998</v>
      </c>
      <c r="Q2854" s="8">
        <v>329.48099999999999</v>
      </c>
      <c r="R2854" s="8">
        <v>291.08600000000001</v>
      </c>
      <c r="S2854" s="8">
        <v>245.399</v>
      </c>
      <c r="T2854" s="8">
        <v>205.328</v>
      </c>
      <c r="U2854" s="8">
        <v>178.197</v>
      </c>
      <c r="V2854" s="8">
        <v>147.04599999999999</v>
      </c>
      <c r="W2854" s="8">
        <v>98.415999999999997</v>
      </c>
      <c r="X2854" s="8">
        <v>56.515999999999998</v>
      </c>
      <c r="Y2854" s="8">
        <v>29.411999999999999</v>
      </c>
      <c r="Z2854" s="8">
        <v>10.968</v>
      </c>
      <c r="AA2854" s="8">
        <v>2.8639999999999999</v>
      </c>
      <c r="AB2854" s="8">
        <v>0.49099999999999999</v>
      </c>
      <c r="AC2854" s="8">
        <v>5.5E-2</v>
      </c>
    </row>
    <row r="2855" spans="1:29" ht="11.65" x14ac:dyDescent="0.35">
      <c r="A2855" s="12">
        <v>2838</v>
      </c>
      <c r="B2855" s="10" t="s">
        <v>1015</v>
      </c>
      <c r="C2855" s="30" t="s">
        <v>1213</v>
      </c>
      <c r="D2855" s="9">
        <v>15</v>
      </c>
      <c r="E2855" s="9">
        <v>36</v>
      </c>
      <c r="F2855" s="10" t="s">
        <v>1066</v>
      </c>
      <c r="G2855" s="9">
        <v>927</v>
      </c>
      <c r="H2855" s="9">
        <v>1960</v>
      </c>
      <c r="I2855" s="8">
        <v>557.72199999999998</v>
      </c>
      <c r="J2855" s="8">
        <v>524.89300000000003</v>
      </c>
      <c r="K2855" s="8">
        <v>499.57900000000001</v>
      </c>
      <c r="L2855" s="8">
        <v>391.87099999999998</v>
      </c>
      <c r="M2855" s="8">
        <v>344.10500000000002</v>
      </c>
      <c r="N2855" s="8">
        <v>339.69400000000002</v>
      </c>
      <c r="O2855" s="8">
        <v>384.83</v>
      </c>
      <c r="P2855" s="8">
        <v>385.22</v>
      </c>
      <c r="Q2855" s="8">
        <v>332.47300000000001</v>
      </c>
      <c r="R2855" s="8">
        <v>329.72699999999998</v>
      </c>
      <c r="S2855" s="8">
        <v>283.613</v>
      </c>
      <c r="T2855" s="8">
        <v>231.49700000000001</v>
      </c>
      <c r="U2855" s="8">
        <v>185.30600000000001</v>
      </c>
      <c r="V2855" s="8">
        <v>149.82300000000001</v>
      </c>
      <c r="W2855" s="8">
        <v>115.089</v>
      </c>
      <c r="X2855" s="8">
        <v>66.421999999999997</v>
      </c>
      <c r="Y2855" s="8">
        <v>33.494999999999997</v>
      </c>
      <c r="Z2855" s="8">
        <v>12.084</v>
      </c>
      <c r="AA2855" s="8">
        <v>2.964</v>
      </c>
      <c r="AB2855" s="8">
        <v>0.438</v>
      </c>
      <c r="AC2855" s="8">
        <v>4.1000000000000002E-2</v>
      </c>
    </row>
    <row r="2856" spans="1:29" ht="11.65" x14ac:dyDescent="0.35">
      <c r="A2856" s="12">
        <v>2839</v>
      </c>
      <c r="B2856" s="10" t="s">
        <v>1015</v>
      </c>
      <c r="C2856" s="30" t="s">
        <v>1213</v>
      </c>
      <c r="D2856" s="9">
        <v>15</v>
      </c>
      <c r="E2856" s="9">
        <v>36</v>
      </c>
      <c r="F2856" s="10" t="s">
        <v>1066</v>
      </c>
      <c r="G2856" s="9">
        <v>927</v>
      </c>
      <c r="H2856" s="9">
        <v>1965</v>
      </c>
      <c r="I2856" s="8">
        <v>594.149</v>
      </c>
      <c r="J2856" s="8">
        <v>578.61400000000003</v>
      </c>
      <c r="K2856" s="8">
        <v>543.346</v>
      </c>
      <c r="L2856" s="8">
        <v>517.52800000000002</v>
      </c>
      <c r="M2856" s="8">
        <v>418.05799999999999</v>
      </c>
      <c r="N2856" s="8">
        <v>370.36599999999999</v>
      </c>
      <c r="O2856" s="8">
        <v>355.97500000000002</v>
      </c>
      <c r="P2856" s="8">
        <v>394.12799999999999</v>
      </c>
      <c r="Q2856" s="8">
        <v>388.69200000000001</v>
      </c>
      <c r="R2856" s="8">
        <v>329.84500000000003</v>
      </c>
      <c r="S2856" s="8">
        <v>318.96899999999999</v>
      </c>
      <c r="T2856" s="8">
        <v>267.851</v>
      </c>
      <c r="U2856" s="8">
        <v>209.08600000000001</v>
      </c>
      <c r="V2856" s="8">
        <v>157.38200000000001</v>
      </c>
      <c r="W2856" s="8">
        <v>115.783</v>
      </c>
      <c r="X2856" s="8">
        <v>77.802999999999997</v>
      </c>
      <c r="Y2856" s="8">
        <v>39.048999999999999</v>
      </c>
      <c r="Z2856" s="8">
        <v>13.864000000000001</v>
      </c>
      <c r="AA2856" s="8">
        <v>3.323</v>
      </c>
      <c r="AB2856" s="8">
        <v>0.46500000000000002</v>
      </c>
      <c r="AC2856" s="8">
        <v>3.6999999999999998E-2</v>
      </c>
    </row>
    <row r="2857" spans="1:29" ht="11.65" x14ac:dyDescent="0.35">
      <c r="A2857" s="12">
        <v>2840</v>
      </c>
      <c r="B2857" s="10" t="s">
        <v>1015</v>
      </c>
      <c r="C2857" s="30" t="s">
        <v>1213</v>
      </c>
      <c r="D2857" s="9">
        <v>15</v>
      </c>
      <c r="E2857" s="9">
        <v>36</v>
      </c>
      <c r="F2857" s="10" t="s">
        <v>1066</v>
      </c>
      <c r="G2857" s="9">
        <v>927</v>
      </c>
      <c r="H2857" s="9">
        <v>1970</v>
      </c>
      <c r="I2857" s="8">
        <v>633.19100000000003</v>
      </c>
      <c r="J2857" s="8">
        <v>642.37800000000004</v>
      </c>
      <c r="K2857" s="8">
        <v>633.61500000000001</v>
      </c>
      <c r="L2857" s="8">
        <v>564.04499999999996</v>
      </c>
      <c r="M2857" s="8">
        <v>577.80600000000004</v>
      </c>
      <c r="N2857" s="8">
        <v>467.74799999999999</v>
      </c>
      <c r="O2857" s="8">
        <v>405.72300000000001</v>
      </c>
      <c r="P2857" s="8">
        <v>375.65800000000002</v>
      </c>
      <c r="Q2857" s="8">
        <v>416.20499999999998</v>
      </c>
      <c r="R2857" s="8">
        <v>399.94099999999997</v>
      </c>
      <c r="S2857" s="8">
        <v>325.21100000000001</v>
      </c>
      <c r="T2857" s="8">
        <v>302.77499999999998</v>
      </c>
      <c r="U2857" s="8">
        <v>240.68600000000001</v>
      </c>
      <c r="V2857" s="8">
        <v>182.285</v>
      </c>
      <c r="W2857" s="8">
        <v>121.56100000000001</v>
      </c>
      <c r="X2857" s="8">
        <v>76.304000000000002</v>
      </c>
      <c r="Y2857" s="8">
        <v>42.606000000000002</v>
      </c>
      <c r="Z2857" s="8">
        <v>16.026</v>
      </c>
      <c r="AA2857" s="8">
        <v>3.8439999999999999</v>
      </c>
      <c r="AB2857" s="8">
        <v>0.54700000000000004</v>
      </c>
      <c r="AC2857" s="8">
        <v>4.2000000000000003E-2</v>
      </c>
    </row>
    <row r="2858" spans="1:29" ht="11.65" x14ac:dyDescent="0.35">
      <c r="A2858" s="12">
        <v>2841</v>
      </c>
      <c r="B2858" s="10" t="s">
        <v>1015</v>
      </c>
      <c r="C2858" s="30" t="s">
        <v>1213</v>
      </c>
      <c r="D2858" s="9">
        <v>15</v>
      </c>
      <c r="E2858" s="9">
        <v>36</v>
      </c>
      <c r="F2858" s="10" t="s">
        <v>1066</v>
      </c>
      <c r="G2858" s="9">
        <v>927</v>
      </c>
      <c r="H2858" s="9">
        <v>1975</v>
      </c>
      <c r="I2858" s="8">
        <v>646.96299999999997</v>
      </c>
      <c r="J2858" s="8">
        <v>637.23800000000006</v>
      </c>
      <c r="K2858" s="8">
        <v>659.58399999999995</v>
      </c>
      <c r="L2858" s="8">
        <v>627.75300000000004</v>
      </c>
      <c r="M2858" s="8">
        <v>586.60599999999999</v>
      </c>
      <c r="N2858" s="8">
        <v>587.23299999999995</v>
      </c>
      <c r="O2858" s="8">
        <v>477.57499999999999</v>
      </c>
      <c r="P2858" s="8">
        <v>416.83100000000002</v>
      </c>
      <c r="Q2858" s="8">
        <v>384.06099999999998</v>
      </c>
      <c r="R2858" s="8">
        <v>406.94</v>
      </c>
      <c r="S2858" s="8">
        <v>381.42</v>
      </c>
      <c r="T2858" s="8">
        <v>308.529</v>
      </c>
      <c r="U2858" s="8">
        <v>275.53399999999999</v>
      </c>
      <c r="V2858" s="8">
        <v>210.04900000000001</v>
      </c>
      <c r="W2858" s="8">
        <v>144.06200000000001</v>
      </c>
      <c r="X2858" s="8">
        <v>83.069000000000003</v>
      </c>
      <c r="Y2858" s="8">
        <v>45.408000000000001</v>
      </c>
      <c r="Z2858" s="8">
        <v>17.837</v>
      </c>
      <c r="AA2858" s="8">
        <v>4.4980000000000002</v>
      </c>
      <c r="AB2858" s="8">
        <v>0.65</v>
      </c>
      <c r="AC2858" s="8">
        <v>5.1999999999999998E-2</v>
      </c>
    </row>
    <row r="2859" spans="1:29" ht="11.65" x14ac:dyDescent="0.35">
      <c r="A2859" s="12">
        <v>2842</v>
      </c>
      <c r="B2859" s="10" t="s">
        <v>1015</v>
      </c>
      <c r="C2859" s="30" t="s">
        <v>1213</v>
      </c>
      <c r="D2859" s="9">
        <v>15</v>
      </c>
      <c r="E2859" s="9">
        <v>36</v>
      </c>
      <c r="F2859" s="10" t="s">
        <v>1066</v>
      </c>
      <c r="G2859" s="9">
        <v>927</v>
      </c>
      <c r="H2859" s="9">
        <v>1980</v>
      </c>
      <c r="I2859" s="8">
        <v>578.24300000000005</v>
      </c>
      <c r="J2859" s="8">
        <v>659.86500000000001</v>
      </c>
      <c r="K2859" s="8">
        <v>649.15</v>
      </c>
      <c r="L2859" s="8">
        <v>663.82299999999998</v>
      </c>
      <c r="M2859" s="8">
        <v>641.99099999999999</v>
      </c>
      <c r="N2859" s="8">
        <v>608.78899999999999</v>
      </c>
      <c r="O2859" s="8">
        <v>598.36099999999999</v>
      </c>
      <c r="P2859" s="8">
        <v>476.18700000000001</v>
      </c>
      <c r="Q2859" s="8">
        <v>408.358</v>
      </c>
      <c r="R2859" s="8">
        <v>375.49</v>
      </c>
      <c r="S2859" s="8">
        <v>389.86700000000002</v>
      </c>
      <c r="T2859" s="8">
        <v>359.2</v>
      </c>
      <c r="U2859" s="8">
        <v>281.38200000000001</v>
      </c>
      <c r="V2859" s="8">
        <v>242.99600000000001</v>
      </c>
      <c r="W2859" s="8">
        <v>168.57</v>
      </c>
      <c r="X2859" s="8">
        <v>101.03400000000001</v>
      </c>
      <c r="Y2859" s="8">
        <v>48.591000000000001</v>
      </c>
      <c r="Z2859" s="8">
        <v>20.466999999999999</v>
      </c>
      <c r="AA2859" s="8">
        <v>5.6559999999999997</v>
      </c>
      <c r="AB2859" s="8">
        <v>0.876</v>
      </c>
      <c r="AC2859" s="8">
        <v>7.3999999999999996E-2</v>
      </c>
    </row>
    <row r="2860" spans="1:29" ht="11.65" x14ac:dyDescent="0.35">
      <c r="A2860" s="12">
        <v>2843</v>
      </c>
      <c r="B2860" s="10" t="s">
        <v>1015</v>
      </c>
      <c r="C2860" s="30" t="s">
        <v>1213</v>
      </c>
      <c r="D2860" s="9">
        <v>15</v>
      </c>
      <c r="E2860" s="9">
        <v>36</v>
      </c>
      <c r="F2860" s="10" t="s">
        <v>1066</v>
      </c>
      <c r="G2860" s="9">
        <v>927</v>
      </c>
      <c r="H2860" s="9">
        <v>1985</v>
      </c>
      <c r="I2860" s="8">
        <v>610.79899999999998</v>
      </c>
      <c r="J2860" s="8">
        <v>601.49199999999996</v>
      </c>
      <c r="K2860" s="8">
        <v>683.08699999999999</v>
      </c>
      <c r="L2860" s="8">
        <v>665.61699999999996</v>
      </c>
      <c r="M2860" s="8">
        <v>682.72500000000002</v>
      </c>
      <c r="N2860" s="8">
        <v>664.37199999999996</v>
      </c>
      <c r="O2860" s="8">
        <v>626.63599999999997</v>
      </c>
      <c r="P2860" s="8">
        <v>620.447</v>
      </c>
      <c r="Q2860" s="8">
        <v>487.99400000000003</v>
      </c>
      <c r="R2860" s="8">
        <v>412.92399999999998</v>
      </c>
      <c r="S2860" s="8">
        <v>371.75299999999999</v>
      </c>
      <c r="T2860" s="8">
        <v>378.08199999999999</v>
      </c>
      <c r="U2860" s="8">
        <v>338.50599999999997</v>
      </c>
      <c r="V2860" s="8">
        <v>253.56800000000001</v>
      </c>
      <c r="W2860" s="8">
        <v>202.58099999999999</v>
      </c>
      <c r="X2860" s="8">
        <v>124.56399999999999</v>
      </c>
      <c r="Y2860" s="8">
        <v>61.62</v>
      </c>
      <c r="Z2860" s="8">
        <v>22.837</v>
      </c>
      <c r="AA2860" s="8">
        <v>6.6870000000000003</v>
      </c>
      <c r="AB2860" s="8">
        <v>1.1259999999999999</v>
      </c>
      <c r="AC2860" s="8">
        <v>0.10100000000000001</v>
      </c>
    </row>
    <row r="2861" spans="1:29" ht="11.65" x14ac:dyDescent="0.35">
      <c r="A2861" s="12">
        <v>2844</v>
      </c>
      <c r="B2861" s="10" t="s">
        <v>1015</v>
      </c>
      <c r="C2861" s="30" t="s">
        <v>1213</v>
      </c>
      <c r="D2861" s="9">
        <v>15</v>
      </c>
      <c r="E2861" s="9">
        <v>36</v>
      </c>
      <c r="F2861" s="10" t="s">
        <v>1066</v>
      </c>
      <c r="G2861" s="9">
        <v>927</v>
      </c>
      <c r="H2861" s="9">
        <v>1990</v>
      </c>
      <c r="I2861" s="8">
        <v>643.846</v>
      </c>
      <c r="J2861" s="8">
        <v>644.59900000000005</v>
      </c>
      <c r="K2861" s="8">
        <v>633.94500000000005</v>
      </c>
      <c r="L2861" s="8">
        <v>709.95</v>
      </c>
      <c r="M2861" s="8">
        <v>686.99400000000003</v>
      </c>
      <c r="N2861" s="8">
        <v>711.97900000000004</v>
      </c>
      <c r="O2861" s="8">
        <v>697.18200000000002</v>
      </c>
      <c r="P2861" s="8">
        <v>654.95799999999997</v>
      </c>
      <c r="Q2861" s="8">
        <v>636.74800000000005</v>
      </c>
      <c r="R2861" s="8">
        <v>495.61399999999998</v>
      </c>
      <c r="S2861" s="8">
        <v>414.05799999999999</v>
      </c>
      <c r="T2861" s="8">
        <v>363.92</v>
      </c>
      <c r="U2861" s="8">
        <v>361.71899999999999</v>
      </c>
      <c r="V2861" s="8">
        <v>309.28899999999999</v>
      </c>
      <c r="W2861" s="8">
        <v>218.00800000000001</v>
      </c>
      <c r="X2861" s="8">
        <v>153.55099999999999</v>
      </c>
      <c r="Y2861" s="8">
        <v>79.959999999999994</v>
      </c>
      <c r="Z2861" s="8">
        <v>29.783000000000001</v>
      </c>
      <c r="AA2861" s="8">
        <v>7.5220000000000002</v>
      </c>
      <c r="AB2861" s="8">
        <v>1.3320000000000001</v>
      </c>
      <c r="AC2861" s="8">
        <v>0.126</v>
      </c>
    </row>
    <row r="2862" spans="1:29" ht="11.65" x14ac:dyDescent="0.35">
      <c r="A2862" s="12">
        <v>2845</v>
      </c>
      <c r="B2862" s="10" t="s">
        <v>1015</v>
      </c>
      <c r="C2862" s="30" t="s">
        <v>1213</v>
      </c>
      <c r="D2862" s="9">
        <v>15</v>
      </c>
      <c r="E2862" s="9">
        <v>36</v>
      </c>
      <c r="F2862" s="10" t="s">
        <v>1066</v>
      </c>
      <c r="G2862" s="9">
        <v>927</v>
      </c>
      <c r="H2862" s="9">
        <v>1995</v>
      </c>
      <c r="I2862" s="8">
        <v>665.91600000000005</v>
      </c>
      <c r="J2862" s="8">
        <v>661.68600000000004</v>
      </c>
      <c r="K2862" s="8">
        <v>662.43100000000004</v>
      </c>
      <c r="L2862" s="8">
        <v>651.25800000000004</v>
      </c>
      <c r="M2862" s="8">
        <v>718.53099999999995</v>
      </c>
      <c r="N2862" s="8">
        <v>690.72199999999998</v>
      </c>
      <c r="O2862" s="8">
        <v>728.19299999999998</v>
      </c>
      <c r="P2862" s="8">
        <v>709.75199999999995</v>
      </c>
      <c r="Q2862" s="8">
        <v>665.10500000000002</v>
      </c>
      <c r="R2862" s="8">
        <v>633.27499999999998</v>
      </c>
      <c r="S2862" s="8">
        <v>488.16300000000001</v>
      </c>
      <c r="T2862" s="8">
        <v>401.32</v>
      </c>
      <c r="U2862" s="8">
        <v>350.61700000000002</v>
      </c>
      <c r="V2862" s="8">
        <v>331.20400000000001</v>
      </c>
      <c r="W2862" s="8">
        <v>266.80200000000002</v>
      </c>
      <c r="X2862" s="8">
        <v>170.35900000000001</v>
      </c>
      <c r="Y2862" s="8">
        <v>102.17</v>
      </c>
      <c r="Z2862" s="8">
        <v>41.145000000000003</v>
      </c>
      <c r="AA2862" s="8">
        <v>10.606999999999999</v>
      </c>
      <c r="AB2862" s="8">
        <v>1.621</v>
      </c>
      <c r="AC2862" s="8">
        <v>0.159</v>
      </c>
    </row>
    <row r="2863" spans="1:29" ht="11.65" x14ac:dyDescent="0.35">
      <c r="A2863" s="12">
        <v>2846</v>
      </c>
      <c r="B2863" s="10" t="s">
        <v>1015</v>
      </c>
      <c r="C2863" s="30" t="s">
        <v>1213</v>
      </c>
      <c r="D2863" s="9">
        <v>15</v>
      </c>
      <c r="E2863" s="9">
        <v>36</v>
      </c>
      <c r="F2863" s="10" t="s">
        <v>1066</v>
      </c>
      <c r="G2863" s="9">
        <v>927</v>
      </c>
      <c r="H2863" s="9">
        <v>2000</v>
      </c>
      <c r="I2863" s="8">
        <v>661.47500000000002</v>
      </c>
      <c r="J2863" s="8">
        <v>704.48699999999997</v>
      </c>
      <c r="K2863" s="8">
        <v>687.59900000000005</v>
      </c>
      <c r="L2863" s="8">
        <v>668.28800000000001</v>
      </c>
      <c r="M2863" s="8">
        <v>634.62300000000005</v>
      </c>
      <c r="N2863" s="8">
        <v>722.03200000000004</v>
      </c>
      <c r="O2863" s="8">
        <v>699.37900000000002</v>
      </c>
      <c r="P2863" s="8">
        <v>768.52200000000005</v>
      </c>
      <c r="Q2863" s="8">
        <v>716.529</v>
      </c>
      <c r="R2863" s="8">
        <v>662.76300000000003</v>
      </c>
      <c r="S2863" s="8">
        <v>642.39499999999998</v>
      </c>
      <c r="T2863" s="8">
        <v>477.56400000000002</v>
      </c>
      <c r="U2863" s="8">
        <v>394.86700000000002</v>
      </c>
      <c r="V2863" s="8">
        <v>330.39600000000002</v>
      </c>
      <c r="W2863" s="8">
        <v>299.82799999999997</v>
      </c>
      <c r="X2863" s="8">
        <v>220.72</v>
      </c>
      <c r="Y2863" s="8">
        <v>109.408</v>
      </c>
      <c r="Z2863" s="8">
        <v>55.011000000000003</v>
      </c>
      <c r="AA2863" s="8">
        <v>15.178000000000001</v>
      </c>
      <c r="AB2863" s="8">
        <v>2.2919999999999998</v>
      </c>
      <c r="AC2863" s="8">
        <v>0.188</v>
      </c>
    </row>
    <row r="2864" spans="1:29" ht="11.65" x14ac:dyDescent="0.35">
      <c r="A2864" s="12">
        <v>2847</v>
      </c>
      <c r="B2864" s="10" t="s">
        <v>1015</v>
      </c>
      <c r="C2864" s="30" t="s">
        <v>1213</v>
      </c>
      <c r="D2864" s="9">
        <v>15</v>
      </c>
      <c r="E2864" s="9">
        <v>36</v>
      </c>
      <c r="F2864" s="10" t="s">
        <v>1066</v>
      </c>
      <c r="G2864" s="9">
        <v>927</v>
      </c>
      <c r="H2864" s="9">
        <v>2005</v>
      </c>
      <c r="I2864" s="8">
        <v>651.14300000000003</v>
      </c>
      <c r="J2864" s="8">
        <v>686.11</v>
      </c>
      <c r="K2864" s="8">
        <v>729.62800000000004</v>
      </c>
      <c r="L2864" s="8">
        <v>716.27700000000004</v>
      </c>
      <c r="M2864" s="8">
        <v>721.12400000000002</v>
      </c>
      <c r="N2864" s="8">
        <v>664.101</v>
      </c>
      <c r="O2864" s="8">
        <v>752.14</v>
      </c>
      <c r="P2864" s="8">
        <v>725.17600000000004</v>
      </c>
      <c r="Q2864" s="8">
        <v>783.88</v>
      </c>
      <c r="R2864" s="8">
        <v>722.18100000000004</v>
      </c>
      <c r="S2864" s="8">
        <v>657.03700000000003</v>
      </c>
      <c r="T2864" s="8">
        <v>628.28899999999999</v>
      </c>
      <c r="U2864" s="8">
        <v>460.86900000000003</v>
      </c>
      <c r="V2864" s="8">
        <v>371.88299999999998</v>
      </c>
      <c r="W2864" s="8">
        <v>298.125</v>
      </c>
      <c r="X2864" s="8">
        <v>250.495</v>
      </c>
      <c r="Y2864" s="8">
        <v>163.12899999999999</v>
      </c>
      <c r="Z2864" s="8">
        <v>63.097999999999999</v>
      </c>
      <c r="AA2864" s="8">
        <v>21.648</v>
      </c>
      <c r="AB2864" s="8">
        <v>3.4740000000000002</v>
      </c>
      <c r="AC2864" s="8">
        <v>0.26200000000000001</v>
      </c>
    </row>
    <row r="2865" spans="1:29" ht="11.65" x14ac:dyDescent="0.35">
      <c r="A2865" s="12">
        <v>2848</v>
      </c>
      <c r="B2865" s="10" t="s">
        <v>1015</v>
      </c>
      <c r="C2865" s="30" t="s">
        <v>1213</v>
      </c>
      <c r="D2865" s="9">
        <v>15</v>
      </c>
      <c r="E2865" s="9">
        <v>36</v>
      </c>
      <c r="F2865" s="10" t="s">
        <v>1066</v>
      </c>
      <c r="G2865" s="9">
        <v>927</v>
      </c>
      <c r="H2865" s="9">
        <v>2010</v>
      </c>
      <c r="I2865" s="8">
        <v>750.45</v>
      </c>
      <c r="J2865" s="8">
        <v>696.50800000000004</v>
      </c>
      <c r="K2865" s="8">
        <v>721.98699999999997</v>
      </c>
      <c r="L2865" s="8">
        <v>775.19200000000001</v>
      </c>
      <c r="M2865" s="8">
        <v>851.13800000000003</v>
      </c>
      <c r="N2865" s="8">
        <v>841.93399999999997</v>
      </c>
      <c r="O2865" s="8">
        <v>739.95699999999999</v>
      </c>
      <c r="P2865" s="8">
        <v>807.70799999999997</v>
      </c>
      <c r="Q2865" s="8">
        <v>761.46699999999998</v>
      </c>
      <c r="R2865" s="8">
        <v>786.92700000000002</v>
      </c>
      <c r="S2865" s="8">
        <v>727.65099999999995</v>
      </c>
      <c r="T2865" s="8">
        <v>646.10299999999995</v>
      </c>
      <c r="U2865" s="8">
        <v>609.86199999999997</v>
      </c>
      <c r="V2865" s="8">
        <v>443.452</v>
      </c>
      <c r="W2865" s="8">
        <v>342.64</v>
      </c>
      <c r="X2865" s="8">
        <v>254.98599999999999</v>
      </c>
      <c r="Y2865" s="8">
        <v>189.07499999999999</v>
      </c>
      <c r="Z2865" s="8">
        <v>99.555000000000007</v>
      </c>
      <c r="AA2865" s="8">
        <v>27.007000000000001</v>
      </c>
      <c r="AB2865" s="8">
        <v>5.3419999999999996</v>
      </c>
      <c r="AC2865" s="8">
        <v>0.43099999999999999</v>
      </c>
    </row>
    <row r="2866" spans="1:29" ht="11.65" x14ac:dyDescent="0.35">
      <c r="A2866" s="12">
        <v>2849</v>
      </c>
      <c r="B2866" s="10" t="s">
        <v>1015</v>
      </c>
      <c r="C2866" s="30" t="s">
        <v>1213</v>
      </c>
      <c r="D2866" s="9">
        <v>15</v>
      </c>
      <c r="E2866" s="9">
        <v>36</v>
      </c>
      <c r="F2866" s="10" t="s">
        <v>1066</v>
      </c>
      <c r="G2866" s="9">
        <v>927</v>
      </c>
      <c r="H2866" s="9">
        <v>2015</v>
      </c>
      <c r="I2866" s="8">
        <v>803.13900000000001</v>
      </c>
      <c r="J2866" s="8">
        <v>786.53499999999997</v>
      </c>
      <c r="K2866" s="8">
        <v>732.77099999999996</v>
      </c>
      <c r="L2866" s="8">
        <v>763.75099999999998</v>
      </c>
      <c r="M2866" s="8">
        <v>865.92399999999998</v>
      </c>
      <c r="N2866" s="8">
        <v>901.32500000000005</v>
      </c>
      <c r="O2866" s="8">
        <v>891.56600000000003</v>
      </c>
      <c r="P2866" s="8">
        <v>792.46600000000001</v>
      </c>
      <c r="Q2866" s="8">
        <v>826.38800000000003</v>
      </c>
      <c r="R2866" s="8">
        <v>774.70100000000002</v>
      </c>
      <c r="S2866" s="8">
        <v>780.10400000000004</v>
      </c>
      <c r="T2866" s="8">
        <v>713.01800000000003</v>
      </c>
      <c r="U2866" s="8">
        <v>629.07100000000003</v>
      </c>
      <c r="V2866" s="8">
        <v>567.327</v>
      </c>
      <c r="W2866" s="8">
        <v>413.96300000000002</v>
      </c>
      <c r="X2866" s="8">
        <v>302.29700000000003</v>
      </c>
      <c r="Y2866" s="8">
        <v>207.977</v>
      </c>
      <c r="Z2866" s="8">
        <v>120.446</v>
      </c>
      <c r="AA2866" s="8">
        <v>44.822000000000003</v>
      </c>
      <c r="AB2866" s="8">
        <v>7.0780000000000003</v>
      </c>
      <c r="AC2866" s="8">
        <v>0.68600000000000005</v>
      </c>
    </row>
    <row r="2867" spans="1:29" ht="11.65" x14ac:dyDescent="0.35">
      <c r="A2867" s="12">
        <v>2850</v>
      </c>
      <c r="B2867" s="10" t="s">
        <v>1015</v>
      </c>
      <c r="C2867" s="30" t="s">
        <v>1213</v>
      </c>
      <c r="D2867" s="9">
        <v>15</v>
      </c>
      <c r="E2867" s="9">
        <v>36</v>
      </c>
      <c r="F2867" s="10" t="s">
        <v>1066</v>
      </c>
      <c r="G2867" s="9">
        <v>927</v>
      </c>
      <c r="H2867" s="9">
        <v>2020</v>
      </c>
      <c r="I2867" s="8">
        <v>857.49900000000002</v>
      </c>
      <c r="J2867" s="8">
        <v>841.02599999999995</v>
      </c>
      <c r="K2867" s="8">
        <v>825.846</v>
      </c>
      <c r="L2867" s="8">
        <v>777.47500000000002</v>
      </c>
      <c r="M2867" s="8">
        <v>811.22199999999998</v>
      </c>
      <c r="N2867" s="8">
        <v>909.70500000000004</v>
      </c>
      <c r="O2867" s="8">
        <v>939.58500000000004</v>
      </c>
      <c r="P2867" s="8">
        <v>921.59100000000001</v>
      </c>
      <c r="Q2867" s="8">
        <v>810.36800000000005</v>
      </c>
      <c r="R2867" s="8">
        <v>831.53599999999994</v>
      </c>
      <c r="S2867" s="8">
        <v>768.93399999999997</v>
      </c>
      <c r="T2867" s="8">
        <v>767.4</v>
      </c>
      <c r="U2867" s="8">
        <v>693.71199999999999</v>
      </c>
      <c r="V2867" s="8">
        <v>601.80700000000002</v>
      </c>
      <c r="W2867" s="8">
        <v>527.59199999999998</v>
      </c>
      <c r="X2867" s="8">
        <v>365.81099999999998</v>
      </c>
      <c r="Y2867" s="8">
        <v>241.273</v>
      </c>
      <c r="Z2867" s="8">
        <v>136.756</v>
      </c>
      <c r="AA2867" s="8">
        <v>56.262999999999998</v>
      </c>
      <c r="AB2867" s="8">
        <v>12.305999999999999</v>
      </c>
      <c r="AC2867" s="8">
        <v>0.91800000000000004</v>
      </c>
    </row>
    <row r="2868" spans="1:29" ht="11.65" x14ac:dyDescent="0.35">
      <c r="A2868" s="12">
        <v>2851</v>
      </c>
      <c r="B2868" s="10" t="s">
        <v>1015</v>
      </c>
      <c r="C2868" s="30" t="s">
        <v>1214</v>
      </c>
      <c r="D2868" s="9">
        <v>16</v>
      </c>
      <c r="E2868" s="9">
        <v>554</v>
      </c>
      <c r="F2868" s="10" t="s">
        <v>1066</v>
      </c>
      <c r="G2868" s="9">
        <v>927</v>
      </c>
      <c r="H2868" s="9">
        <v>1950</v>
      </c>
      <c r="I2868" s="8">
        <v>119</v>
      </c>
      <c r="J2868" s="8">
        <v>90</v>
      </c>
      <c r="K2868" s="8">
        <v>74</v>
      </c>
      <c r="L2868" s="8">
        <v>68</v>
      </c>
      <c r="M2868" s="8">
        <v>72</v>
      </c>
      <c r="N2868" s="8">
        <v>71.001000000000005</v>
      </c>
      <c r="O2868" s="8">
        <v>67.001000000000005</v>
      </c>
      <c r="P2868" s="8">
        <v>68.998999999999995</v>
      </c>
      <c r="Q2868" s="8">
        <v>65.001000000000005</v>
      </c>
      <c r="R2868" s="8">
        <v>56</v>
      </c>
      <c r="S2868" s="8">
        <v>47.000999999999998</v>
      </c>
      <c r="T2868" s="8">
        <v>39.999000000000002</v>
      </c>
      <c r="U2868" s="8">
        <v>39</v>
      </c>
      <c r="V2868" s="8">
        <v>34</v>
      </c>
      <c r="W2868" s="8">
        <v>25</v>
      </c>
      <c r="X2868" s="8">
        <v>14</v>
      </c>
      <c r="Y2868" s="8">
        <v>5.5060000000000002</v>
      </c>
      <c r="Z2868" s="8">
        <v>2.569</v>
      </c>
      <c r="AA2868" s="8">
        <v>0.78300000000000003</v>
      </c>
      <c r="AB2868" s="8">
        <v>0.13500000000000001</v>
      </c>
      <c r="AC2868" s="8">
        <v>1.0999999999999999E-2</v>
      </c>
    </row>
    <row r="2869" spans="1:29" ht="11.65" x14ac:dyDescent="0.35">
      <c r="A2869" s="12">
        <v>2852</v>
      </c>
      <c r="B2869" s="10" t="s">
        <v>1015</v>
      </c>
      <c r="C2869" s="30" t="s">
        <v>1214</v>
      </c>
      <c r="D2869" s="9">
        <v>16</v>
      </c>
      <c r="E2869" s="9">
        <v>554</v>
      </c>
      <c r="F2869" s="10" t="s">
        <v>1066</v>
      </c>
      <c r="G2869" s="9">
        <v>927</v>
      </c>
      <c r="H2869" s="9">
        <v>1955</v>
      </c>
      <c r="I2869" s="8">
        <v>130.322</v>
      </c>
      <c r="J2869" s="8">
        <v>118.011</v>
      </c>
      <c r="K2869" s="8">
        <v>93.016999999999996</v>
      </c>
      <c r="L2869" s="8">
        <v>76.007000000000005</v>
      </c>
      <c r="M2869" s="8">
        <v>70.981999999999999</v>
      </c>
      <c r="N2869" s="8">
        <v>80.018000000000001</v>
      </c>
      <c r="O2869" s="8">
        <v>77.989000000000004</v>
      </c>
      <c r="P2869" s="8">
        <v>69.016999999999996</v>
      </c>
      <c r="Q2869" s="8">
        <v>70.004000000000005</v>
      </c>
      <c r="R2869" s="8">
        <v>64.021000000000001</v>
      </c>
      <c r="S2869" s="8">
        <v>56.021000000000001</v>
      </c>
      <c r="T2869" s="8">
        <v>44.003999999999998</v>
      </c>
      <c r="U2869" s="8">
        <v>36.999000000000002</v>
      </c>
      <c r="V2869" s="8">
        <v>32.924999999999997</v>
      </c>
      <c r="W2869" s="8">
        <v>26.135999999999999</v>
      </c>
      <c r="X2869" s="8">
        <v>17.936</v>
      </c>
      <c r="Y2869" s="8">
        <v>8.6509999999999998</v>
      </c>
      <c r="Z2869" s="8">
        <v>2.3849999999999998</v>
      </c>
      <c r="AA2869" s="8">
        <v>0.76300000000000001</v>
      </c>
      <c r="AB2869" s="8">
        <v>0.14299999999999999</v>
      </c>
      <c r="AC2869" s="8">
        <v>1.4E-2</v>
      </c>
    </row>
    <row r="2870" spans="1:29" ht="11.65" x14ac:dyDescent="0.35">
      <c r="A2870" s="12">
        <v>2853</v>
      </c>
      <c r="B2870" s="10" t="s">
        <v>1015</v>
      </c>
      <c r="C2870" s="30" t="s">
        <v>1214</v>
      </c>
      <c r="D2870" s="9">
        <v>16</v>
      </c>
      <c r="E2870" s="9">
        <v>554</v>
      </c>
      <c r="F2870" s="10" t="s">
        <v>1066</v>
      </c>
      <c r="G2870" s="9">
        <v>927</v>
      </c>
      <c r="H2870" s="9">
        <v>1960</v>
      </c>
      <c r="I2870" s="8">
        <v>147.99600000000001</v>
      </c>
      <c r="J2870" s="8">
        <v>129.32499999999999</v>
      </c>
      <c r="K2870" s="8">
        <v>121.042</v>
      </c>
      <c r="L2870" s="8">
        <v>94.034000000000006</v>
      </c>
      <c r="M2870" s="8">
        <v>76.992999999999995</v>
      </c>
      <c r="N2870" s="8">
        <v>75.007000000000005</v>
      </c>
      <c r="O2870" s="8">
        <v>82.021000000000001</v>
      </c>
      <c r="P2870" s="8">
        <v>78.007999999999996</v>
      </c>
      <c r="Q2870" s="8">
        <v>71.016999999999996</v>
      </c>
      <c r="R2870" s="8">
        <v>69.994</v>
      </c>
      <c r="S2870" s="8">
        <v>63.017000000000003</v>
      </c>
      <c r="T2870" s="8">
        <v>52.030999999999999</v>
      </c>
      <c r="U2870" s="8">
        <v>41.021999999999998</v>
      </c>
      <c r="V2870" s="8">
        <v>30.925000000000001</v>
      </c>
      <c r="W2870" s="8">
        <v>26.032</v>
      </c>
      <c r="X2870" s="8">
        <v>19.007000000000001</v>
      </c>
      <c r="Y2870" s="8">
        <v>10.268000000000001</v>
      </c>
      <c r="Z2870" s="8">
        <v>3.681</v>
      </c>
      <c r="AA2870" s="8">
        <v>0.68500000000000005</v>
      </c>
      <c r="AB2870" s="8">
        <v>0.13200000000000001</v>
      </c>
      <c r="AC2870" s="8">
        <v>1.4E-2</v>
      </c>
    </row>
    <row r="2871" spans="1:29" ht="11.65" x14ac:dyDescent="0.35">
      <c r="A2871" s="12">
        <v>2854</v>
      </c>
      <c r="B2871" s="10" t="s">
        <v>1015</v>
      </c>
      <c r="C2871" s="30" t="s">
        <v>1214</v>
      </c>
      <c r="D2871" s="9">
        <v>16</v>
      </c>
      <c r="E2871" s="9">
        <v>554</v>
      </c>
      <c r="F2871" s="10" t="s">
        <v>1066</v>
      </c>
      <c r="G2871" s="9">
        <v>927</v>
      </c>
      <c r="H2871" s="9">
        <v>1965</v>
      </c>
      <c r="I2871" s="8">
        <v>154.33099999999999</v>
      </c>
      <c r="J2871" s="8">
        <v>149.00299999999999</v>
      </c>
      <c r="K2871" s="8">
        <v>134.351</v>
      </c>
      <c r="L2871" s="8">
        <v>124.045</v>
      </c>
      <c r="M2871" s="8">
        <v>96.01</v>
      </c>
      <c r="N2871" s="8">
        <v>83.003</v>
      </c>
      <c r="O2871" s="8">
        <v>75.992000000000004</v>
      </c>
      <c r="P2871" s="8">
        <v>84.015000000000001</v>
      </c>
      <c r="Q2871" s="8">
        <v>79.998999999999995</v>
      </c>
      <c r="R2871" s="8">
        <v>71.018000000000001</v>
      </c>
      <c r="S2871" s="8">
        <v>67.992999999999995</v>
      </c>
      <c r="T2871" s="8">
        <v>60.01</v>
      </c>
      <c r="U2871" s="8">
        <v>48.040999999999997</v>
      </c>
      <c r="V2871" s="8">
        <v>35.905000000000001</v>
      </c>
      <c r="W2871" s="8">
        <v>22.957999999999998</v>
      </c>
      <c r="X2871" s="8">
        <v>15.853</v>
      </c>
      <c r="Y2871" s="8">
        <v>9.3670000000000009</v>
      </c>
      <c r="Z2871" s="8">
        <v>4.2990000000000004</v>
      </c>
      <c r="AA2871" s="8">
        <v>0.996</v>
      </c>
      <c r="AB2871" s="8">
        <v>0.112</v>
      </c>
      <c r="AC2871" s="8">
        <v>1.2E-2</v>
      </c>
    </row>
    <row r="2872" spans="1:29" ht="11.65" x14ac:dyDescent="0.35">
      <c r="A2872" s="12">
        <v>2855</v>
      </c>
      <c r="B2872" s="10" t="s">
        <v>1015</v>
      </c>
      <c r="C2872" s="30" t="s">
        <v>1214</v>
      </c>
      <c r="D2872" s="9">
        <v>16</v>
      </c>
      <c r="E2872" s="9">
        <v>554</v>
      </c>
      <c r="F2872" s="10" t="s">
        <v>1066</v>
      </c>
      <c r="G2872" s="9">
        <v>927</v>
      </c>
      <c r="H2872" s="9">
        <v>1970</v>
      </c>
      <c r="I2872" s="8">
        <v>151.179</v>
      </c>
      <c r="J2872" s="8">
        <v>154.47</v>
      </c>
      <c r="K2872" s="8">
        <v>150.501</v>
      </c>
      <c r="L2872" s="8">
        <v>134.535</v>
      </c>
      <c r="M2872" s="8">
        <v>117.70699999999999</v>
      </c>
      <c r="N2872" s="8">
        <v>92.164000000000001</v>
      </c>
      <c r="O2872" s="8">
        <v>82.248000000000005</v>
      </c>
      <c r="P2872" s="8">
        <v>75.457999999999998</v>
      </c>
      <c r="Q2872" s="8">
        <v>82.605999999999995</v>
      </c>
      <c r="R2872" s="8">
        <v>78.584000000000003</v>
      </c>
      <c r="S2872" s="8">
        <v>68.540999999999997</v>
      </c>
      <c r="T2872" s="8">
        <v>64.108000000000004</v>
      </c>
      <c r="U2872" s="8">
        <v>54.959000000000003</v>
      </c>
      <c r="V2872" s="8">
        <v>41.646999999999998</v>
      </c>
      <c r="W2872" s="8">
        <v>28.175999999999998</v>
      </c>
      <c r="X2872" s="8">
        <v>16.190999999999999</v>
      </c>
      <c r="Y2872" s="8">
        <v>9.891</v>
      </c>
      <c r="Z2872" s="8">
        <v>3.9369999999999998</v>
      </c>
      <c r="AA2872" s="8">
        <v>1.163</v>
      </c>
      <c r="AB2872" s="8">
        <v>0.16300000000000001</v>
      </c>
      <c r="AC2872" s="8">
        <v>0.01</v>
      </c>
    </row>
    <row r="2873" spans="1:29" ht="11.65" x14ac:dyDescent="0.35">
      <c r="A2873" s="12">
        <v>2856</v>
      </c>
      <c r="B2873" s="10" t="s">
        <v>1015</v>
      </c>
      <c r="C2873" s="30" t="s">
        <v>1214</v>
      </c>
      <c r="D2873" s="9">
        <v>16</v>
      </c>
      <c r="E2873" s="9">
        <v>554</v>
      </c>
      <c r="F2873" s="10" t="s">
        <v>1066</v>
      </c>
      <c r="G2873" s="9">
        <v>927</v>
      </c>
      <c r="H2873" s="9">
        <v>1975</v>
      </c>
      <c r="I2873" s="8">
        <v>153.714</v>
      </c>
      <c r="J2873" s="8">
        <v>154.494</v>
      </c>
      <c r="K2873" s="8">
        <v>161.833</v>
      </c>
      <c r="L2873" s="8">
        <v>151.958</v>
      </c>
      <c r="M2873" s="8">
        <v>131.309</v>
      </c>
      <c r="N2873" s="8">
        <v>121.75</v>
      </c>
      <c r="O2873" s="8">
        <v>100.994</v>
      </c>
      <c r="P2873" s="8">
        <v>84.65</v>
      </c>
      <c r="Q2873" s="8">
        <v>79.834999999999994</v>
      </c>
      <c r="R2873" s="8">
        <v>81.466999999999999</v>
      </c>
      <c r="S2873" s="8">
        <v>78.328999999999994</v>
      </c>
      <c r="T2873" s="8">
        <v>63.646000000000001</v>
      </c>
      <c r="U2873" s="8">
        <v>59.63</v>
      </c>
      <c r="V2873" s="8">
        <v>47.292999999999999</v>
      </c>
      <c r="W2873" s="8">
        <v>33.183999999999997</v>
      </c>
      <c r="X2873" s="8">
        <v>18.643000000000001</v>
      </c>
      <c r="Y2873" s="8">
        <v>9.1389999999999993</v>
      </c>
      <c r="Z2873" s="8">
        <v>4.1950000000000003</v>
      </c>
      <c r="AA2873" s="8">
        <v>1.111</v>
      </c>
      <c r="AB2873" s="8">
        <v>0.19500000000000001</v>
      </c>
      <c r="AC2873" s="8">
        <v>1.4999999999999999E-2</v>
      </c>
    </row>
    <row r="2874" spans="1:29" ht="11.65" x14ac:dyDescent="0.35">
      <c r="A2874" s="12">
        <v>2857</v>
      </c>
      <c r="B2874" s="10" t="s">
        <v>1015</v>
      </c>
      <c r="C2874" s="30" t="s">
        <v>1214</v>
      </c>
      <c r="D2874" s="9">
        <v>16</v>
      </c>
      <c r="E2874" s="9">
        <v>554</v>
      </c>
      <c r="F2874" s="10" t="s">
        <v>1066</v>
      </c>
      <c r="G2874" s="9">
        <v>927</v>
      </c>
      <c r="H2874" s="9">
        <v>1980</v>
      </c>
      <c r="I2874" s="8">
        <v>130.315</v>
      </c>
      <c r="J2874" s="8">
        <v>149.90899999999999</v>
      </c>
      <c r="K2874" s="8">
        <v>154.88200000000001</v>
      </c>
      <c r="L2874" s="8">
        <v>159.65199999999999</v>
      </c>
      <c r="M2874" s="8">
        <v>136.38200000000001</v>
      </c>
      <c r="N2874" s="8">
        <v>118.85599999999999</v>
      </c>
      <c r="O2874" s="8">
        <v>117.134</v>
      </c>
      <c r="P2874" s="8">
        <v>96.507999999999996</v>
      </c>
      <c r="Q2874" s="8">
        <v>82.606999999999999</v>
      </c>
      <c r="R2874" s="8">
        <v>76.364999999999995</v>
      </c>
      <c r="S2874" s="8">
        <v>80.06</v>
      </c>
      <c r="T2874" s="8">
        <v>72.13</v>
      </c>
      <c r="U2874" s="8">
        <v>59.164000000000001</v>
      </c>
      <c r="V2874" s="8">
        <v>51.972000000000001</v>
      </c>
      <c r="W2874" s="8">
        <v>38.170999999999999</v>
      </c>
      <c r="X2874" s="8">
        <v>23.31</v>
      </c>
      <c r="Y2874" s="8">
        <v>11.127000000000001</v>
      </c>
      <c r="Z2874" s="8">
        <v>3.9980000000000002</v>
      </c>
      <c r="AA2874" s="8">
        <v>1.2529999999999999</v>
      </c>
      <c r="AB2874" s="8">
        <v>0.2</v>
      </c>
      <c r="AC2874" s="8">
        <v>0.02</v>
      </c>
    </row>
    <row r="2875" spans="1:29" ht="11.65" x14ac:dyDescent="0.35">
      <c r="A2875" s="12">
        <v>2858</v>
      </c>
      <c r="B2875" s="10" t="s">
        <v>1015</v>
      </c>
      <c r="C2875" s="30" t="s">
        <v>1214</v>
      </c>
      <c r="D2875" s="9">
        <v>16</v>
      </c>
      <c r="E2875" s="9">
        <v>554</v>
      </c>
      <c r="F2875" s="10" t="s">
        <v>1066</v>
      </c>
      <c r="G2875" s="9">
        <v>927</v>
      </c>
      <c r="H2875" s="9">
        <v>1985</v>
      </c>
      <c r="I2875" s="8">
        <v>129.11199999999999</v>
      </c>
      <c r="J2875" s="8">
        <v>130.50200000000001</v>
      </c>
      <c r="K2875" s="8">
        <v>150.63999999999999</v>
      </c>
      <c r="L2875" s="8">
        <v>154.196</v>
      </c>
      <c r="M2875" s="8">
        <v>147.631</v>
      </c>
      <c r="N2875" s="8">
        <v>130.30699999999999</v>
      </c>
      <c r="O2875" s="8">
        <v>125.32599999999999</v>
      </c>
      <c r="P2875" s="8">
        <v>117.60899999999999</v>
      </c>
      <c r="Q2875" s="8">
        <v>94.572000000000003</v>
      </c>
      <c r="R2875" s="8">
        <v>82.009</v>
      </c>
      <c r="S2875" s="8">
        <v>74.41</v>
      </c>
      <c r="T2875" s="8">
        <v>74.344999999999999</v>
      </c>
      <c r="U2875" s="8">
        <v>66.930000000000007</v>
      </c>
      <c r="V2875" s="8">
        <v>52.180999999999997</v>
      </c>
      <c r="W2875" s="8">
        <v>41.6</v>
      </c>
      <c r="X2875" s="8">
        <v>27.161999999999999</v>
      </c>
      <c r="Y2875" s="8">
        <v>13.554</v>
      </c>
      <c r="Z2875" s="8">
        <v>5.056</v>
      </c>
      <c r="AA2875" s="8">
        <v>1.266</v>
      </c>
      <c r="AB2875" s="8">
        <v>0.246</v>
      </c>
      <c r="AC2875" s="8">
        <v>2.4E-2</v>
      </c>
    </row>
    <row r="2876" spans="1:29" ht="11.65" x14ac:dyDescent="0.35">
      <c r="A2876" s="12">
        <v>2859</v>
      </c>
      <c r="B2876" s="10" t="s">
        <v>1015</v>
      </c>
      <c r="C2876" s="30" t="s">
        <v>1214</v>
      </c>
      <c r="D2876" s="9">
        <v>16</v>
      </c>
      <c r="E2876" s="9">
        <v>554</v>
      </c>
      <c r="F2876" s="10" t="s">
        <v>1066</v>
      </c>
      <c r="G2876" s="9">
        <v>927</v>
      </c>
      <c r="H2876" s="9">
        <v>1990</v>
      </c>
      <c r="I2876" s="8">
        <v>141.33699999999999</v>
      </c>
      <c r="J2876" s="8">
        <v>129.87100000000001</v>
      </c>
      <c r="K2876" s="8">
        <v>131.821</v>
      </c>
      <c r="L2876" s="8">
        <v>148.00700000000001</v>
      </c>
      <c r="M2876" s="8">
        <v>136.739</v>
      </c>
      <c r="N2876" s="8">
        <v>136.60300000000001</v>
      </c>
      <c r="O2876" s="8">
        <v>134.96199999999999</v>
      </c>
      <c r="P2876" s="8">
        <v>120.69799999999999</v>
      </c>
      <c r="Q2876" s="8">
        <v>117.455</v>
      </c>
      <c r="R2876" s="8">
        <v>94.881</v>
      </c>
      <c r="S2876" s="8">
        <v>77.733999999999995</v>
      </c>
      <c r="T2876" s="8">
        <v>72.978999999999999</v>
      </c>
      <c r="U2876" s="8">
        <v>70.593000000000004</v>
      </c>
      <c r="V2876" s="8">
        <v>59.771999999999998</v>
      </c>
      <c r="W2876" s="8">
        <v>43.018000000000001</v>
      </c>
      <c r="X2876" s="8">
        <v>31.32</v>
      </c>
      <c r="Y2876" s="8">
        <v>16.518999999999998</v>
      </c>
      <c r="Z2876" s="8">
        <v>6.3339999999999996</v>
      </c>
      <c r="AA2876" s="8">
        <v>1.6120000000000001</v>
      </c>
      <c r="AB2876" s="8">
        <v>0.255</v>
      </c>
      <c r="AC2876" s="8">
        <v>0.03</v>
      </c>
    </row>
    <row r="2877" spans="1:29" ht="11.65" x14ac:dyDescent="0.35">
      <c r="A2877" s="12">
        <v>2860</v>
      </c>
      <c r="B2877" s="10" t="s">
        <v>1015</v>
      </c>
      <c r="C2877" s="30" t="s">
        <v>1214</v>
      </c>
      <c r="D2877" s="9">
        <v>16</v>
      </c>
      <c r="E2877" s="9">
        <v>554</v>
      </c>
      <c r="F2877" s="10" t="s">
        <v>1066</v>
      </c>
      <c r="G2877" s="9">
        <v>927</v>
      </c>
      <c r="H2877" s="9">
        <v>1995</v>
      </c>
      <c r="I2877" s="8">
        <v>152.601</v>
      </c>
      <c r="J2877" s="8">
        <v>146.53</v>
      </c>
      <c r="K2877" s="8">
        <v>135.333</v>
      </c>
      <c r="L2877" s="8">
        <v>137.767</v>
      </c>
      <c r="M2877" s="8">
        <v>141.74199999999999</v>
      </c>
      <c r="N2877" s="8">
        <v>136.726</v>
      </c>
      <c r="O2877" s="8">
        <v>146.97300000000001</v>
      </c>
      <c r="P2877" s="8">
        <v>140.369</v>
      </c>
      <c r="Q2877" s="8">
        <v>127.792</v>
      </c>
      <c r="R2877" s="8">
        <v>120.654</v>
      </c>
      <c r="S2877" s="8">
        <v>93.941000000000003</v>
      </c>
      <c r="T2877" s="8">
        <v>78.852999999999994</v>
      </c>
      <c r="U2877" s="8">
        <v>69.33</v>
      </c>
      <c r="V2877" s="8">
        <v>65.873000000000005</v>
      </c>
      <c r="W2877" s="8">
        <v>52.506999999999998</v>
      </c>
      <c r="X2877" s="8">
        <v>32.956000000000003</v>
      </c>
      <c r="Y2877" s="8">
        <v>20.169</v>
      </c>
      <c r="Z2877" s="8">
        <v>8.1929999999999996</v>
      </c>
      <c r="AA2877" s="8">
        <v>2.2610000000000001</v>
      </c>
      <c r="AB2877" s="8">
        <v>0.35099999999999998</v>
      </c>
      <c r="AC2877" s="8">
        <v>3.3000000000000002E-2</v>
      </c>
    </row>
    <row r="2878" spans="1:29" ht="11.65" x14ac:dyDescent="0.35">
      <c r="A2878" s="12">
        <v>2861</v>
      </c>
      <c r="B2878" s="10" t="s">
        <v>1015</v>
      </c>
      <c r="C2878" s="30" t="s">
        <v>1214</v>
      </c>
      <c r="D2878" s="9">
        <v>16</v>
      </c>
      <c r="E2878" s="9">
        <v>554</v>
      </c>
      <c r="F2878" s="10" t="s">
        <v>1066</v>
      </c>
      <c r="G2878" s="9">
        <v>927</v>
      </c>
      <c r="H2878" s="9">
        <v>2000</v>
      </c>
      <c r="I2878" s="8">
        <v>145.55099999999999</v>
      </c>
      <c r="J2878" s="8">
        <v>155.41499999999999</v>
      </c>
      <c r="K2878" s="8">
        <v>149.071</v>
      </c>
      <c r="L2878" s="8">
        <v>140.94999999999999</v>
      </c>
      <c r="M2878" s="8">
        <v>126.44499999999999</v>
      </c>
      <c r="N2878" s="8">
        <v>129.76599999999999</v>
      </c>
      <c r="O2878" s="8">
        <v>140.595</v>
      </c>
      <c r="P2878" s="8">
        <v>149.58000000000001</v>
      </c>
      <c r="Q2878" s="8">
        <v>143.113</v>
      </c>
      <c r="R2878" s="8">
        <v>127.654</v>
      </c>
      <c r="S2878" s="8">
        <v>118.73099999999999</v>
      </c>
      <c r="T2878" s="8">
        <v>92.537999999999997</v>
      </c>
      <c r="U2878" s="8">
        <v>75.382000000000005</v>
      </c>
      <c r="V2878" s="8">
        <v>64.293000000000006</v>
      </c>
      <c r="W2878" s="8">
        <v>57.488</v>
      </c>
      <c r="X2878" s="8">
        <v>40.712000000000003</v>
      </c>
      <c r="Y2878" s="8">
        <v>22.736000000000001</v>
      </c>
      <c r="Z2878" s="8">
        <v>10.516999999999999</v>
      </c>
      <c r="AA2878" s="8">
        <v>2.9289999999999998</v>
      </c>
      <c r="AB2878" s="8">
        <v>0.47599999999999998</v>
      </c>
      <c r="AC2878" s="8">
        <v>4.1000000000000002E-2</v>
      </c>
    </row>
    <row r="2879" spans="1:29" ht="11.65" x14ac:dyDescent="0.35">
      <c r="A2879" s="12">
        <v>2862</v>
      </c>
      <c r="B2879" s="10" t="s">
        <v>1015</v>
      </c>
      <c r="C2879" s="30" t="s">
        <v>1214</v>
      </c>
      <c r="D2879" s="9">
        <v>16</v>
      </c>
      <c r="E2879" s="9">
        <v>554</v>
      </c>
      <c r="F2879" s="10" t="s">
        <v>1066</v>
      </c>
      <c r="G2879" s="9">
        <v>927</v>
      </c>
      <c r="H2879" s="9">
        <v>2005</v>
      </c>
      <c r="I2879" s="8">
        <v>145.506</v>
      </c>
      <c r="J2879" s="8">
        <v>149.82</v>
      </c>
      <c r="K2879" s="8">
        <v>161.27600000000001</v>
      </c>
      <c r="L2879" s="8">
        <v>155.06700000000001</v>
      </c>
      <c r="M2879" s="8">
        <v>144.715</v>
      </c>
      <c r="N2879" s="8">
        <v>124.76600000000001</v>
      </c>
      <c r="O2879" s="8">
        <v>139.66</v>
      </c>
      <c r="P2879" s="8">
        <v>147.67500000000001</v>
      </c>
      <c r="Q2879" s="8">
        <v>153.577</v>
      </c>
      <c r="R2879" s="8">
        <v>148.68700000000001</v>
      </c>
      <c r="S2879" s="8">
        <v>124.98399999999999</v>
      </c>
      <c r="T2879" s="8">
        <v>118.004</v>
      </c>
      <c r="U2879" s="8">
        <v>89.617999999999995</v>
      </c>
      <c r="V2879" s="8">
        <v>71.488</v>
      </c>
      <c r="W2879" s="8">
        <v>57.814</v>
      </c>
      <c r="X2879" s="8">
        <v>47.128</v>
      </c>
      <c r="Y2879" s="8">
        <v>28.963999999999999</v>
      </c>
      <c r="Z2879" s="8">
        <v>12.513999999999999</v>
      </c>
      <c r="AA2879" s="8">
        <v>3.8380000000000001</v>
      </c>
      <c r="AB2879" s="8">
        <v>0.59699999999999998</v>
      </c>
      <c r="AC2879" s="8">
        <v>0.05</v>
      </c>
    </row>
    <row r="2880" spans="1:29" ht="11.65" x14ac:dyDescent="0.35">
      <c r="A2880" s="12">
        <v>2863</v>
      </c>
      <c r="B2880" s="10" t="s">
        <v>1015</v>
      </c>
      <c r="C2880" s="30" t="s">
        <v>1214</v>
      </c>
      <c r="D2880" s="9">
        <v>16</v>
      </c>
      <c r="E2880" s="9">
        <v>554</v>
      </c>
      <c r="F2880" s="10" t="s">
        <v>1066</v>
      </c>
      <c r="G2880" s="9">
        <v>927</v>
      </c>
      <c r="H2880" s="9">
        <v>2010</v>
      </c>
      <c r="I2880" s="8">
        <v>160.35400000000001</v>
      </c>
      <c r="J2880" s="8">
        <v>146.965</v>
      </c>
      <c r="K2880" s="8">
        <v>151.958</v>
      </c>
      <c r="L2880" s="8">
        <v>164.874</v>
      </c>
      <c r="M2880" s="8">
        <v>161.952</v>
      </c>
      <c r="N2880" s="8">
        <v>142.578</v>
      </c>
      <c r="O2880" s="8">
        <v>129.22</v>
      </c>
      <c r="P2880" s="8">
        <v>143.34800000000001</v>
      </c>
      <c r="Q2880" s="8">
        <v>147.49799999999999</v>
      </c>
      <c r="R2880" s="8">
        <v>157.30699999999999</v>
      </c>
      <c r="S2880" s="8">
        <v>141.33199999999999</v>
      </c>
      <c r="T2880" s="8">
        <v>124.18300000000001</v>
      </c>
      <c r="U2880" s="8">
        <v>114.098</v>
      </c>
      <c r="V2880" s="8">
        <v>84.798000000000002</v>
      </c>
      <c r="W2880" s="8">
        <v>67.498000000000005</v>
      </c>
      <c r="X2880" s="8">
        <v>48.344999999999999</v>
      </c>
      <c r="Y2880" s="8">
        <v>36.265999999999998</v>
      </c>
      <c r="Z2880" s="8">
        <v>17.145</v>
      </c>
      <c r="AA2880" s="8">
        <v>5.0570000000000004</v>
      </c>
      <c r="AB2880" s="8">
        <v>0.91700000000000004</v>
      </c>
      <c r="AC2880" s="8">
        <v>7.0000000000000007E-2</v>
      </c>
    </row>
    <row r="2881" spans="1:29" ht="11.65" x14ac:dyDescent="0.35">
      <c r="A2881" s="12">
        <v>2864</v>
      </c>
      <c r="B2881" s="10" t="s">
        <v>1015</v>
      </c>
      <c r="C2881" s="30" t="s">
        <v>1214</v>
      </c>
      <c r="D2881" s="9">
        <v>16</v>
      </c>
      <c r="E2881" s="9">
        <v>554</v>
      </c>
      <c r="F2881" s="10" t="s">
        <v>1066</v>
      </c>
      <c r="G2881" s="9">
        <v>927</v>
      </c>
      <c r="H2881" s="9">
        <v>2015</v>
      </c>
      <c r="I2881" s="8">
        <v>158.42500000000001</v>
      </c>
      <c r="J2881" s="8">
        <v>162.63399999999999</v>
      </c>
      <c r="K2881" s="8">
        <v>152.255</v>
      </c>
      <c r="L2881" s="8">
        <v>164.86699999999999</v>
      </c>
      <c r="M2881" s="8">
        <v>176.18</v>
      </c>
      <c r="N2881" s="8">
        <v>158.29</v>
      </c>
      <c r="O2881" s="8">
        <v>138.43</v>
      </c>
      <c r="P2881" s="8">
        <v>131.036</v>
      </c>
      <c r="Q2881" s="8">
        <v>148.251</v>
      </c>
      <c r="R2881" s="8">
        <v>149.68799999999999</v>
      </c>
      <c r="S2881" s="8">
        <v>155.08199999999999</v>
      </c>
      <c r="T2881" s="8">
        <v>139.19300000000001</v>
      </c>
      <c r="U2881" s="8">
        <v>120.89400000000001</v>
      </c>
      <c r="V2881" s="8">
        <v>111.265</v>
      </c>
      <c r="W2881" s="8">
        <v>79.864000000000004</v>
      </c>
      <c r="X2881" s="8">
        <v>55.128999999999998</v>
      </c>
      <c r="Y2881" s="8">
        <v>36.241</v>
      </c>
      <c r="Z2881" s="8">
        <v>22.483000000000001</v>
      </c>
      <c r="AA2881" s="8">
        <v>7.3159999999999998</v>
      </c>
      <c r="AB2881" s="8">
        <v>1.321</v>
      </c>
      <c r="AC2881" s="8">
        <v>0.11700000000000001</v>
      </c>
    </row>
    <row r="2882" spans="1:29" ht="11.65" x14ac:dyDescent="0.35">
      <c r="A2882" s="12">
        <v>2865</v>
      </c>
      <c r="B2882" s="10" t="s">
        <v>1015</v>
      </c>
      <c r="C2882" s="30" t="s">
        <v>1214</v>
      </c>
      <c r="D2882" s="9">
        <v>16</v>
      </c>
      <c r="E2882" s="9">
        <v>554</v>
      </c>
      <c r="F2882" s="10" t="s">
        <v>1066</v>
      </c>
      <c r="G2882" s="9">
        <v>927</v>
      </c>
      <c r="H2882" s="9">
        <v>2020</v>
      </c>
      <c r="I2882" s="8">
        <v>154.69200000000001</v>
      </c>
      <c r="J2882" s="8">
        <v>161.05000000000001</v>
      </c>
      <c r="K2882" s="8">
        <v>165.33699999999999</v>
      </c>
      <c r="L2882" s="8">
        <v>154.47900000000001</v>
      </c>
      <c r="M2882" s="8">
        <v>166.357</v>
      </c>
      <c r="N2882" s="8">
        <v>178.375</v>
      </c>
      <c r="O2882" s="8">
        <v>161.465</v>
      </c>
      <c r="P2882" s="8">
        <v>141.357</v>
      </c>
      <c r="Q2882" s="8">
        <v>133.19499999999999</v>
      </c>
      <c r="R2882" s="8">
        <v>148.703</v>
      </c>
      <c r="S2882" s="8">
        <v>148.79400000000001</v>
      </c>
      <c r="T2882" s="8">
        <v>152.92699999999999</v>
      </c>
      <c r="U2882" s="8">
        <v>135.78800000000001</v>
      </c>
      <c r="V2882" s="8">
        <v>116.05500000000001</v>
      </c>
      <c r="W2882" s="8">
        <v>103.116</v>
      </c>
      <c r="X2882" s="8">
        <v>69.921999999999997</v>
      </c>
      <c r="Y2882" s="8">
        <v>43.415999999999997</v>
      </c>
      <c r="Z2882" s="8">
        <v>23.029</v>
      </c>
      <c r="AA2882" s="8">
        <v>10.010999999999999</v>
      </c>
      <c r="AB2882" s="8">
        <v>1.929</v>
      </c>
      <c r="AC2882" s="8">
        <v>0.16600000000000001</v>
      </c>
    </row>
    <row r="2883" spans="1:29" ht="23.25" x14ac:dyDescent="0.35">
      <c r="A2883" s="28">
        <v>2866</v>
      </c>
      <c r="B2883" s="26" t="s">
        <v>1015</v>
      </c>
      <c r="C2883" s="27" t="s">
        <v>1215</v>
      </c>
      <c r="D2883" s="25"/>
      <c r="E2883" s="25">
        <v>1835</v>
      </c>
      <c r="F2883" s="26" t="s">
        <v>1063</v>
      </c>
      <c r="G2883" s="25">
        <v>1828</v>
      </c>
      <c r="H2883" s="25">
        <v>1950</v>
      </c>
      <c r="I2883" s="24">
        <v>236.232</v>
      </c>
      <c r="J2883" s="24">
        <v>195.95400000000001</v>
      </c>
      <c r="K2883" s="24">
        <v>174.20500000000001</v>
      </c>
      <c r="L2883" s="24">
        <v>157.46199999999999</v>
      </c>
      <c r="M2883" s="24">
        <v>143.13300000000001</v>
      </c>
      <c r="N2883" s="24">
        <v>122.446</v>
      </c>
      <c r="O2883" s="24">
        <v>104.949</v>
      </c>
      <c r="P2883" s="24">
        <v>88.954999999999998</v>
      </c>
      <c r="Q2883" s="24">
        <v>74.114999999999995</v>
      </c>
      <c r="R2883" s="24">
        <v>60.213000000000001</v>
      </c>
      <c r="S2883" s="24">
        <v>49.94</v>
      </c>
      <c r="T2883" s="24">
        <v>33.872999999999998</v>
      </c>
      <c r="U2883" s="24">
        <v>28.393000000000001</v>
      </c>
      <c r="V2883" s="24">
        <v>24.887</v>
      </c>
      <c r="W2883" s="24">
        <v>17.388000000000002</v>
      </c>
      <c r="X2883" s="24">
        <v>9.9670000000000005</v>
      </c>
      <c r="Y2883" s="24">
        <v>4.2489999999999997</v>
      </c>
      <c r="Z2883" s="24">
        <v>1.2190000000000001</v>
      </c>
      <c r="AA2883" s="24">
        <v>0.247</v>
      </c>
      <c r="AB2883" s="24">
        <v>2.9000000000000001E-2</v>
      </c>
      <c r="AC2883" s="24">
        <v>2E-3</v>
      </c>
    </row>
    <row r="2884" spans="1:29" ht="23.25" x14ac:dyDescent="0.35">
      <c r="A2884" s="28">
        <v>2867</v>
      </c>
      <c r="B2884" s="26" t="s">
        <v>1015</v>
      </c>
      <c r="C2884" s="27" t="s">
        <v>1215</v>
      </c>
      <c r="D2884" s="25"/>
      <c r="E2884" s="25">
        <v>1835</v>
      </c>
      <c r="F2884" s="26" t="s">
        <v>1063</v>
      </c>
      <c r="G2884" s="25">
        <v>1828</v>
      </c>
      <c r="H2884" s="25">
        <v>1955</v>
      </c>
      <c r="I2884" s="24">
        <v>272.32</v>
      </c>
      <c r="J2884" s="24">
        <v>211.41200000000001</v>
      </c>
      <c r="K2884" s="24">
        <v>183.44399999999999</v>
      </c>
      <c r="L2884" s="24">
        <v>164.245</v>
      </c>
      <c r="M2884" s="24">
        <v>146.62</v>
      </c>
      <c r="N2884" s="24">
        <v>125.992</v>
      </c>
      <c r="O2884" s="24">
        <v>109.965</v>
      </c>
      <c r="P2884" s="24">
        <v>93.472999999999999</v>
      </c>
      <c r="Q2884" s="24">
        <v>77.472999999999999</v>
      </c>
      <c r="R2884" s="24">
        <v>63.442</v>
      </c>
      <c r="S2884" s="24">
        <v>49.417999999999999</v>
      </c>
      <c r="T2884" s="24">
        <v>39.585999999999999</v>
      </c>
      <c r="U2884" s="24">
        <v>25.042999999999999</v>
      </c>
      <c r="V2884" s="24">
        <v>19.091999999999999</v>
      </c>
      <c r="W2884" s="24">
        <v>14.917999999999999</v>
      </c>
      <c r="X2884" s="24">
        <v>8.9570000000000007</v>
      </c>
      <c r="Y2884" s="24">
        <v>4.1150000000000002</v>
      </c>
      <c r="Z2884" s="24">
        <v>0.73899999999999999</v>
      </c>
      <c r="AA2884" s="24">
        <v>0.11799999999999999</v>
      </c>
      <c r="AB2884" s="24">
        <v>1.2E-2</v>
      </c>
      <c r="AC2884" s="24">
        <v>0</v>
      </c>
    </row>
    <row r="2885" spans="1:29" ht="23.25" x14ac:dyDescent="0.35">
      <c r="A2885" s="28">
        <v>2868</v>
      </c>
      <c r="B2885" s="26" t="s">
        <v>1015</v>
      </c>
      <c r="C2885" s="27" t="s">
        <v>1215</v>
      </c>
      <c r="D2885" s="25"/>
      <c r="E2885" s="25">
        <v>1835</v>
      </c>
      <c r="F2885" s="26" t="s">
        <v>1063</v>
      </c>
      <c r="G2885" s="25">
        <v>1828</v>
      </c>
      <c r="H2885" s="25">
        <v>1960</v>
      </c>
      <c r="I2885" s="24">
        <v>303.70999999999998</v>
      </c>
      <c r="J2885" s="24">
        <v>251.34399999999999</v>
      </c>
      <c r="K2885" s="24">
        <v>203.185</v>
      </c>
      <c r="L2885" s="24">
        <v>174.34</v>
      </c>
      <c r="M2885" s="24">
        <v>153.63399999999999</v>
      </c>
      <c r="N2885" s="24">
        <v>132.875</v>
      </c>
      <c r="O2885" s="24">
        <v>117.518</v>
      </c>
      <c r="P2885" s="24">
        <v>101.563</v>
      </c>
      <c r="Q2885" s="24">
        <v>84.394999999999996</v>
      </c>
      <c r="R2885" s="24">
        <v>69.662999999999997</v>
      </c>
      <c r="S2885" s="24">
        <v>54.741</v>
      </c>
      <c r="T2885" s="24">
        <v>41.091000000000001</v>
      </c>
      <c r="U2885" s="24">
        <v>31.728999999999999</v>
      </c>
      <c r="V2885" s="24">
        <v>18.779</v>
      </c>
      <c r="W2885" s="24">
        <v>12.923</v>
      </c>
      <c r="X2885" s="24">
        <v>8.4390000000000001</v>
      </c>
      <c r="Y2885" s="24">
        <v>4.1619999999999999</v>
      </c>
      <c r="Z2885" s="24">
        <v>0.57799999999999996</v>
      </c>
      <c r="AA2885" s="24">
        <v>7.0999999999999994E-2</v>
      </c>
      <c r="AB2885" s="24">
        <v>6.0000000000000001E-3</v>
      </c>
      <c r="AC2885" s="24">
        <v>1E-3</v>
      </c>
    </row>
    <row r="2886" spans="1:29" ht="23.25" x14ac:dyDescent="0.35">
      <c r="A2886" s="28">
        <v>2869</v>
      </c>
      <c r="B2886" s="26" t="s">
        <v>1015</v>
      </c>
      <c r="C2886" s="27" t="s">
        <v>1215</v>
      </c>
      <c r="D2886" s="25"/>
      <c r="E2886" s="25">
        <v>1835</v>
      </c>
      <c r="F2886" s="26" t="s">
        <v>1063</v>
      </c>
      <c r="G2886" s="25">
        <v>1828</v>
      </c>
      <c r="H2886" s="25">
        <v>1965</v>
      </c>
      <c r="I2886" s="24">
        <v>337.77300000000002</v>
      </c>
      <c r="J2886" s="24">
        <v>285.95800000000003</v>
      </c>
      <c r="K2886" s="24">
        <v>244.357</v>
      </c>
      <c r="L2886" s="24">
        <v>195.571</v>
      </c>
      <c r="M2886" s="24">
        <v>168.53</v>
      </c>
      <c r="N2886" s="24">
        <v>144.86000000000001</v>
      </c>
      <c r="O2886" s="24">
        <v>127.128</v>
      </c>
      <c r="P2886" s="24">
        <v>109.896</v>
      </c>
      <c r="Q2886" s="24">
        <v>92.85</v>
      </c>
      <c r="R2886" s="24">
        <v>76.510000000000005</v>
      </c>
      <c r="S2886" s="24">
        <v>60.723999999999997</v>
      </c>
      <c r="T2886" s="24">
        <v>46.127000000000002</v>
      </c>
      <c r="U2886" s="24">
        <v>32.783000000000001</v>
      </c>
      <c r="V2886" s="24">
        <v>23.736999999999998</v>
      </c>
      <c r="W2886" s="24">
        <v>12.65</v>
      </c>
      <c r="X2886" s="24">
        <v>7.4809999999999999</v>
      </c>
      <c r="Y2886" s="24">
        <v>3.964</v>
      </c>
      <c r="Z2886" s="24">
        <v>0.66300000000000003</v>
      </c>
      <c r="AA2886" s="24">
        <v>5.8000000000000003E-2</v>
      </c>
      <c r="AB2886" s="24">
        <v>2E-3</v>
      </c>
      <c r="AC2886" s="24">
        <v>0</v>
      </c>
    </row>
    <row r="2887" spans="1:29" ht="23.25" x14ac:dyDescent="0.35">
      <c r="A2887" s="28">
        <v>2870</v>
      </c>
      <c r="B2887" s="26" t="s">
        <v>1015</v>
      </c>
      <c r="C2887" s="27" t="s">
        <v>1215</v>
      </c>
      <c r="D2887" s="25"/>
      <c r="E2887" s="25">
        <v>1835</v>
      </c>
      <c r="F2887" s="26" t="s">
        <v>1063</v>
      </c>
      <c r="G2887" s="25">
        <v>1828</v>
      </c>
      <c r="H2887" s="25">
        <v>1970</v>
      </c>
      <c r="I2887" s="24">
        <v>370.77300000000002</v>
      </c>
      <c r="J2887" s="24">
        <v>319.291</v>
      </c>
      <c r="K2887" s="24">
        <v>280.10700000000003</v>
      </c>
      <c r="L2887" s="24">
        <v>237.149</v>
      </c>
      <c r="M2887" s="24">
        <v>189.88900000000001</v>
      </c>
      <c r="N2887" s="24">
        <v>158.87</v>
      </c>
      <c r="O2887" s="24">
        <v>138.59899999999999</v>
      </c>
      <c r="P2887" s="24">
        <v>120.065</v>
      </c>
      <c r="Q2887" s="24">
        <v>102.40600000000001</v>
      </c>
      <c r="R2887" s="24">
        <v>85.158000000000001</v>
      </c>
      <c r="S2887" s="24">
        <v>67.677999999999997</v>
      </c>
      <c r="T2887" s="24">
        <v>51.689</v>
      </c>
      <c r="U2887" s="24">
        <v>37.526000000000003</v>
      </c>
      <c r="V2887" s="24">
        <v>25.297999999999998</v>
      </c>
      <c r="W2887" s="24">
        <v>16.343</v>
      </c>
      <c r="X2887" s="24">
        <v>7.6459999999999999</v>
      </c>
      <c r="Y2887" s="24">
        <v>3.71</v>
      </c>
      <c r="Z2887" s="24">
        <v>0.69699999999999995</v>
      </c>
      <c r="AA2887" s="24">
        <v>8.5000000000000006E-2</v>
      </c>
      <c r="AB2887" s="24">
        <v>2E-3</v>
      </c>
      <c r="AC2887" s="24">
        <v>0</v>
      </c>
    </row>
    <row r="2888" spans="1:29" ht="23.25" x14ac:dyDescent="0.35">
      <c r="A2888" s="28">
        <v>2871</v>
      </c>
      <c r="B2888" s="26" t="s">
        <v>1015</v>
      </c>
      <c r="C2888" s="27" t="s">
        <v>1215</v>
      </c>
      <c r="D2888" s="25"/>
      <c r="E2888" s="25">
        <v>1835</v>
      </c>
      <c r="F2888" s="26" t="s">
        <v>1063</v>
      </c>
      <c r="G2888" s="25">
        <v>1828</v>
      </c>
      <c r="H2888" s="25">
        <v>1975</v>
      </c>
      <c r="I2888" s="24">
        <v>413.42099999999999</v>
      </c>
      <c r="J2888" s="24">
        <v>353.69600000000003</v>
      </c>
      <c r="K2888" s="24">
        <v>313.97800000000001</v>
      </c>
      <c r="L2888" s="24">
        <v>271.38799999999998</v>
      </c>
      <c r="M2888" s="24">
        <v>226.518</v>
      </c>
      <c r="N2888" s="24">
        <v>176.52500000000001</v>
      </c>
      <c r="O2888" s="24">
        <v>151.64699999999999</v>
      </c>
      <c r="P2888" s="24">
        <v>131.22999999999999</v>
      </c>
      <c r="Q2888" s="24">
        <v>112.60299999999999</v>
      </c>
      <c r="R2888" s="24">
        <v>94.17</v>
      </c>
      <c r="S2888" s="24">
        <v>76.391999999999996</v>
      </c>
      <c r="T2888" s="24">
        <v>58.807000000000002</v>
      </c>
      <c r="U2888" s="24">
        <v>42.915999999999997</v>
      </c>
      <c r="V2888" s="24">
        <v>29.05</v>
      </c>
      <c r="W2888" s="24">
        <v>17.652999999999999</v>
      </c>
      <c r="X2888" s="24">
        <v>9.8889999999999993</v>
      </c>
      <c r="Y2888" s="24">
        <v>3.87</v>
      </c>
      <c r="Z2888" s="24">
        <v>0.82699999999999996</v>
      </c>
      <c r="AA2888" s="24">
        <v>0.10299999999999999</v>
      </c>
      <c r="AB2888" s="24">
        <v>3.0000000000000001E-3</v>
      </c>
      <c r="AC2888" s="24">
        <v>0</v>
      </c>
    </row>
    <row r="2889" spans="1:29" ht="23.25" x14ac:dyDescent="0.35">
      <c r="A2889" s="28">
        <v>2872</v>
      </c>
      <c r="B2889" s="26" t="s">
        <v>1015</v>
      </c>
      <c r="C2889" s="27" t="s">
        <v>1215</v>
      </c>
      <c r="D2889" s="25"/>
      <c r="E2889" s="25">
        <v>1835</v>
      </c>
      <c r="F2889" s="26" t="s">
        <v>1063</v>
      </c>
      <c r="G2889" s="25">
        <v>1828</v>
      </c>
      <c r="H2889" s="25">
        <v>1980</v>
      </c>
      <c r="I2889" s="24">
        <v>462.08199999999999</v>
      </c>
      <c r="J2889" s="24">
        <v>397.791</v>
      </c>
      <c r="K2889" s="24">
        <v>348.42</v>
      </c>
      <c r="L2889" s="24">
        <v>304.22500000000002</v>
      </c>
      <c r="M2889" s="24">
        <v>256.10599999999999</v>
      </c>
      <c r="N2889" s="24">
        <v>212.381</v>
      </c>
      <c r="O2889" s="24">
        <v>170.655</v>
      </c>
      <c r="P2889" s="24">
        <v>145.37299999999999</v>
      </c>
      <c r="Q2889" s="24">
        <v>123.911</v>
      </c>
      <c r="R2889" s="24">
        <v>104.625</v>
      </c>
      <c r="S2889" s="24">
        <v>86.022000000000006</v>
      </c>
      <c r="T2889" s="24">
        <v>67.563999999999993</v>
      </c>
      <c r="U2889" s="24">
        <v>49.241</v>
      </c>
      <c r="V2889" s="24">
        <v>33.244999999999997</v>
      </c>
      <c r="W2889" s="24">
        <v>20.437000000000001</v>
      </c>
      <c r="X2889" s="24">
        <v>11.042999999999999</v>
      </c>
      <c r="Y2889" s="24">
        <v>5.2350000000000003</v>
      </c>
      <c r="Z2889" s="24">
        <v>0.97799999999999998</v>
      </c>
      <c r="AA2889" s="24">
        <v>0.13700000000000001</v>
      </c>
      <c r="AB2889" s="24">
        <v>7.0000000000000001E-3</v>
      </c>
      <c r="AC2889" s="24">
        <v>0</v>
      </c>
    </row>
    <row r="2890" spans="1:29" ht="23.25" x14ac:dyDescent="0.35">
      <c r="A2890" s="28">
        <v>2873</v>
      </c>
      <c r="B2890" s="26" t="s">
        <v>1015</v>
      </c>
      <c r="C2890" s="27" t="s">
        <v>1215</v>
      </c>
      <c r="D2890" s="25"/>
      <c r="E2890" s="25">
        <v>1835</v>
      </c>
      <c r="F2890" s="26" t="s">
        <v>1063</v>
      </c>
      <c r="G2890" s="25">
        <v>1828</v>
      </c>
      <c r="H2890" s="25">
        <v>1985</v>
      </c>
      <c r="I2890" s="24">
        <v>509.315</v>
      </c>
      <c r="J2890" s="24">
        <v>449.17899999999997</v>
      </c>
      <c r="K2890" s="24">
        <v>392.99900000000002</v>
      </c>
      <c r="L2890" s="24">
        <v>340.01600000000002</v>
      </c>
      <c r="M2890" s="24">
        <v>294.22899999999998</v>
      </c>
      <c r="N2890" s="24">
        <v>248.58099999999999</v>
      </c>
      <c r="O2890" s="24">
        <v>208.04300000000001</v>
      </c>
      <c r="P2890" s="24">
        <v>165.047</v>
      </c>
      <c r="Q2890" s="24">
        <v>139.732</v>
      </c>
      <c r="R2890" s="24">
        <v>116.24299999999999</v>
      </c>
      <c r="S2890" s="24">
        <v>96.924999999999997</v>
      </c>
      <c r="T2890" s="24">
        <v>75.537000000000006</v>
      </c>
      <c r="U2890" s="24">
        <v>56.517000000000003</v>
      </c>
      <c r="V2890" s="24">
        <v>38.375999999999998</v>
      </c>
      <c r="W2890" s="24">
        <v>24.032</v>
      </c>
      <c r="X2890" s="24">
        <v>13.106999999999999</v>
      </c>
      <c r="Y2890" s="24">
        <v>5.6950000000000003</v>
      </c>
      <c r="Z2890" s="24">
        <v>1.417</v>
      </c>
      <c r="AA2890" s="24">
        <v>0.18099999999999999</v>
      </c>
      <c r="AB2890" s="24">
        <v>1.0999999999999999E-2</v>
      </c>
      <c r="AC2890" s="24">
        <v>0</v>
      </c>
    </row>
    <row r="2891" spans="1:29" ht="23.25" x14ac:dyDescent="0.35">
      <c r="A2891" s="28">
        <v>2874</v>
      </c>
      <c r="B2891" s="26" t="s">
        <v>1015</v>
      </c>
      <c r="C2891" s="27" t="s">
        <v>1215</v>
      </c>
      <c r="D2891" s="25"/>
      <c r="E2891" s="25">
        <v>1835</v>
      </c>
      <c r="F2891" s="26" t="s">
        <v>1063</v>
      </c>
      <c r="G2891" s="25">
        <v>1828</v>
      </c>
      <c r="H2891" s="25">
        <v>1990</v>
      </c>
      <c r="I2891" s="24">
        <v>537.91899999999998</v>
      </c>
      <c r="J2891" s="24">
        <v>490.28199999999998</v>
      </c>
      <c r="K2891" s="24">
        <v>437.28899999999999</v>
      </c>
      <c r="L2891" s="24">
        <v>381.83499999999998</v>
      </c>
      <c r="M2891" s="24">
        <v>328.11200000000002</v>
      </c>
      <c r="N2891" s="24">
        <v>283.05099999999999</v>
      </c>
      <c r="O2891" s="24">
        <v>239.809</v>
      </c>
      <c r="P2891" s="24">
        <v>200.45</v>
      </c>
      <c r="Q2891" s="24">
        <v>157.91200000000001</v>
      </c>
      <c r="R2891" s="24">
        <v>131.40299999999999</v>
      </c>
      <c r="S2891" s="24">
        <v>106.982</v>
      </c>
      <c r="T2891" s="24">
        <v>85.397999999999996</v>
      </c>
      <c r="U2891" s="24">
        <v>64.164000000000001</v>
      </c>
      <c r="V2891" s="24">
        <v>44.500999999999998</v>
      </c>
      <c r="W2891" s="24">
        <v>27.239000000000001</v>
      </c>
      <c r="X2891" s="24">
        <v>15.27</v>
      </c>
      <c r="Y2891" s="24">
        <v>7.1219999999999999</v>
      </c>
      <c r="Z2891" s="24">
        <v>1.6060000000000001</v>
      </c>
      <c r="AA2891" s="24">
        <v>0.27300000000000002</v>
      </c>
      <c r="AB2891" s="24">
        <v>1.4999999999999999E-2</v>
      </c>
      <c r="AC2891" s="24">
        <v>0</v>
      </c>
    </row>
    <row r="2892" spans="1:29" ht="23.25" x14ac:dyDescent="0.35">
      <c r="A2892" s="28">
        <v>2875</v>
      </c>
      <c r="B2892" s="26" t="s">
        <v>1015</v>
      </c>
      <c r="C2892" s="27" t="s">
        <v>1215</v>
      </c>
      <c r="D2892" s="25"/>
      <c r="E2892" s="25">
        <v>1835</v>
      </c>
      <c r="F2892" s="26" t="s">
        <v>1063</v>
      </c>
      <c r="G2892" s="25">
        <v>1828</v>
      </c>
      <c r="H2892" s="25">
        <v>1995</v>
      </c>
      <c r="I2892" s="24">
        <v>581.18100000000004</v>
      </c>
      <c r="J2892" s="24">
        <v>519.61300000000006</v>
      </c>
      <c r="K2892" s="24">
        <v>480.96899999999999</v>
      </c>
      <c r="L2892" s="24">
        <v>426.00400000000002</v>
      </c>
      <c r="M2892" s="24">
        <v>366.21899999999999</v>
      </c>
      <c r="N2892" s="24">
        <v>315.99200000000002</v>
      </c>
      <c r="O2892" s="24">
        <v>274.47199999999998</v>
      </c>
      <c r="P2892" s="24">
        <v>231.2</v>
      </c>
      <c r="Q2892" s="24">
        <v>192.386</v>
      </c>
      <c r="R2892" s="24">
        <v>149.19</v>
      </c>
      <c r="S2892" s="24">
        <v>119.873</v>
      </c>
      <c r="T2892" s="24">
        <v>94.614000000000004</v>
      </c>
      <c r="U2892" s="24">
        <v>72.072000000000003</v>
      </c>
      <c r="V2892" s="24">
        <v>50.576999999999998</v>
      </c>
      <c r="W2892" s="24">
        <v>31.666</v>
      </c>
      <c r="X2892" s="24">
        <v>17.390999999999998</v>
      </c>
      <c r="Y2892" s="24">
        <v>7.9969999999999999</v>
      </c>
      <c r="Z2892" s="24">
        <v>2.194</v>
      </c>
      <c r="AA2892" s="24">
        <v>0.31900000000000001</v>
      </c>
      <c r="AB2892" s="24">
        <v>2.7E-2</v>
      </c>
      <c r="AC2892" s="24">
        <v>1E-3</v>
      </c>
    </row>
    <row r="2893" spans="1:29" ht="23.25" x14ac:dyDescent="0.35">
      <c r="A2893" s="28">
        <v>2876</v>
      </c>
      <c r="B2893" s="26" t="s">
        <v>1015</v>
      </c>
      <c r="C2893" s="27" t="s">
        <v>1215</v>
      </c>
      <c r="D2893" s="25"/>
      <c r="E2893" s="25">
        <v>1835</v>
      </c>
      <c r="F2893" s="26" t="s">
        <v>1063</v>
      </c>
      <c r="G2893" s="25">
        <v>1828</v>
      </c>
      <c r="H2893" s="25">
        <v>2000</v>
      </c>
      <c r="I2893" s="24">
        <v>638.16200000000003</v>
      </c>
      <c r="J2893" s="24">
        <v>563.53899999999999</v>
      </c>
      <c r="K2893" s="24">
        <v>508.19400000000002</v>
      </c>
      <c r="L2893" s="24">
        <v>466.654</v>
      </c>
      <c r="M2893" s="24">
        <v>407.851</v>
      </c>
      <c r="N2893" s="24">
        <v>352.61900000000003</v>
      </c>
      <c r="O2893" s="24">
        <v>304.86700000000002</v>
      </c>
      <c r="P2893" s="24">
        <v>263.96600000000001</v>
      </c>
      <c r="Q2893" s="24">
        <v>220.68899999999999</v>
      </c>
      <c r="R2893" s="24">
        <v>181.172</v>
      </c>
      <c r="S2893" s="24">
        <v>137.55600000000001</v>
      </c>
      <c r="T2893" s="24">
        <v>107.473</v>
      </c>
      <c r="U2893" s="24">
        <v>81.301000000000002</v>
      </c>
      <c r="V2893" s="24">
        <v>57.753</v>
      </c>
      <c r="W2893" s="24">
        <v>36.451999999999998</v>
      </c>
      <c r="X2893" s="24">
        <v>20.414000000000001</v>
      </c>
      <c r="Y2893" s="24">
        <v>9.7799999999999994</v>
      </c>
      <c r="Z2893" s="24">
        <v>2.6</v>
      </c>
      <c r="AA2893" s="24">
        <v>0.46</v>
      </c>
      <c r="AB2893" s="24">
        <v>3.2000000000000001E-2</v>
      </c>
      <c r="AC2893" s="24">
        <v>1E-3</v>
      </c>
    </row>
    <row r="2894" spans="1:29" ht="23.25" x14ac:dyDescent="0.35">
      <c r="A2894" s="28">
        <v>2877</v>
      </c>
      <c r="B2894" s="26" t="s">
        <v>1015</v>
      </c>
      <c r="C2894" s="27" t="s">
        <v>1215</v>
      </c>
      <c r="D2894" s="25"/>
      <c r="E2894" s="25">
        <v>1835</v>
      </c>
      <c r="F2894" s="26" t="s">
        <v>1063</v>
      </c>
      <c r="G2894" s="25">
        <v>1828</v>
      </c>
      <c r="H2894" s="25">
        <v>2005</v>
      </c>
      <c r="I2894" s="24">
        <v>666.57899999999995</v>
      </c>
      <c r="J2894" s="24">
        <v>610.25800000000004</v>
      </c>
      <c r="K2894" s="24">
        <v>541.69399999999996</v>
      </c>
      <c r="L2894" s="24">
        <v>486.59199999999998</v>
      </c>
      <c r="M2894" s="24">
        <v>443.089</v>
      </c>
      <c r="N2894" s="24">
        <v>387.923</v>
      </c>
      <c r="O2894" s="24">
        <v>336.98500000000001</v>
      </c>
      <c r="P2894" s="24">
        <v>293.87900000000002</v>
      </c>
      <c r="Q2894" s="24">
        <v>255.166</v>
      </c>
      <c r="R2894" s="24">
        <v>211.29499999999999</v>
      </c>
      <c r="S2894" s="24">
        <v>169.017</v>
      </c>
      <c r="T2894" s="24">
        <v>125.288</v>
      </c>
      <c r="U2894" s="24">
        <v>93.557000000000002</v>
      </c>
      <c r="V2894" s="24">
        <v>66.353999999999999</v>
      </c>
      <c r="W2894" s="24">
        <v>42.939</v>
      </c>
      <c r="X2894" s="24">
        <v>24.193000000000001</v>
      </c>
      <c r="Y2894" s="24">
        <v>11.496</v>
      </c>
      <c r="Z2894" s="24">
        <v>3.222</v>
      </c>
      <c r="AA2894" s="24">
        <v>0.54600000000000004</v>
      </c>
      <c r="AB2894" s="24">
        <v>5.3999999999999999E-2</v>
      </c>
      <c r="AC2894" s="24">
        <v>1E-3</v>
      </c>
    </row>
    <row r="2895" spans="1:29" ht="23.25" x14ac:dyDescent="0.35">
      <c r="A2895" s="28">
        <v>2878</v>
      </c>
      <c r="B2895" s="26" t="s">
        <v>1015</v>
      </c>
      <c r="C2895" s="27" t="s">
        <v>1215</v>
      </c>
      <c r="D2895" s="25"/>
      <c r="E2895" s="25">
        <v>1835</v>
      </c>
      <c r="F2895" s="26" t="s">
        <v>1063</v>
      </c>
      <c r="G2895" s="25">
        <v>1828</v>
      </c>
      <c r="H2895" s="25">
        <v>2010</v>
      </c>
      <c r="I2895" s="24">
        <v>704.952</v>
      </c>
      <c r="J2895" s="24">
        <v>650.596</v>
      </c>
      <c r="K2895" s="24">
        <v>601.92700000000002</v>
      </c>
      <c r="L2895" s="24">
        <v>527.46400000000006</v>
      </c>
      <c r="M2895" s="24">
        <v>469.37099999999998</v>
      </c>
      <c r="N2895" s="24">
        <v>431.42599999999999</v>
      </c>
      <c r="O2895" s="24">
        <v>381.178</v>
      </c>
      <c r="P2895" s="24">
        <v>332.53199999999998</v>
      </c>
      <c r="Q2895" s="24">
        <v>284.38299999999998</v>
      </c>
      <c r="R2895" s="24">
        <v>242.69300000000001</v>
      </c>
      <c r="S2895" s="24">
        <v>197.595</v>
      </c>
      <c r="T2895" s="24">
        <v>154.53800000000001</v>
      </c>
      <c r="U2895" s="24">
        <v>109.93600000000001</v>
      </c>
      <c r="V2895" s="24">
        <v>77.929000000000002</v>
      </c>
      <c r="W2895" s="24">
        <v>50.134</v>
      </c>
      <c r="X2895" s="24">
        <v>29.114000000000001</v>
      </c>
      <c r="Y2895" s="24">
        <v>13.914999999999999</v>
      </c>
      <c r="Z2895" s="24">
        <v>3.964</v>
      </c>
      <c r="AA2895" s="24">
        <v>0.72299999999999998</v>
      </c>
      <c r="AB2895" s="24">
        <v>7.1999999999999995E-2</v>
      </c>
      <c r="AC2895" s="24">
        <v>3.0000000000000001E-3</v>
      </c>
    </row>
    <row r="2896" spans="1:29" ht="23.25" x14ac:dyDescent="0.35">
      <c r="A2896" s="28">
        <v>2879</v>
      </c>
      <c r="B2896" s="26" t="s">
        <v>1015</v>
      </c>
      <c r="C2896" s="27" t="s">
        <v>1215</v>
      </c>
      <c r="D2896" s="25"/>
      <c r="E2896" s="25">
        <v>1835</v>
      </c>
      <c r="F2896" s="26" t="s">
        <v>1063</v>
      </c>
      <c r="G2896" s="25">
        <v>1828</v>
      </c>
      <c r="H2896" s="25">
        <v>2015</v>
      </c>
      <c r="I2896" s="24">
        <v>737.40200000000004</v>
      </c>
      <c r="J2896" s="24">
        <v>697.30100000000004</v>
      </c>
      <c r="K2896" s="24">
        <v>641.44299999999998</v>
      </c>
      <c r="L2896" s="24">
        <v>588.38699999999994</v>
      </c>
      <c r="M2896" s="24">
        <v>510.67599999999999</v>
      </c>
      <c r="N2896" s="24">
        <v>453.55500000000001</v>
      </c>
      <c r="O2896" s="24">
        <v>418.57799999999997</v>
      </c>
      <c r="P2896" s="24">
        <v>371.41500000000002</v>
      </c>
      <c r="Q2896" s="24">
        <v>321.17099999999999</v>
      </c>
      <c r="R2896" s="24">
        <v>273.41300000000001</v>
      </c>
      <c r="S2896" s="24">
        <v>229.84200000000001</v>
      </c>
      <c r="T2896" s="24">
        <v>181.66800000000001</v>
      </c>
      <c r="U2896" s="24">
        <v>135.33799999999999</v>
      </c>
      <c r="V2896" s="24">
        <v>90.066999999999993</v>
      </c>
      <c r="W2896" s="24">
        <v>57.018000000000001</v>
      </c>
      <c r="X2896" s="24">
        <v>31.550999999999998</v>
      </c>
      <c r="Y2896" s="24">
        <v>14.757</v>
      </c>
      <c r="Z2896" s="24">
        <v>5.1280000000000001</v>
      </c>
      <c r="AA2896" s="24">
        <v>0.94899999999999995</v>
      </c>
      <c r="AB2896" s="24">
        <v>0.1</v>
      </c>
      <c r="AC2896" s="24">
        <v>6.0000000000000001E-3</v>
      </c>
    </row>
    <row r="2897" spans="1:29" ht="23.25" x14ac:dyDescent="0.35">
      <c r="A2897" s="28">
        <v>2880</v>
      </c>
      <c r="B2897" s="26" t="s">
        <v>1015</v>
      </c>
      <c r="C2897" s="27" t="s">
        <v>1215</v>
      </c>
      <c r="D2897" s="25"/>
      <c r="E2897" s="25">
        <v>1835</v>
      </c>
      <c r="F2897" s="26" t="s">
        <v>1063</v>
      </c>
      <c r="G2897" s="25">
        <v>1828</v>
      </c>
      <c r="H2897" s="25">
        <v>2020</v>
      </c>
      <c r="I2897" s="24">
        <v>766.18100000000004</v>
      </c>
      <c r="J2897" s="24">
        <v>724.22900000000004</v>
      </c>
      <c r="K2897" s="24">
        <v>688.65599999999995</v>
      </c>
      <c r="L2897" s="24">
        <v>634.81200000000001</v>
      </c>
      <c r="M2897" s="24">
        <v>577.31700000000001</v>
      </c>
      <c r="N2897" s="24">
        <v>498.78500000000003</v>
      </c>
      <c r="O2897" s="24">
        <v>444.98099999999999</v>
      </c>
      <c r="P2897" s="24">
        <v>408.80500000000001</v>
      </c>
      <c r="Q2897" s="24">
        <v>360.28300000000002</v>
      </c>
      <c r="R2897" s="24">
        <v>311.01100000000002</v>
      </c>
      <c r="S2897" s="24">
        <v>260.61799999999999</v>
      </c>
      <c r="T2897" s="24">
        <v>212.95699999999999</v>
      </c>
      <c r="U2897" s="24">
        <v>161.26599999999999</v>
      </c>
      <c r="V2897" s="24">
        <v>113.761</v>
      </c>
      <c r="W2897" s="24">
        <v>68.974999999999994</v>
      </c>
      <c r="X2897" s="24">
        <v>37.384999999999998</v>
      </c>
      <c r="Y2897" s="24">
        <v>17.186</v>
      </c>
      <c r="Z2897" s="24">
        <v>5.8570000000000002</v>
      </c>
      <c r="AA2897" s="24">
        <v>1.3220000000000001</v>
      </c>
      <c r="AB2897" s="24">
        <v>0.14399999999999999</v>
      </c>
      <c r="AC2897" s="24">
        <v>0.01</v>
      </c>
    </row>
    <row r="2898" spans="1:29" ht="11.65" x14ac:dyDescent="0.35">
      <c r="A2898" s="23">
        <v>2881</v>
      </c>
      <c r="B2898" s="21" t="s">
        <v>1015</v>
      </c>
      <c r="C2898" s="29" t="s">
        <v>1216</v>
      </c>
      <c r="D2898" s="20"/>
      <c r="E2898" s="20">
        <v>928</v>
      </c>
      <c r="F2898" s="21" t="s">
        <v>1065</v>
      </c>
      <c r="G2898" s="20">
        <v>1835</v>
      </c>
      <c r="H2898" s="20">
        <v>1950</v>
      </c>
      <c r="I2898" s="19">
        <v>202.47900000000001</v>
      </c>
      <c r="J2898" s="19">
        <v>168.441</v>
      </c>
      <c r="K2898" s="19">
        <v>149.89500000000001</v>
      </c>
      <c r="L2898" s="19">
        <v>134.01300000000001</v>
      </c>
      <c r="M2898" s="19">
        <v>118.58499999999999</v>
      </c>
      <c r="N2898" s="19">
        <v>103.905</v>
      </c>
      <c r="O2898" s="19">
        <v>90.572000000000003</v>
      </c>
      <c r="P2898" s="19">
        <v>77.072000000000003</v>
      </c>
      <c r="Q2898" s="19">
        <v>64.947000000000003</v>
      </c>
      <c r="R2898" s="19">
        <v>52.758000000000003</v>
      </c>
      <c r="S2898" s="19">
        <v>44.383000000000003</v>
      </c>
      <c r="T2898" s="19">
        <v>29.745000000000001</v>
      </c>
      <c r="U2898" s="19">
        <v>25.081</v>
      </c>
      <c r="V2898" s="19">
        <v>22.594999999999999</v>
      </c>
      <c r="W2898" s="19">
        <v>15.927</v>
      </c>
      <c r="X2898" s="19">
        <v>9.0909999999999993</v>
      </c>
      <c r="Y2898" s="19">
        <v>3.7519999999999998</v>
      </c>
      <c r="Z2898" s="19">
        <v>1.079</v>
      </c>
      <c r="AA2898" s="19">
        <v>0.218</v>
      </c>
      <c r="AB2898" s="19">
        <v>2.9000000000000001E-2</v>
      </c>
      <c r="AC2898" s="19">
        <v>2E-3</v>
      </c>
    </row>
    <row r="2899" spans="1:29" ht="11.65" x14ac:dyDescent="0.35">
      <c r="A2899" s="23">
        <v>2882</v>
      </c>
      <c r="B2899" s="21" t="s">
        <v>1015</v>
      </c>
      <c r="C2899" s="29" t="s">
        <v>1216</v>
      </c>
      <c r="D2899" s="20"/>
      <c r="E2899" s="20">
        <v>928</v>
      </c>
      <c r="F2899" s="21" t="s">
        <v>1065</v>
      </c>
      <c r="G2899" s="20">
        <v>1835</v>
      </c>
      <c r="H2899" s="20">
        <v>1955</v>
      </c>
      <c r="I2899" s="19">
        <v>230.762</v>
      </c>
      <c r="J2899" s="19">
        <v>180.547</v>
      </c>
      <c r="K2899" s="19">
        <v>156.744</v>
      </c>
      <c r="L2899" s="19">
        <v>139.529</v>
      </c>
      <c r="M2899" s="19">
        <v>123.68600000000001</v>
      </c>
      <c r="N2899" s="19">
        <v>107.849</v>
      </c>
      <c r="O2899" s="19">
        <v>93.31</v>
      </c>
      <c r="P2899" s="19">
        <v>80.203000000000003</v>
      </c>
      <c r="Q2899" s="19">
        <v>67.075000000000003</v>
      </c>
      <c r="R2899" s="19">
        <v>54.908000000000001</v>
      </c>
      <c r="S2899" s="19">
        <v>42.95</v>
      </c>
      <c r="T2899" s="19">
        <v>34.799999999999997</v>
      </c>
      <c r="U2899" s="19">
        <v>21.507999999999999</v>
      </c>
      <c r="V2899" s="19">
        <v>16.385999999999999</v>
      </c>
      <c r="W2899" s="19">
        <v>13.266</v>
      </c>
      <c r="X2899" s="19">
        <v>8.0329999999999995</v>
      </c>
      <c r="Y2899" s="19">
        <v>3.6840000000000002</v>
      </c>
      <c r="Z2899" s="19">
        <v>0.61699999999999999</v>
      </c>
      <c r="AA2899" s="19">
        <v>0.105</v>
      </c>
      <c r="AB2899" s="19">
        <v>1.2E-2</v>
      </c>
      <c r="AC2899" s="19">
        <v>0</v>
      </c>
    </row>
    <row r="2900" spans="1:29" ht="11.65" x14ac:dyDescent="0.35">
      <c r="A2900" s="23">
        <v>2883</v>
      </c>
      <c r="B2900" s="21" t="s">
        <v>1015</v>
      </c>
      <c r="C2900" s="29" t="s">
        <v>1216</v>
      </c>
      <c r="D2900" s="20"/>
      <c r="E2900" s="20">
        <v>928</v>
      </c>
      <c r="F2900" s="21" t="s">
        <v>1065</v>
      </c>
      <c r="G2900" s="20">
        <v>1835</v>
      </c>
      <c r="H2900" s="20">
        <v>1960</v>
      </c>
      <c r="I2900" s="19">
        <v>256.90199999999999</v>
      </c>
      <c r="J2900" s="19">
        <v>212.619</v>
      </c>
      <c r="K2900" s="19">
        <v>173.09299999999999</v>
      </c>
      <c r="L2900" s="19">
        <v>149.327</v>
      </c>
      <c r="M2900" s="19">
        <v>131.40600000000001</v>
      </c>
      <c r="N2900" s="19">
        <v>115.23399999999999</v>
      </c>
      <c r="O2900" s="19">
        <v>100.322</v>
      </c>
      <c r="P2900" s="19">
        <v>86.352000000000004</v>
      </c>
      <c r="Q2900" s="19">
        <v>73.105999999999995</v>
      </c>
      <c r="R2900" s="19">
        <v>59.735999999999997</v>
      </c>
      <c r="S2900" s="19">
        <v>47.273000000000003</v>
      </c>
      <c r="T2900" s="19">
        <v>35.424999999999997</v>
      </c>
      <c r="U2900" s="19">
        <v>27.53</v>
      </c>
      <c r="V2900" s="19">
        <v>15.882999999999999</v>
      </c>
      <c r="W2900" s="19">
        <v>10.789</v>
      </c>
      <c r="X2900" s="19">
        <v>7.3940000000000001</v>
      </c>
      <c r="Y2900" s="19">
        <v>3.665</v>
      </c>
      <c r="Z2900" s="19">
        <v>0.45900000000000002</v>
      </c>
      <c r="AA2900" s="19">
        <v>5.5E-2</v>
      </c>
      <c r="AB2900" s="19">
        <v>6.0000000000000001E-3</v>
      </c>
      <c r="AC2900" s="19">
        <v>1E-3</v>
      </c>
    </row>
    <row r="2901" spans="1:29" ht="11.65" x14ac:dyDescent="0.35">
      <c r="A2901" s="23">
        <v>2884</v>
      </c>
      <c r="B2901" s="21" t="s">
        <v>1015</v>
      </c>
      <c r="C2901" s="29" t="s">
        <v>1216</v>
      </c>
      <c r="D2901" s="20"/>
      <c r="E2901" s="20">
        <v>928</v>
      </c>
      <c r="F2901" s="21" t="s">
        <v>1065</v>
      </c>
      <c r="G2901" s="20">
        <v>1835</v>
      </c>
      <c r="H2901" s="20">
        <v>1965</v>
      </c>
      <c r="I2901" s="19">
        <v>283.32400000000001</v>
      </c>
      <c r="J2901" s="19">
        <v>240.422</v>
      </c>
      <c r="K2901" s="19">
        <v>206.381</v>
      </c>
      <c r="L2901" s="19">
        <v>167.54400000000001</v>
      </c>
      <c r="M2901" s="19">
        <v>143.38499999999999</v>
      </c>
      <c r="N2901" s="19">
        <v>124.779</v>
      </c>
      <c r="O2901" s="19">
        <v>108.723</v>
      </c>
      <c r="P2901" s="19">
        <v>93.796000000000006</v>
      </c>
      <c r="Q2901" s="19">
        <v>79.266999999999996</v>
      </c>
      <c r="R2901" s="19">
        <v>65.63</v>
      </c>
      <c r="S2901" s="19">
        <v>51.978000000000002</v>
      </c>
      <c r="T2901" s="19">
        <v>39.573</v>
      </c>
      <c r="U2901" s="19">
        <v>28.074000000000002</v>
      </c>
      <c r="V2901" s="19">
        <v>20.248000000000001</v>
      </c>
      <c r="W2901" s="19">
        <v>10.58</v>
      </c>
      <c r="X2901" s="19">
        <v>6.17</v>
      </c>
      <c r="Y2901" s="19">
        <v>3.4350000000000001</v>
      </c>
      <c r="Z2901" s="19">
        <v>0.51200000000000001</v>
      </c>
      <c r="AA2901" s="19">
        <v>3.9E-2</v>
      </c>
      <c r="AB2901" s="19">
        <v>2E-3</v>
      </c>
      <c r="AC2901" s="19">
        <v>0</v>
      </c>
    </row>
    <row r="2902" spans="1:29" ht="11.65" x14ac:dyDescent="0.35">
      <c r="A2902" s="23">
        <v>2885</v>
      </c>
      <c r="B2902" s="21" t="s">
        <v>1015</v>
      </c>
      <c r="C2902" s="29" t="s">
        <v>1216</v>
      </c>
      <c r="D2902" s="20"/>
      <c r="E2902" s="20">
        <v>928</v>
      </c>
      <c r="F2902" s="21" t="s">
        <v>1065</v>
      </c>
      <c r="G2902" s="20">
        <v>1835</v>
      </c>
      <c r="H2902" s="20">
        <v>1970</v>
      </c>
      <c r="I2902" s="19">
        <v>312.43099999999998</v>
      </c>
      <c r="J2902" s="19">
        <v>266.589</v>
      </c>
      <c r="K2902" s="19">
        <v>234.76599999999999</v>
      </c>
      <c r="L2902" s="19">
        <v>201.381</v>
      </c>
      <c r="M2902" s="19">
        <v>162.00700000000001</v>
      </c>
      <c r="N2902" s="19">
        <v>137.542</v>
      </c>
      <c r="O2902" s="19">
        <v>118.925</v>
      </c>
      <c r="P2902" s="19">
        <v>102.81399999999999</v>
      </c>
      <c r="Q2902" s="19">
        <v>87.325000000000003</v>
      </c>
      <c r="R2902" s="19">
        <v>72.173000000000002</v>
      </c>
      <c r="S2902" s="19">
        <v>57.901000000000003</v>
      </c>
      <c r="T2902" s="19">
        <v>43.99</v>
      </c>
      <c r="U2902" s="19">
        <v>32.082999999999998</v>
      </c>
      <c r="V2902" s="19">
        <v>21.29</v>
      </c>
      <c r="W2902" s="19">
        <v>13.913</v>
      </c>
      <c r="X2902" s="19">
        <v>6.38</v>
      </c>
      <c r="Y2902" s="19">
        <v>3.0510000000000002</v>
      </c>
      <c r="Z2902" s="19">
        <v>0.53200000000000003</v>
      </c>
      <c r="AA2902" s="19">
        <v>5.7000000000000002E-2</v>
      </c>
      <c r="AB2902" s="19">
        <v>2E-3</v>
      </c>
      <c r="AC2902" s="19">
        <v>0</v>
      </c>
    </row>
    <row r="2903" spans="1:29" ht="11.65" x14ac:dyDescent="0.35">
      <c r="A2903" s="23">
        <v>2886</v>
      </c>
      <c r="B2903" s="21" t="s">
        <v>1015</v>
      </c>
      <c r="C2903" s="29" t="s">
        <v>1216</v>
      </c>
      <c r="D2903" s="20"/>
      <c r="E2903" s="20">
        <v>928</v>
      </c>
      <c r="F2903" s="21" t="s">
        <v>1065</v>
      </c>
      <c r="G2903" s="20">
        <v>1835</v>
      </c>
      <c r="H2903" s="20">
        <v>1975</v>
      </c>
      <c r="I2903" s="19">
        <v>356.34300000000002</v>
      </c>
      <c r="J2903" s="19">
        <v>298.07</v>
      </c>
      <c r="K2903" s="19">
        <v>263.35899999999998</v>
      </c>
      <c r="L2903" s="19">
        <v>229.66499999999999</v>
      </c>
      <c r="M2903" s="19">
        <v>192.94800000000001</v>
      </c>
      <c r="N2903" s="19">
        <v>153.83600000000001</v>
      </c>
      <c r="O2903" s="19">
        <v>131.042</v>
      </c>
      <c r="P2903" s="19">
        <v>113.155</v>
      </c>
      <c r="Q2903" s="19">
        <v>96.667000000000002</v>
      </c>
      <c r="R2903" s="19">
        <v>80.510999999999996</v>
      </c>
      <c r="S2903" s="19">
        <v>64.623999999999995</v>
      </c>
      <c r="T2903" s="19">
        <v>49.814</v>
      </c>
      <c r="U2903" s="19">
        <v>36.161000000000001</v>
      </c>
      <c r="V2903" s="19">
        <v>24.48</v>
      </c>
      <c r="W2903" s="19">
        <v>14.625999999999999</v>
      </c>
      <c r="X2903" s="19">
        <v>8.3580000000000005</v>
      </c>
      <c r="Y2903" s="19">
        <v>3.2050000000000001</v>
      </c>
      <c r="Z2903" s="19">
        <v>0.61499999999999999</v>
      </c>
      <c r="AA2903" s="19">
        <v>7.0000000000000007E-2</v>
      </c>
      <c r="AB2903" s="19">
        <v>3.0000000000000001E-3</v>
      </c>
      <c r="AC2903" s="19">
        <v>0</v>
      </c>
    </row>
    <row r="2904" spans="1:29" ht="11.65" x14ac:dyDescent="0.35">
      <c r="A2904" s="23">
        <v>2887</v>
      </c>
      <c r="B2904" s="21" t="s">
        <v>1015</v>
      </c>
      <c r="C2904" s="29" t="s">
        <v>1216</v>
      </c>
      <c r="D2904" s="20"/>
      <c r="E2904" s="20">
        <v>928</v>
      </c>
      <c r="F2904" s="21" t="s">
        <v>1065</v>
      </c>
      <c r="G2904" s="20">
        <v>1835</v>
      </c>
      <c r="H2904" s="20">
        <v>1980</v>
      </c>
      <c r="I2904" s="19">
        <v>402.67099999999999</v>
      </c>
      <c r="J2904" s="19">
        <v>342.63099999999997</v>
      </c>
      <c r="K2904" s="19">
        <v>294.60500000000002</v>
      </c>
      <c r="L2904" s="19">
        <v>256.99900000000002</v>
      </c>
      <c r="M2904" s="19">
        <v>219.08699999999999</v>
      </c>
      <c r="N2904" s="19">
        <v>183.374</v>
      </c>
      <c r="O2904" s="19">
        <v>147.47200000000001</v>
      </c>
      <c r="P2904" s="19">
        <v>125.357</v>
      </c>
      <c r="Q2904" s="19">
        <v>107.072</v>
      </c>
      <c r="R2904" s="19">
        <v>90.049000000000007</v>
      </c>
      <c r="S2904" s="19">
        <v>73.13</v>
      </c>
      <c r="T2904" s="19">
        <v>56.787999999999997</v>
      </c>
      <c r="U2904" s="19">
        <v>41.734000000000002</v>
      </c>
      <c r="V2904" s="19">
        <v>27.655000000000001</v>
      </c>
      <c r="W2904" s="19">
        <v>17.117000000000001</v>
      </c>
      <c r="X2904" s="19">
        <v>9.2230000000000008</v>
      </c>
      <c r="Y2904" s="19">
        <v>4.3730000000000002</v>
      </c>
      <c r="Z2904" s="19">
        <v>0.755</v>
      </c>
      <c r="AA2904" s="19">
        <v>9.1999999999999998E-2</v>
      </c>
      <c r="AB2904" s="19">
        <v>5.0000000000000001E-3</v>
      </c>
      <c r="AC2904" s="19">
        <v>0</v>
      </c>
    </row>
    <row r="2905" spans="1:29" ht="11.65" x14ac:dyDescent="0.35">
      <c r="A2905" s="23">
        <v>2888</v>
      </c>
      <c r="B2905" s="21" t="s">
        <v>1015</v>
      </c>
      <c r="C2905" s="29" t="s">
        <v>1216</v>
      </c>
      <c r="D2905" s="20"/>
      <c r="E2905" s="20">
        <v>928</v>
      </c>
      <c r="F2905" s="21" t="s">
        <v>1065</v>
      </c>
      <c r="G2905" s="20">
        <v>1835</v>
      </c>
      <c r="H2905" s="20">
        <v>1985</v>
      </c>
      <c r="I2905" s="19">
        <v>444.56900000000002</v>
      </c>
      <c r="J2905" s="19">
        <v>391.71199999999999</v>
      </c>
      <c r="K2905" s="19">
        <v>338.50700000000001</v>
      </c>
      <c r="L2905" s="19">
        <v>286.62900000000002</v>
      </c>
      <c r="M2905" s="19">
        <v>249.43</v>
      </c>
      <c r="N2905" s="19">
        <v>213.60400000000001</v>
      </c>
      <c r="O2905" s="19">
        <v>177.39099999999999</v>
      </c>
      <c r="P2905" s="19">
        <v>141.33699999999999</v>
      </c>
      <c r="Q2905" s="19">
        <v>119.34</v>
      </c>
      <c r="R2905" s="19">
        <v>100.468</v>
      </c>
      <c r="S2905" s="19">
        <v>82.456000000000003</v>
      </c>
      <c r="T2905" s="19">
        <v>64.536000000000001</v>
      </c>
      <c r="U2905" s="19">
        <v>47.469000000000001</v>
      </c>
      <c r="V2905" s="19">
        <v>32.338000000000001</v>
      </c>
      <c r="W2905" s="19">
        <v>19.713999999999999</v>
      </c>
      <c r="X2905" s="19">
        <v>11.032999999999999</v>
      </c>
      <c r="Y2905" s="19">
        <v>4.8040000000000003</v>
      </c>
      <c r="Z2905" s="19">
        <v>1.1200000000000001</v>
      </c>
      <c r="AA2905" s="19">
        <v>0.13</v>
      </c>
      <c r="AB2905" s="19">
        <v>7.0000000000000001E-3</v>
      </c>
      <c r="AC2905" s="19">
        <v>0</v>
      </c>
    </row>
    <row r="2906" spans="1:29" ht="11.65" x14ac:dyDescent="0.35">
      <c r="A2906" s="23">
        <v>2889</v>
      </c>
      <c r="B2906" s="21" t="s">
        <v>1015</v>
      </c>
      <c r="C2906" s="29" t="s">
        <v>1216</v>
      </c>
      <c r="D2906" s="20"/>
      <c r="E2906" s="20">
        <v>928</v>
      </c>
      <c r="F2906" s="21" t="s">
        <v>1065</v>
      </c>
      <c r="G2906" s="20">
        <v>1835</v>
      </c>
      <c r="H2906" s="20">
        <v>1990</v>
      </c>
      <c r="I2906" s="19">
        <v>467.56099999999998</v>
      </c>
      <c r="J2906" s="19">
        <v>428.02199999999999</v>
      </c>
      <c r="K2906" s="19">
        <v>381.47500000000002</v>
      </c>
      <c r="L2906" s="19">
        <v>329.17200000000003</v>
      </c>
      <c r="M2906" s="19">
        <v>277.22199999999998</v>
      </c>
      <c r="N2906" s="19">
        <v>240.26400000000001</v>
      </c>
      <c r="O2906" s="19">
        <v>204.624</v>
      </c>
      <c r="P2906" s="19">
        <v>169.39599999999999</v>
      </c>
      <c r="Q2906" s="19">
        <v>134.131</v>
      </c>
      <c r="R2906" s="19">
        <v>111.764</v>
      </c>
      <c r="S2906" s="19">
        <v>91.593000000000004</v>
      </c>
      <c r="T2906" s="19">
        <v>72.366</v>
      </c>
      <c r="U2906" s="19">
        <v>53.997999999999998</v>
      </c>
      <c r="V2906" s="19">
        <v>36.844000000000001</v>
      </c>
      <c r="W2906" s="19">
        <v>22.757000000000001</v>
      </c>
      <c r="X2906" s="19">
        <v>12.420999999999999</v>
      </c>
      <c r="Y2906" s="19">
        <v>5.9089999999999998</v>
      </c>
      <c r="Z2906" s="19">
        <v>1.2989999999999999</v>
      </c>
      <c r="AA2906" s="19">
        <v>0.20699999999999999</v>
      </c>
      <c r="AB2906" s="19">
        <v>1.2999999999999999E-2</v>
      </c>
      <c r="AC2906" s="19">
        <v>0</v>
      </c>
    </row>
    <row r="2907" spans="1:29" ht="11.65" x14ac:dyDescent="0.35">
      <c r="A2907" s="23">
        <v>2890</v>
      </c>
      <c r="B2907" s="21" t="s">
        <v>1015</v>
      </c>
      <c r="C2907" s="29" t="s">
        <v>1216</v>
      </c>
      <c r="D2907" s="20"/>
      <c r="E2907" s="20">
        <v>928</v>
      </c>
      <c r="F2907" s="21" t="s">
        <v>1065</v>
      </c>
      <c r="G2907" s="20">
        <v>1835</v>
      </c>
      <c r="H2907" s="20">
        <v>1995</v>
      </c>
      <c r="I2907" s="19">
        <v>508.59899999999999</v>
      </c>
      <c r="J2907" s="19">
        <v>451.77800000000002</v>
      </c>
      <c r="K2907" s="19">
        <v>419.625</v>
      </c>
      <c r="L2907" s="19">
        <v>373.017</v>
      </c>
      <c r="M2907" s="19">
        <v>319.93299999999999</v>
      </c>
      <c r="N2907" s="19">
        <v>270.22699999999998</v>
      </c>
      <c r="O2907" s="19">
        <v>233.48699999999999</v>
      </c>
      <c r="P2907" s="19">
        <v>197.81200000000001</v>
      </c>
      <c r="Q2907" s="19">
        <v>162.76499999999999</v>
      </c>
      <c r="R2907" s="19">
        <v>127.294</v>
      </c>
      <c r="S2907" s="19">
        <v>102.758</v>
      </c>
      <c r="T2907" s="19">
        <v>80.983999999999995</v>
      </c>
      <c r="U2907" s="19">
        <v>60.987000000000002</v>
      </c>
      <c r="V2907" s="19">
        <v>42.191000000000003</v>
      </c>
      <c r="W2907" s="19">
        <v>25.972000000000001</v>
      </c>
      <c r="X2907" s="19">
        <v>14.345000000000001</v>
      </c>
      <c r="Y2907" s="19">
        <v>6.5060000000000002</v>
      </c>
      <c r="Z2907" s="19">
        <v>1.758</v>
      </c>
      <c r="AA2907" s="19">
        <v>0.246</v>
      </c>
      <c r="AB2907" s="19">
        <v>2.4E-2</v>
      </c>
      <c r="AC2907" s="19">
        <v>1E-3</v>
      </c>
    </row>
    <row r="2908" spans="1:29" ht="11.65" x14ac:dyDescent="0.35">
      <c r="A2908" s="23">
        <v>2891</v>
      </c>
      <c r="B2908" s="21" t="s">
        <v>1015</v>
      </c>
      <c r="C2908" s="29" t="s">
        <v>1216</v>
      </c>
      <c r="D2908" s="20"/>
      <c r="E2908" s="20">
        <v>928</v>
      </c>
      <c r="F2908" s="21" t="s">
        <v>1065</v>
      </c>
      <c r="G2908" s="20">
        <v>1835</v>
      </c>
      <c r="H2908" s="20">
        <v>2000</v>
      </c>
      <c r="I2908" s="19">
        <v>568.20000000000005</v>
      </c>
      <c r="J2908" s="19">
        <v>495.46499999999997</v>
      </c>
      <c r="K2908" s="19">
        <v>443.05</v>
      </c>
      <c r="L2908" s="19">
        <v>410.42899999999997</v>
      </c>
      <c r="M2908" s="19">
        <v>362.529</v>
      </c>
      <c r="N2908" s="19">
        <v>309.37</v>
      </c>
      <c r="O2908" s="19">
        <v>260.36099999999999</v>
      </c>
      <c r="P2908" s="19">
        <v>224.27500000000001</v>
      </c>
      <c r="Q2908" s="19">
        <v>188.63499999999999</v>
      </c>
      <c r="R2908" s="19">
        <v>153.38300000000001</v>
      </c>
      <c r="S2908" s="19">
        <v>117.554</v>
      </c>
      <c r="T2908" s="19">
        <v>92.34</v>
      </c>
      <c r="U2908" s="19">
        <v>69.185000000000002</v>
      </c>
      <c r="V2908" s="19">
        <v>48.569000000000003</v>
      </c>
      <c r="W2908" s="19">
        <v>30.548999999999999</v>
      </c>
      <c r="X2908" s="19">
        <v>16.641999999999999</v>
      </c>
      <c r="Y2908" s="19">
        <v>7.9889999999999999</v>
      </c>
      <c r="Z2908" s="19">
        <v>2.028</v>
      </c>
      <c r="AA2908" s="19">
        <v>0.35099999999999998</v>
      </c>
      <c r="AB2908" s="19">
        <v>2.8000000000000001E-2</v>
      </c>
      <c r="AC2908" s="19">
        <v>1E-3</v>
      </c>
    </row>
    <row r="2909" spans="1:29" ht="11.65" x14ac:dyDescent="0.35">
      <c r="A2909" s="23">
        <v>2892</v>
      </c>
      <c r="B2909" s="21" t="s">
        <v>1015</v>
      </c>
      <c r="C2909" s="29" t="s">
        <v>1216</v>
      </c>
      <c r="D2909" s="20"/>
      <c r="E2909" s="20">
        <v>928</v>
      </c>
      <c r="F2909" s="21" t="s">
        <v>1065</v>
      </c>
      <c r="G2909" s="20">
        <v>1835</v>
      </c>
      <c r="H2909" s="20">
        <v>2005</v>
      </c>
      <c r="I2909" s="19">
        <v>599.02700000000004</v>
      </c>
      <c r="J2909" s="19">
        <v>543.19500000000005</v>
      </c>
      <c r="K2909" s="19">
        <v>476.75299999999999</v>
      </c>
      <c r="L2909" s="19">
        <v>426.35199999999998</v>
      </c>
      <c r="M2909" s="19">
        <v>394.13</v>
      </c>
      <c r="N2909" s="19">
        <v>347.15600000000001</v>
      </c>
      <c r="O2909" s="19">
        <v>296.38600000000002</v>
      </c>
      <c r="P2909" s="19">
        <v>251.995</v>
      </c>
      <c r="Q2909" s="19">
        <v>217.595</v>
      </c>
      <c r="R2909" s="19">
        <v>180.86799999999999</v>
      </c>
      <c r="S2909" s="19">
        <v>143.70599999999999</v>
      </c>
      <c r="T2909" s="19">
        <v>106.929</v>
      </c>
      <c r="U2909" s="19">
        <v>80.173000000000002</v>
      </c>
      <c r="V2909" s="19">
        <v>56.061</v>
      </c>
      <c r="W2909" s="19">
        <v>35.749000000000002</v>
      </c>
      <c r="X2909" s="19">
        <v>19.991</v>
      </c>
      <c r="Y2909" s="19">
        <v>9.2609999999999992</v>
      </c>
      <c r="Z2909" s="19">
        <v>2.5019999999999998</v>
      </c>
      <c r="AA2909" s="19">
        <v>0.39300000000000002</v>
      </c>
      <c r="AB2909" s="19">
        <v>4.1000000000000002E-2</v>
      </c>
      <c r="AC2909" s="19">
        <v>1E-3</v>
      </c>
    </row>
    <row r="2910" spans="1:29" ht="11.65" x14ac:dyDescent="0.35">
      <c r="A2910" s="23">
        <v>2893</v>
      </c>
      <c r="B2910" s="21" t="s">
        <v>1015</v>
      </c>
      <c r="C2910" s="29" t="s">
        <v>1216</v>
      </c>
      <c r="D2910" s="20"/>
      <c r="E2910" s="20">
        <v>928</v>
      </c>
      <c r="F2910" s="21" t="s">
        <v>1065</v>
      </c>
      <c r="G2910" s="20">
        <v>1835</v>
      </c>
      <c r="H2910" s="20">
        <v>2010</v>
      </c>
      <c r="I2910" s="19">
        <v>639.029</v>
      </c>
      <c r="J2910" s="19">
        <v>587.49800000000005</v>
      </c>
      <c r="K2910" s="19">
        <v>538.95000000000005</v>
      </c>
      <c r="L2910" s="19">
        <v>468.89600000000002</v>
      </c>
      <c r="M2910" s="19">
        <v>419.48899999999998</v>
      </c>
      <c r="N2910" s="19">
        <v>388.80500000000001</v>
      </c>
      <c r="O2910" s="19">
        <v>342.755</v>
      </c>
      <c r="P2910" s="19">
        <v>293.19600000000003</v>
      </c>
      <c r="Q2910" s="19">
        <v>245.15299999999999</v>
      </c>
      <c r="R2910" s="19">
        <v>208.25700000000001</v>
      </c>
      <c r="S2910" s="19">
        <v>169.03100000000001</v>
      </c>
      <c r="T2910" s="19">
        <v>131.69200000000001</v>
      </c>
      <c r="U2910" s="19">
        <v>93.921000000000006</v>
      </c>
      <c r="V2910" s="19">
        <v>66.608999999999995</v>
      </c>
      <c r="W2910" s="19">
        <v>42.226999999999997</v>
      </c>
      <c r="X2910" s="19">
        <v>24.097000000000001</v>
      </c>
      <c r="Y2910" s="19">
        <v>11.395</v>
      </c>
      <c r="Z2910" s="19">
        <v>3.0489999999999999</v>
      </c>
      <c r="AA2910" s="19">
        <v>0.52200000000000002</v>
      </c>
      <c r="AB2910" s="19">
        <v>4.7E-2</v>
      </c>
      <c r="AC2910" s="19">
        <v>2E-3</v>
      </c>
    </row>
    <row r="2911" spans="1:29" ht="11.65" x14ac:dyDescent="0.35">
      <c r="A2911" s="23">
        <v>2894</v>
      </c>
      <c r="B2911" s="21" t="s">
        <v>1015</v>
      </c>
      <c r="C2911" s="29" t="s">
        <v>1216</v>
      </c>
      <c r="D2911" s="20"/>
      <c r="E2911" s="20">
        <v>928</v>
      </c>
      <c r="F2911" s="21" t="s">
        <v>1065</v>
      </c>
      <c r="G2911" s="20">
        <v>1835</v>
      </c>
      <c r="H2911" s="20">
        <v>2015</v>
      </c>
      <c r="I2911" s="19">
        <v>672.65300000000002</v>
      </c>
      <c r="J2911" s="19">
        <v>632.91499999999996</v>
      </c>
      <c r="K2911" s="19">
        <v>581.93700000000001</v>
      </c>
      <c r="L2911" s="19">
        <v>530.601</v>
      </c>
      <c r="M2911" s="19">
        <v>460.32900000000001</v>
      </c>
      <c r="N2911" s="19">
        <v>408.649</v>
      </c>
      <c r="O2911" s="19">
        <v>378.87599999999998</v>
      </c>
      <c r="P2911" s="19">
        <v>334.80200000000002</v>
      </c>
      <c r="Q2911" s="19">
        <v>284.08100000000002</v>
      </c>
      <c r="R2911" s="19">
        <v>236.541</v>
      </c>
      <c r="S2911" s="19">
        <v>197.352</v>
      </c>
      <c r="T2911" s="19">
        <v>155.773</v>
      </c>
      <c r="U2911" s="19">
        <v>114.84699999999999</v>
      </c>
      <c r="V2911" s="19">
        <v>76.489999999999995</v>
      </c>
      <c r="W2911" s="19">
        <v>48.067</v>
      </c>
      <c r="X2911" s="19">
        <v>26.082999999999998</v>
      </c>
      <c r="Y2911" s="19">
        <v>11.827999999999999</v>
      </c>
      <c r="Z2911" s="19">
        <v>4.0039999999999996</v>
      </c>
      <c r="AA2911" s="19">
        <v>0.68100000000000005</v>
      </c>
      <c r="AB2911" s="19">
        <v>7.0999999999999994E-2</v>
      </c>
      <c r="AC2911" s="19">
        <v>4.0000000000000001E-3</v>
      </c>
    </row>
    <row r="2912" spans="1:29" ht="11.65" x14ac:dyDescent="0.35">
      <c r="A2912" s="23">
        <v>2895</v>
      </c>
      <c r="B2912" s="21" t="s">
        <v>1015</v>
      </c>
      <c r="C2912" s="29" t="s">
        <v>1216</v>
      </c>
      <c r="D2912" s="20"/>
      <c r="E2912" s="20">
        <v>928</v>
      </c>
      <c r="F2912" s="21" t="s">
        <v>1065</v>
      </c>
      <c r="G2912" s="20">
        <v>1835</v>
      </c>
      <c r="H2912" s="20">
        <v>2020</v>
      </c>
      <c r="I2912" s="19">
        <v>703.45899999999995</v>
      </c>
      <c r="J2912" s="19">
        <v>662.91</v>
      </c>
      <c r="K2912" s="19">
        <v>626.60699999999997</v>
      </c>
      <c r="L2912" s="19">
        <v>577.64599999999996</v>
      </c>
      <c r="M2912" s="19">
        <v>523.71299999999997</v>
      </c>
      <c r="N2912" s="19">
        <v>451.517</v>
      </c>
      <c r="O2912" s="19">
        <v>402.43200000000002</v>
      </c>
      <c r="P2912" s="19">
        <v>371.572</v>
      </c>
      <c r="Q2912" s="19">
        <v>325.608</v>
      </c>
      <c r="R2912" s="19">
        <v>275.53100000000001</v>
      </c>
      <c r="S2912" s="19">
        <v>225.59800000000001</v>
      </c>
      <c r="T2912" s="19">
        <v>182.36799999999999</v>
      </c>
      <c r="U2912" s="19">
        <v>137.64099999999999</v>
      </c>
      <c r="V2912" s="19">
        <v>95.867999999999995</v>
      </c>
      <c r="W2912" s="19">
        <v>57.838000000000001</v>
      </c>
      <c r="X2912" s="19">
        <v>30.873000000000001</v>
      </c>
      <c r="Y2912" s="19">
        <v>13.837999999999999</v>
      </c>
      <c r="Z2912" s="19">
        <v>4.4560000000000004</v>
      </c>
      <c r="AA2912" s="19">
        <v>0.96299999999999997</v>
      </c>
      <c r="AB2912" s="19">
        <v>9.6000000000000002E-2</v>
      </c>
      <c r="AC2912" s="19">
        <v>6.0000000000000001E-3</v>
      </c>
    </row>
    <row r="2913" spans="1:29" ht="11.65" x14ac:dyDescent="0.35">
      <c r="A2913" s="12">
        <v>2896</v>
      </c>
      <c r="B2913" s="10" t="s">
        <v>1015</v>
      </c>
      <c r="C2913" s="11" t="s">
        <v>1217</v>
      </c>
      <c r="D2913" s="9"/>
      <c r="E2913" s="9">
        <v>242</v>
      </c>
      <c r="F2913" s="10" t="s">
        <v>1066</v>
      </c>
      <c r="G2913" s="9">
        <v>928</v>
      </c>
      <c r="H2913" s="9">
        <v>1950</v>
      </c>
      <c r="I2913" s="8">
        <v>28</v>
      </c>
      <c r="J2913" s="8">
        <v>22</v>
      </c>
      <c r="K2913" s="8">
        <v>17.998999999999999</v>
      </c>
      <c r="L2913" s="8">
        <v>15.000999999999999</v>
      </c>
      <c r="M2913" s="8">
        <v>13.000999999999999</v>
      </c>
      <c r="N2913" s="8">
        <v>11.000999999999999</v>
      </c>
      <c r="O2913" s="8">
        <v>9.9990000000000006</v>
      </c>
      <c r="P2913" s="8">
        <v>8.0009999999999994</v>
      </c>
      <c r="Q2913" s="8">
        <v>6</v>
      </c>
      <c r="R2913" s="8">
        <v>4</v>
      </c>
      <c r="S2913" s="8">
        <v>4</v>
      </c>
      <c r="T2913" s="8">
        <v>2.9980000000000002</v>
      </c>
      <c r="U2913" s="8">
        <v>3</v>
      </c>
      <c r="V2913" s="8">
        <v>2</v>
      </c>
      <c r="W2913" s="8">
        <v>1.6990000000000001</v>
      </c>
      <c r="X2913" s="8">
        <v>1.1990000000000001</v>
      </c>
      <c r="Y2913" s="8">
        <v>0.80200000000000005</v>
      </c>
      <c r="Z2913" s="8">
        <v>0.24199999999999999</v>
      </c>
      <c r="AA2913" s="8">
        <v>0.05</v>
      </c>
      <c r="AB2913" s="8">
        <v>7.0000000000000001E-3</v>
      </c>
      <c r="AC2913" s="8">
        <v>1E-3</v>
      </c>
    </row>
    <row r="2914" spans="1:29" ht="11.65" x14ac:dyDescent="0.35">
      <c r="A2914" s="12">
        <v>2897</v>
      </c>
      <c r="B2914" s="10" t="s">
        <v>1015</v>
      </c>
      <c r="C2914" s="11" t="s">
        <v>1217</v>
      </c>
      <c r="D2914" s="9"/>
      <c r="E2914" s="9">
        <v>242</v>
      </c>
      <c r="F2914" s="10" t="s">
        <v>1066</v>
      </c>
      <c r="G2914" s="9">
        <v>928</v>
      </c>
      <c r="H2914" s="9">
        <v>1955</v>
      </c>
      <c r="I2914" s="8">
        <v>32.99</v>
      </c>
      <c r="J2914" s="8">
        <v>26.210999999999999</v>
      </c>
      <c r="K2914" s="8">
        <v>21.228000000000002</v>
      </c>
      <c r="L2914" s="8">
        <v>17.506</v>
      </c>
      <c r="M2914" s="8">
        <v>14.936</v>
      </c>
      <c r="N2914" s="8">
        <v>12.481999999999999</v>
      </c>
      <c r="O2914" s="8">
        <v>10.048</v>
      </c>
      <c r="P2914" s="8">
        <v>9.0280000000000005</v>
      </c>
      <c r="Q2914" s="8">
        <v>7.0369999999999999</v>
      </c>
      <c r="R2914" s="8">
        <v>5.0330000000000004</v>
      </c>
      <c r="S2914" s="8">
        <v>3.5339999999999998</v>
      </c>
      <c r="T2914" s="8">
        <v>3.4430000000000001</v>
      </c>
      <c r="U2914" s="8">
        <v>2.012</v>
      </c>
      <c r="V2914" s="8">
        <v>1.9410000000000001</v>
      </c>
      <c r="W2914" s="8">
        <v>1.486</v>
      </c>
      <c r="X2914" s="8">
        <v>1.081</v>
      </c>
      <c r="Y2914" s="8">
        <v>0.52500000000000002</v>
      </c>
      <c r="Z2914" s="8">
        <v>0.19900000000000001</v>
      </c>
      <c r="AA2914" s="8">
        <v>3.3000000000000002E-2</v>
      </c>
      <c r="AB2914" s="8">
        <v>3.0000000000000001E-3</v>
      </c>
      <c r="AC2914" s="8">
        <v>0</v>
      </c>
    </row>
    <row r="2915" spans="1:29" ht="11.65" x14ac:dyDescent="0.35">
      <c r="A2915" s="12">
        <v>2898</v>
      </c>
      <c r="B2915" s="10" t="s">
        <v>1015</v>
      </c>
      <c r="C2915" s="11" t="s">
        <v>1217</v>
      </c>
      <c r="D2915" s="9"/>
      <c r="E2915" s="9">
        <v>242</v>
      </c>
      <c r="F2915" s="10" t="s">
        <v>1066</v>
      </c>
      <c r="G2915" s="9">
        <v>928</v>
      </c>
      <c r="H2915" s="9">
        <v>1960</v>
      </c>
      <c r="I2915" s="8">
        <v>39.524000000000001</v>
      </c>
      <c r="J2915" s="8">
        <v>31.292000000000002</v>
      </c>
      <c r="K2915" s="8">
        <v>25.866</v>
      </c>
      <c r="L2915" s="8">
        <v>20.228000000000002</v>
      </c>
      <c r="M2915" s="8">
        <v>16.46</v>
      </c>
      <c r="N2915" s="8">
        <v>13.942</v>
      </c>
      <c r="O2915" s="8">
        <v>12.021000000000001</v>
      </c>
      <c r="P2915" s="8">
        <v>10.067</v>
      </c>
      <c r="Q2915" s="8">
        <v>9.0250000000000004</v>
      </c>
      <c r="R2915" s="8">
        <v>7.0389999999999997</v>
      </c>
      <c r="S2915" s="8">
        <v>5.0279999999999996</v>
      </c>
      <c r="T2915" s="8">
        <v>3.54</v>
      </c>
      <c r="U2915" s="8">
        <v>3.34</v>
      </c>
      <c r="V2915" s="8">
        <v>1.9590000000000001</v>
      </c>
      <c r="W2915" s="8">
        <v>1.671</v>
      </c>
      <c r="X2915" s="8">
        <v>0.97699999999999998</v>
      </c>
      <c r="Y2915" s="8">
        <v>0.52800000000000002</v>
      </c>
      <c r="Z2915" s="8">
        <v>0.13100000000000001</v>
      </c>
      <c r="AA2915" s="8">
        <v>2.7E-2</v>
      </c>
      <c r="AB2915" s="8">
        <v>2E-3</v>
      </c>
      <c r="AC2915" s="8">
        <v>0</v>
      </c>
    </row>
    <row r="2916" spans="1:29" ht="11.65" x14ac:dyDescent="0.35">
      <c r="A2916" s="12">
        <v>2899</v>
      </c>
      <c r="B2916" s="10" t="s">
        <v>1015</v>
      </c>
      <c r="C2916" s="11" t="s">
        <v>1217</v>
      </c>
      <c r="D2916" s="9"/>
      <c r="E2916" s="9">
        <v>242</v>
      </c>
      <c r="F2916" s="10" t="s">
        <v>1066</v>
      </c>
      <c r="G2916" s="9">
        <v>928</v>
      </c>
      <c r="H2916" s="9">
        <v>1965</v>
      </c>
      <c r="I2916" s="8">
        <v>41.798000000000002</v>
      </c>
      <c r="J2916" s="8">
        <v>37.642000000000003</v>
      </c>
      <c r="K2916" s="8">
        <v>31.295999999999999</v>
      </c>
      <c r="L2916" s="8">
        <v>25.523</v>
      </c>
      <c r="M2916" s="8">
        <v>20.2</v>
      </c>
      <c r="N2916" s="8">
        <v>16.331</v>
      </c>
      <c r="O2916" s="8">
        <v>13.667</v>
      </c>
      <c r="P2916" s="8">
        <v>11.678000000000001</v>
      </c>
      <c r="Q2916" s="8">
        <v>9.6609999999999996</v>
      </c>
      <c r="R2916" s="8">
        <v>8.5690000000000008</v>
      </c>
      <c r="S2916" s="8">
        <v>6.6639999999999997</v>
      </c>
      <c r="T2916" s="8">
        <v>4.8070000000000004</v>
      </c>
      <c r="U2916" s="8">
        <v>3.0960000000000001</v>
      </c>
      <c r="V2916" s="8">
        <v>2.5939999999999999</v>
      </c>
      <c r="W2916" s="8">
        <v>1.49</v>
      </c>
      <c r="X2916" s="8">
        <v>1.0329999999999999</v>
      </c>
      <c r="Y2916" s="8">
        <v>0.45100000000000001</v>
      </c>
      <c r="Z2916" s="8">
        <v>0.14299999999999999</v>
      </c>
      <c r="AA2916" s="8">
        <v>0.02</v>
      </c>
      <c r="AB2916" s="8">
        <v>2E-3</v>
      </c>
      <c r="AC2916" s="8">
        <v>0</v>
      </c>
    </row>
    <row r="2917" spans="1:29" ht="11.65" x14ac:dyDescent="0.35">
      <c r="A2917" s="12">
        <v>2900</v>
      </c>
      <c r="B2917" s="10" t="s">
        <v>1015</v>
      </c>
      <c r="C2917" s="11" t="s">
        <v>1217</v>
      </c>
      <c r="D2917" s="9"/>
      <c r="E2917" s="9">
        <v>242</v>
      </c>
      <c r="F2917" s="10" t="s">
        <v>1066</v>
      </c>
      <c r="G2917" s="9">
        <v>928</v>
      </c>
      <c r="H2917" s="9">
        <v>1970</v>
      </c>
      <c r="I2917" s="8">
        <v>40.146999999999998</v>
      </c>
      <c r="J2917" s="8">
        <v>38.732999999999997</v>
      </c>
      <c r="K2917" s="8">
        <v>37.030999999999999</v>
      </c>
      <c r="L2917" s="8">
        <v>30.445</v>
      </c>
      <c r="M2917" s="8">
        <v>24.734000000000002</v>
      </c>
      <c r="N2917" s="8">
        <v>19.57</v>
      </c>
      <c r="O2917" s="8">
        <v>15.832000000000001</v>
      </c>
      <c r="P2917" s="8">
        <v>13.199</v>
      </c>
      <c r="Q2917" s="8">
        <v>11.234999999999999</v>
      </c>
      <c r="R2917" s="8">
        <v>9.2070000000000007</v>
      </c>
      <c r="S2917" s="8">
        <v>8.0429999999999993</v>
      </c>
      <c r="T2917" s="8">
        <v>6.117</v>
      </c>
      <c r="U2917" s="8">
        <v>4.2309999999999999</v>
      </c>
      <c r="V2917" s="8">
        <v>2.5779999999999998</v>
      </c>
      <c r="W2917" s="8">
        <v>1.9670000000000001</v>
      </c>
      <c r="X2917" s="8">
        <v>0.99299999999999999</v>
      </c>
      <c r="Y2917" s="8">
        <v>0.52200000000000002</v>
      </c>
      <c r="Z2917" s="8">
        <v>0.13200000000000001</v>
      </c>
      <c r="AA2917" s="8">
        <v>2.4E-2</v>
      </c>
      <c r="AB2917" s="8">
        <v>2E-3</v>
      </c>
      <c r="AC2917" s="8">
        <v>0</v>
      </c>
    </row>
    <row r="2918" spans="1:29" ht="11.65" x14ac:dyDescent="0.35">
      <c r="A2918" s="12">
        <v>2901</v>
      </c>
      <c r="B2918" s="10" t="s">
        <v>1015</v>
      </c>
      <c r="C2918" s="11" t="s">
        <v>1217</v>
      </c>
      <c r="D2918" s="9"/>
      <c r="E2918" s="9">
        <v>242</v>
      </c>
      <c r="F2918" s="10" t="s">
        <v>1066</v>
      </c>
      <c r="G2918" s="9">
        <v>928</v>
      </c>
      <c r="H2918" s="9">
        <v>1975</v>
      </c>
      <c r="I2918" s="8">
        <v>41.545999999999999</v>
      </c>
      <c r="J2918" s="8">
        <v>37.442999999999998</v>
      </c>
      <c r="K2918" s="8">
        <v>38.884999999999998</v>
      </c>
      <c r="L2918" s="8">
        <v>36.551000000000002</v>
      </c>
      <c r="M2918" s="8">
        <v>28.742999999999999</v>
      </c>
      <c r="N2918" s="8">
        <v>22.669</v>
      </c>
      <c r="O2918" s="8">
        <v>18.218</v>
      </c>
      <c r="P2918" s="8">
        <v>15.129</v>
      </c>
      <c r="Q2918" s="8">
        <v>12.856999999999999</v>
      </c>
      <c r="R2918" s="8">
        <v>10.817</v>
      </c>
      <c r="S2918" s="8">
        <v>8.64</v>
      </c>
      <c r="T2918" s="8">
        <v>7.3609999999999998</v>
      </c>
      <c r="U2918" s="8">
        <v>5.3689999999999998</v>
      </c>
      <c r="V2918" s="8">
        <v>3.375</v>
      </c>
      <c r="W2918" s="8">
        <v>1.925</v>
      </c>
      <c r="X2918" s="8">
        <v>1.3160000000000001</v>
      </c>
      <c r="Y2918" s="8">
        <v>0.55400000000000005</v>
      </c>
      <c r="Z2918" s="8">
        <v>0.16700000000000001</v>
      </c>
      <c r="AA2918" s="8">
        <v>2.5999999999999999E-2</v>
      </c>
      <c r="AB2918" s="8">
        <v>3.0000000000000001E-3</v>
      </c>
      <c r="AC2918" s="8">
        <v>0</v>
      </c>
    </row>
    <row r="2919" spans="1:29" ht="11.65" x14ac:dyDescent="0.35">
      <c r="A2919" s="12">
        <v>2902</v>
      </c>
      <c r="B2919" s="10" t="s">
        <v>1015</v>
      </c>
      <c r="C2919" s="11" t="s">
        <v>1217</v>
      </c>
      <c r="D2919" s="9"/>
      <c r="E2919" s="9">
        <v>242</v>
      </c>
      <c r="F2919" s="10" t="s">
        <v>1066</v>
      </c>
      <c r="G2919" s="9">
        <v>928</v>
      </c>
      <c r="H2919" s="9">
        <v>1980</v>
      </c>
      <c r="I2919" s="8">
        <v>47.290999999999997</v>
      </c>
      <c r="J2919" s="8">
        <v>40.191000000000003</v>
      </c>
      <c r="K2919" s="8">
        <v>39.965000000000003</v>
      </c>
      <c r="L2919" s="8">
        <v>38.213000000000001</v>
      </c>
      <c r="M2919" s="8">
        <v>32.607999999999997</v>
      </c>
      <c r="N2919" s="8">
        <v>25.596</v>
      </c>
      <c r="O2919" s="8">
        <v>21.370999999999999</v>
      </c>
      <c r="P2919" s="8">
        <v>17.452999999999999</v>
      </c>
      <c r="Q2919" s="8">
        <v>14.506</v>
      </c>
      <c r="R2919" s="8">
        <v>12.103999999999999</v>
      </c>
      <c r="S2919" s="8">
        <v>10.026999999999999</v>
      </c>
      <c r="T2919" s="8">
        <v>7.87</v>
      </c>
      <c r="U2919" s="8">
        <v>6.1559999999999997</v>
      </c>
      <c r="V2919" s="8">
        <v>3.8050000000000002</v>
      </c>
      <c r="W2919" s="8">
        <v>2.33</v>
      </c>
      <c r="X2919" s="8">
        <v>1.292</v>
      </c>
      <c r="Y2919" s="8">
        <v>0.64600000000000002</v>
      </c>
      <c r="Z2919" s="8">
        <v>0.182</v>
      </c>
      <c r="AA2919" s="8">
        <v>3.5000000000000003E-2</v>
      </c>
      <c r="AB2919" s="8">
        <v>3.0000000000000001E-3</v>
      </c>
      <c r="AC2919" s="8">
        <v>0</v>
      </c>
    </row>
    <row r="2920" spans="1:29" ht="11.65" x14ac:dyDescent="0.35">
      <c r="A2920" s="12">
        <v>2903</v>
      </c>
      <c r="B2920" s="10" t="s">
        <v>1015</v>
      </c>
      <c r="C2920" s="11" t="s">
        <v>1217</v>
      </c>
      <c r="D2920" s="9"/>
      <c r="E2920" s="9">
        <v>242</v>
      </c>
      <c r="F2920" s="10" t="s">
        <v>1066</v>
      </c>
      <c r="G2920" s="9">
        <v>928</v>
      </c>
      <c r="H2920" s="9">
        <v>1985</v>
      </c>
      <c r="I2920" s="8">
        <v>53.781999999999996</v>
      </c>
      <c r="J2920" s="8">
        <v>47.798000000000002</v>
      </c>
      <c r="K2920" s="8">
        <v>40.921999999999997</v>
      </c>
      <c r="L2920" s="8">
        <v>37.119999999999997</v>
      </c>
      <c r="M2920" s="8">
        <v>36.792000000000002</v>
      </c>
      <c r="N2920" s="8">
        <v>32.978000000000002</v>
      </c>
      <c r="O2920" s="8">
        <v>24.905999999999999</v>
      </c>
      <c r="P2920" s="8">
        <v>19.974</v>
      </c>
      <c r="Q2920" s="8">
        <v>16.486999999999998</v>
      </c>
      <c r="R2920" s="8">
        <v>13.629</v>
      </c>
      <c r="S2920" s="8">
        <v>11.125</v>
      </c>
      <c r="T2920" s="8">
        <v>8.82</v>
      </c>
      <c r="U2920" s="8">
        <v>6.2619999999999996</v>
      </c>
      <c r="V2920" s="8">
        <v>4.5910000000000002</v>
      </c>
      <c r="W2920" s="8">
        <v>2.855</v>
      </c>
      <c r="X2920" s="8">
        <v>1.698</v>
      </c>
      <c r="Y2920" s="8">
        <v>0.58499999999999996</v>
      </c>
      <c r="Z2920" s="8">
        <v>0.22</v>
      </c>
      <c r="AA2920" s="8">
        <v>3.9E-2</v>
      </c>
      <c r="AB2920" s="8">
        <v>4.0000000000000001E-3</v>
      </c>
      <c r="AC2920" s="8">
        <v>0</v>
      </c>
    </row>
    <row r="2921" spans="1:29" ht="11.65" x14ac:dyDescent="0.35">
      <c r="A2921" s="12">
        <v>2904</v>
      </c>
      <c r="B2921" s="10" t="s">
        <v>1015</v>
      </c>
      <c r="C2921" s="11" t="s">
        <v>1217</v>
      </c>
      <c r="D2921" s="9"/>
      <c r="E2921" s="9">
        <v>242</v>
      </c>
      <c r="F2921" s="10" t="s">
        <v>1066</v>
      </c>
      <c r="G2921" s="9">
        <v>928</v>
      </c>
      <c r="H2921" s="9">
        <v>1990</v>
      </c>
      <c r="I2921" s="8">
        <v>51.372</v>
      </c>
      <c r="J2921" s="8">
        <v>49.13</v>
      </c>
      <c r="K2921" s="8">
        <v>43.317</v>
      </c>
      <c r="L2921" s="8">
        <v>37.167000000000002</v>
      </c>
      <c r="M2921" s="8">
        <v>33.590000000000003</v>
      </c>
      <c r="N2921" s="8">
        <v>33.119</v>
      </c>
      <c r="O2921" s="8">
        <v>29.138000000000002</v>
      </c>
      <c r="P2921" s="8">
        <v>21.902000000000001</v>
      </c>
      <c r="Q2921" s="8">
        <v>18.004999999999999</v>
      </c>
      <c r="R2921" s="8">
        <v>14.894</v>
      </c>
      <c r="S2921" s="8">
        <v>11.894</v>
      </c>
      <c r="T2921" s="8">
        <v>9.1929999999999996</v>
      </c>
      <c r="U2921" s="8">
        <v>6.8620000000000001</v>
      </c>
      <c r="V2921" s="8">
        <v>4.5279999999999996</v>
      </c>
      <c r="W2921" s="8">
        <v>3.1150000000000002</v>
      </c>
      <c r="X2921" s="8">
        <v>1.7609999999999999</v>
      </c>
      <c r="Y2921" s="8">
        <v>0.85899999999999999</v>
      </c>
      <c r="Z2921" s="8">
        <v>0.193</v>
      </c>
      <c r="AA2921" s="8">
        <v>4.4999999999999998E-2</v>
      </c>
      <c r="AB2921" s="8">
        <v>4.0000000000000001E-3</v>
      </c>
      <c r="AC2921" s="8">
        <v>0</v>
      </c>
    </row>
    <row r="2922" spans="1:29" ht="11.65" x14ac:dyDescent="0.35">
      <c r="A2922" s="12">
        <v>2905</v>
      </c>
      <c r="B2922" s="10" t="s">
        <v>1015</v>
      </c>
      <c r="C2922" s="11" t="s">
        <v>1217</v>
      </c>
      <c r="D2922" s="9"/>
      <c r="E2922" s="9">
        <v>242</v>
      </c>
      <c r="F2922" s="10" t="s">
        <v>1066</v>
      </c>
      <c r="G2922" s="9">
        <v>928</v>
      </c>
      <c r="H2922" s="9">
        <v>1995</v>
      </c>
      <c r="I2922" s="8">
        <v>51.100999999999999</v>
      </c>
      <c r="J2922" s="8">
        <v>47.613999999999997</v>
      </c>
      <c r="K2922" s="8">
        <v>47.146999999999998</v>
      </c>
      <c r="L2922" s="8">
        <v>42.011000000000003</v>
      </c>
      <c r="M2922" s="8">
        <v>35.332999999999998</v>
      </c>
      <c r="N2922" s="8">
        <v>32.003999999999998</v>
      </c>
      <c r="O2922" s="8">
        <v>30.68</v>
      </c>
      <c r="P2922" s="8">
        <v>27.202000000000002</v>
      </c>
      <c r="Q2922" s="8">
        <v>21.120999999999999</v>
      </c>
      <c r="R2922" s="8">
        <v>17.239999999999998</v>
      </c>
      <c r="S2922" s="8">
        <v>13.673999999999999</v>
      </c>
      <c r="T2922" s="8">
        <v>10.276999999999999</v>
      </c>
      <c r="U2922" s="8">
        <v>7.4539999999999997</v>
      </c>
      <c r="V2922" s="8">
        <v>5.1429999999999998</v>
      </c>
      <c r="W2922" s="8">
        <v>3.0790000000000002</v>
      </c>
      <c r="X2922" s="8">
        <v>2.0259999999999998</v>
      </c>
      <c r="Y2922" s="8">
        <v>0.72399999999999998</v>
      </c>
      <c r="Z2922" s="8">
        <v>0.25</v>
      </c>
      <c r="AA2922" s="8">
        <v>3.3000000000000002E-2</v>
      </c>
      <c r="AB2922" s="8">
        <v>4.0000000000000001E-3</v>
      </c>
      <c r="AC2922" s="8">
        <v>0</v>
      </c>
    </row>
    <row r="2923" spans="1:29" ht="11.65" x14ac:dyDescent="0.35">
      <c r="A2923" s="12">
        <v>2906</v>
      </c>
      <c r="B2923" s="10" t="s">
        <v>1015</v>
      </c>
      <c r="C2923" s="11" t="s">
        <v>1217</v>
      </c>
      <c r="D2923" s="9"/>
      <c r="E2923" s="9">
        <v>242</v>
      </c>
      <c r="F2923" s="10" t="s">
        <v>1066</v>
      </c>
      <c r="G2923" s="9">
        <v>928</v>
      </c>
      <c r="H2923" s="9">
        <v>2000</v>
      </c>
      <c r="I2923" s="8">
        <v>50.530999999999999</v>
      </c>
      <c r="J2923" s="8">
        <v>49.598999999999997</v>
      </c>
      <c r="K2923" s="8">
        <v>46.110999999999997</v>
      </c>
      <c r="L2923" s="8">
        <v>45.664999999999999</v>
      </c>
      <c r="M2923" s="8">
        <v>39.548999999999999</v>
      </c>
      <c r="N2923" s="8">
        <v>31.65</v>
      </c>
      <c r="O2923" s="8">
        <v>28.082000000000001</v>
      </c>
      <c r="P2923" s="8">
        <v>27.533999999999999</v>
      </c>
      <c r="Q2923" s="8">
        <v>24.893000000000001</v>
      </c>
      <c r="R2923" s="8">
        <v>19.257000000000001</v>
      </c>
      <c r="S2923" s="8">
        <v>15.534000000000001</v>
      </c>
      <c r="T2923" s="8">
        <v>12.068</v>
      </c>
      <c r="U2923" s="8">
        <v>8.7289999999999992</v>
      </c>
      <c r="V2923" s="8">
        <v>5.9320000000000004</v>
      </c>
      <c r="W2923" s="8">
        <v>3.6949999999999998</v>
      </c>
      <c r="X2923" s="8">
        <v>1.87</v>
      </c>
      <c r="Y2923" s="8">
        <v>0.98799999999999999</v>
      </c>
      <c r="Z2923" s="8">
        <v>0.23599999999999999</v>
      </c>
      <c r="AA2923" s="8">
        <v>0.05</v>
      </c>
      <c r="AB2923" s="8">
        <v>3.0000000000000001E-3</v>
      </c>
      <c r="AC2923" s="8">
        <v>0</v>
      </c>
    </row>
    <row r="2924" spans="1:29" ht="11.65" x14ac:dyDescent="0.35">
      <c r="A2924" s="12">
        <v>2907</v>
      </c>
      <c r="B2924" s="10" t="s">
        <v>1015</v>
      </c>
      <c r="C2924" s="11" t="s">
        <v>1217</v>
      </c>
      <c r="D2924" s="9"/>
      <c r="E2924" s="9">
        <v>242</v>
      </c>
      <c r="F2924" s="10" t="s">
        <v>1066</v>
      </c>
      <c r="G2924" s="9">
        <v>928</v>
      </c>
      <c r="H2924" s="9">
        <v>2005</v>
      </c>
      <c r="I2924" s="8">
        <v>46.030999999999999</v>
      </c>
      <c r="J2924" s="8">
        <v>42.24</v>
      </c>
      <c r="K2924" s="8">
        <v>41.353000000000002</v>
      </c>
      <c r="L2924" s="8">
        <v>39.758000000000003</v>
      </c>
      <c r="M2924" s="8">
        <v>40.22</v>
      </c>
      <c r="N2924" s="8">
        <v>34.972999999999999</v>
      </c>
      <c r="O2924" s="8">
        <v>28.997</v>
      </c>
      <c r="P2924" s="8">
        <v>28.196000000000002</v>
      </c>
      <c r="Q2924" s="8">
        <v>29.324999999999999</v>
      </c>
      <c r="R2924" s="8">
        <v>26.478999999999999</v>
      </c>
      <c r="S2924" s="8">
        <v>19.338999999999999</v>
      </c>
      <c r="T2924" s="8">
        <v>14.891</v>
      </c>
      <c r="U2924" s="8">
        <v>11.250999999999999</v>
      </c>
      <c r="V2924" s="8">
        <v>7.5970000000000004</v>
      </c>
      <c r="W2924" s="8">
        <v>4.5019999999999998</v>
      </c>
      <c r="X2924" s="8">
        <v>2.4550000000000001</v>
      </c>
      <c r="Y2924" s="8">
        <v>0.98199999999999998</v>
      </c>
      <c r="Z2924" s="8">
        <v>0.36099999999999999</v>
      </c>
      <c r="AA2924" s="8">
        <v>5.1999999999999998E-2</v>
      </c>
      <c r="AB2924" s="8">
        <v>6.0000000000000001E-3</v>
      </c>
      <c r="AC2924" s="8">
        <v>0</v>
      </c>
    </row>
    <row r="2925" spans="1:29" ht="11.65" x14ac:dyDescent="0.35">
      <c r="A2925" s="12">
        <v>2908</v>
      </c>
      <c r="B2925" s="10" t="s">
        <v>1015</v>
      </c>
      <c r="C2925" s="11" t="s">
        <v>1217</v>
      </c>
      <c r="D2925" s="9"/>
      <c r="E2925" s="9">
        <v>242</v>
      </c>
      <c r="F2925" s="10" t="s">
        <v>1066</v>
      </c>
      <c r="G2925" s="9">
        <v>928</v>
      </c>
      <c r="H2925" s="9">
        <v>2010</v>
      </c>
      <c r="I2925" s="8">
        <v>46.209000000000003</v>
      </c>
      <c r="J2925" s="8">
        <v>42.064</v>
      </c>
      <c r="K2925" s="8">
        <v>40.536999999999999</v>
      </c>
      <c r="L2925" s="8">
        <v>41.814</v>
      </c>
      <c r="M2925" s="8">
        <v>39.537999999999997</v>
      </c>
      <c r="N2925" s="8">
        <v>39.235999999999997</v>
      </c>
      <c r="O2925" s="8">
        <v>34.058999999999997</v>
      </c>
      <c r="P2925" s="8">
        <v>28.609000000000002</v>
      </c>
      <c r="Q2925" s="8">
        <v>27</v>
      </c>
      <c r="R2925" s="8">
        <v>26.966999999999999</v>
      </c>
      <c r="S2925" s="8">
        <v>23.254999999999999</v>
      </c>
      <c r="T2925" s="8">
        <v>17.151</v>
      </c>
      <c r="U2925" s="8">
        <v>13.185</v>
      </c>
      <c r="V2925" s="8">
        <v>9.2249999999999996</v>
      </c>
      <c r="W2925" s="8">
        <v>5.4539999999999997</v>
      </c>
      <c r="X2925" s="8">
        <v>2.9350000000000001</v>
      </c>
      <c r="Y2925" s="8">
        <v>1.222</v>
      </c>
      <c r="Z2925" s="8">
        <v>0.38500000000000001</v>
      </c>
      <c r="AA2925" s="8">
        <v>0.09</v>
      </c>
      <c r="AB2925" s="8">
        <v>8.0000000000000002E-3</v>
      </c>
      <c r="AC2925" s="8">
        <v>0</v>
      </c>
    </row>
    <row r="2926" spans="1:29" ht="11.65" x14ac:dyDescent="0.35">
      <c r="A2926" s="12">
        <v>2909</v>
      </c>
      <c r="B2926" s="10" t="s">
        <v>1015</v>
      </c>
      <c r="C2926" s="11" t="s">
        <v>1217</v>
      </c>
      <c r="D2926" s="9"/>
      <c r="E2926" s="9">
        <v>242</v>
      </c>
      <c r="F2926" s="10" t="s">
        <v>1066</v>
      </c>
      <c r="G2926" s="9">
        <v>928</v>
      </c>
      <c r="H2926" s="9">
        <v>2015</v>
      </c>
      <c r="I2926" s="8">
        <v>48.35</v>
      </c>
      <c r="J2926" s="8">
        <v>45.613</v>
      </c>
      <c r="K2926" s="8">
        <v>39.095999999999997</v>
      </c>
      <c r="L2926" s="8">
        <v>37.390999999999998</v>
      </c>
      <c r="M2926" s="8">
        <v>38.261000000000003</v>
      </c>
      <c r="N2926" s="8">
        <v>34.909999999999997</v>
      </c>
      <c r="O2926" s="8">
        <v>36.222999999999999</v>
      </c>
      <c r="P2926" s="8">
        <v>31.884</v>
      </c>
      <c r="Q2926" s="8">
        <v>25.943999999999999</v>
      </c>
      <c r="R2926" s="8">
        <v>25.225999999999999</v>
      </c>
      <c r="S2926" s="8">
        <v>25.295000000000002</v>
      </c>
      <c r="T2926" s="8">
        <v>20.344999999999999</v>
      </c>
      <c r="U2926" s="8">
        <v>13.257999999999999</v>
      </c>
      <c r="V2926" s="8">
        <v>9.3810000000000002</v>
      </c>
      <c r="W2926" s="8">
        <v>5.8029999999999999</v>
      </c>
      <c r="X2926" s="8">
        <v>2.5179999999999998</v>
      </c>
      <c r="Y2926" s="8">
        <v>1.282</v>
      </c>
      <c r="Z2926" s="8">
        <v>0.48099999999999998</v>
      </c>
      <c r="AA2926" s="8">
        <v>9.7000000000000003E-2</v>
      </c>
      <c r="AB2926" s="8">
        <v>1.2999999999999999E-2</v>
      </c>
      <c r="AC2926" s="8">
        <v>1E-3</v>
      </c>
    </row>
    <row r="2927" spans="1:29" ht="11.65" x14ac:dyDescent="0.35">
      <c r="A2927" s="12">
        <v>2910</v>
      </c>
      <c r="B2927" s="10" t="s">
        <v>1015</v>
      </c>
      <c r="C2927" s="11" t="s">
        <v>1217</v>
      </c>
      <c r="D2927" s="9"/>
      <c r="E2927" s="9">
        <v>242</v>
      </c>
      <c r="F2927" s="10" t="s">
        <v>1066</v>
      </c>
      <c r="G2927" s="9">
        <v>928</v>
      </c>
      <c r="H2927" s="9">
        <v>2020</v>
      </c>
      <c r="I2927" s="8">
        <v>45.915999999999997</v>
      </c>
      <c r="J2927" s="8">
        <v>44.88</v>
      </c>
      <c r="K2927" s="8">
        <v>42.326999999999998</v>
      </c>
      <c r="L2927" s="8">
        <v>38.670999999999999</v>
      </c>
      <c r="M2927" s="8">
        <v>36.659999999999997</v>
      </c>
      <c r="N2927" s="8">
        <v>35.588999999999999</v>
      </c>
      <c r="O2927" s="8">
        <v>34.305</v>
      </c>
      <c r="P2927" s="8">
        <v>34.883000000000003</v>
      </c>
      <c r="Q2927" s="8">
        <v>29.456</v>
      </c>
      <c r="R2927" s="8">
        <v>25.4</v>
      </c>
      <c r="S2927" s="8">
        <v>23.994</v>
      </c>
      <c r="T2927" s="8">
        <v>22.173999999999999</v>
      </c>
      <c r="U2927" s="8">
        <v>16.526</v>
      </c>
      <c r="V2927" s="8">
        <v>10.779</v>
      </c>
      <c r="W2927" s="8">
        <v>6.9269999999999996</v>
      </c>
      <c r="X2927" s="8">
        <v>3.2650000000000001</v>
      </c>
      <c r="Y2927" s="8">
        <v>1.611</v>
      </c>
      <c r="Z2927" s="8">
        <v>0.51300000000000001</v>
      </c>
      <c r="AA2927" s="8">
        <v>0.126</v>
      </c>
      <c r="AB2927" s="8">
        <v>1.4999999999999999E-2</v>
      </c>
      <c r="AC2927" s="8">
        <v>1E-3</v>
      </c>
    </row>
    <row r="2928" spans="1:29" ht="11.65" x14ac:dyDescent="0.35">
      <c r="A2928" s="12">
        <v>2911</v>
      </c>
      <c r="B2928" s="10" t="s">
        <v>1015</v>
      </c>
      <c r="C2928" s="11" t="s">
        <v>1218</v>
      </c>
      <c r="D2928" s="9">
        <v>2</v>
      </c>
      <c r="E2928" s="9">
        <v>540</v>
      </c>
      <c r="F2928" s="10" t="s">
        <v>1066</v>
      </c>
      <c r="G2928" s="9">
        <v>928</v>
      </c>
      <c r="H2928" s="9">
        <v>1950</v>
      </c>
      <c r="I2928" s="8">
        <v>4.569</v>
      </c>
      <c r="J2928" s="8">
        <v>4.05</v>
      </c>
      <c r="K2928" s="8">
        <v>3.4540000000000002</v>
      </c>
      <c r="L2928" s="8">
        <v>3.1</v>
      </c>
      <c r="M2928" s="8">
        <v>2.8050000000000002</v>
      </c>
      <c r="N2928" s="8">
        <v>2.63</v>
      </c>
      <c r="O2928" s="8">
        <v>2.4489999999999998</v>
      </c>
      <c r="P2928" s="8">
        <v>2.2240000000000002</v>
      </c>
      <c r="Q2928" s="8">
        <v>2.5219999999999998</v>
      </c>
      <c r="R2928" s="8">
        <v>1.9490000000000001</v>
      </c>
      <c r="S2928" s="8">
        <v>1.4279999999999999</v>
      </c>
      <c r="T2928" s="8">
        <v>1.0189999999999999</v>
      </c>
      <c r="U2928" s="8">
        <v>0.754</v>
      </c>
      <c r="V2928" s="8">
        <v>0.53500000000000003</v>
      </c>
      <c r="W2928" s="8">
        <v>0.36799999999999999</v>
      </c>
      <c r="X2928" s="8">
        <v>0.19</v>
      </c>
      <c r="Y2928" s="8">
        <v>5.8999999999999997E-2</v>
      </c>
      <c r="Z2928" s="8">
        <v>2.3E-2</v>
      </c>
      <c r="AA2928" s="8">
        <v>5.0000000000000001E-3</v>
      </c>
      <c r="AB2928" s="8">
        <v>0</v>
      </c>
      <c r="AC2928" s="8">
        <v>0</v>
      </c>
    </row>
    <row r="2929" spans="1:29" ht="11.65" x14ac:dyDescent="0.35">
      <c r="A2929" s="12">
        <v>2912</v>
      </c>
      <c r="B2929" s="10" t="s">
        <v>1015</v>
      </c>
      <c r="C2929" s="11" t="s">
        <v>1218</v>
      </c>
      <c r="D2929" s="9">
        <v>2</v>
      </c>
      <c r="E2929" s="9">
        <v>540</v>
      </c>
      <c r="F2929" s="10" t="s">
        <v>1066</v>
      </c>
      <c r="G2929" s="9">
        <v>928</v>
      </c>
      <c r="H2929" s="9">
        <v>1955</v>
      </c>
      <c r="I2929" s="8">
        <v>4.9020000000000001</v>
      </c>
      <c r="J2929" s="8">
        <v>4.1369999999999996</v>
      </c>
      <c r="K2929" s="8">
        <v>3.7389999999999999</v>
      </c>
      <c r="L2929" s="8">
        <v>3.1269999999999998</v>
      </c>
      <c r="M2929" s="8">
        <v>2.8969999999999998</v>
      </c>
      <c r="N2929" s="8">
        <v>2.6840000000000002</v>
      </c>
      <c r="O2929" s="8">
        <v>2.56</v>
      </c>
      <c r="P2929" s="8">
        <v>2.3439999999999999</v>
      </c>
      <c r="Q2929" s="8">
        <v>2.3580000000000001</v>
      </c>
      <c r="R2929" s="8">
        <v>2.444</v>
      </c>
      <c r="S2929" s="8">
        <v>1.4870000000000001</v>
      </c>
      <c r="T2929" s="8">
        <v>1.0349999999999999</v>
      </c>
      <c r="U2929" s="8">
        <v>0.73699999999999999</v>
      </c>
      <c r="V2929" s="8">
        <v>0.54800000000000004</v>
      </c>
      <c r="W2929" s="8">
        <v>0.371</v>
      </c>
      <c r="X2929" s="8">
        <v>0.21299999999999999</v>
      </c>
      <c r="Y2929" s="8">
        <v>7.2999999999999995E-2</v>
      </c>
      <c r="Z2929" s="8">
        <v>0.02</v>
      </c>
      <c r="AA2929" s="8">
        <v>4.0000000000000001E-3</v>
      </c>
      <c r="AB2929" s="8">
        <v>0</v>
      </c>
      <c r="AC2929" s="8">
        <v>0</v>
      </c>
    </row>
    <row r="2930" spans="1:29" ht="11.65" x14ac:dyDescent="0.35">
      <c r="A2930" s="12">
        <v>2913</v>
      </c>
      <c r="B2930" s="10" t="s">
        <v>1015</v>
      </c>
      <c r="C2930" s="11" t="s">
        <v>1218</v>
      </c>
      <c r="D2930" s="9">
        <v>2</v>
      </c>
      <c r="E2930" s="9">
        <v>540</v>
      </c>
      <c r="F2930" s="10" t="s">
        <v>1066</v>
      </c>
      <c r="G2930" s="9">
        <v>928</v>
      </c>
      <c r="H2930" s="9">
        <v>1960</v>
      </c>
      <c r="I2930" s="8">
        <v>5.6230000000000002</v>
      </c>
      <c r="J2930" s="8">
        <v>4.9029999999999996</v>
      </c>
      <c r="K2930" s="8">
        <v>4.29</v>
      </c>
      <c r="L2930" s="8">
        <v>3.8439999999999999</v>
      </c>
      <c r="M2930" s="8">
        <v>3.3010000000000002</v>
      </c>
      <c r="N2930" s="8">
        <v>3.0569999999999999</v>
      </c>
      <c r="O2930" s="8">
        <v>2.8820000000000001</v>
      </c>
      <c r="P2930" s="8">
        <v>2.6960000000000002</v>
      </c>
      <c r="Q2930" s="8">
        <v>2.5019999999999998</v>
      </c>
      <c r="R2930" s="8">
        <v>2.3239999999999998</v>
      </c>
      <c r="S2930" s="8">
        <v>2.2050000000000001</v>
      </c>
      <c r="T2930" s="8">
        <v>1.3009999999999999</v>
      </c>
      <c r="U2930" s="8">
        <v>0.878</v>
      </c>
      <c r="V2930" s="8">
        <v>0.59699999999999998</v>
      </c>
      <c r="W2930" s="8">
        <v>0.40600000000000003</v>
      </c>
      <c r="X2930" s="8">
        <v>0.22900000000000001</v>
      </c>
      <c r="Y2930" s="8">
        <v>7.9000000000000001E-2</v>
      </c>
      <c r="Z2930" s="8">
        <v>2.5999999999999999E-2</v>
      </c>
      <c r="AA2930" s="8">
        <v>5.0000000000000001E-3</v>
      </c>
      <c r="AB2930" s="8">
        <v>0</v>
      </c>
      <c r="AC2930" s="8">
        <v>0</v>
      </c>
    </row>
    <row r="2931" spans="1:29" ht="11.65" x14ac:dyDescent="0.35">
      <c r="A2931" s="12">
        <v>2914</v>
      </c>
      <c r="B2931" s="10" t="s">
        <v>1015</v>
      </c>
      <c r="C2931" s="11" t="s">
        <v>1218</v>
      </c>
      <c r="D2931" s="9">
        <v>2</v>
      </c>
      <c r="E2931" s="9">
        <v>540</v>
      </c>
      <c r="F2931" s="10" t="s">
        <v>1066</v>
      </c>
      <c r="G2931" s="9">
        <v>928</v>
      </c>
      <c r="H2931" s="9">
        <v>1965</v>
      </c>
      <c r="I2931" s="8">
        <v>6.7380000000000004</v>
      </c>
      <c r="J2931" s="8">
        <v>5.6360000000000001</v>
      </c>
      <c r="K2931" s="8">
        <v>5.0339999999999998</v>
      </c>
      <c r="L2931" s="8">
        <v>4.4960000000000004</v>
      </c>
      <c r="M2931" s="8">
        <v>4.1660000000000004</v>
      </c>
      <c r="N2931" s="8">
        <v>3.569</v>
      </c>
      <c r="O2931" s="8">
        <v>3.3010000000000002</v>
      </c>
      <c r="P2931" s="8">
        <v>3.069</v>
      </c>
      <c r="Q2931" s="8">
        <v>2.742</v>
      </c>
      <c r="R2931" s="8">
        <v>2.4500000000000002</v>
      </c>
      <c r="S2931" s="8">
        <v>2.1760000000000002</v>
      </c>
      <c r="T2931" s="8">
        <v>1.9610000000000001</v>
      </c>
      <c r="U2931" s="8">
        <v>1.103</v>
      </c>
      <c r="V2931" s="8">
        <v>0.70199999999999996</v>
      </c>
      <c r="W2931" s="8">
        <v>0.436</v>
      </c>
      <c r="X2931" s="8">
        <v>0.251</v>
      </c>
      <c r="Y2931" s="8">
        <v>9.1999999999999998E-2</v>
      </c>
      <c r="Z2931" s="8">
        <v>2.9000000000000001E-2</v>
      </c>
      <c r="AA2931" s="8">
        <v>6.0000000000000001E-3</v>
      </c>
      <c r="AB2931" s="8">
        <v>0</v>
      </c>
      <c r="AC2931" s="8">
        <v>0</v>
      </c>
    </row>
    <row r="2932" spans="1:29" ht="11.65" x14ac:dyDescent="0.35">
      <c r="A2932" s="12">
        <v>2915</v>
      </c>
      <c r="B2932" s="10" t="s">
        <v>1015</v>
      </c>
      <c r="C2932" s="11" t="s">
        <v>1218</v>
      </c>
      <c r="D2932" s="9">
        <v>2</v>
      </c>
      <c r="E2932" s="9">
        <v>540</v>
      </c>
      <c r="F2932" s="10" t="s">
        <v>1066</v>
      </c>
      <c r="G2932" s="9">
        <v>928</v>
      </c>
      <c r="H2932" s="9">
        <v>1970</v>
      </c>
      <c r="I2932" s="8">
        <v>7.835</v>
      </c>
      <c r="J2932" s="8">
        <v>6.4020000000000001</v>
      </c>
      <c r="K2932" s="8">
        <v>5.6749999999999998</v>
      </c>
      <c r="L2932" s="8">
        <v>5.2089999999999996</v>
      </c>
      <c r="M2932" s="8">
        <v>4.9189999999999996</v>
      </c>
      <c r="N2932" s="8">
        <v>4.4589999999999996</v>
      </c>
      <c r="O2932" s="8">
        <v>3.6859999999999999</v>
      </c>
      <c r="P2932" s="8">
        <v>3.492</v>
      </c>
      <c r="Q2932" s="8">
        <v>3.1259999999999999</v>
      </c>
      <c r="R2932" s="8">
        <v>2.6429999999999998</v>
      </c>
      <c r="S2932" s="8">
        <v>2.2000000000000002</v>
      </c>
      <c r="T2932" s="8">
        <v>1.921</v>
      </c>
      <c r="U2932" s="8">
        <v>1.681</v>
      </c>
      <c r="V2932" s="8">
        <v>0.877</v>
      </c>
      <c r="W2932" s="8">
        <v>0.51</v>
      </c>
      <c r="X2932" s="8">
        <v>0.26</v>
      </c>
      <c r="Y2932" s="8">
        <v>0.123</v>
      </c>
      <c r="Z2932" s="8">
        <v>3.4000000000000002E-2</v>
      </c>
      <c r="AA2932" s="8">
        <v>7.0000000000000001E-3</v>
      </c>
      <c r="AB2932" s="8">
        <v>0</v>
      </c>
      <c r="AC2932" s="8">
        <v>0</v>
      </c>
    </row>
    <row r="2933" spans="1:29" ht="11.65" x14ac:dyDescent="0.35">
      <c r="A2933" s="12">
        <v>2916</v>
      </c>
      <c r="B2933" s="10" t="s">
        <v>1015</v>
      </c>
      <c r="C2933" s="11" t="s">
        <v>1218</v>
      </c>
      <c r="D2933" s="9">
        <v>2</v>
      </c>
      <c r="E2933" s="9">
        <v>540</v>
      </c>
      <c r="F2933" s="10" t="s">
        <v>1066</v>
      </c>
      <c r="G2933" s="9">
        <v>928</v>
      </c>
      <c r="H2933" s="9">
        <v>1975</v>
      </c>
      <c r="I2933" s="8">
        <v>9.9809999999999999</v>
      </c>
      <c r="J2933" s="8">
        <v>7.875</v>
      </c>
      <c r="K2933" s="8">
        <v>7.1909999999999998</v>
      </c>
      <c r="L2933" s="8">
        <v>6.45</v>
      </c>
      <c r="M2933" s="8">
        <v>5.7380000000000004</v>
      </c>
      <c r="N2933" s="8">
        <v>5.2309999999999999</v>
      </c>
      <c r="O2933" s="8">
        <v>4.9390000000000001</v>
      </c>
      <c r="P2933" s="8">
        <v>4.3170000000000002</v>
      </c>
      <c r="Q2933" s="8">
        <v>3.8109999999999999</v>
      </c>
      <c r="R2933" s="8">
        <v>3.2189999999999999</v>
      </c>
      <c r="S2933" s="8">
        <v>2.669</v>
      </c>
      <c r="T2933" s="8">
        <v>2.0579999999999998</v>
      </c>
      <c r="U2933" s="8">
        <v>1.6839999999999999</v>
      </c>
      <c r="V2933" s="8">
        <v>1.4430000000000001</v>
      </c>
      <c r="W2933" s="8">
        <v>0.67200000000000004</v>
      </c>
      <c r="X2933" s="8">
        <v>0.33</v>
      </c>
      <c r="Y2933" s="8">
        <v>0.185</v>
      </c>
      <c r="Z2933" s="8">
        <v>4.5999999999999999E-2</v>
      </c>
      <c r="AA2933" s="8">
        <v>8.9999999999999993E-3</v>
      </c>
      <c r="AB2933" s="8">
        <v>0</v>
      </c>
      <c r="AC2933" s="8">
        <v>0</v>
      </c>
    </row>
    <row r="2934" spans="1:29" ht="11.65" x14ac:dyDescent="0.35">
      <c r="A2934" s="12">
        <v>2917</v>
      </c>
      <c r="B2934" s="10" t="s">
        <v>1015</v>
      </c>
      <c r="C2934" s="11" t="s">
        <v>1218</v>
      </c>
      <c r="D2934" s="9">
        <v>2</v>
      </c>
      <c r="E2934" s="9">
        <v>540</v>
      </c>
      <c r="F2934" s="10" t="s">
        <v>1066</v>
      </c>
      <c r="G2934" s="9">
        <v>928</v>
      </c>
      <c r="H2934" s="9">
        <v>1980</v>
      </c>
      <c r="I2934" s="8">
        <v>9.3940000000000001</v>
      </c>
      <c r="J2934" s="8">
        <v>10.031000000000001</v>
      </c>
      <c r="K2934" s="8">
        <v>8.11</v>
      </c>
      <c r="L2934" s="8">
        <v>7.3639999999999999</v>
      </c>
      <c r="M2934" s="8">
        <v>6.1219999999999999</v>
      </c>
      <c r="N2934" s="8">
        <v>5.4210000000000003</v>
      </c>
      <c r="O2934" s="8">
        <v>5.2610000000000001</v>
      </c>
      <c r="P2934" s="8">
        <v>5.0250000000000004</v>
      </c>
      <c r="Q2934" s="8">
        <v>4.3140000000000001</v>
      </c>
      <c r="R2934" s="8">
        <v>3.6339999999999999</v>
      </c>
      <c r="S2934" s="8">
        <v>2.99</v>
      </c>
      <c r="T2934" s="8">
        <v>2.35</v>
      </c>
      <c r="U2934" s="8">
        <v>1.796</v>
      </c>
      <c r="V2934" s="8">
        <v>1.361</v>
      </c>
      <c r="W2934" s="8">
        <v>1.0589999999999999</v>
      </c>
      <c r="X2934" s="8">
        <v>0.44900000000000001</v>
      </c>
      <c r="Y2934" s="8">
        <v>0.17899999999999999</v>
      </c>
      <c r="Z2934" s="8">
        <v>7.0999999999999994E-2</v>
      </c>
      <c r="AA2934" s="8">
        <v>1.0999999999999999E-2</v>
      </c>
      <c r="AB2934" s="8">
        <v>0</v>
      </c>
      <c r="AC2934" s="8">
        <v>0</v>
      </c>
    </row>
    <row r="2935" spans="1:29" ht="11.65" x14ac:dyDescent="0.35">
      <c r="A2935" s="12">
        <v>2918</v>
      </c>
      <c r="B2935" s="10" t="s">
        <v>1015</v>
      </c>
      <c r="C2935" s="11" t="s">
        <v>1218</v>
      </c>
      <c r="D2935" s="9">
        <v>2</v>
      </c>
      <c r="E2935" s="9">
        <v>540</v>
      </c>
      <c r="F2935" s="10" t="s">
        <v>1066</v>
      </c>
      <c r="G2935" s="9">
        <v>928</v>
      </c>
      <c r="H2935" s="9">
        <v>1985</v>
      </c>
      <c r="I2935" s="8">
        <v>9.0220000000000002</v>
      </c>
      <c r="J2935" s="8">
        <v>9.1159999999999997</v>
      </c>
      <c r="K2935" s="8">
        <v>10.117000000000001</v>
      </c>
      <c r="L2935" s="8">
        <v>8.17</v>
      </c>
      <c r="M2935" s="8">
        <v>6.8840000000000003</v>
      </c>
      <c r="N2935" s="8">
        <v>5.5910000000000002</v>
      </c>
      <c r="O2935" s="8">
        <v>5.2619999999999996</v>
      </c>
      <c r="P2935" s="8">
        <v>5.0949999999999998</v>
      </c>
      <c r="Q2935" s="8">
        <v>4.8849999999999998</v>
      </c>
      <c r="R2935" s="8">
        <v>4.0750000000000002</v>
      </c>
      <c r="S2935" s="8">
        <v>3.3839999999999999</v>
      </c>
      <c r="T2935" s="8">
        <v>2.677</v>
      </c>
      <c r="U2935" s="8">
        <v>1.9930000000000001</v>
      </c>
      <c r="V2935" s="8">
        <v>1.462</v>
      </c>
      <c r="W2935" s="8">
        <v>1.042</v>
      </c>
      <c r="X2935" s="8">
        <v>0.72399999999999998</v>
      </c>
      <c r="Y2935" s="8">
        <v>0.246</v>
      </c>
      <c r="Z2935" s="8">
        <v>7.0000000000000007E-2</v>
      </c>
      <c r="AA2935" s="8">
        <v>1.7000000000000001E-2</v>
      </c>
      <c r="AB2935" s="8">
        <v>0</v>
      </c>
      <c r="AC2935" s="8">
        <v>0</v>
      </c>
    </row>
    <row r="2936" spans="1:29" ht="11.65" x14ac:dyDescent="0.35">
      <c r="A2936" s="12">
        <v>2919</v>
      </c>
      <c r="B2936" s="10" t="s">
        <v>1015</v>
      </c>
      <c r="C2936" s="11" t="s">
        <v>1218</v>
      </c>
      <c r="D2936" s="9">
        <v>2</v>
      </c>
      <c r="E2936" s="9">
        <v>540</v>
      </c>
      <c r="F2936" s="10" t="s">
        <v>1066</v>
      </c>
      <c r="G2936" s="9">
        <v>928</v>
      </c>
      <c r="H2936" s="9">
        <v>1990</v>
      </c>
      <c r="I2936" s="8">
        <v>9.6850000000000005</v>
      </c>
      <c r="J2936" s="8">
        <v>8.9309999999999992</v>
      </c>
      <c r="K2936" s="8">
        <v>9.2110000000000003</v>
      </c>
      <c r="L2936" s="8">
        <v>10.193</v>
      </c>
      <c r="M2936" s="8">
        <v>7.8730000000000002</v>
      </c>
      <c r="N2936" s="8">
        <v>6.5739999999999998</v>
      </c>
      <c r="O2936" s="8">
        <v>5.7039999999999997</v>
      </c>
      <c r="P2936" s="8">
        <v>5.3479999999999999</v>
      </c>
      <c r="Q2936" s="8">
        <v>5.109</v>
      </c>
      <c r="R2936" s="8">
        <v>4.8070000000000004</v>
      </c>
      <c r="S2936" s="8">
        <v>3.8959999999999999</v>
      </c>
      <c r="T2936" s="8">
        <v>3.1179999999999999</v>
      </c>
      <c r="U2936" s="8">
        <v>2.3439999999999999</v>
      </c>
      <c r="V2936" s="8">
        <v>1.6759999999999999</v>
      </c>
      <c r="W2936" s="8">
        <v>1.1140000000000001</v>
      </c>
      <c r="X2936" s="8">
        <v>0.74399999999999999</v>
      </c>
      <c r="Y2936" s="8">
        <v>0.45500000000000002</v>
      </c>
      <c r="Z2936" s="8">
        <v>9.7000000000000003E-2</v>
      </c>
      <c r="AA2936" s="8">
        <v>1.4999999999999999E-2</v>
      </c>
      <c r="AB2936" s="8">
        <v>2E-3</v>
      </c>
      <c r="AC2936" s="8">
        <v>0</v>
      </c>
    </row>
    <row r="2937" spans="1:29" ht="11.65" x14ac:dyDescent="0.35">
      <c r="A2937" s="12">
        <v>2920</v>
      </c>
      <c r="B2937" s="10" t="s">
        <v>1015</v>
      </c>
      <c r="C2937" s="11" t="s">
        <v>1218</v>
      </c>
      <c r="D2937" s="9">
        <v>2</v>
      </c>
      <c r="E2937" s="9">
        <v>540</v>
      </c>
      <c r="F2937" s="10" t="s">
        <v>1066</v>
      </c>
      <c r="G2937" s="9">
        <v>928</v>
      </c>
      <c r="H2937" s="9">
        <v>1995</v>
      </c>
      <c r="I2937" s="8">
        <v>10.657999999999999</v>
      </c>
      <c r="J2937" s="8">
        <v>10.483000000000001</v>
      </c>
      <c r="K2937" s="8">
        <v>9.532</v>
      </c>
      <c r="L2937" s="8">
        <v>8.9689999999999994</v>
      </c>
      <c r="M2937" s="8">
        <v>9.5660000000000007</v>
      </c>
      <c r="N2937" s="8">
        <v>8.4640000000000004</v>
      </c>
      <c r="O2937" s="8">
        <v>8.2370000000000001</v>
      </c>
      <c r="P2937" s="8">
        <v>6.6909999999999998</v>
      </c>
      <c r="Q2937" s="8">
        <v>5.899</v>
      </c>
      <c r="R2937" s="8">
        <v>5.6580000000000004</v>
      </c>
      <c r="S2937" s="8">
        <v>4.58</v>
      </c>
      <c r="T2937" s="8">
        <v>3.4089999999999998</v>
      </c>
      <c r="U2937" s="8">
        <v>2.5640000000000001</v>
      </c>
      <c r="V2937" s="8">
        <v>1.8819999999999999</v>
      </c>
      <c r="W2937" s="8">
        <v>1.159</v>
      </c>
      <c r="X2937" s="8">
        <v>0.66200000000000003</v>
      </c>
      <c r="Y2937" s="8">
        <v>0.40799999999999997</v>
      </c>
      <c r="Z2937" s="8">
        <v>0.185</v>
      </c>
      <c r="AA2937" s="8">
        <v>2.5000000000000001E-2</v>
      </c>
      <c r="AB2937" s="8">
        <v>2E-3</v>
      </c>
      <c r="AC2937" s="8">
        <v>0</v>
      </c>
    </row>
    <row r="2938" spans="1:29" ht="11.65" x14ac:dyDescent="0.35">
      <c r="A2938" s="12">
        <v>2921</v>
      </c>
      <c r="B2938" s="10" t="s">
        <v>1015</v>
      </c>
      <c r="C2938" s="11" t="s">
        <v>1218</v>
      </c>
      <c r="D2938" s="9">
        <v>2</v>
      </c>
      <c r="E2938" s="9">
        <v>540</v>
      </c>
      <c r="F2938" s="10" t="s">
        <v>1066</v>
      </c>
      <c r="G2938" s="9">
        <v>928</v>
      </c>
      <c r="H2938" s="9">
        <v>2000</v>
      </c>
      <c r="I2938" s="8">
        <v>11.522</v>
      </c>
      <c r="J2938" s="8">
        <v>11.617000000000001</v>
      </c>
      <c r="K2938" s="8">
        <v>10.61</v>
      </c>
      <c r="L2938" s="8">
        <v>8.9990000000000006</v>
      </c>
      <c r="M2938" s="8">
        <v>8.2569999999999997</v>
      </c>
      <c r="N2938" s="8">
        <v>9.5709999999999997</v>
      </c>
      <c r="O2938" s="8">
        <v>8.9610000000000003</v>
      </c>
      <c r="P2938" s="8">
        <v>8.5850000000000009</v>
      </c>
      <c r="Q2938" s="8">
        <v>6.782</v>
      </c>
      <c r="R2938" s="8">
        <v>6.0369999999999999</v>
      </c>
      <c r="S2938" s="8">
        <v>5.7039999999999997</v>
      </c>
      <c r="T2938" s="8">
        <v>4.6470000000000002</v>
      </c>
      <c r="U2938" s="8">
        <v>3.0129999999999999</v>
      </c>
      <c r="V2938" s="8">
        <v>2.25</v>
      </c>
      <c r="W2938" s="8">
        <v>1.5549999999999999</v>
      </c>
      <c r="X2938" s="8">
        <v>0.88</v>
      </c>
      <c r="Y2938" s="8">
        <v>0.622</v>
      </c>
      <c r="Z2938" s="8">
        <v>0.16900000000000001</v>
      </c>
      <c r="AA2938" s="8">
        <v>4.7E-2</v>
      </c>
      <c r="AB2938" s="8">
        <v>3.0000000000000001E-3</v>
      </c>
      <c r="AC2938" s="8">
        <v>0</v>
      </c>
    </row>
    <row r="2939" spans="1:29" ht="11.65" x14ac:dyDescent="0.35">
      <c r="A2939" s="12">
        <v>2922</v>
      </c>
      <c r="B2939" s="10" t="s">
        <v>1015</v>
      </c>
      <c r="C2939" s="11" t="s">
        <v>1218</v>
      </c>
      <c r="D2939" s="9">
        <v>2</v>
      </c>
      <c r="E2939" s="9">
        <v>540</v>
      </c>
      <c r="F2939" s="10" t="s">
        <v>1066</v>
      </c>
      <c r="G2939" s="9">
        <v>928</v>
      </c>
      <c r="H2939" s="9">
        <v>2005</v>
      </c>
      <c r="I2939" s="8">
        <v>10.759</v>
      </c>
      <c r="J2939" s="8">
        <v>11.532999999999999</v>
      </c>
      <c r="K2939" s="8">
        <v>11.634</v>
      </c>
      <c r="L2939" s="8">
        <v>10.789</v>
      </c>
      <c r="M2939" s="8">
        <v>9.3339999999999996</v>
      </c>
      <c r="N2939" s="8">
        <v>8.5790000000000006</v>
      </c>
      <c r="O2939" s="8">
        <v>9.7970000000000006</v>
      </c>
      <c r="P2939" s="8">
        <v>9.0950000000000006</v>
      </c>
      <c r="Q2939" s="8">
        <v>8.6329999999999991</v>
      </c>
      <c r="R2939" s="8">
        <v>6.7629999999999999</v>
      </c>
      <c r="S2939" s="8">
        <v>5.9370000000000003</v>
      </c>
      <c r="T2939" s="8">
        <v>5.4930000000000003</v>
      </c>
      <c r="U2939" s="8">
        <v>4.34</v>
      </c>
      <c r="V2939" s="8">
        <v>2.69</v>
      </c>
      <c r="W2939" s="8">
        <v>1.8620000000000001</v>
      </c>
      <c r="X2939" s="8">
        <v>1.1379999999999999</v>
      </c>
      <c r="Y2939" s="8">
        <v>0.52500000000000002</v>
      </c>
      <c r="Z2939" s="8">
        <v>0.26600000000000001</v>
      </c>
      <c r="AA2939" s="8">
        <v>4.4999999999999998E-2</v>
      </c>
      <c r="AB2939" s="8">
        <v>6.0000000000000001E-3</v>
      </c>
      <c r="AC2939" s="8">
        <v>0</v>
      </c>
    </row>
    <row r="2940" spans="1:29" ht="11.65" x14ac:dyDescent="0.35">
      <c r="A2940" s="12">
        <v>2923</v>
      </c>
      <c r="B2940" s="10" t="s">
        <v>1015</v>
      </c>
      <c r="C2940" s="11" t="s">
        <v>1218</v>
      </c>
      <c r="D2940" s="9">
        <v>2</v>
      </c>
      <c r="E2940" s="9">
        <v>540</v>
      </c>
      <c r="F2940" s="10" t="s">
        <v>1066</v>
      </c>
      <c r="G2940" s="9">
        <v>928</v>
      </c>
      <c r="H2940" s="9">
        <v>2010</v>
      </c>
      <c r="I2940" s="8">
        <v>11.11</v>
      </c>
      <c r="J2940" s="8">
        <v>10.766</v>
      </c>
      <c r="K2940" s="8">
        <v>11.555999999999999</v>
      </c>
      <c r="L2940" s="8">
        <v>9.8460000000000001</v>
      </c>
      <c r="M2940" s="8">
        <v>10.113</v>
      </c>
      <c r="N2940" s="8">
        <v>10.167</v>
      </c>
      <c r="O2940" s="8">
        <v>9.6059999999999999</v>
      </c>
      <c r="P2940" s="8">
        <v>10.608000000000001</v>
      </c>
      <c r="Q2940" s="8">
        <v>9.1999999999999993</v>
      </c>
      <c r="R2940" s="8">
        <v>8.6359999999999992</v>
      </c>
      <c r="S2940" s="8">
        <v>6.6840000000000002</v>
      </c>
      <c r="T2940" s="8">
        <v>5.7510000000000003</v>
      </c>
      <c r="U2940" s="8">
        <v>5.1609999999999996</v>
      </c>
      <c r="V2940" s="8">
        <v>3.9009999999999998</v>
      </c>
      <c r="W2940" s="8">
        <v>2.2490000000000001</v>
      </c>
      <c r="X2940" s="8">
        <v>1.381</v>
      </c>
      <c r="Y2940" s="8">
        <v>0.69199999999999995</v>
      </c>
      <c r="Z2940" s="8">
        <v>0.22900000000000001</v>
      </c>
      <c r="AA2940" s="8">
        <v>7.1999999999999995E-2</v>
      </c>
      <c r="AB2940" s="8">
        <v>6.0000000000000001E-3</v>
      </c>
      <c r="AC2940" s="8">
        <v>0</v>
      </c>
    </row>
    <row r="2941" spans="1:29" ht="11.65" x14ac:dyDescent="0.35">
      <c r="A2941" s="12">
        <v>2924</v>
      </c>
      <c r="B2941" s="10" t="s">
        <v>1015</v>
      </c>
      <c r="C2941" s="11" t="s">
        <v>1218</v>
      </c>
      <c r="D2941" s="9">
        <v>2</v>
      </c>
      <c r="E2941" s="9">
        <v>540</v>
      </c>
      <c r="F2941" s="10" t="s">
        <v>1066</v>
      </c>
      <c r="G2941" s="9">
        <v>928</v>
      </c>
      <c r="H2941" s="9">
        <v>2015</v>
      </c>
      <c r="I2941" s="8">
        <v>10.983000000000001</v>
      </c>
      <c r="J2941" s="8">
        <v>11.115</v>
      </c>
      <c r="K2941" s="8">
        <v>10.782999999999999</v>
      </c>
      <c r="L2941" s="8">
        <v>11.746</v>
      </c>
      <c r="M2941" s="8">
        <v>10.205</v>
      </c>
      <c r="N2941" s="8">
        <v>10.452999999999999</v>
      </c>
      <c r="O2941" s="8">
        <v>10.414999999999999</v>
      </c>
      <c r="P2941" s="8">
        <v>9.76</v>
      </c>
      <c r="Q2941" s="8">
        <v>10.669</v>
      </c>
      <c r="R2941" s="8">
        <v>9.1820000000000004</v>
      </c>
      <c r="S2941" s="8">
        <v>8.5180000000000007</v>
      </c>
      <c r="T2941" s="8">
        <v>6.484</v>
      </c>
      <c r="U2941" s="8">
        <v>5.431</v>
      </c>
      <c r="V2941" s="8">
        <v>4.6749999999999998</v>
      </c>
      <c r="W2941" s="8">
        <v>3.2970000000000002</v>
      </c>
      <c r="X2941" s="8">
        <v>1.6990000000000001</v>
      </c>
      <c r="Y2941" s="8">
        <v>0.86499999999999999</v>
      </c>
      <c r="Z2941" s="8">
        <v>0.315</v>
      </c>
      <c r="AA2941" s="8">
        <v>6.6000000000000003E-2</v>
      </c>
      <c r="AB2941" s="8">
        <v>1.0999999999999999E-2</v>
      </c>
      <c r="AC2941" s="8">
        <v>1E-3</v>
      </c>
    </row>
    <row r="2942" spans="1:29" ht="11.65" x14ac:dyDescent="0.35">
      <c r="A2942" s="12">
        <v>2925</v>
      </c>
      <c r="B2942" s="10" t="s">
        <v>1015</v>
      </c>
      <c r="C2942" s="11" t="s">
        <v>1218</v>
      </c>
      <c r="D2942" s="9">
        <v>2</v>
      </c>
      <c r="E2942" s="9">
        <v>540</v>
      </c>
      <c r="F2942" s="10" t="s">
        <v>1066</v>
      </c>
      <c r="G2942" s="9">
        <v>928</v>
      </c>
      <c r="H2942" s="9">
        <v>2020</v>
      </c>
      <c r="I2942" s="8">
        <v>10.124000000000001</v>
      </c>
      <c r="J2942" s="8">
        <v>10.994999999999999</v>
      </c>
      <c r="K2942" s="8">
        <v>11.127000000000001</v>
      </c>
      <c r="L2942" s="8">
        <v>10.894</v>
      </c>
      <c r="M2942" s="8">
        <v>11.948</v>
      </c>
      <c r="N2942" s="8">
        <v>10.398999999999999</v>
      </c>
      <c r="O2942" s="8">
        <v>10.590999999999999</v>
      </c>
      <c r="P2942" s="8">
        <v>10.492000000000001</v>
      </c>
      <c r="Q2942" s="8">
        <v>9.782</v>
      </c>
      <c r="R2942" s="8">
        <v>10.614000000000001</v>
      </c>
      <c r="S2942" s="8">
        <v>9.0489999999999995</v>
      </c>
      <c r="T2942" s="8">
        <v>8.2650000000000006</v>
      </c>
      <c r="U2942" s="8">
        <v>6.1420000000000003</v>
      </c>
      <c r="V2942" s="8">
        <v>4.9509999999999996</v>
      </c>
      <c r="W2942" s="8">
        <v>3.9929999999999999</v>
      </c>
      <c r="X2942" s="8">
        <v>2.5299999999999998</v>
      </c>
      <c r="Y2942" s="8">
        <v>1.0880000000000001</v>
      </c>
      <c r="Z2942" s="8">
        <v>0.40699999999999997</v>
      </c>
      <c r="AA2942" s="8">
        <v>9.5000000000000001E-2</v>
      </c>
      <c r="AB2942" s="8">
        <v>1.0999999999999999E-2</v>
      </c>
      <c r="AC2942" s="8">
        <v>1E-3</v>
      </c>
    </row>
    <row r="2943" spans="1:29" ht="11.65" x14ac:dyDescent="0.35">
      <c r="A2943" s="12">
        <v>2926</v>
      </c>
      <c r="B2943" s="10" t="s">
        <v>1015</v>
      </c>
      <c r="C2943" s="11" t="s">
        <v>1219</v>
      </c>
      <c r="D2943" s="9"/>
      <c r="E2943" s="9">
        <v>598</v>
      </c>
      <c r="F2943" s="10" t="s">
        <v>1066</v>
      </c>
      <c r="G2943" s="9">
        <v>928</v>
      </c>
      <c r="H2943" s="9">
        <v>1950</v>
      </c>
      <c r="I2943" s="8">
        <v>158.09700000000001</v>
      </c>
      <c r="J2943" s="8">
        <v>131.96100000000001</v>
      </c>
      <c r="K2943" s="8">
        <v>119.718</v>
      </c>
      <c r="L2943" s="8">
        <v>107.988</v>
      </c>
      <c r="M2943" s="8">
        <v>96.483999999999995</v>
      </c>
      <c r="N2943" s="8">
        <v>84.754999999999995</v>
      </c>
      <c r="O2943" s="8">
        <v>73.52</v>
      </c>
      <c r="P2943" s="8">
        <v>63.011000000000003</v>
      </c>
      <c r="Q2943" s="8">
        <v>53.11</v>
      </c>
      <c r="R2943" s="8">
        <v>43.997</v>
      </c>
      <c r="S2943" s="8">
        <v>35.311</v>
      </c>
      <c r="T2943" s="8">
        <v>23.420999999999999</v>
      </c>
      <c r="U2943" s="8">
        <v>20.155999999999999</v>
      </c>
      <c r="V2943" s="8">
        <v>19.178000000000001</v>
      </c>
      <c r="W2943" s="8">
        <v>13.271000000000001</v>
      </c>
      <c r="X2943" s="8">
        <v>7.2960000000000003</v>
      </c>
      <c r="Y2943" s="8">
        <v>2.7829999999999999</v>
      </c>
      <c r="Z2943" s="8">
        <v>0.78100000000000003</v>
      </c>
      <c r="AA2943" s="8">
        <v>0.157</v>
      </c>
      <c r="AB2943" s="8">
        <v>2.1999999999999999E-2</v>
      </c>
      <c r="AC2943" s="8">
        <v>1E-3</v>
      </c>
    </row>
    <row r="2944" spans="1:29" ht="11.65" x14ac:dyDescent="0.35">
      <c r="A2944" s="12">
        <v>2927</v>
      </c>
      <c r="B2944" s="10" t="s">
        <v>1015</v>
      </c>
      <c r="C2944" s="11" t="s">
        <v>1219</v>
      </c>
      <c r="D2944" s="9"/>
      <c r="E2944" s="9">
        <v>598</v>
      </c>
      <c r="F2944" s="10" t="s">
        <v>1066</v>
      </c>
      <c r="G2944" s="9">
        <v>928</v>
      </c>
      <c r="H2944" s="9">
        <v>1955</v>
      </c>
      <c r="I2944" s="8">
        <v>179.38200000000001</v>
      </c>
      <c r="J2944" s="8">
        <v>138.79400000000001</v>
      </c>
      <c r="K2944" s="8">
        <v>121.43300000000001</v>
      </c>
      <c r="L2944" s="8">
        <v>110.43</v>
      </c>
      <c r="M2944" s="8">
        <v>98.221999999999994</v>
      </c>
      <c r="N2944" s="8">
        <v>86.671000000000006</v>
      </c>
      <c r="O2944" s="8">
        <v>75.448999999999998</v>
      </c>
      <c r="P2944" s="8">
        <v>64.466999999999999</v>
      </c>
      <c r="Q2944" s="8">
        <v>54.061</v>
      </c>
      <c r="R2944" s="8">
        <v>44.319000000000003</v>
      </c>
      <c r="S2944" s="8">
        <v>35.340000000000003</v>
      </c>
      <c r="T2944" s="8">
        <v>27.09</v>
      </c>
      <c r="U2944" s="8">
        <v>16.795000000000002</v>
      </c>
      <c r="V2944" s="8">
        <v>12.956</v>
      </c>
      <c r="W2944" s="8">
        <v>10.762</v>
      </c>
      <c r="X2944" s="8">
        <v>6.36</v>
      </c>
      <c r="Y2944" s="8">
        <v>2.875</v>
      </c>
      <c r="Z2944" s="8">
        <v>0.372</v>
      </c>
      <c r="AA2944" s="8">
        <v>6.3E-2</v>
      </c>
      <c r="AB2944" s="8">
        <v>8.9999999999999993E-3</v>
      </c>
      <c r="AC2944" s="8">
        <v>0</v>
      </c>
    </row>
    <row r="2945" spans="1:29" ht="11.65" x14ac:dyDescent="0.35">
      <c r="A2945" s="12">
        <v>2928</v>
      </c>
      <c r="B2945" s="10" t="s">
        <v>1015</v>
      </c>
      <c r="C2945" s="11" t="s">
        <v>1219</v>
      </c>
      <c r="D2945" s="9"/>
      <c r="E2945" s="9">
        <v>598</v>
      </c>
      <c r="F2945" s="10" t="s">
        <v>1066</v>
      </c>
      <c r="G2945" s="9">
        <v>928</v>
      </c>
      <c r="H2945" s="9">
        <v>1960</v>
      </c>
      <c r="I2945" s="8">
        <v>195.631</v>
      </c>
      <c r="J2945" s="8">
        <v>163.03800000000001</v>
      </c>
      <c r="K2945" s="8">
        <v>131.45500000000001</v>
      </c>
      <c r="L2945" s="8">
        <v>115.15</v>
      </c>
      <c r="M2945" s="8">
        <v>103.42100000000001</v>
      </c>
      <c r="N2945" s="8">
        <v>90.858999999999995</v>
      </c>
      <c r="O2945" s="8">
        <v>79.613</v>
      </c>
      <c r="P2945" s="8">
        <v>68.540000000000006</v>
      </c>
      <c r="Q2945" s="8">
        <v>57.436</v>
      </c>
      <c r="R2945" s="8">
        <v>46.987000000000002</v>
      </c>
      <c r="S2945" s="8">
        <v>37.186</v>
      </c>
      <c r="T2945" s="8">
        <v>28.262</v>
      </c>
      <c r="U2945" s="8">
        <v>20.5</v>
      </c>
      <c r="V2945" s="8">
        <v>11.691000000000001</v>
      </c>
      <c r="W2945" s="8">
        <v>7.9870000000000001</v>
      </c>
      <c r="X2945" s="8">
        <v>5.766</v>
      </c>
      <c r="Y2945" s="8">
        <v>2.8679999999999999</v>
      </c>
      <c r="Z2945" s="8">
        <v>0.247</v>
      </c>
      <c r="AA2945" s="8">
        <v>2.1999999999999999E-2</v>
      </c>
      <c r="AB2945" s="8">
        <v>4.0000000000000001E-3</v>
      </c>
      <c r="AC2945" s="8">
        <v>1E-3</v>
      </c>
    </row>
    <row r="2946" spans="1:29" ht="11.65" x14ac:dyDescent="0.35">
      <c r="A2946" s="12">
        <v>2929</v>
      </c>
      <c r="B2946" s="10" t="s">
        <v>1015</v>
      </c>
      <c r="C2946" s="11" t="s">
        <v>1219</v>
      </c>
      <c r="D2946" s="9"/>
      <c r="E2946" s="9">
        <v>598</v>
      </c>
      <c r="F2946" s="10" t="s">
        <v>1066</v>
      </c>
      <c r="G2946" s="9">
        <v>928</v>
      </c>
      <c r="H2946" s="9">
        <v>1965</v>
      </c>
      <c r="I2946" s="8">
        <v>215.93299999999999</v>
      </c>
      <c r="J2946" s="8">
        <v>181.357</v>
      </c>
      <c r="K2946" s="8">
        <v>156.74</v>
      </c>
      <c r="L2946" s="8">
        <v>126.31699999999999</v>
      </c>
      <c r="M2946" s="8">
        <v>109.227</v>
      </c>
      <c r="N2946" s="8">
        <v>96.951999999999998</v>
      </c>
      <c r="O2946" s="8">
        <v>84.656999999999996</v>
      </c>
      <c r="P2946" s="8">
        <v>73.466999999999999</v>
      </c>
      <c r="Q2946" s="8">
        <v>62.021999999999998</v>
      </c>
      <c r="R2946" s="8">
        <v>50.661000000000001</v>
      </c>
      <c r="S2946" s="8">
        <v>39.966000000000001</v>
      </c>
      <c r="T2946" s="8">
        <v>30.207000000000001</v>
      </c>
      <c r="U2946" s="8">
        <v>21.847000000000001</v>
      </c>
      <c r="V2946" s="8">
        <v>14.646000000000001</v>
      </c>
      <c r="W2946" s="8">
        <v>7.415</v>
      </c>
      <c r="X2946" s="8">
        <v>4.407</v>
      </c>
      <c r="Y2946" s="8">
        <v>2.6829999999999998</v>
      </c>
      <c r="Z2946" s="8">
        <v>0.28599999999999998</v>
      </c>
      <c r="AA2946" s="8">
        <v>5.0000000000000001E-3</v>
      </c>
      <c r="AB2946" s="8">
        <v>0</v>
      </c>
      <c r="AC2946" s="8">
        <v>0</v>
      </c>
    </row>
    <row r="2947" spans="1:29" ht="11.65" x14ac:dyDescent="0.35">
      <c r="A2947" s="12">
        <v>2930</v>
      </c>
      <c r="B2947" s="10" t="s">
        <v>1015</v>
      </c>
      <c r="C2947" s="11" t="s">
        <v>1219</v>
      </c>
      <c r="D2947" s="9"/>
      <c r="E2947" s="9">
        <v>598</v>
      </c>
      <c r="F2947" s="10" t="s">
        <v>1066</v>
      </c>
      <c r="G2947" s="9">
        <v>928</v>
      </c>
      <c r="H2947" s="9">
        <v>1970</v>
      </c>
      <c r="I2947" s="8">
        <v>242.685</v>
      </c>
      <c r="J2947" s="8">
        <v>203.42</v>
      </c>
      <c r="K2947" s="8">
        <v>176.04400000000001</v>
      </c>
      <c r="L2947" s="8">
        <v>152.04</v>
      </c>
      <c r="M2947" s="8">
        <v>121.331</v>
      </c>
      <c r="N2947" s="8">
        <v>104.027</v>
      </c>
      <c r="O2947" s="8">
        <v>91.682000000000002</v>
      </c>
      <c r="P2947" s="8">
        <v>79.165000000000006</v>
      </c>
      <c r="Q2947" s="8">
        <v>67.466999999999999</v>
      </c>
      <c r="R2947" s="8">
        <v>55.567</v>
      </c>
      <c r="S2947" s="8">
        <v>43.783000000000001</v>
      </c>
      <c r="T2947" s="8">
        <v>32.957000000000001</v>
      </c>
      <c r="U2947" s="8">
        <v>23.75</v>
      </c>
      <c r="V2947" s="8">
        <v>15.939</v>
      </c>
      <c r="W2947" s="8">
        <v>9.5</v>
      </c>
      <c r="X2947" s="8">
        <v>4.1849999999999996</v>
      </c>
      <c r="Y2947" s="8">
        <v>2.0939999999999999</v>
      </c>
      <c r="Z2947" s="8">
        <v>0.30199999999999999</v>
      </c>
      <c r="AA2947" s="8">
        <v>1.4999999999999999E-2</v>
      </c>
      <c r="AB2947" s="8">
        <v>0</v>
      </c>
      <c r="AC2947" s="8">
        <v>0</v>
      </c>
    </row>
    <row r="2948" spans="1:29" ht="11.65" x14ac:dyDescent="0.35">
      <c r="A2948" s="12">
        <v>2931</v>
      </c>
      <c r="B2948" s="10" t="s">
        <v>1015</v>
      </c>
      <c r="C2948" s="11" t="s">
        <v>1219</v>
      </c>
      <c r="D2948" s="9"/>
      <c r="E2948" s="9">
        <v>598</v>
      </c>
      <c r="F2948" s="10" t="s">
        <v>1066</v>
      </c>
      <c r="G2948" s="9">
        <v>928</v>
      </c>
      <c r="H2948" s="9">
        <v>1975</v>
      </c>
      <c r="I2948" s="8">
        <v>276.221</v>
      </c>
      <c r="J2948" s="8">
        <v>230.108</v>
      </c>
      <c r="K2948" s="8">
        <v>197.77699999999999</v>
      </c>
      <c r="L2948" s="8">
        <v>170.96600000000001</v>
      </c>
      <c r="M2948" s="8">
        <v>146.316</v>
      </c>
      <c r="N2948" s="8">
        <v>115.836</v>
      </c>
      <c r="O2948" s="8">
        <v>98.704999999999998</v>
      </c>
      <c r="P2948" s="8">
        <v>86.093999999999994</v>
      </c>
      <c r="Q2948" s="8">
        <v>73.375</v>
      </c>
      <c r="R2948" s="8">
        <v>61.423999999999999</v>
      </c>
      <c r="S2948" s="8">
        <v>48.98</v>
      </c>
      <c r="T2948" s="8">
        <v>37.008000000000003</v>
      </c>
      <c r="U2948" s="8">
        <v>26.37</v>
      </c>
      <c r="V2948" s="8">
        <v>17.445</v>
      </c>
      <c r="W2948" s="8">
        <v>10.428000000000001</v>
      </c>
      <c r="X2948" s="8">
        <v>5.4</v>
      </c>
      <c r="Y2948" s="8">
        <v>1.994</v>
      </c>
      <c r="Z2948" s="8">
        <v>0.29899999999999999</v>
      </c>
      <c r="AA2948" s="8">
        <v>2.1000000000000001E-2</v>
      </c>
      <c r="AB2948" s="8">
        <v>0</v>
      </c>
      <c r="AC2948" s="8">
        <v>0</v>
      </c>
    </row>
    <row r="2949" spans="1:29" ht="11.65" x14ac:dyDescent="0.35">
      <c r="A2949" s="12">
        <v>2932</v>
      </c>
      <c r="B2949" s="10" t="s">
        <v>1015</v>
      </c>
      <c r="C2949" s="11" t="s">
        <v>1219</v>
      </c>
      <c r="D2949" s="9"/>
      <c r="E2949" s="9">
        <v>598</v>
      </c>
      <c r="F2949" s="10" t="s">
        <v>1066</v>
      </c>
      <c r="G2949" s="9">
        <v>928</v>
      </c>
      <c r="H2949" s="9">
        <v>1980</v>
      </c>
      <c r="I2949" s="8">
        <v>312.904</v>
      </c>
      <c r="J2949" s="8">
        <v>264.22800000000001</v>
      </c>
      <c r="K2949" s="8">
        <v>224.45</v>
      </c>
      <c r="L2949" s="8">
        <v>192.72399999999999</v>
      </c>
      <c r="M2949" s="8">
        <v>165.34100000000001</v>
      </c>
      <c r="N2949" s="8">
        <v>140.631</v>
      </c>
      <c r="O2949" s="8">
        <v>110.81699999999999</v>
      </c>
      <c r="P2949" s="8">
        <v>93.588999999999999</v>
      </c>
      <c r="Q2949" s="8">
        <v>80.864000000000004</v>
      </c>
      <c r="R2949" s="8">
        <v>68.009</v>
      </c>
      <c r="S2949" s="8">
        <v>55.390999999999998</v>
      </c>
      <c r="T2949" s="8">
        <v>42.621000000000002</v>
      </c>
      <c r="U2949" s="8">
        <v>30.527999999999999</v>
      </c>
      <c r="V2949" s="8">
        <v>20.007000000000001</v>
      </c>
      <c r="W2949" s="8">
        <v>11.907</v>
      </c>
      <c r="X2949" s="8">
        <v>6.2460000000000004</v>
      </c>
      <c r="Y2949" s="8">
        <v>2.7669999999999999</v>
      </c>
      <c r="Z2949" s="8">
        <v>0.33800000000000002</v>
      </c>
      <c r="AA2949" s="8">
        <v>2.5000000000000001E-2</v>
      </c>
      <c r="AB2949" s="8">
        <v>0</v>
      </c>
      <c r="AC2949" s="8">
        <v>0</v>
      </c>
    </row>
    <row r="2950" spans="1:29" ht="11.65" x14ac:dyDescent="0.35">
      <c r="A2950" s="12">
        <v>2933</v>
      </c>
      <c r="B2950" s="10" t="s">
        <v>1015</v>
      </c>
      <c r="C2950" s="11" t="s">
        <v>1219</v>
      </c>
      <c r="D2950" s="9"/>
      <c r="E2950" s="9">
        <v>598</v>
      </c>
      <c r="F2950" s="10" t="s">
        <v>1066</v>
      </c>
      <c r="G2950" s="9">
        <v>928</v>
      </c>
      <c r="H2950" s="9">
        <v>1985</v>
      </c>
      <c r="I2950" s="8">
        <v>345.45699999999999</v>
      </c>
      <c r="J2950" s="8">
        <v>302.20600000000002</v>
      </c>
      <c r="K2950" s="8">
        <v>259.75400000000002</v>
      </c>
      <c r="L2950" s="8">
        <v>220.334</v>
      </c>
      <c r="M2950" s="8">
        <v>188.14599999999999</v>
      </c>
      <c r="N2950" s="8">
        <v>160.70500000000001</v>
      </c>
      <c r="O2950" s="8">
        <v>136.071</v>
      </c>
      <c r="P2950" s="8">
        <v>106.492</v>
      </c>
      <c r="Q2950" s="8">
        <v>89.006</v>
      </c>
      <c r="R2950" s="8">
        <v>75.751000000000005</v>
      </c>
      <c r="S2950" s="8">
        <v>62.078000000000003</v>
      </c>
      <c r="T2950" s="8">
        <v>48.832000000000001</v>
      </c>
      <c r="U2950" s="8">
        <v>35.651000000000003</v>
      </c>
      <c r="V2950" s="8">
        <v>23.521999999999998</v>
      </c>
      <c r="W2950" s="8">
        <v>13.888</v>
      </c>
      <c r="X2950" s="8">
        <v>7.2590000000000003</v>
      </c>
      <c r="Y2950" s="8">
        <v>3.2509999999999999</v>
      </c>
      <c r="Z2950" s="8">
        <v>0.53700000000000003</v>
      </c>
      <c r="AA2950" s="8">
        <v>3.4000000000000002E-2</v>
      </c>
      <c r="AB2950" s="8">
        <v>0</v>
      </c>
      <c r="AC2950" s="8">
        <v>0</v>
      </c>
    </row>
    <row r="2951" spans="1:29" ht="11.65" x14ac:dyDescent="0.35">
      <c r="A2951" s="12">
        <v>2934</v>
      </c>
      <c r="B2951" s="10" t="s">
        <v>1015</v>
      </c>
      <c r="C2951" s="11" t="s">
        <v>1219</v>
      </c>
      <c r="D2951" s="9"/>
      <c r="E2951" s="9">
        <v>598</v>
      </c>
      <c r="F2951" s="10" t="s">
        <v>1066</v>
      </c>
      <c r="G2951" s="9">
        <v>928</v>
      </c>
      <c r="H2951" s="9">
        <v>1990</v>
      </c>
      <c r="I2951" s="8">
        <v>366.75799999999998</v>
      </c>
      <c r="J2951" s="8">
        <v>334.77199999999999</v>
      </c>
      <c r="K2951" s="8">
        <v>297.24599999999998</v>
      </c>
      <c r="L2951" s="8">
        <v>255.477</v>
      </c>
      <c r="M2951" s="8">
        <v>215.91499999999999</v>
      </c>
      <c r="N2951" s="8">
        <v>183.506</v>
      </c>
      <c r="O2951" s="8">
        <v>155.99</v>
      </c>
      <c r="P2951" s="8">
        <v>131.28299999999999</v>
      </c>
      <c r="Q2951" s="8">
        <v>101.60899999999999</v>
      </c>
      <c r="R2951" s="8">
        <v>83.548000000000002</v>
      </c>
      <c r="S2951" s="8">
        <v>69.322999999999993</v>
      </c>
      <c r="T2951" s="8">
        <v>54.887</v>
      </c>
      <c r="U2951" s="8">
        <v>40.984000000000002</v>
      </c>
      <c r="V2951" s="8">
        <v>27.59</v>
      </c>
      <c r="W2951" s="8">
        <v>16.417000000000002</v>
      </c>
      <c r="X2951" s="8">
        <v>8.5190000000000001</v>
      </c>
      <c r="Y2951" s="8">
        <v>3.8069999999999999</v>
      </c>
      <c r="Z2951" s="8">
        <v>0.73299999999999998</v>
      </c>
      <c r="AA2951" s="8">
        <v>6.8000000000000005E-2</v>
      </c>
      <c r="AB2951" s="8">
        <v>2E-3</v>
      </c>
      <c r="AC2951" s="8">
        <v>0</v>
      </c>
    </row>
    <row r="2952" spans="1:29" ht="11.65" x14ac:dyDescent="0.35">
      <c r="A2952" s="12">
        <v>2935</v>
      </c>
      <c r="B2952" s="10" t="s">
        <v>1015</v>
      </c>
      <c r="C2952" s="11" t="s">
        <v>1219</v>
      </c>
      <c r="D2952" s="9"/>
      <c r="E2952" s="9">
        <v>598</v>
      </c>
      <c r="F2952" s="10" t="s">
        <v>1066</v>
      </c>
      <c r="G2952" s="9">
        <v>928</v>
      </c>
      <c r="H2952" s="9">
        <v>1995</v>
      </c>
      <c r="I2952" s="8">
        <v>402.79199999999997</v>
      </c>
      <c r="J2952" s="8">
        <v>354.82100000000003</v>
      </c>
      <c r="K2952" s="8">
        <v>328.11700000000002</v>
      </c>
      <c r="L2952" s="8">
        <v>291.30399999999997</v>
      </c>
      <c r="M2952" s="8">
        <v>249.547</v>
      </c>
      <c r="N2952" s="8">
        <v>210.00800000000001</v>
      </c>
      <c r="O2952" s="8">
        <v>177.71199999999999</v>
      </c>
      <c r="P2952" s="8">
        <v>150.23599999999999</v>
      </c>
      <c r="Q2952" s="8">
        <v>125.13800000000001</v>
      </c>
      <c r="R2952" s="8">
        <v>95.369</v>
      </c>
      <c r="S2952" s="8">
        <v>76.525000000000006</v>
      </c>
      <c r="T2952" s="8">
        <v>61.417999999999999</v>
      </c>
      <c r="U2952" s="8">
        <v>46.223999999999997</v>
      </c>
      <c r="V2952" s="8">
        <v>31.896000000000001</v>
      </c>
      <c r="W2952" s="8">
        <v>19.414000000000001</v>
      </c>
      <c r="X2952" s="8">
        <v>10.176</v>
      </c>
      <c r="Y2952" s="8">
        <v>4.5199999999999996</v>
      </c>
      <c r="Z2952" s="8">
        <v>1.016</v>
      </c>
      <c r="AA2952" s="8">
        <v>0.113</v>
      </c>
      <c r="AB2952" s="8">
        <v>5.0000000000000001E-3</v>
      </c>
      <c r="AC2952" s="8">
        <v>0</v>
      </c>
    </row>
    <row r="2953" spans="1:29" ht="11.65" x14ac:dyDescent="0.35">
      <c r="A2953" s="12">
        <v>2936</v>
      </c>
      <c r="B2953" s="10" t="s">
        <v>1015</v>
      </c>
      <c r="C2953" s="11" t="s">
        <v>1219</v>
      </c>
      <c r="D2953" s="9"/>
      <c r="E2953" s="9">
        <v>598</v>
      </c>
      <c r="F2953" s="10" t="s">
        <v>1066</v>
      </c>
      <c r="G2953" s="9">
        <v>928</v>
      </c>
      <c r="H2953" s="9">
        <v>2000</v>
      </c>
      <c r="I2953" s="8">
        <v>458.02</v>
      </c>
      <c r="J2953" s="8">
        <v>391.21699999999998</v>
      </c>
      <c r="K2953" s="8">
        <v>348.23500000000001</v>
      </c>
      <c r="L2953" s="8">
        <v>321.98599999999999</v>
      </c>
      <c r="M2953" s="8">
        <v>285.02999999999997</v>
      </c>
      <c r="N2953" s="8">
        <v>243.27</v>
      </c>
      <c r="O2953" s="8">
        <v>203.946</v>
      </c>
      <c r="P2953" s="8">
        <v>171.73400000000001</v>
      </c>
      <c r="Q2953" s="8">
        <v>143.81899999999999</v>
      </c>
      <c r="R2953" s="8">
        <v>118.093</v>
      </c>
      <c r="S2953" s="8">
        <v>87.951999999999998</v>
      </c>
      <c r="T2953" s="8">
        <v>68.350999999999999</v>
      </c>
      <c r="U2953" s="8">
        <v>52.243000000000002</v>
      </c>
      <c r="V2953" s="8">
        <v>36.442</v>
      </c>
      <c r="W2953" s="8">
        <v>22.814</v>
      </c>
      <c r="X2953" s="8">
        <v>12.271000000000001</v>
      </c>
      <c r="Y2953" s="8">
        <v>5.5170000000000003</v>
      </c>
      <c r="Z2953" s="8">
        <v>1.2869999999999999</v>
      </c>
      <c r="AA2953" s="8">
        <v>0.17100000000000001</v>
      </c>
      <c r="AB2953" s="8">
        <v>8.9999999999999993E-3</v>
      </c>
      <c r="AC2953" s="8">
        <v>0</v>
      </c>
    </row>
    <row r="2954" spans="1:29" ht="11.65" x14ac:dyDescent="0.35">
      <c r="A2954" s="12">
        <v>2937</v>
      </c>
      <c r="B2954" s="10" t="s">
        <v>1015</v>
      </c>
      <c r="C2954" s="11" t="s">
        <v>1219</v>
      </c>
      <c r="D2954" s="9"/>
      <c r="E2954" s="9">
        <v>598</v>
      </c>
      <c r="F2954" s="10" t="s">
        <v>1066</v>
      </c>
      <c r="G2954" s="9">
        <v>928</v>
      </c>
      <c r="H2954" s="9">
        <v>2005</v>
      </c>
      <c r="I2954" s="8">
        <v>489.6</v>
      </c>
      <c r="J2954" s="8">
        <v>441.79899999999998</v>
      </c>
      <c r="K2954" s="8">
        <v>380.58100000000002</v>
      </c>
      <c r="L2954" s="8">
        <v>338.733</v>
      </c>
      <c r="M2954" s="8">
        <v>312.44099999999997</v>
      </c>
      <c r="N2954" s="8">
        <v>275.71800000000002</v>
      </c>
      <c r="O2954" s="8">
        <v>234.54400000000001</v>
      </c>
      <c r="P2954" s="8">
        <v>195.761</v>
      </c>
      <c r="Q2954" s="8">
        <v>163.41999999999999</v>
      </c>
      <c r="R2954" s="8">
        <v>135.05600000000001</v>
      </c>
      <c r="S2954" s="8">
        <v>108.523</v>
      </c>
      <c r="T2954" s="8">
        <v>78.396000000000001</v>
      </c>
      <c r="U2954" s="8">
        <v>58.113999999999997</v>
      </c>
      <c r="V2954" s="8">
        <v>41.289000000000001</v>
      </c>
      <c r="W2954" s="8">
        <v>26.215</v>
      </c>
      <c r="X2954" s="8">
        <v>14.55</v>
      </c>
      <c r="Y2954" s="8">
        <v>6.7220000000000004</v>
      </c>
      <c r="Z2954" s="8">
        <v>1.53</v>
      </c>
      <c r="AA2954" s="8">
        <v>0.20599999999999999</v>
      </c>
      <c r="AB2954" s="8">
        <v>1.4999999999999999E-2</v>
      </c>
      <c r="AC2954" s="8">
        <v>0</v>
      </c>
    </row>
    <row r="2955" spans="1:29" ht="11.65" x14ac:dyDescent="0.35">
      <c r="A2955" s="12">
        <v>2938</v>
      </c>
      <c r="B2955" s="10" t="s">
        <v>1015</v>
      </c>
      <c r="C2955" s="11" t="s">
        <v>1219</v>
      </c>
      <c r="D2955" s="9"/>
      <c r="E2955" s="9">
        <v>598</v>
      </c>
      <c r="F2955" s="10" t="s">
        <v>1066</v>
      </c>
      <c r="G2955" s="9">
        <v>928</v>
      </c>
      <c r="H2955" s="9">
        <v>2010</v>
      </c>
      <c r="I2955" s="8">
        <v>522.96</v>
      </c>
      <c r="J2955" s="8">
        <v>482.83800000000002</v>
      </c>
      <c r="K2955" s="8">
        <v>439.00599999999997</v>
      </c>
      <c r="L2955" s="8">
        <v>378.12099999999998</v>
      </c>
      <c r="M2955" s="8">
        <v>335.83100000000002</v>
      </c>
      <c r="N2955" s="8">
        <v>308.93299999999999</v>
      </c>
      <c r="O2955" s="8">
        <v>271.846</v>
      </c>
      <c r="P2955" s="8">
        <v>230.35400000000001</v>
      </c>
      <c r="Q2955" s="8">
        <v>190.774</v>
      </c>
      <c r="R2955" s="8">
        <v>157.33199999999999</v>
      </c>
      <c r="S2955" s="8">
        <v>127.419</v>
      </c>
      <c r="T2955" s="8">
        <v>99.463999999999999</v>
      </c>
      <c r="U2955" s="8">
        <v>68.682000000000002</v>
      </c>
      <c r="V2955" s="8">
        <v>47.468000000000004</v>
      </c>
      <c r="W2955" s="8">
        <v>30.802</v>
      </c>
      <c r="X2955" s="8">
        <v>17.395</v>
      </c>
      <c r="Y2955" s="8">
        <v>8.3089999999999993</v>
      </c>
      <c r="Z2955" s="8">
        <v>2.004</v>
      </c>
      <c r="AA2955" s="8">
        <v>0.26700000000000002</v>
      </c>
      <c r="AB2955" s="8">
        <v>1.7999999999999999E-2</v>
      </c>
      <c r="AC2955" s="8">
        <v>1E-3</v>
      </c>
    </row>
    <row r="2956" spans="1:29" ht="11.65" x14ac:dyDescent="0.35">
      <c r="A2956" s="12">
        <v>2939</v>
      </c>
      <c r="B2956" s="10" t="s">
        <v>1015</v>
      </c>
      <c r="C2956" s="11" t="s">
        <v>1219</v>
      </c>
      <c r="D2956" s="9"/>
      <c r="E2956" s="9">
        <v>598</v>
      </c>
      <c r="F2956" s="10" t="s">
        <v>1066</v>
      </c>
      <c r="G2956" s="9">
        <v>928</v>
      </c>
      <c r="H2956" s="9">
        <v>2015</v>
      </c>
      <c r="I2956" s="8">
        <v>544.86099999999999</v>
      </c>
      <c r="J2956" s="8">
        <v>516.07299999999998</v>
      </c>
      <c r="K2956" s="8">
        <v>479.76600000000002</v>
      </c>
      <c r="L2956" s="8">
        <v>435.51900000000001</v>
      </c>
      <c r="M2956" s="8">
        <v>372.96899999999999</v>
      </c>
      <c r="N2956" s="8">
        <v>330.46699999999998</v>
      </c>
      <c r="O2956" s="8">
        <v>303.78300000000002</v>
      </c>
      <c r="P2956" s="8">
        <v>266.51100000000002</v>
      </c>
      <c r="Q2956" s="8">
        <v>224.51</v>
      </c>
      <c r="R2956" s="8">
        <v>184.06399999999999</v>
      </c>
      <c r="S2956" s="8">
        <v>149.26499999999999</v>
      </c>
      <c r="T2956" s="8">
        <v>117.77800000000001</v>
      </c>
      <c r="U2956" s="8">
        <v>87.936000000000007</v>
      </c>
      <c r="V2956" s="8">
        <v>56.231999999999999</v>
      </c>
      <c r="W2956" s="8">
        <v>34.497</v>
      </c>
      <c r="X2956" s="8">
        <v>18.794</v>
      </c>
      <c r="Y2956" s="8">
        <v>8.2240000000000002</v>
      </c>
      <c r="Z2956" s="8">
        <v>2.7120000000000002</v>
      </c>
      <c r="AA2956" s="8">
        <v>0.39700000000000002</v>
      </c>
      <c r="AB2956" s="8">
        <v>0.03</v>
      </c>
      <c r="AC2956" s="8">
        <v>1E-3</v>
      </c>
    </row>
    <row r="2957" spans="1:29" ht="11.65" x14ac:dyDescent="0.35">
      <c r="A2957" s="12">
        <v>2940</v>
      </c>
      <c r="B2957" s="10" t="s">
        <v>1015</v>
      </c>
      <c r="C2957" s="11" t="s">
        <v>1219</v>
      </c>
      <c r="D2957" s="9"/>
      <c r="E2957" s="9">
        <v>598</v>
      </c>
      <c r="F2957" s="10" t="s">
        <v>1066</v>
      </c>
      <c r="G2957" s="9">
        <v>928</v>
      </c>
      <c r="H2957" s="9">
        <v>2020</v>
      </c>
      <c r="I2957" s="8">
        <v>572.64300000000003</v>
      </c>
      <c r="J2957" s="8">
        <v>538.95600000000002</v>
      </c>
      <c r="K2957" s="8">
        <v>513.24400000000003</v>
      </c>
      <c r="L2957" s="8">
        <v>476.34800000000001</v>
      </c>
      <c r="M2957" s="8">
        <v>430.13200000000001</v>
      </c>
      <c r="N2957" s="8">
        <v>367.56200000000001</v>
      </c>
      <c r="O2957" s="8">
        <v>325.44900000000001</v>
      </c>
      <c r="P2957" s="8">
        <v>298.33</v>
      </c>
      <c r="Q2957" s="8">
        <v>260.27499999999998</v>
      </c>
      <c r="R2957" s="8">
        <v>217.13399999999999</v>
      </c>
      <c r="S2957" s="8">
        <v>175.12299999999999</v>
      </c>
      <c r="T2957" s="8">
        <v>138.417</v>
      </c>
      <c r="U2957" s="8">
        <v>104.72499999999999</v>
      </c>
      <c r="V2957" s="8">
        <v>72.965999999999994</v>
      </c>
      <c r="W2957" s="8">
        <v>41.927</v>
      </c>
      <c r="X2957" s="8">
        <v>21.899000000000001</v>
      </c>
      <c r="Y2957" s="8">
        <v>9.3949999999999996</v>
      </c>
      <c r="Z2957" s="8">
        <v>2.9009999999999998</v>
      </c>
      <c r="AA2957" s="8">
        <v>0.59499999999999997</v>
      </c>
      <c r="AB2957" s="8">
        <v>4.9000000000000002E-2</v>
      </c>
      <c r="AC2957" s="8">
        <v>2E-3</v>
      </c>
    </row>
    <row r="2958" spans="1:29" ht="11.65" x14ac:dyDescent="0.35">
      <c r="A2958" s="12">
        <v>2941</v>
      </c>
      <c r="B2958" s="10" t="s">
        <v>1015</v>
      </c>
      <c r="C2958" s="11" t="s">
        <v>1220</v>
      </c>
      <c r="D2958" s="9"/>
      <c r="E2958" s="9">
        <v>90</v>
      </c>
      <c r="F2958" s="10" t="s">
        <v>1066</v>
      </c>
      <c r="G2958" s="9">
        <v>928</v>
      </c>
      <c r="H2958" s="9">
        <v>1950</v>
      </c>
      <c r="I2958" s="8">
        <v>7.101</v>
      </c>
      <c r="J2958" s="8">
        <v>6.7009999999999996</v>
      </c>
      <c r="K2958" s="8">
        <v>5.6</v>
      </c>
      <c r="L2958" s="8">
        <v>5.3010000000000002</v>
      </c>
      <c r="M2958" s="8">
        <v>4.0999999999999996</v>
      </c>
      <c r="N2958" s="8">
        <v>3.7</v>
      </c>
      <c r="O2958" s="8">
        <v>3.101</v>
      </c>
      <c r="P2958" s="8">
        <v>2.6</v>
      </c>
      <c r="Q2958" s="8">
        <v>2.3010000000000002</v>
      </c>
      <c r="R2958" s="8">
        <v>1.9990000000000001</v>
      </c>
      <c r="S2958" s="8">
        <v>2.9990000000000001</v>
      </c>
      <c r="T2958" s="8">
        <v>1.8</v>
      </c>
      <c r="U2958" s="8">
        <v>0.80100000000000005</v>
      </c>
      <c r="V2958" s="8">
        <v>0.6</v>
      </c>
      <c r="W2958" s="8">
        <v>0.4</v>
      </c>
      <c r="X2958" s="8">
        <v>0.30099999999999999</v>
      </c>
      <c r="Y2958" s="8">
        <v>6.8000000000000005E-2</v>
      </c>
      <c r="Z2958" s="8">
        <v>2.1000000000000001E-2</v>
      </c>
      <c r="AA2958" s="8">
        <v>4.0000000000000001E-3</v>
      </c>
      <c r="AB2958" s="8">
        <v>0</v>
      </c>
      <c r="AC2958" s="8">
        <v>0</v>
      </c>
    </row>
    <row r="2959" spans="1:29" ht="11.65" x14ac:dyDescent="0.35">
      <c r="A2959" s="12">
        <v>2942</v>
      </c>
      <c r="B2959" s="10" t="s">
        <v>1015</v>
      </c>
      <c r="C2959" s="11" t="s">
        <v>1220</v>
      </c>
      <c r="D2959" s="9"/>
      <c r="E2959" s="9">
        <v>90</v>
      </c>
      <c r="F2959" s="10" t="s">
        <v>1066</v>
      </c>
      <c r="G2959" s="9">
        <v>928</v>
      </c>
      <c r="H2959" s="9">
        <v>1955</v>
      </c>
      <c r="I2959" s="8">
        <v>8.2780000000000005</v>
      </c>
      <c r="J2959" s="8">
        <v>7.11</v>
      </c>
      <c r="K2959" s="8">
        <v>6.7089999999999996</v>
      </c>
      <c r="L2959" s="8">
        <v>5.4059999999999997</v>
      </c>
      <c r="M2959" s="8">
        <v>5.0949999999999998</v>
      </c>
      <c r="N2959" s="8">
        <v>3.9060000000000001</v>
      </c>
      <c r="O2959" s="8">
        <v>3.5150000000000001</v>
      </c>
      <c r="P2959" s="8">
        <v>2.9409999999999998</v>
      </c>
      <c r="Q2959" s="8">
        <v>2.4609999999999999</v>
      </c>
      <c r="R2959" s="8">
        <v>2.1749999999999998</v>
      </c>
      <c r="S2959" s="8">
        <v>1.8560000000000001</v>
      </c>
      <c r="T2959" s="8">
        <v>2.6659999999999999</v>
      </c>
      <c r="U2959" s="8">
        <v>1.5409999999999999</v>
      </c>
      <c r="V2959" s="8">
        <v>0.65200000000000002</v>
      </c>
      <c r="W2959" s="8">
        <v>0.443</v>
      </c>
      <c r="X2959" s="8">
        <v>0.26300000000000001</v>
      </c>
      <c r="Y2959" s="8">
        <v>0.16</v>
      </c>
      <c r="Z2959" s="8">
        <v>1.7999999999999999E-2</v>
      </c>
      <c r="AA2959" s="8">
        <v>3.0000000000000001E-3</v>
      </c>
      <c r="AB2959" s="8">
        <v>0</v>
      </c>
      <c r="AC2959" s="8">
        <v>0</v>
      </c>
    </row>
    <row r="2960" spans="1:29" ht="11.65" x14ac:dyDescent="0.35">
      <c r="A2960" s="12">
        <v>2943</v>
      </c>
      <c r="B2960" s="10" t="s">
        <v>1015</v>
      </c>
      <c r="C2960" s="11" t="s">
        <v>1220</v>
      </c>
      <c r="D2960" s="9"/>
      <c r="E2960" s="9">
        <v>90</v>
      </c>
      <c r="F2960" s="10" t="s">
        <v>1066</v>
      </c>
      <c r="G2960" s="9">
        <v>928</v>
      </c>
      <c r="H2960" s="9">
        <v>1960</v>
      </c>
      <c r="I2960" s="8">
        <v>10.073</v>
      </c>
      <c r="J2960" s="8">
        <v>8.5739999999999998</v>
      </c>
      <c r="K2960" s="8">
        <v>7.2830000000000004</v>
      </c>
      <c r="L2960" s="8">
        <v>6.5380000000000003</v>
      </c>
      <c r="M2960" s="8">
        <v>5.2560000000000002</v>
      </c>
      <c r="N2960" s="8">
        <v>4.9340000000000002</v>
      </c>
      <c r="O2960" s="8">
        <v>3.7829999999999999</v>
      </c>
      <c r="P2960" s="8">
        <v>3.391</v>
      </c>
      <c r="Q2960" s="8">
        <v>2.8</v>
      </c>
      <c r="R2960" s="8">
        <v>2.3079999999999998</v>
      </c>
      <c r="S2960" s="8">
        <v>1.998</v>
      </c>
      <c r="T2960" s="8">
        <v>1.6719999999999999</v>
      </c>
      <c r="U2960" s="8">
        <v>2.3340000000000001</v>
      </c>
      <c r="V2960" s="8">
        <v>1.298</v>
      </c>
      <c r="W2960" s="8">
        <v>0.51400000000000001</v>
      </c>
      <c r="X2960" s="8">
        <v>0.29199999999999998</v>
      </c>
      <c r="Y2960" s="8">
        <v>0.13200000000000001</v>
      </c>
      <c r="Z2960" s="8">
        <v>4.2999999999999997E-2</v>
      </c>
      <c r="AA2960" s="8">
        <v>1E-3</v>
      </c>
      <c r="AB2960" s="8">
        <v>0</v>
      </c>
      <c r="AC2960" s="8">
        <v>0</v>
      </c>
    </row>
    <row r="2961" spans="1:29" ht="11.65" x14ac:dyDescent="0.35">
      <c r="A2961" s="12">
        <v>2944</v>
      </c>
      <c r="B2961" s="10" t="s">
        <v>1015</v>
      </c>
      <c r="C2961" s="11" t="s">
        <v>1220</v>
      </c>
      <c r="D2961" s="9"/>
      <c r="E2961" s="9">
        <v>90</v>
      </c>
      <c r="F2961" s="10" t="s">
        <v>1066</v>
      </c>
      <c r="G2961" s="9">
        <v>928</v>
      </c>
      <c r="H2961" s="9">
        <v>1965</v>
      </c>
      <c r="I2961" s="8">
        <v>11.865</v>
      </c>
      <c r="J2961" s="8">
        <v>10.076000000000001</v>
      </c>
      <c r="K2961" s="8">
        <v>8.5909999999999993</v>
      </c>
      <c r="L2961" s="8">
        <v>7.077</v>
      </c>
      <c r="M2961" s="8">
        <v>6.3259999999999996</v>
      </c>
      <c r="N2961" s="8">
        <v>5.056</v>
      </c>
      <c r="O2961" s="8">
        <v>4.742</v>
      </c>
      <c r="P2961" s="8">
        <v>3.6429999999999998</v>
      </c>
      <c r="Q2961" s="8">
        <v>3.2690000000000001</v>
      </c>
      <c r="R2961" s="8">
        <v>2.6869999999999998</v>
      </c>
      <c r="S2961" s="8">
        <v>2.1789999999999998</v>
      </c>
      <c r="T2961" s="8">
        <v>1.8340000000000001</v>
      </c>
      <c r="U2961" s="8">
        <v>1.474</v>
      </c>
      <c r="V2961" s="8">
        <v>1.919</v>
      </c>
      <c r="W2961" s="8">
        <v>0.98899999999999999</v>
      </c>
      <c r="X2961" s="8">
        <v>0.34</v>
      </c>
      <c r="Y2961" s="8">
        <v>0.14499999999999999</v>
      </c>
      <c r="Z2961" s="8">
        <v>3.7999999999999999E-2</v>
      </c>
      <c r="AA2961" s="8">
        <v>6.0000000000000001E-3</v>
      </c>
      <c r="AB2961" s="8">
        <v>0</v>
      </c>
      <c r="AC2961" s="8">
        <v>0</v>
      </c>
    </row>
    <row r="2962" spans="1:29" ht="11.65" x14ac:dyDescent="0.35">
      <c r="A2962" s="12">
        <v>2945</v>
      </c>
      <c r="B2962" s="10" t="s">
        <v>1015</v>
      </c>
      <c r="C2962" s="11" t="s">
        <v>1220</v>
      </c>
      <c r="D2962" s="9"/>
      <c r="E2962" s="9">
        <v>90</v>
      </c>
      <c r="F2962" s="10" t="s">
        <v>1066</v>
      </c>
      <c r="G2962" s="9">
        <v>928</v>
      </c>
      <c r="H2962" s="9">
        <v>1970</v>
      </c>
      <c r="I2962" s="8">
        <v>14.201000000000001</v>
      </c>
      <c r="J2962" s="8">
        <v>11.38</v>
      </c>
      <c r="K2962" s="8">
        <v>10.189</v>
      </c>
      <c r="L2962" s="8">
        <v>9.0050000000000008</v>
      </c>
      <c r="M2962" s="8">
        <v>7.3159999999999998</v>
      </c>
      <c r="N2962" s="8">
        <v>6.2720000000000002</v>
      </c>
      <c r="O2962" s="8">
        <v>4.9409999999999998</v>
      </c>
      <c r="P2962" s="8">
        <v>4.601</v>
      </c>
      <c r="Q2962" s="8">
        <v>3.488</v>
      </c>
      <c r="R2962" s="8">
        <v>3.0880000000000001</v>
      </c>
      <c r="S2962" s="8">
        <v>2.4980000000000002</v>
      </c>
      <c r="T2962" s="8">
        <v>1.986</v>
      </c>
      <c r="U2962" s="8">
        <v>1.6319999999999999</v>
      </c>
      <c r="V2962" s="8">
        <v>1.252</v>
      </c>
      <c r="W2962" s="8">
        <v>1.46</v>
      </c>
      <c r="X2962" s="8">
        <v>0.65800000000000003</v>
      </c>
      <c r="Y2962" s="8">
        <v>0.186</v>
      </c>
      <c r="Z2962" s="8">
        <v>4.7E-2</v>
      </c>
      <c r="AA2962" s="8">
        <v>8.9999999999999993E-3</v>
      </c>
      <c r="AB2962" s="8">
        <v>0</v>
      </c>
      <c r="AC2962" s="8">
        <v>0</v>
      </c>
    </row>
    <row r="2963" spans="1:29" ht="11.65" x14ac:dyDescent="0.35">
      <c r="A2963" s="12">
        <v>2946</v>
      </c>
      <c r="B2963" s="10" t="s">
        <v>1015</v>
      </c>
      <c r="C2963" s="11" t="s">
        <v>1220</v>
      </c>
      <c r="D2963" s="9"/>
      <c r="E2963" s="9">
        <v>90</v>
      </c>
      <c r="F2963" s="10" t="s">
        <v>1066</v>
      </c>
      <c r="G2963" s="9">
        <v>928</v>
      </c>
      <c r="H2963" s="9">
        <v>1975</v>
      </c>
      <c r="I2963" s="8">
        <v>19.866</v>
      </c>
      <c r="J2963" s="8">
        <v>14.916</v>
      </c>
      <c r="K2963" s="8">
        <v>12.484</v>
      </c>
      <c r="L2963" s="8">
        <v>10.005000000000001</v>
      </c>
      <c r="M2963" s="8">
        <v>7.6660000000000004</v>
      </c>
      <c r="N2963" s="8">
        <v>6.2409999999999997</v>
      </c>
      <c r="O2963" s="8">
        <v>6.0250000000000004</v>
      </c>
      <c r="P2963" s="8">
        <v>4.9009999999999998</v>
      </c>
      <c r="Q2963" s="8">
        <v>4.33</v>
      </c>
      <c r="R2963" s="8">
        <v>3.1739999999999999</v>
      </c>
      <c r="S2963" s="8">
        <v>2.827</v>
      </c>
      <c r="T2963" s="8">
        <v>2.2440000000000002</v>
      </c>
      <c r="U2963" s="8">
        <v>1.81</v>
      </c>
      <c r="V2963" s="8">
        <v>1.512</v>
      </c>
      <c r="W2963" s="8">
        <v>1.1080000000000001</v>
      </c>
      <c r="X2963" s="8">
        <v>0.96299999999999997</v>
      </c>
      <c r="Y2963" s="8">
        <v>0.28799999999999998</v>
      </c>
      <c r="Z2963" s="8">
        <v>6.6000000000000003E-2</v>
      </c>
      <c r="AA2963" s="8">
        <v>1.0999999999999999E-2</v>
      </c>
      <c r="AB2963" s="8">
        <v>0</v>
      </c>
      <c r="AC2963" s="8">
        <v>0</v>
      </c>
    </row>
    <row r="2964" spans="1:29" ht="11.65" x14ac:dyDescent="0.35">
      <c r="A2964" s="12">
        <v>2947</v>
      </c>
      <c r="B2964" s="10" t="s">
        <v>1015</v>
      </c>
      <c r="C2964" s="11" t="s">
        <v>1220</v>
      </c>
      <c r="D2964" s="9"/>
      <c r="E2964" s="9">
        <v>90</v>
      </c>
      <c r="F2964" s="10" t="s">
        <v>1066</v>
      </c>
      <c r="G2964" s="9">
        <v>928</v>
      </c>
      <c r="H2964" s="9">
        <v>1980</v>
      </c>
      <c r="I2964" s="8">
        <v>22.984999999999999</v>
      </c>
      <c r="J2964" s="8">
        <v>19.190000000000001</v>
      </c>
      <c r="K2964" s="8">
        <v>14.143000000000001</v>
      </c>
      <c r="L2964" s="8">
        <v>11.961</v>
      </c>
      <c r="M2964" s="8">
        <v>9.6300000000000008</v>
      </c>
      <c r="N2964" s="8">
        <v>7.3460000000000001</v>
      </c>
      <c r="O2964" s="8">
        <v>6.4210000000000003</v>
      </c>
      <c r="P2964" s="8">
        <v>6.2030000000000003</v>
      </c>
      <c r="Q2964" s="8">
        <v>4.7690000000000001</v>
      </c>
      <c r="R2964" s="8">
        <v>4.1900000000000004</v>
      </c>
      <c r="S2964" s="8">
        <v>3.0489999999999999</v>
      </c>
      <c r="T2964" s="8">
        <v>2.6659999999999999</v>
      </c>
      <c r="U2964" s="8">
        <v>2.1800000000000002</v>
      </c>
      <c r="V2964" s="8">
        <v>1.696</v>
      </c>
      <c r="W2964" s="8">
        <v>1.2889999999999999</v>
      </c>
      <c r="X2964" s="8">
        <v>0.81100000000000005</v>
      </c>
      <c r="Y2964" s="8">
        <v>0.52800000000000002</v>
      </c>
      <c r="Z2964" s="8">
        <v>0.109</v>
      </c>
      <c r="AA2964" s="8">
        <v>1.4999999999999999E-2</v>
      </c>
      <c r="AB2964" s="8">
        <v>2E-3</v>
      </c>
      <c r="AC2964" s="8">
        <v>0</v>
      </c>
    </row>
    <row r="2965" spans="1:29" ht="11.65" x14ac:dyDescent="0.35">
      <c r="A2965" s="12">
        <v>2948</v>
      </c>
      <c r="B2965" s="10" t="s">
        <v>1015</v>
      </c>
      <c r="C2965" s="11" t="s">
        <v>1220</v>
      </c>
      <c r="D2965" s="9"/>
      <c r="E2965" s="9">
        <v>90</v>
      </c>
      <c r="F2965" s="10" t="s">
        <v>1066</v>
      </c>
      <c r="G2965" s="9">
        <v>928</v>
      </c>
      <c r="H2965" s="9">
        <v>1985</v>
      </c>
      <c r="I2965" s="8">
        <v>25.047000000000001</v>
      </c>
      <c r="J2965" s="8">
        <v>22.419</v>
      </c>
      <c r="K2965" s="8">
        <v>19.021999999999998</v>
      </c>
      <c r="L2965" s="8">
        <v>14.007</v>
      </c>
      <c r="M2965" s="8">
        <v>11.779</v>
      </c>
      <c r="N2965" s="8">
        <v>9.4540000000000006</v>
      </c>
      <c r="O2965" s="8">
        <v>7.2</v>
      </c>
      <c r="P2965" s="8">
        <v>6.27</v>
      </c>
      <c r="Q2965" s="8">
        <v>6.0179999999999998</v>
      </c>
      <c r="R2965" s="8">
        <v>4.5789999999999997</v>
      </c>
      <c r="S2965" s="8">
        <v>3.9580000000000002</v>
      </c>
      <c r="T2965" s="8">
        <v>2.8069999999999999</v>
      </c>
      <c r="U2965" s="8">
        <v>2.3570000000000002</v>
      </c>
      <c r="V2965" s="8">
        <v>1.8160000000000001</v>
      </c>
      <c r="W2965" s="8">
        <v>1.2869999999999999</v>
      </c>
      <c r="X2965" s="8">
        <v>0.84299999999999997</v>
      </c>
      <c r="Y2965" s="8">
        <v>0.42099999999999999</v>
      </c>
      <c r="Z2965" s="8">
        <v>0.215</v>
      </c>
      <c r="AA2965" s="8">
        <v>0.03</v>
      </c>
      <c r="AB2965" s="8">
        <v>3.0000000000000001E-3</v>
      </c>
      <c r="AC2965" s="8">
        <v>0</v>
      </c>
    </row>
    <row r="2966" spans="1:29" ht="11.65" x14ac:dyDescent="0.35">
      <c r="A2966" s="12">
        <v>2949</v>
      </c>
      <c r="B2966" s="10" t="s">
        <v>1015</v>
      </c>
      <c r="C2966" s="11" t="s">
        <v>1220</v>
      </c>
      <c r="D2966" s="9"/>
      <c r="E2966" s="9">
        <v>90</v>
      </c>
      <c r="F2966" s="10" t="s">
        <v>1066</v>
      </c>
      <c r="G2966" s="9">
        <v>928</v>
      </c>
      <c r="H2966" s="9">
        <v>1990</v>
      </c>
      <c r="I2966" s="8">
        <v>27.442</v>
      </c>
      <c r="J2966" s="8">
        <v>23.791</v>
      </c>
      <c r="K2966" s="8">
        <v>21.916</v>
      </c>
      <c r="L2966" s="8">
        <v>18.768000000000001</v>
      </c>
      <c r="M2966" s="8">
        <v>13.739000000000001</v>
      </c>
      <c r="N2966" s="8">
        <v>11.507999999999999</v>
      </c>
      <c r="O2966" s="8">
        <v>9.2149999999999999</v>
      </c>
      <c r="P2966" s="8">
        <v>6.9850000000000003</v>
      </c>
      <c r="Q2966" s="8">
        <v>6.0380000000000003</v>
      </c>
      <c r="R2966" s="8">
        <v>5.73</v>
      </c>
      <c r="S2966" s="8">
        <v>4.28</v>
      </c>
      <c r="T2966" s="8">
        <v>3.6059999999999999</v>
      </c>
      <c r="U2966" s="8">
        <v>2.4489999999999998</v>
      </c>
      <c r="V2966" s="8">
        <v>1.9330000000000001</v>
      </c>
      <c r="W2966" s="8">
        <v>1.347</v>
      </c>
      <c r="X2966" s="8">
        <v>0.81799999999999995</v>
      </c>
      <c r="Y2966" s="8">
        <v>0.42399999999999999</v>
      </c>
      <c r="Z2966" s="8">
        <v>0.18099999999999999</v>
      </c>
      <c r="AA2966" s="8">
        <v>6.4000000000000001E-2</v>
      </c>
      <c r="AB2966" s="8">
        <v>5.0000000000000001E-3</v>
      </c>
      <c r="AC2966" s="8">
        <v>0</v>
      </c>
    </row>
    <row r="2967" spans="1:29" ht="11.65" x14ac:dyDescent="0.35">
      <c r="A2967" s="12">
        <v>2950</v>
      </c>
      <c r="B2967" s="10" t="s">
        <v>1015</v>
      </c>
      <c r="C2967" s="11" t="s">
        <v>1220</v>
      </c>
      <c r="D2967" s="9"/>
      <c r="E2967" s="9">
        <v>90</v>
      </c>
      <c r="F2967" s="10" t="s">
        <v>1066</v>
      </c>
      <c r="G2967" s="9">
        <v>928</v>
      </c>
      <c r="H2967" s="9">
        <v>1995</v>
      </c>
      <c r="I2967" s="8">
        <v>30.495000000000001</v>
      </c>
      <c r="J2967" s="8">
        <v>26.491</v>
      </c>
      <c r="K2967" s="8">
        <v>23.452999999999999</v>
      </c>
      <c r="L2967" s="8">
        <v>21.698</v>
      </c>
      <c r="M2967" s="8">
        <v>18.475999999999999</v>
      </c>
      <c r="N2967" s="8">
        <v>13.484</v>
      </c>
      <c r="O2967" s="8">
        <v>11.273</v>
      </c>
      <c r="P2967" s="8">
        <v>8.9949999999999992</v>
      </c>
      <c r="Q2967" s="8">
        <v>6.7729999999999997</v>
      </c>
      <c r="R2967" s="8">
        <v>5.7919999999999998</v>
      </c>
      <c r="S2967" s="8">
        <v>5.4080000000000004</v>
      </c>
      <c r="T2967" s="8">
        <v>3.9380000000000002</v>
      </c>
      <c r="U2967" s="8">
        <v>3.1890000000000001</v>
      </c>
      <c r="V2967" s="8">
        <v>2.0390000000000001</v>
      </c>
      <c r="W2967" s="8">
        <v>1.4650000000000001</v>
      </c>
      <c r="X2967" s="8">
        <v>0.88200000000000001</v>
      </c>
      <c r="Y2967" s="8">
        <v>0.42399999999999999</v>
      </c>
      <c r="Z2967" s="8">
        <v>0.19</v>
      </c>
      <c r="AA2967" s="8">
        <v>5.6000000000000001E-2</v>
      </c>
      <c r="AB2967" s="8">
        <v>1.2999999999999999E-2</v>
      </c>
      <c r="AC2967" s="8">
        <v>1E-3</v>
      </c>
    </row>
    <row r="2968" spans="1:29" ht="11.65" x14ac:dyDescent="0.35">
      <c r="A2968" s="12">
        <v>2951</v>
      </c>
      <c r="B2968" s="10" t="s">
        <v>1015</v>
      </c>
      <c r="C2968" s="11" t="s">
        <v>1220</v>
      </c>
      <c r="D2968" s="9"/>
      <c r="E2968" s="9">
        <v>90</v>
      </c>
      <c r="F2968" s="10" t="s">
        <v>1066</v>
      </c>
      <c r="G2968" s="9">
        <v>928</v>
      </c>
      <c r="H2968" s="9">
        <v>2000</v>
      </c>
      <c r="I2968" s="8">
        <v>33.530999999999999</v>
      </c>
      <c r="J2968" s="8">
        <v>29.821999999999999</v>
      </c>
      <c r="K2968" s="8">
        <v>26.247</v>
      </c>
      <c r="L2968" s="8">
        <v>23.263000000000002</v>
      </c>
      <c r="M2968" s="8">
        <v>21.422000000000001</v>
      </c>
      <c r="N2968" s="8">
        <v>18.195</v>
      </c>
      <c r="O2968" s="8">
        <v>13.262</v>
      </c>
      <c r="P2968" s="8">
        <v>11.057</v>
      </c>
      <c r="Q2968" s="8">
        <v>8.77</v>
      </c>
      <c r="R2968" s="8">
        <v>6.5410000000000004</v>
      </c>
      <c r="S2968" s="8">
        <v>5.5069999999999997</v>
      </c>
      <c r="T2968" s="8">
        <v>5.0170000000000003</v>
      </c>
      <c r="U2968" s="8">
        <v>3.5169999999999999</v>
      </c>
      <c r="V2968" s="8">
        <v>2.6859999999999999</v>
      </c>
      <c r="W2968" s="8">
        <v>1.5680000000000001</v>
      </c>
      <c r="X2968" s="8">
        <v>0.97499999999999998</v>
      </c>
      <c r="Y2968" s="8">
        <v>0.46700000000000003</v>
      </c>
      <c r="Z2968" s="8">
        <v>0.19500000000000001</v>
      </c>
      <c r="AA2968" s="8">
        <v>6.0999999999999999E-2</v>
      </c>
      <c r="AB2968" s="8">
        <v>1.0999999999999999E-2</v>
      </c>
      <c r="AC2968" s="8">
        <v>1E-3</v>
      </c>
    </row>
    <row r="2969" spans="1:29" ht="11.65" x14ac:dyDescent="0.35">
      <c r="A2969" s="12">
        <v>2952</v>
      </c>
      <c r="B2969" s="10" t="s">
        <v>1015</v>
      </c>
      <c r="C2969" s="11" t="s">
        <v>1220</v>
      </c>
      <c r="D2969" s="9"/>
      <c r="E2969" s="9">
        <v>90</v>
      </c>
      <c r="F2969" s="10" t="s">
        <v>1066</v>
      </c>
      <c r="G2969" s="9">
        <v>928</v>
      </c>
      <c r="H2969" s="9">
        <v>2005</v>
      </c>
      <c r="I2969" s="8">
        <v>37.356000000000002</v>
      </c>
      <c r="J2969" s="8">
        <v>33.17</v>
      </c>
      <c r="K2969" s="8">
        <v>30.042000000000002</v>
      </c>
      <c r="L2969" s="8">
        <v>25.492999999999999</v>
      </c>
      <c r="M2969" s="8">
        <v>21.93</v>
      </c>
      <c r="N2969" s="8">
        <v>19.753</v>
      </c>
      <c r="O2969" s="8">
        <v>16.361000000000001</v>
      </c>
      <c r="P2969" s="8">
        <v>12.871</v>
      </c>
      <c r="Q2969" s="8">
        <v>10.974</v>
      </c>
      <c r="R2969" s="8">
        <v>8.3089999999999993</v>
      </c>
      <c r="S2969" s="8">
        <v>6.5880000000000001</v>
      </c>
      <c r="T2969" s="8">
        <v>5.4409999999999998</v>
      </c>
      <c r="U2969" s="8">
        <v>4.4370000000000003</v>
      </c>
      <c r="V2969" s="8">
        <v>2.9929999999999999</v>
      </c>
      <c r="W2969" s="8">
        <v>2.1709999999999998</v>
      </c>
      <c r="X2969" s="8">
        <v>1.21</v>
      </c>
      <c r="Y2969" s="8">
        <v>0.67300000000000004</v>
      </c>
      <c r="Z2969" s="8">
        <v>0.216</v>
      </c>
      <c r="AA2969" s="8">
        <v>6.2E-2</v>
      </c>
      <c r="AB2969" s="8">
        <v>1.2E-2</v>
      </c>
      <c r="AC2969" s="8">
        <v>1E-3</v>
      </c>
    </row>
    <row r="2970" spans="1:29" ht="11.65" x14ac:dyDescent="0.35">
      <c r="A2970" s="12">
        <v>2953</v>
      </c>
      <c r="B2970" s="10" t="s">
        <v>1015</v>
      </c>
      <c r="C2970" s="11" t="s">
        <v>1220</v>
      </c>
      <c r="D2970" s="9"/>
      <c r="E2970" s="9">
        <v>90</v>
      </c>
      <c r="F2970" s="10" t="s">
        <v>1066</v>
      </c>
      <c r="G2970" s="9">
        <v>928</v>
      </c>
      <c r="H2970" s="9">
        <v>2010</v>
      </c>
      <c r="I2970" s="8">
        <v>41.101999999999997</v>
      </c>
      <c r="J2970" s="8">
        <v>36.904000000000003</v>
      </c>
      <c r="K2970" s="8">
        <v>33.280999999999999</v>
      </c>
      <c r="L2970" s="8">
        <v>28.103000000000002</v>
      </c>
      <c r="M2970" s="8">
        <v>22.734999999999999</v>
      </c>
      <c r="N2970" s="8">
        <v>20.262</v>
      </c>
      <c r="O2970" s="8">
        <v>19.073</v>
      </c>
      <c r="P2970" s="8">
        <v>16.725000000000001</v>
      </c>
      <c r="Q2970" s="8">
        <v>12.381</v>
      </c>
      <c r="R2970" s="8">
        <v>9.9700000000000006</v>
      </c>
      <c r="S2970" s="8">
        <v>7.8769999999999998</v>
      </c>
      <c r="T2970" s="8">
        <v>5.9320000000000004</v>
      </c>
      <c r="U2970" s="8">
        <v>4.7160000000000002</v>
      </c>
      <c r="V2970" s="8">
        <v>3.7959999999999998</v>
      </c>
      <c r="W2970" s="8">
        <v>2.44</v>
      </c>
      <c r="X2970" s="8">
        <v>1.6850000000000001</v>
      </c>
      <c r="Y2970" s="8">
        <v>0.81</v>
      </c>
      <c r="Z2970" s="8">
        <v>0.313</v>
      </c>
      <c r="AA2970" s="8">
        <v>6.8000000000000005E-2</v>
      </c>
      <c r="AB2970" s="8">
        <v>1.2E-2</v>
      </c>
      <c r="AC2970" s="8">
        <v>1E-3</v>
      </c>
    </row>
    <row r="2971" spans="1:29" ht="11.65" x14ac:dyDescent="0.35">
      <c r="A2971" s="12">
        <v>2954</v>
      </c>
      <c r="B2971" s="10" t="s">
        <v>1015</v>
      </c>
      <c r="C2971" s="11" t="s">
        <v>1220</v>
      </c>
      <c r="D2971" s="9"/>
      <c r="E2971" s="9">
        <v>90</v>
      </c>
      <c r="F2971" s="10" t="s">
        <v>1066</v>
      </c>
      <c r="G2971" s="9">
        <v>928</v>
      </c>
      <c r="H2971" s="9">
        <v>2015</v>
      </c>
      <c r="I2971" s="8">
        <v>48.286999999999999</v>
      </c>
      <c r="J2971" s="8">
        <v>40.835999999999999</v>
      </c>
      <c r="K2971" s="8">
        <v>36.731000000000002</v>
      </c>
      <c r="L2971" s="8">
        <v>32.738</v>
      </c>
      <c r="M2971" s="8">
        <v>27.155000000000001</v>
      </c>
      <c r="N2971" s="8">
        <v>21.832000000000001</v>
      </c>
      <c r="O2971" s="8">
        <v>19.545000000000002</v>
      </c>
      <c r="P2971" s="8">
        <v>18.498999999999999</v>
      </c>
      <c r="Q2971" s="8">
        <v>16.231999999999999</v>
      </c>
      <c r="R2971" s="8">
        <v>11.944000000000001</v>
      </c>
      <c r="S2971" s="8">
        <v>9.5180000000000007</v>
      </c>
      <c r="T2971" s="8">
        <v>7.3710000000000004</v>
      </c>
      <c r="U2971" s="8">
        <v>5.3890000000000002</v>
      </c>
      <c r="V2971" s="8">
        <v>4.1109999999999998</v>
      </c>
      <c r="W2971" s="8">
        <v>3.0960000000000001</v>
      </c>
      <c r="X2971" s="8">
        <v>1.778</v>
      </c>
      <c r="Y2971" s="8">
        <v>1.0229999999999999</v>
      </c>
      <c r="Z2971" s="8">
        <v>0.377</v>
      </c>
      <c r="AA2971" s="8">
        <v>9.9000000000000005E-2</v>
      </c>
      <c r="AB2971" s="8">
        <v>1.4999999999999999E-2</v>
      </c>
      <c r="AC2971" s="8">
        <v>1E-3</v>
      </c>
    </row>
    <row r="2972" spans="1:29" ht="11.65" x14ac:dyDescent="0.35">
      <c r="A2972" s="12">
        <v>2955</v>
      </c>
      <c r="B2972" s="10" t="s">
        <v>1015</v>
      </c>
      <c r="C2972" s="11" t="s">
        <v>1220</v>
      </c>
      <c r="D2972" s="9"/>
      <c r="E2972" s="9">
        <v>90</v>
      </c>
      <c r="F2972" s="10" t="s">
        <v>1066</v>
      </c>
      <c r="G2972" s="9">
        <v>928</v>
      </c>
      <c r="H2972" s="9">
        <v>2020</v>
      </c>
      <c r="I2972" s="8">
        <v>53.119</v>
      </c>
      <c r="J2972" s="8">
        <v>47.984999999999999</v>
      </c>
      <c r="K2972" s="8">
        <v>40.668999999999997</v>
      </c>
      <c r="L2972" s="8">
        <v>36.194000000000003</v>
      </c>
      <c r="M2972" s="8">
        <v>31.786000000000001</v>
      </c>
      <c r="N2972" s="8">
        <v>26.248000000000001</v>
      </c>
      <c r="O2972" s="8">
        <v>21.129000000000001</v>
      </c>
      <c r="P2972" s="8">
        <v>18.995999999999999</v>
      </c>
      <c r="Q2972" s="8">
        <v>18.015000000000001</v>
      </c>
      <c r="R2972" s="8">
        <v>15.757999999999999</v>
      </c>
      <c r="S2972" s="8">
        <v>11.468999999999999</v>
      </c>
      <c r="T2972" s="8">
        <v>8.9689999999999994</v>
      </c>
      <c r="U2972" s="8">
        <v>6.7539999999999996</v>
      </c>
      <c r="V2972" s="8">
        <v>4.7450000000000001</v>
      </c>
      <c r="W2972" s="8">
        <v>3.395</v>
      </c>
      <c r="X2972" s="8">
        <v>2.2949999999999999</v>
      </c>
      <c r="Y2972" s="8">
        <v>1.101</v>
      </c>
      <c r="Z2972" s="8">
        <v>0.49</v>
      </c>
      <c r="AA2972" s="8">
        <v>0.124</v>
      </c>
      <c r="AB2972" s="8">
        <v>1.9E-2</v>
      </c>
      <c r="AC2972" s="8">
        <v>2E-3</v>
      </c>
    </row>
    <row r="2973" spans="1:29" ht="11.65" x14ac:dyDescent="0.35">
      <c r="A2973" s="12">
        <v>2956</v>
      </c>
      <c r="B2973" s="10" t="s">
        <v>1015</v>
      </c>
      <c r="C2973" s="11" t="s">
        <v>1221</v>
      </c>
      <c r="D2973" s="9"/>
      <c r="E2973" s="9">
        <v>548</v>
      </c>
      <c r="F2973" s="10" t="s">
        <v>1066</v>
      </c>
      <c r="G2973" s="9">
        <v>928</v>
      </c>
      <c r="H2973" s="9">
        <v>1950</v>
      </c>
      <c r="I2973" s="8">
        <v>4.7119999999999997</v>
      </c>
      <c r="J2973" s="8">
        <v>3.7290000000000001</v>
      </c>
      <c r="K2973" s="8">
        <v>3.1240000000000001</v>
      </c>
      <c r="L2973" s="8">
        <v>2.6230000000000002</v>
      </c>
      <c r="M2973" s="8">
        <v>2.1949999999999998</v>
      </c>
      <c r="N2973" s="8">
        <v>1.819</v>
      </c>
      <c r="O2973" s="8">
        <v>1.5029999999999999</v>
      </c>
      <c r="P2973" s="8">
        <v>1.236</v>
      </c>
      <c r="Q2973" s="8">
        <v>1.014</v>
      </c>
      <c r="R2973" s="8">
        <v>0.81299999999999994</v>
      </c>
      <c r="S2973" s="8">
        <v>0.64500000000000002</v>
      </c>
      <c r="T2973" s="8">
        <v>0.50700000000000001</v>
      </c>
      <c r="U2973" s="8">
        <v>0.37</v>
      </c>
      <c r="V2973" s="8">
        <v>0.28199999999999997</v>
      </c>
      <c r="W2973" s="8">
        <v>0.189</v>
      </c>
      <c r="X2973" s="8">
        <v>0.105</v>
      </c>
      <c r="Y2973" s="8">
        <v>0.04</v>
      </c>
      <c r="Z2973" s="8">
        <v>1.2E-2</v>
      </c>
      <c r="AA2973" s="8">
        <v>2E-3</v>
      </c>
      <c r="AB2973" s="8">
        <v>0</v>
      </c>
      <c r="AC2973" s="8">
        <v>0</v>
      </c>
    </row>
    <row r="2974" spans="1:29" ht="11.65" x14ac:dyDescent="0.35">
      <c r="A2974" s="12">
        <v>2957</v>
      </c>
      <c r="B2974" s="10" t="s">
        <v>1015</v>
      </c>
      <c r="C2974" s="11" t="s">
        <v>1221</v>
      </c>
      <c r="D2974" s="9"/>
      <c r="E2974" s="9">
        <v>548</v>
      </c>
      <c r="F2974" s="10" t="s">
        <v>1066</v>
      </c>
      <c r="G2974" s="9">
        <v>928</v>
      </c>
      <c r="H2974" s="9">
        <v>1955</v>
      </c>
      <c r="I2974" s="8">
        <v>5.21</v>
      </c>
      <c r="J2974" s="8">
        <v>4.2949999999999999</v>
      </c>
      <c r="K2974" s="8">
        <v>3.6349999999999998</v>
      </c>
      <c r="L2974" s="8">
        <v>3.06</v>
      </c>
      <c r="M2974" s="8">
        <v>2.536</v>
      </c>
      <c r="N2974" s="8">
        <v>2.1059999999999999</v>
      </c>
      <c r="O2974" s="8">
        <v>1.738</v>
      </c>
      <c r="P2974" s="8">
        <v>1.423</v>
      </c>
      <c r="Q2974" s="8">
        <v>1.1579999999999999</v>
      </c>
      <c r="R2974" s="8">
        <v>0.93700000000000006</v>
      </c>
      <c r="S2974" s="8">
        <v>0.73299999999999998</v>
      </c>
      <c r="T2974" s="8">
        <v>0.56599999999999995</v>
      </c>
      <c r="U2974" s="8">
        <v>0.42299999999999999</v>
      </c>
      <c r="V2974" s="8">
        <v>0.28899999999999998</v>
      </c>
      <c r="W2974" s="8">
        <v>0.20399999999999999</v>
      </c>
      <c r="X2974" s="8">
        <v>0.11600000000000001</v>
      </c>
      <c r="Y2974" s="8">
        <v>5.0999999999999997E-2</v>
      </c>
      <c r="Z2974" s="8">
        <v>8.0000000000000002E-3</v>
      </c>
      <c r="AA2974" s="8">
        <v>2E-3</v>
      </c>
      <c r="AB2974" s="8">
        <v>0</v>
      </c>
      <c r="AC2974" s="8">
        <v>0</v>
      </c>
    </row>
    <row r="2975" spans="1:29" ht="11.65" x14ac:dyDescent="0.35">
      <c r="A2975" s="12">
        <v>2958</v>
      </c>
      <c r="B2975" s="10" t="s">
        <v>1015</v>
      </c>
      <c r="C2975" s="11" t="s">
        <v>1221</v>
      </c>
      <c r="D2975" s="9"/>
      <c r="E2975" s="9">
        <v>548</v>
      </c>
      <c r="F2975" s="10" t="s">
        <v>1066</v>
      </c>
      <c r="G2975" s="9">
        <v>928</v>
      </c>
      <c r="H2975" s="9">
        <v>1960</v>
      </c>
      <c r="I2975" s="8">
        <v>6.0510000000000002</v>
      </c>
      <c r="J2975" s="8">
        <v>4.8120000000000003</v>
      </c>
      <c r="K2975" s="8">
        <v>4.1989999999999998</v>
      </c>
      <c r="L2975" s="8">
        <v>3.5670000000000002</v>
      </c>
      <c r="M2975" s="8">
        <v>2.968</v>
      </c>
      <c r="N2975" s="8">
        <v>2.4420000000000002</v>
      </c>
      <c r="O2975" s="8">
        <v>2.0230000000000001</v>
      </c>
      <c r="P2975" s="8">
        <v>1.6579999999999999</v>
      </c>
      <c r="Q2975" s="8">
        <v>1.343</v>
      </c>
      <c r="R2975" s="8">
        <v>1.0780000000000001</v>
      </c>
      <c r="S2975" s="8">
        <v>0.85599999999999998</v>
      </c>
      <c r="T2975" s="8">
        <v>0.65</v>
      </c>
      <c r="U2975" s="8">
        <v>0.47799999999999998</v>
      </c>
      <c r="V2975" s="8">
        <v>0.33800000000000002</v>
      </c>
      <c r="W2975" s="8">
        <v>0.21099999999999999</v>
      </c>
      <c r="X2975" s="8">
        <v>0.13</v>
      </c>
      <c r="Y2975" s="8">
        <v>5.8000000000000003E-2</v>
      </c>
      <c r="Z2975" s="8">
        <v>1.2E-2</v>
      </c>
      <c r="AA2975" s="8">
        <v>0</v>
      </c>
      <c r="AB2975" s="8">
        <v>0</v>
      </c>
      <c r="AC2975" s="8">
        <v>0</v>
      </c>
    </row>
    <row r="2976" spans="1:29" ht="11.65" x14ac:dyDescent="0.35">
      <c r="A2976" s="12">
        <v>2959</v>
      </c>
      <c r="B2976" s="10" t="s">
        <v>1015</v>
      </c>
      <c r="C2976" s="11" t="s">
        <v>1221</v>
      </c>
      <c r="D2976" s="9"/>
      <c r="E2976" s="9">
        <v>548</v>
      </c>
      <c r="F2976" s="10" t="s">
        <v>1066</v>
      </c>
      <c r="G2976" s="9">
        <v>928</v>
      </c>
      <c r="H2976" s="9">
        <v>1965</v>
      </c>
      <c r="I2976" s="8">
        <v>6.99</v>
      </c>
      <c r="J2976" s="8">
        <v>5.7110000000000003</v>
      </c>
      <c r="K2976" s="8">
        <v>4.72</v>
      </c>
      <c r="L2976" s="8">
        <v>4.1310000000000002</v>
      </c>
      <c r="M2976" s="8">
        <v>3.4660000000000002</v>
      </c>
      <c r="N2976" s="8">
        <v>2.871</v>
      </c>
      <c r="O2976" s="8">
        <v>2.3559999999999999</v>
      </c>
      <c r="P2976" s="8">
        <v>1.9390000000000001</v>
      </c>
      <c r="Q2976" s="8">
        <v>1.573</v>
      </c>
      <c r="R2976" s="8">
        <v>1.2629999999999999</v>
      </c>
      <c r="S2976" s="8">
        <v>0.99299999999999999</v>
      </c>
      <c r="T2976" s="8">
        <v>0.76400000000000001</v>
      </c>
      <c r="U2976" s="8">
        <v>0.55400000000000005</v>
      </c>
      <c r="V2976" s="8">
        <v>0.38700000000000001</v>
      </c>
      <c r="W2976" s="8">
        <v>0.25</v>
      </c>
      <c r="X2976" s="8">
        <v>0.13900000000000001</v>
      </c>
      <c r="Y2976" s="8">
        <v>6.4000000000000001E-2</v>
      </c>
      <c r="Z2976" s="8">
        <v>1.6E-2</v>
      </c>
      <c r="AA2976" s="8">
        <v>2E-3</v>
      </c>
      <c r="AB2976" s="8">
        <v>0</v>
      </c>
      <c r="AC2976" s="8">
        <v>0</v>
      </c>
    </row>
    <row r="2977" spans="1:29" ht="11.65" x14ac:dyDescent="0.35">
      <c r="A2977" s="12">
        <v>2960</v>
      </c>
      <c r="B2977" s="10" t="s">
        <v>1015</v>
      </c>
      <c r="C2977" s="11" t="s">
        <v>1221</v>
      </c>
      <c r="D2977" s="9"/>
      <c r="E2977" s="9">
        <v>548</v>
      </c>
      <c r="F2977" s="10" t="s">
        <v>1066</v>
      </c>
      <c r="G2977" s="9">
        <v>928</v>
      </c>
      <c r="H2977" s="9">
        <v>1970</v>
      </c>
      <c r="I2977" s="8">
        <v>7.5629999999999997</v>
      </c>
      <c r="J2977" s="8">
        <v>6.6539999999999999</v>
      </c>
      <c r="K2977" s="8">
        <v>5.827</v>
      </c>
      <c r="L2977" s="8">
        <v>4.6820000000000004</v>
      </c>
      <c r="M2977" s="8">
        <v>3.7069999999999999</v>
      </c>
      <c r="N2977" s="8">
        <v>3.214</v>
      </c>
      <c r="O2977" s="8">
        <v>2.7839999999999998</v>
      </c>
      <c r="P2977" s="8">
        <v>2.3570000000000002</v>
      </c>
      <c r="Q2977" s="8">
        <v>2.0089999999999999</v>
      </c>
      <c r="R2977" s="8">
        <v>1.6679999999999999</v>
      </c>
      <c r="S2977" s="8">
        <v>1.377</v>
      </c>
      <c r="T2977" s="8">
        <v>1.0089999999999999</v>
      </c>
      <c r="U2977" s="8">
        <v>0.78900000000000003</v>
      </c>
      <c r="V2977" s="8">
        <v>0.64400000000000002</v>
      </c>
      <c r="W2977" s="8">
        <v>0.47599999999999998</v>
      </c>
      <c r="X2977" s="8">
        <v>0.28399999999999997</v>
      </c>
      <c r="Y2977" s="8">
        <v>0.126</v>
      </c>
      <c r="Z2977" s="8">
        <v>1.7000000000000001E-2</v>
      </c>
      <c r="AA2977" s="8">
        <v>2E-3</v>
      </c>
      <c r="AB2977" s="8">
        <v>0</v>
      </c>
      <c r="AC2977" s="8">
        <v>0</v>
      </c>
    </row>
    <row r="2978" spans="1:29" ht="11.65" x14ac:dyDescent="0.35">
      <c r="A2978" s="12">
        <v>2961</v>
      </c>
      <c r="B2978" s="10" t="s">
        <v>1015</v>
      </c>
      <c r="C2978" s="11" t="s">
        <v>1221</v>
      </c>
      <c r="D2978" s="9"/>
      <c r="E2978" s="9">
        <v>548</v>
      </c>
      <c r="F2978" s="10" t="s">
        <v>1066</v>
      </c>
      <c r="G2978" s="9">
        <v>928</v>
      </c>
      <c r="H2978" s="9">
        <v>1975</v>
      </c>
      <c r="I2978" s="8">
        <v>8.7289999999999992</v>
      </c>
      <c r="J2978" s="8">
        <v>7.7279999999999998</v>
      </c>
      <c r="K2978" s="8">
        <v>7.0220000000000002</v>
      </c>
      <c r="L2978" s="8">
        <v>5.6929999999999996</v>
      </c>
      <c r="M2978" s="8">
        <v>4.4850000000000003</v>
      </c>
      <c r="N2978" s="8">
        <v>3.859</v>
      </c>
      <c r="O2978" s="8">
        <v>3.1549999999999998</v>
      </c>
      <c r="P2978" s="8">
        <v>2.714</v>
      </c>
      <c r="Q2978" s="8">
        <v>2.294</v>
      </c>
      <c r="R2978" s="8">
        <v>1.877</v>
      </c>
      <c r="S2978" s="8">
        <v>1.508</v>
      </c>
      <c r="T2978" s="8">
        <v>1.143</v>
      </c>
      <c r="U2978" s="8">
        <v>0.92800000000000005</v>
      </c>
      <c r="V2978" s="8">
        <v>0.70499999999999996</v>
      </c>
      <c r="W2978" s="8">
        <v>0.49299999999999999</v>
      </c>
      <c r="X2978" s="8">
        <v>0.34899999999999998</v>
      </c>
      <c r="Y2978" s="8">
        <v>0.184</v>
      </c>
      <c r="Z2978" s="8">
        <v>3.6999999999999998E-2</v>
      </c>
      <c r="AA2978" s="8">
        <v>3.0000000000000001E-3</v>
      </c>
      <c r="AB2978" s="8">
        <v>0</v>
      </c>
      <c r="AC2978" s="8">
        <v>0</v>
      </c>
    </row>
    <row r="2979" spans="1:29" ht="11.65" x14ac:dyDescent="0.35">
      <c r="A2979" s="12">
        <v>2962</v>
      </c>
      <c r="B2979" s="10" t="s">
        <v>1015</v>
      </c>
      <c r="C2979" s="11" t="s">
        <v>1221</v>
      </c>
      <c r="D2979" s="9"/>
      <c r="E2979" s="9">
        <v>548</v>
      </c>
      <c r="F2979" s="10" t="s">
        <v>1066</v>
      </c>
      <c r="G2979" s="9">
        <v>928</v>
      </c>
      <c r="H2979" s="9">
        <v>1980</v>
      </c>
      <c r="I2979" s="8">
        <v>10.097</v>
      </c>
      <c r="J2979" s="8">
        <v>8.9909999999999997</v>
      </c>
      <c r="K2979" s="8">
        <v>7.9370000000000003</v>
      </c>
      <c r="L2979" s="8">
        <v>6.7370000000000001</v>
      </c>
      <c r="M2979" s="8">
        <v>5.3860000000000001</v>
      </c>
      <c r="N2979" s="8">
        <v>4.38</v>
      </c>
      <c r="O2979" s="8">
        <v>3.6019999999999999</v>
      </c>
      <c r="P2979" s="8">
        <v>3.0870000000000002</v>
      </c>
      <c r="Q2979" s="8">
        <v>2.6190000000000002</v>
      </c>
      <c r="R2979" s="8">
        <v>2.1120000000000001</v>
      </c>
      <c r="S2979" s="8">
        <v>1.673</v>
      </c>
      <c r="T2979" s="8">
        <v>1.2809999999999999</v>
      </c>
      <c r="U2979" s="8">
        <v>1.0740000000000001</v>
      </c>
      <c r="V2979" s="8">
        <v>0.78600000000000003</v>
      </c>
      <c r="W2979" s="8">
        <v>0.53200000000000003</v>
      </c>
      <c r="X2979" s="8">
        <v>0.42499999999999999</v>
      </c>
      <c r="Y2979" s="8">
        <v>0.253</v>
      </c>
      <c r="Z2979" s="8">
        <v>5.5E-2</v>
      </c>
      <c r="AA2979" s="8">
        <v>6.0000000000000001E-3</v>
      </c>
      <c r="AB2979" s="8">
        <v>0</v>
      </c>
      <c r="AC2979" s="8">
        <v>0</v>
      </c>
    </row>
    <row r="2980" spans="1:29" ht="11.65" x14ac:dyDescent="0.35">
      <c r="A2980" s="12">
        <v>2963</v>
      </c>
      <c r="B2980" s="10" t="s">
        <v>1015</v>
      </c>
      <c r="C2980" s="11" t="s">
        <v>1221</v>
      </c>
      <c r="D2980" s="9"/>
      <c r="E2980" s="9">
        <v>548</v>
      </c>
      <c r="F2980" s="10" t="s">
        <v>1066</v>
      </c>
      <c r="G2980" s="9">
        <v>928</v>
      </c>
      <c r="H2980" s="9">
        <v>1985</v>
      </c>
      <c r="I2980" s="8">
        <v>11.260999999999999</v>
      </c>
      <c r="J2980" s="8">
        <v>10.173</v>
      </c>
      <c r="K2980" s="8">
        <v>8.6920000000000002</v>
      </c>
      <c r="L2980" s="8">
        <v>6.9980000000000002</v>
      </c>
      <c r="M2980" s="8">
        <v>5.8289999999999997</v>
      </c>
      <c r="N2980" s="8">
        <v>4.8760000000000003</v>
      </c>
      <c r="O2980" s="8">
        <v>3.952</v>
      </c>
      <c r="P2980" s="8">
        <v>3.5059999999999998</v>
      </c>
      <c r="Q2980" s="8">
        <v>2.944</v>
      </c>
      <c r="R2980" s="8">
        <v>2.4340000000000002</v>
      </c>
      <c r="S2980" s="8">
        <v>1.911</v>
      </c>
      <c r="T2980" s="8">
        <v>1.4</v>
      </c>
      <c r="U2980" s="8">
        <v>1.206</v>
      </c>
      <c r="V2980" s="8">
        <v>0.94699999999999995</v>
      </c>
      <c r="W2980" s="8">
        <v>0.64200000000000002</v>
      </c>
      <c r="X2980" s="8">
        <v>0.50900000000000001</v>
      </c>
      <c r="Y2980" s="8">
        <v>0.30099999999999999</v>
      </c>
      <c r="Z2980" s="8">
        <v>7.8E-2</v>
      </c>
      <c r="AA2980" s="8">
        <v>0.01</v>
      </c>
      <c r="AB2980" s="8">
        <v>0</v>
      </c>
      <c r="AC2980" s="8">
        <v>0</v>
      </c>
    </row>
    <row r="2981" spans="1:29" ht="11.65" x14ac:dyDescent="0.35">
      <c r="A2981" s="12">
        <v>2964</v>
      </c>
      <c r="B2981" s="10" t="s">
        <v>1015</v>
      </c>
      <c r="C2981" s="11" t="s">
        <v>1221</v>
      </c>
      <c r="D2981" s="9"/>
      <c r="E2981" s="9">
        <v>548</v>
      </c>
      <c r="F2981" s="10" t="s">
        <v>1066</v>
      </c>
      <c r="G2981" s="9">
        <v>928</v>
      </c>
      <c r="H2981" s="9">
        <v>1990</v>
      </c>
      <c r="I2981" s="8">
        <v>12.304</v>
      </c>
      <c r="J2981" s="8">
        <v>11.398</v>
      </c>
      <c r="K2981" s="8">
        <v>9.7850000000000001</v>
      </c>
      <c r="L2981" s="8">
        <v>7.5670000000000002</v>
      </c>
      <c r="M2981" s="8">
        <v>6.1050000000000004</v>
      </c>
      <c r="N2981" s="8">
        <v>5.5570000000000004</v>
      </c>
      <c r="O2981" s="8">
        <v>4.577</v>
      </c>
      <c r="P2981" s="8">
        <v>3.8780000000000001</v>
      </c>
      <c r="Q2981" s="8">
        <v>3.37</v>
      </c>
      <c r="R2981" s="8">
        <v>2.7850000000000001</v>
      </c>
      <c r="S2981" s="8">
        <v>2.2000000000000002</v>
      </c>
      <c r="T2981" s="8">
        <v>1.5620000000000001</v>
      </c>
      <c r="U2981" s="8">
        <v>1.359</v>
      </c>
      <c r="V2981" s="8">
        <v>1.117</v>
      </c>
      <c r="W2981" s="8">
        <v>0.76400000000000001</v>
      </c>
      <c r="X2981" s="8">
        <v>0.57899999999999996</v>
      </c>
      <c r="Y2981" s="8">
        <v>0.36399999999999999</v>
      </c>
      <c r="Z2981" s="8">
        <v>9.5000000000000001E-2</v>
      </c>
      <c r="AA2981" s="8">
        <v>1.4999999999999999E-2</v>
      </c>
      <c r="AB2981" s="8">
        <v>0</v>
      </c>
      <c r="AC2981" s="8">
        <v>0</v>
      </c>
    </row>
    <row r="2982" spans="1:29" ht="11.65" x14ac:dyDescent="0.35">
      <c r="A2982" s="12">
        <v>2965</v>
      </c>
      <c r="B2982" s="10" t="s">
        <v>1015</v>
      </c>
      <c r="C2982" s="11" t="s">
        <v>1221</v>
      </c>
      <c r="D2982" s="9"/>
      <c r="E2982" s="9">
        <v>548</v>
      </c>
      <c r="F2982" s="10" t="s">
        <v>1066</v>
      </c>
      <c r="G2982" s="9">
        <v>928</v>
      </c>
      <c r="H2982" s="9">
        <v>1995</v>
      </c>
      <c r="I2982" s="8">
        <v>13.553000000000001</v>
      </c>
      <c r="J2982" s="8">
        <v>12.369</v>
      </c>
      <c r="K2982" s="8">
        <v>11.375999999999999</v>
      </c>
      <c r="L2982" s="8">
        <v>9.0350000000000001</v>
      </c>
      <c r="M2982" s="8">
        <v>7.0110000000000001</v>
      </c>
      <c r="N2982" s="8">
        <v>6.2670000000000003</v>
      </c>
      <c r="O2982" s="8">
        <v>5.585</v>
      </c>
      <c r="P2982" s="8">
        <v>4.6879999999999997</v>
      </c>
      <c r="Q2982" s="8">
        <v>3.8340000000000001</v>
      </c>
      <c r="R2982" s="8">
        <v>3.2349999999999999</v>
      </c>
      <c r="S2982" s="8">
        <v>2.5710000000000002</v>
      </c>
      <c r="T2982" s="8">
        <v>1.9419999999999999</v>
      </c>
      <c r="U2982" s="8">
        <v>1.556</v>
      </c>
      <c r="V2982" s="8">
        <v>1.2310000000000001</v>
      </c>
      <c r="W2982" s="8">
        <v>0.85499999999999998</v>
      </c>
      <c r="X2982" s="8">
        <v>0.59899999999999998</v>
      </c>
      <c r="Y2982" s="8">
        <v>0.43</v>
      </c>
      <c r="Z2982" s="8">
        <v>0.11700000000000001</v>
      </c>
      <c r="AA2982" s="8">
        <v>1.9E-2</v>
      </c>
      <c r="AB2982" s="8">
        <v>0</v>
      </c>
      <c r="AC2982" s="8">
        <v>0</v>
      </c>
    </row>
    <row r="2983" spans="1:29" ht="11.65" x14ac:dyDescent="0.35">
      <c r="A2983" s="12">
        <v>2966</v>
      </c>
      <c r="B2983" s="10" t="s">
        <v>1015</v>
      </c>
      <c r="C2983" s="11" t="s">
        <v>1221</v>
      </c>
      <c r="D2983" s="9"/>
      <c r="E2983" s="9">
        <v>548</v>
      </c>
      <c r="F2983" s="10" t="s">
        <v>1066</v>
      </c>
      <c r="G2983" s="9">
        <v>928</v>
      </c>
      <c r="H2983" s="9">
        <v>2000</v>
      </c>
      <c r="I2983" s="8">
        <v>14.596</v>
      </c>
      <c r="J2983" s="8">
        <v>13.21</v>
      </c>
      <c r="K2983" s="8">
        <v>11.847</v>
      </c>
      <c r="L2983" s="8">
        <v>10.516</v>
      </c>
      <c r="M2983" s="8">
        <v>8.2710000000000008</v>
      </c>
      <c r="N2983" s="8">
        <v>6.6840000000000002</v>
      </c>
      <c r="O2983" s="8">
        <v>6.11</v>
      </c>
      <c r="P2983" s="8">
        <v>5.3650000000000002</v>
      </c>
      <c r="Q2983" s="8">
        <v>4.3710000000000004</v>
      </c>
      <c r="R2983" s="8">
        <v>3.4550000000000001</v>
      </c>
      <c r="S2983" s="8">
        <v>2.8570000000000002</v>
      </c>
      <c r="T2983" s="8">
        <v>2.2570000000000001</v>
      </c>
      <c r="U2983" s="8">
        <v>1.6830000000000001</v>
      </c>
      <c r="V2983" s="8">
        <v>1.2589999999999999</v>
      </c>
      <c r="W2983" s="8">
        <v>0.91700000000000004</v>
      </c>
      <c r="X2983" s="8">
        <v>0.64600000000000002</v>
      </c>
      <c r="Y2983" s="8">
        <v>0.39500000000000002</v>
      </c>
      <c r="Z2983" s="8">
        <v>0.14099999999999999</v>
      </c>
      <c r="AA2983" s="8">
        <v>2.1999999999999999E-2</v>
      </c>
      <c r="AB2983" s="8">
        <v>2E-3</v>
      </c>
      <c r="AC2983" s="8">
        <v>0</v>
      </c>
    </row>
    <row r="2984" spans="1:29" ht="11.65" x14ac:dyDescent="0.35">
      <c r="A2984" s="12">
        <v>2967</v>
      </c>
      <c r="B2984" s="10" t="s">
        <v>1015</v>
      </c>
      <c r="C2984" s="11" t="s">
        <v>1221</v>
      </c>
      <c r="D2984" s="9"/>
      <c r="E2984" s="9">
        <v>548</v>
      </c>
      <c r="F2984" s="10" t="s">
        <v>1066</v>
      </c>
      <c r="G2984" s="9">
        <v>928</v>
      </c>
      <c r="H2984" s="9">
        <v>2005</v>
      </c>
      <c r="I2984" s="8">
        <v>15.281000000000001</v>
      </c>
      <c r="J2984" s="8">
        <v>14.452999999999999</v>
      </c>
      <c r="K2984" s="8">
        <v>13.143000000000001</v>
      </c>
      <c r="L2984" s="8">
        <v>11.579000000000001</v>
      </c>
      <c r="M2984" s="8">
        <v>10.205</v>
      </c>
      <c r="N2984" s="8">
        <v>8.1329999999999991</v>
      </c>
      <c r="O2984" s="8">
        <v>6.6870000000000003</v>
      </c>
      <c r="P2984" s="8">
        <v>6.0720000000000001</v>
      </c>
      <c r="Q2984" s="8">
        <v>5.2430000000000003</v>
      </c>
      <c r="R2984" s="8">
        <v>4.2610000000000001</v>
      </c>
      <c r="S2984" s="8">
        <v>3.319</v>
      </c>
      <c r="T2984" s="8">
        <v>2.7080000000000002</v>
      </c>
      <c r="U2984" s="8">
        <v>2.0310000000000001</v>
      </c>
      <c r="V2984" s="8">
        <v>1.492</v>
      </c>
      <c r="W2984" s="8">
        <v>0.999</v>
      </c>
      <c r="X2984" s="8">
        <v>0.63800000000000001</v>
      </c>
      <c r="Y2984" s="8">
        <v>0.35899999999999999</v>
      </c>
      <c r="Z2984" s="8">
        <v>0.129</v>
      </c>
      <c r="AA2984" s="8">
        <v>2.8000000000000001E-2</v>
      </c>
      <c r="AB2984" s="8">
        <v>2E-3</v>
      </c>
      <c r="AC2984" s="8">
        <v>0</v>
      </c>
    </row>
    <row r="2985" spans="1:29" ht="11.65" x14ac:dyDescent="0.35">
      <c r="A2985" s="12">
        <v>2968</v>
      </c>
      <c r="B2985" s="10" t="s">
        <v>1015</v>
      </c>
      <c r="C2985" s="11" t="s">
        <v>1221</v>
      </c>
      <c r="D2985" s="9"/>
      <c r="E2985" s="9">
        <v>548</v>
      </c>
      <c r="F2985" s="10" t="s">
        <v>1066</v>
      </c>
      <c r="G2985" s="9">
        <v>928</v>
      </c>
      <c r="H2985" s="9">
        <v>2010</v>
      </c>
      <c r="I2985" s="8">
        <v>17.648</v>
      </c>
      <c r="J2985" s="8">
        <v>14.926</v>
      </c>
      <c r="K2985" s="8">
        <v>14.57</v>
      </c>
      <c r="L2985" s="8">
        <v>11.012</v>
      </c>
      <c r="M2985" s="8">
        <v>11.272</v>
      </c>
      <c r="N2985" s="8">
        <v>10.207000000000001</v>
      </c>
      <c r="O2985" s="8">
        <v>8.1709999999999994</v>
      </c>
      <c r="P2985" s="8">
        <v>6.9</v>
      </c>
      <c r="Q2985" s="8">
        <v>5.798</v>
      </c>
      <c r="R2985" s="8">
        <v>5.3520000000000003</v>
      </c>
      <c r="S2985" s="8">
        <v>3.7959999999999998</v>
      </c>
      <c r="T2985" s="8">
        <v>3.3940000000000001</v>
      </c>
      <c r="U2985" s="8">
        <v>2.177</v>
      </c>
      <c r="V2985" s="8">
        <v>2.2189999999999999</v>
      </c>
      <c r="W2985" s="8">
        <v>1.282</v>
      </c>
      <c r="X2985" s="8">
        <v>0.70099999999999996</v>
      </c>
      <c r="Y2985" s="8">
        <v>0.36199999999999999</v>
      </c>
      <c r="Z2985" s="8">
        <v>0.11799999999999999</v>
      </c>
      <c r="AA2985" s="8">
        <v>2.5000000000000001E-2</v>
      </c>
      <c r="AB2985" s="8">
        <v>3.0000000000000001E-3</v>
      </c>
      <c r="AC2985" s="8">
        <v>0</v>
      </c>
    </row>
    <row r="2986" spans="1:29" ht="11.65" x14ac:dyDescent="0.35">
      <c r="A2986" s="12">
        <v>2969</v>
      </c>
      <c r="B2986" s="10" t="s">
        <v>1015</v>
      </c>
      <c r="C2986" s="11" t="s">
        <v>1221</v>
      </c>
      <c r="D2986" s="9"/>
      <c r="E2986" s="9">
        <v>548</v>
      </c>
      <c r="F2986" s="10" t="s">
        <v>1066</v>
      </c>
      <c r="G2986" s="9">
        <v>928</v>
      </c>
      <c r="H2986" s="9">
        <v>2015</v>
      </c>
      <c r="I2986" s="8">
        <v>20.172000000000001</v>
      </c>
      <c r="J2986" s="8">
        <v>19.277999999999999</v>
      </c>
      <c r="K2986" s="8">
        <v>15.561</v>
      </c>
      <c r="L2986" s="8">
        <v>13.207000000000001</v>
      </c>
      <c r="M2986" s="8">
        <v>11.739000000000001</v>
      </c>
      <c r="N2986" s="8">
        <v>10.987</v>
      </c>
      <c r="O2986" s="8">
        <v>8.91</v>
      </c>
      <c r="P2986" s="8">
        <v>8.1479999999999997</v>
      </c>
      <c r="Q2986" s="8">
        <v>6.726</v>
      </c>
      <c r="R2986" s="8">
        <v>6.125</v>
      </c>
      <c r="S2986" s="8">
        <v>4.7560000000000002</v>
      </c>
      <c r="T2986" s="8">
        <v>3.7949999999999999</v>
      </c>
      <c r="U2986" s="8">
        <v>2.8330000000000002</v>
      </c>
      <c r="V2986" s="8">
        <v>2.0910000000000002</v>
      </c>
      <c r="W2986" s="8">
        <v>1.3740000000000001</v>
      </c>
      <c r="X2986" s="8">
        <v>1.294</v>
      </c>
      <c r="Y2986" s="8">
        <v>0.434</v>
      </c>
      <c r="Z2986" s="8">
        <v>0.11899999999999999</v>
      </c>
      <c r="AA2986" s="8">
        <v>2.1999999999999999E-2</v>
      </c>
      <c r="AB2986" s="8">
        <v>2E-3</v>
      </c>
      <c r="AC2986" s="8">
        <v>0</v>
      </c>
    </row>
    <row r="2987" spans="1:29" ht="11.65" x14ac:dyDescent="0.35">
      <c r="A2987" s="12">
        <v>2970</v>
      </c>
      <c r="B2987" s="10" t="s">
        <v>1015</v>
      </c>
      <c r="C2987" s="11" t="s">
        <v>1221</v>
      </c>
      <c r="D2987" s="9"/>
      <c r="E2987" s="9">
        <v>548</v>
      </c>
      <c r="F2987" s="10" t="s">
        <v>1066</v>
      </c>
      <c r="G2987" s="9">
        <v>928</v>
      </c>
      <c r="H2987" s="9">
        <v>2020</v>
      </c>
      <c r="I2987" s="8">
        <v>21.657</v>
      </c>
      <c r="J2987" s="8">
        <v>20.094000000000001</v>
      </c>
      <c r="K2987" s="8">
        <v>19.239999999999998</v>
      </c>
      <c r="L2987" s="8">
        <v>15.539</v>
      </c>
      <c r="M2987" s="8">
        <v>13.186999999999999</v>
      </c>
      <c r="N2987" s="8">
        <v>11.718999999999999</v>
      </c>
      <c r="O2987" s="8">
        <v>10.958</v>
      </c>
      <c r="P2987" s="8">
        <v>8.8710000000000004</v>
      </c>
      <c r="Q2987" s="8">
        <v>8.08</v>
      </c>
      <c r="R2987" s="8">
        <v>6.625</v>
      </c>
      <c r="S2987" s="8">
        <v>5.9630000000000001</v>
      </c>
      <c r="T2987" s="8">
        <v>4.5430000000000001</v>
      </c>
      <c r="U2987" s="8">
        <v>3.4940000000000002</v>
      </c>
      <c r="V2987" s="8">
        <v>2.427</v>
      </c>
      <c r="W2987" s="8">
        <v>1.5960000000000001</v>
      </c>
      <c r="X2987" s="8">
        <v>0.88400000000000001</v>
      </c>
      <c r="Y2987" s="8">
        <v>0.64300000000000002</v>
      </c>
      <c r="Z2987" s="8">
        <v>0.14499999999999999</v>
      </c>
      <c r="AA2987" s="8">
        <v>2.3E-2</v>
      </c>
      <c r="AB2987" s="8">
        <v>2E-3</v>
      </c>
      <c r="AC2987" s="8">
        <v>0</v>
      </c>
    </row>
    <row r="2988" spans="1:29" ht="11.65" x14ac:dyDescent="0.35">
      <c r="A2988" s="23">
        <v>2971</v>
      </c>
      <c r="B2988" s="21" t="s">
        <v>1015</v>
      </c>
      <c r="C2988" s="29" t="s">
        <v>1222</v>
      </c>
      <c r="D2988" s="20"/>
      <c r="E2988" s="20">
        <v>954</v>
      </c>
      <c r="F2988" s="21" t="s">
        <v>1065</v>
      </c>
      <c r="G2988" s="20">
        <v>1835</v>
      </c>
      <c r="H2988" s="20">
        <v>1950</v>
      </c>
      <c r="I2988" s="19">
        <v>12.044</v>
      </c>
      <c r="J2988" s="19">
        <v>8.843</v>
      </c>
      <c r="K2988" s="19">
        <v>7.8559999999999999</v>
      </c>
      <c r="L2988" s="19">
        <v>10.315</v>
      </c>
      <c r="M2988" s="19">
        <v>13.749000000000001</v>
      </c>
      <c r="N2988" s="19">
        <v>9.1679999999999993</v>
      </c>
      <c r="O2988" s="19">
        <v>6.883</v>
      </c>
      <c r="P2988" s="19">
        <v>5.28</v>
      </c>
      <c r="Q2988" s="19">
        <v>3.8940000000000001</v>
      </c>
      <c r="R2988" s="19">
        <v>3.1739999999999999</v>
      </c>
      <c r="S2988" s="19">
        <v>2.2559999999999998</v>
      </c>
      <c r="T2988" s="19">
        <v>1.7729999999999999</v>
      </c>
      <c r="U2988" s="19">
        <v>1.331</v>
      </c>
      <c r="V2988" s="19">
        <v>0.95099999999999996</v>
      </c>
      <c r="W2988" s="19">
        <v>0.69299999999999995</v>
      </c>
      <c r="X2988" s="19">
        <v>0.437</v>
      </c>
      <c r="Y2988" s="19">
        <v>0.28699999999999998</v>
      </c>
      <c r="Z2988" s="19">
        <v>7.0000000000000007E-2</v>
      </c>
      <c r="AA2988" s="19">
        <v>1.2E-2</v>
      </c>
      <c r="AB2988" s="19">
        <v>0</v>
      </c>
      <c r="AC2988" s="19">
        <v>0</v>
      </c>
    </row>
    <row r="2989" spans="1:29" ht="11.65" x14ac:dyDescent="0.35">
      <c r="A2989" s="23">
        <v>2972</v>
      </c>
      <c r="B2989" s="21" t="s">
        <v>1015</v>
      </c>
      <c r="C2989" s="29" t="s">
        <v>1222</v>
      </c>
      <c r="D2989" s="20"/>
      <c r="E2989" s="20">
        <v>954</v>
      </c>
      <c r="F2989" s="21" t="s">
        <v>1065</v>
      </c>
      <c r="G2989" s="20">
        <v>1835</v>
      </c>
      <c r="H2989" s="20">
        <v>1955</v>
      </c>
      <c r="I2989" s="19">
        <v>14.721</v>
      </c>
      <c r="J2989" s="19">
        <v>11.032</v>
      </c>
      <c r="K2989" s="19">
        <v>9.2159999999999993</v>
      </c>
      <c r="L2989" s="19">
        <v>9.7810000000000006</v>
      </c>
      <c r="M2989" s="19">
        <v>11.403</v>
      </c>
      <c r="N2989" s="19">
        <v>8.2520000000000007</v>
      </c>
      <c r="O2989" s="19">
        <v>7.9790000000000001</v>
      </c>
      <c r="P2989" s="19">
        <v>6.0510000000000002</v>
      </c>
      <c r="Q2989" s="19">
        <v>4.2939999999999996</v>
      </c>
      <c r="R2989" s="19">
        <v>3.5270000000000001</v>
      </c>
      <c r="S2989" s="19">
        <v>2.5569999999999999</v>
      </c>
      <c r="T2989" s="19">
        <v>1.869</v>
      </c>
      <c r="U2989" s="19">
        <v>1.419</v>
      </c>
      <c r="V2989" s="19">
        <v>1.0609999999999999</v>
      </c>
      <c r="W2989" s="19">
        <v>0.68200000000000005</v>
      </c>
      <c r="X2989" s="19">
        <v>0.45</v>
      </c>
      <c r="Y2989" s="19">
        <v>0.218</v>
      </c>
      <c r="Z2989" s="19">
        <v>7.0000000000000007E-2</v>
      </c>
      <c r="AA2989" s="19">
        <v>8.0000000000000002E-3</v>
      </c>
      <c r="AB2989" s="19">
        <v>0</v>
      </c>
      <c r="AC2989" s="19">
        <v>0</v>
      </c>
    </row>
    <row r="2990" spans="1:29" ht="11.65" x14ac:dyDescent="0.35">
      <c r="A2990" s="23">
        <v>2973</v>
      </c>
      <c r="B2990" s="21" t="s">
        <v>1015</v>
      </c>
      <c r="C2990" s="29" t="s">
        <v>1222</v>
      </c>
      <c r="D2990" s="20"/>
      <c r="E2990" s="20">
        <v>954</v>
      </c>
      <c r="F2990" s="21" t="s">
        <v>1065</v>
      </c>
      <c r="G2990" s="20">
        <v>1835</v>
      </c>
      <c r="H2990" s="20">
        <v>1960</v>
      </c>
      <c r="I2990" s="19">
        <v>17.128</v>
      </c>
      <c r="J2990" s="19">
        <v>13.986000000000001</v>
      </c>
      <c r="K2990" s="19">
        <v>11.13</v>
      </c>
      <c r="L2990" s="19">
        <v>9.1170000000000009</v>
      </c>
      <c r="M2990" s="19">
        <v>9.6050000000000004</v>
      </c>
      <c r="N2990" s="19">
        <v>7.6260000000000003</v>
      </c>
      <c r="O2990" s="19">
        <v>8.4640000000000004</v>
      </c>
      <c r="P2990" s="19">
        <v>7.1210000000000004</v>
      </c>
      <c r="Q2990" s="19">
        <v>4.9269999999999996</v>
      </c>
      <c r="R2990" s="19">
        <v>3.9340000000000002</v>
      </c>
      <c r="S2990" s="19">
        <v>2.895</v>
      </c>
      <c r="T2990" s="19">
        <v>2.1070000000000002</v>
      </c>
      <c r="U2990" s="19">
        <v>1.4990000000000001</v>
      </c>
      <c r="V2990" s="19">
        <v>1.155</v>
      </c>
      <c r="W2990" s="19">
        <v>0.76900000000000002</v>
      </c>
      <c r="X2990" s="19">
        <v>0.44900000000000001</v>
      </c>
      <c r="Y2990" s="19">
        <v>0.23400000000000001</v>
      </c>
      <c r="Z2990" s="19">
        <v>5.3999999999999999E-2</v>
      </c>
      <c r="AA2990" s="19">
        <v>1.2999999999999999E-2</v>
      </c>
      <c r="AB2990" s="19">
        <v>0</v>
      </c>
      <c r="AC2990" s="19">
        <v>0</v>
      </c>
    </row>
    <row r="2991" spans="1:29" ht="11.65" x14ac:dyDescent="0.35">
      <c r="A2991" s="23">
        <v>2974</v>
      </c>
      <c r="B2991" s="21" t="s">
        <v>1015</v>
      </c>
      <c r="C2991" s="29" t="s">
        <v>1222</v>
      </c>
      <c r="D2991" s="20"/>
      <c r="E2991" s="20">
        <v>954</v>
      </c>
      <c r="F2991" s="21" t="s">
        <v>1065</v>
      </c>
      <c r="G2991" s="20">
        <v>1835</v>
      </c>
      <c r="H2991" s="20">
        <v>1965</v>
      </c>
      <c r="I2991" s="19">
        <v>18.817</v>
      </c>
      <c r="J2991" s="19">
        <v>16.359000000000002</v>
      </c>
      <c r="K2991" s="19">
        <v>13.827</v>
      </c>
      <c r="L2991" s="19">
        <v>10.874000000000001</v>
      </c>
      <c r="M2991" s="19">
        <v>11.106</v>
      </c>
      <c r="N2991" s="19">
        <v>8.2970000000000006</v>
      </c>
      <c r="O2991" s="19">
        <v>8.26</v>
      </c>
      <c r="P2991" s="19">
        <v>7.14</v>
      </c>
      <c r="Q2991" s="19">
        <v>6.0490000000000004</v>
      </c>
      <c r="R2991" s="19">
        <v>4.6289999999999996</v>
      </c>
      <c r="S2991" s="19">
        <v>3.2679999999999998</v>
      </c>
      <c r="T2991" s="19">
        <v>2.4849999999999999</v>
      </c>
      <c r="U2991" s="19">
        <v>1.7270000000000001</v>
      </c>
      <c r="V2991" s="19">
        <v>1.206</v>
      </c>
      <c r="W2991" s="19">
        <v>0.83899999999999997</v>
      </c>
      <c r="X2991" s="19">
        <v>0.50800000000000001</v>
      </c>
      <c r="Y2991" s="19">
        <v>0.24299999999999999</v>
      </c>
      <c r="Z2991" s="19">
        <v>6.7000000000000004E-2</v>
      </c>
      <c r="AA2991" s="19">
        <v>7.0000000000000001E-3</v>
      </c>
      <c r="AB2991" s="19">
        <v>0</v>
      </c>
      <c r="AC2991" s="19">
        <v>0</v>
      </c>
    </row>
    <row r="2992" spans="1:29" ht="11.65" x14ac:dyDescent="0.35">
      <c r="A2992" s="23">
        <v>2975</v>
      </c>
      <c r="B2992" s="21" t="s">
        <v>1015</v>
      </c>
      <c r="C2992" s="29" t="s">
        <v>1222</v>
      </c>
      <c r="D2992" s="20"/>
      <c r="E2992" s="20">
        <v>954</v>
      </c>
      <c r="F2992" s="21" t="s">
        <v>1065</v>
      </c>
      <c r="G2992" s="20">
        <v>1835</v>
      </c>
      <c r="H2992" s="20">
        <v>1970</v>
      </c>
      <c r="I2992" s="19">
        <v>20.007999999999999</v>
      </c>
      <c r="J2992" s="19">
        <v>18.521000000000001</v>
      </c>
      <c r="K2992" s="19">
        <v>16.454999999999998</v>
      </c>
      <c r="L2992" s="19">
        <v>13.413</v>
      </c>
      <c r="M2992" s="19">
        <v>13.426</v>
      </c>
      <c r="N2992" s="19">
        <v>8.734</v>
      </c>
      <c r="O2992" s="19">
        <v>8.1560000000000006</v>
      </c>
      <c r="P2992" s="19">
        <v>7.2770000000000001</v>
      </c>
      <c r="Q2992" s="19">
        <v>6.6529999999999996</v>
      </c>
      <c r="R2992" s="19">
        <v>5.5810000000000004</v>
      </c>
      <c r="S2992" s="19">
        <v>3.8639999999999999</v>
      </c>
      <c r="T2992" s="19">
        <v>2.9009999999999998</v>
      </c>
      <c r="U2992" s="19">
        <v>2.0139999999999998</v>
      </c>
      <c r="V2992" s="19">
        <v>1.383</v>
      </c>
      <c r="W2992" s="19">
        <v>0.88200000000000001</v>
      </c>
      <c r="X2992" s="19">
        <v>0.55000000000000004</v>
      </c>
      <c r="Y2992" s="19">
        <v>0.26300000000000001</v>
      </c>
      <c r="Z2992" s="19">
        <v>6.5000000000000002E-2</v>
      </c>
      <c r="AA2992" s="19">
        <v>0.01</v>
      </c>
      <c r="AB2992" s="19">
        <v>0</v>
      </c>
      <c r="AC2992" s="19">
        <v>0</v>
      </c>
    </row>
    <row r="2993" spans="1:29" ht="11.65" x14ac:dyDescent="0.35">
      <c r="A2993" s="23">
        <v>2976</v>
      </c>
      <c r="B2993" s="21" t="s">
        <v>1015</v>
      </c>
      <c r="C2993" s="29" t="s">
        <v>1222</v>
      </c>
      <c r="D2993" s="20"/>
      <c r="E2993" s="20">
        <v>954</v>
      </c>
      <c r="F2993" s="21" t="s">
        <v>1065</v>
      </c>
      <c r="G2993" s="20">
        <v>1835</v>
      </c>
      <c r="H2993" s="20">
        <v>1975</v>
      </c>
      <c r="I2993" s="19">
        <v>21.276</v>
      </c>
      <c r="J2993" s="19">
        <v>19.553999999999998</v>
      </c>
      <c r="K2993" s="19">
        <v>17.600000000000001</v>
      </c>
      <c r="L2993" s="19">
        <v>15.417999999999999</v>
      </c>
      <c r="M2993" s="19">
        <v>14.457000000000001</v>
      </c>
      <c r="N2993" s="19">
        <v>10.09</v>
      </c>
      <c r="O2993" s="19">
        <v>8.4849999999999994</v>
      </c>
      <c r="P2993" s="19">
        <v>7.1360000000000001</v>
      </c>
      <c r="Q2993" s="19">
        <v>6.4059999999999997</v>
      </c>
      <c r="R2993" s="19">
        <v>5.5460000000000003</v>
      </c>
      <c r="S2993" s="19">
        <v>4.92</v>
      </c>
      <c r="T2993" s="19">
        <v>3.6819999999999999</v>
      </c>
      <c r="U2993" s="19">
        <v>2.5289999999999999</v>
      </c>
      <c r="V2993" s="19">
        <v>1.8220000000000001</v>
      </c>
      <c r="W2993" s="19">
        <v>1.18</v>
      </c>
      <c r="X2993" s="19">
        <v>0.71</v>
      </c>
      <c r="Y2993" s="19">
        <v>0.34399999999999997</v>
      </c>
      <c r="Z2993" s="19">
        <v>6.8000000000000005E-2</v>
      </c>
      <c r="AA2993" s="19">
        <v>0.01</v>
      </c>
      <c r="AB2993" s="19">
        <v>0</v>
      </c>
      <c r="AC2993" s="19">
        <v>0</v>
      </c>
    </row>
    <row r="2994" spans="1:29" ht="11.65" x14ac:dyDescent="0.35">
      <c r="A2994" s="23">
        <v>2977</v>
      </c>
      <c r="B2994" s="21" t="s">
        <v>1015</v>
      </c>
      <c r="C2994" s="29" t="s">
        <v>1222</v>
      </c>
      <c r="D2994" s="20"/>
      <c r="E2994" s="20">
        <v>954</v>
      </c>
      <c r="F2994" s="21" t="s">
        <v>1065</v>
      </c>
      <c r="G2994" s="20">
        <v>1835</v>
      </c>
      <c r="H2994" s="20">
        <v>1980</v>
      </c>
      <c r="I2994" s="19">
        <v>23.529</v>
      </c>
      <c r="J2994" s="19">
        <v>21.213000000000001</v>
      </c>
      <c r="K2994" s="19">
        <v>18.885999999999999</v>
      </c>
      <c r="L2994" s="19">
        <v>16.872</v>
      </c>
      <c r="M2994" s="19">
        <v>15.051</v>
      </c>
      <c r="N2994" s="19">
        <v>12.382999999999999</v>
      </c>
      <c r="O2994" s="19">
        <v>10.584</v>
      </c>
      <c r="P2994" s="19">
        <v>7.782</v>
      </c>
      <c r="Q2994" s="19">
        <v>6.2720000000000002</v>
      </c>
      <c r="R2994" s="19">
        <v>5.4530000000000003</v>
      </c>
      <c r="S2994" s="19">
        <v>5.2869999999999999</v>
      </c>
      <c r="T2994" s="19">
        <v>4.4640000000000004</v>
      </c>
      <c r="U2994" s="19">
        <v>3</v>
      </c>
      <c r="V2994" s="19">
        <v>2.0979999999999999</v>
      </c>
      <c r="W2994" s="19">
        <v>1.25</v>
      </c>
      <c r="X2994" s="19">
        <v>0.67800000000000005</v>
      </c>
      <c r="Y2994" s="19">
        <v>0.41099999999999998</v>
      </c>
      <c r="Z2994" s="19">
        <v>0.10100000000000001</v>
      </c>
      <c r="AA2994" s="19">
        <v>0.01</v>
      </c>
      <c r="AB2994" s="19">
        <v>0</v>
      </c>
      <c r="AC2994" s="19">
        <v>0</v>
      </c>
    </row>
    <row r="2995" spans="1:29" ht="11.65" x14ac:dyDescent="0.35">
      <c r="A2995" s="23">
        <v>2978</v>
      </c>
      <c r="B2995" s="21" t="s">
        <v>1015</v>
      </c>
      <c r="C2995" s="29" t="s">
        <v>1222</v>
      </c>
      <c r="D2995" s="20"/>
      <c r="E2995" s="20">
        <v>954</v>
      </c>
      <c r="F2995" s="21" t="s">
        <v>1065</v>
      </c>
      <c r="G2995" s="20">
        <v>1835</v>
      </c>
      <c r="H2995" s="20">
        <v>1985</v>
      </c>
      <c r="I2995" s="19">
        <v>26.943999999999999</v>
      </c>
      <c r="J2995" s="19">
        <v>23.221</v>
      </c>
      <c r="K2995" s="19">
        <v>20.736999999999998</v>
      </c>
      <c r="L2995" s="19">
        <v>19.375</v>
      </c>
      <c r="M2995" s="19">
        <v>18.11</v>
      </c>
      <c r="N2995" s="19">
        <v>15.779</v>
      </c>
      <c r="O2995" s="19">
        <v>13.749000000000001</v>
      </c>
      <c r="P2995" s="19">
        <v>11.026999999999999</v>
      </c>
      <c r="Q2995" s="19">
        <v>8.484</v>
      </c>
      <c r="R2995" s="19">
        <v>6.4329999999999998</v>
      </c>
      <c r="S2995" s="19">
        <v>5.5810000000000004</v>
      </c>
      <c r="T2995" s="19">
        <v>4.4649999999999999</v>
      </c>
      <c r="U2995" s="19">
        <v>3.5790000000000002</v>
      </c>
      <c r="V2995" s="19">
        <v>2.637</v>
      </c>
      <c r="W2995" s="19">
        <v>1.5720000000000001</v>
      </c>
      <c r="X2995" s="19">
        <v>0.79200000000000004</v>
      </c>
      <c r="Y2995" s="19">
        <v>0.41</v>
      </c>
      <c r="Z2995" s="19">
        <v>0.127</v>
      </c>
      <c r="AA2995" s="19">
        <v>2.1000000000000001E-2</v>
      </c>
      <c r="AB2995" s="19">
        <v>0</v>
      </c>
      <c r="AC2995" s="19">
        <v>0</v>
      </c>
    </row>
    <row r="2996" spans="1:29" ht="11.65" x14ac:dyDescent="0.35">
      <c r="A2996" s="23">
        <v>2979</v>
      </c>
      <c r="B2996" s="21" t="s">
        <v>1015</v>
      </c>
      <c r="C2996" s="29" t="s">
        <v>1222</v>
      </c>
      <c r="D2996" s="20"/>
      <c r="E2996" s="20">
        <v>954</v>
      </c>
      <c r="F2996" s="21" t="s">
        <v>1065</v>
      </c>
      <c r="G2996" s="20">
        <v>1835</v>
      </c>
      <c r="H2996" s="20">
        <v>1990</v>
      </c>
      <c r="I2996" s="19">
        <v>30.390999999999998</v>
      </c>
      <c r="J2996" s="19">
        <v>26.166</v>
      </c>
      <c r="K2996" s="19">
        <v>22.626000000000001</v>
      </c>
      <c r="L2996" s="19">
        <v>20.585000000000001</v>
      </c>
      <c r="M2996" s="19">
        <v>21.257999999999999</v>
      </c>
      <c r="N2996" s="19">
        <v>19.257999999999999</v>
      </c>
      <c r="O2996" s="19">
        <v>17.363</v>
      </c>
      <c r="P2996" s="19">
        <v>14.983000000000001</v>
      </c>
      <c r="Q2996" s="19">
        <v>11.779</v>
      </c>
      <c r="R2996" s="19">
        <v>8.5440000000000005</v>
      </c>
      <c r="S2996" s="19">
        <v>6.5350000000000001</v>
      </c>
      <c r="T2996" s="19">
        <v>5.1479999999999997</v>
      </c>
      <c r="U2996" s="19">
        <v>4.3650000000000002</v>
      </c>
      <c r="V2996" s="19">
        <v>3.0979999999999999</v>
      </c>
      <c r="W2996" s="19">
        <v>1.8540000000000001</v>
      </c>
      <c r="X2996" s="19">
        <v>1.0329999999999999</v>
      </c>
      <c r="Y2996" s="19">
        <v>0.47</v>
      </c>
      <c r="Z2996" s="19">
        <v>0.13</v>
      </c>
      <c r="AA2996" s="19">
        <v>2.5000000000000001E-2</v>
      </c>
      <c r="AB2996" s="19">
        <v>0</v>
      </c>
      <c r="AC2996" s="19">
        <v>0</v>
      </c>
    </row>
    <row r="2997" spans="1:29" ht="11.65" x14ac:dyDescent="0.35">
      <c r="A2997" s="23">
        <v>2980</v>
      </c>
      <c r="B2997" s="21" t="s">
        <v>1015</v>
      </c>
      <c r="C2997" s="29" t="s">
        <v>1222</v>
      </c>
      <c r="D2997" s="20"/>
      <c r="E2997" s="20">
        <v>954</v>
      </c>
      <c r="F2997" s="21" t="s">
        <v>1065</v>
      </c>
      <c r="G2997" s="20">
        <v>1835</v>
      </c>
      <c r="H2997" s="20">
        <v>1995</v>
      </c>
      <c r="I2997" s="19">
        <v>32.107999999999997</v>
      </c>
      <c r="J2997" s="19">
        <v>29.364999999999998</v>
      </c>
      <c r="K2997" s="19">
        <v>25.715</v>
      </c>
      <c r="L2997" s="19">
        <v>21.853000000000002</v>
      </c>
      <c r="M2997" s="19">
        <v>19.100999999999999</v>
      </c>
      <c r="N2997" s="19">
        <v>20.222000000000001</v>
      </c>
      <c r="O2997" s="19">
        <v>19.286999999999999</v>
      </c>
      <c r="P2997" s="19">
        <v>16.542999999999999</v>
      </c>
      <c r="Q2997" s="19">
        <v>13.766999999999999</v>
      </c>
      <c r="R2997" s="19">
        <v>10.617000000000001</v>
      </c>
      <c r="S2997" s="19">
        <v>6.8979999999999997</v>
      </c>
      <c r="T2997" s="19">
        <v>5.2619999999999996</v>
      </c>
      <c r="U2997" s="19">
        <v>4.6050000000000004</v>
      </c>
      <c r="V2997" s="19">
        <v>3.431</v>
      </c>
      <c r="W2997" s="19">
        <v>2.3130000000000002</v>
      </c>
      <c r="X2997" s="19">
        <v>1.2310000000000001</v>
      </c>
      <c r="Y2997" s="19">
        <v>0.53500000000000003</v>
      </c>
      <c r="Z2997" s="19">
        <v>0.14899999999999999</v>
      </c>
      <c r="AA2997" s="19">
        <v>2.8000000000000001E-2</v>
      </c>
      <c r="AB2997" s="19">
        <v>0</v>
      </c>
      <c r="AC2997" s="19">
        <v>0</v>
      </c>
    </row>
    <row r="2998" spans="1:29" ht="11.65" x14ac:dyDescent="0.35">
      <c r="A2998" s="23">
        <v>2981</v>
      </c>
      <c r="B2998" s="21" t="s">
        <v>1015</v>
      </c>
      <c r="C2998" s="29" t="s">
        <v>1222</v>
      </c>
      <c r="D2998" s="20"/>
      <c r="E2998" s="20">
        <v>954</v>
      </c>
      <c r="F2998" s="21" t="s">
        <v>1065</v>
      </c>
      <c r="G2998" s="20">
        <v>1835</v>
      </c>
      <c r="H2998" s="20">
        <v>2000</v>
      </c>
      <c r="I2998" s="19">
        <v>30.934000000000001</v>
      </c>
      <c r="J2998" s="19">
        <v>28.356000000000002</v>
      </c>
      <c r="K2998" s="19">
        <v>27.757999999999999</v>
      </c>
      <c r="L2998" s="19">
        <v>23.954000000000001</v>
      </c>
      <c r="M2998" s="19">
        <v>19.434999999999999</v>
      </c>
      <c r="N2998" s="19">
        <v>18.704000000000001</v>
      </c>
      <c r="O2998" s="19">
        <v>20.178999999999998</v>
      </c>
      <c r="P2998" s="19">
        <v>19.024000000000001</v>
      </c>
      <c r="Q2998" s="19">
        <v>15.044</v>
      </c>
      <c r="R2998" s="19">
        <v>12.394</v>
      </c>
      <c r="S2998" s="19">
        <v>9.3179999999999996</v>
      </c>
      <c r="T2998" s="19">
        <v>5.7140000000000004</v>
      </c>
      <c r="U2998" s="19">
        <v>4.5640000000000001</v>
      </c>
      <c r="V2998" s="19">
        <v>3.5110000000000001</v>
      </c>
      <c r="W2998" s="19">
        <v>2.1749999999999998</v>
      </c>
      <c r="X2998" s="19">
        <v>1.532</v>
      </c>
      <c r="Y2998" s="19">
        <v>0.872</v>
      </c>
      <c r="Z2998" s="19">
        <v>0.185</v>
      </c>
      <c r="AA2998" s="19">
        <v>3.2000000000000001E-2</v>
      </c>
      <c r="AB2998" s="19">
        <v>2E-3</v>
      </c>
      <c r="AC2998" s="19">
        <v>0</v>
      </c>
    </row>
    <row r="2999" spans="1:29" ht="11.65" x14ac:dyDescent="0.35">
      <c r="A2999" s="23">
        <v>2982</v>
      </c>
      <c r="B2999" s="21" t="s">
        <v>1015</v>
      </c>
      <c r="C2999" s="29" t="s">
        <v>1222</v>
      </c>
      <c r="D2999" s="20"/>
      <c r="E2999" s="20">
        <v>954</v>
      </c>
      <c r="F2999" s="21" t="s">
        <v>1065</v>
      </c>
      <c r="G2999" s="20">
        <v>1835</v>
      </c>
      <c r="H2999" s="20">
        <v>2005</v>
      </c>
      <c r="I2999" s="19">
        <v>29.21</v>
      </c>
      <c r="J2999" s="19">
        <v>29.326000000000001</v>
      </c>
      <c r="K2999" s="19">
        <v>27.149000000000001</v>
      </c>
      <c r="L2999" s="19">
        <v>26.408999999999999</v>
      </c>
      <c r="M2999" s="19">
        <v>21.445</v>
      </c>
      <c r="N2999" s="19">
        <v>17.166</v>
      </c>
      <c r="O2999" s="19">
        <v>17.023</v>
      </c>
      <c r="P2999" s="19">
        <v>18.559999999999999</v>
      </c>
      <c r="Q2999" s="19">
        <v>17.553000000000001</v>
      </c>
      <c r="R2999" s="19">
        <v>13.752000000000001</v>
      </c>
      <c r="S2999" s="19">
        <v>11.145</v>
      </c>
      <c r="T2999" s="19">
        <v>8.3130000000000006</v>
      </c>
      <c r="U2999" s="19">
        <v>4.9980000000000002</v>
      </c>
      <c r="V2999" s="19">
        <v>3.82</v>
      </c>
      <c r="W2999" s="19">
        <v>2.8460000000000001</v>
      </c>
      <c r="X2999" s="19">
        <v>1.587</v>
      </c>
      <c r="Y2999" s="19">
        <v>0.96499999999999997</v>
      </c>
      <c r="Z2999" s="19">
        <v>0.33</v>
      </c>
      <c r="AA2999" s="19">
        <v>4.3999999999999997E-2</v>
      </c>
      <c r="AB2999" s="19">
        <v>3.0000000000000001E-3</v>
      </c>
      <c r="AC2999" s="19">
        <v>0</v>
      </c>
    </row>
    <row r="3000" spans="1:29" ht="11.65" x14ac:dyDescent="0.35">
      <c r="A3000" s="23">
        <v>2983</v>
      </c>
      <c r="B3000" s="21" t="s">
        <v>1015</v>
      </c>
      <c r="C3000" s="29" t="s">
        <v>1222</v>
      </c>
      <c r="D3000" s="20"/>
      <c r="E3000" s="20">
        <v>954</v>
      </c>
      <c r="F3000" s="21" t="s">
        <v>1065</v>
      </c>
      <c r="G3000" s="20">
        <v>1835</v>
      </c>
      <c r="H3000" s="20">
        <v>2010</v>
      </c>
      <c r="I3000" s="19">
        <v>28.808</v>
      </c>
      <c r="J3000" s="19">
        <v>26.84</v>
      </c>
      <c r="K3000" s="19">
        <v>27.498999999999999</v>
      </c>
      <c r="L3000" s="19">
        <v>25.344000000000001</v>
      </c>
      <c r="M3000" s="19">
        <v>22.593</v>
      </c>
      <c r="N3000" s="19">
        <v>18.018000000000001</v>
      </c>
      <c r="O3000" s="19">
        <v>16.225000000000001</v>
      </c>
      <c r="P3000" s="19">
        <v>16.619</v>
      </c>
      <c r="Q3000" s="19">
        <v>17.09</v>
      </c>
      <c r="R3000" s="19">
        <v>15.680999999999999</v>
      </c>
      <c r="S3000" s="19">
        <v>12.52</v>
      </c>
      <c r="T3000" s="19">
        <v>10.233000000000001</v>
      </c>
      <c r="U3000" s="19">
        <v>7.2640000000000002</v>
      </c>
      <c r="V3000" s="19">
        <v>4.1150000000000002</v>
      </c>
      <c r="W3000" s="19">
        <v>2.964</v>
      </c>
      <c r="X3000" s="19">
        <v>1.8280000000000001</v>
      </c>
      <c r="Y3000" s="19">
        <v>0.95</v>
      </c>
      <c r="Z3000" s="19">
        <v>0.36</v>
      </c>
      <c r="AA3000" s="19">
        <v>8.4000000000000005E-2</v>
      </c>
      <c r="AB3000" s="19">
        <v>4.0000000000000001E-3</v>
      </c>
      <c r="AC3000" s="19">
        <v>0</v>
      </c>
    </row>
    <row r="3001" spans="1:29" ht="11.65" x14ac:dyDescent="0.35">
      <c r="A3001" s="23">
        <v>2984</v>
      </c>
      <c r="B3001" s="21" t="s">
        <v>1015</v>
      </c>
      <c r="C3001" s="29" t="s">
        <v>1222</v>
      </c>
      <c r="D3001" s="20"/>
      <c r="E3001" s="20">
        <v>954</v>
      </c>
      <c r="F3001" s="21" t="s">
        <v>1065</v>
      </c>
      <c r="G3001" s="20">
        <v>1835</v>
      </c>
      <c r="H3001" s="20">
        <v>2015</v>
      </c>
      <c r="I3001" s="19">
        <v>28.12</v>
      </c>
      <c r="J3001" s="19">
        <v>27.97</v>
      </c>
      <c r="K3001" s="19">
        <v>25.977</v>
      </c>
      <c r="L3001" s="19">
        <v>26.314</v>
      </c>
      <c r="M3001" s="19">
        <v>23.658999999999999</v>
      </c>
      <c r="N3001" s="19">
        <v>20.669</v>
      </c>
      <c r="O3001" s="19">
        <v>17.012</v>
      </c>
      <c r="P3001" s="19">
        <v>15.41</v>
      </c>
      <c r="Q3001" s="19">
        <v>15.371</v>
      </c>
      <c r="R3001" s="19">
        <v>15.901</v>
      </c>
      <c r="S3001" s="19">
        <v>14.742000000000001</v>
      </c>
      <c r="T3001" s="19">
        <v>11.426</v>
      </c>
      <c r="U3001" s="19">
        <v>9.0470000000000006</v>
      </c>
      <c r="V3001" s="19">
        <v>6.2309999999999999</v>
      </c>
      <c r="W3001" s="19">
        <v>3.1509999999999998</v>
      </c>
      <c r="X3001" s="19">
        <v>1.9670000000000001</v>
      </c>
      <c r="Y3001" s="19">
        <v>1.0640000000000001</v>
      </c>
      <c r="Z3001" s="19">
        <v>0.40400000000000003</v>
      </c>
      <c r="AA3001" s="19">
        <v>9.4E-2</v>
      </c>
      <c r="AB3001" s="19">
        <v>8.9999999999999993E-3</v>
      </c>
      <c r="AC3001" s="19">
        <v>0</v>
      </c>
    </row>
    <row r="3002" spans="1:29" ht="11.65" x14ac:dyDescent="0.35">
      <c r="A3002" s="23">
        <v>2985</v>
      </c>
      <c r="B3002" s="21" t="s">
        <v>1015</v>
      </c>
      <c r="C3002" s="29" t="s">
        <v>1222</v>
      </c>
      <c r="D3002" s="20"/>
      <c r="E3002" s="20">
        <v>954</v>
      </c>
      <c r="F3002" s="21" t="s">
        <v>1065</v>
      </c>
      <c r="G3002" s="20">
        <v>1835</v>
      </c>
      <c r="H3002" s="20">
        <v>2020</v>
      </c>
      <c r="I3002" s="19">
        <v>27.695</v>
      </c>
      <c r="J3002" s="19">
        <v>27.619</v>
      </c>
      <c r="K3002" s="19">
        <v>27.614999999999998</v>
      </c>
      <c r="L3002" s="19">
        <v>25.225000000000001</v>
      </c>
      <c r="M3002" s="19">
        <v>25.016999999999999</v>
      </c>
      <c r="N3002" s="19">
        <v>22.312000000000001</v>
      </c>
      <c r="O3002" s="19">
        <v>19.565000000000001</v>
      </c>
      <c r="P3002" s="19">
        <v>16.16</v>
      </c>
      <c r="Q3002" s="19">
        <v>14.72</v>
      </c>
      <c r="R3002" s="19">
        <v>14.733000000000001</v>
      </c>
      <c r="S3002" s="19">
        <v>15.186999999999999</v>
      </c>
      <c r="T3002" s="19">
        <v>13.904999999999999</v>
      </c>
      <c r="U3002" s="19">
        <v>10.471</v>
      </c>
      <c r="V3002" s="19">
        <v>7.9</v>
      </c>
      <c r="W3002" s="19">
        <v>5.0449999999999999</v>
      </c>
      <c r="X3002" s="19">
        <v>2.278</v>
      </c>
      <c r="Y3002" s="19">
        <v>1.2050000000000001</v>
      </c>
      <c r="Z3002" s="19">
        <v>0.48699999999999999</v>
      </c>
      <c r="AA3002" s="19">
        <v>0.124</v>
      </c>
      <c r="AB3002" s="19">
        <v>1.2E-2</v>
      </c>
      <c r="AC3002" s="19">
        <v>1E-3</v>
      </c>
    </row>
    <row r="3003" spans="1:29" ht="11.65" x14ac:dyDescent="0.35">
      <c r="A3003" s="12">
        <v>2986</v>
      </c>
      <c r="B3003" s="10" t="s">
        <v>1015</v>
      </c>
      <c r="C3003" s="11" t="s">
        <v>1223</v>
      </c>
      <c r="D3003" s="9">
        <v>14</v>
      </c>
      <c r="E3003" s="9">
        <v>316</v>
      </c>
      <c r="F3003" s="10" t="s">
        <v>1066</v>
      </c>
      <c r="G3003" s="9">
        <v>954</v>
      </c>
      <c r="H3003" s="9">
        <v>1950</v>
      </c>
      <c r="I3003" s="8">
        <v>3.883</v>
      </c>
      <c r="J3003" s="8">
        <v>2.2839999999999998</v>
      </c>
      <c r="K3003" s="8">
        <v>2.1259999999999999</v>
      </c>
      <c r="L3003" s="8">
        <v>5.5789999999999997</v>
      </c>
      <c r="M3003" s="8">
        <v>9.6050000000000004</v>
      </c>
      <c r="N3003" s="8">
        <v>5.2270000000000003</v>
      </c>
      <c r="O3003" s="8">
        <v>3.8090000000000002</v>
      </c>
      <c r="P3003" s="8">
        <v>2.847</v>
      </c>
      <c r="Q3003" s="8">
        <v>1.8580000000000001</v>
      </c>
      <c r="R3003" s="8">
        <v>1.3779999999999999</v>
      </c>
      <c r="S3003" s="8">
        <v>0.79200000000000004</v>
      </c>
      <c r="T3003" s="8">
        <v>0.48099999999999998</v>
      </c>
      <c r="U3003" s="8">
        <v>0.24299999999999999</v>
      </c>
      <c r="V3003" s="8">
        <v>0.157</v>
      </c>
      <c r="W3003" s="8">
        <v>8.4000000000000005E-2</v>
      </c>
      <c r="X3003" s="8">
        <v>6.5000000000000002E-2</v>
      </c>
      <c r="Y3003" s="8">
        <v>2.4E-2</v>
      </c>
      <c r="Z3003" s="8">
        <v>8.0000000000000002E-3</v>
      </c>
      <c r="AA3003" s="8">
        <v>2E-3</v>
      </c>
      <c r="AB3003" s="8">
        <v>0</v>
      </c>
      <c r="AC3003" s="8">
        <v>0</v>
      </c>
    </row>
    <row r="3004" spans="1:29" ht="11.65" x14ac:dyDescent="0.35">
      <c r="A3004" s="12">
        <v>2987</v>
      </c>
      <c r="B3004" s="10" t="s">
        <v>1015</v>
      </c>
      <c r="C3004" s="11" t="s">
        <v>1223</v>
      </c>
      <c r="D3004" s="9">
        <v>14</v>
      </c>
      <c r="E3004" s="9">
        <v>316</v>
      </c>
      <c r="F3004" s="10" t="s">
        <v>1066</v>
      </c>
      <c r="G3004" s="9">
        <v>954</v>
      </c>
      <c r="H3004" s="9">
        <v>1955</v>
      </c>
      <c r="I3004" s="8">
        <v>4.5540000000000003</v>
      </c>
      <c r="J3004" s="8">
        <v>3.4580000000000002</v>
      </c>
      <c r="K3004" s="8">
        <v>2.919</v>
      </c>
      <c r="L3004" s="8">
        <v>4.298</v>
      </c>
      <c r="M3004" s="8">
        <v>7.0289999999999999</v>
      </c>
      <c r="N3004" s="8">
        <v>4.2930000000000001</v>
      </c>
      <c r="O3004" s="8">
        <v>4.1740000000000004</v>
      </c>
      <c r="P3004" s="8">
        <v>3.149</v>
      </c>
      <c r="Q3004" s="8">
        <v>2.0190000000000001</v>
      </c>
      <c r="R3004" s="8">
        <v>1.534</v>
      </c>
      <c r="S3004" s="8">
        <v>0.91500000000000004</v>
      </c>
      <c r="T3004" s="8">
        <v>0.56299999999999994</v>
      </c>
      <c r="U3004" s="8">
        <v>0.30599999999999999</v>
      </c>
      <c r="V3004" s="8">
        <v>0.19</v>
      </c>
      <c r="W3004" s="8">
        <v>0.10199999999999999</v>
      </c>
      <c r="X3004" s="8">
        <v>7.2999999999999995E-2</v>
      </c>
      <c r="Y3004" s="8">
        <v>3.6999999999999998E-2</v>
      </c>
      <c r="Z3004" s="8">
        <v>8.0000000000000002E-3</v>
      </c>
      <c r="AA3004" s="8">
        <v>2E-3</v>
      </c>
      <c r="AB3004" s="8">
        <v>0</v>
      </c>
      <c r="AC3004" s="8">
        <v>0</v>
      </c>
    </row>
    <row r="3005" spans="1:29" ht="11.65" x14ac:dyDescent="0.35">
      <c r="A3005" s="12">
        <v>2988</v>
      </c>
      <c r="B3005" s="10" t="s">
        <v>1015</v>
      </c>
      <c r="C3005" s="11" t="s">
        <v>1223</v>
      </c>
      <c r="D3005" s="9">
        <v>14</v>
      </c>
      <c r="E3005" s="9">
        <v>316</v>
      </c>
      <c r="F3005" s="10" t="s">
        <v>1066</v>
      </c>
      <c r="G3005" s="9">
        <v>954</v>
      </c>
      <c r="H3005" s="9">
        <v>1960</v>
      </c>
      <c r="I3005" s="8">
        <v>5.4889999999999999</v>
      </c>
      <c r="J3005" s="8">
        <v>4.4139999999999997</v>
      </c>
      <c r="K3005" s="8">
        <v>3.7040000000000002</v>
      </c>
      <c r="L3005" s="8">
        <v>3.0670000000000002</v>
      </c>
      <c r="M3005" s="8">
        <v>4.5490000000000004</v>
      </c>
      <c r="N3005" s="8">
        <v>3.403</v>
      </c>
      <c r="O3005" s="8">
        <v>4.5469999999999997</v>
      </c>
      <c r="P3005" s="8">
        <v>3.456</v>
      </c>
      <c r="Q3005" s="8">
        <v>2.1819999999999999</v>
      </c>
      <c r="R3005" s="8">
        <v>1.6919999999999999</v>
      </c>
      <c r="S3005" s="8">
        <v>1.0409999999999999</v>
      </c>
      <c r="T3005" s="8">
        <v>0.64500000000000002</v>
      </c>
      <c r="U3005" s="8">
        <v>0.36899999999999999</v>
      </c>
      <c r="V3005" s="8">
        <v>0.224</v>
      </c>
      <c r="W3005" s="8">
        <v>0.11700000000000001</v>
      </c>
      <c r="X3005" s="8">
        <v>8.3000000000000004E-2</v>
      </c>
      <c r="Y3005" s="8">
        <v>4.7E-2</v>
      </c>
      <c r="Z3005" s="8">
        <v>1.2E-2</v>
      </c>
      <c r="AA3005" s="8">
        <v>2E-3</v>
      </c>
      <c r="AB3005" s="8">
        <v>0</v>
      </c>
      <c r="AC3005" s="8">
        <v>0</v>
      </c>
    </row>
    <row r="3006" spans="1:29" ht="11.65" x14ac:dyDescent="0.35">
      <c r="A3006" s="12">
        <v>2989</v>
      </c>
      <c r="B3006" s="10" t="s">
        <v>1015</v>
      </c>
      <c r="C3006" s="11" t="s">
        <v>1223</v>
      </c>
      <c r="D3006" s="9">
        <v>14</v>
      </c>
      <c r="E3006" s="9">
        <v>316</v>
      </c>
      <c r="F3006" s="10" t="s">
        <v>1066</v>
      </c>
      <c r="G3006" s="9">
        <v>954</v>
      </c>
      <c r="H3006" s="9">
        <v>1965</v>
      </c>
      <c r="I3006" s="8">
        <v>5.6239999999999997</v>
      </c>
      <c r="J3006" s="8">
        <v>5.1529999999999996</v>
      </c>
      <c r="K3006" s="8">
        <v>4.2850000000000001</v>
      </c>
      <c r="L3006" s="8">
        <v>3.5830000000000002</v>
      </c>
      <c r="M3006" s="8">
        <v>5.5359999999999996</v>
      </c>
      <c r="N3006" s="8">
        <v>3.5009999999999999</v>
      </c>
      <c r="O3006" s="8">
        <v>4.1180000000000003</v>
      </c>
      <c r="P3006" s="8">
        <v>3.3919999999999999</v>
      </c>
      <c r="Q3006" s="8">
        <v>2.5880000000000001</v>
      </c>
      <c r="R3006" s="8">
        <v>1.9330000000000001</v>
      </c>
      <c r="S3006" s="8">
        <v>1.1830000000000001</v>
      </c>
      <c r="T3006" s="8">
        <v>0.81799999999999995</v>
      </c>
      <c r="U3006" s="8">
        <v>0.46600000000000003</v>
      </c>
      <c r="V3006" s="8">
        <v>0.27100000000000002</v>
      </c>
      <c r="W3006" s="8">
        <v>0.13800000000000001</v>
      </c>
      <c r="X3006" s="8">
        <v>9.5000000000000001E-2</v>
      </c>
      <c r="Y3006" s="8">
        <v>4.8000000000000001E-2</v>
      </c>
      <c r="Z3006" s="8">
        <v>1.7999999999999999E-2</v>
      </c>
      <c r="AA3006" s="8">
        <v>3.0000000000000001E-3</v>
      </c>
      <c r="AB3006" s="8">
        <v>0</v>
      </c>
      <c r="AC3006" s="8">
        <v>0</v>
      </c>
    </row>
    <row r="3007" spans="1:29" ht="11.65" x14ac:dyDescent="0.35">
      <c r="A3007" s="12">
        <v>2990</v>
      </c>
      <c r="B3007" s="10" t="s">
        <v>1015</v>
      </c>
      <c r="C3007" s="11" t="s">
        <v>1223</v>
      </c>
      <c r="D3007" s="9">
        <v>14</v>
      </c>
      <c r="E3007" s="9">
        <v>316</v>
      </c>
      <c r="F3007" s="10" t="s">
        <v>1066</v>
      </c>
      <c r="G3007" s="9">
        <v>954</v>
      </c>
      <c r="H3007" s="9">
        <v>1970</v>
      </c>
      <c r="I3007" s="8">
        <v>5.726</v>
      </c>
      <c r="J3007" s="8">
        <v>5.8789999999999996</v>
      </c>
      <c r="K3007" s="8">
        <v>5.2350000000000003</v>
      </c>
      <c r="L3007" s="8">
        <v>3.9649999999999999</v>
      </c>
      <c r="M3007" s="8">
        <v>6.6710000000000003</v>
      </c>
      <c r="N3007" s="8">
        <v>3.5819999999999999</v>
      </c>
      <c r="O3007" s="8">
        <v>3.552</v>
      </c>
      <c r="P3007" s="8">
        <v>3.28</v>
      </c>
      <c r="Q3007" s="8">
        <v>3.05</v>
      </c>
      <c r="R3007" s="8">
        <v>2.2000000000000002</v>
      </c>
      <c r="S3007" s="8">
        <v>1.337</v>
      </c>
      <c r="T3007" s="8">
        <v>1.0189999999999999</v>
      </c>
      <c r="U3007" s="8">
        <v>0.57899999999999996</v>
      </c>
      <c r="V3007" s="8">
        <v>0.32500000000000001</v>
      </c>
      <c r="W3007" s="8">
        <v>0.16200000000000001</v>
      </c>
      <c r="X3007" s="8">
        <v>0.105</v>
      </c>
      <c r="Y3007" s="8">
        <v>5.0999999999999997E-2</v>
      </c>
      <c r="Z3007" s="8">
        <v>1.7999999999999999E-2</v>
      </c>
      <c r="AA3007" s="8">
        <v>4.0000000000000001E-3</v>
      </c>
      <c r="AB3007" s="8">
        <v>0</v>
      </c>
      <c r="AC3007" s="8">
        <v>0</v>
      </c>
    </row>
    <row r="3008" spans="1:29" ht="11.65" x14ac:dyDescent="0.35">
      <c r="A3008" s="12">
        <v>2991</v>
      </c>
      <c r="B3008" s="10" t="s">
        <v>1015</v>
      </c>
      <c r="C3008" s="11" t="s">
        <v>1223</v>
      </c>
      <c r="D3008" s="9">
        <v>14</v>
      </c>
      <c r="E3008" s="9">
        <v>316</v>
      </c>
      <c r="F3008" s="10" t="s">
        <v>1066</v>
      </c>
      <c r="G3008" s="9">
        <v>954</v>
      </c>
      <c r="H3008" s="9">
        <v>1975</v>
      </c>
      <c r="I3008" s="8">
        <v>6.0750000000000002</v>
      </c>
      <c r="J3008" s="8">
        <v>6.0270000000000001</v>
      </c>
      <c r="K3008" s="8">
        <v>5.4210000000000003</v>
      </c>
      <c r="L3008" s="8">
        <v>4.82</v>
      </c>
      <c r="M3008" s="8">
        <v>6.2009999999999996</v>
      </c>
      <c r="N3008" s="8">
        <v>4.3499999999999996</v>
      </c>
      <c r="O3008" s="8">
        <v>4.1719999999999997</v>
      </c>
      <c r="P3008" s="8">
        <v>3.3450000000000002</v>
      </c>
      <c r="Q3008" s="8">
        <v>2.879</v>
      </c>
      <c r="R3008" s="8">
        <v>2.198</v>
      </c>
      <c r="S3008" s="8">
        <v>1.7629999999999999</v>
      </c>
      <c r="T3008" s="8">
        <v>1.3089999999999999</v>
      </c>
      <c r="U3008" s="8">
        <v>0.78100000000000003</v>
      </c>
      <c r="V3008" s="8">
        <v>0.51500000000000001</v>
      </c>
      <c r="W3008" s="8">
        <v>0.26800000000000002</v>
      </c>
      <c r="X3008" s="8">
        <v>0.13</v>
      </c>
      <c r="Y3008" s="8">
        <v>7.9000000000000001E-2</v>
      </c>
      <c r="Z3008" s="8">
        <v>0.02</v>
      </c>
      <c r="AA3008" s="8">
        <v>4.0000000000000001E-3</v>
      </c>
      <c r="AB3008" s="8">
        <v>0</v>
      </c>
      <c r="AC3008" s="8">
        <v>0</v>
      </c>
    </row>
    <row r="3009" spans="1:29" ht="11.65" x14ac:dyDescent="0.35">
      <c r="A3009" s="12">
        <v>2992</v>
      </c>
      <c r="B3009" s="10" t="s">
        <v>1015</v>
      </c>
      <c r="C3009" s="11" t="s">
        <v>1223</v>
      </c>
      <c r="D3009" s="9">
        <v>14</v>
      </c>
      <c r="E3009" s="9">
        <v>316</v>
      </c>
      <c r="F3009" s="10" t="s">
        <v>1066</v>
      </c>
      <c r="G3009" s="9">
        <v>954</v>
      </c>
      <c r="H3009" s="9">
        <v>1980</v>
      </c>
      <c r="I3009" s="8">
        <v>6.43</v>
      </c>
      <c r="J3009" s="8">
        <v>6.2510000000000003</v>
      </c>
      <c r="K3009" s="8">
        <v>5.6040000000000001</v>
      </c>
      <c r="L3009" s="8">
        <v>5.6749999999999998</v>
      </c>
      <c r="M3009" s="8">
        <v>5.8979999999999997</v>
      </c>
      <c r="N3009" s="8">
        <v>5.0190000000000001</v>
      </c>
      <c r="O3009" s="8">
        <v>4.8730000000000002</v>
      </c>
      <c r="P3009" s="8">
        <v>3.3980000000000001</v>
      </c>
      <c r="Q3009" s="8">
        <v>2.6589999999999998</v>
      </c>
      <c r="R3009" s="8">
        <v>2.181</v>
      </c>
      <c r="S3009" s="8">
        <v>2.2469999999999999</v>
      </c>
      <c r="T3009" s="8">
        <v>1.64</v>
      </c>
      <c r="U3009" s="8">
        <v>1.01</v>
      </c>
      <c r="V3009" s="8">
        <v>0.73299999999999998</v>
      </c>
      <c r="W3009" s="8">
        <v>0.39400000000000002</v>
      </c>
      <c r="X3009" s="8">
        <v>0.156</v>
      </c>
      <c r="Y3009" s="8">
        <v>9.1999999999999998E-2</v>
      </c>
      <c r="Z3009" s="8">
        <v>3.1E-2</v>
      </c>
      <c r="AA3009" s="8">
        <v>5.0000000000000001E-3</v>
      </c>
      <c r="AB3009" s="8">
        <v>0</v>
      </c>
      <c r="AC3009" s="8">
        <v>0</v>
      </c>
    </row>
    <row r="3010" spans="1:29" ht="11.65" x14ac:dyDescent="0.35">
      <c r="A3010" s="12">
        <v>2993</v>
      </c>
      <c r="B3010" s="10" t="s">
        <v>1015</v>
      </c>
      <c r="C3010" s="11" t="s">
        <v>1223</v>
      </c>
      <c r="D3010" s="9">
        <v>14</v>
      </c>
      <c r="E3010" s="9">
        <v>316</v>
      </c>
      <c r="F3010" s="10" t="s">
        <v>1066</v>
      </c>
      <c r="G3010" s="9">
        <v>954</v>
      </c>
      <c r="H3010" s="9">
        <v>1985</v>
      </c>
      <c r="I3010" s="8">
        <v>6.9690000000000003</v>
      </c>
      <c r="J3010" s="8">
        <v>6.4009999999999998</v>
      </c>
      <c r="K3010" s="8">
        <v>5.7569999999999997</v>
      </c>
      <c r="L3010" s="8">
        <v>5.9420000000000002</v>
      </c>
      <c r="M3010" s="8">
        <v>6.968</v>
      </c>
      <c r="N3010" s="8">
        <v>6.0780000000000003</v>
      </c>
      <c r="O3010" s="8">
        <v>5.4050000000000002</v>
      </c>
      <c r="P3010" s="8">
        <v>4.3630000000000004</v>
      </c>
      <c r="Q3010" s="8">
        <v>3.4620000000000002</v>
      </c>
      <c r="R3010" s="8">
        <v>2.585</v>
      </c>
      <c r="S3010" s="8">
        <v>2.3969999999999998</v>
      </c>
      <c r="T3010" s="8">
        <v>1.8740000000000001</v>
      </c>
      <c r="U3010" s="8">
        <v>1.405</v>
      </c>
      <c r="V3010" s="8">
        <v>0.98599999999999999</v>
      </c>
      <c r="W3010" s="8">
        <v>0.501</v>
      </c>
      <c r="X3010" s="8">
        <v>0.23599999999999999</v>
      </c>
      <c r="Y3010" s="8">
        <v>0.13400000000000001</v>
      </c>
      <c r="Z3010" s="8">
        <v>3.5999999999999997E-2</v>
      </c>
      <c r="AA3010" s="8">
        <v>8.9999999999999993E-3</v>
      </c>
      <c r="AB3010" s="8">
        <v>0</v>
      </c>
      <c r="AC3010" s="8">
        <v>0</v>
      </c>
    </row>
    <row r="3011" spans="1:29" ht="11.65" x14ac:dyDescent="0.35">
      <c r="A3011" s="12">
        <v>2994</v>
      </c>
      <c r="B3011" s="10" t="s">
        <v>1015</v>
      </c>
      <c r="C3011" s="11" t="s">
        <v>1223</v>
      </c>
      <c r="D3011" s="9">
        <v>14</v>
      </c>
      <c r="E3011" s="9">
        <v>316</v>
      </c>
      <c r="F3011" s="10" t="s">
        <v>1066</v>
      </c>
      <c r="G3011" s="9">
        <v>954</v>
      </c>
      <c r="H3011" s="9">
        <v>1990</v>
      </c>
      <c r="I3011" s="8">
        <v>7.5949999999999998</v>
      </c>
      <c r="J3011" s="8">
        <v>6.4459999999999997</v>
      </c>
      <c r="K3011" s="8">
        <v>5.8419999999999996</v>
      </c>
      <c r="L3011" s="8">
        <v>6.3490000000000002</v>
      </c>
      <c r="M3011" s="8">
        <v>8.1240000000000006</v>
      </c>
      <c r="N3011" s="8">
        <v>7.157</v>
      </c>
      <c r="O3011" s="8">
        <v>6.2030000000000003</v>
      </c>
      <c r="P3011" s="8">
        <v>5.3559999999999999</v>
      </c>
      <c r="Q3011" s="8">
        <v>4.43</v>
      </c>
      <c r="R3011" s="8">
        <v>3.0369999999999999</v>
      </c>
      <c r="S3011" s="8">
        <v>2.5150000000000001</v>
      </c>
      <c r="T3011" s="8">
        <v>2.121</v>
      </c>
      <c r="U3011" s="8">
        <v>1.9319999999999999</v>
      </c>
      <c r="V3011" s="8">
        <v>1.296</v>
      </c>
      <c r="W3011" s="8">
        <v>0.621</v>
      </c>
      <c r="X3011" s="8">
        <v>0.34899999999999998</v>
      </c>
      <c r="Y3011" s="8">
        <v>0.17100000000000001</v>
      </c>
      <c r="Z3011" s="8">
        <v>5.3999999999999999E-2</v>
      </c>
      <c r="AA3011" s="8">
        <v>8.9999999999999993E-3</v>
      </c>
      <c r="AB3011" s="8">
        <v>0</v>
      </c>
      <c r="AC3011" s="8">
        <v>0</v>
      </c>
    </row>
    <row r="3012" spans="1:29" ht="11.65" x14ac:dyDescent="0.35">
      <c r="A3012" s="12">
        <v>2995</v>
      </c>
      <c r="B3012" s="10" t="s">
        <v>1015</v>
      </c>
      <c r="C3012" s="11" t="s">
        <v>1223</v>
      </c>
      <c r="D3012" s="9">
        <v>14</v>
      </c>
      <c r="E3012" s="9">
        <v>316</v>
      </c>
      <c r="F3012" s="10" t="s">
        <v>1066</v>
      </c>
      <c r="G3012" s="9">
        <v>954</v>
      </c>
      <c r="H3012" s="9">
        <v>1995</v>
      </c>
      <c r="I3012" s="8">
        <v>8.9930000000000003</v>
      </c>
      <c r="J3012" s="8">
        <v>7.5369999999999999</v>
      </c>
      <c r="K3012" s="8">
        <v>6.4409999999999998</v>
      </c>
      <c r="L3012" s="8">
        <v>5.9779999999999998</v>
      </c>
      <c r="M3012" s="8">
        <v>6.569</v>
      </c>
      <c r="N3012" s="8">
        <v>7.9409999999999998</v>
      </c>
      <c r="O3012" s="8">
        <v>6.806</v>
      </c>
      <c r="P3012" s="8">
        <v>5.9589999999999996</v>
      </c>
      <c r="Q3012" s="8">
        <v>5.0890000000000004</v>
      </c>
      <c r="R3012" s="8">
        <v>4.0819999999999999</v>
      </c>
      <c r="S3012" s="8">
        <v>2.8050000000000002</v>
      </c>
      <c r="T3012" s="8">
        <v>2.33</v>
      </c>
      <c r="U3012" s="8">
        <v>1.9390000000000001</v>
      </c>
      <c r="V3012" s="8">
        <v>1.6639999999999999</v>
      </c>
      <c r="W3012" s="8">
        <v>1.012</v>
      </c>
      <c r="X3012" s="8">
        <v>0.42</v>
      </c>
      <c r="Y3012" s="8">
        <v>0.20499999999999999</v>
      </c>
      <c r="Z3012" s="8">
        <v>7.0000000000000007E-2</v>
      </c>
      <c r="AA3012" s="8">
        <v>1.4E-2</v>
      </c>
      <c r="AB3012" s="8">
        <v>0</v>
      </c>
      <c r="AC3012" s="8">
        <v>0</v>
      </c>
    </row>
    <row r="3013" spans="1:29" ht="11.65" x14ac:dyDescent="0.35">
      <c r="A3013" s="12">
        <v>2996</v>
      </c>
      <c r="B3013" s="10" t="s">
        <v>1015</v>
      </c>
      <c r="C3013" s="11" t="s">
        <v>1223</v>
      </c>
      <c r="D3013" s="9">
        <v>14</v>
      </c>
      <c r="E3013" s="9">
        <v>316</v>
      </c>
      <c r="F3013" s="10" t="s">
        <v>1066</v>
      </c>
      <c r="G3013" s="9">
        <v>954</v>
      </c>
      <c r="H3013" s="9">
        <v>2000</v>
      </c>
      <c r="I3013" s="8">
        <v>8.8480000000000008</v>
      </c>
      <c r="J3013" s="8">
        <v>8.3000000000000007</v>
      </c>
      <c r="K3013" s="8">
        <v>7.27</v>
      </c>
      <c r="L3013" s="8">
        <v>6.3029999999999999</v>
      </c>
      <c r="M3013" s="8">
        <v>6.1</v>
      </c>
      <c r="N3013" s="8">
        <v>6.5030000000000001</v>
      </c>
      <c r="O3013" s="8">
        <v>6.7329999999999997</v>
      </c>
      <c r="P3013" s="8">
        <v>6.69</v>
      </c>
      <c r="Q3013" s="8">
        <v>5.4130000000000003</v>
      </c>
      <c r="R3013" s="8">
        <v>4.6269999999999998</v>
      </c>
      <c r="S3013" s="8">
        <v>3.8610000000000002</v>
      </c>
      <c r="T3013" s="8">
        <v>2.57</v>
      </c>
      <c r="U3013" s="8">
        <v>2.218</v>
      </c>
      <c r="V3013" s="8">
        <v>1.6319999999999999</v>
      </c>
      <c r="W3013" s="8">
        <v>1.1160000000000001</v>
      </c>
      <c r="X3013" s="8">
        <v>0.69299999999999995</v>
      </c>
      <c r="Y3013" s="8">
        <v>0.442</v>
      </c>
      <c r="Z3013" s="8">
        <v>8.6999999999999994E-2</v>
      </c>
      <c r="AA3013" s="8">
        <v>1.9E-2</v>
      </c>
      <c r="AB3013" s="8">
        <v>2E-3</v>
      </c>
      <c r="AC3013" s="8">
        <v>0</v>
      </c>
    </row>
    <row r="3014" spans="1:29" ht="11.65" x14ac:dyDescent="0.35">
      <c r="A3014" s="12">
        <v>2997</v>
      </c>
      <c r="B3014" s="10" t="s">
        <v>1015</v>
      </c>
      <c r="C3014" s="11" t="s">
        <v>1223</v>
      </c>
      <c r="D3014" s="9">
        <v>14</v>
      </c>
      <c r="E3014" s="9">
        <v>316</v>
      </c>
      <c r="F3014" s="10" t="s">
        <v>1066</v>
      </c>
      <c r="G3014" s="9">
        <v>954</v>
      </c>
      <c r="H3014" s="9">
        <v>2005</v>
      </c>
      <c r="I3014" s="8">
        <v>8.1460000000000008</v>
      </c>
      <c r="J3014" s="8">
        <v>8.2829999999999995</v>
      </c>
      <c r="K3014" s="8">
        <v>7.7729999999999997</v>
      </c>
      <c r="L3014" s="8">
        <v>6.7960000000000003</v>
      </c>
      <c r="M3014" s="8">
        <v>5.875</v>
      </c>
      <c r="N3014" s="8">
        <v>5.6820000000000004</v>
      </c>
      <c r="O3014" s="8">
        <v>6.0579999999999998</v>
      </c>
      <c r="P3014" s="8">
        <v>6.2610000000000001</v>
      </c>
      <c r="Q3014" s="8">
        <v>6.2030000000000003</v>
      </c>
      <c r="R3014" s="8">
        <v>4.9859999999999998</v>
      </c>
      <c r="S3014" s="8">
        <v>4.2320000000000002</v>
      </c>
      <c r="T3014" s="8">
        <v>3.49</v>
      </c>
      <c r="U3014" s="8">
        <v>2.2519999999999998</v>
      </c>
      <c r="V3014" s="8">
        <v>1.8939999999999999</v>
      </c>
      <c r="W3014" s="8">
        <v>1.3240000000000001</v>
      </c>
      <c r="X3014" s="8">
        <v>0.81899999999999995</v>
      </c>
      <c r="Y3014" s="8">
        <v>0.44500000000000001</v>
      </c>
      <c r="Z3014" s="8">
        <v>0.20100000000000001</v>
      </c>
      <c r="AA3014" s="8">
        <v>2.5000000000000001E-2</v>
      </c>
      <c r="AB3014" s="8">
        <v>3.0000000000000001E-3</v>
      </c>
      <c r="AC3014" s="8">
        <v>0</v>
      </c>
    </row>
    <row r="3015" spans="1:29" ht="11.65" x14ac:dyDescent="0.35">
      <c r="A3015" s="12">
        <v>2998</v>
      </c>
      <c r="B3015" s="10" t="s">
        <v>1015</v>
      </c>
      <c r="C3015" s="11" t="s">
        <v>1223</v>
      </c>
      <c r="D3015" s="9">
        <v>14</v>
      </c>
      <c r="E3015" s="9">
        <v>316</v>
      </c>
      <c r="F3015" s="10" t="s">
        <v>1066</v>
      </c>
      <c r="G3015" s="9">
        <v>954</v>
      </c>
      <c r="H3015" s="9">
        <v>2010</v>
      </c>
      <c r="I3015" s="8">
        <v>7.3109999999999999</v>
      </c>
      <c r="J3015" s="8">
        <v>7.6280000000000001</v>
      </c>
      <c r="K3015" s="8">
        <v>7.76</v>
      </c>
      <c r="L3015" s="8">
        <v>7.2690000000000001</v>
      </c>
      <c r="M3015" s="8">
        <v>6.3380000000000001</v>
      </c>
      <c r="N3015" s="8">
        <v>5.476</v>
      </c>
      <c r="O3015" s="8">
        <v>5.2939999999999996</v>
      </c>
      <c r="P3015" s="8">
        <v>5.64</v>
      </c>
      <c r="Q3015" s="8">
        <v>5.8090000000000002</v>
      </c>
      <c r="R3015" s="8">
        <v>5.7190000000000003</v>
      </c>
      <c r="S3015" s="8">
        <v>4.57</v>
      </c>
      <c r="T3015" s="8">
        <v>3.831</v>
      </c>
      <c r="U3015" s="8">
        <v>3.0750000000000002</v>
      </c>
      <c r="V3015" s="8">
        <v>1.9330000000000001</v>
      </c>
      <c r="W3015" s="8">
        <v>1.552</v>
      </c>
      <c r="X3015" s="8">
        <v>0.98499999999999999</v>
      </c>
      <c r="Y3015" s="8">
        <v>0.55800000000000005</v>
      </c>
      <c r="Z3015" s="8">
        <v>0.21099999999999999</v>
      </c>
      <c r="AA3015" s="8">
        <v>0.06</v>
      </c>
      <c r="AB3015" s="8">
        <v>4.0000000000000001E-3</v>
      </c>
      <c r="AC3015" s="8">
        <v>0</v>
      </c>
    </row>
    <row r="3016" spans="1:29" ht="11.65" x14ac:dyDescent="0.35">
      <c r="A3016" s="12">
        <v>2999</v>
      </c>
      <c r="B3016" s="10" t="s">
        <v>1015</v>
      </c>
      <c r="C3016" s="11" t="s">
        <v>1223</v>
      </c>
      <c r="D3016" s="9">
        <v>14</v>
      </c>
      <c r="E3016" s="9">
        <v>316</v>
      </c>
      <c r="F3016" s="10" t="s">
        <v>1066</v>
      </c>
      <c r="G3016" s="9">
        <v>954</v>
      </c>
      <c r="H3016" s="9">
        <v>2015</v>
      </c>
      <c r="I3016" s="8">
        <v>7.0220000000000002</v>
      </c>
      <c r="J3016" s="8">
        <v>6.9580000000000002</v>
      </c>
      <c r="K3016" s="8">
        <v>7.2590000000000003</v>
      </c>
      <c r="L3016" s="8">
        <v>7.3739999999999997</v>
      </c>
      <c r="M3016" s="8">
        <v>6.8929999999999998</v>
      </c>
      <c r="N3016" s="8">
        <v>6.0019999999999998</v>
      </c>
      <c r="O3016" s="8">
        <v>5.1879999999999997</v>
      </c>
      <c r="P3016" s="8">
        <v>5.0110000000000001</v>
      </c>
      <c r="Q3016" s="8">
        <v>5.319</v>
      </c>
      <c r="R3016" s="8">
        <v>5.4509999999999996</v>
      </c>
      <c r="S3016" s="8">
        <v>5.3230000000000004</v>
      </c>
      <c r="T3016" s="8">
        <v>4.2039999999999997</v>
      </c>
      <c r="U3016" s="8">
        <v>3.4319999999999999</v>
      </c>
      <c r="V3016" s="8">
        <v>2.68</v>
      </c>
      <c r="W3016" s="8">
        <v>1.603</v>
      </c>
      <c r="X3016" s="8">
        <v>1.175</v>
      </c>
      <c r="Y3016" s="8">
        <v>0.67500000000000004</v>
      </c>
      <c r="Z3016" s="8">
        <v>0.27300000000000002</v>
      </c>
      <c r="AA3016" s="8">
        <v>6.6000000000000003E-2</v>
      </c>
      <c r="AB3016" s="8">
        <v>8.9999999999999993E-3</v>
      </c>
      <c r="AC3016" s="8">
        <v>0</v>
      </c>
    </row>
    <row r="3017" spans="1:29" ht="11.65" x14ac:dyDescent="0.35">
      <c r="A3017" s="12">
        <v>3000</v>
      </c>
      <c r="B3017" s="10" t="s">
        <v>1015</v>
      </c>
      <c r="C3017" s="11" t="s">
        <v>1223</v>
      </c>
      <c r="D3017" s="9">
        <v>14</v>
      </c>
      <c r="E3017" s="9">
        <v>316</v>
      </c>
      <c r="F3017" s="10" t="s">
        <v>1066</v>
      </c>
      <c r="G3017" s="9">
        <v>954</v>
      </c>
      <c r="H3017" s="9">
        <v>2020</v>
      </c>
      <c r="I3017" s="8">
        <v>6.9539999999999997</v>
      </c>
      <c r="J3017" s="8">
        <v>6.8979999999999997</v>
      </c>
      <c r="K3017" s="8">
        <v>6.8330000000000002</v>
      </c>
      <c r="L3017" s="8">
        <v>7.1260000000000003</v>
      </c>
      <c r="M3017" s="8">
        <v>7.2380000000000004</v>
      </c>
      <c r="N3017" s="8">
        <v>6.77</v>
      </c>
      <c r="O3017" s="8">
        <v>5.8949999999999996</v>
      </c>
      <c r="P3017" s="8">
        <v>5.0830000000000002</v>
      </c>
      <c r="Q3017" s="8">
        <v>4.8899999999999997</v>
      </c>
      <c r="R3017" s="8">
        <v>5.1760000000000002</v>
      </c>
      <c r="S3017" s="8">
        <v>5.2709999999999999</v>
      </c>
      <c r="T3017" s="8">
        <v>5.1050000000000004</v>
      </c>
      <c r="U3017" s="8">
        <v>3.9430000000000001</v>
      </c>
      <c r="V3017" s="8">
        <v>3.1240000000000001</v>
      </c>
      <c r="W3017" s="8">
        <v>2.319</v>
      </c>
      <c r="X3017" s="8">
        <v>1.262</v>
      </c>
      <c r="Y3017" s="8">
        <v>0.80200000000000005</v>
      </c>
      <c r="Z3017" s="8">
        <v>0.34599999999999997</v>
      </c>
      <c r="AA3017" s="8">
        <v>9.1999999999999998E-2</v>
      </c>
      <c r="AB3017" s="8">
        <v>1.2E-2</v>
      </c>
      <c r="AC3017" s="8">
        <v>1E-3</v>
      </c>
    </row>
    <row r="3018" spans="1:29" ht="11.65" x14ac:dyDescent="0.35">
      <c r="A3018" s="12">
        <v>3001</v>
      </c>
      <c r="B3018" s="10" t="s">
        <v>1015</v>
      </c>
      <c r="C3018" s="11" t="s">
        <v>1224</v>
      </c>
      <c r="D3018" s="9"/>
      <c r="E3018" s="9">
        <v>296</v>
      </c>
      <c r="F3018" s="10" t="s">
        <v>1066</v>
      </c>
      <c r="G3018" s="9">
        <v>954</v>
      </c>
      <c r="H3018" s="9">
        <v>1950</v>
      </c>
      <c r="I3018" s="8">
        <v>2.7829999999999999</v>
      </c>
      <c r="J3018" s="8">
        <v>2.0230000000000001</v>
      </c>
      <c r="K3018" s="8">
        <v>1.978</v>
      </c>
      <c r="L3018" s="8">
        <v>1.843</v>
      </c>
      <c r="M3018" s="8">
        <v>1.6890000000000001</v>
      </c>
      <c r="N3018" s="8">
        <v>1.597</v>
      </c>
      <c r="O3018" s="8">
        <v>0.93700000000000006</v>
      </c>
      <c r="P3018" s="8">
        <v>0.66</v>
      </c>
      <c r="Q3018" s="8">
        <v>0.56299999999999994</v>
      </c>
      <c r="R3018" s="8">
        <v>0.48</v>
      </c>
      <c r="S3018" s="8">
        <v>0.44500000000000001</v>
      </c>
      <c r="T3018" s="8">
        <v>0.42499999999999999</v>
      </c>
      <c r="U3018" s="8">
        <v>0.34100000000000003</v>
      </c>
      <c r="V3018" s="8">
        <v>0.221</v>
      </c>
      <c r="W3018" s="8">
        <v>0.14199999999999999</v>
      </c>
      <c r="X3018" s="8">
        <v>8.5000000000000006E-2</v>
      </c>
      <c r="Y3018" s="8">
        <v>3.5999999999999997E-2</v>
      </c>
      <c r="Z3018" s="8">
        <v>1.6E-2</v>
      </c>
      <c r="AA3018" s="8">
        <v>3.0000000000000001E-3</v>
      </c>
      <c r="AB3018" s="8">
        <v>0</v>
      </c>
      <c r="AC3018" s="8">
        <v>0</v>
      </c>
    </row>
    <row r="3019" spans="1:29" ht="11.65" x14ac:dyDescent="0.35">
      <c r="A3019" s="12">
        <v>3002</v>
      </c>
      <c r="B3019" s="10" t="s">
        <v>1015</v>
      </c>
      <c r="C3019" s="11" t="s">
        <v>1224</v>
      </c>
      <c r="D3019" s="9"/>
      <c r="E3019" s="9">
        <v>296</v>
      </c>
      <c r="F3019" s="10" t="s">
        <v>1066</v>
      </c>
      <c r="G3019" s="9">
        <v>954</v>
      </c>
      <c r="H3019" s="9">
        <v>1955</v>
      </c>
      <c r="I3019" s="8">
        <v>3.2770000000000001</v>
      </c>
      <c r="J3019" s="8">
        <v>2.56</v>
      </c>
      <c r="K3019" s="8">
        <v>1.968</v>
      </c>
      <c r="L3019" s="8">
        <v>1.9059999999999999</v>
      </c>
      <c r="M3019" s="8">
        <v>1.59</v>
      </c>
      <c r="N3019" s="8">
        <v>1.5029999999999999</v>
      </c>
      <c r="O3019" s="8">
        <v>1.46</v>
      </c>
      <c r="P3019" s="8">
        <v>0.85399999999999998</v>
      </c>
      <c r="Q3019" s="8">
        <v>0.59099999999999997</v>
      </c>
      <c r="R3019" s="8">
        <v>0.59299999999999997</v>
      </c>
      <c r="S3019" s="8">
        <v>0.44500000000000001</v>
      </c>
      <c r="T3019" s="8">
        <v>0.377</v>
      </c>
      <c r="U3019" s="8">
        <v>0.35699999999999998</v>
      </c>
      <c r="V3019" s="8">
        <v>0.26600000000000001</v>
      </c>
      <c r="W3019" s="8">
        <v>0.155</v>
      </c>
      <c r="X3019" s="8">
        <v>8.5999999999999993E-2</v>
      </c>
      <c r="Y3019" s="8">
        <v>0.04</v>
      </c>
      <c r="Z3019" s="8">
        <v>6.0000000000000001E-3</v>
      </c>
      <c r="AA3019" s="8">
        <v>0</v>
      </c>
      <c r="AB3019" s="8">
        <v>0</v>
      </c>
      <c r="AC3019" s="8">
        <v>0</v>
      </c>
    </row>
    <row r="3020" spans="1:29" ht="11.65" x14ac:dyDescent="0.35">
      <c r="A3020" s="12">
        <v>3003</v>
      </c>
      <c r="B3020" s="10" t="s">
        <v>1015</v>
      </c>
      <c r="C3020" s="11" t="s">
        <v>1224</v>
      </c>
      <c r="D3020" s="9"/>
      <c r="E3020" s="9">
        <v>296</v>
      </c>
      <c r="F3020" s="10" t="s">
        <v>1066</v>
      </c>
      <c r="G3020" s="9">
        <v>954</v>
      </c>
      <c r="H3020" s="9">
        <v>1960</v>
      </c>
      <c r="I3020" s="8">
        <v>3.8780000000000001</v>
      </c>
      <c r="J3020" s="8">
        <v>3.028</v>
      </c>
      <c r="K3020" s="8">
        <v>2.4889999999999999</v>
      </c>
      <c r="L3020" s="8">
        <v>1.8919999999999999</v>
      </c>
      <c r="M3020" s="8">
        <v>1.6419999999999999</v>
      </c>
      <c r="N3020" s="8">
        <v>1.401</v>
      </c>
      <c r="O3020" s="8">
        <v>1.369</v>
      </c>
      <c r="P3020" s="8">
        <v>1.3520000000000001</v>
      </c>
      <c r="Q3020" s="8">
        <v>0.77100000000000002</v>
      </c>
      <c r="R3020" s="8">
        <v>0.61699999999999999</v>
      </c>
      <c r="S3020" s="8">
        <v>0.55100000000000005</v>
      </c>
      <c r="T3020" s="8">
        <v>0.38700000000000001</v>
      </c>
      <c r="U3020" s="8">
        <v>0.317</v>
      </c>
      <c r="V3020" s="8">
        <v>0.29599999999999999</v>
      </c>
      <c r="W3020" s="8">
        <v>0.19800000000000001</v>
      </c>
      <c r="X3020" s="8">
        <v>9.9000000000000005E-2</v>
      </c>
      <c r="Y3020" s="8">
        <v>4.2000000000000003E-2</v>
      </c>
      <c r="Z3020" s="8">
        <v>6.0000000000000001E-3</v>
      </c>
      <c r="AA3020" s="8">
        <v>0</v>
      </c>
      <c r="AB3020" s="8">
        <v>0</v>
      </c>
      <c r="AC3020" s="8">
        <v>0</v>
      </c>
    </row>
    <row r="3021" spans="1:29" ht="11.65" x14ac:dyDescent="0.35">
      <c r="A3021" s="12">
        <v>3004</v>
      </c>
      <c r="B3021" s="10" t="s">
        <v>1015</v>
      </c>
      <c r="C3021" s="11" t="s">
        <v>1224</v>
      </c>
      <c r="D3021" s="9"/>
      <c r="E3021" s="9">
        <v>296</v>
      </c>
      <c r="F3021" s="10" t="s">
        <v>1066</v>
      </c>
      <c r="G3021" s="9">
        <v>954</v>
      </c>
      <c r="H3021" s="9">
        <v>1965</v>
      </c>
      <c r="I3021" s="8">
        <v>4.2430000000000003</v>
      </c>
      <c r="J3021" s="8">
        <v>3.6230000000000002</v>
      </c>
      <c r="K3021" s="8">
        <v>2.956</v>
      </c>
      <c r="L3021" s="8">
        <v>2.4020000000000001</v>
      </c>
      <c r="M3021" s="8">
        <v>1.5880000000000001</v>
      </c>
      <c r="N3021" s="8">
        <v>1.448</v>
      </c>
      <c r="O3021" s="8">
        <v>1.2809999999999999</v>
      </c>
      <c r="P3021" s="8">
        <v>1.2669999999999999</v>
      </c>
      <c r="Q3021" s="8">
        <v>1.25</v>
      </c>
      <c r="R3021" s="8">
        <v>0.79200000000000004</v>
      </c>
      <c r="S3021" s="8">
        <v>0.57799999999999996</v>
      </c>
      <c r="T3021" s="8">
        <v>0.48299999999999998</v>
      </c>
      <c r="U3021" s="8">
        <v>0.33700000000000002</v>
      </c>
      <c r="V3021" s="8">
        <v>0.27100000000000002</v>
      </c>
      <c r="W3021" s="8">
        <v>0.22800000000000001</v>
      </c>
      <c r="X3021" s="8">
        <v>0.13100000000000001</v>
      </c>
      <c r="Y3021" s="8">
        <v>5.2999999999999999E-2</v>
      </c>
      <c r="Z3021" s="8">
        <v>7.0000000000000001E-3</v>
      </c>
      <c r="AA3021" s="8">
        <v>0</v>
      </c>
      <c r="AB3021" s="8">
        <v>0</v>
      </c>
      <c r="AC3021" s="8">
        <v>0</v>
      </c>
    </row>
    <row r="3022" spans="1:29" ht="11.65" x14ac:dyDescent="0.35">
      <c r="A3022" s="12">
        <v>3005</v>
      </c>
      <c r="B3022" s="10" t="s">
        <v>1015</v>
      </c>
      <c r="C3022" s="11" t="s">
        <v>1224</v>
      </c>
      <c r="D3022" s="9"/>
      <c r="E3022" s="9">
        <v>296</v>
      </c>
      <c r="F3022" s="10" t="s">
        <v>1066</v>
      </c>
      <c r="G3022" s="9">
        <v>954</v>
      </c>
      <c r="H3022" s="9">
        <v>1970</v>
      </c>
      <c r="I3022" s="8">
        <v>4.0579999999999998</v>
      </c>
      <c r="J3022" s="8">
        <v>3.992</v>
      </c>
      <c r="K3022" s="8">
        <v>3.5259999999999998</v>
      </c>
      <c r="L3022" s="8">
        <v>2.8639999999999999</v>
      </c>
      <c r="M3022" s="8">
        <v>2.1030000000000002</v>
      </c>
      <c r="N3022" s="8">
        <v>1.3959999999999999</v>
      </c>
      <c r="O3022" s="8">
        <v>1.34</v>
      </c>
      <c r="P3022" s="8">
        <v>1.1859999999999999</v>
      </c>
      <c r="Q3022" s="8">
        <v>1.173</v>
      </c>
      <c r="R3022" s="8">
        <v>1.2430000000000001</v>
      </c>
      <c r="S3022" s="8">
        <v>0.74099999999999999</v>
      </c>
      <c r="T3022" s="8">
        <v>0.51300000000000001</v>
      </c>
      <c r="U3022" s="8">
        <v>0.41599999999999998</v>
      </c>
      <c r="V3022" s="8">
        <v>0.28999999999999998</v>
      </c>
      <c r="W3022" s="8">
        <v>0.214</v>
      </c>
      <c r="X3022" s="8">
        <v>0.14799999999999999</v>
      </c>
      <c r="Y3022" s="8">
        <v>6.6000000000000003E-2</v>
      </c>
      <c r="Z3022" s="8">
        <v>8.9999999999999993E-3</v>
      </c>
      <c r="AA3022" s="8">
        <v>0</v>
      </c>
      <c r="AB3022" s="8">
        <v>0</v>
      </c>
      <c r="AC3022" s="8">
        <v>0</v>
      </c>
    </row>
    <row r="3023" spans="1:29" ht="11.65" x14ac:dyDescent="0.35">
      <c r="A3023" s="12">
        <v>3006</v>
      </c>
      <c r="B3023" s="10" t="s">
        <v>1015</v>
      </c>
      <c r="C3023" s="11" t="s">
        <v>1224</v>
      </c>
      <c r="D3023" s="9"/>
      <c r="E3023" s="9">
        <v>296</v>
      </c>
      <c r="F3023" s="10" t="s">
        <v>1066</v>
      </c>
      <c r="G3023" s="9">
        <v>954</v>
      </c>
      <c r="H3023" s="9">
        <v>1975</v>
      </c>
      <c r="I3023" s="8">
        <v>3.8029999999999999</v>
      </c>
      <c r="J3023" s="8">
        <v>3.835</v>
      </c>
      <c r="K3023" s="8">
        <v>3.8769999999999998</v>
      </c>
      <c r="L3023" s="8">
        <v>3.3340000000000001</v>
      </c>
      <c r="M3023" s="8">
        <v>2.5720000000000001</v>
      </c>
      <c r="N3023" s="8">
        <v>1.899</v>
      </c>
      <c r="O3023" s="8">
        <v>1.282</v>
      </c>
      <c r="P3023" s="8">
        <v>1.244</v>
      </c>
      <c r="Q3023" s="8">
        <v>1.099</v>
      </c>
      <c r="R3023" s="8">
        <v>1.1759999999999999</v>
      </c>
      <c r="S3023" s="8">
        <v>1.171</v>
      </c>
      <c r="T3023" s="8">
        <v>0.66600000000000004</v>
      </c>
      <c r="U3023" s="8">
        <v>0.44600000000000001</v>
      </c>
      <c r="V3023" s="8">
        <v>0.36399999999999999</v>
      </c>
      <c r="W3023" s="8">
        <v>0.22700000000000001</v>
      </c>
      <c r="X3023" s="8">
        <v>0.14899999999999999</v>
      </c>
      <c r="Y3023" s="8">
        <v>7.9000000000000001E-2</v>
      </c>
      <c r="Z3023" s="8">
        <v>1.0999999999999999E-2</v>
      </c>
      <c r="AA3023" s="8">
        <v>0</v>
      </c>
      <c r="AB3023" s="8">
        <v>0</v>
      </c>
      <c r="AC3023" s="8">
        <v>0</v>
      </c>
    </row>
    <row r="3024" spans="1:29" ht="11.65" x14ac:dyDescent="0.35">
      <c r="A3024" s="12">
        <v>3007</v>
      </c>
      <c r="B3024" s="10" t="s">
        <v>1015</v>
      </c>
      <c r="C3024" s="11" t="s">
        <v>1224</v>
      </c>
      <c r="D3024" s="9"/>
      <c r="E3024" s="9">
        <v>296</v>
      </c>
      <c r="F3024" s="10" t="s">
        <v>1066</v>
      </c>
      <c r="G3024" s="9">
        <v>954</v>
      </c>
      <c r="H3024" s="9">
        <v>1980</v>
      </c>
      <c r="I3024" s="8">
        <v>4.5010000000000003</v>
      </c>
      <c r="J3024" s="8">
        <v>3.5960000000000001</v>
      </c>
      <c r="K3024" s="8">
        <v>3.7480000000000002</v>
      </c>
      <c r="L3024" s="8">
        <v>3.5720000000000001</v>
      </c>
      <c r="M3024" s="8">
        <v>2.93</v>
      </c>
      <c r="N3024" s="8">
        <v>2.1539999999999999</v>
      </c>
      <c r="O3024" s="8">
        <v>1.698</v>
      </c>
      <c r="P3024" s="8">
        <v>1.1839999999999999</v>
      </c>
      <c r="Q3024" s="8">
        <v>1.1559999999999999</v>
      </c>
      <c r="R3024" s="8">
        <v>1.1100000000000001</v>
      </c>
      <c r="S3024" s="8">
        <v>1.1100000000000001</v>
      </c>
      <c r="T3024" s="8">
        <v>1.079</v>
      </c>
      <c r="U3024" s="8">
        <v>0.56000000000000005</v>
      </c>
      <c r="V3024" s="8">
        <v>0.34300000000000003</v>
      </c>
      <c r="W3024" s="8">
        <v>0.25600000000000001</v>
      </c>
      <c r="X3024" s="8">
        <v>0.13700000000000001</v>
      </c>
      <c r="Y3024" s="8">
        <v>7.3999999999999996E-2</v>
      </c>
      <c r="Z3024" s="8">
        <v>1.7999999999999999E-2</v>
      </c>
      <c r="AA3024" s="8">
        <v>1E-3</v>
      </c>
      <c r="AB3024" s="8">
        <v>0</v>
      </c>
      <c r="AC3024" s="8">
        <v>0</v>
      </c>
    </row>
    <row r="3025" spans="1:29" ht="11.65" x14ac:dyDescent="0.35">
      <c r="A3025" s="12">
        <v>3008</v>
      </c>
      <c r="B3025" s="10" t="s">
        <v>1015</v>
      </c>
      <c r="C3025" s="11" t="s">
        <v>1224</v>
      </c>
      <c r="D3025" s="9"/>
      <c r="E3025" s="9">
        <v>296</v>
      </c>
      <c r="F3025" s="10" t="s">
        <v>1066</v>
      </c>
      <c r="G3025" s="9">
        <v>954</v>
      </c>
      <c r="H3025" s="9">
        <v>1985</v>
      </c>
      <c r="I3025" s="8">
        <v>5.1189999999999998</v>
      </c>
      <c r="J3025" s="8">
        <v>4.21</v>
      </c>
      <c r="K3025" s="8">
        <v>3.4580000000000002</v>
      </c>
      <c r="L3025" s="8">
        <v>3.802</v>
      </c>
      <c r="M3025" s="8">
        <v>3.0880000000000001</v>
      </c>
      <c r="N3025" s="8">
        <v>2.468</v>
      </c>
      <c r="O3025" s="8">
        <v>2.0150000000000001</v>
      </c>
      <c r="P3025" s="8">
        <v>1.7749999999999999</v>
      </c>
      <c r="Q3025" s="8">
        <v>1.3029999999999999</v>
      </c>
      <c r="R3025" s="8">
        <v>1.1519999999999999</v>
      </c>
      <c r="S3025" s="8">
        <v>0.96599999999999997</v>
      </c>
      <c r="T3025" s="8">
        <v>0.751</v>
      </c>
      <c r="U3025" s="8">
        <v>0.60099999999999998</v>
      </c>
      <c r="V3025" s="8">
        <v>0.439</v>
      </c>
      <c r="W3025" s="8">
        <v>0.29199999999999998</v>
      </c>
      <c r="X3025" s="8">
        <v>0.152</v>
      </c>
      <c r="Y3025" s="8">
        <v>0.06</v>
      </c>
      <c r="Z3025" s="8">
        <v>2.5000000000000001E-2</v>
      </c>
      <c r="AA3025" s="8">
        <v>4.0000000000000001E-3</v>
      </c>
      <c r="AB3025" s="8">
        <v>0</v>
      </c>
      <c r="AC3025" s="8">
        <v>0</v>
      </c>
    </row>
    <row r="3026" spans="1:29" ht="11.65" x14ac:dyDescent="0.35">
      <c r="A3026" s="12">
        <v>3009</v>
      </c>
      <c r="B3026" s="10" t="s">
        <v>1015</v>
      </c>
      <c r="C3026" s="11" t="s">
        <v>1224</v>
      </c>
      <c r="D3026" s="9"/>
      <c r="E3026" s="9">
        <v>296</v>
      </c>
      <c r="F3026" s="10" t="s">
        <v>1066</v>
      </c>
      <c r="G3026" s="9">
        <v>954</v>
      </c>
      <c r="H3026" s="9">
        <v>1990</v>
      </c>
      <c r="I3026" s="8">
        <v>5.9610000000000003</v>
      </c>
      <c r="J3026" s="8">
        <v>4.8620000000000001</v>
      </c>
      <c r="K3026" s="8">
        <v>4.08</v>
      </c>
      <c r="L3026" s="8">
        <v>3.2690000000000001</v>
      </c>
      <c r="M3026" s="8">
        <v>3.6429999999999998</v>
      </c>
      <c r="N3026" s="8">
        <v>2.9489999999999998</v>
      </c>
      <c r="O3026" s="8">
        <v>2.4830000000000001</v>
      </c>
      <c r="P3026" s="8">
        <v>1.94</v>
      </c>
      <c r="Q3026" s="8">
        <v>1.62</v>
      </c>
      <c r="R3026" s="8">
        <v>1.3320000000000001</v>
      </c>
      <c r="S3026" s="8">
        <v>1.099</v>
      </c>
      <c r="T3026" s="8">
        <v>0.84</v>
      </c>
      <c r="U3026" s="8">
        <v>0.70299999999999996</v>
      </c>
      <c r="V3026" s="8">
        <v>0.46700000000000003</v>
      </c>
      <c r="W3026" s="8">
        <v>0.308</v>
      </c>
      <c r="X3026" s="8">
        <v>0.16200000000000001</v>
      </c>
      <c r="Y3026" s="8">
        <v>7.0999999999999994E-2</v>
      </c>
      <c r="Z3026" s="8">
        <v>1.9E-2</v>
      </c>
      <c r="AA3026" s="8">
        <v>4.0000000000000001E-3</v>
      </c>
      <c r="AB3026" s="8">
        <v>0</v>
      </c>
      <c r="AC3026" s="8">
        <v>0</v>
      </c>
    </row>
    <row r="3027" spans="1:29" ht="11.65" x14ac:dyDescent="0.35">
      <c r="A3027" s="12">
        <v>3010</v>
      </c>
      <c r="B3027" s="10" t="s">
        <v>1015</v>
      </c>
      <c r="C3027" s="11" t="s">
        <v>1224</v>
      </c>
      <c r="D3027" s="9"/>
      <c r="E3027" s="9">
        <v>296</v>
      </c>
      <c r="F3027" s="10" t="s">
        <v>1066</v>
      </c>
      <c r="G3027" s="9">
        <v>954</v>
      </c>
      <c r="H3027" s="9">
        <v>1995</v>
      </c>
      <c r="I3027" s="8">
        <v>6.0890000000000004</v>
      </c>
      <c r="J3027" s="8">
        <v>5.6449999999999996</v>
      </c>
      <c r="K3027" s="8">
        <v>4.7009999999999996</v>
      </c>
      <c r="L3027" s="8">
        <v>3.786</v>
      </c>
      <c r="M3027" s="8">
        <v>2.8450000000000002</v>
      </c>
      <c r="N3027" s="8">
        <v>3.2280000000000002</v>
      </c>
      <c r="O3027" s="8">
        <v>2.835</v>
      </c>
      <c r="P3027" s="8">
        <v>2.323</v>
      </c>
      <c r="Q3027" s="8">
        <v>1.7549999999999999</v>
      </c>
      <c r="R3027" s="8">
        <v>1.5129999999999999</v>
      </c>
      <c r="S3027" s="8">
        <v>1.117</v>
      </c>
      <c r="T3027" s="8">
        <v>0.86099999999999999</v>
      </c>
      <c r="U3027" s="8">
        <v>0.68700000000000006</v>
      </c>
      <c r="V3027" s="8">
        <v>0.51500000000000001</v>
      </c>
      <c r="W3027" s="8">
        <v>0.34</v>
      </c>
      <c r="X3027" s="8">
        <v>0.17899999999999999</v>
      </c>
      <c r="Y3027" s="8">
        <v>7.6999999999999999E-2</v>
      </c>
      <c r="Z3027" s="8">
        <v>2.1000000000000001E-2</v>
      </c>
      <c r="AA3027" s="8">
        <v>3.0000000000000001E-3</v>
      </c>
      <c r="AB3027" s="8">
        <v>0</v>
      </c>
      <c r="AC3027" s="8">
        <v>0</v>
      </c>
    </row>
    <row r="3028" spans="1:29" ht="11.65" x14ac:dyDescent="0.35">
      <c r="A3028" s="12">
        <v>3011</v>
      </c>
      <c r="B3028" s="10" t="s">
        <v>1015</v>
      </c>
      <c r="C3028" s="11" t="s">
        <v>1224</v>
      </c>
      <c r="D3028" s="9"/>
      <c r="E3028" s="9">
        <v>296</v>
      </c>
      <c r="F3028" s="10" t="s">
        <v>1066</v>
      </c>
      <c r="G3028" s="9">
        <v>954</v>
      </c>
      <c r="H3028" s="9">
        <v>2000</v>
      </c>
      <c r="I3028" s="8">
        <v>6.077</v>
      </c>
      <c r="J3028" s="8">
        <v>5.8730000000000002</v>
      </c>
      <c r="K3028" s="8">
        <v>5.4219999999999997</v>
      </c>
      <c r="L3028" s="8">
        <v>4.4349999999999996</v>
      </c>
      <c r="M3028" s="8">
        <v>3.3780000000000001</v>
      </c>
      <c r="N3028" s="8">
        <v>2.6059999999999999</v>
      </c>
      <c r="O3028" s="8">
        <v>3.13</v>
      </c>
      <c r="P3028" s="8">
        <v>2.7040000000000002</v>
      </c>
      <c r="Q3028" s="8">
        <v>2.153</v>
      </c>
      <c r="R3028" s="8">
        <v>1.669</v>
      </c>
      <c r="S3028" s="8">
        <v>1.363</v>
      </c>
      <c r="T3028" s="8">
        <v>0.95599999999999996</v>
      </c>
      <c r="U3028" s="8">
        <v>0.72699999999999998</v>
      </c>
      <c r="V3028" s="8">
        <v>0.497</v>
      </c>
      <c r="W3028" s="8">
        <v>0.33200000000000002</v>
      </c>
      <c r="X3028" s="8">
        <v>0.17299999999999999</v>
      </c>
      <c r="Y3028" s="8">
        <v>7.1999999999999995E-2</v>
      </c>
      <c r="Z3028" s="8">
        <v>2.1999999999999999E-2</v>
      </c>
      <c r="AA3028" s="8">
        <v>3.0000000000000001E-3</v>
      </c>
      <c r="AB3028" s="8">
        <v>0</v>
      </c>
      <c r="AC3028" s="8">
        <v>0</v>
      </c>
    </row>
    <row r="3029" spans="1:29" ht="11.65" x14ac:dyDescent="0.35">
      <c r="A3029" s="12">
        <v>3012</v>
      </c>
      <c r="B3029" s="10" t="s">
        <v>1015</v>
      </c>
      <c r="C3029" s="11" t="s">
        <v>1224</v>
      </c>
      <c r="D3029" s="9"/>
      <c r="E3029" s="9">
        <v>296</v>
      </c>
      <c r="F3029" s="10" t="s">
        <v>1066</v>
      </c>
      <c r="G3029" s="9">
        <v>954</v>
      </c>
      <c r="H3029" s="9">
        <v>2005</v>
      </c>
      <c r="I3029" s="8">
        <v>5.56</v>
      </c>
      <c r="J3029" s="8">
        <v>6.3319999999999999</v>
      </c>
      <c r="K3029" s="8">
        <v>5.58</v>
      </c>
      <c r="L3029" s="8">
        <v>5.508</v>
      </c>
      <c r="M3029" s="8">
        <v>4.2290000000000001</v>
      </c>
      <c r="N3029" s="8">
        <v>3.254</v>
      </c>
      <c r="O3029" s="8">
        <v>2.625</v>
      </c>
      <c r="P3029" s="8">
        <v>3.0960000000000001</v>
      </c>
      <c r="Q3029" s="8">
        <v>2.5720000000000001</v>
      </c>
      <c r="R3029" s="8">
        <v>2.0449999999999999</v>
      </c>
      <c r="S3029" s="8">
        <v>1.4850000000000001</v>
      </c>
      <c r="T3029" s="8">
        <v>1.1399999999999999</v>
      </c>
      <c r="U3029" s="8">
        <v>0.79500000000000004</v>
      </c>
      <c r="V3029" s="8">
        <v>0.54</v>
      </c>
      <c r="W3029" s="8">
        <v>0.42699999999999999</v>
      </c>
      <c r="X3029" s="8">
        <v>0.19</v>
      </c>
      <c r="Y3029" s="8">
        <v>0.08</v>
      </c>
      <c r="Z3029" s="8">
        <v>2.1000000000000001E-2</v>
      </c>
      <c r="AA3029" s="8">
        <v>4.0000000000000001E-3</v>
      </c>
      <c r="AB3029" s="8">
        <v>0</v>
      </c>
      <c r="AC3029" s="8">
        <v>0</v>
      </c>
    </row>
    <row r="3030" spans="1:29" ht="11.65" x14ac:dyDescent="0.35">
      <c r="A3030" s="12">
        <v>3013</v>
      </c>
      <c r="B3030" s="10" t="s">
        <v>1015</v>
      </c>
      <c r="C3030" s="11" t="s">
        <v>1224</v>
      </c>
      <c r="D3030" s="9"/>
      <c r="E3030" s="9">
        <v>296</v>
      </c>
      <c r="F3030" s="10" t="s">
        <v>1066</v>
      </c>
      <c r="G3030" s="9">
        <v>954</v>
      </c>
      <c r="H3030" s="9">
        <v>2010</v>
      </c>
      <c r="I3030" s="8">
        <v>7.1040000000000001</v>
      </c>
      <c r="J3030" s="8">
        <v>5.6829999999999998</v>
      </c>
      <c r="K3030" s="8">
        <v>6.25</v>
      </c>
      <c r="L3030" s="8">
        <v>5.569</v>
      </c>
      <c r="M3030" s="8">
        <v>5.2450000000000001</v>
      </c>
      <c r="N3030" s="8">
        <v>4.04</v>
      </c>
      <c r="O3030" s="8">
        <v>3.1930000000000001</v>
      </c>
      <c r="P3030" s="8">
        <v>2.657</v>
      </c>
      <c r="Q3030" s="8">
        <v>2.9359999999999999</v>
      </c>
      <c r="R3030" s="8">
        <v>2.512</v>
      </c>
      <c r="S3030" s="8">
        <v>1.788</v>
      </c>
      <c r="T3030" s="8">
        <v>1.34</v>
      </c>
      <c r="U3030" s="8">
        <v>0.91300000000000003</v>
      </c>
      <c r="V3030" s="8">
        <v>0.63700000000000001</v>
      </c>
      <c r="W3030" s="8">
        <v>0.43099999999999999</v>
      </c>
      <c r="X3030" s="8">
        <v>0.22500000000000001</v>
      </c>
      <c r="Y3030" s="8">
        <v>9.7000000000000003E-2</v>
      </c>
      <c r="Z3030" s="8">
        <v>2.5999999999999999E-2</v>
      </c>
      <c r="AA3030" s="8">
        <v>4.0000000000000001E-3</v>
      </c>
      <c r="AB3030" s="8">
        <v>0</v>
      </c>
      <c r="AC3030" s="8">
        <v>0</v>
      </c>
    </row>
    <row r="3031" spans="1:29" ht="11.65" x14ac:dyDescent="0.35">
      <c r="A3031" s="12">
        <v>3014</v>
      </c>
      <c r="B3031" s="10" t="s">
        <v>1015</v>
      </c>
      <c r="C3031" s="11" t="s">
        <v>1224</v>
      </c>
      <c r="D3031" s="9"/>
      <c r="E3031" s="9">
        <v>296</v>
      </c>
      <c r="F3031" s="10" t="s">
        <v>1066</v>
      </c>
      <c r="G3031" s="9">
        <v>954</v>
      </c>
      <c r="H3031" s="9">
        <v>2015</v>
      </c>
      <c r="I3031" s="8">
        <v>7.6159999999999997</v>
      </c>
      <c r="J3031" s="8">
        <v>6.9080000000000004</v>
      </c>
      <c r="K3031" s="8">
        <v>5.4349999999999996</v>
      </c>
      <c r="L3031" s="8">
        <v>5.9080000000000004</v>
      </c>
      <c r="M3031" s="8">
        <v>5.2720000000000002</v>
      </c>
      <c r="N3031" s="8">
        <v>4.6989999999999998</v>
      </c>
      <c r="O3031" s="8">
        <v>3.8420000000000001</v>
      </c>
      <c r="P3031" s="8">
        <v>3.1659999999999999</v>
      </c>
      <c r="Q3031" s="8">
        <v>2.4950000000000001</v>
      </c>
      <c r="R3031" s="8">
        <v>2.6989999999999998</v>
      </c>
      <c r="S3031" s="8">
        <v>2.36</v>
      </c>
      <c r="T3031" s="8">
        <v>1.5549999999999999</v>
      </c>
      <c r="U3031" s="8">
        <v>1.054</v>
      </c>
      <c r="V3031" s="8">
        <v>0.73399999999999999</v>
      </c>
      <c r="W3031" s="8">
        <v>0.40500000000000003</v>
      </c>
      <c r="X3031" s="8">
        <v>0.20300000000000001</v>
      </c>
      <c r="Y3031" s="8">
        <v>0.1</v>
      </c>
      <c r="Z3031" s="8">
        <v>3.4000000000000002E-2</v>
      </c>
      <c r="AA3031" s="8">
        <v>6.0000000000000001E-3</v>
      </c>
      <c r="AB3031" s="8">
        <v>0</v>
      </c>
      <c r="AC3031" s="8">
        <v>0</v>
      </c>
    </row>
    <row r="3032" spans="1:29" ht="11.65" x14ac:dyDescent="0.35">
      <c r="A3032" s="12">
        <v>3015</v>
      </c>
      <c r="B3032" s="10" t="s">
        <v>1015</v>
      </c>
      <c r="C3032" s="11" t="s">
        <v>1224</v>
      </c>
      <c r="D3032" s="9"/>
      <c r="E3032" s="9">
        <v>296</v>
      </c>
      <c r="F3032" s="10" t="s">
        <v>1066</v>
      </c>
      <c r="G3032" s="9">
        <v>954</v>
      </c>
      <c r="H3032" s="9">
        <v>2020</v>
      </c>
      <c r="I3032" s="8">
        <v>7.7709999999999999</v>
      </c>
      <c r="J3032" s="8">
        <v>7.4790000000000001</v>
      </c>
      <c r="K3032" s="8">
        <v>6.83</v>
      </c>
      <c r="L3032" s="8">
        <v>5.19</v>
      </c>
      <c r="M3032" s="8">
        <v>5.4669999999999996</v>
      </c>
      <c r="N3032" s="8">
        <v>4.8440000000000003</v>
      </c>
      <c r="O3032" s="8">
        <v>4.3639999999999999</v>
      </c>
      <c r="P3032" s="8">
        <v>3.5910000000000002</v>
      </c>
      <c r="Q3032" s="8">
        <v>2.9729999999999999</v>
      </c>
      <c r="R3032" s="8">
        <v>2.3359999999999999</v>
      </c>
      <c r="S3032" s="8">
        <v>2.5230000000000001</v>
      </c>
      <c r="T3032" s="8">
        <v>2.1619999999999999</v>
      </c>
      <c r="U3032" s="8">
        <v>1.37</v>
      </c>
      <c r="V3032" s="8">
        <v>0.876</v>
      </c>
      <c r="W3032" s="8">
        <v>0.55500000000000005</v>
      </c>
      <c r="X3032" s="8">
        <v>0.26300000000000001</v>
      </c>
      <c r="Y3032" s="8">
        <v>0.10299999999999999</v>
      </c>
      <c r="Z3032" s="8">
        <v>3.7999999999999999E-2</v>
      </c>
      <c r="AA3032" s="8">
        <v>8.9999999999999993E-3</v>
      </c>
      <c r="AB3032" s="8">
        <v>0</v>
      </c>
      <c r="AC3032" s="8">
        <v>0</v>
      </c>
    </row>
    <row r="3033" spans="1:29" ht="11.65" x14ac:dyDescent="0.35">
      <c r="A3033" s="12">
        <v>3016</v>
      </c>
      <c r="B3033" s="10" t="s">
        <v>1015</v>
      </c>
      <c r="C3033" s="11" t="s">
        <v>1225</v>
      </c>
      <c r="D3033" s="9"/>
      <c r="E3033" s="9">
        <v>583</v>
      </c>
      <c r="F3033" s="10" t="s">
        <v>1066</v>
      </c>
      <c r="G3033" s="9">
        <v>954</v>
      </c>
      <c r="H3033" s="9">
        <v>1950</v>
      </c>
      <c r="I3033" s="8">
        <v>2.5539999999999998</v>
      </c>
      <c r="J3033" s="8">
        <v>2.2029999999999998</v>
      </c>
      <c r="K3033" s="8">
        <v>1.9139999999999999</v>
      </c>
      <c r="L3033" s="8">
        <v>1.663</v>
      </c>
      <c r="M3033" s="8">
        <v>1.4379999999999999</v>
      </c>
      <c r="N3033" s="8">
        <v>1.2410000000000001</v>
      </c>
      <c r="O3033" s="8">
        <v>1.071</v>
      </c>
      <c r="P3033" s="8">
        <v>0.92100000000000004</v>
      </c>
      <c r="Q3033" s="8">
        <v>0.79</v>
      </c>
      <c r="R3033" s="8">
        <v>0.66900000000000004</v>
      </c>
      <c r="S3033" s="8">
        <v>0.56000000000000005</v>
      </c>
      <c r="T3033" s="8">
        <v>0.45500000000000002</v>
      </c>
      <c r="U3033" s="8">
        <v>0.36</v>
      </c>
      <c r="V3033" s="8">
        <v>0.26900000000000002</v>
      </c>
      <c r="W3033" s="8">
        <v>0.183</v>
      </c>
      <c r="X3033" s="8">
        <v>0.108</v>
      </c>
      <c r="Y3033" s="8">
        <v>7.2999999999999995E-2</v>
      </c>
      <c r="Z3033" s="8">
        <v>6.0000000000000001E-3</v>
      </c>
      <c r="AA3033" s="8">
        <v>0</v>
      </c>
      <c r="AB3033" s="8">
        <v>0</v>
      </c>
      <c r="AC3033" s="8">
        <v>0</v>
      </c>
    </row>
    <row r="3034" spans="1:29" ht="11.65" x14ac:dyDescent="0.35">
      <c r="A3034" s="12">
        <v>3017</v>
      </c>
      <c r="B3034" s="10" t="s">
        <v>1015</v>
      </c>
      <c r="C3034" s="11" t="s">
        <v>1225</v>
      </c>
      <c r="D3034" s="9"/>
      <c r="E3034" s="9">
        <v>583</v>
      </c>
      <c r="F3034" s="10" t="s">
        <v>1066</v>
      </c>
      <c r="G3034" s="9">
        <v>954</v>
      </c>
      <c r="H3034" s="9">
        <v>1955</v>
      </c>
      <c r="I3034" s="8">
        <v>3.8370000000000002</v>
      </c>
      <c r="J3034" s="8">
        <v>2.468</v>
      </c>
      <c r="K3034" s="8">
        <v>2.177</v>
      </c>
      <c r="L3034" s="8">
        <v>1.8919999999999999</v>
      </c>
      <c r="M3034" s="8">
        <v>1.631</v>
      </c>
      <c r="N3034" s="8">
        <v>1.4039999999999999</v>
      </c>
      <c r="O3034" s="8">
        <v>1.2090000000000001</v>
      </c>
      <c r="P3034" s="8">
        <v>1.0389999999999999</v>
      </c>
      <c r="Q3034" s="8">
        <v>0.88600000000000001</v>
      </c>
      <c r="R3034" s="8">
        <v>0.75</v>
      </c>
      <c r="S3034" s="8">
        <v>0.625</v>
      </c>
      <c r="T3034" s="8">
        <v>0.50900000000000001</v>
      </c>
      <c r="U3034" s="8">
        <v>0.4</v>
      </c>
      <c r="V3034" s="8">
        <v>0.29499999999999998</v>
      </c>
      <c r="W3034" s="8">
        <v>0.19800000000000001</v>
      </c>
      <c r="X3034" s="8">
        <v>0.11600000000000001</v>
      </c>
      <c r="Y3034" s="8">
        <v>5.3999999999999999E-2</v>
      </c>
      <c r="Z3034" s="8">
        <v>6.0000000000000001E-3</v>
      </c>
      <c r="AA3034" s="8">
        <v>0</v>
      </c>
      <c r="AB3034" s="8">
        <v>0</v>
      </c>
      <c r="AC3034" s="8">
        <v>0</v>
      </c>
    </row>
    <row r="3035" spans="1:29" ht="11.65" x14ac:dyDescent="0.35">
      <c r="A3035" s="12">
        <v>3018</v>
      </c>
      <c r="B3035" s="10" t="s">
        <v>1015</v>
      </c>
      <c r="C3035" s="11" t="s">
        <v>1225</v>
      </c>
      <c r="D3035" s="9"/>
      <c r="E3035" s="9">
        <v>583</v>
      </c>
      <c r="F3035" s="10" t="s">
        <v>1066</v>
      </c>
      <c r="G3035" s="9">
        <v>954</v>
      </c>
      <c r="H3035" s="9">
        <v>1960</v>
      </c>
      <c r="I3035" s="8">
        <v>4.2880000000000003</v>
      </c>
      <c r="J3035" s="8">
        <v>3.7250000000000001</v>
      </c>
      <c r="K3035" s="8">
        <v>2.4420000000000002</v>
      </c>
      <c r="L3035" s="8">
        <v>2.1520000000000001</v>
      </c>
      <c r="M3035" s="8">
        <v>1.861</v>
      </c>
      <c r="N3035" s="8">
        <v>1.5960000000000001</v>
      </c>
      <c r="O3035" s="8">
        <v>1.3720000000000001</v>
      </c>
      <c r="P3035" s="8">
        <v>1.177</v>
      </c>
      <c r="Q3035" s="8">
        <v>1.004</v>
      </c>
      <c r="R3035" s="8">
        <v>0.84499999999999997</v>
      </c>
      <c r="S3035" s="8">
        <v>0.70399999999999996</v>
      </c>
      <c r="T3035" s="8">
        <v>0.57199999999999995</v>
      </c>
      <c r="U3035" s="8">
        <v>0.44700000000000001</v>
      </c>
      <c r="V3035" s="8">
        <v>0.33</v>
      </c>
      <c r="W3035" s="8">
        <v>0.22</v>
      </c>
      <c r="X3035" s="8">
        <v>0.126</v>
      </c>
      <c r="Y3035" s="8">
        <v>5.8999999999999997E-2</v>
      </c>
      <c r="Z3035" s="8">
        <v>6.0000000000000001E-3</v>
      </c>
      <c r="AA3035" s="8">
        <v>0</v>
      </c>
      <c r="AB3035" s="8">
        <v>0</v>
      </c>
      <c r="AC3035" s="8">
        <v>0</v>
      </c>
    </row>
    <row r="3036" spans="1:29" ht="11.65" x14ac:dyDescent="0.35">
      <c r="A3036" s="12">
        <v>3019</v>
      </c>
      <c r="B3036" s="10" t="s">
        <v>1015</v>
      </c>
      <c r="C3036" s="11" t="s">
        <v>1225</v>
      </c>
      <c r="D3036" s="9"/>
      <c r="E3036" s="9">
        <v>583</v>
      </c>
      <c r="F3036" s="10" t="s">
        <v>1066</v>
      </c>
      <c r="G3036" s="9">
        <v>954</v>
      </c>
      <c r="H3036" s="9">
        <v>1965</v>
      </c>
      <c r="I3036" s="8">
        <v>4.8719999999999999</v>
      </c>
      <c r="J3036" s="8">
        <v>4.1840000000000002</v>
      </c>
      <c r="K3036" s="8">
        <v>3.69</v>
      </c>
      <c r="L3036" s="8">
        <v>2.4180000000000001</v>
      </c>
      <c r="M3036" s="8">
        <v>2.1179999999999999</v>
      </c>
      <c r="N3036" s="8">
        <v>1.8260000000000001</v>
      </c>
      <c r="O3036" s="8">
        <v>1.5660000000000001</v>
      </c>
      <c r="P3036" s="8">
        <v>1.339</v>
      </c>
      <c r="Q3036" s="8">
        <v>1.141</v>
      </c>
      <c r="R3036" s="8">
        <v>0.96399999999999997</v>
      </c>
      <c r="S3036" s="8">
        <v>0.80100000000000005</v>
      </c>
      <c r="T3036" s="8">
        <v>0.65</v>
      </c>
      <c r="U3036" s="8">
        <v>0.50600000000000001</v>
      </c>
      <c r="V3036" s="8">
        <v>0.372</v>
      </c>
      <c r="W3036" s="8">
        <v>0.249</v>
      </c>
      <c r="X3036" s="8">
        <v>0.14299999999999999</v>
      </c>
      <c r="Y3036" s="8">
        <v>6.5000000000000002E-2</v>
      </c>
      <c r="Z3036" s="8">
        <v>7.0000000000000001E-3</v>
      </c>
      <c r="AA3036" s="8">
        <v>0</v>
      </c>
      <c r="AB3036" s="8">
        <v>0</v>
      </c>
      <c r="AC3036" s="8">
        <v>0</v>
      </c>
    </row>
    <row r="3037" spans="1:29" ht="11.65" x14ac:dyDescent="0.35">
      <c r="A3037" s="12">
        <v>3020</v>
      </c>
      <c r="B3037" s="10" t="s">
        <v>1015</v>
      </c>
      <c r="C3037" s="11" t="s">
        <v>1225</v>
      </c>
      <c r="D3037" s="9"/>
      <c r="E3037" s="9">
        <v>583</v>
      </c>
      <c r="F3037" s="10" t="s">
        <v>1066</v>
      </c>
      <c r="G3037" s="9">
        <v>954</v>
      </c>
      <c r="H3037" s="9">
        <v>1970</v>
      </c>
      <c r="I3037" s="8">
        <v>5.6909999999999998</v>
      </c>
      <c r="J3037" s="8">
        <v>4.7729999999999997</v>
      </c>
      <c r="K3037" s="8">
        <v>4.1500000000000004</v>
      </c>
      <c r="L3037" s="8">
        <v>3.6579999999999999</v>
      </c>
      <c r="M3037" s="8">
        <v>2.3849999999999998</v>
      </c>
      <c r="N3037" s="8">
        <v>2.0840000000000001</v>
      </c>
      <c r="O3037" s="8">
        <v>1.792</v>
      </c>
      <c r="P3037" s="8">
        <v>1.532</v>
      </c>
      <c r="Q3037" s="8">
        <v>1.3029999999999999</v>
      </c>
      <c r="R3037" s="8">
        <v>1.101</v>
      </c>
      <c r="S3037" s="8">
        <v>0.91500000000000004</v>
      </c>
      <c r="T3037" s="8">
        <v>0.74099999999999999</v>
      </c>
      <c r="U3037" s="8">
        <v>0.57699999999999996</v>
      </c>
      <c r="V3037" s="8">
        <v>0.42499999999999999</v>
      </c>
      <c r="W3037" s="8">
        <v>0.28599999999999998</v>
      </c>
      <c r="X3037" s="8">
        <v>0.16600000000000001</v>
      </c>
      <c r="Y3037" s="8">
        <v>7.6999999999999999E-2</v>
      </c>
      <c r="Z3037" s="8">
        <v>0.01</v>
      </c>
      <c r="AA3037" s="8">
        <v>0</v>
      </c>
      <c r="AB3037" s="8">
        <v>0</v>
      </c>
      <c r="AC3037" s="8">
        <v>0</v>
      </c>
    </row>
    <row r="3038" spans="1:29" ht="11.65" x14ac:dyDescent="0.35">
      <c r="A3038" s="12">
        <v>3021</v>
      </c>
      <c r="B3038" s="10" t="s">
        <v>1015</v>
      </c>
      <c r="C3038" s="11" t="s">
        <v>1225</v>
      </c>
      <c r="D3038" s="9"/>
      <c r="E3038" s="9">
        <v>583</v>
      </c>
      <c r="F3038" s="10" t="s">
        <v>1066</v>
      </c>
      <c r="G3038" s="9">
        <v>954</v>
      </c>
      <c r="H3038" s="9">
        <v>1975</v>
      </c>
      <c r="I3038" s="8">
        <v>5.95</v>
      </c>
      <c r="J3038" s="8">
        <v>5.3390000000000004</v>
      </c>
      <c r="K3038" s="8">
        <v>4.4390000000000001</v>
      </c>
      <c r="L3038" s="8">
        <v>3.7719999999999998</v>
      </c>
      <c r="M3038" s="8">
        <v>2.915</v>
      </c>
      <c r="N3038" s="8">
        <v>1.587</v>
      </c>
      <c r="O3038" s="8">
        <v>1.2729999999999999</v>
      </c>
      <c r="P3038" s="8">
        <v>1.0780000000000001</v>
      </c>
      <c r="Q3038" s="8">
        <v>1.1919999999999999</v>
      </c>
      <c r="R3038" s="8">
        <v>1.0660000000000001</v>
      </c>
      <c r="S3038" s="8">
        <v>0.98699999999999999</v>
      </c>
      <c r="T3038" s="8">
        <v>0.88200000000000001</v>
      </c>
      <c r="U3038" s="8">
        <v>0.76400000000000001</v>
      </c>
      <c r="V3038" s="8">
        <v>0.59</v>
      </c>
      <c r="W3038" s="8">
        <v>0.39400000000000002</v>
      </c>
      <c r="X3038" s="8">
        <v>0.27500000000000002</v>
      </c>
      <c r="Y3038" s="8">
        <v>0.113</v>
      </c>
      <c r="Z3038" s="8">
        <v>1.2E-2</v>
      </c>
      <c r="AA3038" s="8">
        <v>0</v>
      </c>
      <c r="AB3038" s="8">
        <v>0</v>
      </c>
      <c r="AC3038" s="8">
        <v>0</v>
      </c>
    </row>
    <row r="3039" spans="1:29" ht="11.65" x14ac:dyDescent="0.35">
      <c r="A3039" s="12">
        <v>3022</v>
      </c>
      <c r="B3039" s="10" t="s">
        <v>1015</v>
      </c>
      <c r="C3039" s="11" t="s">
        <v>1225</v>
      </c>
      <c r="D3039" s="9"/>
      <c r="E3039" s="9">
        <v>583</v>
      </c>
      <c r="F3039" s="10" t="s">
        <v>1066</v>
      </c>
      <c r="G3039" s="9">
        <v>954</v>
      </c>
      <c r="H3039" s="9">
        <v>1980</v>
      </c>
      <c r="I3039" s="8">
        <v>6.6150000000000002</v>
      </c>
      <c r="J3039" s="8">
        <v>6.1390000000000002</v>
      </c>
      <c r="K3039" s="8">
        <v>5.2279999999999998</v>
      </c>
      <c r="L3039" s="8">
        <v>4.0289999999999999</v>
      </c>
      <c r="M3039" s="8">
        <v>3.206</v>
      </c>
      <c r="N3039" s="8">
        <v>2.6539999999999999</v>
      </c>
      <c r="O3039" s="8">
        <v>1.7989999999999999</v>
      </c>
      <c r="P3039" s="8">
        <v>1.5740000000000001</v>
      </c>
      <c r="Q3039" s="8">
        <v>1.097</v>
      </c>
      <c r="R3039" s="8">
        <v>1.079</v>
      </c>
      <c r="S3039" s="8">
        <v>0.98099999999999998</v>
      </c>
      <c r="T3039" s="8">
        <v>0.83599999999999997</v>
      </c>
      <c r="U3039" s="8">
        <v>0.751</v>
      </c>
      <c r="V3039" s="8">
        <v>0.58199999999999996</v>
      </c>
      <c r="W3039" s="8">
        <v>0.34899999999999998</v>
      </c>
      <c r="X3039" s="8">
        <v>0.20899999999999999</v>
      </c>
      <c r="Y3039" s="8">
        <v>0.13300000000000001</v>
      </c>
      <c r="Z3039" s="8">
        <v>1.7000000000000001E-2</v>
      </c>
      <c r="AA3039" s="8">
        <v>0</v>
      </c>
      <c r="AB3039" s="8">
        <v>0</v>
      </c>
      <c r="AC3039" s="8">
        <v>0</v>
      </c>
    </row>
    <row r="3040" spans="1:29" ht="11.65" x14ac:dyDescent="0.35">
      <c r="A3040" s="12">
        <v>3023</v>
      </c>
      <c r="B3040" s="10" t="s">
        <v>1015</v>
      </c>
      <c r="C3040" s="11" t="s">
        <v>1225</v>
      </c>
      <c r="D3040" s="9"/>
      <c r="E3040" s="9">
        <v>583</v>
      </c>
      <c r="F3040" s="10" t="s">
        <v>1066</v>
      </c>
      <c r="G3040" s="9">
        <v>954</v>
      </c>
      <c r="H3040" s="9">
        <v>1985</v>
      </c>
      <c r="I3040" s="8">
        <v>7.6429999999999998</v>
      </c>
      <c r="J3040" s="8">
        <v>6.5449999999999999</v>
      </c>
      <c r="K3040" s="8">
        <v>6.1079999999999997</v>
      </c>
      <c r="L3040" s="8">
        <v>5.1950000000000003</v>
      </c>
      <c r="M3040" s="8">
        <v>3.9910000000000001</v>
      </c>
      <c r="N3040" s="8">
        <v>3.169</v>
      </c>
      <c r="O3040" s="8">
        <v>2.6240000000000001</v>
      </c>
      <c r="P3040" s="8">
        <v>1.7749999999999999</v>
      </c>
      <c r="Q3040" s="8">
        <v>1.542</v>
      </c>
      <c r="R3040" s="8">
        <v>1.0669999999999999</v>
      </c>
      <c r="S3040" s="8">
        <v>1.032</v>
      </c>
      <c r="T3040" s="8">
        <v>0.91800000000000004</v>
      </c>
      <c r="U3040" s="8">
        <v>0.755</v>
      </c>
      <c r="V3040" s="8">
        <v>0.64300000000000002</v>
      </c>
      <c r="W3040" s="8">
        <v>0.45600000000000002</v>
      </c>
      <c r="X3040" s="8">
        <v>0.23899999999999999</v>
      </c>
      <c r="Y3040" s="8">
        <v>0.113</v>
      </c>
      <c r="Z3040" s="8">
        <v>2.1999999999999999E-2</v>
      </c>
      <c r="AA3040" s="8">
        <v>0</v>
      </c>
      <c r="AB3040" s="8">
        <v>0</v>
      </c>
      <c r="AC3040" s="8">
        <v>0</v>
      </c>
    </row>
    <row r="3041" spans="1:29" ht="11.65" x14ac:dyDescent="0.35">
      <c r="A3041" s="12">
        <v>3024</v>
      </c>
      <c r="B3041" s="10" t="s">
        <v>1015</v>
      </c>
      <c r="C3041" s="11" t="s">
        <v>1225</v>
      </c>
      <c r="D3041" s="9"/>
      <c r="E3041" s="9">
        <v>583</v>
      </c>
      <c r="F3041" s="10" t="s">
        <v>1066</v>
      </c>
      <c r="G3041" s="9">
        <v>954</v>
      </c>
      <c r="H3041" s="9">
        <v>1990</v>
      </c>
      <c r="I3041" s="8">
        <v>7.9649999999999999</v>
      </c>
      <c r="J3041" s="8">
        <v>7.6</v>
      </c>
      <c r="K3041" s="8">
        <v>6.4820000000000002</v>
      </c>
      <c r="L3041" s="8">
        <v>5.7009999999999996</v>
      </c>
      <c r="M3041" s="8">
        <v>4.5259999999999998</v>
      </c>
      <c r="N3041" s="8">
        <v>3.556</v>
      </c>
      <c r="O3041" s="8">
        <v>3.0739999999999998</v>
      </c>
      <c r="P3041" s="8">
        <v>2.661</v>
      </c>
      <c r="Q3041" s="8">
        <v>1.7909999999999999</v>
      </c>
      <c r="R3041" s="8">
        <v>1.494</v>
      </c>
      <c r="S3041" s="8">
        <v>1.004</v>
      </c>
      <c r="T3041" s="8">
        <v>0.97799999999999998</v>
      </c>
      <c r="U3041" s="8">
        <v>0.83099999999999996</v>
      </c>
      <c r="V3041" s="8">
        <v>0.64200000000000002</v>
      </c>
      <c r="W3041" s="8">
        <v>0.49299999999999999</v>
      </c>
      <c r="X3041" s="8">
        <v>0.30199999999999999</v>
      </c>
      <c r="Y3041" s="8">
        <v>0.13200000000000001</v>
      </c>
      <c r="Z3041" s="8">
        <v>1.9E-2</v>
      </c>
      <c r="AA3041" s="8">
        <v>2E-3</v>
      </c>
      <c r="AB3041" s="8">
        <v>0</v>
      </c>
      <c r="AC3041" s="8">
        <v>0</v>
      </c>
    </row>
    <row r="3042" spans="1:29" ht="11.65" x14ac:dyDescent="0.35">
      <c r="A3042" s="12">
        <v>3025</v>
      </c>
      <c r="B3042" s="10" t="s">
        <v>1015</v>
      </c>
      <c r="C3042" s="11" t="s">
        <v>1225</v>
      </c>
      <c r="D3042" s="9"/>
      <c r="E3042" s="9">
        <v>583</v>
      </c>
      <c r="F3042" s="10" t="s">
        <v>1066</v>
      </c>
      <c r="G3042" s="9">
        <v>954</v>
      </c>
      <c r="H3042" s="9">
        <v>1995</v>
      </c>
      <c r="I3042" s="8">
        <v>8.407</v>
      </c>
      <c r="J3042" s="8">
        <v>8.1669999999999998</v>
      </c>
      <c r="K3042" s="8">
        <v>7.7140000000000004</v>
      </c>
      <c r="L3042" s="8">
        <v>6.5460000000000003</v>
      </c>
      <c r="M3042" s="8">
        <v>4.4269999999999996</v>
      </c>
      <c r="N3042" s="8">
        <v>3.1779999999999999</v>
      </c>
      <c r="O3042" s="8">
        <v>3.609</v>
      </c>
      <c r="P3042" s="8">
        <v>3.153</v>
      </c>
      <c r="Q3042" s="8">
        <v>2.7629999999999999</v>
      </c>
      <c r="R3042" s="8">
        <v>2.032</v>
      </c>
      <c r="S3042" s="8">
        <v>1.1919999999999999</v>
      </c>
      <c r="T3042" s="8">
        <v>0.88900000000000001</v>
      </c>
      <c r="U3042" s="8">
        <v>1.1970000000000001</v>
      </c>
      <c r="V3042" s="8">
        <v>0.63900000000000001</v>
      </c>
      <c r="W3042" s="8">
        <v>0.54400000000000004</v>
      </c>
      <c r="X3042" s="8">
        <v>0.36499999999999999</v>
      </c>
      <c r="Y3042" s="8">
        <v>0.124</v>
      </c>
      <c r="Z3042" s="8">
        <v>2.3E-2</v>
      </c>
      <c r="AA3042" s="8">
        <v>2E-3</v>
      </c>
      <c r="AB3042" s="8">
        <v>0</v>
      </c>
      <c r="AC3042" s="8">
        <v>0</v>
      </c>
    </row>
    <row r="3043" spans="1:29" ht="11.65" x14ac:dyDescent="0.35">
      <c r="A3043" s="12">
        <v>3026</v>
      </c>
      <c r="B3043" s="10" t="s">
        <v>1015</v>
      </c>
      <c r="C3043" s="11" t="s">
        <v>1225</v>
      </c>
      <c r="D3043" s="9"/>
      <c r="E3043" s="9">
        <v>583</v>
      </c>
      <c r="F3043" s="10" t="s">
        <v>1066</v>
      </c>
      <c r="G3043" s="9">
        <v>954</v>
      </c>
      <c r="H3043" s="9">
        <v>2000</v>
      </c>
      <c r="I3043" s="8">
        <v>7.7</v>
      </c>
      <c r="J3043" s="8">
        <v>7.266</v>
      </c>
      <c r="K3043" s="8">
        <v>7.4850000000000003</v>
      </c>
      <c r="L3043" s="8">
        <v>6.8710000000000004</v>
      </c>
      <c r="M3043" s="8">
        <v>4.8940000000000001</v>
      </c>
      <c r="N3043" s="8">
        <v>3.4889999999999999</v>
      </c>
      <c r="O3043" s="8">
        <v>3.2890000000000001</v>
      </c>
      <c r="P3043" s="8">
        <v>3.1539999999999999</v>
      </c>
      <c r="Q3043" s="8">
        <v>2.5880000000000001</v>
      </c>
      <c r="R3043" s="8">
        <v>2.4729999999999999</v>
      </c>
      <c r="S3043" s="8">
        <v>1.679</v>
      </c>
      <c r="T3043" s="8">
        <v>0.91</v>
      </c>
      <c r="U3043" s="8">
        <v>0.77400000000000002</v>
      </c>
      <c r="V3043" s="8">
        <v>0.80600000000000005</v>
      </c>
      <c r="W3043" s="8">
        <v>0.34499999999999997</v>
      </c>
      <c r="X3043" s="8">
        <v>0.41199999999999998</v>
      </c>
      <c r="Y3043" s="8">
        <v>0.20599999999999999</v>
      </c>
      <c r="Z3043" s="8">
        <v>2.5999999999999999E-2</v>
      </c>
      <c r="AA3043" s="8">
        <v>2E-3</v>
      </c>
      <c r="AB3043" s="8">
        <v>0</v>
      </c>
      <c r="AC3043" s="8">
        <v>0</v>
      </c>
    </row>
    <row r="3044" spans="1:29" ht="11.65" x14ac:dyDescent="0.35">
      <c r="A3044" s="12">
        <v>3027</v>
      </c>
      <c r="B3044" s="10" t="s">
        <v>1015</v>
      </c>
      <c r="C3044" s="11" t="s">
        <v>1225</v>
      </c>
      <c r="D3044" s="9"/>
      <c r="E3044" s="9">
        <v>583</v>
      </c>
      <c r="F3044" s="10" t="s">
        <v>1066</v>
      </c>
      <c r="G3044" s="9">
        <v>954</v>
      </c>
      <c r="H3044" s="9">
        <v>2005</v>
      </c>
      <c r="I3044" s="8">
        <v>6.8890000000000002</v>
      </c>
      <c r="J3044" s="8">
        <v>7.13</v>
      </c>
      <c r="K3044" s="8">
        <v>7.22</v>
      </c>
      <c r="L3044" s="8">
        <v>7.0279999999999996</v>
      </c>
      <c r="M3044" s="8">
        <v>5.9089999999999998</v>
      </c>
      <c r="N3044" s="8">
        <v>3.8290000000000002</v>
      </c>
      <c r="O3044" s="8">
        <v>2.5710000000000002</v>
      </c>
      <c r="P3044" s="8">
        <v>2.427</v>
      </c>
      <c r="Q3044" s="8">
        <v>2.5099999999999998</v>
      </c>
      <c r="R3044" s="8">
        <v>2.2480000000000002</v>
      </c>
      <c r="S3044" s="8">
        <v>2.1739999999999999</v>
      </c>
      <c r="T3044" s="8">
        <v>1.4039999999999999</v>
      </c>
      <c r="U3044" s="8">
        <v>0.749</v>
      </c>
      <c r="V3044" s="8">
        <v>0.61799999999999999</v>
      </c>
      <c r="W3044" s="8">
        <v>0.60899999999999999</v>
      </c>
      <c r="X3044" s="8">
        <v>0.29199999999999998</v>
      </c>
      <c r="Y3044" s="8">
        <v>0.28699999999999998</v>
      </c>
      <c r="Z3044" s="8">
        <v>4.2999999999999997E-2</v>
      </c>
      <c r="AA3044" s="8">
        <v>2E-3</v>
      </c>
      <c r="AB3044" s="8">
        <v>0</v>
      </c>
      <c r="AC3044" s="8">
        <v>0</v>
      </c>
    </row>
    <row r="3045" spans="1:29" ht="11.65" x14ac:dyDescent="0.35">
      <c r="A3045" s="12">
        <v>3028</v>
      </c>
      <c r="B3045" s="10" t="s">
        <v>1015</v>
      </c>
      <c r="C3045" s="11" t="s">
        <v>1225</v>
      </c>
      <c r="D3045" s="9"/>
      <c r="E3045" s="9">
        <v>583</v>
      </c>
      <c r="F3045" s="10" t="s">
        <v>1066</v>
      </c>
      <c r="G3045" s="9">
        <v>954</v>
      </c>
      <c r="H3045" s="9">
        <v>2010</v>
      </c>
      <c r="I3045" s="8">
        <v>6.1479999999999997</v>
      </c>
      <c r="J3045" s="8">
        <v>6.1449999999999996</v>
      </c>
      <c r="K3045" s="8">
        <v>6.5220000000000002</v>
      </c>
      <c r="L3045" s="8">
        <v>6.242</v>
      </c>
      <c r="M3045" s="8">
        <v>4.9080000000000004</v>
      </c>
      <c r="N3045" s="8">
        <v>3.8450000000000002</v>
      </c>
      <c r="O3045" s="8">
        <v>3.399</v>
      </c>
      <c r="P3045" s="8">
        <v>2.931</v>
      </c>
      <c r="Q3045" s="8">
        <v>2.7210000000000001</v>
      </c>
      <c r="R3045" s="8">
        <v>2.6429999999999998</v>
      </c>
      <c r="S3045" s="8">
        <v>2.302</v>
      </c>
      <c r="T3045" s="8">
        <v>1.8779999999999999</v>
      </c>
      <c r="U3045" s="8">
        <v>1.171</v>
      </c>
      <c r="V3045" s="8">
        <v>0.53700000000000003</v>
      </c>
      <c r="W3045" s="8">
        <v>0.38800000000000001</v>
      </c>
      <c r="X3045" s="8">
        <v>0.26400000000000001</v>
      </c>
      <c r="Y3045" s="8">
        <v>0.13200000000000001</v>
      </c>
      <c r="Z3045" s="8">
        <v>6.2E-2</v>
      </c>
      <c r="AA3045" s="8">
        <v>3.0000000000000001E-3</v>
      </c>
      <c r="AB3045" s="8">
        <v>0</v>
      </c>
      <c r="AC3045" s="8">
        <v>0</v>
      </c>
    </row>
    <row r="3046" spans="1:29" ht="11.65" x14ac:dyDescent="0.35">
      <c r="A3046" s="12">
        <v>3029</v>
      </c>
      <c r="B3046" s="10" t="s">
        <v>1015</v>
      </c>
      <c r="C3046" s="11" t="s">
        <v>1225</v>
      </c>
      <c r="D3046" s="9"/>
      <c r="E3046" s="9">
        <v>583</v>
      </c>
      <c r="F3046" s="10" t="s">
        <v>1066</v>
      </c>
      <c r="G3046" s="9">
        <v>954</v>
      </c>
      <c r="H3046" s="9">
        <v>2015</v>
      </c>
      <c r="I3046" s="8">
        <v>6.1559999999999997</v>
      </c>
      <c r="J3046" s="8">
        <v>6.0659999999999998</v>
      </c>
      <c r="K3046" s="8">
        <v>6.0919999999999996</v>
      </c>
      <c r="L3046" s="8">
        <v>6.335</v>
      </c>
      <c r="M3046" s="8">
        <v>5.9119999999999999</v>
      </c>
      <c r="N3046" s="8">
        <v>4.5949999999999998</v>
      </c>
      <c r="O3046" s="8">
        <v>3.6040000000000001</v>
      </c>
      <c r="P3046" s="8">
        <v>3.22</v>
      </c>
      <c r="Q3046" s="8">
        <v>2.794</v>
      </c>
      <c r="R3046" s="8">
        <v>2.5979999999999999</v>
      </c>
      <c r="S3046" s="8">
        <v>2.5110000000000001</v>
      </c>
      <c r="T3046" s="8">
        <v>2.149</v>
      </c>
      <c r="U3046" s="8">
        <v>1.6759999999999999</v>
      </c>
      <c r="V3046" s="8">
        <v>0.94</v>
      </c>
      <c r="W3046" s="8">
        <v>0.35699999999999998</v>
      </c>
      <c r="X3046" s="8">
        <v>0.20300000000000001</v>
      </c>
      <c r="Y3046" s="8">
        <v>9.8000000000000004E-2</v>
      </c>
      <c r="Z3046" s="8">
        <v>3.1E-2</v>
      </c>
      <c r="AA3046" s="8">
        <v>6.0000000000000001E-3</v>
      </c>
      <c r="AB3046" s="8">
        <v>0</v>
      </c>
      <c r="AC3046" s="8">
        <v>0</v>
      </c>
    </row>
    <row r="3047" spans="1:29" ht="11.65" x14ac:dyDescent="0.35">
      <c r="A3047" s="12">
        <v>3030</v>
      </c>
      <c r="B3047" s="10" t="s">
        <v>1015</v>
      </c>
      <c r="C3047" s="11" t="s">
        <v>1225</v>
      </c>
      <c r="D3047" s="9"/>
      <c r="E3047" s="9">
        <v>583</v>
      </c>
      <c r="F3047" s="10" t="s">
        <v>1066</v>
      </c>
      <c r="G3047" s="9">
        <v>954</v>
      </c>
      <c r="H3047" s="9">
        <v>2020</v>
      </c>
      <c r="I3047" s="8">
        <v>6.2949999999999999</v>
      </c>
      <c r="J3047" s="8">
        <v>6.0730000000000004</v>
      </c>
      <c r="K3047" s="8">
        <v>6.0170000000000003</v>
      </c>
      <c r="L3047" s="8">
        <v>5.91</v>
      </c>
      <c r="M3047" s="8">
        <v>6.0069999999999997</v>
      </c>
      <c r="N3047" s="8">
        <v>5.5940000000000003</v>
      </c>
      <c r="O3047" s="8">
        <v>4.3520000000000003</v>
      </c>
      <c r="P3047" s="8">
        <v>3.427</v>
      </c>
      <c r="Q3047" s="8">
        <v>3.081</v>
      </c>
      <c r="R3047" s="8">
        <v>2.6720000000000002</v>
      </c>
      <c r="S3047" s="8">
        <v>2.4710000000000001</v>
      </c>
      <c r="T3047" s="8">
        <v>2.351</v>
      </c>
      <c r="U3047" s="8">
        <v>1.929</v>
      </c>
      <c r="V3047" s="8">
        <v>1.36</v>
      </c>
      <c r="W3047" s="8">
        <v>0.64200000000000002</v>
      </c>
      <c r="X3047" s="8">
        <v>0.192</v>
      </c>
      <c r="Y3047" s="8">
        <v>7.8E-2</v>
      </c>
      <c r="Z3047" s="8">
        <v>2.4E-2</v>
      </c>
      <c r="AA3047" s="8">
        <v>5.0000000000000001E-3</v>
      </c>
      <c r="AB3047" s="8">
        <v>0</v>
      </c>
      <c r="AC3047" s="8">
        <v>0</v>
      </c>
    </row>
    <row r="3048" spans="1:29" ht="11.65" x14ac:dyDescent="0.35">
      <c r="A3048" s="23">
        <v>3031</v>
      </c>
      <c r="B3048" s="21" t="s">
        <v>1015</v>
      </c>
      <c r="C3048" s="29" t="s">
        <v>1226</v>
      </c>
      <c r="D3048" s="20">
        <v>17</v>
      </c>
      <c r="E3048" s="20">
        <v>957</v>
      </c>
      <c r="F3048" s="21" t="s">
        <v>1065</v>
      </c>
      <c r="G3048" s="20">
        <v>1835</v>
      </c>
      <c r="H3048" s="20">
        <v>1950</v>
      </c>
      <c r="I3048" s="19">
        <v>21.709</v>
      </c>
      <c r="J3048" s="19">
        <v>18.670000000000002</v>
      </c>
      <c r="K3048" s="19">
        <v>16.454000000000001</v>
      </c>
      <c r="L3048" s="19">
        <v>13.134</v>
      </c>
      <c r="M3048" s="19">
        <v>10.798999999999999</v>
      </c>
      <c r="N3048" s="19">
        <v>9.3729999999999993</v>
      </c>
      <c r="O3048" s="19">
        <v>7.4939999999999998</v>
      </c>
      <c r="P3048" s="19">
        <v>6.6029999999999998</v>
      </c>
      <c r="Q3048" s="19">
        <v>5.274</v>
      </c>
      <c r="R3048" s="19">
        <v>4.2809999999999997</v>
      </c>
      <c r="S3048" s="19">
        <v>3.3010000000000002</v>
      </c>
      <c r="T3048" s="19">
        <v>2.355</v>
      </c>
      <c r="U3048" s="19">
        <v>1.9810000000000001</v>
      </c>
      <c r="V3048" s="19">
        <v>1.341</v>
      </c>
      <c r="W3048" s="19">
        <v>0.76800000000000002</v>
      </c>
      <c r="X3048" s="19">
        <v>0.439</v>
      </c>
      <c r="Y3048" s="19">
        <v>0.21</v>
      </c>
      <c r="Z3048" s="19">
        <v>7.0000000000000007E-2</v>
      </c>
      <c r="AA3048" s="19">
        <v>1.7000000000000001E-2</v>
      </c>
      <c r="AB3048" s="19">
        <v>0</v>
      </c>
      <c r="AC3048" s="19">
        <v>0</v>
      </c>
    </row>
    <row r="3049" spans="1:29" ht="11.65" x14ac:dyDescent="0.35">
      <c r="A3049" s="23">
        <v>3032</v>
      </c>
      <c r="B3049" s="21" t="s">
        <v>1015</v>
      </c>
      <c r="C3049" s="29" t="s">
        <v>1226</v>
      </c>
      <c r="D3049" s="20">
        <v>17</v>
      </c>
      <c r="E3049" s="20">
        <v>957</v>
      </c>
      <c r="F3049" s="21" t="s">
        <v>1065</v>
      </c>
      <c r="G3049" s="20">
        <v>1835</v>
      </c>
      <c r="H3049" s="20">
        <v>1955</v>
      </c>
      <c r="I3049" s="19">
        <v>26.837</v>
      </c>
      <c r="J3049" s="19">
        <v>19.832999999999998</v>
      </c>
      <c r="K3049" s="19">
        <v>17.484000000000002</v>
      </c>
      <c r="L3049" s="19">
        <v>14.935</v>
      </c>
      <c r="M3049" s="19">
        <v>11.531000000000001</v>
      </c>
      <c r="N3049" s="19">
        <v>9.891</v>
      </c>
      <c r="O3049" s="19">
        <v>8.6760000000000002</v>
      </c>
      <c r="P3049" s="19">
        <v>7.2190000000000003</v>
      </c>
      <c r="Q3049" s="19">
        <v>6.1040000000000001</v>
      </c>
      <c r="R3049" s="19">
        <v>5.0069999999999997</v>
      </c>
      <c r="S3049" s="19">
        <v>3.911</v>
      </c>
      <c r="T3049" s="19">
        <v>2.9169999999999998</v>
      </c>
      <c r="U3049" s="19">
        <v>2.1160000000000001</v>
      </c>
      <c r="V3049" s="19">
        <v>1.645</v>
      </c>
      <c r="W3049" s="19">
        <v>0.97</v>
      </c>
      <c r="X3049" s="19">
        <v>0.47399999999999998</v>
      </c>
      <c r="Y3049" s="19">
        <v>0.21299999999999999</v>
      </c>
      <c r="Z3049" s="19">
        <v>5.1999999999999998E-2</v>
      </c>
      <c r="AA3049" s="19">
        <v>5.0000000000000001E-3</v>
      </c>
      <c r="AB3049" s="19">
        <v>0</v>
      </c>
      <c r="AC3049" s="19">
        <v>0</v>
      </c>
    </row>
    <row r="3050" spans="1:29" ht="11.65" x14ac:dyDescent="0.35">
      <c r="A3050" s="23">
        <v>3033</v>
      </c>
      <c r="B3050" s="21" t="s">
        <v>1015</v>
      </c>
      <c r="C3050" s="29" t="s">
        <v>1226</v>
      </c>
      <c r="D3050" s="20">
        <v>17</v>
      </c>
      <c r="E3050" s="20">
        <v>957</v>
      </c>
      <c r="F3050" s="21" t="s">
        <v>1065</v>
      </c>
      <c r="G3050" s="20">
        <v>1835</v>
      </c>
      <c r="H3050" s="20">
        <v>1960</v>
      </c>
      <c r="I3050" s="19">
        <v>29.68</v>
      </c>
      <c r="J3050" s="19">
        <v>24.739000000000001</v>
      </c>
      <c r="K3050" s="19">
        <v>18.962</v>
      </c>
      <c r="L3050" s="19">
        <v>15.896000000000001</v>
      </c>
      <c r="M3050" s="19">
        <v>12.622999999999999</v>
      </c>
      <c r="N3050" s="19">
        <v>10.015000000000001</v>
      </c>
      <c r="O3050" s="19">
        <v>8.7319999999999993</v>
      </c>
      <c r="P3050" s="19">
        <v>8.09</v>
      </c>
      <c r="Q3050" s="19">
        <v>6.3620000000000001</v>
      </c>
      <c r="R3050" s="19">
        <v>5.9930000000000003</v>
      </c>
      <c r="S3050" s="19">
        <v>4.5730000000000004</v>
      </c>
      <c r="T3050" s="19">
        <v>3.5590000000000002</v>
      </c>
      <c r="U3050" s="19">
        <v>2.7</v>
      </c>
      <c r="V3050" s="19">
        <v>1.7410000000000001</v>
      </c>
      <c r="W3050" s="19">
        <v>1.365</v>
      </c>
      <c r="X3050" s="19">
        <v>0.59599999999999997</v>
      </c>
      <c r="Y3050" s="19">
        <v>0.26300000000000001</v>
      </c>
      <c r="Z3050" s="19">
        <v>6.5000000000000002E-2</v>
      </c>
      <c r="AA3050" s="19">
        <v>3.0000000000000001E-3</v>
      </c>
      <c r="AB3050" s="19">
        <v>0</v>
      </c>
      <c r="AC3050" s="19">
        <v>0</v>
      </c>
    </row>
    <row r="3051" spans="1:29" ht="11.65" x14ac:dyDescent="0.35">
      <c r="A3051" s="23">
        <v>3034</v>
      </c>
      <c r="B3051" s="21" t="s">
        <v>1015</v>
      </c>
      <c r="C3051" s="29" t="s">
        <v>1226</v>
      </c>
      <c r="D3051" s="20">
        <v>17</v>
      </c>
      <c r="E3051" s="20">
        <v>957</v>
      </c>
      <c r="F3051" s="21" t="s">
        <v>1065</v>
      </c>
      <c r="G3051" s="20">
        <v>1835</v>
      </c>
      <c r="H3051" s="20">
        <v>1965</v>
      </c>
      <c r="I3051" s="19">
        <v>35.631999999999998</v>
      </c>
      <c r="J3051" s="19">
        <v>29.177</v>
      </c>
      <c r="K3051" s="19">
        <v>24.149000000000001</v>
      </c>
      <c r="L3051" s="19">
        <v>17.152999999999999</v>
      </c>
      <c r="M3051" s="19">
        <v>14.039</v>
      </c>
      <c r="N3051" s="19">
        <v>11.784000000000001</v>
      </c>
      <c r="O3051" s="19">
        <v>10.145</v>
      </c>
      <c r="P3051" s="19">
        <v>8.9600000000000009</v>
      </c>
      <c r="Q3051" s="19">
        <v>7.5339999999999998</v>
      </c>
      <c r="R3051" s="19">
        <v>6.2510000000000003</v>
      </c>
      <c r="S3051" s="19">
        <v>5.4779999999999998</v>
      </c>
      <c r="T3051" s="19">
        <v>4.069</v>
      </c>
      <c r="U3051" s="19">
        <v>2.9820000000000002</v>
      </c>
      <c r="V3051" s="19">
        <v>2.2829999999999999</v>
      </c>
      <c r="W3051" s="19">
        <v>1.2310000000000001</v>
      </c>
      <c r="X3051" s="19">
        <v>0.80300000000000005</v>
      </c>
      <c r="Y3051" s="19">
        <v>0.28599999999999998</v>
      </c>
      <c r="Z3051" s="19">
        <v>8.4000000000000005E-2</v>
      </c>
      <c r="AA3051" s="19">
        <v>1.2E-2</v>
      </c>
      <c r="AB3051" s="19">
        <v>0</v>
      </c>
      <c r="AC3051" s="19">
        <v>0</v>
      </c>
    </row>
    <row r="3052" spans="1:29" ht="11.65" x14ac:dyDescent="0.35">
      <c r="A3052" s="23">
        <v>3035</v>
      </c>
      <c r="B3052" s="21" t="s">
        <v>1015</v>
      </c>
      <c r="C3052" s="29" t="s">
        <v>1226</v>
      </c>
      <c r="D3052" s="20">
        <v>17</v>
      </c>
      <c r="E3052" s="20">
        <v>957</v>
      </c>
      <c r="F3052" s="21" t="s">
        <v>1065</v>
      </c>
      <c r="G3052" s="20">
        <v>1835</v>
      </c>
      <c r="H3052" s="20">
        <v>1970</v>
      </c>
      <c r="I3052" s="19">
        <v>38.334000000000003</v>
      </c>
      <c r="J3052" s="19">
        <v>34.180999999999997</v>
      </c>
      <c r="K3052" s="19">
        <v>28.885999999999999</v>
      </c>
      <c r="L3052" s="19">
        <v>22.355</v>
      </c>
      <c r="M3052" s="19">
        <v>14.456</v>
      </c>
      <c r="N3052" s="19">
        <v>12.593999999999999</v>
      </c>
      <c r="O3052" s="19">
        <v>11.518000000000001</v>
      </c>
      <c r="P3052" s="19">
        <v>9.9740000000000002</v>
      </c>
      <c r="Q3052" s="19">
        <v>8.4280000000000008</v>
      </c>
      <c r="R3052" s="19">
        <v>7.4039999999999999</v>
      </c>
      <c r="S3052" s="19">
        <v>5.9130000000000003</v>
      </c>
      <c r="T3052" s="19">
        <v>4.798</v>
      </c>
      <c r="U3052" s="19">
        <v>3.4289999999999998</v>
      </c>
      <c r="V3052" s="19">
        <v>2.625</v>
      </c>
      <c r="W3052" s="19">
        <v>1.548</v>
      </c>
      <c r="X3052" s="19">
        <v>0.71599999999999997</v>
      </c>
      <c r="Y3052" s="19">
        <v>0.39600000000000002</v>
      </c>
      <c r="Z3052" s="19">
        <v>0.1</v>
      </c>
      <c r="AA3052" s="19">
        <v>1.7999999999999999E-2</v>
      </c>
      <c r="AB3052" s="19">
        <v>0</v>
      </c>
      <c r="AC3052" s="19">
        <v>0</v>
      </c>
    </row>
    <row r="3053" spans="1:29" ht="11.65" x14ac:dyDescent="0.35">
      <c r="A3053" s="23">
        <v>3036</v>
      </c>
      <c r="B3053" s="21" t="s">
        <v>1015</v>
      </c>
      <c r="C3053" s="29" t="s">
        <v>1226</v>
      </c>
      <c r="D3053" s="20">
        <v>17</v>
      </c>
      <c r="E3053" s="20">
        <v>957</v>
      </c>
      <c r="F3053" s="21" t="s">
        <v>1065</v>
      </c>
      <c r="G3053" s="20">
        <v>1835</v>
      </c>
      <c r="H3053" s="20">
        <v>1975</v>
      </c>
      <c r="I3053" s="19">
        <v>35.802</v>
      </c>
      <c r="J3053" s="19">
        <v>36.072000000000003</v>
      </c>
      <c r="K3053" s="19">
        <v>33.018999999999998</v>
      </c>
      <c r="L3053" s="19">
        <v>26.305</v>
      </c>
      <c r="M3053" s="19">
        <v>19.113</v>
      </c>
      <c r="N3053" s="19">
        <v>12.599</v>
      </c>
      <c r="O3053" s="19">
        <v>12.12</v>
      </c>
      <c r="P3053" s="19">
        <v>10.939</v>
      </c>
      <c r="Q3053" s="19">
        <v>9.5299999999999994</v>
      </c>
      <c r="R3053" s="19">
        <v>8.1129999999999995</v>
      </c>
      <c r="S3053" s="19">
        <v>6.8479999999999999</v>
      </c>
      <c r="T3053" s="19">
        <v>5.3109999999999999</v>
      </c>
      <c r="U3053" s="19">
        <v>4.226</v>
      </c>
      <c r="V3053" s="19">
        <v>2.7480000000000002</v>
      </c>
      <c r="W3053" s="19">
        <v>1.847</v>
      </c>
      <c r="X3053" s="19">
        <v>0.82099999999999995</v>
      </c>
      <c r="Y3053" s="19">
        <v>0.32100000000000001</v>
      </c>
      <c r="Z3053" s="19">
        <v>0.14399999999999999</v>
      </c>
      <c r="AA3053" s="19">
        <v>2.3E-2</v>
      </c>
      <c r="AB3053" s="19">
        <v>0</v>
      </c>
      <c r="AC3053" s="19">
        <v>0</v>
      </c>
    </row>
    <row r="3054" spans="1:29" ht="11.65" x14ac:dyDescent="0.35">
      <c r="A3054" s="23">
        <v>3037</v>
      </c>
      <c r="B3054" s="21" t="s">
        <v>1015</v>
      </c>
      <c r="C3054" s="29" t="s">
        <v>1226</v>
      </c>
      <c r="D3054" s="20">
        <v>17</v>
      </c>
      <c r="E3054" s="20">
        <v>957</v>
      </c>
      <c r="F3054" s="21" t="s">
        <v>1065</v>
      </c>
      <c r="G3054" s="20">
        <v>1835</v>
      </c>
      <c r="H3054" s="20">
        <v>1980</v>
      </c>
      <c r="I3054" s="19">
        <v>35.881999999999998</v>
      </c>
      <c r="J3054" s="19">
        <v>33.947000000000003</v>
      </c>
      <c r="K3054" s="19">
        <v>34.929000000000002</v>
      </c>
      <c r="L3054" s="19">
        <v>30.353999999999999</v>
      </c>
      <c r="M3054" s="19">
        <v>21.968</v>
      </c>
      <c r="N3054" s="19">
        <v>16.623999999999999</v>
      </c>
      <c r="O3054" s="19">
        <v>12.599</v>
      </c>
      <c r="P3054" s="19">
        <v>12.234</v>
      </c>
      <c r="Q3054" s="19">
        <v>10.567</v>
      </c>
      <c r="R3054" s="19">
        <v>9.1229999999999993</v>
      </c>
      <c r="S3054" s="19">
        <v>7.6050000000000004</v>
      </c>
      <c r="T3054" s="19">
        <v>6.3120000000000003</v>
      </c>
      <c r="U3054" s="19">
        <v>4.5069999999999997</v>
      </c>
      <c r="V3054" s="19">
        <v>3.492</v>
      </c>
      <c r="W3054" s="19">
        <v>2.0699999999999998</v>
      </c>
      <c r="X3054" s="19">
        <v>1.1419999999999999</v>
      </c>
      <c r="Y3054" s="19">
        <v>0.45100000000000001</v>
      </c>
      <c r="Z3054" s="19">
        <v>0.122</v>
      </c>
      <c r="AA3054" s="19">
        <v>3.5000000000000003E-2</v>
      </c>
      <c r="AB3054" s="19">
        <v>2E-3</v>
      </c>
      <c r="AC3054" s="19">
        <v>0</v>
      </c>
    </row>
    <row r="3055" spans="1:29" ht="11.65" x14ac:dyDescent="0.35">
      <c r="A3055" s="23">
        <v>3038</v>
      </c>
      <c r="B3055" s="21" t="s">
        <v>1015</v>
      </c>
      <c r="C3055" s="29" t="s">
        <v>1226</v>
      </c>
      <c r="D3055" s="20">
        <v>17</v>
      </c>
      <c r="E3055" s="20">
        <v>957</v>
      </c>
      <c r="F3055" s="21" t="s">
        <v>1065</v>
      </c>
      <c r="G3055" s="20">
        <v>1835</v>
      </c>
      <c r="H3055" s="20">
        <v>1985</v>
      </c>
      <c r="I3055" s="19">
        <v>37.802</v>
      </c>
      <c r="J3055" s="19">
        <v>34.246000000000002</v>
      </c>
      <c r="K3055" s="19">
        <v>33.755000000000003</v>
      </c>
      <c r="L3055" s="19">
        <v>34.012</v>
      </c>
      <c r="M3055" s="19">
        <v>26.689</v>
      </c>
      <c r="N3055" s="19">
        <v>19.198</v>
      </c>
      <c r="O3055" s="19">
        <v>16.902999999999999</v>
      </c>
      <c r="P3055" s="19">
        <v>12.683</v>
      </c>
      <c r="Q3055" s="19">
        <v>11.907999999999999</v>
      </c>
      <c r="R3055" s="19">
        <v>9.3420000000000005</v>
      </c>
      <c r="S3055" s="19">
        <v>8.8879999999999999</v>
      </c>
      <c r="T3055" s="19">
        <v>6.5359999999999996</v>
      </c>
      <c r="U3055" s="19">
        <v>5.4690000000000003</v>
      </c>
      <c r="V3055" s="19">
        <v>3.4009999999999998</v>
      </c>
      <c r="W3055" s="19">
        <v>2.746</v>
      </c>
      <c r="X3055" s="19">
        <v>1.282</v>
      </c>
      <c r="Y3055" s="19">
        <v>0.48099999999999998</v>
      </c>
      <c r="Z3055" s="19">
        <v>0.17</v>
      </c>
      <c r="AA3055" s="19">
        <v>0.03</v>
      </c>
      <c r="AB3055" s="19">
        <v>4.0000000000000001E-3</v>
      </c>
      <c r="AC3055" s="19">
        <v>0</v>
      </c>
    </row>
    <row r="3056" spans="1:29" ht="11.65" x14ac:dyDescent="0.35">
      <c r="A3056" s="23">
        <v>3039</v>
      </c>
      <c r="B3056" s="21" t="s">
        <v>1015</v>
      </c>
      <c r="C3056" s="29" t="s">
        <v>1226</v>
      </c>
      <c r="D3056" s="20">
        <v>17</v>
      </c>
      <c r="E3056" s="20">
        <v>957</v>
      </c>
      <c r="F3056" s="21" t="s">
        <v>1065</v>
      </c>
      <c r="G3056" s="20">
        <v>1835</v>
      </c>
      <c r="H3056" s="20">
        <v>1990</v>
      </c>
      <c r="I3056" s="19">
        <v>39.966999999999999</v>
      </c>
      <c r="J3056" s="19">
        <v>36.094000000000001</v>
      </c>
      <c r="K3056" s="19">
        <v>33.188000000000002</v>
      </c>
      <c r="L3056" s="19">
        <v>32.078000000000003</v>
      </c>
      <c r="M3056" s="19">
        <v>29.632000000000001</v>
      </c>
      <c r="N3056" s="19">
        <v>23.529</v>
      </c>
      <c r="O3056" s="19">
        <v>17.821999999999999</v>
      </c>
      <c r="P3056" s="19">
        <v>16.071000000000002</v>
      </c>
      <c r="Q3056" s="19">
        <v>12.002000000000001</v>
      </c>
      <c r="R3056" s="19">
        <v>11.095000000000001</v>
      </c>
      <c r="S3056" s="19">
        <v>8.8539999999999992</v>
      </c>
      <c r="T3056" s="19">
        <v>7.8840000000000003</v>
      </c>
      <c r="U3056" s="19">
        <v>5.8010000000000002</v>
      </c>
      <c r="V3056" s="19">
        <v>4.5590000000000002</v>
      </c>
      <c r="W3056" s="19">
        <v>2.6280000000000001</v>
      </c>
      <c r="X3056" s="19">
        <v>1.8160000000000001</v>
      </c>
      <c r="Y3056" s="19">
        <v>0.74299999999999999</v>
      </c>
      <c r="Z3056" s="19">
        <v>0.17699999999999999</v>
      </c>
      <c r="AA3056" s="19">
        <v>4.1000000000000002E-2</v>
      </c>
      <c r="AB3056" s="19">
        <v>2E-3</v>
      </c>
      <c r="AC3056" s="19">
        <v>0</v>
      </c>
    </row>
    <row r="3057" spans="1:29" ht="11.65" x14ac:dyDescent="0.35">
      <c r="A3057" s="23">
        <v>3040</v>
      </c>
      <c r="B3057" s="21" t="s">
        <v>1015</v>
      </c>
      <c r="C3057" s="29" t="s">
        <v>1226</v>
      </c>
      <c r="D3057" s="20">
        <v>17</v>
      </c>
      <c r="E3057" s="20">
        <v>957</v>
      </c>
      <c r="F3057" s="21" t="s">
        <v>1065</v>
      </c>
      <c r="G3057" s="20">
        <v>1835</v>
      </c>
      <c r="H3057" s="20">
        <v>1995</v>
      </c>
      <c r="I3057" s="19">
        <v>40.473999999999997</v>
      </c>
      <c r="J3057" s="19">
        <v>38.47</v>
      </c>
      <c r="K3057" s="19">
        <v>35.628999999999998</v>
      </c>
      <c r="L3057" s="19">
        <v>31.134</v>
      </c>
      <c r="M3057" s="19">
        <v>27.184999999999999</v>
      </c>
      <c r="N3057" s="19">
        <v>25.542999999999999</v>
      </c>
      <c r="O3057" s="19">
        <v>21.698</v>
      </c>
      <c r="P3057" s="19">
        <v>16.844999999999999</v>
      </c>
      <c r="Q3057" s="19">
        <v>15.853999999999999</v>
      </c>
      <c r="R3057" s="19">
        <v>11.279</v>
      </c>
      <c r="S3057" s="19">
        <v>10.217000000000001</v>
      </c>
      <c r="T3057" s="19">
        <v>8.3680000000000003</v>
      </c>
      <c r="U3057" s="19">
        <v>6.48</v>
      </c>
      <c r="V3057" s="19">
        <v>4.9550000000000001</v>
      </c>
      <c r="W3057" s="19">
        <v>3.3809999999999998</v>
      </c>
      <c r="X3057" s="19">
        <v>1.8149999999999999</v>
      </c>
      <c r="Y3057" s="19">
        <v>0.95599999999999996</v>
      </c>
      <c r="Z3057" s="19">
        <v>0.28699999999999998</v>
      </c>
      <c r="AA3057" s="19">
        <v>4.4999999999999998E-2</v>
      </c>
      <c r="AB3057" s="19">
        <v>3.0000000000000001E-3</v>
      </c>
      <c r="AC3057" s="19">
        <v>0</v>
      </c>
    </row>
    <row r="3058" spans="1:29" ht="11.65" x14ac:dyDescent="0.35">
      <c r="A3058" s="23">
        <v>3041</v>
      </c>
      <c r="B3058" s="21" t="s">
        <v>1015</v>
      </c>
      <c r="C3058" s="29" t="s">
        <v>1226</v>
      </c>
      <c r="D3058" s="20">
        <v>17</v>
      </c>
      <c r="E3058" s="20">
        <v>957</v>
      </c>
      <c r="F3058" s="21" t="s">
        <v>1065</v>
      </c>
      <c r="G3058" s="20">
        <v>1835</v>
      </c>
      <c r="H3058" s="20">
        <v>2000</v>
      </c>
      <c r="I3058" s="19">
        <v>39.027999999999999</v>
      </c>
      <c r="J3058" s="19">
        <v>39.718000000000004</v>
      </c>
      <c r="K3058" s="19">
        <v>37.386000000000003</v>
      </c>
      <c r="L3058" s="19">
        <v>32.271000000000001</v>
      </c>
      <c r="M3058" s="19">
        <v>25.887</v>
      </c>
      <c r="N3058" s="19">
        <v>24.545000000000002</v>
      </c>
      <c r="O3058" s="19">
        <v>24.327000000000002</v>
      </c>
      <c r="P3058" s="19">
        <v>20.667000000000002</v>
      </c>
      <c r="Q3058" s="19">
        <v>17.010000000000002</v>
      </c>
      <c r="R3058" s="19">
        <v>15.395</v>
      </c>
      <c r="S3058" s="19">
        <v>10.683999999999999</v>
      </c>
      <c r="T3058" s="19">
        <v>9.4190000000000005</v>
      </c>
      <c r="U3058" s="19">
        <v>7.5519999999999996</v>
      </c>
      <c r="V3058" s="19">
        <v>5.673</v>
      </c>
      <c r="W3058" s="19">
        <v>3.7280000000000002</v>
      </c>
      <c r="X3058" s="19">
        <v>2.2400000000000002</v>
      </c>
      <c r="Y3058" s="19">
        <v>0.91900000000000004</v>
      </c>
      <c r="Z3058" s="19">
        <v>0.38700000000000001</v>
      </c>
      <c r="AA3058" s="19">
        <v>7.6999999999999999E-2</v>
      </c>
      <c r="AB3058" s="19">
        <v>2E-3</v>
      </c>
      <c r="AC3058" s="19">
        <v>0</v>
      </c>
    </row>
    <row r="3059" spans="1:29" ht="11.65" x14ac:dyDescent="0.35">
      <c r="A3059" s="23">
        <v>3042</v>
      </c>
      <c r="B3059" s="21" t="s">
        <v>1015</v>
      </c>
      <c r="C3059" s="29" t="s">
        <v>1226</v>
      </c>
      <c r="D3059" s="20">
        <v>17</v>
      </c>
      <c r="E3059" s="20">
        <v>957</v>
      </c>
      <c r="F3059" s="21" t="s">
        <v>1065</v>
      </c>
      <c r="G3059" s="20">
        <v>1835</v>
      </c>
      <c r="H3059" s="20">
        <v>2005</v>
      </c>
      <c r="I3059" s="19">
        <v>38.341999999999999</v>
      </c>
      <c r="J3059" s="19">
        <v>37.737000000000002</v>
      </c>
      <c r="K3059" s="19">
        <v>37.792000000000002</v>
      </c>
      <c r="L3059" s="19">
        <v>33.831000000000003</v>
      </c>
      <c r="M3059" s="19">
        <v>27.513999999999999</v>
      </c>
      <c r="N3059" s="19">
        <v>23.600999999999999</v>
      </c>
      <c r="O3059" s="19">
        <v>23.576000000000001</v>
      </c>
      <c r="P3059" s="19">
        <v>23.324000000000002</v>
      </c>
      <c r="Q3059" s="19">
        <v>20.018000000000001</v>
      </c>
      <c r="R3059" s="19">
        <v>16.675000000000001</v>
      </c>
      <c r="S3059" s="19">
        <v>14.166</v>
      </c>
      <c r="T3059" s="19">
        <v>10.045999999999999</v>
      </c>
      <c r="U3059" s="19">
        <v>8.3859999999999992</v>
      </c>
      <c r="V3059" s="19">
        <v>6.4729999999999999</v>
      </c>
      <c r="W3059" s="19">
        <v>4.3440000000000003</v>
      </c>
      <c r="X3059" s="19">
        <v>2.6150000000000002</v>
      </c>
      <c r="Y3059" s="19">
        <v>1.27</v>
      </c>
      <c r="Z3059" s="19">
        <v>0.39</v>
      </c>
      <c r="AA3059" s="19">
        <v>0.109</v>
      </c>
      <c r="AB3059" s="19">
        <v>0.01</v>
      </c>
      <c r="AC3059" s="19">
        <v>0</v>
      </c>
    </row>
    <row r="3060" spans="1:29" ht="11.65" x14ac:dyDescent="0.35">
      <c r="A3060" s="23">
        <v>3043</v>
      </c>
      <c r="B3060" s="21" t="s">
        <v>1015</v>
      </c>
      <c r="C3060" s="29" t="s">
        <v>1226</v>
      </c>
      <c r="D3060" s="20">
        <v>17</v>
      </c>
      <c r="E3060" s="20">
        <v>957</v>
      </c>
      <c r="F3060" s="21" t="s">
        <v>1065</v>
      </c>
      <c r="G3060" s="20">
        <v>1835</v>
      </c>
      <c r="H3060" s="20">
        <v>2010</v>
      </c>
      <c r="I3060" s="19">
        <v>37.115000000000002</v>
      </c>
      <c r="J3060" s="19">
        <v>36.258000000000003</v>
      </c>
      <c r="K3060" s="19">
        <v>35.478000000000002</v>
      </c>
      <c r="L3060" s="19">
        <v>33.223999999999997</v>
      </c>
      <c r="M3060" s="19">
        <v>27.289000000000001</v>
      </c>
      <c r="N3060" s="19">
        <v>24.603000000000002</v>
      </c>
      <c r="O3060" s="19">
        <v>22.198</v>
      </c>
      <c r="P3060" s="19">
        <v>22.716999999999999</v>
      </c>
      <c r="Q3060" s="19">
        <v>22.14</v>
      </c>
      <c r="R3060" s="19">
        <v>18.754999999999999</v>
      </c>
      <c r="S3060" s="19">
        <v>16.044</v>
      </c>
      <c r="T3060" s="19">
        <v>12.613</v>
      </c>
      <c r="U3060" s="19">
        <v>8.7509999999999994</v>
      </c>
      <c r="V3060" s="19">
        <v>7.2050000000000001</v>
      </c>
      <c r="W3060" s="19">
        <v>4.9429999999999996</v>
      </c>
      <c r="X3060" s="19">
        <v>3.1890000000000001</v>
      </c>
      <c r="Y3060" s="19">
        <v>1.57</v>
      </c>
      <c r="Z3060" s="19">
        <v>0.55500000000000005</v>
      </c>
      <c r="AA3060" s="19">
        <v>0.11700000000000001</v>
      </c>
      <c r="AB3060" s="19">
        <v>2.1000000000000001E-2</v>
      </c>
      <c r="AC3060" s="19">
        <v>1E-3</v>
      </c>
    </row>
    <row r="3061" spans="1:29" ht="11.65" x14ac:dyDescent="0.35">
      <c r="A3061" s="23">
        <v>3044</v>
      </c>
      <c r="B3061" s="21" t="s">
        <v>1015</v>
      </c>
      <c r="C3061" s="29" t="s">
        <v>1226</v>
      </c>
      <c r="D3061" s="20">
        <v>17</v>
      </c>
      <c r="E3061" s="20">
        <v>957</v>
      </c>
      <c r="F3061" s="21" t="s">
        <v>1065</v>
      </c>
      <c r="G3061" s="20">
        <v>1835</v>
      </c>
      <c r="H3061" s="20">
        <v>2015</v>
      </c>
      <c r="I3061" s="19">
        <v>36.628999999999998</v>
      </c>
      <c r="J3061" s="19">
        <v>36.415999999999997</v>
      </c>
      <c r="K3061" s="19">
        <v>33.529000000000003</v>
      </c>
      <c r="L3061" s="19">
        <v>31.472000000000001</v>
      </c>
      <c r="M3061" s="19">
        <v>26.687999999999999</v>
      </c>
      <c r="N3061" s="19">
        <v>24.236999999999998</v>
      </c>
      <c r="O3061" s="19">
        <v>22.69</v>
      </c>
      <c r="P3061" s="19">
        <v>21.202999999999999</v>
      </c>
      <c r="Q3061" s="19">
        <v>21.719000000000001</v>
      </c>
      <c r="R3061" s="19">
        <v>20.971</v>
      </c>
      <c r="S3061" s="19">
        <v>17.748000000000001</v>
      </c>
      <c r="T3061" s="19">
        <v>14.468999999999999</v>
      </c>
      <c r="U3061" s="19">
        <v>11.444000000000001</v>
      </c>
      <c r="V3061" s="19">
        <v>7.3460000000000001</v>
      </c>
      <c r="W3061" s="19">
        <v>5.8</v>
      </c>
      <c r="X3061" s="19">
        <v>3.5009999999999999</v>
      </c>
      <c r="Y3061" s="19">
        <v>1.865</v>
      </c>
      <c r="Z3061" s="19">
        <v>0.72</v>
      </c>
      <c r="AA3061" s="19">
        <v>0.17399999999999999</v>
      </c>
      <c r="AB3061" s="19">
        <v>0.02</v>
      </c>
      <c r="AC3061" s="19">
        <v>2E-3</v>
      </c>
    </row>
    <row r="3062" spans="1:29" ht="11.65" x14ac:dyDescent="0.35">
      <c r="A3062" s="23">
        <v>3045</v>
      </c>
      <c r="B3062" s="21" t="s">
        <v>1015</v>
      </c>
      <c r="C3062" s="29" t="s">
        <v>1226</v>
      </c>
      <c r="D3062" s="20">
        <v>17</v>
      </c>
      <c r="E3062" s="20">
        <v>957</v>
      </c>
      <c r="F3062" s="21" t="s">
        <v>1065</v>
      </c>
      <c r="G3062" s="20">
        <v>1835</v>
      </c>
      <c r="H3062" s="20">
        <v>2020</v>
      </c>
      <c r="I3062" s="19">
        <v>35.027000000000001</v>
      </c>
      <c r="J3062" s="19">
        <v>33.700000000000003</v>
      </c>
      <c r="K3062" s="19">
        <v>34.433999999999997</v>
      </c>
      <c r="L3062" s="19">
        <v>31.940999999999999</v>
      </c>
      <c r="M3062" s="19">
        <v>28.587</v>
      </c>
      <c r="N3062" s="19">
        <v>24.956</v>
      </c>
      <c r="O3062" s="19">
        <v>22.984000000000002</v>
      </c>
      <c r="P3062" s="19">
        <v>21.073</v>
      </c>
      <c r="Q3062" s="19">
        <v>19.954999999999998</v>
      </c>
      <c r="R3062" s="19">
        <v>20.747</v>
      </c>
      <c r="S3062" s="19">
        <v>19.832999999999998</v>
      </c>
      <c r="T3062" s="19">
        <v>16.684000000000001</v>
      </c>
      <c r="U3062" s="19">
        <v>13.154</v>
      </c>
      <c r="V3062" s="19">
        <v>9.9930000000000003</v>
      </c>
      <c r="W3062" s="19">
        <v>6.0919999999999996</v>
      </c>
      <c r="X3062" s="19">
        <v>4.234</v>
      </c>
      <c r="Y3062" s="19">
        <v>2.1429999999999998</v>
      </c>
      <c r="Z3062" s="19">
        <v>0.91400000000000003</v>
      </c>
      <c r="AA3062" s="19">
        <v>0.23499999999999999</v>
      </c>
      <c r="AB3062" s="19">
        <v>3.5999999999999997E-2</v>
      </c>
      <c r="AC3062" s="19">
        <v>3.0000000000000001E-3</v>
      </c>
    </row>
    <row r="3063" spans="1:29" ht="11.65" x14ac:dyDescent="0.35">
      <c r="A3063" s="12">
        <v>3046</v>
      </c>
      <c r="B3063" s="10" t="s">
        <v>1015</v>
      </c>
      <c r="C3063" s="11" t="s">
        <v>1227</v>
      </c>
      <c r="D3063" s="9">
        <v>2</v>
      </c>
      <c r="E3063" s="9">
        <v>258</v>
      </c>
      <c r="F3063" s="10" t="s">
        <v>1066</v>
      </c>
      <c r="G3063" s="9">
        <v>957</v>
      </c>
      <c r="H3063" s="9">
        <v>1950</v>
      </c>
      <c r="I3063" s="8">
        <v>4.5529999999999999</v>
      </c>
      <c r="J3063" s="8">
        <v>4.3029999999999999</v>
      </c>
      <c r="K3063" s="8">
        <v>3.8969999999999998</v>
      </c>
      <c r="L3063" s="8">
        <v>3.488</v>
      </c>
      <c r="M3063" s="8">
        <v>2.9910000000000001</v>
      </c>
      <c r="N3063" s="8">
        <v>2.427</v>
      </c>
      <c r="O3063" s="8">
        <v>1.911</v>
      </c>
      <c r="P3063" s="8">
        <v>1.853</v>
      </c>
      <c r="Q3063" s="8">
        <v>1.615</v>
      </c>
      <c r="R3063" s="8">
        <v>1.3240000000000001</v>
      </c>
      <c r="S3063" s="8">
        <v>1.028</v>
      </c>
      <c r="T3063" s="8">
        <v>0.80900000000000005</v>
      </c>
      <c r="U3063" s="8">
        <v>0.60399999999999998</v>
      </c>
      <c r="V3063" s="8">
        <v>0.38800000000000001</v>
      </c>
      <c r="W3063" s="8">
        <v>0.17699999999999999</v>
      </c>
      <c r="X3063" s="8">
        <v>0.08</v>
      </c>
      <c r="Y3063" s="8">
        <v>2.3E-2</v>
      </c>
      <c r="Z3063" s="8">
        <v>8.0000000000000002E-3</v>
      </c>
      <c r="AA3063" s="8">
        <v>4.0000000000000001E-3</v>
      </c>
      <c r="AB3063" s="8">
        <v>0</v>
      </c>
      <c r="AC3063" s="8">
        <v>0</v>
      </c>
    </row>
    <row r="3064" spans="1:29" ht="11.65" x14ac:dyDescent="0.35">
      <c r="A3064" s="12">
        <v>3047</v>
      </c>
      <c r="B3064" s="10" t="s">
        <v>1015</v>
      </c>
      <c r="C3064" s="11" t="s">
        <v>1227</v>
      </c>
      <c r="D3064" s="9">
        <v>2</v>
      </c>
      <c r="E3064" s="9">
        <v>258</v>
      </c>
      <c r="F3064" s="10" t="s">
        <v>1066</v>
      </c>
      <c r="G3064" s="9">
        <v>957</v>
      </c>
      <c r="H3064" s="9">
        <v>1955</v>
      </c>
      <c r="I3064" s="8">
        <v>6.3949999999999996</v>
      </c>
      <c r="J3064" s="8">
        <v>4.3159999999999998</v>
      </c>
      <c r="K3064" s="8">
        <v>4.16</v>
      </c>
      <c r="L3064" s="8">
        <v>3.6309999999999998</v>
      </c>
      <c r="M3064" s="8">
        <v>3.2480000000000002</v>
      </c>
      <c r="N3064" s="8">
        <v>2.7770000000000001</v>
      </c>
      <c r="O3064" s="8">
        <v>2.266</v>
      </c>
      <c r="P3064" s="8">
        <v>1.784</v>
      </c>
      <c r="Q3064" s="8">
        <v>1.788</v>
      </c>
      <c r="R3064" s="8">
        <v>1.5509999999999999</v>
      </c>
      <c r="S3064" s="8">
        <v>1.2190000000000001</v>
      </c>
      <c r="T3064" s="8">
        <v>0.92600000000000005</v>
      </c>
      <c r="U3064" s="8">
        <v>0.68300000000000005</v>
      </c>
      <c r="V3064" s="8">
        <v>0.51200000000000001</v>
      </c>
      <c r="W3064" s="8">
        <v>0.26400000000000001</v>
      </c>
      <c r="X3064" s="8">
        <v>0.10299999999999999</v>
      </c>
      <c r="Y3064" s="8">
        <v>3.7999999999999999E-2</v>
      </c>
      <c r="Z3064" s="8">
        <v>8.0000000000000002E-3</v>
      </c>
      <c r="AA3064" s="8">
        <v>1E-3</v>
      </c>
      <c r="AB3064" s="8">
        <v>0</v>
      </c>
      <c r="AC3064" s="8">
        <v>0</v>
      </c>
    </row>
    <row r="3065" spans="1:29" ht="11.65" x14ac:dyDescent="0.35">
      <c r="A3065" s="12">
        <v>3048</v>
      </c>
      <c r="B3065" s="10" t="s">
        <v>1015</v>
      </c>
      <c r="C3065" s="11" t="s">
        <v>1227</v>
      </c>
      <c r="D3065" s="9">
        <v>2</v>
      </c>
      <c r="E3065" s="9">
        <v>258</v>
      </c>
      <c r="F3065" s="10" t="s">
        <v>1066</v>
      </c>
      <c r="G3065" s="9">
        <v>957</v>
      </c>
      <c r="H3065" s="9">
        <v>1960</v>
      </c>
      <c r="I3065" s="8">
        <v>6.8090000000000002</v>
      </c>
      <c r="J3065" s="8">
        <v>6.0869999999999997</v>
      </c>
      <c r="K3065" s="8">
        <v>4.16</v>
      </c>
      <c r="L3065" s="8">
        <v>3.9809999999999999</v>
      </c>
      <c r="M3065" s="8">
        <v>3.028</v>
      </c>
      <c r="N3065" s="8">
        <v>2.988</v>
      </c>
      <c r="O3065" s="8">
        <v>2.5590000000000002</v>
      </c>
      <c r="P3065" s="8">
        <v>2.1419999999999999</v>
      </c>
      <c r="Q3065" s="8">
        <v>1.6739999999999999</v>
      </c>
      <c r="R3065" s="8">
        <v>1.8959999999999999</v>
      </c>
      <c r="S3065" s="8">
        <v>1.57</v>
      </c>
      <c r="T3065" s="8">
        <v>1.101</v>
      </c>
      <c r="U3065" s="8">
        <v>0.86799999999999999</v>
      </c>
      <c r="V3065" s="8">
        <v>0.56499999999999995</v>
      </c>
      <c r="W3065" s="8">
        <v>0.49299999999999999</v>
      </c>
      <c r="X3065" s="8">
        <v>0.16300000000000001</v>
      </c>
      <c r="Y3065" s="8">
        <v>5.0999999999999997E-2</v>
      </c>
      <c r="Z3065" s="8">
        <v>1.4E-2</v>
      </c>
      <c r="AA3065" s="8">
        <v>2E-3</v>
      </c>
      <c r="AB3065" s="8">
        <v>0</v>
      </c>
      <c r="AC3065" s="8">
        <v>0</v>
      </c>
    </row>
    <row r="3066" spans="1:29" ht="11.65" x14ac:dyDescent="0.35">
      <c r="A3066" s="12">
        <v>3049</v>
      </c>
      <c r="B3066" s="10" t="s">
        <v>1015</v>
      </c>
      <c r="C3066" s="11" t="s">
        <v>1227</v>
      </c>
      <c r="D3066" s="9">
        <v>2</v>
      </c>
      <c r="E3066" s="9">
        <v>258</v>
      </c>
      <c r="F3066" s="10" t="s">
        <v>1066</v>
      </c>
      <c r="G3066" s="9">
        <v>957</v>
      </c>
      <c r="H3066" s="9">
        <v>1965</v>
      </c>
      <c r="I3066" s="8">
        <v>8.3949999999999996</v>
      </c>
      <c r="J3066" s="8">
        <v>6.9550000000000001</v>
      </c>
      <c r="K3066" s="8">
        <v>6.4059999999999997</v>
      </c>
      <c r="L3066" s="8">
        <v>3.8650000000000002</v>
      </c>
      <c r="M3066" s="8">
        <v>3.774</v>
      </c>
      <c r="N3066" s="8">
        <v>2.9849999999999999</v>
      </c>
      <c r="O3066" s="8">
        <v>3.2109999999999999</v>
      </c>
      <c r="P3066" s="8">
        <v>2.7450000000000001</v>
      </c>
      <c r="Q3066" s="8">
        <v>2.2050000000000001</v>
      </c>
      <c r="R3066" s="8">
        <v>1.67</v>
      </c>
      <c r="S3066" s="8">
        <v>1.8560000000000001</v>
      </c>
      <c r="T3066" s="8">
        <v>1.403</v>
      </c>
      <c r="U3066" s="8">
        <v>0.91500000000000004</v>
      </c>
      <c r="V3066" s="8">
        <v>0.73199999999999998</v>
      </c>
      <c r="W3066" s="8">
        <v>0.39600000000000002</v>
      </c>
      <c r="X3066" s="8">
        <v>0.314</v>
      </c>
      <c r="Y3066" s="8">
        <v>8.1000000000000003E-2</v>
      </c>
      <c r="Z3066" s="8">
        <v>0.02</v>
      </c>
      <c r="AA3066" s="8">
        <v>4.0000000000000001E-3</v>
      </c>
      <c r="AB3066" s="8">
        <v>0</v>
      </c>
      <c r="AC3066" s="8">
        <v>0</v>
      </c>
    </row>
    <row r="3067" spans="1:29" ht="11.65" x14ac:dyDescent="0.35">
      <c r="A3067" s="12">
        <v>3050</v>
      </c>
      <c r="B3067" s="10" t="s">
        <v>1015</v>
      </c>
      <c r="C3067" s="11" t="s">
        <v>1227</v>
      </c>
      <c r="D3067" s="9">
        <v>2</v>
      </c>
      <c r="E3067" s="9">
        <v>258</v>
      </c>
      <c r="F3067" s="10" t="s">
        <v>1066</v>
      </c>
      <c r="G3067" s="9">
        <v>957</v>
      </c>
      <c r="H3067" s="9">
        <v>1970</v>
      </c>
      <c r="I3067" s="8">
        <v>9.9949999999999992</v>
      </c>
      <c r="J3067" s="8">
        <v>8.1890000000000001</v>
      </c>
      <c r="K3067" s="8">
        <v>7.3769999999999998</v>
      </c>
      <c r="L3067" s="8">
        <v>5.4359999999999999</v>
      </c>
      <c r="M3067" s="8">
        <v>3.7519999999999998</v>
      </c>
      <c r="N3067" s="8">
        <v>3.9140000000000001</v>
      </c>
      <c r="O3067" s="8">
        <v>3.5430000000000001</v>
      </c>
      <c r="P3067" s="8">
        <v>3.39</v>
      </c>
      <c r="Q3067" s="8">
        <v>2.67</v>
      </c>
      <c r="R3067" s="8">
        <v>2.1030000000000002</v>
      </c>
      <c r="S3067" s="8">
        <v>1.6719999999999999</v>
      </c>
      <c r="T3067" s="8">
        <v>1.569</v>
      </c>
      <c r="U3067" s="8">
        <v>1.1519999999999999</v>
      </c>
      <c r="V3067" s="8">
        <v>0.83799999999999997</v>
      </c>
      <c r="W3067" s="8">
        <v>0.48699999999999999</v>
      </c>
      <c r="X3067" s="8">
        <v>0.27300000000000002</v>
      </c>
      <c r="Y3067" s="8">
        <v>0.157</v>
      </c>
      <c r="Z3067" s="8">
        <v>3.1E-2</v>
      </c>
      <c r="AA3067" s="8">
        <v>7.0000000000000001E-3</v>
      </c>
      <c r="AB3067" s="8">
        <v>0</v>
      </c>
      <c r="AC3067" s="8">
        <v>0</v>
      </c>
    </row>
    <row r="3068" spans="1:29" ht="11.65" x14ac:dyDescent="0.35">
      <c r="A3068" s="12">
        <v>3051</v>
      </c>
      <c r="B3068" s="10" t="s">
        <v>1015</v>
      </c>
      <c r="C3068" s="11" t="s">
        <v>1227</v>
      </c>
      <c r="D3068" s="9">
        <v>2</v>
      </c>
      <c r="E3068" s="9">
        <v>258</v>
      </c>
      <c r="F3068" s="10" t="s">
        <v>1066</v>
      </c>
      <c r="G3068" s="9">
        <v>957</v>
      </c>
      <c r="H3068" s="9">
        <v>1975</v>
      </c>
      <c r="I3068" s="8">
        <v>10.191000000000001</v>
      </c>
      <c r="J3068" s="8">
        <v>9.9380000000000006</v>
      </c>
      <c r="K3068" s="8">
        <v>8.4849999999999994</v>
      </c>
      <c r="L3068" s="8">
        <v>7.452</v>
      </c>
      <c r="M3068" s="8">
        <v>6.298</v>
      </c>
      <c r="N3068" s="8">
        <v>4.4059999999999997</v>
      </c>
      <c r="O3068" s="8">
        <v>4.6349999999999998</v>
      </c>
      <c r="P3068" s="8">
        <v>3.7949999999999999</v>
      </c>
      <c r="Q3068" s="8">
        <v>3.552</v>
      </c>
      <c r="R3068" s="8">
        <v>2.645</v>
      </c>
      <c r="S3068" s="8">
        <v>1.9890000000000001</v>
      </c>
      <c r="T3068" s="8">
        <v>1.4890000000000001</v>
      </c>
      <c r="U3068" s="8">
        <v>1.444</v>
      </c>
      <c r="V3068" s="8">
        <v>0.85599999999999998</v>
      </c>
      <c r="W3068" s="8">
        <v>0.52300000000000002</v>
      </c>
      <c r="X3068" s="8">
        <v>0.20799999999999999</v>
      </c>
      <c r="Y3068" s="8">
        <v>9.4E-2</v>
      </c>
      <c r="Z3068" s="8">
        <v>6.4000000000000001E-2</v>
      </c>
      <c r="AA3068" s="8">
        <v>8.9999999999999993E-3</v>
      </c>
      <c r="AB3068" s="8">
        <v>0</v>
      </c>
      <c r="AC3068" s="8">
        <v>0</v>
      </c>
    </row>
    <row r="3069" spans="1:29" ht="11.65" x14ac:dyDescent="0.35">
      <c r="A3069" s="12">
        <v>3052</v>
      </c>
      <c r="B3069" s="10" t="s">
        <v>1015</v>
      </c>
      <c r="C3069" s="11" t="s">
        <v>1227</v>
      </c>
      <c r="D3069" s="9">
        <v>2</v>
      </c>
      <c r="E3069" s="9">
        <v>258</v>
      </c>
      <c r="F3069" s="10" t="s">
        <v>1066</v>
      </c>
      <c r="G3069" s="9">
        <v>957</v>
      </c>
      <c r="H3069" s="9">
        <v>1980</v>
      </c>
      <c r="I3069" s="8">
        <v>10.742000000000001</v>
      </c>
      <c r="J3069" s="8">
        <v>10.237</v>
      </c>
      <c r="K3069" s="8">
        <v>10.228</v>
      </c>
      <c r="L3069" s="8">
        <v>8.7639999999999993</v>
      </c>
      <c r="M3069" s="8">
        <v>7.6529999999999996</v>
      </c>
      <c r="N3069" s="8">
        <v>6.6669999999999998</v>
      </c>
      <c r="O3069" s="8">
        <v>4.8949999999999996</v>
      </c>
      <c r="P3069" s="8">
        <v>5.1120000000000001</v>
      </c>
      <c r="Q3069" s="8">
        <v>3.84</v>
      </c>
      <c r="R3069" s="8">
        <v>3.508</v>
      </c>
      <c r="S3069" s="8">
        <v>2.5030000000000001</v>
      </c>
      <c r="T3069" s="8">
        <v>1.8640000000000001</v>
      </c>
      <c r="U3069" s="8">
        <v>1.272</v>
      </c>
      <c r="V3069" s="8">
        <v>1.228</v>
      </c>
      <c r="W3069" s="8">
        <v>0.68799999999999994</v>
      </c>
      <c r="X3069" s="8">
        <v>0.35099999999999998</v>
      </c>
      <c r="Y3069" s="8">
        <v>0.12</v>
      </c>
      <c r="Z3069" s="8">
        <v>3.9E-2</v>
      </c>
      <c r="AA3069" s="8">
        <v>1.9E-2</v>
      </c>
      <c r="AB3069" s="8">
        <v>2E-3</v>
      </c>
      <c r="AC3069" s="8">
        <v>0</v>
      </c>
    </row>
    <row r="3070" spans="1:29" ht="11.65" x14ac:dyDescent="0.35">
      <c r="A3070" s="12">
        <v>3053</v>
      </c>
      <c r="B3070" s="10" t="s">
        <v>1015</v>
      </c>
      <c r="C3070" s="11" t="s">
        <v>1227</v>
      </c>
      <c r="D3070" s="9">
        <v>2</v>
      </c>
      <c r="E3070" s="9">
        <v>258</v>
      </c>
      <c r="F3070" s="10" t="s">
        <v>1066</v>
      </c>
      <c r="G3070" s="9">
        <v>957</v>
      </c>
      <c r="H3070" s="9">
        <v>1985</v>
      </c>
      <c r="I3070" s="8">
        <v>11.542999999999999</v>
      </c>
      <c r="J3070" s="8">
        <v>10.587999999999999</v>
      </c>
      <c r="K3070" s="8">
        <v>10.922000000000001</v>
      </c>
      <c r="L3070" s="8">
        <v>10.638999999999999</v>
      </c>
      <c r="M3070" s="8">
        <v>8.9760000000000009</v>
      </c>
      <c r="N3070" s="8">
        <v>7.9320000000000004</v>
      </c>
      <c r="O3070" s="8">
        <v>7.5039999999999996</v>
      </c>
      <c r="P3070" s="8">
        <v>5.4089999999999998</v>
      </c>
      <c r="Q3070" s="8">
        <v>5.5979999999999999</v>
      </c>
      <c r="R3070" s="8">
        <v>3.351</v>
      </c>
      <c r="S3070" s="8">
        <v>3.855</v>
      </c>
      <c r="T3070" s="8">
        <v>2.1680000000000001</v>
      </c>
      <c r="U3070" s="8">
        <v>1.8109999999999999</v>
      </c>
      <c r="V3070" s="8">
        <v>0.81399999999999995</v>
      </c>
      <c r="W3070" s="8">
        <v>1.054</v>
      </c>
      <c r="X3070" s="8">
        <v>0.373</v>
      </c>
      <c r="Y3070" s="8">
        <v>4.9000000000000002E-2</v>
      </c>
      <c r="Z3070" s="8">
        <v>5.0999999999999997E-2</v>
      </c>
      <c r="AA3070" s="8">
        <v>1.2E-2</v>
      </c>
      <c r="AB3070" s="8">
        <v>4.0000000000000001E-3</v>
      </c>
      <c r="AC3070" s="8">
        <v>0</v>
      </c>
    </row>
    <row r="3071" spans="1:29" ht="11.65" x14ac:dyDescent="0.35">
      <c r="A3071" s="12">
        <v>3054</v>
      </c>
      <c r="B3071" s="10" t="s">
        <v>1015</v>
      </c>
      <c r="C3071" s="11" t="s">
        <v>1227</v>
      </c>
      <c r="D3071" s="9">
        <v>2</v>
      </c>
      <c r="E3071" s="9">
        <v>258</v>
      </c>
      <c r="F3071" s="10" t="s">
        <v>1066</v>
      </c>
      <c r="G3071" s="9">
        <v>957</v>
      </c>
      <c r="H3071" s="9">
        <v>1990</v>
      </c>
      <c r="I3071" s="8">
        <v>13.852</v>
      </c>
      <c r="J3071" s="8">
        <v>11.73</v>
      </c>
      <c r="K3071" s="8">
        <v>10.616</v>
      </c>
      <c r="L3071" s="8">
        <v>10.670999999999999</v>
      </c>
      <c r="M3071" s="8">
        <v>10.505000000000001</v>
      </c>
      <c r="N3071" s="8">
        <v>8.8870000000000005</v>
      </c>
      <c r="O3071" s="8">
        <v>7.8479999999999999</v>
      </c>
      <c r="P3071" s="8">
        <v>7.2560000000000002</v>
      </c>
      <c r="Q3071" s="8">
        <v>5.306</v>
      </c>
      <c r="R3071" s="8">
        <v>5.335</v>
      </c>
      <c r="S3071" s="8">
        <v>3.4260000000000002</v>
      </c>
      <c r="T3071" s="8">
        <v>3.4249999999999998</v>
      </c>
      <c r="U3071" s="8">
        <v>1.9890000000000001</v>
      </c>
      <c r="V3071" s="8">
        <v>1.4770000000000001</v>
      </c>
      <c r="W3071" s="8">
        <v>0.70599999999999996</v>
      </c>
      <c r="X3071" s="8">
        <v>0.67800000000000005</v>
      </c>
      <c r="Y3071" s="8">
        <v>0.21199999999999999</v>
      </c>
      <c r="Z3071" s="8">
        <v>0.02</v>
      </c>
      <c r="AA3071" s="8">
        <v>1.4999999999999999E-2</v>
      </c>
      <c r="AB3071" s="8">
        <v>2E-3</v>
      </c>
      <c r="AC3071" s="8">
        <v>0</v>
      </c>
    </row>
    <row r="3072" spans="1:29" ht="11.65" x14ac:dyDescent="0.35">
      <c r="A3072" s="12">
        <v>3055</v>
      </c>
      <c r="B3072" s="10" t="s">
        <v>1015</v>
      </c>
      <c r="C3072" s="11" t="s">
        <v>1227</v>
      </c>
      <c r="D3072" s="9">
        <v>2</v>
      </c>
      <c r="E3072" s="9">
        <v>258</v>
      </c>
      <c r="F3072" s="10" t="s">
        <v>1066</v>
      </c>
      <c r="G3072" s="9">
        <v>957</v>
      </c>
      <c r="H3072" s="9">
        <v>1995</v>
      </c>
      <c r="I3072" s="8">
        <v>12.987</v>
      </c>
      <c r="J3072" s="8">
        <v>13.645</v>
      </c>
      <c r="K3072" s="8">
        <v>11.718</v>
      </c>
      <c r="L3072" s="8">
        <v>10.484999999999999</v>
      </c>
      <c r="M3072" s="8">
        <v>10.358000000000001</v>
      </c>
      <c r="N3072" s="8">
        <v>10.404999999999999</v>
      </c>
      <c r="O3072" s="8">
        <v>9.3019999999999996</v>
      </c>
      <c r="P3072" s="8">
        <v>7.5880000000000001</v>
      </c>
      <c r="Q3072" s="8">
        <v>7.29</v>
      </c>
      <c r="R3072" s="8">
        <v>5.069</v>
      </c>
      <c r="S3072" s="8">
        <v>4.7430000000000003</v>
      </c>
      <c r="T3072" s="8">
        <v>3.3109999999999999</v>
      </c>
      <c r="U3072" s="8">
        <v>2.657</v>
      </c>
      <c r="V3072" s="8">
        <v>1.673</v>
      </c>
      <c r="W3072" s="8">
        <v>1.0580000000000001</v>
      </c>
      <c r="X3072" s="8">
        <v>0.48499999999999999</v>
      </c>
      <c r="Y3072" s="8">
        <v>0.308</v>
      </c>
      <c r="Z3072" s="8">
        <v>9.2999999999999999E-2</v>
      </c>
      <c r="AA3072" s="8">
        <v>8.0000000000000002E-3</v>
      </c>
      <c r="AB3072" s="8">
        <v>3.0000000000000001E-3</v>
      </c>
      <c r="AC3072" s="8">
        <v>0</v>
      </c>
    </row>
    <row r="3073" spans="1:29" ht="11.65" x14ac:dyDescent="0.35">
      <c r="A3073" s="12">
        <v>3056</v>
      </c>
      <c r="B3073" s="10" t="s">
        <v>1015</v>
      </c>
      <c r="C3073" s="11" t="s">
        <v>1227</v>
      </c>
      <c r="D3073" s="9">
        <v>2</v>
      </c>
      <c r="E3073" s="9">
        <v>258</v>
      </c>
      <c r="F3073" s="10" t="s">
        <v>1066</v>
      </c>
      <c r="G3073" s="9">
        <v>957</v>
      </c>
      <c r="H3073" s="9">
        <v>2000</v>
      </c>
      <c r="I3073" s="8">
        <v>12.109</v>
      </c>
      <c r="J3073" s="8">
        <v>13.183</v>
      </c>
      <c r="K3073" s="8">
        <v>14.317</v>
      </c>
      <c r="L3073" s="8">
        <v>11.234</v>
      </c>
      <c r="M3073" s="8">
        <v>9.3800000000000008</v>
      </c>
      <c r="N3073" s="8">
        <v>10.28</v>
      </c>
      <c r="O3073" s="8">
        <v>10.904</v>
      </c>
      <c r="P3073" s="8">
        <v>9.9190000000000005</v>
      </c>
      <c r="Q3073" s="8">
        <v>7.5970000000000004</v>
      </c>
      <c r="R3073" s="8">
        <v>7.4749999999999996</v>
      </c>
      <c r="S3073" s="8">
        <v>4.8390000000000004</v>
      </c>
      <c r="T3073" s="8">
        <v>4.5090000000000003</v>
      </c>
      <c r="U3073" s="8">
        <v>3.1389999999999998</v>
      </c>
      <c r="V3073" s="8">
        <v>2.3959999999999999</v>
      </c>
      <c r="W3073" s="8">
        <v>1.367</v>
      </c>
      <c r="X3073" s="8">
        <v>0.76700000000000002</v>
      </c>
      <c r="Y3073" s="8">
        <v>0.23300000000000001</v>
      </c>
      <c r="Z3073" s="8">
        <v>0.13800000000000001</v>
      </c>
      <c r="AA3073" s="8">
        <v>3.1E-2</v>
      </c>
      <c r="AB3073" s="8">
        <v>0</v>
      </c>
      <c r="AC3073" s="8">
        <v>0</v>
      </c>
    </row>
    <row r="3074" spans="1:29" ht="11.65" x14ac:dyDescent="0.35">
      <c r="A3074" s="12">
        <v>3057</v>
      </c>
      <c r="B3074" s="10" t="s">
        <v>1015</v>
      </c>
      <c r="C3074" s="11" t="s">
        <v>1227</v>
      </c>
      <c r="D3074" s="9">
        <v>2</v>
      </c>
      <c r="E3074" s="9">
        <v>258</v>
      </c>
      <c r="F3074" s="10" t="s">
        <v>1066</v>
      </c>
      <c r="G3074" s="9">
        <v>957</v>
      </c>
      <c r="H3074" s="9">
        <v>2005</v>
      </c>
      <c r="I3074" s="8">
        <v>11.750999999999999</v>
      </c>
      <c r="J3074" s="8">
        <v>12.429</v>
      </c>
      <c r="K3074" s="8">
        <v>13.317</v>
      </c>
      <c r="L3074" s="8">
        <v>13.584</v>
      </c>
      <c r="M3074" s="8">
        <v>10.792</v>
      </c>
      <c r="N3074" s="8">
        <v>10.09</v>
      </c>
      <c r="O3074" s="8">
        <v>10.484</v>
      </c>
      <c r="P3074" s="8">
        <v>10.781000000000001</v>
      </c>
      <c r="Q3074" s="8">
        <v>9.6379999999999999</v>
      </c>
      <c r="R3074" s="8">
        <v>7.5970000000000004</v>
      </c>
      <c r="S3074" s="8">
        <v>7.093</v>
      </c>
      <c r="T3074" s="8">
        <v>4.641</v>
      </c>
      <c r="U3074" s="8">
        <v>4.1539999999999999</v>
      </c>
      <c r="V3074" s="8">
        <v>2.778</v>
      </c>
      <c r="W3074" s="8">
        <v>1.879</v>
      </c>
      <c r="X3074" s="8">
        <v>1.0089999999999999</v>
      </c>
      <c r="Y3074" s="8">
        <v>0.44800000000000001</v>
      </c>
      <c r="Z3074" s="8">
        <v>0.109</v>
      </c>
      <c r="AA3074" s="8">
        <v>4.5999999999999999E-2</v>
      </c>
      <c r="AB3074" s="8">
        <v>6.0000000000000001E-3</v>
      </c>
      <c r="AC3074" s="8">
        <v>0</v>
      </c>
    </row>
    <row r="3075" spans="1:29" ht="11.65" x14ac:dyDescent="0.35">
      <c r="A3075" s="12">
        <v>3058</v>
      </c>
      <c r="B3075" s="10" t="s">
        <v>1015</v>
      </c>
      <c r="C3075" s="11" t="s">
        <v>1227</v>
      </c>
      <c r="D3075" s="9">
        <v>2</v>
      </c>
      <c r="E3075" s="9">
        <v>258</v>
      </c>
      <c r="F3075" s="10" t="s">
        <v>1066</v>
      </c>
      <c r="G3075" s="9">
        <v>957</v>
      </c>
      <c r="H3075" s="9">
        <v>2010</v>
      </c>
      <c r="I3075" s="8">
        <v>11.13</v>
      </c>
      <c r="J3075" s="8">
        <v>11.715</v>
      </c>
      <c r="K3075" s="8">
        <v>12.209</v>
      </c>
      <c r="L3075" s="8">
        <v>12.006</v>
      </c>
      <c r="M3075" s="8">
        <v>11.858000000000001</v>
      </c>
      <c r="N3075" s="8">
        <v>10.955</v>
      </c>
      <c r="O3075" s="8">
        <v>9.7449999999999992</v>
      </c>
      <c r="P3075" s="8">
        <v>10.361000000000001</v>
      </c>
      <c r="Q3075" s="8">
        <v>10.975</v>
      </c>
      <c r="R3075" s="8">
        <v>9.2330000000000005</v>
      </c>
      <c r="S3075" s="8">
        <v>7.6429999999999998</v>
      </c>
      <c r="T3075" s="8">
        <v>6.2389999999999999</v>
      </c>
      <c r="U3075" s="8">
        <v>4.0839999999999996</v>
      </c>
      <c r="V3075" s="8">
        <v>3.6040000000000001</v>
      </c>
      <c r="W3075" s="8">
        <v>2.1309999999999998</v>
      </c>
      <c r="X3075" s="8">
        <v>1.589</v>
      </c>
      <c r="Y3075" s="8">
        <v>0.65300000000000002</v>
      </c>
      <c r="Z3075" s="8">
        <v>0.22</v>
      </c>
      <c r="AA3075" s="8">
        <v>3.7999999999999999E-2</v>
      </c>
      <c r="AB3075" s="8">
        <v>1.0999999999999999E-2</v>
      </c>
      <c r="AC3075" s="8">
        <v>1E-3</v>
      </c>
    </row>
    <row r="3076" spans="1:29" ht="11.65" x14ac:dyDescent="0.35">
      <c r="A3076" s="12">
        <v>3059</v>
      </c>
      <c r="B3076" s="10" t="s">
        <v>1015</v>
      </c>
      <c r="C3076" s="11" t="s">
        <v>1227</v>
      </c>
      <c r="D3076" s="9">
        <v>2</v>
      </c>
      <c r="E3076" s="9">
        <v>258</v>
      </c>
      <c r="F3076" s="10" t="s">
        <v>1066</v>
      </c>
      <c r="G3076" s="9">
        <v>957</v>
      </c>
      <c r="H3076" s="9">
        <v>2015</v>
      </c>
      <c r="I3076" s="8">
        <v>10.211</v>
      </c>
      <c r="J3076" s="8">
        <v>11.606</v>
      </c>
      <c r="K3076" s="8">
        <v>11.567</v>
      </c>
      <c r="L3076" s="8">
        <v>11.311</v>
      </c>
      <c r="M3076" s="8">
        <v>10.048</v>
      </c>
      <c r="N3076" s="8">
        <v>11.553000000000001</v>
      </c>
      <c r="O3076" s="8">
        <v>10.428000000000001</v>
      </c>
      <c r="P3076" s="8">
        <v>9.9</v>
      </c>
      <c r="Q3076" s="8">
        <v>10.606</v>
      </c>
      <c r="R3076" s="8">
        <v>10.212</v>
      </c>
      <c r="S3076" s="8">
        <v>8.7590000000000003</v>
      </c>
      <c r="T3076" s="8">
        <v>7.08</v>
      </c>
      <c r="U3076" s="8">
        <v>5.7530000000000001</v>
      </c>
      <c r="V3076" s="8">
        <v>3.4849999999999999</v>
      </c>
      <c r="W3076" s="8">
        <v>3.0459999999999998</v>
      </c>
      <c r="X3076" s="8">
        <v>1.627</v>
      </c>
      <c r="Y3076" s="8">
        <v>1.046</v>
      </c>
      <c r="Z3076" s="8">
        <v>0.33600000000000002</v>
      </c>
      <c r="AA3076" s="8">
        <v>8.2000000000000003E-2</v>
      </c>
      <c r="AB3076" s="8">
        <v>8.9999999999999993E-3</v>
      </c>
      <c r="AC3076" s="8">
        <v>2E-3</v>
      </c>
    </row>
    <row r="3077" spans="1:29" ht="11.65" x14ac:dyDescent="0.35">
      <c r="A3077" s="12">
        <v>3060</v>
      </c>
      <c r="B3077" s="10" t="s">
        <v>1015</v>
      </c>
      <c r="C3077" s="11" t="s">
        <v>1227</v>
      </c>
      <c r="D3077" s="9">
        <v>2</v>
      </c>
      <c r="E3077" s="9">
        <v>258</v>
      </c>
      <c r="F3077" s="10" t="s">
        <v>1066</v>
      </c>
      <c r="G3077" s="9">
        <v>957</v>
      </c>
      <c r="H3077" s="9">
        <v>2020</v>
      </c>
      <c r="I3077" s="8">
        <v>10.282</v>
      </c>
      <c r="J3077" s="8">
        <v>10.134</v>
      </c>
      <c r="K3077" s="8">
        <v>11.548</v>
      </c>
      <c r="L3077" s="8">
        <v>11.288</v>
      </c>
      <c r="M3077" s="8">
        <v>10.805999999999999</v>
      </c>
      <c r="N3077" s="8">
        <v>9.5559999999999992</v>
      </c>
      <c r="O3077" s="8">
        <v>11.156000000000001</v>
      </c>
      <c r="P3077" s="8">
        <v>10.125</v>
      </c>
      <c r="Q3077" s="8">
        <v>9.6579999999999995</v>
      </c>
      <c r="R3077" s="8">
        <v>10.364000000000001</v>
      </c>
      <c r="S3077" s="8">
        <v>9.9329999999999998</v>
      </c>
      <c r="T3077" s="8">
        <v>8.4009999999999998</v>
      </c>
      <c r="U3077" s="8">
        <v>6.6379999999999999</v>
      </c>
      <c r="V3077" s="8">
        <v>5.2080000000000002</v>
      </c>
      <c r="W3077" s="8">
        <v>2.9889999999999999</v>
      </c>
      <c r="X3077" s="8">
        <v>2.383</v>
      </c>
      <c r="Y3077" s="8">
        <v>1.085</v>
      </c>
      <c r="Z3077" s="8">
        <v>0.55500000000000005</v>
      </c>
      <c r="AA3077" s="8">
        <v>0.129</v>
      </c>
      <c r="AB3077" s="8">
        <v>2.1000000000000001E-2</v>
      </c>
      <c r="AC3077" s="8">
        <v>2E-3</v>
      </c>
    </row>
    <row r="3078" spans="1:29" ht="11.65" x14ac:dyDescent="0.35">
      <c r="A3078" s="12">
        <v>3061</v>
      </c>
      <c r="B3078" s="10" t="s">
        <v>1015</v>
      </c>
      <c r="C3078" s="11" t="s">
        <v>1228</v>
      </c>
      <c r="D3078" s="9"/>
      <c r="E3078" s="9">
        <v>882</v>
      </c>
      <c r="F3078" s="10" t="s">
        <v>1066</v>
      </c>
      <c r="G3078" s="9">
        <v>957</v>
      </c>
      <c r="H3078" s="9">
        <v>1950</v>
      </c>
      <c r="I3078" s="8">
        <v>7.7329999999999997</v>
      </c>
      <c r="J3078" s="8">
        <v>6.734</v>
      </c>
      <c r="K3078" s="8">
        <v>5.9420000000000002</v>
      </c>
      <c r="L3078" s="8">
        <v>4.1959999999999997</v>
      </c>
      <c r="M3078" s="8">
        <v>3.39</v>
      </c>
      <c r="N3078" s="8">
        <v>3.1160000000000001</v>
      </c>
      <c r="O3078" s="8">
        <v>2.5640000000000001</v>
      </c>
      <c r="P3078" s="8">
        <v>2.2469999999999999</v>
      </c>
      <c r="Q3078" s="8">
        <v>1.736</v>
      </c>
      <c r="R3078" s="8">
        <v>1.363</v>
      </c>
      <c r="S3078" s="8">
        <v>0.97699999999999998</v>
      </c>
      <c r="T3078" s="8">
        <v>0.63700000000000001</v>
      </c>
      <c r="U3078" s="8">
        <v>0.66600000000000004</v>
      </c>
      <c r="V3078" s="8">
        <v>0.442</v>
      </c>
      <c r="W3078" s="8">
        <v>0.27100000000000002</v>
      </c>
      <c r="X3078" s="8">
        <v>0.17599999999999999</v>
      </c>
      <c r="Y3078" s="8">
        <v>0.112</v>
      </c>
      <c r="Z3078" s="8">
        <v>3.5000000000000003E-2</v>
      </c>
      <c r="AA3078" s="8">
        <v>8.9999999999999993E-3</v>
      </c>
      <c r="AB3078" s="8">
        <v>0</v>
      </c>
      <c r="AC3078" s="8">
        <v>0</v>
      </c>
    </row>
    <row r="3079" spans="1:29" ht="11.65" x14ac:dyDescent="0.35">
      <c r="A3079" s="12">
        <v>3062</v>
      </c>
      <c r="B3079" s="10" t="s">
        <v>1015</v>
      </c>
      <c r="C3079" s="11" t="s">
        <v>1228</v>
      </c>
      <c r="D3079" s="9"/>
      <c r="E3079" s="9">
        <v>882</v>
      </c>
      <c r="F3079" s="10" t="s">
        <v>1066</v>
      </c>
      <c r="G3079" s="9">
        <v>957</v>
      </c>
      <c r="H3079" s="9">
        <v>1955</v>
      </c>
      <c r="I3079" s="8">
        <v>9.8970000000000002</v>
      </c>
      <c r="J3079" s="8">
        <v>7.31</v>
      </c>
      <c r="K3079" s="8">
        <v>6.4820000000000002</v>
      </c>
      <c r="L3079" s="8">
        <v>5.399</v>
      </c>
      <c r="M3079" s="8">
        <v>3.504</v>
      </c>
      <c r="N3079" s="8">
        <v>3.024</v>
      </c>
      <c r="O3079" s="8">
        <v>2.8159999999999998</v>
      </c>
      <c r="P3079" s="8">
        <v>2.5579999999999998</v>
      </c>
      <c r="Q3079" s="8">
        <v>1.9610000000000001</v>
      </c>
      <c r="R3079" s="8">
        <v>1.6160000000000001</v>
      </c>
      <c r="S3079" s="8">
        <v>1.1850000000000001</v>
      </c>
      <c r="T3079" s="8">
        <v>0.82599999999999996</v>
      </c>
      <c r="U3079" s="8">
        <v>0.56899999999999995</v>
      </c>
      <c r="V3079" s="8">
        <v>0.51100000000000001</v>
      </c>
      <c r="W3079" s="8">
        <v>0.30499999999999999</v>
      </c>
      <c r="X3079" s="8">
        <v>0.13300000000000001</v>
      </c>
      <c r="Y3079" s="8">
        <v>7.0000000000000007E-2</v>
      </c>
      <c r="Z3079" s="8">
        <v>1.7000000000000001E-2</v>
      </c>
      <c r="AA3079" s="8">
        <v>2E-3</v>
      </c>
      <c r="AB3079" s="8">
        <v>0</v>
      </c>
      <c r="AC3079" s="8">
        <v>0</v>
      </c>
    </row>
    <row r="3080" spans="1:29" ht="11.65" x14ac:dyDescent="0.35">
      <c r="A3080" s="12">
        <v>3063</v>
      </c>
      <c r="B3080" s="10" t="s">
        <v>1015</v>
      </c>
      <c r="C3080" s="11" t="s">
        <v>1228</v>
      </c>
      <c r="D3080" s="9"/>
      <c r="E3080" s="9">
        <v>882</v>
      </c>
      <c r="F3080" s="10" t="s">
        <v>1066</v>
      </c>
      <c r="G3080" s="9">
        <v>957</v>
      </c>
      <c r="H3080" s="9">
        <v>1960</v>
      </c>
      <c r="I3080" s="8">
        <v>11.002000000000001</v>
      </c>
      <c r="J3080" s="8">
        <v>9.4090000000000007</v>
      </c>
      <c r="K3080" s="8">
        <v>7.1180000000000003</v>
      </c>
      <c r="L3080" s="8">
        <v>5.8869999999999996</v>
      </c>
      <c r="M3080" s="8">
        <v>4.7309999999999999</v>
      </c>
      <c r="N3080" s="8">
        <v>3.2250000000000001</v>
      </c>
      <c r="O3080" s="8">
        <v>2.7269999999999999</v>
      </c>
      <c r="P3080" s="8">
        <v>2.7629999999999999</v>
      </c>
      <c r="Q3080" s="8">
        <v>2.1179999999999999</v>
      </c>
      <c r="R3080" s="8">
        <v>1.952</v>
      </c>
      <c r="S3080" s="8">
        <v>1.3069999999999999</v>
      </c>
      <c r="T3080" s="8">
        <v>1.0620000000000001</v>
      </c>
      <c r="U3080" s="8">
        <v>0.79400000000000004</v>
      </c>
      <c r="V3080" s="8">
        <v>0.47699999999999998</v>
      </c>
      <c r="W3080" s="8">
        <v>0.36499999999999999</v>
      </c>
      <c r="X3080" s="8">
        <v>0.129</v>
      </c>
      <c r="Y3080" s="8">
        <v>5.5E-2</v>
      </c>
      <c r="Z3080" s="8">
        <v>1.2E-2</v>
      </c>
      <c r="AA3080" s="8">
        <v>0</v>
      </c>
      <c r="AB3080" s="8">
        <v>0</v>
      </c>
      <c r="AC3080" s="8">
        <v>0</v>
      </c>
    </row>
    <row r="3081" spans="1:29" ht="11.65" x14ac:dyDescent="0.35">
      <c r="A3081" s="12">
        <v>3064</v>
      </c>
      <c r="B3081" s="10" t="s">
        <v>1015</v>
      </c>
      <c r="C3081" s="11" t="s">
        <v>1228</v>
      </c>
      <c r="D3081" s="9"/>
      <c r="E3081" s="9">
        <v>882</v>
      </c>
      <c r="F3081" s="10" t="s">
        <v>1066</v>
      </c>
      <c r="G3081" s="9">
        <v>957</v>
      </c>
      <c r="H3081" s="9">
        <v>1965</v>
      </c>
      <c r="I3081" s="8">
        <v>13.291</v>
      </c>
      <c r="J3081" s="8">
        <v>11.13</v>
      </c>
      <c r="K3081" s="8">
        <v>9.1039999999999992</v>
      </c>
      <c r="L3081" s="8">
        <v>6.3259999999999996</v>
      </c>
      <c r="M3081" s="8">
        <v>4.9340000000000002</v>
      </c>
      <c r="N3081" s="8">
        <v>4.2530000000000001</v>
      </c>
      <c r="O3081" s="8">
        <v>3.23</v>
      </c>
      <c r="P3081" s="8">
        <v>2.7559999999999998</v>
      </c>
      <c r="Q3081" s="8">
        <v>2.355</v>
      </c>
      <c r="R3081" s="8">
        <v>2.0859999999999999</v>
      </c>
      <c r="S3081" s="8">
        <v>1.6359999999999999</v>
      </c>
      <c r="T3081" s="8">
        <v>1.196</v>
      </c>
      <c r="U3081" s="8">
        <v>0.88400000000000001</v>
      </c>
      <c r="V3081" s="8">
        <v>0.68700000000000006</v>
      </c>
      <c r="W3081" s="8">
        <v>0.30399999999999999</v>
      </c>
      <c r="X3081" s="8">
        <v>0.184</v>
      </c>
      <c r="Y3081" s="8">
        <v>5.6000000000000001E-2</v>
      </c>
      <c r="Z3081" s="8">
        <v>1.0999999999999999E-2</v>
      </c>
      <c r="AA3081" s="8">
        <v>0</v>
      </c>
      <c r="AB3081" s="8">
        <v>0</v>
      </c>
      <c r="AC3081" s="8">
        <v>0</v>
      </c>
    </row>
    <row r="3082" spans="1:29" ht="11.65" x14ac:dyDescent="0.35">
      <c r="A3082" s="12">
        <v>3065</v>
      </c>
      <c r="B3082" s="10" t="s">
        <v>1015</v>
      </c>
      <c r="C3082" s="11" t="s">
        <v>1228</v>
      </c>
      <c r="D3082" s="9"/>
      <c r="E3082" s="9">
        <v>882</v>
      </c>
      <c r="F3082" s="10" t="s">
        <v>1066</v>
      </c>
      <c r="G3082" s="9">
        <v>957</v>
      </c>
      <c r="H3082" s="9">
        <v>1970</v>
      </c>
      <c r="I3082" s="8">
        <v>14.313000000000001</v>
      </c>
      <c r="J3082" s="8">
        <v>12.692</v>
      </c>
      <c r="K3082" s="8">
        <v>10.664</v>
      </c>
      <c r="L3082" s="8">
        <v>8.6890000000000001</v>
      </c>
      <c r="M3082" s="8">
        <v>4.7080000000000002</v>
      </c>
      <c r="N3082" s="8">
        <v>4.16</v>
      </c>
      <c r="O3082" s="8">
        <v>3.762</v>
      </c>
      <c r="P3082" s="8">
        <v>3.0339999999999998</v>
      </c>
      <c r="Q3082" s="8">
        <v>2.496</v>
      </c>
      <c r="R3082" s="8">
        <v>2.44</v>
      </c>
      <c r="S3082" s="8">
        <v>1.9259999999999999</v>
      </c>
      <c r="T3082" s="8">
        <v>1.468</v>
      </c>
      <c r="U3082" s="8">
        <v>1.0720000000000001</v>
      </c>
      <c r="V3082" s="8">
        <v>0.81399999999999995</v>
      </c>
      <c r="W3082" s="8">
        <v>0.45900000000000002</v>
      </c>
      <c r="X3082" s="8">
        <v>0.14799999999999999</v>
      </c>
      <c r="Y3082" s="8">
        <v>8.1000000000000003E-2</v>
      </c>
      <c r="Z3082" s="8">
        <v>1.2E-2</v>
      </c>
      <c r="AA3082" s="8">
        <v>0</v>
      </c>
      <c r="AB3082" s="8">
        <v>0</v>
      </c>
      <c r="AC3082" s="8">
        <v>0</v>
      </c>
    </row>
    <row r="3083" spans="1:29" ht="11.65" x14ac:dyDescent="0.35">
      <c r="A3083" s="12">
        <v>3066</v>
      </c>
      <c r="B3083" s="10" t="s">
        <v>1015</v>
      </c>
      <c r="C3083" s="11" t="s">
        <v>1228</v>
      </c>
      <c r="D3083" s="9"/>
      <c r="E3083" s="9">
        <v>882</v>
      </c>
      <c r="F3083" s="10" t="s">
        <v>1066</v>
      </c>
      <c r="G3083" s="9">
        <v>957</v>
      </c>
      <c r="H3083" s="9">
        <v>1975</v>
      </c>
      <c r="I3083" s="8">
        <v>13.454000000000001</v>
      </c>
      <c r="J3083" s="8">
        <v>13.4</v>
      </c>
      <c r="K3083" s="8">
        <v>12.218</v>
      </c>
      <c r="L3083" s="8">
        <v>9.5259999999999998</v>
      </c>
      <c r="M3083" s="8">
        <v>6.181</v>
      </c>
      <c r="N3083" s="8">
        <v>3.258</v>
      </c>
      <c r="O3083" s="8">
        <v>3.4340000000000002</v>
      </c>
      <c r="P3083" s="8">
        <v>3.2370000000000001</v>
      </c>
      <c r="Q3083" s="8">
        <v>2.7719999999999998</v>
      </c>
      <c r="R3083" s="8">
        <v>2.3759999999999999</v>
      </c>
      <c r="S3083" s="8">
        <v>2.2389999999999999</v>
      </c>
      <c r="T3083" s="8">
        <v>1.659</v>
      </c>
      <c r="U3083" s="8">
        <v>1.304</v>
      </c>
      <c r="V3083" s="8">
        <v>0.86299999999999999</v>
      </c>
      <c r="W3083" s="8">
        <v>0.57299999999999995</v>
      </c>
      <c r="X3083" s="8">
        <v>0.219</v>
      </c>
      <c r="Y3083" s="8">
        <v>6.7000000000000004E-2</v>
      </c>
      <c r="Z3083" s="8">
        <v>0.02</v>
      </c>
      <c r="AA3083" s="8">
        <v>1E-3</v>
      </c>
      <c r="AB3083" s="8">
        <v>0</v>
      </c>
      <c r="AC3083" s="8">
        <v>0</v>
      </c>
    </row>
    <row r="3084" spans="1:29" ht="11.65" x14ac:dyDescent="0.35">
      <c r="A3084" s="12">
        <v>3067</v>
      </c>
      <c r="B3084" s="10" t="s">
        <v>1015</v>
      </c>
      <c r="C3084" s="11" t="s">
        <v>1228</v>
      </c>
      <c r="D3084" s="9"/>
      <c r="E3084" s="9">
        <v>882</v>
      </c>
      <c r="F3084" s="10" t="s">
        <v>1066</v>
      </c>
      <c r="G3084" s="9">
        <v>957</v>
      </c>
      <c r="H3084" s="9">
        <v>1980</v>
      </c>
      <c r="I3084" s="8">
        <v>12.878</v>
      </c>
      <c r="J3084" s="8">
        <v>12.618</v>
      </c>
      <c r="K3084" s="8">
        <v>12.369</v>
      </c>
      <c r="L3084" s="8">
        <v>10.904</v>
      </c>
      <c r="M3084" s="8">
        <v>6.9649999999999999</v>
      </c>
      <c r="N3084" s="8">
        <v>4.6580000000000004</v>
      </c>
      <c r="O3084" s="8">
        <v>2.9319999999999999</v>
      </c>
      <c r="P3084" s="8">
        <v>3.173</v>
      </c>
      <c r="Q3084" s="8">
        <v>2.923</v>
      </c>
      <c r="R3084" s="8">
        <v>2.4790000000000001</v>
      </c>
      <c r="S3084" s="8">
        <v>2.2149999999999999</v>
      </c>
      <c r="T3084" s="8">
        <v>2.0110000000000001</v>
      </c>
      <c r="U3084" s="8">
        <v>1.413</v>
      </c>
      <c r="V3084" s="8">
        <v>0.99399999999999999</v>
      </c>
      <c r="W3084" s="8">
        <v>0.58199999999999996</v>
      </c>
      <c r="X3084" s="8">
        <v>0.29899999999999999</v>
      </c>
      <c r="Y3084" s="8">
        <v>0.10199999999999999</v>
      </c>
      <c r="Z3084" s="8">
        <v>1.7999999999999999E-2</v>
      </c>
      <c r="AA3084" s="8">
        <v>3.0000000000000001E-3</v>
      </c>
      <c r="AB3084" s="8">
        <v>0</v>
      </c>
      <c r="AC3084" s="8">
        <v>0</v>
      </c>
    </row>
    <row r="3085" spans="1:29" ht="11.65" x14ac:dyDescent="0.35">
      <c r="A3085" s="12">
        <v>3068</v>
      </c>
      <c r="B3085" s="10" t="s">
        <v>1015</v>
      </c>
      <c r="C3085" s="11" t="s">
        <v>1228</v>
      </c>
      <c r="D3085" s="9"/>
      <c r="E3085" s="9">
        <v>882</v>
      </c>
      <c r="F3085" s="10" t="s">
        <v>1066</v>
      </c>
      <c r="G3085" s="9">
        <v>957</v>
      </c>
      <c r="H3085" s="9">
        <v>1985</v>
      </c>
      <c r="I3085" s="8">
        <v>12.464</v>
      </c>
      <c r="J3085" s="8">
        <v>12.089</v>
      </c>
      <c r="K3085" s="8">
        <v>11.922000000000001</v>
      </c>
      <c r="L3085" s="8">
        <v>11.718</v>
      </c>
      <c r="M3085" s="8">
        <v>8.4610000000000003</v>
      </c>
      <c r="N3085" s="8">
        <v>5.22</v>
      </c>
      <c r="O3085" s="8">
        <v>4.3979999999999997</v>
      </c>
      <c r="P3085" s="8">
        <v>2.7029999999999998</v>
      </c>
      <c r="Q3085" s="8">
        <v>3.0329999999999999</v>
      </c>
      <c r="R3085" s="8">
        <v>2.649</v>
      </c>
      <c r="S3085" s="8">
        <v>2.4089999999999998</v>
      </c>
      <c r="T3085" s="8">
        <v>1.9379999999999999</v>
      </c>
      <c r="U3085" s="8">
        <v>1.7310000000000001</v>
      </c>
      <c r="V3085" s="8">
        <v>1.121</v>
      </c>
      <c r="W3085" s="8">
        <v>0.745</v>
      </c>
      <c r="X3085" s="8">
        <v>0.35299999999999998</v>
      </c>
      <c r="Y3085" s="8">
        <v>0.14599999999999999</v>
      </c>
      <c r="Z3085" s="8">
        <v>0.03</v>
      </c>
      <c r="AA3085" s="8">
        <v>3.0000000000000001E-3</v>
      </c>
      <c r="AB3085" s="8">
        <v>0</v>
      </c>
      <c r="AC3085" s="8">
        <v>0</v>
      </c>
    </row>
    <row r="3086" spans="1:29" ht="11.65" x14ac:dyDescent="0.35">
      <c r="A3086" s="12">
        <v>3069</v>
      </c>
      <c r="B3086" s="10" t="s">
        <v>1015</v>
      </c>
      <c r="C3086" s="11" t="s">
        <v>1228</v>
      </c>
      <c r="D3086" s="9"/>
      <c r="E3086" s="9">
        <v>882</v>
      </c>
      <c r="F3086" s="10" t="s">
        <v>1066</v>
      </c>
      <c r="G3086" s="9">
        <v>957</v>
      </c>
      <c r="H3086" s="9">
        <v>1990</v>
      </c>
      <c r="I3086" s="8">
        <v>12.254</v>
      </c>
      <c r="J3086" s="8">
        <v>11.455</v>
      </c>
      <c r="K3086" s="8">
        <v>11.345000000000001</v>
      </c>
      <c r="L3086" s="8">
        <v>11.234999999999999</v>
      </c>
      <c r="M3086" s="8">
        <v>9.0120000000000005</v>
      </c>
      <c r="N3086" s="8">
        <v>7.0609999999999999</v>
      </c>
      <c r="O3086" s="8">
        <v>4.4119999999999999</v>
      </c>
      <c r="P3086" s="8">
        <v>3.9470000000000001</v>
      </c>
      <c r="Q3086" s="8">
        <v>2.5710000000000002</v>
      </c>
      <c r="R3086" s="8">
        <v>2.6829999999999998</v>
      </c>
      <c r="S3086" s="8">
        <v>2.4119999999999999</v>
      </c>
      <c r="T3086" s="8">
        <v>2.0230000000000001</v>
      </c>
      <c r="U3086" s="8">
        <v>1.575</v>
      </c>
      <c r="V3086" s="8">
        <v>1.454</v>
      </c>
      <c r="W3086" s="8">
        <v>0.82199999999999995</v>
      </c>
      <c r="X3086" s="8">
        <v>0.46600000000000003</v>
      </c>
      <c r="Y3086" s="8">
        <v>0.2</v>
      </c>
      <c r="Z3086" s="8">
        <v>4.8000000000000001E-2</v>
      </c>
      <c r="AA3086" s="8">
        <v>6.0000000000000001E-3</v>
      </c>
      <c r="AB3086" s="8">
        <v>0</v>
      </c>
      <c r="AC3086" s="8">
        <v>0</v>
      </c>
    </row>
    <row r="3087" spans="1:29" ht="11.65" x14ac:dyDescent="0.35">
      <c r="A3087" s="12">
        <v>3070</v>
      </c>
      <c r="B3087" s="10" t="s">
        <v>1015</v>
      </c>
      <c r="C3087" s="11" t="s">
        <v>1228</v>
      </c>
      <c r="D3087" s="9"/>
      <c r="E3087" s="9">
        <v>882</v>
      </c>
      <c r="F3087" s="10" t="s">
        <v>1066</v>
      </c>
      <c r="G3087" s="9">
        <v>957</v>
      </c>
      <c r="H3087" s="9">
        <v>1995</v>
      </c>
      <c r="I3087" s="8">
        <v>13.093999999999999</v>
      </c>
      <c r="J3087" s="8">
        <v>12.114000000000001</v>
      </c>
      <c r="K3087" s="8">
        <v>11.292</v>
      </c>
      <c r="L3087" s="8">
        <v>10.500999999999999</v>
      </c>
      <c r="M3087" s="8">
        <v>8.3650000000000002</v>
      </c>
      <c r="N3087" s="8">
        <v>7.0570000000000004</v>
      </c>
      <c r="O3087" s="8">
        <v>6.2519999999999998</v>
      </c>
      <c r="P3087" s="8">
        <v>3.8450000000000002</v>
      </c>
      <c r="Q3087" s="8">
        <v>3.7959999999999998</v>
      </c>
      <c r="R3087" s="8">
        <v>2.5169999999999999</v>
      </c>
      <c r="S3087" s="8">
        <v>2.5419999999999998</v>
      </c>
      <c r="T3087" s="8">
        <v>2.1080000000000001</v>
      </c>
      <c r="U3087" s="8">
        <v>1.6970000000000001</v>
      </c>
      <c r="V3087" s="8">
        <v>1.367</v>
      </c>
      <c r="W3087" s="8">
        <v>1.05</v>
      </c>
      <c r="X3087" s="8">
        <v>0.52600000000000002</v>
      </c>
      <c r="Y3087" s="8">
        <v>0.24299999999999999</v>
      </c>
      <c r="Z3087" s="8">
        <v>6.7000000000000004E-2</v>
      </c>
      <c r="AA3087" s="8">
        <v>0.01</v>
      </c>
      <c r="AB3087" s="8">
        <v>0</v>
      </c>
      <c r="AC3087" s="8">
        <v>0</v>
      </c>
    </row>
    <row r="3088" spans="1:29" ht="11.65" x14ac:dyDescent="0.35">
      <c r="A3088" s="12">
        <v>3071</v>
      </c>
      <c r="B3088" s="10" t="s">
        <v>1015</v>
      </c>
      <c r="C3088" s="11" t="s">
        <v>1228</v>
      </c>
      <c r="D3088" s="9"/>
      <c r="E3088" s="9">
        <v>882</v>
      </c>
      <c r="F3088" s="10" t="s">
        <v>1066</v>
      </c>
      <c r="G3088" s="9">
        <v>957</v>
      </c>
      <c r="H3088" s="9">
        <v>2000</v>
      </c>
      <c r="I3088" s="8">
        <v>13.395</v>
      </c>
      <c r="J3088" s="8">
        <v>12.824</v>
      </c>
      <c r="K3088" s="8">
        <v>10.961</v>
      </c>
      <c r="L3088" s="8">
        <v>9.6270000000000007</v>
      </c>
      <c r="M3088" s="8">
        <v>7.6550000000000002</v>
      </c>
      <c r="N3088" s="8">
        <v>6.8739999999999997</v>
      </c>
      <c r="O3088" s="8">
        <v>6.39</v>
      </c>
      <c r="P3088" s="8">
        <v>5.2050000000000001</v>
      </c>
      <c r="Q3088" s="8">
        <v>4.4340000000000002</v>
      </c>
      <c r="R3088" s="8">
        <v>3.43</v>
      </c>
      <c r="S3088" s="8">
        <v>2.5289999999999999</v>
      </c>
      <c r="T3088" s="8">
        <v>2.2010000000000001</v>
      </c>
      <c r="U3088" s="8">
        <v>1.825</v>
      </c>
      <c r="V3088" s="8">
        <v>1.46</v>
      </c>
      <c r="W3088" s="8">
        <v>1.0089999999999999</v>
      </c>
      <c r="X3088" s="8">
        <v>0.68300000000000005</v>
      </c>
      <c r="Y3088" s="8">
        <v>0.28699999999999998</v>
      </c>
      <c r="Z3088" s="8">
        <v>7.9000000000000001E-2</v>
      </c>
      <c r="AA3088" s="8">
        <v>1.4E-2</v>
      </c>
      <c r="AB3088" s="8">
        <v>0</v>
      </c>
      <c r="AC3088" s="8">
        <v>0</v>
      </c>
    </row>
    <row r="3089" spans="1:29" ht="11.65" x14ac:dyDescent="0.35">
      <c r="A3089" s="12">
        <v>3072</v>
      </c>
      <c r="B3089" s="10" t="s">
        <v>1015</v>
      </c>
      <c r="C3089" s="11" t="s">
        <v>1228</v>
      </c>
      <c r="D3089" s="9"/>
      <c r="E3089" s="9">
        <v>882</v>
      </c>
      <c r="F3089" s="10" t="s">
        <v>1066</v>
      </c>
      <c r="G3089" s="9">
        <v>957</v>
      </c>
      <c r="H3089" s="9">
        <v>2005</v>
      </c>
      <c r="I3089" s="8">
        <v>13.071</v>
      </c>
      <c r="J3089" s="8">
        <v>12.388</v>
      </c>
      <c r="K3089" s="8">
        <v>11.632999999999999</v>
      </c>
      <c r="L3089" s="8">
        <v>9.4610000000000003</v>
      </c>
      <c r="M3089" s="8">
        <v>7.4729999999999999</v>
      </c>
      <c r="N3089" s="8">
        <v>6.56</v>
      </c>
      <c r="O3089" s="8">
        <v>6.2210000000000001</v>
      </c>
      <c r="P3089" s="8">
        <v>5.8819999999999997</v>
      </c>
      <c r="Q3089" s="8">
        <v>4.9480000000000004</v>
      </c>
      <c r="R3089" s="8">
        <v>4.1399999999999997</v>
      </c>
      <c r="S3089" s="8">
        <v>3.2250000000000001</v>
      </c>
      <c r="T3089" s="8">
        <v>2.4300000000000002</v>
      </c>
      <c r="U3089" s="8">
        <v>1.855</v>
      </c>
      <c r="V3089" s="8">
        <v>1.55</v>
      </c>
      <c r="W3089" s="8">
        <v>1.0940000000000001</v>
      </c>
      <c r="X3089" s="8">
        <v>0.70299999999999996</v>
      </c>
      <c r="Y3089" s="8">
        <v>0.372</v>
      </c>
      <c r="Z3089" s="8">
        <v>0.105</v>
      </c>
      <c r="AA3089" s="8">
        <v>1.6E-2</v>
      </c>
      <c r="AB3089" s="8">
        <v>2E-3</v>
      </c>
      <c r="AC3089" s="8">
        <v>0</v>
      </c>
    </row>
    <row r="3090" spans="1:29" ht="11.65" x14ac:dyDescent="0.35">
      <c r="A3090" s="12">
        <v>3073</v>
      </c>
      <c r="B3090" s="10" t="s">
        <v>1015</v>
      </c>
      <c r="C3090" s="11" t="s">
        <v>1228</v>
      </c>
      <c r="D3090" s="9"/>
      <c r="E3090" s="9">
        <v>882</v>
      </c>
      <c r="F3090" s="10" t="s">
        <v>1066</v>
      </c>
      <c r="G3090" s="9">
        <v>957</v>
      </c>
      <c r="H3090" s="9">
        <v>2010</v>
      </c>
      <c r="I3090" s="8">
        <v>13.43</v>
      </c>
      <c r="J3090" s="8">
        <v>12.022</v>
      </c>
      <c r="K3090" s="8">
        <v>11.488</v>
      </c>
      <c r="L3090" s="8">
        <v>10.198</v>
      </c>
      <c r="M3090" s="8">
        <v>7.6520000000000001</v>
      </c>
      <c r="N3090" s="8">
        <v>6.5750000000000002</v>
      </c>
      <c r="O3090" s="8">
        <v>5.9850000000000003</v>
      </c>
      <c r="P3090" s="8">
        <v>5.7889999999999997</v>
      </c>
      <c r="Q3090" s="8">
        <v>5.4859999999999998</v>
      </c>
      <c r="R3090" s="8">
        <v>4.5250000000000004</v>
      </c>
      <c r="S3090" s="8">
        <v>3.8559999999999999</v>
      </c>
      <c r="T3090" s="8">
        <v>2.9009999999999998</v>
      </c>
      <c r="U3090" s="8">
        <v>1.9810000000000001</v>
      </c>
      <c r="V3090" s="8">
        <v>1.603</v>
      </c>
      <c r="W3090" s="8">
        <v>1.1779999999999999</v>
      </c>
      <c r="X3090" s="8">
        <v>0.72799999999999998</v>
      </c>
      <c r="Y3090" s="8">
        <v>0.41099999999999998</v>
      </c>
      <c r="Z3090" s="8">
        <v>0.14299999999999999</v>
      </c>
      <c r="AA3090" s="8">
        <v>2.5999999999999999E-2</v>
      </c>
      <c r="AB3090" s="8">
        <v>2E-3</v>
      </c>
      <c r="AC3090" s="8">
        <v>0</v>
      </c>
    </row>
    <row r="3091" spans="1:29" ht="11.65" x14ac:dyDescent="0.35">
      <c r="A3091" s="12">
        <v>3074</v>
      </c>
      <c r="B3091" s="10" t="s">
        <v>1015</v>
      </c>
      <c r="C3091" s="11" t="s">
        <v>1228</v>
      </c>
      <c r="D3091" s="9"/>
      <c r="E3091" s="9">
        <v>882</v>
      </c>
      <c r="F3091" s="10" t="s">
        <v>1066</v>
      </c>
      <c r="G3091" s="9">
        <v>957</v>
      </c>
      <c r="H3091" s="9">
        <v>2015</v>
      </c>
      <c r="I3091" s="8">
        <v>15.007</v>
      </c>
      <c r="J3091" s="8">
        <v>13.286</v>
      </c>
      <c r="K3091" s="8">
        <v>10.603</v>
      </c>
      <c r="L3091" s="8">
        <v>9.8439999999999994</v>
      </c>
      <c r="M3091" s="8">
        <v>8.1780000000000008</v>
      </c>
      <c r="N3091" s="8">
        <v>6.5419999999999998</v>
      </c>
      <c r="O3091" s="8">
        <v>6.2789999999999999</v>
      </c>
      <c r="P3091" s="8">
        <v>5.6970000000000001</v>
      </c>
      <c r="Q3091" s="8">
        <v>5.5519999999999996</v>
      </c>
      <c r="R3091" s="8">
        <v>5.242</v>
      </c>
      <c r="S3091" s="8">
        <v>4.13</v>
      </c>
      <c r="T3091" s="8">
        <v>3.4449999999999998</v>
      </c>
      <c r="U3091" s="8">
        <v>2.4</v>
      </c>
      <c r="V3091" s="8">
        <v>1.476</v>
      </c>
      <c r="W3091" s="8">
        <v>1.1599999999999999</v>
      </c>
      <c r="X3091" s="8">
        <v>0.7</v>
      </c>
      <c r="Y3091" s="8">
        <v>0.3</v>
      </c>
      <c r="Z3091" s="8">
        <v>0.16</v>
      </c>
      <c r="AA3091" s="8">
        <v>3.3000000000000002E-2</v>
      </c>
      <c r="AB3091" s="8">
        <v>3.0000000000000001E-3</v>
      </c>
      <c r="AC3091" s="8">
        <v>0</v>
      </c>
    </row>
    <row r="3092" spans="1:29" ht="11.65" x14ac:dyDescent="0.35">
      <c r="A3092" s="12">
        <v>3075</v>
      </c>
      <c r="B3092" s="10" t="s">
        <v>1015</v>
      </c>
      <c r="C3092" s="11" t="s">
        <v>1228</v>
      </c>
      <c r="D3092" s="9"/>
      <c r="E3092" s="9">
        <v>882</v>
      </c>
      <c r="F3092" s="10" t="s">
        <v>1066</v>
      </c>
      <c r="G3092" s="9">
        <v>957</v>
      </c>
      <c r="H3092" s="9">
        <v>2020</v>
      </c>
      <c r="I3092" s="8">
        <v>14.025</v>
      </c>
      <c r="J3092" s="8">
        <v>12.525</v>
      </c>
      <c r="K3092" s="8">
        <v>11.771000000000001</v>
      </c>
      <c r="L3092" s="8">
        <v>10.015000000000001</v>
      </c>
      <c r="M3092" s="8">
        <v>8.7739999999999991</v>
      </c>
      <c r="N3092" s="8">
        <v>7.8719999999999999</v>
      </c>
      <c r="O3092" s="8">
        <v>6.2</v>
      </c>
      <c r="P3092" s="8">
        <v>5.3680000000000003</v>
      </c>
      <c r="Q3092" s="8">
        <v>5.0819999999999999</v>
      </c>
      <c r="R3092" s="8">
        <v>5.1219999999999999</v>
      </c>
      <c r="S3092" s="8">
        <v>4.7329999999999997</v>
      </c>
      <c r="T3092" s="8">
        <v>3.786</v>
      </c>
      <c r="U3092" s="8">
        <v>2.9660000000000002</v>
      </c>
      <c r="V3092" s="8">
        <v>1.976</v>
      </c>
      <c r="W3092" s="8">
        <v>1.222</v>
      </c>
      <c r="X3092" s="8">
        <v>0.74199999999999999</v>
      </c>
      <c r="Y3092" s="8">
        <v>0.36199999999999999</v>
      </c>
      <c r="Z3092" s="8">
        <v>0.12</v>
      </c>
      <c r="AA3092" s="8">
        <v>3.7999999999999999E-2</v>
      </c>
      <c r="AB3092" s="8">
        <v>4.0000000000000001E-3</v>
      </c>
      <c r="AC3092" s="8">
        <v>0</v>
      </c>
    </row>
    <row r="3093" spans="1:29" ht="11.65" x14ac:dyDescent="0.35">
      <c r="A3093" s="12">
        <v>3076</v>
      </c>
      <c r="B3093" s="10" t="s">
        <v>1015</v>
      </c>
      <c r="C3093" s="11" t="s">
        <v>1229</v>
      </c>
      <c r="D3093" s="9"/>
      <c r="E3093" s="9">
        <v>776</v>
      </c>
      <c r="F3093" s="10" t="s">
        <v>1066</v>
      </c>
      <c r="G3093" s="9">
        <v>957</v>
      </c>
      <c r="H3093" s="9">
        <v>1950</v>
      </c>
      <c r="I3093" s="8">
        <v>4.8860000000000001</v>
      </c>
      <c r="J3093" s="8">
        <v>3.8260000000000001</v>
      </c>
      <c r="K3093" s="8">
        <v>3.1589999999999998</v>
      </c>
      <c r="L3093" s="8">
        <v>2.6080000000000001</v>
      </c>
      <c r="M3093" s="8">
        <v>2.133</v>
      </c>
      <c r="N3093" s="8">
        <v>1.7290000000000001</v>
      </c>
      <c r="O3093" s="8">
        <v>1.3939999999999999</v>
      </c>
      <c r="P3093" s="8">
        <v>1.117</v>
      </c>
      <c r="Q3093" s="8">
        <v>0.88400000000000001</v>
      </c>
      <c r="R3093" s="8">
        <v>0.69099999999999995</v>
      </c>
      <c r="S3093" s="8">
        <v>0.52800000000000002</v>
      </c>
      <c r="T3093" s="8">
        <v>0.39100000000000001</v>
      </c>
      <c r="U3093" s="8">
        <v>0.27600000000000002</v>
      </c>
      <c r="V3093" s="8">
        <v>0.182</v>
      </c>
      <c r="W3093" s="8">
        <v>0.107</v>
      </c>
      <c r="X3093" s="8">
        <v>5.2999999999999999E-2</v>
      </c>
      <c r="Y3093" s="8">
        <v>1.6E-2</v>
      </c>
      <c r="Z3093" s="8">
        <v>5.0000000000000001E-3</v>
      </c>
      <c r="AA3093" s="8">
        <v>2E-3</v>
      </c>
      <c r="AB3093" s="8">
        <v>0</v>
      </c>
      <c r="AC3093" s="8">
        <v>0</v>
      </c>
    </row>
    <row r="3094" spans="1:29" ht="11.65" x14ac:dyDescent="0.35">
      <c r="A3094" s="12">
        <v>3077</v>
      </c>
      <c r="B3094" s="10" t="s">
        <v>1015</v>
      </c>
      <c r="C3094" s="11" t="s">
        <v>1229</v>
      </c>
      <c r="D3094" s="9"/>
      <c r="E3094" s="9">
        <v>776</v>
      </c>
      <c r="F3094" s="10" t="s">
        <v>1066</v>
      </c>
      <c r="G3094" s="9">
        <v>957</v>
      </c>
      <c r="H3094" s="9">
        <v>1955</v>
      </c>
      <c r="I3094" s="8">
        <v>5.3819999999999997</v>
      </c>
      <c r="J3094" s="8">
        <v>4.0949999999999998</v>
      </c>
      <c r="K3094" s="8">
        <v>3.42</v>
      </c>
      <c r="L3094" s="8">
        <v>3.0350000000000001</v>
      </c>
      <c r="M3094" s="8">
        <v>2.524</v>
      </c>
      <c r="N3094" s="8">
        <v>2.0680000000000001</v>
      </c>
      <c r="O3094" s="8">
        <v>1.772</v>
      </c>
      <c r="P3094" s="8">
        <v>1.417</v>
      </c>
      <c r="Q3094" s="8">
        <v>1.1020000000000001</v>
      </c>
      <c r="R3094" s="8">
        <v>0.89300000000000002</v>
      </c>
      <c r="S3094" s="8">
        <v>0.72699999999999998</v>
      </c>
      <c r="T3094" s="8">
        <v>0.56100000000000005</v>
      </c>
      <c r="U3094" s="8">
        <v>0.42199999999999999</v>
      </c>
      <c r="V3094" s="8">
        <v>0.29599999999999999</v>
      </c>
      <c r="W3094" s="8">
        <v>0.17599999999999999</v>
      </c>
      <c r="X3094" s="8">
        <v>0.111</v>
      </c>
      <c r="Y3094" s="8">
        <v>4.1000000000000002E-2</v>
      </c>
      <c r="Z3094" s="8">
        <v>6.0000000000000001E-3</v>
      </c>
      <c r="AA3094" s="8">
        <v>0</v>
      </c>
      <c r="AB3094" s="8">
        <v>0</v>
      </c>
      <c r="AC3094" s="8">
        <v>0</v>
      </c>
    </row>
    <row r="3095" spans="1:29" ht="11.65" x14ac:dyDescent="0.35">
      <c r="A3095" s="12">
        <v>3078</v>
      </c>
      <c r="B3095" s="10" t="s">
        <v>1015</v>
      </c>
      <c r="C3095" s="11" t="s">
        <v>1229</v>
      </c>
      <c r="D3095" s="9"/>
      <c r="E3095" s="9">
        <v>776</v>
      </c>
      <c r="F3095" s="10" t="s">
        <v>1066</v>
      </c>
      <c r="G3095" s="9">
        <v>957</v>
      </c>
      <c r="H3095" s="9">
        <v>1960</v>
      </c>
      <c r="I3095" s="8">
        <v>6.07</v>
      </c>
      <c r="J3095" s="8">
        <v>4.5789999999999997</v>
      </c>
      <c r="K3095" s="8">
        <v>3.88</v>
      </c>
      <c r="L3095" s="8">
        <v>3.1419999999999999</v>
      </c>
      <c r="M3095" s="8">
        <v>2.6829999999999998</v>
      </c>
      <c r="N3095" s="8">
        <v>2.137</v>
      </c>
      <c r="O3095" s="8">
        <v>1.7709999999999999</v>
      </c>
      <c r="P3095" s="8">
        <v>1.5920000000000001</v>
      </c>
      <c r="Q3095" s="8">
        <v>1.294</v>
      </c>
      <c r="R3095" s="8">
        <v>1.0349999999999999</v>
      </c>
      <c r="S3095" s="8">
        <v>0.88700000000000001</v>
      </c>
      <c r="T3095" s="8">
        <v>0.73399999999999999</v>
      </c>
      <c r="U3095" s="8">
        <v>0.55500000000000005</v>
      </c>
      <c r="V3095" s="8">
        <v>0.36899999999999999</v>
      </c>
      <c r="W3095" s="8">
        <v>0.26800000000000002</v>
      </c>
      <c r="X3095" s="8">
        <v>0.16400000000000001</v>
      </c>
      <c r="Y3095" s="8">
        <v>8.5000000000000006E-2</v>
      </c>
      <c r="Z3095" s="8">
        <v>1.4999999999999999E-2</v>
      </c>
      <c r="AA3095" s="8">
        <v>0</v>
      </c>
      <c r="AB3095" s="8">
        <v>0</v>
      </c>
      <c r="AC3095" s="8">
        <v>0</v>
      </c>
    </row>
    <row r="3096" spans="1:29" ht="11.65" x14ac:dyDescent="0.35">
      <c r="A3096" s="12">
        <v>3079</v>
      </c>
      <c r="B3096" s="10" t="s">
        <v>1015</v>
      </c>
      <c r="C3096" s="11" t="s">
        <v>1229</v>
      </c>
      <c r="D3096" s="9"/>
      <c r="E3096" s="9">
        <v>776</v>
      </c>
      <c r="F3096" s="10" t="s">
        <v>1066</v>
      </c>
      <c r="G3096" s="9">
        <v>957</v>
      </c>
      <c r="H3096" s="9">
        <v>1965</v>
      </c>
      <c r="I3096" s="8">
        <v>7.5679999999999996</v>
      </c>
      <c r="J3096" s="8">
        <v>5.8250000000000002</v>
      </c>
      <c r="K3096" s="8">
        <v>4.431</v>
      </c>
      <c r="L3096" s="8">
        <v>3.8559999999999999</v>
      </c>
      <c r="M3096" s="8">
        <v>3.09</v>
      </c>
      <c r="N3096" s="8">
        <v>2.6989999999999998</v>
      </c>
      <c r="O3096" s="8">
        <v>2.1920000000000002</v>
      </c>
      <c r="P3096" s="8">
        <v>1.8740000000000001</v>
      </c>
      <c r="Q3096" s="8">
        <v>1.667</v>
      </c>
      <c r="R3096" s="8">
        <v>1.3009999999999999</v>
      </c>
      <c r="S3096" s="8">
        <v>0.98199999999999998</v>
      </c>
      <c r="T3096" s="8">
        <v>0.77500000000000002</v>
      </c>
      <c r="U3096" s="8">
        <v>0.63300000000000001</v>
      </c>
      <c r="V3096" s="8">
        <v>0.46500000000000002</v>
      </c>
      <c r="W3096" s="8">
        <v>0.27800000000000002</v>
      </c>
      <c r="X3096" s="8">
        <v>0.17299999999999999</v>
      </c>
      <c r="Y3096" s="8">
        <v>8.5999999999999993E-2</v>
      </c>
      <c r="Z3096" s="8">
        <v>3.1E-2</v>
      </c>
      <c r="AA3096" s="8">
        <v>4.0000000000000001E-3</v>
      </c>
      <c r="AB3096" s="8">
        <v>0</v>
      </c>
      <c r="AC3096" s="8">
        <v>0</v>
      </c>
    </row>
    <row r="3097" spans="1:29" ht="11.65" x14ac:dyDescent="0.35">
      <c r="A3097" s="12">
        <v>3080</v>
      </c>
      <c r="B3097" s="10" t="s">
        <v>1015</v>
      </c>
      <c r="C3097" s="11" t="s">
        <v>1229</v>
      </c>
      <c r="D3097" s="9"/>
      <c r="E3097" s="9">
        <v>776</v>
      </c>
      <c r="F3097" s="10" t="s">
        <v>1066</v>
      </c>
      <c r="G3097" s="9">
        <v>957</v>
      </c>
      <c r="H3097" s="9">
        <v>1970</v>
      </c>
      <c r="I3097" s="8">
        <v>7.7709999999999999</v>
      </c>
      <c r="J3097" s="8">
        <v>7.3559999999999999</v>
      </c>
      <c r="K3097" s="8">
        <v>5.8479999999999999</v>
      </c>
      <c r="L3097" s="8">
        <v>4.3929999999999998</v>
      </c>
      <c r="M3097" s="8">
        <v>3.508</v>
      </c>
      <c r="N3097" s="8">
        <v>2.7050000000000001</v>
      </c>
      <c r="O3097" s="8">
        <v>2.4060000000000001</v>
      </c>
      <c r="P3097" s="8">
        <v>2.06</v>
      </c>
      <c r="Q3097" s="8">
        <v>1.798</v>
      </c>
      <c r="R3097" s="8">
        <v>1.5629999999999999</v>
      </c>
      <c r="S3097" s="8">
        <v>1.206</v>
      </c>
      <c r="T3097" s="8">
        <v>0.82599999999999996</v>
      </c>
      <c r="U3097" s="8">
        <v>0.622</v>
      </c>
      <c r="V3097" s="8">
        <v>0.51400000000000001</v>
      </c>
      <c r="W3097" s="8">
        <v>0.33900000000000002</v>
      </c>
      <c r="X3097" s="8">
        <v>0.157</v>
      </c>
      <c r="Y3097" s="8">
        <v>8.3000000000000004E-2</v>
      </c>
      <c r="Z3097" s="8">
        <v>3.3000000000000002E-2</v>
      </c>
      <c r="AA3097" s="8">
        <v>8.0000000000000002E-3</v>
      </c>
      <c r="AB3097" s="8">
        <v>0</v>
      </c>
      <c r="AC3097" s="8">
        <v>0</v>
      </c>
    </row>
    <row r="3098" spans="1:29" ht="11.65" x14ac:dyDescent="0.35">
      <c r="A3098" s="12">
        <v>3081</v>
      </c>
      <c r="B3098" s="10" t="s">
        <v>1015</v>
      </c>
      <c r="C3098" s="11" t="s">
        <v>1229</v>
      </c>
      <c r="D3098" s="9"/>
      <c r="E3098" s="9">
        <v>776</v>
      </c>
      <c r="F3098" s="10" t="s">
        <v>1066</v>
      </c>
      <c r="G3098" s="9">
        <v>957</v>
      </c>
      <c r="H3098" s="9">
        <v>1975</v>
      </c>
      <c r="I3098" s="8">
        <v>6.6449999999999996</v>
      </c>
      <c r="J3098" s="8">
        <v>7.2149999999999999</v>
      </c>
      <c r="K3098" s="8">
        <v>7.0030000000000001</v>
      </c>
      <c r="L3098" s="8">
        <v>5.2549999999999999</v>
      </c>
      <c r="M3098" s="8">
        <v>3.589</v>
      </c>
      <c r="N3098" s="8">
        <v>2.722</v>
      </c>
      <c r="O3098" s="8">
        <v>2.306</v>
      </c>
      <c r="P3098" s="8">
        <v>2.2050000000000001</v>
      </c>
      <c r="Q3098" s="8">
        <v>1.889</v>
      </c>
      <c r="R3098" s="8">
        <v>1.7509999999999999</v>
      </c>
      <c r="S3098" s="8">
        <v>1.518</v>
      </c>
      <c r="T3098" s="8">
        <v>1.1200000000000001</v>
      </c>
      <c r="U3098" s="8">
        <v>0.73199999999999998</v>
      </c>
      <c r="V3098" s="8">
        <v>0.53700000000000003</v>
      </c>
      <c r="W3098" s="8">
        <v>0.40100000000000002</v>
      </c>
      <c r="X3098" s="8">
        <v>0.222</v>
      </c>
      <c r="Y3098" s="8">
        <v>8.3000000000000004E-2</v>
      </c>
      <c r="Z3098" s="8">
        <v>3.1E-2</v>
      </c>
      <c r="AA3098" s="8">
        <v>8.9999999999999993E-3</v>
      </c>
      <c r="AB3098" s="8">
        <v>0</v>
      </c>
      <c r="AC3098" s="8">
        <v>0</v>
      </c>
    </row>
    <row r="3099" spans="1:29" ht="11.65" x14ac:dyDescent="0.35">
      <c r="A3099" s="12">
        <v>3082</v>
      </c>
      <c r="B3099" s="10" t="s">
        <v>1015</v>
      </c>
      <c r="C3099" s="11" t="s">
        <v>1229</v>
      </c>
      <c r="D3099" s="9"/>
      <c r="E3099" s="9">
        <v>776</v>
      </c>
      <c r="F3099" s="10" t="s">
        <v>1066</v>
      </c>
      <c r="G3099" s="9">
        <v>957</v>
      </c>
      <c r="H3099" s="9">
        <v>1980</v>
      </c>
      <c r="I3099" s="8">
        <v>6.8390000000000004</v>
      </c>
      <c r="J3099" s="8">
        <v>6.1210000000000004</v>
      </c>
      <c r="K3099" s="8">
        <v>7.0380000000000003</v>
      </c>
      <c r="L3099" s="8">
        <v>5.9939999999999998</v>
      </c>
      <c r="M3099" s="8">
        <v>4.2210000000000001</v>
      </c>
      <c r="N3099" s="8">
        <v>2.827</v>
      </c>
      <c r="O3099" s="8">
        <v>2.5870000000000002</v>
      </c>
      <c r="P3099" s="8">
        <v>2.3420000000000001</v>
      </c>
      <c r="Q3099" s="8">
        <v>2.0259999999999998</v>
      </c>
      <c r="R3099" s="8">
        <v>1.8140000000000001</v>
      </c>
      <c r="S3099" s="8">
        <v>1.6719999999999999</v>
      </c>
      <c r="T3099" s="8">
        <v>1.3939999999999999</v>
      </c>
      <c r="U3099" s="8">
        <v>0.97899999999999998</v>
      </c>
      <c r="V3099" s="8">
        <v>0.64400000000000002</v>
      </c>
      <c r="W3099" s="8">
        <v>0.43099999999999999</v>
      </c>
      <c r="X3099" s="8">
        <v>0.26300000000000001</v>
      </c>
      <c r="Y3099" s="8">
        <v>0.124</v>
      </c>
      <c r="Z3099" s="8">
        <v>3.3000000000000002E-2</v>
      </c>
      <c r="AA3099" s="8">
        <v>8.0000000000000002E-3</v>
      </c>
      <c r="AB3099" s="8">
        <v>0</v>
      </c>
      <c r="AC3099" s="8">
        <v>0</v>
      </c>
    </row>
    <row r="3100" spans="1:29" ht="11.65" x14ac:dyDescent="0.35">
      <c r="A3100" s="12">
        <v>3083</v>
      </c>
      <c r="B3100" s="10" t="s">
        <v>1015</v>
      </c>
      <c r="C3100" s="11" t="s">
        <v>1229</v>
      </c>
      <c r="D3100" s="9"/>
      <c r="E3100" s="9">
        <v>776</v>
      </c>
      <c r="F3100" s="10" t="s">
        <v>1066</v>
      </c>
      <c r="G3100" s="9">
        <v>957</v>
      </c>
      <c r="H3100" s="9">
        <v>1985</v>
      </c>
      <c r="I3100" s="8">
        <v>7.3869999999999996</v>
      </c>
      <c r="J3100" s="8">
        <v>6.2329999999999997</v>
      </c>
      <c r="K3100" s="8">
        <v>6.1639999999999997</v>
      </c>
      <c r="L3100" s="8">
        <v>6.6459999999999999</v>
      </c>
      <c r="M3100" s="8">
        <v>4.9509999999999996</v>
      </c>
      <c r="N3100" s="8">
        <v>2.8559999999999999</v>
      </c>
      <c r="O3100" s="8">
        <v>2.4359999999999999</v>
      </c>
      <c r="P3100" s="8">
        <v>2.3239999999999998</v>
      </c>
      <c r="Q3100" s="8">
        <v>1.647</v>
      </c>
      <c r="R3100" s="8">
        <v>1.524</v>
      </c>
      <c r="S3100" s="8">
        <v>1.35</v>
      </c>
      <c r="T3100" s="8">
        <v>1.2649999999999999</v>
      </c>
      <c r="U3100" s="8">
        <v>0.98199999999999998</v>
      </c>
      <c r="V3100" s="8">
        <v>0.71599999999999997</v>
      </c>
      <c r="W3100" s="8">
        <v>0.48799999999999999</v>
      </c>
      <c r="X3100" s="8">
        <v>0.29399999999999998</v>
      </c>
      <c r="Y3100" s="8">
        <v>0.15</v>
      </c>
      <c r="Z3100" s="8">
        <v>4.8000000000000001E-2</v>
      </c>
      <c r="AA3100" s="8">
        <v>8.0000000000000002E-3</v>
      </c>
      <c r="AB3100" s="8">
        <v>0</v>
      </c>
      <c r="AC3100" s="8">
        <v>0</v>
      </c>
    </row>
    <row r="3101" spans="1:29" ht="11.65" x14ac:dyDescent="0.35">
      <c r="A3101" s="12">
        <v>3084</v>
      </c>
      <c r="B3101" s="10" t="s">
        <v>1015</v>
      </c>
      <c r="C3101" s="11" t="s">
        <v>1229</v>
      </c>
      <c r="D3101" s="9"/>
      <c r="E3101" s="9">
        <v>776</v>
      </c>
      <c r="F3101" s="10" t="s">
        <v>1066</v>
      </c>
      <c r="G3101" s="9">
        <v>957</v>
      </c>
      <c r="H3101" s="9">
        <v>1990</v>
      </c>
      <c r="I3101" s="8">
        <v>6.95</v>
      </c>
      <c r="J3101" s="8">
        <v>6.7869999999999999</v>
      </c>
      <c r="K3101" s="8">
        <v>5.7</v>
      </c>
      <c r="L3101" s="8">
        <v>5.5190000000000001</v>
      </c>
      <c r="M3101" s="8">
        <v>5.944</v>
      </c>
      <c r="N3101" s="8">
        <v>3.8180000000000001</v>
      </c>
      <c r="O3101" s="8">
        <v>2.3849999999999998</v>
      </c>
      <c r="P3101" s="8">
        <v>2.2639999999999998</v>
      </c>
      <c r="Q3101" s="8">
        <v>1.7969999999999999</v>
      </c>
      <c r="R3101" s="8">
        <v>1.401</v>
      </c>
      <c r="S3101" s="8">
        <v>1.3580000000000001</v>
      </c>
      <c r="T3101" s="8">
        <v>1.224</v>
      </c>
      <c r="U3101" s="8">
        <v>1.137</v>
      </c>
      <c r="V3101" s="8">
        <v>0.81200000000000006</v>
      </c>
      <c r="W3101" s="8">
        <v>0.55400000000000005</v>
      </c>
      <c r="X3101" s="8">
        <v>0.33700000000000002</v>
      </c>
      <c r="Y3101" s="8">
        <v>0.17399999999999999</v>
      </c>
      <c r="Z3101" s="8">
        <v>5.7000000000000002E-2</v>
      </c>
      <c r="AA3101" s="8">
        <v>1.0999999999999999E-2</v>
      </c>
      <c r="AB3101" s="8">
        <v>0</v>
      </c>
      <c r="AC3101" s="8">
        <v>0</v>
      </c>
    </row>
    <row r="3102" spans="1:29" ht="11.65" x14ac:dyDescent="0.35">
      <c r="A3102" s="12">
        <v>3085</v>
      </c>
      <c r="B3102" s="10" t="s">
        <v>1015</v>
      </c>
      <c r="C3102" s="11" t="s">
        <v>1229</v>
      </c>
      <c r="D3102" s="9"/>
      <c r="E3102" s="9">
        <v>776</v>
      </c>
      <c r="F3102" s="10" t="s">
        <v>1066</v>
      </c>
      <c r="G3102" s="9">
        <v>957</v>
      </c>
      <c r="H3102" s="9">
        <v>1995</v>
      </c>
      <c r="I3102" s="8">
        <v>6.9989999999999997</v>
      </c>
      <c r="J3102" s="8">
        <v>6.3579999999999997</v>
      </c>
      <c r="K3102" s="8">
        <v>6.5819999999999999</v>
      </c>
      <c r="L3102" s="8">
        <v>5.3449999999999998</v>
      </c>
      <c r="M3102" s="8">
        <v>4.3570000000000002</v>
      </c>
      <c r="N3102" s="8">
        <v>4.1230000000000002</v>
      </c>
      <c r="O3102" s="8">
        <v>2.66</v>
      </c>
      <c r="P3102" s="8">
        <v>2.319</v>
      </c>
      <c r="Q3102" s="8">
        <v>2.2189999999999999</v>
      </c>
      <c r="R3102" s="8">
        <v>1.5269999999999999</v>
      </c>
      <c r="S3102" s="8">
        <v>1.377</v>
      </c>
      <c r="T3102" s="8">
        <v>1.339</v>
      </c>
      <c r="U3102" s="8">
        <v>1.1499999999999999</v>
      </c>
      <c r="V3102" s="8">
        <v>1.0149999999999999</v>
      </c>
      <c r="W3102" s="8">
        <v>0.64900000000000002</v>
      </c>
      <c r="X3102" s="8">
        <v>0.38400000000000001</v>
      </c>
      <c r="Y3102" s="8">
        <v>0.19900000000000001</v>
      </c>
      <c r="Z3102" s="8">
        <v>6.7000000000000004E-2</v>
      </c>
      <c r="AA3102" s="8">
        <v>1.4999999999999999E-2</v>
      </c>
      <c r="AB3102" s="8">
        <v>0</v>
      </c>
      <c r="AC3102" s="8">
        <v>0</v>
      </c>
    </row>
    <row r="3103" spans="1:29" ht="11.65" x14ac:dyDescent="0.35">
      <c r="A3103" s="12">
        <v>3086</v>
      </c>
      <c r="B3103" s="10" t="s">
        <v>1015</v>
      </c>
      <c r="C3103" s="11" t="s">
        <v>1229</v>
      </c>
      <c r="D3103" s="9"/>
      <c r="E3103" s="9">
        <v>776</v>
      </c>
      <c r="F3103" s="10" t="s">
        <v>1066</v>
      </c>
      <c r="G3103" s="9">
        <v>957</v>
      </c>
      <c r="H3103" s="9">
        <v>2000</v>
      </c>
      <c r="I3103" s="8">
        <v>6.83</v>
      </c>
      <c r="J3103" s="8">
        <v>6.7960000000000003</v>
      </c>
      <c r="K3103" s="8">
        <v>6.0190000000000001</v>
      </c>
      <c r="L3103" s="8">
        <v>6.13</v>
      </c>
      <c r="M3103" s="8">
        <v>4.7489999999999997</v>
      </c>
      <c r="N3103" s="8">
        <v>3.5409999999999999</v>
      </c>
      <c r="O3103" s="8">
        <v>3.3519999999999999</v>
      </c>
      <c r="P3103" s="8">
        <v>2.23</v>
      </c>
      <c r="Q3103" s="8">
        <v>2.1070000000000002</v>
      </c>
      <c r="R3103" s="8">
        <v>1.982</v>
      </c>
      <c r="S3103" s="8">
        <v>1.296</v>
      </c>
      <c r="T3103" s="8">
        <v>1.234</v>
      </c>
      <c r="U3103" s="8">
        <v>1.173</v>
      </c>
      <c r="V3103" s="8">
        <v>0.94799999999999995</v>
      </c>
      <c r="W3103" s="8">
        <v>0.751</v>
      </c>
      <c r="X3103" s="8">
        <v>0.41399999999999998</v>
      </c>
      <c r="Y3103" s="8">
        <v>0.214</v>
      </c>
      <c r="Z3103" s="8">
        <v>7.8E-2</v>
      </c>
      <c r="AA3103" s="8">
        <v>1.6E-2</v>
      </c>
      <c r="AB3103" s="8">
        <v>2E-3</v>
      </c>
      <c r="AC3103" s="8">
        <v>0</v>
      </c>
    </row>
    <row r="3104" spans="1:29" ht="11.65" x14ac:dyDescent="0.35">
      <c r="A3104" s="12">
        <v>3087</v>
      </c>
      <c r="B3104" s="10" t="s">
        <v>1015</v>
      </c>
      <c r="C3104" s="11" t="s">
        <v>1229</v>
      </c>
      <c r="D3104" s="9"/>
      <c r="E3104" s="9">
        <v>776</v>
      </c>
      <c r="F3104" s="10" t="s">
        <v>1066</v>
      </c>
      <c r="G3104" s="9">
        <v>957</v>
      </c>
      <c r="H3104" s="9">
        <v>2005</v>
      </c>
      <c r="I3104" s="8">
        <v>7.11</v>
      </c>
      <c r="J3104" s="8">
        <v>6.62</v>
      </c>
      <c r="K3104" s="8">
        <v>6.2519999999999998</v>
      </c>
      <c r="L3104" s="8">
        <v>5.1550000000000002</v>
      </c>
      <c r="M3104" s="8">
        <v>4.8520000000000003</v>
      </c>
      <c r="N3104" s="8">
        <v>3.4689999999999999</v>
      </c>
      <c r="O3104" s="8">
        <v>3.2309999999999999</v>
      </c>
      <c r="P3104" s="8">
        <v>3.157</v>
      </c>
      <c r="Q3104" s="8">
        <v>2.294</v>
      </c>
      <c r="R3104" s="8">
        <v>2.2040000000000002</v>
      </c>
      <c r="S3104" s="8">
        <v>1.5049999999999999</v>
      </c>
      <c r="T3104" s="8">
        <v>1.1100000000000001</v>
      </c>
      <c r="U3104" s="8">
        <v>1.0900000000000001</v>
      </c>
      <c r="V3104" s="8">
        <v>0.998</v>
      </c>
      <c r="W3104" s="8">
        <v>0.73499999999999999</v>
      </c>
      <c r="X3104" s="8">
        <v>0.51500000000000001</v>
      </c>
      <c r="Y3104" s="8">
        <v>0.245</v>
      </c>
      <c r="Z3104" s="8">
        <v>8.7999999999999995E-2</v>
      </c>
      <c r="AA3104" s="8">
        <v>0.02</v>
      </c>
      <c r="AB3104" s="8">
        <v>2E-3</v>
      </c>
      <c r="AC3104" s="8">
        <v>0</v>
      </c>
    </row>
    <row r="3105" spans="1:29" ht="11.65" x14ac:dyDescent="0.35">
      <c r="A3105" s="12">
        <v>3088</v>
      </c>
      <c r="B3105" s="10" t="s">
        <v>1015</v>
      </c>
      <c r="C3105" s="11" t="s">
        <v>1229</v>
      </c>
      <c r="D3105" s="9"/>
      <c r="E3105" s="9">
        <v>776</v>
      </c>
      <c r="F3105" s="10" t="s">
        <v>1066</v>
      </c>
      <c r="G3105" s="9">
        <v>957</v>
      </c>
      <c r="H3105" s="9">
        <v>2010</v>
      </c>
      <c r="I3105" s="8">
        <v>7.0940000000000003</v>
      </c>
      <c r="J3105" s="8">
        <v>6.8339999999999996</v>
      </c>
      <c r="K3105" s="8">
        <v>6.3090000000000002</v>
      </c>
      <c r="L3105" s="8">
        <v>5.681</v>
      </c>
      <c r="M3105" s="8">
        <v>4.2510000000000003</v>
      </c>
      <c r="N3105" s="8">
        <v>3.8570000000000002</v>
      </c>
      <c r="O3105" s="8">
        <v>3.3439999999999999</v>
      </c>
      <c r="P3105" s="8">
        <v>3.2389999999999999</v>
      </c>
      <c r="Q3105" s="8">
        <v>2.569</v>
      </c>
      <c r="R3105" s="8">
        <v>2.0739999999999998</v>
      </c>
      <c r="S3105" s="8">
        <v>2.0009999999999999</v>
      </c>
      <c r="T3105" s="8">
        <v>1.256</v>
      </c>
      <c r="U3105" s="8">
        <v>1.0209999999999999</v>
      </c>
      <c r="V3105" s="8">
        <v>0.91</v>
      </c>
      <c r="W3105" s="8">
        <v>0.751</v>
      </c>
      <c r="X3105" s="8">
        <v>0.5</v>
      </c>
      <c r="Y3105" s="8">
        <v>0.30599999999999999</v>
      </c>
      <c r="Z3105" s="8">
        <v>0.105</v>
      </c>
      <c r="AA3105" s="8">
        <v>2.5000000000000001E-2</v>
      </c>
      <c r="AB3105" s="8">
        <v>3.0000000000000001E-3</v>
      </c>
      <c r="AC3105" s="8">
        <v>0</v>
      </c>
    </row>
    <row r="3106" spans="1:29" ht="11.65" x14ac:dyDescent="0.35">
      <c r="A3106" s="12">
        <v>3089</v>
      </c>
      <c r="B3106" s="10" t="s">
        <v>1015</v>
      </c>
      <c r="C3106" s="11" t="s">
        <v>1229</v>
      </c>
      <c r="D3106" s="9"/>
      <c r="E3106" s="9">
        <v>776</v>
      </c>
      <c r="F3106" s="10" t="s">
        <v>1066</v>
      </c>
      <c r="G3106" s="9">
        <v>957</v>
      </c>
      <c r="H3106" s="9">
        <v>2015</v>
      </c>
      <c r="I3106" s="8">
        <v>6.4930000000000003</v>
      </c>
      <c r="J3106" s="8">
        <v>6.4379999999999997</v>
      </c>
      <c r="K3106" s="8">
        <v>6.1559999999999997</v>
      </c>
      <c r="L3106" s="8">
        <v>5.4660000000000002</v>
      </c>
      <c r="M3106" s="8">
        <v>4.109</v>
      </c>
      <c r="N3106" s="8">
        <v>3.198</v>
      </c>
      <c r="O3106" s="8">
        <v>3.0030000000000001</v>
      </c>
      <c r="P3106" s="8">
        <v>2.7090000000000001</v>
      </c>
      <c r="Q3106" s="8">
        <v>2.5030000000000001</v>
      </c>
      <c r="R3106" s="8">
        <v>2.5790000000000002</v>
      </c>
      <c r="S3106" s="8">
        <v>2.0990000000000002</v>
      </c>
      <c r="T3106" s="8">
        <v>1.5660000000000001</v>
      </c>
      <c r="U3106" s="8">
        <v>1.2909999999999999</v>
      </c>
      <c r="V3106" s="8">
        <v>0.97399999999999998</v>
      </c>
      <c r="W3106" s="8">
        <v>0.74099999999999999</v>
      </c>
      <c r="X3106" s="8">
        <v>0.56999999999999995</v>
      </c>
      <c r="Y3106" s="8">
        <v>0.312</v>
      </c>
      <c r="Z3106" s="8">
        <v>0.13200000000000001</v>
      </c>
      <c r="AA3106" s="8">
        <v>0.03</v>
      </c>
      <c r="AB3106" s="8">
        <v>4.0000000000000001E-3</v>
      </c>
      <c r="AC3106" s="8">
        <v>0</v>
      </c>
    </row>
    <row r="3107" spans="1:29" ht="11.65" x14ac:dyDescent="0.35">
      <c r="A3107" s="12">
        <v>3090</v>
      </c>
      <c r="B3107" s="10" t="s">
        <v>1015</v>
      </c>
      <c r="C3107" s="11" t="s">
        <v>1229</v>
      </c>
      <c r="D3107" s="9"/>
      <c r="E3107" s="9">
        <v>776</v>
      </c>
      <c r="F3107" s="10" t="s">
        <v>1066</v>
      </c>
      <c r="G3107" s="9">
        <v>957</v>
      </c>
      <c r="H3107" s="9">
        <v>2020</v>
      </c>
      <c r="I3107" s="8">
        <v>6.2629999999999999</v>
      </c>
      <c r="J3107" s="8">
        <v>6.42</v>
      </c>
      <c r="K3107" s="8">
        <v>6.3840000000000003</v>
      </c>
      <c r="L3107" s="8">
        <v>5.9249999999999998</v>
      </c>
      <c r="M3107" s="8">
        <v>5.048</v>
      </c>
      <c r="N3107" s="8">
        <v>3.7069999999999999</v>
      </c>
      <c r="O3107" s="8">
        <v>2.8889999999999998</v>
      </c>
      <c r="P3107" s="8">
        <v>2.7730000000000001</v>
      </c>
      <c r="Q3107" s="8">
        <v>2.5299999999999998</v>
      </c>
      <c r="R3107" s="8">
        <v>2.351</v>
      </c>
      <c r="S3107" s="8">
        <v>2.4140000000000001</v>
      </c>
      <c r="T3107" s="8">
        <v>1.929</v>
      </c>
      <c r="U3107" s="8">
        <v>1.3959999999999999</v>
      </c>
      <c r="V3107" s="8">
        <v>1.093</v>
      </c>
      <c r="W3107" s="8">
        <v>0.76100000000000001</v>
      </c>
      <c r="X3107" s="8">
        <v>0.51400000000000001</v>
      </c>
      <c r="Y3107" s="8">
        <v>0.32600000000000001</v>
      </c>
      <c r="Z3107" s="8">
        <v>0.13800000000000001</v>
      </c>
      <c r="AA3107" s="8">
        <v>3.7999999999999999E-2</v>
      </c>
      <c r="AB3107" s="8">
        <v>5.0000000000000001E-3</v>
      </c>
      <c r="AC3107" s="8">
        <v>0</v>
      </c>
    </row>
    <row r="3108" spans="1:29" ht="11.65" x14ac:dyDescent="0.35">
      <c r="A3108" s="28">
        <v>3091</v>
      </c>
      <c r="B3108" s="26" t="s">
        <v>1015</v>
      </c>
      <c r="C3108" s="27" t="s">
        <v>1230</v>
      </c>
      <c r="D3108" s="25"/>
      <c r="E3108" s="25">
        <v>1829</v>
      </c>
      <c r="F3108" s="26" t="s">
        <v>1063</v>
      </c>
      <c r="G3108" s="25">
        <v>1828</v>
      </c>
      <c r="H3108" s="25">
        <v>1950</v>
      </c>
      <c r="I3108" s="24">
        <v>35986.364999999998</v>
      </c>
      <c r="J3108" s="24">
        <v>28978.464</v>
      </c>
      <c r="K3108" s="24">
        <v>32172.079000000002</v>
      </c>
      <c r="L3108" s="24">
        <v>29463.012999999999</v>
      </c>
      <c r="M3108" s="24">
        <v>30648.654999999999</v>
      </c>
      <c r="N3108" s="24">
        <v>26569.143</v>
      </c>
      <c r="O3108" s="24">
        <v>20703.561000000002</v>
      </c>
      <c r="P3108" s="24">
        <v>24238.221000000001</v>
      </c>
      <c r="Q3108" s="24">
        <v>23651.227999999999</v>
      </c>
      <c r="R3108" s="24">
        <v>21125.345000000001</v>
      </c>
      <c r="S3108" s="24">
        <v>17695.413</v>
      </c>
      <c r="T3108" s="24">
        <v>14565.42</v>
      </c>
      <c r="U3108" s="24">
        <v>12510.183999999999</v>
      </c>
      <c r="V3108" s="24">
        <v>10037.835999999999</v>
      </c>
      <c r="W3108" s="24">
        <v>7138.7879999999996</v>
      </c>
      <c r="X3108" s="24">
        <v>4324.3220000000001</v>
      </c>
      <c r="Y3108" s="24">
        <v>1942.374</v>
      </c>
      <c r="Z3108" s="24">
        <v>725.28099999999995</v>
      </c>
      <c r="AA3108" s="24">
        <v>181.703</v>
      </c>
      <c r="AB3108" s="24">
        <v>31.053000000000001</v>
      </c>
      <c r="AC3108" s="24">
        <v>3.786</v>
      </c>
    </row>
    <row r="3109" spans="1:29" ht="11.65" x14ac:dyDescent="0.35">
      <c r="A3109" s="28">
        <v>3092</v>
      </c>
      <c r="B3109" s="26" t="s">
        <v>1015</v>
      </c>
      <c r="C3109" s="27" t="s">
        <v>1230</v>
      </c>
      <c r="D3109" s="25"/>
      <c r="E3109" s="25">
        <v>1829</v>
      </c>
      <c r="F3109" s="26" t="s">
        <v>1063</v>
      </c>
      <c r="G3109" s="25">
        <v>1828</v>
      </c>
      <c r="H3109" s="25">
        <v>1955</v>
      </c>
      <c r="I3109" s="24">
        <v>39243.533000000003</v>
      </c>
      <c r="J3109" s="24">
        <v>35463.531000000003</v>
      </c>
      <c r="K3109" s="24">
        <v>28940.888999999999</v>
      </c>
      <c r="L3109" s="24">
        <v>31732.097000000002</v>
      </c>
      <c r="M3109" s="24">
        <v>28847.87</v>
      </c>
      <c r="N3109" s="24">
        <v>30248.838</v>
      </c>
      <c r="O3109" s="24">
        <v>26197.833999999999</v>
      </c>
      <c r="P3109" s="24">
        <v>20362.864000000001</v>
      </c>
      <c r="Q3109" s="24">
        <v>23733.420999999998</v>
      </c>
      <c r="R3109" s="24">
        <v>22723.666000000001</v>
      </c>
      <c r="S3109" s="24">
        <v>20498.862000000001</v>
      </c>
      <c r="T3109" s="24">
        <v>16384.261999999999</v>
      </c>
      <c r="U3109" s="24">
        <v>13171.786</v>
      </c>
      <c r="V3109" s="24">
        <v>10635.448</v>
      </c>
      <c r="W3109" s="24">
        <v>7715.8239999999996</v>
      </c>
      <c r="X3109" s="24">
        <v>4855.0379999999996</v>
      </c>
      <c r="Y3109" s="24">
        <v>2415.4929999999999</v>
      </c>
      <c r="Z3109" s="24">
        <v>769.97500000000002</v>
      </c>
      <c r="AA3109" s="24">
        <v>191.81100000000001</v>
      </c>
      <c r="AB3109" s="24">
        <v>30.489000000000001</v>
      </c>
      <c r="AC3109" s="24">
        <v>3.3860000000000001</v>
      </c>
    </row>
    <row r="3110" spans="1:29" ht="11.65" x14ac:dyDescent="0.35">
      <c r="A3110" s="28">
        <v>3093</v>
      </c>
      <c r="B3110" s="26" t="s">
        <v>1015</v>
      </c>
      <c r="C3110" s="27" t="s">
        <v>1230</v>
      </c>
      <c r="D3110" s="25"/>
      <c r="E3110" s="25">
        <v>1829</v>
      </c>
      <c r="F3110" s="26" t="s">
        <v>1063</v>
      </c>
      <c r="G3110" s="25">
        <v>1828</v>
      </c>
      <c r="H3110" s="25">
        <v>1960</v>
      </c>
      <c r="I3110" s="24">
        <v>40947.069000000003</v>
      </c>
      <c r="J3110" s="24">
        <v>39028.711000000003</v>
      </c>
      <c r="K3110" s="24">
        <v>35727.913</v>
      </c>
      <c r="L3110" s="24">
        <v>28695.760999999999</v>
      </c>
      <c r="M3110" s="24">
        <v>31253.824000000001</v>
      </c>
      <c r="N3110" s="24">
        <v>28898.925999999999</v>
      </c>
      <c r="O3110" s="24">
        <v>29876.429</v>
      </c>
      <c r="P3110" s="24">
        <v>25753.231</v>
      </c>
      <c r="Q3110" s="24">
        <v>19918.576000000001</v>
      </c>
      <c r="R3110" s="24">
        <v>23068.456999999999</v>
      </c>
      <c r="S3110" s="24">
        <v>22004.663</v>
      </c>
      <c r="T3110" s="24">
        <v>19084.371999999999</v>
      </c>
      <c r="U3110" s="24">
        <v>14742.66</v>
      </c>
      <c r="V3110" s="24">
        <v>11168.119000000001</v>
      </c>
      <c r="W3110" s="24">
        <v>8242.6479999999992</v>
      </c>
      <c r="X3110" s="24">
        <v>5322.2479999999996</v>
      </c>
      <c r="Y3110" s="24">
        <v>2699.9389999999999</v>
      </c>
      <c r="Z3110" s="24">
        <v>977.52599999999995</v>
      </c>
      <c r="AA3110" s="24">
        <v>205.05500000000001</v>
      </c>
      <c r="AB3110" s="24">
        <v>31.512</v>
      </c>
      <c r="AC3110" s="24">
        <v>3.153</v>
      </c>
    </row>
    <row r="3111" spans="1:29" ht="11.65" x14ac:dyDescent="0.35">
      <c r="A3111" s="28">
        <v>3094</v>
      </c>
      <c r="B3111" s="26" t="s">
        <v>1015</v>
      </c>
      <c r="C3111" s="27" t="s">
        <v>1230</v>
      </c>
      <c r="D3111" s="25"/>
      <c r="E3111" s="25">
        <v>1829</v>
      </c>
      <c r="F3111" s="26" t="s">
        <v>1063</v>
      </c>
      <c r="G3111" s="25">
        <v>1828</v>
      </c>
      <c r="H3111" s="25">
        <v>1965</v>
      </c>
      <c r="I3111" s="24">
        <v>40049.224000000002</v>
      </c>
      <c r="J3111" s="24">
        <v>40928.300000000003</v>
      </c>
      <c r="K3111" s="24">
        <v>39052.269</v>
      </c>
      <c r="L3111" s="24">
        <v>35611.843000000001</v>
      </c>
      <c r="M3111" s="24">
        <v>28530.453000000001</v>
      </c>
      <c r="N3111" s="24">
        <v>31291.453000000001</v>
      </c>
      <c r="O3111" s="24">
        <v>28816.465</v>
      </c>
      <c r="P3111" s="24">
        <v>29653.156999999999</v>
      </c>
      <c r="Q3111" s="24">
        <v>25412.473000000002</v>
      </c>
      <c r="R3111" s="24">
        <v>19421.596000000001</v>
      </c>
      <c r="S3111" s="24">
        <v>22198.387999999999</v>
      </c>
      <c r="T3111" s="24">
        <v>20752.366999999998</v>
      </c>
      <c r="U3111" s="24">
        <v>17162.888999999999</v>
      </c>
      <c r="V3111" s="24">
        <v>12547.869000000001</v>
      </c>
      <c r="W3111" s="24">
        <v>8767.5239999999994</v>
      </c>
      <c r="X3111" s="24">
        <v>5761.915</v>
      </c>
      <c r="Y3111" s="24">
        <v>3014.6979999999999</v>
      </c>
      <c r="Z3111" s="24">
        <v>1109.241</v>
      </c>
      <c r="AA3111" s="24">
        <v>265.12599999999998</v>
      </c>
      <c r="AB3111" s="24">
        <v>33.984999999999999</v>
      </c>
      <c r="AC3111" s="24">
        <v>3.2309999999999999</v>
      </c>
    </row>
    <row r="3112" spans="1:29" ht="11.65" x14ac:dyDescent="0.35">
      <c r="A3112" s="28">
        <v>3095</v>
      </c>
      <c r="B3112" s="26" t="s">
        <v>1015</v>
      </c>
      <c r="C3112" s="27" t="s">
        <v>1230</v>
      </c>
      <c r="D3112" s="25"/>
      <c r="E3112" s="25">
        <v>1829</v>
      </c>
      <c r="F3112" s="26" t="s">
        <v>1063</v>
      </c>
      <c r="G3112" s="25">
        <v>1828</v>
      </c>
      <c r="H3112" s="25">
        <v>1970</v>
      </c>
      <c r="I3112" s="24">
        <v>37016.671000000002</v>
      </c>
      <c r="J3112" s="24">
        <v>40255.936000000002</v>
      </c>
      <c r="K3112" s="24">
        <v>41074.457000000002</v>
      </c>
      <c r="L3112" s="24">
        <v>38781.872000000003</v>
      </c>
      <c r="M3112" s="24">
        <v>34722.385000000002</v>
      </c>
      <c r="N3112" s="24">
        <v>28476.455000000002</v>
      </c>
      <c r="O3112" s="24">
        <v>31063.583999999999</v>
      </c>
      <c r="P3112" s="24">
        <v>28368.612000000001</v>
      </c>
      <c r="Q3112" s="24">
        <v>29262.183000000001</v>
      </c>
      <c r="R3112" s="24">
        <v>24831.95</v>
      </c>
      <c r="S3112" s="24">
        <v>18581.716</v>
      </c>
      <c r="T3112" s="24">
        <v>20855.971000000001</v>
      </c>
      <c r="U3112" s="24">
        <v>18689.525000000001</v>
      </c>
      <c r="V3112" s="24">
        <v>14687.064</v>
      </c>
      <c r="W3112" s="24">
        <v>9749.9410000000007</v>
      </c>
      <c r="X3112" s="24">
        <v>6024.5969999999998</v>
      </c>
      <c r="Y3112" s="24">
        <v>3288.19</v>
      </c>
      <c r="Z3112" s="24">
        <v>1264.729</v>
      </c>
      <c r="AA3112" s="24">
        <v>308.26</v>
      </c>
      <c r="AB3112" s="24">
        <v>45.25</v>
      </c>
      <c r="AC3112" s="24">
        <v>3.6509999999999998</v>
      </c>
    </row>
    <row r="3113" spans="1:29" ht="11.65" x14ac:dyDescent="0.35">
      <c r="A3113" s="28">
        <v>3096</v>
      </c>
      <c r="B3113" s="26" t="s">
        <v>1015</v>
      </c>
      <c r="C3113" s="27" t="s">
        <v>1230</v>
      </c>
      <c r="D3113" s="25"/>
      <c r="E3113" s="25">
        <v>1829</v>
      </c>
      <c r="F3113" s="26" t="s">
        <v>1063</v>
      </c>
      <c r="G3113" s="25">
        <v>1828</v>
      </c>
      <c r="H3113" s="25">
        <v>1975</v>
      </c>
      <c r="I3113" s="24">
        <v>35668.773999999998</v>
      </c>
      <c r="J3113" s="24">
        <v>37060.307000000001</v>
      </c>
      <c r="K3113" s="24">
        <v>40355.39</v>
      </c>
      <c r="L3113" s="24">
        <v>40942.868000000002</v>
      </c>
      <c r="M3113" s="24">
        <v>38606.125999999997</v>
      </c>
      <c r="N3113" s="24">
        <v>35120.449999999997</v>
      </c>
      <c r="O3113" s="24">
        <v>28525.324000000001</v>
      </c>
      <c r="P3113" s="24">
        <v>30703.599999999999</v>
      </c>
      <c r="Q3113" s="24">
        <v>27946.655999999999</v>
      </c>
      <c r="R3113" s="24">
        <v>28488.037</v>
      </c>
      <c r="S3113" s="24">
        <v>23854.812999999998</v>
      </c>
      <c r="T3113" s="24">
        <v>17427.878000000001</v>
      </c>
      <c r="U3113" s="24">
        <v>18905.419000000002</v>
      </c>
      <c r="V3113" s="24">
        <v>16001.502</v>
      </c>
      <c r="W3113" s="24">
        <v>11426.666999999999</v>
      </c>
      <c r="X3113" s="24">
        <v>6706.1540000000005</v>
      </c>
      <c r="Y3113" s="24">
        <v>3510.0219999999999</v>
      </c>
      <c r="Z3113" s="24">
        <v>1405.2180000000001</v>
      </c>
      <c r="AA3113" s="24">
        <v>365.584</v>
      </c>
      <c r="AB3113" s="24">
        <v>54.725000000000001</v>
      </c>
      <c r="AC3113" s="24">
        <v>4.9980000000000002</v>
      </c>
    </row>
    <row r="3114" spans="1:29" ht="11.65" x14ac:dyDescent="0.35">
      <c r="A3114" s="28">
        <v>3097</v>
      </c>
      <c r="B3114" s="26" t="s">
        <v>1015</v>
      </c>
      <c r="C3114" s="27" t="s">
        <v>1230</v>
      </c>
      <c r="D3114" s="25"/>
      <c r="E3114" s="25">
        <v>1829</v>
      </c>
      <c r="F3114" s="26" t="s">
        <v>1063</v>
      </c>
      <c r="G3114" s="25">
        <v>1828</v>
      </c>
      <c r="H3114" s="25">
        <v>1980</v>
      </c>
      <c r="I3114" s="24">
        <v>34884.998</v>
      </c>
      <c r="J3114" s="24">
        <v>35770.542999999998</v>
      </c>
      <c r="K3114" s="24">
        <v>37759.911999999997</v>
      </c>
      <c r="L3114" s="24">
        <v>40991.25</v>
      </c>
      <c r="M3114" s="24">
        <v>41038.167000000001</v>
      </c>
      <c r="N3114" s="24">
        <v>38425.999000000003</v>
      </c>
      <c r="O3114" s="24">
        <v>34898.220999999998</v>
      </c>
      <c r="P3114" s="24">
        <v>27759.331999999999</v>
      </c>
      <c r="Q3114" s="24">
        <v>30089.791000000001</v>
      </c>
      <c r="R3114" s="24">
        <v>26879.49</v>
      </c>
      <c r="S3114" s="24">
        <v>27136.113000000001</v>
      </c>
      <c r="T3114" s="24">
        <v>22319.704000000002</v>
      </c>
      <c r="U3114" s="24">
        <v>15878.328</v>
      </c>
      <c r="V3114" s="24">
        <v>16517.105</v>
      </c>
      <c r="W3114" s="24">
        <v>12697.874</v>
      </c>
      <c r="X3114" s="24">
        <v>8202.3490000000002</v>
      </c>
      <c r="Y3114" s="24">
        <v>3802.9119999999998</v>
      </c>
      <c r="Z3114" s="24">
        <v>1556.6110000000001</v>
      </c>
      <c r="AA3114" s="24">
        <v>429.75</v>
      </c>
      <c r="AB3114" s="24">
        <v>70.548000000000002</v>
      </c>
      <c r="AC3114" s="24">
        <v>6.6260000000000003</v>
      </c>
    </row>
    <row r="3115" spans="1:29" ht="11.65" x14ac:dyDescent="0.35">
      <c r="A3115" s="28">
        <v>3098</v>
      </c>
      <c r="B3115" s="26" t="s">
        <v>1015</v>
      </c>
      <c r="C3115" s="27" t="s">
        <v>1230</v>
      </c>
      <c r="D3115" s="25"/>
      <c r="E3115" s="25">
        <v>1829</v>
      </c>
      <c r="F3115" s="26" t="s">
        <v>1063</v>
      </c>
      <c r="G3115" s="25">
        <v>1828</v>
      </c>
      <c r="H3115" s="25">
        <v>1985</v>
      </c>
      <c r="I3115" s="24">
        <v>35356.480000000003</v>
      </c>
      <c r="J3115" s="24">
        <v>35027.455000000002</v>
      </c>
      <c r="K3115" s="24">
        <v>36107.949999999997</v>
      </c>
      <c r="L3115" s="24">
        <v>38066.582000000002</v>
      </c>
      <c r="M3115" s="24">
        <v>40895.701999999997</v>
      </c>
      <c r="N3115" s="24">
        <v>40943.201999999997</v>
      </c>
      <c r="O3115" s="24">
        <v>38364.207999999999</v>
      </c>
      <c r="P3115" s="24">
        <v>34459.896000000001</v>
      </c>
      <c r="Q3115" s="24">
        <v>27389.977999999999</v>
      </c>
      <c r="R3115" s="24">
        <v>29230.156999999999</v>
      </c>
      <c r="S3115" s="24">
        <v>25776.934000000001</v>
      </c>
      <c r="T3115" s="24">
        <v>25413.352999999999</v>
      </c>
      <c r="U3115" s="24">
        <v>20318.528999999999</v>
      </c>
      <c r="V3115" s="24">
        <v>13868.38</v>
      </c>
      <c r="W3115" s="24">
        <v>13209.14</v>
      </c>
      <c r="X3115" s="24">
        <v>8992.0920000000006</v>
      </c>
      <c r="Y3115" s="24">
        <v>4786.6760000000004</v>
      </c>
      <c r="Z3115" s="24">
        <v>1697.991</v>
      </c>
      <c r="AA3115" s="24">
        <v>494.64800000000002</v>
      </c>
      <c r="AB3115" s="24">
        <v>87.180999999999997</v>
      </c>
      <c r="AC3115" s="24">
        <v>8.9710000000000001</v>
      </c>
    </row>
    <row r="3116" spans="1:29" ht="11.65" x14ac:dyDescent="0.35">
      <c r="A3116" s="28">
        <v>3099</v>
      </c>
      <c r="B3116" s="26" t="s">
        <v>1015</v>
      </c>
      <c r="C3116" s="27" t="s">
        <v>1230</v>
      </c>
      <c r="D3116" s="25"/>
      <c r="E3116" s="25">
        <v>1829</v>
      </c>
      <c r="F3116" s="26" t="s">
        <v>1063</v>
      </c>
      <c r="G3116" s="25">
        <v>1828</v>
      </c>
      <c r="H3116" s="25">
        <v>1990</v>
      </c>
      <c r="I3116" s="24">
        <v>35456.411</v>
      </c>
      <c r="J3116" s="24">
        <v>35527.008999999998</v>
      </c>
      <c r="K3116" s="24">
        <v>35346.330999999998</v>
      </c>
      <c r="L3116" s="24">
        <v>36543.620999999999</v>
      </c>
      <c r="M3116" s="24">
        <v>38154.311000000002</v>
      </c>
      <c r="N3116" s="24">
        <v>40668.055</v>
      </c>
      <c r="O3116" s="24">
        <v>40782.173999999999</v>
      </c>
      <c r="P3116" s="24">
        <v>38027.351999999999</v>
      </c>
      <c r="Q3116" s="24">
        <v>34117.097000000002</v>
      </c>
      <c r="R3116" s="24">
        <v>26784.223999999998</v>
      </c>
      <c r="S3116" s="24">
        <v>28154.937999999998</v>
      </c>
      <c r="T3116" s="24">
        <v>24305.280999999999</v>
      </c>
      <c r="U3116" s="24">
        <v>23226.954000000002</v>
      </c>
      <c r="V3116" s="24">
        <v>17834.75</v>
      </c>
      <c r="W3116" s="24">
        <v>11316.97</v>
      </c>
      <c r="X3116" s="24">
        <v>9652.0349999999999</v>
      </c>
      <c r="Y3116" s="24">
        <v>5481.5290000000005</v>
      </c>
      <c r="Z3116" s="24">
        <v>2235.8029999999999</v>
      </c>
      <c r="AA3116" s="24">
        <v>546.64700000000005</v>
      </c>
      <c r="AB3116" s="24">
        <v>101.40900000000001</v>
      </c>
      <c r="AC3116" s="24">
        <v>10.893000000000001</v>
      </c>
    </row>
    <row r="3117" spans="1:29" ht="11.65" x14ac:dyDescent="0.35">
      <c r="A3117" s="28">
        <v>3100</v>
      </c>
      <c r="B3117" s="26" t="s">
        <v>1015</v>
      </c>
      <c r="C3117" s="27" t="s">
        <v>1230</v>
      </c>
      <c r="D3117" s="25"/>
      <c r="E3117" s="25">
        <v>1829</v>
      </c>
      <c r="F3117" s="26" t="s">
        <v>1063</v>
      </c>
      <c r="G3117" s="25">
        <v>1828</v>
      </c>
      <c r="H3117" s="25">
        <v>1995</v>
      </c>
      <c r="I3117" s="24">
        <v>32520.623</v>
      </c>
      <c r="J3117" s="24">
        <v>35922.858</v>
      </c>
      <c r="K3117" s="24">
        <v>36310.832000000002</v>
      </c>
      <c r="L3117" s="24">
        <v>35982.088000000003</v>
      </c>
      <c r="M3117" s="24">
        <v>36563.760000000002</v>
      </c>
      <c r="N3117" s="24">
        <v>38163.534</v>
      </c>
      <c r="O3117" s="24">
        <v>40914.158000000003</v>
      </c>
      <c r="P3117" s="24">
        <v>40558.76</v>
      </c>
      <c r="Q3117" s="24">
        <v>37445.356</v>
      </c>
      <c r="R3117" s="24">
        <v>33109.822</v>
      </c>
      <c r="S3117" s="24">
        <v>25829.398000000001</v>
      </c>
      <c r="T3117" s="24">
        <v>26461.884999999998</v>
      </c>
      <c r="U3117" s="24">
        <v>22251.285</v>
      </c>
      <c r="V3117" s="24">
        <v>20250.746999999999</v>
      </c>
      <c r="W3117" s="24">
        <v>14640.487999999999</v>
      </c>
      <c r="X3117" s="24">
        <v>8477.6540000000005</v>
      </c>
      <c r="Y3117" s="24">
        <v>6013.3249999999998</v>
      </c>
      <c r="Z3117" s="24">
        <v>2632.0329999999999</v>
      </c>
      <c r="AA3117" s="24">
        <v>744.31899999999996</v>
      </c>
      <c r="AB3117" s="24">
        <v>110.791</v>
      </c>
      <c r="AC3117" s="24">
        <v>12.367000000000001</v>
      </c>
    </row>
    <row r="3118" spans="1:29" ht="11.65" x14ac:dyDescent="0.35">
      <c r="A3118" s="28">
        <v>3101</v>
      </c>
      <c r="B3118" s="26" t="s">
        <v>1015</v>
      </c>
      <c r="C3118" s="27" t="s">
        <v>1230</v>
      </c>
      <c r="D3118" s="25"/>
      <c r="E3118" s="25">
        <v>1829</v>
      </c>
      <c r="F3118" s="26" t="s">
        <v>1063</v>
      </c>
      <c r="G3118" s="25">
        <v>1828</v>
      </c>
      <c r="H3118" s="25">
        <v>2000</v>
      </c>
      <c r="I3118" s="24">
        <v>29802.653999999999</v>
      </c>
      <c r="J3118" s="24">
        <v>33067.987000000001</v>
      </c>
      <c r="K3118" s="24">
        <v>36777.411</v>
      </c>
      <c r="L3118" s="24">
        <v>37051.565000000002</v>
      </c>
      <c r="M3118" s="24">
        <v>36277.671000000002</v>
      </c>
      <c r="N3118" s="24">
        <v>36854.947</v>
      </c>
      <c r="O3118" s="24">
        <v>38447.565999999999</v>
      </c>
      <c r="P3118" s="24">
        <v>40741.245000000003</v>
      </c>
      <c r="Q3118" s="24">
        <v>39936.377</v>
      </c>
      <c r="R3118" s="24">
        <v>36552.631000000001</v>
      </c>
      <c r="S3118" s="24">
        <v>32057.335999999999</v>
      </c>
      <c r="T3118" s="24">
        <v>24521.751</v>
      </c>
      <c r="U3118" s="24">
        <v>24332.427</v>
      </c>
      <c r="V3118" s="24">
        <v>19664.284</v>
      </c>
      <c r="W3118" s="24">
        <v>16677.82</v>
      </c>
      <c r="X3118" s="24">
        <v>11097.078</v>
      </c>
      <c r="Y3118" s="24">
        <v>5528.2889999999998</v>
      </c>
      <c r="Z3118" s="24">
        <v>2971.855</v>
      </c>
      <c r="AA3118" s="24">
        <v>883.11500000000001</v>
      </c>
      <c r="AB3118" s="24">
        <v>149.178</v>
      </c>
      <c r="AC3118" s="24">
        <v>12.536</v>
      </c>
    </row>
    <row r="3119" spans="1:29" ht="11.65" x14ac:dyDescent="0.35">
      <c r="A3119" s="28">
        <v>3102</v>
      </c>
      <c r="B3119" s="26" t="s">
        <v>1015</v>
      </c>
      <c r="C3119" s="27" t="s">
        <v>1230</v>
      </c>
      <c r="D3119" s="25"/>
      <c r="E3119" s="25">
        <v>1829</v>
      </c>
      <c r="F3119" s="26" t="s">
        <v>1063</v>
      </c>
      <c r="G3119" s="25">
        <v>1828</v>
      </c>
      <c r="H3119" s="25">
        <v>2005</v>
      </c>
      <c r="I3119" s="24">
        <v>30089.5</v>
      </c>
      <c r="J3119" s="24">
        <v>30118.912</v>
      </c>
      <c r="K3119" s="24">
        <v>33773.337</v>
      </c>
      <c r="L3119" s="24">
        <v>37577.434000000001</v>
      </c>
      <c r="M3119" s="24">
        <v>37815.466999999997</v>
      </c>
      <c r="N3119" s="24">
        <v>36745.822999999997</v>
      </c>
      <c r="O3119" s="24">
        <v>37314.800999999999</v>
      </c>
      <c r="P3119" s="24">
        <v>38589.487999999998</v>
      </c>
      <c r="Q3119" s="24">
        <v>40423.925000000003</v>
      </c>
      <c r="R3119" s="24">
        <v>39085.019</v>
      </c>
      <c r="S3119" s="24">
        <v>35253.531000000003</v>
      </c>
      <c r="T3119" s="24">
        <v>30546.516</v>
      </c>
      <c r="U3119" s="24">
        <v>22823.126</v>
      </c>
      <c r="V3119" s="24">
        <v>21678.775000000001</v>
      </c>
      <c r="W3119" s="24">
        <v>16594.671999999999</v>
      </c>
      <c r="X3119" s="24">
        <v>12779.475</v>
      </c>
      <c r="Y3119" s="24">
        <v>7411.0519999999997</v>
      </c>
      <c r="Z3119" s="24">
        <v>2927.6529999999998</v>
      </c>
      <c r="AA3119" s="24">
        <v>1054.6369999999999</v>
      </c>
      <c r="AB3119" s="24">
        <v>182.84899999999999</v>
      </c>
      <c r="AC3119" s="24">
        <v>16.498999999999999</v>
      </c>
    </row>
    <row r="3120" spans="1:29" ht="11.65" x14ac:dyDescent="0.35">
      <c r="A3120" s="28">
        <v>3103</v>
      </c>
      <c r="B3120" s="26" t="s">
        <v>1015</v>
      </c>
      <c r="C3120" s="27" t="s">
        <v>1230</v>
      </c>
      <c r="D3120" s="25"/>
      <c r="E3120" s="25">
        <v>1829</v>
      </c>
      <c r="F3120" s="26" t="s">
        <v>1063</v>
      </c>
      <c r="G3120" s="25">
        <v>1828</v>
      </c>
      <c r="H3120" s="25">
        <v>2010</v>
      </c>
      <c r="I3120" s="24">
        <v>31943.218000000001</v>
      </c>
      <c r="J3120" s="24">
        <v>30399.352999999999</v>
      </c>
      <c r="K3120" s="24">
        <v>30990.077000000001</v>
      </c>
      <c r="L3120" s="24">
        <v>34755.262999999999</v>
      </c>
      <c r="M3120" s="24">
        <v>38230.061999999998</v>
      </c>
      <c r="N3120" s="24">
        <v>38036.944000000003</v>
      </c>
      <c r="O3120" s="24">
        <v>37215.760000000002</v>
      </c>
      <c r="P3120" s="24">
        <v>37419.627</v>
      </c>
      <c r="Q3120" s="24">
        <v>37994.81</v>
      </c>
      <c r="R3120" s="24">
        <v>39852.406000000003</v>
      </c>
      <c r="S3120" s="24">
        <v>37908.659</v>
      </c>
      <c r="T3120" s="24">
        <v>33676.652999999998</v>
      </c>
      <c r="U3120" s="24">
        <v>28414.162</v>
      </c>
      <c r="V3120" s="24">
        <v>20984.791000000001</v>
      </c>
      <c r="W3120" s="24">
        <v>18655.394</v>
      </c>
      <c r="X3120" s="24">
        <v>13236.547</v>
      </c>
      <c r="Y3120" s="24">
        <v>8975.2479999999996</v>
      </c>
      <c r="Z3120" s="24">
        <v>4140.51</v>
      </c>
      <c r="AA3120" s="24">
        <v>1143.6990000000001</v>
      </c>
      <c r="AB3120" s="24">
        <v>237.785</v>
      </c>
      <c r="AC3120" s="24">
        <v>21.78</v>
      </c>
    </row>
    <row r="3121" spans="1:29" ht="11.65" x14ac:dyDescent="0.35">
      <c r="A3121" s="28">
        <v>3104</v>
      </c>
      <c r="B3121" s="26" t="s">
        <v>1015</v>
      </c>
      <c r="C3121" s="27" t="s">
        <v>1230</v>
      </c>
      <c r="D3121" s="25"/>
      <c r="E3121" s="25">
        <v>1829</v>
      </c>
      <c r="F3121" s="26" t="s">
        <v>1063</v>
      </c>
      <c r="G3121" s="25">
        <v>1828</v>
      </c>
      <c r="H3121" s="25">
        <v>2015</v>
      </c>
      <c r="I3121" s="24">
        <v>31854.039000000001</v>
      </c>
      <c r="J3121" s="24">
        <v>32201.312999999998</v>
      </c>
      <c r="K3121" s="24">
        <v>30734.131000000001</v>
      </c>
      <c r="L3121" s="24">
        <v>31678.434000000001</v>
      </c>
      <c r="M3121" s="24">
        <v>35675.997000000003</v>
      </c>
      <c r="N3121" s="24">
        <v>38937.161999999997</v>
      </c>
      <c r="O3121" s="24">
        <v>38535.735999999997</v>
      </c>
      <c r="P3121" s="24">
        <v>37404.239000000001</v>
      </c>
      <c r="Q3121" s="24">
        <v>37260.326000000001</v>
      </c>
      <c r="R3121" s="24">
        <v>37549.930999999997</v>
      </c>
      <c r="S3121" s="24">
        <v>38822.506999999998</v>
      </c>
      <c r="T3121" s="24">
        <v>36285.764999999999</v>
      </c>
      <c r="U3121" s="24">
        <v>31499.146000000001</v>
      </c>
      <c r="V3121" s="24">
        <v>25961.743999999999</v>
      </c>
      <c r="W3121" s="24">
        <v>18461.874</v>
      </c>
      <c r="X3121" s="24">
        <v>15124.375</v>
      </c>
      <c r="Y3121" s="24">
        <v>9574.5769999999993</v>
      </c>
      <c r="Z3121" s="24">
        <v>5218.0420000000004</v>
      </c>
      <c r="AA3121" s="24">
        <v>1724.4839999999999</v>
      </c>
      <c r="AB3121" s="24">
        <v>286.93599999999998</v>
      </c>
      <c r="AC3121" s="24">
        <v>31.231999999999999</v>
      </c>
    </row>
    <row r="3122" spans="1:29" ht="11.65" x14ac:dyDescent="0.35">
      <c r="A3122" s="28">
        <v>3105</v>
      </c>
      <c r="B3122" s="26" t="s">
        <v>1015</v>
      </c>
      <c r="C3122" s="27" t="s">
        <v>1230</v>
      </c>
      <c r="D3122" s="25"/>
      <c r="E3122" s="25">
        <v>1829</v>
      </c>
      <c r="F3122" s="26" t="s">
        <v>1063</v>
      </c>
      <c r="G3122" s="25">
        <v>1828</v>
      </c>
      <c r="H3122" s="25">
        <v>2020</v>
      </c>
      <c r="I3122" s="24">
        <v>31139.9</v>
      </c>
      <c r="J3122" s="24">
        <v>32197.859</v>
      </c>
      <c r="K3122" s="24">
        <v>32474.294999999998</v>
      </c>
      <c r="L3122" s="24">
        <v>31315.865000000002</v>
      </c>
      <c r="M3122" s="24">
        <v>32513.850999999999</v>
      </c>
      <c r="N3122" s="24">
        <v>36556.035000000003</v>
      </c>
      <c r="O3122" s="24">
        <v>39581.031000000003</v>
      </c>
      <c r="P3122" s="24">
        <v>38782.540999999997</v>
      </c>
      <c r="Q3122" s="24">
        <v>37354.595000000001</v>
      </c>
      <c r="R3122" s="24">
        <v>36914.644</v>
      </c>
      <c r="S3122" s="24">
        <v>36758.578000000001</v>
      </c>
      <c r="T3122" s="24">
        <v>37388.343999999997</v>
      </c>
      <c r="U3122" s="24">
        <v>34069.372000000003</v>
      </c>
      <c r="V3122" s="24">
        <v>28770.571</v>
      </c>
      <c r="W3122" s="24">
        <v>22853.984</v>
      </c>
      <c r="X3122" s="24">
        <v>15320.07</v>
      </c>
      <c r="Y3122" s="24">
        <v>11042.351000000001</v>
      </c>
      <c r="Z3122" s="24">
        <v>5778.5259999999998</v>
      </c>
      <c r="AA3122" s="24">
        <v>2300.0909999999999</v>
      </c>
      <c r="AB3122" s="24">
        <v>484.14600000000002</v>
      </c>
      <c r="AC3122" s="24">
        <v>44.845999999999997</v>
      </c>
    </row>
    <row r="3123" spans="1:29" ht="11.65" x14ac:dyDescent="0.35">
      <c r="A3123" s="17">
        <v>3106</v>
      </c>
      <c r="B3123" s="15" t="s">
        <v>1015</v>
      </c>
      <c r="C3123" s="16" t="s">
        <v>1231</v>
      </c>
      <c r="D3123" s="14"/>
      <c r="E3123" s="14">
        <v>917</v>
      </c>
      <c r="F3123" s="15" t="s">
        <v>1232</v>
      </c>
      <c r="G3123" s="14">
        <v>1829</v>
      </c>
      <c r="H3123" s="14">
        <v>1950</v>
      </c>
      <c r="I3123" s="13">
        <v>26334.262999999999</v>
      </c>
      <c r="J3123" s="13">
        <v>21259.343000000001</v>
      </c>
      <c r="K3123" s="13">
        <v>25708.226999999999</v>
      </c>
      <c r="L3123" s="13">
        <v>23248.28</v>
      </c>
      <c r="M3123" s="13">
        <v>23989.124</v>
      </c>
      <c r="N3123" s="13">
        <v>19609.594000000001</v>
      </c>
      <c r="O3123" s="13">
        <v>14143.909</v>
      </c>
      <c r="P3123" s="13">
        <v>17997.278999999999</v>
      </c>
      <c r="Q3123" s="13">
        <v>17889.534</v>
      </c>
      <c r="R3123" s="13">
        <v>16017.695</v>
      </c>
      <c r="S3123" s="13">
        <v>13069.493</v>
      </c>
      <c r="T3123" s="13">
        <v>10486.91</v>
      </c>
      <c r="U3123" s="13">
        <v>8942.7270000000008</v>
      </c>
      <c r="V3123" s="13">
        <v>7202.8429999999998</v>
      </c>
      <c r="W3123" s="13">
        <v>5309.3159999999998</v>
      </c>
      <c r="X3123" s="13">
        <v>3209.2959999999998</v>
      </c>
      <c r="Y3123" s="13">
        <v>1410.6220000000001</v>
      </c>
      <c r="Z3123" s="13">
        <v>498.20800000000003</v>
      </c>
      <c r="AA3123" s="13">
        <v>114.34099999999999</v>
      </c>
      <c r="AB3123" s="13">
        <v>18.61</v>
      </c>
      <c r="AC3123" s="13">
        <v>2.516</v>
      </c>
    </row>
    <row r="3124" spans="1:29" ht="11.65" x14ac:dyDescent="0.35">
      <c r="A3124" s="17">
        <v>3107</v>
      </c>
      <c r="B3124" s="15" t="s">
        <v>1015</v>
      </c>
      <c r="C3124" s="16" t="s">
        <v>1231</v>
      </c>
      <c r="D3124" s="14"/>
      <c r="E3124" s="14">
        <v>917</v>
      </c>
      <c r="F3124" s="15" t="s">
        <v>1232</v>
      </c>
      <c r="G3124" s="14">
        <v>1829</v>
      </c>
      <c r="H3124" s="14">
        <v>1955</v>
      </c>
      <c r="I3124" s="13">
        <v>28404.273000000001</v>
      </c>
      <c r="J3124" s="13">
        <v>25783.883000000002</v>
      </c>
      <c r="K3124" s="13">
        <v>21106.594000000001</v>
      </c>
      <c r="L3124" s="13">
        <v>25418.517</v>
      </c>
      <c r="M3124" s="13">
        <v>22911.642</v>
      </c>
      <c r="N3124" s="13">
        <v>23539.507000000001</v>
      </c>
      <c r="O3124" s="13">
        <v>19205.925999999999</v>
      </c>
      <c r="P3124" s="13">
        <v>13787.861999999999</v>
      </c>
      <c r="Q3124" s="13">
        <v>17551.03</v>
      </c>
      <c r="R3124" s="13">
        <v>17282.901000000002</v>
      </c>
      <c r="S3124" s="13">
        <v>15280.329</v>
      </c>
      <c r="T3124" s="13">
        <v>12127.099</v>
      </c>
      <c r="U3124" s="13">
        <v>9388.2029999999995</v>
      </c>
      <c r="V3124" s="13">
        <v>7567.1080000000002</v>
      </c>
      <c r="W3124" s="13">
        <v>5585.0290000000005</v>
      </c>
      <c r="X3124" s="13">
        <v>3551.4229999999998</v>
      </c>
      <c r="Y3124" s="13">
        <v>1731.7860000000001</v>
      </c>
      <c r="Z3124" s="13">
        <v>531.91300000000001</v>
      </c>
      <c r="AA3124" s="13">
        <v>120.46899999999999</v>
      </c>
      <c r="AB3124" s="13">
        <v>16.766999999999999</v>
      </c>
      <c r="AC3124" s="13">
        <v>1.806</v>
      </c>
    </row>
    <row r="3125" spans="1:29" ht="11.65" x14ac:dyDescent="0.35">
      <c r="A3125" s="17">
        <v>3108</v>
      </c>
      <c r="B3125" s="15" t="s">
        <v>1015</v>
      </c>
      <c r="C3125" s="16" t="s">
        <v>1231</v>
      </c>
      <c r="D3125" s="14"/>
      <c r="E3125" s="14">
        <v>917</v>
      </c>
      <c r="F3125" s="15" t="s">
        <v>1232</v>
      </c>
      <c r="G3125" s="14">
        <v>1829</v>
      </c>
      <c r="H3125" s="14">
        <v>1960</v>
      </c>
      <c r="I3125" s="13">
        <v>29225.647000000001</v>
      </c>
      <c r="J3125" s="13">
        <v>28141.678</v>
      </c>
      <c r="K3125" s="13">
        <v>25983.078000000001</v>
      </c>
      <c r="L3125" s="13">
        <v>21036.562000000002</v>
      </c>
      <c r="M3125" s="13">
        <v>24922.552</v>
      </c>
      <c r="N3125" s="13">
        <v>22529.633000000002</v>
      </c>
      <c r="O3125" s="13">
        <v>23052.219000000001</v>
      </c>
      <c r="P3125" s="13">
        <v>18731.886999999999</v>
      </c>
      <c r="Q3125" s="13">
        <v>13420.924000000001</v>
      </c>
      <c r="R3125" s="13">
        <v>16998.512999999999</v>
      </c>
      <c r="S3125" s="13">
        <v>16540.476999999999</v>
      </c>
      <c r="T3125" s="13">
        <v>14214.078</v>
      </c>
      <c r="U3125" s="13">
        <v>10882.251</v>
      </c>
      <c r="V3125" s="13">
        <v>7955.7939999999999</v>
      </c>
      <c r="W3125" s="13">
        <v>5897.6210000000001</v>
      </c>
      <c r="X3125" s="13">
        <v>3782.6590000000001</v>
      </c>
      <c r="Y3125" s="13">
        <v>1940.1479999999999</v>
      </c>
      <c r="Z3125" s="13">
        <v>670.91099999999994</v>
      </c>
      <c r="AA3125" s="13">
        <v>130.72399999999999</v>
      </c>
      <c r="AB3125" s="13">
        <v>17.244</v>
      </c>
      <c r="AC3125" s="13">
        <v>1.456</v>
      </c>
    </row>
    <row r="3126" spans="1:29" ht="11.65" x14ac:dyDescent="0.35">
      <c r="A3126" s="17">
        <v>3109</v>
      </c>
      <c r="B3126" s="15" t="s">
        <v>1015</v>
      </c>
      <c r="C3126" s="16" t="s">
        <v>1231</v>
      </c>
      <c r="D3126" s="14"/>
      <c r="E3126" s="14">
        <v>917</v>
      </c>
      <c r="F3126" s="15" t="s">
        <v>1232</v>
      </c>
      <c r="G3126" s="14">
        <v>1829</v>
      </c>
      <c r="H3126" s="14">
        <v>1965</v>
      </c>
      <c r="I3126" s="13">
        <v>28805.556</v>
      </c>
      <c r="J3126" s="13">
        <v>29118.096000000001</v>
      </c>
      <c r="K3126" s="13">
        <v>28068.598000000002</v>
      </c>
      <c r="L3126" s="13">
        <v>25911.617999999999</v>
      </c>
      <c r="M3126" s="13">
        <v>20910.353999999999</v>
      </c>
      <c r="N3126" s="13">
        <v>24727.293000000001</v>
      </c>
      <c r="O3126" s="13">
        <v>22312.916000000001</v>
      </c>
      <c r="P3126" s="13">
        <v>22831.458999999999</v>
      </c>
      <c r="Q3126" s="13">
        <v>18466.481</v>
      </c>
      <c r="R3126" s="13">
        <v>13079.014999999999</v>
      </c>
      <c r="S3126" s="13">
        <v>16373.909</v>
      </c>
      <c r="T3126" s="13">
        <v>15575.573</v>
      </c>
      <c r="U3126" s="13">
        <v>12866.245000000001</v>
      </c>
      <c r="V3126" s="13">
        <v>9258.1329999999998</v>
      </c>
      <c r="W3126" s="13">
        <v>6241.8739999999998</v>
      </c>
      <c r="X3126" s="13">
        <v>4064.34</v>
      </c>
      <c r="Y3126" s="13">
        <v>2137.636</v>
      </c>
      <c r="Z3126" s="13">
        <v>769.41499999999996</v>
      </c>
      <c r="AA3126" s="13">
        <v>170.15899999999999</v>
      </c>
      <c r="AB3126" s="13">
        <v>19.34</v>
      </c>
      <c r="AC3126" s="13">
        <v>1.512</v>
      </c>
    </row>
    <row r="3127" spans="1:29" ht="11.65" x14ac:dyDescent="0.35">
      <c r="A3127" s="17">
        <v>3110</v>
      </c>
      <c r="B3127" s="15" t="s">
        <v>1015</v>
      </c>
      <c r="C3127" s="16" t="s">
        <v>1231</v>
      </c>
      <c r="D3127" s="14"/>
      <c r="E3127" s="14">
        <v>917</v>
      </c>
      <c r="F3127" s="15" t="s">
        <v>1232</v>
      </c>
      <c r="G3127" s="14">
        <v>1829</v>
      </c>
      <c r="H3127" s="14">
        <v>1970</v>
      </c>
      <c r="I3127" s="13">
        <v>27048.165000000001</v>
      </c>
      <c r="J3127" s="13">
        <v>28706.116000000002</v>
      </c>
      <c r="K3127" s="13">
        <v>29154.381000000001</v>
      </c>
      <c r="L3127" s="13">
        <v>27826.567999999999</v>
      </c>
      <c r="M3127" s="13">
        <v>25547.192999999999</v>
      </c>
      <c r="N3127" s="13">
        <v>20607.919000000002</v>
      </c>
      <c r="O3127" s="13">
        <v>24316.678</v>
      </c>
      <c r="P3127" s="13">
        <v>21907.442999999999</v>
      </c>
      <c r="Q3127" s="13">
        <v>22469.052</v>
      </c>
      <c r="R3127" s="13">
        <v>18003.452000000001</v>
      </c>
      <c r="S3127" s="13">
        <v>12470.594999999999</v>
      </c>
      <c r="T3127" s="13">
        <v>15416.040999999999</v>
      </c>
      <c r="U3127" s="13">
        <v>14114.861000000001</v>
      </c>
      <c r="V3127" s="13">
        <v>10990.004999999999</v>
      </c>
      <c r="W3127" s="13">
        <v>7195.6109999999999</v>
      </c>
      <c r="X3127" s="13">
        <v>4243.8620000000001</v>
      </c>
      <c r="Y3127" s="13">
        <v>2288.3719999999998</v>
      </c>
      <c r="Z3127" s="13">
        <v>865.42899999999997</v>
      </c>
      <c r="AA3127" s="13">
        <v>200.33799999999999</v>
      </c>
      <c r="AB3127" s="13">
        <v>26.122</v>
      </c>
      <c r="AC3127" s="13">
        <v>1.798</v>
      </c>
    </row>
    <row r="3128" spans="1:29" ht="11.65" x14ac:dyDescent="0.35">
      <c r="A3128" s="17">
        <v>3111</v>
      </c>
      <c r="B3128" s="15" t="s">
        <v>1015</v>
      </c>
      <c r="C3128" s="16" t="s">
        <v>1231</v>
      </c>
      <c r="D3128" s="14"/>
      <c r="E3128" s="14">
        <v>917</v>
      </c>
      <c r="F3128" s="15" t="s">
        <v>1232</v>
      </c>
      <c r="G3128" s="14">
        <v>1829</v>
      </c>
      <c r="H3128" s="14">
        <v>1975</v>
      </c>
      <c r="I3128" s="13">
        <v>26303.455000000002</v>
      </c>
      <c r="J3128" s="13">
        <v>27000.488000000001</v>
      </c>
      <c r="K3128" s="13">
        <v>28683.667000000001</v>
      </c>
      <c r="L3128" s="13">
        <v>28966.518</v>
      </c>
      <c r="M3128" s="13">
        <v>27568.114000000001</v>
      </c>
      <c r="N3128" s="13">
        <v>25360.892</v>
      </c>
      <c r="O3128" s="13">
        <v>20466.703000000001</v>
      </c>
      <c r="P3128" s="13">
        <v>23992.526000000002</v>
      </c>
      <c r="Q3128" s="13">
        <v>21470.109</v>
      </c>
      <c r="R3128" s="13">
        <v>21839.166000000001</v>
      </c>
      <c r="S3128" s="13">
        <v>17305.55</v>
      </c>
      <c r="T3128" s="13">
        <v>11719.782999999999</v>
      </c>
      <c r="U3128" s="13">
        <v>14000.985000000001</v>
      </c>
      <c r="V3128" s="13">
        <v>12035.572</v>
      </c>
      <c r="W3128" s="13">
        <v>8553.9089999999997</v>
      </c>
      <c r="X3128" s="13">
        <v>4873.37</v>
      </c>
      <c r="Y3128" s="13">
        <v>2406.1060000000002</v>
      </c>
      <c r="Z3128" s="13">
        <v>933.91600000000005</v>
      </c>
      <c r="AA3128" s="13">
        <v>231.167</v>
      </c>
      <c r="AB3128" s="13">
        <v>31.298999999999999</v>
      </c>
      <c r="AC3128" s="13">
        <v>2.407</v>
      </c>
    </row>
    <row r="3129" spans="1:29" ht="11.65" x14ac:dyDescent="0.35">
      <c r="A3129" s="17">
        <v>3112</v>
      </c>
      <c r="B3129" s="15" t="s">
        <v>1015</v>
      </c>
      <c r="C3129" s="16" t="s">
        <v>1231</v>
      </c>
      <c r="D3129" s="14"/>
      <c r="E3129" s="14">
        <v>917</v>
      </c>
      <c r="F3129" s="15" t="s">
        <v>1232</v>
      </c>
      <c r="G3129" s="14">
        <v>1829</v>
      </c>
      <c r="H3129" s="14">
        <v>1980</v>
      </c>
      <c r="I3129" s="13">
        <v>25417.842000000001</v>
      </c>
      <c r="J3129" s="13">
        <v>26149.383000000002</v>
      </c>
      <c r="K3129" s="13">
        <v>27052.567999999999</v>
      </c>
      <c r="L3129" s="13">
        <v>28774.666000000001</v>
      </c>
      <c r="M3129" s="13">
        <v>28884.923999999999</v>
      </c>
      <c r="N3129" s="13">
        <v>27322.81</v>
      </c>
      <c r="O3129" s="13">
        <v>25079.686000000002</v>
      </c>
      <c r="P3129" s="13">
        <v>20157.749</v>
      </c>
      <c r="Q3129" s="13">
        <v>23483.421999999999</v>
      </c>
      <c r="R3129" s="13">
        <v>20815.89</v>
      </c>
      <c r="S3129" s="13">
        <v>20886.52</v>
      </c>
      <c r="T3129" s="13">
        <v>16235.215</v>
      </c>
      <c r="U3129" s="13">
        <v>10638.108</v>
      </c>
      <c r="V3129" s="13">
        <v>12038.138999999999</v>
      </c>
      <c r="W3129" s="13">
        <v>9490.82</v>
      </c>
      <c r="X3129" s="13">
        <v>5874.7879999999996</v>
      </c>
      <c r="Y3129" s="13">
        <v>2766.0210000000002</v>
      </c>
      <c r="Z3129" s="13">
        <v>1007.117</v>
      </c>
      <c r="AA3129" s="13">
        <v>259.25299999999999</v>
      </c>
      <c r="AB3129" s="13">
        <v>38.529000000000003</v>
      </c>
      <c r="AC3129" s="13">
        <v>3.0710000000000002</v>
      </c>
    </row>
    <row r="3130" spans="1:29" ht="11.65" x14ac:dyDescent="0.35">
      <c r="A3130" s="17">
        <v>3113</v>
      </c>
      <c r="B3130" s="15" t="s">
        <v>1015</v>
      </c>
      <c r="C3130" s="16" t="s">
        <v>1231</v>
      </c>
      <c r="D3130" s="14"/>
      <c r="E3130" s="14">
        <v>917</v>
      </c>
      <c r="F3130" s="15" t="s">
        <v>1232</v>
      </c>
      <c r="G3130" s="14">
        <v>1829</v>
      </c>
      <c r="H3130" s="14">
        <v>1985</v>
      </c>
      <c r="I3130" s="13">
        <v>25313.304</v>
      </c>
      <c r="J3130" s="13">
        <v>25412.29</v>
      </c>
      <c r="K3130" s="13">
        <v>26211.127</v>
      </c>
      <c r="L3130" s="13">
        <v>27081.963</v>
      </c>
      <c r="M3130" s="13">
        <v>28609.702000000001</v>
      </c>
      <c r="N3130" s="13">
        <v>28608.39</v>
      </c>
      <c r="O3130" s="13">
        <v>27067.773000000001</v>
      </c>
      <c r="P3130" s="13">
        <v>24714.953000000001</v>
      </c>
      <c r="Q3130" s="13">
        <v>19767.213</v>
      </c>
      <c r="R3130" s="13">
        <v>22698.949000000001</v>
      </c>
      <c r="S3130" s="13">
        <v>19849.545999999998</v>
      </c>
      <c r="T3130" s="13">
        <v>19454.678</v>
      </c>
      <c r="U3130" s="13">
        <v>14685.21</v>
      </c>
      <c r="V3130" s="13">
        <v>9175.7909999999993</v>
      </c>
      <c r="W3130" s="13">
        <v>9578.1769999999997</v>
      </c>
      <c r="X3130" s="13">
        <v>6597.683</v>
      </c>
      <c r="Y3130" s="13">
        <v>3337.0059999999999</v>
      </c>
      <c r="Z3130" s="13">
        <v>1172.634</v>
      </c>
      <c r="AA3130" s="13">
        <v>291.12900000000002</v>
      </c>
      <c r="AB3130" s="13">
        <v>45.82</v>
      </c>
      <c r="AC3130" s="13">
        <v>4.0460000000000003</v>
      </c>
    </row>
    <row r="3131" spans="1:29" ht="11.65" x14ac:dyDescent="0.35">
      <c r="A3131" s="17">
        <v>3114</v>
      </c>
      <c r="B3131" s="15" t="s">
        <v>1015</v>
      </c>
      <c r="C3131" s="16" t="s">
        <v>1231</v>
      </c>
      <c r="D3131" s="14"/>
      <c r="E3131" s="14">
        <v>917</v>
      </c>
      <c r="F3131" s="15" t="s">
        <v>1232</v>
      </c>
      <c r="G3131" s="14">
        <v>1829</v>
      </c>
      <c r="H3131" s="14">
        <v>1990</v>
      </c>
      <c r="I3131" s="13">
        <v>24625.758000000002</v>
      </c>
      <c r="J3131" s="13">
        <v>25329.300999999999</v>
      </c>
      <c r="K3131" s="13">
        <v>25480.742999999999</v>
      </c>
      <c r="L3131" s="13">
        <v>26328.300999999999</v>
      </c>
      <c r="M3131" s="13">
        <v>27036.581999999999</v>
      </c>
      <c r="N3131" s="13">
        <v>28420.772000000001</v>
      </c>
      <c r="O3131" s="13">
        <v>28367.936000000002</v>
      </c>
      <c r="P3131" s="13">
        <v>26767.760999999999</v>
      </c>
      <c r="Q3131" s="13">
        <v>24313.67</v>
      </c>
      <c r="R3131" s="13">
        <v>19284.207999999999</v>
      </c>
      <c r="S3131" s="13">
        <v>21772.663</v>
      </c>
      <c r="T3131" s="13">
        <v>18641.41</v>
      </c>
      <c r="U3131" s="13">
        <v>17673.985000000001</v>
      </c>
      <c r="V3131" s="13">
        <v>12796.412</v>
      </c>
      <c r="W3131" s="13">
        <v>7427.8549999999996</v>
      </c>
      <c r="X3131" s="13">
        <v>6880.1059999999998</v>
      </c>
      <c r="Y3131" s="13">
        <v>3955.078</v>
      </c>
      <c r="Z3131" s="13">
        <v>1491.585</v>
      </c>
      <c r="AA3131" s="13">
        <v>352.65199999999999</v>
      </c>
      <c r="AB3131" s="13">
        <v>53.122</v>
      </c>
      <c r="AC3131" s="13">
        <v>4.8360000000000003</v>
      </c>
    </row>
    <row r="3132" spans="1:29" ht="11.65" x14ac:dyDescent="0.35">
      <c r="A3132" s="17">
        <v>3115</v>
      </c>
      <c r="B3132" s="15" t="s">
        <v>1015</v>
      </c>
      <c r="C3132" s="16" t="s">
        <v>1231</v>
      </c>
      <c r="D3132" s="14"/>
      <c r="E3132" s="14">
        <v>917</v>
      </c>
      <c r="F3132" s="15" t="s">
        <v>1232</v>
      </c>
      <c r="G3132" s="14">
        <v>1829</v>
      </c>
      <c r="H3132" s="14">
        <v>1995</v>
      </c>
      <c r="I3132" s="13">
        <v>21295.149000000001</v>
      </c>
      <c r="J3132" s="13">
        <v>24900.574000000001</v>
      </c>
      <c r="K3132" s="13">
        <v>25635.655999999999</v>
      </c>
      <c r="L3132" s="13">
        <v>25598.76</v>
      </c>
      <c r="M3132" s="13">
        <v>26241.46</v>
      </c>
      <c r="N3132" s="13">
        <v>26971.62</v>
      </c>
      <c r="O3132" s="13">
        <v>28270.201000000001</v>
      </c>
      <c r="P3132" s="13">
        <v>28038.572</v>
      </c>
      <c r="Q3132" s="13">
        <v>26235.152999999998</v>
      </c>
      <c r="R3132" s="13">
        <v>23563.562999999998</v>
      </c>
      <c r="S3132" s="13">
        <v>18474.958999999999</v>
      </c>
      <c r="T3132" s="13">
        <v>20336.637999999999</v>
      </c>
      <c r="U3132" s="13">
        <v>16910.812000000002</v>
      </c>
      <c r="V3132" s="13">
        <v>15225.397999999999</v>
      </c>
      <c r="W3132" s="13">
        <v>10386.578</v>
      </c>
      <c r="X3132" s="13">
        <v>5451.4620000000004</v>
      </c>
      <c r="Y3132" s="13">
        <v>4240.7979999999998</v>
      </c>
      <c r="Z3132" s="13">
        <v>1826.3209999999999</v>
      </c>
      <c r="AA3132" s="13">
        <v>462.05900000000003</v>
      </c>
      <c r="AB3132" s="13">
        <v>64.406000000000006</v>
      </c>
      <c r="AC3132" s="13">
        <v>5.3840000000000003</v>
      </c>
    </row>
    <row r="3133" spans="1:29" ht="11.65" x14ac:dyDescent="0.35">
      <c r="A3133" s="17">
        <v>3116</v>
      </c>
      <c r="B3133" s="15" t="s">
        <v>1015</v>
      </c>
      <c r="C3133" s="16" t="s">
        <v>1231</v>
      </c>
      <c r="D3133" s="14"/>
      <c r="E3133" s="14">
        <v>917</v>
      </c>
      <c r="F3133" s="15" t="s">
        <v>1232</v>
      </c>
      <c r="G3133" s="14">
        <v>1829</v>
      </c>
      <c r="H3133" s="14">
        <v>2000</v>
      </c>
      <c r="I3133" s="13">
        <v>18883.017</v>
      </c>
      <c r="J3133" s="13">
        <v>21352.678</v>
      </c>
      <c r="K3133" s="13">
        <v>25115.425999999999</v>
      </c>
      <c r="L3133" s="13">
        <v>25749.912</v>
      </c>
      <c r="M3133" s="13">
        <v>25512.358</v>
      </c>
      <c r="N3133" s="13">
        <v>26041.371999999999</v>
      </c>
      <c r="O3133" s="13">
        <v>26786.201000000001</v>
      </c>
      <c r="P3133" s="13">
        <v>27942.012999999999</v>
      </c>
      <c r="Q3133" s="13">
        <v>27421.925999999999</v>
      </c>
      <c r="R3133" s="13">
        <v>25365.32</v>
      </c>
      <c r="S3133" s="13">
        <v>22491.346000000001</v>
      </c>
      <c r="T3133" s="13">
        <v>17371.937000000002</v>
      </c>
      <c r="U3133" s="13">
        <v>18452.27</v>
      </c>
      <c r="V3133" s="13">
        <v>14733.562</v>
      </c>
      <c r="W3133" s="13">
        <v>12339.798000000001</v>
      </c>
      <c r="X3133" s="13">
        <v>7708.277</v>
      </c>
      <c r="Y3133" s="13">
        <v>3458.78</v>
      </c>
      <c r="Z3133" s="13">
        <v>2026.348</v>
      </c>
      <c r="AA3133" s="13">
        <v>582.75099999999998</v>
      </c>
      <c r="AB3133" s="13">
        <v>85.468000000000004</v>
      </c>
      <c r="AC3133" s="13">
        <v>6.3920000000000003</v>
      </c>
    </row>
    <row r="3134" spans="1:29" ht="11.65" x14ac:dyDescent="0.35">
      <c r="A3134" s="17">
        <v>3117</v>
      </c>
      <c r="B3134" s="15" t="s">
        <v>1015</v>
      </c>
      <c r="C3134" s="16" t="s">
        <v>1231</v>
      </c>
      <c r="D3134" s="14"/>
      <c r="E3134" s="14">
        <v>917</v>
      </c>
      <c r="F3134" s="15" t="s">
        <v>1232</v>
      </c>
      <c r="G3134" s="14">
        <v>1829</v>
      </c>
      <c r="H3134" s="14">
        <v>2005</v>
      </c>
      <c r="I3134" s="13">
        <v>18844.061000000002</v>
      </c>
      <c r="J3134" s="13">
        <v>19056.971000000001</v>
      </c>
      <c r="K3134" s="13">
        <v>21631.909</v>
      </c>
      <c r="L3134" s="13">
        <v>25359.883000000002</v>
      </c>
      <c r="M3134" s="13">
        <v>26137.098999999998</v>
      </c>
      <c r="N3134" s="13">
        <v>25903.429</v>
      </c>
      <c r="O3134" s="13">
        <v>26320.93</v>
      </c>
      <c r="P3134" s="13">
        <v>26834.221000000001</v>
      </c>
      <c r="Q3134" s="13">
        <v>27668.157999999999</v>
      </c>
      <c r="R3134" s="13">
        <v>26691.187999999998</v>
      </c>
      <c r="S3134" s="13">
        <v>24230.594000000001</v>
      </c>
      <c r="T3134" s="13">
        <v>21226.846000000001</v>
      </c>
      <c r="U3134" s="13">
        <v>15967.434999999999</v>
      </c>
      <c r="V3134" s="13">
        <v>16196.200999999999</v>
      </c>
      <c r="W3134" s="13">
        <v>12241.562</v>
      </c>
      <c r="X3134" s="13">
        <v>9256.2189999999991</v>
      </c>
      <c r="Y3134" s="13">
        <v>5064.0129999999999</v>
      </c>
      <c r="Z3134" s="13">
        <v>1774.182</v>
      </c>
      <c r="AA3134" s="13">
        <v>693.38199999999995</v>
      </c>
      <c r="AB3134" s="13">
        <v>116.167</v>
      </c>
      <c r="AC3134" s="13">
        <v>9.0050000000000008</v>
      </c>
    </row>
    <row r="3135" spans="1:29" ht="11.65" x14ac:dyDescent="0.35">
      <c r="A3135" s="17">
        <v>3118</v>
      </c>
      <c r="B3135" s="15" t="s">
        <v>1015</v>
      </c>
      <c r="C3135" s="16" t="s">
        <v>1231</v>
      </c>
      <c r="D3135" s="14"/>
      <c r="E3135" s="14">
        <v>917</v>
      </c>
      <c r="F3135" s="15" t="s">
        <v>1232</v>
      </c>
      <c r="G3135" s="14">
        <v>1829</v>
      </c>
      <c r="H3135" s="14">
        <v>2010</v>
      </c>
      <c r="I3135" s="13">
        <v>20289.745999999999</v>
      </c>
      <c r="J3135" s="13">
        <v>18904.227999999999</v>
      </c>
      <c r="K3135" s="13">
        <v>19300.509999999998</v>
      </c>
      <c r="L3135" s="13">
        <v>22211.828000000001</v>
      </c>
      <c r="M3135" s="13">
        <v>25898.646000000001</v>
      </c>
      <c r="N3135" s="13">
        <v>26332.796999999999</v>
      </c>
      <c r="O3135" s="13">
        <v>26121.808000000001</v>
      </c>
      <c r="P3135" s="13">
        <v>26287.911</v>
      </c>
      <c r="Q3135" s="13">
        <v>26209.151000000002</v>
      </c>
      <c r="R3135" s="13">
        <v>27167.204000000002</v>
      </c>
      <c r="S3135" s="13">
        <v>25637.291000000001</v>
      </c>
      <c r="T3135" s="13">
        <v>22925.226999999999</v>
      </c>
      <c r="U3135" s="13">
        <v>19463.498</v>
      </c>
      <c r="V3135" s="13">
        <v>14551.47</v>
      </c>
      <c r="W3135" s="13">
        <v>13772.498</v>
      </c>
      <c r="X3135" s="13">
        <v>9636.6350000000002</v>
      </c>
      <c r="Y3135" s="13">
        <v>6347.0630000000001</v>
      </c>
      <c r="Z3135" s="13">
        <v>2732.375</v>
      </c>
      <c r="AA3135" s="13">
        <v>662.173</v>
      </c>
      <c r="AB3135" s="13">
        <v>150.12</v>
      </c>
      <c r="AC3135" s="13">
        <v>13.183999999999999</v>
      </c>
    </row>
    <row r="3136" spans="1:29" ht="11.65" x14ac:dyDescent="0.35">
      <c r="A3136" s="17">
        <v>3119</v>
      </c>
      <c r="B3136" s="15" t="s">
        <v>1015</v>
      </c>
      <c r="C3136" s="16" t="s">
        <v>1231</v>
      </c>
      <c r="D3136" s="14"/>
      <c r="E3136" s="14">
        <v>917</v>
      </c>
      <c r="F3136" s="15" t="s">
        <v>1232</v>
      </c>
      <c r="G3136" s="14">
        <v>1829</v>
      </c>
      <c r="H3136" s="14">
        <v>2015</v>
      </c>
      <c r="I3136" s="13">
        <v>20661.641</v>
      </c>
      <c r="J3136" s="13">
        <v>20458.563999999998</v>
      </c>
      <c r="K3136" s="13">
        <v>19170.258000000002</v>
      </c>
      <c r="L3136" s="13">
        <v>19643.883000000002</v>
      </c>
      <c r="M3136" s="13">
        <v>22578.891</v>
      </c>
      <c r="N3136" s="13">
        <v>26214.186000000002</v>
      </c>
      <c r="O3136" s="13">
        <v>26517.010999999999</v>
      </c>
      <c r="P3136" s="13">
        <v>26117.58</v>
      </c>
      <c r="Q3136" s="13">
        <v>26054.368999999999</v>
      </c>
      <c r="R3136" s="13">
        <v>25824.141</v>
      </c>
      <c r="S3136" s="13">
        <v>26347.040000000001</v>
      </c>
      <c r="T3136" s="13">
        <v>24367.837</v>
      </c>
      <c r="U3136" s="13">
        <v>21258.907999999999</v>
      </c>
      <c r="V3136" s="13">
        <v>17600.667000000001</v>
      </c>
      <c r="W3136" s="13">
        <v>12688.788</v>
      </c>
      <c r="X3136" s="13">
        <v>11000.713</v>
      </c>
      <c r="Y3136" s="13">
        <v>6845.0990000000002</v>
      </c>
      <c r="Z3136" s="13">
        <v>3567.8150000000001</v>
      </c>
      <c r="AA3136" s="13">
        <v>1089.2639999999999</v>
      </c>
      <c r="AB3136" s="13">
        <v>157.315</v>
      </c>
      <c r="AC3136" s="13">
        <v>18.53</v>
      </c>
    </row>
    <row r="3137" spans="1:29" ht="11.65" x14ac:dyDescent="0.35">
      <c r="A3137" s="17">
        <v>3120</v>
      </c>
      <c r="B3137" s="15" t="s">
        <v>1015</v>
      </c>
      <c r="C3137" s="16" t="s">
        <v>1231</v>
      </c>
      <c r="D3137" s="14"/>
      <c r="E3137" s="14">
        <v>917</v>
      </c>
      <c r="F3137" s="15" t="s">
        <v>1232</v>
      </c>
      <c r="G3137" s="14">
        <v>1829</v>
      </c>
      <c r="H3137" s="14">
        <v>2020</v>
      </c>
      <c r="I3137" s="13">
        <v>20060.59</v>
      </c>
      <c r="J3137" s="13">
        <v>20936.155999999999</v>
      </c>
      <c r="K3137" s="13">
        <v>20678.624</v>
      </c>
      <c r="L3137" s="13">
        <v>19460.321</v>
      </c>
      <c r="M3137" s="13">
        <v>19978.933000000001</v>
      </c>
      <c r="N3137" s="13">
        <v>23017.82</v>
      </c>
      <c r="O3137" s="13">
        <v>26558.59</v>
      </c>
      <c r="P3137" s="13">
        <v>26598.100999999999</v>
      </c>
      <c r="Q3137" s="13">
        <v>26008.335999999999</v>
      </c>
      <c r="R3137" s="13">
        <v>25752.077000000001</v>
      </c>
      <c r="S3137" s="13">
        <v>25218.066999999999</v>
      </c>
      <c r="T3137" s="13">
        <v>25299.996999999999</v>
      </c>
      <c r="U3137" s="13">
        <v>22739.494999999999</v>
      </c>
      <c r="V3137" s="13">
        <v>19254.388999999999</v>
      </c>
      <c r="W3137" s="13">
        <v>15338.38</v>
      </c>
      <c r="X3137" s="13">
        <v>10423.079</v>
      </c>
      <c r="Y3137" s="13">
        <v>7879.9229999999998</v>
      </c>
      <c r="Z3137" s="13">
        <v>4034.1509999999998</v>
      </c>
      <c r="AA3137" s="13">
        <v>1513.242</v>
      </c>
      <c r="AB3137" s="13">
        <v>288.12299999999999</v>
      </c>
      <c r="AC3137" s="13">
        <v>22.579000000000001</v>
      </c>
    </row>
    <row r="3138" spans="1:29" ht="11.65" x14ac:dyDescent="0.35">
      <c r="A3138" s="23">
        <v>3121</v>
      </c>
      <c r="B3138" s="21" t="s">
        <v>1015</v>
      </c>
      <c r="C3138" s="22" t="s">
        <v>1233</v>
      </c>
      <c r="D3138" s="20"/>
      <c r="E3138" s="20">
        <v>923</v>
      </c>
      <c r="F3138" s="21" t="s">
        <v>1065</v>
      </c>
      <c r="G3138" s="20">
        <v>917</v>
      </c>
      <c r="H3138" s="20">
        <v>1950</v>
      </c>
      <c r="I3138" s="19">
        <v>11341.241</v>
      </c>
      <c r="J3138" s="19">
        <v>8176.549</v>
      </c>
      <c r="K3138" s="19">
        <v>12111.706</v>
      </c>
      <c r="L3138" s="19">
        <v>10194.927</v>
      </c>
      <c r="M3138" s="19">
        <v>11203.794</v>
      </c>
      <c r="N3138" s="19">
        <v>7570.5129999999999</v>
      </c>
      <c r="O3138" s="19">
        <v>5092.1379999999999</v>
      </c>
      <c r="P3138" s="19">
        <v>6811.8779999999997</v>
      </c>
      <c r="Q3138" s="19">
        <v>6399.2079999999996</v>
      </c>
      <c r="R3138" s="19">
        <v>5239.8310000000001</v>
      </c>
      <c r="S3138" s="19">
        <v>4111.5559999999996</v>
      </c>
      <c r="T3138" s="19">
        <v>3306.011</v>
      </c>
      <c r="U3138" s="19">
        <v>2663.511</v>
      </c>
      <c r="V3138" s="19">
        <v>2037.425</v>
      </c>
      <c r="W3138" s="19">
        <v>1331.4970000000001</v>
      </c>
      <c r="X3138" s="19">
        <v>782.10299999999995</v>
      </c>
      <c r="Y3138" s="19">
        <v>347.55</v>
      </c>
      <c r="Z3138" s="19">
        <v>124.83</v>
      </c>
      <c r="AA3138" s="19">
        <v>33.222000000000001</v>
      </c>
      <c r="AB3138" s="19">
        <v>7.2830000000000004</v>
      </c>
      <c r="AC3138" s="19">
        <v>1.7849999999999999</v>
      </c>
    </row>
    <row r="3139" spans="1:29" ht="11.65" x14ac:dyDescent="0.35">
      <c r="A3139" s="23">
        <v>3122</v>
      </c>
      <c r="B3139" s="21" t="s">
        <v>1015</v>
      </c>
      <c r="C3139" s="22" t="s">
        <v>1233</v>
      </c>
      <c r="D3139" s="20"/>
      <c r="E3139" s="20">
        <v>923</v>
      </c>
      <c r="F3139" s="21" t="s">
        <v>1065</v>
      </c>
      <c r="G3139" s="20">
        <v>917</v>
      </c>
      <c r="H3139" s="20">
        <v>1955</v>
      </c>
      <c r="I3139" s="19">
        <v>13578.668</v>
      </c>
      <c r="J3139" s="19">
        <v>11010.163</v>
      </c>
      <c r="K3139" s="19">
        <v>8126.27</v>
      </c>
      <c r="L3139" s="19">
        <v>12044.27</v>
      </c>
      <c r="M3139" s="19">
        <v>10076.439</v>
      </c>
      <c r="N3139" s="19">
        <v>11047.629000000001</v>
      </c>
      <c r="O3139" s="19">
        <v>7459.067</v>
      </c>
      <c r="P3139" s="19">
        <v>4953.4440000000004</v>
      </c>
      <c r="Q3139" s="19">
        <v>6630.6509999999998</v>
      </c>
      <c r="R3139" s="19">
        <v>6142.1620000000003</v>
      </c>
      <c r="S3139" s="19">
        <v>4939.0690000000004</v>
      </c>
      <c r="T3139" s="19">
        <v>3766.174</v>
      </c>
      <c r="U3139" s="19">
        <v>2899.895</v>
      </c>
      <c r="V3139" s="19">
        <v>2199.1390000000001</v>
      </c>
      <c r="W3139" s="19">
        <v>1541.4770000000001</v>
      </c>
      <c r="X3139" s="19">
        <v>874.80399999999997</v>
      </c>
      <c r="Y3139" s="19">
        <v>436.51499999999999</v>
      </c>
      <c r="Z3139" s="19">
        <v>134.65700000000001</v>
      </c>
      <c r="AA3139" s="19">
        <v>33.076999999999998</v>
      </c>
      <c r="AB3139" s="19">
        <v>5.5730000000000004</v>
      </c>
      <c r="AC3139" s="19">
        <v>0.86399999999999999</v>
      </c>
    </row>
    <row r="3140" spans="1:29" ht="11.65" x14ac:dyDescent="0.35">
      <c r="A3140" s="23">
        <v>3123</v>
      </c>
      <c r="B3140" s="21" t="s">
        <v>1015</v>
      </c>
      <c r="C3140" s="22" t="s">
        <v>1233</v>
      </c>
      <c r="D3140" s="20"/>
      <c r="E3140" s="20">
        <v>923</v>
      </c>
      <c r="F3140" s="21" t="s">
        <v>1065</v>
      </c>
      <c r="G3140" s="20">
        <v>917</v>
      </c>
      <c r="H3140" s="20">
        <v>1960</v>
      </c>
      <c r="I3140" s="19">
        <v>13667.708000000001</v>
      </c>
      <c r="J3140" s="19">
        <v>13392.332</v>
      </c>
      <c r="K3140" s="19">
        <v>11163.657999999999</v>
      </c>
      <c r="L3140" s="19">
        <v>8105.4279999999999</v>
      </c>
      <c r="M3140" s="19">
        <v>11796.581</v>
      </c>
      <c r="N3140" s="19">
        <v>9946.0290000000005</v>
      </c>
      <c r="O3140" s="19">
        <v>10816.47</v>
      </c>
      <c r="P3140" s="19">
        <v>7237.9679999999998</v>
      </c>
      <c r="Q3140" s="19">
        <v>4773.8919999999998</v>
      </c>
      <c r="R3140" s="19">
        <v>6334.6869999999999</v>
      </c>
      <c r="S3140" s="19">
        <v>5807.0770000000002</v>
      </c>
      <c r="T3140" s="19">
        <v>4515.8459999999995</v>
      </c>
      <c r="U3140" s="19">
        <v>3332.777</v>
      </c>
      <c r="V3140" s="19">
        <v>2399.9110000000001</v>
      </c>
      <c r="W3140" s="19">
        <v>1677.89</v>
      </c>
      <c r="X3140" s="19">
        <v>1022.883</v>
      </c>
      <c r="Y3140" s="19">
        <v>472.32900000000001</v>
      </c>
      <c r="Z3140" s="19">
        <v>172.20099999999999</v>
      </c>
      <c r="AA3140" s="19">
        <v>35.93</v>
      </c>
      <c r="AB3140" s="19">
        <v>5.532</v>
      </c>
      <c r="AC3140" s="19">
        <v>0.60499999999999998</v>
      </c>
    </row>
    <row r="3141" spans="1:29" ht="11.65" x14ac:dyDescent="0.35">
      <c r="A3141" s="23">
        <v>3124</v>
      </c>
      <c r="B3141" s="21" t="s">
        <v>1015</v>
      </c>
      <c r="C3141" s="22" t="s">
        <v>1233</v>
      </c>
      <c r="D3141" s="20"/>
      <c r="E3141" s="20">
        <v>923</v>
      </c>
      <c r="F3141" s="21" t="s">
        <v>1065</v>
      </c>
      <c r="G3141" s="20">
        <v>917</v>
      </c>
      <c r="H3141" s="20">
        <v>1965</v>
      </c>
      <c r="I3141" s="19">
        <v>11981.061</v>
      </c>
      <c r="J3141" s="19">
        <v>13573.507</v>
      </c>
      <c r="K3141" s="19">
        <v>13300.468999999999</v>
      </c>
      <c r="L3141" s="19">
        <v>11141.950999999999</v>
      </c>
      <c r="M3141" s="19">
        <v>8038.3149999999996</v>
      </c>
      <c r="N3141" s="19">
        <v>11606.957</v>
      </c>
      <c r="O3141" s="19">
        <v>9739.9040000000005</v>
      </c>
      <c r="P3141" s="19">
        <v>10574.407999999999</v>
      </c>
      <c r="Q3141" s="19">
        <v>7056.4719999999998</v>
      </c>
      <c r="R3141" s="19">
        <v>4606.9629999999997</v>
      </c>
      <c r="S3141" s="19">
        <v>6049.98</v>
      </c>
      <c r="T3141" s="19">
        <v>5423.857</v>
      </c>
      <c r="U3141" s="19">
        <v>4063.4690000000001</v>
      </c>
      <c r="V3141" s="19">
        <v>2818.567</v>
      </c>
      <c r="W3141" s="19">
        <v>1872.0740000000001</v>
      </c>
      <c r="X3141" s="19">
        <v>1153.002</v>
      </c>
      <c r="Y3141" s="19">
        <v>597.45299999999997</v>
      </c>
      <c r="Z3141" s="19">
        <v>188.62100000000001</v>
      </c>
      <c r="AA3141" s="19">
        <v>46.420999999999999</v>
      </c>
      <c r="AB3141" s="19">
        <v>5.9130000000000003</v>
      </c>
      <c r="AC3141" s="19">
        <v>0.57699999999999996</v>
      </c>
    </row>
    <row r="3142" spans="1:29" ht="11.65" x14ac:dyDescent="0.35">
      <c r="A3142" s="23">
        <v>3125</v>
      </c>
      <c r="B3142" s="21" t="s">
        <v>1015</v>
      </c>
      <c r="C3142" s="22" t="s">
        <v>1233</v>
      </c>
      <c r="D3142" s="20"/>
      <c r="E3142" s="20">
        <v>923</v>
      </c>
      <c r="F3142" s="21" t="s">
        <v>1065</v>
      </c>
      <c r="G3142" s="20">
        <v>917</v>
      </c>
      <c r="H3142" s="20">
        <v>1970</v>
      </c>
      <c r="I3142" s="19">
        <v>10645.403</v>
      </c>
      <c r="J3142" s="19">
        <v>11960.433999999999</v>
      </c>
      <c r="K3142" s="19">
        <v>13603.184999999999</v>
      </c>
      <c r="L3142" s="19">
        <v>13160.647999999999</v>
      </c>
      <c r="M3142" s="19">
        <v>10966.277</v>
      </c>
      <c r="N3142" s="19">
        <v>7846.223</v>
      </c>
      <c r="O3142" s="19">
        <v>11319.833000000001</v>
      </c>
      <c r="P3142" s="19">
        <v>9467.1669999999995</v>
      </c>
      <c r="Q3142" s="19">
        <v>10330.877</v>
      </c>
      <c r="R3142" s="19">
        <v>6818.6120000000001</v>
      </c>
      <c r="S3142" s="19">
        <v>4328.84</v>
      </c>
      <c r="T3142" s="19">
        <v>5680.9520000000002</v>
      </c>
      <c r="U3142" s="19">
        <v>4872.2669999999998</v>
      </c>
      <c r="V3142" s="19">
        <v>3447.15</v>
      </c>
      <c r="W3142" s="19">
        <v>2160.0540000000001</v>
      </c>
      <c r="X3142" s="19">
        <v>1252.5840000000001</v>
      </c>
      <c r="Y3142" s="19">
        <v>650.09100000000001</v>
      </c>
      <c r="Z3142" s="19">
        <v>234.91399999999999</v>
      </c>
      <c r="AA3142" s="19">
        <v>49.622999999999998</v>
      </c>
      <c r="AB3142" s="19">
        <v>7.694</v>
      </c>
      <c r="AC3142" s="19">
        <v>0.63100000000000001</v>
      </c>
    </row>
    <row r="3143" spans="1:29" ht="11.65" x14ac:dyDescent="0.35">
      <c r="A3143" s="23">
        <v>3126</v>
      </c>
      <c r="B3143" s="21" t="s">
        <v>1015</v>
      </c>
      <c r="C3143" s="22" t="s">
        <v>1233</v>
      </c>
      <c r="D3143" s="20"/>
      <c r="E3143" s="20">
        <v>923</v>
      </c>
      <c r="F3143" s="21" t="s">
        <v>1065</v>
      </c>
      <c r="G3143" s="20">
        <v>917</v>
      </c>
      <c r="H3143" s="20">
        <v>1975</v>
      </c>
      <c r="I3143" s="19">
        <v>11436.213</v>
      </c>
      <c r="J3143" s="19">
        <v>10552.691999999999</v>
      </c>
      <c r="K3143" s="19">
        <v>11856.884</v>
      </c>
      <c r="L3143" s="19">
        <v>13376.919</v>
      </c>
      <c r="M3143" s="19">
        <v>12891.243</v>
      </c>
      <c r="N3143" s="19">
        <v>10767.088</v>
      </c>
      <c r="O3143" s="19">
        <v>7711.4970000000003</v>
      </c>
      <c r="P3143" s="19">
        <v>11055.207</v>
      </c>
      <c r="Q3143" s="19">
        <v>9161.0939999999991</v>
      </c>
      <c r="R3143" s="19">
        <v>9941.9130000000005</v>
      </c>
      <c r="S3143" s="19">
        <v>6499.7150000000001</v>
      </c>
      <c r="T3143" s="19">
        <v>4013.4810000000002</v>
      </c>
      <c r="U3143" s="19">
        <v>5106.59</v>
      </c>
      <c r="V3143" s="19">
        <v>4082.4780000000001</v>
      </c>
      <c r="W3143" s="19">
        <v>2633.9470000000001</v>
      </c>
      <c r="X3143" s="19">
        <v>1430.27</v>
      </c>
      <c r="Y3143" s="19">
        <v>719.65499999999997</v>
      </c>
      <c r="Z3143" s="19">
        <v>252.84100000000001</v>
      </c>
      <c r="AA3143" s="19">
        <v>60.345999999999997</v>
      </c>
      <c r="AB3143" s="19">
        <v>7.8550000000000004</v>
      </c>
      <c r="AC3143" s="19">
        <v>0.76500000000000001</v>
      </c>
    </row>
    <row r="3144" spans="1:29" ht="11.65" x14ac:dyDescent="0.35">
      <c r="A3144" s="23">
        <v>3127</v>
      </c>
      <c r="B3144" s="21" t="s">
        <v>1015</v>
      </c>
      <c r="C3144" s="22" t="s">
        <v>1233</v>
      </c>
      <c r="D3144" s="20"/>
      <c r="E3144" s="20">
        <v>923</v>
      </c>
      <c r="F3144" s="21" t="s">
        <v>1065</v>
      </c>
      <c r="G3144" s="20">
        <v>917</v>
      </c>
      <c r="H3144" s="20">
        <v>1980</v>
      </c>
      <c r="I3144" s="19">
        <v>12000.17</v>
      </c>
      <c r="J3144" s="19">
        <v>11312.535</v>
      </c>
      <c r="K3144" s="19">
        <v>10494.121999999999</v>
      </c>
      <c r="L3144" s="19">
        <v>11804.217000000001</v>
      </c>
      <c r="M3144" s="19">
        <v>13294.084999999999</v>
      </c>
      <c r="N3144" s="19">
        <v>12761.082</v>
      </c>
      <c r="O3144" s="19">
        <v>10614.257</v>
      </c>
      <c r="P3144" s="19">
        <v>7525.8810000000003</v>
      </c>
      <c r="Q3144" s="19">
        <v>10707.156000000001</v>
      </c>
      <c r="R3144" s="19">
        <v>8766.59</v>
      </c>
      <c r="S3144" s="19">
        <v>9379.7459999999992</v>
      </c>
      <c r="T3144" s="19">
        <v>5994.2479999999996</v>
      </c>
      <c r="U3144" s="19">
        <v>3559.4760000000001</v>
      </c>
      <c r="V3144" s="19">
        <v>4279.933</v>
      </c>
      <c r="W3144" s="19">
        <v>3136.5169999999998</v>
      </c>
      <c r="X3144" s="19">
        <v>1759.432</v>
      </c>
      <c r="Y3144" s="19">
        <v>791.48800000000006</v>
      </c>
      <c r="Z3144" s="19">
        <v>284.63200000000001</v>
      </c>
      <c r="AA3144" s="19">
        <v>68.209000000000003</v>
      </c>
      <c r="AB3144" s="19">
        <v>10.425000000000001</v>
      </c>
      <c r="AC3144" s="19">
        <v>0.88200000000000001</v>
      </c>
    </row>
    <row r="3145" spans="1:29" ht="11.65" x14ac:dyDescent="0.35">
      <c r="A3145" s="23">
        <v>3128</v>
      </c>
      <c r="B3145" s="21" t="s">
        <v>1015</v>
      </c>
      <c r="C3145" s="22" t="s">
        <v>1233</v>
      </c>
      <c r="D3145" s="20"/>
      <c r="E3145" s="20">
        <v>923</v>
      </c>
      <c r="F3145" s="21" t="s">
        <v>1065</v>
      </c>
      <c r="G3145" s="20">
        <v>917</v>
      </c>
      <c r="H3145" s="20">
        <v>1985</v>
      </c>
      <c r="I3145" s="19">
        <v>12318.335999999999</v>
      </c>
      <c r="J3145" s="19">
        <v>12011.116</v>
      </c>
      <c r="K3145" s="19">
        <v>11357.894</v>
      </c>
      <c r="L3145" s="19">
        <v>10522.757</v>
      </c>
      <c r="M3145" s="19">
        <v>11715.177</v>
      </c>
      <c r="N3145" s="19">
        <v>13096.102999999999</v>
      </c>
      <c r="O3145" s="19">
        <v>12565.91</v>
      </c>
      <c r="P3145" s="19">
        <v>10375.02</v>
      </c>
      <c r="Q3145" s="19">
        <v>7307.6949999999997</v>
      </c>
      <c r="R3145" s="19">
        <v>10202.865</v>
      </c>
      <c r="S3145" s="19">
        <v>8205.732</v>
      </c>
      <c r="T3145" s="19">
        <v>8540.6849999999995</v>
      </c>
      <c r="U3145" s="19">
        <v>5256.6229999999996</v>
      </c>
      <c r="V3145" s="19">
        <v>2943.83</v>
      </c>
      <c r="W3145" s="19">
        <v>3249.107</v>
      </c>
      <c r="X3145" s="19">
        <v>2062.922</v>
      </c>
      <c r="Y3145" s="19">
        <v>937.25900000000001</v>
      </c>
      <c r="Z3145" s="19">
        <v>306.14999999999998</v>
      </c>
      <c r="AA3145" s="19">
        <v>76.480999999999995</v>
      </c>
      <c r="AB3145" s="19">
        <v>11.92</v>
      </c>
      <c r="AC3145" s="19">
        <v>1.1879999999999999</v>
      </c>
    </row>
    <row r="3146" spans="1:29" ht="11.65" x14ac:dyDescent="0.35">
      <c r="A3146" s="23">
        <v>3129</v>
      </c>
      <c r="B3146" s="21" t="s">
        <v>1015</v>
      </c>
      <c r="C3146" s="22" t="s">
        <v>1233</v>
      </c>
      <c r="D3146" s="20"/>
      <c r="E3146" s="20">
        <v>923</v>
      </c>
      <c r="F3146" s="21" t="s">
        <v>1065</v>
      </c>
      <c r="G3146" s="20">
        <v>917</v>
      </c>
      <c r="H3146" s="20">
        <v>1990</v>
      </c>
      <c r="I3146" s="19">
        <v>11862.721</v>
      </c>
      <c r="J3146" s="19">
        <v>12264.871999999999</v>
      </c>
      <c r="K3146" s="19">
        <v>11997.413</v>
      </c>
      <c r="L3146" s="19">
        <v>11380.513999999999</v>
      </c>
      <c r="M3146" s="19">
        <v>10463.541999999999</v>
      </c>
      <c r="N3146" s="19">
        <v>11553.296</v>
      </c>
      <c r="O3146" s="19">
        <v>12862.686</v>
      </c>
      <c r="P3146" s="19">
        <v>12292.777</v>
      </c>
      <c r="Q3146" s="19">
        <v>10071.897999999999</v>
      </c>
      <c r="R3146" s="19">
        <v>7009.6310000000003</v>
      </c>
      <c r="S3146" s="19">
        <v>9606.9169999999995</v>
      </c>
      <c r="T3146" s="19">
        <v>7517.6629999999996</v>
      </c>
      <c r="U3146" s="19">
        <v>7516.1009999999997</v>
      </c>
      <c r="V3146" s="19">
        <v>4380.7179999999998</v>
      </c>
      <c r="W3146" s="19">
        <v>2251.5070000000001</v>
      </c>
      <c r="X3146" s="19">
        <v>2189.9540000000002</v>
      </c>
      <c r="Y3146" s="19">
        <v>1147.98</v>
      </c>
      <c r="Z3146" s="19">
        <v>375.16199999999998</v>
      </c>
      <c r="AA3146" s="19">
        <v>82.393000000000001</v>
      </c>
      <c r="AB3146" s="19">
        <v>13.01</v>
      </c>
      <c r="AC3146" s="19">
        <v>1.282</v>
      </c>
    </row>
    <row r="3147" spans="1:29" ht="11.65" x14ac:dyDescent="0.35">
      <c r="A3147" s="23">
        <v>3130</v>
      </c>
      <c r="B3147" s="21" t="s">
        <v>1015</v>
      </c>
      <c r="C3147" s="22" t="s">
        <v>1233</v>
      </c>
      <c r="D3147" s="20"/>
      <c r="E3147" s="20">
        <v>923</v>
      </c>
      <c r="F3147" s="21" t="s">
        <v>1065</v>
      </c>
      <c r="G3147" s="20">
        <v>917</v>
      </c>
      <c r="H3147" s="20">
        <v>1995</v>
      </c>
      <c r="I3147" s="19">
        <v>9012.9120000000003</v>
      </c>
      <c r="J3147" s="19">
        <v>11987.273999999999</v>
      </c>
      <c r="K3147" s="19">
        <v>12395.337</v>
      </c>
      <c r="L3147" s="19">
        <v>12003.777</v>
      </c>
      <c r="M3147" s="19">
        <v>11254.98</v>
      </c>
      <c r="N3147" s="19">
        <v>10362.409</v>
      </c>
      <c r="O3147" s="19">
        <v>11383.707</v>
      </c>
      <c r="P3147" s="19">
        <v>12551.436</v>
      </c>
      <c r="Q3147" s="19">
        <v>11874.112999999999</v>
      </c>
      <c r="R3147" s="19">
        <v>9555.3619999999992</v>
      </c>
      <c r="S3147" s="19">
        <v>6514.1180000000004</v>
      </c>
      <c r="T3147" s="19">
        <v>8657.1479999999992</v>
      </c>
      <c r="U3147" s="19">
        <v>6507.8509999999997</v>
      </c>
      <c r="V3147" s="19">
        <v>6112.8220000000001</v>
      </c>
      <c r="W3147" s="19">
        <v>3293.884</v>
      </c>
      <c r="X3147" s="19">
        <v>1506.171</v>
      </c>
      <c r="Y3147" s="19">
        <v>1210.1669999999999</v>
      </c>
      <c r="Z3147" s="19">
        <v>451.084</v>
      </c>
      <c r="AA3147" s="19">
        <v>96.076999999999998</v>
      </c>
      <c r="AB3147" s="19">
        <v>12.629</v>
      </c>
      <c r="AC3147" s="19">
        <v>1.179</v>
      </c>
    </row>
    <row r="3148" spans="1:29" ht="11.65" x14ac:dyDescent="0.35">
      <c r="A3148" s="23">
        <v>3131</v>
      </c>
      <c r="B3148" s="21" t="s">
        <v>1015</v>
      </c>
      <c r="C3148" s="22" t="s">
        <v>1233</v>
      </c>
      <c r="D3148" s="20"/>
      <c r="E3148" s="20">
        <v>923</v>
      </c>
      <c r="F3148" s="21" t="s">
        <v>1065</v>
      </c>
      <c r="G3148" s="20">
        <v>917</v>
      </c>
      <c r="H3148" s="20">
        <v>2000</v>
      </c>
      <c r="I3148" s="19">
        <v>7181.6239999999998</v>
      </c>
      <c r="J3148" s="19">
        <v>9019.482</v>
      </c>
      <c r="K3148" s="19">
        <v>12102.939</v>
      </c>
      <c r="L3148" s="19">
        <v>12482.61</v>
      </c>
      <c r="M3148" s="19">
        <v>11885.949000000001</v>
      </c>
      <c r="N3148" s="19">
        <v>10996.264999999999</v>
      </c>
      <c r="O3148" s="19">
        <v>10164.526</v>
      </c>
      <c r="P3148" s="19">
        <v>11096.645</v>
      </c>
      <c r="Q3148" s="19">
        <v>12046.601000000001</v>
      </c>
      <c r="R3148" s="19">
        <v>11231.078</v>
      </c>
      <c r="S3148" s="19">
        <v>8834.3130000000001</v>
      </c>
      <c r="T3148" s="19">
        <v>5874.509</v>
      </c>
      <c r="U3148" s="19">
        <v>7444.415</v>
      </c>
      <c r="V3148" s="19">
        <v>5285.2370000000001</v>
      </c>
      <c r="W3148" s="19">
        <v>4549.2420000000002</v>
      </c>
      <c r="X3148" s="19">
        <v>2186.5680000000002</v>
      </c>
      <c r="Y3148" s="19">
        <v>828.14700000000005</v>
      </c>
      <c r="Z3148" s="19">
        <v>478.58100000000002</v>
      </c>
      <c r="AA3148" s="19">
        <v>114.009</v>
      </c>
      <c r="AB3148" s="19">
        <v>14.018000000000001</v>
      </c>
      <c r="AC3148" s="19">
        <v>1.052</v>
      </c>
    </row>
    <row r="3149" spans="1:29" ht="11.65" x14ac:dyDescent="0.35">
      <c r="A3149" s="23">
        <v>3132</v>
      </c>
      <c r="B3149" s="21" t="s">
        <v>1015</v>
      </c>
      <c r="C3149" s="22" t="s">
        <v>1233</v>
      </c>
      <c r="D3149" s="20"/>
      <c r="E3149" s="20">
        <v>923</v>
      </c>
      <c r="F3149" s="21" t="s">
        <v>1065</v>
      </c>
      <c r="G3149" s="20">
        <v>917</v>
      </c>
      <c r="H3149" s="20">
        <v>2005</v>
      </c>
      <c r="I3149" s="19">
        <v>7157.4989999999998</v>
      </c>
      <c r="J3149" s="19">
        <v>7202.5510000000004</v>
      </c>
      <c r="K3149" s="19">
        <v>9073.6890000000003</v>
      </c>
      <c r="L3149" s="19">
        <v>12088.179</v>
      </c>
      <c r="M3149" s="19">
        <v>12426.763000000001</v>
      </c>
      <c r="N3149" s="19">
        <v>11669.755999999999</v>
      </c>
      <c r="O3149" s="19">
        <v>10733.494000000001</v>
      </c>
      <c r="P3149" s="19">
        <v>9857.9779999999992</v>
      </c>
      <c r="Q3149" s="19">
        <v>10678.967000000001</v>
      </c>
      <c r="R3149" s="19">
        <v>11344.186</v>
      </c>
      <c r="S3149" s="19">
        <v>10300.958000000001</v>
      </c>
      <c r="T3149" s="19">
        <v>7952.18</v>
      </c>
      <c r="U3149" s="19">
        <v>5004.9709999999995</v>
      </c>
      <c r="V3149" s="19">
        <v>6025.6009999999997</v>
      </c>
      <c r="W3149" s="19">
        <v>3959.1840000000002</v>
      </c>
      <c r="X3149" s="19">
        <v>3016.6819999999998</v>
      </c>
      <c r="Y3149" s="19">
        <v>1227.652</v>
      </c>
      <c r="Z3149" s="19">
        <v>344.34199999999998</v>
      </c>
      <c r="AA3149" s="19">
        <v>129.28800000000001</v>
      </c>
      <c r="AB3149" s="19">
        <v>18.515000000000001</v>
      </c>
      <c r="AC3149" s="19">
        <v>1.3129999999999999</v>
      </c>
    </row>
    <row r="3150" spans="1:29" ht="11.65" x14ac:dyDescent="0.35">
      <c r="A3150" s="23">
        <v>3133</v>
      </c>
      <c r="B3150" s="21" t="s">
        <v>1015</v>
      </c>
      <c r="C3150" s="22" t="s">
        <v>1233</v>
      </c>
      <c r="D3150" s="20"/>
      <c r="E3150" s="20">
        <v>923</v>
      </c>
      <c r="F3150" s="21" t="s">
        <v>1065</v>
      </c>
      <c r="G3150" s="20">
        <v>917</v>
      </c>
      <c r="H3150" s="20">
        <v>2010</v>
      </c>
      <c r="I3150" s="19">
        <v>8207.3520000000008</v>
      </c>
      <c r="J3150" s="19">
        <v>7127.11</v>
      </c>
      <c r="K3150" s="19">
        <v>7147.0649999999996</v>
      </c>
      <c r="L3150" s="19">
        <v>9352.8880000000008</v>
      </c>
      <c r="M3150" s="19">
        <v>12206.289000000001</v>
      </c>
      <c r="N3150" s="19">
        <v>12039.662</v>
      </c>
      <c r="O3150" s="19">
        <v>11342.778</v>
      </c>
      <c r="P3150" s="19">
        <v>10491.778</v>
      </c>
      <c r="Q3150" s="19">
        <v>9291.6149999999998</v>
      </c>
      <c r="R3150" s="19">
        <v>10369.742</v>
      </c>
      <c r="S3150" s="19">
        <v>10589.087</v>
      </c>
      <c r="T3150" s="19">
        <v>9454.7440000000006</v>
      </c>
      <c r="U3150" s="19">
        <v>6773.0450000000001</v>
      </c>
      <c r="V3150" s="19">
        <v>4321.4380000000001</v>
      </c>
      <c r="W3150" s="19">
        <v>4686.9129999999996</v>
      </c>
      <c r="X3150" s="19">
        <v>2728.8850000000002</v>
      </c>
      <c r="Y3150" s="19">
        <v>1810.2539999999999</v>
      </c>
      <c r="Z3150" s="19">
        <v>547.67200000000003</v>
      </c>
      <c r="AA3150" s="19">
        <v>100.797</v>
      </c>
      <c r="AB3150" s="19">
        <v>22.664999999999999</v>
      </c>
      <c r="AC3150" s="19">
        <v>1.911</v>
      </c>
    </row>
    <row r="3151" spans="1:29" ht="11.65" x14ac:dyDescent="0.35">
      <c r="A3151" s="23">
        <v>3134</v>
      </c>
      <c r="B3151" s="21" t="s">
        <v>1015</v>
      </c>
      <c r="C3151" s="22" t="s">
        <v>1233</v>
      </c>
      <c r="D3151" s="20"/>
      <c r="E3151" s="20">
        <v>923</v>
      </c>
      <c r="F3151" s="21" t="s">
        <v>1065</v>
      </c>
      <c r="G3151" s="20">
        <v>917</v>
      </c>
      <c r="H3151" s="20">
        <v>2015</v>
      </c>
      <c r="I3151" s="19">
        <v>8780.2479999999996</v>
      </c>
      <c r="J3151" s="19">
        <v>8236.7690000000002</v>
      </c>
      <c r="K3151" s="19">
        <v>7167.1629999999996</v>
      </c>
      <c r="L3151" s="19">
        <v>7187.2719999999999</v>
      </c>
      <c r="M3151" s="19">
        <v>9368.6929999999993</v>
      </c>
      <c r="N3151" s="19">
        <v>12186.161</v>
      </c>
      <c r="O3151" s="19">
        <v>11949.723</v>
      </c>
      <c r="P3151" s="19">
        <v>11175.848</v>
      </c>
      <c r="Q3151" s="19">
        <v>10272.025</v>
      </c>
      <c r="R3151" s="19">
        <v>8995.116</v>
      </c>
      <c r="S3151" s="19">
        <v>9814.0460000000003</v>
      </c>
      <c r="T3151" s="19">
        <v>9734.0529999999999</v>
      </c>
      <c r="U3151" s="19">
        <v>8358.5789999999997</v>
      </c>
      <c r="V3151" s="19">
        <v>5717.1109999999999</v>
      </c>
      <c r="W3151" s="19">
        <v>3429.4229999999998</v>
      </c>
      <c r="X3151" s="19">
        <v>3319.5149999999999</v>
      </c>
      <c r="Y3151" s="19">
        <v>1694.2370000000001</v>
      </c>
      <c r="Z3151" s="19">
        <v>844.49599999999998</v>
      </c>
      <c r="AA3151" s="19">
        <v>181.46299999999999</v>
      </c>
      <c r="AB3151" s="19">
        <v>20.465</v>
      </c>
      <c r="AC3151" s="19">
        <v>2.7970000000000002</v>
      </c>
    </row>
    <row r="3152" spans="1:29" ht="11.65" x14ac:dyDescent="0.35">
      <c r="A3152" s="23">
        <v>3135</v>
      </c>
      <c r="B3152" s="21" t="s">
        <v>1015</v>
      </c>
      <c r="C3152" s="22" t="s">
        <v>1233</v>
      </c>
      <c r="D3152" s="20"/>
      <c r="E3152" s="20">
        <v>923</v>
      </c>
      <c r="F3152" s="21" t="s">
        <v>1065</v>
      </c>
      <c r="G3152" s="20">
        <v>917</v>
      </c>
      <c r="H3152" s="20">
        <v>2020</v>
      </c>
      <c r="I3152" s="19">
        <v>8512.0020000000004</v>
      </c>
      <c r="J3152" s="19">
        <v>8800.0679999999993</v>
      </c>
      <c r="K3152" s="19">
        <v>8227.4850000000006</v>
      </c>
      <c r="L3152" s="19">
        <v>7164.7870000000003</v>
      </c>
      <c r="M3152" s="19">
        <v>7144.9970000000003</v>
      </c>
      <c r="N3152" s="19">
        <v>9348.3359999999993</v>
      </c>
      <c r="O3152" s="19">
        <v>12092.290999999999</v>
      </c>
      <c r="P3152" s="19">
        <v>11731.453</v>
      </c>
      <c r="Q3152" s="19">
        <v>10899.083000000001</v>
      </c>
      <c r="R3152" s="19">
        <v>9939.0280000000002</v>
      </c>
      <c r="S3152" s="19">
        <v>8569.7219999999998</v>
      </c>
      <c r="T3152" s="19">
        <v>9146.5040000000008</v>
      </c>
      <c r="U3152" s="19">
        <v>8713.9789999999994</v>
      </c>
      <c r="V3152" s="19">
        <v>7172.9390000000003</v>
      </c>
      <c r="W3152" s="19">
        <v>4596.1909999999998</v>
      </c>
      <c r="X3152" s="19">
        <v>2524.6439999999998</v>
      </c>
      <c r="Y3152" s="19">
        <v>2054.8850000000002</v>
      </c>
      <c r="Z3152" s="19">
        <v>844.4</v>
      </c>
      <c r="AA3152" s="19">
        <v>301.113</v>
      </c>
      <c r="AB3152" s="19">
        <v>42.948999999999998</v>
      </c>
      <c r="AC3152" s="19">
        <v>3.1160000000000001</v>
      </c>
    </row>
    <row r="3153" spans="1:29" ht="11.65" x14ac:dyDescent="0.35">
      <c r="A3153" s="12">
        <v>3136</v>
      </c>
      <c r="B3153" s="10" t="s">
        <v>1015</v>
      </c>
      <c r="C3153" s="18" t="s">
        <v>1234</v>
      </c>
      <c r="D3153" s="9"/>
      <c r="E3153" s="9">
        <v>112</v>
      </c>
      <c r="F3153" s="10" t="s">
        <v>1066</v>
      </c>
      <c r="G3153" s="9">
        <v>923</v>
      </c>
      <c r="H3153" s="9">
        <v>1950</v>
      </c>
      <c r="I3153" s="8">
        <v>333.7</v>
      </c>
      <c r="J3153" s="8">
        <v>282.65100000000001</v>
      </c>
      <c r="K3153" s="8">
        <v>395.17399999999998</v>
      </c>
      <c r="L3153" s="8">
        <v>382.56200000000001</v>
      </c>
      <c r="M3153" s="8">
        <v>361.90499999999997</v>
      </c>
      <c r="N3153" s="8">
        <v>237.761</v>
      </c>
      <c r="O3153" s="8">
        <v>150.66</v>
      </c>
      <c r="P3153" s="8">
        <v>206.47499999999999</v>
      </c>
      <c r="Q3153" s="8">
        <v>219.68600000000001</v>
      </c>
      <c r="R3153" s="8">
        <v>198.233</v>
      </c>
      <c r="S3153" s="8">
        <v>153.64099999999999</v>
      </c>
      <c r="T3153" s="8">
        <v>138.44499999999999</v>
      </c>
      <c r="U3153" s="8">
        <v>124.045</v>
      </c>
      <c r="V3153" s="8">
        <v>99.215999999999994</v>
      </c>
      <c r="W3153" s="8">
        <v>68.725999999999999</v>
      </c>
      <c r="X3153" s="8">
        <v>41.414999999999999</v>
      </c>
      <c r="Y3153" s="8">
        <v>19.536999999999999</v>
      </c>
      <c r="Z3153" s="8">
        <v>7.6479999999999997</v>
      </c>
      <c r="AA3153" s="8">
        <v>2.113</v>
      </c>
      <c r="AB3153" s="8">
        <v>0.36499999999999999</v>
      </c>
      <c r="AC3153" s="8">
        <v>3.5000000000000003E-2</v>
      </c>
    </row>
    <row r="3154" spans="1:29" ht="11.65" x14ac:dyDescent="0.35">
      <c r="A3154" s="12">
        <v>3137</v>
      </c>
      <c r="B3154" s="10" t="s">
        <v>1015</v>
      </c>
      <c r="C3154" s="18" t="s">
        <v>1234</v>
      </c>
      <c r="D3154" s="9"/>
      <c r="E3154" s="9">
        <v>112</v>
      </c>
      <c r="F3154" s="10" t="s">
        <v>1066</v>
      </c>
      <c r="G3154" s="9">
        <v>923</v>
      </c>
      <c r="H3154" s="9">
        <v>1955</v>
      </c>
      <c r="I3154" s="8">
        <v>418.68400000000003</v>
      </c>
      <c r="J3154" s="8">
        <v>315.05599999999998</v>
      </c>
      <c r="K3154" s="8">
        <v>264.73</v>
      </c>
      <c r="L3154" s="8">
        <v>374.17700000000002</v>
      </c>
      <c r="M3154" s="8">
        <v>357.22300000000001</v>
      </c>
      <c r="N3154" s="8">
        <v>337.37400000000002</v>
      </c>
      <c r="O3154" s="8">
        <v>219.61699999999999</v>
      </c>
      <c r="P3154" s="8">
        <v>136.49600000000001</v>
      </c>
      <c r="Q3154" s="8">
        <v>188.01900000000001</v>
      </c>
      <c r="R3154" s="8">
        <v>195.83199999999999</v>
      </c>
      <c r="S3154" s="8">
        <v>171.791</v>
      </c>
      <c r="T3154" s="8">
        <v>128.67400000000001</v>
      </c>
      <c r="U3154" s="8">
        <v>111.77200000000001</v>
      </c>
      <c r="V3154" s="8">
        <v>95.381</v>
      </c>
      <c r="W3154" s="8">
        <v>70.126999999999995</v>
      </c>
      <c r="X3154" s="8">
        <v>42.393000000000001</v>
      </c>
      <c r="Y3154" s="8">
        <v>19.507000000000001</v>
      </c>
      <c r="Z3154" s="8">
        <v>8.1959999999999997</v>
      </c>
      <c r="AA3154" s="8">
        <v>2.262</v>
      </c>
      <c r="AB3154" s="8">
        <v>0.41499999999999998</v>
      </c>
      <c r="AC3154" s="8">
        <v>4.7E-2</v>
      </c>
    </row>
    <row r="3155" spans="1:29" ht="11.65" x14ac:dyDescent="0.35">
      <c r="A3155" s="12">
        <v>3138</v>
      </c>
      <c r="B3155" s="10" t="s">
        <v>1015</v>
      </c>
      <c r="C3155" s="18" t="s">
        <v>1234</v>
      </c>
      <c r="D3155" s="9"/>
      <c r="E3155" s="9">
        <v>112</v>
      </c>
      <c r="F3155" s="10" t="s">
        <v>1066</v>
      </c>
      <c r="G3155" s="9">
        <v>923</v>
      </c>
      <c r="H3155" s="9">
        <v>1960</v>
      </c>
      <c r="I3155" s="8">
        <v>491.73</v>
      </c>
      <c r="J3155" s="8">
        <v>406.036</v>
      </c>
      <c r="K3155" s="8">
        <v>305.601</v>
      </c>
      <c r="L3155" s="8">
        <v>255.607</v>
      </c>
      <c r="M3155" s="8">
        <v>360.90499999999997</v>
      </c>
      <c r="N3155" s="8">
        <v>342.27100000000002</v>
      </c>
      <c r="O3155" s="8">
        <v>323.03699999999998</v>
      </c>
      <c r="P3155" s="8">
        <v>208.441</v>
      </c>
      <c r="Q3155" s="8">
        <v>127.563</v>
      </c>
      <c r="R3155" s="8">
        <v>174.08099999999999</v>
      </c>
      <c r="S3155" s="8">
        <v>176.839</v>
      </c>
      <c r="T3155" s="8">
        <v>150.864</v>
      </c>
      <c r="U3155" s="8">
        <v>108.601</v>
      </c>
      <c r="V3155" s="8">
        <v>89.962000000000003</v>
      </c>
      <c r="W3155" s="8">
        <v>70.826999999999998</v>
      </c>
      <c r="X3155" s="8">
        <v>45.805</v>
      </c>
      <c r="Y3155" s="8">
        <v>21.818000000000001</v>
      </c>
      <c r="Z3155" s="8">
        <v>8.2110000000000003</v>
      </c>
      <c r="AA3155" s="8">
        <v>2.371</v>
      </c>
      <c r="AB3155" s="8">
        <v>0.42</v>
      </c>
      <c r="AC3155" s="8">
        <v>0.05</v>
      </c>
    </row>
    <row r="3156" spans="1:29" ht="11.65" x14ac:dyDescent="0.35">
      <c r="A3156" s="12">
        <v>3139</v>
      </c>
      <c r="B3156" s="10" t="s">
        <v>1015</v>
      </c>
      <c r="C3156" s="18" t="s">
        <v>1234</v>
      </c>
      <c r="D3156" s="9"/>
      <c r="E3156" s="9">
        <v>112</v>
      </c>
      <c r="F3156" s="10" t="s">
        <v>1066</v>
      </c>
      <c r="G3156" s="9">
        <v>923</v>
      </c>
      <c r="H3156" s="9">
        <v>1965</v>
      </c>
      <c r="I3156" s="8">
        <v>448.16199999999998</v>
      </c>
      <c r="J3156" s="8">
        <v>482.745</v>
      </c>
      <c r="K3156" s="8">
        <v>398.97500000000002</v>
      </c>
      <c r="L3156" s="8">
        <v>299.589</v>
      </c>
      <c r="M3156" s="8">
        <v>248.62</v>
      </c>
      <c r="N3156" s="8">
        <v>350.83100000000002</v>
      </c>
      <c r="O3156" s="8">
        <v>331.524</v>
      </c>
      <c r="P3156" s="8">
        <v>311.625</v>
      </c>
      <c r="Q3156" s="8">
        <v>199.017</v>
      </c>
      <c r="R3156" s="8">
        <v>119.443</v>
      </c>
      <c r="S3156" s="8">
        <v>160.05699999999999</v>
      </c>
      <c r="T3156" s="8">
        <v>158.297</v>
      </c>
      <c r="U3156" s="8">
        <v>130.15100000000001</v>
      </c>
      <c r="V3156" s="8">
        <v>89.304000000000002</v>
      </c>
      <c r="W3156" s="8">
        <v>68.498999999999995</v>
      </c>
      <c r="X3156" s="8">
        <v>47.682000000000002</v>
      </c>
      <c r="Y3156" s="8">
        <v>24.484000000000002</v>
      </c>
      <c r="Z3156" s="8">
        <v>9.2620000000000005</v>
      </c>
      <c r="AA3156" s="8">
        <v>2.3929999999999998</v>
      </c>
      <c r="AB3156" s="8">
        <v>0.44800000000000001</v>
      </c>
      <c r="AC3156" s="8">
        <v>5.1999999999999998E-2</v>
      </c>
    </row>
    <row r="3157" spans="1:29" ht="11.65" x14ac:dyDescent="0.35">
      <c r="A3157" s="12">
        <v>3140</v>
      </c>
      <c r="B3157" s="10" t="s">
        <v>1015</v>
      </c>
      <c r="C3157" s="18" t="s">
        <v>1234</v>
      </c>
      <c r="D3157" s="9"/>
      <c r="E3157" s="9">
        <v>112</v>
      </c>
      <c r="F3157" s="10" t="s">
        <v>1066</v>
      </c>
      <c r="G3157" s="9">
        <v>923</v>
      </c>
      <c r="H3157" s="9">
        <v>1970</v>
      </c>
      <c r="I3157" s="8">
        <v>368.38099999999997</v>
      </c>
      <c r="J3157" s="8">
        <v>450.20699999999999</v>
      </c>
      <c r="K3157" s="8">
        <v>485.33499999999998</v>
      </c>
      <c r="L3157" s="8">
        <v>400.66</v>
      </c>
      <c r="M3157" s="8">
        <v>299.40699999999998</v>
      </c>
      <c r="N3157" s="8">
        <v>247.75</v>
      </c>
      <c r="O3157" s="8">
        <v>348.18799999999999</v>
      </c>
      <c r="P3157" s="8">
        <v>327.625</v>
      </c>
      <c r="Q3157" s="8">
        <v>305.39600000000002</v>
      </c>
      <c r="R3157" s="8">
        <v>192.209</v>
      </c>
      <c r="S3157" s="8">
        <v>113.089</v>
      </c>
      <c r="T3157" s="8">
        <v>147.42599999999999</v>
      </c>
      <c r="U3157" s="8">
        <v>140.703</v>
      </c>
      <c r="V3157" s="8">
        <v>110.45399999999999</v>
      </c>
      <c r="W3157" s="8">
        <v>70.311000000000007</v>
      </c>
      <c r="X3157" s="8">
        <v>47.731999999999999</v>
      </c>
      <c r="Y3157" s="8">
        <v>27.536999999999999</v>
      </c>
      <c r="Z3157" s="8">
        <v>10.041</v>
      </c>
      <c r="AA3157" s="8">
        <v>2.5539999999999998</v>
      </c>
      <c r="AB3157" s="8">
        <v>0.41799999999999998</v>
      </c>
      <c r="AC3157" s="8">
        <v>5.0999999999999997E-2</v>
      </c>
    </row>
    <row r="3158" spans="1:29" ht="11.65" x14ac:dyDescent="0.35">
      <c r="A3158" s="12">
        <v>3141</v>
      </c>
      <c r="B3158" s="10" t="s">
        <v>1015</v>
      </c>
      <c r="C3158" s="18" t="s">
        <v>1234</v>
      </c>
      <c r="D3158" s="9"/>
      <c r="E3158" s="9">
        <v>112</v>
      </c>
      <c r="F3158" s="10" t="s">
        <v>1066</v>
      </c>
      <c r="G3158" s="9">
        <v>923</v>
      </c>
      <c r="H3158" s="9">
        <v>1975</v>
      </c>
      <c r="I3158" s="8">
        <v>377.55399999999997</v>
      </c>
      <c r="J3158" s="8">
        <v>371.57400000000001</v>
      </c>
      <c r="K3158" s="8">
        <v>445.04500000000002</v>
      </c>
      <c r="L3158" s="8">
        <v>461.46499999999997</v>
      </c>
      <c r="M3158" s="8">
        <v>375.51</v>
      </c>
      <c r="N3158" s="8">
        <v>298.815</v>
      </c>
      <c r="O3158" s="8">
        <v>250.529</v>
      </c>
      <c r="P3158" s="8">
        <v>344.34</v>
      </c>
      <c r="Q3158" s="8">
        <v>319.64400000000001</v>
      </c>
      <c r="R3158" s="8">
        <v>297.95800000000003</v>
      </c>
      <c r="S3158" s="8">
        <v>185.92099999999999</v>
      </c>
      <c r="T3158" s="8">
        <v>107.465</v>
      </c>
      <c r="U3158" s="8">
        <v>137.578</v>
      </c>
      <c r="V3158" s="8">
        <v>119.729</v>
      </c>
      <c r="W3158" s="8">
        <v>87.346999999999994</v>
      </c>
      <c r="X3158" s="8">
        <v>50.728999999999999</v>
      </c>
      <c r="Y3158" s="8">
        <v>32.395000000000003</v>
      </c>
      <c r="Z3158" s="8">
        <v>11.606</v>
      </c>
      <c r="AA3158" s="8">
        <v>2.8410000000000002</v>
      </c>
      <c r="AB3158" s="8">
        <v>0.45500000000000002</v>
      </c>
      <c r="AC3158" s="8">
        <v>4.8000000000000001E-2</v>
      </c>
    </row>
    <row r="3159" spans="1:29" ht="11.65" x14ac:dyDescent="0.35">
      <c r="A3159" s="12">
        <v>3142</v>
      </c>
      <c r="B3159" s="10" t="s">
        <v>1015</v>
      </c>
      <c r="C3159" s="18" t="s">
        <v>1234</v>
      </c>
      <c r="D3159" s="9"/>
      <c r="E3159" s="9">
        <v>112</v>
      </c>
      <c r="F3159" s="10" t="s">
        <v>1066</v>
      </c>
      <c r="G3159" s="9">
        <v>923</v>
      </c>
      <c r="H3159" s="9">
        <v>1980</v>
      </c>
      <c r="I3159" s="8">
        <v>376.63799999999998</v>
      </c>
      <c r="J3159" s="8">
        <v>370.18900000000002</v>
      </c>
      <c r="K3159" s="8">
        <v>365.60300000000001</v>
      </c>
      <c r="L3159" s="8">
        <v>433.435</v>
      </c>
      <c r="M3159" s="8">
        <v>432.64100000000002</v>
      </c>
      <c r="N3159" s="8">
        <v>375.733</v>
      </c>
      <c r="O3159" s="8">
        <v>317.339</v>
      </c>
      <c r="P3159" s="8">
        <v>236.21299999999999</v>
      </c>
      <c r="Q3159" s="8">
        <v>338.04500000000002</v>
      </c>
      <c r="R3159" s="8">
        <v>302.56700000000001</v>
      </c>
      <c r="S3159" s="8">
        <v>296.06200000000001</v>
      </c>
      <c r="T3159" s="8">
        <v>181.45400000000001</v>
      </c>
      <c r="U3159" s="8">
        <v>100.36</v>
      </c>
      <c r="V3159" s="8">
        <v>114.90300000000001</v>
      </c>
      <c r="W3159" s="8">
        <v>95.512</v>
      </c>
      <c r="X3159" s="8">
        <v>62.216000000000001</v>
      </c>
      <c r="Y3159" s="8">
        <v>32.133000000000003</v>
      </c>
      <c r="Z3159" s="8">
        <v>14.513999999999999</v>
      </c>
      <c r="AA3159" s="8">
        <v>3.6709999999999998</v>
      </c>
      <c r="AB3159" s="8">
        <v>0.60499999999999998</v>
      </c>
      <c r="AC3159" s="8">
        <v>6.5000000000000002E-2</v>
      </c>
    </row>
    <row r="3160" spans="1:29" ht="11.65" x14ac:dyDescent="0.35">
      <c r="A3160" s="12">
        <v>3143</v>
      </c>
      <c r="B3160" s="10" t="s">
        <v>1015</v>
      </c>
      <c r="C3160" s="18" t="s">
        <v>1234</v>
      </c>
      <c r="D3160" s="9"/>
      <c r="E3160" s="9">
        <v>112</v>
      </c>
      <c r="F3160" s="10" t="s">
        <v>1066</v>
      </c>
      <c r="G3160" s="9">
        <v>923</v>
      </c>
      <c r="H3160" s="9">
        <v>1985</v>
      </c>
      <c r="I3160" s="8">
        <v>407.19900000000001</v>
      </c>
      <c r="J3160" s="8">
        <v>375.56400000000002</v>
      </c>
      <c r="K3160" s="8">
        <v>369.83100000000002</v>
      </c>
      <c r="L3160" s="8">
        <v>358.55399999999997</v>
      </c>
      <c r="M3160" s="8">
        <v>415.84800000000001</v>
      </c>
      <c r="N3160" s="8">
        <v>430.95499999999998</v>
      </c>
      <c r="O3160" s="8">
        <v>377.18299999999999</v>
      </c>
      <c r="P3160" s="8">
        <v>311.24700000000001</v>
      </c>
      <c r="Q3160" s="8">
        <v>230.959</v>
      </c>
      <c r="R3160" s="8">
        <v>325.351</v>
      </c>
      <c r="S3160" s="8">
        <v>284.16000000000003</v>
      </c>
      <c r="T3160" s="8">
        <v>275.16399999999999</v>
      </c>
      <c r="U3160" s="8">
        <v>162.84100000000001</v>
      </c>
      <c r="V3160" s="8">
        <v>85.33</v>
      </c>
      <c r="W3160" s="8">
        <v>90.367000000000004</v>
      </c>
      <c r="X3160" s="8">
        <v>66.025000000000006</v>
      </c>
      <c r="Y3160" s="8">
        <v>36.256999999999998</v>
      </c>
      <c r="Z3160" s="8">
        <v>13.898</v>
      </c>
      <c r="AA3160" s="8">
        <v>4.4279999999999999</v>
      </c>
      <c r="AB3160" s="8">
        <v>0.755</v>
      </c>
      <c r="AC3160" s="8">
        <v>8.4000000000000005E-2</v>
      </c>
    </row>
    <row r="3161" spans="1:29" ht="11.65" x14ac:dyDescent="0.35">
      <c r="A3161" s="12">
        <v>3144</v>
      </c>
      <c r="B3161" s="10" t="s">
        <v>1015</v>
      </c>
      <c r="C3161" s="18" t="s">
        <v>1234</v>
      </c>
      <c r="D3161" s="9"/>
      <c r="E3161" s="9">
        <v>112</v>
      </c>
      <c r="F3161" s="10" t="s">
        <v>1066</v>
      </c>
      <c r="G3161" s="9">
        <v>923</v>
      </c>
      <c r="H3161" s="9">
        <v>1990</v>
      </c>
      <c r="I3161" s="8">
        <v>403.89800000000002</v>
      </c>
      <c r="J3161" s="8">
        <v>407.77300000000002</v>
      </c>
      <c r="K3161" s="8">
        <v>374.58300000000003</v>
      </c>
      <c r="L3161" s="8">
        <v>362.90699999999998</v>
      </c>
      <c r="M3161" s="8">
        <v>333.78100000000001</v>
      </c>
      <c r="N3161" s="8">
        <v>410.28800000000001</v>
      </c>
      <c r="O3161" s="8">
        <v>431.637</v>
      </c>
      <c r="P3161" s="8">
        <v>373.04399999999998</v>
      </c>
      <c r="Q3161" s="8">
        <v>301.536</v>
      </c>
      <c r="R3161" s="8">
        <v>221.654</v>
      </c>
      <c r="S3161" s="8">
        <v>305.89</v>
      </c>
      <c r="T3161" s="8">
        <v>261.17599999999999</v>
      </c>
      <c r="U3161" s="8">
        <v>245.67</v>
      </c>
      <c r="V3161" s="8">
        <v>137.50899999999999</v>
      </c>
      <c r="W3161" s="8">
        <v>66.7</v>
      </c>
      <c r="X3161" s="8">
        <v>62.585000000000001</v>
      </c>
      <c r="Y3161" s="8">
        <v>40.545999999999999</v>
      </c>
      <c r="Z3161" s="8">
        <v>14.926</v>
      </c>
      <c r="AA3161" s="8">
        <v>3.8479999999999999</v>
      </c>
      <c r="AB3161" s="8">
        <v>0.77500000000000002</v>
      </c>
      <c r="AC3161" s="8">
        <v>8.5000000000000006E-2</v>
      </c>
    </row>
    <row r="3162" spans="1:29" ht="11.65" x14ac:dyDescent="0.35">
      <c r="A3162" s="12">
        <v>3145</v>
      </c>
      <c r="B3162" s="10" t="s">
        <v>1015</v>
      </c>
      <c r="C3162" s="18" t="s">
        <v>1234</v>
      </c>
      <c r="D3162" s="9"/>
      <c r="E3162" s="9">
        <v>112</v>
      </c>
      <c r="F3162" s="10" t="s">
        <v>1066</v>
      </c>
      <c r="G3162" s="9">
        <v>923</v>
      </c>
      <c r="H3162" s="9">
        <v>1995</v>
      </c>
      <c r="I3162" s="8">
        <v>304.916</v>
      </c>
      <c r="J3162" s="8">
        <v>402.678</v>
      </c>
      <c r="K3162" s="8">
        <v>405.108</v>
      </c>
      <c r="L3162" s="8">
        <v>369.98500000000001</v>
      </c>
      <c r="M3162" s="8">
        <v>352.64</v>
      </c>
      <c r="N3162" s="8">
        <v>326.35300000000001</v>
      </c>
      <c r="O3162" s="8">
        <v>402.464</v>
      </c>
      <c r="P3162" s="8">
        <v>418.971</v>
      </c>
      <c r="Q3162" s="8">
        <v>356.78199999999998</v>
      </c>
      <c r="R3162" s="8">
        <v>283.19499999999999</v>
      </c>
      <c r="S3162" s="8">
        <v>202.857</v>
      </c>
      <c r="T3162" s="8">
        <v>272.05</v>
      </c>
      <c r="U3162" s="8">
        <v>223.87100000000001</v>
      </c>
      <c r="V3162" s="8">
        <v>199.08199999999999</v>
      </c>
      <c r="W3162" s="8">
        <v>103.693</v>
      </c>
      <c r="X3162" s="8">
        <v>44.411000000000001</v>
      </c>
      <c r="Y3162" s="8">
        <v>37.581000000000003</v>
      </c>
      <c r="Z3162" s="8">
        <v>14.311999999999999</v>
      </c>
      <c r="AA3162" s="8">
        <v>3.3279999999999998</v>
      </c>
      <c r="AB3162" s="8">
        <v>0.51200000000000001</v>
      </c>
      <c r="AC3162" s="8">
        <v>6.4000000000000001E-2</v>
      </c>
    </row>
    <row r="3163" spans="1:29" ht="11.65" x14ac:dyDescent="0.35">
      <c r="A3163" s="12">
        <v>3146</v>
      </c>
      <c r="B3163" s="10" t="s">
        <v>1015</v>
      </c>
      <c r="C3163" s="18" t="s">
        <v>1234</v>
      </c>
      <c r="D3163" s="9"/>
      <c r="E3163" s="9">
        <v>112</v>
      </c>
      <c r="F3163" s="10" t="s">
        <v>1066</v>
      </c>
      <c r="G3163" s="9">
        <v>923</v>
      </c>
      <c r="H3163" s="9">
        <v>2000</v>
      </c>
      <c r="I3163" s="8">
        <v>234.87899999999999</v>
      </c>
      <c r="J3163" s="8">
        <v>302.78300000000002</v>
      </c>
      <c r="K3163" s="8">
        <v>401.04399999999998</v>
      </c>
      <c r="L3163" s="8">
        <v>403.04899999999998</v>
      </c>
      <c r="M3163" s="8">
        <v>362.20699999999999</v>
      </c>
      <c r="N3163" s="8">
        <v>342.661</v>
      </c>
      <c r="O3163" s="8">
        <v>334.30399999999997</v>
      </c>
      <c r="P3163" s="8">
        <v>393.14400000000001</v>
      </c>
      <c r="Q3163" s="8">
        <v>403.505</v>
      </c>
      <c r="R3163" s="8">
        <v>336.14699999999999</v>
      </c>
      <c r="S3163" s="8">
        <v>264.36200000000002</v>
      </c>
      <c r="T3163" s="8">
        <v>181.53700000000001</v>
      </c>
      <c r="U3163" s="8">
        <v>235.47900000000001</v>
      </c>
      <c r="V3163" s="8">
        <v>179.524</v>
      </c>
      <c r="W3163" s="8">
        <v>148.66499999999999</v>
      </c>
      <c r="X3163" s="8">
        <v>67.495000000000005</v>
      </c>
      <c r="Y3163" s="8">
        <v>28.492000000000001</v>
      </c>
      <c r="Z3163" s="8">
        <v>11.714</v>
      </c>
      <c r="AA3163" s="8">
        <v>2.6680000000000001</v>
      </c>
      <c r="AB3163" s="8">
        <v>0.35499999999999998</v>
      </c>
      <c r="AC3163" s="8">
        <v>3.4000000000000002E-2</v>
      </c>
    </row>
    <row r="3164" spans="1:29" ht="11.65" x14ac:dyDescent="0.35">
      <c r="A3164" s="12">
        <v>3147</v>
      </c>
      <c r="B3164" s="10" t="s">
        <v>1015</v>
      </c>
      <c r="C3164" s="18" t="s">
        <v>1234</v>
      </c>
      <c r="D3164" s="9"/>
      <c r="E3164" s="9">
        <v>112</v>
      </c>
      <c r="F3164" s="10" t="s">
        <v>1066</v>
      </c>
      <c r="G3164" s="9">
        <v>923</v>
      </c>
      <c r="H3164" s="9">
        <v>2005</v>
      </c>
      <c r="I3164" s="8">
        <v>229.04</v>
      </c>
      <c r="J3164" s="8">
        <v>233.858</v>
      </c>
      <c r="K3164" s="8">
        <v>303.73099999999999</v>
      </c>
      <c r="L3164" s="8">
        <v>391.82499999999999</v>
      </c>
      <c r="M3164" s="8">
        <v>385.298</v>
      </c>
      <c r="N3164" s="8">
        <v>347.80399999999997</v>
      </c>
      <c r="O3164" s="8">
        <v>331.78500000000003</v>
      </c>
      <c r="P3164" s="8">
        <v>322.66300000000001</v>
      </c>
      <c r="Q3164" s="8">
        <v>376.36799999999999</v>
      </c>
      <c r="R3164" s="8">
        <v>379.755</v>
      </c>
      <c r="S3164" s="8">
        <v>309.68299999999999</v>
      </c>
      <c r="T3164" s="8">
        <v>236.69300000000001</v>
      </c>
      <c r="U3164" s="8">
        <v>152.322</v>
      </c>
      <c r="V3164" s="8">
        <v>186.756</v>
      </c>
      <c r="W3164" s="8">
        <v>129.36600000000001</v>
      </c>
      <c r="X3164" s="8">
        <v>95.715999999999994</v>
      </c>
      <c r="Y3164" s="8">
        <v>39.917999999999999</v>
      </c>
      <c r="Z3164" s="8">
        <v>8.9009999999999998</v>
      </c>
      <c r="AA3164" s="8">
        <v>2.1920000000000002</v>
      </c>
      <c r="AB3164" s="8">
        <v>0.28899999999999998</v>
      </c>
      <c r="AC3164" s="8">
        <v>2.3E-2</v>
      </c>
    </row>
    <row r="3165" spans="1:29" ht="11.65" x14ac:dyDescent="0.35">
      <c r="A3165" s="12">
        <v>3148</v>
      </c>
      <c r="B3165" s="10" t="s">
        <v>1015</v>
      </c>
      <c r="C3165" s="18" t="s">
        <v>1234</v>
      </c>
      <c r="D3165" s="9"/>
      <c r="E3165" s="9">
        <v>112</v>
      </c>
      <c r="F3165" s="10" t="s">
        <v>1066</v>
      </c>
      <c r="G3165" s="9">
        <v>923</v>
      </c>
      <c r="H3165" s="9">
        <v>2010</v>
      </c>
      <c r="I3165" s="8">
        <v>263.05900000000003</v>
      </c>
      <c r="J3165" s="8">
        <v>224.655</v>
      </c>
      <c r="K3165" s="8">
        <v>233.65899999999999</v>
      </c>
      <c r="L3165" s="8">
        <v>309.37200000000001</v>
      </c>
      <c r="M3165" s="8">
        <v>395.029</v>
      </c>
      <c r="N3165" s="8">
        <v>378.012</v>
      </c>
      <c r="O3165" s="8">
        <v>339.303</v>
      </c>
      <c r="P3165" s="8">
        <v>321.27300000000002</v>
      </c>
      <c r="Q3165" s="8">
        <v>309.10899999999998</v>
      </c>
      <c r="R3165" s="8">
        <v>355.67700000000002</v>
      </c>
      <c r="S3165" s="8">
        <v>350.27600000000001</v>
      </c>
      <c r="T3165" s="8">
        <v>277.16000000000003</v>
      </c>
      <c r="U3165" s="8">
        <v>204.04</v>
      </c>
      <c r="V3165" s="8">
        <v>121.935</v>
      </c>
      <c r="W3165" s="8">
        <v>138.845</v>
      </c>
      <c r="X3165" s="8">
        <v>84.49</v>
      </c>
      <c r="Y3165" s="8">
        <v>58.203000000000003</v>
      </c>
      <c r="Z3165" s="8">
        <v>13.473000000000001</v>
      </c>
      <c r="AA3165" s="8">
        <v>1.8680000000000001</v>
      </c>
      <c r="AB3165" s="8">
        <v>0.27100000000000002</v>
      </c>
      <c r="AC3165" s="8">
        <v>2.1999999999999999E-2</v>
      </c>
    </row>
    <row r="3166" spans="1:29" ht="11.65" x14ac:dyDescent="0.35">
      <c r="A3166" s="12">
        <v>3149</v>
      </c>
      <c r="B3166" s="10" t="s">
        <v>1015</v>
      </c>
      <c r="C3166" s="18" t="s">
        <v>1234</v>
      </c>
      <c r="D3166" s="9"/>
      <c r="E3166" s="9">
        <v>112</v>
      </c>
      <c r="F3166" s="10" t="s">
        <v>1066</v>
      </c>
      <c r="G3166" s="9">
        <v>923</v>
      </c>
      <c r="H3166" s="9">
        <v>2015</v>
      </c>
      <c r="I3166" s="8">
        <v>297.64600000000002</v>
      </c>
      <c r="J3166" s="8">
        <v>265.52999999999997</v>
      </c>
      <c r="K3166" s="8">
        <v>226.512</v>
      </c>
      <c r="L3166" s="8">
        <v>235.25800000000001</v>
      </c>
      <c r="M3166" s="8">
        <v>309.99799999999999</v>
      </c>
      <c r="N3166" s="8">
        <v>393.82</v>
      </c>
      <c r="O3166" s="8">
        <v>375.3</v>
      </c>
      <c r="P3166" s="8">
        <v>334.97199999999998</v>
      </c>
      <c r="Q3166" s="8">
        <v>314.89299999999997</v>
      </c>
      <c r="R3166" s="8">
        <v>299.70800000000003</v>
      </c>
      <c r="S3166" s="8">
        <v>337.74400000000003</v>
      </c>
      <c r="T3166" s="8">
        <v>322.74599999999998</v>
      </c>
      <c r="U3166" s="8">
        <v>243.33600000000001</v>
      </c>
      <c r="V3166" s="8">
        <v>169.1</v>
      </c>
      <c r="W3166" s="8">
        <v>94.674000000000007</v>
      </c>
      <c r="X3166" s="8">
        <v>94.695999999999998</v>
      </c>
      <c r="Y3166" s="8">
        <v>47.726999999999997</v>
      </c>
      <c r="Z3166" s="8">
        <v>24.617999999999999</v>
      </c>
      <c r="AA3166" s="8">
        <v>3.8130000000000002</v>
      </c>
      <c r="AB3166" s="8">
        <v>0.29599999999999999</v>
      </c>
      <c r="AC3166" s="8">
        <v>2.4E-2</v>
      </c>
    </row>
    <row r="3167" spans="1:29" ht="11.65" x14ac:dyDescent="0.35">
      <c r="A3167" s="12">
        <v>3150</v>
      </c>
      <c r="B3167" s="10" t="s">
        <v>1015</v>
      </c>
      <c r="C3167" s="18" t="s">
        <v>1234</v>
      </c>
      <c r="D3167" s="9"/>
      <c r="E3167" s="9">
        <v>112</v>
      </c>
      <c r="F3167" s="10" t="s">
        <v>1066</v>
      </c>
      <c r="G3167" s="9">
        <v>923</v>
      </c>
      <c r="H3167" s="9">
        <v>2020</v>
      </c>
      <c r="I3167" s="8">
        <v>277.39999999999998</v>
      </c>
      <c r="J3167" s="8">
        <v>306.94200000000001</v>
      </c>
      <c r="K3167" s="8">
        <v>248.91499999999999</v>
      </c>
      <c r="L3167" s="8">
        <v>227.98400000000001</v>
      </c>
      <c r="M3167" s="8">
        <v>218.608</v>
      </c>
      <c r="N3167" s="8">
        <v>333.72899999999998</v>
      </c>
      <c r="O3167" s="8">
        <v>416.81599999999997</v>
      </c>
      <c r="P3167" s="8">
        <v>360.74200000000002</v>
      </c>
      <c r="Q3167" s="8">
        <v>320.97000000000003</v>
      </c>
      <c r="R3167" s="8">
        <v>301.55700000000002</v>
      </c>
      <c r="S3167" s="8">
        <v>275.42</v>
      </c>
      <c r="T3167" s="8">
        <v>343.48899999999998</v>
      </c>
      <c r="U3167" s="8">
        <v>284.767</v>
      </c>
      <c r="V3167" s="8">
        <v>225.59700000000001</v>
      </c>
      <c r="W3167" s="8">
        <v>99.113</v>
      </c>
      <c r="X3167" s="8">
        <v>74.957999999999998</v>
      </c>
      <c r="Y3167" s="8">
        <v>53.988999999999997</v>
      </c>
      <c r="Z3167" s="8">
        <v>20.707999999999998</v>
      </c>
      <c r="AA3167" s="8">
        <v>7.0439999999999996</v>
      </c>
      <c r="AB3167" s="8">
        <v>0.59399999999999997</v>
      </c>
      <c r="AC3167" s="8">
        <v>2.5000000000000001E-2</v>
      </c>
    </row>
    <row r="3168" spans="1:29" ht="11.65" x14ac:dyDescent="0.35">
      <c r="A3168" s="12">
        <v>3151</v>
      </c>
      <c r="B3168" s="10" t="s">
        <v>1015</v>
      </c>
      <c r="C3168" s="18" t="s">
        <v>1235</v>
      </c>
      <c r="D3168" s="9"/>
      <c r="E3168" s="9">
        <v>100</v>
      </c>
      <c r="F3168" s="10" t="s">
        <v>1066</v>
      </c>
      <c r="G3168" s="9">
        <v>923</v>
      </c>
      <c r="H3168" s="9">
        <v>1950</v>
      </c>
      <c r="I3168" s="8">
        <v>375</v>
      </c>
      <c r="J3168" s="8">
        <v>311</v>
      </c>
      <c r="K3168" s="8">
        <v>302.00099999999998</v>
      </c>
      <c r="L3168" s="8">
        <v>344</v>
      </c>
      <c r="M3168" s="8">
        <v>350.00099999999998</v>
      </c>
      <c r="N3168" s="8">
        <v>340</v>
      </c>
      <c r="O3168" s="8">
        <v>207.999</v>
      </c>
      <c r="P3168" s="8">
        <v>273.00099999999998</v>
      </c>
      <c r="Q3168" s="8">
        <v>262</v>
      </c>
      <c r="R3168" s="8">
        <v>224.001</v>
      </c>
      <c r="S3168" s="8">
        <v>173</v>
      </c>
      <c r="T3168" s="8">
        <v>124.999</v>
      </c>
      <c r="U3168" s="8">
        <v>111.001</v>
      </c>
      <c r="V3168" s="8">
        <v>98</v>
      </c>
      <c r="W3168" s="8">
        <v>67.97</v>
      </c>
      <c r="X3168" s="8">
        <v>38.36</v>
      </c>
      <c r="Y3168" s="8">
        <v>14.65</v>
      </c>
      <c r="Z3168" s="8">
        <v>5.5430000000000001</v>
      </c>
      <c r="AA3168" s="8">
        <v>1.304</v>
      </c>
      <c r="AB3168" s="8">
        <v>0.16800000000000001</v>
      </c>
      <c r="AC3168" s="8">
        <v>1.0999999999999999E-2</v>
      </c>
    </row>
    <row r="3169" spans="1:29" ht="11.65" x14ac:dyDescent="0.35">
      <c r="A3169" s="12">
        <v>3152</v>
      </c>
      <c r="B3169" s="10" t="s">
        <v>1015</v>
      </c>
      <c r="C3169" s="18" t="s">
        <v>1235</v>
      </c>
      <c r="D3169" s="9"/>
      <c r="E3169" s="9">
        <v>100</v>
      </c>
      <c r="F3169" s="10" t="s">
        <v>1066</v>
      </c>
      <c r="G3169" s="9">
        <v>923</v>
      </c>
      <c r="H3169" s="9">
        <v>1955</v>
      </c>
      <c r="I3169" s="8">
        <v>358.822</v>
      </c>
      <c r="J3169" s="8">
        <v>362.04199999999997</v>
      </c>
      <c r="K3169" s="8">
        <v>303.71199999999999</v>
      </c>
      <c r="L3169" s="8">
        <v>295.15899999999999</v>
      </c>
      <c r="M3169" s="8">
        <v>335.25099999999998</v>
      </c>
      <c r="N3169" s="8">
        <v>339.17099999999999</v>
      </c>
      <c r="O3169" s="8">
        <v>330.173</v>
      </c>
      <c r="P3169" s="8">
        <v>202.05199999999999</v>
      </c>
      <c r="Q3169" s="8">
        <v>261.89699999999999</v>
      </c>
      <c r="R3169" s="8">
        <v>251.45</v>
      </c>
      <c r="S3169" s="8">
        <v>212.49700000000001</v>
      </c>
      <c r="T3169" s="8">
        <v>161.65100000000001</v>
      </c>
      <c r="U3169" s="8">
        <v>112.285</v>
      </c>
      <c r="V3169" s="8">
        <v>94.73</v>
      </c>
      <c r="W3169" s="8">
        <v>76.712999999999994</v>
      </c>
      <c r="X3169" s="8">
        <v>46.206000000000003</v>
      </c>
      <c r="Y3169" s="8">
        <v>20.771999999999998</v>
      </c>
      <c r="Z3169" s="8">
        <v>6.649</v>
      </c>
      <c r="AA3169" s="8">
        <v>1.944</v>
      </c>
      <c r="AB3169" s="8">
        <v>0.34399999999999997</v>
      </c>
      <c r="AC3169" s="8">
        <v>0.03</v>
      </c>
    </row>
    <row r="3170" spans="1:29" ht="11.65" x14ac:dyDescent="0.35">
      <c r="A3170" s="12">
        <v>3153</v>
      </c>
      <c r="B3170" s="10" t="s">
        <v>1015</v>
      </c>
      <c r="C3170" s="18" t="s">
        <v>1235</v>
      </c>
      <c r="D3170" s="9"/>
      <c r="E3170" s="9">
        <v>100</v>
      </c>
      <c r="F3170" s="10" t="s">
        <v>1066</v>
      </c>
      <c r="G3170" s="9">
        <v>923</v>
      </c>
      <c r="H3170" s="9">
        <v>1960</v>
      </c>
      <c r="I3170" s="8">
        <v>339.45400000000001</v>
      </c>
      <c r="J3170" s="8">
        <v>352.00700000000001</v>
      </c>
      <c r="K3170" s="8">
        <v>358.358</v>
      </c>
      <c r="L3170" s="8">
        <v>300.07900000000001</v>
      </c>
      <c r="M3170" s="8">
        <v>290.90199999999999</v>
      </c>
      <c r="N3170" s="8">
        <v>329.911</v>
      </c>
      <c r="O3170" s="8">
        <v>334.10899999999998</v>
      </c>
      <c r="P3170" s="8">
        <v>324.55500000000001</v>
      </c>
      <c r="Q3170" s="8">
        <v>197.16900000000001</v>
      </c>
      <c r="R3170" s="8">
        <v>256.363</v>
      </c>
      <c r="S3170" s="8">
        <v>242.59200000000001</v>
      </c>
      <c r="T3170" s="8">
        <v>200.352</v>
      </c>
      <c r="U3170" s="8">
        <v>146.64699999999999</v>
      </c>
      <c r="V3170" s="8">
        <v>96.903999999999996</v>
      </c>
      <c r="W3170" s="8">
        <v>75.325000000000003</v>
      </c>
      <c r="X3170" s="8">
        <v>53.536000000000001</v>
      </c>
      <c r="Y3170" s="8">
        <v>26.431000000000001</v>
      </c>
      <c r="Z3170" s="8">
        <v>9.5579999999999998</v>
      </c>
      <c r="AA3170" s="8">
        <v>2.306</v>
      </c>
      <c r="AB3170" s="8">
        <v>0.51600000000000001</v>
      </c>
      <c r="AC3170" s="8">
        <v>6.7000000000000004E-2</v>
      </c>
    </row>
    <row r="3171" spans="1:29" ht="11.65" x14ac:dyDescent="0.35">
      <c r="A3171" s="12">
        <v>3154</v>
      </c>
      <c r="B3171" s="10" t="s">
        <v>1015</v>
      </c>
      <c r="C3171" s="18" t="s">
        <v>1235</v>
      </c>
      <c r="D3171" s="9"/>
      <c r="E3171" s="9">
        <v>100</v>
      </c>
      <c r="F3171" s="10" t="s">
        <v>1066</v>
      </c>
      <c r="G3171" s="9">
        <v>923</v>
      </c>
      <c r="H3171" s="9">
        <v>1965</v>
      </c>
      <c r="I3171" s="8">
        <v>330.56299999999999</v>
      </c>
      <c r="J3171" s="8">
        <v>337.28199999999998</v>
      </c>
      <c r="K3171" s="8">
        <v>351.94900000000001</v>
      </c>
      <c r="L3171" s="8">
        <v>353.94600000000003</v>
      </c>
      <c r="M3171" s="8">
        <v>295.13</v>
      </c>
      <c r="N3171" s="8">
        <v>289.00900000000001</v>
      </c>
      <c r="O3171" s="8">
        <v>329.40499999999997</v>
      </c>
      <c r="P3171" s="8">
        <v>331.52699999999999</v>
      </c>
      <c r="Q3171" s="8">
        <v>321.18099999999998</v>
      </c>
      <c r="R3171" s="8">
        <v>193.67500000000001</v>
      </c>
      <c r="S3171" s="8">
        <v>249.732</v>
      </c>
      <c r="T3171" s="8">
        <v>231.27799999999999</v>
      </c>
      <c r="U3171" s="8">
        <v>185.70099999999999</v>
      </c>
      <c r="V3171" s="8">
        <v>129.529</v>
      </c>
      <c r="W3171" s="8">
        <v>78.376999999999995</v>
      </c>
      <c r="X3171" s="8">
        <v>53.502000000000002</v>
      </c>
      <c r="Y3171" s="8">
        <v>31.751999999999999</v>
      </c>
      <c r="Z3171" s="8">
        <v>12.185</v>
      </c>
      <c r="AA3171" s="8">
        <v>3.456</v>
      </c>
      <c r="AB3171" s="8">
        <v>0.61799999999999999</v>
      </c>
      <c r="AC3171" s="8">
        <v>0.10100000000000001</v>
      </c>
    </row>
    <row r="3172" spans="1:29" ht="11.65" x14ac:dyDescent="0.35">
      <c r="A3172" s="12">
        <v>3155</v>
      </c>
      <c r="B3172" s="10" t="s">
        <v>1015</v>
      </c>
      <c r="C3172" s="18" t="s">
        <v>1235</v>
      </c>
      <c r="D3172" s="9"/>
      <c r="E3172" s="9">
        <v>100</v>
      </c>
      <c r="F3172" s="10" t="s">
        <v>1066</v>
      </c>
      <c r="G3172" s="9">
        <v>923</v>
      </c>
      <c r="H3172" s="9">
        <v>1970</v>
      </c>
      <c r="I3172" s="8">
        <v>331.89699999999999</v>
      </c>
      <c r="J3172" s="8">
        <v>325.18200000000002</v>
      </c>
      <c r="K3172" s="8">
        <v>338.85599999999999</v>
      </c>
      <c r="L3172" s="8">
        <v>348.47</v>
      </c>
      <c r="M3172" s="8">
        <v>349.59800000000001</v>
      </c>
      <c r="N3172" s="8">
        <v>289.10899999999998</v>
      </c>
      <c r="O3172" s="8">
        <v>288.10500000000002</v>
      </c>
      <c r="P3172" s="8">
        <v>327.07900000000001</v>
      </c>
      <c r="Q3172" s="8">
        <v>327.52999999999997</v>
      </c>
      <c r="R3172" s="8">
        <v>315.43799999999999</v>
      </c>
      <c r="S3172" s="8">
        <v>187.87700000000001</v>
      </c>
      <c r="T3172" s="8">
        <v>238.148</v>
      </c>
      <c r="U3172" s="8">
        <v>213.21299999999999</v>
      </c>
      <c r="V3172" s="8">
        <v>162.03100000000001</v>
      </c>
      <c r="W3172" s="8">
        <v>105.271</v>
      </c>
      <c r="X3172" s="8">
        <v>55.018999999999998</v>
      </c>
      <c r="Y3172" s="8">
        <v>30.504000000000001</v>
      </c>
      <c r="Z3172" s="8">
        <v>14.157999999999999</v>
      </c>
      <c r="AA3172" s="8">
        <v>4.1639999999999997</v>
      </c>
      <c r="AB3172" s="8">
        <v>0.90900000000000003</v>
      </c>
      <c r="AC3172" s="8">
        <v>0.124</v>
      </c>
    </row>
    <row r="3173" spans="1:29" ht="11.65" x14ac:dyDescent="0.35">
      <c r="A3173" s="12">
        <v>3156</v>
      </c>
      <c r="B3173" s="10" t="s">
        <v>1015</v>
      </c>
      <c r="C3173" s="18" t="s">
        <v>1235</v>
      </c>
      <c r="D3173" s="9"/>
      <c r="E3173" s="9">
        <v>100</v>
      </c>
      <c r="F3173" s="10" t="s">
        <v>1066</v>
      </c>
      <c r="G3173" s="9">
        <v>923</v>
      </c>
      <c r="H3173" s="9">
        <v>1975</v>
      </c>
      <c r="I3173" s="8">
        <v>348.67</v>
      </c>
      <c r="J3173" s="8">
        <v>327.50200000000001</v>
      </c>
      <c r="K3173" s="8">
        <v>322.98500000000001</v>
      </c>
      <c r="L3173" s="8">
        <v>333.40899999999999</v>
      </c>
      <c r="M3173" s="8">
        <v>339.19099999999997</v>
      </c>
      <c r="N3173" s="8">
        <v>344.68</v>
      </c>
      <c r="O3173" s="8">
        <v>286.173</v>
      </c>
      <c r="P3173" s="8">
        <v>284.61099999999999</v>
      </c>
      <c r="Q3173" s="8">
        <v>321.72399999999999</v>
      </c>
      <c r="R3173" s="8">
        <v>319.41500000000002</v>
      </c>
      <c r="S3173" s="8">
        <v>304.26600000000002</v>
      </c>
      <c r="T3173" s="8">
        <v>176.96700000000001</v>
      </c>
      <c r="U3173" s="8">
        <v>219.69900000000001</v>
      </c>
      <c r="V3173" s="8">
        <v>185.447</v>
      </c>
      <c r="W3173" s="8">
        <v>128.24600000000001</v>
      </c>
      <c r="X3173" s="8">
        <v>71.42</v>
      </c>
      <c r="Y3173" s="8">
        <v>30.175999999999998</v>
      </c>
      <c r="Z3173" s="8">
        <v>12.81</v>
      </c>
      <c r="AA3173" s="8">
        <v>4.2869999999999999</v>
      </c>
      <c r="AB3173" s="8">
        <v>0.94899999999999995</v>
      </c>
      <c r="AC3173" s="8">
        <v>0.14299999999999999</v>
      </c>
    </row>
    <row r="3174" spans="1:29" ht="11.65" x14ac:dyDescent="0.35">
      <c r="A3174" s="12">
        <v>3157</v>
      </c>
      <c r="B3174" s="10" t="s">
        <v>1015</v>
      </c>
      <c r="C3174" s="18" t="s">
        <v>1235</v>
      </c>
      <c r="D3174" s="9"/>
      <c r="E3174" s="9">
        <v>100</v>
      </c>
      <c r="F3174" s="10" t="s">
        <v>1066</v>
      </c>
      <c r="G3174" s="9">
        <v>923</v>
      </c>
      <c r="H3174" s="9">
        <v>1980</v>
      </c>
      <c r="I3174" s="8">
        <v>348.67500000000001</v>
      </c>
      <c r="J3174" s="8">
        <v>339.9</v>
      </c>
      <c r="K3174" s="8">
        <v>321.61500000000001</v>
      </c>
      <c r="L3174" s="8">
        <v>320.31200000000001</v>
      </c>
      <c r="M3174" s="8">
        <v>324.90800000000002</v>
      </c>
      <c r="N3174" s="8">
        <v>328.85399999999998</v>
      </c>
      <c r="O3174" s="8">
        <v>337.166</v>
      </c>
      <c r="P3174" s="8">
        <v>281.74</v>
      </c>
      <c r="Q3174" s="8">
        <v>277.94</v>
      </c>
      <c r="R3174" s="8">
        <v>312.43599999999998</v>
      </c>
      <c r="S3174" s="8">
        <v>304.779</v>
      </c>
      <c r="T3174" s="8">
        <v>284.71600000000001</v>
      </c>
      <c r="U3174" s="8">
        <v>160.27199999999999</v>
      </c>
      <c r="V3174" s="8">
        <v>189.452</v>
      </c>
      <c r="W3174" s="8">
        <v>145.53800000000001</v>
      </c>
      <c r="X3174" s="8">
        <v>87.698999999999998</v>
      </c>
      <c r="Y3174" s="8">
        <v>39.518999999999998</v>
      </c>
      <c r="Z3174" s="8">
        <v>12.368</v>
      </c>
      <c r="AA3174" s="8">
        <v>3.665</v>
      </c>
      <c r="AB3174" s="8">
        <v>0.83</v>
      </c>
      <c r="AC3174" s="8">
        <v>0.127</v>
      </c>
    </row>
    <row r="3175" spans="1:29" ht="11.65" x14ac:dyDescent="0.35">
      <c r="A3175" s="12">
        <v>3158</v>
      </c>
      <c r="B3175" s="10" t="s">
        <v>1015</v>
      </c>
      <c r="C3175" s="18" t="s">
        <v>1235</v>
      </c>
      <c r="D3175" s="9"/>
      <c r="E3175" s="9">
        <v>100</v>
      </c>
      <c r="F3175" s="10" t="s">
        <v>1066</v>
      </c>
      <c r="G3175" s="9">
        <v>923</v>
      </c>
      <c r="H3175" s="9">
        <v>1985</v>
      </c>
      <c r="I3175" s="8">
        <v>312.72000000000003</v>
      </c>
      <c r="J3175" s="8">
        <v>346.072</v>
      </c>
      <c r="K3175" s="8">
        <v>338.71100000000001</v>
      </c>
      <c r="L3175" s="8">
        <v>316.05900000000003</v>
      </c>
      <c r="M3175" s="8">
        <v>311.38299999999998</v>
      </c>
      <c r="N3175" s="8">
        <v>320.89999999999998</v>
      </c>
      <c r="O3175" s="8">
        <v>326.154</v>
      </c>
      <c r="P3175" s="8">
        <v>333.50400000000002</v>
      </c>
      <c r="Q3175" s="8">
        <v>276.82299999999998</v>
      </c>
      <c r="R3175" s="8">
        <v>270.51100000000002</v>
      </c>
      <c r="S3175" s="8">
        <v>300.40800000000002</v>
      </c>
      <c r="T3175" s="8">
        <v>285.90199999999999</v>
      </c>
      <c r="U3175" s="8">
        <v>258.94</v>
      </c>
      <c r="V3175" s="8">
        <v>138.364</v>
      </c>
      <c r="W3175" s="8">
        <v>149.261</v>
      </c>
      <c r="X3175" s="8">
        <v>99.03</v>
      </c>
      <c r="Y3175" s="8">
        <v>46.246000000000002</v>
      </c>
      <c r="Z3175" s="8">
        <v>15.686</v>
      </c>
      <c r="AA3175" s="8">
        <v>3.319</v>
      </c>
      <c r="AB3175" s="8">
        <v>0.64100000000000001</v>
      </c>
      <c r="AC3175" s="8">
        <v>9.1999999999999998E-2</v>
      </c>
    </row>
    <row r="3176" spans="1:29" ht="11.65" x14ac:dyDescent="0.35">
      <c r="A3176" s="12">
        <v>3159</v>
      </c>
      <c r="B3176" s="10" t="s">
        <v>1015</v>
      </c>
      <c r="C3176" s="18" t="s">
        <v>1235</v>
      </c>
      <c r="D3176" s="9"/>
      <c r="E3176" s="9">
        <v>100</v>
      </c>
      <c r="F3176" s="10" t="s">
        <v>1066</v>
      </c>
      <c r="G3176" s="9">
        <v>923</v>
      </c>
      <c r="H3176" s="9">
        <v>1990</v>
      </c>
      <c r="I3176" s="8">
        <v>285.80900000000003</v>
      </c>
      <c r="J3176" s="8">
        <v>302.26299999999998</v>
      </c>
      <c r="K3176" s="8">
        <v>334.70499999999998</v>
      </c>
      <c r="L3176" s="8">
        <v>328.67</v>
      </c>
      <c r="M3176" s="8">
        <v>300.02</v>
      </c>
      <c r="N3176" s="8">
        <v>295.25200000000001</v>
      </c>
      <c r="O3176" s="8">
        <v>307.70299999999997</v>
      </c>
      <c r="P3176" s="8">
        <v>315.053</v>
      </c>
      <c r="Q3176" s="8">
        <v>321.62700000000001</v>
      </c>
      <c r="R3176" s="8">
        <v>264.66399999999999</v>
      </c>
      <c r="S3176" s="8">
        <v>255.791</v>
      </c>
      <c r="T3176" s="8">
        <v>278.45</v>
      </c>
      <c r="U3176" s="8">
        <v>257.47899999999998</v>
      </c>
      <c r="V3176" s="8">
        <v>221.30099999999999</v>
      </c>
      <c r="W3176" s="8">
        <v>110.048</v>
      </c>
      <c r="X3176" s="8">
        <v>102.26900000000001</v>
      </c>
      <c r="Y3176" s="8">
        <v>53.561</v>
      </c>
      <c r="Z3176" s="8">
        <v>18.206</v>
      </c>
      <c r="AA3176" s="8">
        <v>4.008</v>
      </c>
      <c r="AB3176" s="8">
        <v>0.51300000000000001</v>
      </c>
      <c r="AC3176" s="8">
        <v>0.06</v>
      </c>
    </row>
    <row r="3177" spans="1:29" ht="11.65" x14ac:dyDescent="0.35">
      <c r="A3177" s="12">
        <v>3160</v>
      </c>
      <c r="B3177" s="10" t="s">
        <v>1015</v>
      </c>
      <c r="C3177" s="18" t="s">
        <v>1235</v>
      </c>
      <c r="D3177" s="9"/>
      <c r="E3177" s="9">
        <v>100</v>
      </c>
      <c r="F3177" s="10" t="s">
        <v>1066</v>
      </c>
      <c r="G3177" s="9">
        <v>923</v>
      </c>
      <c r="H3177" s="9">
        <v>1995</v>
      </c>
      <c r="I3177" s="8">
        <v>215.45699999999999</v>
      </c>
      <c r="J3177" s="8">
        <v>267.56299999999999</v>
      </c>
      <c r="K3177" s="8">
        <v>287.07600000000002</v>
      </c>
      <c r="L3177" s="8">
        <v>316.07100000000003</v>
      </c>
      <c r="M3177" s="8">
        <v>303.88200000000001</v>
      </c>
      <c r="N3177" s="8">
        <v>281.44200000000001</v>
      </c>
      <c r="O3177" s="8">
        <v>277.22699999999998</v>
      </c>
      <c r="P3177" s="8">
        <v>287.49700000000001</v>
      </c>
      <c r="Q3177" s="8">
        <v>294.52</v>
      </c>
      <c r="R3177" s="8">
        <v>301.10500000000002</v>
      </c>
      <c r="S3177" s="8">
        <v>244.66800000000001</v>
      </c>
      <c r="T3177" s="8">
        <v>231.76400000000001</v>
      </c>
      <c r="U3177" s="8">
        <v>246.34</v>
      </c>
      <c r="V3177" s="8">
        <v>216.48400000000001</v>
      </c>
      <c r="W3177" s="8">
        <v>171.28200000000001</v>
      </c>
      <c r="X3177" s="8">
        <v>76.097999999999999</v>
      </c>
      <c r="Y3177" s="8">
        <v>56.741999999999997</v>
      </c>
      <c r="Z3177" s="8">
        <v>21.478999999999999</v>
      </c>
      <c r="AA3177" s="8">
        <v>4.6239999999999997</v>
      </c>
      <c r="AB3177" s="8">
        <v>0.60699999999999998</v>
      </c>
      <c r="AC3177" s="8">
        <v>4.2999999999999997E-2</v>
      </c>
    </row>
    <row r="3178" spans="1:29" ht="11.65" x14ac:dyDescent="0.35">
      <c r="A3178" s="12">
        <v>3161</v>
      </c>
      <c r="B3178" s="10" t="s">
        <v>1015</v>
      </c>
      <c r="C3178" s="18" t="s">
        <v>1235</v>
      </c>
      <c r="D3178" s="9"/>
      <c r="E3178" s="9">
        <v>100</v>
      </c>
      <c r="F3178" s="10" t="s">
        <v>1066</v>
      </c>
      <c r="G3178" s="9">
        <v>923</v>
      </c>
      <c r="H3178" s="9">
        <v>2000</v>
      </c>
      <c r="I3178" s="8">
        <v>165.12</v>
      </c>
      <c r="J3178" s="8">
        <v>211.94300000000001</v>
      </c>
      <c r="K3178" s="8">
        <v>265.14999999999998</v>
      </c>
      <c r="L3178" s="8">
        <v>278.74200000000002</v>
      </c>
      <c r="M3178" s="8">
        <v>305.10500000000002</v>
      </c>
      <c r="N3178" s="8">
        <v>292.39800000000002</v>
      </c>
      <c r="O3178" s="8">
        <v>269.49299999999999</v>
      </c>
      <c r="P3178" s="8">
        <v>270.80700000000002</v>
      </c>
      <c r="Q3178" s="8">
        <v>277.16000000000003</v>
      </c>
      <c r="R3178" s="8">
        <v>283.79899999999998</v>
      </c>
      <c r="S3178" s="8">
        <v>284.76499999999999</v>
      </c>
      <c r="T3178" s="8">
        <v>223.80600000000001</v>
      </c>
      <c r="U3178" s="8">
        <v>205.261</v>
      </c>
      <c r="V3178" s="8">
        <v>208.19200000000001</v>
      </c>
      <c r="W3178" s="8">
        <v>169.23699999999999</v>
      </c>
      <c r="X3178" s="8">
        <v>116.985</v>
      </c>
      <c r="Y3178" s="8">
        <v>42.052</v>
      </c>
      <c r="Z3178" s="8">
        <v>22.042999999999999</v>
      </c>
      <c r="AA3178" s="8">
        <v>5.0380000000000003</v>
      </c>
      <c r="AB3178" s="8">
        <v>0.56100000000000005</v>
      </c>
      <c r="AC3178" s="8">
        <v>3.9E-2</v>
      </c>
    </row>
    <row r="3179" spans="1:29" ht="11.65" x14ac:dyDescent="0.35">
      <c r="A3179" s="12">
        <v>3162</v>
      </c>
      <c r="B3179" s="10" t="s">
        <v>1015</v>
      </c>
      <c r="C3179" s="18" t="s">
        <v>1235</v>
      </c>
      <c r="D3179" s="9"/>
      <c r="E3179" s="9">
        <v>100</v>
      </c>
      <c r="F3179" s="10" t="s">
        <v>1066</v>
      </c>
      <c r="G3179" s="9">
        <v>923</v>
      </c>
      <c r="H3179" s="9">
        <v>2005</v>
      </c>
      <c r="I3179" s="8">
        <v>170.69300000000001</v>
      </c>
      <c r="J3179" s="8">
        <v>159.17599999999999</v>
      </c>
      <c r="K3179" s="8">
        <v>208.321</v>
      </c>
      <c r="L3179" s="8">
        <v>260.99799999999999</v>
      </c>
      <c r="M3179" s="8">
        <v>268.99599999999998</v>
      </c>
      <c r="N3179" s="8">
        <v>294.37400000000002</v>
      </c>
      <c r="O3179" s="8">
        <v>286.11700000000002</v>
      </c>
      <c r="P3179" s="8">
        <v>262.91199999999998</v>
      </c>
      <c r="Q3179" s="8">
        <v>264.30200000000002</v>
      </c>
      <c r="R3179" s="8">
        <v>269.21899999999999</v>
      </c>
      <c r="S3179" s="8">
        <v>271.44299999999998</v>
      </c>
      <c r="T3179" s="8">
        <v>267.67700000000002</v>
      </c>
      <c r="U3179" s="8">
        <v>202.64</v>
      </c>
      <c r="V3179" s="8">
        <v>176.208</v>
      </c>
      <c r="W3179" s="8">
        <v>167.30799999999999</v>
      </c>
      <c r="X3179" s="8">
        <v>118.378</v>
      </c>
      <c r="Y3179" s="8">
        <v>67.480999999999995</v>
      </c>
      <c r="Z3179" s="8">
        <v>17.709</v>
      </c>
      <c r="AA3179" s="8">
        <v>5.8819999999999997</v>
      </c>
      <c r="AB3179" s="8">
        <v>0.77100000000000002</v>
      </c>
      <c r="AC3179" s="8">
        <v>4.7E-2</v>
      </c>
    </row>
    <row r="3180" spans="1:29" ht="11.65" x14ac:dyDescent="0.35">
      <c r="A3180" s="12">
        <v>3163</v>
      </c>
      <c r="B3180" s="10" t="s">
        <v>1015</v>
      </c>
      <c r="C3180" s="18" t="s">
        <v>1235</v>
      </c>
      <c r="D3180" s="9"/>
      <c r="E3180" s="9">
        <v>100</v>
      </c>
      <c r="F3180" s="10" t="s">
        <v>1066</v>
      </c>
      <c r="G3180" s="9">
        <v>923</v>
      </c>
      <c r="H3180" s="9">
        <v>2010</v>
      </c>
      <c r="I3180" s="8">
        <v>192.5</v>
      </c>
      <c r="J3180" s="8">
        <v>164.90600000000001</v>
      </c>
      <c r="K3180" s="8">
        <v>157.88</v>
      </c>
      <c r="L3180" s="8">
        <v>205.58500000000001</v>
      </c>
      <c r="M3180" s="8">
        <v>254.55099999999999</v>
      </c>
      <c r="N3180" s="8">
        <v>256.76499999999999</v>
      </c>
      <c r="O3180" s="8">
        <v>284.697</v>
      </c>
      <c r="P3180" s="8">
        <v>281.78399999999999</v>
      </c>
      <c r="Q3180" s="8">
        <v>256.25900000000001</v>
      </c>
      <c r="R3180" s="8">
        <v>255.64500000000001</v>
      </c>
      <c r="S3180" s="8">
        <v>258.262</v>
      </c>
      <c r="T3180" s="8">
        <v>255.29300000000001</v>
      </c>
      <c r="U3180" s="8">
        <v>244.92400000000001</v>
      </c>
      <c r="V3180" s="8">
        <v>177.21600000000001</v>
      </c>
      <c r="W3180" s="8">
        <v>142.88</v>
      </c>
      <c r="X3180" s="8">
        <v>121.354</v>
      </c>
      <c r="Y3180" s="8">
        <v>70.007000000000005</v>
      </c>
      <c r="Z3180" s="8">
        <v>29.100999999999999</v>
      </c>
      <c r="AA3180" s="8">
        <v>4.944</v>
      </c>
      <c r="AB3180" s="8">
        <v>1.0069999999999999</v>
      </c>
      <c r="AC3180" s="8">
        <v>7.1999999999999995E-2</v>
      </c>
    </row>
    <row r="3181" spans="1:29" ht="11.65" x14ac:dyDescent="0.35">
      <c r="A3181" s="12">
        <v>3164</v>
      </c>
      <c r="B3181" s="10" t="s">
        <v>1015</v>
      </c>
      <c r="C3181" s="18" t="s">
        <v>1235</v>
      </c>
      <c r="D3181" s="9"/>
      <c r="E3181" s="9">
        <v>100</v>
      </c>
      <c r="F3181" s="10" t="s">
        <v>1066</v>
      </c>
      <c r="G3181" s="9">
        <v>923</v>
      </c>
      <c r="H3181" s="9">
        <v>2015</v>
      </c>
      <c r="I3181" s="8">
        <v>173.63800000000001</v>
      </c>
      <c r="J3181" s="8">
        <v>190.83500000000001</v>
      </c>
      <c r="K3181" s="8">
        <v>163.928</v>
      </c>
      <c r="L3181" s="8">
        <v>156.99100000000001</v>
      </c>
      <c r="M3181" s="8">
        <v>204.09100000000001</v>
      </c>
      <c r="N3181" s="8">
        <v>250.38800000000001</v>
      </c>
      <c r="O3181" s="8">
        <v>251.12100000000001</v>
      </c>
      <c r="P3181" s="8">
        <v>279.31599999999997</v>
      </c>
      <c r="Q3181" s="8">
        <v>276.96499999999997</v>
      </c>
      <c r="R3181" s="8">
        <v>250.184</v>
      </c>
      <c r="S3181" s="8">
        <v>245.65799999999999</v>
      </c>
      <c r="T3181" s="8">
        <v>242.596</v>
      </c>
      <c r="U3181" s="8">
        <v>232.27199999999999</v>
      </c>
      <c r="V3181" s="8">
        <v>214.54599999999999</v>
      </c>
      <c r="W3181" s="8">
        <v>146.745</v>
      </c>
      <c r="X3181" s="8">
        <v>106.395</v>
      </c>
      <c r="Y3181" s="8">
        <v>75.489000000000004</v>
      </c>
      <c r="Z3181" s="8">
        <v>31.925999999999998</v>
      </c>
      <c r="AA3181" s="8">
        <v>7.819</v>
      </c>
      <c r="AB3181" s="8">
        <v>0.65900000000000003</v>
      </c>
      <c r="AC3181" s="8">
        <v>7.1999999999999995E-2</v>
      </c>
    </row>
    <row r="3182" spans="1:29" ht="11.65" x14ac:dyDescent="0.35">
      <c r="A3182" s="12">
        <v>3165</v>
      </c>
      <c r="B3182" s="10" t="s">
        <v>1015</v>
      </c>
      <c r="C3182" s="18" t="s">
        <v>1235</v>
      </c>
      <c r="D3182" s="9"/>
      <c r="E3182" s="9">
        <v>100</v>
      </c>
      <c r="F3182" s="10" t="s">
        <v>1066</v>
      </c>
      <c r="G3182" s="9">
        <v>923</v>
      </c>
      <c r="H3182" s="9">
        <v>2020</v>
      </c>
      <c r="I3182" s="8">
        <v>160.78700000000001</v>
      </c>
      <c r="J3182" s="8">
        <v>173.01599999999999</v>
      </c>
      <c r="K3182" s="8">
        <v>190.393</v>
      </c>
      <c r="L3182" s="8">
        <v>162.773</v>
      </c>
      <c r="M3182" s="8">
        <v>154.94</v>
      </c>
      <c r="N3182" s="8">
        <v>201.79400000000001</v>
      </c>
      <c r="O3182" s="8">
        <v>247.92699999999999</v>
      </c>
      <c r="P3182" s="8">
        <v>248.31</v>
      </c>
      <c r="Q3182" s="8">
        <v>275.30099999999999</v>
      </c>
      <c r="R3182" s="8">
        <v>270.608</v>
      </c>
      <c r="S3182" s="8">
        <v>240.38399999999999</v>
      </c>
      <c r="T3182" s="8">
        <v>230.297</v>
      </c>
      <c r="U3182" s="8">
        <v>219.71600000000001</v>
      </c>
      <c r="V3182" s="8">
        <v>200.751</v>
      </c>
      <c r="W3182" s="8">
        <v>174.81800000000001</v>
      </c>
      <c r="X3182" s="8">
        <v>109.488</v>
      </c>
      <c r="Y3182" s="8">
        <v>67.831999999999994</v>
      </c>
      <c r="Z3182" s="8">
        <v>33.988999999999997</v>
      </c>
      <c r="AA3182" s="8">
        <v>9.3510000000000009</v>
      </c>
      <c r="AB3182" s="8">
        <v>1.575</v>
      </c>
      <c r="AC3182" s="8">
        <v>7.0999999999999994E-2</v>
      </c>
    </row>
    <row r="3183" spans="1:29" ht="11.65" x14ac:dyDescent="0.35">
      <c r="A3183" s="12">
        <v>3166</v>
      </c>
      <c r="B3183" s="10" t="s">
        <v>1015</v>
      </c>
      <c r="C3183" s="18" t="s">
        <v>1236</v>
      </c>
      <c r="D3183" s="9"/>
      <c r="E3183" s="9">
        <v>203</v>
      </c>
      <c r="F3183" s="10" t="s">
        <v>1066</v>
      </c>
      <c r="G3183" s="9">
        <v>923</v>
      </c>
      <c r="H3183" s="9">
        <v>1950</v>
      </c>
      <c r="I3183" s="8">
        <v>455.32600000000002</v>
      </c>
      <c r="J3183" s="8">
        <v>368.25400000000002</v>
      </c>
      <c r="K3183" s="8">
        <v>277.67399999999998</v>
      </c>
      <c r="L3183" s="8">
        <v>314.35300000000001</v>
      </c>
      <c r="M3183" s="8">
        <v>344.15</v>
      </c>
      <c r="N3183" s="8">
        <v>380.95400000000001</v>
      </c>
      <c r="O3183" s="8">
        <v>195.55600000000001</v>
      </c>
      <c r="P3183" s="8">
        <v>350.87</v>
      </c>
      <c r="Q3183" s="8">
        <v>355.55500000000001</v>
      </c>
      <c r="R3183" s="8">
        <v>331.55500000000001</v>
      </c>
      <c r="S3183" s="8">
        <v>264.33800000000002</v>
      </c>
      <c r="T3183" s="8">
        <v>201.78200000000001</v>
      </c>
      <c r="U3183" s="8">
        <v>162.80199999999999</v>
      </c>
      <c r="V3183" s="8">
        <v>130.875</v>
      </c>
      <c r="W3183" s="8">
        <v>93.799000000000007</v>
      </c>
      <c r="X3183" s="8">
        <v>58.451999999999998</v>
      </c>
      <c r="Y3183" s="8">
        <v>27.79</v>
      </c>
      <c r="Z3183" s="8">
        <v>7.5890000000000004</v>
      </c>
      <c r="AA3183" s="8">
        <v>1.36</v>
      </c>
      <c r="AB3183" s="8">
        <v>0.109</v>
      </c>
      <c r="AC3183" s="8">
        <v>4.0000000000000001E-3</v>
      </c>
    </row>
    <row r="3184" spans="1:29" ht="11.65" x14ac:dyDescent="0.35">
      <c r="A3184" s="12">
        <v>3167</v>
      </c>
      <c r="B3184" s="10" t="s">
        <v>1015</v>
      </c>
      <c r="C3184" s="18" t="s">
        <v>1236</v>
      </c>
      <c r="D3184" s="9"/>
      <c r="E3184" s="9">
        <v>203</v>
      </c>
      <c r="F3184" s="10" t="s">
        <v>1066</v>
      </c>
      <c r="G3184" s="9">
        <v>923</v>
      </c>
      <c r="H3184" s="9">
        <v>1955</v>
      </c>
      <c r="I3184" s="8">
        <v>441.14</v>
      </c>
      <c r="J3184" s="8">
        <v>453.012</v>
      </c>
      <c r="K3184" s="8">
        <v>367.69600000000003</v>
      </c>
      <c r="L3184" s="8">
        <v>278.19600000000003</v>
      </c>
      <c r="M3184" s="8">
        <v>316.02499999999998</v>
      </c>
      <c r="N3184" s="8">
        <v>346.29899999999998</v>
      </c>
      <c r="O3184" s="8">
        <v>381.70400000000001</v>
      </c>
      <c r="P3184" s="8">
        <v>196.535</v>
      </c>
      <c r="Q3184" s="8">
        <v>347.46699999999998</v>
      </c>
      <c r="R3184" s="8">
        <v>347.93400000000003</v>
      </c>
      <c r="S3184" s="8">
        <v>317.93200000000002</v>
      </c>
      <c r="T3184" s="8">
        <v>245.72200000000001</v>
      </c>
      <c r="U3184" s="8">
        <v>179.49100000000001</v>
      </c>
      <c r="V3184" s="8">
        <v>135.70699999999999</v>
      </c>
      <c r="W3184" s="8">
        <v>98.793000000000006</v>
      </c>
      <c r="X3184" s="8">
        <v>60.636000000000003</v>
      </c>
      <c r="Y3184" s="8">
        <v>29.346</v>
      </c>
      <c r="Z3184" s="8">
        <v>9.32</v>
      </c>
      <c r="AA3184" s="8">
        <v>1.4810000000000001</v>
      </c>
      <c r="AB3184" s="8">
        <v>0.13400000000000001</v>
      </c>
      <c r="AC3184" s="8">
        <v>5.0000000000000001E-3</v>
      </c>
    </row>
    <row r="3185" spans="1:29" ht="11.65" x14ac:dyDescent="0.35">
      <c r="A3185" s="12">
        <v>3168</v>
      </c>
      <c r="B3185" s="10" t="s">
        <v>1015</v>
      </c>
      <c r="C3185" s="18" t="s">
        <v>1236</v>
      </c>
      <c r="D3185" s="9"/>
      <c r="E3185" s="9">
        <v>203</v>
      </c>
      <c r="F3185" s="10" t="s">
        <v>1066</v>
      </c>
      <c r="G3185" s="9">
        <v>923</v>
      </c>
      <c r="H3185" s="9">
        <v>1960</v>
      </c>
      <c r="I3185" s="8">
        <v>372.548</v>
      </c>
      <c r="J3185" s="8">
        <v>437.69099999999997</v>
      </c>
      <c r="K3185" s="8">
        <v>451.12400000000002</v>
      </c>
      <c r="L3185" s="8">
        <v>366.512</v>
      </c>
      <c r="M3185" s="8">
        <v>276.714</v>
      </c>
      <c r="N3185" s="8">
        <v>310.86700000000002</v>
      </c>
      <c r="O3185" s="8">
        <v>335.613</v>
      </c>
      <c r="P3185" s="8">
        <v>370.14299999999997</v>
      </c>
      <c r="Q3185" s="8">
        <v>191.21700000000001</v>
      </c>
      <c r="R3185" s="8">
        <v>340.18799999999999</v>
      </c>
      <c r="S3185" s="8">
        <v>334.97399999999999</v>
      </c>
      <c r="T3185" s="8">
        <v>296.73099999999999</v>
      </c>
      <c r="U3185" s="8">
        <v>218.768</v>
      </c>
      <c r="V3185" s="8">
        <v>149.89500000000001</v>
      </c>
      <c r="W3185" s="8">
        <v>102.657</v>
      </c>
      <c r="X3185" s="8">
        <v>64.465999999999994</v>
      </c>
      <c r="Y3185" s="8">
        <v>31.044</v>
      </c>
      <c r="Z3185" s="8">
        <v>10.321999999999999</v>
      </c>
      <c r="AA3185" s="8">
        <v>1.9139999999999999</v>
      </c>
      <c r="AB3185" s="8">
        <v>0.159</v>
      </c>
      <c r="AC3185" s="8">
        <v>7.0000000000000001E-3</v>
      </c>
    </row>
    <row r="3186" spans="1:29" ht="11.65" x14ac:dyDescent="0.35">
      <c r="A3186" s="12">
        <v>3169</v>
      </c>
      <c r="B3186" s="10" t="s">
        <v>1015</v>
      </c>
      <c r="C3186" s="18" t="s">
        <v>1236</v>
      </c>
      <c r="D3186" s="9"/>
      <c r="E3186" s="9">
        <v>203</v>
      </c>
      <c r="F3186" s="10" t="s">
        <v>1066</v>
      </c>
      <c r="G3186" s="9">
        <v>923</v>
      </c>
      <c r="H3186" s="9">
        <v>1965</v>
      </c>
      <c r="I3186" s="8">
        <v>353.51600000000002</v>
      </c>
      <c r="J3186" s="8">
        <v>371.14299999999997</v>
      </c>
      <c r="K3186" s="8">
        <v>436.74099999999999</v>
      </c>
      <c r="L3186" s="8">
        <v>449.80500000000001</v>
      </c>
      <c r="M3186" s="8">
        <v>366.89100000000002</v>
      </c>
      <c r="N3186" s="8">
        <v>280.33</v>
      </c>
      <c r="O3186" s="8">
        <v>314.03399999999999</v>
      </c>
      <c r="P3186" s="8">
        <v>335.18700000000001</v>
      </c>
      <c r="Q3186" s="8">
        <v>365.14499999999998</v>
      </c>
      <c r="R3186" s="8">
        <v>187.30699999999999</v>
      </c>
      <c r="S3186" s="8">
        <v>328.30599999999998</v>
      </c>
      <c r="T3186" s="8">
        <v>314.29199999999997</v>
      </c>
      <c r="U3186" s="8">
        <v>265.01499999999999</v>
      </c>
      <c r="V3186" s="8">
        <v>182.03200000000001</v>
      </c>
      <c r="W3186" s="8">
        <v>112.98099999999999</v>
      </c>
      <c r="X3186" s="8">
        <v>67.004000000000005</v>
      </c>
      <c r="Y3186" s="8">
        <v>33.273000000000003</v>
      </c>
      <c r="Z3186" s="8">
        <v>11.16</v>
      </c>
      <c r="AA3186" s="8">
        <v>2.2410000000000001</v>
      </c>
      <c r="AB3186" s="8">
        <v>0.224</v>
      </c>
      <c r="AC3186" s="8">
        <v>8.9999999999999993E-3</v>
      </c>
    </row>
    <row r="3187" spans="1:29" ht="11.65" x14ac:dyDescent="0.35">
      <c r="A3187" s="12">
        <v>3170</v>
      </c>
      <c r="B3187" s="10" t="s">
        <v>1015</v>
      </c>
      <c r="C3187" s="18" t="s">
        <v>1236</v>
      </c>
      <c r="D3187" s="9"/>
      <c r="E3187" s="9">
        <v>203</v>
      </c>
      <c r="F3187" s="10" t="s">
        <v>1066</v>
      </c>
      <c r="G3187" s="9">
        <v>923</v>
      </c>
      <c r="H3187" s="9">
        <v>1970</v>
      </c>
      <c r="I3187" s="8">
        <v>350.66399999999999</v>
      </c>
      <c r="J3187" s="8">
        <v>348.74700000000001</v>
      </c>
      <c r="K3187" s="8">
        <v>368.25299999999999</v>
      </c>
      <c r="L3187" s="8">
        <v>433.74299999999999</v>
      </c>
      <c r="M3187" s="8">
        <v>444.40899999999999</v>
      </c>
      <c r="N3187" s="8">
        <v>359.88200000000001</v>
      </c>
      <c r="O3187" s="8">
        <v>268.84300000000002</v>
      </c>
      <c r="P3187" s="8">
        <v>299.57600000000002</v>
      </c>
      <c r="Q3187" s="8">
        <v>318.089</v>
      </c>
      <c r="R3187" s="8">
        <v>344.62200000000001</v>
      </c>
      <c r="S3187" s="8">
        <v>172.41900000000001</v>
      </c>
      <c r="T3187" s="8">
        <v>301.65699999999998</v>
      </c>
      <c r="U3187" s="8">
        <v>276.41300000000001</v>
      </c>
      <c r="V3187" s="8">
        <v>215.57599999999999</v>
      </c>
      <c r="W3187" s="8">
        <v>131.23400000000001</v>
      </c>
      <c r="X3187" s="8">
        <v>69.62</v>
      </c>
      <c r="Y3187" s="8">
        <v>32.654000000000003</v>
      </c>
      <c r="Z3187" s="8">
        <v>11.673999999999999</v>
      </c>
      <c r="AA3187" s="8">
        <v>2.4620000000000002</v>
      </c>
      <c r="AB3187" s="8">
        <v>0.26900000000000002</v>
      </c>
      <c r="AC3187" s="8">
        <v>1.4E-2</v>
      </c>
    </row>
    <row r="3188" spans="1:29" ht="11.65" x14ac:dyDescent="0.35">
      <c r="A3188" s="12">
        <v>3171</v>
      </c>
      <c r="B3188" s="10" t="s">
        <v>1015</v>
      </c>
      <c r="C3188" s="18" t="s">
        <v>1236</v>
      </c>
      <c r="D3188" s="9"/>
      <c r="E3188" s="9">
        <v>203</v>
      </c>
      <c r="F3188" s="10" t="s">
        <v>1066</v>
      </c>
      <c r="G3188" s="9">
        <v>923</v>
      </c>
      <c r="H3188" s="9">
        <v>1975</v>
      </c>
      <c r="I3188" s="8">
        <v>433.82799999999997</v>
      </c>
      <c r="J3188" s="8">
        <v>349.66</v>
      </c>
      <c r="K3188" s="8">
        <v>348.09</v>
      </c>
      <c r="L3188" s="8">
        <v>367.24200000000002</v>
      </c>
      <c r="M3188" s="8">
        <v>431.39299999999997</v>
      </c>
      <c r="N3188" s="8">
        <v>441.93</v>
      </c>
      <c r="O3188" s="8">
        <v>357.673</v>
      </c>
      <c r="P3188" s="8">
        <v>266.459</v>
      </c>
      <c r="Q3188" s="8">
        <v>294.96199999999999</v>
      </c>
      <c r="R3188" s="8">
        <v>309.87</v>
      </c>
      <c r="S3188" s="8">
        <v>329.6</v>
      </c>
      <c r="T3188" s="8">
        <v>160.648</v>
      </c>
      <c r="U3188" s="8">
        <v>268.73399999999998</v>
      </c>
      <c r="V3188" s="8">
        <v>227.74799999999999</v>
      </c>
      <c r="W3188" s="8">
        <v>157.642</v>
      </c>
      <c r="X3188" s="8">
        <v>81.346999999999994</v>
      </c>
      <c r="Y3188" s="8">
        <v>34.085000000000001</v>
      </c>
      <c r="Z3188" s="8">
        <v>11.170999999999999</v>
      </c>
      <c r="AA3188" s="8">
        <v>2.4790000000000001</v>
      </c>
      <c r="AB3188" s="8">
        <v>0.28899999999999998</v>
      </c>
      <c r="AC3188" s="8">
        <v>1.7000000000000001E-2</v>
      </c>
    </row>
    <row r="3189" spans="1:29" ht="11.65" x14ac:dyDescent="0.35">
      <c r="A3189" s="12">
        <v>3172</v>
      </c>
      <c r="B3189" s="10" t="s">
        <v>1015</v>
      </c>
      <c r="C3189" s="18" t="s">
        <v>1236</v>
      </c>
      <c r="D3189" s="9"/>
      <c r="E3189" s="9">
        <v>203</v>
      </c>
      <c r="F3189" s="10" t="s">
        <v>1066</v>
      </c>
      <c r="G3189" s="9">
        <v>923</v>
      </c>
      <c r="H3189" s="9">
        <v>1980</v>
      </c>
      <c r="I3189" s="8">
        <v>459.17899999999997</v>
      </c>
      <c r="J3189" s="8">
        <v>432.74200000000002</v>
      </c>
      <c r="K3189" s="8">
        <v>349.08</v>
      </c>
      <c r="L3189" s="8">
        <v>347.38299999999998</v>
      </c>
      <c r="M3189" s="8">
        <v>365.82100000000003</v>
      </c>
      <c r="N3189" s="8">
        <v>429.40499999999997</v>
      </c>
      <c r="O3189" s="8">
        <v>439.41699999999997</v>
      </c>
      <c r="P3189" s="8">
        <v>354.55799999999999</v>
      </c>
      <c r="Q3189" s="8">
        <v>262.55</v>
      </c>
      <c r="R3189" s="8">
        <v>287.42399999999998</v>
      </c>
      <c r="S3189" s="8">
        <v>296.33100000000002</v>
      </c>
      <c r="T3189" s="8">
        <v>305.89699999999999</v>
      </c>
      <c r="U3189" s="8">
        <v>143.065</v>
      </c>
      <c r="V3189" s="8">
        <v>223.518</v>
      </c>
      <c r="W3189" s="8">
        <v>169.02500000000001</v>
      </c>
      <c r="X3189" s="8">
        <v>98.62</v>
      </c>
      <c r="Y3189" s="8">
        <v>39.527000000000001</v>
      </c>
      <c r="Z3189" s="8">
        <v>11.667</v>
      </c>
      <c r="AA3189" s="8">
        <v>2.3380000000000001</v>
      </c>
      <c r="AB3189" s="8">
        <v>0.27800000000000002</v>
      </c>
      <c r="AC3189" s="8">
        <v>1.9E-2</v>
      </c>
    </row>
    <row r="3190" spans="1:29" ht="11.65" x14ac:dyDescent="0.35">
      <c r="A3190" s="12">
        <v>3173</v>
      </c>
      <c r="B3190" s="10" t="s">
        <v>1015</v>
      </c>
      <c r="C3190" s="18" t="s">
        <v>1236</v>
      </c>
      <c r="D3190" s="9"/>
      <c r="E3190" s="9">
        <v>203</v>
      </c>
      <c r="F3190" s="10" t="s">
        <v>1066</v>
      </c>
      <c r="G3190" s="9">
        <v>923</v>
      </c>
      <c r="H3190" s="9">
        <v>1985</v>
      </c>
      <c r="I3190" s="8">
        <v>355.29599999999999</v>
      </c>
      <c r="J3190" s="8">
        <v>457.46899999999999</v>
      </c>
      <c r="K3190" s="8">
        <v>431.83699999999999</v>
      </c>
      <c r="L3190" s="8">
        <v>348.10300000000001</v>
      </c>
      <c r="M3190" s="8">
        <v>343.48099999999999</v>
      </c>
      <c r="N3190" s="8">
        <v>357.87</v>
      </c>
      <c r="O3190" s="8">
        <v>418.36</v>
      </c>
      <c r="P3190" s="8">
        <v>427.82100000000003</v>
      </c>
      <c r="Q3190" s="8">
        <v>345.45699999999999</v>
      </c>
      <c r="R3190" s="8">
        <v>254.797</v>
      </c>
      <c r="S3190" s="8">
        <v>274.392</v>
      </c>
      <c r="T3190" s="8">
        <v>274.428</v>
      </c>
      <c r="U3190" s="8">
        <v>269.88900000000001</v>
      </c>
      <c r="V3190" s="8">
        <v>118.27200000000001</v>
      </c>
      <c r="W3190" s="8">
        <v>166.53399999999999</v>
      </c>
      <c r="X3190" s="8">
        <v>106.065</v>
      </c>
      <c r="Y3190" s="8">
        <v>47.518999999999998</v>
      </c>
      <c r="Z3190" s="8">
        <v>13.3</v>
      </c>
      <c r="AA3190" s="8">
        <v>2.4569999999999999</v>
      </c>
      <c r="AB3190" s="8">
        <v>0.26200000000000001</v>
      </c>
      <c r="AC3190" s="8">
        <v>1.7999999999999999E-2</v>
      </c>
    </row>
    <row r="3191" spans="1:29" ht="11.65" x14ac:dyDescent="0.35">
      <c r="A3191" s="12">
        <v>3174</v>
      </c>
      <c r="B3191" s="10" t="s">
        <v>1015</v>
      </c>
      <c r="C3191" s="18" t="s">
        <v>1236</v>
      </c>
      <c r="D3191" s="9"/>
      <c r="E3191" s="9">
        <v>203</v>
      </c>
      <c r="F3191" s="10" t="s">
        <v>1066</v>
      </c>
      <c r="G3191" s="9">
        <v>923</v>
      </c>
      <c r="H3191" s="9">
        <v>1990</v>
      </c>
      <c r="I3191" s="8">
        <v>332.34</v>
      </c>
      <c r="J3191" s="8">
        <v>353.89600000000002</v>
      </c>
      <c r="K3191" s="8">
        <v>456.36</v>
      </c>
      <c r="L3191" s="8">
        <v>431.01299999999998</v>
      </c>
      <c r="M3191" s="8">
        <v>346.71199999999999</v>
      </c>
      <c r="N3191" s="8">
        <v>341.99900000000002</v>
      </c>
      <c r="O3191" s="8">
        <v>355.65600000000001</v>
      </c>
      <c r="P3191" s="8">
        <v>413.17599999999999</v>
      </c>
      <c r="Q3191" s="8">
        <v>419.10700000000003</v>
      </c>
      <c r="R3191" s="8">
        <v>335.786</v>
      </c>
      <c r="S3191" s="8">
        <v>244.00399999999999</v>
      </c>
      <c r="T3191" s="8">
        <v>253.82499999999999</v>
      </c>
      <c r="U3191" s="8">
        <v>241.405</v>
      </c>
      <c r="V3191" s="8">
        <v>222.57</v>
      </c>
      <c r="W3191" s="8">
        <v>89.534999999999997</v>
      </c>
      <c r="X3191" s="8">
        <v>108.125</v>
      </c>
      <c r="Y3191" s="8">
        <v>54.180999999999997</v>
      </c>
      <c r="Z3191" s="8">
        <v>16.823</v>
      </c>
      <c r="AA3191" s="8">
        <v>3.004</v>
      </c>
      <c r="AB3191" s="8">
        <v>0.30199999999999999</v>
      </c>
      <c r="AC3191" s="8">
        <v>1.7999999999999999E-2</v>
      </c>
    </row>
    <row r="3192" spans="1:29" ht="11.65" x14ac:dyDescent="0.35">
      <c r="A3192" s="12">
        <v>3175</v>
      </c>
      <c r="B3192" s="10" t="s">
        <v>1015</v>
      </c>
      <c r="C3192" s="18" t="s">
        <v>1236</v>
      </c>
      <c r="D3192" s="9"/>
      <c r="E3192" s="9">
        <v>203</v>
      </c>
      <c r="F3192" s="10" t="s">
        <v>1066</v>
      </c>
      <c r="G3192" s="9">
        <v>923</v>
      </c>
      <c r="H3192" s="9">
        <v>1995</v>
      </c>
      <c r="I3192" s="8">
        <v>304.82299999999998</v>
      </c>
      <c r="J3192" s="8">
        <v>332.35700000000003</v>
      </c>
      <c r="K3192" s="8">
        <v>353.78399999999999</v>
      </c>
      <c r="L3192" s="8">
        <v>456.16300000000001</v>
      </c>
      <c r="M3192" s="8">
        <v>430.86</v>
      </c>
      <c r="N3192" s="8">
        <v>347.37200000000001</v>
      </c>
      <c r="O3192" s="8">
        <v>341.99099999999999</v>
      </c>
      <c r="P3192" s="8">
        <v>353.96800000000002</v>
      </c>
      <c r="Q3192" s="8">
        <v>407.88099999999997</v>
      </c>
      <c r="R3192" s="8">
        <v>408.76499999999999</v>
      </c>
      <c r="S3192" s="8">
        <v>321.74099999999999</v>
      </c>
      <c r="T3192" s="8">
        <v>227.642</v>
      </c>
      <c r="U3192" s="8">
        <v>227.215</v>
      </c>
      <c r="V3192" s="8">
        <v>203.279</v>
      </c>
      <c r="W3192" s="8">
        <v>170.834</v>
      </c>
      <c r="X3192" s="8">
        <v>60.418999999999997</v>
      </c>
      <c r="Y3192" s="8">
        <v>58.765000000000001</v>
      </c>
      <c r="Z3192" s="8">
        <v>21.119</v>
      </c>
      <c r="AA3192" s="8">
        <v>4.0049999999999999</v>
      </c>
      <c r="AB3192" s="8">
        <v>0.38700000000000001</v>
      </c>
      <c r="AC3192" s="8">
        <v>0.02</v>
      </c>
    </row>
    <row r="3193" spans="1:29" ht="11.65" x14ac:dyDescent="0.35">
      <c r="A3193" s="12">
        <v>3176</v>
      </c>
      <c r="B3193" s="10" t="s">
        <v>1015</v>
      </c>
      <c r="C3193" s="18" t="s">
        <v>1236</v>
      </c>
      <c r="D3193" s="9"/>
      <c r="E3193" s="9">
        <v>203</v>
      </c>
      <c r="F3193" s="10" t="s">
        <v>1066</v>
      </c>
      <c r="G3193" s="9">
        <v>923</v>
      </c>
      <c r="H3193" s="9">
        <v>2000</v>
      </c>
      <c r="I3193" s="8">
        <v>229.89</v>
      </c>
      <c r="J3193" s="8">
        <v>304.98700000000002</v>
      </c>
      <c r="K3193" s="8">
        <v>332.58600000000001</v>
      </c>
      <c r="L3193" s="8">
        <v>354.596</v>
      </c>
      <c r="M3193" s="8">
        <v>457.66500000000002</v>
      </c>
      <c r="N3193" s="8">
        <v>433.17200000000003</v>
      </c>
      <c r="O3193" s="8">
        <v>349.26600000000002</v>
      </c>
      <c r="P3193" s="8">
        <v>342.14499999999998</v>
      </c>
      <c r="Q3193" s="8">
        <v>351.233</v>
      </c>
      <c r="R3193" s="8">
        <v>399.97699999999998</v>
      </c>
      <c r="S3193" s="8">
        <v>394.15699999999998</v>
      </c>
      <c r="T3193" s="8">
        <v>303.03699999999998</v>
      </c>
      <c r="U3193" s="8">
        <v>207.03200000000001</v>
      </c>
      <c r="V3193" s="8">
        <v>196.13399999999999</v>
      </c>
      <c r="W3193" s="8">
        <v>162.107</v>
      </c>
      <c r="X3193" s="8">
        <v>120.214</v>
      </c>
      <c r="Y3193" s="8">
        <v>35.375</v>
      </c>
      <c r="Z3193" s="8">
        <v>25.484999999999999</v>
      </c>
      <c r="AA3193" s="8">
        <v>5.8289999999999997</v>
      </c>
      <c r="AB3193" s="8">
        <v>0.60099999999999998</v>
      </c>
      <c r="AC3193" s="8">
        <v>3.1E-2</v>
      </c>
    </row>
    <row r="3194" spans="1:29" ht="11.65" x14ac:dyDescent="0.35">
      <c r="A3194" s="12">
        <v>3177</v>
      </c>
      <c r="B3194" s="10" t="s">
        <v>1015</v>
      </c>
      <c r="C3194" s="18" t="s">
        <v>1236</v>
      </c>
      <c r="D3194" s="9"/>
      <c r="E3194" s="9">
        <v>203</v>
      </c>
      <c r="F3194" s="10" t="s">
        <v>1066</v>
      </c>
      <c r="G3194" s="9">
        <v>923</v>
      </c>
      <c r="H3194" s="9">
        <v>2005</v>
      </c>
      <c r="I3194" s="8">
        <v>240.52600000000001</v>
      </c>
      <c r="J3194" s="8">
        <v>230.49</v>
      </c>
      <c r="K3194" s="8">
        <v>305.072</v>
      </c>
      <c r="L3194" s="8">
        <v>333.584</v>
      </c>
      <c r="M3194" s="8">
        <v>356.71600000000001</v>
      </c>
      <c r="N3194" s="8">
        <v>460</v>
      </c>
      <c r="O3194" s="8">
        <v>434.84899999999999</v>
      </c>
      <c r="P3194" s="8">
        <v>349.68799999999999</v>
      </c>
      <c r="Q3194" s="8">
        <v>340.31299999999999</v>
      </c>
      <c r="R3194" s="8">
        <v>345.75400000000002</v>
      </c>
      <c r="S3194" s="8">
        <v>387.52499999999998</v>
      </c>
      <c r="T3194" s="8">
        <v>373.62700000000001</v>
      </c>
      <c r="U3194" s="8">
        <v>278.46100000000001</v>
      </c>
      <c r="V3194" s="8">
        <v>182.06700000000001</v>
      </c>
      <c r="W3194" s="8">
        <v>160.92099999999999</v>
      </c>
      <c r="X3194" s="8">
        <v>119.29600000000001</v>
      </c>
      <c r="Y3194" s="8">
        <v>73.506</v>
      </c>
      <c r="Z3194" s="8">
        <v>16.082000000000001</v>
      </c>
      <c r="AA3194" s="8">
        <v>7.1669999999999998</v>
      </c>
      <c r="AB3194" s="8">
        <v>0.86799999999999999</v>
      </c>
      <c r="AC3194" s="8">
        <v>4.5999999999999999E-2</v>
      </c>
    </row>
    <row r="3195" spans="1:29" ht="11.65" x14ac:dyDescent="0.35">
      <c r="A3195" s="12">
        <v>3178</v>
      </c>
      <c r="B3195" s="10" t="s">
        <v>1015</v>
      </c>
      <c r="C3195" s="18" t="s">
        <v>1236</v>
      </c>
      <c r="D3195" s="9"/>
      <c r="E3195" s="9">
        <v>203</v>
      </c>
      <c r="F3195" s="10" t="s">
        <v>1066</v>
      </c>
      <c r="G3195" s="9">
        <v>923</v>
      </c>
      <c r="H3195" s="9">
        <v>2010</v>
      </c>
      <c r="I3195" s="8">
        <v>292.02999999999997</v>
      </c>
      <c r="J3195" s="8">
        <v>246.172</v>
      </c>
      <c r="K3195" s="8">
        <v>232.20400000000001</v>
      </c>
      <c r="L3195" s="8">
        <v>311.072</v>
      </c>
      <c r="M3195" s="8">
        <v>356.28899999999999</v>
      </c>
      <c r="N3195" s="8">
        <v>384.59</v>
      </c>
      <c r="O3195" s="8">
        <v>475.34199999999998</v>
      </c>
      <c r="P3195" s="8">
        <v>447.86</v>
      </c>
      <c r="Q3195" s="8">
        <v>361.64100000000002</v>
      </c>
      <c r="R3195" s="8">
        <v>346.07499999999999</v>
      </c>
      <c r="S3195" s="8">
        <v>344.17500000000001</v>
      </c>
      <c r="T3195" s="8">
        <v>372.73200000000003</v>
      </c>
      <c r="U3195" s="8">
        <v>347.37799999999999</v>
      </c>
      <c r="V3195" s="8">
        <v>249.72399999999999</v>
      </c>
      <c r="W3195" s="8">
        <v>156.70699999999999</v>
      </c>
      <c r="X3195" s="8">
        <v>126.04900000000001</v>
      </c>
      <c r="Y3195" s="8">
        <v>78.986000000000004</v>
      </c>
      <c r="Z3195" s="8">
        <v>36.156999999999996</v>
      </c>
      <c r="AA3195" s="8">
        <v>5.048</v>
      </c>
      <c r="AB3195" s="8">
        <v>1.2150000000000001</v>
      </c>
      <c r="AC3195" s="8">
        <v>7.0000000000000007E-2</v>
      </c>
    </row>
    <row r="3196" spans="1:29" ht="11.65" x14ac:dyDescent="0.35">
      <c r="A3196" s="12">
        <v>3179</v>
      </c>
      <c r="B3196" s="10" t="s">
        <v>1015</v>
      </c>
      <c r="C3196" s="18" t="s">
        <v>1236</v>
      </c>
      <c r="D3196" s="9"/>
      <c r="E3196" s="9">
        <v>203</v>
      </c>
      <c r="F3196" s="10" t="s">
        <v>1066</v>
      </c>
      <c r="G3196" s="9">
        <v>923</v>
      </c>
      <c r="H3196" s="9">
        <v>2015</v>
      </c>
      <c r="I3196" s="8">
        <v>282.75099999999998</v>
      </c>
      <c r="J3196" s="8">
        <v>293.161</v>
      </c>
      <c r="K3196" s="8">
        <v>246.745</v>
      </c>
      <c r="L3196" s="8">
        <v>233.80199999999999</v>
      </c>
      <c r="M3196" s="8">
        <v>314.423</v>
      </c>
      <c r="N3196" s="8">
        <v>360.48200000000003</v>
      </c>
      <c r="O3196" s="8">
        <v>387.74299999999999</v>
      </c>
      <c r="P3196" s="8">
        <v>476.255</v>
      </c>
      <c r="Q3196" s="8">
        <v>446.601</v>
      </c>
      <c r="R3196" s="8">
        <v>358.27199999999999</v>
      </c>
      <c r="S3196" s="8">
        <v>339.10700000000003</v>
      </c>
      <c r="T3196" s="8">
        <v>331.23399999999998</v>
      </c>
      <c r="U3196" s="8">
        <v>348.78</v>
      </c>
      <c r="V3196" s="8">
        <v>312.26100000000002</v>
      </c>
      <c r="W3196" s="8">
        <v>213.39400000000001</v>
      </c>
      <c r="X3196" s="8">
        <v>123.584</v>
      </c>
      <c r="Y3196" s="8">
        <v>85.938999999999993</v>
      </c>
      <c r="Z3196" s="8">
        <v>41.143000000000001</v>
      </c>
      <c r="AA3196" s="8">
        <v>12.24</v>
      </c>
      <c r="AB3196" s="8">
        <v>0.95399999999999996</v>
      </c>
      <c r="AC3196" s="8">
        <v>0.109</v>
      </c>
    </row>
    <row r="3197" spans="1:29" ht="11.65" x14ac:dyDescent="0.35">
      <c r="A3197" s="12">
        <v>3180</v>
      </c>
      <c r="B3197" s="10" t="s">
        <v>1015</v>
      </c>
      <c r="C3197" s="18" t="s">
        <v>1236</v>
      </c>
      <c r="D3197" s="9"/>
      <c r="E3197" s="9">
        <v>203</v>
      </c>
      <c r="F3197" s="10" t="s">
        <v>1066</v>
      </c>
      <c r="G3197" s="9">
        <v>923</v>
      </c>
      <c r="H3197" s="9">
        <v>2020</v>
      </c>
      <c r="I3197" s="8">
        <v>287.15600000000001</v>
      </c>
      <c r="J3197" s="8">
        <v>285.02999999999997</v>
      </c>
      <c r="K3197" s="8">
        <v>294.35399999999998</v>
      </c>
      <c r="L3197" s="8">
        <v>249.95599999999999</v>
      </c>
      <c r="M3197" s="8">
        <v>241.19200000000001</v>
      </c>
      <c r="N3197" s="8">
        <v>323.51</v>
      </c>
      <c r="O3197" s="8">
        <v>367.89</v>
      </c>
      <c r="P3197" s="8">
        <v>392.27</v>
      </c>
      <c r="Q3197" s="8">
        <v>477.37</v>
      </c>
      <c r="R3197" s="8">
        <v>444.36900000000003</v>
      </c>
      <c r="S3197" s="8">
        <v>353.226</v>
      </c>
      <c r="T3197" s="8">
        <v>329.22199999999998</v>
      </c>
      <c r="U3197" s="8">
        <v>313.11099999999999</v>
      </c>
      <c r="V3197" s="8">
        <v>317.10500000000002</v>
      </c>
      <c r="W3197" s="8">
        <v>270.74200000000002</v>
      </c>
      <c r="X3197" s="8">
        <v>172.59100000000001</v>
      </c>
      <c r="Y3197" s="8">
        <v>87.962000000000003</v>
      </c>
      <c r="Z3197" s="8">
        <v>47.75</v>
      </c>
      <c r="AA3197" s="8">
        <v>15.08</v>
      </c>
      <c r="AB3197" s="8">
        <v>2.5579999999999998</v>
      </c>
      <c r="AC3197" s="8">
        <v>7.8E-2</v>
      </c>
    </row>
    <row r="3198" spans="1:29" ht="11.65" x14ac:dyDescent="0.35">
      <c r="A3198" s="12">
        <v>3181</v>
      </c>
      <c r="B3198" s="10" t="s">
        <v>1015</v>
      </c>
      <c r="C3198" s="18" t="s">
        <v>1237</v>
      </c>
      <c r="D3198" s="9"/>
      <c r="E3198" s="9">
        <v>348</v>
      </c>
      <c r="F3198" s="10" t="s">
        <v>1066</v>
      </c>
      <c r="G3198" s="9">
        <v>923</v>
      </c>
      <c r="H3198" s="9">
        <v>1950</v>
      </c>
      <c r="I3198" s="8">
        <v>421.14299999999997</v>
      </c>
      <c r="J3198" s="8">
        <v>390.59300000000002</v>
      </c>
      <c r="K3198" s="8">
        <v>370.26499999999999</v>
      </c>
      <c r="L3198" s="8">
        <v>380.93299999999999</v>
      </c>
      <c r="M3198" s="8">
        <v>386.71600000000001</v>
      </c>
      <c r="N3198" s="8">
        <v>377.04599999999999</v>
      </c>
      <c r="O3198" s="8">
        <v>232.67099999999999</v>
      </c>
      <c r="P3198" s="8">
        <v>343.53899999999999</v>
      </c>
      <c r="Q3198" s="8">
        <v>335.91</v>
      </c>
      <c r="R3198" s="8">
        <v>307.48200000000003</v>
      </c>
      <c r="S3198" s="8">
        <v>264.80700000000002</v>
      </c>
      <c r="T3198" s="8">
        <v>198.08799999999999</v>
      </c>
      <c r="U3198" s="8">
        <v>165.19</v>
      </c>
      <c r="V3198" s="8">
        <v>135.786</v>
      </c>
      <c r="W3198" s="8">
        <v>93.725999999999999</v>
      </c>
      <c r="X3198" s="8">
        <v>54.628999999999998</v>
      </c>
      <c r="Y3198" s="8">
        <v>26.283000000000001</v>
      </c>
      <c r="Z3198" s="8">
        <v>8.0340000000000007</v>
      </c>
      <c r="AA3198" s="8">
        <v>1.41</v>
      </c>
      <c r="AB3198" s="8">
        <v>0.15</v>
      </c>
      <c r="AC3198" s="8">
        <v>5.0000000000000001E-3</v>
      </c>
    </row>
    <row r="3199" spans="1:29" ht="11.65" x14ac:dyDescent="0.35">
      <c r="A3199" s="12">
        <v>3182</v>
      </c>
      <c r="B3199" s="10" t="s">
        <v>1015</v>
      </c>
      <c r="C3199" s="18" t="s">
        <v>1237</v>
      </c>
      <c r="D3199" s="9"/>
      <c r="E3199" s="9">
        <v>348</v>
      </c>
      <c r="F3199" s="10" t="s">
        <v>1066</v>
      </c>
      <c r="G3199" s="9">
        <v>923</v>
      </c>
      <c r="H3199" s="9">
        <v>1955</v>
      </c>
      <c r="I3199" s="8">
        <v>482.041</v>
      </c>
      <c r="J3199" s="8">
        <v>409.41399999999999</v>
      </c>
      <c r="K3199" s="8">
        <v>396.036</v>
      </c>
      <c r="L3199" s="8">
        <v>362.53399999999999</v>
      </c>
      <c r="M3199" s="8">
        <v>377.72500000000002</v>
      </c>
      <c r="N3199" s="8">
        <v>384.13499999999999</v>
      </c>
      <c r="O3199" s="8">
        <v>389.733</v>
      </c>
      <c r="P3199" s="8">
        <v>208.8</v>
      </c>
      <c r="Q3199" s="8">
        <v>351.596</v>
      </c>
      <c r="R3199" s="8">
        <v>325.36399999999998</v>
      </c>
      <c r="S3199" s="8">
        <v>299.56900000000002</v>
      </c>
      <c r="T3199" s="8">
        <v>247.16399999999999</v>
      </c>
      <c r="U3199" s="8">
        <v>174.91</v>
      </c>
      <c r="V3199" s="8">
        <v>141.53100000000001</v>
      </c>
      <c r="W3199" s="8">
        <v>104.673</v>
      </c>
      <c r="X3199" s="8">
        <v>61.433</v>
      </c>
      <c r="Y3199" s="8">
        <v>26.571999999999999</v>
      </c>
      <c r="Z3199" s="8">
        <v>8.6940000000000008</v>
      </c>
      <c r="AA3199" s="8">
        <v>1.484</v>
      </c>
      <c r="AB3199" s="8">
        <v>0.128</v>
      </c>
      <c r="AC3199" s="8">
        <v>6.0000000000000001E-3</v>
      </c>
    </row>
    <row r="3200" spans="1:29" ht="11.65" x14ac:dyDescent="0.35">
      <c r="A3200" s="12">
        <v>3183</v>
      </c>
      <c r="B3200" s="10" t="s">
        <v>1015</v>
      </c>
      <c r="C3200" s="18" t="s">
        <v>1237</v>
      </c>
      <c r="D3200" s="9"/>
      <c r="E3200" s="9">
        <v>348</v>
      </c>
      <c r="F3200" s="10" t="s">
        <v>1066</v>
      </c>
      <c r="G3200" s="9">
        <v>923</v>
      </c>
      <c r="H3200" s="9">
        <v>1960</v>
      </c>
      <c r="I3200" s="8">
        <v>418.59899999999999</v>
      </c>
      <c r="J3200" s="8">
        <v>474.16300000000001</v>
      </c>
      <c r="K3200" s="8">
        <v>400.31299999999999</v>
      </c>
      <c r="L3200" s="8">
        <v>380.49200000000002</v>
      </c>
      <c r="M3200" s="8">
        <v>324.94099999999997</v>
      </c>
      <c r="N3200" s="8">
        <v>351.80099999999999</v>
      </c>
      <c r="O3200" s="8">
        <v>365.28500000000003</v>
      </c>
      <c r="P3200" s="8">
        <v>379.40699999999998</v>
      </c>
      <c r="Q3200" s="8">
        <v>200.88</v>
      </c>
      <c r="R3200" s="8">
        <v>338.98</v>
      </c>
      <c r="S3200" s="8">
        <v>309.82100000000003</v>
      </c>
      <c r="T3200" s="8">
        <v>279.50799999999998</v>
      </c>
      <c r="U3200" s="8">
        <v>222.70500000000001</v>
      </c>
      <c r="V3200" s="8">
        <v>148.99</v>
      </c>
      <c r="W3200" s="8">
        <v>110.41</v>
      </c>
      <c r="X3200" s="8">
        <v>70.774000000000001</v>
      </c>
      <c r="Y3200" s="8">
        <v>33.396000000000001</v>
      </c>
      <c r="Z3200" s="8">
        <v>9.67</v>
      </c>
      <c r="AA3200" s="8">
        <v>1.9390000000000001</v>
      </c>
      <c r="AB3200" s="8">
        <v>0.17299999999999999</v>
      </c>
      <c r="AC3200" s="8">
        <v>8.0000000000000002E-3</v>
      </c>
    </row>
    <row r="3201" spans="1:29" ht="11.65" x14ac:dyDescent="0.35">
      <c r="A3201" s="12">
        <v>3184</v>
      </c>
      <c r="B3201" s="10" t="s">
        <v>1015</v>
      </c>
      <c r="C3201" s="18" t="s">
        <v>1237</v>
      </c>
      <c r="D3201" s="9"/>
      <c r="E3201" s="9">
        <v>348</v>
      </c>
      <c r="F3201" s="10" t="s">
        <v>1066</v>
      </c>
      <c r="G3201" s="9">
        <v>923</v>
      </c>
      <c r="H3201" s="9">
        <v>1965</v>
      </c>
      <c r="I3201" s="8">
        <v>326.423</v>
      </c>
      <c r="J3201" s="8">
        <v>417.447</v>
      </c>
      <c r="K3201" s="8">
        <v>476.17700000000002</v>
      </c>
      <c r="L3201" s="8">
        <v>398.58600000000001</v>
      </c>
      <c r="M3201" s="8">
        <v>380.23700000000002</v>
      </c>
      <c r="N3201" s="8">
        <v>325.072</v>
      </c>
      <c r="O3201" s="8">
        <v>350.65499999999997</v>
      </c>
      <c r="P3201" s="8">
        <v>361.654</v>
      </c>
      <c r="Q3201" s="8">
        <v>375.69799999999998</v>
      </c>
      <c r="R3201" s="8">
        <v>197.239</v>
      </c>
      <c r="S3201" s="8">
        <v>328.48700000000002</v>
      </c>
      <c r="T3201" s="8">
        <v>292.43</v>
      </c>
      <c r="U3201" s="8">
        <v>253.637</v>
      </c>
      <c r="V3201" s="8">
        <v>191.43199999999999</v>
      </c>
      <c r="W3201" s="8">
        <v>117.22</v>
      </c>
      <c r="X3201" s="8">
        <v>74.706999999999994</v>
      </c>
      <c r="Y3201" s="8">
        <v>37.816000000000003</v>
      </c>
      <c r="Z3201" s="8">
        <v>12.096</v>
      </c>
      <c r="AA3201" s="8">
        <v>2.0619999999999998</v>
      </c>
      <c r="AB3201" s="8">
        <v>0.21</v>
      </c>
      <c r="AC3201" s="8">
        <v>8.9999999999999993E-3</v>
      </c>
    </row>
    <row r="3202" spans="1:29" ht="11.65" x14ac:dyDescent="0.35">
      <c r="A3202" s="12">
        <v>3185</v>
      </c>
      <c r="B3202" s="10" t="s">
        <v>1015</v>
      </c>
      <c r="C3202" s="18" t="s">
        <v>1237</v>
      </c>
      <c r="D3202" s="9"/>
      <c r="E3202" s="9">
        <v>348</v>
      </c>
      <c r="F3202" s="10" t="s">
        <v>1066</v>
      </c>
      <c r="G3202" s="9">
        <v>923</v>
      </c>
      <c r="H3202" s="9">
        <v>1970</v>
      </c>
      <c r="I3202" s="8">
        <v>365.46800000000002</v>
      </c>
      <c r="J3202" s="8">
        <v>325.58699999999999</v>
      </c>
      <c r="K3202" s="8">
        <v>417.54399999999998</v>
      </c>
      <c r="L3202" s="8">
        <v>478.24099999999999</v>
      </c>
      <c r="M3202" s="8">
        <v>397.59199999999998</v>
      </c>
      <c r="N3202" s="8">
        <v>377.35500000000002</v>
      </c>
      <c r="O3202" s="8">
        <v>323.67099999999999</v>
      </c>
      <c r="P3202" s="8">
        <v>347.83</v>
      </c>
      <c r="Q3202" s="8">
        <v>356.19400000000002</v>
      </c>
      <c r="R3202" s="8">
        <v>367.86500000000001</v>
      </c>
      <c r="S3202" s="8">
        <v>190.952</v>
      </c>
      <c r="T3202" s="8">
        <v>311.13499999999999</v>
      </c>
      <c r="U3202" s="8">
        <v>265.435</v>
      </c>
      <c r="V3202" s="8">
        <v>216.03899999999999</v>
      </c>
      <c r="W3202" s="8">
        <v>148.63800000000001</v>
      </c>
      <c r="X3202" s="8">
        <v>78.578000000000003</v>
      </c>
      <c r="Y3202" s="8">
        <v>39.305999999999997</v>
      </c>
      <c r="Z3202" s="8">
        <v>13.974</v>
      </c>
      <c r="AA3202" s="8">
        <v>2.7559999999999998</v>
      </c>
      <c r="AB3202" s="8">
        <v>0.247</v>
      </c>
      <c r="AC3202" s="8">
        <v>1.2999999999999999E-2</v>
      </c>
    </row>
    <row r="3203" spans="1:29" ht="11.65" x14ac:dyDescent="0.35">
      <c r="A3203" s="12">
        <v>3186</v>
      </c>
      <c r="B3203" s="10" t="s">
        <v>1015</v>
      </c>
      <c r="C3203" s="18" t="s">
        <v>1237</v>
      </c>
      <c r="D3203" s="9"/>
      <c r="E3203" s="9">
        <v>348</v>
      </c>
      <c r="F3203" s="10" t="s">
        <v>1066</v>
      </c>
      <c r="G3203" s="9">
        <v>923</v>
      </c>
      <c r="H3203" s="9">
        <v>1975</v>
      </c>
      <c r="I3203" s="8">
        <v>399.92700000000002</v>
      </c>
      <c r="J3203" s="8">
        <v>365.85300000000001</v>
      </c>
      <c r="K3203" s="8">
        <v>326.06900000000002</v>
      </c>
      <c r="L3203" s="8">
        <v>413.73599999999999</v>
      </c>
      <c r="M3203" s="8">
        <v>468.04300000000001</v>
      </c>
      <c r="N3203" s="8">
        <v>388.51799999999997</v>
      </c>
      <c r="O3203" s="8">
        <v>370.00700000000001</v>
      </c>
      <c r="P3203" s="8">
        <v>317.87</v>
      </c>
      <c r="Q3203" s="8">
        <v>340.69</v>
      </c>
      <c r="R3203" s="8">
        <v>345.31599999999997</v>
      </c>
      <c r="S3203" s="8">
        <v>352.67599999999999</v>
      </c>
      <c r="T3203" s="8">
        <v>179.316</v>
      </c>
      <c r="U3203" s="8">
        <v>282.59500000000003</v>
      </c>
      <c r="V3203" s="8">
        <v>226.28100000000001</v>
      </c>
      <c r="W3203" s="8">
        <v>165.60400000000001</v>
      </c>
      <c r="X3203" s="8">
        <v>98.322000000000003</v>
      </c>
      <c r="Y3203" s="8">
        <v>41.493000000000002</v>
      </c>
      <c r="Z3203" s="8">
        <v>14.528</v>
      </c>
      <c r="AA3203" s="8">
        <v>3.2050000000000001</v>
      </c>
      <c r="AB3203" s="8">
        <v>0.34399999999999997</v>
      </c>
      <c r="AC3203" s="8">
        <v>1.6E-2</v>
      </c>
    </row>
    <row r="3204" spans="1:29" ht="11.65" x14ac:dyDescent="0.35">
      <c r="A3204" s="12">
        <v>3187</v>
      </c>
      <c r="B3204" s="10" t="s">
        <v>1015</v>
      </c>
      <c r="C3204" s="18" t="s">
        <v>1237</v>
      </c>
      <c r="D3204" s="9"/>
      <c r="E3204" s="9">
        <v>348</v>
      </c>
      <c r="F3204" s="10" t="s">
        <v>1066</v>
      </c>
      <c r="G3204" s="9">
        <v>923</v>
      </c>
      <c r="H3204" s="9">
        <v>1980</v>
      </c>
      <c r="I3204" s="8">
        <v>450.56099999999998</v>
      </c>
      <c r="J3204" s="8">
        <v>401.09</v>
      </c>
      <c r="K3204" s="8">
        <v>366.72500000000002</v>
      </c>
      <c r="L3204" s="8">
        <v>326.93599999999998</v>
      </c>
      <c r="M3204" s="8">
        <v>409.74</v>
      </c>
      <c r="N3204" s="8">
        <v>459.96600000000001</v>
      </c>
      <c r="O3204" s="8">
        <v>382.53100000000001</v>
      </c>
      <c r="P3204" s="8">
        <v>363.39800000000002</v>
      </c>
      <c r="Q3204" s="8">
        <v>310.49099999999999</v>
      </c>
      <c r="R3204" s="8">
        <v>329.64600000000002</v>
      </c>
      <c r="S3204" s="8">
        <v>328.01900000000001</v>
      </c>
      <c r="T3204" s="8">
        <v>327.81400000000002</v>
      </c>
      <c r="U3204" s="8">
        <v>161.16900000000001</v>
      </c>
      <c r="V3204" s="8">
        <v>239.423</v>
      </c>
      <c r="W3204" s="8">
        <v>173.584</v>
      </c>
      <c r="X3204" s="8">
        <v>107.41500000000001</v>
      </c>
      <c r="Y3204" s="8">
        <v>52.182000000000002</v>
      </c>
      <c r="Z3204" s="8">
        <v>15.202</v>
      </c>
      <c r="AA3204" s="8">
        <v>3.3860000000000001</v>
      </c>
      <c r="AB3204" s="8">
        <v>0.40799999999999997</v>
      </c>
      <c r="AC3204" s="8">
        <v>2.4E-2</v>
      </c>
    </row>
    <row r="3205" spans="1:29" ht="11.65" x14ac:dyDescent="0.35">
      <c r="A3205" s="12">
        <v>3188</v>
      </c>
      <c r="B3205" s="10" t="s">
        <v>1015</v>
      </c>
      <c r="C3205" s="18" t="s">
        <v>1237</v>
      </c>
      <c r="D3205" s="9"/>
      <c r="E3205" s="9">
        <v>348</v>
      </c>
      <c r="F3205" s="10" t="s">
        <v>1066</v>
      </c>
      <c r="G3205" s="9">
        <v>923</v>
      </c>
      <c r="H3205" s="9">
        <v>1985</v>
      </c>
      <c r="I3205" s="8">
        <v>327.52199999999999</v>
      </c>
      <c r="J3205" s="8">
        <v>446.89299999999997</v>
      </c>
      <c r="K3205" s="8">
        <v>398.92599999999999</v>
      </c>
      <c r="L3205" s="8">
        <v>358.49799999999999</v>
      </c>
      <c r="M3205" s="8">
        <v>316.08300000000003</v>
      </c>
      <c r="N3205" s="8">
        <v>397.07900000000001</v>
      </c>
      <c r="O3205" s="8">
        <v>445.88</v>
      </c>
      <c r="P3205" s="8">
        <v>371.05</v>
      </c>
      <c r="Q3205" s="8">
        <v>350.15300000000002</v>
      </c>
      <c r="R3205" s="8">
        <v>295.39699999999999</v>
      </c>
      <c r="S3205" s="8">
        <v>307.82499999999999</v>
      </c>
      <c r="T3205" s="8">
        <v>297.11599999999999</v>
      </c>
      <c r="U3205" s="8">
        <v>285.71899999999999</v>
      </c>
      <c r="V3205" s="8">
        <v>132.50899999999999</v>
      </c>
      <c r="W3205" s="8">
        <v>178.655</v>
      </c>
      <c r="X3205" s="8">
        <v>110.349</v>
      </c>
      <c r="Y3205" s="8">
        <v>52.45</v>
      </c>
      <c r="Z3205" s="8">
        <v>18.863</v>
      </c>
      <c r="AA3205" s="8">
        <v>3.5270000000000001</v>
      </c>
      <c r="AB3205" s="8">
        <v>0.436</v>
      </c>
      <c r="AC3205" s="8">
        <v>0.03</v>
      </c>
    </row>
    <row r="3206" spans="1:29" ht="11.65" x14ac:dyDescent="0.35">
      <c r="A3206" s="12">
        <v>3189</v>
      </c>
      <c r="B3206" s="10" t="s">
        <v>1015</v>
      </c>
      <c r="C3206" s="18" t="s">
        <v>1237</v>
      </c>
      <c r="D3206" s="9"/>
      <c r="E3206" s="9">
        <v>348</v>
      </c>
      <c r="F3206" s="10" t="s">
        <v>1066</v>
      </c>
      <c r="G3206" s="9">
        <v>923</v>
      </c>
      <c r="H3206" s="9">
        <v>1990</v>
      </c>
      <c r="I3206" s="8">
        <v>314.48200000000003</v>
      </c>
      <c r="J3206" s="8">
        <v>325.04199999999997</v>
      </c>
      <c r="K3206" s="8">
        <v>444.01499999999999</v>
      </c>
      <c r="L3206" s="8">
        <v>397.35500000000002</v>
      </c>
      <c r="M3206" s="8">
        <v>350.46899999999999</v>
      </c>
      <c r="N3206" s="8">
        <v>305.58300000000003</v>
      </c>
      <c r="O3206" s="8">
        <v>383.32799999999997</v>
      </c>
      <c r="P3206" s="8">
        <v>429.45699999999999</v>
      </c>
      <c r="Q3206" s="8">
        <v>356.024</v>
      </c>
      <c r="R3206" s="8">
        <v>332.03699999999998</v>
      </c>
      <c r="S3206" s="8">
        <v>274.42599999999999</v>
      </c>
      <c r="T3206" s="8">
        <v>278.08499999999998</v>
      </c>
      <c r="U3206" s="8">
        <v>257.14</v>
      </c>
      <c r="V3206" s="8">
        <v>234.352</v>
      </c>
      <c r="W3206" s="8">
        <v>100.566</v>
      </c>
      <c r="X3206" s="8">
        <v>117.854</v>
      </c>
      <c r="Y3206" s="8">
        <v>58.383000000000003</v>
      </c>
      <c r="Z3206" s="8">
        <v>20.047999999999998</v>
      </c>
      <c r="AA3206" s="8">
        <v>4.6109999999999998</v>
      </c>
      <c r="AB3206" s="8">
        <v>0.47899999999999998</v>
      </c>
      <c r="AC3206" s="8">
        <v>3.3000000000000002E-2</v>
      </c>
    </row>
    <row r="3207" spans="1:29" ht="11.65" x14ac:dyDescent="0.35">
      <c r="A3207" s="12">
        <v>3190</v>
      </c>
      <c r="B3207" s="10" t="s">
        <v>1015</v>
      </c>
      <c r="C3207" s="18" t="s">
        <v>1237</v>
      </c>
      <c r="D3207" s="9"/>
      <c r="E3207" s="9">
        <v>348</v>
      </c>
      <c r="F3207" s="10" t="s">
        <v>1066</v>
      </c>
      <c r="G3207" s="9">
        <v>923</v>
      </c>
      <c r="H3207" s="9">
        <v>1995</v>
      </c>
      <c r="I3207" s="8">
        <v>305.76</v>
      </c>
      <c r="J3207" s="8">
        <v>318.44400000000002</v>
      </c>
      <c r="K3207" s="8">
        <v>332.86500000000001</v>
      </c>
      <c r="L3207" s="8">
        <v>440.42599999999999</v>
      </c>
      <c r="M3207" s="8">
        <v>391.98599999999999</v>
      </c>
      <c r="N3207" s="8">
        <v>349.76299999999998</v>
      </c>
      <c r="O3207" s="8">
        <v>304.79700000000003</v>
      </c>
      <c r="P3207" s="8">
        <v>377.27199999999999</v>
      </c>
      <c r="Q3207" s="8">
        <v>417.06099999999998</v>
      </c>
      <c r="R3207" s="8">
        <v>341.26</v>
      </c>
      <c r="S3207" s="8">
        <v>311.74099999999999</v>
      </c>
      <c r="T3207" s="8">
        <v>251.42</v>
      </c>
      <c r="U3207" s="8">
        <v>245.09</v>
      </c>
      <c r="V3207" s="8">
        <v>212.595</v>
      </c>
      <c r="W3207" s="8">
        <v>178.90100000000001</v>
      </c>
      <c r="X3207" s="8">
        <v>69.001999999999995</v>
      </c>
      <c r="Y3207" s="8">
        <v>66.2</v>
      </c>
      <c r="Z3207" s="8">
        <v>23.547999999999998</v>
      </c>
      <c r="AA3207" s="8">
        <v>5.1689999999999996</v>
      </c>
      <c r="AB3207" s="8">
        <v>0.67200000000000004</v>
      </c>
      <c r="AC3207" s="8">
        <v>3.9E-2</v>
      </c>
    </row>
    <row r="3208" spans="1:29" ht="11.65" x14ac:dyDescent="0.35">
      <c r="A3208" s="12">
        <v>3191</v>
      </c>
      <c r="B3208" s="10" t="s">
        <v>1015</v>
      </c>
      <c r="C3208" s="18" t="s">
        <v>1237</v>
      </c>
      <c r="D3208" s="9"/>
      <c r="E3208" s="9">
        <v>348</v>
      </c>
      <c r="F3208" s="10" t="s">
        <v>1066</v>
      </c>
      <c r="G3208" s="9">
        <v>923</v>
      </c>
      <c r="H3208" s="9">
        <v>2000</v>
      </c>
      <c r="I3208" s="8">
        <v>253.97499999999999</v>
      </c>
      <c r="J3208" s="8">
        <v>304.67200000000003</v>
      </c>
      <c r="K3208" s="8">
        <v>321.72699999999998</v>
      </c>
      <c r="L3208" s="8">
        <v>340.50599999999997</v>
      </c>
      <c r="M3208" s="8">
        <v>436.404</v>
      </c>
      <c r="N3208" s="8">
        <v>386.02499999999998</v>
      </c>
      <c r="O3208" s="8">
        <v>347.767</v>
      </c>
      <c r="P3208" s="8">
        <v>302.041</v>
      </c>
      <c r="Q3208" s="8">
        <v>367.01900000000001</v>
      </c>
      <c r="R3208" s="8">
        <v>398.62099999999998</v>
      </c>
      <c r="S3208" s="8">
        <v>320.30700000000002</v>
      </c>
      <c r="T3208" s="8">
        <v>286.03399999999999</v>
      </c>
      <c r="U3208" s="8">
        <v>223.21</v>
      </c>
      <c r="V3208" s="8">
        <v>207.94399999999999</v>
      </c>
      <c r="W3208" s="8">
        <v>165.01300000000001</v>
      </c>
      <c r="X3208" s="8">
        <v>123.848</v>
      </c>
      <c r="Y3208" s="8">
        <v>41.68</v>
      </c>
      <c r="Z3208" s="8">
        <v>28.395</v>
      </c>
      <c r="AA3208" s="8">
        <v>6.4340000000000002</v>
      </c>
      <c r="AB3208" s="8">
        <v>0.79300000000000004</v>
      </c>
      <c r="AC3208" s="8">
        <v>5.6000000000000001E-2</v>
      </c>
    </row>
    <row r="3209" spans="1:29" ht="11.65" x14ac:dyDescent="0.35">
      <c r="A3209" s="12">
        <v>3192</v>
      </c>
      <c r="B3209" s="10" t="s">
        <v>1015</v>
      </c>
      <c r="C3209" s="18" t="s">
        <v>1237</v>
      </c>
      <c r="D3209" s="9"/>
      <c r="E3209" s="9">
        <v>348</v>
      </c>
      <c r="F3209" s="10" t="s">
        <v>1066</v>
      </c>
      <c r="G3209" s="9">
        <v>923</v>
      </c>
      <c r="H3209" s="9">
        <v>2005</v>
      </c>
      <c r="I3209" s="8">
        <v>244.386</v>
      </c>
      <c r="J3209" s="8">
        <v>253.381</v>
      </c>
      <c r="K3209" s="8">
        <v>304.30399999999997</v>
      </c>
      <c r="L3209" s="8">
        <v>321.91199999999998</v>
      </c>
      <c r="M3209" s="8">
        <v>342.67500000000001</v>
      </c>
      <c r="N3209" s="8">
        <v>437.39499999999998</v>
      </c>
      <c r="O3209" s="8">
        <v>385.89499999999998</v>
      </c>
      <c r="P3209" s="8">
        <v>346.92399999999998</v>
      </c>
      <c r="Q3209" s="8">
        <v>297.47399999999999</v>
      </c>
      <c r="R3209" s="8">
        <v>353.01400000000001</v>
      </c>
      <c r="S3209" s="8">
        <v>375.93900000000002</v>
      </c>
      <c r="T3209" s="8">
        <v>293.67099999999999</v>
      </c>
      <c r="U3209" s="8">
        <v>255.63200000000001</v>
      </c>
      <c r="V3209" s="8">
        <v>189.50399999999999</v>
      </c>
      <c r="W3209" s="8">
        <v>165.07300000000001</v>
      </c>
      <c r="X3209" s="8">
        <v>117.214</v>
      </c>
      <c r="Y3209" s="8">
        <v>72.802000000000007</v>
      </c>
      <c r="Z3209" s="8">
        <v>19.134</v>
      </c>
      <c r="AA3209" s="8">
        <v>8.5950000000000006</v>
      </c>
      <c r="AB3209" s="8">
        <v>1.135</v>
      </c>
      <c r="AC3209" s="8">
        <v>7.8E-2</v>
      </c>
    </row>
    <row r="3210" spans="1:29" ht="11.65" x14ac:dyDescent="0.35">
      <c r="A3210" s="12">
        <v>3193</v>
      </c>
      <c r="B3210" s="10" t="s">
        <v>1015</v>
      </c>
      <c r="C3210" s="18" t="s">
        <v>1237</v>
      </c>
      <c r="D3210" s="9"/>
      <c r="E3210" s="9">
        <v>348</v>
      </c>
      <c r="F3210" s="10" t="s">
        <v>1066</v>
      </c>
      <c r="G3210" s="9">
        <v>923</v>
      </c>
      <c r="H3210" s="9">
        <v>2010</v>
      </c>
      <c r="I3210" s="8">
        <v>247.34299999999999</v>
      </c>
      <c r="J3210" s="8">
        <v>248.30600000000001</v>
      </c>
      <c r="K3210" s="8">
        <v>262.089</v>
      </c>
      <c r="L3210" s="8">
        <v>320.09100000000001</v>
      </c>
      <c r="M3210" s="8">
        <v>310.27499999999998</v>
      </c>
      <c r="N3210" s="8">
        <v>324.50599999999997</v>
      </c>
      <c r="O3210" s="8">
        <v>413.15</v>
      </c>
      <c r="P3210" s="8">
        <v>397.786</v>
      </c>
      <c r="Q3210" s="8">
        <v>336.67399999999998</v>
      </c>
      <c r="R3210" s="8">
        <v>293.65300000000002</v>
      </c>
      <c r="S3210" s="8">
        <v>341.89299999999997</v>
      </c>
      <c r="T3210" s="8">
        <v>368.55</v>
      </c>
      <c r="U3210" s="8">
        <v>265.11099999999999</v>
      </c>
      <c r="V3210" s="8">
        <v>216.232</v>
      </c>
      <c r="W3210" s="8">
        <v>151.18799999999999</v>
      </c>
      <c r="X3210" s="8">
        <v>111.952</v>
      </c>
      <c r="Y3210" s="8">
        <v>59.173000000000002</v>
      </c>
      <c r="Z3210" s="8">
        <v>34.593000000000004</v>
      </c>
      <c r="AA3210" s="8">
        <v>6.1950000000000003</v>
      </c>
      <c r="AB3210" s="8">
        <v>1.593</v>
      </c>
      <c r="AC3210" s="8">
        <v>0.11799999999999999</v>
      </c>
    </row>
    <row r="3211" spans="1:29" ht="11.65" x14ac:dyDescent="0.35">
      <c r="A3211" s="12">
        <v>3194</v>
      </c>
      <c r="B3211" s="10" t="s">
        <v>1015</v>
      </c>
      <c r="C3211" s="18" t="s">
        <v>1237</v>
      </c>
      <c r="D3211" s="9"/>
      <c r="E3211" s="9">
        <v>348</v>
      </c>
      <c r="F3211" s="10" t="s">
        <v>1066</v>
      </c>
      <c r="G3211" s="9">
        <v>923</v>
      </c>
      <c r="H3211" s="9">
        <v>2015</v>
      </c>
      <c r="I3211" s="8">
        <v>229.10900000000001</v>
      </c>
      <c r="J3211" s="8">
        <v>247.55199999999999</v>
      </c>
      <c r="K3211" s="8">
        <v>248.447</v>
      </c>
      <c r="L3211" s="8">
        <v>263.32</v>
      </c>
      <c r="M3211" s="8">
        <v>322.08</v>
      </c>
      <c r="N3211" s="8">
        <v>311.94799999999998</v>
      </c>
      <c r="O3211" s="8">
        <v>325.24799999999999</v>
      </c>
      <c r="P3211" s="8">
        <v>412.07</v>
      </c>
      <c r="Q3211" s="8">
        <v>394.39800000000002</v>
      </c>
      <c r="R3211" s="8">
        <v>329.70600000000002</v>
      </c>
      <c r="S3211" s="8">
        <v>281.27100000000002</v>
      </c>
      <c r="T3211" s="8">
        <v>317.553</v>
      </c>
      <c r="U3211" s="8">
        <v>331.072</v>
      </c>
      <c r="V3211" s="8">
        <v>228.98599999999999</v>
      </c>
      <c r="W3211" s="8">
        <v>177.137</v>
      </c>
      <c r="X3211" s="8">
        <v>112.53400000000001</v>
      </c>
      <c r="Y3211" s="8">
        <v>71.459000000000003</v>
      </c>
      <c r="Z3211" s="8">
        <v>29.303999999999998</v>
      </c>
      <c r="AA3211" s="8">
        <v>12.047000000000001</v>
      </c>
      <c r="AB3211" s="8">
        <v>1.286</v>
      </c>
      <c r="AC3211" s="8">
        <v>0.189</v>
      </c>
    </row>
    <row r="3212" spans="1:29" ht="11.65" x14ac:dyDescent="0.35">
      <c r="A3212" s="12">
        <v>3195</v>
      </c>
      <c r="B3212" s="10" t="s">
        <v>1015</v>
      </c>
      <c r="C3212" s="18" t="s">
        <v>1237</v>
      </c>
      <c r="D3212" s="9"/>
      <c r="E3212" s="9">
        <v>348</v>
      </c>
      <c r="F3212" s="10" t="s">
        <v>1066</v>
      </c>
      <c r="G3212" s="9">
        <v>923</v>
      </c>
      <c r="H3212" s="9">
        <v>2020</v>
      </c>
      <c r="I3212" s="8">
        <v>237.05199999999999</v>
      </c>
      <c r="J3212" s="8">
        <v>229.364</v>
      </c>
      <c r="K3212" s="8">
        <v>247.72399999999999</v>
      </c>
      <c r="L3212" s="8">
        <v>249.73099999999999</v>
      </c>
      <c r="M3212" s="8">
        <v>265.56200000000001</v>
      </c>
      <c r="N3212" s="8">
        <v>323.916</v>
      </c>
      <c r="O3212" s="8">
        <v>312.99599999999998</v>
      </c>
      <c r="P3212" s="8">
        <v>325.17099999999999</v>
      </c>
      <c r="Q3212" s="8">
        <v>409.74099999999999</v>
      </c>
      <c r="R3212" s="8">
        <v>388.41800000000001</v>
      </c>
      <c r="S3212" s="8">
        <v>318.46300000000002</v>
      </c>
      <c r="T3212" s="8">
        <v>263.13499999999999</v>
      </c>
      <c r="U3212" s="8">
        <v>287.56200000000001</v>
      </c>
      <c r="V3212" s="8">
        <v>288.88400000000001</v>
      </c>
      <c r="W3212" s="8">
        <v>190.751</v>
      </c>
      <c r="X3212" s="8">
        <v>135.23099999999999</v>
      </c>
      <c r="Y3212" s="8">
        <v>74.195999999999998</v>
      </c>
      <c r="Z3212" s="8">
        <v>36.683999999999997</v>
      </c>
      <c r="AA3212" s="8">
        <v>10.818</v>
      </c>
      <c r="AB3212" s="8">
        <v>2.7509999999999999</v>
      </c>
      <c r="AC3212" s="8">
        <v>0.13800000000000001</v>
      </c>
    </row>
    <row r="3213" spans="1:29" ht="11.65" x14ac:dyDescent="0.35">
      <c r="A3213" s="12">
        <v>3196</v>
      </c>
      <c r="B3213" s="10" t="s">
        <v>1015</v>
      </c>
      <c r="C3213" s="18" t="s">
        <v>1238</v>
      </c>
      <c r="D3213" s="9"/>
      <c r="E3213" s="9">
        <v>616</v>
      </c>
      <c r="F3213" s="10" t="s">
        <v>1066</v>
      </c>
      <c r="G3213" s="9">
        <v>923</v>
      </c>
      <c r="H3213" s="9">
        <v>1950</v>
      </c>
      <c r="I3213" s="8">
        <v>1500</v>
      </c>
      <c r="J3213" s="8">
        <v>1022</v>
      </c>
      <c r="K3213" s="8">
        <v>1170.998</v>
      </c>
      <c r="L3213" s="8">
        <v>1203.999</v>
      </c>
      <c r="M3213" s="8">
        <v>1159.001</v>
      </c>
      <c r="N3213" s="8">
        <v>999.99900000000002</v>
      </c>
      <c r="O3213" s="8">
        <v>623.00099999999998</v>
      </c>
      <c r="P3213" s="8">
        <v>809.99900000000002</v>
      </c>
      <c r="Q3213" s="8">
        <v>850.00099999999998</v>
      </c>
      <c r="R3213" s="8">
        <v>724.99900000000002</v>
      </c>
      <c r="S3213" s="8">
        <v>549</v>
      </c>
      <c r="T3213" s="8">
        <v>391.99900000000002</v>
      </c>
      <c r="U3213" s="8">
        <v>311.99900000000002</v>
      </c>
      <c r="V3213" s="8">
        <v>218</v>
      </c>
      <c r="W3213" s="8">
        <v>140.001</v>
      </c>
      <c r="X3213" s="8">
        <v>90</v>
      </c>
      <c r="Y3213" s="8">
        <v>44.497</v>
      </c>
      <c r="Z3213" s="8">
        <v>16.297999999999998</v>
      </c>
      <c r="AA3213" s="8">
        <v>3.7189999999999999</v>
      </c>
      <c r="AB3213" s="8">
        <v>0.46400000000000002</v>
      </c>
      <c r="AC3213" s="8">
        <v>2.9000000000000001E-2</v>
      </c>
    </row>
    <row r="3214" spans="1:29" ht="11.65" x14ac:dyDescent="0.35">
      <c r="A3214" s="12">
        <v>3197</v>
      </c>
      <c r="B3214" s="10" t="s">
        <v>1015</v>
      </c>
      <c r="C3214" s="18" t="s">
        <v>1238</v>
      </c>
      <c r="D3214" s="9"/>
      <c r="E3214" s="9">
        <v>616</v>
      </c>
      <c r="F3214" s="10" t="s">
        <v>1066</v>
      </c>
      <c r="G3214" s="9">
        <v>923</v>
      </c>
      <c r="H3214" s="9">
        <v>1955</v>
      </c>
      <c r="I3214" s="8">
        <v>1808.925</v>
      </c>
      <c r="J3214" s="8">
        <v>1476.825</v>
      </c>
      <c r="K3214" s="8">
        <v>1016.226</v>
      </c>
      <c r="L3214" s="8">
        <v>1162.662</v>
      </c>
      <c r="M3214" s="8">
        <v>1186.3499999999999</v>
      </c>
      <c r="N3214" s="8">
        <v>1136.3420000000001</v>
      </c>
      <c r="O3214" s="8">
        <v>979.90899999999999</v>
      </c>
      <c r="P3214" s="8">
        <v>608.53399999999999</v>
      </c>
      <c r="Q3214" s="8">
        <v>787.08399999999995</v>
      </c>
      <c r="R3214" s="8">
        <v>818.09100000000001</v>
      </c>
      <c r="S3214" s="8">
        <v>685.81500000000005</v>
      </c>
      <c r="T3214" s="8">
        <v>504.47500000000002</v>
      </c>
      <c r="U3214" s="8">
        <v>343.39600000000002</v>
      </c>
      <c r="V3214" s="8">
        <v>253.62299999999999</v>
      </c>
      <c r="W3214" s="8">
        <v>159.54300000000001</v>
      </c>
      <c r="X3214" s="8">
        <v>87.899000000000001</v>
      </c>
      <c r="Y3214" s="8">
        <v>44.87</v>
      </c>
      <c r="Z3214" s="8">
        <v>16.117999999999999</v>
      </c>
      <c r="AA3214" s="8">
        <v>4.032</v>
      </c>
      <c r="AB3214" s="8">
        <v>0.58799999999999997</v>
      </c>
      <c r="AC3214" s="8">
        <v>4.4999999999999998E-2</v>
      </c>
    </row>
    <row r="3215" spans="1:29" ht="11.65" x14ac:dyDescent="0.35">
      <c r="A3215" s="12">
        <v>3198</v>
      </c>
      <c r="B3215" s="10" t="s">
        <v>1015</v>
      </c>
      <c r="C3215" s="18" t="s">
        <v>1238</v>
      </c>
      <c r="D3215" s="9"/>
      <c r="E3215" s="9">
        <v>616</v>
      </c>
      <c r="F3215" s="10" t="s">
        <v>1066</v>
      </c>
      <c r="G3215" s="9">
        <v>923</v>
      </c>
      <c r="H3215" s="9">
        <v>1960</v>
      </c>
      <c r="I3215" s="8">
        <v>1836.5050000000001</v>
      </c>
      <c r="J3215" s="8">
        <v>1773.521</v>
      </c>
      <c r="K3215" s="8">
        <v>1457.443</v>
      </c>
      <c r="L3215" s="8">
        <v>988.78300000000002</v>
      </c>
      <c r="M3215" s="8">
        <v>1121.039</v>
      </c>
      <c r="N3215" s="8">
        <v>1162.3869999999999</v>
      </c>
      <c r="O3215" s="8">
        <v>1119.7819999999999</v>
      </c>
      <c r="P3215" s="8">
        <v>959.88199999999995</v>
      </c>
      <c r="Q3215" s="8">
        <v>572.20600000000002</v>
      </c>
      <c r="R3215" s="8">
        <v>776.76900000000001</v>
      </c>
      <c r="S3215" s="8">
        <v>814.26800000000003</v>
      </c>
      <c r="T3215" s="8">
        <v>645.39300000000003</v>
      </c>
      <c r="U3215" s="8">
        <v>455.35500000000002</v>
      </c>
      <c r="V3215" s="8">
        <v>281.79399999999998</v>
      </c>
      <c r="W3215" s="8">
        <v>189.85300000000001</v>
      </c>
      <c r="X3215" s="8">
        <v>102.749</v>
      </c>
      <c r="Y3215" s="8">
        <v>44.158000000000001</v>
      </c>
      <c r="Z3215" s="8">
        <v>16.882999999999999</v>
      </c>
      <c r="AA3215" s="8">
        <v>4.2709999999999999</v>
      </c>
      <c r="AB3215" s="8">
        <v>0.67700000000000005</v>
      </c>
      <c r="AC3215" s="8">
        <v>0.06</v>
      </c>
    </row>
    <row r="3216" spans="1:29" ht="11.65" x14ac:dyDescent="0.35">
      <c r="A3216" s="12">
        <v>3199</v>
      </c>
      <c r="B3216" s="10" t="s">
        <v>1015</v>
      </c>
      <c r="C3216" s="18" t="s">
        <v>1238</v>
      </c>
      <c r="D3216" s="9"/>
      <c r="E3216" s="9">
        <v>616</v>
      </c>
      <c r="F3216" s="10" t="s">
        <v>1066</v>
      </c>
      <c r="G3216" s="9">
        <v>923</v>
      </c>
      <c r="H3216" s="9">
        <v>1965</v>
      </c>
      <c r="I3216" s="8">
        <v>1438.326</v>
      </c>
      <c r="J3216" s="8">
        <v>1817.89</v>
      </c>
      <c r="K3216" s="8">
        <v>1763.8040000000001</v>
      </c>
      <c r="L3216" s="8">
        <v>1447.7080000000001</v>
      </c>
      <c r="M3216" s="8">
        <v>978.30899999999997</v>
      </c>
      <c r="N3216" s="8">
        <v>1105.261</v>
      </c>
      <c r="O3216" s="8">
        <v>1145.4490000000001</v>
      </c>
      <c r="P3216" s="8">
        <v>1103.27</v>
      </c>
      <c r="Q3216" s="8">
        <v>945.12199999999996</v>
      </c>
      <c r="R3216" s="8">
        <v>558.93600000000004</v>
      </c>
      <c r="S3216" s="8">
        <v>744.24699999999996</v>
      </c>
      <c r="T3216" s="8">
        <v>762.88900000000001</v>
      </c>
      <c r="U3216" s="8">
        <v>582.20699999999999</v>
      </c>
      <c r="V3216" s="8">
        <v>387.29199999999997</v>
      </c>
      <c r="W3216" s="8">
        <v>220.11500000000001</v>
      </c>
      <c r="X3216" s="8">
        <v>129.32400000000001</v>
      </c>
      <c r="Y3216" s="8">
        <v>56.542000000000002</v>
      </c>
      <c r="Z3216" s="8">
        <v>17.849</v>
      </c>
      <c r="AA3216" s="8">
        <v>4.5750000000000002</v>
      </c>
      <c r="AB3216" s="8">
        <v>0.68400000000000005</v>
      </c>
      <c r="AC3216" s="8">
        <v>6.5000000000000002E-2</v>
      </c>
    </row>
    <row r="3217" spans="1:29" ht="11.65" x14ac:dyDescent="0.35">
      <c r="A3217" s="12">
        <v>3200</v>
      </c>
      <c r="B3217" s="10" t="s">
        <v>1015</v>
      </c>
      <c r="C3217" s="18" t="s">
        <v>1238</v>
      </c>
      <c r="D3217" s="9"/>
      <c r="E3217" s="9">
        <v>616</v>
      </c>
      <c r="F3217" s="10" t="s">
        <v>1066</v>
      </c>
      <c r="G3217" s="9">
        <v>923</v>
      </c>
      <c r="H3217" s="9">
        <v>1970</v>
      </c>
      <c r="I3217" s="8">
        <v>1309.0039999999999</v>
      </c>
      <c r="J3217" s="8">
        <v>1421.5440000000001</v>
      </c>
      <c r="K3217" s="8">
        <v>1803.6880000000001</v>
      </c>
      <c r="L3217" s="8">
        <v>1751.07</v>
      </c>
      <c r="M3217" s="8">
        <v>1427.421</v>
      </c>
      <c r="N3217" s="8">
        <v>960.60900000000004</v>
      </c>
      <c r="O3217" s="8">
        <v>1086.96</v>
      </c>
      <c r="P3217" s="8">
        <v>1125.5060000000001</v>
      </c>
      <c r="Q3217" s="8">
        <v>1080.367</v>
      </c>
      <c r="R3217" s="8">
        <v>918.54100000000005</v>
      </c>
      <c r="S3217" s="8">
        <v>536.83600000000001</v>
      </c>
      <c r="T3217" s="8">
        <v>698.221</v>
      </c>
      <c r="U3217" s="8">
        <v>687.71</v>
      </c>
      <c r="V3217" s="8">
        <v>494.10599999999999</v>
      </c>
      <c r="W3217" s="8">
        <v>299.37799999999999</v>
      </c>
      <c r="X3217" s="8">
        <v>148.923</v>
      </c>
      <c r="Y3217" s="8">
        <v>70.605999999999995</v>
      </c>
      <c r="Z3217" s="8">
        <v>22.722999999999999</v>
      </c>
      <c r="AA3217" s="8">
        <v>4.8319999999999999</v>
      </c>
      <c r="AB3217" s="8">
        <v>0.78</v>
      </c>
      <c r="AC3217" s="8">
        <v>6.9000000000000006E-2</v>
      </c>
    </row>
    <row r="3218" spans="1:29" ht="11.65" x14ac:dyDescent="0.35">
      <c r="A3218" s="12">
        <v>3201</v>
      </c>
      <c r="B3218" s="10" t="s">
        <v>1015</v>
      </c>
      <c r="C3218" s="18" t="s">
        <v>1238</v>
      </c>
      <c r="D3218" s="9"/>
      <c r="E3218" s="9">
        <v>616</v>
      </c>
      <c r="F3218" s="10" t="s">
        <v>1066</v>
      </c>
      <c r="G3218" s="9">
        <v>923</v>
      </c>
      <c r="H3218" s="9">
        <v>1975</v>
      </c>
      <c r="I3218" s="8">
        <v>1436.354</v>
      </c>
      <c r="J3218" s="8">
        <v>1294.308</v>
      </c>
      <c r="K3218" s="8">
        <v>1416.627</v>
      </c>
      <c r="L3218" s="8">
        <v>1792.7190000000001</v>
      </c>
      <c r="M3218" s="8">
        <v>1723.373</v>
      </c>
      <c r="N3218" s="8">
        <v>1403.3389999999999</v>
      </c>
      <c r="O3218" s="8">
        <v>943.66899999999998</v>
      </c>
      <c r="P3218" s="8">
        <v>1066.836</v>
      </c>
      <c r="Q3218" s="8">
        <v>1098.5139999999999</v>
      </c>
      <c r="R3218" s="8">
        <v>1046.2070000000001</v>
      </c>
      <c r="S3218" s="8">
        <v>878.178</v>
      </c>
      <c r="T3218" s="8">
        <v>502.78500000000003</v>
      </c>
      <c r="U3218" s="8">
        <v>633.28700000000003</v>
      </c>
      <c r="V3218" s="8">
        <v>586.75900000000001</v>
      </c>
      <c r="W3218" s="8">
        <v>382.18400000000003</v>
      </c>
      <c r="X3218" s="8">
        <v>199.483</v>
      </c>
      <c r="Y3218" s="8">
        <v>82.405000000000001</v>
      </c>
      <c r="Z3218" s="8">
        <v>29.366</v>
      </c>
      <c r="AA3218" s="8">
        <v>6.1440000000000001</v>
      </c>
      <c r="AB3218" s="8">
        <v>0.80300000000000005</v>
      </c>
      <c r="AC3218" s="8">
        <v>7.4999999999999997E-2</v>
      </c>
    </row>
    <row r="3219" spans="1:29" ht="11.65" x14ac:dyDescent="0.35">
      <c r="A3219" s="12">
        <v>3202</v>
      </c>
      <c r="B3219" s="10" t="s">
        <v>1015</v>
      </c>
      <c r="C3219" s="18" t="s">
        <v>1238</v>
      </c>
      <c r="D3219" s="9"/>
      <c r="E3219" s="9">
        <v>616</v>
      </c>
      <c r="F3219" s="10" t="s">
        <v>1066</v>
      </c>
      <c r="G3219" s="9">
        <v>923</v>
      </c>
      <c r="H3219" s="9">
        <v>1980</v>
      </c>
      <c r="I3219" s="8">
        <v>1633.854</v>
      </c>
      <c r="J3219" s="8">
        <v>1432.598</v>
      </c>
      <c r="K3219" s="8">
        <v>1292.364</v>
      </c>
      <c r="L3219" s="8">
        <v>1413.953</v>
      </c>
      <c r="M3219" s="8">
        <v>1774.5930000000001</v>
      </c>
      <c r="N3219" s="8">
        <v>1691.575</v>
      </c>
      <c r="O3219" s="8">
        <v>1377.2840000000001</v>
      </c>
      <c r="P3219" s="8">
        <v>922.80899999999997</v>
      </c>
      <c r="Q3219" s="8">
        <v>1038.0999999999999</v>
      </c>
      <c r="R3219" s="8">
        <v>1056.413</v>
      </c>
      <c r="S3219" s="8">
        <v>990.47299999999996</v>
      </c>
      <c r="T3219" s="8">
        <v>815.072</v>
      </c>
      <c r="U3219" s="8">
        <v>450.2</v>
      </c>
      <c r="V3219" s="8">
        <v>540.41399999999999</v>
      </c>
      <c r="W3219" s="8">
        <v>454.78699999999998</v>
      </c>
      <c r="X3219" s="8">
        <v>257.03899999999999</v>
      </c>
      <c r="Y3219" s="8">
        <v>109.896</v>
      </c>
      <c r="Z3219" s="8">
        <v>33.902000000000001</v>
      </c>
      <c r="AA3219" s="8">
        <v>8.0670000000000002</v>
      </c>
      <c r="AB3219" s="8">
        <v>1.071</v>
      </c>
      <c r="AC3219" s="8">
        <v>8.4000000000000005E-2</v>
      </c>
    </row>
    <row r="3220" spans="1:29" ht="11.65" x14ac:dyDescent="0.35">
      <c r="A3220" s="12">
        <v>3203</v>
      </c>
      <c r="B3220" s="10" t="s">
        <v>1015</v>
      </c>
      <c r="C3220" s="18" t="s">
        <v>1238</v>
      </c>
      <c r="D3220" s="9"/>
      <c r="E3220" s="9">
        <v>616</v>
      </c>
      <c r="F3220" s="10" t="s">
        <v>1066</v>
      </c>
      <c r="G3220" s="9">
        <v>923</v>
      </c>
      <c r="H3220" s="9">
        <v>1985</v>
      </c>
      <c r="I3220" s="8">
        <v>1744.819</v>
      </c>
      <c r="J3220" s="8">
        <v>1655.5219999999999</v>
      </c>
      <c r="K3220" s="8">
        <v>1458.8040000000001</v>
      </c>
      <c r="L3220" s="8">
        <v>1292.422</v>
      </c>
      <c r="M3220" s="8">
        <v>1381.9960000000001</v>
      </c>
      <c r="N3220" s="8">
        <v>1719.011</v>
      </c>
      <c r="O3220" s="8">
        <v>1657.51</v>
      </c>
      <c r="P3220" s="8">
        <v>1381.6679999999999</v>
      </c>
      <c r="Q3220" s="8">
        <v>907.55799999999999</v>
      </c>
      <c r="R3220" s="8">
        <v>996.47799999999995</v>
      </c>
      <c r="S3220" s="8">
        <v>998.51700000000005</v>
      </c>
      <c r="T3220" s="8">
        <v>907.89200000000005</v>
      </c>
      <c r="U3220" s="8">
        <v>712.23500000000001</v>
      </c>
      <c r="V3220" s="8">
        <v>376.02600000000001</v>
      </c>
      <c r="W3220" s="8">
        <v>417.01299999999998</v>
      </c>
      <c r="X3220" s="8">
        <v>295.87700000000001</v>
      </c>
      <c r="Y3220" s="8">
        <v>134.93899999999999</v>
      </c>
      <c r="Z3220" s="8">
        <v>44.204999999999998</v>
      </c>
      <c r="AA3220" s="8">
        <v>9.5109999999999992</v>
      </c>
      <c r="AB3220" s="8">
        <v>1.4970000000000001</v>
      </c>
      <c r="AC3220" s="8">
        <v>0.11799999999999999</v>
      </c>
    </row>
    <row r="3221" spans="1:29" ht="11.65" x14ac:dyDescent="0.35">
      <c r="A3221" s="12">
        <v>3204</v>
      </c>
      <c r="B3221" s="10" t="s">
        <v>1015</v>
      </c>
      <c r="C3221" s="18" t="s">
        <v>1238</v>
      </c>
      <c r="D3221" s="9"/>
      <c r="E3221" s="9">
        <v>616</v>
      </c>
      <c r="F3221" s="10" t="s">
        <v>1066</v>
      </c>
      <c r="G3221" s="9">
        <v>923</v>
      </c>
      <c r="H3221" s="9">
        <v>1990</v>
      </c>
      <c r="I3221" s="8">
        <v>1509.6020000000001</v>
      </c>
      <c r="J3221" s="8">
        <v>1728.7529999999999</v>
      </c>
      <c r="K3221" s="8">
        <v>1644.5650000000001</v>
      </c>
      <c r="L3221" s="8">
        <v>1450.684</v>
      </c>
      <c r="M3221" s="8">
        <v>1276.144</v>
      </c>
      <c r="N3221" s="8">
        <v>1350.6479999999999</v>
      </c>
      <c r="O3221" s="8">
        <v>1660.462</v>
      </c>
      <c r="P3221" s="8">
        <v>1596.278</v>
      </c>
      <c r="Q3221" s="8">
        <v>1336.3679999999999</v>
      </c>
      <c r="R3221" s="8">
        <v>870.56600000000003</v>
      </c>
      <c r="S3221" s="8">
        <v>942.22</v>
      </c>
      <c r="T3221" s="8">
        <v>918.36599999999999</v>
      </c>
      <c r="U3221" s="8">
        <v>802.1</v>
      </c>
      <c r="V3221" s="8">
        <v>595.85799999999995</v>
      </c>
      <c r="W3221" s="8">
        <v>290.81299999999999</v>
      </c>
      <c r="X3221" s="8">
        <v>282.31900000000002</v>
      </c>
      <c r="Y3221" s="8">
        <v>161.47</v>
      </c>
      <c r="Z3221" s="8">
        <v>53.908999999999999</v>
      </c>
      <c r="AA3221" s="8">
        <v>11.769</v>
      </c>
      <c r="AB3221" s="8">
        <v>1.5720000000000001</v>
      </c>
      <c r="AC3221" s="8">
        <v>0.14499999999999999</v>
      </c>
    </row>
    <row r="3222" spans="1:29" ht="11.65" x14ac:dyDescent="0.35">
      <c r="A3222" s="12">
        <v>3205</v>
      </c>
      <c r="B3222" s="10" t="s">
        <v>1015</v>
      </c>
      <c r="C3222" s="18" t="s">
        <v>1238</v>
      </c>
      <c r="D3222" s="9"/>
      <c r="E3222" s="9">
        <v>616</v>
      </c>
      <c r="F3222" s="10" t="s">
        <v>1066</v>
      </c>
      <c r="G3222" s="9">
        <v>923</v>
      </c>
      <c r="H3222" s="9">
        <v>1995</v>
      </c>
      <c r="I3222" s="8">
        <v>1314.5360000000001</v>
      </c>
      <c r="J3222" s="8">
        <v>1502.6559999999999</v>
      </c>
      <c r="K3222" s="8">
        <v>1724.3530000000001</v>
      </c>
      <c r="L3222" s="8">
        <v>1634.837</v>
      </c>
      <c r="M3222" s="8">
        <v>1429.32</v>
      </c>
      <c r="N3222" s="8">
        <v>1251.0930000000001</v>
      </c>
      <c r="O3222" s="8">
        <v>1324.0609999999999</v>
      </c>
      <c r="P3222" s="8">
        <v>1625.8779999999999</v>
      </c>
      <c r="Q3222" s="8">
        <v>1552.0930000000001</v>
      </c>
      <c r="R3222" s="8">
        <v>1283.2840000000001</v>
      </c>
      <c r="S3222" s="8">
        <v>819.81299999999999</v>
      </c>
      <c r="T3222" s="8">
        <v>863.952</v>
      </c>
      <c r="U3222" s="8">
        <v>809.97</v>
      </c>
      <c r="V3222" s="8">
        <v>669.90599999999995</v>
      </c>
      <c r="W3222" s="8">
        <v>459.64400000000001</v>
      </c>
      <c r="X3222" s="8">
        <v>199.03100000000001</v>
      </c>
      <c r="Y3222" s="8">
        <v>157.90899999999999</v>
      </c>
      <c r="Z3222" s="8">
        <v>66.650000000000006</v>
      </c>
      <c r="AA3222" s="8">
        <v>14.555999999999999</v>
      </c>
      <c r="AB3222" s="8">
        <v>1.881</v>
      </c>
      <c r="AC3222" s="8">
        <v>0.14499999999999999</v>
      </c>
    </row>
    <row r="3223" spans="1:29" ht="11.65" x14ac:dyDescent="0.35">
      <c r="A3223" s="12">
        <v>3206</v>
      </c>
      <c r="B3223" s="10" t="s">
        <v>1015</v>
      </c>
      <c r="C3223" s="18" t="s">
        <v>1238</v>
      </c>
      <c r="D3223" s="9"/>
      <c r="E3223" s="9">
        <v>616</v>
      </c>
      <c r="F3223" s="10" t="s">
        <v>1066</v>
      </c>
      <c r="G3223" s="9">
        <v>923</v>
      </c>
      <c r="H3223" s="9">
        <v>2000</v>
      </c>
      <c r="I3223" s="8">
        <v>1055.5609999999999</v>
      </c>
      <c r="J3223" s="8">
        <v>1310.106</v>
      </c>
      <c r="K3223" s="8">
        <v>1499.655</v>
      </c>
      <c r="L3223" s="8">
        <v>1716.9290000000001</v>
      </c>
      <c r="M3223" s="8">
        <v>1617.9079999999999</v>
      </c>
      <c r="N3223" s="8">
        <v>1410.077</v>
      </c>
      <c r="O3223" s="8">
        <v>1232.0509999999999</v>
      </c>
      <c r="P3223" s="8">
        <v>1300.992</v>
      </c>
      <c r="Q3223" s="8">
        <v>1587.499</v>
      </c>
      <c r="R3223" s="8">
        <v>1497.9739999999999</v>
      </c>
      <c r="S3223" s="8">
        <v>1217.0139999999999</v>
      </c>
      <c r="T3223" s="8">
        <v>757.97799999999995</v>
      </c>
      <c r="U3223" s="8">
        <v>770.92100000000005</v>
      </c>
      <c r="V3223" s="8">
        <v>686.26599999999996</v>
      </c>
      <c r="W3223" s="8">
        <v>526.37</v>
      </c>
      <c r="X3223" s="8">
        <v>321.83600000000001</v>
      </c>
      <c r="Y3223" s="8">
        <v>116.319</v>
      </c>
      <c r="Z3223" s="8">
        <v>70.165000000000006</v>
      </c>
      <c r="AA3223" s="8">
        <v>19.824999999999999</v>
      </c>
      <c r="AB3223" s="8">
        <v>2.556</v>
      </c>
      <c r="AC3223" s="8">
        <v>0.189</v>
      </c>
    </row>
    <row r="3224" spans="1:29" ht="11.65" x14ac:dyDescent="0.35">
      <c r="A3224" s="12">
        <v>3207</v>
      </c>
      <c r="B3224" s="10" t="s">
        <v>1015</v>
      </c>
      <c r="C3224" s="18" t="s">
        <v>1238</v>
      </c>
      <c r="D3224" s="9"/>
      <c r="E3224" s="9">
        <v>616</v>
      </c>
      <c r="F3224" s="10" t="s">
        <v>1066</v>
      </c>
      <c r="G3224" s="9">
        <v>923</v>
      </c>
      <c r="H3224" s="9">
        <v>2005</v>
      </c>
      <c r="I3224" s="8">
        <v>918.02099999999996</v>
      </c>
      <c r="J3224" s="8">
        <v>1047.8019999999999</v>
      </c>
      <c r="K3224" s="8">
        <v>1303.8530000000001</v>
      </c>
      <c r="L3224" s="8">
        <v>1492.826</v>
      </c>
      <c r="M3224" s="8">
        <v>1696.586</v>
      </c>
      <c r="N3224" s="8">
        <v>1581.912</v>
      </c>
      <c r="O3224" s="8">
        <v>1366.7380000000001</v>
      </c>
      <c r="P3224" s="8">
        <v>1202.2919999999999</v>
      </c>
      <c r="Q3224" s="8">
        <v>1278.9169999999999</v>
      </c>
      <c r="R3224" s="8">
        <v>1543.4590000000001</v>
      </c>
      <c r="S3224" s="8">
        <v>1433.0740000000001</v>
      </c>
      <c r="T3224" s="8">
        <v>1137.68</v>
      </c>
      <c r="U3224" s="8">
        <v>685.779</v>
      </c>
      <c r="V3224" s="8">
        <v>666.49099999999999</v>
      </c>
      <c r="W3224" s="8">
        <v>554.94600000000003</v>
      </c>
      <c r="X3224" s="8">
        <v>383.60199999999998</v>
      </c>
      <c r="Y3224" s="8">
        <v>199.40199999999999</v>
      </c>
      <c r="Z3224" s="8">
        <v>56.317999999999998</v>
      </c>
      <c r="AA3224" s="8">
        <v>23.053999999999998</v>
      </c>
      <c r="AB3224" s="8">
        <v>3.9609999999999999</v>
      </c>
      <c r="AC3224" s="8">
        <v>0.28899999999999998</v>
      </c>
    </row>
    <row r="3225" spans="1:29" ht="11.65" x14ac:dyDescent="0.35">
      <c r="A3225" s="12">
        <v>3208</v>
      </c>
      <c r="B3225" s="10" t="s">
        <v>1015</v>
      </c>
      <c r="C3225" s="18" t="s">
        <v>1238</v>
      </c>
      <c r="D3225" s="9"/>
      <c r="E3225" s="9">
        <v>616</v>
      </c>
      <c r="F3225" s="10" t="s">
        <v>1066</v>
      </c>
      <c r="G3225" s="9">
        <v>923</v>
      </c>
      <c r="H3225" s="9">
        <v>2010</v>
      </c>
      <c r="I3225" s="8">
        <v>1030.4100000000001</v>
      </c>
      <c r="J3225" s="8">
        <v>920.38300000000004</v>
      </c>
      <c r="K3225" s="8">
        <v>1042.25</v>
      </c>
      <c r="L3225" s="8">
        <v>1288.8340000000001</v>
      </c>
      <c r="M3225" s="8">
        <v>1467.1959999999999</v>
      </c>
      <c r="N3225" s="8">
        <v>1658.6969999999999</v>
      </c>
      <c r="O3225" s="8">
        <v>1548.8520000000001</v>
      </c>
      <c r="P3225" s="8">
        <v>1350.623</v>
      </c>
      <c r="Q3225" s="8">
        <v>1184.855</v>
      </c>
      <c r="R3225" s="8">
        <v>1244.7809999999999</v>
      </c>
      <c r="S3225" s="8">
        <v>1477.82</v>
      </c>
      <c r="T3225" s="8">
        <v>1342.393</v>
      </c>
      <c r="U3225" s="8">
        <v>1034.857</v>
      </c>
      <c r="V3225" s="8">
        <v>597.90800000000002</v>
      </c>
      <c r="W3225" s="8">
        <v>548.38099999999997</v>
      </c>
      <c r="X3225" s="8">
        <v>418.06900000000002</v>
      </c>
      <c r="Y3225" s="8">
        <v>249.02500000000001</v>
      </c>
      <c r="Z3225" s="8">
        <v>101.539</v>
      </c>
      <c r="AA3225" s="8">
        <v>19.957999999999998</v>
      </c>
      <c r="AB3225" s="8">
        <v>4.883</v>
      </c>
      <c r="AC3225" s="8">
        <v>0.47899999999999998</v>
      </c>
    </row>
    <row r="3226" spans="1:29" ht="11.65" x14ac:dyDescent="0.35">
      <c r="A3226" s="12">
        <v>3209</v>
      </c>
      <c r="B3226" s="10" t="s">
        <v>1015</v>
      </c>
      <c r="C3226" s="18" t="s">
        <v>1238</v>
      </c>
      <c r="D3226" s="9"/>
      <c r="E3226" s="9">
        <v>616</v>
      </c>
      <c r="F3226" s="10" t="s">
        <v>1066</v>
      </c>
      <c r="G3226" s="9">
        <v>923</v>
      </c>
      <c r="H3226" s="9">
        <v>2015</v>
      </c>
      <c r="I3226" s="8">
        <v>970.49699999999996</v>
      </c>
      <c r="J3226" s="8">
        <v>1021.735</v>
      </c>
      <c r="K3226" s="8">
        <v>905.42200000000003</v>
      </c>
      <c r="L3226" s="8">
        <v>1021.2380000000001</v>
      </c>
      <c r="M3226" s="8">
        <v>1271.1099999999999</v>
      </c>
      <c r="N3226" s="8">
        <v>1474.4449999999999</v>
      </c>
      <c r="O3226" s="8">
        <v>1661.095</v>
      </c>
      <c r="P3226" s="8">
        <v>1524.7180000000001</v>
      </c>
      <c r="Q3226" s="8">
        <v>1317.932</v>
      </c>
      <c r="R3226" s="8">
        <v>1146.981</v>
      </c>
      <c r="S3226" s="8">
        <v>1190.9929999999999</v>
      </c>
      <c r="T3226" s="8">
        <v>1389.1579999999999</v>
      </c>
      <c r="U3226" s="8">
        <v>1228.127</v>
      </c>
      <c r="V3226" s="8">
        <v>914.12199999999996</v>
      </c>
      <c r="W3226" s="8">
        <v>502.91899999999998</v>
      </c>
      <c r="X3226" s="8">
        <v>425.16699999999997</v>
      </c>
      <c r="Y3226" s="8">
        <v>283.38099999999997</v>
      </c>
      <c r="Z3226" s="8">
        <v>137.494</v>
      </c>
      <c r="AA3226" s="8">
        <v>41.811</v>
      </c>
      <c r="AB3226" s="8">
        <v>5.5990000000000002</v>
      </c>
      <c r="AC3226" s="8">
        <v>0.85599999999999998</v>
      </c>
    </row>
    <row r="3227" spans="1:29" ht="11.65" x14ac:dyDescent="0.35">
      <c r="A3227" s="12">
        <v>3210</v>
      </c>
      <c r="B3227" s="10" t="s">
        <v>1015</v>
      </c>
      <c r="C3227" s="18" t="s">
        <v>1238</v>
      </c>
      <c r="D3227" s="9"/>
      <c r="E3227" s="9">
        <v>616</v>
      </c>
      <c r="F3227" s="10" t="s">
        <v>1066</v>
      </c>
      <c r="G3227" s="9">
        <v>923</v>
      </c>
      <c r="H3227" s="9">
        <v>2020</v>
      </c>
      <c r="I3227" s="8">
        <v>967.31899999999996</v>
      </c>
      <c r="J3227" s="8">
        <v>973.59299999999996</v>
      </c>
      <c r="K3227" s="8">
        <v>1011.282</v>
      </c>
      <c r="L3227" s="8">
        <v>881.68200000000002</v>
      </c>
      <c r="M3227" s="8">
        <v>995.31899999999996</v>
      </c>
      <c r="N3227" s="8">
        <v>1263.5070000000001</v>
      </c>
      <c r="O3227" s="8">
        <v>1470.1569999999999</v>
      </c>
      <c r="P3227" s="8">
        <v>1646.5650000000001</v>
      </c>
      <c r="Q3227" s="8">
        <v>1502.7139999999999</v>
      </c>
      <c r="R3227" s="8">
        <v>1291.6969999999999</v>
      </c>
      <c r="S3227" s="8">
        <v>1110.6099999999999</v>
      </c>
      <c r="T3227" s="8">
        <v>1128.396</v>
      </c>
      <c r="U3227" s="8">
        <v>1280.2349999999999</v>
      </c>
      <c r="V3227" s="8">
        <v>1094.529</v>
      </c>
      <c r="W3227" s="8">
        <v>779.60199999999998</v>
      </c>
      <c r="X3227" s="8">
        <v>399.58600000000001</v>
      </c>
      <c r="Y3227" s="8">
        <v>299.13299999999998</v>
      </c>
      <c r="Z3227" s="8">
        <v>165.61500000000001</v>
      </c>
      <c r="AA3227" s="8">
        <v>61.845999999999997</v>
      </c>
      <c r="AB3227" s="8">
        <v>13.289</v>
      </c>
      <c r="AC3227" s="8">
        <v>1.2070000000000001</v>
      </c>
    </row>
    <row r="3228" spans="1:29" ht="11.65" x14ac:dyDescent="0.35">
      <c r="A3228" s="12">
        <v>3211</v>
      </c>
      <c r="B3228" s="10" t="s">
        <v>1015</v>
      </c>
      <c r="C3228" s="18" t="s">
        <v>1239</v>
      </c>
      <c r="D3228" s="9">
        <v>18</v>
      </c>
      <c r="E3228" s="9">
        <v>498</v>
      </c>
      <c r="F3228" s="10" t="s">
        <v>1066</v>
      </c>
      <c r="G3228" s="9">
        <v>923</v>
      </c>
      <c r="H3228" s="9">
        <v>1950</v>
      </c>
      <c r="I3228" s="8">
        <v>102.95099999999999</v>
      </c>
      <c r="J3228" s="8">
        <v>104.279</v>
      </c>
      <c r="K3228" s="8">
        <v>126.821</v>
      </c>
      <c r="L3228" s="8">
        <v>109.012</v>
      </c>
      <c r="M3228" s="8">
        <v>106.45699999999999</v>
      </c>
      <c r="N3228" s="8">
        <v>91.87</v>
      </c>
      <c r="O3228" s="8">
        <v>62.131999999999998</v>
      </c>
      <c r="P3228" s="8">
        <v>84.103999999999999</v>
      </c>
      <c r="Q3228" s="8">
        <v>67.813999999999993</v>
      </c>
      <c r="R3228" s="8">
        <v>61.372999999999998</v>
      </c>
      <c r="S3228" s="8">
        <v>43.283999999999999</v>
      </c>
      <c r="T3228" s="8">
        <v>34.57</v>
      </c>
      <c r="U3228" s="8">
        <v>33.908000000000001</v>
      </c>
      <c r="V3228" s="8">
        <v>26.898</v>
      </c>
      <c r="W3228" s="8">
        <v>18.940999999999999</v>
      </c>
      <c r="X3228" s="8">
        <v>11.461</v>
      </c>
      <c r="Y3228" s="8">
        <v>4.7240000000000002</v>
      </c>
      <c r="Z3228" s="8">
        <v>2.06</v>
      </c>
      <c r="AA3228" s="8">
        <v>0.65</v>
      </c>
      <c r="AB3228" s="8">
        <v>0.13100000000000001</v>
      </c>
      <c r="AC3228" s="8">
        <v>1.4999999999999999E-2</v>
      </c>
    </row>
    <row r="3229" spans="1:29" ht="11.65" x14ac:dyDescent="0.35">
      <c r="A3229" s="12">
        <v>3212</v>
      </c>
      <c r="B3229" s="10" t="s">
        <v>1015</v>
      </c>
      <c r="C3229" s="18" t="s">
        <v>1239</v>
      </c>
      <c r="D3229" s="9">
        <v>18</v>
      </c>
      <c r="E3229" s="9">
        <v>498</v>
      </c>
      <c r="F3229" s="10" t="s">
        <v>1066</v>
      </c>
      <c r="G3229" s="9">
        <v>923</v>
      </c>
      <c r="H3229" s="9">
        <v>1955</v>
      </c>
      <c r="I3229" s="8">
        <v>163.33699999999999</v>
      </c>
      <c r="J3229" s="8">
        <v>107.426</v>
      </c>
      <c r="K3229" s="8">
        <v>108.825</v>
      </c>
      <c r="L3229" s="8">
        <v>123.02800000000001</v>
      </c>
      <c r="M3229" s="8">
        <v>112.526</v>
      </c>
      <c r="N3229" s="8">
        <v>108.825</v>
      </c>
      <c r="O3229" s="8">
        <v>93.721000000000004</v>
      </c>
      <c r="P3229" s="8">
        <v>62.914000000000001</v>
      </c>
      <c r="Q3229" s="8">
        <v>84.02</v>
      </c>
      <c r="R3229" s="8">
        <v>66.215000000000003</v>
      </c>
      <c r="S3229" s="8">
        <v>58.012</v>
      </c>
      <c r="T3229" s="8">
        <v>39.609000000000002</v>
      </c>
      <c r="U3229" s="8">
        <v>30.108000000000001</v>
      </c>
      <c r="V3229" s="8">
        <v>27.617999999999999</v>
      </c>
      <c r="W3229" s="8">
        <v>20.018999999999998</v>
      </c>
      <c r="X3229" s="8">
        <v>12.254</v>
      </c>
      <c r="Y3229" s="8">
        <v>6.649</v>
      </c>
      <c r="Z3229" s="8">
        <v>1.35</v>
      </c>
      <c r="AA3229" s="8">
        <v>0.36099999999999999</v>
      </c>
      <c r="AB3229" s="8">
        <v>6.5000000000000002E-2</v>
      </c>
      <c r="AC3229" s="8">
        <v>8.9999999999999993E-3</v>
      </c>
    </row>
    <row r="3230" spans="1:29" ht="11.65" x14ac:dyDescent="0.35">
      <c r="A3230" s="12">
        <v>3213</v>
      </c>
      <c r="B3230" s="10" t="s">
        <v>1015</v>
      </c>
      <c r="C3230" s="18" t="s">
        <v>1239</v>
      </c>
      <c r="D3230" s="9">
        <v>18</v>
      </c>
      <c r="E3230" s="9">
        <v>498</v>
      </c>
      <c r="F3230" s="10" t="s">
        <v>1066</v>
      </c>
      <c r="G3230" s="9">
        <v>923</v>
      </c>
      <c r="H3230" s="9">
        <v>1960</v>
      </c>
      <c r="I3230" s="8">
        <v>202.72</v>
      </c>
      <c r="J3230" s="8">
        <v>170.10400000000001</v>
      </c>
      <c r="K3230" s="8">
        <v>112.90300000000001</v>
      </c>
      <c r="L3230" s="8">
        <v>104.95</v>
      </c>
      <c r="M3230" s="8">
        <v>126.792</v>
      </c>
      <c r="N3230" s="8">
        <v>115.494</v>
      </c>
      <c r="O3230" s="8">
        <v>111.295</v>
      </c>
      <c r="P3230" s="8">
        <v>95.096000000000004</v>
      </c>
      <c r="Q3230" s="8">
        <v>63.901000000000003</v>
      </c>
      <c r="R3230" s="8">
        <v>82.188000000000002</v>
      </c>
      <c r="S3230" s="8">
        <v>63.290999999999997</v>
      </c>
      <c r="T3230" s="8">
        <v>53.493000000000002</v>
      </c>
      <c r="U3230" s="8">
        <v>34.997</v>
      </c>
      <c r="V3230" s="8">
        <v>24.901</v>
      </c>
      <c r="W3230" s="8">
        <v>21.116</v>
      </c>
      <c r="X3230" s="8">
        <v>13.294</v>
      </c>
      <c r="Y3230" s="8">
        <v>6.8639999999999999</v>
      </c>
      <c r="Z3230" s="8">
        <v>1.907</v>
      </c>
      <c r="AA3230" s="8">
        <v>0.23599999999999999</v>
      </c>
      <c r="AB3230" s="8">
        <v>3.6999999999999998E-2</v>
      </c>
      <c r="AC3230" s="8">
        <v>5.0000000000000001E-3</v>
      </c>
    </row>
    <row r="3231" spans="1:29" ht="11.65" x14ac:dyDescent="0.35">
      <c r="A3231" s="12">
        <v>3214</v>
      </c>
      <c r="B3231" s="10" t="s">
        <v>1015</v>
      </c>
      <c r="C3231" s="18" t="s">
        <v>1239</v>
      </c>
      <c r="D3231" s="9">
        <v>18</v>
      </c>
      <c r="E3231" s="9">
        <v>498</v>
      </c>
      <c r="F3231" s="10" t="s">
        <v>1066</v>
      </c>
      <c r="G3231" s="9">
        <v>923</v>
      </c>
      <c r="H3231" s="9">
        <v>1965</v>
      </c>
      <c r="I3231" s="8">
        <v>200.44499999999999</v>
      </c>
      <c r="J3231" s="8">
        <v>207.35</v>
      </c>
      <c r="K3231" s="8">
        <v>174.16399999999999</v>
      </c>
      <c r="L3231" s="8">
        <v>106.21899999999999</v>
      </c>
      <c r="M3231" s="8">
        <v>106.96299999999999</v>
      </c>
      <c r="N3231" s="8">
        <v>127.788</v>
      </c>
      <c r="O3231" s="8">
        <v>116.499</v>
      </c>
      <c r="P3231" s="8">
        <v>111.402</v>
      </c>
      <c r="Q3231" s="8">
        <v>94.22</v>
      </c>
      <c r="R3231" s="8">
        <v>62.551000000000002</v>
      </c>
      <c r="S3231" s="8">
        <v>77.328000000000003</v>
      </c>
      <c r="T3231" s="8">
        <v>58.146000000000001</v>
      </c>
      <c r="U3231" s="8">
        <v>46.756999999999998</v>
      </c>
      <c r="V3231" s="8">
        <v>28.873999999999999</v>
      </c>
      <c r="W3231" s="8">
        <v>19.084</v>
      </c>
      <c r="X3231" s="8">
        <v>13.986000000000001</v>
      </c>
      <c r="Y3231" s="8">
        <v>7.4630000000000001</v>
      </c>
      <c r="Z3231" s="8">
        <v>2.06</v>
      </c>
      <c r="AA3231" s="8">
        <v>0.35499999999999998</v>
      </c>
      <c r="AB3231" s="8">
        <v>2.5999999999999999E-2</v>
      </c>
      <c r="AC3231" s="8">
        <v>3.0000000000000001E-3</v>
      </c>
    </row>
    <row r="3232" spans="1:29" ht="11.65" x14ac:dyDescent="0.35">
      <c r="A3232" s="12">
        <v>3215</v>
      </c>
      <c r="B3232" s="10" t="s">
        <v>1015</v>
      </c>
      <c r="C3232" s="18" t="s">
        <v>1239</v>
      </c>
      <c r="D3232" s="9">
        <v>18</v>
      </c>
      <c r="E3232" s="9">
        <v>498</v>
      </c>
      <c r="F3232" s="10" t="s">
        <v>1066</v>
      </c>
      <c r="G3232" s="9">
        <v>923</v>
      </c>
      <c r="H3232" s="9">
        <v>1970</v>
      </c>
      <c r="I3232" s="8">
        <v>172.84</v>
      </c>
      <c r="J3232" s="8">
        <v>203.33600000000001</v>
      </c>
      <c r="K3232" s="8">
        <v>210.58799999999999</v>
      </c>
      <c r="L3232" s="8">
        <v>167.50200000000001</v>
      </c>
      <c r="M3232" s="8">
        <v>107.66200000000001</v>
      </c>
      <c r="N3232" s="8">
        <v>107.61</v>
      </c>
      <c r="O3232" s="8">
        <v>128.03</v>
      </c>
      <c r="P3232" s="8">
        <v>116.31100000000001</v>
      </c>
      <c r="Q3232" s="8">
        <v>110.048</v>
      </c>
      <c r="R3232" s="8">
        <v>91.350999999999999</v>
      </c>
      <c r="S3232" s="8">
        <v>59.383000000000003</v>
      </c>
      <c r="T3232" s="8">
        <v>70.927999999999997</v>
      </c>
      <c r="U3232" s="8">
        <v>51.13</v>
      </c>
      <c r="V3232" s="8">
        <v>38.700000000000003</v>
      </c>
      <c r="W3232" s="8">
        <v>22.216000000000001</v>
      </c>
      <c r="X3232" s="8">
        <v>12.861000000000001</v>
      </c>
      <c r="Y3232" s="8">
        <v>7.6379999999999999</v>
      </c>
      <c r="Z3232" s="8">
        <v>2.6819999999999999</v>
      </c>
      <c r="AA3232" s="8">
        <v>0.48599999999999999</v>
      </c>
      <c r="AB3232" s="8">
        <v>5.0999999999999997E-2</v>
      </c>
      <c r="AC3232" s="8">
        <v>2E-3</v>
      </c>
    </row>
    <row r="3233" spans="1:29" ht="11.65" x14ac:dyDescent="0.35">
      <c r="A3233" s="12">
        <v>3216</v>
      </c>
      <c r="B3233" s="10" t="s">
        <v>1015</v>
      </c>
      <c r="C3233" s="18" t="s">
        <v>1239</v>
      </c>
      <c r="D3233" s="9">
        <v>18</v>
      </c>
      <c r="E3233" s="9">
        <v>498</v>
      </c>
      <c r="F3233" s="10" t="s">
        <v>1066</v>
      </c>
      <c r="G3233" s="9">
        <v>923</v>
      </c>
      <c r="H3233" s="9">
        <v>1975</v>
      </c>
      <c r="I3233" s="8">
        <v>187.48099999999999</v>
      </c>
      <c r="J3233" s="8">
        <v>171.44</v>
      </c>
      <c r="K3233" s="8">
        <v>201.78800000000001</v>
      </c>
      <c r="L3233" s="8">
        <v>200.61</v>
      </c>
      <c r="M3233" s="8">
        <v>169.63800000000001</v>
      </c>
      <c r="N3233" s="8">
        <v>116.259</v>
      </c>
      <c r="O3233" s="8">
        <v>107.898</v>
      </c>
      <c r="P3233" s="8">
        <v>125.53400000000001</v>
      </c>
      <c r="Q3233" s="8">
        <v>112.664</v>
      </c>
      <c r="R3233" s="8">
        <v>106.634</v>
      </c>
      <c r="S3233" s="8">
        <v>87.584000000000003</v>
      </c>
      <c r="T3233" s="8">
        <v>54.978000000000002</v>
      </c>
      <c r="U3233" s="8">
        <v>63.658000000000001</v>
      </c>
      <c r="V3233" s="8">
        <v>42.456000000000003</v>
      </c>
      <c r="W3233" s="8">
        <v>29.015999999999998</v>
      </c>
      <c r="X3233" s="8">
        <v>15.006</v>
      </c>
      <c r="Y3233" s="8">
        <v>8.1859999999999999</v>
      </c>
      <c r="Z3233" s="8">
        <v>2.8079999999999998</v>
      </c>
      <c r="AA3233" s="8">
        <v>0.64800000000000002</v>
      </c>
      <c r="AB3233" s="8">
        <v>7.1999999999999995E-2</v>
      </c>
      <c r="AC3233" s="8">
        <v>4.0000000000000001E-3</v>
      </c>
    </row>
    <row r="3234" spans="1:29" ht="11.65" x14ac:dyDescent="0.35">
      <c r="A3234" s="12">
        <v>3217</v>
      </c>
      <c r="B3234" s="10" t="s">
        <v>1015</v>
      </c>
      <c r="C3234" s="18" t="s">
        <v>1239</v>
      </c>
      <c r="D3234" s="9">
        <v>18</v>
      </c>
      <c r="E3234" s="9">
        <v>498</v>
      </c>
      <c r="F3234" s="10" t="s">
        <v>1066</v>
      </c>
      <c r="G3234" s="9">
        <v>923</v>
      </c>
      <c r="H3234" s="9">
        <v>1980</v>
      </c>
      <c r="I3234" s="8">
        <v>192.12100000000001</v>
      </c>
      <c r="J3234" s="8">
        <v>182.32599999999999</v>
      </c>
      <c r="K3234" s="8">
        <v>168.393</v>
      </c>
      <c r="L3234" s="8">
        <v>189.011</v>
      </c>
      <c r="M3234" s="8">
        <v>179.511</v>
      </c>
      <c r="N3234" s="8">
        <v>168.04</v>
      </c>
      <c r="O3234" s="8">
        <v>129.48099999999999</v>
      </c>
      <c r="P3234" s="8">
        <v>102.517</v>
      </c>
      <c r="Q3234" s="8">
        <v>122.627</v>
      </c>
      <c r="R3234" s="8">
        <v>108.883</v>
      </c>
      <c r="S3234" s="8">
        <v>104.23</v>
      </c>
      <c r="T3234" s="8">
        <v>80.843999999999994</v>
      </c>
      <c r="U3234" s="8">
        <v>50.972999999999999</v>
      </c>
      <c r="V3234" s="8">
        <v>52.036000000000001</v>
      </c>
      <c r="W3234" s="8">
        <v>32.915999999999997</v>
      </c>
      <c r="X3234" s="8">
        <v>19.672000000000001</v>
      </c>
      <c r="Y3234" s="8">
        <v>9.16</v>
      </c>
      <c r="Z3234" s="8">
        <v>3.01</v>
      </c>
      <c r="AA3234" s="8">
        <v>0.67900000000000005</v>
      </c>
      <c r="AB3234" s="8">
        <v>9.6000000000000002E-2</v>
      </c>
      <c r="AC3234" s="8">
        <v>6.0000000000000001E-3</v>
      </c>
    </row>
    <row r="3235" spans="1:29" ht="11.65" x14ac:dyDescent="0.35">
      <c r="A3235" s="12">
        <v>3218</v>
      </c>
      <c r="B3235" s="10" t="s">
        <v>1015</v>
      </c>
      <c r="C3235" s="18" t="s">
        <v>1239</v>
      </c>
      <c r="D3235" s="9">
        <v>18</v>
      </c>
      <c r="E3235" s="9">
        <v>498</v>
      </c>
      <c r="F3235" s="10" t="s">
        <v>1066</v>
      </c>
      <c r="G3235" s="9">
        <v>923</v>
      </c>
      <c r="H3235" s="9">
        <v>1985</v>
      </c>
      <c r="I3235" s="8">
        <v>213.416</v>
      </c>
      <c r="J3235" s="8">
        <v>191.09</v>
      </c>
      <c r="K3235" s="8">
        <v>178.57900000000001</v>
      </c>
      <c r="L3235" s="8">
        <v>167.02600000000001</v>
      </c>
      <c r="M3235" s="8">
        <v>172.541</v>
      </c>
      <c r="N3235" s="8">
        <v>182.941</v>
      </c>
      <c r="O3235" s="8">
        <v>169.06899999999999</v>
      </c>
      <c r="P3235" s="8">
        <v>126.542</v>
      </c>
      <c r="Q3235" s="8">
        <v>99.447000000000003</v>
      </c>
      <c r="R3235" s="8">
        <v>115.655</v>
      </c>
      <c r="S3235" s="8">
        <v>100.991</v>
      </c>
      <c r="T3235" s="8">
        <v>95.486000000000004</v>
      </c>
      <c r="U3235" s="8">
        <v>71.197000000000003</v>
      </c>
      <c r="V3235" s="8">
        <v>41.743000000000002</v>
      </c>
      <c r="W3235" s="8">
        <v>39.515999999999998</v>
      </c>
      <c r="X3235" s="8">
        <v>21.9</v>
      </c>
      <c r="Y3235" s="8">
        <v>10.930999999999999</v>
      </c>
      <c r="Z3235" s="8">
        <v>3.23</v>
      </c>
      <c r="AA3235" s="8">
        <v>0.69199999999999995</v>
      </c>
      <c r="AB3235" s="8">
        <v>9.4E-2</v>
      </c>
      <c r="AC3235" s="8">
        <v>8.0000000000000002E-3</v>
      </c>
    </row>
    <row r="3236" spans="1:29" ht="11.65" x14ac:dyDescent="0.35">
      <c r="A3236" s="12">
        <v>3219</v>
      </c>
      <c r="B3236" s="10" t="s">
        <v>1015</v>
      </c>
      <c r="C3236" s="18" t="s">
        <v>1239</v>
      </c>
      <c r="D3236" s="9">
        <v>18</v>
      </c>
      <c r="E3236" s="9">
        <v>498</v>
      </c>
      <c r="F3236" s="10" t="s">
        <v>1066</v>
      </c>
      <c r="G3236" s="9">
        <v>923</v>
      </c>
      <c r="H3236" s="9">
        <v>1990</v>
      </c>
      <c r="I3236" s="8">
        <v>218.071</v>
      </c>
      <c r="J3236" s="8">
        <v>210.89599999999999</v>
      </c>
      <c r="K3236" s="8">
        <v>190.71899999999999</v>
      </c>
      <c r="L3236" s="8">
        <v>170.71199999999999</v>
      </c>
      <c r="M3236" s="8">
        <v>147.12899999999999</v>
      </c>
      <c r="N3236" s="8">
        <v>164.315</v>
      </c>
      <c r="O3236" s="8">
        <v>182.142</v>
      </c>
      <c r="P3236" s="8">
        <v>167.05</v>
      </c>
      <c r="Q3236" s="8">
        <v>121.572</v>
      </c>
      <c r="R3236" s="8">
        <v>93.700999999999993</v>
      </c>
      <c r="S3236" s="8">
        <v>107.20099999999999</v>
      </c>
      <c r="T3236" s="8">
        <v>90.891000000000005</v>
      </c>
      <c r="U3236" s="8">
        <v>83.373000000000005</v>
      </c>
      <c r="V3236" s="8">
        <v>58.585000000000001</v>
      </c>
      <c r="W3236" s="8">
        <v>31.323</v>
      </c>
      <c r="X3236" s="8">
        <v>26.227</v>
      </c>
      <c r="Y3236" s="8">
        <v>11.504</v>
      </c>
      <c r="Z3236" s="8">
        <v>4.33</v>
      </c>
      <c r="AA3236" s="8">
        <v>0.85399999999999998</v>
      </c>
      <c r="AB3236" s="8">
        <v>0.111</v>
      </c>
      <c r="AC3236" s="8">
        <v>8.9999999999999993E-3</v>
      </c>
    </row>
    <row r="3237" spans="1:29" ht="11.65" x14ac:dyDescent="0.35">
      <c r="A3237" s="12">
        <v>3220</v>
      </c>
      <c r="B3237" s="10" t="s">
        <v>1015</v>
      </c>
      <c r="C3237" s="18" t="s">
        <v>1239</v>
      </c>
      <c r="D3237" s="9">
        <v>18</v>
      </c>
      <c r="E3237" s="9">
        <v>498</v>
      </c>
      <c r="F3237" s="10" t="s">
        <v>1066</v>
      </c>
      <c r="G3237" s="9">
        <v>923</v>
      </c>
      <c r="H3237" s="9">
        <v>1995</v>
      </c>
      <c r="I3237" s="8">
        <v>167.62299999999999</v>
      </c>
      <c r="J3237" s="8">
        <v>213.185</v>
      </c>
      <c r="K3237" s="8">
        <v>206.82900000000001</v>
      </c>
      <c r="L3237" s="8">
        <v>184.96899999999999</v>
      </c>
      <c r="M3237" s="8">
        <v>159.01400000000001</v>
      </c>
      <c r="N3237" s="8">
        <v>139.613</v>
      </c>
      <c r="O3237" s="8">
        <v>157.71299999999999</v>
      </c>
      <c r="P3237" s="8">
        <v>173.97399999999999</v>
      </c>
      <c r="Q3237" s="8">
        <v>157.15199999999999</v>
      </c>
      <c r="R3237" s="8">
        <v>111.88200000000001</v>
      </c>
      <c r="S3237" s="8">
        <v>84.981999999999999</v>
      </c>
      <c r="T3237" s="8">
        <v>94.325000000000003</v>
      </c>
      <c r="U3237" s="8">
        <v>76.718000000000004</v>
      </c>
      <c r="V3237" s="8">
        <v>65.763000000000005</v>
      </c>
      <c r="W3237" s="8">
        <v>42.009</v>
      </c>
      <c r="X3237" s="8">
        <v>19.71</v>
      </c>
      <c r="Y3237" s="8">
        <v>12.037000000000001</v>
      </c>
      <c r="Z3237" s="8">
        <v>4.4459999999999997</v>
      </c>
      <c r="AA3237" s="8">
        <v>1.1100000000000001</v>
      </c>
      <c r="AB3237" s="8">
        <v>0.13200000000000001</v>
      </c>
      <c r="AC3237" s="8">
        <v>1.0999999999999999E-2</v>
      </c>
    </row>
    <row r="3238" spans="1:29" ht="11.65" x14ac:dyDescent="0.35">
      <c r="A3238" s="12">
        <v>3221</v>
      </c>
      <c r="B3238" s="10" t="s">
        <v>1015</v>
      </c>
      <c r="C3238" s="18" t="s">
        <v>1239</v>
      </c>
      <c r="D3238" s="9">
        <v>18</v>
      </c>
      <c r="E3238" s="9">
        <v>498</v>
      </c>
      <c r="F3238" s="10" t="s">
        <v>1066</v>
      </c>
      <c r="G3238" s="9">
        <v>923</v>
      </c>
      <c r="H3238" s="9">
        <v>2000</v>
      </c>
      <c r="I3238" s="8">
        <v>123.11499999999999</v>
      </c>
      <c r="J3238" s="8">
        <v>166.518</v>
      </c>
      <c r="K3238" s="8">
        <v>212.84200000000001</v>
      </c>
      <c r="L3238" s="8">
        <v>202.06200000000001</v>
      </c>
      <c r="M3238" s="8">
        <v>182.16399999999999</v>
      </c>
      <c r="N3238" s="8">
        <v>145.577</v>
      </c>
      <c r="O3238" s="8">
        <v>124.196</v>
      </c>
      <c r="P3238" s="8">
        <v>151.155</v>
      </c>
      <c r="Q3238" s="8">
        <v>161.69</v>
      </c>
      <c r="R3238" s="8">
        <v>149.07900000000001</v>
      </c>
      <c r="S3238" s="8">
        <v>90.959000000000003</v>
      </c>
      <c r="T3238" s="8">
        <v>76.138999999999996</v>
      </c>
      <c r="U3238" s="8">
        <v>76.647000000000006</v>
      </c>
      <c r="V3238" s="8">
        <v>59.484999999999999</v>
      </c>
      <c r="W3238" s="8">
        <v>47.131999999999998</v>
      </c>
      <c r="X3238" s="8">
        <v>28.141999999999999</v>
      </c>
      <c r="Y3238" s="8">
        <v>8.6530000000000005</v>
      </c>
      <c r="Z3238" s="8">
        <v>4.601</v>
      </c>
      <c r="AA3238" s="8">
        <v>1.147</v>
      </c>
      <c r="AB3238" s="8">
        <v>0.17899999999999999</v>
      </c>
      <c r="AC3238" s="8">
        <v>1.2999999999999999E-2</v>
      </c>
    </row>
    <row r="3239" spans="1:29" ht="11.65" x14ac:dyDescent="0.35">
      <c r="A3239" s="12">
        <v>3222</v>
      </c>
      <c r="B3239" s="10" t="s">
        <v>1015</v>
      </c>
      <c r="C3239" s="18" t="s">
        <v>1239</v>
      </c>
      <c r="D3239" s="9">
        <v>18</v>
      </c>
      <c r="E3239" s="9">
        <v>498</v>
      </c>
      <c r="F3239" s="10" t="s">
        <v>1066</v>
      </c>
      <c r="G3239" s="9">
        <v>923</v>
      </c>
      <c r="H3239" s="9">
        <v>2005</v>
      </c>
      <c r="I3239" s="8">
        <v>106.48699999999999</v>
      </c>
      <c r="J3239" s="8">
        <v>122.53</v>
      </c>
      <c r="K3239" s="8">
        <v>165.71100000000001</v>
      </c>
      <c r="L3239" s="8">
        <v>211.66900000000001</v>
      </c>
      <c r="M3239" s="8">
        <v>200.85599999999999</v>
      </c>
      <c r="N3239" s="8">
        <v>180.601</v>
      </c>
      <c r="O3239" s="8">
        <v>144.261</v>
      </c>
      <c r="P3239" s="8">
        <v>120.813</v>
      </c>
      <c r="Q3239" s="8">
        <v>145.58600000000001</v>
      </c>
      <c r="R3239" s="8">
        <v>152.72200000000001</v>
      </c>
      <c r="S3239" s="8">
        <v>139.488</v>
      </c>
      <c r="T3239" s="8">
        <v>82.518000000000001</v>
      </c>
      <c r="U3239" s="8">
        <v>64.444000000000003</v>
      </c>
      <c r="V3239" s="8">
        <v>60.811999999999998</v>
      </c>
      <c r="W3239" s="8">
        <v>42.963000000000001</v>
      </c>
      <c r="X3239" s="8">
        <v>30.751999999999999</v>
      </c>
      <c r="Y3239" s="8">
        <v>15.14</v>
      </c>
      <c r="Z3239" s="8">
        <v>3.2709999999999999</v>
      </c>
      <c r="AA3239" s="8">
        <v>1.17</v>
      </c>
      <c r="AB3239" s="8">
        <v>0.18099999999999999</v>
      </c>
      <c r="AC3239" s="8">
        <v>1.7000000000000001E-2</v>
      </c>
    </row>
    <row r="3240" spans="1:29" ht="11.65" x14ac:dyDescent="0.35">
      <c r="A3240" s="12">
        <v>3223</v>
      </c>
      <c r="B3240" s="10" t="s">
        <v>1015</v>
      </c>
      <c r="C3240" s="18" t="s">
        <v>1239</v>
      </c>
      <c r="D3240" s="9">
        <v>18</v>
      </c>
      <c r="E3240" s="9">
        <v>498</v>
      </c>
      <c r="F3240" s="10" t="s">
        <v>1066</v>
      </c>
      <c r="G3240" s="9">
        <v>923</v>
      </c>
      <c r="H3240" s="9">
        <v>2010</v>
      </c>
      <c r="I3240" s="8">
        <v>112.996</v>
      </c>
      <c r="J3240" s="8">
        <v>108.28700000000001</v>
      </c>
      <c r="K3240" s="8">
        <v>124.51300000000001</v>
      </c>
      <c r="L3240" s="8">
        <v>169.08600000000001</v>
      </c>
      <c r="M3240" s="8">
        <v>209.501</v>
      </c>
      <c r="N3240" s="8">
        <v>184.678</v>
      </c>
      <c r="O3240" s="8">
        <v>157.07900000000001</v>
      </c>
      <c r="P3240" s="8">
        <v>136.53899999999999</v>
      </c>
      <c r="Q3240" s="8">
        <v>123.834</v>
      </c>
      <c r="R3240" s="8">
        <v>145.08099999999999</v>
      </c>
      <c r="S3240" s="8">
        <v>141.55099999999999</v>
      </c>
      <c r="T3240" s="8">
        <v>124.08499999999999</v>
      </c>
      <c r="U3240" s="8">
        <v>71.841999999999999</v>
      </c>
      <c r="V3240" s="8">
        <v>53.777999999999999</v>
      </c>
      <c r="W3240" s="8">
        <v>44.96</v>
      </c>
      <c r="X3240" s="8">
        <v>30.507000000000001</v>
      </c>
      <c r="Y3240" s="8">
        <v>19.375</v>
      </c>
      <c r="Z3240" s="8">
        <v>5.7510000000000003</v>
      </c>
      <c r="AA3240" s="8">
        <v>0.83699999999999997</v>
      </c>
      <c r="AB3240" s="8">
        <v>0.186</v>
      </c>
      <c r="AC3240" s="8">
        <v>1.7999999999999999E-2</v>
      </c>
    </row>
    <row r="3241" spans="1:29" ht="11.65" x14ac:dyDescent="0.35">
      <c r="A3241" s="12">
        <v>3224</v>
      </c>
      <c r="B3241" s="10" t="s">
        <v>1015</v>
      </c>
      <c r="C3241" s="18" t="s">
        <v>1239</v>
      </c>
      <c r="D3241" s="9">
        <v>18</v>
      </c>
      <c r="E3241" s="9">
        <v>498</v>
      </c>
      <c r="F3241" s="10" t="s">
        <v>1066</v>
      </c>
      <c r="G3241" s="9">
        <v>923</v>
      </c>
      <c r="H3241" s="9">
        <v>2015</v>
      </c>
      <c r="I3241" s="8">
        <v>114.658</v>
      </c>
      <c r="J3241" s="8">
        <v>111.596</v>
      </c>
      <c r="K3241" s="8">
        <v>105.149</v>
      </c>
      <c r="L3241" s="8">
        <v>124.167</v>
      </c>
      <c r="M3241" s="8">
        <v>169.251</v>
      </c>
      <c r="N3241" s="8">
        <v>214.255</v>
      </c>
      <c r="O3241" s="8">
        <v>183.476</v>
      </c>
      <c r="P3241" s="8">
        <v>152.90199999999999</v>
      </c>
      <c r="Q3241" s="8">
        <v>130.702</v>
      </c>
      <c r="R3241" s="8">
        <v>116.178</v>
      </c>
      <c r="S3241" s="8">
        <v>140.81200000000001</v>
      </c>
      <c r="T3241" s="8">
        <v>127.438</v>
      </c>
      <c r="U3241" s="8">
        <v>113.301</v>
      </c>
      <c r="V3241" s="8">
        <v>53.984999999999999</v>
      </c>
      <c r="W3241" s="8">
        <v>41.091999999999999</v>
      </c>
      <c r="X3241" s="8">
        <v>29.768000000000001</v>
      </c>
      <c r="Y3241" s="8">
        <v>19.076000000000001</v>
      </c>
      <c r="Z3241" s="8">
        <v>7.02</v>
      </c>
      <c r="AA3241" s="8">
        <v>1.321</v>
      </c>
      <c r="AB3241" s="8">
        <v>0.106</v>
      </c>
      <c r="AC3241" s="8">
        <v>1.4E-2</v>
      </c>
    </row>
    <row r="3242" spans="1:29" ht="11.65" x14ac:dyDescent="0.35">
      <c r="A3242" s="12">
        <v>3225</v>
      </c>
      <c r="B3242" s="10" t="s">
        <v>1015</v>
      </c>
      <c r="C3242" s="18" t="s">
        <v>1239</v>
      </c>
      <c r="D3242" s="9">
        <v>18</v>
      </c>
      <c r="E3242" s="9">
        <v>498</v>
      </c>
      <c r="F3242" s="10" t="s">
        <v>1066</v>
      </c>
      <c r="G3242" s="9">
        <v>923</v>
      </c>
      <c r="H3242" s="9">
        <v>2020</v>
      </c>
      <c r="I3242" s="8">
        <v>103.95399999999999</v>
      </c>
      <c r="J3242" s="8">
        <v>114.31399999999999</v>
      </c>
      <c r="K3242" s="8">
        <v>111.38800000000001</v>
      </c>
      <c r="L3242" s="8">
        <v>104.616</v>
      </c>
      <c r="M3242" s="8">
        <v>123.09</v>
      </c>
      <c r="N3242" s="8">
        <v>167.76499999999999</v>
      </c>
      <c r="O3242" s="8">
        <v>212.16900000000001</v>
      </c>
      <c r="P3242" s="8">
        <v>180.714</v>
      </c>
      <c r="Q3242" s="8">
        <v>149.505</v>
      </c>
      <c r="R3242" s="8">
        <v>126.309</v>
      </c>
      <c r="S3242" s="8">
        <v>109.905</v>
      </c>
      <c r="T3242" s="8">
        <v>129.77600000000001</v>
      </c>
      <c r="U3242" s="8">
        <v>112.051</v>
      </c>
      <c r="V3242" s="8">
        <v>93.81</v>
      </c>
      <c r="W3242" s="8">
        <v>41.171999999999997</v>
      </c>
      <c r="X3242" s="8">
        <v>26.931000000000001</v>
      </c>
      <c r="Y3242" s="8">
        <v>15.512</v>
      </c>
      <c r="Z3242" s="8">
        <v>7.1079999999999997</v>
      </c>
      <c r="AA3242" s="8">
        <v>1.6779999999999999</v>
      </c>
      <c r="AB3242" s="8">
        <v>0.17699999999999999</v>
      </c>
      <c r="AC3242" s="8">
        <v>8.9999999999999993E-3</v>
      </c>
    </row>
    <row r="3243" spans="1:29" ht="11.65" x14ac:dyDescent="0.35">
      <c r="A3243" s="12">
        <v>3226</v>
      </c>
      <c r="B3243" s="10" t="s">
        <v>1015</v>
      </c>
      <c r="C3243" s="18" t="s">
        <v>1240</v>
      </c>
      <c r="D3243" s="9"/>
      <c r="E3243" s="9">
        <v>642</v>
      </c>
      <c r="F3243" s="10" t="s">
        <v>1066</v>
      </c>
      <c r="G3243" s="9">
        <v>923</v>
      </c>
      <c r="H3243" s="9">
        <v>1950</v>
      </c>
      <c r="I3243" s="8">
        <v>837.02700000000004</v>
      </c>
      <c r="J3243" s="8">
        <v>661.55</v>
      </c>
      <c r="K3243" s="8">
        <v>808.91</v>
      </c>
      <c r="L3243" s="8">
        <v>815.82100000000003</v>
      </c>
      <c r="M3243" s="8">
        <v>793.18399999999997</v>
      </c>
      <c r="N3243" s="8">
        <v>653.39599999999996</v>
      </c>
      <c r="O3243" s="8">
        <v>368.185</v>
      </c>
      <c r="P3243" s="8">
        <v>565.46500000000003</v>
      </c>
      <c r="Q3243" s="8">
        <v>559.85299999999995</v>
      </c>
      <c r="R3243" s="8">
        <v>470.73</v>
      </c>
      <c r="S3243" s="8">
        <v>394.68099999999998</v>
      </c>
      <c r="T3243" s="8">
        <v>292.26</v>
      </c>
      <c r="U3243" s="8">
        <v>238.887</v>
      </c>
      <c r="V3243" s="8">
        <v>192.50700000000001</v>
      </c>
      <c r="W3243" s="8">
        <v>109.845</v>
      </c>
      <c r="X3243" s="8">
        <v>53.360999999999997</v>
      </c>
      <c r="Y3243" s="8">
        <v>22.745999999999999</v>
      </c>
      <c r="Z3243" s="8">
        <v>7.7969999999999997</v>
      </c>
      <c r="AA3243" s="8">
        <v>2.2269999999999999</v>
      </c>
      <c r="AB3243" s="8">
        <v>0.56100000000000005</v>
      </c>
      <c r="AC3243" s="8">
        <v>8.5999999999999993E-2</v>
      </c>
    </row>
    <row r="3244" spans="1:29" ht="11.65" x14ac:dyDescent="0.35">
      <c r="A3244" s="12">
        <v>3227</v>
      </c>
      <c r="B3244" s="10" t="s">
        <v>1015</v>
      </c>
      <c r="C3244" s="18" t="s">
        <v>1240</v>
      </c>
      <c r="D3244" s="9"/>
      <c r="E3244" s="9">
        <v>642</v>
      </c>
      <c r="F3244" s="10" t="s">
        <v>1066</v>
      </c>
      <c r="G3244" s="9">
        <v>923</v>
      </c>
      <c r="H3244" s="9">
        <v>1955</v>
      </c>
      <c r="I3244" s="8">
        <v>993.45600000000002</v>
      </c>
      <c r="J3244" s="8">
        <v>818.36800000000005</v>
      </c>
      <c r="K3244" s="8">
        <v>657.02099999999996</v>
      </c>
      <c r="L3244" s="8">
        <v>802.88499999999999</v>
      </c>
      <c r="M3244" s="8">
        <v>806.88900000000001</v>
      </c>
      <c r="N3244" s="8">
        <v>783.37</v>
      </c>
      <c r="O3244" s="8">
        <v>644.88300000000004</v>
      </c>
      <c r="P3244" s="8">
        <v>362.51400000000001</v>
      </c>
      <c r="Q3244" s="8">
        <v>554.50699999999995</v>
      </c>
      <c r="R3244" s="8">
        <v>544.04700000000003</v>
      </c>
      <c r="S3244" s="8">
        <v>450.24400000000003</v>
      </c>
      <c r="T3244" s="8">
        <v>367.41800000000001</v>
      </c>
      <c r="U3244" s="8">
        <v>260.94099999999997</v>
      </c>
      <c r="V3244" s="8">
        <v>199.5</v>
      </c>
      <c r="W3244" s="8">
        <v>144.49</v>
      </c>
      <c r="X3244" s="8">
        <v>70.37</v>
      </c>
      <c r="Y3244" s="8">
        <v>27.402999999999999</v>
      </c>
      <c r="Z3244" s="8">
        <v>8.6579999999999995</v>
      </c>
      <c r="AA3244" s="8">
        <v>2.0739999999999998</v>
      </c>
      <c r="AB3244" s="8">
        <v>0.38900000000000001</v>
      </c>
      <c r="AC3244" s="8">
        <v>6.7000000000000004E-2</v>
      </c>
    </row>
    <row r="3245" spans="1:29" ht="11.65" x14ac:dyDescent="0.35">
      <c r="A3245" s="12">
        <v>3228</v>
      </c>
      <c r="B3245" s="10" t="s">
        <v>1015</v>
      </c>
      <c r="C3245" s="18" t="s">
        <v>1240</v>
      </c>
      <c r="D3245" s="9"/>
      <c r="E3245" s="9">
        <v>642</v>
      </c>
      <c r="F3245" s="10" t="s">
        <v>1066</v>
      </c>
      <c r="G3245" s="9">
        <v>923</v>
      </c>
      <c r="H3245" s="9">
        <v>1960</v>
      </c>
      <c r="I3245" s="8">
        <v>952.56899999999996</v>
      </c>
      <c r="J3245" s="8">
        <v>975.46</v>
      </c>
      <c r="K3245" s="8">
        <v>813.71900000000005</v>
      </c>
      <c r="L3245" s="8">
        <v>652.87900000000002</v>
      </c>
      <c r="M3245" s="8">
        <v>795.42399999999998</v>
      </c>
      <c r="N3245" s="8">
        <v>798.39400000000001</v>
      </c>
      <c r="O3245" s="8">
        <v>774.70500000000004</v>
      </c>
      <c r="P3245" s="8">
        <v>636.447</v>
      </c>
      <c r="Q3245" s="8">
        <v>356.37799999999999</v>
      </c>
      <c r="R3245" s="8">
        <v>540.68499999999995</v>
      </c>
      <c r="S3245" s="8">
        <v>522.79</v>
      </c>
      <c r="T3245" s="8">
        <v>421.78</v>
      </c>
      <c r="U3245" s="8">
        <v>330.81299999999999</v>
      </c>
      <c r="V3245" s="8">
        <v>220.47900000000001</v>
      </c>
      <c r="W3245" s="8">
        <v>152.23599999999999</v>
      </c>
      <c r="X3245" s="8">
        <v>94.631</v>
      </c>
      <c r="Y3245" s="8">
        <v>37.106000000000002</v>
      </c>
      <c r="Z3245" s="8">
        <v>10.736000000000001</v>
      </c>
      <c r="AA3245" s="8">
        <v>2.3679999999999999</v>
      </c>
      <c r="AB3245" s="8">
        <v>0.371</v>
      </c>
      <c r="AC3245" s="8">
        <v>4.8000000000000001E-2</v>
      </c>
    </row>
    <row r="3246" spans="1:29" ht="11.65" x14ac:dyDescent="0.35">
      <c r="A3246" s="12">
        <v>3229</v>
      </c>
      <c r="B3246" s="10" t="s">
        <v>1015</v>
      </c>
      <c r="C3246" s="18" t="s">
        <v>1240</v>
      </c>
      <c r="D3246" s="9"/>
      <c r="E3246" s="9">
        <v>642</v>
      </c>
      <c r="F3246" s="10" t="s">
        <v>1066</v>
      </c>
      <c r="G3246" s="9">
        <v>923</v>
      </c>
      <c r="H3246" s="9">
        <v>1965</v>
      </c>
      <c r="I3246" s="8">
        <v>755.495</v>
      </c>
      <c r="J3246" s="8">
        <v>943.33299999999997</v>
      </c>
      <c r="K3246" s="8">
        <v>971.83699999999999</v>
      </c>
      <c r="L3246" s="8">
        <v>809.89</v>
      </c>
      <c r="M3246" s="8">
        <v>647.97299999999996</v>
      </c>
      <c r="N3246" s="8">
        <v>788.72400000000005</v>
      </c>
      <c r="O3246" s="8">
        <v>790.85199999999998</v>
      </c>
      <c r="P3246" s="8">
        <v>765.68899999999996</v>
      </c>
      <c r="Q3246" s="8">
        <v>627.24900000000002</v>
      </c>
      <c r="R3246" s="8">
        <v>348.57100000000003</v>
      </c>
      <c r="S3246" s="8">
        <v>522.05799999999999</v>
      </c>
      <c r="T3246" s="8">
        <v>494.81799999999998</v>
      </c>
      <c r="U3246" s="8">
        <v>386.11599999999999</v>
      </c>
      <c r="V3246" s="8">
        <v>286.89800000000002</v>
      </c>
      <c r="W3246" s="8">
        <v>176.22</v>
      </c>
      <c r="X3246" s="8">
        <v>106.34699999999999</v>
      </c>
      <c r="Y3246" s="8">
        <v>52.41</v>
      </c>
      <c r="Z3246" s="8">
        <v>14.863</v>
      </c>
      <c r="AA3246" s="8">
        <v>2.7440000000000002</v>
      </c>
      <c r="AB3246" s="8">
        <v>0.316</v>
      </c>
      <c r="AC3246" s="8">
        <v>2.7E-2</v>
      </c>
    </row>
    <row r="3247" spans="1:29" ht="11.65" x14ac:dyDescent="0.35">
      <c r="A3247" s="12">
        <v>3230</v>
      </c>
      <c r="B3247" s="10" t="s">
        <v>1015</v>
      </c>
      <c r="C3247" s="18" t="s">
        <v>1240</v>
      </c>
      <c r="D3247" s="9"/>
      <c r="E3247" s="9">
        <v>642</v>
      </c>
      <c r="F3247" s="10" t="s">
        <v>1066</v>
      </c>
      <c r="G3247" s="9">
        <v>923</v>
      </c>
      <c r="H3247" s="9">
        <v>1970</v>
      </c>
      <c r="I3247" s="8">
        <v>1038.008</v>
      </c>
      <c r="J3247" s="8">
        <v>747.85799999999995</v>
      </c>
      <c r="K3247" s="8">
        <v>939.67700000000002</v>
      </c>
      <c r="L3247" s="8">
        <v>967.37199999999996</v>
      </c>
      <c r="M3247" s="8">
        <v>804.22</v>
      </c>
      <c r="N3247" s="8">
        <v>642.37599999999998</v>
      </c>
      <c r="O3247" s="8">
        <v>780.995</v>
      </c>
      <c r="P3247" s="8">
        <v>781.42600000000004</v>
      </c>
      <c r="Q3247" s="8">
        <v>753.29700000000003</v>
      </c>
      <c r="R3247" s="8">
        <v>612.726</v>
      </c>
      <c r="S3247" s="8">
        <v>335.84399999999999</v>
      </c>
      <c r="T3247" s="8">
        <v>492.29899999999998</v>
      </c>
      <c r="U3247" s="8">
        <v>450.32900000000001</v>
      </c>
      <c r="V3247" s="8">
        <v>329.733</v>
      </c>
      <c r="W3247" s="8">
        <v>221.405</v>
      </c>
      <c r="X3247" s="8">
        <v>117.235</v>
      </c>
      <c r="Y3247" s="8">
        <v>55.622</v>
      </c>
      <c r="Z3247" s="8">
        <v>19.405000000000001</v>
      </c>
      <c r="AA3247" s="8">
        <v>3.581</v>
      </c>
      <c r="AB3247" s="8">
        <v>0.35</v>
      </c>
      <c r="AC3247" s="8">
        <v>2.1000000000000001E-2</v>
      </c>
    </row>
    <row r="3248" spans="1:29" ht="11.65" x14ac:dyDescent="0.35">
      <c r="A3248" s="12">
        <v>3231</v>
      </c>
      <c r="B3248" s="10" t="s">
        <v>1015</v>
      </c>
      <c r="C3248" s="18" t="s">
        <v>1240</v>
      </c>
      <c r="D3248" s="9"/>
      <c r="E3248" s="9">
        <v>642</v>
      </c>
      <c r="F3248" s="10" t="s">
        <v>1066</v>
      </c>
      <c r="G3248" s="9">
        <v>923</v>
      </c>
      <c r="H3248" s="9">
        <v>1975</v>
      </c>
      <c r="I3248" s="8">
        <v>1035.001</v>
      </c>
      <c r="J3248" s="8">
        <v>1029.866</v>
      </c>
      <c r="K3248" s="8">
        <v>745.23099999999999</v>
      </c>
      <c r="L3248" s="8">
        <v>935.79</v>
      </c>
      <c r="M3248" s="8">
        <v>960.97500000000002</v>
      </c>
      <c r="N3248" s="8">
        <v>797.95600000000002</v>
      </c>
      <c r="O3248" s="8">
        <v>636.61699999999996</v>
      </c>
      <c r="P3248" s="8">
        <v>771.93100000000004</v>
      </c>
      <c r="Q3248" s="8">
        <v>769.04899999999998</v>
      </c>
      <c r="R3248" s="8">
        <v>735.97900000000004</v>
      </c>
      <c r="S3248" s="8">
        <v>591.45600000000002</v>
      </c>
      <c r="T3248" s="8">
        <v>317.459</v>
      </c>
      <c r="U3248" s="8">
        <v>449.721</v>
      </c>
      <c r="V3248" s="8">
        <v>389.65800000000002</v>
      </c>
      <c r="W3248" s="8">
        <v>260.54000000000002</v>
      </c>
      <c r="X3248" s="8">
        <v>150.80500000000001</v>
      </c>
      <c r="Y3248" s="8">
        <v>63.295000000000002</v>
      </c>
      <c r="Z3248" s="8">
        <v>21.762</v>
      </c>
      <c r="AA3248" s="8">
        <v>4.93</v>
      </c>
      <c r="AB3248" s="8">
        <v>0.48799999999999999</v>
      </c>
      <c r="AC3248" s="8">
        <v>2.5000000000000001E-2</v>
      </c>
    </row>
    <row r="3249" spans="1:29" ht="11.65" x14ac:dyDescent="0.35">
      <c r="A3249" s="12">
        <v>3232</v>
      </c>
      <c r="B3249" s="10" t="s">
        <v>1015</v>
      </c>
      <c r="C3249" s="18" t="s">
        <v>1240</v>
      </c>
      <c r="D3249" s="9"/>
      <c r="E3249" s="9">
        <v>642</v>
      </c>
      <c r="F3249" s="10" t="s">
        <v>1066</v>
      </c>
      <c r="G3249" s="9">
        <v>923</v>
      </c>
      <c r="H3249" s="9">
        <v>1980</v>
      </c>
      <c r="I3249" s="8">
        <v>1052.8430000000001</v>
      </c>
      <c r="J3249" s="8">
        <v>1025.547</v>
      </c>
      <c r="K3249" s="8">
        <v>1025.2049999999999</v>
      </c>
      <c r="L3249" s="8">
        <v>739.15599999999995</v>
      </c>
      <c r="M3249" s="8">
        <v>922.65300000000002</v>
      </c>
      <c r="N3249" s="8">
        <v>944.61</v>
      </c>
      <c r="O3249" s="8">
        <v>783.00599999999997</v>
      </c>
      <c r="P3249" s="8">
        <v>623.08199999999999</v>
      </c>
      <c r="Q3249" s="8">
        <v>754.28599999999994</v>
      </c>
      <c r="R3249" s="8">
        <v>746.38400000000001</v>
      </c>
      <c r="S3249" s="8">
        <v>705.56399999999996</v>
      </c>
      <c r="T3249" s="8">
        <v>555.50900000000001</v>
      </c>
      <c r="U3249" s="8">
        <v>288.714</v>
      </c>
      <c r="V3249" s="8">
        <v>388.82600000000002</v>
      </c>
      <c r="W3249" s="8">
        <v>309.02499999999998</v>
      </c>
      <c r="X3249" s="8">
        <v>179.083</v>
      </c>
      <c r="Y3249" s="8">
        <v>81.168000000000006</v>
      </c>
      <c r="Z3249" s="8">
        <v>23.844000000000001</v>
      </c>
      <c r="AA3249" s="8">
        <v>5.0999999999999996</v>
      </c>
      <c r="AB3249" s="8">
        <v>0.58699999999999997</v>
      </c>
      <c r="AC3249" s="8">
        <v>1.2E-2</v>
      </c>
    </row>
    <row r="3250" spans="1:29" ht="11.65" x14ac:dyDescent="0.35">
      <c r="A3250" s="12">
        <v>3233</v>
      </c>
      <c r="B3250" s="10" t="s">
        <v>1015</v>
      </c>
      <c r="C3250" s="18" t="s">
        <v>1240</v>
      </c>
      <c r="D3250" s="9"/>
      <c r="E3250" s="9">
        <v>642</v>
      </c>
      <c r="F3250" s="10" t="s">
        <v>1066</v>
      </c>
      <c r="G3250" s="9">
        <v>923</v>
      </c>
      <c r="H3250" s="9">
        <v>1985</v>
      </c>
      <c r="I3250" s="8">
        <v>901.85900000000004</v>
      </c>
      <c r="J3250" s="8">
        <v>1041.377</v>
      </c>
      <c r="K3250" s="8">
        <v>1019.441</v>
      </c>
      <c r="L3250" s="8">
        <v>1015.029</v>
      </c>
      <c r="M3250" s="8">
        <v>720.01700000000005</v>
      </c>
      <c r="N3250" s="8">
        <v>896.88</v>
      </c>
      <c r="O3250" s="8">
        <v>919.56600000000003</v>
      </c>
      <c r="P3250" s="8">
        <v>761.05499999999995</v>
      </c>
      <c r="Q3250" s="8">
        <v>602.66099999999994</v>
      </c>
      <c r="R3250" s="8">
        <v>725.91800000000001</v>
      </c>
      <c r="S3250" s="8">
        <v>709.49</v>
      </c>
      <c r="T3250" s="8">
        <v>657.05899999999997</v>
      </c>
      <c r="U3250" s="8">
        <v>501.798</v>
      </c>
      <c r="V3250" s="8">
        <v>247.65899999999999</v>
      </c>
      <c r="W3250" s="8">
        <v>307.07499999999999</v>
      </c>
      <c r="X3250" s="8">
        <v>213.34200000000001</v>
      </c>
      <c r="Y3250" s="8">
        <v>98.474999999999994</v>
      </c>
      <c r="Z3250" s="8">
        <v>31.863</v>
      </c>
      <c r="AA3250" s="8">
        <v>6.0570000000000004</v>
      </c>
      <c r="AB3250" s="8">
        <v>0.77100000000000002</v>
      </c>
      <c r="AC3250" s="8">
        <v>4.9000000000000002E-2</v>
      </c>
    </row>
    <row r="3251" spans="1:29" ht="11.65" x14ac:dyDescent="0.35">
      <c r="A3251" s="12">
        <v>3234</v>
      </c>
      <c r="B3251" s="10" t="s">
        <v>1015</v>
      </c>
      <c r="C3251" s="18" t="s">
        <v>1240</v>
      </c>
      <c r="D3251" s="9"/>
      <c r="E3251" s="9">
        <v>642</v>
      </c>
      <c r="F3251" s="10" t="s">
        <v>1066</v>
      </c>
      <c r="G3251" s="9">
        <v>923</v>
      </c>
      <c r="H3251" s="9">
        <v>1990</v>
      </c>
      <c r="I3251" s="8">
        <v>931.48900000000003</v>
      </c>
      <c r="J3251" s="8">
        <v>891.10900000000004</v>
      </c>
      <c r="K3251" s="8">
        <v>1035.4000000000001</v>
      </c>
      <c r="L3251" s="8">
        <v>1009.287</v>
      </c>
      <c r="M3251" s="8">
        <v>994.30799999999999</v>
      </c>
      <c r="N3251" s="8">
        <v>695.85400000000004</v>
      </c>
      <c r="O3251" s="8">
        <v>871.77200000000005</v>
      </c>
      <c r="P3251" s="8">
        <v>894.94899999999996</v>
      </c>
      <c r="Q3251" s="8">
        <v>737.36099999999999</v>
      </c>
      <c r="R3251" s="8">
        <v>577.66600000000005</v>
      </c>
      <c r="S3251" s="8">
        <v>686.64200000000005</v>
      </c>
      <c r="T3251" s="8">
        <v>657.22299999999996</v>
      </c>
      <c r="U3251" s="8">
        <v>589.74800000000005</v>
      </c>
      <c r="V3251" s="8">
        <v>430.471</v>
      </c>
      <c r="W3251" s="8">
        <v>195.923</v>
      </c>
      <c r="X3251" s="8">
        <v>212.678</v>
      </c>
      <c r="Y3251" s="8">
        <v>118.994</v>
      </c>
      <c r="Z3251" s="8">
        <v>39.357999999999997</v>
      </c>
      <c r="AA3251" s="8">
        <v>8.2680000000000007</v>
      </c>
      <c r="AB3251" s="8">
        <v>0.93799999999999994</v>
      </c>
      <c r="AC3251" s="8">
        <v>6.7000000000000004E-2</v>
      </c>
    </row>
    <row r="3252" spans="1:29" ht="11.65" x14ac:dyDescent="0.35">
      <c r="A3252" s="12">
        <v>3235</v>
      </c>
      <c r="B3252" s="10" t="s">
        <v>1015</v>
      </c>
      <c r="C3252" s="18" t="s">
        <v>1240</v>
      </c>
      <c r="D3252" s="9"/>
      <c r="E3252" s="9">
        <v>642</v>
      </c>
      <c r="F3252" s="10" t="s">
        <v>1066</v>
      </c>
      <c r="G3252" s="9">
        <v>923</v>
      </c>
      <c r="H3252" s="9">
        <v>1995</v>
      </c>
      <c r="I3252" s="8">
        <v>649.54100000000005</v>
      </c>
      <c r="J3252" s="8">
        <v>914.68100000000004</v>
      </c>
      <c r="K3252" s="8">
        <v>882.096</v>
      </c>
      <c r="L3252" s="8">
        <v>1015.53</v>
      </c>
      <c r="M3252" s="8">
        <v>965.56600000000003</v>
      </c>
      <c r="N3252" s="8">
        <v>938.87400000000002</v>
      </c>
      <c r="O3252" s="8">
        <v>647.36900000000003</v>
      </c>
      <c r="P3252" s="8">
        <v>827.46100000000001</v>
      </c>
      <c r="Q3252" s="8">
        <v>851.81600000000003</v>
      </c>
      <c r="R3252" s="8">
        <v>696.12199999999996</v>
      </c>
      <c r="S3252" s="8">
        <v>536.58299999999997</v>
      </c>
      <c r="T3252" s="8">
        <v>625.94200000000001</v>
      </c>
      <c r="U3252" s="8">
        <v>581.59699999999998</v>
      </c>
      <c r="V3252" s="8">
        <v>498.2</v>
      </c>
      <c r="W3252" s="8">
        <v>337.44499999999999</v>
      </c>
      <c r="X3252" s="8">
        <v>134.982</v>
      </c>
      <c r="Y3252" s="8">
        <v>118.986</v>
      </c>
      <c r="Z3252" s="8">
        <v>49.036999999999999</v>
      </c>
      <c r="AA3252" s="8">
        <v>10.852</v>
      </c>
      <c r="AB3252" s="8">
        <v>1.407</v>
      </c>
      <c r="AC3252" s="8">
        <v>9.0999999999999998E-2</v>
      </c>
    </row>
    <row r="3253" spans="1:29" ht="11.65" x14ac:dyDescent="0.35">
      <c r="A3253" s="12">
        <v>3236</v>
      </c>
      <c r="B3253" s="10" t="s">
        <v>1015</v>
      </c>
      <c r="C3253" s="18" t="s">
        <v>1240</v>
      </c>
      <c r="D3253" s="9"/>
      <c r="E3253" s="9">
        <v>642</v>
      </c>
      <c r="F3253" s="10" t="s">
        <v>1066</v>
      </c>
      <c r="G3253" s="9">
        <v>923</v>
      </c>
      <c r="H3253" s="9">
        <v>2000</v>
      </c>
      <c r="I3253" s="8">
        <v>565.11599999999999</v>
      </c>
      <c r="J3253" s="8">
        <v>637.38699999999994</v>
      </c>
      <c r="K3253" s="8">
        <v>906.55499999999995</v>
      </c>
      <c r="L3253" s="8">
        <v>866.46699999999998</v>
      </c>
      <c r="M3253" s="8">
        <v>957.22500000000002</v>
      </c>
      <c r="N3253" s="8">
        <v>874.59699999999998</v>
      </c>
      <c r="O3253" s="8">
        <v>874.46799999999996</v>
      </c>
      <c r="P3253" s="8">
        <v>613.87599999999998</v>
      </c>
      <c r="Q3253" s="8">
        <v>789.375</v>
      </c>
      <c r="R3253" s="8">
        <v>806.22900000000004</v>
      </c>
      <c r="S3253" s="8">
        <v>648.25900000000001</v>
      </c>
      <c r="T3253" s="8">
        <v>487.43099999999998</v>
      </c>
      <c r="U3253" s="8">
        <v>550.73599999999999</v>
      </c>
      <c r="V3253" s="8">
        <v>489.041</v>
      </c>
      <c r="W3253" s="8">
        <v>389.42500000000001</v>
      </c>
      <c r="X3253" s="8">
        <v>234.62</v>
      </c>
      <c r="Y3253" s="8">
        <v>76.149000000000001</v>
      </c>
      <c r="Z3253" s="8">
        <v>48.170999999999999</v>
      </c>
      <c r="AA3253" s="8">
        <v>12.836</v>
      </c>
      <c r="AB3253" s="8">
        <v>1.673</v>
      </c>
      <c r="AC3253" s="8">
        <v>0.115</v>
      </c>
    </row>
    <row r="3254" spans="1:29" ht="11.65" x14ac:dyDescent="0.35">
      <c r="A3254" s="12">
        <v>3237</v>
      </c>
      <c r="B3254" s="10" t="s">
        <v>1015</v>
      </c>
      <c r="C3254" s="18" t="s">
        <v>1240</v>
      </c>
      <c r="D3254" s="9"/>
      <c r="E3254" s="9">
        <v>642</v>
      </c>
      <c r="F3254" s="10" t="s">
        <v>1066</v>
      </c>
      <c r="G3254" s="9">
        <v>923</v>
      </c>
      <c r="H3254" s="9">
        <v>2005</v>
      </c>
      <c r="I3254" s="8">
        <v>535.84100000000001</v>
      </c>
      <c r="J3254" s="8">
        <v>560.63</v>
      </c>
      <c r="K3254" s="8">
        <v>632.351</v>
      </c>
      <c r="L3254" s="8">
        <v>890.596</v>
      </c>
      <c r="M3254" s="8">
        <v>802.01900000000001</v>
      </c>
      <c r="N3254" s="8">
        <v>873.39599999999996</v>
      </c>
      <c r="O3254" s="8">
        <v>832.73699999999997</v>
      </c>
      <c r="P3254" s="8">
        <v>853.97699999999998</v>
      </c>
      <c r="Q3254" s="8">
        <v>594.63400000000001</v>
      </c>
      <c r="R3254" s="8">
        <v>753.93899999999996</v>
      </c>
      <c r="S3254" s="8">
        <v>755.97</v>
      </c>
      <c r="T3254" s="8">
        <v>594.75699999999995</v>
      </c>
      <c r="U3254" s="8">
        <v>432.40899999999999</v>
      </c>
      <c r="V3254" s="8">
        <v>467.19400000000002</v>
      </c>
      <c r="W3254" s="8">
        <v>388.012</v>
      </c>
      <c r="X3254" s="8">
        <v>276.31400000000002</v>
      </c>
      <c r="Y3254" s="8">
        <v>139.34100000000001</v>
      </c>
      <c r="Z3254" s="8">
        <v>35.225999999999999</v>
      </c>
      <c r="AA3254" s="8">
        <v>16.093</v>
      </c>
      <c r="AB3254" s="8">
        <v>2.9020000000000001</v>
      </c>
      <c r="AC3254" s="8">
        <v>0.23799999999999999</v>
      </c>
    </row>
    <row r="3255" spans="1:29" ht="11.65" x14ac:dyDescent="0.35">
      <c r="A3255" s="12">
        <v>3238</v>
      </c>
      <c r="B3255" s="10" t="s">
        <v>1015</v>
      </c>
      <c r="C3255" s="18" t="s">
        <v>1240</v>
      </c>
      <c r="D3255" s="9"/>
      <c r="E3255" s="9">
        <v>642</v>
      </c>
      <c r="F3255" s="10" t="s">
        <v>1066</v>
      </c>
      <c r="G3255" s="9">
        <v>923</v>
      </c>
      <c r="H3255" s="9">
        <v>2010</v>
      </c>
      <c r="I3255" s="8">
        <v>569.54600000000005</v>
      </c>
      <c r="J3255" s="8">
        <v>528.54700000000003</v>
      </c>
      <c r="K3255" s="8">
        <v>559.178</v>
      </c>
      <c r="L3255" s="8">
        <v>615.78300000000002</v>
      </c>
      <c r="M3255" s="8">
        <v>783.63900000000001</v>
      </c>
      <c r="N3255" s="8">
        <v>657.65599999999995</v>
      </c>
      <c r="O3255" s="8">
        <v>814.52</v>
      </c>
      <c r="P3255" s="8">
        <v>806.11199999999997</v>
      </c>
      <c r="Q3255" s="8">
        <v>818.38</v>
      </c>
      <c r="R3255" s="8">
        <v>568.07299999999998</v>
      </c>
      <c r="S3255" s="8">
        <v>709.20100000000002</v>
      </c>
      <c r="T3255" s="8">
        <v>695.66499999999996</v>
      </c>
      <c r="U3255" s="8">
        <v>531.64099999999996</v>
      </c>
      <c r="V3255" s="8">
        <v>370.97399999999999</v>
      </c>
      <c r="W3255" s="8">
        <v>376.39600000000002</v>
      </c>
      <c r="X3255" s="8">
        <v>282.64</v>
      </c>
      <c r="Y3255" s="8">
        <v>169.84299999999999</v>
      </c>
      <c r="Z3255" s="8">
        <v>66.239999999999995</v>
      </c>
      <c r="AA3255" s="8">
        <v>11.959</v>
      </c>
      <c r="AB3255" s="8">
        <v>3.621</v>
      </c>
      <c r="AC3255" s="8">
        <v>0.40400000000000003</v>
      </c>
    </row>
    <row r="3256" spans="1:29" ht="11.65" x14ac:dyDescent="0.35">
      <c r="A3256" s="12">
        <v>3239</v>
      </c>
      <c r="B3256" s="10" t="s">
        <v>1015</v>
      </c>
      <c r="C3256" s="18" t="s">
        <v>1240</v>
      </c>
      <c r="D3256" s="9"/>
      <c r="E3256" s="9">
        <v>642</v>
      </c>
      <c r="F3256" s="10" t="s">
        <v>1066</v>
      </c>
      <c r="G3256" s="9">
        <v>923</v>
      </c>
      <c r="H3256" s="9">
        <v>2015</v>
      </c>
      <c r="I3256" s="8">
        <v>505.06900000000002</v>
      </c>
      <c r="J3256" s="8">
        <v>560.21</v>
      </c>
      <c r="K3256" s="8">
        <v>523.79399999999998</v>
      </c>
      <c r="L3256" s="8">
        <v>551.25400000000002</v>
      </c>
      <c r="M3256" s="8">
        <v>599.14300000000003</v>
      </c>
      <c r="N3256" s="8">
        <v>762.11199999999997</v>
      </c>
      <c r="O3256" s="8">
        <v>638.76</v>
      </c>
      <c r="P3256" s="8">
        <v>797.14200000000005</v>
      </c>
      <c r="Q3256" s="8">
        <v>788.11800000000005</v>
      </c>
      <c r="R3256" s="8">
        <v>794.80399999999997</v>
      </c>
      <c r="S3256" s="8">
        <v>542.38199999999995</v>
      </c>
      <c r="T3256" s="8">
        <v>661.27599999999995</v>
      </c>
      <c r="U3256" s="8">
        <v>628.827</v>
      </c>
      <c r="V3256" s="8">
        <v>463.291</v>
      </c>
      <c r="W3256" s="8">
        <v>305.846</v>
      </c>
      <c r="X3256" s="8">
        <v>282.50799999999998</v>
      </c>
      <c r="Y3256" s="8">
        <v>181.38399999999999</v>
      </c>
      <c r="Z3256" s="8">
        <v>86.063000000000002</v>
      </c>
      <c r="AA3256" s="8">
        <v>24.372</v>
      </c>
      <c r="AB3256" s="8">
        <v>2.9369999999999998</v>
      </c>
      <c r="AC3256" s="8">
        <v>0.56999999999999995</v>
      </c>
    </row>
    <row r="3257" spans="1:29" ht="11.65" x14ac:dyDescent="0.35">
      <c r="A3257" s="12">
        <v>3240</v>
      </c>
      <c r="B3257" s="10" t="s">
        <v>1015</v>
      </c>
      <c r="C3257" s="18" t="s">
        <v>1240</v>
      </c>
      <c r="D3257" s="9"/>
      <c r="E3257" s="9">
        <v>642</v>
      </c>
      <c r="F3257" s="10" t="s">
        <v>1066</v>
      </c>
      <c r="G3257" s="9">
        <v>923</v>
      </c>
      <c r="H3257" s="9">
        <v>2020</v>
      </c>
      <c r="I3257" s="8">
        <v>482.78300000000002</v>
      </c>
      <c r="J3257" s="8">
        <v>496.28300000000002</v>
      </c>
      <c r="K3257" s="8">
        <v>555.26499999999999</v>
      </c>
      <c r="L3257" s="8">
        <v>511.303</v>
      </c>
      <c r="M3257" s="8">
        <v>522.529</v>
      </c>
      <c r="N3257" s="8">
        <v>562.625</v>
      </c>
      <c r="O3257" s="8">
        <v>729.16300000000001</v>
      </c>
      <c r="P3257" s="8">
        <v>613.30600000000004</v>
      </c>
      <c r="Q3257" s="8">
        <v>773.36800000000005</v>
      </c>
      <c r="R3257" s="8">
        <v>762.81100000000004</v>
      </c>
      <c r="S3257" s="8">
        <v>761.72400000000005</v>
      </c>
      <c r="T3257" s="8">
        <v>505.63900000000001</v>
      </c>
      <c r="U3257" s="8">
        <v>596.07500000000005</v>
      </c>
      <c r="V3257" s="8">
        <v>548.02300000000002</v>
      </c>
      <c r="W3257" s="8">
        <v>385.51900000000001</v>
      </c>
      <c r="X3257" s="8">
        <v>232.23400000000001</v>
      </c>
      <c r="Y3257" s="8">
        <v>183.53</v>
      </c>
      <c r="Z3257" s="8">
        <v>93.316000000000003</v>
      </c>
      <c r="AA3257" s="8">
        <v>31.959</v>
      </c>
      <c r="AB3257" s="8">
        <v>5.97</v>
      </c>
      <c r="AC3257" s="8">
        <v>0.48699999999999999</v>
      </c>
    </row>
    <row r="3258" spans="1:29" ht="11.65" x14ac:dyDescent="0.35">
      <c r="A3258" s="12">
        <v>3241</v>
      </c>
      <c r="B3258" s="10" t="s">
        <v>1015</v>
      </c>
      <c r="C3258" s="18" t="s">
        <v>1241</v>
      </c>
      <c r="D3258" s="9"/>
      <c r="E3258" s="9">
        <v>643</v>
      </c>
      <c r="F3258" s="10" t="s">
        <v>1066</v>
      </c>
      <c r="G3258" s="9">
        <v>923</v>
      </c>
      <c r="H3258" s="9">
        <v>1950</v>
      </c>
      <c r="I3258" s="8">
        <v>5650.4179999999997</v>
      </c>
      <c r="J3258" s="8">
        <v>3481.8130000000001</v>
      </c>
      <c r="K3258" s="8">
        <v>6408.1760000000004</v>
      </c>
      <c r="L3258" s="8">
        <v>4987.74</v>
      </c>
      <c r="M3258" s="8">
        <v>5746.8850000000002</v>
      </c>
      <c r="N3258" s="8">
        <v>3198.6370000000002</v>
      </c>
      <c r="O3258" s="8">
        <v>2375.5650000000001</v>
      </c>
      <c r="P3258" s="8">
        <v>2893.7539999999999</v>
      </c>
      <c r="Q3258" s="8">
        <v>2551.1089999999999</v>
      </c>
      <c r="R3258" s="8">
        <v>1931.2339999999999</v>
      </c>
      <c r="S3258" s="8">
        <v>1497.097</v>
      </c>
      <c r="T3258" s="8">
        <v>1270.298</v>
      </c>
      <c r="U3258" s="8">
        <v>997.47</v>
      </c>
      <c r="V3258" s="8">
        <v>735.01599999999996</v>
      </c>
      <c r="W3258" s="8">
        <v>448.947</v>
      </c>
      <c r="X3258" s="8">
        <v>248.065</v>
      </c>
      <c r="Y3258" s="8">
        <v>100.27800000000001</v>
      </c>
      <c r="Z3258" s="8">
        <v>36.530999999999999</v>
      </c>
      <c r="AA3258" s="8">
        <v>11.49</v>
      </c>
      <c r="AB3258" s="8">
        <v>3.8079999999999998</v>
      </c>
      <c r="AC3258" s="8">
        <v>1.454</v>
      </c>
    </row>
    <row r="3259" spans="1:29" ht="11.65" x14ac:dyDescent="0.35">
      <c r="A3259" s="12">
        <v>3242</v>
      </c>
      <c r="B3259" s="10" t="s">
        <v>1015</v>
      </c>
      <c r="C3259" s="18" t="s">
        <v>1241</v>
      </c>
      <c r="D3259" s="9"/>
      <c r="E3259" s="9">
        <v>643</v>
      </c>
      <c r="F3259" s="10" t="s">
        <v>1066</v>
      </c>
      <c r="G3259" s="9">
        <v>923</v>
      </c>
      <c r="H3259" s="9">
        <v>1955</v>
      </c>
      <c r="I3259" s="8">
        <v>6551.6379999999999</v>
      </c>
      <c r="J3259" s="8">
        <v>5404.4880000000003</v>
      </c>
      <c r="K3259" s="8">
        <v>3446.183</v>
      </c>
      <c r="L3259" s="8">
        <v>6386.1139999999996</v>
      </c>
      <c r="M3259" s="8">
        <v>4926.8040000000001</v>
      </c>
      <c r="N3259" s="8">
        <v>5665.0529999999999</v>
      </c>
      <c r="O3259" s="8">
        <v>3132.837</v>
      </c>
      <c r="P3259" s="8">
        <v>2303.5639999999999</v>
      </c>
      <c r="Q3259" s="8">
        <v>2792.922</v>
      </c>
      <c r="R3259" s="8">
        <v>2428.5540000000001</v>
      </c>
      <c r="S3259" s="8">
        <v>1796.663</v>
      </c>
      <c r="T3259" s="8">
        <v>1350.931</v>
      </c>
      <c r="U3259" s="8">
        <v>1101.1980000000001</v>
      </c>
      <c r="V3259" s="8">
        <v>813.02099999999996</v>
      </c>
      <c r="W3259" s="8">
        <v>554.76</v>
      </c>
      <c r="X3259" s="8">
        <v>296.49599999999998</v>
      </c>
      <c r="Y3259" s="8">
        <v>159.262</v>
      </c>
      <c r="Z3259" s="8">
        <v>39.073999999999998</v>
      </c>
      <c r="AA3259" s="8">
        <v>9.7629999999999999</v>
      </c>
      <c r="AB3259" s="8">
        <v>1.9019999999999999</v>
      </c>
      <c r="AC3259" s="8">
        <v>0.498</v>
      </c>
    </row>
    <row r="3260" spans="1:29" ht="11.65" x14ac:dyDescent="0.35">
      <c r="A3260" s="12">
        <v>3243</v>
      </c>
      <c r="B3260" s="10" t="s">
        <v>1015</v>
      </c>
      <c r="C3260" s="18" t="s">
        <v>1241</v>
      </c>
      <c r="D3260" s="9"/>
      <c r="E3260" s="9">
        <v>643</v>
      </c>
      <c r="F3260" s="10" t="s">
        <v>1066</v>
      </c>
      <c r="G3260" s="9">
        <v>923</v>
      </c>
      <c r="H3260" s="9">
        <v>1960</v>
      </c>
      <c r="I3260" s="8">
        <v>6770.5469999999996</v>
      </c>
      <c r="J3260" s="8">
        <v>6396.9430000000002</v>
      </c>
      <c r="K3260" s="8">
        <v>5366.4920000000002</v>
      </c>
      <c r="L3260" s="8">
        <v>3436.194</v>
      </c>
      <c r="M3260" s="8">
        <v>6206.5559999999996</v>
      </c>
      <c r="N3260" s="8">
        <v>4871.8990000000003</v>
      </c>
      <c r="O3260" s="8">
        <v>5573.4930000000004</v>
      </c>
      <c r="P3260" s="8">
        <v>2940.636</v>
      </c>
      <c r="Q3260" s="8">
        <v>2165.1080000000002</v>
      </c>
      <c r="R3260" s="8">
        <v>2714.3159999999998</v>
      </c>
      <c r="S3260" s="8">
        <v>2276.277</v>
      </c>
      <c r="T3260" s="8">
        <v>1626.9739999999999</v>
      </c>
      <c r="U3260" s="8">
        <v>1176.6590000000001</v>
      </c>
      <c r="V3260" s="8">
        <v>908.71400000000006</v>
      </c>
      <c r="W3260" s="8">
        <v>616.11599999999999</v>
      </c>
      <c r="X3260" s="8">
        <v>376.65800000000002</v>
      </c>
      <c r="Y3260" s="8">
        <v>190.28899999999999</v>
      </c>
      <c r="Z3260" s="8">
        <v>61.981999999999999</v>
      </c>
      <c r="AA3260" s="8">
        <v>10.175000000000001</v>
      </c>
      <c r="AB3260" s="8">
        <v>1.5249999999999999</v>
      </c>
      <c r="AC3260" s="8">
        <v>0.20799999999999999</v>
      </c>
    </row>
    <row r="3261" spans="1:29" ht="11.65" x14ac:dyDescent="0.35">
      <c r="A3261" s="12">
        <v>3244</v>
      </c>
      <c r="B3261" s="10" t="s">
        <v>1015</v>
      </c>
      <c r="C3261" s="18" t="s">
        <v>1241</v>
      </c>
      <c r="D3261" s="9"/>
      <c r="E3261" s="9">
        <v>643</v>
      </c>
      <c r="F3261" s="10" t="s">
        <v>1066</v>
      </c>
      <c r="G3261" s="9">
        <v>923</v>
      </c>
      <c r="H3261" s="9">
        <v>1965</v>
      </c>
      <c r="I3261" s="8">
        <v>5935.0039999999999</v>
      </c>
      <c r="J3261" s="8">
        <v>6730.6930000000002</v>
      </c>
      <c r="K3261" s="8">
        <v>6328.8819999999996</v>
      </c>
      <c r="L3261" s="8">
        <v>5364.4660000000003</v>
      </c>
      <c r="M3261" s="8">
        <v>3401.1869999999999</v>
      </c>
      <c r="N3261" s="8">
        <v>6044.5360000000001</v>
      </c>
      <c r="O3261" s="8">
        <v>4711.7370000000001</v>
      </c>
      <c r="P3261" s="8">
        <v>5398.9979999999996</v>
      </c>
      <c r="Q3261" s="8">
        <v>2828.7089999999998</v>
      </c>
      <c r="R3261" s="8">
        <v>2061.875</v>
      </c>
      <c r="S3261" s="8">
        <v>2570.64</v>
      </c>
      <c r="T3261" s="8">
        <v>2104.5859999999998</v>
      </c>
      <c r="U3261" s="8">
        <v>1448.9760000000001</v>
      </c>
      <c r="V3261" s="8">
        <v>968.94799999999998</v>
      </c>
      <c r="W3261" s="8">
        <v>692.10799999999995</v>
      </c>
      <c r="X3261" s="8">
        <v>414.971</v>
      </c>
      <c r="Y3261" s="8">
        <v>227.137</v>
      </c>
      <c r="Z3261" s="8">
        <v>74.680000000000007</v>
      </c>
      <c r="AA3261" s="8">
        <v>16.294</v>
      </c>
      <c r="AB3261" s="8">
        <v>1.6080000000000001</v>
      </c>
      <c r="AC3261" s="8">
        <v>0.152</v>
      </c>
    </row>
    <row r="3262" spans="1:29" ht="11.65" x14ac:dyDescent="0.35">
      <c r="A3262" s="12">
        <v>3245</v>
      </c>
      <c r="B3262" s="10" t="s">
        <v>1015</v>
      </c>
      <c r="C3262" s="18" t="s">
        <v>1241</v>
      </c>
      <c r="D3262" s="9"/>
      <c r="E3262" s="9">
        <v>643</v>
      </c>
      <c r="F3262" s="10" t="s">
        <v>1066</v>
      </c>
      <c r="G3262" s="9">
        <v>923</v>
      </c>
      <c r="H3262" s="9">
        <v>1970</v>
      </c>
      <c r="I3262" s="8">
        <v>4751.2030000000004</v>
      </c>
      <c r="J3262" s="8">
        <v>5907.3270000000002</v>
      </c>
      <c r="K3262" s="8">
        <v>6688.8419999999996</v>
      </c>
      <c r="L3262" s="8">
        <v>6241.0889999999999</v>
      </c>
      <c r="M3262" s="8">
        <v>5311.8829999999998</v>
      </c>
      <c r="N3262" s="8">
        <v>3345.373</v>
      </c>
      <c r="O3262" s="8">
        <v>5871.6139999999996</v>
      </c>
      <c r="P3262" s="8">
        <v>4538.5209999999997</v>
      </c>
      <c r="Q3262" s="8">
        <v>5179.4319999999998</v>
      </c>
      <c r="R3262" s="8">
        <v>2699.0569999999998</v>
      </c>
      <c r="S3262" s="8">
        <v>1933.6959999999999</v>
      </c>
      <c r="T3262" s="8">
        <v>2361.665</v>
      </c>
      <c r="U3262" s="8">
        <v>1852.5809999999999</v>
      </c>
      <c r="V3262" s="8">
        <v>1202.077</v>
      </c>
      <c r="W3262" s="8">
        <v>725.05700000000002</v>
      </c>
      <c r="X3262" s="8">
        <v>450.17500000000001</v>
      </c>
      <c r="Y3262" s="8">
        <v>237.374</v>
      </c>
      <c r="Z3262" s="8">
        <v>86.7</v>
      </c>
      <c r="AA3262" s="8">
        <v>18.983000000000001</v>
      </c>
      <c r="AB3262" s="8">
        <v>2.4710000000000001</v>
      </c>
      <c r="AC3262" s="8">
        <v>0.14699999999999999</v>
      </c>
    </row>
    <row r="3263" spans="1:29" ht="11.65" x14ac:dyDescent="0.35">
      <c r="A3263" s="12">
        <v>3246</v>
      </c>
      <c r="B3263" s="10" t="s">
        <v>1015</v>
      </c>
      <c r="C3263" s="18" t="s">
        <v>1241</v>
      </c>
      <c r="D3263" s="9"/>
      <c r="E3263" s="9">
        <v>643</v>
      </c>
      <c r="F3263" s="10" t="s">
        <v>1066</v>
      </c>
      <c r="G3263" s="9">
        <v>923</v>
      </c>
      <c r="H3263" s="9">
        <v>1975</v>
      </c>
      <c r="I3263" s="8">
        <v>5105.183</v>
      </c>
      <c r="J3263" s="8">
        <v>4697.1989999999996</v>
      </c>
      <c r="K3263" s="8">
        <v>5821.2349999999997</v>
      </c>
      <c r="L3263" s="8">
        <v>6557.4040000000005</v>
      </c>
      <c r="M3263" s="8">
        <v>6123.5320000000002</v>
      </c>
      <c r="N3263" s="8">
        <v>5157.1239999999998</v>
      </c>
      <c r="O3263" s="8">
        <v>3258.6239999999998</v>
      </c>
      <c r="P3263" s="8">
        <v>5687.875</v>
      </c>
      <c r="Q3263" s="8">
        <v>4336.674</v>
      </c>
      <c r="R3263" s="8">
        <v>4933.1189999999997</v>
      </c>
      <c r="S3263" s="8">
        <v>2539.3380000000002</v>
      </c>
      <c r="T3263" s="8">
        <v>1762.934</v>
      </c>
      <c r="U3263" s="8">
        <v>2084.7109999999998</v>
      </c>
      <c r="V3263" s="8">
        <v>1515.722</v>
      </c>
      <c r="W3263" s="8">
        <v>897.27200000000005</v>
      </c>
      <c r="X3263" s="8">
        <v>467.48500000000001</v>
      </c>
      <c r="Y3263" s="8">
        <v>261.46100000000001</v>
      </c>
      <c r="Z3263" s="8">
        <v>89.733999999999995</v>
      </c>
      <c r="AA3263" s="8">
        <v>22.085000000000001</v>
      </c>
      <c r="AB3263" s="8">
        <v>2.9209999999999998</v>
      </c>
      <c r="AC3263" s="8">
        <v>0.22600000000000001</v>
      </c>
    </row>
    <row r="3264" spans="1:29" ht="11.65" x14ac:dyDescent="0.35">
      <c r="A3264" s="12">
        <v>3247</v>
      </c>
      <c r="B3264" s="10" t="s">
        <v>1015</v>
      </c>
      <c r="C3264" s="18" t="s">
        <v>1241</v>
      </c>
      <c r="D3264" s="9"/>
      <c r="E3264" s="9">
        <v>643</v>
      </c>
      <c r="F3264" s="10" t="s">
        <v>1066</v>
      </c>
      <c r="G3264" s="9">
        <v>923</v>
      </c>
      <c r="H3264" s="9">
        <v>1980</v>
      </c>
      <c r="I3264" s="8">
        <v>5358.6369999999997</v>
      </c>
      <c r="J3264" s="8">
        <v>5061.7550000000001</v>
      </c>
      <c r="K3264" s="8">
        <v>4679.8739999999998</v>
      </c>
      <c r="L3264" s="8">
        <v>5847.15</v>
      </c>
      <c r="M3264" s="8">
        <v>6666.5709999999999</v>
      </c>
      <c r="N3264" s="8">
        <v>6104.482</v>
      </c>
      <c r="O3264" s="8">
        <v>5030.45</v>
      </c>
      <c r="P3264" s="8">
        <v>3159.2139999999999</v>
      </c>
      <c r="Q3264" s="8">
        <v>5461.393</v>
      </c>
      <c r="R3264" s="8">
        <v>4098.1329999999998</v>
      </c>
      <c r="S3264" s="8">
        <v>4588.5519999999997</v>
      </c>
      <c r="T3264" s="8">
        <v>2296.8380000000002</v>
      </c>
      <c r="U3264" s="8">
        <v>1530.691</v>
      </c>
      <c r="V3264" s="8">
        <v>1708.874</v>
      </c>
      <c r="W3264" s="8">
        <v>1138.1959999999999</v>
      </c>
      <c r="X3264" s="8">
        <v>585.41600000000005</v>
      </c>
      <c r="Y3264" s="8">
        <v>243.774</v>
      </c>
      <c r="Z3264" s="8">
        <v>106.02500000000001</v>
      </c>
      <c r="AA3264" s="8">
        <v>26.544</v>
      </c>
      <c r="AB3264" s="8">
        <v>4.4349999999999996</v>
      </c>
      <c r="AC3264" s="8">
        <v>0.39400000000000002</v>
      </c>
    </row>
    <row r="3265" spans="1:29" ht="11.65" x14ac:dyDescent="0.35">
      <c r="A3265" s="12">
        <v>3248</v>
      </c>
      <c r="B3265" s="10" t="s">
        <v>1015</v>
      </c>
      <c r="C3265" s="18" t="s">
        <v>1241</v>
      </c>
      <c r="D3265" s="9"/>
      <c r="E3265" s="9">
        <v>643</v>
      </c>
      <c r="F3265" s="10" t="s">
        <v>1066</v>
      </c>
      <c r="G3265" s="9">
        <v>923</v>
      </c>
      <c r="H3265" s="9">
        <v>1985</v>
      </c>
      <c r="I3265" s="8">
        <v>5896.43</v>
      </c>
      <c r="J3265" s="8">
        <v>5377.59</v>
      </c>
      <c r="K3265" s="8">
        <v>5094.6620000000003</v>
      </c>
      <c r="L3265" s="8">
        <v>4755.1689999999999</v>
      </c>
      <c r="M3265" s="8">
        <v>5947.3040000000001</v>
      </c>
      <c r="N3265" s="8">
        <v>6621.4790000000003</v>
      </c>
      <c r="O3265" s="8">
        <v>6015.2169999999996</v>
      </c>
      <c r="P3265" s="8">
        <v>4878.53</v>
      </c>
      <c r="Q3265" s="8">
        <v>3046.4380000000001</v>
      </c>
      <c r="R3265" s="8">
        <v>5158.451</v>
      </c>
      <c r="S3265" s="8">
        <v>3790.0349999999999</v>
      </c>
      <c r="T3265" s="8">
        <v>4119.2370000000001</v>
      </c>
      <c r="U3265" s="8">
        <v>1978.45</v>
      </c>
      <c r="V3265" s="8">
        <v>1242.1859999999999</v>
      </c>
      <c r="W3265" s="8">
        <v>1269.0260000000001</v>
      </c>
      <c r="X3265" s="8">
        <v>737.50599999999997</v>
      </c>
      <c r="Y3265" s="8">
        <v>306.75400000000002</v>
      </c>
      <c r="Z3265" s="8">
        <v>98.103999999999999</v>
      </c>
      <c r="AA3265" s="8">
        <v>31.52</v>
      </c>
      <c r="AB3265" s="8">
        <v>5.3579999999999997</v>
      </c>
      <c r="AC3265" s="8">
        <v>0.60799999999999998</v>
      </c>
    </row>
    <row r="3266" spans="1:29" ht="11.65" x14ac:dyDescent="0.35">
      <c r="A3266" s="12">
        <v>3249</v>
      </c>
      <c r="B3266" s="10" t="s">
        <v>1015</v>
      </c>
      <c r="C3266" s="18" t="s">
        <v>1241</v>
      </c>
      <c r="D3266" s="9"/>
      <c r="E3266" s="9">
        <v>643</v>
      </c>
      <c r="F3266" s="10" t="s">
        <v>1066</v>
      </c>
      <c r="G3266" s="9">
        <v>923</v>
      </c>
      <c r="H3266" s="9">
        <v>1990</v>
      </c>
      <c r="I3266" s="8">
        <v>5882.54</v>
      </c>
      <c r="J3266" s="8">
        <v>5897.3689999999997</v>
      </c>
      <c r="K3266" s="8">
        <v>5404.3789999999999</v>
      </c>
      <c r="L3266" s="8">
        <v>5170.8779999999997</v>
      </c>
      <c r="M3266" s="8">
        <v>4818.3940000000002</v>
      </c>
      <c r="N3266" s="8">
        <v>5907.634</v>
      </c>
      <c r="O3266" s="8">
        <v>6532.1729999999998</v>
      </c>
      <c r="P3266" s="8">
        <v>5906.8620000000001</v>
      </c>
      <c r="Q3266" s="8">
        <v>4739.3180000000002</v>
      </c>
      <c r="R3266" s="8">
        <v>2919.69</v>
      </c>
      <c r="S3266" s="8">
        <v>4843.4470000000001</v>
      </c>
      <c r="T3266" s="8">
        <v>3453.5120000000002</v>
      </c>
      <c r="U3266" s="8">
        <v>3596.2950000000001</v>
      </c>
      <c r="V3266" s="8">
        <v>1629.799</v>
      </c>
      <c r="W3266" s="8">
        <v>932.74</v>
      </c>
      <c r="X3266" s="8">
        <v>848.44500000000005</v>
      </c>
      <c r="Y3266" s="8">
        <v>420.51900000000001</v>
      </c>
      <c r="Z3266" s="8">
        <v>123.496</v>
      </c>
      <c r="AA3266" s="8">
        <v>27.286000000000001</v>
      </c>
      <c r="AB3266" s="8">
        <v>5.5949999999999998</v>
      </c>
      <c r="AC3266" s="8">
        <v>0.61899999999999999</v>
      </c>
    </row>
    <row r="3267" spans="1:29" ht="11.65" x14ac:dyDescent="0.35">
      <c r="A3267" s="12">
        <v>3250</v>
      </c>
      <c r="B3267" s="10" t="s">
        <v>1015</v>
      </c>
      <c r="C3267" s="18" t="s">
        <v>1241</v>
      </c>
      <c r="D3267" s="9"/>
      <c r="E3267" s="9">
        <v>643</v>
      </c>
      <c r="F3267" s="10" t="s">
        <v>1066</v>
      </c>
      <c r="G3267" s="9">
        <v>923</v>
      </c>
      <c r="H3267" s="9">
        <v>1995</v>
      </c>
      <c r="I3267" s="8">
        <v>4130.0450000000001</v>
      </c>
      <c r="J3267" s="8">
        <v>6031.9719999999998</v>
      </c>
      <c r="K3267" s="8">
        <v>6027.1719999999996</v>
      </c>
      <c r="L3267" s="8">
        <v>5488.7920000000004</v>
      </c>
      <c r="M3267" s="8">
        <v>5218.5190000000002</v>
      </c>
      <c r="N3267" s="8">
        <v>4858.2669999999998</v>
      </c>
      <c r="O3267" s="8">
        <v>5870.152</v>
      </c>
      <c r="P3267" s="8">
        <v>6390.1679999999997</v>
      </c>
      <c r="Q3267" s="8">
        <v>5709.4579999999996</v>
      </c>
      <c r="R3267" s="8">
        <v>4471.1109999999999</v>
      </c>
      <c r="S3267" s="8">
        <v>2693.7179999999998</v>
      </c>
      <c r="T3267" s="8">
        <v>4324.7280000000001</v>
      </c>
      <c r="U3267" s="8">
        <v>2948.2289999999998</v>
      </c>
      <c r="V3267" s="8">
        <v>2873.3009999999999</v>
      </c>
      <c r="W3267" s="8">
        <v>1196.377</v>
      </c>
      <c r="X3267" s="8">
        <v>618.75</v>
      </c>
      <c r="Y3267" s="8">
        <v>482.25900000000001</v>
      </c>
      <c r="Z3267" s="8">
        <v>161.13800000000001</v>
      </c>
      <c r="AA3267" s="8">
        <v>30.917000000000002</v>
      </c>
      <c r="AB3267" s="8">
        <v>4.1050000000000004</v>
      </c>
      <c r="AC3267" s="8">
        <v>0.51900000000000002</v>
      </c>
    </row>
    <row r="3268" spans="1:29" ht="11.65" x14ac:dyDescent="0.35">
      <c r="A3268" s="12">
        <v>3251</v>
      </c>
      <c r="B3268" s="10" t="s">
        <v>1015</v>
      </c>
      <c r="C3268" s="18" t="s">
        <v>1241</v>
      </c>
      <c r="D3268" s="9"/>
      <c r="E3268" s="9">
        <v>643</v>
      </c>
      <c r="F3268" s="10" t="s">
        <v>1066</v>
      </c>
      <c r="G3268" s="9">
        <v>923</v>
      </c>
      <c r="H3268" s="9">
        <v>2000</v>
      </c>
      <c r="I3268" s="8">
        <v>3297.7080000000001</v>
      </c>
      <c r="J3268" s="8">
        <v>4188.6419999999998</v>
      </c>
      <c r="K3268" s="8">
        <v>6178.9930000000004</v>
      </c>
      <c r="L3268" s="8">
        <v>6154.6409999999996</v>
      </c>
      <c r="M3268" s="8">
        <v>5518.6139999999996</v>
      </c>
      <c r="N3268" s="8">
        <v>5200.2690000000002</v>
      </c>
      <c r="O3268" s="8">
        <v>4828.8</v>
      </c>
      <c r="P3268" s="8">
        <v>5744.2460000000001</v>
      </c>
      <c r="Q3268" s="8">
        <v>6117.2430000000004</v>
      </c>
      <c r="R3268" s="8">
        <v>5371.8490000000002</v>
      </c>
      <c r="S3268" s="8">
        <v>4096.1899999999996</v>
      </c>
      <c r="T3268" s="8">
        <v>2406.54</v>
      </c>
      <c r="U3268" s="8">
        <v>3671.0369999999998</v>
      </c>
      <c r="V3268" s="8">
        <v>2337.02</v>
      </c>
      <c r="W3268" s="8">
        <v>2076.2840000000001</v>
      </c>
      <c r="X3268" s="8">
        <v>762.04899999999998</v>
      </c>
      <c r="Y3268" s="8">
        <v>327.733</v>
      </c>
      <c r="Z3268" s="8">
        <v>182.60300000000001</v>
      </c>
      <c r="AA3268" s="8">
        <v>38.268000000000001</v>
      </c>
      <c r="AB3268" s="8">
        <v>4.242</v>
      </c>
      <c r="AC3268" s="8">
        <v>0.34</v>
      </c>
    </row>
    <row r="3269" spans="1:29" ht="11.65" x14ac:dyDescent="0.35">
      <c r="A3269" s="12">
        <v>3252</v>
      </c>
      <c r="B3269" s="10" t="s">
        <v>1015</v>
      </c>
      <c r="C3269" s="18" t="s">
        <v>1241</v>
      </c>
      <c r="D3269" s="9"/>
      <c r="E3269" s="9">
        <v>643</v>
      </c>
      <c r="F3269" s="10" t="s">
        <v>1066</v>
      </c>
      <c r="G3269" s="9">
        <v>923</v>
      </c>
      <c r="H3269" s="9">
        <v>2005</v>
      </c>
      <c r="I3269" s="8">
        <v>3559.674</v>
      </c>
      <c r="J3269" s="8">
        <v>3344.694</v>
      </c>
      <c r="K3269" s="8">
        <v>4269.41</v>
      </c>
      <c r="L3269" s="8">
        <v>6211.317</v>
      </c>
      <c r="M3269" s="8">
        <v>6224.3549999999996</v>
      </c>
      <c r="N3269" s="8">
        <v>5491.2790000000005</v>
      </c>
      <c r="O3269" s="8">
        <v>5102.2219999999998</v>
      </c>
      <c r="P3269" s="8">
        <v>4656.1109999999999</v>
      </c>
      <c r="Q3269" s="8">
        <v>5492.6769999999997</v>
      </c>
      <c r="R3269" s="8">
        <v>5678.4189999999999</v>
      </c>
      <c r="S3269" s="8">
        <v>4810.9960000000001</v>
      </c>
      <c r="T3269" s="8">
        <v>3615.0790000000002</v>
      </c>
      <c r="U3269" s="8">
        <v>1957.097</v>
      </c>
      <c r="V3269" s="8">
        <v>2890.585</v>
      </c>
      <c r="W3269" s="8">
        <v>1669.4349999999999</v>
      </c>
      <c r="X3269" s="8">
        <v>1310.193</v>
      </c>
      <c r="Y3269" s="8">
        <v>393.81900000000002</v>
      </c>
      <c r="Z3269" s="8">
        <v>125.598</v>
      </c>
      <c r="AA3269" s="8">
        <v>42.831000000000003</v>
      </c>
      <c r="AB3269" s="8">
        <v>5.1440000000000001</v>
      </c>
      <c r="AC3269" s="8">
        <v>0.32700000000000001</v>
      </c>
    </row>
    <row r="3270" spans="1:29" ht="11.65" x14ac:dyDescent="0.35">
      <c r="A3270" s="12">
        <v>3253</v>
      </c>
      <c r="B3270" s="10" t="s">
        <v>1015</v>
      </c>
      <c r="C3270" s="18" t="s">
        <v>1241</v>
      </c>
      <c r="D3270" s="9"/>
      <c r="E3270" s="9">
        <v>643</v>
      </c>
      <c r="F3270" s="10" t="s">
        <v>1066</v>
      </c>
      <c r="G3270" s="9">
        <v>923</v>
      </c>
      <c r="H3270" s="9">
        <v>2010</v>
      </c>
      <c r="I3270" s="8">
        <v>4129.3389999999999</v>
      </c>
      <c r="J3270" s="8">
        <v>3544.759</v>
      </c>
      <c r="K3270" s="8">
        <v>3297.6419999999998</v>
      </c>
      <c r="L3270" s="8">
        <v>4538.8940000000002</v>
      </c>
      <c r="M3270" s="8">
        <v>6370.277</v>
      </c>
      <c r="N3270" s="8">
        <v>6082.5379999999996</v>
      </c>
      <c r="O3270" s="8">
        <v>5363.1869999999999</v>
      </c>
      <c r="P3270" s="8">
        <v>4963.5349999999999</v>
      </c>
      <c r="Q3270" s="8">
        <v>4289.6570000000002</v>
      </c>
      <c r="R3270" s="8">
        <v>5372.9219999999996</v>
      </c>
      <c r="S3270" s="8">
        <v>5239.0150000000003</v>
      </c>
      <c r="T3270" s="8">
        <v>4448.4049999999997</v>
      </c>
      <c r="U3270" s="8">
        <v>2928.172</v>
      </c>
      <c r="V3270" s="8">
        <v>1695.0619999999999</v>
      </c>
      <c r="W3270" s="8">
        <v>2204.0050000000001</v>
      </c>
      <c r="X3270" s="8">
        <v>1101.95</v>
      </c>
      <c r="Y3270" s="8">
        <v>771.72400000000005</v>
      </c>
      <c r="Z3270" s="8">
        <v>161.88300000000001</v>
      </c>
      <c r="AA3270" s="8">
        <v>31.785</v>
      </c>
      <c r="AB3270" s="8">
        <v>6.3150000000000004</v>
      </c>
      <c r="AC3270" s="8">
        <v>0.43</v>
      </c>
    </row>
    <row r="3271" spans="1:29" ht="11.65" x14ac:dyDescent="0.35">
      <c r="A3271" s="12">
        <v>3254</v>
      </c>
      <c r="B3271" s="10" t="s">
        <v>1015</v>
      </c>
      <c r="C3271" s="18" t="s">
        <v>1241</v>
      </c>
      <c r="D3271" s="9"/>
      <c r="E3271" s="9">
        <v>643</v>
      </c>
      <c r="F3271" s="10" t="s">
        <v>1066</v>
      </c>
      <c r="G3271" s="9">
        <v>923</v>
      </c>
      <c r="H3271" s="9">
        <v>2015</v>
      </c>
      <c r="I3271" s="8">
        <v>4785.527</v>
      </c>
      <c r="J3271" s="8">
        <v>4162.3590000000004</v>
      </c>
      <c r="K3271" s="8">
        <v>3596.7809999999999</v>
      </c>
      <c r="L3271" s="8">
        <v>3354.24</v>
      </c>
      <c r="M3271" s="8">
        <v>4575.9309999999996</v>
      </c>
      <c r="N3271" s="8">
        <v>6360.768</v>
      </c>
      <c r="O3271" s="8">
        <v>6033.799</v>
      </c>
      <c r="P3271" s="8">
        <v>5287.0969999999998</v>
      </c>
      <c r="Q3271" s="8">
        <v>4861.9809999999998</v>
      </c>
      <c r="R3271" s="8">
        <v>4147.076</v>
      </c>
      <c r="S3271" s="8">
        <v>5050.3059999999996</v>
      </c>
      <c r="T3271" s="8">
        <v>4767.2030000000004</v>
      </c>
      <c r="U3271" s="8">
        <v>3870.9850000000001</v>
      </c>
      <c r="V3271" s="8">
        <v>2427.223</v>
      </c>
      <c r="W3271" s="8">
        <v>1313.4690000000001</v>
      </c>
      <c r="X3271" s="8">
        <v>1520.9469999999999</v>
      </c>
      <c r="Y3271" s="8">
        <v>653.91600000000005</v>
      </c>
      <c r="Z3271" s="8">
        <v>346.08800000000002</v>
      </c>
      <c r="AA3271" s="8">
        <v>49.493000000000002</v>
      </c>
      <c r="AB3271" s="8">
        <v>5.5510000000000002</v>
      </c>
      <c r="AC3271" s="8">
        <v>0.61499999999999999</v>
      </c>
    </row>
    <row r="3272" spans="1:29" ht="11.65" x14ac:dyDescent="0.35">
      <c r="A3272" s="12">
        <v>3255</v>
      </c>
      <c r="B3272" s="10" t="s">
        <v>1015</v>
      </c>
      <c r="C3272" s="18" t="s">
        <v>1241</v>
      </c>
      <c r="D3272" s="9"/>
      <c r="E3272" s="9">
        <v>643</v>
      </c>
      <c r="F3272" s="10" t="s">
        <v>1066</v>
      </c>
      <c r="G3272" s="9">
        <v>923</v>
      </c>
      <c r="H3272" s="9">
        <v>2020</v>
      </c>
      <c r="I3272" s="8">
        <v>4762.826</v>
      </c>
      <c r="J3272" s="8">
        <v>4802.2359999999999</v>
      </c>
      <c r="K3272" s="8">
        <v>4186.1030000000001</v>
      </c>
      <c r="L3272" s="8">
        <v>3620.95</v>
      </c>
      <c r="M3272" s="8">
        <v>3373.933</v>
      </c>
      <c r="N3272" s="8">
        <v>4575.8410000000003</v>
      </c>
      <c r="O3272" s="8">
        <v>6300.7110000000002</v>
      </c>
      <c r="P3272" s="8">
        <v>5911.0739999999996</v>
      </c>
      <c r="Q3272" s="8">
        <v>5127.9440000000004</v>
      </c>
      <c r="R3272" s="8">
        <v>4674.8050000000003</v>
      </c>
      <c r="S3272" s="8">
        <v>3928.9870000000001</v>
      </c>
      <c r="T3272" s="8">
        <v>4660.8940000000002</v>
      </c>
      <c r="U3272" s="8">
        <v>4225.2820000000002</v>
      </c>
      <c r="V3272" s="8">
        <v>3255.893</v>
      </c>
      <c r="W3272" s="8">
        <v>1922.538</v>
      </c>
      <c r="X3272" s="8">
        <v>937.202</v>
      </c>
      <c r="Y3272" s="8">
        <v>920.43899999999996</v>
      </c>
      <c r="Z3272" s="8">
        <v>318.95299999999997</v>
      </c>
      <c r="AA3272" s="8">
        <v>121.86</v>
      </c>
      <c r="AB3272" s="8">
        <v>11.041</v>
      </c>
      <c r="AC3272" s="8">
        <v>0.78700000000000003</v>
      </c>
    </row>
    <row r="3273" spans="1:29" ht="11.65" x14ac:dyDescent="0.35">
      <c r="A3273" s="12">
        <v>3256</v>
      </c>
      <c r="B3273" s="10" t="s">
        <v>1015</v>
      </c>
      <c r="C3273" s="18" t="s">
        <v>1242</v>
      </c>
      <c r="D3273" s="9"/>
      <c r="E3273" s="9">
        <v>703</v>
      </c>
      <c r="F3273" s="10" t="s">
        <v>1066</v>
      </c>
      <c r="G3273" s="9">
        <v>923</v>
      </c>
      <c r="H3273" s="9">
        <v>1950</v>
      </c>
      <c r="I3273" s="8">
        <v>189.35900000000001</v>
      </c>
      <c r="J3273" s="8">
        <v>160.39699999999999</v>
      </c>
      <c r="K3273" s="8">
        <v>149.386</v>
      </c>
      <c r="L3273" s="8">
        <v>152.18600000000001</v>
      </c>
      <c r="M3273" s="8">
        <v>147.65</v>
      </c>
      <c r="N3273" s="8">
        <v>150.89699999999999</v>
      </c>
      <c r="O3273" s="8">
        <v>82.147999999999996</v>
      </c>
      <c r="P3273" s="8">
        <v>120.64400000000001</v>
      </c>
      <c r="Q3273" s="8">
        <v>117.873</v>
      </c>
      <c r="R3273" s="8">
        <v>105.845</v>
      </c>
      <c r="S3273" s="8">
        <v>83.968999999999994</v>
      </c>
      <c r="T3273" s="8">
        <v>59.115000000000002</v>
      </c>
      <c r="U3273" s="8">
        <v>48.066000000000003</v>
      </c>
      <c r="V3273" s="8">
        <v>38.671999999999997</v>
      </c>
      <c r="W3273" s="8">
        <v>29.234999999999999</v>
      </c>
      <c r="X3273" s="8">
        <v>18.228999999999999</v>
      </c>
      <c r="Y3273" s="8">
        <v>9.0169999999999995</v>
      </c>
      <c r="Z3273" s="8">
        <v>2.6909999999999998</v>
      </c>
      <c r="AA3273" s="8">
        <v>0.45900000000000002</v>
      </c>
      <c r="AB3273" s="8">
        <v>5.6000000000000001E-2</v>
      </c>
      <c r="AC3273" s="8">
        <v>6.0000000000000001E-3</v>
      </c>
    </row>
    <row r="3274" spans="1:29" ht="11.65" x14ac:dyDescent="0.35">
      <c r="A3274" s="12">
        <v>3257</v>
      </c>
      <c r="B3274" s="10" t="s">
        <v>1015</v>
      </c>
      <c r="C3274" s="18" t="s">
        <v>1242</v>
      </c>
      <c r="D3274" s="9"/>
      <c r="E3274" s="9">
        <v>703</v>
      </c>
      <c r="F3274" s="10" t="s">
        <v>1066</v>
      </c>
      <c r="G3274" s="9">
        <v>923</v>
      </c>
      <c r="H3274" s="9">
        <v>1955</v>
      </c>
      <c r="I3274" s="8">
        <v>239.05799999999999</v>
      </c>
      <c r="J3274" s="8">
        <v>194.928</v>
      </c>
      <c r="K3274" s="8">
        <v>162.15299999999999</v>
      </c>
      <c r="L3274" s="8">
        <v>149.20099999999999</v>
      </c>
      <c r="M3274" s="8">
        <v>149.60499999999999</v>
      </c>
      <c r="N3274" s="8">
        <v>146.25700000000001</v>
      </c>
      <c r="O3274" s="8">
        <v>152.47300000000001</v>
      </c>
      <c r="P3274" s="8">
        <v>84.674999999999997</v>
      </c>
      <c r="Q3274" s="8">
        <v>120.711</v>
      </c>
      <c r="R3274" s="8">
        <v>118.803</v>
      </c>
      <c r="S3274" s="8">
        <v>107.133</v>
      </c>
      <c r="T3274" s="8">
        <v>83.783000000000001</v>
      </c>
      <c r="U3274" s="8">
        <v>55.871000000000002</v>
      </c>
      <c r="V3274" s="8">
        <v>41.628</v>
      </c>
      <c r="W3274" s="8">
        <v>30.902000000000001</v>
      </c>
      <c r="X3274" s="8">
        <v>19.984000000000002</v>
      </c>
      <c r="Y3274" s="8">
        <v>10.154999999999999</v>
      </c>
      <c r="Z3274" s="8">
        <v>3.468</v>
      </c>
      <c r="AA3274" s="8">
        <v>0.58899999999999997</v>
      </c>
      <c r="AB3274" s="8">
        <v>5.3999999999999999E-2</v>
      </c>
      <c r="AC3274" s="8">
        <v>3.0000000000000001E-3</v>
      </c>
    </row>
    <row r="3275" spans="1:29" ht="11.65" x14ac:dyDescent="0.35">
      <c r="A3275" s="12">
        <v>3258</v>
      </c>
      <c r="B3275" s="10" t="s">
        <v>1015</v>
      </c>
      <c r="C3275" s="18" t="s">
        <v>1242</v>
      </c>
      <c r="D3275" s="9"/>
      <c r="E3275" s="9">
        <v>703</v>
      </c>
      <c r="F3275" s="10" t="s">
        <v>1066</v>
      </c>
      <c r="G3275" s="9">
        <v>923</v>
      </c>
      <c r="H3275" s="9">
        <v>1960</v>
      </c>
      <c r="I3275" s="8">
        <v>232.57599999999999</v>
      </c>
      <c r="J3275" s="8">
        <v>236.85400000000001</v>
      </c>
      <c r="K3275" s="8">
        <v>195.12899999999999</v>
      </c>
      <c r="L3275" s="8">
        <v>165.65299999999999</v>
      </c>
      <c r="M3275" s="8">
        <v>144.517</v>
      </c>
      <c r="N3275" s="8">
        <v>147.34800000000001</v>
      </c>
      <c r="O3275" s="8">
        <v>146.90299999999999</v>
      </c>
      <c r="P3275" s="8">
        <v>151.249</v>
      </c>
      <c r="Q3275" s="8">
        <v>83.58</v>
      </c>
      <c r="R3275" s="8">
        <v>123.13800000000001</v>
      </c>
      <c r="S3275" s="8">
        <v>116.422</v>
      </c>
      <c r="T3275" s="8">
        <v>102.292</v>
      </c>
      <c r="U3275" s="8">
        <v>79.813000000000002</v>
      </c>
      <c r="V3275" s="8">
        <v>47.34</v>
      </c>
      <c r="W3275" s="8">
        <v>34.036000000000001</v>
      </c>
      <c r="X3275" s="8">
        <v>21.263999999999999</v>
      </c>
      <c r="Y3275" s="8">
        <v>10.91</v>
      </c>
      <c r="Z3275" s="8">
        <v>3.746</v>
      </c>
      <c r="AA3275" s="8">
        <v>0.753</v>
      </c>
      <c r="AB3275" s="8">
        <v>6.6000000000000003E-2</v>
      </c>
      <c r="AC3275" s="8">
        <v>3.0000000000000001E-3</v>
      </c>
    </row>
    <row r="3276" spans="1:29" ht="11.65" x14ac:dyDescent="0.35">
      <c r="A3276" s="12">
        <v>3259</v>
      </c>
      <c r="B3276" s="10" t="s">
        <v>1015</v>
      </c>
      <c r="C3276" s="18" t="s">
        <v>1242</v>
      </c>
      <c r="D3276" s="9"/>
      <c r="E3276" s="9">
        <v>703</v>
      </c>
      <c r="F3276" s="10" t="s">
        <v>1066</v>
      </c>
      <c r="G3276" s="9">
        <v>923</v>
      </c>
      <c r="H3276" s="9">
        <v>1965</v>
      </c>
      <c r="I3276" s="8">
        <v>215.44900000000001</v>
      </c>
      <c r="J3276" s="8">
        <v>229.37799999999999</v>
      </c>
      <c r="K3276" s="8">
        <v>235.65299999999999</v>
      </c>
      <c r="L3276" s="8">
        <v>192.15100000000001</v>
      </c>
      <c r="M3276" s="8">
        <v>159.48500000000001</v>
      </c>
      <c r="N3276" s="8">
        <v>138.90700000000001</v>
      </c>
      <c r="O3276" s="8">
        <v>145.87700000000001</v>
      </c>
      <c r="P3276" s="8">
        <v>144.596</v>
      </c>
      <c r="Q3276" s="8">
        <v>148.89500000000001</v>
      </c>
      <c r="R3276" s="8">
        <v>81.926000000000002</v>
      </c>
      <c r="S3276" s="8">
        <v>120.19199999999999</v>
      </c>
      <c r="T3276" s="8">
        <v>111.208</v>
      </c>
      <c r="U3276" s="8">
        <v>94.626000000000005</v>
      </c>
      <c r="V3276" s="8">
        <v>69.828000000000003</v>
      </c>
      <c r="W3276" s="8">
        <v>37.691000000000003</v>
      </c>
      <c r="X3276" s="8">
        <v>24.213999999999999</v>
      </c>
      <c r="Y3276" s="8">
        <v>11.521000000000001</v>
      </c>
      <c r="Z3276" s="8">
        <v>4.2590000000000003</v>
      </c>
      <c r="AA3276" s="8">
        <v>0.86299999999999999</v>
      </c>
      <c r="AB3276" s="8">
        <v>8.8999999999999996E-2</v>
      </c>
      <c r="AC3276" s="8">
        <v>4.0000000000000001E-3</v>
      </c>
    </row>
    <row r="3277" spans="1:29" ht="11.65" x14ac:dyDescent="0.35">
      <c r="A3277" s="12">
        <v>3260</v>
      </c>
      <c r="B3277" s="10" t="s">
        <v>1015</v>
      </c>
      <c r="C3277" s="18" t="s">
        <v>1242</v>
      </c>
      <c r="D3277" s="9"/>
      <c r="E3277" s="9">
        <v>703</v>
      </c>
      <c r="F3277" s="10" t="s">
        <v>1066</v>
      </c>
      <c r="G3277" s="9">
        <v>923</v>
      </c>
      <c r="H3277" s="9">
        <v>1970</v>
      </c>
      <c r="I3277" s="8">
        <v>197.63300000000001</v>
      </c>
      <c r="J3277" s="8">
        <v>211.05500000000001</v>
      </c>
      <c r="K3277" s="8">
        <v>229.595</v>
      </c>
      <c r="L3277" s="8">
        <v>234.58099999999999</v>
      </c>
      <c r="M3277" s="8">
        <v>184.458</v>
      </c>
      <c r="N3277" s="8">
        <v>149.25299999999999</v>
      </c>
      <c r="O3277" s="8">
        <v>133.13999999999999</v>
      </c>
      <c r="P3277" s="8">
        <v>143.52699999999999</v>
      </c>
      <c r="Q3277" s="8">
        <v>139.249</v>
      </c>
      <c r="R3277" s="8">
        <v>145.166</v>
      </c>
      <c r="S3277" s="8">
        <v>78.418000000000006</v>
      </c>
      <c r="T3277" s="8">
        <v>113.081</v>
      </c>
      <c r="U3277" s="8">
        <v>100.533</v>
      </c>
      <c r="V3277" s="8">
        <v>80.911000000000001</v>
      </c>
      <c r="W3277" s="8">
        <v>54.046999999999997</v>
      </c>
      <c r="X3277" s="8">
        <v>25.396999999999998</v>
      </c>
      <c r="Y3277" s="8">
        <v>13.486000000000001</v>
      </c>
      <c r="Z3277" s="8">
        <v>4.2279999999999998</v>
      </c>
      <c r="AA3277" s="8">
        <v>1.01</v>
      </c>
      <c r="AB3277" s="8">
        <v>0.107</v>
      </c>
      <c r="AC3277" s="8">
        <v>6.0000000000000001E-3</v>
      </c>
    </row>
    <row r="3278" spans="1:29" ht="11.65" x14ac:dyDescent="0.35">
      <c r="A3278" s="12">
        <v>3261</v>
      </c>
      <c r="B3278" s="10" t="s">
        <v>1015</v>
      </c>
      <c r="C3278" s="18" t="s">
        <v>1242</v>
      </c>
      <c r="D3278" s="9"/>
      <c r="E3278" s="9">
        <v>703</v>
      </c>
      <c r="F3278" s="10" t="s">
        <v>1066</v>
      </c>
      <c r="G3278" s="9">
        <v>923</v>
      </c>
      <c r="H3278" s="9">
        <v>1975</v>
      </c>
      <c r="I3278" s="8">
        <v>224.398</v>
      </c>
      <c r="J3278" s="8">
        <v>196.566</v>
      </c>
      <c r="K3278" s="8">
        <v>210.11699999999999</v>
      </c>
      <c r="L3278" s="8">
        <v>228.27699999999999</v>
      </c>
      <c r="M3278" s="8">
        <v>228.91399999999999</v>
      </c>
      <c r="N3278" s="8">
        <v>180.756</v>
      </c>
      <c r="O3278" s="8">
        <v>147.50200000000001</v>
      </c>
      <c r="P3278" s="8">
        <v>130.65700000000001</v>
      </c>
      <c r="Q3278" s="8">
        <v>139.57499999999999</v>
      </c>
      <c r="R3278" s="8">
        <v>134.05500000000001</v>
      </c>
      <c r="S3278" s="8">
        <v>139.65799999999999</v>
      </c>
      <c r="T3278" s="8">
        <v>72.926000000000002</v>
      </c>
      <c r="U3278" s="8">
        <v>102.53100000000001</v>
      </c>
      <c r="V3278" s="8">
        <v>85.347999999999999</v>
      </c>
      <c r="W3278" s="8">
        <v>62.11</v>
      </c>
      <c r="X3278" s="8">
        <v>35.886000000000003</v>
      </c>
      <c r="Y3278" s="8">
        <v>13.548999999999999</v>
      </c>
      <c r="Z3278" s="8">
        <v>5.4080000000000004</v>
      </c>
      <c r="AA3278" s="8">
        <v>1.0209999999999999</v>
      </c>
      <c r="AB3278" s="8">
        <v>0.13800000000000001</v>
      </c>
      <c r="AC3278" s="8">
        <v>8.0000000000000002E-3</v>
      </c>
    </row>
    <row r="3279" spans="1:29" ht="11.65" x14ac:dyDescent="0.35">
      <c r="A3279" s="12">
        <v>3262</v>
      </c>
      <c r="B3279" s="10" t="s">
        <v>1015</v>
      </c>
      <c r="C3279" s="18" t="s">
        <v>1242</v>
      </c>
      <c r="D3279" s="9"/>
      <c r="E3279" s="9">
        <v>703</v>
      </c>
      <c r="F3279" s="10" t="s">
        <v>1066</v>
      </c>
      <c r="G3279" s="9">
        <v>923</v>
      </c>
      <c r="H3279" s="9">
        <v>1980</v>
      </c>
      <c r="I3279" s="8">
        <v>247.584</v>
      </c>
      <c r="J3279" s="8">
        <v>224.78100000000001</v>
      </c>
      <c r="K3279" s="8">
        <v>194.98699999999999</v>
      </c>
      <c r="L3279" s="8">
        <v>209.39099999999999</v>
      </c>
      <c r="M3279" s="8">
        <v>226.1</v>
      </c>
      <c r="N3279" s="8">
        <v>224.691</v>
      </c>
      <c r="O3279" s="8">
        <v>176.69800000000001</v>
      </c>
      <c r="P3279" s="8">
        <v>144.44900000000001</v>
      </c>
      <c r="Q3279" s="8">
        <v>127.60299999999999</v>
      </c>
      <c r="R3279" s="8">
        <v>134.995</v>
      </c>
      <c r="S3279" s="8">
        <v>127.42</v>
      </c>
      <c r="T3279" s="8">
        <v>129.464</v>
      </c>
      <c r="U3279" s="8">
        <v>65.683000000000007</v>
      </c>
      <c r="V3279" s="8">
        <v>87.58</v>
      </c>
      <c r="W3279" s="8">
        <v>66.254000000000005</v>
      </c>
      <c r="X3279" s="8">
        <v>41.497</v>
      </c>
      <c r="Y3279" s="8">
        <v>19.196000000000002</v>
      </c>
      <c r="Z3279" s="8">
        <v>5.226</v>
      </c>
      <c r="AA3279" s="8">
        <v>1.3320000000000001</v>
      </c>
      <c r="AB3279" s="8">
        <v>0.14199999999999999</v>
      </c>
      <c r="AC3279" s="8">
        <v>1.0999999999999999E-2</v>
      </c>
    </row>
    <row r="3280" spans="1:29" ht="11.65" x14ac:dyDescent="0.35">
      <c r="A3280" s="12">
        <v>3263</v>
      </c>
      <c r="B3280" s="10" t="s">
        <v>1015</v>
      </c>
      <c r="C3280" s="18" t="s">
        <v>1242</v>
      </c>
      <c r="D3280" s="9"/>
      <c r="E3280" s="9">
        <v>703</v>
      </c>
      <c r="F3280" s="10" t="s">
        <v>1066</v>
      </c>
      <c r="G3280" s="9">
        <v>923</v>
      </c>
      <c r="H3280" s="9">
        <v>1985</v>
      </c>
      <c r="I3280" s="8">
        <v>231.36500000000001</v>
      </c>
      <c r="J3280" s="8">
        <v>245.91200000000001</v>
      </c>
      <c r="K3280" s="8">
        <v>222.417</v>
      </c>
      <c r="L3280" s="8">
        <v>191.459</v>
      </c>
      <c r="M3280" s="8">
        <v>205.38</v>
      </c>
      <c r="N3280" s="8">
        <v>220.63499999999999</v>
      </c>
      <c r="O3280" s="8">
        <v>219.4</v>
      </c>
      <c r="P3280" s="8">
        <v>174.05</v>
      </c>
      <c r="Q3280" s="8">
        <v>141.56399999999999</v>
      </c>
      <c r="R3280" s="8">
        <v>122.815</v>
      </c>
      <c r="S3280" s="8">
        <v>127.494</v>
      </c>
      <c r="T3280" s="8">
        <v>117.31</v>
      </c>
      <c r="U3280" s="8">
        <v>114.637</v>
      </c>
      <c r="V3280" s="8">
        <v>54.795000000000002</v>
      </c>
      <c r="W3280" s="8">
        <v>67.67</v>
      </c>
      <c r="X3280" s="8">
        <v>43.808999999999997</v>
      </c>
      <c r="Y3280" s="8">
        <v>21.135000000000002</v>
      </c>
      <c r="Z3280" s="8">
        <v>7.0629999999999997</v>
      </c>
      <c r="AA3280" s="8">
        <v>1.2729999999999999</v>
      </c>
      <c r="AB3280" s="8">
        <v>0.182</v>
      </c>
      <c r="AC3280" s="8">
        <v>1.0999999999999999E-2</v>
      </c>
    </row>
    <row r="3281" spans="1:29" ht="11.65" x14ac:dyDescent="0.35">
      <c r="A3281" s="12">
        <v>3264</v>
      </c>
      <c r="B3281" s="10" t="s">
        <v>1015</v>
      </c>
      <c r="C3281" s="18" t="s">
        <v>1242</v>
      </c>
      <c r="D3281" s="9"/>
      <c r="E3281" s="9">
        <v>703</v>
      </c>
      <c r="F3281" s="10" t="s">
        <v>1066</v>
      </c>
      <c r="G3281" s="9">
        <v>923</v>
      </c>
      <c r="H3281" s="9">
        <v>1990</v>
      </c>
      <c r="I3281" s="8">
        <v>212.47</v>
      </c>
      <c r="J3281" s="8">
        <v>228.75399999999999</v>
      </c>
      <c r="K3281" s="8">
        <v>244.19300000000001</v>
      </c>
      <c r="L3281" s="8">
        <v>221.07300000000001</v>
      </c>
      <c r="M3281" s="8">
        <v>188.982</v>
      </c>
      <c r="N3281" s="8">
        <v>200.76900000000001</v>
      </c>
      <c r="O3281" s="8">
        <v>215.001</v>
      </c>
      <c r="P3281" s="8">
        <v>214.12100000000001</v>
      </c>
      <c r="Q3281" s="8">
        <v>169.15600000000001</v>
      </c>
      <c r="R3281" s="8">
        <v>135.851</v>
      </c>
      <c r="S3281" s="8">
        <v>115.593</v>
      </c>
      <c r="T3281" s="8">
        <v>116.569</v>
      </c>
      <c r="U3281" s="8">
        <v>102.93300000000001</v>
      </c>
      <c r="V3281" s="8">
        <v>94.817999999999998</v>
      </c>
      <c r="W3281" s="8">
        <v>42.036000000000001</v>
      </c>
      <c r="X3281" s="8">
        <v>45.651000000000003</v>
      </c>
      <c r="Y3281" s="8">
        <v>23.318999999999999</v>
      </c>
      <c r="Z3281" s="8">
        <v>8.0820000000000007</v>
      </c>
      <c r="AA3281" s="8">
        <v>1.746</v>
      </c>
      <c r="AB3281" s="8">
        <v>0.18</v>
      </c>
      <c r="AC3281" s="8">
        <v>1.4E-2</v>
      </c>
    </row>
    <row r="3282" spans="1:29" ht="11.65" x14ac:dyDescent="0.35">
      <c r="A3282" s="12">
        <v>3265</v>
      </c>
      <c r="B3282" s="10" t="s">
        <v>1015</v>
      </c>
      <c r="C3282" s="18" t="s">
        <v>1242</v>
      </c>
      <c r="D3282" s="9"/>
      <c r="E3282" s="9">
        <v>703</v>
      </c>
      <c r="F3282" s="10" t="s">
        <v>1066</v>
      </c>
      <c r="G3282" s="9">
        <v>923</v>
      </c>
      <c r="H3282" s="9">
        <v>1995</v>
      </c>
      <c r="I3282" s="8">
        <v>186.70699999999999</v>
      </c>
      <c r="J3282" s="8">
        <v>210.86</v>
      </c>
      <c r="K3282" s="8">
        <v>228.47399999999999</v>
      </c>
      <c r="L3282" s="8">
        <v>244.26400000000001</v>
      </c>
      <c r="M3282" s="8">
        <v>218.178</v>
      </c>
      <c r="N3282" s="8">
        <v>185.679</v>
      </c>
      <c r="O3282" s="8">
        <v>197.75200000000001</v>
      </c>
      <c r="P3282" s="8">
        <v>211.34399999999999</v>
      </c>
      <c r="Q3282" s="8">
        <v>209.91</v>
      </c>
      <c r="R3282" s="8">
        <v>163.87299999999999</v>
      </c>
      <c r="S3282" s="8">
        <v>128.506</v>
      </c>
      <c r="T3282" s="8">
        <v>105.539</v>
      </c>
      <c r="U3282" s="8">
        <v>102.05500000000001</v>
      </c>
      <c r="V3282" s="8">
        <v>84.906000000000006</v>
      </c>
      <c r="W3282" s="8">
        <v>71.983000000000004</v>
      </c>
      <c r="X3282" s="8">
        <v>28.661000000000001</v>
      </c>
      <c r="Y3282" s="8">
        <v>25.367000000000001</v>
      </c>
      <c r="Z3282" s="8">
        <v>9.3379999999999992</v>
      </c>
      <c r="AA3282" s="8">
        <v>2.1230000000000002</v>
      </c>
      <c r="AB3282" s="8">
        <v>0.251</v>
      </c>
      <c r="AC3282" s="8">
        <v>1.4E-2</v>
      </c>
    </row>
    <row r="3283" spans="1:29" ht="11.65" x14ac:dyDescent="0.35">
      <c r="A3283" s="12">
        <v>3266</v>
      </c>
      <c r="B3283" s="10" t="s">
        <v>1015</v>
      </c>
      <c r="C3283" s="18" t="s">
        <v>1242</v>
      </c>
      <c r="D3283" s="9"/>
      <c r="E3283" s="9">
        <v>703</v>
      </c>
      <c r="F3283" s="10" t="s">
        <v>1066</v>
      </c>
      <c r="G3283" s="9">
        <v>923</v>
      </c>
      <c r="H3283" s="9">
        <v>2000</v>
      </c>
      <c r="I3283" s="8">
        <v>147.00200000000001</v>
      </c>
      <c r="J3283" s="8">
        <v>185.834</v>
      </c>
      <c r="K3283" s="8">
        <v>211.56</v>
      </c>
      <c r="L3283" s="8">
        <v>229.999</v>
      </c>
      <c r="M3283" s="8">
        <v>243.80699999999999</v>
      </c>
      <c r="N3283" s="8">
        <v>215.09800000000001</v>
      </c>
      <c r="O3283" s="8">
        <v>182.61</v>
      </c>
      <c r="P3283" s="8">
        <v>195.732</v>
      </c>
      <c r="Q3283" s="8">
        <v>206.893</v>
      </c>
      <c r="R3283" s="8">
        <v>203.05699999999999</v>
      </c>
      <c r="S3283" s="8">
        <v>156.399</v>
      </c>
      <c r="T3283" s="8">
        <v>119.26</v>
      </c>
      <c r="U3283" s="8">
        <v>93.468999999999994</v>
      </c>
      <c r="V3283" s="8">
        <v>85.457999999999998</v>
      </c>
      <c r="W3283" s="8">
        <v>65.465999999999994</v>
      </c>
      <c r="X3283" s="8">
        <v>48.966000000000001</v>
      </c>
      <c r="Y3283" s="8">
        <v>16.881</v>
      </c>
      <c r="Z3283" s="8">
        <v>11.189</v>
      </c>
      <c r="AA3283" s="8">
        <v>2.6360000000000001</v>
      </c>
      <c r="AB3283" s="8">
        <v>0.33500000000000002</v>
      </c>
      <c r="AC3283" s="8">
        <v>2.1000000000000001E-2</v>
      </c>
    </row>
    <row r="3284" spans="1:29" ht="11.65" x14ac:dyDescent="0.35">
      <c r="A3284" s="12">
        <v>3267</v>
      </c>
      <c r="B3284" s="10" t="s">
        <v>1015</v>
      </c>
      <c r="C3284" s="18" t="s">
        <v>1242</v>
      </c>
      <c r="D3284" s="9"/>
      <c r="E3284" s="9">
        <v>703</v>
      </c>
      <c r="F3284" s="10" t="s">
        <v>1066</v>
      </c>
      <c r="G3284" s="9">
        <v>923</v>
      </c>
      <c r="H3284" s="9">
        <v>2005</v>
      </c>
      <c r="I3284" s="8">
        <v>132.61799999999999</v>
      </c>
      <c r="J3284" s="8">
        <v>146.77199999999999</v>
      </c>
      <c r="K3284" s="8">
        <v>185.64099999999999</v>
      </c>
      <c r="L3284" s="8">
        <v>211.22200000000001</v>
      </c>
      <c r="M3284" s="8">
        <v>229.21</v>
      </c>
      <c r="N3284" s="8">
        <v>242.673</v>
      </c>
      <c r="O3284" s="8">
        <v>213.83199999999999</v>
      </c>
      <c r="P3284" s="8">
        <v>180.982</v>
      </c>
      <c r="Q3284" s="8">
        <v>192.69200000000001</v>
      </c>
      <c r="R3284" s="8">
        <v>201.31700000000001</v>
      </c>
      <c r="S3284" s="8">
        <v>194.01499999999999</v>
      </c>
      <c r="T3284" s="8">
        <v>145.74600000000001</v>
      </c>
      <c r="U3284" s="8">
        <v>107.096</v>
      </c>
      <c r="V3284" s="8">
        <v>79.611999999999995</v>
      </c>
      <c r="W3284" s="8">
        <v>67.495000000000005</v>
      </c>
      <c r="X3284" s="8">
        <v>46.247</v>
      </c>
      <c r="Y3284" s="8">
        <v>28.891999999999999</v>
      </c>
      <c r="Z3284" s="8">
        <v>7.6550000000000002</v>
      </c>
      <c r="AA3284" s="8">
        <v>3.2890000000000001</v>
      </c>
      <c r="AB3284" s="8">
        <v>0.441</v>
      </c>
      <c r="AC3284" s="8">
        <v>0.03</v>
      </c>
    </row>
    <row r="3285" spans="1:29" ht="11.65" x14ac:dyDescent="0.35">
      <c r="A3285" s="12">
        <v>3268</v>
      </c>
      <c r="B3285" s="10" t="s">
        <v>1015</v>
      </c>
      <c r="C3285" s="18" t="s">
        <v>1242</v>
      </c>
      <c r="D3285" s="9"/>
      <c r="E3285" s="9">
        <v>703</v>
      </c>
      <c r="F3285" s="10" t="s">
        <v>1066</v>
      </c>
      <c r="G3285" s="9">
        <v>923</v>
      </c>
      <c r="H3285" s="9">
        <v>2010</v>
      </c>
      <c r="I3285" s="8">
        <v>143.393</v>
      </c>
      <c r="J3285" s="8">
        <v>133.61699999999999</v>
      </c>
      <c r="K3285" s="8">
        <v>147.66499999999999</v>
      </c>
      <c r="L3285" s="8">
        <v>185.33</v>
      </c>
      <c r="M3285" s="8">
        <v>209.43199999999999</v>
      </c>
      <c r="N3285" s="8">
        <v>226.411</v>
      </c>
      <c r="O3285" s="8">
        <v>238.376</v>
      </c>
      <c r="P3285" s="8">
        <v>209.565</v>
      </c>
      <c r="Q3285" s="8">
        <v>178.959</v>
      </c>
      <c r="R3285" s="8">
        <v>189.393</v>
      </c>
      <c r="S3285" s="8">
        <v>193.28299999999999</v>
      </c>
      <c r="T3285" s="8">
        <v>182.21799999999999</v>
      </c>
      <c r="U3285" s="8">
        <v>132.78100000000001</v>
      </c>
      <c r="V3285" s="8">
        <v>93.022999999999996</v>
      </c>
      <c r="W3285" s="8">
        <v>64.358999999999995</v>
      </c>
      <c r="X3285" s="8">
        <v>48.996000000000002</v>
      </c>
      <c r="Y3285" s="8">
        <v>28.122</v>
      </c>
      <c r="Z3285" s="8">
        <v>13.433</v>
      </c>
      <c r="AA3285" s="8">
        <v>2.375</v>
      </c>
      <c r="AB3285" s="8">
        <v>0.56100000000000005</v>
      </c>
      <c r="AC3285" s="8">
        <v>4.1000000000000002E-2</v>
      </c>
    </row>
    <row r="3286" spans="1:29" ht="11.65" x14ac:dyDescent="0.35">
      <c r="A3286" s="12">
        <v>3269</v>
      </c>
      <c r="B3286" s="10" t="s">
        <v>1015</v>
      </c>
      <c r="C3286" s="18" t="s">
        <v>1242</v>
      </c>
      <c r="D3286" s="9"/>
      <c r="E3286" s="9">
        <v>703</v>
      </c>
      <c r="F3286" s="10" t="s">
        <v>1066</v>
      </c>
      <c r="G3286" s="9">
        <v>923</v>
      </c>
      <c r="H3286" s="9">
        <v>2015</v>
      </c>
      <c r="I3286" s="8">
        <v>144.911</v>
      </c>
      <c r="J3286" s="8">
        <v>144.82400000000001</v>
      </c>
      <c r="K3286" s="8">
        <v>134.89599999999999</v>
      </c>
      <c r="L3286" s="8">
        <v>148.68299999999999</v>
      </c>
      <c r="M3286" s="8">
        <v>186.08699999999999</v>
      </c>
      <c r="N3286" s="8">
        <v>209.09299999999999</v>
      </c>
      <c r="O3286" s="8">
        <v>224.75200000000001</v>
      </c>
      <c r="P3286" s="8">
        <v>236.40799999999999</v>
      </c>
      <c r="Q3286" s="8">
        <v>207.309</v>
      </c>
      <c r="R3286" s="8">
        <v>176.31700000000001</v>
      </c>
      <c r="S3286" s="8">
        <v>183.839</v>
      </c>
      <c r="T3286" s="8">
        <v>183.12899999999999</v>
      </c>
      <c r="U3286" s="8">
        <v>167.36</v>
      </c>
      <c r="V3286" s="8">
        <v>116.574</v>
      </c>
      <c r="W3286" s="8">
        <v>77.17</v>
      </c>
      <c r="X3286" s="8">
        <v>48.841999999999999</v>
      </c>
      <c r="Y3286" s="8">
        <v>31.837</v>
      </c>
      <c r="Z3286" s="8">
        <v>14.035</v>
      </c>
      <c r="AA3286" s="8">
        <v>4.5890000000000004</v>
      </c>
      <c r="AB3286" s="8">
        <v>0.498</v>
      </c>
      <c r="AC3286" s="8">
        <v>6.0999999999999999E-2</v>
      </c>
    </row>
    <row r="3287" spans="1:29" ht="11.65" x14ac:dyDescent="0.35">
      <c r="A3287" s="12">
        <v>3270</v>
      </c>
      <c r="B3287" s="10" t="s">
        <v>1015</v>
      </c>
      <c r="C3287" s="18" t="s">
        <v>1242</v>
      </c>
      <c r="D3287" s="9"/>
      <c r="E3287" s="9">
        <v>703</v>
      </c>
      <c r="F3287" s="10" t="s">
        <v>1066</v>
      </c>
      <c r="G3287" s="9">
        <v>923</v>
      </c>
      <c r="H3287" s="9">
        <v>2020</v>
      </c>
      <c r="I3287" s="8">
        <v>145.185</v>
      </c>
      <c r="J3287" s="8">
        <v>144.63200000000001</v>
      </c>
      <c r="K3287" s="8">
        <v>144.626</v>
      </c>
      <c r="L3287" s="8">
        <v>134.73599999999999</v>
      </c>
      <c r="M3287" s="8">
        <v>149.02500000000001</v>
      </c>
      <c r="N3287" s="8">
        <v>186.90799999999999</v>
      </c>
      <c r="O3287" s="8">
        <v>209.57499999999999</v>
      </c>
      <c r="P3287" s="8">
        <v>224.43199999999999</v>
      </c>
      <c r="Q3287" s="8">
        <v>235.15299999999999</v>
      </c>
      <c r="R3287" s="8">
        <v>204.892</v>
      </c>
      <c r="S3287" s="8">
        <v>172.041</v>
      </c>
      <c r="T3287" s="8">
        <v>175.58099999999999</v>
      </c>
      <c r="U3287" s="8">
        <v>169.53399999999999</v>
      </c>
      <c r="V3287" s="8">
        <v>148.91300000000001</v>
      </c>
      <c r="W3287" s="8">
        <v>98.537000000000006</v>
      </c>
      <c r="X3287" s="8">
        <v>59.652999999999999</v>
      </c>
      <c r="Y3287" s="8">
        <v>32.475000000000001</v>
      </c>
      <c r="Z3287" s="8">
        <v>16.433</v>
      </c>
      <c r="AA3287" s="8">
        <v>5.0549999999999997</v>
      </c>
      <c r="AB3287" s="8">
        <v>1.032</v>
      </c>
      <c r="AC3287" s="8">
        <v>6.0999999999999999E-2</v>
      </c>
    </row>
    <row r="3288" spans="1:29" ht="11.65" x14ac:dyDescent="0.35">
      <c r="A3288" s="12">
        <v>3271</v>
      </c>
      <c r="B3288" s="10" t="s">
        <v>1015</v>
      </c>
      <c r="C3288" s="18" t="s">
        <v>1243</v>
      </c>
      <c r="D3288" s="9">
        <v>19</v>
      </c>
      <c r="E3288" s="9">
        <v>804</v>
      </c>
      <c r="F3288" s="10" t="s">
        <v>1066</v>
      </c>
      <c r="G3288" s="9">
        <v>923</v>
      </c>
      <c r="H3288" s="9">
        <v>1950</v>
      </c>
      <c r="I3288" s="8">
        <v>1476.317</v>
      </c>
      <c r="J3288" s="8">
        <v>1394.0119999999999</v>
      </c>
      <c r="K3288" s="8">
        <v>2102.3009999999999</v>
      </c>
      <c r="L3288" s="8">
        <v>1504.3209999999999</v>
      </c>
      <c r="M3288" s="8">
        <v>1807.845</v>
      </c>
      <c r="N3288" s="8">
        <v>1139.953</v>
      </c>
      <c r="O3288" s="8">
        <v>794.221</v>
      </c>
      <c r="P3288" s="8">
        <v>1164.027</v>
      </c>
      <c r="Q3288" s="8">
        <v>1079.4069999999999</v>
      </c>
      <c r="R3288" s="8">
        <v>884.37900000000002</v>
      </c>
      <c r="S3288" s="8">
        <v>687.73900000000003</v>
      </c>
      <c r="T3288" s="8">
        <v>594.45500000000004</v>
      </c>
      <c r="U3288" s="8">
        <v>470.14299999999997</v>
      </c>
      <c r="V3288" s="8">
        <v>362.45499999999998</v>
      </c>
      <c r="W3288" s="8">
        <v>260.30700000000002</v>
      </c>
      <c r="X3288" s="8">
        <v>168.131</v>
      </c>
      <c r="Y3288" s="8">
        <v>78.028000000000006</v>
      </c>
      <c r="Z3288" s="8">
        <v>30.638999999999999</v>
      </c>
      <c r="AA3288" s="8">
        <v>8.49</v>
      </c>
      <c r="AB3288" s="8">
        <v>1.4710000000000001</v>
      </c>
      <c r="AC3288" s="8">
        <v>0.14000000000000001</v>
      </c>
    </row>
    <row r="3289" spans="1:29" ht="11.65" x14ac:dyDescent="0.35">
      <c r="A3289" s="12">
        <v>3272</v>
      </c>
      <c r="B3289" s="10" t="s">
        <v>1015</v>
      </c>
      <c r="C3289" s="18" t="s">
        <v>1243</v>
      </c>
      <c r="D3289" s="9">
        <v>19</v>
      </c>
      <c r="E3289" s="9">
        <v>804</v>
      </c>
      <c r="F3289" s="10" t="s">
        <v>1066</v>
      </c>
      <c r="G3289" s="9">
        <v>923</v>
      </c>
      <c r="H3289" s="9">
        <v>1955</v>
      </c>
      <c r="I3289" s="8">
        <v>2121.567</v>
      </c>
      <c r="J3289" s="8">
        <v>1468.604</v>
      </c>
      <c r="K3289" s="8">
        <v>1403.6880000000001</v>
      </c>
      <c r="L3289" s="8">
        <v>2110.3139999999999</v>
      </c>
      <c r="M3289" s="8">
        <v>1508.0409999999999</v>
      </c>
      <c r="N3289" s="8">
        <v>1800.8030000000001</v>
      </c>
      <c r="O3289" s="8">
        <v>1134.0170000000001</v>
      </c>
      <c r="P3289" s="8">
        <v>787.36</v>
      </c>
      <c r="Q3289" s="8">
        <v>1142.4280000000001</v>
      </c>
      <c r="R3289" s="8">
        <v>1045.8720000000001</v>
      </c>
      <c r="S3289" s="8">
        <v>839.41300000000001</v>
      </c>
      <c r="T3289" s="8">
        <v>636.74699999999996</v>
      </c>
      <c r="U3289" s="8">
        <v>529.923</v>
      </c>
      <c r="V3289" s="8">
        <v>396.4</v>
      </c>
      <c r="W3289" s="8">
        <v>281.45699999999999</v>
      </c>
      <c r="X3289" s="8">
        <v>177.13300000000001</v>
      </c>
      <c r="Y3289" s="8">
        <v>91.978999999999999</v>
      </c>
      <c r="Z3289" s="8">
        <v>33.130000000000003</v>
      </c>
      <c r="AA3289" s="8">
        <v>9.0869999999999997</v>
      </c>
      <c r="AB3289" s="8">
        <v>1.554</v>
      </c>
      <c r="AC3289" s="8">
        <v>0.154</v>
      </c>
    </row>
    <row r="3290" spans="1:29" ht="11.65" x14ac:dyDescent="0.35">
      <c r="A3290" s="12">
        <v>3273</v>
      </c>
      <c r="B3290" s="10" t="s">
        <v>1015</v>
      </c>
      <c r="C3290" s="18" t="s">
        <v>1243</v>
      </c>
      <c r="D3290" s="9">
        <v>19</v>
      </c>
      <c r="E3290" s="9">
        <v>804</v>
      </c>
      <c r="F3290" s="10" t="s">
        <v>1066</v>
      </c>
      <c r="G3290" s="9">
        <v>923</v>
      </c>
      <c r="H3290" s="9">
        <v>1960</v>
      </c>
      <c r="I3290" s="8">
        <v>2050.46</v>
      </c>
      <c r="J3290" s="8">
        <v>2169.5529999999999</v>
      </c>
      <c r="K3290" s="8">
        <v>1702.576</v>
      </c>
      <c r="L3290" s="8">
        <v>1454.279</v>
      </c>
      <c r="M3290" s="8">
        <v>2148.7910000000002</v>
      </c>
      <c r="N3290" s="8">
        <v>1515.6569999999999</v>
      </c>
      <c r="O3290" s="8">
        <v>1732.248</v>
      </c>
      <c r="P3290" s="8">
        <v>1172.1120000000001</v>
      </c>
      <c r="Q3290" s="8">
        <v>815.89</v>
      </c>
      <c r="R3290" s="8">
        <v>987.97900000000004</v>
      </c>
      <c r="S3290" s="8">
        <v>949.803</v>
      </c>
      <c r="T3290" s="8">
        <v>738.45899999999995</v>
      </c>
      <c r="U3290" s="8">
        <v>558.41899999999998</v>
      </c>
      <c r="V3290" s="8">
        <v>430.93200000000002</v>
      </c>
      <c r="W3290" s="8">
        <v>305.31400000000002</v>
      </c>
      <c r="X3290" s="8">
        <v>179.70599999999999</v>
      </c>
      <c r="Y3290" s="8">
        <v>70.313000000000002</v>
      </c>
      <c r="Z3290" s="8">
        <v>39.186</v>
      </c>
      <c r="AA3290" s="8">
        <v>9.5969999999999995</v>
      </c>
      <c r="AB3290" s="8">
        <v>1.5880000000000001</v>
      </c>
      <c r="AC3290" s="8">
        <v>0.14899999999999999</v>
      </c>
    </row>
    <row r="3291" spans="1:29" ht="11.65" x14ac:dyDescent="0.35">
      <c r="A3291" s="12">
        <v>3274</v>
      </c>
      <c r="B3291" s="10" t="s">
        <v>1015</v>
      </c>
      <c r="C3291" s="18" t="s">
        <v>1243</v>
      </c>
      <c r="D3291" s="9">
        <v>19</v>
      </c>
      <c r="E3291" s="9">
        <v>804</v>
      </c>
      <c r="F3291" s="10" t="s">
        <v>1066</v>
      </c>
      <c r="G3291" s="9">
        <v>923</v>
      </c>
      <c r="H3291" s="9">
        <v>1965</v>
      </c>
      <c r="I3291" s="8">
        <v>1977.6780000000001</v>
      </c>
      <c r="J3291" s="8">
        <v>2036.2460000000001</v>
      </c>
      <c r="K3291" s="8">
        <v>2162.2869999999998</v>
      </c>
      <c r="L3291" s="8">
        <v>1719.5909999999999</v>
      </c>
      <c r="M3291" s="8">
        <v>1453.52</v>
      </c>
      <c r="N3291" s="8">
        <v>2156.4989999999998</v>
      </c>
      <c r="O3291" s="8">
        <v>1503.8720000000001</v>
      </c>
      <c r="P3291" s="8">
        <v>1710.46</v>
      </c>
      <c r="Q3291" s="8">
        <v>1151.2360000000001</v>
      </c>
      <c r="R3291" s="8">
        <v>795.44</v>
      </c>
      <c r="S3291" s="8">
        <v>948.93299999999999</v>
      </c>
      <c r="T3291" s="8">
        <v>895.91300000000001</v>
      </c>
      <c r="U3291" s="8">
        <v>670.28300000000002</v>
      </c>
      <c r="V3291" s="8">
        <v>484.43</v>
      </c>
      <c r="W3291" s="8">
        <v>349.779</v>
      </c>
      <c r="X3291" s="8">
        <v>221.26499999999999</v>
      </c>
      <c r="Y3291" s="8">
        <v>115.05500000000001</v>
      </c>
      <c r="Z3291" s="8">
        <v>30.207000000000001</v>
      </c>
      <c r="AA3291" s="8">
        <v>11.438000000000001</v>
      </c>
      <c r="AB3291" s="8">
        <v>1.69</v>
      </c>
      <c r="AC3291" s="8">
        <v>0.155</v>
      </c>
    </row>
    <row r="3292" spans="1:29" ht="11.65" x14ac:dyDescent="0.35">
      <c r="A3292" s="12">
        <v>3275</v>
      </c>
      <c r="B3292" s="10" t="s">
        <v>1015</v>
      </c>
      <c r="C3292" s="18" t="s">
        <v>1243</v>
      </c>
      <c r="D3292" s="9">
        <v>19</v>
      </c>
      <c r="E3292" s="9">
        <v>804</v>
      </c>
      <c r="F3292" s="10" t="s">
        <v>1066</v>
      </c>
      <c r="G3292" s="9">
        <v>923</v>
      </c>
      <c r="H3292" s="9">
        <v>1970</v>
      </c>
      <c r="I3292" s="8">
        <v>1760.3050000000001</v>
      </c>
      <c r="J3292" s="8">
        <v>2019.5909999999999</v>
      </c>
      <c r="K3292" s="8">
        <v>2120.8069999999998</v>
      </c>
      <c r="L3292" s="8">
        <v>2137.92</v>
      </c>
      <c r="M3292" s="8">
        <v>1639.627</v>
      </c>
      <c r="N3292" s="8">
        <v>1366.9059999999999</v>
      </c>
      <c r="O3292" s="8">
        <v>2090.2869999999998</v>
      </c>
      <c r="P3292" s="8">
        <v>1459.7660000000001</v>
      </c>
      <c r="Q3292" s="8">
        <v>1761.2750000000001</v>
      </c>
      <c r="R3292" s="8">
        <v>1131.6369999999999</v>
      </c>
      <c r="S3292" s="8">
        <v>720.32600000000002</v>
      </c>
      <c r="T3292" s="8">
        <v>946.39200000000005</v>
      </c>
      <c r="U3292" s="8">
        <v>834.22</v>
      </c>
      <c r="V3292" s="8">
        <v>597.52300000000002</v>
      </c>
      <c r="W3292" s="8">
        <v>382.49700000000001</v>
      </c>
      <c r="X3292" s="8">
        <v>247.04400000000001</v>
      </c>
      <c r="Y3292" s="8">
        <v>135.364</v>
      </c>
      <c r="Z3292" s="8">
        <v>49.329000000000001</v>
      </c>
      <c r="AA3292" s="8">
        <v>8.7949999999999999</v>
      </c>
      <c r="AB3292" s="8">
        <v>2.0920000000000001</v>
      </c>
      <c r="AC3292" s="8">
        <v>0.184</v>
      </c>
    </row>
    <row r="3293" spans="1:29" ht="11.65" x14ac:dyDescent="0.35">
      <c r="A3293" s="12">
        <v>3276</v>
      </c>
      <c r="B3293" s="10" t="s">
        <v>1015</v>
      </c>
      <c r="C3293" s="18" t="s">
        <v>1243</v>
      </c>
      <c r="D3293" s="9">
        <v>19</v>
      </c>
      <c r="E3293" s="9">
        <v>804</v>
      </c>
      <c r="F3293" s="10" t="s">
        <v>1066</v>
      </c>
      <c r="G3293" s="9">
        <v>923</v>
      </c>
      <c r="H3293" s="9">
        <v>1975</v>
      </c>
      <c r="I3293" s="8">
        <v>1887.817</v>
      </c>
      <c r="J3293" s="8">
        <v>1748.7239999999999</v>
      </c>
      <c r="K3293" s="8">
        <v>2019.6969999999999</v>
      </c>
      <c r="L3293" s="8">
        <v>2086.2669999999998</v>
      </c>
      <c r="M3293" s="8">
        <v>2070.674</v>
      </c>
      <c r="N3293" s="8">
        <v>1637.711</v>
      </c>
      <c r="O3293" s="8">
        <v>1352.8050000000001</v>
      </c>
      <c r="P3293" s="8">
        <v>2059.0940000000001</v>
      </c>
      <c r="Q3293" s="8">
        <v>1427.598</v>
      </c>
      <c r="R3293" s="8">
        <v>1713.36</v>
      </c>
      <c r="S3293" s="8">
        <v>1091.038</v>
      </c>
      <c r="T3293" s="8">
        <v>678.00300000000004</v>
      </c>
      <c r="U3293" s="8">
        <v>864.07600000000002</v>
      </c>
      <c r="V3293" s="8">
        <v>703.33</v>
      </c>
      <c r="W3293" s="8">
        <v>463.98599999999999</v>
      </c>
      <c r="X3293" s="8">
        <v>259.78699999999998</v>
      </c>
      <c r="Y3293" s="8">
        <v>152.61000000000001</v>
      </c>
      <c r="Z3293" s="8">
        <v>53.648000000000003</v>
      </c>
      <c r="AA3293" s="8">
        <v>12.706</v>
      </c>
      <c r="AB3293" s="8">
        <v>1.3959999999999999</v>
      </c>
      <c r="AC3293" s="8">
        <v>0.20300000000000001</v>
      </c>
    </row>
    <row r="3294" spans="1:29" ht="11.65" x14ac:dyDescent="0.35">
      <c r="A3294" s="12">
        <v>3277</v>
      </c>
      <c r="B3294" s="10" t="s">
        <v>1015</v>
      </c>
      <c r="C3294" s="18" t="s">
        <v>1243</v>
      </c>
      <c r="D3294" s="9">
        <v>19</v>
      </c>
      <c r="E3294" s="9">
        <v>804</v>
      </c>
      <c r="F3294" s="10" t="s">
        <v>1066</v>
      </c>
      <c r="G3294" s="9">
        <v>923</v>
      </c>
      <c r="H3294" s="9">
        <v>1980</v>
      </c>
      <c r="I3294" s="8">
        <v>1880.078</v>
      </c>
      <c r="J3294" s="8">
        <v>1841.607</v>
      </c>
      <c r="K3294" s="8">
        <v>1730.2760000000001</v>
      </c>
      <c r="L3294" s="8">
        <v>1977.49</v>
      </c>
      <c r="M3294" s="8">
        <v>1991.547</v>
      </c>
      <c r="N3294" s="8">
        <v>2033.7260000000001</v>
      </c>
      <c r="O3294" s="8">
        <v>1640.885</v>
      </c>
      <c r="P3294" s="8">
        <v>1337.9010000000001</v>
      </c>
      <c r="Q3294" s="8">
        <v>2014.1210000000001</v>
      </c>
      <c r="R3294" s="8">
        <v>1389.7090000000001</v>
      </c>
      <c r="S3294" s="8">
        <v>1638.316</v>
      </c>
      <c r="T3294" s="8">
        <v>1016.64</v>
      </c>
      <c r="U3294" s="8">
        <v>608.34900000000005</v>
      </c>
      <c r="V3294" s="8">
        <v>734.90700000000004</v>
      </c>
      <c r="W3294" s="8">
        <v>551.67999999999995</v>
      </c>
      <c r="X3294" s="8">
        <v>320.77499999999998</v>
      </c>
      <c r="Y3294" s="8">
        <v>164.93299999999999</v>
      </c>
      <c r="Z3294" s="8">
        <v>58.874000000000002</v>
      </c>
      <c r="AA3294" s="8">
        <v>13.427</v>
      </c>
      <c r="AB3294" s="8">
        <v>1.9730000000000001</v>
      </c>
      <c r="AC3294" s="8">
        <v>0.14000000000000001</v>
      </c>
    </row>
    <row r="3295" spans="1:29" ht="11.65" x14ac:dyDescent="0.35">
      <c r="A3295" s="12">
        <v>3278</v>
      </c>
      <c r="B3295" s="10" t="s">
        <v>1015</v>
      </c>
      <c r="C3295" s="18" t="s">
        <v>1243</v>
      </c>
      <c r="D3295" s="9">
        <v>19</v>
      </c>
      <c r="E3295" s="9">
        <v>804</v>
      </c>
      <c r="F3295" s="10" t="s">
        <v>1066</v>
      </c>
      <c r="G3295" s="9">
        <v>923</v>
      </c>
      <c r="H3295" s="9">
        <v>1985</v>
      </c>
      <c r="I3295" s="8">
        <v>1927.71</v>
      </c>
      <c r="J3295" s="8">
        <v>1873.627</v>
      </c>
      <c r="K3295" s="8">
        <v>1844.6859999999999</v>
      </c>
      <c r="L3295" s="8">
        <v>1720.4380000000001</v>
      </c>
      <c r="M3295" s="8">
        <v>1901.144</v>
      </c>
      <c r="N3295" s="8">
        <v>1948.3530000000001</v>
      </c>
      <c r="O3295" s="8">
        <v>2017.5709999999999</v>
      </c>
      <c r="P3295" s="8">
        <v>1609.5530000000001</v>
      </c>
      <c r="Q3295" s="8">
        <v>1306.635</v>
      </c>
      <c r="R3295" s="8">
        <v>1937.492</v>
      </c>
      <c r="S3295" s="8">
        <v>1312.42</v>
      </c>
      <c r="T3295" s="8">
        <v>1511.0909999999999</v>
      </c>
      <c r="U3295" s="8">
        <v>900.91700000000003</v>
      </c>
      <c r="V3295" s="8">
        <v>506.94600000000003</v>
      </c>
      <c r="W3295" s="8">
        <v>563.99</v>
      </c>
      <c r="X3295" s="8">
        <v>369.01900000000001</v>
      </c>
      <c r="Y3295" s="8">
        <v>182.553</v>
      </c>
      <c r="Z3295" s="8">
        <v>59.938000000000002</v>
      </c>
      <c r="AA3295" s="8">
        <v>13.696999999999999</v>
      </c>
      <c r="AB3295" s="8">
        <v>1.9239999999999999</v>
      </c>
      <c r="AC3295" s="8">
        <v>0.17</v>
      </c>
    </row>
    <row r="3296" spans="1:29" ht="11.65" x14ac:dyDescent="0.35">
      <c r="A3296" s="12">
        <v>3279</v>
      </c>
      <c r="B3296" s="10" t="s">
        <v>1015</v>
      </c>
      <c r="C3296" s="18" t="s">
        <v>1243</v>
      </c>
      <c r="D3296" s="9">
        <v>19</v>
      </c>
      <c r="E3296" s="9">
        <v>804</v>
      </c>
      <c r="F3296" s="10" t="s">
        <v>1066</v>
      </c>
      <c r="G3296" s="9">
        <v>923</v>
      </c>
      <c r="H3296" s="9">
        <v>1990</v>
      </c>
      <c r="I3296" s="8">
        <v>1772.02</v>
      </c>
      <c r="J3296" s="8">
        <v>1919.0170000000001</v>
      </c>
      <c r="K3296" s="8">
        <v>1868.4939999999999</v>
      </c>
      <c r="L3296" s="8">
        <v>1837.9349999999999</v>
      </c>
      <c r="M3296" s="8">
        <v>1707.6030000000001</v>
      </c>
      <c r="N3296" s="8">
        <v>1880.954</v>
      </c>
      <c r="O3296" s="8">
        <v>1922.8119999999999</v>
      </c>
      <c r="P3296" s="8">
        <v>1982.787</v>
      </c>
      <c r="Q3296" s="8">
        <v>1569.829</v>
      </c>
      <c r="R3296" s="8">
        <v>1258.0160000000001</v>
      </c>
      <c r="S3296" s="8">
        <v>1831.703</v>
      </c>
      <c r="T3296" s="8">
        <v>1209.566</v>
      </c>
      <c r="U3296" s="8">
        <v>1339.9580000000001</v>
      </c>
      <c r="V3296" s="8">
        <v>755.45500000000004</v>
      </c>
      <c r="W3296" s="8">
        <v>391.82299999999998</v>
      </c>
      <c r="X3296" s="8">
        <v>383.80099999999999</v>
      </c>
      <c r="Y3296" s="8">
        <v>205.50299999999999</v>
      </c>
      <c r="Z3296" s="8">
        <v>75.983999999999995</v>
      </c>
      <c r="AA3296" s="8">
        <v>16.998999999999999</v>
      </c>
      <c r="AB3296" s="8">
        <v>2.5449999999999999</v>
      </c>
      <c r="AC3296" s="8">
        <v>0.23200000000000001</v>
      </c>
    </row>
    <row r="3297" spans="1:29" ht="11.65" x14ac:dyDescent="0.35">
      <c r="A3297" s="12">
        <v>3280</v>
      </c>
      <c r="B3297" s="10" t="s">
        <v>1015</v>
      </c>
      <c r="C3297" s="18" t="s">
        <v>1243</v>
      </c>
      <c r="D3297" s="9">
        <v>19</v>
      </c>
      <c r="E3297" s="9">
        <v>804</v>
      </c>
      <c r="F3297" s="10" t="s">
        <v>1066</v>
      </c>
      <c r="G3297" s="9">
        <v>923</v>
      </c>
      <c r="H3297" s="9">
        <v>1995</v>
      </c>
      <c r="I3297" s="8">
        <v>1433.5039999999999</v>
      </c>
      <c r="J3297" s="8">
        <v>1792.8779999999999</v>
      </c>
      <c r="K3297" s="8">
        <v>1947.58</v>
      </c>
      <c r="L3297" s="8">
        <v>1852.74</v>
      </c>
      <c r="M3297" s="8">
        <v>1785.0150000000001</v>
      </c>
      <c r="N3297" s="8">
        <v>1683.953</v>
      </c>
      <c r="O3297" s="8">
        <v>1860.181</v>
      </c>
      <c r="P3297" s="8">
        <v>1884.903</v>
      </c>
      <c r="Q3297" s="8">
        <v>1917.44</v>
      </c>
      <c r="R3297" s="8">
        <v>1494.7650000000001</v>
      </c>
      <c r="S3297" s="8">
        <v>1169.509</v>
      </c>
      <c r="T3297" s="8">
        <v>1659.7860000000001</v>
      </c>
      <c r="U3297" s="8">
        <v>1046.7660000000001</v>
      </c>
      <c r="V3297" s="8">
        <v>1089.306</v>
      </c>
      <c r="W3297" s="8">
        <v>561.71600000000001</v>
      </c>
      <c r="X3297" s="8">
        <v>255.107</v>
      </c>
      <c r="Y3297" s="8">
        <v>194.321</v>
      </c>
      <c r="Z3297" s="8">
        <v>80.016999999999996</v>
      </c>
      <c r="AA3297" s="8">
        <v>19.393000000000001</v>
      </c>
      <c r="AB3297" s="8">
        <v>2.6749999999999998</v>
      </c>
      <c r="AC3297" s="8">
        <v>0.23300000000000001</v>
      </c>
    </row>
    <row r="3298" spans="1:29" ht="11.65" x14ac:dyDescent="0.35">
      <c r="A3298" s="12">
        <v>3281</v>
      </c>
      <c r="B3298" s="10" t="s">
        <v>1015</v>
      </c>
      <c r="C3298" s="18" t="s">
        <v>1243</v>
      </c>
      <c r="D3298" s="9">
        <v>19</v>
      </c>
      <c r="E3298" s="9">
        <v>804</v>
      </c>
      <c r="F3298" s="10" t="s">
        <v>1066</v>
      </c>
      <c r="G3298" s="9">
        <v>923</v>
      </c>
      <c r="H3298" s="9">
        <v>2000</v>
      </c>
      <c r="I3298" s="8">
        <v>1109.258</v>
      </c>
      <c r="J3298" s="8">
        <v>1406.61</v>
      </c>
      <c r="K3298" s="8">
        <v>1772.827</v>
      </c>
      <c r="L3298" s="8">
        <v>1935.6189999999999</v>
      </c>
      <c r="M3298" s="8">
        <v>1804.85</v>
      </c>
      <c r="N3298" s="8">
        <v>1696.3910000000001</v>
      </c>
      <c r="O3298" s="8">
        <v>1621.5709999999999</v>
      </c>
      <c r="P3298" s="8">
        <v>1782.5070000000001</v>
      </c>
      <c r="Q3298" s="8">
        <v>1784.9839999999999</v>
      </c>
      <c r="R3298" s="8">
        <v>1784.346</v>
      </c>
      <c r="S3298" s="8">
        <v>1361.9010000000001</v>
      </c>
      <c r="T3298" s="8">
        <v>1032.7470000000001</v>
      </c>
      <c r="U3298" s="8">
        <v>1410.623</v>
      </c>
      <c r="V3298" s="8">
        <v>836.173</v>
      </c>
      <c r="W3298" s="8">
        <v>799.54300000000001</v>
      </c>
      <c r="X3298" s="8">
        <v>362.41300000000001</v>
      </c>
      <c r="Y3298" s="8">
        <v>134.81299999999999</v>
      </c>
      <c r="Z3298" s="8">
        <v>74.215000000000003</v>
      </c>
      <c r="AA3298" s="8">
        <v>19.327999999999999</v>
      </c>
      <c r="AB3298" s="8">
        <v>2.7229999999999999</v>
      </c>
      <c r="AC3298" s="8">
        <v>0.214</v>
      </c>
    </row>
    <row r="3299" spans="1:29" ht="11.65" x14ac:dyDescent="0.35">
      <c r="A3299" s="12">
        <v>3282</v>
      </c>
      <c r="B3299" s="10" t="s">
        <v>1015</v>
      </c>
      <c r="C3299" s="18" t="s">
        <v>1243</v>
      </c>
      <c r="D3299" s="9">
        <v>19</v>
      </c>
      <c r="E3299" s="9">
        <v>804</v>
      </c>
      <c r="F3299" s="10" t="s">
        <v>1066</v>
      </c>
      <c r="G3299" s="9">
        <v>923</v>
      </c>
      <c r="H3299" s="9">
        <v>2005</v>
      </c>
      <c r="I3299" s="8">
        <v>1020.213</v>
      </c>
      <c r="J3299" s="8">
        <v>1103.2180000000001</v>
      </c>
      <c r="K3299" s="8">
        <v>1395.2950000000001</v>
      </c>
      <c r="L3299" s="8">
        <v>1762.23</v>
      </c>
      <c r="M3299" s="8">
        <v>1920.0519999999999</v>
      </c>
      <c r="N3299" s="8">
        <v>1760.3219999999999</v>
      </c>
      <c r="O3299" s="8">
        <v>1635.058</v>
      </c>
      <c r="P3299" s="8">
        <v>1561.616</v>
      </c>
      <c r="Q3299" s="8">
        <v>1696.0039999999999</v>
      </c>
      <c r="R3299" s="8">
        <v>1666.588</v>
      </c>
      <c r="S3299" s="8">
        <v>1622.825</v>
      </c>
      <c r="T3299" s="8">
        <v>1204.732</v>
      </c>
      <c r="U3299" s="8">
        <v>869.09100000000001</v>
      </c>
      <c r="V3299" s="8">
        <v>1126.3720000000001</v>
      </c>
      <c r="W3299" s="8">
        <v>613.66499999999996</v>
      </c>
      <c r="X3299" s="8">
        <v>518.97</v>
      </c>
      <c r="Y3299" s="8">
        <v>197.351</v>
      </c>
      <c r="Z3299" s="8">
        <v>54.448</v>
      </c>
      <c r="AA3299" s="8">
        <v>19.015000000000001</v>
      </c>
      <c r="AB3299" s="8">
        <v>2.823</v>
      </c>
      <c r="AC3299" s="8">
        <v>0.218</v>
      </c>
    </row>
    <row r="3300" spans="1:29" ht="11.65" x14ac:dyDescent="0.35">
      <c r="A3300" s="12">
        <v>3283</v>
      </c>
      <c r="B3300" s="10" t="s">
        <v>1015</v>
      </c>
      <c r="C3300" s="18" t="s">
        <v>1243</v>
      </c>
      <c r="D3300" s="9">
        <v>19</v>
      </c>
      <c r="E3300" s="9">
        <v>804</v>
      </c>
      <c r="F3300" s="10" t="s">
        <v>1066</v>
      </c>
      <c r="G3300" s="9">
        <v>923</v>
      </c>
      <c r="H3300" s="9">
        <v>2010</v>
      </c>
      <c r="I3300" s="8">
        <v>1226.7360000000001</v>
      </c>
      <c r="J3300" s="8">
        <v>1007.478</v>
      </c>
      <c r="K3300" s="8">
        <v>1089.9849999999999</v>
      </c>
      <c r="L3300" s="8">
        <v>1408.8409999999999</v>
      </c>
      <c r="M3300" s="8">
        <v>1850.1</v>
      </c>
      <c r="N3300" s="8">
        <v>1885.809</v>
      </c>
      <c r="O3300" s="8">
        <v>1708.2719999999999</v>
      </c>
      <c r="P3300" s="8">
        <v>1576.701</v>
      </c>
      <c r="Q3300" s="8">
        <v>1432.2470000000001</v>
      </c>
      <c r="R3300" s="8">
        <v>1598.442</v>
      </c>
      <c r="S3300" s="8">
        <v>1533.6110000000001</v>
      </c>
      <c r="T3300" s="8">
        <v>1388.2429999999999</v>
      </c>
      <c r="U3300" s="8">
        <v>1012.299</v>
      </c>
      <c r="V3300" s="8">
        <v>745.58600000000001</v>
      </c>
      <c r="W3300" s="8">
        <v>859.19200000000001</v>
      </c>
      <c r="X3300" s="8">
        <v>402.87799999999999</v>
      </c>
      <c r="Y3300" s="8">
        <v>305.79599999999999</v>
      </c>
      <c r="Z3300" s="8">
        <v>85.501999999999995</v>
      </c>
      <c r="AA3300" s="8">
        <v>15.827999999999999</v>
      </c>
      <c r="AB3300" s="8">
        <v>3.0129999999999999</v>
      </c>
      <c r="AC3300" s="8">
        <v>0.25700000000000001</v>
      </c>
    </row>
    <row r="3301" spans="1:29" ht="11.65" x14ac:dyDescent="0.35">
      <c r="A3301" s="12">
        <v>3284</v>
      </c>
      <c r="B3301" s="10" t="s">
        <v>1015</v>
      </c>
      <c r="C3301" s="18" t="s">
        <v>1243</v>
      </c>
      <c r="D3301" s="9">
        <v>19</v>
      </c>
      <c r="E3301" s="9">
        <v>804</v>
      </c>
      <c r="F3301" s="10" t="s">
        <v>1066</v>
      </c>
      <c r="G3301" s="9">
        <v>923</v>
      </c>
      <c r="H3301" s="9">
        <v>2015</v>
      </c>
      <c r="I3301" s="8">
        <v>1276.442</v>
      </c>
      <c r="J3301" s="8">
        <v>1238.9670000000001</v>
      </c>
      <c r="K3301" s="8">
        <v>1015.489</v>
      </c>
      <c r="L3301" s="8">
        <v>1098.319</v>
      </c>
      <c r="M3301" s="8">
        <v>1416.579</v>
      </c>
      <c r="N3301" s="8">
        <v>1848.85</v>
      </c>
      <c r="O3301" s="8">
        <v>1868.4290000000001</v>
      </c>
      <c r="P3301" s="8">
        <v>1674.9680000000001</v>
      </c>
      <c r="Q3301" s="8">
        <v>1533.126</v>
      </c>
      <c r="R3301" s="8">
        <v>1375.89</v>
      </c>
      <c r="S3301" s="8">
        <v>1501.934</v>
      </c>
      <c r="T3301" s="8">
        <v>1391.72</v>
      </c>
      <c r="U3301" s="8">
        <v>1194.519</v>
      </c>
      <c r="V3301" s="8">
        <v>817.02300000000002</v>
      </c>
      <c r="W3301" s="8">
        <v>556.97699999999998</v>
      </c>
      <c r="X3301" s="8">
        <v>575.07399999999996</v>
      </c>
      <c r="Y3301" s="8">
        <v>244.029</v>
      </c>
      <c r="Z3301" s="8">
        <v>126.80500000000001</v>
      </c>
      <c r="AA3301" s="8">
        <v>23.957999999999998</v>
      </c>
      <c r="AB3301" s="8">
        <v>2.5790000000000002</v>
      </c>
      <c r="AC3301" s="8">
        <v>0.28699999999999998</v>
      </c>
    </row>
    <row r="3302" spans="1:29" ht="11.65" x14ac:dyDescent="0.35">
      <c r="A3302" s="12">
        <v>3285</v>
      </c>
      <c r="B3302" s="10" t="s">
        <v>1015</v>
      </c>
      <c r="C3302" s="18" t="s">
        <v>1243</v>
      </c>
      <c r="D3302" s="9">
        <v>19</v>
      </c>
      <c r="E3302" s="9">
        <v>804</v>
      </c>
      <c r="F3302" s="10" t="s">
        <v>1066</v>
      </c>
      <c r="G3302" s="9">
        <v>923</v>
      </c>
      <c r="H3302" s="9">
        <v>2020</v>
      </c>
      <c r="I3302" s="8">
        <v>1087.54</v>
      </c>
      <c r="J3302" s="8">
        <v>1274.6579999999999</v>
      </c>
      <c r="K3302" s="8">
        <v>1237.4349999999999</v>
      </c>
      <c r="L3302" s="8">
        <v>1021.056</v>
      </c>
      <c r="M3302" s="8">
        <v>1100.799</v>
      </c>
      <c r="N3302" s="8">
        <v>1408.741</v>
      </c>
      <c r="O3302" s="8">
        <v>1824.8869999999999</v>
      </c>
      <c r="P3302" s="8">
        <v>1828.8689999999999</v>
      </c>
      <c r="Q3302" s="8">
        <v>1627.0170000000001</v>
      </c>
      <c r="R3302" s="8">
        <v>1473.5619999999999</v>
      </c>
      <c r="S3302" s="8">
        <v>1298.962</v>
      </c>
      <c r="T3302" s="8">
        <v>1380.075</v>
      </c>
      <c r="U3302" s="8">
        <v>1225.646</v>
      </c>
      <c r="V3302" s="8">
        <v>999.43399999999997</v>
      </c>
      <c r="W3302" s="8">
        <v>633.399</v>
      </c>
      <c r="X3302" s="8">
        <v>376.77</v>
      </c>
      <c r="Y3302" s="8">
        <v>319.81700000000001</v>
      </c>
      <c r="Z3302" s="8">
        <v>103.84399999999999</v>
      </c>
      <c r="AA3302" s="8">
        <v>36.421999999999997</v>
      </c>
      <c r="AB3302" s="8">
        <v>3.9620000000000002</v>
      </c>
      <c r="AC3302" s="8">
        <v>0.253</v>
      </c>
    </row>
    <row r="3303" spans="1:29" ht="11.65" x14ac:dyDescent="0.35">
      <c r="A3303" s="23">
        <v>3286</v>
      </c>
      <c r="B3303" s="21" t="s">
        <v>1015</v>
      </c>
      <c r="C3303" s="22" t="s">
        <v>1244</v>
      </c>
      <c r="D3303" s="20"/>
      <c r="E3303" s="20">
        <v>924</v>
      </c>
      <c r="F3303" s="21" t="s">
        <v>1065</v>
      </c>
      <c r="G3303" s="20">
        <v>917</v>
      </c>
      <c r="H3303" s="20">
        <v>1950</v>
      </c>
      <c r="I3303" s="19">
        <v>3605.91</v>
      </c>
      <c r="J3303" s="19">
        <v>3060.9749999999999</v>
      </c>
      <c r="K3303" s="19">
        <v>2766.5450000000001</v>
      </c>
      <c r="L3303" s="19">
        <v>2548.741</v>
      </c>
      <c r="M3303" s="19">
        <v>2687.6149999999998</v>
      </c>
      <c r="N3303" s="19">
        <v>2916.3809999999999</v>
      </c>
      <c r="O3303" s="19">
        <v>2620.4960000000001</v>
      </c>
      <c r="P3303" s="19">
        <v>2876.7170000000001</v>
      </c>
      <c r="Q3303" s="19">
        <v>2867.8270000000002</v>
      </c>
      <c r="R3303" s="19">
        <v>2595.1819999999998</v>
      </c>
      <c r="S3303" s="19">
        <v>2189.5509999999999</v>
      </c>
      <c r="T3303" s="19">
        <v>1854.2560000000001</v>
      </c>
      <c r="U3303" s="19">
        <v>1598.3050000000001</v>
      </c>
      <c r="V3303" s="19">
        <v>1320.4749999999999</v>
      </c>
      <c r="W3303" s="19">
        <v>1018.6180000000001</v>
      </c>
      <c r="X3303" s="19">
        <v>639.16700000000003</v>
      </c>
      <c r="Y3303" s="19">
        <v>295.81900000000002</v>
      </c>
      <c r="Z3303" s="19">
        <v>98.019000000000005</v>
      </c>
      <c r="AA3303" s="19">
        <v>19.908999999999999</v>
      </c>
      <c r="AB3303" s="19">
        <v>2.1819999999999999</v>
      </c>
      <c r="AC3303" s="19">
        <v>0.11</v>
      </c>
    </row>
    <row r="3304" spans="1:29" ht="11.65" x14ac:dyDescent="0.35">
      <c r="A3304" s="23">
        <v>3287</v>
      </c>
      <c r="B3304" s="21" t="s">
        <v>1015</v>
      </c>
      <c r="C3304" s="22" t="s">
        <v>1244</v>
      </c>
      <c r="D3304" s="20"/>
      <c r="E3304" s="20">
        <v>924</v>
      </c>
      <c r="F3304" s="21" t="s">
        <v>1065</v>
      </c>
      <c r="G3304" s="20">
        <v>917</v>
      </c>
      <c r="H3304" s="20">
        <v>1955</v>
      </c>
      <c r="I3304" s="19">
        <v>3224.837</v>
      </c>
      <c r="J3304" s="19">
        <v>3535.8319999999999</v>
      </c>
      <c r="K3304" s="19">
        <v>3025.7809999999999</v>
      </c>
      <c r="L3304" s="19">
        <v>2692</v>
      </c>
      <c r="M3304" s="19">
        <v>2575.4639999999999</v>
      </c>
      <c r="N3304" s="19">
        <v>2684.4720000000002</v>
      </c>
      <c r="O3304" s="19">
        <v>2858.462</v>
      </c>
      <c r="P3304" s="19">
        <v>2545.0479999999998</v>
      </c>
      <c r="Q3304" s="19">
        <v>2781.64</v>
      </c>
      <c r="R3304" s="19">
        <v>2746.21</v>
      </c>
      <c r="S3304" s="19">
        <v>2495.4760000000001</v>
      </c>
      <c r="T3304" s="19">
        <v>2016.924</v>
      </c>
      <c r="U3304" s="19">
        <v>1654.0409999999999</v>
      </c>
      <c r="V3304" s="19">
        <v>1336.9760000000001</v>
      </c>
      <c r="W3304" s="19">
        <v>1012.341</v>
      </c>
      <c r="X3304" s="19">
        <v>675.471</v>
      </c>
      <c r="Y3304" s="19">
        <v>339.82900000000001</v>
      </c>
      <c r="Z3304" s="19">
        <v>111.24</v>
      </c>
      <c r="AA3304" s="19">
        <v>23.207000000000001</v>
      </c>
      <c r="AB3304" s="19">
        <v>2.6269999999999998</v>
      </c>
      <c r="AC3304" s="19">
        <v>0.15</v>
      </c>
    </row>
    <row r="3305" spans="1:29" ht="11.65" x14ac:dyDescent="0.35">
      <c r="A3305" s="23">
        <v>3288</v>
      </c>
      <c r="B3305" s="21" t="s">
        <v>1015</v>
      </c>
      <c r="C3305" s="22" t="s">
        <v>1244</v>
      </c>
      <c r="D3305" s="20"/>
      <c r="E3305" s="20">
        <v>924</v>
      </c>
      <c r="F3305" s="21" t="s">
        <v>1065</v>
      </c>
      <c r="G3305" s="20">
        <v>917</v>
      </c>
      <c r="H3305" s="20">
        <v>1960</v>
      </c>
      <c r="I3305" s="19">
        <v>3373.0459999999998</v>
      </c>
      <c r="J3305" s="19">
        <v>3195.6060000000002</v>
      </c>
      <c r="K3305" s="19">
        <v>3526.5030000000002</v>
      </c>
      <c r="L3305" s="19">
        <v>3004.098</v>
      </c>
      <c r="M3305" s="19">
        <v>2644.3919999999998</v>
      </c>
      <c r="N3305" s="19">
        <v>2600.3809999999999</v>
      </c>
      <c r="O3305" s="19">
        <v>2671.7449999999999</v>
      </c>
      <c r="P3305" s="19">
        <v>2819.7060000000001</v>
      </c>
      <c r="Q3305" s="19">
        <v>2524.029</v>
      </c>
      <c r="R3305" s="19">
        <v>2713.4270000000001</v>
      </c>
      <c r="S3305" s="19">
        <v>2647.49</v>
      </c>
      <c r="T3305" s="19">
        <v>2349.4389999999999</v>
      </c>
      <c r="U3305" s="19">
        <v>1827.152</v>
      </c>
      <c r="V3305" s="19">
        <v>1408.1</v>
      </c>
      <c r="W3305" s="19">
        <v>1037.356</v>
      </c>
      <c r="X3305" s="19">
        <v>681.51099999999997</v>
      </c>
      <c r="Y3305" s="19">
        <v>368.24599999999998</v>
      </c>
      <c r="Z3305" s="19">
        <v>132.11000000000001</v>
      </c>
      <c r="AA3305" s="19">
        <v>27.419</v>
      </c>
      <c r="AB3305" s="19">
        <v>3.2349999999999999</v>
      </c>
      <c r="AC3305" s="19">
        <v>0.193</v>
      </c>
    </row>
    <row r="3306" spans="1:29" ht="11.65" x14ac:dyDescent="0.35">
      <c r="A3306" s="23">
        <v>3289</v>
      </c>
      <c r="B3306" s="21" t="s">
        <v>1015</v>
      </c>
      <c r="C3306" s="22" t="s">
        <v>1244</v>
      </c>
      <c r="D3306" s="20"/>
      <c r="E3306" s="20">
        <v>924</v>
      </c>
      <c r="F3306" s="21" t="s">
        <v>1065</v>
      </c>
      <c r="G3306" s="20">
        <v>917</v>
      </c>
      <c r="H3306" s="20">
        <v>1965</v>
      </c>
      <c r="I3306" s="19">
        <v>3755.201</v>
      </c>
      <c r="J3306" s="19">
        <v>3370.1869999999999</v>
      </c>
      <c r="K3306" s="19">
        <v>3208.6640000000002</v>
      </c>
      <c r="L3306" s="19">
        <v>3492.692</v>
      </c>
      <c r="M3306" s="19">
        <v>2960.0889999999999</v>
      </c>
      <c r="N3306" s="19">
        <v>2690.3359999999998</v>
      </c>
      <c r="O3306" s="19">
        <v>2603.547</v>
      </c>
      <c r="P3306" s="19">
        <v>2672.0659999999998</v>
      </c>
      <c r="Q3306" s="19">
        <v>2792.5949999999998</v>
      </c>
      <c r="R3306" s="19">
        <v>2468.5450000000001</v>
      </c>
      <c r="S3306" s="19">
        <v>2632.3229999999999</v>
      </c>
      <c r="T3306" s="19">
        <v>2507.0909999999999</v>
      </c>
      <c r="U3306" s="19">
        <v>2123.739</v>
      </c>
      <c r="V3306" s="19">
        <v>1544</v>
      </c>
      <c r="W3306" s="19">
        <v>1097.345</v>
      </c>
      <c r="X3306" s="19">
        <v>709.71799999999996</v>
      </c>
      <c r="Y3306" s="19">
        <v>380.20800000000003</v>
      </c>
      <c r="Z3306" s="19">
        <v>145.535</v>
      </c>
      <c r="AA3306" s="19">
        <v>33.518999999999998</v>
      </c>
      <c r="AB3306" s="19">
        <v>4.0259999999999998</v>
      </c>
      <c r="AC3306" s="19">
        <v>0.26800000000000002</v>
      </c>
    </row>
    <row r="3307" spans="1:29" ht="11.65" x14ac:dyDescent="0.35">
      <c r="A3307" s="23">
        <v>3290</v>
      </c>
      <c r="B3307" s="21" t="s">
        <v>1015</v>
      </c>
      <c r="C3307" s="22" t="s">
        <v>1244</v>
      </c>
      <c r="D3307" s="20"/>
      <c r="E3307" s="20">
        <v>924</v>
      </c>
      <c r="F3307" s="21" t="s">
        <v>1065</v>
      </c>
      <c r="G3307" s="20">
        <v>917</v>
      </c>
      <c r="H3307" s="20">
        <v>1970</v>
      </c>
      <c r="I3307" s="19">
        <v>3669.598</v>
      </c>
      <c r="J3307" s="19">
        <v>3722.4540000000002</v>
      </c>
      <c r="K3307" s="19">
        <v>3369.0320000000002</v>
      </c>
      <c r="L3307" s="19">
        <v>3210.35</v>
      </c>
      <c r="M3307" s="19">
        <v>3467.2890000000002</v>
      </c>
      <c r="N3307" s="19">
        <v>2950.73</v>
      </c>
      <c r="O3307" s="19">
        <v>2674.3229999999999</v>
      </c>
      <c r="P3307" s="19">
        <v>2570.0830000000001</v>
      </c>
      <c r="Q3307" s="19">
        <v>2631.8290000000002</v>
      </c>
      <c r="R3307" s="19">
        <v>2728.5680000000002</v>
      </c>
      <c r="S3307" s="19">
        <v>2370.3879999999999</v>
      </c>
      <c r="T3307" s="19">
        <v>2479.5770000000002</v>
      </c>
      <c r="U3307" s="19">
        <v>2272.078</v>
      </c>
      <c r="V3307" s="19">
        <v>1798.799</v>
      </c>
      <c r="W3307" s="19">
        <v>1191.8520000000001</v>
      </c>
      <c r="X3307" s="19">
        <v>741.81399999999996</v>
      </c>
      <c r="Y3307" s="19">
        <v>396.72</v>
      </c>
      <c r="Z3307" s="19">
        <v>157.327</v>
      </c>
      <c r="AA3307" s="19">
        <v>39.121000000000002</v>
      </c>
      <c r="AB3307" s="19">
        <v>5.2640000000000002</v>
      </c>
      <c r="AC3307" s="19">
        <v>0.38100000000000001</v>
      </c>
    </row>
    <row r="3308" spans="1:29" ht="11.65" x14ac:dyDescent="0.35">
      <c r="A3308" s="23">
        <v>3291</v>
      </c>
      <c r="B3308" s="21" t="s">
        <v>1015</v>
      </c>
      <c r="C3308" s="22" t="s">
        <v>1244</v>
      </c>
      <c r="D3308" s="20"/>
      <c r="E3308" s="20">
        <v>924</v>
      </c>
      <c r="F3308" s="21" t="s">
        <v>1065</v>
      </c>
      <c r="G3308" s="20">
        <v>917</v>
      </c>
      <c r="H3308" s="20">
        <v>1975</v>
      </c>
      <c r="I3308" s="19">
        <v>3266.4879999999998</v>
      </c>
      <c r="J3308" s="19">
        <v>3649.8510000000001</v>
      </c>
      <c r="K3308" s="19">
        <v>3731.43</v>
      </c>
      <c r="L3308" s="19">
        <v>3372.0169999999998</v>
      </c>
      <c r="M3308" s="19">
        <v>3225.3939999999998</v>
      </c>
      <c r="N3308" s="19">
        <v>3465.71</v>
      </c>
      <c r="O3308" s="19">
        <v>2928.0079999999998</v>
      </c>
      <c r="P3308" s="19">
        <v>2641.89</v>
      </c>
      <c r="Q3308" s="19">
        <v>2531.2260000000001</v>
      </c>
      <c r="R3308" s="19">
        <v>2575.1370000000002</v>
      </c>
      <c r="S3308" s="19">
        <v>2635.8539999999998</v>
      </c>
      <c r="T3308" s="19">
        <v>2237.473</v>
      </c>
      <c r="U3308" s="19">
        <v>2259.1060000000002</v>
      </c>
      <c r="V3308" s="19">
        <v>1944.921</v>
      </c>
      <c r="W3308" s="19">
        <v>1402.047</v>
      </c>
      <c r="X3308" s="19">
        <v>808.702</v>
      </c>
      <c r="Y3308" s="19">
        <v>418.46499999999997</v>
      </c>
      <c r="Z3308" s="19">
        <v>167.214</v>
      </c>
      <c r="AA3308" s="19">
        <v>44.436999999999998</v>
      </c>
      <c r="AB3308" s="19">
        <v>6.4669999999999996</v>
      </c>
      <c r="AC3308" s="19">
        <v>0.52500000000000002</v>
      </c>
    </row>
    <row r="3309" spans="1:29" ht="11.65" x14ac:dyDescent="0.35">
      <c r="A3309" s="23">
        <v>3292</v>
      </c>
      <c r="B3309" s="21" t="s">
        <v>1015</v>
      </c>
      <c r="C3309" s="22" t="s">
        <v>1244</v>
      </c>
      <c r="D3309" s="20"/>
      <c r="E3309" s="20">
        <v>924</v>
      </c>
      <c r="F3309" s="21" t="s">
        <v>1065</v>
      </c>
      <c r="G3309" s="20">
        <v>917</v>
      </c>
      <c r="H3309" s="20">
        <v>1980</v>
      </c>
      <c r="I3309" s="19">
        <v>2919.8139999999999</v>
      </c>
      <c r="J3309" s="19">
        <v>3250.6889999999999</v>
      </c>
      <c r="K3309" s="19">
        <v>3656.6320000000001</v>
      </c>
      <c r="L3309" s="19">
        <v>3756.721</v>
      </c>
      <c r="M3309" s="19">
        <v>3383.913</v>
      </c>
      <c r="N3309" s="19">
        <v>3191.904</v>
      </c>
      <c r="O3309" s="19">
        <v>3427.5030000000002</v>
      </c>
      <c r="P3309" s="19">
        <v>2893.4780000000001</v>
      </c>
      <c r="Q3309" s="19">
        <v>2602.7280000000001</v>
      </c>
      <c r="R3309" s="19">
        <v>2479.7829999999999</v>
      </c>
      <c r="S3309" s="19">
        <v>2487.5880000000002</v>
      </c>
      <c r="T3309" s="19">
        <v>2486.7489999999998</v>
      </c>
      <c r="U3309" s="19">
        <v>2041.598</v>
      </c>
      <c r="V3309" s="19">
        <v>1953.133</v>
      </c>
      <c r="W3309" s="19">
        <v>1539.473</v>
      </c>
      <c r="X3309" s="19">
        <v>964.23</v>
      </c>
      <c r="Y3309" s="19">
        <v>458.19200000000001</v>
      </c>
      <c r="Z3309" s="19">
        <v>179.18799999999999</v>
      </c>
      <c r="AA3309" s="19">
        <v>48.127000000000002</v>
      </c>
      <c r="AB3309" s="19">
        <v>7.6630000000000003</v>
      </c>
      <c r="AC3309" s="19">
        <v>0.65800000000000003</v>
      </c>
    </row>
    <row r="3310" spans="1:29" ht="11.65" x14ac:dyDescent="0.35">
      <c r="A3310" s="23">
        <v>3293</v>
      </c>
      <c r="B3310" s="21" t="s">
        <v>1015</v>
      </c>
      <c r="C3310" s="22" t="s">
        <v>1244</v>
      </c>
      <c r="D3310" s="20"/>
      <c r="E3310" s="20">
        <v>924</v>
      </c>
      <c r="F3310" s="21" t="s">
        <v>1065</v>
      </c>
      <c r="G3310" s="20">
        <v>917</v>
      </c>
      <c r="H3310" s="20">
        <v>1985</v>
      </c>
      <c r="I3310" s="19">
        <v>3004.8359999999998</v>
      </c>
      <c r="J3310" s="19">
        <v>2919.721</v>
      </c>
      <c r="K3310" s="19">
        <v>3244.9870000000001</v>
      </c>
      <c r="L3310" s="19">
        <v>3650.94</v>
      </c>
      <c r="M3310" s="19">
        <v>3736.0970000000002</v>
      </c>
      <c r="N3310" s="19">
        <v>3318.44</v>
      </c>
      <c r="O3310" s="19">
        <v>3141.2959999999998</v>
      </c>
      <c r="P3310" s="19">
        <v>3379.07</v>
      </c>
      <c r="Q3310" s="19">
        <v>2847.7150000000001</v>
      </c>
      <c r="R3310" s="19">
        <v>2541.3069999999998</v>
      </c>
      <c r="S3310" s="19">
        <v>2398.8130000000001</v>
      </c>
      <c r="T3310" s="19">
        <v>2361.19</v>
      </c>
      <c r="U3310" s="19">
        <v>2282.2640000000001</v>
      </c>
      <c r="V3310" s="19">
        <v>1781.5</v>
      </c>
      <c r="W3310" s="19">
        <v>1569.6079999999999</v>
      </c>
      <c r="X3310" s="19">
        <v>1082.0139999999999</v>
      </c>
      <c r="Y3310" s="19">
        <v>556.71900000000005</v>
      </c>
      <c r="Z3310" s="19">
        <v>202.167</v>
      </c>
      <c r="AA3310" s="19">
        <v>54.414999999999999</v>
      </c>
      <c r="AB3310" s="19">
        <v>8.8040000000000003</v>
      </c>
      <c r="AC3310" s="19">
        <v>0.86299999999999999</v>
      </c>
    </row>
    <row r="3311" spans="1:29" ht="11.65" x14ac:dyDescent="0.35">
      <c r="A3311" s="23">
        <v>3294</v>
      </c>
      <c r="B3311" s="21" t="s">
        <v>1015</v>
      </c>
      <c r="C3311" s="22" t="s">
        <v>1244</v>
      </c>
      <c r="D3311" s="20"/>
      <c r="E3311" s="20">
        <v>924</v>
      </c>
      <c r="F3311" s="21" t="s">
        <v>1065</v>
      </c>
      <c r="G3311" s="20">
        <v>917</v>
      </c>
      <c r="H3311" s="20">
        <v>1990</v>
      </c>
      <c r="I3311" s="19">
        <v>3168.056</v>
      </c>
      <c r="J3311" s="19">
        <v>3027.319</v>
      </c>
      <c r="K3311" s="19">
        <v>2937.0450000000001</v>
      </c>
      <c r="L3311" s="19">
        <v>3257.6309999999999</v>
      </c>
      <c r="M3311" s="19">
        <v>3621.808</v>
      </c>
      <c r="N3311" s="19">
        <v>3689.6750000000002</v>
      </c>
      <c r="O3311" s="19">
        <v>3292.7820000000002</v>
      </c>
      <c r="P3311" s="19">
        <v>3116.252</v>
      </c>
      <c r="Q3311" s="19">
        <v>3348.1550000000002</v>
      </c>
      <c r="R3311" s="19">
        <v>2795.6790000000001</v>
      </c>
      <c r="S3311" s="19">
        <v>2469.3119999999999</v>
      </c>
      <c r="T3311" s="19">
        <v>2289.9050000000002</v>
      </c>
      <c r="U3311" s="19">
        <v>2185.482</v>
      </c>
      <c r="V3311" s="19">
        <v>2011.546</v>
      </c>
      <c r="W3311" s="19">
        <v>1459.068</v>
      </c>
      <c r="X3311" s="19">
        <v>1139.058</v>
      </c>
      <c r="Y3311" s="19">
        <v>652.30499999999995</v>
      </c>
      <c r="Z3311" s="19">
        <v>253.61600000000001</v>
      </c>
      <c r="AA3311" s="19">
        <v>62.957000000000001</v>
      </c>
      <c r="AB3311" s="19">
        <v>10.317</v>
      </c>
      <c r="AC3311" s="19">
        <v>0.98899999999999999</v>
      </c>
    </row>
    <row r="3312" spans="1:29" ht="11.65" x14ac:dyDescent="0.35">
      <c r="A3312" s="23">
        <v>3295</v>
      </c>
      <c r="B3312" s="21" t="s">
        <v>1015</v>
      </c>
      <c r="C3312" s="22" t="s">
        <v>1244</v>
      </c>
      <c r="D3312" s="20"/>
      <c r="E3312" s="20">
        <v>924</v>
      </c>
      <c r="F3312" s="21" t="s">
        <v>1065</v>
      </c>
      <c r="G3312" s="20">
        <v>917</v>
      </c>
      <c r="H3312" s="20">
        <v>1995</v>
      </c>
      <c r="I3312" s="19">
        <v>3138.741</v>
      </c>
      <c r="J3312" s="19">
        <v>3173.9110000000001</v>
      </c>
      <c r="K3312" s="19">
        <v>3033.4479999999999</v>
      </c>
      <c r="L3312" s="19">
        <v>2916.6959999999999</v>
      </c>
      <c r="M3312" s="19">
        <v>3226.3629999999998</v>
      </c>
      <c r="N3312" s="19">
        <v>3579.1480000000001</v>
      </c>
      <c r="O3312" s="19">
        <v>3630.739</v>
      </c>
      <c r="P3312" s="19">
        <v>3254.2550000000001</v>
      </c>
      <c r="Q3312" s="19">
        <v>3074.0520000000001</v>
      </c>
      <c r="R3312" s="19">
        <v>3284.694</v>
      </c>
      <c r="S3312" s="19">
        <v>2721.8809999999999</v>
      </c>
      <c r="T3312" s="19">
        <v>2367.518</v>
      </c>
      <c r="U3312" s="19">
        <v>2134.1109999999999</v>
      </c>
      <c r="V3312" s="19">
        <v>1943.0930000000001</v>
      </c>
      <c r="W3312" s="19">
        <v>1664.5840000000001</v>
      </c>
      <c r="X3312" s="19">
        <v>1087.847</v>
      </c>
      <c r="Y3312" s="19">
        <v>710.10599999999999</v>
      </c>
      <c r="Z3312" s="19">
        <v>309.11099999999999</v>
      </c>
      <c r="AA3312" s="19">
        <v>81.557000000000002</v>
      </c>
      <c r="AB3312" s="19">
        <v>11.898</v>
      </c>
      <c r="AC3312" s="19">
        <v>1.1240000000000001</v>
      </c>
    </row>
    <row r="3313" spans="1:29" ht="11.65" x14ac:dyDescent="0.35">
      <c r="A3313" s="23">
        <v>3296</v>
      </c>
      <c r="B3313" s="21" t="s">
        <v>1015</v>
      </c>
      <c r="C3313" s="22" t="s">
        <v>1244</v>
      </c>
      <c r="D3313" s="20"/>
      <c r="E3313" s="20">
        <v>924</v>
      </c>
      <c r="F3313" s="21" t="s">
        <v>1065</v>
      </c>
      <c r="G3313" s="20">
        <v>917</v>
      </c>
      <c r="H3313" s="20">
        <v>2000</v>
      </c>
      <c r="I3313" s="19">
        <v>2865.3319999999999</v>
      </c>
      <c r="J3313" s="19">
        <v>3151.6570000000002</v>
      </c>
      <c r="K3313" s="19">
        <v>3197.48</v>
      </c>
      <c r="L3313" s="19">
        <v>3024.9459999999999</v>
      </c>
      <c r="M3313" s="19">
        <v>2932.1010000000001</v>
      </c>
      <c r="N3313" s="19">
        <v>3262.5810000000001</v>
      </c>
      <c r="O3313" s="19">
        <v>3602.8510000000001</v>
      </c>
      <c r="P3313" s="19">
        <v>3622.8180000000002</v>
      </c>
      <c r="Q3313" s="19">
        <v>3243.4119999999998</v>
      </c>
      <c r="R3313" s="19">
        <v>3037.4229999999998</v>
      </c>
      <c r="S3313" s="19">
        <v>3209.904</v>
      </c>
      <c r="T3313" s="19">
        <v>2627.5859999999998</v>
      </c>
      <c r="U3313" s="19">
        <v>2235.5419999999999</v>
      </c>
      <c r="V3313" s="19">
        <v>1934.664</v>
      </c>
      <c r="W3313" s="19">
        <v>1646.924</v>
      </c>
      <c r="X3313" s="19">
        <v>1270.221</v>
      </c>
      <c r="Y3313" s="19">
        <v>717.22400000000005</v>
      </c>
      <c r="Z3313" s="19">
        <v>349.60500000000002</v>
      </c>
      <c r="AA3313" s="19">
        <v>101.63</v>
      </c>
      <c r="AB3313" s="19">
        <v>15.363</v>
      </c>
      <c r="AC3313" s="19">
        <v>1.2150000000000001</v>
      </c>
    </row>
    <row r="3314" spans="1:29" ht="11.65" x14ac:dyDescent="0.35">
      <c r="A3314" s="23">
        <v>3297</v>
      </c>
      <c r="B3314" s="21" t="s">
        <v>1015</v>
      </c>
      <c r="C3314" s="22" t="s">
        <v>1244</v>
      </c>
      <c r="D3314" s="20"/>
      <c r="E3314" s="20">
        <v>924</v>
      </c>
      <c r="F3314" s="21" t="s">
        <v>1065</v>
      </c>
      <c r="G3314" s="20">
        <v>917</v>
      </c>
      <c r="H3314" s="20">
        <v>2005</v>
      </c>
      <c r="I3314" s="19">
        <v>2815.9949999999999</v>
      </c>
      <c r="J3314" s="19">
        <v>2874.2939999999999</v>
      </c>
      <c r="K3314" s="19">
        <v>3173.7620000000002</v>
      </c>
      <c r="L3314" s="19">
        <v>3261.9760000000001</v>
      </c>
      <c r="M3314" s="19">
        <v>3169.9229999999998</v>
      </c>
      <c r="N3314" s="19">
        <v>3073.261</v>
      </c>
      <c r="O3314" s="19">
        <v>3342.2730000000001</v>
      </c>
      <c r="P3314" s="19">
        <v>3635.654</v>
      </c>
      <c r="Q3314" s="19">
        <v>3616.2289999999998</v>
      </c>
      <c r="R3314" s="19">
        <v>3208.3649999999998</v>
      </c>
      <c r="S3314" s="19">
        <v>2966.1819999999998</v>
      </c>
      <c r="T3314" s="19">
        <v>3095.9479999999999</v>
      </c>
      <c r="U3314" s="19">
        <v>2481.1080000000002</v>
      </c>
      <c r="V3314" s="19">
        <v>2043.133</v>
      </c>
      <c r="W3314" s="19">
        <v>1678.7339999999999</v>
      </c>
      <c r="X3314" s="19">
        <v>1305.127</v>
      </c>
      <c r="Y3314" s="19">
        <v>863.06200000000001</v>
      </c>
      <c r="Z3314" s="19">
        <v>377.13299999999998</v>
      </c>
      <c r="AA3314" s="19">
        <v>123.179</v>
      </c>
      <c r="AB3314" s="19">
        <v>20.385999999999999</v>
      </c>
      <c r="AC3314" s="19">
        <v>1.6040000000000001</v>
      </c>
    </row>
    <row r="3315" spans="1:29" ht="11.65" x14ac:dyDescent="0.35">
      <c r="A3315" s="23">
        <v>3298</v>
      </c>
      <c r="B3315" s="21" t="s">
        <v>1015</v>
      </c>
      <c r="C3315" s="22" t="s">
        <v>1244</v>
      </c>
      <c r="D3315" s="20"/>
      <c r="E3315" s="20">
        <v>924</v>
      </c>
      <c r="F3315" s="21" t="s">
        <v>1065</v>
      </c>
      <c r="G3315" s="20">
        <v>917</v>
      </c>
      <c r="H3315" s="20">
        <v>2010</v>
      </c>
      <c r="I3315" s="19">
        <v>3132.37</v>
      </c>
      <c r="J3315" s="19">
        <v>2860.9459999999999</v>
      </c>
      <c r="K3315" s="19">
        <v>2957.6379999999999</v>
      </c>
      <c r="L3315" s="19">
        <v>3284.7420000000002</v>
      </c>
      <c r="M3315" s="19">
        <v>3413.7809999999999</v>
      </c>
      <c r="N3315" s="19">
        <v>3373.4009999999998</v>
      </c>
      <c r="O3315" s="19">
        <v>3305.2150000000001</v>
      </c>
      <c r="P3315" s="19">
        <v>3392.7539999999999</v>
      </c>
      <c r="Q3315" s="19">
        <v>3613.1680000000001</v>
      </c>
      <c r="R3315" s="19">
        <v>3591.75</v>
      </c>
      <c r="S3315" s="19">
        <v>3228.6309999999999</v>
      </c>
      <c r="T3315" s="19">
        <v>2929.2530000000002</v>
      </c>
      <c r="U3315" s="19">
        <v>3004.558</v>
      </c>
      <c r="V3315" s="19">
        <v>2334.4859999999999</v>
      </c>
      <c r="W3315" s="19">
        <v>1827.989</v>
      </c>
      <c r="X3315" s="19">
        <v>1407.193</v>
      </c>
      <c r="Y3315" s="19">
        <v>963.79</v>
      </c>
      <c r="Z3315" s="19">
        <v>487.45699999999999</v>
      </c>
      <c r="AA3315" s="19">
        <v>144.96600000000001</v>
      </c>
      <c r="AB3315" s="19">
        <v>26.92</v>
      </c>
      <c r="AC3315" s="19">
        <v>2.2549999999999999</v>
      </c>
    </row>
    <row r="3316" spans="1:29" ht="11.65" x14ac:dyDescent="0.35">
      <c r="A3316" s="23">
        <v>3299</v>
      </c>
      <c r="B3316" s="21" t="s">
        <v>1015</v>
      </c>
      <c r="C3316" s="22" t="s">
        <v>1244</v>
      </c>
      <c r="D3316" s="20"/>
      <c r="E3316" s="20">
        <v>924</v>
      </c>
      <c r="F3316" s="21" t="s">
        <v>1065</v>
      </c>
      <c r="G3316" s="20">
        <v>917</v>
      </c>
      <c r="H3316" s="20">
        <v>2015</v>
      </c>
      <c r="I3316" s="19">
        <v>3224.95</v>
      </c>
      <c r="J3316" s="19">
        <v>3167.183</v>
      </c>
      <c r="K3316" s="19">
        <v>2882.8609999999999</v>
      </c>
      <c r="L3316" s="19">
        <v>3049.6410000000001</v>
      </c>
      <c r="M3316" s="19">
        <v>3439.7489999999998</v>
      </c>
      <c r="N3316" s="19">
        <v>3544.4679999999998</v>
      </c>
      <c r="O3316" s="19">
        <v>3469.2469999999998</v>
      </c>
      <c r="P3316" s="19">
        <v>3365.748</v>
      </c>
      <c r="Q3316" s="19">
        <v>3407.7420000000002</v>
      </c>
      <c r="R3316" s="19">
        <v>3617.692</v>
      </c>
      <c r="S3316" s="19">
        <v>3537.4650000000001</v>
      </c>
      <c r="T3316" s="19">
        <v>3145.5970000000002</v>
      </c>
      <c r="U3316" s="19">
        <v>2796.587</v>
      </c>
      <c r="V3316" s="19">
        <v>2837.8809999999999</v>
      </c>
      <c r="W3316" s="19">
        <v>2094.16</v>
      </c>
      <c r="X3316" s="19">
        <v>1536.662</v>
      </c>
      <c r="Y3316" s="19">
        <v>1048.8440000000001</v>
      </c>
      <c r="Z3316" s="19">
        <v>577.35699999999997</v>
      </c>
      <c r="AA3316" s="19">
        <v>202.40600000000001</v>
      </c>
      <c r="AB3316" s="19">
        <v>34.597999999999999</v>
      </c>
      <c r="AC3316" s="19">
        <v>3.2250000000000001</v>
      </c>
    </row>
    <row r="3317" spans="1:29" ht="11.65" x14ac:dyDescent="0.35">
      <c r="A3317" s="23">
        <v>3300</v>
      </c>
      <c r="B3317" s="21" t="s">
        <v>1015</v>
      </c>
      <c r="C3317" s="22" t="s">
        <v>1244</v>
      </c>
      <c r="D3317" s="20"/>
      <c r="E3317" s="20">
        <v>924</v>
      </c>
      <c r="F3317" s="21" t="s">
        <v>1065</v>
      </c>
      <c r="G3317" s="20">
        <v>917</v>
      </c>
      <c r="H3317" s="20">
        <v>2020</v>
      </c>
      <c r="I3317" s="19">
        <v>3117.64</v>
      </c>
      <c r="J3317" s="19">
        <v>3251.971</v>
      </c>
      <c r="K3317" s="19">
        <v>3175.7049999999999</v>
      </c>
      <c r="L3317" s="19">
        <v>2964.2339999999999</v>
      </c>
      <c r="M3317" s="19">
        <v>3189.739</v>
      </c>
      <c r="N3317" s="19">
        <v>3598.759</v>
      </c>
      <c r="O3317" s="19">
        <v>3665.8850000000002</v>
      </c>
      <c r="P3317" s="19">
        <v>3527.605</v>
      </c>
      <c r="Q3317" s="19">
        <v>3394.9769999999999</v>
      </c>
      <c r="R3317" s="19">
        <v>3414.35</v>
      </c>
      <c r="S3317" s="19">
        <v>3570.8220000000001</v>
      </c>
      <c r="T3317" s="19">
        <v>3475.7310000000002</v>
      </c>
      <c r="U3317" s="19">
        <v>3025.2570000000001</v>
      </c>
      <c r="V3317" s="19">
        <v>2644.02</v>
      </c>
      <c r="W3317" s="19">
        <v>2565.692</v>
      </c>
      <c r="X3317" s="19">
        <v>1794.1489999999999</v>
      </c>
      <c r="Y3317" s="19">
        <v>1164.9380000000001</v>
      </c>
      <c r="Z3317" s="19">
        <v>643.44299999999998</v>
      </c>
      <c r="AA3317" s="19">
        <v>247.68700000000001</v>
      </c>
      <c r="AB3317" s="19">
        <v>50.415999999999997</v>
      </c>
      <c r="AC3317" s="19">
        <v>4.3620000000000001</v>
      </c>
    </row>
    <row r="3318" spans="1:29" ht="11.65" x14ac:dyDescent="0.35">
      <c r="A3318" s="12">
        <v>3301</v>
      </c>
      <c r="B3318" s="10" t="s">
        <v>1015</v>
      </c>
      <c r="C3318" s="18" t="s">
        <v>1245</v>
      </c>
      <c r="D3318" s="9">
        <v>20</v>
      </c>
      <c r="E3318" s="9">
        <v>830</v>
      </c>
      <c r="F3318" s="10" t="s">
        <v>1066</v>
      </c>
      <c r="G3318" s="9">
        <v>924</v>
      </c>
      <c r="H3318" s="9">
        <v>1950</v>
      </c>
      <c r="I3318" s="8">
        <v>4.3689999999999998</v>
      </c>
      <c r="J3318" s="8">
        <v>3.1520000000000001</v>
      </c>
      <c r="K3318" s="8">
        <v>3.6349999999999998</v>
      </c>
      <c r="L3318" s="8">
        <v>3.43</v>
      </c>
      <c r="M3318" s="8">
        <v>3.085</v>
      </c>
      <c r="N3318" s="8">
        <v>3.851</v>
      </c>
      <c r="O3318" s="8">
        <v>3.3719999999999999</v>
      </c>
      <c r="P3318" s="8">
        <v>3.931</v>
      </c>
      <c r="Q3318" s="8">
        <v>3.9289999999999998</v>
      </c>
      <c r="R3318" s="8">
        <v>3.532</v>
      </c>
      <c r="S3318" s="8">
        <v>2.9990000000000001</v>
      </c>
      <c r="T3318" s="8">
        <v>2.448</v>
      </c>
      <c r="U3318" s="8">
        <v>2.149</v>
      </c>
      <c r="V3318" s="8">
        <v>1.95</v>
      </c>
      <c r="W3318" s="8">
        <v>1.5169999999999999</v>
      </c>
      <c r="X3318" s="8">
        <v>1.022</v>
      </c>
      <c r="Y3318" s="8">
        <v>0.47699999999999998</v>
      </c>
      <c r="Z3318" s="8">
        <v>0.23400000000000001</v>
      </c>
      <c r="AA3318" s="8">
        <v>0</v>
      </c>
      <c r="AB3318" s="8">
        <v>0</v>
      </c>
      <c r="AC3318" s="8">
        <v>0</v>
      </c>
    </row>
    <row r="3319" spans="1:29" ht="11.65" x14ac:dyDescent="0.35">
      <c r="A3319" s="12">
        <v>3302</v>
      </c>
      <c r="B3319" s="10" t="s">
        <v>1015</v>
      </c>
      <c r="C3319" s="18" t="s">
        <v>1245</v>
      </c>
      <c r="D3319" s="9">
        <v>20</v>
      </c>
      <c r="E3319" s="9">
        <v>830</v>
      </c>
      <c r="F3319" s="10" t="s">
        <v>1066</v>
      </c>
      <c r="G3319" s="9">
        <v>924</v>
      </c>
      <c r="H3319" s="9">
        <v>1955</v>
      </c>
      <c r="I3319" s="8">
        <v>4.2990000000000004</v>
      </c>
      <c r="J3319" s="8">
        <v>3.3839999999999999</v>
      </c>
      <c r="K3319" s="8">
        <v>3.9350000000000001</v>
      </c>
      <c r="L3319" s="8">
        <v>3.31</v>
      </c>
      <c r="M3319" s="8">
        <v>3.4740000000000002</v>
      </c>
      <c r="N3319" s="8">
        <v>3.92</v>
      </c>
      <c r="O3319" s="8">
        <v>3.4359999999999999</v>
      </c>
      <c r="P3319" s="8">
        <v>3.8420000000000001</v>
      </c>
      <c r="Q3319" s="8">
        <v>3.609</v>
      </c>
      <c r="R3319" s="8">
        <v>3.6360000000000001</v>
      </c>
      <c r="S3319" s="8">
        <v>3.38</v>
      </c>
      <c r="T3319" s="8">
        <v>2.8460000000000001</v>
      </c>
      <c r="U3319" s="8">
        <v>2.4249999999999998</v>
      </c>
      <c r="V3319" s="8">
        <v>2.0529999999999999</v>
      </c>
      <c r="W3319" s="8">
        <v>1.54</v>
      </c>
      <c r="X3319" s="8">
        <v>1.056</v>
      </c>
      <c r="Y3319" s="8">
        <v>0.53400000000000003</v>
      </c>
      <c r="Z3319" s="8">
        <v>0.189</v>
      </c>
      <c r="AA3319" s="8">
        <v>5.6000000000000001E-2</v>
      </c>
      <c r="AB3319" s="8">
        <v>0</v>
      </c>
      <c r="AC3319" s="8">
        <v>0</v>
      </c>
    </row>
    <row r="3320" spans="1:29" ht="11.65" x14ac:dyDescent="0.35">
      <c r="A3320" s="12">
        <v>3303</v>
      </c>
      <c r="B3320" s="10" t="s">
        <v>1015</v>
      </c>
      <c r="C3320" s="18" t="s">
        <v>1245</v>
      </c>
      <c r="D3320" s="9">
        <v>20</v>
      </c>
      <c r="E3320" s="9">
        <v>830</v>
      </c>
      <c r="F3320" s="10" t="s">
        <v>1066</v>
      </c>
      <c r="G3320" s="9">
        <v>924</v>
      </c>
      <c r="H3320" s="9">
        <v>1960</v>
      </c>
      <c r="I3320" s="8">
        <v>4.2380000000000004</v>
      </c>
      <c r="J3320" s="8">
        <v>3.61</v>
      </c>
      <c r="K3320" s="8">
        <v>4.2370000000000001</v>
      </c>
      <c r="L3320" s="8">
        <v>3.1840000000000002</v>
      </c>
      <c r="M3320" s="8">
        <v>3.9159999999999999</v>
      </c>
      <c r="N3320" s="8">
        <v>3.9889999999999999</v>
      </c>
      <c r="O3320" s="8">
        <v>3.4990000000000001</v>
      </c>
      <c r="P3320" s="8">
        <v>3.738</v>
      </c>
      <c r="Q3320" s="8">
        <v>3.3029999999999999</v>
      </c>
      <c r="R3320" s="8">
        <v>3.7330000000000001</v>
      </c>
      <c r="S3320" s="8">
        <v>3.798</v>
      </c>
      <c r="T3320" s="8">
        <v>3.3010000000000002</v>
      </c>
      <c r="U3320" s="8">
        <v>2.7309999999999999</v>
      </c>
      <c r="V3320" s="8">
        <v>2.1579999999999999</v>
      </c>
      <c r="W3320" s="8">
        <v>1.5620000000000001</v>
      </c>
      <c r="X3320" s="8">
        <v>1.0940000000000001</v>
      </c>
      <c r="Y3320" s="8">
        <v>0.6</v>
      </c>
      <c r="Z3320" s="8">
        <v>0.214</v>
      </c>
      <c r="AA3320" s="8">
        <v>4.7E-2</v>
      </c>
      <c r="AB3320" s="8">
        <v>8.0000000000000002E-3</v>
      </c>
      <c r="AC3320" s="8">
        <v>0</v>
      </c>
    </row>
    <row r="3321" spans="1:29" ht="11.65" x14ac:dyDescent="0.35">
      <c r="A3321" s="12">
        <v>3304</v>
      </c>
      <c r="B3321" s="10" t="s">
        <v>1015</v>
      </c>
      <c r="C3321" s="18" t="s">
        <v>1245</v>
      </c>
      <c r="D3321" s="9">
        <v>20</v>
      </c>
      <c r="E3321" s="9">
        <v>830</v>
      </c>
      <c r="F3321" s="10" t="s">
        <v>1066</v>
      </c>
      <c r="G3321" s="9">
        <v>924</v>
      </c>
      <c r="H3321" s="9">
        <v>1965</v>
      </c>
      <c r="I3321" s="8">
        <v>4.3280000000000003</v>
      </c>
      <c r="J3321" s="8">
        <v>4.1210000000000004</v>
      </c>
      <c r="K3321" s="8">
        <v>4.2709999999999999</v>
      </c>
      <c r="L3321" s="8">
        <v>3.3860000000000001</v>
      </c>
      <c r="M3321" s="8">
        <v>4.4980000000000002</v>
      </c>
      <c r="N3321" s="8">
        <v>4.1130000000000004</v>
      </c>
      <c r="O3321" s="8">
        <v>3.8119999999999998</v>
      </c>
      <c r="P3321" s="8">
        <v>3.7879999999999998</v>
      </c>
      <c r="Q3321" s="8">
        <v>3.3889999999999998</v>
      </c>
      <c r="R3321" s="8">
        <v>3.7789999999999999</v>
      </c>
      <c r="S3321" s="8">
        <v>3.6160000000000001</v>
      </c>
      <c r="T3321" s="8">
        <v>3.4990000000000001</v>
      </c>
      <c r="U3321" s="8">
        <v>3.05</v>
      </c>
      <c r="V3321" s="8">
        <v>2.42</v>
      </c>
      <c r="W3321" s="8">
        <v>1.7070000000000001</v>
      </c>
      <c r="X3321" s="8">
        <v>1.1160000000000001</v>
      </c>
      <c r="Y3321" s="8">
        <v>0.61899999999999999</v>
      </c>
      <c r="Z3321" s="8">
        <v>0.24199999999999999</v>
      </c>
      <c r="AA3321" s="8">
        <v>5.2999999999999999E-2</v>
      </c>
      <c r="AB3321" s="8">
        <v>6.0000000000000001E-3</v>
      </c>
      <c r="AC3321" s="8">
        <v>1E-3</v>
      </c>
    </row>
    <row r="3322" spans="1:29" ht="11.65" x14ac:dyDescent="0.35">
      <c r="A3322" s="12">
        <v>3305</v>
      </c>
      <c r="B3322" s="10" t="s">
        <v>1015</v>
      </c>
      <c r="C3322" s="18" t="s">
        <v>1245</v>
      </c>
      <c r="D3322" s="9">
        <v>20</v>
      </c>
      <c r="E3322" s="9">
        <v>830</v>
      </c>
      <c r="F3322" s="10" t="s">
        <v>1066</v>
      </c>
      <c r="G3322" s="9">
        <v>924</v>
      </c>
      <c r="H3322" s="9">
        <v>1970</v>
      </c>
      <c r="I3322" s="8">
        <v>4.4459999999999997</v>
      </c>
      <c r="J3322" s="8">
        <v>4.7380000000000004</v>
      </c>
      <c r="K3322" s="8">
        <v>4.26</v>
      </c>
      <c r="L3322" s="8">
        <v>3.6589999999999998</v>
      </c>
      <c r="M3322" s="8">
        <v>5.165</v>
      </c>
      <c r="N3322" s="8">
        <v>4.242</v>
      </c>
      <c r="O3322" s="8">
        <v>4.1909999999999998</v>
      </c>
      <c r="P3322" s="8">
        <v>3.8540000000000001</v>
      </c>
      <c r="Q3322" s="8">
        <v>3.5470000000000002</v>
      </c>
      <c r="R3322" s="8">
        <v>3.802</v>
      </c>
      <c r="S3322" s="8">
        <v>3.33</v>
      </c>
      <c r="T3322" s="8">
        <v>3.637</v>
      </c>
      <c r="U3322" s="8">
        <v>3.3980000000000001</v>
      </c>
      <c r="V3322" s="8">
        <v>2.7469999999999999</v>
      </c>
      <c r="W3322" s="8">
        <v>1.889</v>
      </c>
      <c r="X3322" s="8">
        <v>1.1339999999999999</v>
      </c>
      <c r="Y3322" s="8">
        <v>0.628</v>
      </c>
      <c r="Z3322" s="8">
        <v>0.251</v>
      </c>
      <c r="AA3322" s="8">
        <v>0.06</v>
      </c>
      <c r="AB3322" s="8">
        <v>6.0000000000000001E-3</v>
      </c>
      <c r="AC3322" s="8">
        <v>0</v>
      </c>
    </row>
    <row r="3323" spans="1:29" ht="11.65" x14ac:dyDescent="0.35">
      <c r="A3323" s="12">
        <v>3306</v>
      </c>
      <c r="B3323" s="10" t="s">
        <v>1015</v>
      </c>
      <c r="C3323" s="18" t="s">
        <v>1245</v>
      </c>
      <c r="D3323" s="9">
        <v>20</v>
      </c>
      <c r="E3323" s="9">
        <v>830</v>
      </c>
      <c r="F3323" s="10" t="s">
        <v>1066</v>
      </c>
      <c r="G3323" s="9">
        <v>924</v>
      </c>
      <c r="H3323" s="9">
        <v>1975</v>
      </c>
      <c r="I3323" s="8">
        <v>3.7330000000000001</v>
      </c>
      <c r="J3323" s="8">
        <v>4.4610000000000003</v>
      </c>
      <c r="K3323" s="8">
        <v>4.8730000000000002</v>
      </c>
      <c r="L3323" s="8">
        <v>4.5030000000000001</v>
      </c>
      <c r="M3323" s="8">
        <v>5.0650000000000004</v>
      </c>
      <c r="N3323" s="8">
        <v>5.63</v>
      </c>
      <c r="O3323" s="8">
        <v>4.1379999999999999</v>
      </c>
      <c r="P3323" s="8">
        <v>4.1020000000000003</v>
      </c>
      <c r="Q3323" s="8">
        <v>3.8639999999999999</v>
      </c>
      <c r="R3323" s="8">
        <v>3.7</v>
      </c>
      <c r="S3323" s="8">
        <v>3.6579999999999999</v>
      </c>
      <c r="T3323" s="8">
        <v>2.9990000000000001</v>
      </c>
      <c r="U3323" s="8">
        <v>3.4249999999999998</v>
      </c>
      <c r="V3323" s="8">
        <v>2.9590000000000001</v>
      </c>
      <c r="W3323" s="8">
        <v>2.0859999999999999</v>
      </c>
      <c r="X3323" s="8">
        <v>1.2849999999999999</v>
      </c>
      <c r="Y3323" s="8">
        <v>0.64100000000000001</v>
      </c>
      <c r="Z3323" s="8">
        <v>0.25600000000000001</v>
      </c>
      <c r="AA3323" s="8">
        <v>6.3E-2</v>
      </c>
      <c r="AB3323" s="8">
        <v>8.0000000000000002E-3</v>
      </c>
      <c r="AC3323" s="8">
        <v>0</v>
      </c>
    </row>
    <row r="3324" spans="1:29" ht="11.65" x14ac:dyDescent="0.35">
      <c r="A3324" s="12">
        <v>3307</v>
      </c>
      <c r="B3324" s="10" t="s">
        <v>1015</v>
      </c>
      <c r="C3324" s="18" t="s">
        <v>1245</v>
      </c>
      <c r="D3324" s="9">
        <v>20</v>
      </c>
      <c r="E3324" s="9">
        <v>830</v>
      </c>
      <c r="F3324" s="10" t="s">
        <v>1066</v>
      </c>
      <c r="G3324" s="9">
        <v>924</v>
      </c>
      <c r="H3324" s="9">
        <v>1980</v>
      </c>
      <c r="I3324" s="8">
        <v>3.4159999999999999</v>
      </c>
      <c r="J3324" s="8">
        <v>3.8730000000000002</v>
      </c>
      <c r="K3324" s="8">
        <v>4.6879999999999997</v>
      </c>
      <c r="L3324" s="8">
        <v>5.0720000000000001</v>
      </c>
      <c r="M3324" s="8">
        <v>5.0350000000000001</v>
      </c>
      <c r="N3324" s="8">
        <v>5.0339999999999998</v>
      </c>
      <c r="O3324" s="8">
        <v>5.1230000000000002</v>
      </c>
      <c r="P3324" s="8">
        <v>4.0979999999999999</v>
      </c>
      <c r="Q3324" s="8">
        <v>4.1319999999999997</v>
      </c>
      <c r="R3324" s="8">
        <v>3.8180000000000001</v>
      </c>
      <c r="S3324" s="8">
        <v>3.6059999999999999</v>
      </c>
      <c r="T3324" s="8">
        <v>3.3769999999999998</v>
      </c>
      <c r="U3324" s="8">
        <v>2.9929999999999999</v>
      </c>
      <c r="V3324" s="8">
        <v>2.9159999999999999</v>
      </c>
      <c r="W3324" s="8">
        <v>2.343</v>
      </c>
      <c r="X3324" s="8">
        <v>1.4870000000000001</v>
      </c>
      <c r="Y3324" s="8">
        <v>0.73499999999999999</v>
      </c>
      <c r="Z3324" s="8">
        <v>0.26500000000000001</v>
      </c>
      <c r="AA3324" s="8">
        <v>6.5000000000000002E-2</v>
      </c>
      <c r="AB3324" s="8">
        <v>8.9999999999999993E-3</v>
      </c>
      <c r="AC3324" s="8">
        <v>1E-3</v>
      </c>
    </row>
    <row r="3325" spans="1:29" ht="11.65" x14ac:dyDescent="0.35">
      <c r="A3325" s="12">
        <v>3308</v>
      </c>
      <c r="B3325" s="10" t="s">
        <v>1015</v>
      </c>
      <c r="C3325" s="18" t="s">
        <v>1245</v>
      </c>
      <c r="D3325" s="9">
        <v>20</v>
      </c>
      <c r="E3325" s="9">
        <v>830</v>
      </c>
      <c r="F3325" s="10" t="s">
        <v>1066</v>
      </c>
      <c r="G3325" s="9">
        <v>924</v>
      </c>
      <c r="H3325" s="9">
        <v>1985</v>
      </c>
      <c r="I3325" s="8">
        <v>3.7080000000000002</v>
      </c>
      <c r="J3325" s="8">
        <v>3.5270000000000001</v>
      </c>
      <c r="K3325" s="8">
        <v>4.0430000000000001</v>
      </c>
      <c r="L3325" s="8">
        <v>4.8879999999999999</v>
      </c>
      <c r="M3325" s="8">
        <v>5.819</v>
      </c>
      <c r="N3325" s="8">
        <v>5.51</v>
      </c>
      <c r="O3325" s="8">
        <v>5.1840000000000002</v>
      </c>
      <c r="P3325" s="8">
        <v>5.3319999999999999</v>
      </c>
      <c r="Q3325" s="8">
        <v>4.234</v>
      </c>
      <c r="R3325" s="8">
        <v>4.2370000000000001</v>
      </c>
      <c r="S3325" s="8">
        <v>3.8050000000000002</v>
      </c>
      <c r="T3325" s="8">
        <v>3.484</v>
      </c>
      <c r="U3325" s="8">
        <v>3.2389999999999999</v>
      </c>
      <c r="V3325" s="8">
        <v>2.6520000000000001</v>
      </c>
      <c r="W3325" s="8">
        <v>2.3660000000000001</v>
      </c>
      <c r="X3325" s="8">
        <v>1.6990000000000001</v>
      </c>
      <c r="Y3325" s="8">
        <v>0.91</v>
      </c>
      <c r="Z3325" s="8">
        <v>0.311</v>
      </c>
      <c r="AA3325" s="8">
        <v>7.0000000000000007E-2</v>
      </c>
      <c r="AB3325" s="8">
        <v>8.9999999999999993E-3</v>
      </c>
      <c r="AC3325" s="8">
        <v>1E-3</v>
      </c>
    </row>
    <row r="3326" spans="1:29" ht="11.65" x14ac:dyDescent="0.35">
      <c r="A3326" s="12">
        <v>3309</v>
      </c>
      <c r="B3326" s="10" t="s">
        <v>1015</v>
      </c>
      <c r="C3326" s="18" t="s">
        <v>1245</v>
      </c>
      <c r="D3326" s="9">
        <v>20</v>
      </c>
      <c r="E3326" s="9">
        <v>830</v>
      </c>
      <c r="F3326" s="10" t="s">
        <v>1066</v>
      </c>
      <c r="G3326" s="9">
        <v>924</v>
      </c>
      <c r="H3326" s="9">
        <v>1990</v>
      </c>
      <c r="I3326" s="8">
        <v>4.1150000000000002</v>
      </c>
      <c r="J3326" s="8">
        <v>3.7549999999999999</v>
      </c>
      <c r="K3326" s="8">
        <v>3.6949999999999998</v>
      </c>
      <c r="L3326" s="8">
        <v>4.359</v>
      </c>
      <c r="M3326" s="8">
        <v>6.1239999999999997</v>
      </c>
      <c r="N3326" s="8">
        <v>6.3659999999999997</v>
      </c>
      <c r="O3326" s="8">
        <v>5.7030000000000003</v>
      </c>
      <c r="P3326" s="8">
        <v>5.2439999999999998</v>
      </c>
      <c r="Q3326" s="8">
        <v>5.3449999999999998</v>
      </c>
      <c r="R3326" s="8">
        <v>4.2519999999999998</v>
      </c>
      <c r="S3326" s="8">
        <v>4.181</v>
      </c>
      <c r="T3326" s="8">
        <v>3.68</v>
      </c>
      <c r="U3326" s="8">
        <v>3.2440000000000002</v>
      </c>
      <c r="V3326" s="8">
        <v>2.8359999999999999</v>
      </c>
      <c r="W3326" s="8">
        <v>2.1789999999999998</v>
      </c>
      <c r="X3326" s="8">
        <v>1.776</v>
      </c>
      <c r="Y3326" s="8">
        <v>1.0580000000000001</v>
      </c>
      <c r="Z3326" s="8">
        <v>0.39400000000000002</v>
      </c>
      <c r="AA3326" s="8">
        <v>8.3000000000000004E-2</v>
      </c>
      <c r="AB3326" s="8">
        <v>0.01</v>
      </c>
      <c r="AC3326" s="8">
        <v>1E-3</v>
      </c>
    </row>
    <row r="3327" spans="1:29" ht="11.65" x14ac:dyDescent="0.35">
      <c r="A3327" s="12">
        <v>3310</v>
      </c>
      <c r="B3327" s="10" t="s">
        <v>1015</v>
      </c>
      <c r="C3327" s="18" t="s">
        <v>1245</v>
      </c>
      <c r="D3327" s="9">
        <v>20</v>
      </c>
      <c r="E3327" s="9">
        <v>830</v>
      </c>
      <c r="F3327" s="10" t="s">
        <v>1066</v>
      </c>
      <c r="G3327" s="9">
        <v>924</v>
      </c>
      <c r="H3327" s="9">
        <v>1995</v>
      </c>
      <c r="I3327" s="8">
        <v>4.3070000000000004</v>
      </c>
      <c r="J3327" s="8">
        <v>4.2380000000000004</v>
      </c>
      <c r="K3327" s="8">
        <v>3.9220000000000002</v>
      </c>
      <c r="L3327" s="8">
        <v>3.8439999999999999</v>
      </c>
      <c r="M3327" s="8">
        <v>4.8209999999999997</v>
      </c>
      <c r="N3327" s="8">
        <v>6.2110000000000003</v>
      </c>
      <c r="O3327" s="8">
        <v>6.2309999999999999</v>
      </c>
      <c r="P3327" s="8">
        <v>5.5570000000000004</v>
      </c>
      <c r="Q3327" s="8">
        <v>5.1449999999999996</v>
      </c>
      <c r="R3327" s="8">
        <v>5.4420000000000002</v>
      </c>
      <c r="S3327" s="8">
        <v>3.9820000000000002</v>
      </c>
      <c r="T3327" s="8">
        <v>4.0229999999999997</v>
      </c>
      <c r="U3327" s="8">
        <v>3.3159999999999998</v>
      </c>
      <c r="V3327" s="8">
        <v>2.8260000000000001</v>
      </c>
      <c r="W3327" s="8">
        <v>2.3740000000000001</v>
      </c>
      <c r="X3327" s="8">
        <v>1.5569999999999999</v>
      </c>
      <c r="Y3327" s="8">
        <v>1.125</v>
      </c>
      <c r="Z3327" s="8">
        <v>0.47599999999999998</v>
      </c>
      <c r="AA3327" s="8">
        <v>0.11</v>
      </c>
      <c r="AB3327" s="8">
        <v>1.2999999999999999E-2</v>
      </c>
      <c r="AC3327" s="8">
        <v>1E-3</v>
      </c>
    </row>
    <row r="3328" spans="1:29" ht="11.65" x14ac:dyDescent="0.35">
      <c r="A3328" s="12">
        <v>3311</v>
      </c>
      <c r="B3328" s="10" t="s">
        <v>1015</v>
      </c>
      <c r="C3328" s="18" t="s">
        <v>1245</v>
      </c>
      <c r="D3328" s="9">
        <v>20</v>
      </c>
      <c r="E3328" s="9">
        <v>830</v>
      </c>
      <c r="F3328" s="10" t="s">
        <v>1066</v>
      </c>
      <c r="G3328" s="9">
        <v>924</v>
      </c>
      <c r="H3328" s="9">
        <v>2000</v>
      </c>
      <c r="I3328" s="8">
        <v>4.0949999999999998</v>
      </c>
      <c r="J3328" s="8">
        <v>4.4409999999999998</v>
      </c>
      <c r="K3328" s="8">
        <v>4.444</v>
      </c>
      <c r="L3328" s="8">
        <v>4.22</v>
      </c>
      <c r="M3328" s="8">
        <v>4.3730000000000002</v>
      </c>
      <c r="N3328" s="8">
        <v>5.2290000000000001</v>
      </c>
      <c r="O3328" s="8">
        <v>6.1760000000000002</v>
      </c>
      <c r="P3328" s="8">
        <v>6.3280000000000003</v>
      </c>
      <c r="Q3328" s="8">
        <v>5.6230000000000002</v>
      </c>
      <c r="R3328" s="8">
        <v>5.2160000000000002</v>
      </c>
      <c r="S3328" s="8">
        <v>5.4660000000000002</v>
      </c>
      <c r="T3328" s="8">
        <v>3.88</v>
      </c>
      <c r="U3328" s="8">
        <v>3.758</v>
      </c>
      <c r="V3328" s="8">
        <v>3.0139999999999998</v>
      </c>
      <c r="W3328" s="8">
        <v>2.4329999999999998</v>
      </c>
      <c r="X3328" s="8">
        <v>1.865</v>
      </c>
      <c r="Y3328" s="8">
        <v>1.0029999999999999</v>
      </c>
      <c r="Z3328" s="8">
        <v>0.55700000000000005</v>
      </c>
      <c r="AA3328" s="8">
        <v>0.155</v>
      </c>
      <c r="AB3328" s="8">
        <v>0.02</v>
      </c>
      <c r="AC3328" s="8">
        <v>1E-3</v>
      </c>
    </row>
    <row r="3329" spans="1:29" ht="11.65" x14ac:dyDescent="0.35">
      <c r="A3329" s="12">
        <v>3312</v>
      </c>
      <c r="B3329" s="10" t="s">
        <v>1015</v>
      </c>
      <c r="C3329" s="18" t="s">
        <v>1245</v>
      </c>
      <c r="D3329" s="9">
        <v>20</v>
      </c>
      <c r="E3329" s="9">
        <v>830</v>
      </c>
      <c r="F3329" s="10" t="s">
        <v>1066</v>
      </c>
      <c r="G3329" s="9">
        <v>924</v>
      </c>
      <c r="H3329" s="9">
        <v>2005</v>
      </c>
      <c r="I3329" s="8">
        <v>4.1390000000000002</v>
      </c>
      <c r="J3329" s="8">
        <v>4.1449999999999996</v>
      </c>
      <c r="K3329" s="8">
        <v>4.3419999999999996</v>
      </c>
      <c r="L3329" s="8">
        <v>4.4329999999999998</v>
      </c>
      <c r="M3329" s="8">
        <v>4.6230000000000002</v>
      </c>
      <c r="N3329" s="8">
        <v>5.1040000000000001</v>
      </c>
      <c r="O3329" s="8">
        <v>5.6379999999999999</v>
      </c>
      <c r="P3329" s="8">
        <v>5.9450000000000003</v>
      </c>
      <c r="Q3329" s="8">
        <v>6.07</v>
      </c>
      <c r="R3329" s="8">
        <v>5.8520000000000003</v>
      </c>
      <c r="S3329" s="8">
        <v>5.5129999999999999</v>
      </c>
      <c r="T3329" s="8">
        <v>4.4589999999999996</v>
      </c>
      <c r="U3329" s="8">
        <v>4.25</v>
      </c>
      <c r="V3329" s="8">
        <v>3.14</v>
      </c>
      <c r="W3329" s="8">
        <v>2.665</v>
      </c>
      <c r="X3329" s="8">
        <v>2.032</v>
      </c>
      <c r="Y3329" s="8">
        <v>1.2130000000000001</v>
      </c>
      <c r="Z3329" s="8">
        <v>0.52900000000000003</v>
      </c>
      <c r="AA3329" s="8">
        <v>0.19600000000000001</v>
      </c>
      <c r="AB3329" s="8">
        <v>0.03</v>
      </c>
      <c r="AC3329" s="8">
        <v>2E-3</v>
      </c>
    </row>
    <row r="3330" spans="1:29" ht="11.65" x14ac:dyDescent="0.35">
      <c r="A3330" s="12">
        <v>3313</v>
      </c>
      <c r="B3330" s="10" t="s">
        <v>1015</v>
      </c>
      <c r="C3330" s="18" t="s">
        <v>1245</v>
      </c>
      <c r="D3330" s="9">
        <v>20</v>
      </c>
      <c r="E3330" s="9">
        <v>830</v>
      </c>
      <c r="F3330" s="10" t="s">
        <v>1066</v>
      </c>
      <c r="G3330" s="9">
        <v>924</v>
      </c>
      <c r="H3330" s="9">
        <v>2010</v>
      </c>
      <c r="I3330" s="8">
        <v>4.2750000000000004</v>
      </c>
      <c r="J3330" s="8">
        <v>4.0019999999999998</v>
      </c>
      <c r="K3330" s="8">
        <v>4.3780000000000001</v>
      </c>
      <c r="L3330" s="8">
        <v>4.7160000000000002</v>
      </c>
      <c r="M3330" s="8">
        <v>5.0529999999999999</v>
      </c>
      <c r="N3330" s="8">
        <v>5.3970000000000002</v>
      </c>
      <c r="O3330" s="8">
        <v>5.524</v>
      </c>
      <c r="P3330" s="8">
        <v>5.7489999999999997</v>
      </c>
      <c r="Q3330" s="8">
        <v>6.5590000000000002</v>
      </c>
      <c r="R3330" s="8">
        <v>6.6159999999999997</v>
      </c>
      <c r="S3330" s="8">
        <v>5.74</v>
      </c>
      <c r="T3330" s="8">
        <v>4.9779999999999998</v>
      </c>
      <c r="U3330" s="8">
        <v>4.8490000000000002</v>
      </c>
      <c r="V3330" s="8">
        <v>3.3090000000000002</v>
      </c>
      <c r="W3330" s="8">
        <v>2.952</v>
      </c>
      <c r="X3330" s="8">
        <v>2.2370000000000001</v>
      </c>
      <c r="Y3330" s="8">
        <v>1.4219999999999999</v>
      </c>
      <c r="Z3330" s="8">
        <v>0.67700000000000005</v>
      </c>
      <c r="AA3330" s="8">
        <v>0.20100000000000001</v>
      </c>
      <c r="AB3330" s="8">
        <v>4.3999999999999997E-2</v>
      </c>
      <c r="AC3330" s="8">
        <v>4.0000000000000001E-3</v>
      </c>
    </row>
    <row r="3331" spans="1:29" ht="11.65" x14ac:dyDescent="0.35">
      <c r="A3331" s="12">
        <v>3314</v>
      </c>
      <c r="B3331" s="10" t="s">
        <v>1015</v>
      </c>
      <c r="C3331" s="18" t="s">
        <v>1245</v>
      </c>
      <c r="D3331" s="9">
        <v>20</v>
      </c>
      <c r="E3331" s="9">
        <v>830</v>
      </c>
      <c r="F3331" s="10" t="s">
        <v>1066</v>
      </c>
      <c r="G3331" s="9">
        <v>924</v>
      </c>
      <c r="H3331" s="9">
        <v>2015</v>
      </c>
      <c r="I3331" s="8">
        <v>4.3520000000000003</v>
      </c>
      <c r="J3331" s="8">
        <v>4.3170000000000002</v>
      </c>
      <c r="K3331" s="8">
        <v>4.4089999999999998</v>
      </c>
      <c r="L3331" s="8">
        <v>4.7530000000000001</v>
      </c>
      <c r="M3331" s="8">
        <v>5.1890000000000001</v>
      </c>
      <c r="N3331" s="8">
        <v>5.48</v>
      </c>
      <c r="O3331" s="8">
        <v>5.8529999999999998</v>
      </c>
      <c r="P3331" s="8">
        <v>5.601</v>
      </c>
      <c r="Q3331" s="8">
        <v>6.4989999999999997</v>
      </c>
      <c r="R3331" s="8">
        <v>6.7270000000000003</v>
      </c>
      <c r="S3331" s="8">
        <v>6.1529999999999996</v>
      </c>
      <c r="T3331" s="8">
        <v>5.3250000000000002</v>
      </c>
      <c r="U3331" s="8">
        <v>4.8639999999999999</v>
      </c>
      <c r="V3331" s="8">
        <v>3.9249999999999998</v>
      </c>
      <c r="W3331" s="8">
        <v>3.0720000000000001</v>
      </c>
      <c r="X3331" s="8">
        <v>2.4769999999999999</v>
      </c>
      <c r="Y3331" s="8">
        <v>1.538</v>
      </c>
      <c r="Z3331" s="8">
        <v>0.84199999999999997</v>
      </c>
      <c r="AA3331" s="8">
        <v>0.28399999999999997</v>
      </c>
      <c r="AB3331" s="8">
        <v>0.05</v>
      </c>
      <c r="AC3331" s="8">
        <v>6.0000000000000001E-3</v>
      </c>
    </row>
    <row r="3332" spans="1:29" ht="11.65" x14ac:dyDescent="0.35">
      <c r="A3332" s="12">
        <v>3315</v>
      </c>
      <c r="B3332" s="10" t="s">
        <v>1015</v>
      </c>
      <c r="C3332" s="18" t="s">
        <v>1245</v>
      </c>
      <c r="D3332" s="9">
        <v>20</v>
      </c>
      <c r="E3332" s="9">
        <v>830</v>
      </c>
      <c r="F3332" s="10" t="s">
        <v>1066</v>
      </c>
      <c r="G3332" s="9">
        <v>924</v>
      </c>
      <c r="H3332" s="9">
        <v>2020</v>
      </c>
      <c r="I3332" s="8">
        <v>4.4660000000000002</v>
      </c>
      <c r="J3332" s="8">
        <v>4.4390000000000001</v>
      </c>
      <c r="K3332" s="8">
        <v>4.3840000000000003</v>
      </c>
      <c r="L3332" s="8">
        <v>4.76</v>
      </c>
      <c r="M3332" s="8">
        <v>5.3810000000000002</v>
      </c>
      <c r="N3332" s="8">
        <v>5.7910000000000004</v>
      </c>
      <c r="O3332" s="8">
        <v>5.9359999999999999</v>
      </c>
      <c r="P3332" s="8">
        <v>6.1639999999999997</v>
      </c>
      <c r="Q3332" s="8">
        <v>5.8010000000000002</v>
      </c>
      <c r="R3332" s="8">
        <v>6.6120000000000001</v>
      </c>
      <c r="S3332" s="8">
        <v>6.7629999999999999</v>
      </c>
      <c r="T3332" s="8">
        <v>6.117</v>
      </c>
      <c r="U3332" s="8">
        <v>5.2190000000000003</v>
      </c>
      <c r="V3332" s="8">
        <v>4.6589999999999998</v>
      </c>
      <c r="W3332" s="8">
        <v>3.613</v>
      </c>
      <c r="X3332" s="8">
        <v>2.6469999999999998</v>
      </c>
      <c r="Y3332" s="8">
        <v>1.901</v>
      </c>
      <c r="Z3332" s="8">
        <v>0.95399999999999996</v>
      </c>
      <c r="AA3332" s="8">
        <v>0.377</v>
      </c>
      <c r="AB3332" s="8">
        <v>7.8E-2</v>
      </c>
      <c r="AC3332" s="8">
        <v>8.0000000000000002E-3</v>
      </c>
    </row>
    <row r="3333" spans="1:29" ht="11.65" x14ac:dyDescent="0.35">
      <c r="A3333" s="12">
        <v>3316</v>
      </c>
      <c r="B3333" s="10" t="s">
        <v>1015</v>
      </c>
      <c r="C3333" s="18" t="s">
        <v>1246</v>
      </c>
      <c r="D3333" s="9">
        <v>21</v>
      </c>
      <c r="E3333" s="9">
        <v>208</v>
      </c>
      <c r="F3333" s="10" t="s">
        <v>1066</v>
      </c>
      <c r="G3333" s="9">
        <v>924</v>
      </c>
      <c r="H3333" s="9">
        <v>1950</v>
      </c>
      <c r="I3333" s="8">
        <v>216.67699999999999</v>
      </c>
      <c r="J3333" s="8">
        <v>196.77600000000001</v>
      </c>
      <c r="K3333" s="8">
        <v>159.26599999999999</v>
      </c>
      <c r="L3333" s="8">
        <v>148.041</v>
      </c>
      <c r="M3333" s="8">
        <v>148.88999999999999</v>
      </c>
      <c r="N3333" s="8">
        <v>158.125</v>
      </c>
      <c r="O3333" s="8">
        <v>153.702</v>
      </c>
      <c r="P3333" s="8">
        <v>157.381</v>
      </c>
      <c r="Q3333" s="8">
        <v>151.41200000000001</v>
      </c>
      <c r="R3333" s="8">
        <v>135.45500000000001</v>
      </c>
      <c r="S3333" s="8">
        <v>120.246</v>
      </c>
      <c r="T3333" s="8">
        <v>102.158</v>
      </c>
      <c r="U3333" s="8">
        <v>86.960999999999999</v>
      </c>
      <c r="V3333" s="8">
        <v>71.521000000000001</v>
      </c>
      <c r="W3333" s="8">
        <v>54.284999999999997</v>
      </c>
      <c r="X3333" s="8">
        <v>33.134</v>
      </c>
      <c r="Y3333" s="8">
        <v>15.999000000000001</v>
      </c>
      <c r="Z3333" s="8">
        <v>5.665</v>
      </c>
      <c r="AA3333" s="8">
        <v>1.2929999999999999</v>
      </c>
      <c r="AB3333" s="8">
        <v>0.14000000000000001</v>
      </c>
      <c r="AC3333" s="8">
        <v>6.0000000000000001E-3</v>
      </c>
    </row>
    <row r="3334" spans="1:29" ht="11.65" x14ac:dyDescent="0.35">
      <c r="A3334" s="12">
        <v>3317</v>
      </c>
      <c r="B3334" s="10" t="s">
        <v>1015</v>
      </c>
      <c r="C3334" s="18" t="s">
        <v>1246</v>
      </c>
      <c r="D3334" s="9">
        <v>21</v>
      </c>
      <c r="E3334" s="9">
        <v>208</v>
      </c>
      <c r="F3334" s="10" t="s">
        <v>1066</v>
      </c>
      <c r="G3334" s="9">
        <v>924</v>
      </c>
      <c r="H3334" s="9">
        <v>1955</v>
      </c>
      <c r="I3334" s="8">
        <v>193.51400000000001</v>
      </c>
      <c r="J3334" s="8">
        <v>214.46799999999999</v>
      </c>
      <c r="K3334" s="8">
        <v>196.148</v>
      </c>
      <c r="L3334" s="8">
        <v>158.04900000000001</v>
      </c>
      <c r="M3334" s="8">
        <v>144.047</v>
      </c>
      <c r="N3334" s="8">
        <v>144.643</v>
      </c>
      <c r="O3334" s="8">
        <v>155.71100000000001</v>
      </c>
      <c r="P3334" s="8">
        <v>150.87799999999999</v>
      </c>
      <c r="Q3334" s="8">
        <v>154.429</v>
      </c>
      <c r="R3334" s="8">
        <v>148.38300000000001</v>
      </c>
      <c r="S3334" s="8">
        <v>130.917</v>
      </c>
      <c r="T3334" s="8">
        <v>114.429</v>
      </c>
      <c r="U3334" s="8">
        <v>94.647000000000006</v>
      </c>
      <c r="V3334" s="8">
        <v>77.066000000000003</v>
      </c>
      <c r="W3334" s="8">
        <v>59.093000000000004</v>
      </c>
      <c r="X3334" s="8">
        <v>39.482999999999997</v>
      </c>
      <c r="Y3334" s="8">
        <v>19.771999999999998</v>
      </c>
      <c r="Z3334" s="8">
        <v>6.7009999999999996</v>
      </c>
      <c r="AA3334" s="8">
        <v>1.4730000000000001</v>
      </c>
      <c r="AB3334" s="8">
        <v>0.17899999999999999</v>
      </c>
      <c r="AC3334" s="8">
        <v>0.01</v>
      </c>
    </row>
    <row r="3335" spans="1:29" ht="11.65" x14ac:dyDescent="0.35">
      <c r="A3335" s="12">
        <v>3318</v>
      </c>
      <c r="B3335" s="10" t="s">
        <v>1015</v>
      </c>
      <c r="C3335" s="18" t="s">
        <v>1246</v>
      </c>
      <c r="D3335" s="9">
        <v>21</v>
      </c>
      <c r="E3335" s="9">
        <v>208</v>
      </c>
      <c r="F3335" s="10" t="s">
        <v>1066</v>
      </c>
      <c r="G3335" s="9">
        <v>924</v>
      </c>
      <c r="H3335" s="9">
        <v>1960</v>
      </c>
      <c r="I3335" s="8">
        <v>188.76499999999999</v>
      </c>
      <c r="J3335" s="8">
        <v>191.12100000000001</v>
      </c>
      <c r="K3335" s="8">
        <v>213.08199999999999</v>
      </c>
      <c r="L3335" s="8">
        <v>194.71600000000001</v>
      </c>
      <c r="M3335" s="8">
        <v>153.392</v>
      </c>
      <c r="N3335" s="8">
        <v>138.71899999999999</v>
      </c>
      <c r="O3335" s="8">
        <v>141.80600000000001</v>
      </c>
      <c r="P3335" s="8">
        <v>153.54300000000001</v>
      </c>
      <c r="Q3335" s="8">
        <v>148.56299999999999</v>
      </c>
      <c r="R3335" s="8">
        <v>151.29300000000001</v>
      </c>
      <c r="S3335" s="8">
        <v>143.76300000000001</v>
      </c>
      <c r="T3335" s="8">
        <v>124.608</v>
      </c>
      <c r="U3335" s="8">
        <v>105.633</v>
      </c>
      <c r="V3335" s="8">
        <v>83.863</v>
      </c>
      <c r="W3335" s="8">
        <v>63.238</v>
      </c>
      <c r="X3335" s="8">
        <v>43.061</v>
      </c>
      <c r="Y3335" s="8">
        <v>23.385999999999999</v>
      </c>
      <c r="Z3335" s="8">
        <v>8.4109999999999996</v>
      </c>
      <c r="AA3335" s="8">
        <v>1.754</v>
      </c>
      <c r="AB3335" s="8">
        <v>0.20599999999999999</v>
      </c>
      <c r="AC3335" s="8">
        <v>1.2999999999999999E-2</v>
      </c>
    </row>
    <row r="3336" spans="1:29" ht="11.65" x14ac:dyDescent="0.35">
      <c r="A3336" s="12">
        <v>3319</v>
      </c>
      <c r="B3336" s="10" t="s">
        <v>1015</v>
      </c>
      <c r="C3336" s="18" t="s">
        <v>1246</v>
      </c>
      <c r="D3336" s="9">
        <v>21</v>
      </c>
      <c r="E3336" s="9">
        <v>208</v>
      </c>
      <c r="F3336" s="10" t="s">
        <v>1066</v>
      </c>
      <c r="G3336" s="9">
        <v>924</v>
      </c>
      <c r="H3336" s="9">
        <v>1965</v>
      </c>
      <c r="I3336" s="8">
        <v>200.69499999999999</v>
      </c>
      <c r="J3336" s="8">
        <v>189.14400000000001</v>
      </c>
      <c r="K3336" s="8">
        <v>191.37200000000001</v>
      </c>
      <c r="L3336" s="8">
        <v>212.66499999999999</v>
      </c>
      <c r="M3336" s="8">
        <v>192.154</v>
      </c>
      <c r="N3336" s="8">
        <v>152.06700000000001</v>
      </c>
      <c r="O3336" s="8">
        <v>139.012</v>
      </c>
      <c r="P3336" s="8">
        <v>141.75800000000001</v>
      </c>
      <c r="Q3336" s="8">
        <v>152.79300000000001</v>
      </c>
      <c r="R3336" s="8">
        <v>146.297</v>
      </c>
      <c r="S3336" s="8">
        <v>147.16200000000001</v>
      </c>
      <c r="T3336" s="8">
        <v>136.71799999999999</v>
      </c>
      <c r="U3336" s="8">
        <v>114.729</v>
      </c>
      <c r="V3336" s="8">
        <v>92.444999999999993</v>
      </c>
      <c r="W3336" s="8">
        <v>68.206999999999994</v>
      </c>
      <c r="X3336" s="8">
        <v>45.619</v>
      </c>
      <c r="Y3336" s="8">
        <v>25.273</v>
      </c>
      <c r="Z3336" s="8">
        <v>9.8640000000000008</v>
      </c>
      <c r="AA3336" s="8">
        <v>2.1970000000000001</v>
      </c>
      <c r="AB3336" s="8">
        <v>0.24099999999999999</v>
      </c>
      <c r="AC3336" s="8">
        <v>1.4E-2</v>
      </c>
    </row>
    <row r="3337" spans="1:29" ht="11.65" x14ac:dyDescent="0.35">
      <c r="A3337" s="12">
        <v>3320</v>
      </c>
      <c r="B3337" s="10" t="s">
        <v>1015</v>
      </c>
      <c r="C3337" s="18" t="s">
        <v>1246</v>
      </c>
      <c r="D3337" s="9">
        <v>21</v>
      </c>
      <c r="E3337" s="9">
        <v>208</v>
      </c>
      <c r="F3337" s="10" t="s">
        <v>1066</v>
      </c>
      <c r="G3337" s="9">
        <v>924</v>
      </c>
      <c r="H3337" s="9">
        <v>1970</v>
      </c>
      <c r="I3337" s="8">
        <v>199.62799999999999</v>
      </c>
      <c r="J3337" s="8">
        <v>200.59899999999999</v>
      </c>
      <c r="K3337" s="8">
        <v>189.298</v>
      </c>
      <c r="L3337" s="8">
        <v>192.42099999999999</v>
      </c>
      <c r="M3337" s="8">
        <v>213.958</v>
      </c>
      <c r="N3337" s="8">
        <v>192.934</v>
      </c>
      <c r="O3337" s="8">
        <v>153.286</v>
      </c>
      <c r="P3337" s="8">
        <v>139.779</v>
      </c>
      <c r="Q3337" s="8">
        <v>141.56299999999999</v>
      </c>
      <c r="R3337" s="8">
        <v>150.851</v>
      </c>
      <c r="S3337" s="8">
        <v>142.404</v>
      </c>
      <c r="T3337" s="8">
        <v>140.29599999999999</v>
      </c>
      <c r="U3337" s="8">
        <v>126.04600000000001</v>
      </c>
      <c r="V3337" s="8">
        <v>100.358</v>
      </c>
      <c r="W3337" s="8">
        <v>74.418999999999997</v>
      </c>
      <c r="X3337" s="8">
        <v>49.148000000000003</v>
      </c>
      <c r="Y3337" s="8">
        <v>27.605</v>
      </c>
      <c r="Z3337" s="8">
        <v>11.105</v>
      </c>
      <c r="AA3337" s="8">
        <v>2.8079999999999998</v>
      </c>
      <c r="AB3337" s="8">
        <v>0.34699999999999998</v>
      </c>
      <c r="AC3337" s="8">
        <v>0.02</v>
      </c>
    </row>
    <row r="3338" spans="1:29" ht="11.65" x14ac:dyDescent="0.35">
      <c r="A3338" s="12">
        <v>3321</v>
      </c>
      <c r="B3338" s="10" t="s">
        <v>1015</v>
      </c>
      <c r="C3338" s="18" t="s">
        <v>1246</v>
      </c>
      <c r="D3338" s="9">
        <v>21</v>
      </c>
      <c r="E3338" s="9">
        <v>208</v>
      </c>
      <c r="F3338" s="10" t="s">
        <v>1066</v>
      </c>
      <c r="G3338" s="9">
        <v>924</v>
      </c>
      <c r="H3338" s="9">
        <v>1975</v>
      </c>
      <c r="I3338" s="8">
        <v>184.917</v>
      </c>
      <c r="J3338" s="8">
        <v>199.91</v>
      </c>
      <c r="K3338" s="8">
        <v>201.08500000000001</v>
      </c>
      <c r="L3338" s="8">
        <v>190.55099999999999</v>
      </c>
      <c r="M3338" s="8">
        <v>193.29</v>
      </c>
      <c r="N3338" s="8">
        <v>213.78800000000001</v>
      </c>
      <c r="O3338" s="8">
        <v>191.971</v>
      </c>
      <c r="P3338" s="8">
        <v>152.57499999999999</v>
      </c>
      <c r="Q3338" s="8">
        <v>138.36600000000001</v>
      </c>
      <c r="R3338" s="8">
        <v>139.09800000000001</v>
      </c>
      <c r="S3338" s="8">
        <v>146.33199999999999</v>
      </c>
      <c r="T3338" s="8">
        <v>135.44800000000001</v>
      </c>
      <c r="U3338" s="8">
        <v>129.30500000000001</v>
      </c>
      <c r="V3338" s="8">
        <v>110.182</v>
      </c>
      <c r="W3338" s="8">
        <v>81.049000000000007</v>
      </c>
      <c r="X3338" s="8">
        <v>53.393000000000001</v>
      </c>
      <c r="Y3338" s="8">
        <v>29.989000000000001</v>
      </c>
      <c r="Z3338" s="8">
        <v>12.836</v>
      </c>
      <c r="AA3338" s="8">
        <v>3.4470000000000001</v>
      </c>
      <c r="AB3338" s="8">
        <v>0.504</v>
      </c>
      <c r="AC3338" s="8">
        <v>3.4000000000000002E-2</v>
      </c>
    </row>
    <row r="3339" spans="1:29" ht="11.65" x14ac:dyDescent="0.35">
      <c r="A3339" s="12">
        <v>3322</v>
      </c>
      <c r="B3339" s="10" t="s">
        <v>1015</v>
      </c>
      <c r="C3339" s="18" t="s">
        <v>1246</v>
      </c>
      <c r="D3339" s="9">
        <v>21</v>
      </c>
      <c r="E3339" s="9">
        <v>208</v>
      </c>
      <c r="F3339" s="10" t="s">
        <v>1066</v>
      </c>
      <c r="G3339" s="9">
        <v>924</v>
      </c>
      <c r="H3339" s="9">
        <v>1980</v>
      </c>
      <c r="I3339" s="8">
        <v>160.56899999999999</v>
      </c>
      <c r="J3339" s="8">
        <v>185.93299999999999</v>
      </c>
      <c r="K3339" s="8">
        <v>200.67500000000001</v>
      </c>
      <c r="L3339" s="8">
        <v>202.405</v>
      </c>
      <c r="M3339" s="8">
        <v>190.827</v>
      </c>
      <c r="N3339" s="8">
        <v>192.46899999999999</v>
      </c>
      <c r="O3339" s="8">
        <v>211.72</v>
      </c>
      <c r="P3339" s="8">
        <v>190.56299999999999</v>
      </c>
      <c r="Q3339" s="8">
        <v>150.779</v>
      </c>
      <c r="R3339" s="8">
        <v>135.643</v>
      </c>
      <c r="S3339" s="8">
        <v>134.60499999999999</v>
      </c>
      <c r="T3339" s="8">
        <v>138.625</v>
      </c>
      <c r="U3339" s="8">
        <v>124.32599999999999</v>
      </c>
      <c r="V3339" s="8">
        <v>113.25</v>
      </c>
      <c r="W3339" s="8">
        <v>88.936999999999998</v>
      </c>
      <c r="X3339" s="8">
        <v>58.085000000000001</v>
      </c>
      <c r="Y3339" s="8">
        <v>32.463000000000001</v>
      </c>
      <c r="Z3339" s="8">
        <v>14.106999999999999</v>
      </c>
      <c r="AA3339" s="8">
        <v>4.0679999999999996</v>
      </c>
      <c r="AB3339" s="8">
        <v>0.61899999999999999</v>
      </c>
      <c r="AC3339" s="8">
        <v>5.0999999999999997E-2</v>
      </c>
    </row>
    <row r="3340" spans="1:29" ht="11.65" x14ac:dyDescent="0.35">
      <c r="A3340" s="12">
        <v>3323</v>
      </c>
      <c r="B3340" s="10" t="s">
        <v>1015</v>
      </c>
      <c r="C3340" s="18" t="s">
        <v>1246</v>
      </c>
      <c r="D3340" s="9">
        <v>21</v>
      </c>
      <c r="E3340" s="9">
        <v>208</v>
      </c>
      <c r="F3340" s="10" t="s">
        <v>1066</v>
      </c>
      <c r="G3340" s="9">
        <v>924</v>
      </c>
      <c r="H3340" s="9">
        <v>1985</v>
      </c>
      <c r="I3340" s="8">
        <v>134.50399999999999</v>
      </c>
      <c r="J3340" s="8">
        <v>160.45699999999999</v>
      </c>
      <c r="K3340" s="8">
        <v>185.876</v>
      </c>
      <c r="L3340" s="8">
        <v>201.71299999999999</v>
      </c>
      <c r="M3340" s="8">
        <v>203.85</v>
      </c>
      <c r="N3340" s="8">
        <v>190.91800000000001</v>
      </c>
      <c r="O3340" s="8">
        <v>190.78</v>
      </c>
      <c r="P3340" s="8">
        <v>209.577</v>
      </c>
      <c r="Q3340" s="8">
        <v>188.06399999999999</v>
      </c>
      <c r="R3340" s="8">
        <v>147.786</v>
      </c>
      <c r="S3340" s="8">
        <v>131.29900000000001</v>
      </c>
      <c r="T3340" s="8">
        <v>127.742</v>
      </c>
      <c r="U3340" s="8">
        <v>127.202</v>
      </c>
      <c r="V3340" s="8">
        <v>108.648</v>
      </c>
      <c r="W3340" s="8">
        <v>92.281999999999996</v>
      </c>
      <c r="X3340" s="8">
        <v>64.08</v>
      </c>
      <c r="Y3340" s="8">
        <v>35.179000000000002</v>
      </c>
      <c r="Z3340" s="8">
        <v>15.385</v>
      </c>
      <c r="AA3340" s="8">
        <v>4.5880000000000001</v>
      </c>
      <c r="AB3340" s="8">
        <v>0.77800000000000002</v>
      </c>
      <c r="AC3340" s="8">
        <v>7.0000000000000007E-2</v>
      </c>
    </row>
    <row r="3341" spans="1:29" ht="11.65" x14ac:dyDescent="0.35">
      <c r="A3341" s="12">
        <v>3324</v>
      </c>
      <c r="B3341" s="10" t="s">
        <v>1015</v>
      </c>
      <c r="C3341" s="18" t="s">
        <v>1246</v>
      </c>
      <c r="D3341" s="9">
        <v>21</v>
      </c>
      <c r="E3341" s="9">
        <v>208</v>
      </c>
      <c r="F3341" s="10" t="s">
        <v>1066</v>
      </c>
      <c r="G3341" s="9">
        <v>924</v>
      </c>
      <c r="H3341" s="9">
        <v>1990</v>
      </c>
      <c r="I3341" s="8">
        <v>149.93</v>
      </c>
      <c r="J3341" s="8">
        <v>136.36500000000001</v>
      </c>
      <c r="K3341" s="8">
        <v>161.93799999999999</v>
      </c>
      <c r="L3341" s="8">
        <v>187.78299999999999</v>
      </c>
      <c r="M3341" s="8">
        <v>204.03700000000001</v>
      </c>
      <c r="N3341" s="8">
        <v>206.46100000000001</v>
      </c>
      <c r="O3341" s="8">
        <v>191.285</v>
      </c>
      <c r="P3341" s="8">
        <v>189.42500000000001</v>
      </c>
      <c r="Q3341" s="8">
        <v>207.047</v>
      </c>
      <c r="R3341" s="8">
        <v>184.68199999999999</v>
      </c>
      <c r="S3341" s="8">
        <v>143.41200000000001</v>
      </c>
      <c r="T3341" s="8">
        <v>124.69199999999999</v>
      </c>
      <c r="U3341" s="8">
        <v>117.759</v>
      </c>
      <c r="V3341" s="8">
        <v>111.622</v>
      </c>
      <c r="W3341" s="8">
        <v>88.981999999999999</v>
      </c>
      <c r="X3341" s="8">
        <v>67.727000000000004</v>
      </c>
      <c r="Y3341" s="8">
        <v>39.43</v>
      </c>
      <c r="Z3341" s="8">
        <v>17.059999999999999</v>
      </c>
      <c r="AA3341" s="8">
        <v>5.1379999999999999</v>
      </c>
      <c r="AB3341" s="8">
        <v>0.94499999999999995</v>
      </c>
      <c r="AC3341" s="8">
        <v>9.2999999999999999E-2</v>
      </c>
    </row>
    <row r="3342" spans="1:29" ht="11.65" x14ac:dyDescent="0.35">
      <c r="A3342" s="12">
        <v>3325</v>
      </c>
      <c r="B3342" s="10" t="s">
        <v>1015</v>
      </c>
      <c r="C3342" s="18" t="s">
        <v>1246</v>
      </c>
      <c r="D3342" s="9">
        <v>21</v>
      </c>
      <c r="E3342" s="9">
        <v>208</v>
      </c>
      <c r="F3342" s="10" t="s">
        <v>1066</v>
      </c>
      <c r="G3342" s="9">
        <v>924</v>
      </c>
      <c r="H3342" s="9">
        <v>1995</v>
      </c>
      <c r="I3342" s="8">
        <v>173.649</v>
      </c>
      <c r="J3342" s="8">
        <v>152.86500000000001</v>
      </c>
      <c r="K3342" s="8">
        <v>138.983</v>
      </c>
      <c r="L3342" s="8">
        <v>164.809</v>
      </c>
      <c r="M3342" s="8">
        <v>190.90199999999999</v>
      </c>
      <c r="N3342" s="8">
        <v>207.55199999999999</v>
      </c>
      <c r="O3342" s="8">
        <v>208.03399999999999</v>
      </c>
      <c r="P3342" s="8">
        <v>191.749</v>
      </c>
      <c r="Q3342" s="8">
        <v>188.56800000000001</v>
      </c>
      <c r="R3342" s="8">
        <v>204.38800000000001</v>
      </c>
      <c r="S3342" s="8">
        <v>180.304</v>
      </c>
      <c r="T3342" s="8">
        <v>137.80699999999999</v>
      </c>
      <c r="U3342" s="8">
        <v>115.879</v>
      </c>
      <c r="V3342" s="8">
        <v>104.748</v>
      </c>
      <c r="W3342" s="8">
        <v>91.903000000000006</v>
      </c>
      <c r="X3342" s="8">
        <v>65.47</v>
      </c>
      <c r="Y3342" s="8">
        <v>42.055999999999997</v>
      </c>
      <c r="Z3342" s="8">
        <v>18.888000000000002</v>
      </c>
      <c r="AA3342" s="8">
        <v>5.4509999999999996</v>
      </c>
      <c r="AB3342" s="8">
        <v>0.95899999999999996</v>
      </c>
      <c r="AC3342" s="8">
        <v>9.8000000000000004E-2</v>
      </c>
    </row>
    <row r="3343" spans="1:29" ht="11.65" x14ac:dyDescent="0.35">
      <c r="A3343" s="12">
        <v>3326</v>
      </c>
      <c r="B3343" s="10" t="s">
        <v>1015</v>
      </c>
      <c r="C3343" s="18" t="s">
        <v>1246</v>
      </c>
      <c r="D3343" s="9">
        <v>21</v>
      </c>
      <c r="E3343" s="9">
        <v>208</v>
      </c>
      <c r="F3343" s="10" t="s">
        <v>1066</v>
      </c>
      <c r="G3343" s="9">
        <v>924</v>
      </c>
      <c r="H3343" s="9">
        <v>2000</v>
      </c>
      <c r="I3343" s="8">
        <v>173.85</v>
      </c>
      <c r="J3343" s="8">
        <v>176.69499999999999</v>
      </c>
      <c r="K3343" s="8">
        <v>156.023</v>
      </c>
      <c r="L3343" s="8">
        <v>142.20699999999999</v>
      </c>
      <c r="M3343" s="8">
        <v>168.74600000000001</v>
      </c>
      <c r="N3343" s="8">
        <v>194.25700000000001</v>
      </c>
      <c r="O3343" s="8">
        <v>209.49700000000001</v>
      </c>
      <c r="P3343" s="8">
        <v>208.733</v>
      </c>
      <c r="Q3343" s="8">
        <v>191.35</v>
      </c>
      <c r="R3343" s="8">
        <v>186.28399999999999</v>
      </c>
      <c r="S3343" s="8">
        <v>199.904</v>
      </c>
      <c r="T3343" s="8">
        <v>173.834</v>
      </c>
      <c r="U3343" s="8">
        <v>129.78899999999999</v>
      </c>
      <c r="V3343" s="8">
        <v>104.197</v>
      </c>
      <c r="W3343" s="8">
        <v>88.096999999999994</v>
      </c>
      <c r="X3343" s="8">
        <v>69.191999999999993</v>
      </c>
      <c r="Y3343" s="8">
        <v>42.186</v>
      </c>
      <c r="Z3343" s="8">
        <v>20.728999999999999</v>
      </c>
      <c r="AA3343" s="8">
        <v>6.1890000000000001</v>
      </c>
      <c r="AB3343" s="8">
        <v>1.036</v>
      </c>
      <c r="AC3343" s="8">
        <v>0.1</v>
      </c>
    </row>
    <row r="3344" spans="1:29" ht="11.65" x14ac:dyDescent="0.35">
      <c r="A3344" s="12">
        <v>3327</v>
      </c>
      <c r="B3344" s="10" t="s">
        <v>1015</v>
      </c>
      <c r="C3344" s="18" t="s">
        <v>1246</v>
      </c>
      <c r="D3344" s="9">
        <v>21</v>
      </c>
      <c r="E3344" s="9">
        <v>208</v>
      </c>
      <c r="F3344" s="10" t="s">
        <v>1066</v>
      </c>
      <c r="G3344" s="9">
        <v>924</v>
      </c>
      <c r="H3344" s="9">
        <v>2005</v>
      </c>
      <c r="I3344" s="8">
        <v>166.46100000000001</v>
      </c>
      <c r="J3344" s="8">
        <v>175.08799999999999</v>
      </c>
      <c r="K3344" s="8">
        <v>178.566</v>
      </c>
      <c r="L3344" s="8">
        <v>159.01599999999999</v>
      </c>
      <c r="M3344" s="8">
        <v>147.21899999999999</v>
      </c>
      <c r="N3344" s="8">
        <v>170.512</v>
      </c>
      <c r="O3344" s="8">
        <v>193.48599999999999</v>
      </c>
      <c r="P3344" s="8">
        <v>205.089</v>
      </c>
      <c r="Q3344" s="8">
        <v>209.83</v>
      </c>
      <c r="R3344" s="8">
        <v>188.54900000000001</v>
      </c>
      <c r="S3344" s="8">
        <v>181.69800000000001</v>
      </c>
      <c r="T3344" s="8">
        <v>192.797</v>
      </c>
      <c r="U3344" s="8">
        <v>164.17400000000001</v>
      </c>
      <c r="V3344" s="8">
        <v>118.688</v>
      </c>
      <c r="W3344" s="8">
        <v>89.533000000000001</v>
      </c>
      <c r="X3344" s="8">
        <v>68.727000000000004</v>
      </c>
      <c r="Y3344" s="8">
        <v>45.847000000000001</v>
      </c>
      <c r="Z3344" s="8">
        <v>21.605</v>
      </c>
      <c r="AA3344" s="8">
        <v>7.1070000000000002</v>
      </c>
      <c r="AB3344" s="8">
        <v>1.224</v>
      </c>
      <c r="AC3344" s="8">
        <v>0.111</v>
      </c>
    </row>
    <row r="3345" spans="1:29" ht="11.65" x14ac:dyDescent="0.35">
      <c r="A3345" s="12">
        <v>3328</v>
      </c>
      <c r="B3345" s="10" t="s">
        <v>1015</v>
      </c>
      <c r="C3345" s="18" t="s">
        <v>1246</v>
      </c>
      <c r="D3345" s="9">
        <v>21</v>
      </c>
      <c r="E3345" s="9">
        <v>208</v>
      </c>
      <c r="F3345" s="10" t="s">
        <v>1066</v>
      </c>
      <c r="G3345" s="9">
        <v>924</v>
      </c>
      <c r="H3345" s="9">
        <v>2010</v>
      </c>
      <c r="I3345" s="8">
        <v>167.21799999999999</v>
      </c>
      <c r="J3345" s="8">
        <v>167.57499999999999</v>
      </c>
      <c r="K3345" s="8">
        <v>175.94</v>
      </c>
      <c r="L3345" s="8">
        <v>181.226</v>
      </c>
      <c r="M3345" s="8">
        <v>169.31399999999999</v>
      </c>
      <c r="N3345" s="8">
        <v>155.661</v>
      </c>
      <c r="O3345" s="8">
        <v>174.39699999999999</v>
      </c>
      <c r="P3345" s="8">
        <v>195.12200000000001</v>
      </c>
      <c r="Q3345" s="8">
        <v>205.16300000000001</v>
      </c>
      <c r="R3345" s="8">
        <v>208.363</v>
      </c>
      <c r="S3345" s="8">
        <v>184.99700000000001</v>
      </c>
      <c r="T3345" s="8">
        <v>175.66300000000001</v>
      </c>
      <c r="U3345" s="8">
        <v>183.17599999999999</v>
      </c>
      <c r="V3345" s="8">
        <v>151.768</v>
      </c>
      <c r="W3345" s="8">
        <v>105.001</v>
      </c>
      <c r="X3345" s="8">
        <v>72.738</v>
      </c>
      <c r="Y3345" s="8">
        <v>48.655999999999999</v>
      </c>
      <c r="Z3345" s="8">
        <v>24.841999999999999</v>
      </c>
      <c r="AA3345" s="8">
        <v>7.8730000000000002</v>
      </c>
      <c r="AB3345" s="8">
        <v>1.4590000000000001</v>
      </c>
      <c r="AC3345" s="8">
        <v>0.13100000000000001</v>
      </c>
    </row>
    <row r="3346" spans="1:29" ht="11.65" x14ac:dyDescent="0.35">
      <c r="A3346" s="12">
        <v>3329</v>
      </c>
      <c r="B3346" s="10" t="s">
        <v>1015</v>
      </c>
      <c r="C3346" s="18" t="s">
        <v>1246</v>
      </c>
      <c r="D3346" s="9">
        <v>21</v>
      </c>
      <c r="E3346" s="9">
        <v>208</v>
      </c>
      <c r="F3346" s="10" t="s">
        <v>1066</v>
      </c>
      <c r="G3346" s="9">
        <v>924</v>
      </c>
      <c r="H3346" s="9">
        <v>2015</v>
      </c>
      <c r="I3346" s="8">
        <v>151.399</v>
      </c>
      <c r="J3346" s="8">
        <v>171.31399999999999</v>
      </c>
      <c r="K3346" s="8">
        <v>168.661</v>
      </c>
      <c r="L3346" s="8">
        <v>185.79300000000001</v>
      </c>
      <c r="M3346" s="8">
        <v>199.50200000000001</v>
      </c>
      <c r="N3346" s="8">
        <v>176.929</v>
      </c>
      <c r="O3346" s="8">
        <v>157.12899999999999</v>
      </c>
      <c r="P3346" s="8">
        <v>179.52099999999999</v>
      </c>
      <c r="Q3346" s="8">
        <v>188.505</v>
      </c>
      <c r="R3346" s="8">
        <v>217.30199999999999</v>
      </c>
      <c r="S3346" s="8">
        <v>198.74600000000001</v>
      </c>
      <c r="T3346" s="8">
        <v>177.03399999999999</v>
      </c>
      <c r="U3346" s="8">
        <v>159.47300000000001</v>
      </c>
      <c r="V3346" s="8">
        <v>190.34399999999999</v>
      </c>
      <c r="W3346" s="8">
        <v>129.518</v>
      </c>
      <c r="X3346" s="8">
        <v>86.581999999999994</v>
      </c>
      <c r="Y3346" s="8">
        <v>51.216000000000001</v>
      </c>
      <c r="Z3346" s="8">
        <v>28.11</v>
      </c>
      <c r="AA3346" s="8">
        <v>9.7799999999999994</v>
      </c>
      <c r="AB3346" s="8">
        <v>1.784</v>
      </c>
      <c r="AC3346" s="8">
        <v>0.16600000000000001</v>
      </c>
    </row>
    <row r="3347" spans="1:29" ht="11.65" x14ac:dyDescent="0.35">
      <c r="A3347" s="12">
        <v>3330</v>
      </c>
      <c r="B3347" s="10" t="s">
        <v>1015</v>
      </c>
      <c r="C3347" s="18" t="s">
        <v>1246</v>
      </c>
      <c r="D3347" s="9">
        <v>21</v>
      </c>
      <c r="E3347" s="9">
        <v>208</v>
      </c>
      <c r="F3347" s="10" t="s">
        <v>1066</v>
      </c>
      <c r="G3347" s="9">
        <v>924</v>
      </c>
      <c r="H3347" s="9">
        <v>2020</v>
      </c>
      <c r="I3347" s="8">
        <v>158.37200000000001</v>
      </c>
      <c r="J3347" s="8">
        <v>152.596</v>
      </c>
      <c r="K3347" s="8">
        <v>173.333</v>
      </c>
      <c r="L3347" s="8">
        <v>172.73599999999999</v>
      </c>
      <c r="M3347" s="8">
        <v>191.77199999999999</v>
      </c>
      <c r="N3347" s="8">
        <v>205.131</v>
      </c>
      <c r="O3347" s="8">
        <v>180.83</v>
      </c>
      <c r="P3347" s="8">
        <v>159.30199999999999</v>
      </c>
      <c r="Q3347" s="8">
        <v>180.64599999999999</v>
      </c>
      <c r="R3347" s="8">
        <v>187.73599999999999</v>
      </c>
      <c r="S3347" s="8">
        <v>213.90899999999999</v>
      </c>
      <c r="T3347" s="8">
        <v>193.55500000000001</v>
      </c>
      <c r="U3347" s="8">
        <v>170.57900000000001</v>
      </c>
      <c r="V3347" s="8">
        <v>149.76599999999999</v>
      </c>
      <c r="W3347" s="8">
        <v>171.655</v>
      </c>
      <c r="X3347" s="8">
        <v>109.011</v>
      </c>
      <c r="Y3347" s="8">
        <v>64.082999999999998</v>
      </c>
      <c r="Z3347" s="8">
        <v>30.3</v>
      </c>
      <c r="AA3347" s="8">
        <v>11.51</v>
      </c>
      <c r="AB3347" s="8">
        <v>2.3220000000000001</v>
      </c>
      <c r="AC3347" s="8">
        <v>0.217</v>
      </c>
    </row>
    <row r="3348" spans="1:29" ht="11.65" x14ac:dyDescent="0.35">
      <c r="A3348" s="12">
        <v>3331</v>
      </c>
      <c r="B3348" s="10" t="s">
        <v>1015</v>
      </c>
      <c r="C3348" s="18" t="s">
        <v>1247</v>
      </c>
      <c r="D3348" s="9"/>
      <c r="E3348" s="9">
        <v>233</v>
      </c>
      <c r="F3348" s="10" t="s">
        <v>1066</v>
      </c>
      <c r="G3348" s="9">
        <v>924</v>
      </c>
      <c r="H3348" s="9">
        <v>1950</v>
      </c>
      <c r="I3348" s="8">
        <v>49.128999999999998</v>
      </c>
      <c r="J3348" s="8">
        <v>44.598999999999997</v>
      </c>
      <c r="K3348" s="8">
        <v>51.171999999999997</v>
      </c>
      <c r="L3348" s="8">
        <v>47.53</v>
      </c>
      <c r="M3348" s="8">
        <v>45.040999999999997</v>
      </c>
      <c r="N3348" s="8">
        <v>31.183</v>
      </c>
      <c r="O3348" s="8">
        <v>23.72</v>
      </c>
      <c r="P3348" s="8">
        <v>30.827000000000002</v>
      </c>
      <c r="Q3348" s="8">
        <v>29.228999999999999</v>
      </c>
      <c r="R3348" s="8">
        <v>27.361999999999998</v>
      </c>
      <c r="S3348" s="8">
        <v>21.143999999999998</v>
      </c>
      <c r="T3348" s="8">
        <v>17.591000000000001</v>
      </c>
      <c r="U3348" s="8">
        <v>15.548</v>
      </c>
      <c r="V3348" s="8">
        <v>13.06</v>
      </c>
      <c r="W3348" s="8">
        <v>10.483000000000001</v>
      </c>
      <c r="X3348" s="8">
        <v>6.84</v>
      </c>
      <c r="Y3348" s="8">
        <v>3.4279999999999999</v>
      </c>
      <c r="Z3348" s="8">
        <v>1.2909999999999999</v>
      </c>
      <c r="AA3348" s="8">
        <v>0.30199999999999999</v>
      </c>
      <c r="AB3348" s="8">
        <v>3.9E-2</v>
      </c>
      <c r="AC3348" s="8">
        <v>2E-3</v>
      </c>
    </row>
    <row r="3349" spans="1:29" ht="11.65" x14ac:dyDescent="0.35">
      <c r="A3349" s="12">
        <v>3332</v>
      </c>
      <c r="B3349" s="10" t="s">
        <v>1015</v>
      </c>
      <c r="C3349" s="18" t="s">
        <v>1247</v>
      </c>
      <c r="D3349" s="9"/>
      <c r="E3349" s="9">
        <v>233</v>
      </c>
      <c r="F3349" s="10" t="s">
        <v>1066</v>
      </c>
      <c r="G3349" s="9">
        <v>924</v>
      </c>
      <c r="H3349" s="9">
        <v>1955</v>
      </c>
      <c r="I3349" s="8">
        <v>45.747</v>
      </c>
      <c r="J3349" s="8">
        <v>49.841999999999999</v>
      </c>
      <c r="K3349" s="8">
        <v>45.84</v>
      </c>
      <c r="L3349" s="8">
        <v>52.347000000000001</v>
      </c>
      <c r="M3349" s="8">
        <v>48.441000000000003</v>
      </c>
      <c r="N3349" s="8">
        <v>45.74</v>
      </c>
      <c r="O3349" s="8">
        <v>31.728000000000002</v>
      </c>
      <c r="P3349" s="8">
        <v>24.120999999999999</v>
      </c>
      <c r="Q3349" s="8">
        <v>31.026</v>
      </c>
      <c r="R3349" s="8">
        <v>29.125</v>
      </c>
      <c r="S3349" s="8">
        <v>26.824000000000002</v>
      </c>
      <c r="T3349" s="8">
        <v>20.318000000000001</v>
      </c>
      <c r="U3349" s="8">
        <v>16.314</v>
      </c>
      <c r="V3349" s="8">
        <v>13.612</v>
      </c>
      <c r="W3349" s="8">
        <v>10.407</v>
      </c>
      <c r="X3349" s="8">
        <v>7.306</v>
      </c>
      <c r="Y3349" s="8">
        <v>3.6150000000000002</v>
      </c>
      <c r="Z3349" s="8">
        <v>1.3280000000000001</v>
      </c>
      <c r="AA3349" s="8">
        <v>0.317</v>
      </c>
      <c r="AB3349" s="8">
        <v>4.2999999999999997E-2</v>
      </c>
      <c r="AC3349" s="8">
        <v>3.0000000000000001E-3</v>
      </c>
    </row>
    <row r="3350" spans="1:29" ht="11.65" x14ac:dyDescent="0.35">
      <c r="A3350" s="12">
        <v>3333</v>
      </c>
      <c r="B3350" s="10" t="s">
        <v>1015</v>
      </c>
      <c r="C3350" s="18" t="s">
        <v>1247</v>
      </c>
      <c r="D3350" s="9"/>
      <c r="E3350" s="9">
        <v>233</v>
      </c>
      <c r="F3350" s="10" t="s">
        <v>1066</v>
      </c>
      <c r="G3350" s="9">
        <v>924</v>
      </c>
      <c r="H3350" s="9">
        <v>1960</v>
      </c>
      <c r="I3350" s="8">
        <v>48.848999999999997</v>
      </c>
      <c r="J3350" s="8">
        <v>48.747999999999998</v>
      </c>
      <c r="K3350" s="8">
        <v>46.567</v>
      </c>
      <c r="L3350" s="8">
        <v>41.122999999999998</v>
      </c>
      <c r="M3350" s="8">
        <v>50.414000000000001</v>
      </c>
      <c r="N3350" s="8">
        <v>48.387</v>
      </c>
      <c r="O3350" s="8">
        <v>47.052</v>
      </c>
      <c r="P3350" s="8">
        <v>32.667999999999999</v>
      </c>
      <c r="Q3350" s="8">
        <v>24.704999999999998</v>
      </c>
      <c r="R3350" s="8">
        <v>31.178000000000001</v>
      </c>
      <c r="S3350" s="8">
        <v>30.241</v>
      </c>
      <c r="T3350" s="8">
        <v>27.263999999999999</v>
      </c>
      <c r="U3350" s="8">
        <v>20.817</v>
      </c>
      <c r="V3350" s="8">
        <v>15.473000000000001</v>
      </c>
      <c r="W3350" s="8">
        <v>11.606</v>
      </c>
      <c r="X3350" s="8">
        <v>7.0979999999999999</v>
      </c>
      <c r="Y3350" s="8">
        <v>3.2240000000000002</v>
      </c>
      <c r="Z3350" s="8">
        <v>1.405</v>
      </c>
      <c r="AA3350" s="8">
        <v>0.32</v>
      </c>
      <c r="AB3350" s="8">
        <v>4.1000000000000002E-2</v>
      </c>
      <c r="AC3350" s="8">
        <v>3.0000000000000001E-3</v>
      </c>
    </row>
    <row r="3351" spans="1:29" ht="11.65" x14ac:dyDescent="0.35">
      <c r="A3351" s="12">
        <v>3334</v>
      </c>
      <c r="B3351" s="10" t="s">
        <v>1015</v>
      </c>
      <c r="C3351" s="18" t="s">
        <v>1247</v>
      </c>
      <c r="D3351" s="9"/>
      <c r="E3351" s="9">
        <v>233</v>
      </c>
      <c r="F3351" s="10" t="s">
        <v>1066</v>
      </c>
      <c r="G3351" s="9">
        <v>924</v>
      </c>
      <c r="H3351" s="9">
        <v>1965</v>
      </c>
      <c r="I3351" s="8">
        <v>50.186999999999998</v>
      </c>
      <c r="J3351" s="8">
        <v>50.070999999999998</v>
      </c>
      <c r="K3351" s="8">
        <v>50.375999999999998</v>
      </c>
      <c r="L3351" s="8">
        <v>50.746000000000002</v>
      </c>
      <c r="M3351" s="8">
        <v>44.363</v>
      </c>
      <c r="N3351" s="8">
        <v>53.06</v>
      </c>
      <c r="O3351" s="8">
        <v>49.54</v>
      </c>
      <c r="P3351" s="8">
        <v>48.223999999999997</v>
      </c>
      <c r="Q3351" s="8">
        <v>33.151000000000003</v>
      </c>
      <c r="R3351" s="8">
        <v>24.463999999999999</v>
      </c>
      <c r="S3351" s="8">
        <v>30.434000000000001</v>
      </c>
      <c r="T3351" s="8">
        <v>28.547000000000001</v>
      </c>
      <c r="U3351" s="8">
        <v>24.911000000000001</v>
      </c>
      <c r="V3351" s="8">
        <v>17.675999999999998</v>
      </c>
      <c r="W3351" s="8">
        <v>12.03</v>
      </c>
      <c r="X3351" s="8">
        <v>7.8390000000000004</v>
      </c>
      <c r="Y3351" s="8">
        <v>3.96</v>
      </c>
      <c r="Z3351" s="8">
        <v>1.26</v>
      </c>
      <c r="AA3351" s="8">
        <v>0.33800000000000002</v>
      </c>
      <c r="AB3351" s="8">
        <v>4.1000000000000002E-2</v>
      </c>
      <c r="AC3351" s="8">
        <v>3.0000000000000001E-3</v>
      </c>
    </row>
    <row r="3352" spans="1:29" ht="11.65" x14ac:dyDescent="0.35">
      <c r="A3352" s="12">
        <v>3335</v>
      </c>
      <c r="B3352" s="10" t="s">
        <v>1015</v>
      </c>
      <c r="C3352" s="18" t="s">
        <v>1247</v>
      </c>
      <c r="D3352" s="9"/>
      <c r="E3352" s="9">
        <v>233</v>
      </c>
      <c r="F3352" s="10" t="s">
        <v>1066</v>
      </c>
      <c r="G3352" s="9">
        <v>924</v>
      </c>
      <c r="H3352" s="9">
        <v>1970</v>
      </c>
      <c r="I3352" s="8">
        <v>49.652999999999999</v>
      </c>
      <c r="J3352" s="8">
        <v>51.695999999999998</v>
      </c>
      <c r="K3352" s="8">
        <v>51.722000000000001</v>
      </c>
      <c r="L3352" s="8">
        <v>52.328000000000003</v>
      </c>
      <c r="M3352" s="8">
        <v>54.295999999999999</v>
      </c>
      <c r="N3352" s="8">
        <v>47.13</v>
      </c>
      <c r="O3352" s="8">
        <v>55.183</v>
      </c>
      <c r="P3352" s="8">
        <v>50.246000000000002</v>
      </c>
      <c r="Q3352" s="8">
        <v>48.847000000000001</v>
      </c>
      <c r="R3352" s="8">
        <v>33.174999999999997</v>
      </c>
      <c r="S3352" s="8">
        <v>23.863</v>
      </c>
      <c r="T3352" s="8">
        <v>28.936</v>
      </c>
      <c r="U3352" s="8">
        <v>25.832000000000001</v>
      </c>
      <c r="V3352" s="8">
        <v>21.228999999999999</v>
      </c>
      <c r="W3352" s="8">
        <v>13.583</v>
      </c>
      <c r="X3352" s="8">
        <v>8.1560000000000006</v>
      </c>
      <c r="Y3352" s="8">
        <v>4.4139999999999997</v>
      </c>
      <c r="Z3352" s="8">
        <v>1.581</v>
      </c>
      <c r="AA3352" s="8">
        <v>0.32700000000000001</v>
      </c>
      <c r="AB3352" s="8">
        <v>5.0999999999999997E-2</v>
      </c>
      <c r="AC3352" s="8">
        <v>4.0000000000000001E-3</v>
      </c>
    </row>
    <row r="3353" spans="1:29" ht="11.65" x14ac:dyDescent="0.35">
      <c r="A3353" s="12">
        <v>3336</v>
      </c>
      <c r="B3353" s="10" t="s">
        <v>1015</v>
      </c>
      <c r="C3353" s="18" t="s">
        <v>1247</v>
      </c>
      <c r="D3353" s="9"/>
      <c r="E3353" s="9">
        <v>233</v>
      </c>
      <c r="F3353" s="10" t="s">
        <v>1066</v>
      </c>
      <c r="G3353" s="9">
        <v>924</v>
      </c>
      <c r="H3353" s="9">
        <v>1975</v>
      </c>
      <c r="I3353" s="8">
        <v>54.930999999999997</v>
      </c>
      <c r="J3353" s="8">
        <v>50.25</v>
      </c>
      <c r="K3353" s="8">
        <v>52.057000000000002</v>
      </c>
      <c r="L3353" s="8">
        <v>56.195999999999998</v>
      </c>
      <c r="M3353" s="8">
        <v>56.878</v>
      </c>
      <c r="N3353" s="8">
        <v>53.921999999999997</v>
      </c>
      <c r="O3353" s="8">
        <v>46.347999999999999</v>
      </c>
      <c r="P3353" s="8">
        <v>54.048999999999999</v>
      </c>
      <c r="Q3353" s="8">
        <v>48.98</v>
      </c>
      <c r="R3353" s="8">
        <v>46.991</v>
      </c>
      <c r="S3353" s="8">
        <v>31.626999999999999</v>
      </c>
      <c r="T3353" s="8">
        <v>22.265000000000001</v>
      </c>
      <c r="U3353" s="8">
        <v>26.215</v>
      </c>
      <c r="V3353" s="8">
        <v>21.940999999999999</v>
      </c>
      <c r="W3353" s="8">
        <v>16.437999999999999</v>
      </c>
      <c r="X3353" s="8">
        <v>9.1080000000000005</v>
      </c>
      <c r="Y3353" s="8">
        <v>4.5060000000000002</v>
      </c>
      <c r="Z3353" s="8">
        <v>1.772</v>
      </c>
      <c r="AA3353" s="8">
        <v>0.42899999999999999</v>
      </c>
      <c r="AB3353" s="8">
        <v>5.6000000000000001E-2</v>
      </c>
      <c r="AC3353" s="8">
        <v>5.0000000000000001E-3</v>
      </c>
    </row>
    <row r="3354" spans="1:29" ht="11.65" x14ac:dyDescent="0.35">
      <c r="A3354" s="12">
        <v>3337</v>
      </c>
      <c r="B3354" s="10" t="s">
        <v>1015</v>
      </c>
      <c r="C3354" s="18" t="s">
        <v>1247</v>
      </c>
      <c r="D3354" s="9"/>
      <c r="E3354" s="9">
        <v>233</v>
      </c>
      <c r="F3354" s="10" t="s">
        <v>1066</v>
      </c>
      <c r="G3354" s="9">
        <v>924</v>
      </c>
      <c r="H3354" s="9">
        <v>1980</v>
      </c>
      <c r="I3354" s="8">
        <v>55.374000000000002</v>
      </c>
      <c r="J3354" s="8">
        <v>55.884</v>
      </c>
      <c r="K3354" s="8">
        <v>51.45</v>
      </c>
      <c r="L3354" s="8">
        <v>53.235999999999997</v>
      </c>
      <c r="M3354" s="8">
        <v>59.405999999999999</v>
      </c>
      <c r="N3354" s="8">
        <v>59.470999999999997</v>
      </c>
      <c r="O3354" s="8">
        <v>53.079000000000001</v>
      </c>
      <c r="P3354" s="8">
        <v>45.22</v>
      </c>
      <c r="Q3354" s="8">
        <v>52.307000000000002</v>
      </c>
      <c r="R3354" s="8">
        <v>46.92</v>
      </c>
      <c r="S3354" s="8">
        <v>44.215000000000003</v>
      </c>
      <c r="T3354" s="8">
        <v>29.138999999999999</v>
      </c>
      <c r="U3354" s="8">
        <v>19.838999999999999</v>
      </c>
      <c r="V3354" s="8">
        <v>22.077999999999999</v>
      </c>
      <c r="W3354" s="8">
        <v>16.821000000000002</v>
      </c>
      <c r="X3354" s="8">
        <v>10.914999999999999</v>
      </c>
      <c r="Y3354" s="8">
        <v>4.8529999999999998</v>
      </c>
      <c r="Z3354" s="8">
        <v>1.7829999999999999</v>
      </c>
      <c r="AA3354" s="8">
        <v>0.46800000000000003</v>
      </c>
      <c r="AB3354" s="8">
        <v>7.1999999999999995E-2</v>
      </c>
      <c r="AC3354" s="8">
        <v>6.0000000000000001E-3</v>
      </c>
    </row>
    <row r="3355" spans="1:29" ht="11.65" x14ac:dyDescent="0.35">
      <c r="A3355" s="12">
        <v>3338</v>
      </c>
      <c r="B3355" s="10" t="s">
        <v>1015</v>
      </c>
      <c r="C3355" s="18" t="s">
        <v>1247</v>
      </c>
      <c r="D3355" s="9"/>
      <c r="E3355" s="9">
        <v>233</v>
      </c>
      <c r="F3355" s="10" t="s">
        <v>1066</v>
      </c>
      <c r="G3355" s="9">
        <v>924</v>
      </c>
      <c r="H3355" s="9">
        <v>1985</v>
      </c>
      <c r="I3355" s="8">
        <v>59.084000000000003</v>
      </c>
      <c r="J3355" s="8">
        <v>56.171999999999997</v>
      </c>
      <c r="K3355" s="8">
        <v>56.264000000000003</v>
      </c>
      <c r="L3355" s="8">
        <v>53.762</v>
      </c>
      <c r="M3355" s="8">
        <v>56.265999999999998</v>
      </c>
      <c r="N3355" s="8">
        <v>59.767000000000003</v>
      </c>
      <c r="O3355" s="8">
        <v>57.911000000000001</v>
      </c>
      <c r="P3355" s="8">
        <v>51.640999999999998</v>
      </c>
      <c r="Q3355" s="8">
        <v>43.679000000000002</v>
      </c>
      <c r="R3355" s="8">
        <v>49.939</v>
      </c>
      <c r="S3355" s="8">
        <v>43.953000000000003</v>
      </c>
      <c r="T3355" s="8">
        <v>40.537999999999997</v>
      </c>
      <c r="U3355" s="8">
        <v>25.745999999999999</v>
      </c>
      <c r="V3355" s="8">
        <v>16.559000000000001</v>
      </c>
      <c r="W3355" s="8">
        <v>16.965</v>
      </c>
      <c r="X3355" s="8">
        <v>11.247</v>
      </c>
      <c r="Y3355" s="8">
        <v>6.0190000000000001</v>
      </c>
      <c r="Z3355" s="8">
        <v>1.92</v>
      </c>
      <c r="AA3355" s="8">
        <v>0.47699999999999998</v>
      </c>
      <c r="AB3355" s="8">
        <v>7.6999999999999999E-2</v>
      </c>
      <c r="AC3355" s="8">
        <v>7.0000000000000001E-3</v>
      </c>
    </row>
    <row r="3356" spans="1:29" ht="11.65" x14ac:dyDescent="0.35">
      <c r="A3356" s="12">
        <v>3339</v>
      </c>
      <c r="B3356" s="10" t="s">
        <v>1015</v>
      </c>
      <c r="C3356" s="18" t="s">
        <v>1247</v>
      </c>
      <c r="D3356" s="9"/>
      <c r="E3356" s="9">
        <v>233</v>
      </c>
      <c r="F3356" s="10" t="s">
        <v>1066</v>
      </c>
      <c r="G3356" s="9">
        <v>924</v>
      </c>
      <c r="H3356" s="9">
        <v>1990</v>
      </c>
      <c r="I3356" s="8">
        <v>61.003</v>
      </c>
      <c r="J3356" s="8">
        <v>59.414999999999999</v>
      </c>
      <c r="K3356" s="8">
        <v>56.511000000000003</v>
      </c>
      <c r="L3356" s="8">
        <v>55.79</v>
      </c>
      <c r="M3356" s="8">
        <v>55.551000000000002</v>
      </c>
      <c r="N3356" s="8">
        <v>57.981000000000002</v>
      </c>
      <c r="O3356" s="8">
        <v>59.485999999999997</v>
      </c>
      <c r="P3356" s="8">
        <v>56.220999999999997</v>
      </c>
      <c r="Q3356" s="8">
        <v>50.118000000000002</v>
      </c>
      <c r="R3356" s="8">
        <v>41.746000000000002</v>
      </c>
      <c r="S3356" s="8">
        <v>46.988999999999997</v>
      </c>
      <c r="T3356" s="8">
        <v>40.26</v>
      </c>
      <c r="U3356" s="8">
        <v>35.826000000000001</v>
      </c>
      <c r="V3356" s="8">
        <v>21.581</v>
      </c>
      <c r="W3356" s="8">
        <v>12.653</v>
      </c>
      <c r="X3356" s="8">
        <v>11.519</v>
      </c>
      <c r="Y3356" s="8">
        <v>6.3380000000000001</v>
      </c>
      <c r="Z3356" s="8">
        <v>2.415</v>
      </c>
      <c r="AA3356" s="8">
        <v>0.48299999999999998</v>
      </c>
      <c r="AB3356" s="8">
        <v>6.8000000000000005E-2</v>
      </c>
      <c r="AC3356" s="8">
        <v>6.0000000000000001E-3</v>
      </c>
    </row>
    <row r="3357" spans="1:29" ht="11.65" x14ac:dyDescent="0.35">
      <c r="A3357" s="12">
        <v>3340</v>
      </c>
      <c r="B3357" s="10" t="s">
        <v>1015</v>
      </c>
      <c r="C3357" s="18" t="s">
        <v>1247</v>
      </c>
      <c r="D3357" s="9"/>
      <c r="E3357" s="9">
        <v>233</v>
      </c>
      <c r="F3357" s="10" t="s">
        <v>1066</v>
      </c>
      <c r="G3357" s="9">
        <v>924</v>
      </c>
      <c r="H3357" s="9">
        <v>1995</v>
      </c>
      <c r="I3357" s="8">
        <v>40.887999999999998</v>
      </c>
      <c r="J3357" s="8">
        <v>55.984999999999999</v>
      </c>
      <c r="K3357" s="8">
        <v>54.3</v>
      </c>
      <c r="L3357" s="8">
        <v>50.52</v>
      </c>
      <c r="M3357" s="8">
        <v>49.725000000000001</v>
      </c>
      <c r="N3357" s="8">
        <v>45.91</v>
      </c>
      <c r="O3357" s="8">
        <v>49.779000000000003</v>
      </c>
      <c r="P3357" s="8">
        <v>51.116</v>
      </c>
      <c r="Q3357" s="8">
        <v>48.597000000000001</v>
      </c>
      <c r="R3357" s="8">
        <v>43.875</v>
      </c>
      <c r="S3357" s="8">
        <v>36.83</v>
      </c>
      <c r="T3357" s="8">
        <v>40.412999999999997</v>
      </c>
      <c r="U3357" s="8">
        <v>33.667000000000002</v>
      </c>
      <c r="V3357" s="8">
        <v>28.149000000000001</v>
      </c>
      <c r="W3357" s="8">
        <v>15.731999999999999</v>
      </c>
      <c r="X3357" s="8">
        <v>8.1669999999999998</v>
      </c>
      <c r="Y3357" s="8">
        <v>6.3310000000000004</v>
      </c>
      <c r="Z3357" s="8">
        <v>2.5550000000000002</v>
      </c>
      <c r="AA3357" s="8">
        <v>0.61799999999999999</v>
      </c>
      <c r="AB3357" s="8">
        <v>7.0999999999999994E-2</v>
      </c>
      <c r="AC3357" s="8">
        <v>6.0000000000000001E-3</v>
      </c>
    </row>
    <row r="3358" spans="1:29" ht="11.65" x14ac:dyDescent="0.35">
      <c r="A3358" s="12">
        <v>3341</v>
      </c>
      <c r="B3358" s="10" t="s">
        <v>1015</v>
      </c>
      <c r="C3358" s="18" t="s">
        <v>1247</v>
      </c>
      <c r="D3358" s="9"/>
      <c r="E3358" s="9">
        <v>233</v>
      </c>
      <c r="F3358" s="10" t="s">
        <v>1066</v>
      </c>
      <c r="G3358" s="9">
        <v>924</v>
      </c>
      <c r="H3358" s="9">
        <v>2000</v>
      </c>
      <c r="I3358" s="8">
        <v>31.509</v>
      </c>
      <c r="J3358" s="8">
        <v>41.337000000000003</v>
      </c>
      <c r="K3358" s="8">
        <v>54.466000000000001</v>
      </c>
      <c r="L3358" s="8">
        <v>52.814</v>
      </c>
      <c r="M3358" s="8">
        <v>50.61</v>
      </c>
      <c r="N3358" s="8">
        <v>51.25</v>
      </c>
      <c r="O3358" s="8">
        <v>46.203000000000003</v>
      </c>
      <c r="P3358" s="8">
        <v>50</v>
      </c>
      <c r="Q3358" s="8">
        <v>49.89</v>
      </c>
      <c r="R3358" s="8">
        <v>46.228999999999999</v>
      </c>
      <c r="S3358" s="8">
        <v>40.098999999999997</v>
      </c>
      <c r="T3358" s="8">
        <v>33.847000000000001</v>
      </c>
      <c r="U3358" s="8">
        <v>35.533000000000001</v>
      </c>
      <c r="V3358" s="8">
        <v>27.94</v>
      </c>
      <c r="W3358" s="8">
        <v>21.667000000000002</v>
      </c>
      <c r="X3358" s="8">
        <v>10.839</v>
      </c>
      <c r="Y3358" s="8">
        <v>4.6909999999999998</v>
      </c>
      <c r="Z3358" s="8">
        <v>2.7810000000000001</v>
      </c>
      <c r="AA3358" s="8">
        <v>0.73899999999999999</v>
      </c>
      <c r="AB3358" s="8">
        <v>0.108</v>
      </c>
      <c r="AC3358" s="8">
        <v>7.0000000000000001E-3</v>
      </c>
    </row>
    <row r="3359" spans="1:29" ht="11.65" x14ac:dyDescent="0.35">
      <c r="A3359" s="12">
        <v>3342</v>
      </c>
      <c r="B3359" s="10" t="s">
        <v>1015</v>
      </c>
      <c r="C3359" s="18" t="s">
        <v>1247</v>
      </c>
      <c r="D3359" s="9"/>
      <c r="E3359" s="9">
        <v>233</v>
      </c>
      <c r="F3359" s="10" t="s">
        <v>1066</v>
      </c>
      <c r="G3359" s="9">
        <v>924</v>
      </c>
      <c r="H3359" s="9">
        <v>2005</v>
      </c>
      <c r="I3359" s="8">
        <v>33.942999999999998</v>
      </c>
      <c r="J3359" s="8">
        <v>30.972000000000001</v>
      </c>
      <c r="K3359" s="8">
        <v>40.598999999999997</v>
      </c>
      <c r="L3359" s="8">
        <v>53.110999999999997</v>
      </c>
      <c r="M3359" s="8">
        <v>50.81</v>
      </c>
      <c r="N3359" s="8">
        <v>48.701000000000001</v>
      </c>
      <c r="O3359" s="8">
        <v>49.387999999999998</v>
      </c>
      <c r="P3359" s="8">
        <v>44.256999999999998</v>
      </c>
      <c r="Q3359" s="8">
        <v>47.463999999999999</v>
      </c>
      <c r="R3359" s="8">
        <v>46.706000000000003</v>
      </c>
      <c r="S3359" s="8">
        <v>42.753</v>
      </c>
      <c r="T3359" s="8">
        <v>36.284999999999997</v>
      </c>
      <c r="U3359" s="8">
        <v>29.478999999999999</v>
      </c>
      <c r="V3359" s="8">
        <v>29.303000000000001</v>
      </c>
      <c r="W3359" s="8">
        <v>21.443999999999999</v>
      </c>
      <c r="X3359" s="8">
        <v>15.074999999999999</v>
      </c>
      <c r="Y3359" s="8">
        <v>6.4390000000000001</v>
      </c>
      <c r="Z3359" s="8">
        <v>2.198</v>
      </c>
      <c r="AA3359" s="8">
        <v>0.90700000000000003</v>
      </c>
      <c r="AB3359" s="8">
        <v>0.14099999999999999</v>
      </c>
      <c r="AC3359" s="8">
        <v>1.0999999999999999E-2</v>
      </c>
    </row>
    <row r="3360" spans="1:29" ht="11.65" x14ac:dyDescent="0.35">
      <c r="A3360" s="12">
        <v>3343</v>
      </c>
      <c r="B3360" s="10" t="s">
        <v>1015</v>
      </c>
      <c r="C3360" s="18" t="s">
        <v>1247</v>
      </c>
      <c r="D3360" s="9"/>
      <c r="E3360" s="9">
        <v>233</v>
      </c>
      <c r="F3360" s="10" t="s">
        <v>1066</v>
      </c>
      <c r="G3360" s="9">
        <v>924</v>
      </c>
      <c r="H3360" s="9">
        <v>2010</v>
      </c>
      <c r="I3360" s="8">
        <v>40.023000000000003</v>
      </c>
      <c r="J3360" s="8">
        <v>33.277999999999999</v>
      </c>
      <c r="K3360" s="8">
        <v>30.376000000000001</v>
      </c>
      <c r="L3360" s="8">
        <v>39.848999999999997</v>
      </c>
      <c r="M3360" s="8">
        <v>52.055999999999997</v>
      </c>
      <c r="N3360" s="8">
        <v>49.079000000000001</v>
      </c>
      <c r="O3360" s="8">
        <v>47.151000000000003</v>
      </c>
      <c r="P3360" s="8">
        <v>47.918999999999997</v>
      </c>
      <c r="Q3360" s="8">
        <v>42.686</v>
      </c>
      <c r="R3360" s="8">
        <v>45.212000000000003</v>
      </c>
      <c r="S3360" s="8">
        <v>43.738999999999997</v>
      </c>
      <c r="T3360" s="8">
        <v>39.216000000000001</v>
      </c>
      <c r="U3360" s="8">
        <v>32.465000000000003</v>
      </c>
      <c r="V3360" s="8">
        <v>25.082999999999998</v>
      </c>
      <c r="W3360" s="8">
        <v>23.402999999999999</v>
      </c>
      <c r="X3360" s="8">
        <v>15.417</v>
      </c>
      <c r="Y3360" s="8">
        <v>9.3879999999999999</v>
      </c>
      <c r="Z3360" s="8">
        <v>3.133</v>
      </c>
      <c r="AA3360" s="8">
        <v>0.70199999999999996</v>
      </c>
      <c r="AB3360" s="8">
        <v>0.16600000000000001</v>
      </c>
      <c r="AC3360" s="8">
        <v>1.4999999999999999E-2</v>
      </c>
    </row>
    <row r="3361" spans="1:29" ht="11.65" x14ac:dyDescent="0.35">
      <c r="A3361" s="12">
        <v>3344</v>
      </c>
      <c r="B3361" s="10" t="s">
        <v>1015</v>
      </c>
      <c r="C3361" s="18" t="s">
        <v>1247</v>
      </c>
      <c r="D3361" s="9"/>
      <c r="E3361" s="9">
        <v>233</v>
      </c>
      <c r="F3361" s="10" t="s">
        <v>1066</v>
      </c>
      <c r="G3361" s="9">
        <v>924</v>
      </c>
      <c r="H3361" s="9">
        <v>2015</v>
      </c>
      <c r="I3361" s="8">
        <v>36.456000000000003</v>
      </c>
      <c r="J3361" s="8">
        <v>39.680999999999997</v>
      </c>
      <c r="K3361" s="8">
        <v>32.898000000000003</v>
      </c>
      <c r="L3361" s="8">
        <v>29.92</v>
      </c>
      <c r="M3361" s="8">
        <v>39.387999999999998</v>
      </c>
      <c r="N3361" s="8">
        <v>51.128999999999998</v>
      </c>
      <c r="O3361" s="8">
        <v>47.774999999999999</v>
      </c>
      <c r="P3361" s="8">
        <v>45.930999999999997</v>
      </c>
      <c r="Q3361" s="8">
        <v>46.750999999999998</v>
      </c>
      <c r="R3361" s="8">
        <v>41.374000000000002</v>
      </c>
      <c r="S3361" s="8">
        <v>43.438000000000002</v>
      </c>
      <c r="T3361" s="8">
        <v>41.210999999999999</v>
      </c>
      <c r="U3361" s="8">
        <v>35.770000000000003</v>
      </c>
      <c r="V3361" s="8">
        <v>28.364999999999998</v>
      </c>
      <c r="W3361" s="8">
        <v>20.760999999999999</v>
      </c>
      <c r="X3361" s="8">
        <v>17.853999999999999</v>
      </c>
      <c r="Y3361" s="8">
        <v>10.227</v>
      </c>
      <c r="Z3361" s="8">
        <v>4.9740000000000002</v>
      </c>
      <c r="AA3361" s="8">
        <v>1.165</v>
      </c>
      <c r="AB3361" s="8">
        <v>0.14099999999999999</v>
      </c>
      <c r="AC3361" s="8">
        <v>1.6E-2</v>
      </c>
    </row>
    <row r="3362" spans="1:29" ht="11.65" x14ac:dyDescent="0.35">
      <c r="A3362" s="12">
        <v>3345</v>
      </c>
      <c r="B3362" s="10" t="s">
        <v>1015</v>
      </c>
      <c r="C3362" s="18" t="s">
        <v>1247</v>
      </c>
      <c r="D3362" s="9"/>
      <c r="E3362" s="9">
        <v>233</v>
      </c>
      <c r="F3362" s="10" t="s">
        <v>1066</v>
      </c>
      <c r="G3362" s="9">
        <v>924</v>
      </c>
      <c r="H3362" s="9">
        <v>2020</v>
      </c>
      <c r="I3362" s="8">
        <v>35.832999999999998</v>
      </c>
      <c r="J3362" s="8">
        <v>38.076999999999998</v>
      </c>
      <c r="K3362" s="8">
        <v>38.734000000000002</v>
      </c>
      <c r="L3362" s="8">
        <v>31.977</v>
      </c>
      <c r="M3362" s="8">
        <v>29.565000000000001</v>
      </c>
      <c r="N3362" s="8">
        <v>46.271000000000001</v>
      </c>
      <c r="O3362" s="8">
        <v>53.710999999999999</v>
      </c>
      <c r="P3362" s="8">
        <v>47.531999999999996</v>
      </c>
      <c r="Q3362" s="8">
        <v>45.677999999999997</v>
      </c>
      <c r="R3362" s="8">
        <v>49.018000000000001</v>
      </c>
      <c r="S3362" s="8">
        <v>37.451999999999998</v>
      </c>
      <c r="T3362" s="8">
        <v>42.273000000000003</v>
      </c>
      <c r="U3362" s="8">
        <v>38.603999999999999</v>
      </c>
      <c r="V3362" s="8">
        <v>34.463999999999999</v>
      </c>
      <c r="W3362" s="8">
        <v>20.527000000000001</v>
      </c>
      <c r="X3362" s="8">
        <v>18.131</v>
      </c>
      <c r="Y3362" s="8">
        <v>12.348000000000001</v>
      </c>
      <c r="Z3362" s="8">
        <v>5.7960000000000003</v>
      </c>
      <c r="AA3362" s="8">
        <v>2.1480000000000001</v>
      </c>
      <c r="AB3362" s="8">
        <v>0.3</v>
      </c>
      <c r="AC3362" s="8">
        <v>1.7000000000000001E-2</v>
      </c>
    </row>
    <row r="3363" spans="1:29" ht="11.65" x14ac:dyDescent="0.35">
      <c r="A3363" s="12">
        <v>3346</v>
      </c>
      <c r="B3363" s="10" t="s">
        <v>1015</v>
      </c>
      <c r="C3363" s="18" t="s">
        <v>1248</v>
      </c>
      <c r="D3363" s="9">
        <v>22</v>
      </c>
      <c r="E3363" s="9">
        <v>246</v>
      </c>
      <c r="F3363" s="10" t="s">
        <v>1066</v>
      </c>
      <c r="G3363" s="9">
        <v>924</v>
      </c>
      <c r="H3363" s="9">
        <v>1950</v>
      </c>
      <c r="I3363" s="8">
        <v>255.709</v>
      </c>
      <c r="J3363" s="8">
        <v>184.7</v>
      </c>
      <c r="K3363" s="8">
        <v>168.023</v>
      </c>
      <c r="L3363" s="8">
        <v>159.101</v>
      </c>
      <c r="M3363" s="8">
        <v>165.05600000000001</v>
      </c>
      <c r="N3363" s="8">
        <v>146.90600000000001</v>
      </c>
      <c r="O3363" s="8">
        <v>123.077</v>
      </c>
      <c r="P3363" s="8">
        <v>137.54900000000001</v>
      </c>
      <c r="Q3363" s="8">
        <v>135.714</v>
      </c>
      <c r="R3363" s="8">
        <v>114.517</v>
      </c>
      <c r="S3363" s="8">
        <v>93.167000000000002</v>
      </c>
      <c r="T3363" s="8">
        <v>72.953999999999994</v>
      </c>
      <c r="U3363" s="8">
        <v>58.713000000000001</v>
      </c>
      <c r="V3363" s="8">
        <v>43.183999999999997</v>
      </c>
      <c r="W3363" s="8">
        <v>29.452999999999999</v>
      </c>
      <c r="X3363" s="8">
        <v>17.492000000000001</v>
      </c>
      <c r="Y3363" s="8">
        <v>6.6760000000000002</v>
      </c>
      <c r="Z3363" s="8">
        <v>2.2989999999999999</v>
      </c>
      <c r="AA3363" s="8">
        <v>0.47</v>
      </c>
      <c r="AB3363" s="8">
        <v>3.4000000000000002E-2</v>
      </c>
      <c r="AC3363" s="8">
        <v>1E-3</v>
      </c>
    </row>
    <row r="3364" spans="1:29" ht="11.65" x14ac:dyDescent="0.35">
      <c r="A3364" s="12">
        <v>3347</v>
      </c>
      <c r="B3364" s="10" t="s">
        <v>1015</v>
      </c>
      <c r="C3364" s="18" t="s">
        <v>1248</v>
      </c>
      <c r="D3364" s="9">
        <v>22</v>
      </c>
      <c r="E3364" s="9">
        <v>246</v>
      </c>
      <c r="F3364" s="10" t="s">
        <v>1066</v>
      </c>
      <c r="G3364" s="9">
        <v>924</v>
      </c>
      <c r="H3364" s="9">
        <v>1955</v>
      </c>
      <c r="I3364" s="8">
        <v>227.73500000000001</v>
      </c>
      <c r="J3364" s="8">
        <v>252.51900000000001</v>
      </c>
      <c r="K3364" s="8">
        <v>183.375</v>
      </c>
      <c r="L3364" s="8">
        <v>165.74</v>
      </c>
      <c r="M3364" s="8">
        <v>154.887</v>
      </c>
      <c r="N3364" s="8">
        <v>158.83199999999999</v>
      </c>
      <c r="O3364" s="8">
        <v>142.31</v>
      </c>
      <c r="P3364" s="8">
        <v>119.166</v>
      </c>
      <c r="Q3364" s="8">
        <v>133.03200000000001</v>
      </c>
      <c r="R3364" s="8">
        <v>130.16900000000001</v>
      </c>
      <c r="S3364" s="8">
        <v>107.866</v>
      </c>
      <c r="T3364" s="8">
        <v>84.936999999999998</v>
      </c>
      <c r="U3364" s="8">
        <v>63.225999999999999</v>
      </c>
      <c r="V3364" s="8">
        <v>47.616999999999997</v>
      </c>
      <c r="W3364" s="8">
        <v>31.542999999999999</v>
      </c>
      <c r="X3364" s="8">
        <v>18.387</v>
      </c>
      <c r="Y3364" s="8">
        <v>8.5359999999999996</v>
      </c>
      <c r="Z3364" s="8">
        <v>2.2909999999999999</v>
      </c>
      <c r="AA3364" s="8">
        <v>0.46200000000000002</v>
      </c>
      <c r="AB3364" s="8">
        <v>5.1999999999999998E-2</v>
      </c>
      <c r="AC3364" s="8">
        <v>2E-3</v>
      </c>
    </row>
    <row r="3365" spans="1:29" ht="11.65" x14ac:dyDescent="0.35">
      <c r="A3365" s="12">
        <v>3348</v>
      </c>
      <c r="B3365" s="10" t="s">
        <v>1015</v>
      </c>
      <c r="C3365" s="18" t="s">
        <v>1248</v>
      </c>
      <c r="D3365" s="9">
        <v>22</v>
      </c>
      <c r="E3365" s="9">
        <v>246</v>
      </c>
      <c r="F3365" s="10" t="s">
        <v>1066</v>
      </c>
      <c r="G3365" s="9">
        <v>924</v>
      </c>
      <c r="H3365" s="9">
        <v>1960</v>
      </c>
      <c r="I3365" s="8">
        <v>210.97</v>
      </c>
      <c r="J3365" s="8">
        <v>226.4</v>
      </c>
      <c r="K3365" s="8">
        <v>250.458</v>
      </c>
      <c r="L3365" s="8">
        <v>181.37700000000001</v>
      </c>
      <c r="M3365" s="8">
        <v>160.46</v>
      </c>
      <c r="N3365" s="8">
        <v>149.33000000000001</v>
      </c>
      <c r="O3365" s="8">
        <v>154.845</v>
      </c>
      <c r="P3365" s="8">
        <v>139.07300000000001</v>
      </c>
      <c r="Q3365" s="8">
        <v>116.1</v>
      </c>
      <c r="R3365" s="8">
        <v>128.43</v>
      </c>
      <c r="S3365" s="8">
        <v>123.452</v>
      </c>
      <c r="T3365" s="8">
        <v>99.43</v>
      </c>
      <c r="U3365" s="8">
        <v>74.546000000000006</v>
      </c>
      <c r="V3365" s="8">
        <v>52.148000000000003</v>
      </c>
      <c r="W3365" s="8">
        <v>35.408999999999999</v>
      </c>
      <c r="X3365" s="8">
        <v>20.314</v>
      </c>
      <c r="Y3365" s="8">
        <v>9.5670000000000002</v>
      </c>
      <c r="Z3365" s="8">
        <v>3.0529999999999999</v>
      </c>
      <c r="AA3365" s="8">
        <v>0.503</v>
      </c>
      <c r="AB3365" s="8">
        <v>5.8000000000000003E-2</v>
      </c>
      <c r="AC3365" s="8">
        <v>3.0000000000000001E-3</v>
      </c>
    </row>
    <row r="3366" spans="1:29" ht="11.65" x14ac:dyDescent="0.35">
      <c r="A3366" s="12">
        <v>3349</v>
      </c>
      <c r="B3366" s="10" t="s">
        <v>1015</v>
      </c>
      <c r="C3366" s="18" t="s">
        <v>1248</v>
      </c>
      <c r="D3366" s="9">
        <v>22</v>
      </c>
      <c r="E3366" s="9">
        <v>246</v>
      </c>
      <c r="F3366" s="10" t="s">
        <v>1066</v>
      </c>
      <c r="G3366" s="9">
        <v>924</v>
      </c>
      <c r="H3366" s="9">
        <v>1965</v>
      </c>
      <c r="I3366" s="8">
        <v>200.49100000000001</v>
      </c>
      <c r="J3366" s="8">
        <v>207.41300000000001</v>
      </c>
      <c r="K3366" s="8">
        <v>224.63200000000001</v>
      </c>
      <c r="L3366" s="8">
        <v>246.292</v>
      </c>
      <c r="M3366" s="8">
        <v>174.35599999999999</v>
      </c>
      <c r="N3366" s="8">
        <v>153.15</v>
      </c>
      <c r="O3366" s="8">
        <v>143.36199999999999</v>
      </c>
      <c r="P3366" s="8">
        <v>150.88800000000001</v>
      </c>
      <c r="Q3366" s="8">
        <v>135.01300000000001</v>
      </c>
      <c r="R3366" s="8">
        <v>111.629</v>
      </c>
      <c r="S3366" s="8">
        <v>121.346</v>
      </c>
      <c r="T3366" s="8">
        <v>113.32599999999999</v>
      </c>
      <c r="U3366" s="8">
        <v>87.144999999999996</v>
      </c>
      <c r="V3366" s="8">
        <v>61.203000000000003</v>
      </c>
      <c r="W3366" s="8">
        <v>38.779000000000003</v>
      </c>
      <c r="X3366" s="8">
        <v>22.66</v>
      </c>
      <c r="Y3366" s="8">
        <v>10.218</v>
      </c>
      <c r="Z3366" s="8">
        <v>3.4830000000000001</v>
      </c>
      <c r="AA3366" s="8">
        <v>0.67500000000000004</v>
      </c>
      <c r="AB3366" s="8">
        <v>6.3E-2</v>
      </c>
      <c r="AC3366" s="8">
        <v>4.0000000000000001E-3</v>
      </c>
    </row>
    <row r="3367" spans="1:29" ht="11.65" x14ac:dyDescent="0.35">
      <c r="A3367" s="12">
        <v>3350</v>
      </c>
      <c r="B3367" s="10" t="s">
        <v>1015</v>
      </c>
      <c r="C3367" s="18" t="s">
        <v>1248</v>
      </c>
      <c r="D3367" s="9">
        <v>22</v>
      </c>
      <c r="E3367" s="9">
        <v>246</v>
      </c>
      <c r="F3367" s="10" t="s">
        <v>1066</v>
      </c>
      <c r="G3367" s="9">
        <v>924</v>
      </c>
      <c r="H3367" s="9">
        <v>1970</v>
      </c>
      <c r="I3367" s="8">
        <v>177.59200000000001</v>
      </c>
      <c r="J3367" s="8">
        <v>196.215</v>
      </c>
      <c r="K3367" s="8">
        <v>205.45400000000001</v>
      </c>
      <c r="L3367" s="8">
        <v>218.614</v>
      </c>
      <c r="M3367" s="8">
        <v>229.83500000000001</v>
      </c>
      <c r="N3367" s="8">
        <v>163.00399999999999</v>
      </c>
      <c r="O3367" s="8">
        <v>147.178</v>
      </c>
      <c r="P3367" s="8">
        <v>140.47800000000001</v>
      </c>
      <c r="Q3367" s="8">
        <v>146.35300000000001</v>
      </c>
      <c r="R3367" s="8">
        <v>129.55699999999999</v>
      </c>
      <c r="S3367" s="8">
        <v>105.31399999999999</v>
      </c>
      <c r="T3367" s="8">
        <v>111.22</v>
      </c>
      <c r="U3367" s="8">
        <v>99.543999999999997</v>
      </c>
      <c r="V3367" s="8">
        <v>71.412000000000006</v>
      </c>
      <c r="W3367" s="8">
        <v>45.469000000000001</v>
      </c>
      <c r="X3367" s="8">
        <v>24.696999999999999</v>
      </c>
      <c r="Y3367" s="8">
        <v>11.395</v>
      </c>
      <c r="Z3367" s="8">
        <v>3.556</v>
      </c>
      <c r="AA3367" s="8">
        <v>0.72399999999999998</v>
      </c>
      <c r="AB3367" s="8">
        <v>7.8E-2</v>
      </c>
      <c r="AC3367" s="8">
        <v>4.0000000000000001E-3</v>
      </c>
    </row>
    <row r="3368" spans="1:29" ht="11.65" x14ac:dyDescent="0.35">
      <c r="A3368" s="12">
        <v>3351</v>
      </c>
      <c r="B3368" s="10" t="s">
        <v>1015</v>
      </c>
      <c r="C3368" s="18" t="s">
        <v>1248</v>
      </c>
      <c r="D3368" s="9">
        <v>22</v>
      </c>
      <c r="E3368" s="9">
        <v>246</v>
      </c>
      <c r="F3368" s="10" t="s">
        <v>1066</v>
      </c>
      <c r="G3368" s="9">
        <v>924</v>
      </c>
      <c r="H3368" s="9">
        <v>1975</v>
      </c>
      <c r="I3368" s="8">
        <v>154.81899999999999</v>
      </c>
      <c r="J3368" s="8">
        <v>178.93700000000001</v>
      </c>
      <c r="K3368" s="8">
        <v>196.297</v>
      </c>
      <c r="L3368" s="8">
        <v>203.86699999999999</v>
      </c>
      <c r="M3368" s="8">
        <v>215.87899999999999</v>
      </c>
      <c r="N3368" s="8">
        <v>232.34899999999999</v>
      </c>
      <c r="O3368" s="8">
        <v>165.39599999999999</v>
      </c>
      <c r="P3368" s="8">
        <v>147.63</v>
      </c>
      <c r="Q3368" s="8">
        <v>138.78299999999999</v>
      </c>
      <c r="R3368" s="8">
        <v>142.339</v>
      </c>
      <c r="S3368" s="8">
        <v>123.41800000000001</v>
      </c>
      <c r="T3368" s="8">
        <v>97.486999999999995</v>
      </c>
      <c r="U3368" s="8">
        <v>98.661000000000001</v>
      </c>
      <c r="V3368" s="8">
        <v>82.626000000000005</v>
      </c>
      <c r="W3368" s="8">
        <v>53.997</v>
      </c>
      <c r="X3368" s="8">
        <v>30.181000000000001</v>
      </c>
      <c r="Y3368" s="8">
        <v>13.281000000000001</v>
      </c>
      <c r="Z3368" s="8">
        <v>4.3499999999999996</v>
      </c>
      <c r="AA3368" s="8">
        <v>0.84499999999999997</v>
      </c>
      <c r="AB3368" s="8">
        <v>9.7000000000000003E-2</v>
      </c>
      <c r="AC3368" s="8">
        <v>6.0000000000000001E-3</v>
      </c>
    </row>
    <row r="3369" spans="1:29" ht="11.65" x14ac:dyDescent="0.35">
      <c r="A3369" s="12">
        <v>3352</v>
      </c>
      <c r="B3369" s="10" t="s">
        <v>1015</v>
      </c>
      <c r="C3369" s="18" t="s">
        <v>1248</v>
      </c>
      <c r="D3369" s="9">
        <v>22</v>
      </c>
      <c r="E3369" s="9">
        <v>246</v>
      </c>
      <c r="F3369" s="10" t="s">
        <v>1066</v>
      </c>
      <c r="G3369" s="9">
        <v>924</v>
      </c>
      <c r="H3369" s="9">
        <v>1980</v>
      </c>
      <c r="I3369" s="8">
        <v>164.02500000000001</v>
      </c>
      <c r="J3369" s="8">
        <v>153.53200000000001</v>
      </c>
      <c r="K3369" s="8">
        <v>179.11600000000001</v>
      </c>
      <c r="L3369" s="8">
        <v>195.108</v>
      </c>
      <c r="M3369" s="8">
        <v>197.249</v>
      </c>
      <c r="N3369" s="8">
        <v>209.191</v>
      </c>
      <c r="O3369" s="8">
        <v>227.84</v>
      </c>
      <c r="P3369" s="8">
        <v>162.62200000000001</v>
      </c>
      <c r="Q3369" s="8">
        <v>144.97300000000001</v>
      </c>
      <c r="R3369" s="8">
        <v>135.07300000000001</v>
      </c>
      <c r="S3369" s="8">
        <v>136.167</v>
      </c>
      <c r="T3369" s="8">
        <v>115.133</v>
      </c>
      <c r="U3369" s="8">
        <v>87.426000000000002</v>
      </c>
      <c r="V3369" s="8">
        <v>83.474000000000004</v>
      </c>
      <c r="W3369" s="8">
        <v>63.752000000000002</v>
      </c>
      <c r="X3369" s="8">
        <v>36.499000000000002</v>
      </c>
      <c r="Y3369" s="8">
        <v>16.93</v>
      </c>
      <c r="Z3369" s="8">
        <v>5.5229999999999997</v>
      </c>
      <c r="AA3369" s="8">
        <v>1.236</v>
      </c>
      <c r="AB3369" s="8">
        <v>0.14199999999999999</v>
      </c>
      <c r="AC3369" s="8">
        <v>8.9999999999999993E-3</v>
      </c>
    </row>
    <row r="3370" spans="1:29" ht="11.65" x14ac:dyDescent="0.35">
      <c r="A3370" s="12">
        <v>3353</v>
      </c>
      <c r="B3370" s="10" t="s">
        <v>1015</v>
      </c>
      <c r="C3370" s="18" t="s">
        <v>1248</v>
      </c>
      <c r="D3370" s="9">
        <v>22</v>
      </c>
      <c r="E3370" s="9">
        <v>246</v>
      </c>
      <c r="F3370" s="10" t="s">
        <v>1066</v>
      </c>
      <c r="G3370" s="9">
        <v>924</v>
      </c>
      <c r="H3370" s="9">
        <v>1985</v>
      </c>
      <c r="I3370" s="8">
        <v>166.483</v>
      </c>
      <c r="J3370" s="8">
        <v>165.857</v>
      </c>
      <c r="K3370" s="8">
        <v>154.93100000000001</v>
      </c>
      <c r="L3370" s="8">
        <v>179.13200000000001</v>
      </c>
      <c r="M3370" s="8">
        <v>193.66300000000001</v>
      </c>
      <c r="N3370" s="8">
        <v>197.47900000000001</v>
      </c>
      <c r="O3370" s="8">
        <v>210.124</v>
      </c>
      <c r="P3370" s="8">
        <v>227.834</v>
      </c>
      <c r="Q3370" s="8">
        <v>161.185</v>
      </c>
      <c r="R3370" s="8">
        <v>142.10300000000001</v>
      </c>
      <c r="S3370" s="8">
        <v>130.44300000000001</v>
      </c>
      <c r="T3370" s="8">
        <v>127.965</v>
      </c>
      <c r="U3370" s="8">
        <v>104.443</v>
      </c>
      <c r="V3370" s="8">
        <v>75.153999999999996</v>
      </c>
      <c r="W3370" s="8">
        <v>66.099999999999994</v>
      </c>
      <c r="X3370" s="8">
        <v>44.561999999999998</v>
      </c>
      <c r="Y3370" s="8">
        <v>21.126999999999999</v>
      </c>
      <c r="Z3370" s="8">
        <v>7.5679999999999996</v>
      </c>
      <c r="AA3370" s="8">
        <v>1.6539999999999999</v>
      </c>
      <c r="AB3370" s="8">
        <v>0.22700000000000001</v>
      </c>
      <c r="AC3370" s="8">
        <v>1.4999999999999999E-2</v>
      </c>
    </row>
    <row r="3371" spans="1:29" ht="11.65" x14ac:dyDescent="0.35">
      <c r="A3371" s="12">
        <v>3354</v>
      </c>
      <c r="B3371" s="10" t="s">
        <v>1015</v>
      </c>
      <c r="C3371" s="18" t="s">
        <v>1248</v>
      </c>
      <c r="D3371" s="9">
        <v>22</v>
      </c>
      <c r="E3371" s="9">
        <v>246</v>
      </c>
      <c r="F3371" s="10" t="s">
        <v>1066</v>
      </c>
      <c r="G3371" s="9">
        <v>924</v>
      </c>
      <c r="H3371" s="9">
        <v>1990</v>
      </c>
      <c r="I3371" s="8">
        <v>159.13800000000001</v>
      </c>
      <c r="J3371" s="8">
        <v>167.46700000000001</v>
      </c>
      <c r="K3371" s="8">
        <v>166.501</v>
      </c>
      <c r="L3371" s="8">
        <v>154.76400000000001</v>
      </c>
      <c r="M3371" s="8">
        <v>177.733</v>
      </c>
      <c r="N3371" s="8">
        <v>193.04499999999999</v>
      </c>
      <c r="O3371" s="8">
        <v>197.36600000000001</v>
      </c>
      <c r="P3371" s="8">
        <v>208.96100000000001</v>
      </c>
      <c r="Q3371" s="8">
        <v>224.99100000000001</v>
      </c>
      <c r="R3371" s="8">
        <v>157.893</v>
      </c>
      <c r="S3371" s="8">
        <v>137.47300000000001</v>
      </c>
      <c r="T3371" s="8">
        <v>123.714</v>
      </c>
      <c r="U3371" s="8">
        <v>117.271</v>
      </c>
      <c r="V3371" s="8">
        <v>91.061000000000007</v>
      </c>
      <c r="W3371" s="8">
        <v>60.798999999999999</v>
      </c>
      <c r="X3371" s="8">
        <v>47.405000000000001</v>
      </c>
      <c r="Y3371" s="8">
        <v>26.805</v>
      </c>
      <c r="Z3371" s="8">
        <v>9.5830000000000002</v>
      </c>
      <c r="AA3371" s="8">
        <v>2.3330000000000002</v>
      </c>
      <c r="AB3371" s="8">
        <v>0.31</v>
      </c>
      <c r="AC3371" s="8">
        <v>2.4E-2</v>
      </c>
    </row>
    <row r="3372" spans="1:29" ht="11.65" x14ac:dyDescent="0.35">
      <c r="A3372" s="12">
        <v>3355</v>
      </c>
      <c r="B3372" s="10" t="s">
        <v>1015</v>
      </c>
      <c r="C3372" s="18" t="s">
        <v>1248</v>
      </c>
      <c r="D3372" s="9">
        <v>22</v>
      </c>
      <c r="E3372" s="9">
        <v>246</v>
      </c>
      <c r="F3372" s="10" t="s">
        <v>1066</v>
      </c>
      <c r="G3372" s="9">
        <v>924</v>
      </c>
      <c r="H3372" s="9">
        <v>1995</v>
      </c>
      <c r="I3372" s="8">
        <v>166.46</v>
      </c>
      <c r="J3372" s="8">
        <v>161.43799999999999</v>
      </c>
      <c r="K3372" s="8">
        <v>169.29599999999999</v>
      </c>
      <c r="L3372" s="8">
        <v>167.52799999999999</v>
      </c>
      <c r="M3372" s="8">
        <v>155.65100000000001</v>
      </c>
      <c r="N3372" s="8">
        <v>180.00899999999999</v>
      </c>
      <c r="O3372" s="8">
        <v>194.99</v>
      </c>
      <c r="P3372" s="8">
        <v>197.66200000000001</v>
      </c>
      <c r="Q3372" s="8">
        <v>207.42400000000001</v>
      </c>
      <c r="R3372" s="8">
        <v>221.22300000000001</v>
      </c>
      <c r="S3372" s="8">
        <v>153.619</v>
      </c>
      <c r="T3372" s="8">
        <v>131.892</v>
      </c>
      <c r="U3372" s="8">
        <v>115.35299999999999</v>
      </c>
      <c r="V3372" s="8">
        <v>104.354</v>
      </c>
      <c r="W3372" s="8">
        <v>75.311999999999998</v>
      </c>
      <c r="X3372" s="8">
        <v>44.887</v>
      </c>
      <c r="Y3372" s="8">
        <v>29.564</v>
      </c>
      <c r="Z3372" s="8">
        <v>12.458</v>
      </c>
      <c r="AA3372" s="8">
        <v>3.0409999999999999</v>
      </c>
      <c r="AB3372" s="8">
        <v>0.433</v>
      </c>
      <c r="AC3372" s="8">
        <v>3.2000000000000001E-2</v>
      </c>
    </row>
    <row r="3373" spans="1:29" ht="11.65" x14ac:dyDescent="0.35">
      <c r="A3373" s="12">
        <v>3356</v>
      </c>
      <c r="B3373" s="10" t="s">
        <v>1015</v>
      </c>
      <c r="C3373" s="18" t="s">
        <v>1248</v>
      </c>
      <c r="D3373" s="9">
        <v>22</v>
      </c>
      <c r="E3373" s="9">
        <v>246</v>
      </c>
      <c r="F3373" s="10" t="s">
        <v>1066</v>
      </c>
      <c r="G3373" s="9">
        <v>924</v>
      </c>
      <c r="H3373" s="9">
        <v>2000</v>
      </c>
      <c r="I3373" s="8">
        <v>150.477</v>
      </c>
      <c r="J3373" s="8">
        <v>167.255</v>
      </c>
      <c r="K3373" s="8">
        <v>162.47300000000001</v>
      </c>
      <c r="L3373" s="8">
        <v>170.08099999999999</v>
      </c>
      <c r="M3373" s="8">
        <v>167.596</v>
      </c>
      <c r="N3373" s="8">
        <v>156.441</v>
      </c>
      <c r="O3373" s="8">
        <v>179.83199999999999</v>
      </c>
      <c r="P3373" s="8">
        <v>193.798</v>
      </c>
      <c r="Q3373" s="8">
        <v>195.61</v>
      </c>
      <c r="R3373" s="8">
        <v>203.691</v>
      </c>
      <c r="S3373" s="8">
        <v>215.072</v>
      </c>
      <c r="T3373" s="8">
        <v>147.42099999999999</v>
      </c>
      <c r="U3373" s="8">
        <v>123.934</v>
      </c>
      <c r="V3373" s="8">
        <v>104.53100000000001</v>
      </c>
      <c r="W3373" s="8">
        <v>88.616</v>
      </c>
      <c r="X3373" s="8">
        <v>57.661000000000001</v>
      </c>
      <c r="Y3373" s="8">
        <v>28.989000000000001</v>
      </c>
      <c r="Z3373" s="8">
        <v>14.446</v>
      </c>
      <c r="AA3373" s="8">
        <v>4.0439999999999996</v>
      </c>
      <c r="AB3373" s="8">
        <v>0.56799999999999995</v>
      </c>
      <c r="AC3373" s="8">
        <v>4.2000000000000003E-2</v>
      </c>
    </row>
    <row r="3374" spans="1:29" ht="11.65" x14ac:dyDescent="0.35">
      <c r="A3374" s="12">
        <v>3357</v>
      </c>
      <c r="B3374" s="10" t="s">
        <v>1015</v>
      </c>
      <c r="C3374" s="18" t="s">
        <v>1248</v>
      </c>
      <c r="D3374" s="9">
        <v>22</v>
      </c>
      <c r="E3374" s="9">
        <v>246</v>
      </c>
      <c r="F3374" s="10" t="s">
        <v>1066</v>
      </c>
      <c r="G3374" s="9">
        <v>924</v>
      </c>
      <c r="H3374" s="9">
        <v>2005</v>
      </c>
      <c r="I3374" s="8">
        <v>145.631</v>
      </c>
      <c r="J3374" s="8">
        <v>151.46600000000001</v>
      </c>
      <c r="K3374" s="8">
        <v>168.32300000000001</v>
      </c>
      <c r="L3374" s="8">
        <v>163.57300000000001</v>
      </c>
      <c r="M3374" s="8">
        <v>170.90700000000001</v>
      </c>
      <c r="N3374" s="8">
        <v>169.62100000000001</v>
      </c>
      <c r="O3374" s="8">
        <v>157.73500000000001</v>
      </c>
      <c r="P3374" s="8">
        <v>179.655</v>
      </c>
      <c r="Q3374" s="8">
        <v>192.49700000000001</v>
      </c>
      <c r="R3374" s="8">
        <v>192.68799999999999</v>
      </c>
      <c r="S3374" s="8">
        <v>198.649</v>
      </c>
      <c r="T3374" s="8">
        <v>206.91399999999999</v>
      </c>
      <c r="U3374" s="8">
        <v>139.27199999999999</v>
      </c>
      <c r="V3374" s="8">
        <v>113.898</v>
      </c>
      <c r="W3374" s="8">
        <v>91.515000000000001</v>
      </c>
      <c r="X3374" s="8">
        <v>70.721999999999994</v>
      </c>
      <c r="Y3374" s="8">
        <v>39.848999999999997</v>
      </c>
      <c r="Z3374" s="8">
        <v>15.211</v>
      </c>
      <c r="AA3374" s="8">
        <v>5.0350000000000001</v>
      </c>
      <c r="AB3374" s="8">
        <v>0.78800000000000003</v>
      </c>
      <c r="AC3374" s="8">
        <v>5.7000000000000002E-2</v>
      </c>
    </row>
    <row r="3375" spans="1:29" ht="11.65" x14ac:dyDescent="0.35">
      <c r="A3375" s="12">
        <v>3358</v>
      </c>
      <c r="B3375" s="10" t="s">
        <v>1015</v>
      </c>
      <c r="C3375" s="18" t="s">
        <v>1248</v>
      </c>
      <c r="D3375" s="9">
        <v>22</v>
      </c>
      <c r="E3375" s="9">
        <v>246</v>
      </c>
      <c r="F3375" s="10" t="s">
        <v>1066</v>
      </c>
      <c r="G3375" s="9">
        <v>924</v>
      </c>
      <c r="H3375" s="9">
        <v>2010</v>
      </c>
      <c r="I3375" s="8">
        <v>154.25399999999999</v>
      </c>
      <c r="J3375" s="8">
        <v>146.863</v>
      </c>
      <c r="K3375" s="8">
        <v>151.923</v>
      </c>
      <c r="L3375" s="8">
        <v>170.732</v>
      </c>
      <c r="M3375" s="8">
        <v>167.05099999999999</v>
      </c>
      <c r="N3375" s="8">
        <v>177.73500000000001</v>
      </c>
      <c r="O3375" s="8">
        <v>173.357</v>
      </c>
      <c r="P3375" s="8">
        <v>159.57</v>
      </c>
      <c r="Q3375" s="8">
        <v>179.56399999999999</v>
      </c>
      <c r="R3375" s="8">
        <v>191.809</v>
      </c>
      <c r="S3375" s="8">
        <v>187.739</v>
      </c>
      <c r="T3375" s="8">
        <v>190.97800000000001</v>
      </c>
      <c r="U3375" s="8">
        <v>198.39400000000001</v>
      </c>
      <c r="V3375" s="8">
        <v>130.023</v>
      </c>
      <c r="W3375" s="8">
        <v>99.418000000000006</v>
      </c>
      <c r="X3375" s="8">
        <v>74.239000000000004</v>
      </c>
      <c r="Y3375" s="8">
        <v>50.176000000000002</v>
      </c>
      <c r="Z3375" s="8">
        <v>22.498000000000001</v>
      </c>
      <c r="AA3375" s="8">
        <v>5.8250000000000002</v>
      </c>
      <c r="AB3375" s="8">
        <v>1.0960000000000001</v>
      </c>
      <c r="AC3375" s="8">
        <v>8.6999999999999994E-2</v>
      </c>
    </row>
    <row r="3376" spans="1:29" ht="11.65" x14ac:dyDescent="0.35">
      <c r="A3376" s="12">
        <v>3359</v>
      </c>
      <c r="B3376" s="10" t="s">
        <v>1015</v>
      </c>
      <c r="C3376" s="18" t="s">
        <v>1248</v>
      </c>
      <c r="D3376" s="9">
        <v>22</v>
      </c>
      <c r="E3376" s="9">
        <v>246</v>
      </c>
      <c r="F3376" s="10" t="s">
        <v>1066</v>
      </c>
      <c r="G3376" s="9">
        <v>924</v>
      </c>
      <c r="H3376" s="9">
        <v>2015</v>
      </c>
      <c r="I3376" s="8">
        <v>153.65799999999999</v>
      </c>
      <c r="J3376" s="8">
        <v>156.74100000000001</v>
      </c>
      <c r="K3376" s="8">
        <v>149.023</v>
      </c>
      <c r="L3376" s="8">
        <v>155.154</v>
      </c>
      <c r="M3376" s="8">
        <v>176.97</v>
      </c>
      <c r="N3376" s="8">
        <v>174.8</v>
      </c>
      <c r="O3376" s="8">
        <v>182.5</v>
      </c>
      <c r="P3376" s="8">
        <v>176.048</v>
      </c>
      <c r="Q3376" s="8">
        <v>160.762</v>
      </c>
      <c r="R3376" s="8">
        <v>178.70500000000001</v>
      </c>
      <c r="S3376" s="8">
        <v>188.89699999999999</v>
      </c>
      <c r="T3376" s="8">
        <v>182.45099999999999</v>
      </c>
      <c r="U3376" s="8">
        <v>182.02500000000001</v>
      </c>
      <c r="V3376" s="8">
        <v>184.435</v>
      </c>
      <c r="W3376" s="8">
        <v>116.74</v>
      </c>
      <c r="X3376" s="8">
        <v>83.686999999999998</v>
      </c>
      <c r="Y3376" s="8">
        <v>55.161000000000001</v>
      </c>
      <c r="Z3376" s="8">
        <v>29.547000000000001</v>
      </c>
      <c r="AA3376" s="8">
        <v>8.8949999999999996</v>
      </c>
      <c r="AB3376" s="8">
        <v>1.292</v>
      </c>
      <c r="AC3376" s="8">
        <v>0.124</v>
      </c>
    </row>
    <row r="3377" spans="1:29" ht="11.65" x14ac:dyDescent="0.35">
      <c r="A3377" s="12">
        <v>3360</v>
      </c>
      <c r="B3377" s="10" t="s">
        <v>1015</v>
      </c>
      <c r="C3377" s="18" t="s">
        <v>1248</v>
      </c>
      <c r="D3377" s="9">
        <v>22</v>
      </c>
      <c r="E3377" s="9">
        <v>246</v>
      </c>
      <c r="F3377" s="10" t="s">
        <v>1066</v>
      </c>
      <c r="G3377" s="9">
        <v>924</v>
      </c>
      <c r="H3377" s="9">
        <v>2020</v>
      </c>
      <c r="I3377" s="8">
        <v>135.26</v>
      </c>
      <c r="J3377" s="8">
        <v>155.84299999999999</v>
      </c>
      <c r="K3377" s="8">
        <v>158.63200000000001</v>
      </c>
      <c r="L3377" s="8">
        <v>151.85599999999999</v>
      </c>
      <c r="M3377" s="8">
        <v>160.648</v>
      </c>
      <c r="N3377" s="8">
        <v>183.691</v>
      </c>
      <c r="O3377" s="8">
        <v>178.959</v>
      </c>
      <c r="P3377" s="8">
        <v>184.78200000000001</v>
      </c>
      <c r="Q3377" s="8">
        <v>176.94399999999999</v>
      </c>
      <c r="R3377" s="8">
        <v>160.15</v>
      </c>
      <c r="S3377" s="8">
        <v>176.226</v>
      </c>
      <c r="T3377" s="8">
        <v>183.95400000000001</v>
      </c>
      <c r="U3377" s="8">
        <v>174.59800000000001</v>
      </c>
      <c r="V3377" s="8">
        <v>170.404</v>
      </c>
      <c r="W3377" s="8">
        <v>167.47900000000001</v>
      </c>
      <c r="X3377" s="8">
        <v>100.241</v>
      </c>
      <c r="Y3377" s="8">
        <v>64.156999999999996</v>
      </c>
      <c r="Z3377" s="8">
        <v>33.972999999999999</v>
      </c>
      <c r="AA3377" s="8">
        <v>12.36</v>
      </c>
      <c r="AB3377" s="8">
        <v>2.0950000000000002</v>
      </c>
      <c r="AC3377" s="8">
        <v>0.154</v>
      </c>
    </row>
    <row r="3378" spans="1:29" ht="11.65" x14ac:dyDescent="0.35">
      <c r="A3378" s="12">
        <v>3361</v>
      </c>
      <c r="B3378" s="10" t="s">
        <v>1015</v>
      </c>
      <c r="C3378" s="18" t="s">
        <v>1249</v>
      </c>
      <c r="D3378" s="9"/>
      <c r="E3378" s="9">
        <v>352</v>
      </c>
      <c r="F3378" s="10" t="s">
        <v>1066</v>
      </c>
      <c r="G3378" s="9">
        <v>924</v>
      </c>
      <c r="H3378" s="9">
        <v>1950</v>
      </c>
      <c r="I3378" s="8">
        <v>9.3190000000000008</v>
      </c>
      <c r="J3378" s="8">
        <v>7.1749999999999998</v>
      </c>
      <c r="K3378" s="8">
        <v>5.8250000000000002</v>
      </c>
      <c r="L3378" s="8">
        <v>6.1970000000000001</v>
      </c>
      <c r="M3378" s="8">
        <v>6.1059999999999999</v>
      </c>
      <c r="N3378" s="8">
        <v>5.7190000000000003</v>
      </c>
      <c r="O3378" s="8">
        <v>5.0030000000000001</v>
      </c>
      <c r="P3378" s="8">
        <v>4.5759999999999996</v>
      </c>
      <c r="Q3378" s="8">
        <v>4.234</v>
      </c>
      <c r="R3378" s="8">
        <v>3.8479999999999999</v>
      </c>
      <c r="S3378" s="8">
        <v>3.4180000000000001</v>
      </c>
      <c r="T3378" s="8">
        <v>3.0579999999999998</v>
      </c>
      <c r="U3378" s="8">
        <v>2.2309999999999999</v>
      </c>
      <c r="V3378" s="8">
        <v>1.637</v>
      </c>
      <c r="W3378" s="8">
        <v>1.298</v>
      </c>
      <c r="X3378" s="8">
        <v>0.90600000000000003</v>
      </c>
      <c r="Y3378" s="8">
        <v>0.49099999999999999</v>
      </c>
      <c r="Z3378" s="8">
        <v>0.22900000000000001</v>
      </c>
      <c r="AA3378" s="8">
        <v>5.6000000000000001E-2</v>
      </c>
      <c r="AB3378" s="8">
        <v>8.9999999999999993E-3</v>
      </c>
      <c r="AC3378" s="8">
        <v>1E-3</v>
      </c>
    </row>
    <row r="3379" spans="1:29" ht="11.65" x14ac:dyDescent="0.35">
      <c r="A3379" s="12">
        <v>3362</v>
      </c>
      <c r="B3379" s="10" t="s">
        <v>1015</v>
      </c>
      <c r="C3379" s="18" t="s">
        <v>1249</v>
      </c>
      <c r="D3379" s="9"/>
      <c r="E3379" s="9">
        <v>352</v>
      </c>
      <c r="F3379" s="10" t="s">
        <v>1066</v>
      </c>
      <c r="G3379" s="9">
        <v>924</v>
      </c>
      <c r="H3379" s="9">
        <v>1955</v>
      </c>
      <c r="I3379" s="8">
        <v>10.462999999999999</v>
      </c>
      <c r="J3379" s="8">
        <v>9.2650000000000006</v>
      </c>
      <c r="K3379" s="8">
        <v>7.181</v>
      </c>
      <c r="L3379" s="8">
        <v>5.8369999999999997</v>
      </c>
      <c r="M3379" s="8">
        <v>6.1749999999999998</v>
      </c>
      <c r="N3379" s="8">
        <v>6.0629999999999997</v>
      </c>
      <c r="O3379" s="8">
        <v>5.6440000000000001</v>
      </c>
      <c r="P3379" s="8">
        <v>4.97</v>
      </c>
      <c r="Q3379" s="8">
        <v>4.4630000000000001</v>
      </c>
      <c r="R3379" s="8">
        <v>4.1520000000000001</v>
      </c>
      <c r="S3379" s="8">
        <v>3.758</v>
      </c>
      <c r="T3379" s="8">
        <v>3.254</v>
      </c>
      <c r="U3379" s="8">
        <v>2.8820000000000001</v>
      </c>
      <c r="V3379" s="8">
        <v>2.024</v>
      </c>
      <c r="W3379" s="8">
        <v>1.405</v>
      </c>
      <c r="X3379" s="8">
        <v>0.98099999999999998</v>
      </c>
      <c r="Y3379" s="8">
        <v>0.55100000000000005</v>
      </c>
      <c r="Z3379" s="8">
        <v>0.22800000000000001</v>
      </c>
      <c r="AA3379" s="8">
        <v>7.2999999999999995E-2</v>
      </c>
      <c r="AB3379" s="8">
        <v>1.2E-2</v>
      </c>
      <c r="AC3379" s="8">
        <v>1E-3</v>
      </c>
    </row>
    <row r="3380" spans="1:29" ht="11.65" x14ac:dyDescent="0.35">
      <c r="A3380" s="12">
        <v>3363</v>
      </c>
      <c r="B3380" s="10" t="s">
        <v>1015</v>
      </c>
      <c r="C3380" s="18" t="s">
        <v>1249</v>
      </c>
      <c r="D3380" s="9"/>
      <c r="E3380" s="9">
        <v>352</v>
      </c>
      <c r="F3380" s="10" t="s">
        <v>1066</v>
      </c>
      <c r="G3380" s="9">
        <v>924</v>
      </c>
      <c r="H3380" s="9">
        <v>1960</v>
      </c>
      <c r="I3380" s="8">
        <v>11.84</v>
      </c>
      <c r="J3380" s="8">
        <v>10.487</v>
      </c>
      <c r="K3380" s="8">
        <v>9.234</v>
      </c>
      <c r="L3380" s="8">
        <v>7.1580000000000004</v>
      </c>
      <c r="M3380" s="8">
        <v>5.8</v>
      </c>
      <c r="N3380" s="8">
        <v>6.1440000000000001</v>
      </c>
      <c r="O3380" s="8">
        <v>6.0439999999999996</v>
      </c>
      <c r="P3380" s="8">
        <v>5.6210000000000004</v>
      </c>
      <c r="Q3380" s="8">
        <v>4.931</v>
      </c>
      <c r="R3380" s="8">
        <v>4.3929999999999998</v>
      </c>
      <c r="S3380" s="8">
        <v>4.0430000000000001</v>
      </c>
      <c r="T3380" s="8">
        <v>3.5880000000000001</v>
      </c>
      <c r="U3380" s="8">
        <v>3.0310000000000001</v>
      </c>
      <c r="V3380" s="8">
        <v>2.6259999999999999</v>
      </c>
      <c r="W3380" s="8">
        <v>1.734</v>
      </c>
      <c r="X3380" s="8">
        <v>1.083</v>
      </c>
      <c r="Y3380" s="8">
        <v>0.61899999999999999</v>
      </c>
      <c r="Z3380" s="8">
        <v>0.25700000000000001</v>
      </c>
      <c r="AA3380" s="8">
        <v>7.0000000000000007E-2</v>
      </c>
      <c r="AB3380" s="8">
        <v>1.2999999999999999E-2</v>
      </c>
      <c r="AC3380" s="8">
        <v>1E-3</v>
      </c>
    </row>
    <row r="3381" spans="1:29" ht="11.65" x14ac:dyDescent="0.35">
      <c r="A3381" s="12">
        <v>3364</v>
      </c>
      <c r="B3381" s="10" t="s">
        <v>1015</v>
      </c>
      <c r="C3381" s="18" t="s">
        <v>1249</v>
      </c>
      <c r="D3381" s="9"/>
      <c r="E3381" s="9">
        <v>352</v>
      </c>
      <c r="F3381" s="10" t="s">
        <v>1066</v>
      </c>
      <c r="G3381" s="9">
        <v>924</v>
      </c>
      <c r="H3381" s="9">
        <v>1965</v>
      </c>
      <c r="I3381" s="8">
        <v>11.862</v>
      </c>
      <c r="J3381" s="8">
        <v>11.739000000000001</v>
      </c>
      <c r="K3381" s="8">
        <v>10.438000000000001</v>
      </c>
      <c r="L3381" s="8">
        <v>9.1859999999999999</v>
      </c>
      <c r="M3381" s="8">
        <v>7.1509999999999998</v>
      </c>
      <c r="N3381" s="8">
        <v>5.8010000000000002</v>
      </c>
      <c r="O3381" s="8">
        <v>6.0119999999999996</v>
      </c>
      <c r="P3381" s="8">
        <v>5.9119999999999999</v>
      </c>
      <c r="Q3381" s="8">
        <v>5.484</v>
      </c>
      <c r="R3381" s="8">
        <v>4.7779999999999996</v>
      </c>
      <c r="S3381" s="8">
        <v>4.2859999999999996</v>
      </c>
      <c r="T3381" s="8">
        <v>3.819</v>
      </c>
      <c r="U3381" s="8">
        <v>3.3159999999999998</v>
      </c>
      <c r="V3381" s="8">
        <v>2.7570000000000001</v>
      </c>
      <c r="W3381" s="8">
        <v>2.262</v>
      </c>
      <c r="X3381" s="8">
        <v>1.345</v>
      </c>
      <c r="Y3381" s="8">
        <v>0.67600000000000005</v>
      </c>
      <c r="Z3381" s="8">
        <v>0.29199999999999998</v>
      </c>
      <c r="AA3381" s="8">
        <v>7.6999999999999999E-2</v>
      </c>
      <c r="AB3381" s="8">
        <v>1.2E-2</v>
      </c>
      <c r="AC3381" s="8">
        <v>1E-3</v>
      </c>
    </row>
    <row r="3382" spans="1:29" ht="11.65" x14ac:dyDescent="0.35">
      <c r="A3382" s="12">
        <v>3365</v>
      </c>
      <c r="B3382" s="10" t="s">
        <v>1015</v>
      </c>
      <c r="C3382" s="18" t="s">
        <v>1249</v>
      </c>
      <c r="D3382" s="9"/>
      <c r="E3382" s="9">
        <v>352</v>
      </c>
      <c r="F3382" s="10" t="s">
        <v>1066</v>
      </c>
      <c r="G3382" s="9">
        <v>924</v>
      </c>
      <c r="H3382" s="9">
        <v>1970</v>
      </c>
      <c r="I3382" s="8">
        <v>10.875999999999999</v>
      </c>
      <c r="J3382" s="8">
        <v>11.692</v>
      </c>
      <c r="K3382" s="8">
        <v>11.593</v>
      </c>
      <c r="L3382" s="8">
        <v>10.333</v>
      </c>
      <c r="M3382" s="8">
        <v>8.9559999999999995</v>
      </c>
      <c r="N3382" s="8">
        <v>6.9180000000000001</v>
      </c>
      <c r="O3382" s="8">
        <v>5.5869999999999997</v>
      </c>
      <c r="P3382" s="8">
        <v>5.843</v>
      </c>
      <c r="Q3382" s="8">
        <v>5.7869999999999999</v>
      </c>
      <c r="R3382" s="8">
        <v>5.335</v>
      </c>
      <c r="S3382" s="8">
        <v>4.609</v>
      </c>
      <c r="T3382" s="8">
        <v>4.0469999999999997</v>
      </c>
      <c r="U3382" s="8">
        <v>3.532</v>
      </c>
      <c r="V3382" s="8">
        <v>2.956</v>
      </c>
      <c r="W3382" s="8">
        <v>2.29</v>
      </c>
      <c r="X3382" s="8">
        <v>1.726</v>
      </c>
      <c r="Y3382" s="8">
        <v>0.85199999999999998</v>
      </c>
      <c r="Z3382" s="8">
        <v>0.32</v>
      </c>
      <c r="AA3382" s="8">
        <v>8.8999999999999996E-2</v>
      </c>
      <c r="AB3382" s="8">
        <v>1.2999999999999999E-2</v>
      </c>
      <c r="AC3382" s="8">
        <v>1E-3</v>
      </c>
    </row>
    <row r="3383" spans="1:29" ht="11.65" x14ac:dyDescent="0.35">
      <c r="A3383" s="12">
        <v>3366</v>
      </c>
      <c r="B3383" s="10" t="s">
        <v>1015</v>
      </c>
      <c r="C3383" s="18" t="s">
        <v>1249</v>
      </c>
      <c r="D3383" s="9"/>
      <c r="E3383" s="9">
        <v>352</v>
      </c>
      <c r="F3383" s="10" t="s">
        <v>1066</v>
      </c>
      <c r="G3383" s="9">
        <v>924</v>
      </c>
      <c r="H3383" s="9">
        <v>1975</v>
      </c>
      <c r="I3383" s="8">
        <v>11.038</v>
      </c>
      <c r="J3383" s="8">
        <v>10.831</v>
      </c>
      <c r="K3383" s="8">
        <v>11.672000000000001</v>
      </c>
      <c r="L3383" s="8">
        <v>11.542</v>
      </c>
      <c r="M3383" s="8">
        <v>10.176</v>
      </c>
      <c r="N3383" s="8">
        <v>8.8209999999999997</v>
      </c>
      <c r="O3383" s="8">
        <v>6.8259999999999996</v>
      </c>
      <c r="P3383" s="8">
        <v>5.484</v>
      </c>
      <c r="Q3383" s="8">
        <v>5.7679999999999998</v>
      </c>
      <c r="R3383" s="8">
        <v>5.6760000000000002</v>
      </c>
      <c r="S3383" s="8">
        <v>5.1539999999999999</v>
      </c>
      <c r="T3383" s="8">
        <v>4.3529999999999998</v>
      </c>
      <c r="U3383" s="8">
        <v>3.76</v>
      </c>
      <c r="V3383" s="8">
        <v>3.141</v>
      </c>
      <c r="W3383" s="8">
        <v>2.5070000000000001</v>
      </c>
      <c r="X3383" s="8">
        <v>1.788</v>
      </c>
      <c r="Y3383" s="8">
        <v>1.1160000000000001</v>
      </c>
      <c r="Z3383" s="8">
        <v>0.41699999999999998</v>
      </c>
      <c r="AA3383" s="8">
        <v>9.8000000000000004E-2</v>
      </c>
      <c r="AB3383" s="8">
        <v>1.4999999999999999E-2</v>
      </c>
      <c r="AC3383" s="8">
        <v>1E-3</v>
      </c>
    </row>
    <row r="3384" spans="1:29" ht="11.65" x14ac:dyDescent="0.35">
      <c r="A3384" s="12">
        <v>3367</v>
      </c>
      <c r="B3384" s="10" t="s">
        <v>1015</v>
      </c>
      <c r="C3384" s="18" t="s">
        <v>1249</v>
      </c>
      <c r="D3384" s="9"/>
      <c r="E3384" s="9">
        <v>352</v>
      </c>
      <c r="F3384" s="10" t="s">
        <v>1066</v>
      </c>
      <c r="G3384" s="9">
        <v>924</v>
      </c>
      <c r="H3384" s="9">
        <v>1980</v>
      </c>
      <c r="I3384" s="8">
        <v>10.670999999999999</v>
      </c>
      <c r="J3384" s="8">
        <v>10.775</v>
      </c>
      <c r="K3384" s="8">
        <v>10.714</v>
      </c>
      <c r="L3384" s="8">
        <v>11.507999999999999</v>
      </c>
      <c r="M3384" s="8">
        <v>11.086</v>
      </c>
      <c r="N3384" s="8">
        <v>9.67</v>
      </c>
      <c r="O3384" s="8">
        <v>8.5030000000000001</v>
      </c>
      <c r="P3384" s="8">
        <v>6.6479999999999997</v>
      </c>
      <c r="Q3384" s="8">
        <v>5.33</v>
      </c>
      <c r="R3384" s="8">
        <v>5.5960000000000001</v>
      </c>
      <c r="S3384" s="8">
        <v>5.49</v>
      </c>
      <c r="T3384" s="8">
        <v>4.93</v>
      </c>
      <c r="U3384" s="8">
        <v>4.0629999999999997</v>
      </c>
      <c r="V3384" s="8">
        <v>3.39</v>
      </c>
      <c r="W3384" s="8">
        <v>2.7050000000000001</v>
      </c>
      <c r="X3384" s="8">
        <v>1.9770000000000001</v>
      </c>
      <c r="Y3384" s="8">
        <v>1.214</v>
      </c>
      <c r="Z3384" s="8">
        <v>0.61099999999999999</v>
      </c>
      <c r="AA3384" s="8">
        <v>0.158</v>
      </c>
      <c r="AB3384" s="8">
        <v>2.1999999999999999E-2</v>
      </c>
      <c r="AC3384" s="8">
        <v>2E-3</v>
      </c>
    </row>
    <row r="3385" spans="1:29" ht="11.65" x14ac:dyDescent="0.35">
      <c r="A3385" s="12">
        <v>3368</v>
      </c>
      <c r="B3385" s="10" t="s">
        <v>1015</v>
      </c>
      <c r="C3385" s="18" t="s">
        <v>1249</v>
      </c>
      <c r="D3385" s="9"/>
      <c r="E3385" s="9">
        <v>352</v>
      </c>
      <c r="F3385" s="10" t="s">
        <v>1066</v>
      </c>
      <c r="G3385" s="9">
        <v>924</v>
      </c>
      <c r="H3385" s="9">
        <v>1985</v>
      </c>
      <c r="I3385" s="8">
        <v>10.885999999999999</v>
      </c>
      <c r="J3385" s="8">
        <v>10.653</v>
      </c>
      <c r="K3385" s="8">
        <v>10.846</v>
      </c>
      <c r="L3385" s="8">
        <v>10.734</v>
      </c>
      <c r="M3385" s="8">
        <v>11.257999999999999</v>
      </c>
      <c r="N3385" s="8">
        <v>10.766</v>
      </c>
      <c r="O3385" s="8">
        <v>9.6859999999999999</v>
      </c>
      <c r="P3385" s="8">
        <v>8.5559999999999992</v>
      </c>
      <c r="Q3385" s="8">
        <v>6.5739999999999998</v>
      </c>
      <c r="R3385" s="8">
        <v>5.24</v>
      </c>
      <c r="S3385" s="8">
        <v>5.4649999999999999</v>
      </c>
      <c r="T3385" s="8">
        <v>5.2720000000000002</v>
      </c>
      <c r="U3385" s="8">
        <v>4.633</v>
      </c>
      <c r="V3385" s="8">
        <v>3.6480000000000001</v>
      </c>
      <c r="W3385" s="8">
        <v>2.87</v>
      </c>
      <c r="X3385" s="8">
        <v>2.089</v>
      </c>
      <c r="Y3385" s="8">
        <v>1.3959999999999999</v>
      </c>
      <c r="Z3385" s="8">
        <v>0.65400000000000003</v>
      </c>
      <c r="AA3385" s="8">
        <v>0.224</v>
      </c>
      <c r="AB3385" s="8">
        <v>3.4000000000000002E-2</v>
      </c>
      <c r="AC3385" s="8">
        <v>3.0000000000000001E-3</v>
      </c>
    </row>
    <row r="3386" spans="1:29" ht="11.65" x14ac:dyDescent="0.35">
      <c r="A3386" s="12">
        <v>3369</v>
      </c>
      <c r="B3386" s="10" t="s">
        <v>1015</v>
      </c>
      <c r="C3386" s="18" t="s">
        <v>1249</v>
      </c>
      <c r="D3386" s="9"/>
      <c r="E3386" s="9">
        <v>352</v>
      </c>
      <c r="F3386" s="10" t="s">
        <v>1066</v>
      </c>
      <c r="G3386" s="9">
        <v>924</v>
      </c>
      <c r="H3386" s="9">
        <v>1990</v>
      </c>
      <c r="I3386" s="8">
        <v>11</v>
      </c>
      <c r="J3386" s="8">
        <v>10.826000000000001</v>
      </c>
      <c r="K3386" s="8">
        <v>10.678000000000001</v>
      </c>
      <c r="L3386" s="8">
        <v>10.853</v>
      </c>
      <c r="M3386" s="8">
        <v>10.624000000000001</v>
      </c>
      <c r="N3386" s="8">
        <v>11.012</v>
      </c>
      <c r="O3386" s="8">
        <v>10.738</v>
      </c>
      <c r="P3386" s="8">
        <v>9.718</v>
      </c>
      <c r="Q3386" s="8">
        <v>8.4990000000000006</v>
      </c>
      <c r="R3386" s="8">
        <v>6.5149999999999997</v>
      </c>
      <c r="S3386" s="8">
        <v>5.157</v>
      </c>
      <c r="T3386" s="8">
        <v>5.2789999999999999</v>
      </c>
      <c r="U3386" s="8">
        <v>5.0209999999999999</v>
      </c>
      <c r="V3386" s="8">
        <v>4.2309999999999999</v>
      </c>
      <c r="W3386" s="8">
        <v>3.16</v>
      </c>
      <c r="X3386" s="8">
        <v>2.2440000000000002</v>
      </c>
      <c r="Y3386" s="8">
        <v>1.4319999999999999</v>
      </c>
      <c r="Z3386" s="8">
        <v>0.75900000000000001</v>
      </c>
      <c r="AA3386" s="8">
        <v>0.252</v>
      </c>
      <c r="AB3386" s="8">
        <v>5.3999999999999999E-2</v>
      </c>
      <c r="AC3386" s="8">
        <v>5.0000000000000001E-3</v>
      </c>
    </row>
    <row r="3387" spans="1:29" ht="11.65" x14ac:dyDescent="0.35">
      <c r="A3387" s="12">
        <v>3370</v>
      </c>
      <c r="B3387" s="10" t="s">
        <v>1015</v>
      </c>
      <c r="C3387" s="18" t="s">
        <v>1249</v>
      </c>
      <c r="D3387" s="9"/>
      <c r="E3387" s="9">
        <v>352</v>
      </c>
      <c r="F3387" s="10" t="s">
        <v>1066</v>
      </c>
      <c r="G3387" s="9">
        <v>924</v>
      </c>
      <c r="H3387" s="9">
        <v>1995</v>
      </c>
      <c r="I3387" s="8">
        <v>11.67</v>
      </c>
      <c r="J3387" s="8">
        <v>10.994</v>
      </c>
      <c r="K3387" s="8">
        <v>10.871</v>
      </c>
      <c r="L3387" s="8">
        <v>10.706</v>
      </c>
      <c r="M3387" s="8">
        <v>10.61</v>
      </c>
      <c r="N3387" s="8">
        <v>10.173</v>
      </c>
      <c r="O3387" s="8">
        <v>10.795</v>
      </c>
      <c r="P3387" s="8">
        <v>10.581</v>
      </c>
      <c r="Q3387" s="8">
        <v>9.5660000000000007</v>
      </c>
      <c r="R3387" s="8">
        <v>8.3290000000000006</v>
      </c>
      <c r="S3387" s="8">
        <v>6.3689999999999998</v>
      </c>
      <c r="T3387" s="8">
        <v>4.9989999999999997</v>
      </c>
      <c r="U3387" s="8">
        <v>5.0289999999999999</v>
      </c>
      <c r="V3387" s="8">
        <v>4.6440000000000001</v>
      </c>
      <c r="W3387" s="8">
        <v>3.6749999999999998</v>
      </c>
      <c r="X3387" s="8">
        <v>2.5190000000000001</v>
      </c>
      <c r="Y3387" s="8">
        <v>1.5349999999999999</v>
      </c>
      <c r="Z3387" s="8">
        <v>0.78400000000000003</v>
      </c>
      <c r="AA3387" s="8">
        <v>0.30399999999999999</v>
      </c>
      <c r="AB3387" s="8">
        <v>6.6000000000000003E-2</v>
      </c>
      <c r="AC3387" s="8">
        <v>8.0000000000000002E-3</v>
      </c>
    </row>
    <row r="3388" spans="1:29" ht="11.65" x14ac:dyDescent="0.35">
      <c r="A3388" s="12">
        <v>3371</v>
      </c>
      <c r="B3388" s="10" t="s">
        <v>1015</v>
      </c>
      <c r="C3388" s="18" t="s">
        <v>1249</v>
      </c>
      <c r="D3388" s="9"/>
      <c r="E3388" s="9">
        <v>352</v>
      </c>
      <c r="F3388" s="10" t="s">
        <v>1066</v>
      </c>
      <c r="G3388" s="9">
        <v>924</v>
      </c>
      <c r="H3388" s="9">
        <v>2000</v>
      </c>
      <c r="I3388" s="8">
        <v>10.788</v>
      </c>
      <c r="J3388" s="8">
        <v>11.725</v>
      </c>
      <c r="K3388" s="8">
        <v>10.688000000000001</v>
      </c>
      <c r="L3388" s="8">
        <v>11.163</v>
      </c>
      <c r="M3388" s="8">
        <v>10.634</v>
      </c>
      <c r="N3388" s="8">
        <v>10.526999999999999</v>
      </c>
      <c r="O3388" s="8">
        <v>10.195</v>
      </c>
      <c r="P3388" s="8">
        <v>10.691000000000001</v>
      </c>
      <c r="Q3388" s="8">
        <v>10.616</v>
      </c>
      <c r="R3388" s="8">
        <v>9.5519999999999996</v>
      </c>
      <c r="S3388" s="8">
        <v>8.2880000000000003</v>
      </c>
      <c r="T3388" s="8">
        <v>6.07</v>
      </c>
      <c r="U3388" s="8">
        <v>4.7469999999999999</v>
      </c>
      <c r="V3388" s="8">
        <v>4.75</v>
      </c>
      <c r="W3388" s="8">
        <v>4.0279999999999996</v>
      </c>
      <c r="X3388" s="8">
        <v>2.9940000000000002</v>
      </c>
      <c r="Y3388" s="8">
        <v>1.6779999999999999</v>
      </c>
      <c r="Z3388" s="8">
        <v>0.83399999999999996</v>
      </c>
      <c r="AA3388" s="8">
        <v>0.29499999999999998</v>
      </c>
      <c r="AB3388" s="8">
        <v>6.8000000000000005E-2</v>
      </c>
      <c r="AC3388" s="8">
        <v>8.0000000000000002E-3</v>
      </c>
    </row>
    <row r="3389" spans="1:29" ht="11.65" x14ac:dyDescent="0.35">
      <c r="A3389" s="12">
        <v>3372</v>
      </c>
      <c r="B3389" s="10" t="s">
        <v>1015</v>
      </c>
      <c r="C3389" s="18" t="s">
        <v>1249</v>
      </c>
      <c r="D3389" s="9"/>
      <c r="E3389" s="9">
        <v>352</v>
      </c>
      <c r="F3389" s="10" t="s">
        <v>1066</v>
      </c>
      <c r="G3389" s="9">
        <v>924</v>
      </c>
      <c r="H3389" s="9">
        <v>2005</v>
      </c>
      <c r="I3389" s="8">
        <v>10.599</v>
      </c>
      <c r="J3389" s="8">
        <v>10.864000000000001</v>
      </c>
      <c r="K3389" s="8">
        <v>11.955</v>
      </c>
      <c r="L3389" s="8">
        <v>10.847</v>
      </c>
      <c r="M3389" s="8">
        <v>11.138</v>
      </c>
      <c r="N3389" s="8">
        <v>10.532</v>
      </c>
      <c r="O3389" s="8">
        <v>10.627000000000001</v>
      </c>
      <c r="P3389" s="8">
        <v>10.435</v>
      </c>
      <c r="Q3389" s="8">
        <v>10.891999999999999</v>
      </c>
      <c r="R3389" s="8">
        <v>10.641</v>
      </c>
      <c r="S3389" s="8">
        <v>9.5299999999999994</v>
      </c>
      <c r="T3389" s="8">
        <v>8.1880000000000006</v>
      </c>
      <c r="U3389" s="8">
        <v>5.8650000000000002</v>
      </c>
      <c r="V3389" s="8">
        <v>4.5289999999999999</v>
      </c>
      <c r="W3389" s="8">
        <v>4.2969999999999997</v>
      </c>
      <c r="X3389" s="8">
        <v>3.3580000000000001</v>
      </c>
      <c r="Y3389" s="8">
        <v>2.2410000000000001</v>
      </c>
      <c r="Z3389" s="8">
        <v>0.96799999999999997</v>
      </c>
      <c r="AA3389" s="8">
        <v>0.32600000000000001</v>
      </c>
      <c r="AB3389" s="8">
        <v>6.6000000000000003E-2</v>
      </c>
      <c r="AC3389" s="8">
        <v>8.0000000000000002E-3</v>
      </c>
    </row>
    <row r="3390" spans="1:29" ht="11.65" x14ac:dyDescent="0.35">
      <c r="A3390" s="12">
        <v>3373</v>
      </c>
      <c r="B3390" s="10" t="s">
        <v>1015</v>
      </c>
      <c r="C3390" s="18" t="s">
        <v>1249</v>
      </c>
      <c r="D3390" s="9"/>
      <c r="E3390" s="9">
        <v>352</v>
      </c>
      <c r="F3390" s="10" t="s">
        <v>1066</v>
      </c>
      <c r="G3390" s="9">
        <v>924</v>
      </c>
      <c r="H3390" s="9">
        <v>2010</v>
      </c>
      <c r="I3390" s="8">
        <v>12.108000000000001</v>
      </c>
      <c r="J3390" s="8">
        <v>10.85</v>
      </c>
      <c r="K3390" s="8">
        <v>11.045999999999999</v>
      </c>
      <c r="L3390" s="8">
        <v>12.34</v>
      </c>
      <c r="M3390" s="8">
        <v>11.702</v>
      </c>
      <c r="N3390" s="8">
        <v>12.577</v>
      </c>
      <c r="O3390" s="8">
        <v>11.641</v>
      </c>
      <c r="P3390" s="8">
        <v>11.272</v>
      </c>
      <c r="Q3390" s="8">
        <v>10.798999999999999</v>
      </c>
      <c r="R3390" s="8">
        <v>11.204000000000001</v>
      </c>
      <c r="S3390" s="8">
        <v>10.853</v>
      </c>
      <c r="T3390" s="8">
        <v>9.3949999999999996</v>
      </c>
      <c r="U3390" s="8">
        <v>7.94</v>
      </c>
      <c r="V3390" s="8">
        <v>5.524</v>
      </c>
      <c r="W3390" s="8">
        <v>4.1280000000000001</v>
      </c>
      <c r="X3390" s="8">
        <v>3.6680000000000001</v>
      </c>
      <c r="Y3390" s="8">
        <v>2.5630000000000002</v>
      </c>
      <c r="Z3390" s="8">
        <v>1.321</v>
      </c>
      <c r="AA3390" s="8">
        <v>0.376</v>
      </c>
      <c r="AB3390" s="8">
        <v>6.8000000000000005E-2</v>
      </c>
      <c r="AC3390" s="8">
        <v>7.0000000000000001E-3</v>
      </c>
    </row>
    <row r="3391" spans="1:29" ht="11.65" x14ac:dyDescent="0.35">
      <c r="A3391" s="12">
        <v>3374</v>
      </c>
      <c r="B3391" s="10" t="s">
        <v>1015</v>
      </c>
      <c r="C3391" s="18" t="s">
        <v>1249</v>
      </c>
      <c r="D3391" s="9"/>
      <c r="E3391" s="9">
        <v>352</v>
      </c>
      <c r="F3391" s="10" t="s">
        <v>1066</v>
      </c>
      <c r="G3391" s="9">
        <v>924</v>
      </c>
      <c r="H3391" s="9">
        <v>2015</v>
      </c>
      <c r="I3391" s="8">
        <v>11.473000000000001</v>
      </c>
      <c r="J3391" s="8">
        <v>11.968999999999999</v>
      </c>
      <c r="K3391" s="8">
        <v>10.795</v>
      </c>
      <c r="L3391" s="8">
        <v>11.183</v>
      </c>
      <c r="M3391" s="8">
        <v>13.016</v>
      </c>
      <c r="N3391" s="8">
        <v>11.762</v>
      </c>
      <c r="O3391" s="8">
        <v>11.997999999999999</v>
      </c>
      <c r="P3391" s="8">
        <v>10.972</v>
      </c>
      <c r="Q3391" s="8">
        <v>10.747999999999999</v>
      </c>
      <c r="R3391" s="8">
        <v>10.346</v>
      </c>
      <c r="S3391" s="8">
        <v>10.656000000000001</v>
      </c>
      <c r="T3391" s="8">
        <v>10.438000000000001</v>
      </c>
      <c r="U3391" s="8">
        <v>9.0109999999999992</v>
      </c>
      <c r="V3391" s="8">
        <v>7.5780000000000003</v>
      </c>
      <c r="W3391" s="8">
        <v>5.1130000000000004</v>
      </c>
      <c r="X3391" s="8">
        <v>3.6070000000000002</v>
      </c>
      <c r="Y3391" s="8">
        <v>2.806</v>
      </c>
      <c r="Z3391" s="8">
        <v>1.554</v>
      </c>
      <c r="AA3391" s="8">
        <v>0.55800000000000005</v>
      </c>
      <c r="AB3391" s="8">
        <v>9.4E-2</v>
      </c>
      <c r="AC3391" s="8">
        <v>8.0000000000000002E-3</v>
      </c>
    </row>
    <row r="3392" spans="1:29" ht="11.65" x14ac:dyDescent="0.35">
      <c r="A3392" s="12">
        <v>3375</v>
      </c>
      <c r="B3392" s="10" t="s">
        <v>1015</v>
      </c>
      <c r="C3392" s="18" t="s">
        <v>1249</v>
      </c>
      <c r="D3392" s="9"/>
      <c r="E3392" s="9">
        <v>352</v>
      </c>
      <c r="F3392" s="10" t="s">
        <v>1066</v>
      </c>
      <c r="G3392" s="9">
        <v>924</v>
      </c>
      <c r="H3392" s="9">
        <v>2020</v>
      </c>
      <c r="I3392" s="8">
        <v>10.481</v>
      </c>
      <c r="J3392" s="8">
        <v>11.493</v>
      </c>
      <c r="K3392" s="8">
        <v>11.981</v>
      </c>
      <c r="L3392" s="8">
        <v>10.888</v>
      </c>
      <c r="M3392" s="8">
        <v>11.349</v>
      </c>
      <c r="N3392" s="8">
        <v>13.157999999999999</v>
      </c>
      <c r="O3392" s="8">
        <v>11.85</v>
      </c>
      <c r="P3392" s="8">
        <v>12.041</v>
      </c>
      <c r="Q3392" s="8">
        <v>10.981999999999999</v>
      </c>
      <c r="R3392" s="8">
        <v>10.715</v>
      </c>
      <c r="S3392" s="8">
        <v>10.271000000000001</v>
      </c>
      <c r="T3392" s="8">
        <v>10.512</v>
      </c>
      <c r="U3392" s="8">
        <v>10.18</v>
      </c>
      <c r="V3392" s="8">
        <v>8.6039999999999992</v>
      </c>
      <c r="W3392" s="8">
        <v>7.024</v>
      </c>
      <c r="X3392" s="8">
        <v>4.4939999999999998</v>
      </c>
      <c r="Y3392" s="8">
        <v>2.8090000000000002</v>
      </c>
      <c r="Z3392" s="8">
        <v>1.7430000000000001</v>
      </c>
      <c r="AA3392" s="8">
        <v>0.67500000000000004</v>
      </c>
      <c r="AB3392" s="8">
        <v>0.14399999999999999</v>
      </c>
      <c r="AC3392" s="8">
        <v>1.0999999999999999E-2</v>
      </c>
    </row>
    <row r="3393" spans="1:29" ht="11.65" x14ac:dyDescent="0.35">
      <c r="A3393" s="12">
        <v>3376</v>
      </c>
      <c r="B3393" s="10" t="s">
        <v>1015</v>
      </c>
      <c r="C3393" s="18" t="s">
        <v>1250</v>
      </c>
      <c r="D3393" s="9"/>
      <c r="E3393" s="9">
        <v>372</v>
      </c>
      <c r="F3393" s="10" t="s">
        <v>1066</v>
      </c>
      <c r="G3393" s="9">
        <v>924</v>
      </c>
      <c r="H3393" s="9">
        <v>1950</v>
      </c>
      <c r="I3393" s="8">
        <v>158.733</v>
      </c>
      <c r="J3393" s="8">
        <v>138.21899999999999</v>
      </c>
      <c r="K3393" s="8">
        <v>128.74600000000001</v>
      </c>
      <c r="L3393" s="8">
        <v>119.78</v>
      </c>
      <c r="M3393" s="8">
        <v>101.121</v>
      </c>
      <c r="N3393" s="8">
        <v>99.025000000000006</v>
      </c>
      <c r="O3393" s="8">
        <v>95.754999999999995</v>
      </c>
      <c r="P3393" s="8">
        <v>102.9</v>
      </c>
      <c r="Q3393" s="8">
        <v>90.977999999999994</v>
      </c>
      <c r="R3393" s="8">
        <v>84.236000000000004</v>
      </c>
      <c r="S3393" s="8">
        <v>78.903999999999996</v>
      </c>
      <c r="T3393" s="8">
        <v>65.116</v>
      </c>
      <c r="U3393" s="8">
        <v>61.557000000000002</v>
      </c>
      <c r="V3393" s="8">
        <v>55.720999999999997</v>
      </c>
      <c r="W3393" s="8">
        <v>49.268000000000001</v>
      </c>
      <c r="X3393" s="8">
        <v>31.396000000000001</v>
      </c>
      <c r="Y3393" s="8">
        <v>15.010999999999999</v>
      </c>
      <c r="Z3393" s="8">
        <v>4.2060000000000004</v>
      </c>
      <c r="AA3393" s="8">
        <v>0.94199999999999995</v>
      </c>
      <c r="AB3393" s="8">
        <v>0.157</v>
      </c>
      <c r="AC3393" s="8">
        <v>1.4999999999999999E-2</v>
      </c>
    </row>
    <row r="3394" spans="1:29" ht="11.65" x14ac:dyDescent="0.35">
      <c r="A3394" s="12">
        <v>3377</v>
      </c>
      <c r="B3394" s="10" t="s">
        <v>1015</v>
      </c>
      <c r="C3394" s="18" t="s">
        <v>1250</v>
      </c>
      <c r="D3394" s="9"/>
      <c r="E3394" s="9">
        <v>372</v>
      </c>
      <c r="F3394" s="10" t="s">
        <v>1066</v>
      </c>
      <c r="G3394" s="9">
        <v>924</v>
      </c>
      <c r="H3394" s="9">
        <v>1955</v>
      </c>
      <c r="I3394" s="8">
        <v>152.58699999999999</v>
      </c>
      <c r="J3394" s="8">
        <v>152.28299999999999</v>
      </c>
      <c r="K3394" s="8">
        <v>130.15700000000001</v>
      </c>
      <c r="L3394" s="8">
        <v>112.01300000000001</v>
      </c>
      <c r="M3394" s="8">
        <v>98.251000000000005</v>
      </c>
      <c r="N3394" s="8">
        <v>85.013999999999996</v>
      </c>
      <c r="O3394" s="8">
        <v>89.671000000000006</v>
      </c>
      <c r="P3394" s="8">
        <v>89.647000000000006</v>
      </c>
      <c r="Q3394" s="8">
        <v>97.397000000000006</v>
      </c>
      <c r="R3394" s="8">
        <v>85.430999999999997</v>
      </c>
      <c r="S3394" s="8">
        <v>78.042000000000002</v>
      </c>
      <c r="T3394" s="8">
        <v>71.605999999999995</v>
      </c>
      <c r="U3394" s="8">
        <v>58.033000000000001</v>
      </c>
      <c r="V3394" s="8">
        <v>53.57</v>
      </c>
      <c r="W3394" s="8">
        <v>44.1</v>
      </c>
      <c r="X3394" s="8">
        <v>32.453000000000003</v>
      </c>
      <c r="Y3394" s="8">
        <v>16.949000000000002</v>
      </c>
      <c r="Z3394" s="8">
        <v>5.6859999999999999</v>
      </c>
      <c r="AA3394" s="8">
        <v>1.006</v>
      </c>
      <c r="AB3394" s="8">
        <v>0.13700000000000001</v>
      </c>
      <c r="AC3394" s="8">
        <v>1.2999999999999999E-2</v>
      </c>
    </row>
    <row r="3395" spans="1:29" ht="11.65" x14ac:dyDescent="0.35">
      <c r="A3395" s="12">
        <v>3378</v>
      </c>
      <c r="B3395" s="10" t="s">
        <v>1015</v>
      </c>
      <c r="C3395" s="18" t="s">
        <v>1250</v>
      </c>
      <c r="D3395" s="9"/>
      <c r="E3395" s="9">
        <v>372</v>
      </c>
      <c r="F3395" s="10" t="s">
        <v>1066</v>
      </c>
      <c r="G3395" s="9">
        <v>924</v>
      </c>
      <c r="H3395" s="9">
        <v>1960</v>
      </c>
      <c r="I3395" s="8">
        <v>145.56</v>
      </c>
      <c r="J3395" s="8">
        <v>148.215</v>
      </c>
      <c r="K3395" s="8">
        <v>147.41800000000001</v>
      </c>
      <c r="L3395" s="8">
        <v>120.49</v>
      </c>
      <c r="M3395" s="8">
        <v>91.5</v>
      </c>
      <c r="N3395" s="8">
        <v>72.36</v>
      </c>
      <c r="O3395" s="8">
        <v>65.882999999999996</v>
      </c>
      <c r="P3395" s="8">
        <v>78.805000000000007</v>
      </c>
      <c r="Q3395" s="8">
        <v>82.555999999999997</v>
      </c>
      <c r="R3395" s="8">
        <v>90.846999999999994</v>
      </c>
      <c r="S3395" s="8">
        <v>78.45</v>
      </c>
      <c r="T3395" s="8">
        <v>70.19</v>
      </c>
      <c r="U3395" s="8">
        <v>62.204000000000001</v>
      </c>
      <c r="V3395" s="8">
        <v>49.088999999999999</v>
      </c>
      <c r="W3395" s="8">
        <v>43.237000000000002</v>
      </c>
      <c r="X3395" s="8">
        <v>30.228000000000002</v>
      </c>
      <c r="Y3395" s="8">
        <v>18.09</v>
      </c>
      <c r="Z3395" s="8">
        <v>6.532</v>
      </c>
      <c r="AA3395" s="8">
        <v>1.407</v>
      </c>
      <c r="AB3395" s="8">
        <v>0.14599999999999999</v>
      </c>
      <c r="AC3395" s="8">
        <v>1.0999999999999999E-2</v>
      </c>
    </row>
    <row r="3396" spans="1:29" ht="11.65" x14ac:dyDescent="0.35">
      <c r="A3396" s="12">
        <v>3379</v>
      </c>
      <c r="B3396" s="10" t="s">
        <v>1015</v>
      </c>
      <c r="C3396" s="18" t="s">
        <v>1250</v>
      </c>
      <c r="D3396" s="9"/>
      <c r="E3396" s="9">
        <v>372</v>
      </c>
      <c r="F3396" s="10" t="s">
        <v>1066</v>
      </c>
      <c r="G3396" s="9">
        <v>924</v>
      </c>
      <c r="H3396" s="9">
        <v>1965</v>
      </c>
      <c r="I3396" s="8">
        <v>151.91499999999999</v>
      </c>
      <c r="J3396" s="8">
        <v>144.77099999999999</v>
      </c>
      <c r="K3396" s="8">
        <v>147.24</v>
      </c>
      <c r="L3396" s="8">
        <v>137.864</v>
      </c>
      <c r="M3396" s="8">
        <v>101.256</v>
      </c>
      <c r="N3396" s="8">
        <v>77.058000000000007</v>
      </c>
      <c r="O3396" s="8">
        <v>67.382999999999996</v>
      </c>
      <c r="P3396" s="8">
        <v>64.162999999999997</v>
      </c>
      <c r="Q3396" s="8">
        <v>77.117000000000004</v>
      </c>
      <c r="R3396" s="8">
        <v>80.337999999999994</v>
      </c>
      <c r="S3396" s="8">
        <v>86.460999999999999</v>
      </c>
      <c r="T3396" s="8">
        <v>72.09</v>
      </c>
      <c r="U3396" s="8">
        <v>62.436</v>
      </c>
      <c r="V3396" s="8">
        <v>52.838000000000001</v>
      </c>
      <c r="W3396" s="8">
        <v>39.588000000000001</v>
      </c>
      <c r="X3396" s="8">
        <v>29.494</v>
      </c>
      <c r="Y3396" s="8">
        <v>16.661000000000001</v>
      </c>
      <c r="Z3396" s="8">
        <v>7</v>
      </c>
      <c r="AA3396" s="8">
        <v>1.6339999999999999</v>
      </c>
      <c r="AB3396" s="8">
        <v>0.19800000000000001</v>
      </c>
      <c r="AC3396" s="8">
        <v>1.0999999999999999E-2</v>
      </c>
    </row>
    <row r="3397" spans="1:29" ht="11.65" x14ac:dyDescent="0.35">
      <c r="A3397" s="12">
        <v>3380</v>
      </c>
      <c r="B3397" s="10" t="s">
        <v>1015</v>
      </c>
      <c r="C3397" s="18" t="s">
        <v>1250</v>
      </c>
      <c r="D3397" s="9"/>
      <c r="E3397" s="9">
        <v>372</v>
      </c>
      <c r="F3397" s="10" t="s">
        <v>1066</v>
      </c>
      <c r="G3397" s="9">
        <v>924</v>
      </c>
      <c r="H3397" s="9">
        <v>1970</v>
      </c>
      <c r="I3397" s="8">
        <v>155.84700000000001</v>
      </c>
      <c r="J3397" s="8">
        <v>153.72800000000001</v>
      </c>
      <c r="K3397" s="8">
        <v>145.339</v>
      </c>
      <c r="L3397" s="8">
        <v>141.59800000000001</v>
      </c>
      <c r="M3397" s="8">
        <v>121.649</v>
      </c>
      <c r="N3397" s="8">
        <v>86.813000000000002</v>
      </c>
      <c r="O3397" s="8">
        <v>74.063000000000002</v>
      </c>
      <c r="P3397" s="8">
        <v>68.704999999999998</v>
      </c>
      <c r="Q3397" s="8">
        <v>64.730999999999995</v>
      </c>
      <c r="R3397" s="8">
        <v>76.155000000000001</v>
      </c>
      <c r="S3397" s="8">
        <v>77.349000000000004</v>
      </c>
      <c r="T3397" s="8">
        <v>80.462999999999994</v>
      </c>
      <c r="U3397" s="8">
        <v>64.632999999999996</v>
      </c>
      <c r="V3397" s="8">
        <v>53.68</v>
      </c>
      <c r="W3397" s="8">
        <v>42.447000000000003</v>
      </c>
      <c r="X3397" s="8">
        <v>26.849</v>
      </c>
      <c r="Y3397" s="8">
        <v>16.794</v>
      </c>
      <c r="Z3397" s="8">
        <v>6.7039999999999997</v>
      </c>
      <c r="AA3397" s="8">
        <v>1.7430000000000001</v>
      </c>
      <c r="AB3397" s="8">
        <v>0.22500000000000001</v>
      </c>
      <c r="AC3397" s="8">
        <v>1.4E-2</v>
      </c>
    </row>
    <row r="3398" spans="1:29" ht="11.65" x14ac:dyDescent="0.35">
      <c r="A3398" s="12">
        <v>3381</v>
      </c>
      <c r="B3398" s="10" t="s">
        <v>1015</v>
      </c>
      <c r="C3398" s="18" t="s">
        <v>1250</v>
      </c>
      <c r="D3398" s="9"/>
      <c r="E3398" s="9">
        <v>372</v>
      </c>
      <c r="F3398" s="10" t="s">
        <v>1066</v>
      </c>
      <c r="G3398" s="9">
        <v>924</v>
      </c>
      <c r="H3398" s="9">
        <v>1975</v>
      </c>
      <c r="I3398" s="8">
        <v>177.60599999999999</v>
      </c>
      <c r="J3398" s="8">
        <v>159.43600000000001</v>
      </c>
      <c r="K3398" s="8">
        <v>159.34299999999999</v>
      </c>
      <c r="L3398" s="8">
        <v>144.96600000000001</v>
      </c>
      <c r="M3398" s="8">
        <v>135.804</v>
      </c>
      <c r="N3398" s="8">
        <v>119.09</v>
      </c>
      <c r="O3398" s="8">
        <v>90.296000000000006</v>
      </c>
      <c r="P3398" s="8">
        <v>78.876999999999995</v>
      </c>
      <c r="Q3398" s="8">
        <v>71.603999999999999</v>
      </c>
      <c r="R3398" s="8">
        <v>65.537999999999997</v>
      </c>
      <c r="S3398" s="8">
        <v>74.626999999999995</v>
      </c>
      <c r="T3398" s="8">
        <v>72.978999999999999</v>
      </c>
      <c r="U3398" s="8">
        <v>73.39</v>
      </c>
      <c r="V3398" s="8">
        <v>56.512</v>
      </c>
      <c r="W3398" s="8">
        <v>42.756999999999998</v>
      </c>
      <c r="X3398" s="8">
        <v>28.521000000000001</v>
      </c>
      <c r="Y3398" s="8">
        <v>15.14</v>
      </c>
      <c r="Z3398" s="8">
        <v>6.8570000000000002</v>
      </c>
      <c r="AA3398" s="8">
        <v>1.7569999999999999</v>
      </c>
      <c r="AB3398" s="8">
        <v>0.25800000000000001</v>
      </c>
      <c r="AC3398" s="8">
        <v>1.7999999999999999E-2</v>
      </c>
    </row>
    <row r="3399" spans="1:29" ht="11.65" x14ac:dyDescent="0.35">
      <c r="A3399" s="12">
        <v>3382</v>
      </c>
      <c r="B3399" s="10" t="s">
        <v>1015</v>
      </c>
      <c r="C3399" s="18" t="s">
        <v>1250</v>
      </c>
      <c r="D3399" s="9"/>
      <c r="E3399" s="9">
        <v>372</v>
      </c>
      <c r="F3399" s="10" t="s">
        <v>1066</v>
      </c>
      <c r="G3399" s="9">
        <v>924</v>
      </c>
      <c r="H3399" s="9">
        <v>1980</v>
      </c>
      <c r="I3399" s="8">
        <v>184.02500000000001</v>
      </c>
      <c r="J3399" s="8">
        <v>180.16200000000001</v>
      </c>
      <c r="K3399" s="8">
        <v>165.25200000000001</v>
      </c>
      <c r="L3399" s="8">
        <v>162.76</v>
      </c>
      <c r="M3399" s="8">
        <v>141.43199999999999</v>
      </c>
      <c r="N3399" s="8">
        <v>129.91499999999999</v>
      </c>
      <c r="O3399" s="8">
        <v>119.334</v>
      </c>
      <c r="P3399" s="8">
        <v>95.400999999999996</v>
      </c>
      <c r="Q3399" s="8">
        <v>83.078000000000003</v>
      </c>
      <c r="R3399" s="8">
        <v>73.421000000000006</v>
      </c>
      <c r="S3399" s="8">
        <v>64.959999999999994</v>
      </c>
      <c r="T3399" s="8">
        <v>70.864999999999995</v>
      </c>
      <c r="U3399" s="8">
        <v>66.323999999999998</v>
      </c>
      <c r="V3399" s="8">
        <v>63.869</v>
      </c>
      <c r="W3399" s="8">
        <v>45.404000000000003</v>
      </c>
      <c r="X3399" s="8">
        <v>29.297000000000001</v>
      </c>
      <c r="Y3399" s="8">
        <v>15.808</v>
      </c>
      <c r="Z3399" s="8">
        <v>5.9939999999999998</v>
      </c>
      <c r="AA3399" s="8">
        <v>1.8</v>
      </c>
      <c r="AB3399" s="8">
        <v>0.26700000000000002</v>
      </c>
      <c r="AC3399" s="8">
        <v>2.1000000000000001E-2</v>
      </c>
    </row>
    <row r="3400" spans="1:29" ht="11.65" x14ac:dyDescent="0.35">
      <c r="A3400" s="12">
        <v>3383</v>
      </c>
      <c r="B3400" s="10" t="s">
        <v>1015</v>
      </c>
      <c r="C3400" s="18" t="s">
        <v>1250</v>
      </c>
      <c r="D3400" s="9"/>
      <c r="E3400" s="9">
        <v>372</v>
      </c>
      <c r="F3400" s="10" t="s">
        <v>1066</v>
      </c>
      <c r="G3400" s="9">
        <v>924</v>
      </c>
      <c r="H3400" s="9">
        <v>1985</v>
      </c>
      <c r="I3400" s="8">
        <v>176.39</v>
      </c>
      <c r="J3400" s="8">
        <v>182.57</v>
      </c>
      <c r="K3400" s="8">
        <v>180.358</v>
      </c>
      <c r="L3400" s="8">
        <v>162.376</v>
      </c>
      <c r="M3400" s="8">
        <v>148.97</v>
      </c>
      <c r="N3400" s="8">
        <v>126.271</v>
      </c>
      <c r="O3400" s="8">
        <v>124.11</v>
      </c>
      <c r="P3400" s="8">
        <v>117.643</v>
      </c>
      <c r="Q3400" s="8">
        <v>94.099000000000004</v>
      </c>
      <c r="R3400" s="8">
        <v>81.135000000000005</v>
      </c>
      <c r="S3400" s="8">
        <v>70.634</v>
      </c>
      <c r="T3400" s="8">
        <v>60.962000000000003</v>
      </c>
      <c r="U3400" s="8">
        <v>64.451999999999998</v>
      </c>
      <c r="V3400" s="8">
        <v>58.436999999999998</v>
      </c>
      <c r="W3400" s="8">
        <v>51.393999999999998</v>
      </c>
      <c r="X3400" s="8">
        <v>30.800999999999998</v>
      </c>
      <c r="Y3400" s="8">
        <v>16.437999999999999</v>
      </c>
      <c r="Z3400" s="8">
        <v>6.5140000000000002</v>
      </c>
      <c r="AA3400" s="8">
        <v>1.6080000000000001</v>
      </c>
      <c r="AB3400" s="8">
        <v>0.27300000000000002</v>
      </c>
      <c r="AC3400" s="8">
        <v>2.1999999999999999E-2</v>
      </c>
    </row>
    <row r="3401" spans="1:29" ht="11.65" x14ac:dyDescent="0.35">
      <c r="A3401" s="12">
        <v>3384</v>
      </c>
      <c r="B3401" s="10" t="s">
        <v>1015</v>
      </c>
      <c r="C3401" s="18" t="s">
        <v>1250</v>
      </c>
      <c r="D3401" s="9"/>
      <c r="E3401" s="9">
        <v>372</v>
      </c>
      <c r="F3401" s="10" t="s">
        <v>1066</v>
      </c>
      <c r="G3401" s="9">
        <v>924</v>
      </c>
      <c r="H3401" s="9">
        <v>1990</v>
      </c>
      <c r="I3401" s="8">
        <v>143.964</v>
      </c>
      <c r="J3401" s="8">
        <v>173.59200000000001</v>
      </c>
      <c r="K3401" s="8">
        <v>180.501</v>
      </c>
      <c r="L3401" s="8">
        <v>174.982</v>
      </c>
      <c r="M3401" s="8">
        <v>141.94900000000001</v>
      </c>
      <c r="N3401" s="8">
        <v>123.67700000000001</v>
      </c>
      <c r="O3401" s="8">
        <v>113.553</v>
      </c>
      <c r="P3401" s="8">
        <v>119.724</v>
      </c>
      <c r="Q3401" s="8">
        <v>114.79300000000001</v>
      </c>
      <c r="R3401" s="8">
        <v>91.468999999999994</v>
      </c>
      <c r="S3401" s="8">
        <v>78.097999999999999</v>
      </c>
      <c r="T3401" s="8">
        <v>66.936000000000007</v>
      </c>
      <c r="U3401" s="8">
        <v>56.381</v>
      </c>
      <c r="V3401" s="8">
        <v>57.148000000000003</v>
      </c>
      <c r="W3401" s="8">
        <v>47.564999999999998</v>
      </c>
      <c r="X3401" s="8">
        <v>35.829000000000001</v>
      </c>
      <c r="Y3401" s="8">
        <v>17.739000000000001</v>
      </c>
      <c r="Z3401" s="8">
        <v>6.9290000000000003</v>
      </c>
      <c r="AA3401" s="8">
        <v>1.8120000000000001</v>
      </c>
      <c r="AB3401" s="8">
        <v>0.254</v>
      </c>
      <c r="AC3401" s="8">
        <v>2.4E-2</v>
      </c>
    </row>
    <row r="3402" spans="1:29" ht="11.65" x14ac:dyDescent="0.35">
      <c r="A3402" s="12">
        <v>3385</v>
      </c>
      <c r="B3402" s="10" t="s">
        <v>1015</v>
      </c>
      <c r="C3402" s="18" t="s">
        <v>1250</v>
      </c>
      <c r="D3402" s="9"/>
      <c r="E3402" s="9">
        <v>372</v>
      </c>
      <c r="F3402" s="10" t="s">
        <v>1066</v>
      </c>
      <c r="G3402" s="9">
        <v>924</v>
      </c>
      <c r="H3402" s="9">
        <v>1995</v>
      </c>
      <c r="I3402" s="8">
        <v>127.88800000000001</v>
      </c>
      <c r="J3402" s="8">
        <v>145.43100000000001</v>
      </c>
      <c r="K3402" s="8">
        <v>176.14099999999999</v>
      </c>
      <c r="L3402" s="8">
        <v>178.88</v>
      </c>
      <c r="M3402" s="8">
        <v>161.41</v>
      </c>
      <c r="N3402" s="8">
        <v>126.509</v>
      </c>
      <c r="O3402" s="8">
        <v>120.48399999999999</v>
      </c>
      <c r="P3402" s="8">
        <v>115.822</v>
      </c>
      <c r="Q3402" s="8">
        <v>120.819</v>
      </c>
      <c r="R3402" s="8">
        <v>114.846</v>
      </c>
      <c r="S3402" s="8">
        <v>91.010999999999996</v>
      </c>
      <c r="T3402" s="8">
        <v>76.346999999999994</v>
      </c>
      <c r="U3402" s="8">
        <v>63.552999999999997</v>
      </c>
      <c r="V3402" s="8">
        <v>51.651000000000003</v>
      </c>
      <c r="W3402" s="8">
        <v>47.543999999999997</v>
      </c>
      <c r="X3402" s="8">
        <v>34.161999999999999</v>
      </c>
      <c r="Y3402" s="8">
        <v>21.134</v>
      </c>
      <c r="Z3402" s="8">
        <v>7.7039999999999997</v>
      </c>
      <c r="AA3402" s="8">
        <v>2.044</v>
      </c>
      <c r="AB3402" s="8">
        <v>0.313</v>
      </c>
      <c r="AC3402" s="8">
        <v>2.5000000000000001E-2</v>
      </c>
    </row>
    <row r="3403" spans="1:29" ht="11.65" x14ac:dyDescent="0.35">
      <c r="A3403" s="12">
        <v>3386</v>
      </c>
      <c r="B3403" s="10" t="s">
        <v>1015</v>
      </c>
      <c r="C3403" s="18" t="s">
        <v>1250</v>
      </c>
      <c r="D3403" s="9"/>
      <c r="E3403" s="9">
        <v>372</v>
      </c>
      <c r="F3403" s="10" t="s">
        <v>1066</v>
      </c>
      <c r="G3403" s="9">
        <v>924</v>
      </c>
      <c r="H3403" s="9">
        <v>2000</v>
      </c>
      <c r="I3403" s="8">
        <v>134.876</v>
      </c>
      <c r="J3403" s="8">
        <v>131.98099999999999</v>
      </c>
      <c r="K3403" s="8">
        <v>150.58099999999999</v>
      </c>
      <c r="L3403" s="8">
        <v>176.791</v>
      </c>
      <c r="M3403" s="8">
        <v>170.02799999999999</v>
      </c>
      <c r="N3403" s="8">
        <v>153.36699999999999</v>
      </c>
      <c r="O3403" s="8">
        <v>131.816</v>
      </c>
      <c r="P3403" s="8">
        <v>132.238</v>
      </c>
      <c r="Q3403" s="8">
        <v>124.488</v>
      </c>
      <c r="R3403" s="8">
        <v>123.98</v>
      </c>
      <c r="S3403" s="8">
        <v>115.583</v>
      </c>
      <c r="T3403" s="8">
        <v>90.072000000000003</v>
      </c>
      <c r="U3403" s="8">
        <v>73.653000000000006</v>
      </c>
      <c r="V3403" s="8">
        <v>59.311</v>
      </c>
      <c r="W3403" s="8">
        <v>44.072000000000003</v>
      </c>
      <c r="X3403" s="8">
        <v>35.055999999999997</v>
      </c>
      <c r="Y3403" s="8">
        <v>20.646000000000001</v>
      </c>
      <c r="Z3403" s="8">
        <v>9.3369999999999997</v>
      </c>
      <c r="AA3403" s="8">
        <v>2.234</v>
      </c>
      <c r="AB3403" s="8">
        <v>0.33300000000000002</v>
      </c>
      <c r="AC3403" s="8">
        <v>2.8000000000000001E-2</v>
      </c>
    </row>
    <row r="3404" spans="1:29" ht="11.65" x14ac:dyDescent="0.35">
      <c r="A3404" s="12">
        <v>3387</v>
      </c>
      <c r="B3404" s="10" t="s">
        <v>1015</v>
      </c>
      <c r="C3404" s="18" t="s">
        <v>1250</v>
      </c>
      <c r="D3404" s="9"/>
      <c r="E3404" s="9">
        <v>372</v>
      </c>
      <c r="F3404" s="10" t="s">
        <v>1066</v>
      </c>
      <c r="G3404" s="9">
        <v>924</v>
      </c>
      <c r="H3404" s="9">
        <v>2005</v>
      </c>
      <c r="I3404" s="8">
        <v>153.51400000000001</v>
      </c>
      <c r="J3404" s="8">
        <v>137.64699999999999</v>
      </c>
      <c r="K3404" s="8">
        <v>138.23699999999999</v>
      </c>
      <c r="L3404" s="8">
        <v>152.51499999999999</v>
      </c>
      <c r="M3404" s="8">
        <v>177.82599999999999</v>
      </c>
      <c r="N3404" s="8">
        <v>181.953</v>
      </c>
      <c r="O3404" s="8">
        <v>175.13200000000001</v>
      </c>
      <c r="P3404" s="8">
        <v>153.18</v>
      </c>
      <c r="Q3404" s="8">
        <v>146.15899999999999</v>
      </c>
      <c r="R3404" s="8">
        <v>130.43</v>
      </c>
      <c r="S3404" s="8">
        <v>126.482</v>
      </c>
      <c r="T3404" s="8">
        <v>115.03100000000001</v>
      </c>
      <c r="U3404" s="8">
        <v>87.361999999999995</v>
      </c>
      <c r="V3404" s="8">
        <v>68.855999999999995</v>
      </c>
      <c r="W3404" s="8">
        <v>51.81</v>
      </c>
      <c r="X3404" s="8">
        <v>34.354999999999997</v>
      </c>
      <c r="Y3404" s="8">
        <v>23.109000000000002</v>
      </c>
      <c r="Z3404" s="8">
        <v>10.331</v>
      </c>
      <c r="AA3404" s="8">
        <v>2.9630000000000001</v>
      </c>
      <c r="AB3404" s="8">
        <v>0.39300000000000002</v>
      </c>
      <c r="AC3404" s="8">
        <v>0.03</v>
      </c>
    </row>
    <row r="3405" spans="1:29" ht="11.65" x14ac:dyDescent="0.35">
      <c r="A3405" s="12">
        <v>3388</v>
      </c>
      <c r="B3405" s="10" t="s">
        <v>1015</v>
      </c>
      <c r="C3405" s="18" t="s">
        <v>1250</v>
      </c>
      <c r="D3405" s="9"/>
      <c r="E3405" s="9">
        <v>372</v>
      </c>
      <c r="F3405" s="10" t="s">
        <v>1066</v>
      </c>
      <c r="G3405" s="9">
        <v>924</v>
      </c>
      <c r="H3405" s="9">
        <v>2010</v>
      </c>
      <c r="I3405" s="8">
        <v>181.06200000000001</v>
      </c>
      <c r="J3405" s="8">
        <v>158.10400000000001</v>
      </c>
      <c r="K3405" s="8">
        <v>145.88399999999999</v>
      </c>
      <c r="L3405" s="8">
        <v>144.32300000000001</v>
      </c>
      <c r="M3405" s="8">
        <v>158.87</v>
      </c>
      <c r="N3405" s="8">
        <v>187.89599999999999</v>
      </c>
      <c r="O3405" s="8">
        <v>194.56200000000001</v>
      </c>
      <c r="P3405" s="8">
        <v>186.97499999999999</v>
      </c>
      <c r="Q3405" s="8">
        <v>160.624</v>
      </c>
      <c r="R3405" s="8">
        <v>149.33600000000001</v>
      </c>
      <c r="S3405" s="8">
        <v>131.59399999999999</v>
      </c>
      <c r="T3405" s="8">
        <v>124.907</v>
      </c>
      <c r="U3405" s="8">
        <v>110.928</v>
      </c>
      <c r="V3405" s="8">
        <v>82.043999999999997</v>
      </c>
      <c r="W3405" s="8">
        <v>61.777000000000001</v>
      </c>
      <c r="X3405" s="8">
        <v>42.472000000000001</v>
      </c>
      <c r="Y3405" s="8">
        <v>24.318999999999999</v>
      </c>
      <c r="Z3405" s="8">
        <v>12.846</v>
      </c>
      <c r="AA3405" s="8">
        <v>3.7639999999999998</v>
      </c>
      <c r="AB3405" s="8">
        <v>0.61299999999999999</v>
      </c>
      <c r="AC3405" s="8">
        <v>4.2000000000000003E-2</v>
      </c>
    </row>
    <row r="3406" spans="1:29" ht="11.65" x14ac:dyDescent="0.35">
      <c r="A3406" s="12">
        <v>3389</v>
      </c>
      <c r="B3406" s="10" t="s">
        <v>1015</v>
      </c>
      <c r="C3406" s="18" t="s">
        <v>1250</v>
      </c>
      <c r="D3406" s="9"/>
      <c r="E3406" s="9">
        <v>372</v>
      </c>
      <c r="F3406" s="10" t="s">
        <v>1066</v>
      </c>
      <c r="G3406" s="9">
        <v>924</v>
      </c>
      <c r="H3406" s="9">
        <v>2015</v>
      </c>
      <c r="I3406" s="8">
        <v>182.09</v>
      </c>
      <c r="J3406" s="8">
        <v>181.12799999999999</v>
      </c>
      <c r="K3406" s="8">
        <v>156.96899999999999</v>
      </c>
      <c r="L3406" s="8">
        <v>142.53700000000001</v>
      </c>
      <c r="M3406" s="8">
        <v>131.50899999999999</v>
      </c>
      <c r="N3406" s="8">
        <v>142.68199999999999</v>
      </c>
      <c r="O3406" s="8">
        <v>178.38900000000001</v>
      </c>
      <c r="P3406" s="8">
        <v>187.303</v>
      </c>
      <c r="Q3406" s="8">
        <v>179.535</v>
      </c>
      <c r="R3406" s="8">
        <v>155.16900000000001</v>
      </c>
      <c r="S3406" s="8">
        <v>144.50399999999999</v>
      </c>
      <c r="T3406" s="8">
        <v>125.95099999999999</v>
      </c>
      <c r="U3406" s="8">
        <v>118.197</v>
      </c>
      <c r="V3406" s="8">
        <v>102.801</v>
      </c>
      <c r="W3406" s="8">
        <v>72.616</v>
      </c>
      <c r="X3406" s="8">
        <v>50.886000000000003</v>
      </c>
      <c r="Y3406" s="8">
        <v>30.423999999999999</v>
      </c>
      <c r="Z3406" s="8">
        <v>13.747999999999999</v>
      </c>
      <c r="AA3406" s="8">
        <v>5.1440000000000001</v>
      </c>
      <c r="AB3406" s="8">
        <v>0.88800000000000001</v>
      </c>
      <c r="AC3406" s="8">
        <v>7.3999999999999996E-2</v>
      </c>
    </row>
    <row r="3407" spans="1:29" ht="11.65" x14ac:dyDescent="0.35">
      <c r="A3407" s="12">
        <v>3390</v>
      </c>
      <c r="B3407" s="10" t="s">
        <v>1015</v>
      </c>
      <c r="C3407" s="18" t="s">
        <v>1250</v>
      </c>
      <c r="D3407" s="9"/>
      <c r="E3407" s="9">
        <v>372</v>
      </c>
      <c r="F3407" s="10" t="s">
        <v>1066</v>
      </c>
      <c r="G3407" s="9">
        <v>924</v>
      </c>
      <c r="H3407" s="9">
        <v>2020</v>
      </c>
      <c r="I3407" s="8">
        <v>161.56</v>
      </c>
      <c r="J3407" s="8">
        <v>183.869</v>
      </c>
      <c r="K3407" s="8">
        <v>182.05500000000001</v>
      </c>
      <c r="L3407" s="8">
        <v>158.874</v>
      </c>
      <c r="M3407" s="8">
        <v>146.666</v>
      </c>
      <c r="N3407" s="8">
        <v>141.19800000000001</v>
      </c>
      <c r="O3407" s="8">
        <v>154.93100000000001</v>
      </c>
      <c r="P3407" s="8">
        <v>186.92500000000001</v>
      </c>
      <c r="Q3407" s="8">
        <v>192.61</v>
      </c>
      <c r="R3407" s="8">
        <v>181.91900000000001</v>
      </c>
      <c r="S3407" s="8">
        <v>155.399</v>
      </c>
      <c r="T3407" s="8">
        <v>143.13200000000001</v>
      </c>
      <c r="U3407" s="8">
        <v>122.99299999999999</v>
      </c>
      <c r="V3407" s="8">
        <v>113.389</v>
      </c>
      <c r="W3407" s="8">
        <v>95.763999999999996</v>
      </c>
      <c r="X3407" s="8">
        <v>63.883000000000003</v>
      </c>
      <c r="Y3407" s="8">
        <v>39.655999999999999</v>
      </c>
      <c r="Z3407" s="8">
        <v>18.940000000000001</v>
      </c>
      <c r="AA3407" s="8">
        <v>6.0860000000000003</v>
      </c>
      <c r="AB3407" s="8">
        <v>1.3779999999999999</v>
      </c>
      <c r="AC3407" s="8">
        <v>0.122</v>
      </c>
    </row>
    <row r="3408" spans="1:29" ht="11.65" x14ac:dyDescent="0.35">
      <c r="A3408" s="12">
        <v>3391</v>
      </c>
      <c r="B3408" s="10" t="s">
        <v>1015</v>
      </c>
      <c r="C3408" s="18" t="s">
        <v>1251</v>
      </c>
      <c r="D3408" s="9"/>
      <c r="E3408" s="9">
        <v>428</v>
      </c>
      <c r="F3408" s="10" t="s">
        <v>1066</v>
      </c>
      <c r="G3408" s="9">
        <v>924</v>
      </c>
      <c r="H3408" s="9">
        <v>1950</v>
      </c>
      <c r="I3408" s="8">
        <v>76.001000000000005</v>
      </c>
      <c r="J3408" s="8">
        <v>82.06</v>
      </c>
      <c r="K3408" s="8">
        <v>88</v>
      </c>
      <c r="L3408" s="8">
        <v>82.41</v>
      </c>
      <c r="M3408" s="8">
        <v>76.289000000000001</v>
      </c>
      <c r="N3408" s="8">
        <v>53.14</v>
      </c>
      <c r="O3408" s="8">
        <v>38.5</v>
      </c>
      <c r="P3408" s="8">
        <v>55.100999999999999</v>
      </c>
      <c r="Q3408" s="8">
        <v>57.951000000000001</v>
      </c>
      <c r="R3408" s="8">
        <v>53.24</v>
      </c>
      <c r="S3408" s="8">
        <v>35.700000000000003</v>
      </c>
      <c r="T3408" s="8">
        <v>33.29</v>
      </c>
      <c r="U3408" s="8">
        <v>31.87</v>
      </c>
      <c r="V3408" s="8">
        <v>26.279</v>
      </c>
      <c r="W3408" s="8">
        <v>21.443000000000001</v>
      </c>
      <c r="X3408" s="8">
        <v>12.673999999999999</v>
      </c>
      <c r="Y3408" s="8">
        <v>6.4169999999999998</v>
      </c>
      <c r="Z3408" s="8">
        <v>2.4340000000000002</v>
      </c>
      <c r="AA3408" s="8">
        <v>0.57699999999999996</v>
      </c>
      <c r="AB3408" s="8">
        <v>7.3999999999999996E-2</v>
      </c>
      <c r="AC3408" s="8">
        <v>5.0000000000000001E-3</v>
      </c>
    </row>
    <row r="3409" spans="1:29" ht="11.65" x14ac:dyDescent="0.35">
      <c r="A3409" s="12">
        <v>3392</v>
      </c>
      <c r="B3409" s="10" t="s">
        <v>1015</v>
      </c>
      <c r="C3409" s="18" t="s">
        <v>1251</v>
      </c>
      <c r="D3409" s="9"/>
      <c r="E3409" s="9">
        <v>428</v>
      </c>
      <c r="F3409" s="10" t="s">
        <v>1066</v>
      </c>
      <c r="G3409" s="9">
        <v>924</v>
      </c>
      <c r="H3409" s="9">
        <v>1955</v>
      </c>
      <c r="I3409" s="8">
        <v>78.608000000000004</v>
      </c>
      <c r="J3409" s="8">
        <v>74.03</v>
      </c>
      <c r="K3409" s="8">
        <v>81.677999999999997</v>
      </c>
      <c r="L3409" s="8">
        <v>87.674999999999997</v>
      </c>
      <c r="M3409" s="8">
        <v>84.251999999999995</v>
      </c>
      <c r="N3409" s="8">
        <v>77.662000000000006</v>
      </c>
      <c r="O3409" s="8">
        <v>54.192</v>
      </c>
      <c r="P3409" s="8">
        <v>39.130000000000003</v>
      </c>
      <c r="Q3409" s="8">
        <v>54.515999999999998</v>
      </c>
      <c r="R3409" s="8">
        <v>56.3</v>
      </c>
      <c r="S3409" s="8">
        <v>50.616</v>
      </c>
      <c r="T3409" s="8">
        <v>33.231999999999999</v>
      </c>
      <c r="U3409" s="8">
        <v>29.875</v>
      </c>
      <c r="V3409" s="8">
        <v>27.119</v>
      </c>
      <c r="W3409" s="8">
        <v>20.606999999999999</v>
      </c>
      <c r="X3409" s="8">
        <v>14.85</v>
      </c>
      <c r="Y3409" s="8">
        <v>7.3810000000000002</v>
      </c>
      <c r="Z3409" s="8">
        <v>2.798</v>
      </c>
      <c r="AA3409" s="8">
        <v>0.70199999999999996</v>
      </c>
      <c r="AB3409" s="8">
        <v>9.4E-2</v>
      </c>
      <c r="AC3409" s="8">
        <v>7.0000000000000001E-3</v>
      </c>
    </row>
    <row r="3410" spans="1:29" ht="11.65" x14ac:dyDescent="0.35">
      <c r="A3410" s="12">
        <v>3393</v>
      </c>
      <c r="B3410" s="10" t="s">
        <v>1015</v>
      </c>
      <c r="C3410" s="18" t="s">
        <v>1251</v>
      </c>
      <c r="D3410" s="9"/>
      <c r="E3410" s="9">
        <v>428</v>
      </c>
      <c r="F3410" s="10" t="s">
        <v>1066</v>
      </c>
      <c r="G3410" s="9">
        <v>924</v>
      </c>
      <c r="H3410" s="9">
        <v>1960</v>
      </c>
      <c r="I3410" s="8">
        <v>85.667000000000002</v>
      </c>
      <c r="J3410" s="8">
        <v>79.662999999999997</v>
      </c>
      <c r="K3410" s="8">
        <v>74.081999999999994</v>
      </c>
      <c r="L3410" s="8">
        <v>80.36</v>
      </c>
      <c r="M3410" s="8">
        <v>85.927999999999997</v>
      </c>
      <c r="N3410" s="8">
        <v>84.849000000000004</v>
      </c>
      <c r="O3410" s="8">
        <v>79.527000000000001</v>
      </c>
      <c r="P3410" s="8">
        <v>55.223999999999997</v>
      </c>
      <c r="Q3410" s="8">
        <v>40.003999999999998</v>
      </c>
      <c r="R3410" s="8">
        <v>56.478999999999999</v>
      </c>
      <c r="S3410" s="8">
        <v>58.726999999999997</v>
      </c>
      <c r="T3410" s="8">
        <v>51.872999999999998</v>
      </c>
      <c r="U3410" s="8">
        <v>32.926000000000002</v>
      </c>
      <c r="V3410" s="8">
        <v>27.678000000000001</v>
      </c>
      <c r="W3410" s="8">
        <v>20.567</v>
      </c>
      <c r="X3410" s="8">
        <v>14.941000000000001</v>
      </c>
      <c r="Y3410" s="8">
        <v>7.2210000000000001</v>
      </c>
      <c r="Z3410" s="8">
        <v>3.2280000000000002</v>
      </c>
      <c r="AA3410" s="8">
        <v>0.79</v>
      </c>
      <c r="AB3410" s="8">
        <v>0.108</v>
      </c>
      <c r="AC3410" s="8">
        <v>8.0000000000000002E-3</v>
      </c>
    </row>
    <row r="3411" spans="1:29" ht="11.65" x14ac:dyDescent="0.35">
      <c r="A3411" s="12">
        <v>3394</v>
      </c>
      <c r="B3411" s="10" t="s">
        <v>1015</v>
      </c>
      <c r="C3411" s="18" t="s">
        <v>1251</v>
      </c>
      <c r="D3411" s="9"/>
      <c r="E3411" s="9">
        <v>428</v>
      </c>
      <c r="F3411" s="10" t="s">
        <v>1066</v>
      </c>
      <c r="G3411" s="9">
        <v>924</v>
      </c>
      <c r="H3411" s="9">
        <v>1965</v>
      </c>
      <c r="I3411" s="8">
        <v>88.563000000000002</v>
      </c>
      <c r="J3411" s="8">
        <v>87.492999999999995</v>
      </c>
      <c r="K3411" s="8">
        <v>84.064999999999998</v>
      </c>
      <c r="L3411" s="8">
        <v>79.712999999999994</v>
      </c>
      <c r="M3411" s="8">
        <v>85.393000000000001</v>
      </c>
      <c r="N3411" s="8">
        <v>92.403000000000006</v>
      </c>
      <c r="O3411" s="8">
        <v>87.353999999999999</v>
      </c>
      <c r="P3411" s="8">
        <v>82.192999999999998</v>
      </c>
      <c r="Q3411" s="8">
        <v>56.627000000000002</v>
      </c>
      <c r="R3411" s="8">
        <v>40.103000000000002</v>
      </c>
      <c r="S3411" s="8">
        <v>55.189</v>
      </c>
      <c r="T3411" s="8">
        <v>56.281999999999996</v>
      </c>
      <c r="U3411" s="8">
        <v>47.921999999999997</v>
      </c>
      <c r="V3411" s="8">
        <v>28.696999999999999</v>
      </c>
      <c r="W3411" s="8">
        <v>22.468</v>
      </c>
      <c r="X3411" s="8">
        <v>14.271000000000001</v>
      </c>
      <c r="Y3411" s="8">
        <v>8.9169999999999998</v>
      </c>
      <c r="Z3411" s="8">
        <v>3.173</v>
      </c>
      <c r="AA3411" s="8">
        <v>0.91700000000000004</v>
      </c>
      <c r="AB3411" s="8">
        <v>0.123</v>
      </c>
      <c r="AC3411" s="8">
        <v>8.9999999999999993E-3</v>
      </c>
    </row>
    <row r="3412" spans="1:29" ht="11.65" x14ac:dyDescent="0.35">
      <c r="A3412" s="12">
        <v>3395</v>
      </c>
      <c r="B3412" s="10" t="s">
        <v>1015</v>
      </c>
      <c r="C3412" s="18" t="s">
        <v>1251</v>
      </c>
      <c r="D3412" s="9"/>
      <c r="E3412" s="9">
        <v>428</v>
      </c>
      <c r="F3412" s="10" t="s">
        <v>1066</v>
      </c>
      <c r="G3412" s="9">
        <v>924</v>
      </c>
      <c r="H3412" s="9">
        <v>1970</v>
      </c>
      <c r="I3412" s="8">
        <v>82.31</v>
      </c>
      <c r="J3412" s="8">
        <v>90.423000000000002</v>
      </c>
      <c r="K3412" s="8">
        <v>89.6</v>
      </c>
      <c r="L3412" s="8">
        <v>87.804000000000002</v>
      </c>
      <c r="M3412" s="8">
        <v>84.108999999999995</v>
      </c>
      <c r="N3412" s="8">
        <v>88.869</v>
      </c>
      <c r="O3412" s="8">
        <v>98.194000000000003</v>
      </c>
      <c r="P3412" s="8">
        <v>88.902000000000001</v>
      </c>
      <c r="Q3412" s="8">
        <v>83.602000000000004</v>
      </c>
      <c r="R3412" s="8">
        <v>57.231000000000002</v>
      </c>
      <c r="S3412" s="8">
        <v>39.656999999999996</v>
      </c>
      <c r="T3412" s="8">
        <v>52.621000000000002</v>
      </c>
      <c r="U3412" s="8">
        <v>51.722999999999999</v>
      </c>
      <c r="V3412" s="8">
        <v>41.514000000000003</v>
      </c>
      <c r="W3412" s="8">
        <v>22.86</v>
      </c>
      <c r="X3412" s="8">
        <v>15.788</v>
      </c>
      <c r="Y3412" s="8">
        <v>8.5419999999999998</v>
      </c>
      <c r="Z3412" s="8">
        <v>3.9340000000000002</v>
      </c>
      <c r="AA3412" s="8">
        <v>0.95599999999999996</v>
      </c>
      <c r="AB3412" s="8">
        <v>0.17399999999999999</v>
      </c>
      <c r="AC3412" s="8">
        <v>1.4E-2</v>
      </c>
    </row>
    <row r="3413" spans="1:29" ht="11.65" x14ac:dyDescent="0.35">
      <c r="A3413" s="12">
        <v>3396</v>
      </c>
      <c r="B3413" s="10" t="s">
        <v>1015</v>
      </c>
      <c r="C3413" s="18" t="s">
        <v>1251</v>
      </c>
      <c r="D3413" s="9"/>
      <c r="E3413" s="9">
        <v>428</v>
      </c>
      <c r="F3413" s="10" t="s">
        <v>1066</v>
      </c>
      <c r="G3413" s="9">
        <v>924</v>
      </c>
      <c r="H3413" s="9">
        <v>1975</v>
      </c>
      <c r="I3413" s="8">
        <v>91.271000000000001</v>
      </c>
      <c r="J3413" s="8">
        <v>82.834000000000003</v>
      </c>
      <c r="K3413" s="8">
        <v>90.876999999999995</v>
      </c>
      <c r="L3413" s="8">
        <v>96.593999999999994</v>
      </c>
      <c r="M3413" s="8">
        <v>95.841999999999999</v>
      </c>
      <c r="N3413" s="8">
        <v>85.894000000000005</v>
      </c>
      <c r="O3413" s="8">
        <v>88.007000000000005</v>
      </c>
      <c r="P3413" s="8">
        <v>96.733000000000004</v>
      </c>
      <c r="Q3413" s="8">
        <v>85.747</v>
      </c>
      <c r="R3413" s="8">
        <v>80.262</v>
      </c>
      <c r="S3413" s="8">
        <v>53.871000000000002</v>
      </c>
      <c r="T3413" s="8">
        <v>36.372999999999998</v>
      </c>
      <c r="U3413" s="8">
        <v>47.034999999999997</v>
      </c>
      <c r="V3413" s="8">
        <v>43.481000000000002</v>
      </c>
      <c r="W3413" s="8">
        <v>32.326999999999998</v>
      </c>
      <c r="X3413" s="8">
        <v>15.56</v>
      </c>
      <c r="Y3413" s="8">
        <v>9.3659999999999997</v>
      </c>
      <c r="Z3413" s="8">
        <v>3.7469999999999999</v>
      </c>
      <c r="AA3413" s="8">
        <v>1.167</v>
      </c>
      <c r="AB3413" s="8">
        <v>0.17799999999999999</v>
      </c>
      <c r="AC3413" s="8">
        <v>0.02</v>
      </c>
    </row>
    <row r="3414" spans="1:29" ht="11.65" x14ac:dyDescent="0.35">
      <c r="A3414" s="12">
        <v>3397</v>
      </c>
      <c r="B3414" s="10" t="s">
        <v>1015</v>
      </c>
      <c r="C3414" s="18" t="s">
        <v>1251</v>
      </c>
      <c r="D3414" s="9"/>
      <c r="E3414" s="9">
        <v>428</v>
      </c>
      <c r="F3414" s="10" t="s">
        <v>1066</v>
      </c>
      <c r="G3414" s="9">
        <v>924</v>
      </c>
      <c r="H3414" s="9">
        <v>1980</v>
      </c>
      <c r="I3414" s="8">
        <v>88.019000000000005</v>
      </c>
      <c r="J3414" s="8">
        <v>91.037999999999997</v>
      </c>
      <c r="K3414" s="8">
        <v>82.534000000000006</v>
      </c>
      <c r="L3414" s="8">
        <v>96.828999999999994</v>
      </c>
      <c r="M3414" s="8">
        <v>102.66800000000001</v>
      </c>
      <c r="N3414" s="8">
        <v>94.382000000000005</v>
      </c>
      <c r="O3414" s="8">
        <v>82.727999999999994</v>
      </c>
      <c r="P3414" s="8">
        <v>84.521000000000001</v>
      </c>
      <c r="Q3414" s="8">
        <v>92.918000000000006</v>
      </c>
      <c r="R3414" s="8">
        <v>81.813000000000002</v>
      </c>
      <c r="S3414" s="8">
        <v>75.450999999999993</v>
      </c>
      <c r="T3414" s="8">
        <v>49.249000000000002</v>
      </c>
      <c r="U3414" s="8">
        <v>31.895</v>
      </c>
      <c r="V3414" s="8">
        <v>39.139000000000003</v>
      </c>
      <c r="W3414" s="8">
        <v>33.104999999999997</v>
      </c>
      <c r="X3414" s="8">
        <v>21.553000000000001</v>
      </c>
      <c r="Y3414" s="8">
        <v>8.7970000000000006</v>
      </c>
      <c r="Z3414" s="8">
        <v>3.9369999999999998</v>
      </c>
      <c r="AA3414" s="8">
        <v>1.107</v>
      </c>
      <c r="AB3414" s="8">
        <v>0.22700000000000001</v>
      </c>
      <c r="AC3414" s="8">
        <v>2.3E-2</v>
      </c>
    </row>
    <row r="3415" spans="1:29" ht="11.65" x14ac:dyDescent="0.35">
      <c r="A3415" s="12">
        <v>3398</v>
      </c>
      <c r="B3415" s="10" t="s">
        <v>1015</v>
      </c>
      <c r="C3415" s="18" t="s">
        <v>1251</v>
      </c>
      <c r="D3415" s="9"/>
      <c r="E3415" s="9">
        <v>428</v>
      </c>
      <c r="F3415" s="10" t="s">
        <v>1066</v>
      </c>
      <c r="G3415" s="9">
        <v>924</v>
      </c>
      <c r="H3415" s="9">
        <v>1985</v>
      </c>
      <c r="I3415" s="8">
        <v>98.864999999999995</v>
      </c>
      <c r="J3415" s="8">
        <v>88.503</v>
      </c>
      <c r="K3415" s="8">
        <v>92.587000000000003</v>
      </c>
      <c r="L3415" s="8">
        <v>87.555000000000007</v>
      </c>
      <c r="M3415" s="8">
        <v>99.311999999999998</v>
      </c>
      <c r="N3415" s="8">
        <v>101.494</v>
      </c>
      <c r="O3415" s="8">
        <v>91.798000000000002</v>
      </c>
      <c r="P3415" s="8">
        <v>79.599999999999994</v>
      </c>
      <c r="Q3415" s="8">
        <v>80.253</v>
      </c>
      <c r="R3415" s="8">
        <v>88.022000000000006</v>
      </c>
      <c r="S3415" s="8">
        <v>75.947000000000003</v>
      </c>
      <c r="T3415" s="8">
        <v>68.731999999999999</v>
      </c>
      <c r="U3415" s="8">
        <v>43.753</v>
      </c>
      <c r="V3415" s="8">
        <v>26.356000000000002</v>
      </c>
      <c r="W3415" s="8">
        <v>29.87</v>
      </c>
      <c r="X3415" s="8">
        <v>22.003</v>
      </c>
      <c r="Y3415" s="8">
        <v>12.016999999999999</v>
      </c>
      <c r="Z3415" s="8">
        <v>3.81</v>
      </c>
      <c r="AA3415" s="8">
        <v>1.206</v>
      </c>
      <c r="AB3415" s="8">
        <v>0.222</v>
      </c>
      <c r="AC3415" s="8">
        <v>2.9000000000000001E-2</v>
      </c>
    </row>
    <row r="3416" spans="1:29" ht="11.65" x14ac:dyDescent="0.35">
      <c r="A3416" s="12">
        <v>3399</v>
      </c>
      <c r="B3416" s="10" t="s">
        <v>1015</v>
      </c>
      <c r="C3416" s="18" t="s">
        <v>1251</v>
      </c>
      <c r="D3416" s="9"/>
      <c r="E3416" s="9">
        <v>428</v>
      </c>
      <c r="F3416" s="10" t="s">
        <v>1066</v>
      </c>
      <c r="G3416" s="9">
        <v>924</v>
      </c>
      <c r="H3416" s="9">
        <v>1990</v>
      </c>
      <c r="I3416" s="8">
        <v>105.05500000000001</v>
      </c>
      <c r="J3416" s="8">
        <v>99.225999999999999</v>
      </c>
      <c r="K3416" s="8">
        <v>87.29</v>
      </c>
      <c r="L3416" s="8">
        <v>94.531999999999996</v>
      </c>
      <c r="M3416" s="8">
        <v>93.575999999999993</v>
      </c>
      <c r="N3416" s="8">
        <v>103.124</v>
      </c>
      <c r="O3416" s="8">
        <v>102.068</v>
      </c>
      <c r="P3416" s="8">
        <v>91.209000000000003</v>
      </c>
      <c r="Q3416" s="8">
        <v>78.152000000000001</v>
      </c>
      <c r="R3416" s="8">
        <v>77.588999999999999</v>
      </c>
      <c r="S3416" s="8">
        <v>83.221999999999994</v>
      </c>
      <c r="T3416" s="8">
        <v>69.781000000000006</v>
      </c>
      <c r="U3416" s="8">
        <v>60.768999999999998</v>
      </c>
      <c r="V3416" s="8">
        <v>36.552</v>
      </c>
      <c r="W3416" s="8">
        <v>20.209</v>
      </c>
      <c r="X3416" s="8">
        <v>20.216999999999999</v>
      </c>
      <c r="Y3416" s="8">
        <v>12.396000000000001</v>
      </c>
      <c r="Z3416" s="8">
        <v>5.101</v>
      </c>
      <c r="AA3416" s="8">
        <v>1.111</v>
      </c>
      <c r="AB3416" s="8">
        <v>0.22600000000000001</v>
      </c>
      <c r="AC3416" s="8">
        <v>2.7E-2</v>
      </c>
    </row>
    <row r="3417" spans="1:29" ht="11.65" x14ac:dyDescent="0.35">
      <c r="A3417" s="12">
        <v>3400</v>
      </c>
      <c r="B3417" s="10" t="s">
        <v>1015</v>
      </c>
      <c r="C3417" s="18" t="s">
        <v>1251</v>
      </c>
      <c r="D3417" s="9"/>
      <c r="E3417" s="9">
        <v>428</v>
      </c>
      <c r="F3417" s="10" t="s">
        <v>1066</v>
      </c>
      <c r="G3417" s="9">
        <v>924</v>
      </c>
      <c r="H3417" s="9">
        <v>1995</v>
      </c>
      <c r="I3417" s="8">
        <v>73.016999999999996</v>
      </c>
      <c r="J3417" s="8">
        <v>98.774000000000001</v>
      </c>
      <c r="K3417" s="8">
        <v>93.613</v>
      </c>
      <c r="L3417" s="8">
        <v>82.98</v>
      </c>
      <c r="M3417" s="8">
        <v>89.406000000000006</v>
      </c>
      <c r="N3417" s="8">
        <v>87.010999999999996</v>
      </c>
      <c r="O3417" s="8">
        <v>88.061999999999998</v>
      </c>
      <c r="P3417" s="8">
        <v>87.866</v>
      </c>
      <c r="Q3417" s="8">
        <v>79.272999999999996</v>
      </c>
      <c r="R3417" s="8">
        <v>68.676000000000002</v>
      </c>
      <c r="S3417" s="8">
        <v>69.600999999999999</v>
      </c>
      <c r="T3417" s="8">
        <v>72.590999999999994</v>
      </c>
      <c r="U3417" s="8">
        <v>58.829000000000001</v>
      </c>
      <c r="V3417" s="8">
        <v>48.173000000000002</v>
      </c>
      <c r="W3417" s="8">
        <v>26.748000000000001</v>
      </c>
      <c r="X3417" s="8">
        <v>13.128</v>
      </c>
      <c r="Y3417" s="8">
        <v>11.041</v>
      </c>
      <c r="Z3417" s="8">
        <v>5.2450000000000001</v>
      </c>
      <c r="AA3417" s="8">
        <v>1.478</v>
      </c>
      <c r="AB3417" s="8">
        <v>0.19900000000000001</v>
      </c>
      <c r="AC3417" s="8">
        <v>2.5000000000000001E-2</v>
      </c>
    </row>
    <row r="3418" spans="1:29" ht="11.65" x14ac:dyDescent="0.35">
      <c r="A3418" s="12">
        <v>3401</v>
      </c>
      <c r="B3418" s="10" t="s">
        <v>1015</v>
      </c>
      <c r="C3418" s="18" t="s">
        <v>1251</v>
      </c>
      <c r="D3418" s="9"/>
      <c r="E3418" s="9">
        <v>428</v>
      </c>
      <c r="F3418" s="10" t="s">
        <v>1066</v>
      </c>
      <c r="G3418" s="9">
        <v>924</v>
      </c>
      <c r="H3418" s="9">
        <v>2000</v>
      </c>
      <c r="I3418" s="8">
        <v>49.786999999999999</v>
      </c>
      <c r="J3418" s="8">
        <v>72.658000000000001</v>
      </c>
      <c r="K3418" s="8">
        <v>95.51</v>
      </c>
      <c r="L3418" s="8">
        <v>91.088999999999999</v>
      </c>
      <c r="M3418" s="8">
        <v>81.325000000000003</v>
      </c>
      <c r="N3418" s="8">
        <v>83.484999999999999</v>
      </c>
      <c r="O3418" s="8">
        <v>78.950999999999993</v>
      </c>
      <c r="P3418" s="8">
        <v>85.760999999999996</v>
      </c>
      <c r="Q3418" s="8">
        <v>84.384</v>
      </c>
      <c r="R3418" s="8">
        <v>73.543999999999997</v>
      </c>
      <c r="S3418" s="8">
        <v>63.017000000000003</v>
      </c>
      <c r="T3418" s="8">
        <v>61.539000000000001</v>
      </c>
      <c r="U3418" s="8">
        <v>61.283999999999999</v>
      </c>
      <c r="V3418" s="8">
        <v>46.747999999999998</v>
      </c>
      <c r="W3418" s="8">
        <v>35.442999999999998</v>
      </c>
      <c r="X3418" s="8">
        <v>17.254999999999999</v>
      </c>
      <c r="Y3418" s="8">
        <v>7.0910000000000002</v>
      </c>
      <c r="Z3418" s="8">
        <v>4.8659999999999997</v>
      </c>
      <c r="AA3418" s="8">
        <v>1.5509999999999999</v>
      </c>
      <c r="AB3418" s="8">
        <v>0.26100000000000001</v>
      </c>
      <c r="AC3418" s="8">
        <v>2.1000000000000001E-2</v>
      </c>
    </row>
    <row r="3419" spans="1:29" ht="11.65" x14ac:dyDescent="0.35">
      <c r="A3419" s="12">
        <v>3402</v>
      </c>
      <c r="B3419" s="10" t="s">
        <v>1015</v>
      </c>
      <c r="C3419" s="18" t="s">
        <v>1251</v>
      </c>
      <c r="D3419" s="9"/>
      <c r="E3419" s="9">
        <v>428</v>
      </c>
      <c r="F3419" s="10" t="s">
        <v>1066</v>
      </c>
      <c r="G3419" s="9">
        <v>924</v>
      </c>
      <c r="H3419" s="9">
        <v>2005</v>
      </c>
      <c r="I3419" s="8">
        <v>51.545999999999999</v>
      </c>
      <c r="J3419" s="8">
        <v>47.344999999999999</v>
      </c>
      <c r="K3419" s="8">
        <v>70.058000000000007</v>
      </c>
      <c r="L3419" s="8">
        <v>93.057000000000002</v>
      </c>
      <c r="M3419" s="8">
        <v>86.881</v>
      </c>
      <c r="N3419" s="8">
        <v>76.599999999999994</v>
      </c>
      <c r="O3419" s="8">
        <v>78.459999999999994</v>
      </c>
      <c r="P3419" s="8">
        <v>73.870999999999995</v>
      </c>
      <c r="Q3419" s="8">
        <v>79.915999999999997</v>
      </c>
      <c r="R3419" s="8">
        <v>77.784999999999997</v>
      </c>
      <c r="S3419" s="8">
        <v>66.233000000000004</v>
      </c>
      <c r="T3419" s="8">
        <v>55.16</v>
      </c>
      <c r="U3419" s="8">
        <v>52.441000000000003</v>
      </c>
      <c r="V3419" s="8">
        <v>49.316000000000003</v>
      </c>
      <c r="W3419" s="8">
        <v>34.835000000000001</v>
      </c>
      <c r="X3419" s="8">
        <v>24.126999999999999</v>
      </c>
      <c r="Y3419" s="8">
        <v>9.8989999999999991</v>
      </c>
      <c r="Z3419" s="8">
        <v>3.1869999999999998</v>
      </c>
      <c r="AA3419" s="8">
        <v>1.478</v>
      </c>
      <c r="AB3419" s="8">
        <v>0.27700000000000002</v>
      </c>
      <c r="AC3419" s="8">
        <v>2.7E-2</v>
      </c>
    </row>
    <row r="3420" spans="1:29" ht="11.65" x14ac:dyDescent="0.35">
      <c r="A3420" s="12">
        <v>3403</v>
      </c>
      <c r="B3420" s="10" t="s">
        <v>1015</v>
      </c>
      <c r="C3420" s="18" t="s">
        <v>1251</v>
      </c>
      <c r="D3420" s="9"/>
      <c r="E3420" s="9">
        <v>428</v>
      </c>
      <c r="F3420" s="10" t="s">
        <v>1066</v>
      </c>
      <c r="G3420" s="9">
        <v>924</v>
      </c>
      <c r="H3420" s="9">
        <v>2010</v>
      </c>
      <c r="I3420" s="8">
        <v>57.308</v>
      </c>
      <c r="J3420" s="8">
        <v>50.029000000000003</v>
      </c>
      <c r="K3420" s="8">
        <v>45.441000000000003</v>
      </c>
      <c r="L3420" s="8">
        <v>67.301000000000002</v>
      </c>
      <c r="M3420" s="8">
        <v>84.218000000000004</v>
      </c>
      <c r="N3420" s="8">
        <v>78.084999999999994</v>
      </c>
      <c r="O3420" s="8">
        <v>70.11</v>
      </c>
      <c r="P3420" s="8">
        <v>73.165999999999997</v>
      </c>
      <c r="Q3420" s="8">
        <v>68.673000000000002</v>
      </c>
      <c r="R3420" s="8">
        <v>74.132000000000005</v>
      </c>
      <c r="S3420" s="8">
        <v>71.070999999999998</v>
      </c>
      <c r="T3420" s="8">
        <v>58.66</v>
      </c>
      <c r="U3420" s="8">
        <v>47.392000000000003</v>
      </c>
      <c r="V3420" s="8">
        <v>43.02</v>
      </c>
      <c r="W3420" s="8">
        <v>38.04</v>
      </c>
      <c r="X3420" s="8">
        <v>23.84</v>
      </c>
      <c r="Y3420" s="8">
        <v>13.978</v>
      </c>
      <c r="Z3420" s="8">
        <v>4.4859999999999998</v>
      </c>
      <c r="AA3420" s="8">
        <v>1</v>
      </c>
      <c r="AB3420" s="8">
        <v>0.28299999999999997</v>
      </c>
      <c r="AC3420" s="8">
        <v>3.2000000000000001E-2</v>
      </c>
    </row>
    <row r="3421" spans="1:29" ht="11.65" x14ac:dyDescent="0.35">
      <c r="A3421" s="12">
        <v>3404</v>
      </c>
      <c r="B3421" s="10" t="s">
        <v>1015</v>
      </c>
      <c r="C3421" s="18" t="s">
        <v>1251</v>
      </c>
      <c r="D3421" s="9"/>
      <c r="E3421" s="9">
        <v>428</v>
      </c>
      <c r="F3421" s="10" t="s">
        <v>1066</v>
      </c>
      <c r="G3421" s="9">
        <v>924</v>
      </c>
      <c r="H3421" s="9">
        <v>2015</v>
      </c>
      <c r="I3421" s="8">
        <v>51.936</v>
      </c>
      <c r="J3421" s="8">
        <v>54.531999999999996</v>
      </c>
      <c r="K3421" s="8">
        <v>48.072000000000003</v>
      </c>
      <c r="L3421" s="8">
        <v>44.948</v>
      </c>
      <c r="M3421" s="8">
        <v>63.85</v>
      </c>
      <c r="N3421" s="8">
        <v>75.058999999999997</v>
      </c>
      <c r="O3421" s="8">
        <v>70.186000000000007</v>
      </c>
      <c r="P3421" s="8">
        <v>64.777000000000001</v>
      </c>
      <c r="Q3421" s="8">
        <v>67.671999999999997</v>
      </c>
      <c r="R3421" s="8">
        <v>64.117000000000004</v>
      </c>
      <c r="S3421" s="8">
        <v>68.412999999999997</v>
      </c>
      <c r="T3421" s="8">
        <v>63.962000000000003</v>
      </c>
      <c r="U3421" s="8">
        <v>51.640999999999998</v>
      </c>
      <c r="V3421" s="8">
        <v>40.088000000000001</v>
      </c>
      <c r="W3421" s="8">
        <v>33.966000000000001</v>
      </c>
      <c r="X3421" s="8">
        <v>27.672999999999998</v>
      </c>
      <c r="Y3421" s="8">
        <v>15.266</v>
      </c>
      <c r="Z3421" s="8">
        <v>7.2519999999999998</v>
      </c>
      <c r="AA3421" s="8">
        <v>1.94</v>
      </c>
      <c r="AB3421" s="8">
        <v>0.32200000000000001</v>
      </c>
      <c r="AC3421" s="8">
        <v>5.5E-2</v>
      </c>
    </row>
    <row r="3422" spans="1:29" ht="11.65" x14ac:dyDescent="0.35">
      <c r="A3422" s="12">
        <v>3405</v>
      </c>
      <c r="B3422" s="10" t="s">
        <v>1015</v>
      </c>
      <c r="C3422" s="18" t="s">
        <v>1251</v>
      </c>
      <c r="D3422" s="9"/>
      <c r="E3422" s="9">
        <v>428</v>
      </c>
      <c r="F3422" s="10" t="s">
        <v>1066</v>
      </c>
      <c r="G3422" s="9">
        <v>924</v>
      </c>
      <c r="H3422" s="9">
        <v>2020</v>
      </c>
      <c r="I3422" s="8">
        <v>59.441000000000003</v>
      </c>
      <c r="J3422" s="8">
        <v>48.731000000000002</v>
      </c>
      <c r="K3422" s="8">
        <v>52.557000000000002</v>
      </c>
      <c r="L3422" s="8">
        <v>43.84</v>
      </c>
      <c r="M3422" s="8">
        <v>36.158999999999999</v>
      </c>
      <c r="N3422" s="8">
        <v>61.295000000000002</v>
      </c>
      <c r="O3422" s="8">
        <v>72.748999999999995</v>
      </c>
      <c r="P3422" s="8">
        <v>61.417000000000002</v>
      </c>
      <c r="Q3422" s="8">
        <v>59.619</v>
      </c>
      <c r="R3422" s="8">
        <v>64.626999999999995</v>
      </c>
      <c r="S3422" s="8">
        <v>56.624000000000002</v>
      </c>
      <c r="T3422" s="8">
        <v>66.488</v>
      </c>
      <c r="U3422" s="8">
        <v>56.716000000000001</v>
      </c>
      <c r="V3422" s="8">
        <v>47.762999999999998</v>
      </c>
      <c r="W3422" s="8">
        <v>26.832999999999998</v>
      </c>
      <c r="X3422" s="8">
        <v>27.573</v>
      </c>
      <c r="Y3422" s="8">
        <v>14.438000000000001</v>
      </c>
      <c r="Z3422" s="8">
        <v>8.3350000000000009</v>
      </c>
      <c r="AA3422" s="8">
        <v>3.3719999999999999</v>
      </c>
      <c r="AB3422" s="8">
        <v>0.68</v>
      </c>
      <c r="AC3422" s="8">
        <v>7.9000000000000001E-2</v>
      </c>
    </row>
    <row r="3423" spans="1:29" ht="11.65" x14ac:dyDescent="0.35">
      <c r="A3423" s="12">
        <v>3406</v>
      </c>
      <c r="B3423" s="10" t="s">
        <v>1015</v>
      </c>
      <c r="C3423" s="18" t="s">
        <v>1252</v>
      </c>
      <c r="D3423" s="9"/>
      <c r="E3423" s="9">
        <v>440</v>
      </c>
      <c r="F3423" s="10" t="s">
        <v>1066</v>
      </c>
      <c r="G3423" s="9">
        <v>924</v>
      </c>
      <c r="H3423" s="9">
        <v>1950</v>
      </c>
      <c r="I3423" s="8">
        <v>111.566</v>
      </c>
      <c r="J3423" s="8">
        <v>115.621</v>
      </c>
      <c r="K3423" s="8">
        <v>119.77500000000001</v>
      </c>
      <c r="L3423" s="8">
        <v>117.401</v>
      </c>
      <c r="M3423" s="8">
        <v>105.631</v>
      </c>
      <c r="N3423" s="8">
        <v>80.013999999999996</v>
      </c>
      <c r="O3423" s="8">
        <v>51.728000000000002</v>
      </c>
      <c r="P3423" s="8">
        <v>61.322000000000003</v>
      </c>
      <c r="Q3423" s="8">
        <v>90.992999999999995</v>
      </c>
      <c r="R3423" s="8">
        <v>71.707999999999998</v>
      </c>
      <c r="S3423" s="8">
        <v>54.101999999999997</v>
      </c>
      <c r="T3423" s="8">
        <v>50.838000000000001</v>
      </c>
      <c r="U3423" s="8">
        <v>38.969000000000001</v>
      </c>
      <c r="V3423" s="8">
        <v>32.64</v>
      </c>
      <c r="W3423" s="8">
        <v>26.010999999999999</v>
      </c>
      <c r="X3423" s="8">
        <v>17.11</v>
      </c>
      <c r="Y3423" s="8">
        <v>8.5120000000000005</v>
      </c>
      <c r="Z3423" s="8">
        <v>3.2010000000000001</v>
      </c>
      <c r="AA3423" s="8">
        <v>0.751</v>
      </c>
      <c r="AB3423" s="8">
        <v>9.6000000000000002E-2</v>
      </c>
      <c r="AC3423" s="8">
        <v>6.0000000000000001E-3</v>
      </c>
    </row>
    <row r="3424" spans="1:29" ht="11.65" x14ac:dyDescent="0.35">
      <c r="A3424" s="12">
        <v>3407</v>
      </c>
      <c r="B3424" s="10" t="s">
        <v>1015</v>
      </c>
      <c r="C3424" s="18" t="s">
        <v>1252</v>
      </c>
      <c r="D3424" s="9"/>
      <c r="E3424" s="9">
        <v>440</v>
      </c>
      <c r="F3424" s="10" t="s">
        <v>1066</v>
      </c>
      <c r="G3424" s="9">
        <v>924</v>
      </c>
      <c r="H3424" s="9">
        <v>1955</v>
      </c>
      <c r="I3424" s="8">
        <v>132.55000000000001</v>
      </c>
      <c r="J3424" s="8">
        <v>106.919</v>
      </c>
      <c r="K3424" s="8">
        <v>112.121</v>
      </c>
      <c r="L3424" s="8">
        <v>116.119</v>
      </c>
      <c r="M3424" s="8">
        <v>113.32299999999999</v>
      </c>
      <c r="N3424" s="8">
        <v>101.72</v>
      </c>
      <c r="O3424" s="8">
        <v>76.915999999999997</v>
      </c>
      <c r="P3424" s="8">
        <v>49.41</v>
      </c>
      <c r="Q3424" s="8">
        <v>58.311</v>
      </c>
      <c r="R3424" s="8">
        <v>86.117000000000004</v>
      </c>
      <c r="S3424" s="8">
        <v>66.613</v>
      </c>
      <c r="T3424" s="8">
        <v>49.11</v>
      </c>
      <c r="U3424" s="8">
        <v>44.408999999999999</v>
      </c>
      <c r="V3424" s="8">
        <v>32.106000000000002</v>
      </c>
      <c r="W3424" s="8">
        <v>24.605</v>
      </c>
      <c r="X3424" s="8">
        <v>17.103000000000002</v>
      </c>
      <c r="Y3424" s="8">
        <v>6.8129999999999997</v>
      </c>
      <c r="Z3424" s="8">
        <v>4.1790000000000003</v>
      </c>
      <c r="AA3424" s="8">
        <v>1.206</v>
      </c>
      <c r="AB3424" s="8">
        <v>0.191</v>
      </c>
      <c r="AC3424" s="8">
        <v>1.4E-2</v>
      </c>
    </row>
    <row r="3425" spans="1:29" ht="11.65" x14ac:dyDescent="0.35">
      <c r="A3425" s="12">
        <v>3408</v>
      </c>
      <c r="B3425" s="10" t="s">
        <v>1015</v>
      </c>
      <c r="C3425" s="18" t="s">
        <v>1252</v>
      </c>
      <c r="D3425" s="9"/>
      <c r="E3425" s="9">
        <v>440</v>
      </c>
      <c r="F3425" s="10" t="s">
        <v>1066</v>
      </c>
      <c r="G3425" s="9">
        <v>924</v>
      </c>
      <c r="H3425" s="9">
        <v>1960</v>
      </c>
      <c r="I3425" s="8">
        <v>140.53399999999999</v>
      </c>
      <c r="J3425" s="8">
        <v>125.08</v>
      </c>
      <c r="K3425" s="8">
        <v>115.69</v>
      </c>
      <c r="L3425" s="8">
        <v>116.005</v>
      </c>
      <c r="M3425" s="8">
        <v>110.687</v>
      </c>
      <c r="N3425" s="8">
        <v>112.128</v>
      </c>
      <c r="O3425" s="8">
        <v>103.31699999999999</v>
      </c>
      <c r="P3425" s="8">
        <v>76.825000000000003</v>
      </c>
      <c r="Q3425" s="8">
        <v>51.015000000000001</v>
      </c>
      <c r="R3425" s="8">
        <v>56.335999999999999</v>
      </c>
      <c r="S3425" s="8">
        <v>80.305000000000007</v>
      </c>
      <c r="T3425" s="8">
        <v>61.822000000000003</v>
      </c>
      <c r="U3425" s="8">
        <v>45.920999999999999</v>
      </c>
      <c r="V3425" s="8">
        <v>37.01</v>
      </c>
      <c r="W3425" s="8">
        <v>21.013999999999999</v>
      </c>
      <c r="X3425" s="8">
        <v>13.132</v>
      </c>
      <c r="Y3425" s="8">
        <v>4.859</v>
      </c>
      <c r="Z3425" s="8">
        <v>3.355</v>
      </c>
      <c r="AA3425" s="8">
        <v>1.5469999999999999</v>
      </c>
      <c r="AB3425" s="8">
        <v>0.29799999999999999</v>
      </c>
      <c r="AC3425" s="8">
        <v>2.7E-2</v>
      </c>
    </row>
    <row r="3426" spans="1:29" ht="11.65" x14ac:dyDescent="0.35">
      <c r="A3426" s="12">
        <v>3409</v>
      </c>
      <c r="B3426" s="10" t="s">
        <v>1015</v>
      </c>
      <c r="C3426" s="18" t="s">
        <v>1252</v>
      </c>
      <c r="D3426" s="9"/>
      <c r="E3426" s="9">
        <v>440</v>
      </c>
      <c r="F3426" s="10" t="s">
        <v>1066</v>
      </c>
      <c r="G3426" s="9">
        <v>924</v>
      </c>
      <c r="H3426" s="9">
        <v>1965</v>
      </c>
      <c r="I3426" s="8">
        <v>146.15299999999999</v>
      </c>
      <c r="J3426" s="8">
        <v>142.87700000000001</v>
      </c>
      <c r="K3426" s="8">
        <v>123.577</v>
      </c>
      <c r="L3426" s="8">
        <v>111.85299999999999</v>
      </c>
      <c r="M3426" s="8">
        <v>113.759</v>
      </c>
      <c r="N3426" s="8">
        <v>113.19499999999999</v>
      </c>
      <c r="O3426" s="8">
        <v>112.453</v>
      </c>
      <c r="P3426" s="8">
        <v>103.526</v>
      </c>
      <c r="Q3426" s="8">
        <v>76.706000000000003</v>
      </c>
      <c r="R3426" s="8">
        <v>50.16</v>
      </c>
      <c r="S3426" s="8">
        <v>54.677</v>
      </c>
      <c r="T3426" s="8">
        <v>76.754000000000005</v>
      </c>
      <c r="U3426" s="8">
        <v>57.548000000000002</v>
      </c>
      <c r="V3426" s="8">
        <v>40.081000000000003</v>
      </c>
      <c r="W3426" s="8">
        <v>30.024999999999999</v>
      </c>
      <c r="X3426" s="8">
        <v>15.528</v>
      </c>
      <c r="Y3426" s="8">
        <v>8.89</v>
      </c>
      <c r="Z3426" s="8">
        <v>2.4089999999999998</v>
      </c>
      <c r="AA3426" s="8">
        <v>1.2470000000000001</v>
      </c>
      <c r="AB3426" s="8">
        <v>0.41399999999999998</v>
      </c>
      <c r="AC3426" s="8">
        <v>5.3999999999999999E-2</v>
      </c>
    </row>
    <row r="3427" spans="1:29" ht="11.65" x14ac:dyDescent="0.35">
      <c r="A3427" s="12">
        <v>3410</v>
      </c>
      <c r="B3427" s="10" t="s">
        <v>1015</v>
      </c>
      <c r="C3427" s="18" t="s">
        <v>1252</v>
      </c>
      <c r="D3427" s="9"/>
      <c r="E3427" s="9">
        <v>440</v>
      </c>
      <c r="F3427" s="10" t="s">
        <v>1066</v>
      </c>
      <c r="G3427" s="9">
        <v>924</v>
      </c>
      <c r="H3427" s="9">
        <v>1970</v>
      </c>
      <c r="I3427" s="8">
        <v>136.268</v>
      </c>
      <c r="J3427" s="8">
        <v>149.011</v>
      </c>
      <c r="K3427" s="8">
        <v>145.691</v>
      </c>
      <c r="L3427" s="8">
        <v>122.255</v>
      </c>
      <c r="M3427" s="8">
        <v>108.379</v>
      </c>
      <c r="N3427" s="8">
        <v>111.398</v>
      </c>
      <c r="O3427" s="8">
        <v>115.065</v>
      </c>
      <c r="P3427" s="8">
        <v>112.16800000000001</v>
      </c>
      <c r="Q3427" s="8">
        <v>103.075</v>
      </c>
      <c r="R3427" s="8">
        <v>75.754000000000005</v>
      </c>
      <c r="S3427" s="8">
        <v>48.646999999999998</v>
      </c>
      <c r="T3427" s="8">
        <v>52.070999999999998</v>
      </c>
      <c r="U3427" s="8">
        <v>70.822000000000003</v>
      </c>
      <c r="V3427" s="8">
        <v>50.82</v>
      </c>
      <c r="W3427" s="8">
        <v>32.420999999999999</v>
      </c>
      <c r="X3427" s="8">
        <v>21.555</v>
      </c>
      <c r="Y3427" s="8">
        <v>9.9260000000000002</v>
      </c>
      <c r="Z3427" s="8">
        <v>4.5910000000000002</v>
      </c>
      <c r="AA3427" s="8">
        <v>0.93899999999999995</v>
      </c>
      <c r="AB3427" s="8">
        <v>0.34399999999999997</v>
      </c>
      <c r="AC3427" s="8">
        <v>7.9000000000000001E-2</v>
      </c>
    </row>
    <row r="3428" spans="1:29" ht="11.65" x14ac:dyDescent="0.35">
      <c r="A3428" s="12">
        <v>3411</v>
      </c>
      <c r="B3428" s="10" t="s">
        <v>1015</v>
      </c>
      <c r="C3428" s="18" t="s">
        <v>1252</v>
      </c>
      <c r="D3428" s="9"/>
      <c r="E3428" s="9">
        <v>440</v>
      </c>
      <c r="F3428" s="10" t="s">
        <v>1066</v>
      </c>
      <c r="G3428" s="9">
        <v>924</v>
      </c>
      <c r="H3428" s="9">
        <v>1975</v>
      </c>
      <c r="I3428" s="8">
        <v>135.15199999999999</v>
      </c>
      <c r="J3428" s="8">
        <v>136.93299999999999</v>
      </c>
      <c r="K3428" s="8">
        <v>148.66</v>
      </c>
      <c r="L3428" s="8">
        <v>147.22399999999999</v>
      </c>
      <c r="M3428" s="8">
        <v>123.646</v>
      </c>
      <c r="N3428" s="8">
        <v>111.42</v>
      </c>
      <c r="O3428" s="8">
        <v>111.559</v>
      </c>
      <c r="P3428" s="8">
        <v>114.279</v>
      </c>
      <c r="Q3428" s="8">
        <v>109.92</v>
      </c>
      <c r="R3428" s="8">
        <v>99.688999999999993</v>
      </c>
      <c r="S3428" s="8">
        <v>72.805000000000007</v>
      </c>
      <c r="T3428" s="8">
        <v>46.085999999999999</v>
      </c>
      <c r="U3428" s="8">
        <v>48.691000000000003</v>
      </c>
      <c r="V3428" s="8">
        <v>60.658999999999999</v>
      </c>
      <c r="W3428" s="8">
        <v>40.86</v>
      </c>
      <c r="X3428" s="8">
        <v>23.303999999999998</v>
      </c>
      <c r="Y3428" s="8">
        <v>14.378</v>
      </c>
      <c r="Z3428" s="8">
        <v>5.1890000000000001</v>
      </c>
      <c r="AA3428" s="8">
        <v>1.85</v>
      </c>
      <c r="AB3428" s="8">
        <v>0.27500000000000002</v>
      </c>
      <c r="AC3428" s="8">
        <v>7.8E-2</v>
      </c>
    </row>
    <row r="3429" spans="1:29" ht="11.65" x14ac:dyDescent="0.35">
      <c r="A3429" s="12">
        <v>3412</v>
      </c>
      <c r="B3429" s="10" t="s">
        <v>1015</v>
      </c>
      <c r="C3429" s="18" t="s">
        <v>1252</v>
      </c>
      <c r="D3429" s="9"/>
      <c r="E3429" s="9">
        <v>440</v>
      </c>
      <c r="F3429" s="10" t="s">
        <v>1066</v>
      </c>
      <c r="G3429" s="9">
        <v>924</v>
      </c>
      <c r="H3429" s="9">
        <v>1980</v>
      </c>
      <c r="I3429" s="8">
        <v>130.92699999999999</v>
      </c>
      <c r="J3429" s="8">
        <v>137.06399999999999</v>
      </c>
      <c r="K3429" s="8">
        <v>138.49299999999999</v>
      </c>
      <c r="L3429" s="8">
        <v>149.36699999999999</v>
      </c>
      <c r="M3429" s="8">
        <v>147.65899999999999</v>
      </c>
      <c r="N3429" s="8">
        <v>124.098</v>
      </c>
      <c r="O3429" s="8">
        <v>112.69499999999999</v>
      </c>
      <c r="P3429" s="8">
        <v>110.53400000000001</v>
      </c>
      <c r="Q3429" s="8">
        <v>111.887</v>
      </c>
      <c r="R3429" s="8">
        <v>106.10299999999999</v>
      </c>
      <c r="S3429" s="8">
        <v>94.668000000000006</v>
      </c>
      <c r="T3429" s="8">
        <v>68.173000000000002</v>
      </c>
      <c r="U3429" s="8">
        <v>41.807000000000002</v>
      </c>
      <c r="V3429" s="8">
        <v>42.802</v>
      </c>
      <c r="W3429" s="8">
        <v>48.088999999999999</v>
      </c>
      <c r="X3429" s="8">
        <v>29.074999999999999</v>
      </c>
      <c r="Y3429" s="8">
        <v>13.721</v>
      </c>
      <c r="Z3429" s="8">
        <v>7.2530000000000001</v>
      </c>
      <c r="AA3429" s="8">
        <v>2.1040000000000001</v>
      </c>
      <c r="AB3429" s="8">
        <v>0.57699999999999996</v>
      </c>
      <c r="AC3429" s="8">
        <v>7.4999999999999997E-2</v>
      </c>
    </row>
    <row r="3430" spans="1:29" ht="11.65" x14ac:dyDescent="0.35">
      <c r="A3430" s="12">
        <v>3413</v>
      </c>
      <c r="B3430" s="10" t="s">
        <v>1015</v>
      </c>
      <c r="C3430" s="18" t="s">
        <v>1252</v>
      </c>
      <c r="D3430" s="9"/>
      <c r="E3430" s="9">
        <v>440</v>
      </c>
      <c r="F3430" s="10" t="s">
        <v>1066</v>
      </c>
      <c r="G3430" s="9">
        <v>924</v>
      </c>
      <c r="H3430" s="9">
        <v>1985</v>
      </c>
      <c r="I3430" s="8">
        <v>140.916</v>
      </c>
      <c r="J3430" s="8">
        <v>133.07400000000001</v>
      </c>
      <c r="K3430" s="8">
        <v>139.18199999999999</v>
      </c>
      <c r="L3430" s="8">
        <v>141.40899999999999</v>
      </c>
      <c r="M3430" s="8">
        <v>152.47499999999999</v>
      </c>
      <c r="N3430" s="8">
        <v>147</v>
      </c>
      <c r="O3430" s="8">
        <v>123.08</v>
      </c>
      <c r="P3430" s="8">
        <v>110.127</v>
      </c>
      <c r="Q3430" s="8">
        <v>107.212</v>
      </c>
      <c r="R3430" s="8">
        <v>106.77800000000001</v>
      </c>
      <c r="S3430" s="8">
        <v>99.873000000000005</v>
      </c>
      <c r="T3430" s="8">
        <v>87.703000000000003</v>
      </c>
      <c r="U3430" s="8">
        <v>61.71</v>
      </c>
      <c r="V3430" s="8">
        <v>35.595999999999997</v>
      </c>
      <c r="W3430" s="8">
        <v>34.020000000000003</v>
      </c>
      <c r="X3430" s="8">
        <v>34.478999999999999</v>
      </c>
      <c r="Y3430" s="8">
        <v>17.228999999999999</v>
      </c>
      <c r="Z3430" s="8">
        <v>6.6589999999999998</v>
      </c>
      <c r="AA3430" s="8">
        <v>2.7919999999999998</v>
      </c>
      <c r="AB3430" s="8">
        <v>0.60699999999999998</v>
      </c>
      <c r="AC3430" s="8">
        <v>0.126</v>
      </c>
    </row>
    <row r="3431" spans="1:29" ht="11.65" x14ac:dyDescent="0.35">
      <c r="A3431" s="12">
        <v>3414</v>
      </c>
      <c r="B3431" s="10" t="s">
        <v>1015</v>
      </c>
      <c r="C3431" s="18" t="s">
        <v>1252</v>
      </c>
      <c r="D3431" s="9"/>
      <c r="E3431" s="9">
        <v>440</v>
      </c>
      <c r="F3431" s="10" t="s">
        <v>1066</v>
      </c>
      <c r="G3431" s="9">
        <v>924</v>
      </c>
      <c r="H3431" s="9">
        <v>1990</v>
      </c>
      <c r="I3431" s="8">
        <v>147.66900000000001</v>
      </c>
      <c r="J3431" s="8">
        <v>142.82300000000001</v>
      </c>
      <c r="K3431" s="8">
        <v>133.80099999999999</v>
      </c>
      <c r="L3431" s="8">
        <v>140.441</v>
      </c>
      <c r="M3431" s="8">
        <v>143.816</v>
      </c>
      <c r="N3431" s="8">
        <v>154.464</v>
      </c>
      <c r="O3431" s="8">
        <v>145.56100000000001</v>
      </c>
      <c r="P3431" s="8">
        <v>120.85599999999999</v>
      </c>
      <c r="Q3431" s="8">
        <v>106.661</v>
      </c>
      <c r="R3431" s="8">
        <v>102.89100000000001</v>
      </c>
      <c r="S3431" s="8">
        <v>100.758</v>
      </c>
      <c r="T3431" s="8">
        <v>92.233000000000004</v>
      </c>
      <c r="U3431" s="8">
        <v>78.790000000000006</v>
      </c>
      <c r="V3431" s="8">
        <v>53.192</v>
      </c>
      <c r="W3431" s="8">
        <v>28.297999999999998</v>
      </c>
      <c r="X3431" s="8">
        <v>24.329000000000001</v>
      </c>
      <c r="Y3431" s="8">
        <v>21.154</v>
      </c>
      <c r="Z3431" s="8">
        <v>8.1170000000000009</v>
      </c>
      <c r="AA3431" s="8">
        <v>2.294</v>
      </c>
      <c r="AB3431" s="8">
        <v>0.69</v>
      </c>
      <c r="AC3431" s="8">
        <v>0.114</v>
      </c>
    </row>
    <row r="3432" spans="1:29" ht="11.65" x14ac:dyDescent="0.35">
      <c r="A3432" s="12">
        <v>3415</v>
      </c>
      <c r="B3432" s="10" t="s">
        <v>1015</v>
      </c>
      <c r="C3432" s="18" t="s">
        <v>1252</v>
      </c>
      <c r="D3432" s="9"/>
      <c r="E3432" s="9">
        <v>440</v>
      </c>
      <c r="F3432" s="10" t="s">
        <v>1066</v>
      </c>
      <c r="G3432" s="9">
        <v>924</v>
      </c>
      <c r="H3432" s="9">
        <v>1995</v>
      </c>
      <c r="I3432" s="8">
        <v>123.55800000000001</v>
      </c>
      <c r="J3432" s="8">
        <v>141.93700000000001</v>
      </c>
      <c r="K3432" s="8">
        <v>137.06899999999999</v>
      </c>
      <c r="L3432" s="8">
        <v>128.66300000000001</v>
      </c>
      <c r="M3432" s="8">
        <v>135.78100000000001</v>
      </c>
      <c r="N3432" s="8">
        <v>138.38999999999999</v>
      </c>
      <c r="O3432" s="8">
        <v>145.93299999999999</v>
      </c>
      <c r="P3432" s="8">
        <v>135.30500000000001</v>
      </c>
      <c r="Q3432" s="8">
        <v>110.842</v>
      </c>
      <c r="R3432" s="8">
        <v>97.24</v>
      </c>
      <c r="S3432" s="8">
        <v>93.159000000000006</v>
      </c>
      <c r="T3432" s="8">
        <v>89.171000000000006</v>
      </c>
      <c r="U3432" s="8">
        <v>79.304000000000002</v>
      </c>
      <c r="V3432" s="8">
        <v>64.647000000000006</v>
      </c>
      <c r="W3432" s="8">
        <v>40.97</v>
      </c>
      <c r="X3432" s="8">
        <v>19.63</v>
      </c>
      <c r="Y3432" s="8">
        <v>13.993</v>
      </c>
      <c r="Z3432" s="8">
        <v>9.8520000000000003</v>
      </c>
      <c r="AA3432" s="8">
        <v>2.7410000000000001</v>
      </c>
      <c r="AB3432" s="8">
        <v>0.52800000000000002</v>
      </c>
      <c r="AC3432" s="8">
        <v>0.113</v>
      </c>
    </row>
    <row r="3433" spans="1:29" ht="11.65" x14ac:dyDescent="0.35">
      <c r="A3433" s="12">
        <v>3416</v>
      </c>
      <c r="B3433" s="10" t="s">
        <v>1015</v>
      </c>
      <c r="C3433" s="18" t="s">
        <v>1252</v>
      </c>
      <c r="D3433" s="9"/>
      <c r="E3433" s="9">
        <v>440</v>
      </c>
      <c r="F3433" s="10" t="s">
        <v>1066</v>
      </c>
      <c r="G3433" s="9">
        <v>924</v>
      </c>
      <c r="H3433" s="9">
        <v>2000</v>
      </c>
      <c r="I3433" s="8">
        <v>93.96</v>
      </c>
      <c r="J3433" s="8">
        <v>123.93600000000001</v>
      </c>
      <c r="K3433" s="8">
        <v>141.07599999999999</v>
      </c>
      <c r="L3433" s="8">
        <v>133.18100000000001</v>
      </c>
      <c r="M3433" s="8">
        <v>117.63200000000001</v>
      </c>
      <c r="N3433" s="8">
        <v>124.214</v>
      </c>
      <c r="O3433" s="8">
        <v>127.018</v>
      </c>
      <c r="P3433" s="8">
        <v>138.38499999999999</v>
      </c>
      <c r="Q3433" s="8">
        <v>123.961</v>
      </c>
      <c r="R3433" s="8">
        <v>102.32299999999999</v>
      </c>
      <c r="S3433" s="8">
        <v>86.408000000000001</v>
      </c>
      <c r="T3433" s="8">
        <v>82.495000000000005</v>
      </c>
      <c r="U3433" s="8">
        <v>77.802999999999997</v>
      </c>
      <c r="V3433" s="8">
        <v>66.067999999999998</v>
      </c>
      <c r="W3433" s="8">
        <v>50.103999999999999</v>
      </c>
      <c r="X3433" s="8">
        <v>28.920999999999999</v>
      </c>
      <c r="Y3433" s="8">
        <v>13.222</v>
      </c>
      <c r="Z3433" s="8">
        <v>5.3520000000000003</v>
      </c>
      <c r="AA3433" s="8">
        <v>2.4489999999999998</v>
      </c>
      <c r="AB3433" s="8">
        <v>0.42</v>
      </c>
      <c r="AC3433" s="8">
        <v>5.7000000000000002E-2</v>
      </c>
    </row>
    <row r="3434" spans="1:29" ht="11.65" x14ac:dyDescent="0.35">
      <c r="A3434" s="12">
        <v>3417</v>
      </c>
      <c r="B3434" s="10" t="s">
        <v>1015</v>
      </c>
      <c r="C3434" s="18" t="s">
        <v>1252</v>
      </c>
      <c r="D3434" s="9"/>
      <c r="E3434" s="9">
        <v>440</v>
      </c>
      <c r="F3434" s="10" t="s">
        <v>1066</v>
      </c>
      <c r="G3434" s="9">
        <v>924</v>
      </c>
      <c r="H3434" s="9">
        <v>2005</v>
      </c>
      <c r="I3434" s="8">
        <v>75.721000000000004</v>
      </c>
      <c r="J3434" s="8">
        <v>91.542000000000002</v>
      </c>
      <c r="K3434" s="8">
        <v>120.437</v>
      </c>
      <c r="L3434" s="8">
        <v>131.483</v>
      </c>
      <c r="M3434" s="8">
        <v>121.43300000000001</v>
      </c>
      <c r="N3434" s="8">
        <v>107.45099999999999</v>
      </c>
      <c r="O3434" s="8">
        <v>114.95099999999999</v>
      </c>
      <c r="P3434" s="8">
        <v>117.613</v>
      </c>
      <c r="Q3434" s="8">
        <v>129.12899999999999</v>
      </c>
      <c r="R3434" s="8">
        <v>116.96899999999999</v>
      </c>
      <c r="S3434" s="8">
        <v>94.236000000000004</v>
      </c>
      <c r="T3434" s="8">
        <v>78.168999999999997</v>
      </c>
      <c r="U3434" s="8">
        <v>72.811000000000007</v>
      </c>
      <c r="V3434" s="8">
        <v>67.399000000000001</v>
      </c>
      <c r="W3434" s="8">
        <v>53.895000000000003</v>
      </c>
      <c r="X3434" s="8">
        <v>35.680999999999997</v>
      </c>
      <c r="Y3434" s="8">
        <v>17.596</v>
      </c>
      <c r="Z3434" s="8">
        <v>5.2320000000000002</v>
      </c>
      <c r="AA3434" s="8">
        <v>1.385</v>
      </c>
      <c r="AB3434" s="8">
        <v>0.39600000000000002</v>
      </c>
      <c r="AC3434" s="8">
        <v>4.3999999999999997E-2</v>
      </c>
    </row>
    <row r="3435" spans="1:29" ht="11.65" x14ac:dyDescent="0.35">
      <c r="A3435" s="12">
        <v>3418</v>
      </c>
      <c r="B3435" s="10" t="s">
        <v>1015</v>
      </c>
      <c r="C3435" s="18" t="s">
        <v>1252</v>
      </c>
      <c r="D3435" s="9"/>
      <c r="E3435" s="9">
        <v>440</v>
      </c>
      <c r="F3435" s="10" t="s">
        <v>1066</v>
      </c>
      <c r="G3435" s="9">
        <v>924</v>
      </c>
      <c r="H3435" s="9">
        <v>2010</v>
      </c>
      <c r="I3435" s="8">
        <v>75.423000000000002</v>
      </c>
      <c r="J3435" s="8">
        <v>72.168999999999997</v>
      </c>
      <c r="K3435" s="8">
        <v>88.984999999999999</v>
      </c>
      <c r="L3435" s="8">
        <v>115.714</v>
      </c>
      <c r="M3435" s="8">
        <v>115.821</v>
      </c>
      <c r="N3435" s="8">
        <v>103.932</v>
      </c>
      <c r="O3435" s="8">
        <v>98.424000000000007</v>
      </c>
      <c r="P3435" s="8">
        <v>105.17700000000001</v>
      </c>
      <c r="Q3435" s="8">
        <v>107.872</v>
      </c>
      <c r="R3435" s="8">
        <v>118.40600000000001</v>
      </c>
      <c r="S3435" s="8">
        <v>106.542</v>
      </c>
      <c r="T3435" s="8">
        <v>83.376000000000005</v>
      </c>
      <c r="U3435" s="8">
        <v>67.373999999999995</v>
      </c>
      <c r="V3435" s="8">
        <v>59.945999999999998</v>
      </c>
      <c r="W3435" s="8">
        <v>53.255000000000003</v>
      </c>
      <c r="X3435" s="8">
        <v>36.734000000000002</v>
      </c>
      <c r="Y3435" s="8">
        <v>20.152999999999999</v>
      </c>
      <c r="Z3435" s="8">
        <v>6.9939999999999998</v>
      </c>
      <c r="AA3435" s="8">
        <v>1.385</v>
      </c>
      <c r="AB3435" s="8">
        <v>0.23</v>
      </c>
      <c r="AC3435" s="8">
        <v>4.2000000000000003E-2</v>
      </c>
    </row>
    <row r="3436" spans="1:29" ht="11.65" x14ac:dyDescent="0.35">
      <c r="A3436" s="12">
        <v>3419</v>
      </c>
      <c r="B3436" s="10" t="s">
        <v>1015</v>
      </c>
      <c r="C3436" s="18" t="s">
        <v>1252</v>
      </c>
      <c r="D3436" s="9"/>
      <c r="E3436" s="9">
        <v>440</v>
      </c>
      <c r="F3436" s="10" t="s">
        <v>1066</v>
      </c>
      <c r="G3436" s="9">
        <v>924</v>
      </c>
      <c r="H3436" s="9">
        <v>2015</v>
      </c>
      <c r="I3436" s="8">
        <v>77.581999999999994</v>
      </c>
      <c r="J3436" s="8">
        <v>70.944999999999993</v>
      </c>
      <c r="K3436" s="8">
        <v>70.590999999999994</v>
      </c>
      <c r="L3436" s="8">
        <v>87.144999999999996</v>
      </c>
      <c r="M3436" s="8">
        <v>106.64700000000001</v>
      </c>
      <c r="N3436" s="8">
        <v>100.40900000000001</v>
      </c>
      <c r="O3436" s="8">
        <v>90.441000000000003</v>
      </c>
      <c r="P3436" s="8">
        <v>88.472999999999999</v>
      </c>
      <c r="Q3436" s="8">
        <v>96.694000000000003</v>
      </c>
      <c r="R3436" s="8">
        <v>99.629000000000005</v>
      </c>
      <c r="S3436" s="8">
        <v>108.367</v>
      </c>
      <c r="T3436" s="8">
        <v>96.694000000000003</v>
      </c>
      <c r="U3436" s="8">
        <v>73.400999999999996</v>
      </c>
      <c r="V3436" s="8">
        <v>56.85</v>
      </c>
      <c r="W3436" s="8">
        <v>48.110999999999997</v>
      </c>
      <c r="X3436" s="8">
        <v>40.537999999999997</v>
      </c>
      <c r="Y3436" s="8">
        <v>24.347000000000001</v>
      </c>
      <c r="Z3436" s="8">
        <v>10.359</v>
      </c>
      <c r="AA3436" s="8">
        <v>2.5830000000000002</v>
      </c>
      <c r="AB3436" s="8">
        <v>0.30199999999999999</v>
      </c>
      <c r="AC3436" s="8">
        <v>2.9000000000000001E-2</v>
      </c>
    </row>
    <row r="3437" spans="1:29" ht="11.65" x14ac:dyDescent="0.35">
      <c r="A3437" s="12">
        <v>3420</v>
      </c>
      <c r="B3437" s="10" t="s">
        <v>1015</v>
      </c>
      <c r="C3437" s="18" t="s">
        <v>1252</v>
      </c>
      <c r="D3437" s="9"/>
      <c r="E3437" s="9">
        <v>440</v>
      </c>
      <c r="F3437" s="10" t="s">
        <v>1066</v>
      </c>
      <c r="G3437" s="9">
        <v>924</v>
      </c>
      <c r="H3437" s="9">
        <v>2020</v>
      </c>
      <c r="I3437" s="8">
        <v>74.742000000000004</v>
      </c>
      <c r="J3437" s="8">
        <v>80.143000000000001</v>
      </c>
      <c r="K3437" s="8">
        <v>61.526000000000003</v>
      </c>
      <c r="L3437" s="8">
        <v>63.045999999999999</v>
      </c>
      <c r="M3437" s="8">
        <v>68.453000000000003</v>
      </c>
      <c r="N3437" s="8">
        <v>95.966999999999999</v>
      </c>
      <c r="O3437" s="8">
        <v>96.832999999999998</v>
      </c>
      <c r="P3437" s="8">
        <v>78.183999999999997</v>
      </c>
      <c r="Q3437" s="8">
        <v>80.126999999999995</v>
      </c>
      <c r="R3437" s="8">
        <v>94.174000000000007</v>
      </c>
      <c r="S3437" s="8">
        <v>88.016000000000005</v>
      </c>
      <c r="T3437" s="8">
        <v>107.70699999999999</v>
      </c>
      <c r="U3437" s="8">
        <v>81.13</v>
      </c>
      <c r="V3437" s="8">
        <v>66.247</v>
      </c>
      <c r="W3437" s="8">
        <v>38.600999999999999</v>
      </c>
      <c r="X3437" s="8">
        <v>37.18</v>
      </c>
      <c r="Y3437" s="8">
        <v>28.004999999999999</v>
      </c>
      <c r="Z3437" s="8">
        <v>13.723000000000001</v>
      </c>
      <c r="AA3437" s="8">
        <v>5.0780000000000003</v>
      </c>
      <c r="AB3437" s="8">
        <v>1.0149999999999999</v>
      </c>
      <c r="AC3437" s="8">
        <v>0.09</v>
      </c>
    </row>
    <row r="3438" spans="1:29" ht="11.65" x14ac:dyDescent="0.35">
      <c r="A3438" s="12">
        <v>3421</v>
      </c>
      <c r="B3438" s="10" t="s">
        <v>1015</v>
      </c>
      <c r="C3438" s="18" t="s">
        <v>1253</v>
      </c>
      <c r="D3438" s="9">
        <v>23</v>
      </c>
      <c r="E3438" s="9">
        <v>578</v>
      </c>
      <c r="F3438" s="10" t="s">
        <v>1066</v>
      </c>
      <c r="G3438" s="9">
        <v>924</v>
      </c>
      <c r="H3438" s="9">
        <v>1950</v>
      </c>
      <c r="I3438" s="8">
        <v>164.54400000000001</v>
      </c>
      <c r="J3438" s="8">
        <v>134.01599999999999</v>
      </c>
      <c r="K3438" s="8">
        <v>107.036</v>
      </c>
      <c r="L3438" s="8">
        <v>105.589</v>
      </c>
      <c r="M3438" s="8">
        <v>118.502</v>
      </c>
      <c r="N3438" s="8">
        <v>135.47200000000001</v>
      </c>
      <c r="O3438" s="8">
        <v>130.04400000000001</v>
      </c>
      <c r="P3438" s="8">
        <v>125.997</v>
      </c>
      <c r="Q3438" s="8">
        <v>114.84</v>
      </c>
      <c r="R3438" s="8">
        <v>104.849</v>
      </c>
      <c r="S3438" s="8">
        <v>95.581999999999994</v>
      </c>
      <c r="T3438" s="8">
        <v>79.227999999999994</v>
      </c>
      <c r="U3438" s="8">
        <v>63.046999999999997</v>
      </c>
      <c r="V3438" s="8">
        <v>49.161000000000001</v>
      </c>
      <c r="W3438" s="8">
        <v>40.746000000000002</v>
      </c>
      <c r="X3438" s="8">
        <v>26.591999999999999</v>
      </c>
      <c r="Y3438" s="8">
        <v>14.404999999999999</v>
      </c>
      <c r="Z3438" s="8">
        <v>6.33</v>
      </c>
      <c r="AA3438" s="8">
        <v>1.704</v>
      </c>
      <c r="AB3438" s="8">
        <v>0.25700000000000001</v>
      </c>
      <c r="AC3438" s="8">
        <v>1.0999999999999999E-2</v>
      </c>
    </row>
    <row r="3439" spans="1:29" ht="11.65" x14ac:dyDescent="0.35">
      <c r="A3439" s="12">
        <v>3422</v>
      </c>
      <c r="B3439" s="10" t="s">
        <v>1015</v>
      </c>
      <c r="C3439" s="18" t="s">
        <v>1253</v>
      </c>
      <c r="D3439" s="9">
        <v>23</v>
      </c>
      <c r="E3439" s="9">
        <v>578</v>
      </c>
      <c r="F3439" s="10" t="s">
        <v>1066</v>
      </c>
      <c r="G3439" s="9">
        <v>924</v>
      </c>
      <c r="H3439" s="9">
        <v>1955</v>
      </c>
      <c r="I3439" s="8">
        <v>156.16900000000001</v>
      </c>
      <c r="J3439" s="8">
        <v>163.441</v>
      </c>
      <c r="K3439" s="8">
        <v>132.25399999999999</v>
      </c>
      <c r="L3439" s="8">
        <v>107.19499999999999</v>
      </c>
      <c r="M3439" s="8">
        <v>105.508</v>
      </c>
      <c r="N3439" s="8">
        <v>117.473</v>
      </c>
      <c r="O3439" s="8">
        <v>133.90299999999999</v>
      </c>
      <c r="P3439" s="8">
        <v>128.84100000000001</v>
      </c>
      <c r="Q3439" s="8">
        <v>124.38800000000001</v>
      </c>
      <c r="R3439" s="8">
        <v>113.10299999999999</v>
      </c>
      <c r="S3439" s="8">
        <v>102.194</v>
      </c>
      <c r="T3439" s="8">
        <v>91.792000000000002</v>
      </c>
      <c r="U3439" s="8">
        <v>74.408000000000001</v>
      </c>
      <c r="V3439" s="8">
        <v>56.942</v>
      </c>
      <c r="W3439" s="8">
        <v>41.738999999999997</v>
      </c>
      <c r="X3439" s="8">
        <v>31.044</v>
      </c>
      <c r="Y3439" s="8">
        <v>17.161000000000001</v>
      </c>
      <c r="Z3439" s="8">
        <v>6.7619999999999996</v>
      </c>
      <c r="AA3439" s="8">
        <v>1.946</v>
      </c>
      <c r="AB3439" s="8">
        <v>0.29399999999999998</v>
      </c>
      <c r="AC3439" s="8">
        <v>2.1999999999999999E-2</v>
      </c>
    </row>
    <row r="3440" spans="1:29" ht="11.65" x14ac:dyDescent="0.35">
      <c r="A3440" s="12">
        <v>3423</v>
      </c>
      <c r="B3440" s="10" t="s">
        <v>1015</v>
      </c>
      <c r="C3440" s="18" t="s">
        <v>1253</v>
      </c>
      <c r="D3440" s="9">
        <v>23</v>
      </c>
      <c r="E3440" s="9">
        <v>578</v>
      </c>
      <c r="F3440" s="10" t="s">
        <v>1066</v>
      </c>
      <c r="G3440" s="9">
        <v>924</v>
      </c>
      <c r="H3440" s="9">
        <v>1960</v>
      </c>
      <c r="I3440" s="8">
        <v>158.191</v>
      </c>
      <c r="J3440" s="8">
        <v>155.31200000000001</v>
      </c>
      <c r="K3440" s="8">
        <v>162.994</v>
      </c>
      <c r="L3440" s="8">
        <v>132.37200000000001</v>
      </c>
      <c r="M3440" s="8">
        <v>106.072</v>
      </c>
      <c r="N3440" s="8">
        <v>102.45</v>
      </c>
      <c r="O3440" s="8">
        <v>114.512</v>
      </c>
      <c r="P3440" s="8">
        <v>131.58699999999999</v>
      </c>
      <c r="Q3440" s="8">
        <v>127.19</v>
      </c>
      <c r="R3440" s="8">
        <v>122.086</v>
      </c>
      <c r="S3440" s="8">
        <v>110.342</v>
      </c>
      <c r="T3440" s="8">
        <v>98.155000000000001</v>
      </c>
      <c r="U3440" s="8">
        <v>85.600999999999999</v>
      </c>
      <c r="V3440" s="8">
        <v>67.456000000000003</v>
      </c>
      <c r="W3440" s="8">
        <v>48.390999999999998</v>
      </c>
      <c r="X3440" s="8">
        <v>31.937999999999999</v>
      </c>
      <c r="Y3440" s="8">
        <v>19.395</v>
      </c>
      <c r="Z3440" s="8">
        <v>8.0649999999999995</v>
      </c>
      <c r="AA3440" s="8">
        <v>2.0249999999999999</v>
      </c>
      <c r="AB3440" s="8">
        <v>0.313</v>
      </c>
      <c r="AC3440" s="8">
        <v>2.4E-2</v>
      </c>
    </row>
    <row r="3441" spans="1:29" ht="11.65" x14ac:dyDescent="0.35">
      <c r="A3441" s="12">
        <v>3424</v>
      </c>
      <c r="B3441" s="10" t="s">
        <v>1015</v>
      </c>
      <c r="C3441" s="18" t="s">
        <v>1253</v>
      </c>
      <c r="D3441" s="9">
        <v>23</v>
      </c>
      <c r="E3441" s="9">
        <v>578</v>
      </c>
      <c r="F3441" s="10" t="s">
        <v>1066</v>
      </c>
      <c r="G3441" s="9">
        <v>924</v>
      </c>
      <c r="H3441" s="9">
        <v>1965</v>
      </c>
      <c r="I3441" s="8">
        <v>160.32300000000001</v>
      </c>
      <c r="J3441" s="8">
        <v>157.595</v>
      </c>
      <c r="K3441" s="8">
        <v>154.983</v>
      </c>
      <c r="L3441" s="8">
        <v>162.44999999999999</v>
      </c>
      <c r="M3441" s="8">
        <v>131.55099999999999</v>
      </c>
      <c r="N3441" s="8">
        <v>104.258</v>
      </c>
      <c r="O3441" s="8">
        <v>101.236</v>
      </c>
      <c r="P3441" s="8">
        <v>113.349</v>
      </c>
      <c r="Q3441" s="8">
        <v>130.024</v>
      </c>
      <c r="R3441" s="8">
        <v>124.986</v>
      </c>
      <c r="S3441" s="8">
        <v>118.771</v>
      </c>
      <c r="T3441" s="8">
        <v>105.40600000000001</v>
      </c>
      <c r="U3441" s="8">
        <v>91.204999999999998</v>
      </c>
      <c r="V3441" s="8">
        <v>75.896000000000001</v>
      </c>
      <c r="W3441" s="8">
        <v>55.953000000000003</v>
      </c>
      <c r="X3441" s="8">
        <v>35.866999999999997</v>
      </c>
      <c r="Y3441" s="8">
        <v>19.437000000000001</v>
      </c>
      <c r="Z3441" s="8">
        <v>8.7620000000000005</v>
      </c>
      <c r="AA3441" s="8">
        <v>2.3069999999999999</v>
      </c>
      <c r="AB3441" s="8">
        <v>0.32200000000000001</v>
      </c>
      <c r="AC3441" s="8">
        <v>2.5999999999999999E-2</v>
      </c>
    </row>
    <row r="3442" spans="1:29" ht="11.65" x14ac:dyDescent="0.35">
      <c r="A3442" s="12">
        <v>3425</v>
      </c>
      <c r="B3442" s="10" t="s">
        <v>1015</v>
      </c>
      <c r="C3442" s="18" t="s">
        <v>1253</v>
      </c>
      <c r="D3442" s="9">
        <v>23</v>
      </c>
      <c r="E3442" s="9">
        <v>578</v>
      </c>
      <c r="F3442" s="10" t="s">
        <v>1066</v>
      </c>
      <c r="G3442" s="9">
        <v>924</v>
      </c>
      <c r="H3442" s="9">
        <v>1970</v>
      </c>
      <c r="I3442" s="8">
        <v>169.423</v>
      </c>
      <c r="J3442" s="8">
        <v>159.88800000000001</v>
      </c>
      <c r="K3442" s="8">
        <v>157.726</v>
      </c>
      <c r="L3442" s="8">
        <v>154.69300000000001</v>
      </c>
      <c r="M3442" s="8">
        <v>162.28700000000001</v>
      </c>
      <c r="N3442" s="8">
        <v>130.19800000000001</v>
      </c>
      <c r="O3442" s="8">
        <v>103.46599999999999</v>
      </c>
      <c r="P3442" s="8">
        <v>100.846</v>
      </c>
      <c r="Q3442" s="8">
        <v>112.261</v>
      </c>
      <c r="R3442" s="8">
        <v>128.03899999999999</v>
      </c>
      <c r="S3442" s="8">
        <v>121.476</v>
      </c>
      <c r="T3442" s="8">
        <v>113.23</v>
      </c>
      <c r="U3442" s="8">
        <v>97.462999999999994</v>
      </c>
      <c r="V3442" s="8">
        <v>80.441999999999993</v>
      </c>
      <c r="W3442" s="8">
        <v>61.795000000000002</v>
      </c>
      <c r="X3442" s="8">
        <v>40.752000000000002</v>
      </c>
      <c r="Y3442" s="8">
        <v>21.495999999999999</v>
      </c>
      <c r="Z3442" s="8">
        <v>8.9290000000000003</v>
      </c>
      <c r="AA3442" s="8">
        <v>2.6269999999999998</v>
      </c>
      <c r="AB3442" s="8">
        <v>0.39</v>
      </c>
      <c r="AC3442" s="8">
        <v>0.03</v>
      </c>
    </row>
    <row r="3443" spans="1:29" ht="11.65" x14ac:dyDescent="0.35">
      <c r="A3443" s="12">
        <v>3426</v>
      </c>
      <c r="B3443" s="10" t="s">
        <v>1015</v>
      </c>
      <c r="C3443" s="18" t="s">
        <v>1253</v>
      </c>
      <c r="D3443" s="9">
        <v>23</v>
      </c>
      <c r="E3443" s="9">
        <v>578</v>
      </c>
      <c r="F3443" s="10" t="s">
        <v>1066</v>
      </c>
      <c r="G3443" s="9">
        <v>924</v>
      </c>
      <c r="H3443" s="9">
        <v>1975</v>
      </c>
      <c r="I3443" s="8">
        <v>158.47200000000001</v>
      </c>
      <c r="J3443" s="8">
        <v>170.15799999999999</v>
      </c>
      <c r="K3443" s="8">
        <v>160.489</v>
      </c>
      <c r="L3443" s="8">
        <v>157.917</v>
      </c>
      <c r="M3443" s="8">
        <v>155.345</v>
      </c>
      <c r="N3443" s="8">
        <v>163.11199999999999</v>
      </c>
      <c r="O3443" s="8">
        <v>130.52699999999999</v>
      </c>
      <c r="P3443" s="8">
        <v>103.417</v>
      </c>
      <c r="Q3443" s="8">
        <v>100.242</v>
      </c>
      <c r="R3443" s="8">
        <v>110.58</v>
      </c>
      <c r="S3443" s="8">
        <v>124.619</v>
      </c>
      <c r="T3443" s="8">
        <v>115.962</v>
      </c>
      <c r="U3443" s="8">
        <v>105.03700000000001</v>
      </c>
      <c r="V3443" s="8">
        <v>86.378</v>
      </c>
      <c r="W3443" s="8">
        <v>65.863</v>
      </c>
      <c r="X3443" s="8">
        <v>45.017000000000003</v>
      </c>
      <c r="Y3443" s="8">
        <v>24.425000000000001</v>
      </c>
      <c r="Z3443" s="8">
        <v>9.9060000000000006</v>
      </c>
      <c r="AA3443" s="8">
        <v>2.72</v>
      </c>
      <c r="AB3443" s="8">
        <v>0.46800000000000003</v>
      </c>
      <c r="AC3443" s="8">
        <v>3.9E-2</v>
      </c>
    </row>
    <row r="3444" spans="1:29" ht="11.65" x14ac:dyDescent="0.35">
      <c r="A3444" s="12">
        <v>3427</v>
      </c>
      <c r="B3444" s="10" t="s">
        <v>1015</v>
      </c>
      <c r="C3444" s="18" t="s">
        <v>1253</v>
      </c>
      <c r="D3444" s="9">
        <v>23</v>
      </c>
      <c r="E3444" s="9">
        <v>578</v>
      </c>
      <c r="F3444" s="10" t="s">
        <v>1066</v>
      </c>
      <c r="G3444" s="9">
        <v>924</v>
      </c>
      <c r="H3444" s="9">
        <v>1980</v>
      </c>
      <c r="I3444" s="8">
        <v>133.81299999999999</v>
      </c>
      <c r="J3444" s="8">
        <v>159.607</v>
      </c>
      <c r="K3444" s="8">
        <v>170.97499999999999</v>
      </c>
      <c r="L3444" s="8">
        <v>161.149</v>
      </c>
      <c r="M3444" s="8">
        <v>158.35300000000001</v>
      </c>
      <c r="N3444" s="8">
        <v>155.999</v>
      </c>
      <c r="O3444" s="8">
        <v>163.37899999999999</v>
      </c>
      <c r="P3444" s="8">
        <v>130.25399999999999</v>
      </c>
      <c r="Q3444" s="8">
        <v>102.824</v>
      </c>
      <c r="R3444" s="8">
        <v>98.840999999999994</v>
      </c>
      <c r="S3444" s="8">
        <v>107.61499999999999</v>
      </c>
      <c r="T3444" s="8">
        <v>118.92400000000001</v>
      </c>
      <c r="U3444" s="8">
        <v>107.623</v>
      </c>
      <c r="V3444" s="8">
        <v>93.185000000000002</v>
      </c>
      <c r="W3444" s="8">
        <v>71.375</v>
      </c>
      <c r="X3444" s="8">
        <v>48.231999999999999</v>
      </c>
      <c r="Y3444" s="8">
        <v>27.268999999999998</v>
      </c>
      <c r="Z3444" s="8">
        <v>11.675000000000001</v>
      </c>
      <c r="AA3444" s="8">
        <v>3.1749999999999998</v>
      </c>
      <c r="AB3444" s="8">
        <v>0.51600000000000001</v>
      </c>
      <c r="AC3444" s="8">
        <v>4.9000000000000002E-2</v>
      </c>
    </row>
    <row r="3445" spans="1:29" ht="11.65" x14ac:dyDescent="0.35">
      <c r="A3445" s="12">
        <v>3428</v>
      </c>
      <c r="B3445" s="10" t="s">
        <v>1015</v>
      </c>
      <c r="C3445" s="18" t="s">
        <v>1253</v>
      </c>
      <c r="D3445" s="9">
        <v>23</v>
      </c>
      <c r="E3445" s="9">
        <v>578</v>
      </c>
      <c r="F3445" s="10" t="s">
        <v>1066</v>
      </c>
      <c r="G3445" s="9">
        <v>924</v>
      </c>
      <c r="H3445" s="9">
        <v>1985</v>
      </c>
      <c r="I3445" s="8">
        <v>130.30699999999999</v>
      </c>
      <c r="J3445" s="8">
        <v>134.95599999999999</v>
      </c>
      <c r="K3445" s="8">
        <v>160.40100000000001</v>
      </c>
      <c r="L3445" s="8">
        <v>171.68799999999999</v>
      </c>
      <c r="M3445" s="8">
        <v>161.83799999999999</v>
      </c>
      <c r="N3445" s="8">
        <v>159.84899999999999</v>
      </c>
      <c r="O3445" s="8">
        <v>157.00399999999999</v>
      </c>
      <c r="P3445" s="8">
        <v>163.571</v>
      </c>
      <c r="Q3445" s="8">
        <v>129.61699999999999</v>
      </c>
      <c r="R3445" s="8">
        <v>101.547</v>
      </c>
      <c r="S3445" s="8">
        <v>96.4</v>
      </c>
      <c r="T3445" s="8">
        <v>102.902</v>
      </c>
      <c r="U3445" s="8">
        <v>110.56</v>
      </c>
      <c r="V3445" s="8">
        <v>95.775000000000006</v>
      </c>
      <c r="W3445" s="8">
        <v>76.915000000000006</v>
      </c>
      <c r="X3445" s="8">
        <v>52.828000000000003</v>
      </c>
      <c r="Y3445" s="8">
        <v>29.436</v>
      </c>
      <c r="Z3445" s="8">
        <v>13.145</v>
      </c>
      <c r="AA3445" s="8">
        <v>3.87</v>
      </c>
      <c r="AB3445" s="8">
        <v>0.63200000000000001</v>
      </c>
      <c r="AC3445" s="8">
        <v>5.8999999999999997E-2</v>
      </c>
    </row>
    <row r="3446" spans="1:29" ht="11.65" x14ac:dyDescent="0.35">
      <c r="A3446" s="12">
        <v>3429</v>
      </c>
      <c r="B3446" s="10" t="s">
        <v>1015</v>
      </c>
      <c r="C3446" s="18" t="s">
        <v>1253</v>
      </c>
      <c r="D3446" s="9">
        <v>23</v>
      </c>
      <c r="E3446" s="9">
        <v>578</v>
      </c>
      <c r="F3446" s="10" t="s">
        <v>1066</v>
      </c>
      <c r="G3446" s="9">
        <v>924</v>
      </c>
      <c r="H3446" s="9">
        <v>1990</v>
      </c>
      <c r="I3446" s="8">
        <v>143.72999999999999</v>
      </c>
      <c r="J3446" s="8">
        <v>132.06</v>
      </c>
      <c r="K3446" s="8">
        <v>136.178</v>
      </c>
      <c r="L3446" s="8">
        <v>161.267</v>
      </c>
      <c r="M3446" s="8">
        <v>173.26599999999999</v>
      </c>
      <c r="N3446" s="8">
        <v>166.35400000000001</v>
      </c>
      <c r="O3446" s="8">
        <v>162.786</v>
      </c>
      <c r="P3446" s="8">
        <v>157.62299999999999</v>
      </c>
      <c r="Q3446" s="8">
        <v>162.577</v>
      </c>
      <c r="R3446" s="8">
        <v>127.678</v>
      </c>
      <c r="S3446" s="8">
        <v>99.058000000000007</v>
      </c>
      <c r="T3446" s="8">
        <v>92.384</v>
      </c>
      <c r="U3446" s="8">
        <v>96.114999999999995</v>
      </c>
      <c r="V3446" s="8">
        <v>98.906000000000006</v>
      </c>
      <c r="W3446" s="8">
        <v>80.097999999999999</v>
      </c>
      <c r="X3446" s="8">
        <v>57.418999999999997</v>
      </c>
      <c r="Y3446" s="8">
        <v>32.99</v>
      </c>
      <c r="Z3446" s="8">
        <v>14.223000000000001</v>
      </c>
      <c r="AA3446" s="8">
        <v>4.3600000000000003</v>
      </c>
      <c r="AB3446" s="8">
        <v>0.78100000000000003</v>
      </c>
      <c r="AC3446" s="8">
        <v>7.0999999999999994E-2</v>
      </c>
    </row>
    <row r="3447" spans="1:29" ht="11.65" x14ac:dyDescent="0.35">
      <c r="A3447" s="12">
        <v>3430</v>
      </c>
      <c r="B3447" s="10" t="s">
        <v>1015</v>
      </c>
      <c r="C3447" s="18" t="s">
        <v>1253</v>
      </c>
      <c r="D3447" s="9">
        <v>23</v>
      </c>
      <c r="E3447" s="9">
        <v>578</v>
      </c>
      <c r="F3447" s="10" t="s">
        <v>1066</v>
      </c>
      <c r="G3447" s="9">
        <v>924</v>
      </c>
      <c r="H3447" s="9">
        <v>1995</v>
      </c>
      <c r="I3447" s="8">
        <v>156.21299999999999</v>
      </c>
      <c r="J3447" s="8">
        <v>146.04499999999999</v>
      </c>
      <c r="K3447" s="8">
        <v>133.822</v>
      </c>
      <c r="L3447" s="8">
        <v>137.81700000000001</v>
      </c>
      <c r="M3447" s="8">
        <v>163.01400000000001</v>
      </c>
      <c r="N3447" s="8">
        <v>176.31100000000001</v>
      </c>
      <c r="O3447" s="8">
        <v>167.917</v>
      </c>
      <c r="P3447" s="8">
        <v>162.93799999999999</v>
      </c>
      <c r="Q3447" s="8">
        <v>156.77500000000001</v>
      </c>
      <c r="R3447" s="8">
        <v>160.56899999999999</v>
      </c>
      <c r="S3447" s="8">
        <v>124.986</v>
      </c>
      <c r="T3447" s="8">
        <v>95.88</v>
      </c>
      <c r="U3447" s="8">
        <v>87.093999999999994</v>
      </c>
      <c r="V3447" s="8">
        <v>87.18</v>
      </c>
      <c r="W3447" s="8">
        <v>83.92</v>
      </c>
      <c r="X3447" s="8">
        <v>61.222999999999999</v>
      </c>
      <c r="Y3447" s="8">
        <v>36.481000000000002</v>
      </c>
      <c r="Z3447" s="8">
        <v>15.957000000000001</v>
      </c>
      <c r="AA3447" s="8">
        <v>4.5940000000000003</v>
      </c>
      <c r="AB3447" s="8">
        <v>0.78900000000000003</v>
      </c>
      <c r="AC3447" s="8">
        <v>7.9000000000000001E-2</v>
      </c>
    </row>
    <row r="3448" spans="1:29" ht="11.65" x14ac:dyDescent="0.35">
      <c r="A3448" s="12">
        <v>3431</v>
      </c>
      <c r="B3448" s="10" t="s">
        <v>1015</v>
      </c>
      <c r="C3448" s="18" t="s">
        <v>1253</v>
      </c>
      <c r="D3448" s="9">
        <v>23</v>
      </c>
      <c r="E3448" s="9">
        <v>578</v>
      </c>
      <c r="F3448" s="10" t="s">
        <v>1066</v>
      </c>
      <c r="G3448" s="9">
        <v>924</v>
      </c>
      <c r="H3448" s="9">
        <v>2000</v>
      </c>
      <c r="I3448" s="8">
        <v>154.899</v>
      </c>
      <c r="J3448" s="8">
        <v>158.69999999999999</v>
      </c>
      <c r="K3448" s="8">
        <v>147.99700000000001</v>
      </c>
      <c r="L3448" s="8">
        <v>136.125</v>
      </c>
      <c r="M3448" s="8">
        <v>140.76300000000001</v>
      </c>
      <c r="N3448" s="8">
        <v>167.267</v>
      </c>
      <c r="O3448" s="8">
        <v>179.67500000000001</v>
      </c>
      <c r="P3448" s="8">
        <v>169.37</v>
      </c>
      <c r="Q3448" s="8">
        <v>162.767</v>
      </c>
      <c r="R3448" s="8">
        <v>155.38300000000001</v>
      </c>
      <c r="S3448" s="8">
        <v>157.65</v>
      </c>
      <c r="T3448" s="8">
        <v>121.35599999999999</v>
      </c>
      <c r="U3448" s="8">
        <v>91.158000000000001</v>
      </c>
      <c r="V3448" s="8">
        <v>79.911000000000001</v>
      </c>
      <c r="W3448" s="8">
        <v>75.391000000000005</v>
      </c>
      <c r="X3448" s="8">
        <v>65.588999999999999</v>
      </c>
      <c r="Y3448" s="8">
        <v>40.613999999999997</v>
      </c>
      <c r="Z3448" s="8">
        <v>18.184000000000001</v>
      </c>
      <c r="AA3448" s="8">
        <v>5.2869999999999999</v>
      </c>
      <c r="AB3448" s="8">
        <v>0.84699999999999998</v>
      </c>
      <c r="AC3448" s="8">
        <v>7.8E-2</v>
      </c>
    </row>
    <row r="3449" spans="1:29" ht="11.65" x14ac:dyDescent="0.35">
      <c r="A3449" s="12">
        <v>3432</v>
      </c>
      <c r="B3449" s="10" t="s">
        <v>1015</v>
      </c>
      <c r="C3449" s="18" t="s">
        <v>1253</v>
      </c>
      <c r="D3449" s="9">
        <v>23</v>
      </c>
      <c r="E3449" s="9">
        <v>578</v>
      </c>
      <c r="F3449" s="10" t="s">
        <v>1066</v>
      </c>
      <c r="G3449" s="9">
        <v>924</v>
      </c>
      <c r="H3449" s="9">
        <v>2005</v>
      </c>
      <c r="I3449" s="8">
        <v>147.273</v>
      </c>
      <c r="J3449" s="8">
        <v>157.36099999999999</v>
      </c>
      <c r="K3449" s="8">
        <v>161.12100000000001</v>
      </c>
      <c r="L3449" s="8">
        <v>151.03700000000001</v>
      </c>
      <c r="M3449" s="8">
        <v>139.36600000000001</v>
      </c>
      <c r="N3449" s="8">
        <v>145.547</v>
      </c>
      <c r="O3449" s="8">
        <v>171.49</v>
      </c>
      <c r="P3449" s="8">
        <v>181.41399999999999</v>
      </c>
      <c r="Q3449" s="8">
        <v>169.577</v>
      </c>
      <c r="R3449" s="8">
        <v>161.786</v>
      </c>
      <c r="S3449" s="8">
        <v>152.95500000000001</v>
      </c>
      <c r="T3449" s="8">
        <v>153.07599999999999</v>
      </c>
      <c r="U3449" s="8">
        <v>115.833</v>
      </c>
      <c r="V3449" s="8">
        <v>84.284000000000006</v>
      </c>
      <c r="W3449" s="8">
        <v>70.367000000000004</v>
      </c>
      <c r="X3449" s="8">
        <v>61.341999999999999</v>
      </c>
      <c r="Y3449" s="8">
        <v>45.738999999999997</v>
      </c>
      <c r="Z3449" s="8">
        <v>21.344000000000001</v>
      </c>
      <c r="AA3449" s="8">
        <v>6.2450000000000001</v>
      </c>
      <c r="AB3449" s="8">
        <v>1.0069999999999999</v>
      </c>
      <c r="AC3449" s="8">
        <v>8.2000000000000003E-2</v>
      </c>
    </row>
    <row r="3450" spans="1:29" ht="11.65" x14ac:dyDescent="0.35">
      <c r="A3450" s="12">
        <v>3433</v>
      </c>
      <c r="B3450" s="10" t="s">
        <v>1015</v>
      </c>
      <c r="C3450" s="18" t="s">
        <v>1253</v>
      </c>
      <c r="D3450" s="9">
        <v>23</v>
      </c>
      <c r="E3450" s="9">
        <v>578</v>
      </c>
      <c r="F3450" s="10" t="s">
        <v>1066</v>
      </c>
      <c r="G3450" s="9">
        <v>924</v>
      </c>
      <c r="H3450" s="9">
        <v>2010</v>
      </c>
      <c r="I3450" s="8">
        <v>157.029</v>
      </c>
      <c r="J3450" s="8">
        <v>151.87200000000001</v>
      </c>
      <c r="K3450" s="8">
        <v>162.04300000000001</v>
      </c>
      <c r="L3450" s="8">
        <v>167.46</v>
      </c>
      <c r="M3450" s="8">
        <v>157.511</v>
      </c>
      <c r="N3450" s="8">
        <v>156.89599999999999</v>
      </c>
      <c r="O3450" s="8">
        <v>160.97</v>
      </c>
      <c r="P3450" s="8">
        <v>184.08799999999999</v>
      </c>
      <c r="Q3450" s="8">
        <v>190.35499999999999</v>
      </c>
      <c r="R3450" s="8">
        <v>173.09399999999999</v>
      </c>
      <c r="S3450" s="8">
        <v>163.345</v>
      </c>
      <c r="T3450" s="8">
        <v>149.292</v>
      </c>
      <c r="U3450" s="8">
        <v>150.75</v>
      </c>
      <c r="V3450" s="8">
        <v>106.991</v>
      </c>
      <c r="W3450" s="8">
        <v>74.231999999999999</v>
      </c>
      <c r="X3450" s="8">
        <v>58.456000000000003</v>
      </c>
      <c r="Y3450" s="8">
        <v>43.112000000000002</v>
      </c>
      <c r="Z3450" s="8">
        <v>25.661999999999999</v>
      </c>
      <c r="AA3450" s="8">
        <v>7.9249999999999998</v>
      </c>
      <c r="AB3450" s="8">
        <v>1.26</v>
      </c>
      <c r="AC3450" s="8">
        <v>9.9000000000000005E-2</v>
      </c>
    </row>
    <row r="3451" spans="1:29" ht="11.65" x14ac:dyDescent="0.35">
      <c r="A3451" s="12">
        <v>3434</v>
      </c>
      <c r="B3451" s="10" t="s">
        <v>1015</v>
      </c>
      <c r="C3451" s="18" t="s">
        <v>1253</v>
      </c>
      <c r="D3451" s="9">
        <v>23</v>
      </c>
      <c r="E3451" s="9">
        <v>578</v>
      </c>
      <c r="F3451" s="10" t="s">
        <v>1066</v>
      </c>
      <c r="G3451" s="9">
        <v>924</v>
      </c>
      <c r="H3451" s="9">
        <v>2015</v>
      </c>
      <c r="I3451" s="8">
        <v>158.46100000000001</v>
      </c>
      <c r="J3451" s="8">
        <v>163.285</v>
      </c>
      <c r="K3451" s="8">
        <v>156.46100000000001</v>
      </c>
      <c r="L3451" s="8">
        <v>168.31200000000001</v>
      </c>
      <c r="M3451" s="8">
        <v>179.10499999999999</v>
      </c>
      <c r="N3451" s="8">
        <v>182.51</v>
      </c>
      <c r="O3451" s="8">
        <v>180.494</v>
      </c>
      <c r="P3451" s="8">
        <v>176.03700000000001</v>
      </c>
      <c r="Q3451" s="8">
        <v>192.77199999999999</v>
      </c>
      <c r="R3451" s="8">
        <v>194.78800000000001</v>
      </c>
      <c r="S3451" s="8">
        <v>174.00200000000001</v>
      </c>
      <c r="T3451" s="8">
        <v>161.74</v>
      </c>
      <c r="U3451" s="8">
        <v>144.07499999999999</v>
      </c>
      <c r="V3451" s="8">
        <v>142.43700000000001</v>
      </c>
      <c r="W3451" s="8">
        <v>97.759</v>
      </c>
      <c r="X3451" s="8">
        <v>63.698999999999998</v>
      </c>
      <c r="Y3451" s="8">
        <v>44.194000000000003</v>
      </c>
      <c r="Z3451" s="8">
        <v>25.623000000000001</v>
      </c>
      <c r="AA3451" s="8">
        <v>10.243</v>
      </c>
      <c r="AB3451" s="8">
        <v>1.7370000000000001</v>
      </c>
      <c r="AC3451" s="8">
        <v>0.13400000000000001</v>
      </c>
    </row>
    <row r="3452" spans="1:29" ht="11.65" x14ac:dyDescent="0.35">
      <c r="A3452" s="12">
        <v>3435</v>
      </c>
      <c r="B3452" s="10" t="s">
        <v>1015</v>
      </c>
      <c r="C3452" s="18" t="s">
        <v>1253</v>
      </c>
      <c r="D3452" s="9">
        <v>23</v>
      </c>
      <c r="E3452" s="9">
        <v>578</v>
      </c>
      <c r="F3452" s="10" t="s">
        <v>1066</v>
      </c>
      <c r="G3452" s="9">
        <v>924</v>
      </c>
      <c r="H3452" s="9">
        <v>2020</v>
      </c>
      <c r="I3452" s="8">
        <v>155.38200000000001</v>
      </c>
      <c r="J3452" s="8">
        <v>160.458</v>
      </c>
      <c r="K3452" s="8">
        <v>164.803</v>
      </c>
      <c r="L3452" s="8">
        <v>164.38</v>
      </c>
      <c r="M3452" s="8">
        <v>182.417</v>
      </c>
      <c r="N3452" s="8">
        <v>192.46199999999999</v>
      </c>
      <c r="O3452" s="8">
        <v>192.41499999999999</v>
      </c>
      <c r="P3452" s="8">
        <v>187.07300000000001</v>
      </c>
      <c r="Q3452" s="8">
        <v>180.065</v>
      </c>
      <c r="R3452" s="8">
        <v>194.631</v>
      </c>
      <c r="S3452" s="8">
        <v>194.595</v>
      </c>
      <c r="T3452" s="8">
        <v>171.95400000000001</v>
      </c>
      <c r="U3452" s="8">
        <v>157.465</v>
      </c>
      <c r="V3452" s="8">
        <v>137.16</v>
      </c>
      <c r="W3452" s="8">
        <v>130.988</v>
      </c>
      <c r="X3452" s="8">
        <v>84.650999999999996</v>
      </c>
      <c r="Y3452" s="8">
        <v>48.826999999999998</v>
      </c>
      <c r="Z3452" s="8">
        <v>27.094999999999999</v>
      </c>
      <c r="AA3452" s="8">
        <v>10.62</v>
      </c>
      <c r="AB3452" s="8">
        <v>2.3420000000000001</v>
      </c>
      <c r="AC3452" s="8">
        <v>0.2</v>
      </c>
    </row>
    <row r="3453" spans="1:29" ht="11.65" x14ac:dyDescent="0.35">
      <c r="A3453" s="12">
        <v>3436</v>
      </c>
      <c r="B3453" s="10" t="s">
        <v>1015</v>
      </c>
      <c r="C3453" s="18" t="s">
        <v>1254</v>
      </c>
      <c r="D3453" s="9"/>
      <c r="E3453" s="9">
        <v>752</v>
      </c>
      <c r="F3453" s="10" t="s">
        <v>1066</v>
      </c>
      <c r="G3453" s="9">
        <v>924</v>
      </c>
      <c r="H3453" s="9">
        <v>1950</v>
      </c>
      <c r="I3453" s="8">
        <v>316.90199999999999</v>
      </c>
      <c r="J3453" s="8">
        <v>292.30200000000002</v>
      </c>
      <c r="K3453" s="8">
        <v>226.501</v>
      </c>
      <c r="L3453" s="8">
        <v>211.98599999999999</v>
      </c>
      <c r="M3453" s="8">
        <v>232.9</v>
      </c>
      <c r="N3453" s="8">
        <v>274.83999999999997</v>
      </c>
      <c r="O3453" s="8">
        <v>269.05700000000002</v>
      </c>
      <c r="P3453" s="8">
        <v>276.81099999999998</v>
      </c>
      <c r="Q3453" s="8">
        <v>269.10500000000002</v>
      </c>
      <c r="R3453" s="8">
        <v>240.233</v>
      </c>
      <c r="S3453" s="8">
        <v>211.142</v>
      </c>
      <c r="T3453" s="8">
        <v>180.714</v>
      </c>
      <c r="U3453" s="8">
        <v>155.79499999999999</v>
      </c>
      <c r="V3453" s="8">
        <v>126.319</v>
      </c>
      <c r="W3453" s="8">
        <v>97.760999999999996</v>
      </c>
      <c r="X3453" s="8">
        <v>61.622999999999998</v>
      </c>
      <c r="Y3453" s="8">
        <v>30.422999999999998</v>
      </c>
      <c r="Z3453" s="8">
        <v>12.72</v>
      </c>
      <c r="AA3453" s="8">
        <v>2.8860000000000001</v>
      </c>
      <c r="AB3453" s="8">
        <v>0.29399999999999998</v>
      </c>
      <c r="AC3453" s="8">
        <v>1.2999999999999999E-2</v>
      </c>
    </row>
    <row r="3454" spans="1:29" ht="11.65" x14ac:dyDescent="0.35">
      <c r="A3454" s="12">
        <v>3437</v>
      </c>
      <c r="B3454" s="10" t="s">
        <v>1015</v>
      </c>
      <c r="C3454" s="18" t="s">
        <v>1254</v>
      </c>
      <c r="D3454" s="9"/>
      <c r="E3454" s="9">
        <v>752</v>
      </c>
      <c r="F3454" s="10" t="s">
        <v>1066</v>
      </c>
      <c r="G3454" s="9">
        <v>924</v>
      </c>
      <c r="H3454" s="9">
        <v>1955</v>
      </c>
      <c r="I3454" s="8">
        <v>276.05200000000002</v>
      </c>
      <c r="J3454" s="8">
        <v>316.46800000000002</v>
      </c>
      <c r="K3454" s="8">
        <v>293.20600000000002</v>
      </c>
      <c r="L3454" s="8">
        <v>230.08799999999999</v>
      </c>
      <c r="M3454" s="8">
        <v>216.107</v>
      </c>
      <c r="N3454" s="8">
        <v>235.834</v>
      </c>
      <c r="O3454" s="8">
        <v>275.23200000000003</v>
      </c>
      <c r="P3454" s="8">
        <v>267.714</v>
      </c>
      <c r="Q3454" s="8">
        <v>274.37099999999998</v>
      </c>
      <c r="R3454" s="8">
        <v>265.005</v>
      </c>
      <c r="S3454" s="8">
        <v>234.07300000000001</v>
      </c>
      <c r="T3454" s="8">
        <v>202.01499999999999</v>
      </c>
      <c r="U3454" s="8">
        <v>168.24600000000001</v>
      </c>
      <c r="V3454" s="8">
        <v>138.654</v>
      </c>
      <c r="W3454" s="8">
        <v>104.346</v>
      </c>
      <c r="X3454" s="8">
        <v>71.5</v>
      </c>
      <c r="Y3454" s="8">
        <v>36.502000000000002</v>
      </c>
      <c r="Z3454" s="8">
        <v>12.493</v>
      </c>
      <c r="AA3454" s="8">
        <v>3.1360000000000001</v>
      </c>
      <c r="AB3454" s="8">
        <v>0.36099999999999999</v>
      </c>
      <c r="AC3454" s="8">
        <v>1.7999999999999999E-2</v>
      </c>
    </row>
    <row r="3455" spans="1:29" ht="11.65" x14ac:dyDescent="0.35">
      <c r="A3455" s="12">
        <v>3438</v>
      </c>
      <c r="B3455" s="10" t="s">
        <v>1015</v>
      </c>
      <c r="C3455" s="18" t="s">
        <v>1254</v>
      </c>
      <c r="D3455" s="9"/>
      <c r="E3455" s="9">
        <v>752</v>
      </c>
      <c r="F3455" s="10" t="s">
        <v>1066</v>
      </c>
      <c r="G3455" s="9">
        <v>924</v>
      </c>
      <c r="H3455" s="9">
        <v>1960</v>
      </c>
      <c r="I3455" s="8">
        <v>268.83100000000002</v>
      </c>
      <c r="J3455" s="8">
        <v>276.23099999999999</v>
      </c>
      <c r="K3455" s="8">
        <v>316.92500000000001</v>
      </c>
      <c r="L3455" s="8">
        <v>293.786</v>
      </c>
      <c r="M3455" s="8">
        <v>233.291</v>
      </c>
      <c r="N3455" s="8">
        <v>220.625</v>
      </c>
      <c r="O3455" s="8">
        <v>238.53800000000001</v>
      </c>
      <c r="P3455" s="8">
        <v>274.72800000000001</v>
      </c>
      <c r="Q3455" s="8">
        <v>265.51900000000001</v>
      </c>
      <c r="R3455" s="8">
        <v>270.363</v>
      </c>
      <c r="S3455" s="8">
        <v>258.57900000000001</v>
      </c>
      <c r="T3455" s="8">
        <v>224.36799999999999</v>
      </c>
      <c r="U3455" s="8">
        <v>188.31800000000001</v>
      </c>
      <c r="V3455" s="8">
        <v>149.75200000000001</v>
      </c>
      <c r="W3455" s="8">
        <v>114.604</v>
      </c>
      <c r="X3455" s="8">
        <v>76.272000000000006</v>
      </c>
      <c r="Y3455" s="8">
        <v>42.360999999999997</v>
      </c>
      <c r="Z3455" s="8">
        <v>15.382</v>
      </c>
      <c r="AA3455" s="8">
        <v>3.214</v>
      </c>
      <c r="AB3455" s="8">
        <v>0.43</v>
      </c>
      <c r="AC3455" s="8">
        <v>2.4E-2</v>
      </c>
    </row>
    <row r="3456" spans="1:29" ht="11.65" x14ac:dyDescent="0.35">
      <c r="A3456" s="12">
        <v>3439</v>
      </c>
      <c r="B3456" s="10" t="s">
        <v>1015</v>
      </c>
      <c r="C3456" s="18" t="s">
        <v>1254</v>
      </c>
      <c r="D3456" s="9"/>
      <c r="E3456" s="9">
        <v>752</v>
      </c>
      <c r="F3456" s="10" t="s">
        <v>1066</v>
      </c>
      <c r="G3456" s="9">
        <v>924</v>
      </c>
      <c r="H3456" s="9">
        <v>1965</v>
      </c>
      <c r="I3456" s="8">
        <v>285.298</v>
      </c>
      <c r="J3456" s="8">
        <v>270.52699999999999</v>
      </c>
      <c r="K3456" s="8">
        <v>277.399</v>
      </c>
      <c r="L3456" s="8">
        <v>320.75400000000002</v>
      </c>
      <c r="M3456" s="8">
        <v>306.35300000000001</v>
      </c>
      <c r="N3456" s="8">
        <v>243.727</v>
      </c>
      <c r="O3456" s="8">
        <v>224.39</v>
      </c>
      <c r="P3456" s="8">
        <v>239.24600000000001</v>
      </c>
      <c r="Q3456" s="8">
        <v>273.20400000000001</v>
      </c>
      <c r="R3456" s="8">
        <v>262.18799999999999</v>
      </c>
      <c r="S3456" s="8">
        <v>264.16500000000002</v>
      </c>
      <c r="T3456" s="8">
        <v>248.26400000000001</v>
      </c>
      <c r="U3456" s="8">
        <v>209.22800000000001</v>
      </c>
      <c r="V3456" s="8">
        <v>167.74100000000001</v>
      </c>
      <c r="W3456" s="8">
        <v>123.637</v>
      </c>
      <c r="X3456" s="8">
        <v>83.453999999999994</v>
      </c>
      <c r="Y3456" s="8">
        <v>45.442999999999998</v>
      </c>
      <c r="Z3456" s="8">
        <v>18.132999999999999</v>
      </c>
      <c r="AA3456" s="8">
        <v>4.0869999999999997</v>
      </c>
      <c r="AB3456" s="8">
        <v>0.45100000000000001</v>
      </c>
      <c r="AC3456" s="8">
        <v>3.1E-2</v>
      </c>
    </row>
    <row r="3457" spans="1:29" ht="11.65" x14ac:dyDescent="0.35">
      <c r="A3457" s="12">
        <v>3440</v>
      </c>
      <c r="B3457" s="10" t="s">
        <v>1015</v>
      </c>
      <c r="C3457" s="18" t="s">
        <v>1254</v>
      </c>
      <c r="D3457" s="9"/>
      <c r="E3457" s="9">
        <v>752</v>
      </c>
      <c r="F3457" s="10" t="s">
        <v>1066</v>
      </c>
      <c r="G3457" s="9">
        <v>924</v>
      </c>
      <c r="H3457" s="9">
        <v>1970</v>
      </c>
      <c r="I3457" s="8">
        <v>299.28100000000001</v>
      </c>
      <c r="J3457" s="8">
        <v>289.334</v>
      </c>
      <c r="K3457" s="8">
        <v>273.52300000000002</v>
      </c>
      <c r="L3457" s="8">
        <v>283.68700000000001</v>
      </c>
      <c r="M3457" s="8">
        <v>339.38799999999998</v>
      </c>
      <c r="N3457" s="8">
        <v>318.59100000000001</v>
      </c>
      <c r="O3457" s="8">
        <v>249.178</v>
      </c>
      <c r="P3457" s="8">
        <v>226.542</v>
      </c>
      <c r="Q3457" s="8">
        <v>238.95699999999999</v>
      </c>
      <c r="R3457" s="8">
        <v>270.03100000000001</v>
      </c>
      <c r="S3457" s="8">
        <v>256.18599999999998</v>
      </c>
      <c r="T3457" s="8">
        <v>253.84700000000001</v>
      </c>
      <c r="U3457" s="8">
        <v>231.904</v>
      </c>
      <c r="V3457" s="8">
        <v>186.34200000000001</v>
      </c>
      <c r="W3457" s="8">
        <v>138.33500000000001</v>
      </c>
      <c r="X3457" s="8">
        <v>90.183000000000007</v>
      </c>
      <c r="Y3457" s="8">
        <v>50.609000000000002</v>
      </c>
      <c r="Z3457" s="8">
        <v>20.109000000000002</v>
      </c>
      <c r="AA3457" s="8">
        <v>5.0839999999999996</v>
      </c>
      <c r="AB3457" s="8">
        <v>0.63</v>
      </c>
      <c r="AC3457" s="8">
        <v>3.5999999999999997E-2</v>
      </c>
    </row>
    <row r="3458" spans="1:29" ht="11.65" x14ac:dyDescent="0.35">
      <c r="A3458" s="12">
        <v>3441</v>
      </c>
      <c r="B3458" s="10" t="s">
        <v>1015</v>
      </c>
      <c r="C3458" s="18" t="s">
        <v>1254</v>
      </c>
      <c r="D3458" s="9"/>
      <c r="E3458" s="9">
        <v>752</v>
      </c>
      <c r="F3458" s="10" t="s">
        <v>1066</v>
      </c>
      <c r="G3458" s="9">
        <v>924</v>
      </c>
      <c r="H3458" s="9">
        <v>1975</v>
      </c>
      <c r="I3458" s="8">
        <v>282.60399999999998</v>
      </c>
      <c r="J3458" s="8">
        <v>298.43400000000003</v>
      </c>
      <c r="K3458" s="8">
        <v>288.94</v>
      </c>
      <c r="L3458" s="8">
        <v>274.76499999999999</v>
      </c>
      <c r="M3458" s="8">
        <v>287.94600000000003</v>
      </c>
      <c r="N3458" s="8">
        <v>339.625</v>
      </c>
      <c r="O3458" s="8">
        <v>313.55700000000002</v>
      </c>
      <c r="P3458" s="8">
        <v>244.31399999999999</v>
      </c>
      <c r="Q3458" s="8">
        <v>222.44399999999999</v>
      </c>
      <c r="R3458" s="8">
        <v>233.80699999999999</v>
      </c>
      <c r="S3458" s="8">
        <v>262.11200000000002</v>
      </c>
      <c r="T3458" s="8">
        <v>245.11699999999999</v>
      </c>
      <c r="U3458" s="8">
        <v>236.56800000000001</v>
      </c>
      <c r="V3458" s="8">
        <v>206.27799999999999</v>
      </c>
      <c r="W3458" s="8">
        <v>153.804</v>
      </c>
      <c r="X3458" s="8">
        <v>100.88500000000001</v>
      </c>
      <c r="Y3458" s="8">
        <v>54.225999999999999</v>
      </c>
      <c r="Z3458" s="8">
        <v>22.977</v>
      </c>
      <c r="AA3458" s="8">
        <v>6.1050000000000004</v>
      </c>
      <c r="AB3458" s="8">
        <v>0.89700000000000002</v>
      </c>
      <c r="AC3458" s="8">
        <v>5.8999999999999997E-2</v>
      </c>
    </row>
    <row r="3459" spans="1:29" ht="11.65" x14ac:dyDescent="0.35">
      <c r="A3459" s="12">
        <v>3442</v>
      </c>
      <c r="B3459" s="10" t="s">
        <v>1015</v>
      </c>
      <c r="C3459" s="18" t="s">
        <v>1254</v>
      </c>
      <c r="D3459" s="9"/>
      <c r="E3459" s="9">
        <v>752</v>
      </c>
      <c r="F3459" s="10" t="s">
        <v>1066</v>
      </c>
      <c r="G3459" s="9">
        <v>924</v>
      </c>
      <c r="H3459" s="9">
        <v>1980</v>
      </c>
      <c r="I3459" s="8">
        <v>249.774</v>
      </c>
      <c r="J3459" s="8">
        <v>285.21699999999998</v>
      </c>
      <c r="K3459" s="8">
        <v>299.74099999999999</v>
      </c>
      <c r="L3459" s="8">
        <v>291.38400000000001</v>
      </c>
      <c r="M3459" s="8">
        <v>284.18799999999999</v>
      </c>
      <c r="N3459" s="8">
        <v>298.654</v>
      </c>
      <c r="O3459" s="8">
        <v>342.15699999999998</v>
      </c>
      <c r="P3459" s="8">
        <v>311.709</v>
      </c>
      <c r="Q3459" s="8">
        <v>241.84399999999999</v>
      </c>
      <c r="R3459" s="8">
        <v>218.81399999999999</v>
      </c>
      <c r="S3459" s="8">
        <v>227.595</v>
      </c>
      <c r="T3459" s="8">
        <v>250.8</v>
      </c>
      <c r="U3459" s="8">
        <v>228.63300000000001</v>
      </c>
      <c r="V3459" s="8">
        <v>210.82400000000001</v>
      </c>
      <c r="W3459" s="8">
        <v>170.93</v>
      </c>
      <c r="X3459" s="8">
        <v>112.898</v>
      </c>
      <c r="Y3459" s="8">
        <v>61.445</v>
      </c>
      <c r="Z3459" s="8">
        <v>24.683</v>
      </c>
      <c r="AA3459" s="8">
        <v>6.91</v>
      </c>
      <c r="AB3459" s="8">
        <v>1.052</v>
      </c>
      <c r="AC3459" s="8">
        <v>8.4000000000000005E-2</v>
      </c>
    </row>
    <row r="3460" spans="1:29" ht="11.65" x14ac:dyDescent="0.35">
      <c r="A3460" s="12">
        <v>3443</v>
      </c>
      <c r="B3460" s="10" t="s">
        <v>1015</v>
      </c>
      <c r="C3460" s="18" t="s">
        <v>1254</v>
      </c>
      <c r="D3460" s="9"/>
      <c r="E3460" s="9">
        <v>752</v>
      </c>
      <c r="F3460" s="10" t="s">
        <v>1066</v>
      </c>
      <c r="G3460" s="9">
        <v>924</v>
      </c>
      <c r="H3460" s="9">
        <v>1985</v>
      </c>
      <c r="I3460" s="8">
        <v>242.703</v>
      </c>
      <c r="J3460" s="8">
        <v>250.03800000000001</v>
      </c>
      <c r="K3460" s="8">
        <v>284.58699999999999</v>
      </c>
      <c r="L3460" s="8">
        <v>300.29500000000002</v>
      </c>
      <c r="M3460" s="8">
        <v>295.59300000000002</v>
      </c>
      <c r="N3460" s="8">
        <v>287.80399999999997</v>
      </c>
      <c r="O3460" s="8">
        <v>297.60500000000002</v>
      </c>
      <c r="P3460" s="8">
        <v>337.815</v>
      </c>
      <c r="Q3460" s="8">
        <v>307.58699999999999</v>
      </c>
      <c r="R3460" s="8">
        <v>237.589</v>
      </c>
      <c r="S3460" s="8">
        <v>213.10599999999999</v>
      </c>
      <c r="T3460" s="8">
        <v>218.46299999999999</v>
      </c>
      <c r="U3460" s="8">
        <v>234.64099999999999</v>
      </c>
      <c r="V3460" s="8">
        <v>205.09299999999999</v>
      </c>
      <c r="W3460" s="8">
        <v>177.041</v>
      </c>
      <c r="X3460" s="8">
        <v>128.13300000000001</v>
      </c>
      <c r="Y3460" s="8">
        <v>70.67</v>
      </c>
      <c r="Z3460" s="8">
        <v>28.849</v>
      </c>
      <c r="AA3460" s="8">
        <v>7.702</v>
      </c>
      <c r="AB3460" s="8">
        <v>1.24</v>
      </c>
      <c r="AC3460" s="8">
        <v>0.10199999999999999</v>
      </c>
    </row>
    <row r="3461" spans="1:29" ht="11.65" x14ac:dyDescent="0.35">
      <c r="A3461" s="12">
        <v>3444</v>
      </c>
      <c r="B3461" s="10" t="s">
        <v>1015</v>
      </c>
      <c r="C3461" s="18" t="s">
        <v>1254</v>
      </c>
      <c r="D3461" s="9"/>
      <c r="E3461" s="9">
        <v>752</v>
      </c>
      <c r="F3461" s="10" t="s">
        <v>1066</v>
      </c>
      <c r="G3461" s="9">
        <v>924</v>
      </c>
      <c r="H3461" s="9">
        <v>1990</v>
      </c>
      <c r="I3461" s="8">
        <v>283.86599999999999</v>
      </c>
      <c r="J3461" s="8">
        <v>249.34200000000001</v>
      </c>
      <c r="K3461" s="8">
        <v>254.61500000000001</v>
      </c>
      <c r="L3461" s="8">
        <v>289.30500000000001</v>
      </c>
      <c r="M3461" s="8">
        <v>311.31299999999999</v>
      </c>
      <c r="N3461" s="8">
        <v>310.791</v>
      </c>
      <c r="O3461" s="8">
        <v>296.13200000000001</v>
      </c>
      <c r="P3461" s="8">
        <v>300.11</v>
      </c>
      <c r="Q3461" s="8">
        <v>336.73099999999999</v>
      </c>
      <c r="R3461" s="8">
        <v>304.58800000000002</v>
      </c>
      <c r="S3461" s="8">
        <v>233.15299999999999</v>
      </c>
      <c r="T3461" s="8">
        <v>205.91499999999999</v>
      </c>
      <c r="U3461" s="8">
        <v>205.899</v>
      </c>
      <c r="V3461" s="8">
        <v>212.91499999999999</v>
      </c>
      <c r="W3461" s="8">
        <v>174.761</v>
      </c>
      <c r="X3461" s="8">
        <v>135.226</v>
      </c>
      <c r="Y3461" s="8">
        <v>82.763000000000005</v>
      </c>
      <c r="Z3461" s="8">
        <v>34.033000000000001</v>
      </c>
      <c r="AA3461" s="8">
        <v>9.1660000000000004</v>
      </c>
      <c r="AB3461" s="8">
        <v>1.41</v>
      </c>
      <c r="AC3461" s="8">
        <v>0.12</v>
      </c>
    </row>
    <row r="3462" spans="1:29" ht="11.65" x14ac:dyDescent="0.35">
      <c r="A3462" s="12">
        <v>3445</v>
      </c>
      <c r="B3462" s="10" t="s">
        <v>1015</v>
      </c>
      <c r="C3462" s="18" t="s">
        <v>1254</v>
      </c>
      <c r="D3462" s="9"/>
      <c r="E3462" s="9">
        <v>752</v>
      </c>
      <c r="F3462" s="10" t="s">
        <v>1066</v>
      </c>
      <c r="G3462" s="9">
        <v>924</v>
      </c>
      <c r="H3462" s="9">
        <v>1995</v>
      </c>
      <c r="I3462" s="8">
        <v>304.82600000000002</v>
      </c>
      <c r="J3462" s="8">
        <v>292.41800000000001</v>
      </c>
      <c r="K3462" s="8">
        <v>257.16899999999998</v>
      </c>
      <c r="L3462" s="8">
        <v>261.22800000000001</v>
      </c>
      <c r="M3462" s="8">
        <v>296.99</v>
      </c>
      <c r="N3462" s="8">
        <v>322.03699999999998</v>
      </c>
      <c r="O3462" s="8">
        <v>319.25200000000001</v>
      </c>
      <c r="P3462" s="8">
        <v>300.86200000000002</v>
      </c>
      <c r="Q3462" s="8">
        <v>300.83800000000002</v>
      </c>
      <c r="R3462" s="8">
        <v>333.71499999999997</v>
      </c>
      <c r="S3462" s="8">
        <v>299.13499999999999</v>
      </c>
      <c r="T3462" s="8">
        <v>226.60900000000001</v>
      </c>
      <c r="U3462" s="8">
        <v>196.00200000000001</v>
      </c>
      <c r="V3462" s="8">
        <v>189.09399999999999</v>
      </c>
      <c r="W3462" s="8">
        <v>184.55600000000001</v>
      </c>
      <c r="X3462" s="8">
        <v>137.28200000000001</v>
      </c>
      <c r="Y3462" s="8">
        <v>89.616</v>
      </c>
      <c r="Z3462" s="8">
        <v>41.453000000000003</v>
      </c>
      <c r="AA3462" s="8">
        <v>11.249000000000001</v>
      </c>
      <c r="AB3462" s="8">
        <v>1.6970000000000001</v>
      </c>
      <c r="AC3462" s="8">
        <v>0.13500000000000001</v>
      </c>
    </row>
    <row r="3463" spans="1:29" ht="11.65" x14ac:dyDescent="0.35">
      <c r="A3463" s="12">
        <v>3446</v>
      </c>
      <c r="B3463" s="10" t="s">
        <v>1015</v>
      </c>
      <c r="C3463" s="18" t="s">
        <v>1254</v>
      </c>
      <c r="D3463" s="9"/>
      <c r="E3463" s="9">
        <v>752</v>
      </c>
      <c r="F3463" s="10" t="s">
        <v>1066</v>
      </c>
      <c r="G3463" s="9">
        <v>924</v>
      </c>
      <c r="H3463" s="9">
        <v>2000</v>
      </c>
      <c r="I3463" s="8">
        <v>237.8</v>
      </c>
      <c r="J3463" s="8">
        <v>306.28300000000002</v>
      </c>
      <c r="K3463" s="8">
        <v>295.37400000000002</v>
      </c>
      <c r="L3463" s="8">
        <v>260.39400000000001</v>
      </c>
      <c r="M3463" s="8">
        <v>264.29899999999998</v>
      </c>
      <c r="N3463" s="8">
        <v>302.13400000000001</v>
      </c>
      <c r="O3463" s="8">
        <v>324.755</v>
      </c>
      <c r="P3463" s="8">
        <v>318.72000000000003</v>
      </c>
      <c r="Q3463" s="8">
        <v>298.37200000000001</v>
      </c>
      <c r="R3463" s="8">
        <v>297.09199999999998</v>
      </c>
      <c r="S3463" s="8">
        <v>327.47899999999998</v>
      </c>
      <c r="T3463" s="8">
        <v>290.54599999999999</v>
      </c>
      <c r="U3463" s="8">
        <v>216.73</v>
      </c>
      <c r="V3463" s="8">
        <v>181.155</v>
      </c>
      <c r="W3463" s="8">
        <v>165.928</v>
      </c>
      <c r="X3463" s="8">
        <v>148.09800000000001</v>
      </c>
      <c r="Y3463" s="8">
        <v>94.33</v>
      </c>
      <c r="Z3463" s="8">
        <v>46.451000000000001</v>
      </c>
      <c r="AA3463" s="8">
        <v>14.087</v>
      </c>
      <c r="AB3463" s="8">
        <v>2.0790000000000002</v>
      </c>
      <c r="AC3463" s="8">
        <v>0.156</v>
      </c>
    </row>
    <row r="3464" spans="1:29" ht="11.65" x14ac:dyDescent="0.35">
      <c r="A3464" s="12">
        <v>3447</v>
      </c>
      <c r="B3464" s="10" t="s">
        <v>1015</v>
      </c>
      <c r="C3464" s="18" t="s">
        <v>1254</v>
      </c>
      <c r="D3464" s="9"/>
      <c r="E3464" s="9">
        <v>752</v>
      </c>
      <c r="F3464" s="10" t="s">
        <v>1066</v>
      </c>
      <c r="G3464" s="9">
        <v>924</v>
      </c>
      <c r="H3464" s="9">
        <v>2005</v>
      </c>
      <c r="I3464" s="8">
        <v>252.09200000000001</v>
      </c>
      <c r="J3464" s="8">
        <v>243.435</v>
      </c>
      <c r="K3464" s="8">
        <v>311.40199999999999</v>
      </c>
      <c r="L3464" s="8">
        <v>301.28500000000003</v>
      </c>
      <c r="M3464" s="8">
        <v>268.18</v>
      </c>
      <c r="N3464" s="8">
        <v>277.48099999999999</v>
      </c>
      <c r="O3464" s="8">
        <v>310.98599999999999</v>
      </c>
      <c r="P3464" s="8">
        <v>329.12700000000001</v>
      </c>
      <c r="Q3464" s="8">
        <v>319.76</v>
      </c>
      <c r="R3464" s="8">
        <v>297.47399999999999</v>
      </c>
      <c r="S3464" s="8">
        <v>293.55</v>
      </c>
      <c r="T3464" s="8">
        <v>320.06400000000002</v>
      </c>
      <c r="U3464" s="8">
        <v>279.79300000000001</v>
      </c>
      <c r="V3464" s="8">
        <v>202.887</v>
      </c>
      <c r="W3464" s="8">
        <v>161.73500000000001</v>
      </c>
      <c r="X3464" s="8">
        <v>136.828</v>
      </c>
      <c r="Y3464" s="8">
        <v>105.31100000000001</v>
      </c>
      <c r="Z3464" s="8">
        <v>51.398000000000003</v>
      </c>
      <c r="AA3464" s="8">
        <v>16.434000000000001</v>
      </c>
      <c r="AB3464" s="8">
        <v>2.681</v>
      </c>
      <c r="AC3464" s="8">
        <v>0.187</v>
      </c>
    </row>
    <row r="3465" spans="1:29" ht="11.65" x14ac:dyDescent="0.35">
      <c r="A3465" s="12">
        <v>3448</v>
      </c>
      <c r="B3465" s="10" t="s">
        <v>1015</v>
      </c>
      <c r="C3465" s="18" t="s">
        <v>1254</v>
      </c>
      <c r="D3465" s="9"/>
      <c r="E3465" s="9">
        <v>752</v>
      </c>
      <c r="F3465" s="10" t="s">
        <v>1066</v>
      </c>
      <c r="G3465" s="9">
        <v>924</v>
      </c>
      <c r="H3465" s="9">
        <v>2010</v>
      </c>
      <c r="I3465" s="8">
        <v>285.79300000000001</v>
      </c>
      <c r="J3465" s="8">
        <v>260.49400000000003</v>
      </c>
      <c r="K3465" s="8">
        <v>249.80699999999999</v>
      </c>
      <c r="L3465" s="8">
        <v>331.36</v>
      </c>
      <c r="M3465" s="8">
        <v>319.625</v>
      </c>
      <c r="N3465" s="8">
        <v>295.24400000000003</v>
      </c>
      <c r="O3465" s="8">
        <v>294.67399999999998</v>
      </c>
      <c r="P3465" s="8">
        <v>321.70800000000003</v>
      </c>
      <c r="Q3465" s="8">
        <v>340.26400000000001</v>
      </c>
      <c r="R3465" s="8">
        <v>318.20499999999998</v>
      </c>
      <c r="S3465" s="8">
        <v>296.31700000000001</v>
      </c>
      <c r="T3465" s="8">
        <v>286.10500000000002</v>
      </c>
      <c r="U3465" s="8">
        <v>311.26600000000002</v>
      </c>
      <c r="V3465" s="8">
        <v>262.33699999999999</v>
      </c>
      <c r="W3465" s="8">
        <v>183.60300000000001</v>
      </c>
      <c r="X3465" s="8">
        <v>136.11799999999999</v>
      </c>
      <c r="Y3465" s="8">
        <v>100.99</v>
      </c>
      <c r="Z3465" s="8">
        <v>60.395000000000003</v>
      </c>
      <c r="AA3465" s="8">
        <v>19.337</v>
      </c>
      <c r="AB3465" s="8">
        <v>3.2749999999999999</v>
      </c>
      <c r="AC3465" s="8">
        <v>0.253</v>
      </c>
    </row>
    <row r="3466" spans="1:29" ht="11.65" x14ac:dyDescent="0.35">
      <c r="A3466" s="12">
        <v>3449</v>
      </c>
      <c r="B3466" s="10" t="s">
        <v>1015</v>
      </c>
      <c r="C3466" s="18" t="s">
        <v>1254</v>
      </c>
      <c r="D3466" s="9"/>
      <c r="E3466" s="9">
        <v>752</v>
      </c>
      <c r="F3466" s="10" t="s">
        <v>1066</v>
      </c>
      <c r="G3466" s="9">
        <v>924</v>
      </c>
      <c r="H3466" s="9">
        <v>2015</v>
      </c>
      <c r="I3466" s="8">
        <v>301.48500000000001</v>
      </c>
      <c r="J3466" s="8">
        <v>299.19499999999999</v>
      </c>
      <c r="K3466" s="8">
        <v>266.69799999999998</v>
      </c>
      <c r="L3466" s="8">
        <v>261.779</v>
      </c>
      <c r="M3466" s="8">
        <v>357.49299999999999</v>
      </c>
      <c r="N3466" s="8">
        <v>340.392</v>
      </c>
      <c r="O3466" s="8">
        <v>312.495</v>
      </c>
      <c r="P3466" s="8">
        <v>305.20400000000001</v>
      </c>
      <c r="Q3466" s="8">
        <v>329.75200000000001</v>
      </c>
      <c r="R3466" s="8">
        <v>345.96300000000002</v>
      </c>
      <c r="S3466" s="8">
        <v>316.43599999999998</v>
      </c>
      <c r="T3466" s="8">
        <v>291.31799999999998</v>
      </c>
      <c r="U3466" s="8">
        <v>272.99299999999999</v>
      </c>
      <c r="V3466" s="8">
        <v>297.411</v>
      </c>
      <c r="W3466" s="8">
        <v>236.53299999999999</v>
      </c>
      <c r="X3466" s="8">
        <v>154.666</v>
      </c>
      <c r="Y3466" s="8">
        <v>101.836</v>
      </c>
      <c r="Z3466" s="8">
        <v>60.575000000000003</v>
      </c>
      <c r="AA3466" s="8">
        <v>24.114000000000001</v>
      </c>
      <c r="AB3466" s="8">
        <v>4.1859999999999999</v>
      </c>
      <c r="AC3466" s="8">
        <v>0.33200000000000002</v>
      </c>
    </row>
    <row r="3467" spans="1:29" ht="11.65" x14ac:dyDescent="0.35">
      <c r="A3467" s="12">
        <v>3450</v>
      </c>
      <c r="B3467" s="10" t="s">
        <v>1015</v>
      </c>
      <c r="C3467" s="18" t="s">
        <v>1254</v>
      </c>
      <c r="D3467" s="9"/>
      <c r="E3467" s="9">
        <v>752</v>
      </c>
      <c r="F3467" s="10" t="s">
        <v>1066</v>
      </c>
      <c r="G3467" s="9">
        <v>924</v>
      </c>
      <c r="H3467" s="9">
        <v>2020</v>
      </c>
      <c r="I3467" s="8">
        <v>309.24</v>
      </c>
      <c r="J3467" s="8">
        <v>304.03800000000001</v>
      </c>
      <c r="K3467" s="8">
        <v>301.14</v>
      </c>
      <c r="L3467" s="8">
        <v>276.95</v>
      </c>
      <c r="M3467" s="8">
        <v>280.04700000000003</v>
      </c>
      <c r="N3467" s="8">
        <v>374.45499999999998</v>
      </c>
      <c r="O3467" s="8">
        <v>352.98099999999999</v>
      </c>
      <c r="P3467" s="8">
        <v>320.96300000000002</v>
      </c>
      <c r="Q3467" s="8">
        <v>310.33699999999999</v>
      </c>
      <c r="R3467" s="8">
        <v>331.86500000000001</v>
      </c>
      <c r="S3467" s="8">
        <v>344.97300000000001</v>
      </c>
      <c r="T3467" s="8">
        <v>312.49400000000003</v>
      </c>
      <c r="U3467" s="8">
        <v>283.73500000000001</v>
      </c>
      <c r="V3467" s="8">
        <v>260.42099999999999</v>
      </c>
      <c r="W3467" s="8">
        <v>274.80399999999997</v>
      </c>
      <c r="X3467" s="8">
        <v>206.28100000000001</v>
      </c>
      <c r="Y3467" s="8">
        <v>120.133</v>
      </c>
      <c r="Z3467" s="8">
        <v>63.024000000000001</v>
      </c>
      <c r="AA3467" s="8">
        <v>25.178000000000001</v>
      </c>
      <c r="AB3467" s="8">
        <v>5.45</v>
      </c>
      <c r="AC3467" s="8">
        <v>0.438</v>
      </c>
    </row>
    <row r="3468" spans="1:29" ht="11.65" x14ac:dyDescent="0.35">
      <c r="A3468" s="12">
        <v>3451</v>
      </c>
      <c r="B3468" s="10" t="s">
        <v>1015</v>
      </c>
      <c r="C3468" s="18" t="s">
        <v>1255</v>
      </c>
      <c r="D3468" s="9">
        <v>24</v>
      </c>
      <c r="E3468" s="9">
        <v>826</v>
      </c>
      <c r="F3468" s="10" t="s">
        <v>1066</v>
      </c>
      <c r="G3468" s="9">
        <v>924</v>
      </c>
      <c r="H3468" s="9">
        <v>1950</v>
      </c>
      <c r="I3468" s="8">
        <v>2238.7359999999999</v>
      </c>
      <c r="J3468" s="8">
        <v>1858.7539999999999</v>
      </c>
      <c r="K3468" s="8">
        <v>1705.3869999999999</v>
      </c>
      <c r="L3468" s="8">
        <v>1544.2049999999999</v>
      </c>
      <c r="M3468" s="8">
        <v>1682.143</v>
      </c>
      <c r="N3468" s="8">
        <v>1925.0619999999999</v>
      </c>
      <c r="O3468" s="8">
        <v>1723.6959999999999</v>
      </c>
      <c r="P3468" s="8">
        <v>1917.3620000000001</v>
      </c>
      <c r="Q3468" s="8">
        <v>1916.423</v>
      </c>
      <c r="R3468" s="8">
        <v>1753.423</v>
      </c>
      <c r="S3468" s="8">
        <v>1470.722</v>
      </c>
      <c r="T3468" s="8">
        <v>1244.81</v>
      </c>
      <c r="U3468" s="8">
        <v>1079.7270000000001</v>
      </c>
      <c r="V3468" s="8">
        <v>897.47199999999998</v>
      </c>
      <c r="W3468" s="8">
        <v>685.06</v>
      </c>
      <c r="X3468" s="8">
        <v>429.56700000000001</v>
      </c>
      <c r="Y3468" s="8">
        <v>193.57499999999999</v>
      </c>
      <c r="Z3468" s="8">
        <v>59.268000000000001</v>
      </c>
      <c r="AA3468" s="8">
        <v>10.885999999999999</v>
      </c>
      <c r="AB3468" s="8">
        <v>1.075</v>
      </c>
      <c r="AC3468" s="8">
        <v>0.05</v>
      </c>
    </row>
    <row r="3469" spans="1:29" ht="11.65" x14ac:dyDescent="0.35">
      <c r="A3469" s="12">
        <v>3452</v>
      </c>
      <c r="B3469" s="10" t="s">
        <v>1015</v>
      </c>
      <c r="C3469" s="18" t="s">
        <v>1255</v>
      </c>
      <c r="D3469" s="9">
        <v>24</v>
      </c>
      <c r="E3469" s="9">
        <v>826</v>
      </c>
      <c r="F3469" s="10" t="s">
        <v>1066</v>
      </c>
      <c r="G3469" s="9">
        <v>924</v>
      </c>
      <c r="H3469" s="9">
        <v>1955</v>
      </c>
      <c r="I3469" s="8">
        <v>1943.3409999999999</v>
      </c>
      <c r="J3469" s="8">
        <v>2189.1179999999999</v>
      </c>
      <c r="K3469" s="8">
        <v>1836.5840000000001</v>
      </c>
      <c r="L3469" s="8">
        <v>1650.999</v>
      </c>
      <c r="M3469" s="8">
        <v>1598.5050000000001</v>
      </c>
      <c r="N3469" s="8">
        <v>1705.056</v>
      </c>
      <c r="O3469" s="8">
        <v>1886.9</v>
      </c>
      <c r="P3469" s="8">
        <v>1664.7049999999999</v>
      </c>
      <c r="Q3469" s="8">
        <v>1843.2950000000001</v>
      </c>
      <c r="R3469" s="8">
        <v>1821.9449999999999</v>
      </c>
      <c r="S3469" s="8">
        <v>1688.5809999999999</v>
      </c>
      <c r="T3469" s="8">
        <v>1341.14</v>
      </c>
      <c r="U3469" s="8">
        <v>1097.664</v>
      </c>
      <c r="V3469" s="8">
        <v>884.63800000000003</v>
      </c>
      <c r="W3469" s="8">
        <v>671.69600000000003</v>
      </c>
      <c r="X3469" s="8">
        <v>440.392</v>
      </c>
      <c r="Y3469" s="8">
        <v>221.53100000000001</v>
      </c>
      <c r="Z3469" s="8">
        <v>68.417000000000002</v>
      </c>
      <c r="AA3469" s="8">
        <v>12.791</v>
      </c>
      <c r="AB3469" s="8">
        <v>1.2569999999999999</v>
      </c>
      <c r="AC3469" s="8">
        <v>0.06</v>
      </c>
    </row>
    <row r="3470" spans="1:29" ht="11.65" x14ac:dyDescent="0.35">
      <c r="A3470" s="12">
        <v>3453</v>
      </c>
      <c r="B3470" s="10" t="s">
        <v>1015</v>
      </c>
      <c r="C3470" s="18" t="s">
        <v>1255</v>
      </c>
      <c r="D3470" s="9">
        <v>24</v>
      </c>
      <c r="E3470" s="9">
        <v>826</v>
      </c>
      <c r="F3470" s="10" t="s">
        <v>1066</v>
      </c>
      <c r="G3470" s="9">
        <v>924</v>
      </c>
      <c r="H3470" s="9">
        <v>1960</v>
      </c>
      <c r="I3470" s="8">
        <v>2106.1779999999999</v>
      </c>
      <c r="J3470" s="8">
        <v>1927.296</v>
      </c>
      <c r="K3470" s="8">
        <v>2181.8229999999999</v>
      </c>
      <c r="L3470" s="8">
        <v>1830.547</v>
      </c>
      <c r="M3470" s="8">
        <v>1640.8309999999999</v>
      </c>
      <c r="N3470" s="8">
        <v>1659.251</v>
      </c>
      <c r="O3470" s="8">
        <v>1714.42</v>
      </c>
      <c r="P3470" s="8">
        <v>1865.239</v>
      </c>
      <c r="Q3470" s="8">
        <v>1657.6859999999999</v>
      </c>
      <c r="R3470" s="8">
        <v>1795.624</v>
      </c>
      <c r="S3470" s="8">
        <v>1753.087</v>
      </c>
      <c r="T3470" s="8">
        <v>1582.4059999999999</v>
      </c>
      <c r="U3470" s="8">
        <v>1203.3910000000001</v>
      </c>
      <c r="V3470" s="8">
        <v>919.12699999999995</v>
      </c>
      <c r="W3470" s="8">
        <v>674.67399999999998</v>
      </c>
      <c r="X3470" s="8">
        <v>441.452</v>
      </c>
      <c r="Y3470" s="8">
        <v>238.39500000000001</v>
      </c>
      <c r="Z3470" s="8">
        <v>82.001999999999995</v>
      </c>
      <c r="AA3470" s="8">
        <v>15.693</v>
      </c>
      <c r="AB3470" s="8">
        <v>1.609</v>
      </c>
      <c r="AC3470" s="8">
        <v>7.9000000000000001E-2</v>
      </c>
    </row>
    <row r="3471" spans="1:29" ht="11.65" x14ac:dyDescent="0.35">
      <c r="A3471" s="12">
        <v>3454</v>
      </c>
      <c r="B3471" s="10" t="s">
        <v>1015</v>
      </c>
      <c r="C3471" s="18" t="s">
        <v>1255</v>
      </c>
      <c r="D3471" s="9">
        <v>24</v>
      </c>
      <c r="E3471" s="9">
        <v>826</v>
      </c>
      <c r="F3471" s="10" t="s">
        <v>1066</v>
      </c>
      <c r="G3471" s="9">
        <v>924</v>
      </c>
      <c r="H3471" s="9">
        <v>1965</v>
      </c>
      <c r="I3471" s="8">
        <v>2451.5810000000001</v>
      </c>
      <c r="J3471" s="8">
        <v>2100.9409999999998</v>
      </c>
      <c r="K3471" s="8">
        <v>1936.7940000000001</v>
      </c>
      <c r="L3471" s="8">
        <v>2154.0740000000001</v>
      </c>
      <c r="M3471" s="8">
        <v>1796.578</v>
      </c>
      <c r="N3471" s="8">
        <v>1689.2329999999999</v>
      </c>
      <c r="O3471" s="8">
        <v>1666.5329999999999</v>
      </c>
      <c r="P3471" s="8">
        <v>1716.6859999999999</v>
      </c>
      <c r="Q3471" s="8">
        <v>1846.491</v>
      </c>
      <c r="R3471" s="8">
        <v>1617.375</v>
      </c>
      <c r="S3471" s="8">
        <v>1743.443</v>
      </c>
      <c r="T3471" s="8">
        <v>1659.6410000000001</v>
      </c>
      <c r="U3471" s="8">
        <v>1419.8230000000001</v>
      </c>
      <c r="V3471" s="8">
        <v>1000.285</v>
      </c>
      <c r="W3471" s="8">
        <v>701.25699999999995</v>
      </c>
      <c r="X3471" s="8">
        <v>451.66</v>
      </c>
      <c r="Y3471" s="8">
        <v>239.61799999999999</v>
      </c>
      <c r="Z3471" s="8">
        <v>90.676000000000002</v>
      </c>
      <c r="AA3471" s="8">
        <v>19.928000000000001</v>
      </c>
      <c r="AB3471" s="8">
        <v>2.149</v>
      </c>
      <c r="AC3471" s="8">
        <v>0.114</v>
      </c>
    </row>
    <row r="3472" spans="1:29" ht="11.65" x14ac:dyDescent="0.35">
      <c r="A3472" s="12">
        <v>3455</v>
      </c>
      <c r="B3472" s="10" t="s">
        <v>1015</v>
      </c>
      <c r="C3472" s="18" t="s">
        <v>1255</v>
      </c>
      <c r="D3472" s="9">
        <v>24</v>
      </c>
      <c r="E3472" s="9">
        <v>826</v>
      </c>
      <c r="F3472" s="10" t="s">
        <v>1066</v>
      </c>
      <c r="G3472" s="9">
        <v>924</v>
      </c>
      <c r="H3472" s="9">
        <v>1970</v>
      </c>
      <c r="I3472" s="8">
        <v>2380.116</v>
      </c>
      <c r="J3472" s="8">
        <v>2411.076</v>
      </c>
      <c r="K3472" s="8">
        <v>2091.1669999999999</v>
      </c>
      <c r="L3472" s="8">
        <v>1939.471</v>
      </c>
      <c r="M3472" s="8">
        <v>2135.6170000000002</v>
      </c>
      <c r="N3472" s="8">
        <v>1797.7950000000001</v>
      </c>
      <c r="O3472" s="8">
        <v>1666.328</v>
      </c>
      <c r="P3472" s="8">
        <v>1630.203</v>
      </c>
      <c r="Q3472" s="8">
        <v>1680.742</v>
      </c>
      <c r="R3472" s="8">
        <v>1795.95</v>
      </c>
      <c r="S3472" s="8">
        <v>1545.021</v>
      </c>
      <c r="T3472" s="8">
        <v>1636.3389999999999</v>
      </c>
      <c r="U3472" s="8">
        <v>1494.3720000000001</v>
      </c>
      <c r="V3472" s="8">
        <v>1184.922</v>
      </c>
      <c r="W3472" s="8">
        <v>754.63900000000001</v>
      </c>
      <c r="X3472" s="8">
        <v>460.79300000000001</v>
      </c>
      <c r="Y3472" s="8">
        <v>243.91900000000001</v>
      </c>
      <c r="Z3472" s="8">
        <v>96.02</v>
      </c>
      <c r="AA3472" s="8">
        <v>23.693999999999999</v>
      </c>
      <c r="AB3472" s="8">
        <v>2.9969999999999999</v>
      </c>
      <c r="AC3472" s="8">
        <v>0.17799999999999999</v>
      </c>
    </row>
    <row r="3473" spans="1:29" ht="11.65" x14ac:dyDescent="0.35">
      <c r="A3473" s="12">
        <v>3456</v>
      </c>
      <c r="B3473" s="10" t="s">
        <v>1015</v>
      </c>
      <c r="C3473" s="18" t="s">
        <v>1255</v>
      </c>
      <c r="D3473" s="9">
        <v>24</v>
      </c>
      <c r="E3473" s="9">
        <v>826</v>
      </c>
      <c r="F3473" s="10" t="s">
        <v>1066</v>
      </c>
      <c r="G3473" s="9">
        <v>924</v>
      </c>
      <c r="H3473" s="9">
        <v>1975</v>
      </c>
      <c r="I3473" s="8">
        <v>2008.0319999999999</v>
      </c>
      <c r="J3473" s="8">
        <v>2353.136</v>
      </c>
      <c r="K3473" s="8">
        <v>2412.8989999999999</v>
      </c>
      <c r="L3473" s="8">
        <v>2080.1819999999998</v>
      </c>
      <c r="M3473" s="8">
        <v>1942.085</v>
      </c>
      <c r="N3473" s="8">
        <v>2128.2779999999998</v>
      </c>
      <c r="O3473" s="8">
        <v>1776.231</v>
      </c>
      <c r="P3473" s="8">
        <v>1637.7059999999999</v>
      </c>
      <c r="Q3473" s="8">
        <v>1602.999</v>
      </c>
      <c r="R3473" s="8">
        <v>1644.924</v>
      </c>
      <c r="S3473" s="8">
        <v>1734.789</v>
      </c>
      <c r="T3473" s="8">
        <v>1455.8219999999999</v>
      </c>
      <c r="U3473" s="8">
        <v>1484.1030000000001</v>
      </c>
      <c r="V3473" s="8">
        <v>1268.0319999999999</v>
      </c>
      <c r="W3473" s="8">
        <v>908.38099999999997</v>
      </c>
      <c r="X3473" s="8">
        <v>498.54700000000003</v>
      </c>
      <c r="Y3473" s="8">
        <v>250.798</v>
      </c>
      <c r="Z3473" s="8">
        <v>98.655000000000001</v>
      </c>
      <c r="AA3473" s="8">
        <v>25.888000000000002</v>
      </c>
      <c r="AB3473" s="8">
        <v>3.6989999999999998</v>
      </c>
      <c r="AC3473" s="8">
        <v>0.26400000000000001</v>
      </c>
    </row>
    <row r="3474" spans="1:29" ht="11.65" x14ac:dyDescent="0.35">
      <c r="A3474" s="12">
        <v>3457</v>
      </c>
      <c r="B3474" s="10" t="s">
        <v>1015</v>
      </c>
      <c r="C3474" s="18" t="s">
        <v>1255</v>
      </c>
      <c r="D3474" s="9">
        <v>24</v>
      </c>
      <c r="E3474" s="9">
        <v>826</v>
      </c>
      <c r="F3474" s="10" t="s">
        <v>1066</v>
      </c>
      <c r="G3474" s="9">
        <v>924</v>
      </c>
      <c r="H3474" s="9">
        <v>1980</v>
      </c>
      <c r="I3474" s="8">
        <v>1735.5519999999999</v>
      </c>
      <c r="J3474" s="8">
        <v>1983.4079999999999</v>
      </c>
      <c r="K3474" s="8">
        <v>2348.2950000000001</v>
      </c>
      <c r="L3474" s="8">
        <v>2423.5360000000001</v>
      </c>
      <c r="M3474" s="8">
        <v>2082.2550000000001</v>
      </c>
      <c r="N3474" s="8">
        <v>1909.482</v>
      </c>
      <c r="O3474" s="8">
        <v>2096.9540000000002</v>
      </c>
      <c r="P3474" s="8">
        <v>1748.5119999999999</v>
      </c>
      <c r="Q3474" s="8">
        <v>1609.8050000000001</v>
      </c>
      <c r="R3474" s="8">
        <v>1571.09</v>
      </c>
      <c r="S3474" s="8">
        <v>1590.5319999999999</v>
      </c>
      <c r="T3474" s="8">
        <v>1634.644</v>
      </c>
      <c r="U3474" s="8">
        <v>1324.079</v>
      </c>
      <c r="V3474" s="8">
        <v>1275.3900000000001</v>
      </c>
      <c r="W3474" s="8">
        <v>993.72199999999998</v>
      </c>
      <c r="X3474" s="8">
        <v>612.84100000000001</v>
      </c>
      <c r="Y3474" s="8">
        <v>274.28399999999999</v>
      </c>
      <c r="Z3474" s="8">
        <v>103.069</v>
      </c>
      <c r="AA3474" s="8">
        <v>26.959</v>
      </c>
      <c r="AB3474" s="8">
        <v>4.149</v>
      </c>
      <c r="AC3474" s="8">
        <v>0.33600000000000002</v>
      </c>
    </row>
    <row r="3475" spans="1:29" ht="11.65" x14ac:dyDescent="0.35">
      <c r="A3475" s="12">
        <v>3458</v>
      </c>
      <c r="B3475" s="10" t="s">
        <v>1015</v>
      </c>
      <c r="C3475" s="18" t="s">
        <v>1255</v>
      </c>
      <c r="D3475" s="9">
        <v>24</v>
      </c>
      <c r="E3475" s="9">
        <v>826</v>
      </c>
      <c r="F3475" s="10" t="s">
        <v>1066</v>
      </c>
      <c r="G3475" s="9">
        <v>924</v>
      </c>
      <c r="H3475" s="9">
        <v>1985</v>
      </c>
      <c r="I3475" s="8">
        <v>1837.4580000000001</v>
      </c>
      <c r="J3475" s="8">
        <v>1730.136</v>
      </c>
      <c r="K3475" s="8">
        <v>1971.4690000000001</v>
      </c>
      <c r="L3475" s="8">
        <v>2332.5529999999999</v>
      </c>
      <c r="M3475" s="8">
        <v>2402.7559999999999</v>
      </c>
      <c r="N3475" s="8">
        <v>2027.855</v>
      </c>
      <c r="O3475" s="8">
        <v>1870.451</v>
      </c>
      <c r="P3475" s="8">
        <v>2063.3040000000001</v>
      </c>
      <c r="Q3475" s="8">
        <v>1721.796</v>
      </c>
      <c r="R3475" s="8">
        <v>1574.0509999999999</v>
      </c>
      <c r="S3475" s="8">
        <v>1525.1780000000001</v>
      </c>
      <c r="T3475" s="8">
        <v>1514.74</v>
      </c>
      <c r="U3475" s="8">
        <v>1499.115</v>
      </c>
      <c r="V3475" s="8">
        <v>1151.1099999999999</v>
      </c>
      <c r="W3475" s="8">
        <v>1017.3339999999999</v>
      </c>
      <c r="X3475" s="8">
        <v>688.41800000000001</v>
      </c>
      <c r="Y3475" s="8">
        <v>345.47300000000001</v>
      </c>
      <c r="Z3475" s="8">
        <v>117.051</v>
      </c>
      <c r="AA3475" s="8">
        <v>30.134</v>
      </c>
      <c r="AB3475" s="8">
        <v>4.6920000000000002</v>
      </c>
      <c r="AC3475" s="8">
        <v>0.42799999999999999</v>
      </c>
    </row>
    <row r="3476" spans="1:29" ht="11.65" x14ac:dyDescent="0.35">
      <c r="A3476" s="12">
        <v>3459</v>
      </c>
      <c r="B3476" s="10" t="s">
        <v>1015</v>
      </c>
      <c r="C3476" s="18" t="s">
        <v>1255</v>
      </c>
      <c r="D3476" s="9">
        <v>24</v>
      </c>
      <c r="E3476" s="9">
        <v>826</v>
      </c>
      <c r="F3476" s="10" t="s">
        <v>1066</v>
      </c>
      <c r="G3476" s="9">
        <v>924</v>
      </c>
      <c r="H3476" s="9">
        <v>1990</v>
      </c>
      <c r="I3476" s="8">
        <v>1954.473</v>
      </c>
      <c r="J3476" s="8">
        <v>1848.635</v>
      </c>
      <c r="K3476" s="8">
        <v>1741.172</v>
      </c>
      <c r="L3476" s="8">
        <v>1978.8810000000001</v>
      </c>
      <c r="M3476" s="8">
        <v>2299.08</v>
      </c>
      <c r="N3476" s="8">
        <v>2352.16</v>
      </c>
      <c r="O3476" s="8">
        <v>2004.154</v>
      </c>
      <c r="P3476" s="8">
        <v>1853.2139999999999</v>
      </c>
      <c r="Q3476" s="8">
        <v>2048.7669999999998</v>
      </c>
      <c r="R3476" s="8">
        <v>1692.6289999999999</v>
      </c>
      <c r="S3476" s="8">
        <v>1534.713</v>
      </c>
      <c r="T3476" s="8">
        <v>1462.1849999999999</v>
      </c>
      <c r="U3476" s="8">
        <v>1405.7260000000001</v>
      </c>
      <c r="V3476" s="8">
        <v>1318.8810000000001</v>
      </c>
      <c r="W3476" s="8">
        <v>938.21600000000001</v>
      </c>
      <c r="X3476" s="8">
        <v>733.52200000000005</v>
      </c>
      <c r="Y3476" s="8">
        <v>409.18099999999998</v>
      </c>
      <c r="Z3476" s="8">
        <v>154.62700000000001</v>
      </c>
      <c r="AA3476" s="8">
        <v>35.828000000000003</v>
      </c>
      <c r="AB3476" s="8">
        <v>5.5529999999999999</v>
      </c>
      <c r="AC3476" s="8">
        <v>0.503</v>
      </c>
    </row>
    <row r="3477" spans="1:29" ht="11.65" x14ac:dyDescent="0.35">
      <c r="A3477" s="12">
        <v>3460</v>
      </c>
      <c r="B3477" s="10" t="s">
        <v>1015</v>
      </c>
      <c r="C3477" s="18" t="s">
        <v>1255</v>
      </c>
      <c r="D3477" s="9">
        <v>24</v>
      </c>
      <c r="E3477" s="9">
        <v>826</v>
      </c>
      <c r="F3477" s="10" t="s">
        <v>1066</v>
      </c>
      <c r="G3477" s="9">
        <v>924</v>
      </c>
      <c r="H3477" s="9">
        <v>1995</v>
      </c>
      <c r="I3477" s="8">
        <v>1952.2449999999999</v>
      </c>
      <c r="J3477" s="8">
        <v>1959.6469999999999</v>
      </c>
      <c r="K3477" s="8">
        <v>1854.433</v>
      </c>
      <c r="L3477" s="8">
        <v>1725.6569999999999</v>
      </c>
      <c r="M3477" s="8">
        <v>1963.857</v>
      </c>
      <c r="N3477" s="8">
        <v>2274.7579999999998</v>
      </c>
      <c r="O3477" s="8">
        <v>2315.0709999999999</v>
      </c>
      <c r="P3477" s="8">
        <v>1990.7249999999999</v>
      </c>
      <c r="Q3477" s="8">
        <v>1842.172</v>
      </c>
      <c r="R3477" s="8">
        <v>2021.961</v>
      </c>
      <c r="S3477" s="8">
        <v>1659.2650000000001</v>
      </c>
      <c r="T3477" s="8">
        <v>1484.769</v>
      </c>
      <c r="U3477" s="8">
        <v>1373.3330000000001</v>
      </c>
      <c r="V3477" s="8">
        <v>1255.174</v>
      </c>
      <c r="W3477" s="8">
        <v>1089.633</v>
      </c>
      <c r="X3477" s="8">
        <v>698.21799999999996</v>
      </c>
      <c r="Y3477" s="8">
        <v>456.10199999999998</v>
      </c>
      <c r="Z3477" s="8">
        <v>193.256</v>
      </c>
      <c r="AA3477" s="8">
        <v>49.802</v>
      </c>
      <c r="AB3477" s="8">
        <v>6.8120000000000003</v>
      </c>
      <c r="AC3477" s="8">
        <v>0.60099999999999998</v>
      </c>
    </row>
    <row r="3478" spans="1:29" ht="11.65" x14ac:dyDescent="0.35">
      <c r="A3478" s="12">
        <v>3461</v>
      </c>
      <c r="B3478" s="10" t="s">
        <v>1015</v>
      </c>
      <c r="C3478" s="18" t="s">
        <v>1255</v>
      </c>
      <c r="D3478" s="9">
        <v>24</v>
      </c>
      <c r="E3478" s="9">
        <v>826</v>
      </c>
      <c r="F3478" s="10" t="s">
        <v>1066</v>
      </c>
      <c r="G3478" s="9">
        <v>924</v>
      </c>
      <c r="H3478" s="9">
        <v>2000</v>
      </c>
      <c r="I3478" s="8">
        <v>1819.2729999999999</v>
      </c>
      <c r="J3478" s="8">
        <v>1952.2950000000001</v>
      </c>
      <c r="K3478" s="8">
        <v>1974.4290000000001</v>
      </c>
      <c r="L3478" s="8">
        <v>1842.9580000000001</v>
      </c>
      <c r="M3478" s="8">
        <v>1752.1659999999999</v>
      </c>
      <c r="N3478" s="8">
        <v>2010.366</v>
      </c>
      <c r="O3478" s="8">
        <v>2304.3200000000002</v>
      </c>
      <c r="P3478" s="8">
        <v>2304.0659999999998</v>
      </c>
      <c r="Q3478" s="8">
        <v>1991.777</v>
      </c>
      <c r="R3478" s="8">
        <v>1829.8489999999999</v>
      </c>
      <c r="S3478" s="8">
        <v>1986.413</v>
      </c>
      <c r="T3478" s="8">
        <v>1612.9069999999999</v>
      </c>
      <c r="U3478" s="8">
        <v>1414.2080000000001</v>
      </c>
      <c r="V3478" s="8">
        <v>1254.481</v>
      </c>
      <c r="W3478" s="8">
        <v>1069.0440000000001</v>
      </c>
      <c r="X3478" s="8">
        <v>831.03700000000003</v>
      </c>
      <c r="Y3478" s="8">
        <v>461.745</v>
      </c>
      <c r="Z3478" s="8">
        <v>225.49199999999999</v>
      </c>
      <c r="AA3478" s="8">
        <v>64.426000000000002</v>
      </c>
      <c r="AB3478" s="8">
        <v>9.5969999999999995</v>
      </c>
      <c r="AC3478" s="8">
        <v>0.71499999999999997</v>
      </c>
    </row>
    <row r="3479" spans="1:29" ht="11.65" x14ac:dyDescent="0.35">
      <c r="A3479" s="12">
        <v>3462</v>
      </c>
      <c r="B3479" s="10" t="s">
        <v>1015</v>
      </c>
      <c r="C3479" s="18" t="s">
        <v>1255</v>
      </c>
      <c r="D3479" s="9">
        <v>24</v>
      </c>
      <c r="E3479" s="9">
        <v>826</v>
      </c>
      <c r="F3479" s="10" t="s">
        <v>1066</v>
      </c>
      <c r="G3479" s="9">
        <v>924</v>
      </c>
      <c r="H3479" s="9">
        <v>2005</v>
      </c>
      <c r="I3479" s="8">
        <v>1771.16</v>
      </c>
      <c r="J3479" s="8">
        <v>1820.1690000000001</v>
      </c>
      <c r="K3479" s="8">
        <v>1964.1759999999999</v>
      </c>
      <c r="L3479" s="8">
        <v>2037.0840000000001</v>
      </c>
      <c r="M3479" s="8">
        <v>1987.7090000000001</v>
      </c>
      <c r="N3479" s="8">
        <v>1876.0409999999999</v>
      </c>
      <c r="O3479" s="8">
        <v>2070.3009999999999</v>
      </c>
      <c r="P3479" s="8">
        <v>2330.2750000000001</v>
      </c>
      <c r="Q3479" s="8">
        <v>2299.7629999999999</v>
      </c>
      <c r="R3479" s="8">
        <v>1974.7750000000001</v>
      </c>
      <c r="S3479" s="8">
        <v>1790.3330000000001</v>
      </c>
      <c r="T3479" s="8">
        <v>1921.33</v>
      </c>
      <c r="U3479" s="8">
        <v>1526.326</v>
      </c>
      <c r="V3479" s="8">
        <v>1298.0619999999999</v>
      </c>
      <c r="W3479" s="8">
        <v>1094.3710000000001</v>
      </c>
      <c r="X3479" s="8">
        <v>851.18700000000001</v>
      </c>
      <c r="Y3479" s="8">
        <v>564.59900000000005</v>
      </c>
      <c r="Z3479" s="8">
        <v>244.56200000000001</v>
      </c>
      <c r="AA3479" s="8">
        <v>80.876999999999995</v>
      </c>
      <c r="AB3479" s="8">
        <v>13.343</v>
      </c>
      <c r="AC3479" s="8">
        <v>1.042</v>
      </c>
    </row>
    <row r="3480" spans="1:29" ht="11.65" x14ac:dyDescent="0.35">
      <c r="A3480" s="12">
        <v>3463</v>
      </c>
      <c r="B3480" s="10" t="s">
        <v>1015</v>
      </c>
      <c r="C3480" s="18" t="s">
        <v>1255</v>
      </c>
      <c r="D3480" s="9">
        <v>24</v>
      </c>
      <c r="E3480" s="9">
        <v>826</v>
      </c>
      <c r="F3480" s="10" t="s">
        <v>1066</v>
      </c>
      <c r="G3480" s="9">
        <v>924</v>
      </c>
      <c r="H3480" s="9">
        <v>2010</v>
      </c>
      <c r="I3480" s="8">
        <v>1993.924</v>
      </c>
      <c r="J3480" s="8">
        <v>1801.521</v>
      </c>
      <c r="K3480" s="8">
        <v>1887.3</v>
      </c>
      <c r="L3480" s="8">
        <v>2045.127</v>
      </c>
      <c r="M3480" s="8">
        <v>2168.297</v>
      </c>
      <c r="N3480" s="8">
        <v>2147.4259999999999</v>
      </c>
      <c r="O3480" s="8">
        <v>2070.6170000000002</v>
      </c>
      <c r="P3480" s="8">
        <v>2097.5720000000001</v>
      </c>
      <c r="Q3480" s="8">
        <v>2295.4059999999999</v>
      </c>
      <c r="R3480" s="8">
        <v>2289.933</v>
      </c>
      <c r="S3480" s="8">
        <v>2022.02</v>
      </c>
      <c r="T3480" s="8">
        <v>1802.52</v>
      </c>
      <c r="U3480" s="8">
        <v>1885.625</v>
      </c>
      <c r="V3480" s="8">
        <v>1461.0719999999999</v>
      </c>
      <c r="W3480" s="8">
        <v>1179.6369999999999</v>
      </c>
      <c r="X3480" s="8">
        <v>939.35799999999995</v>
      </c>
      <c r="Y3480" s="8">
        <v>647.779</v>
      </c>
      <c r="Z3480" s="8">
        <v>323.89499999999998</v>
      </c>
      <c r="AA3480" s="8">
        <v>96.344999999999999</v>
      </c>
      <c r="AB3480" s="8">
        <v>18.369</v>
      </c>
      <c r="AC3480" s="8">
        <v>1.5369999999999999</v>
      </c>
    </row>
    <row r="3481" spans="1:29" ht="11.65" x14ac:dyDescent="0.35">
      <c r="A3481" s="12">
        <v>3464</v>
      </c>
      <c r="B3481" s="10" t="s">
        <v>1015</v>
      </c>
      <c r="C3481" s="18" t="s">
        <v>1255</v>
      </c>
      <c r="D3481" s="9">
        <v>24</v>
      </c>
      <c r="E3481" s="9">
        <v>826</v>
      </c>
      <c r="F3481" s="10" t="s">
        <v>1066</v>
      </c>
      <c r="G3481" s="9">
        <v>924</v>
      </c>
      <c r="H3481" s="9">
        <v>2015</v>
      </c>
      <c r="I3481" s="8">
        <v>2092.3649999999998</v>
      </c>
      <c r="J3481" s="8">
        <v>2009.9090000000001</v>
      </c>
      <c r="K3481" s="8">
        <v>1814.028</v>
      </c>
      <c r="L3481" s="8">
        <v>1953.6569999999999</v>
      </c>
      <c r="M3481" s="8">
        <v>2163.0680000000002</v>
      </c>
      <c r="N3481" s="8">
        <v>2279.8420000000001</v>
      </c>
      <c r="O3481" s="8">
        <v>2228.7150000000001</v>
      </c>
      <c r="P3481" s="8">
        <v>2122.0349999999999</v>
      </c>
      <c r="Q3481" s="8">
        <v>2123.5149999999999</v>
      </c>
      <c r="R3481" s="8">
        <v>2298.373</v>
      </c>
      <c r="S3481" s="8">
        <v>2272.6109999999999</v>
      </c>
      <c r="T3481" s="8">
        <v>1985.1469999999999</v>
      </c>
      <c r="U3481" s="8">
        <v>1741.175</v>
      </c>
      <c r="V3481" s="8">
        <v>1779.5050000000001</v>
      </c>
      <c r="W3481" s="8">
        <v>1326.885</v>
      </c>
      <c r="X3481" s="8">
        <v>1002.85</v>
      </c>
      <c r="Y3481" s="8">
        <v>710.375</v>
      </c>
      <c r="Z3481" s="8">
        <v>394.03699999999998</v>
      </c>
      <c r="AA3481" s="8">
        <v>137.393</v>
      </c>
      <c r="AB3481" s="8">
        <v>23.741</v>
      </c>
      <c r="AC3481" s="8">
        <v>2.2719999999999998</v>
      </c>
    </row>
    <row r="3482" spans="1:29" ht="11.65" x14ac:dyDescent="0.35">
      <c r="A3482" s="12">
        <v>3465</v>
      </c>
      <c r="B3482" s="10" t="s">
        <v>1015</v>
      </c>
      <c r="C3482" s="18" t="s">
        <v>1255</v>
      </c>
      <c r="D3482" s="9">
        <v>24</v>
      </c>
      <c r="E3482" s="9">
        <v>826</v>
      </c>
      <c r="F3482" s="10" t="s">
        <v>1066</v>
      </c>
      <c r="G3482" s="9">
        <v>924</v>
      </c>
      <c r="H3482" s="9">
        <v>2020</v>
      </c>
      <c r="I3482" s="8">
        <v>2009.3630000000001</v>
      </c>
      <c r="J3482" s="8">
        <v>2108.5500000000002</v>
      </c>
      <c r="K3482" s="8">
        <v>2022.37</v>
      </c>
      <c r="L3482" s="8">
        <v>1880.6110000000001</v>
      </c>
      <c r="M3482" s="8">
        <v>2072.674</v>
      </c>
      <c r="N3482" s="8">
        <v>2275.1379999999999</v>
      </c>
      <c r="O3482" s="8">
        <v>2361.0540000000001</v>
      </c>
      <c r="P3482" s="8">
        <v>2279.8359999999998</v>
      </c>
      <c r="Q3482" s="8">
        <v>2148.2530000000002</v>
      </c>
      <c r="R3482" s="8">
        <v>2128.3429999999998</v>
      </c>
      <c r="S3482" s="8">
        <v>2281.4209999999998</v>
      </c>
      <c r="T3482" s="8">
        <v>2232.3879999999999</v>
      </c>
      <c r="U3482" s="8">
        <v>1919.8389999999999</v>
      </c>
      <c r="V3482" s="8">
        <v>1647.3910000000001</v>
      </c>
      <c r="W3482" s="8">
        <v>1624.635</v>
      </c>
      <c r="X3482" s="8">
        <v>1137.4380000000001</v>
      </c>
      <c r="Y3482" s="8">
        <v>766.95600000000002</v>
      </c>
      <c r="Z3482" s="8">
        <v>438.66300000000001</v>
      </c>
      <c r="AA3482" s="8">
        <v>169.952</v>
      </c>
      <c r="AB3482" s="8">
        <v>34.524000000000001</v>
      </c>
      <c r="AC3482" s="8">
        <v>3.016</v>
      </c>
    </row>
    <row r="3483" spans="1:29" ht="11.65" x14ac:dyDescent="0.35">
      <c r="A3483" s="23">
        <v>3466</v>
      </c>
      <c r="B3483" s="21" t="s">
        <v>1015</v>
      </c>
      <c r="C3483" s="22" t="s">
        <v>1256</v>
      </c>
      <c r="D3483" s="20"/>
      <c r="E3483" s="20">
        <v>925</v>
      </c>
      <c r="F3483" s="21" t="s">
        <v>1065</v>
      </c>
      <c r="G3483" s="20">
        <v>917</v>
      </c>
      <c r="H3483" s="20">
        <v>1950</v>
      </c>
      <c r="I3483" s="19">
        <v>5552.9589999999998</v>
      </c>
      <c r="J3483" s="19">
        <v>4785.9229999999998</v>
      </c>
      <c r="K3483" s="19">
        <v>5026.8620000000001</v>
      </c>
      <c r="L3483" s="19">
        <v>5106.2659999999996</v>
      </c>
      <c r="M3483" s="19">
        <v>4907.6239999999998</v>
      </c>
      <c r="N3483" s="19">
        <v>4294.4110000000001</v>
      </c>
      <c r="O3483" s="19">
        <v>3064.9560000000001</v>
      </c>
      <c r="P3483" s="19">
        <v>3617.8429999999998</v>
      </c>
      <c r="Q3483" s="19">
        <v>3501.6460000000002</v>
      </c>
      <c r="R3483" s="19">
        <v>3056.5360000000001</v>
      </c>
      <c r="S3483" s="19">
        <v>2499.5520000000001</v>
      </c>
      <c r="T3483" s="19">
        <v>2012.07</v>
      </c>
      <c r="U3483" s="19">
        <v>1746.8219999999999</v>
      </c>
      <c r="V3483" s="19">
        <v>1404.6279999999999</v>
      </c>
      <c r="W3483" s="19">
        <v>1037.8240000000001</v>
      </c>
      <c r="X3483" s="19">
        <v>638.72799999999995</v>
      </c>
      <c r="Y3483" s="19">
        <v>307.38099999999997</v>
      </c>
      <c r="Z3483" s="19">
        <v>109.97799999999999</v>
      </c>
      <c r="AA3483" s="19">
        <v>24.701000000000001</v>
      </c>
      <c r="AB3483" s="19">
        <v>4.3710000000000004</v>
      </c>
      <c r="AC3483" s="19">
        <v>0.246</v>
      </c>
    </row>
    <row r="3484" spans="1:29" ht="11.65" x14ac:dyDescent="0.35">
      <c r="A3484" s="23">
        <v>3467</v>
      </c>
      <c r="B3484" s="21" t="s">
        <v>1015</v>
      </c>
      <c r="C3484" s="22" t="s">
        <v>1256</v>
      </c>
      <c r="D3484" s="20"/>
      <c r="E3484" s="20">
        <v>925</v>
      </c>
      <c r="F3484" s="21" t="s">
        <v>1065</v>
      </c>
      <c r="G3484" s="20">
        <v>917</v>
      </c>
      <c r="H3484" s="20">
        <v>1955</v>
      </c>
      <c r="I3484" s="19">
        <v>5501.5749999999998</v>
      </c>
      <c r="J3484" s="19">
        <v>5429.5429999999997</v>
      </c>
      <c r="K3484" s="19">
        <v>4720.5349999999999</v>
      </c>
      <c r="L3484" s="19">
        <v>4889.0079999999998</v>
      </c>
      <c r="M3484" s="19">
        <v>4890.9139999999998</v>
      </c>
      <c r="N3484" s="19">
        <v>4667.7719999999999</v>
      </c>
      <c r="O3484" s="19">
        <v>4117.5590000000002</v>
      </c>
      <c r="P3484" s="19">
        <v>2962.6210000000001</v>
      </c>
      <c r="Q3484" s="19">
        <v>3527.4290000000001</v>
      </c>
      <c r="R3484" s="19">
        <v>3406.319</v>
      </c>
      <c r="S3484" s="19">
        <v>2928.7739999999999</v>
      </c>
      <c r="T3484" s="19">
        <v>2343.768</v>
      </c>
      <c r="U3484" s="19">
        <v>1829.1759999999999</v>
      </c>
      <c r="V3484" s="19">
        <v>1506.2159999999999</v>
      </c>
      <c r="W3484" s="19">
        <v>1111.7639999999999</v>
      </c>
      <c r="X3484" s="19">
        <v>703.46600000000001</v>
      </c>
      <c r="Y3484" s="19">
        <v>343.577</v>
      </c>
      <c r="Z3484" s="19">
        <v>114.70699999999999</v>
      </c>
      <c r="AA3484" s="19">
        <v>26.064</v>
      </c>
      <c r="AB3484" s="19">
        <v>3.556</v>
      </c>
      <c r="AC3484" s="19">
        <v>0.39500000000000002</v>
      </c>
    </row>
    <row r="3485" spans="1:29" ht="11.65" x14ac:dyDescent="0.35">
      <c r="A3485" s="23">
        <v>3468</v>
      </c>
      <c r="B3485" s="21" t="s">
        <v>1015</v>
      </c>
      <c r="C3485" s="22" t="s">
        <v>1256</v>
      </c>
      <c r="D3485" s="20"/>
      <c r="E3485" s="20">
        <v>925</v>
      </c>
      <c r="F3485" s="21" t="s">
        <v>1065</v>
      </c>
      <c r="G3485" s="20">
        <v>917</v>
      </c>
      <c r="H3485" s="20">
        <v>1960</v>
      </c>
      <c r="I3485" s="19">
        <v>5663.7290000000003</v>
      </c>
      <c r="J3485" s="19">
        <v>5410.4189999999999</v>
      </c>
      <c r="K3485" s="19">
        <v>5400.2579999999998</v>
      </c>
      <c r="L3485" s="19">
        <v>4631.7929999999997</v>
      </c>
      <c r="M3485" s="19">
        <v>4705.4560000000001</v>
      </c>
      <c r="N3485" s="19">
        <v>4660.6019999999999</v>
      </c>
      <c r="O3485" s="19">
        <v>4428.9449999999997</v>
      </c>
      <c r="P3485" s="19">
        <v>3939.701</v>
      </c>
      <c r="Q3485" s="19">
        <v>2858.1709999999998</v>
      </c>
      <c r="R3485" s="19">
        <v>3414.7779999999998</v>
      </c>
      <c r="S3485" s="19">
        <v>3260.91</v>
      </c>
      <c r="T3485" s="19">
        <v>2733.5329999999999</v>
      </c>
      <c r="U3485" s="19">
        <v>2113.4459999999999</v>
      </c>
      <c r="V3485" s="19">
        <v>1568.0840000000001</v>
      </c>
      <c r="W3485" s="19">
        <v>1191.383</v>
      </c>
      <c r="X3485" s="19">
        <v>761.32500000000005</v>
      </c>
      <c r="Y3485" s="19">
        <v>388.07600000000002</v>
      </c>
      <c r="Z3485" s="19">
        <v>132.142</v>
      </c>
      <c r="AA3485" s="19">
        <v>27.873999999999999</v>
      </c>
      <c r="AB3485" s="19">
        <v>3.7519999999999998</v>
      </c>
      <c r="AC3485" s="19">
        <v>0.313</v>
      </c>
    </row>
    <row r="3486" spans="1:29" ht="11.65" x14ac:dyDescent="0.35">
      <c r="A3486" s="23">
        <v>3469</v>
      </c>
      <c r="B3486" s="21" t="s">
        <v>1015</v>
      </c>
      <c r="C3486" s="22" t="s">
        <v>1256</v>
      </c>
      <c r="D3486" s="20"/>
      <c r="E3486" s="20">
        <v>925</v>
      </c>
      <c r="F3486" s="21" t="s">
        <v>1065</v>
      </c>
      <c r="G3486" s="20">
        <v>917</v>
      </c>
      <c r="H3486" s="20">
        <v>1965</v>
      </c>
      <c r="I3486" s="19">
        <v>6002.4229999999998</v>
      </c>
      <c r="J3486" s="19">
        <v>5614.567</v>
      </c>
      <c r="K3486" s="19">
        <v>5318.2709999999997</v>
      </c>
      <c r="L3486" s="19">
        <v>5219.0730000000003</v>
      </c>
      <c r="M3486" s="19">
        <v>4403.1679999999997</v>
      </c>
      <c r="N3486" s="19">
        <v>4491.17</v>
      </c>
      <c r="O3486" s="19">
        <v>4513.1220000000003</v>
      </c>
      <c r="P3486" s="19">
        <v>4325.5649999999996</v>
      </c>
      <c r="Q3486" s="19">
        <v>3842.1950000000002</v>
      </c>
      <c r="R3486" s="19">
        <v>2770.6419999999998</v>
      </c>
      <c r="S3486" s="19">
        <v>3276.71</v>
      </c>
      <c r="T3486" s="19">
        <v>3075.605</v>
      </c>
      <c r="U3486" s="19">
        <v>2501.0929999999998</v>
      </c>
      <c r="V3486" s="19">
        <v>1826.3150000000001</v>
      </c>
      <c r="W3486" s="19">
        <v>1245.373</v>
      </c>
      <c r="X3486" s="19">
        <v>828.101</v>
      </c>
      <c r="Y3486" s="19">
        <v>429.14400000000001</v>
      </c>
      <c r="Z3486" s="19">
        <v>156.09299999999999</v>
      </c>
      <c r="AA3486" s="19">
        <v>33.795000000000002</v>
      </c>
      <c r="AB3486" s="19">
        <v>4.1539999999999999</v>
      </c>
      <c r="AC3486" s="19">
        <v>0.32700000000000001</v>
      </c>
    </row>
    <row r="3487" spans="1:29" ht="11.65" x14ac:dyDescent="0.35">
      <c r="A3487" s="23">
        <v>3470</v>
      </c>
      <c r="B3487" s="21" t="s">
        <v>1015</v>
      </c>
      <c r="C3487" s="22" t="s">
        <v>1256</v>
      </c>
      <c r="D3487" s="20"/>
      <c r="E3487" s="20">
        <v>925</v>
      </c>
      <c r="F3487" s="21" t="s">
        <v>1065</v>
      </c>
      <c r="G3487" s="20">
        <v>917</v>
      </c>
      <c r="H3487" s="20">
        <v>1970</v>
      </c>
      <c r="I3487" s="19">
        <v>5907.3720000000003</v>
      </c>
      <c r="J3487" s="19">
        <v>5926.0410000000002</v>
      </c>
      <c r="K3487" s="19">
        <v>5569.2139999999999</v>
      </c>
      <c r="L3487" s="19">
        <v>5196.7979999999998</v>
      </c>
      <c r="M3487" s="19">
        <v>4963.0829999999996</v>
      </c>
      <c r="N3487" s="19">
        <v>4110.683</v>
      </c>
      <c r="O3487" s="19">
        <v>4266.741</v>
      </c>
      <c r="P3487" s="19">
        <v>4394.3180000000002</v>
      </c>
      <c r="Q3487" s="19">
        <v>4258.4579999999996</v>
      </c>
      <c r="R3487" s="19">
        <v>3752.4639999999999</v>
      </c>
      <c r="S3487" s="19">
        <v>2664.9319999999998</v>
      </c>
      <c r="T3487" s="19">
        <v>3097.8440000000001</v>
      </c>
      <c r="U3487" s="19">
        <v>2835.1959999999999</v>
      </c>
      <c r="V3487" s="19">
        <v>2200.3739999999998</v>
      </c>
      <c r="W3487" s="19">
        <v>1472.691</v>
      </c>
      <c r="X3487" s="19">
        <v>875.67700000000002</v>
      </c>
      <c r="Y3487" s="19">
        <v>484.54199999999997</v>
      </c>
      <c r="Z3487" s="19">
        <v>181.50200000000001</v>
      </c>
      <c r="AA3487" s="19">
        <v>41.869</v>
      </c>
      <c r="AB3487" s="19">
        <v>5.2690000000000001</v>
      </c>
      <c r="AC3487" s="19">
        <v>0.36599999999999999</v>
      </c>
    </row>
    <row r="3488" spans="1:29" ht="11.65" x14ac:dyDescent="0.35">
      <c r="A3488" s="23">
        <v>3471</v>
      </c>
      <c r="B3488" s="21" t="s">
        <v>1015</v>
      </c>
      <c r="C3488" s="22" t="s">
        <v>1256</v>
      </c>
      <c r="D3488" s="20"/>
      <c r="E3488" s="20">
        <v>925</v>
      </c>
      <c r="F3488" s="21" t="s">
        <v>1065</v>
      </c>
      <c r="G3488" s="20">
        <v>917</v>
      </c>
      <c r="H3488" s="20">
        <v>1975</v>
      </c>
      <c r="I3488" s="19">
        <v>5860.4430000000002</v>
      </c>
      <c r="J3488" s="19">
        <v>5904.1409999999996</v>
      </c>
      <c r="K3488" s="19">
        <v>5930.509</v>
      </c>
      <c r="L3488" s="19">
        <v>5513.317</v>
      </c>
      <c r="M3488" s="19">
        <v>5081.8789999999999</v>
      </c>
      <c r="N3488" s="19">
        <v>4848.0770000000002</v>
      </c>
      <c r="O3488" s="19">
        <v>4067.239</v>
      </c>
      <c r="P3488" s="19">
        <v>4265.8389999999999</v>
      </c>
      <c r="Q3488" s="19">
        <v>4372.6059999999998</v>
      </c>
      <c r="R3488" s="19">
        <v>4199.88</v>
      </c>
      <c r="S3488" s="19">
        <v>3649.8290000000002</v>
      </c>
      <c r="T3488" s="19">
        <v>2550.2849999999999</v>
      </c>
      <c r="U3488" s="19">
        <v>2860.2739999999999</v>
      </c>
      <c r="V3488" s="19">
        <v>2467.114</v>
      </c>
      <c r="W3488" s="19">
        <v>1753.951</v>
      </c>
      <c r="X3488" s="19">
        <v>1023.165</v>
      </c>
      <c r="Y3488" s="19">
        <v>506.44499999999999</v>
      </c>
      <c r="Z3488" s="19">
        <v>205.227</v>
      </c>
      <c r="AA3488" s="19">
        <v>49.942999999999998</v>
      </c>
      <c r="AB3488" s="19">
        <v>6.6420000000000003</v>
      </c>
      <c r="AC3488" s="19">
        <v>0.46500000000000002</v>
      </c>
    </row>
    <row r="3489" spans="1:29" ht="11.65" x14ac:dyDescent="0.35">
      <c r="A3489" s="23">
        <v>3472</v>
      </c>
      <c r="B3489" s="21" t="s">
        <v>1015</v>
      </c>
      <c r="C3489" s="22" t="s">
        <v>1256</v>
      </c>
      <c r="D3489" s="20"/>
      <c r="E3489" s="20">
        <v>925</v>
      </c>
      <c r="F3489" s="21" t="s">
        <v>1065</v>
      </c>
      <c r="G3489" s="20">
        <v>917</v>
      </c>
      <c r="H3489" s="20">
        <v>1980</v>
      </c>
      <c r="I3489" s="19">
        <v>5425.1490000000003</v>
      </c>
      <c r="J3489" s="19">
        <v>5847.9</v>
      </c>
      <c r="K3489" s="19">
        <v>5959.384</v>
      </c>
      <c r="L3489" s="19">
        <v>5945.88</v>
      </c>
      <c r="M3489" s="19">
        <v>5433.415</v>
      </c>
      <c r="N3489" s="19">
        <v>4979.6180000000004</v>
      </c>
      <c r="O3489" s="19">
        <v>4802.3500000000004</v>
      </c>
      <c r="P3489" s="19">
        <v>4086.8850000000002</v>
      </c>
      <c r="Q3489" s="19">
        <v>4286.2539999999999</v>
      </c>
      <c r="R3489" s="19">
        <v>4338.8590000000004</v>
      </c>
      <c r="S3489" s="19">
        <v>4108.5140000000001</v>
      </c>
      <c r="T3489" s="19">
        <v>3496.3110000000001</v>
      </c>
      <c r="U3489" s="19">
        <v>2375.9079999999999</v>
      </c>
      <c r="V3489" s="19">
        <v>2535.9850000000001</v>
      </c>
      <c r="W3489" s="19">
        <v>2007.268</v>
      </c>
      <c r="X3489" s="19">
        <v>1242.576</v>
      </c>
      <c r="Y3489" s="19">
        <v>605.63699999999994</v>
      </c>
      <c r="Z3489" s="19">
        <v>222.43299999999999</v>
      </c>
      <c r="AA3489" s="19">
        <v>58.335000000000001</v>
      </c>
      <c r="AB3489" s="19">
        <v>8.3640000000000008</v>
      </c>
      <c r="AC3489" s="19">
        <v>0.624</v>
      </c>
    </row>
    <row r="3490" spans="1:29" ht="11.65" x14ac:dyDescent="0.35">
      <c r="A3490" s="23">
        <v>3473</v>
      </c>
      <c r="B3490" s="21" t="s">
        <v>1015</v>
      </c>
      <c r="C3490" s="22" t="s">
        <v>1256</v>
      </c>
      <c r="D3490" s="20"/>
      <c r="E3490" s="20">
        <v>925</v>
      </c>
      <c r="F3490" s="21" t="s">
        <v>1065</v>
      </c>
      <c r="G3490" s="20">
        <v>917</v>
      </c>
      <c r="H3490" s="20">
        <v>1985</v>
      </c>
      <c r="I3490" s="19">
        <v>4746.1469999999999</v>
      </c>
      <c r="J3490" s="19">
        <v>5413.2669999999998</v>
      </c>
      <c r="K3490" s="19">
        <v>5858.18</v>
      </c>
      <c r="L3490" s="19">
        <v>5940.9560000000001</v>
      </c>
      <c r="M3490" s="19">
        <v>5874.6580000000004</v>
      </c>
      <c r="N3490" s="19">
        <v>5381.3419999999996</v>
      </c>
      <c r="O3490" s="19">
        <v>4963.9070000000002</v>
      </c>
      <c r="P3490" s="19">
        <v>4799.201</v>
      </c>
      <c r="Q3490" s="19">
        <v>4077.9760000000001</v>
      </c>
      <c r="R3490" s="19">
        <v>4239.4110000000001</v>
      </c>
      <c r="S3490" s="19">
        <v>4237.8919999999998</v>
      </c>
      <c r="T3490" s="19">
        <v>3922.8470000000002</v>
      </c>
      <c r="U3490" s="19">
        <v>3239.2249999999999</v>
      </c>
      <c r="V3490" s="19">
        <v>2122.373</v>
      </c>
      <c r="W3490" s="19">
        <v>2106.2919999999999</v>
      </c>
      <c r="X3490" s="19">
        <v>1454.336</v>
      </c>
      <c r="Y3490" s="19">
        <v>735.93499999999995</v>
      </c>
      <c r="Z3490" s="19">
        <v>269.666</v>
      </c>
      <c r="AA3490" s="19">
        <v>67.777000000000001</v>
      </c>
      <c r="AB3490" s="19">
        <v>10.648999999999999</v>
      </c>
      <c r="AC3490" s="19">
        <v>0.85199999999999998</v>
      </c>
    </row>
    <row r="3491" spans="1:29" ht="11.65" x14ac:dyDescent="0.35">
      <c r="A3491" s="23">
        <v>3474</v>
      </c>
      <c r="B3491" s="21" t="s">
        <v>1015</v>
      </c>
      <c r="C3491" s="22" t="s">
        <v>1256</v>
      </c>
      <c r="D3491" s="20"/>
      <c r="E3491" s="20">
        <v>925</v>
      </c>
      <c r="F3491" s="21" t="s">
        <v>1065</v>
      </c>
      <c r="G3491" s="20">
        <v>917</v>
      </c>
      <c r="H3491" s="20">
        <v>1990</v>
      </c>
      <c r="I3491" s="19">
        <v>4211.6610000000001</v>
      </c>
      <c r="J3491" s="19">
        <v>4692.1890000000003</v>
      </c>
      <c r="K3491" s="19">
        <v>5391.6670000000004</v>
      </c>
      <c r="L3491" s="19">
        <v>5853.2979999999998</v>
      </c>
      <c r="M3491" s="19">
        <v>5869.1610000000001</v>
      </c>
      <c r="N3491" s="19">
        <v>5740.57</v>
      </c>
      <c r="O3491" s="19">
        <v>5284.7759999999998</v>
      </c>
      <c r="P3491" s="19">
        <v>4917.241</v>
      </c>
      <c r="Q3491" s="19">
        <v>4740.8019999999997</v>
      </c>
      <c r="R3491" s="19">
        <v>4001.51</v>
      </c>
      <c r="S3491" s="19">
        <v>4117.4520000000002</v>
      </c>
      <c r="T3491" s="19">
        <v>4044.5619999999999</v>
      </c>
      <c r="U3491" s="19">
        <v>3663.085</v>
      </c>
      <c r="V3491" s="19">
        <v>2917.7089999999998</v>
      </c>
      <c r="W3491" s="19">
        <v>1780.4680000000001</v>
      </c>
      <c r="X3491" s="19">
        <v>1579.337</v>
      </c>
      <c r="Y3491" s="19">
        <v>930.64499999999998</v>
      </c>
      <c r="Z3491" s="19">
        <v>358.31599999999997</v>
      </c>
      <c r="AA3491" s="19">
        <v>87.41</v>
      </c>
      <c r="AB3491" s="19">
        <v>13.291</v>
      </c>
      <c r="AC3491" s="19">
        <v>1.167</v>
      </c>
    </row>
    <row r="3492" spans="1:29" ht="11.65" x14ac:dyDescent="0.35">
      <c r="A3492" s="23">
        <v>3475</v>
      </c>
      <c r="B3492" s="21" t="s">
        <v>1015</v>
      </c>
      <c r="C3492" s="22" t="s">
        <v>1256</v>
      </c>
      <c r="D3492" s="20"/>
      <c r="E3492" s="20">
        <v>925</v>
      </c>
      <c r="F3492" s="21" t="s">
        <v>1065</v>
      </c>
      <c r="G3492" s="20">
        <v>917</v>
      </c>
      <c r="H3492" s="20">
        <v>1995</v>
      </c>
      <c r="I3492" s="19">
        <v>3907.9549999999999</v>
      </c>
      <c r="J3492" s="19">
        <v>4169.2449999999999</v>
      </c>
      <c r="K3492" s="19">
        <v>4681.4549999999999</v>
      </c>
      <c r="L3492" s="19">
        <v>5366.8370000000004</v>
      </c>
      <c r="M3492" s="19">
        <v>5752.3339999999998</v>
      </c>
      <c r="N3492" s="19">
        <v>5739.5540000000001</v>
      </c>
      <c r="O3492" s="19">
        <v>5638.4629999999997</v>
      </c>
      <c r="P3492" s="19">
        <v>5206.8360000000002</v>
      </c>
      <c r="Q3492" s="19">
        <v>4848.3289999999997</v>
      </c>
      <c r="R3492" s="19">
        <v>4657.9390000000003</v>
      </c>
      <c r="S3492" s="19">
        <v>3903.569</v>
      </c>
      <c r="T3492" s="19">
        <v>3965.9630000000002</v>
      </c>
      <c r="U3492" s="19">
        <v>3803.652</v>
      </c>
      <c r="V3492" s="19">
        <v>3307.5990000000002</v>
      </c>
      <c r="W3492" s="19">
        <v>2476.2669999999998</v>
      </c>
      <c r="X3492" s="19">
        <v>1375.0139999999999</v>
      </c>
      <c r="Y3492" s="19">
        <v>1052.1030000000001</v>
      </c>
      <c r="Z3492" s="19">
        <v>472.01600000000002</v>
      </c>
      <c r="AA3492" s="19">
        <v>122.52800000000001</v>
      </c>
      <c r="AB3492" s="19">
        <v>17.783999999999999</v>
      </c>
      <c r="AC3492" s="19">
        <v>1.4790000000000001</v>
      </c>
    </row>
    <row r="3493" spans="1:29" ht="11.65" x14ac:dyDescent="0.35">
      <c r="A3493" s="23">
        <v>3476</v>
      </c>
      <c r="B3493" s="21" t="s">
        <v>1015</v>
      </c>
      <c r="C3493" s="22" t="s">
        <v>1256</v>
      </c>
      <c r="D3493" s="20"/>
      <c r="E3493" s="20">
        <v>925</v>
      </c>
      <c r="F3493" s="21" t="s">
        <v>1065</v>
      </c>
      <c r="G3493" s="20">
        <v>917</v>
      </c>
      <c r="H3493" s="20">
        <v>2000</v>
      </c>
      <c r="I3493" s="19">
        <v>3716.2020000000002</v>
      </c>
      <c r="J3493" s="19">
        <v>3881.7869999999998</v>
      </c>
      <c r="K3493" s="19">
        <v>4172.7820000000002</v>
      </c>
      <c r="L3493" s="19">
        <v>4665.7610000000004</v>
      </c>
      <c r="M3493" s="19">
        <v>5301.433</v>
      </c>
      <c r="N3493" s="19">
        <v>5691.3029999999999</v>
      </c>
      <c r="O3493" s="19">
        <v>5716.9759999999997</v>
      </c>
      <c r="P3493" s="19">
        <v>5643.5929999999998</v>
      </c>
      <c r="Q3493" s="19">
        <v>5183.768</v>
      </c>
      <c r="R3493" s="19">
        <v>4770.8710000000001</v>
      </c>
      <c r="S3493" s="19">
        <v>4540.7349999999997</v>
      </c>
      <c r="T3493" s="19">
        <v>3748.2570000000001</v>
      </c>
      <c r="U3493" s="19">
        <v>3755.95</v>
      </c>
      <c r="V3493" s="19">
        <v>3477.8829999999998</v>
      </c>
      <c r="W3493" s="19">
        <v>2839.6170000000002</v>
      </c>
      <c r="X3493" s="19">
        <v>1940.2860000000001</v>
      </c>
      <c r="Y3493" s="19">
        <v>923.678</v>
      </c>
      <c r="Z3493" s="19">
        <v>550.68799999999999</v>
      </c>
      <c r="AA3493" s="19">
        <v>167.03299999999999</v>
      </c>
      <c r="AB3493" s="19">
        <v>25.524999999999999</v>
      </c>
      <c r="AC3493" s="19">
        <v>1.9790000000000001</v>
      </c>
    </row>
    <row r="3494" spans="1:29" ht="11.65" x14ac:dyDescent="0.35">
      <c r="A3494" s="23">
        <v>3477</v>
      </c>
      <c r="B3494" s="21" t="s">
        <v>1015</v>
      </c>
      <c r="C3494" s="22" t="s">
        <v>1256</v>
      </c>
      <c r="D3494" s="20"/>
      <c r="E3494" s="20">
        <v>925</v>
      </c>
      <c r="F3494" s="21" t="s">
        <v>1065</v>
      </c>
      <c r="G3494" s="20">
        <v>917</v>
      </c>
      <c r="H3494" s="20">
        <v>2005</v>
      </c>
      <c r="I3494" s="19">
        <v>3842.201</v>
      </c>
      <c r="J3494" s="19">
        <v>3787.752</v>
      </c>
      <c r="K3494" s="19">
        <v>3987.7460000000001</v>
      </c>
      <c r="L3494" s="19">
        <v>4284.6989999999996</v>
      </c>
      <c r="M3494" s="19">
        <v>4812.5990000000002</v>
      </c>
      <c r="N3494" s="19">
        <v>5571.567</v>
      </c>
      <c r="O3494" s="19">
        <v>6032.2389999999996</v>
      </c>
      <c r="P3494" s="19">
        <v>5989.951</v>
      </c>
      <c r="Q3494" s="19">
        <v>5822.3469999999998</v>
      </c>
      <c r="R3494" s="19">
        <v>5273.232</v>
      </c>
      <c r="S3494" s="19">
        <v>4754.3990000000003</v>
      </c>
      <c r="T3494" s="19">
        <v>4451.75</v>
      </c>
      <c r="U3494" s="19">
        <v>3627.73</v>
      </c>
      <c r="V3494" s="19">
        <v>3515.3009999999999</v>
      </c>
      <c r="W3494" s="19">
        <v>3078.663</v>
      </c>
      <c r="X3494" s="19">
        <v>2285.7460000000001</v>
      </c>
      <c r="Y3494" s="19">
        <v>1362.7929999999999</v>
      </c>
      <c r="Z3494" s="19">
        <v>514.28599999999994</v>
      </c>
      <c r="AA3494" s="19">
        <v>206.691</v>
      </c>
      <c r="AB3494" s="19">
        <v>36.466999999999999</v>
      </c>
      <c r="AC3494" s="19">
        <v>2.9420000000000002</v>
      </c>
    </row>
    <row r="3495" spans="1:29" ht="11.65" x14ac:dyDescent="0.35">
      <c r="A3495" s="23">
        <v>3478</v>
      </c>
      <c r="B3495" s="21" t="s">
        <v>1015</v>
      </c>
      <c r="C3495" s="22" t="s">
        <v>1256</v>
      </c>
      <c r="D3495" s="20"/>
      <c r="E3495" s="20">
        <v>925</v>
      </c>
      <c r="F3495" s="21" t="s">
        <v>1065</v>
      </c>
      <c r="G3495" s="20">
        <v>917</v>
      </c>
      <c r="H3495" s="20">
        <v>2010</v>
      </c>
      <c r="I3495" s="19">
        <v>3981.1709999999998</v>
      </c>
      <c r="J3495" s="19">
        <v>3842.6010000000001</v>
      </c>
      <c r="K3495" s="19">
        <v>3935.8130000000001</v>
      </c>
      <c r="L3495" s="19">
        <v>4134.674</v>
      </c>
      <c r="M3495" s="19">
        <v>4470.5569999999998</v>
      </c>
      <c r="N3495" s="19">
        <v>5058.2929999999997</v>
      </c>
      <c r="O3495" s="19">
        <v>5798.0910000000003</v>
      </c>
      <c r="P3495" s="19">
        <v>6154.1149999999998</v>
      </c>
      <c r="Q3495" s="19">
        <v>5965.3230000000003</v>
      </c>
      <c r="R3495" s="19">
        <v>5716.3519999999999</v>
      </c>
      <c r="S3495" s="19">
        <v>5083.4549999999999</v>
      </c>
      <c r="T3495" s="19">
        <v>4540.2139999999999</v>
      </c>
      <c r="U3495" s="19">
        <v>4261.7049999999999</v>
      </c>
      <c r="V3495" s="19">
        <v>3415.5</v>
      </c>
      <c r="W3495" s="19">
        <v>3148.1840000000002</v>
      </c>
      <c r="X3495" s="19">
        <v>2578.576</v>
      </c>
      <c r="Y3495" s="19">
        <v>1644.923</v>
      </c>
      <c r="Z3495" s="19">
        <v>766.59400000000005</v>
      </c>
      <c r="AA3495" s="19">
        <v>204.858</v>
      </c>
      <c r="AB3495" s="19">
        <v>48.302999999999997</v>
      </c>
      <c r="AC3495" s="19">
        <v>4.4509999999999996</v>
      </c>
    </row>
    <row r="3496" spans="1:29" ht="11.65" x14ac:dyDescent="0.35">
      <c r="A3496" s="23">
        <v>3479</v>
      </c>
      <c r="B3496" s="21" t="s">
        <v>1015</v>
      </c>
      <c r="C3496" s="22" t="s">
        <v>1256</v>
      </c>
      <c r="D3496" s="20"/>
      <c r="E3496" s="20">
        <v>925</v>
      </c>
      <c r="F3496" s="21" t="s">
        <v>1065</v>
      </c>
      <c r="G3496" s="20">
        <v>917</v>
      </c>
      <c r="H3496" s="20">
        <v>2015</v>
      </c>
      <c r="I3496" s="19">
        <v>3639.9209999999998</v>
      </c>
      <c r="J3496" s="19">
        <v>3971.7840000000001</v>
      </c>
      <c r="K3496" s="19">
        <v>3858.585</v>
      </c>
      <c r="L3496" s="19">
        <v>3961.799</v>
      </c>
      <c r="M3496" s="19">
        <v>4137.5150000000003</v>
      </c>
      <c r="N3496" s="19">
        <v>4441.1790000000001</v>
      </c>
      <c r="O3496" s="19">
        <v>5001.4589999999998</v>
      </c>
      <c r="P3496" s="19">
        <v>5739.0010000000002</v>
      </c>
      <c r="Q3496" s="19">
        <v>6061.0060000000003</v>
      </c>
      <c r="R3496" s="19">
        <v>5884.9949999999999</v>
      </c>
      <c r="S3496" s="19">
        <v>5606.7969999999996</v>
      </c>
      <c r="T3496" s="19">
        <v>4933.0940000000001</v>
      </c>
      <c r="U3496" s="19">
        <v>4380.5010000000002</v>
      </c>
      <c r="V3496" s="19">
        <v>3986.7020000000002</v>
      </c>
      <c r="W3496" s="19">
        <v>3127.163</v>
      </c>
      <c r="X3496" s="19">
        <v>2661.942</v>
      </c>
      <c r="Y3496" s="19">
        <v>1904.6489999999999</v>
      </c>
      <c r="Z3496" s="19">
        <v>985.68399999999997</v>
      </c>
      <c r="AA3496" s="19">
        <v>320.42599999999999</v>
      </c>
      <c r="AB3496" s="19">
        <v>52.091000000000001</v>
      </c>
      <c r="AC3496" s="19">
        <v>6.3719999999999999</v>
      </c>
    </row>
    <row r="3497" spans="1:29" ht="11.65" x14ac:dyDescent="0.35">
      <c r="A3497" s="23">
        <v>3480</v>
      </c>
      <c r="B3497" s="21" t="s">
        <v>1015</v>
      </c>
      <c r="C3497" s="22" t="s">
        <v>1256</v>
      </c>
      <c r="D3497" s="20"/>
      <c r="E3497" s="20">
        <v>925</v>
      </c>
      <c r="F3497" s="21" t="s">
        <v>1065</v>
      </c>
      <c r="G3497" s="20">
        <v>917</v>
      </c>
      <c r="H3497" s="20">
        <v>2020</v>
      </c>
      <c r="I3497" s="19">
        <v>3250.43</v>
      </c>
      <c r="J3497" s="19">
        <v>3652.4270000000001</v>
      </c>
      <c r="K3497" s="19">
        <v>3977.4209999999998</v>
      </c>
      <c r="L3497" s="19">
        <v>3874.3989999999999</v>
      </c>
      <c r="M3497" s="19">
        <v>4000.4769999999999</v>
      </c>
      <c r="N3497" s="19">
        <v>4186.9269999999997</v>
      </c>
      <c r="O3497" s="19">
        <v>4480.558</v>
      </c>
      <c r="P3497" s="19">
        <v>5021.95</v>
      </c>
      <c r="Q3497" s="19">
        <v>5735.54</v>
      </c>
      <c r="R3497" s="19">
        <v>6024.1</v>
      </c>
      <c r="S3497" s="19">
        <v>5805.5680000000002</v>
      </c>
      <c r="T3497" s="19">
        <v>5472.3860000000004</v>
      </c>
      <c r="U3497" s="19">
        <v>4739.8149999999996</v>
      </c>
      <c r="V3497" s="19">
        <v>4113.54</v>
      </c>
      <c r="W3497" s="19">
        <v>3631.6779999999999</v>
      </c>
      <c r="X3497" s="19">
        <v>2688.1219999999998</v>
      </c>
      <c r="Y3497" s="19">
        <v>2024.1969999999999</v>
      </c>
      <c r="Z3497" s="19">
        <v>1167.0419999999999</v>
      </c>
      <c r="AA3497" s="19">
        <v>430.16</v>
      </c>
      <c r="AB3497" s="19">
        <v>85.066999999999993</v>
      </c>
      <c r="AC3497" s="19">
        <v>7.2370000000000001</v>
      </c>
    </row>
    <row r="3498" spans="1:29" ht="11.65" x14ac:dyDescent="0.35">
      <c r="A3498" s="12">
        <v>3481</v>
      </c>
      <c r="B3498" s="10" t="s">
        <v>1015</v>
      </c>
      <c r="C3498" s="18" t="s">
        <v>1257</v>
      </c>
      <c r="D3498" s="9"/>
      <c r="E3498" s="9">
        <v>8</v>
      </c>
      <c r="F3498" s="10" t="s">
        <v>1066</v>
      </c>
      <c r="G3498" s="9">
        <v>925</v>
      </c>
      <c r="H3498" s="9">
        <v>1950</v>
      </c>
      <c r="I3498" s="8">
        <v>93.94</v>
      </c>
      <c r="J3498" s="8">
        <v>83.744</v>
      </c>
      <c r="K3498" s="8">
        <v>78.522000000000006</v>
      </c>
      <c r="L3498" s="8">
        <v>65.807000000000002</v>
      </c>
      <c r="M3498" s="8">
        <v>57.722999999999999</v>
      </c>
      <c r="N3498" s="8">
        <v>41.847000000000001</v>
      </c>
      <c r="O3498" s="8">
        <v>39.697000000000003</v>
      </c>
      <c r="P3498" s="8">
        <v>36.165999999999997</v>
      </c>
      <c r="Q3498" s="8">
        <v>31.187999999999999</v>
      </c>
      <c r="R3498" s="8">
        <v>24.666</v>
      </c>
      <c r="S3498" s="8">
        <v>23.263999999999999</v>
      </c>
      <c r="T3498" s="8">
        <v>15.561</v>
      </c>
      <c r="U3498" s="8">
        <v>16.934000000000001</v>
      </c>
      <c r="V3498" s="8">
        <v>13.279</v>
      </c>
      <c r="W3498" s="8">
        <v>9.6159999999999997</v>
      </c>
      <c r="X3498" s="8">
        <v>5.7919999999999998</v>
      </c>
      <c r="Y3498" s="8">
        <v>3.8439999999999999</v>
      </c>
      <c r="Z3498" s="8">
        <v>3.4009999999999998</v>
      </c>
      <c r="AA3498" s="8">
        <v>1.9</v>
      </c>
      <c r="AB3498" s="8">
        <v>1.3280000000000001</v>
      </c>
      <c r="AC3498" s="8">
        <v>1E-3</v>
      </c>
    </row>
    <row r="3499" spans="1:29" ht="11.65" x14ac:dyDescent="0.35">
      <c r="A3499" s="12">
        <v>3482</v>
      </c>
      <c r="B3499" s="10" t="s">
        <v>1015</v>
      </c>
      <c r="C3499" s="18" t="s">
        <v>1257</v>
      </c>
      <c r="D3499" s="9"/>
      <c r="E3499" s="9">
        <v>8</v>
      </c>
      <c r="F3499" s="10" t="s">
        <v>1066</v>
      </c>
      <c r="G3499" s="9">
        <v>925</v>
      </c>
      <c r="H3499" s="9">
        <v>1955</v>
      </c>
      <c r="I3499" s="8">
        <v>113.19</v>
      </c>
      <c r="J3499" s="8">
        <v>89.176000000000002</v>
      </c>
      <c r="K3499" s="8">
        <v>82.938999999999993</v>
      </c>
      <c r="L3499" s="8">
        <v>77.989000000000004</v>
      </c>
      <c r="M3499" s="8">
        <v>64.968999999999994</v>
      </c>
      <c r="N3499" s="8">
        <v>56.768999999999998</v>
      </c>
      <c r="O3499" s="8">
        <v>41.06</v>
      </c>
      <c r="P3499" s="8">
        <v>38.865000000000002</v>
      </c>
      <c r="Q3499" s="8">
        <v>35.279000000000003</v>
      </c>
      <c r="R3499" s="8">
        <v>30.239000000000001</v>
      </c>
      <c r="S3499" s="8">
        <v>23.673999999999999</v>
      </c>
      <c r="T3499" s="8">
        <v>21.960999999999999</v>
      </c>
      <c r="U3499" s="8">
        <v>14.281000000000001</v>
      </c>
      <c r="V3499" s="8">
        <v>14.794</v>
      </c>
      <c r="W3499" s="8">
        <v>10.709</v>
      </c>
      <c r="X3499" s="8">
        <v>6.8739999999999997</v>
      </c>
      <c r="Y3499" s="8">
        <v>3.4620000000000002</v>
      </c>
      <c r="Z3499" s="8">
        <v>1.778</v>
      </c>
      <c r="AA3499" s="8">
        <v>1.111</v>
      </c>
      <c r="AB3499" s="8">
        <v>0.39800000000000002</v>
      </c>
      <c r="AC3499" s="8">
        <v>0.161</v>
      </c>
    </row>
    <row r="3500" spans="1:29" ht="11.65" x14ac:dyDescent="0.35">
      <c r="A3500" s="12">
        <v>3483</v>
      </c>
      <c r="B3500" s="10" t="s">
        <v>1015</v>
      </c>
      <c r="C3500" s="18" t="s">
        <v>1257</v>
      </c>
      <c r="D3500" s="9"/>
      <c r="E3500" s="9">
        <v>8</v>
      </c>
      <c r="F3500" s="10" t="s">
        <v>1066</v>
      </c>
      <c r="G3500" s="9">
        <v>925</v>
      </c>
      <c r="H3500" s="9">
        <v>1960</v>
      </c>
      <c r="I3500" s="8">
        <v>139.054</v>
      </c>
      <c r="J3500" s="8">
        <v>108.52800000000001</v>
      </c>
      <c r="K3500" s="8">
        <v>88.566999999999993</v>
      </c>
      <c r="L3500" s="8">
        <v>82.53</v>
      </c>
      <c r="M3500" s="8">
        <v>77.218999999999994</v>
      </c>
      <c r="N3500" s="8">
        <v>64.137</v>
      </c>
      <c r="O3500" s="8">
        <v>55.948</v>
      </c>
      <c r="P3500" s="8">
        <v>40.404000000000003</v>
      </c>
      <c r="Q3500" s="8">
        <v>38.142000000000003</v>
      </c>
      <c r="R3500" s="8">
        <v>34.448999999999998</v>
      </c>
      <c r="S3500" s="8">
        <v>29.268000000000001</v>
      </c>
      <c r="T3500" s="8">
        <v>22.577999999999999</v>
      </c>
      <c r="U3500" s="8">
        <v>20.422999999999998</v>
      </c>
      <c r="V3500" s="8">
        <v>12.705</v>
      </c>
      <c r="W3500" s="8">
        <v>12.237</v>
      </c>
      <c r="X3500" s="8">
        <v>7.9269999999999996</v>
      </c>
      <c r="Y3500" s="8">
        <v>4.3029999999999999</v>
      </c>
      <c r="Z3500" s="8">
        <v>1.6970000000000001</v>
      </c>
      <c r="AA3500" s="8">
        <v>0.621</v>
      </c>
      <c r="AB3500" s="8">
        <v>0.251</v>
      </c>
      <c r="AC3500" s="8">
        <v>7.1999999999999995E-2</v>
      </c>
    </row>
    <row r="3501" spans="1:29" ht="11.65" x14ac:dyDescent="0.35">
      <c r="A3501" s="12">
        <v>3484</v>
      </c>
      <c r="B3501" s="10" t="s">
        <v>1015</v>
      </c>
      <c r="C3501" s="18" t="s">
        <v>1257</v>
      </c>
      <c r="D3501" s="9"/>
      <c r="E3501" s="9">
        <v>8</v>
      </c>
      <c r="F3501" s="10" t="s">
        <v>1066</v>
      </c>
      <c r="G3501" s="9">
        <v>925</v>
      </c>
      <c r="H3501" s="9">
        <v>1965</v>
      </c>
      <c r="I3501" s="8">
        <v>158.108</v>
      </c>
      <c r="J3501" s="8">
        <v>134.90899999999999</v>
      </c>
      <c r="K3501" s="8">
        <v>108.08799999999999</v>
      </c>
      <c r="L3501" s="8">
        <v>88.292000000000002</v>
      </c>
      <c r="M3501" s="8">
        <v>81.962999999999994</v>
      </c>
      <c r="N3501" s="8">
        <v>76.524000000000001</v>
      </c>
      <c r="O3501" s="8">
        <v>63.488999999999997</v>
      </c>
      <c r="P3501" s="8">
        <v>55.34</v>
      </c>
      <c r="Q3501" s="8">
        <v>39.899000000000001</v>
      </c>
      <c r="R3501" s="8">
        <v>37.524999999999999</v>
      </c>
      <c r="S3501" s="8">
        <v>33.642000000000003</v>
      </c>
      <c r="T3501" s="8">
        <v>28.215</v>
      </c>
      <c r="U3501" s="8">
        <v>21.286000000000001</v>
      </c>
      <c r="V3501" s="8">
        <v>18.518000000000001</v>
      </c>
      <c r="W3501" s="8">
        <v>10.791</v>
      </c>
      <c r="X3501" s="8">
        <v>9.3889999999999993</v>
      </c>
      <c r="Y3501" s="8">
        <v>5.1970000000000001</v>
      </c>
      <c r="Z3501" s="8">
        <v>2.2309999999999999</v>
      </c>
      <c r="AA3501" s="8">
        <v>0.63100000000000001</v>
      </c>
      <c r="AB3501" s="8">
        <v>0.14699999999999999</v>
      </c>
      <c r="AC3501" s="8">
        <v>4.2999999999999997E-2</v>
      </c>
    </row>
    <row r="3502" spans="1:29" ht="11.65" x14ac:dyDescent="0.35">
      <c r="A3502" s="12">
        <v>3485</v>
      </c>
      <c r="B3502" s="10" t="s">
        <v>1015</v>
      </c>
      <c r="C3502" s="18" t="s">
        <v>1257</v>
      </c>
      <c r="D3502" s="9"/>
      <c r="E3502" s="9">
        <v>8</v>
      </c>
      <c r="F3502" s="10" t="s">
        <v>1066</v>
      </c>
      <c r="G3502" s="9">
        <v>925</v>
      </c>
      <c r="H3502" s="9">
        <v>1970</v>
      </c>
      <c r="I3502" s="8">
        <v>159.89599999999999</v>
      </c>
      <c r="J3502" s="8">
        <v>154.767</v>
      </c>
      <c r="K3502" s="8">
        <v>134.36500000000001</v>
      </c>
      <c r="L3502" s="8">
        <v>107.693</v>
      </c>
      <c r="M3502" s="8">
        <v>87.671999999999997</v>
      </c>
      <c r="N3502" s="8">
        <v>81.188999999999993</v>
      </c>
      <c r="O3502" s="8">
        <v>75.718000000000004</v>
      </c>
      <c r="P3502" s="8">
        <v>62.774000000000001</v>
      </c>
      <c r="Q3502" s="8">
        <v>54.628999999999998</v>
      </c>
      <c r="R3502" s="8">
        <v>39.226999999999997</v>
      </c>
      <c r="S3502" s="8">
        <v>36.591000000000001</v>
      </c>
      <c r="T3502" s="8">
        <v>32.329000000000001</v>
      </c>
      <c r="U3502" s="8">
        <v>26.445</v>
      </c>
      <c r="V3502" s="8">
        <v>19.09</v>
      </c>
      <c r="W3502" s="8">
        <v>15.427</v>
      </c>
      <c r="X3502" s="8">
        <v>7.9950000000000001</v>
      </c>
      <c r="Y3502" s="8">
        <v>5.7939999999999996</v>
      </c>
      <c r="Z3502" s="8">
        <v>2.4409999999999998</v>
      </c>
      <c r="AA3502" s="8">
        <v>0.71299999999999997</v>
      </c>
      <c r="AB3502" s="8">
        <v>0.124</v>
      </c>
      <c r="AC3502" s="8">
        <v>0.02</v>
      </c>
    </row>
    <row r="3503" spans="1:29" ht="11.65" x14ac:dyDescent="0.35">
      <c r="A3503" s="12">
        <v>3486</v>
      </c>
      <c r="B3503" s="10" t="s">
        <v>1015</v>
      </c>
      <c r="C3503" s="18" t="s">
        <v>1257</v>
      </c>
      <c r="D3503" s="9"/>
      <c r="E3503" s="9">
        <v>8</v>
      </c>
      <c r="F3503" s="10" t="s">
        <v>1066</v>
      </c>
      <c r="G3503" s="9">
        <v>925</v>
      </c>
      <c r="H3503" s="9">
        <v>1975</v>
      </c>
      <c r="I3503" s="8">
        <v>167.01400000000001</v>
      </c>
      <c r="J3503" s="8">
        <v>157.57599999999999</v>
      </c>
      <c r="K3503" s="8">
        <v>154.12299999999999</v>
      </c>
      <c r="L3503" s="8">
        <v>133.79400000000001</v>
      </c>
      <c r="M3503" s="8">
        <v>106.89</v>
      </c>
      <c r="N3503" s="8">
        <v>86.781000000000006</v>
      </c>
      <c r="O3503" s="8">
        <v>80.263999999999996</v>
      </c>
      <c r="P3503" s="8">
        <v>74.805000000000007</v>
      </c>
      <c r="Q3503" s="8">
        <v>61.917999999999999</v>
      </c>
      <c r="R3503" s="8">
        <v>53.649000000000001</v>
      </c>
      <c r="S3503" s="8">
        <v>38.170999999999999</v>
      </c>
      <c r="T3503" s="8">
        <v>35.027000000000001</v>
      </c>
      <c r="U3503" s="8">
        <v>30.087</v>
      </c>
      <c r="V3503" s="8">
        <v>23.416</v>
      </c>
      <c r="W3503" s="8">
        <v>15.555</v>
      </c>
      <c r="X3503" s="8">
        <v>10.983000000000001</v>
      </c>
      <c r="Y3503" s="8">
        <v>4.609</v>
      </c>
      <c r="Z3503" s="8">
        <v>2.4420000000000002</v>
      </c>
      <c r="AA3503" s="8">
        <v>0.66600000000000004</v>
      </c>
      <c r="AB3503" s="8">
        <v>0.111</v>
      </c>
      <c r="AC3503" s="8">
        <v>1.2E-2</v>
      </c>
    </row>
    <row r="3504" spans="1:29" ht="11.65" x14ac:dyDescent="0.35">
      <c r="A3504" s="12">
        <v>3487</v>
      </c>
      <c r="B3504" s="10" t="s">
        <v>1015</v>
      </c>
      <c r="C3504" s="18" t="s">
        <v>1257</v>
      </c>
      <c r="D3504" s="9"/>
      <c r="E3504" s="9">
        <v>8</v>
      </c>
      <c r="F3504" s="10" t="s">
        <v>1066</v>
      </c>
      <c r="G3504" s="9">
        <v>925</v>
      </c>
      <c r="H3504" s="9">
        <v>1980</v>
      </c>
      <c r="I3504" s="8">
        <v>173.92500000000001</v>
      </c>
      <c r="J3504" s="8">
        <v>165.38300000000001</v>
      </c>
      <c r="K3504" s="8">
        <v>157.05500000000001</v>
      </c>
      <c r="L3504" s="8">
        <v>153.57</v>
      </c>
      <c r="M3504" s="8">
        <v>132.964</v>
      </c>
      <c r="N3504" s="8">
        <v>105.97499999999999</v>
      </c>
      <c r="O3504" s="8">
        <v>85.941999999999993</v>
      </c>
      <c r="P3504" s="8">
        <v>79.444999999999993</v>
      </c>
      <c r="Q3504" s="8">
        <v>73.941000000000003</v>
      </c>
      <c r="R3504" s="8">
        <v>60.960999999999999</v>
      </c>
      <c r="S3504" s="8">
        <v>52.365000000000002</v>
      </c>
      <c r="T3504" s="8">
        <v>36.674999999999997</v>
      </c>
      <c r="U3504" s="8">
        <v>32.75</v>
      </c>
      <c r="V3504" s="8">
        <v>26.803999999999998</v>
      </c>
      <c r="W3504" s="8">
        <v>19.224</v>
      </c>
      <c r="X3504" s="8">
        <v>11.176</v>
      </c>
      <c r="Y3504" s="8">
        <v>6.3940000000000001</v>
      </c>
      <c r="Z3504" s="8">
        <v>1.9570000000000001</v>
      </c>
      <c r="AA3504" s="8">
        <v>0.66800000000000004</v>
      </c>
      <c r="AB3504" s="8">
        <v>0.104</v>
      </c>
      <c r="AC3504" s="8">
        <v>0.01</v>
      </c>
    </row>
    <row r="3505" spans="1:29" ht="11.65" x14ac:dyDescent="0.35">
      <c r="A3505" s="12">
        <v>3488</v>
      </c>
      <c r="B3505" s="10" t="s">
        <v>1015</v>
      </c>
      <c r="C3505" s="18" t="s">
        <v>1257</v>
      </c>
      <c r="D3505" s="9"/>
      <c r="E3505" s="9">
        <v>8</v>
      </c>
      <c r="F3505" s="10" t="s">
        <v>1066</v>
      </c>
      <c r="G3505" s="9">
        <v>925</v>
      </c>
      <c r="H3505" s="9">
        <v>1985</v>
      </c>
      <c r="I3505" s="8">
        <v>185.36500000000001</v>
      </c>
      <c r="J3505" s="8">
        <v>172.31</v>
      </c>
      <c r="K3505" s="8">
        <v>164.75700000000001</v>
      </c>
      <c r="L3505" s="8">
        <v>156.488</v>
      </c>
      <c r="M3505" s="8">
        <v>152.66</v>
      </c>
      <c r="N3505" s="8">
        <v>131.88900000000001</v>
      </c>
      <c r="O3505" s="8">
        <v>105.02500000000001</v>
      </c>
      <c r="P3505" s="8">
        <v>85.141999999999996</v>
      </c>
      <c r="Q3505" s="8">
        <v>78.606999999999999</v>
      </c>
      <c r="R3505" s="8">
        <v>72.861999999999995</v>
      </c>
      <c r="S3505" s="8">
        <v>59.533000000000001</v>
      </c>
      <c r="T3505" s="8">
        <v>50.304000000000002</v>
      </c>
      <c r="U3505" s="8">
        <v>34.234999999999999</v>
      </c>
      <c r="V3505" s="8">
        <v>29.071000000000002</v>
      </c>
      <c r="W3505" s="8">
        <v>21.864000000000001</v>
      </c>
      <c r="X3505" s="8">
        <v>13.663</v>
      </c>
      <c r="Y3505" s="8">
        <v>6.3940000000000001</v>
      </c>
      <c r="Z3505" s="8">
        <v>2.645</v>
      </c>
      <c r="AA3505" s="8">
        <v>0.51500000000000001</v>
      </c>
      <c r="AB3505" s="8">
        <v>9.9000000000000005E-2</v>
      </c>
      <c r="AC3505" s="8">
        <v>8.9999999999999993E-3</v>
      </c>
    </row>
    <row r="3506" spans="1:29" ht="11.65" x14ac:dyDescent="0.35">
      <c r="A3506" s="12">
        <v>3489</v>
      </c>
      <c r="B3506" s="10" t="s">
        <v>1015</v>
      </c>
      <c r="C3506" s="18" t="s">
        <v>1257</v>
      </c>
      <c r="D3506" s="9"/>
      <c r="E3506" s="9">
        <v>8</v>
      </c>
      <c r="F3506" s="10" t="s">
        <v>1066</v>
      </c>
      <c r="G3506" s="9">
        <v>925</v>
      </c>
      <c r="H3506" s="9">
        <v>1990</v>
      </c>
      <c r="I3506" s="8">
        <v>201.97800000000001</v>
      </c>
      <c r="J3506" s="8">
        <v>183.91800000000001</v>
      </c>
      <c r="K3506" s="8">
        <v>171.80699999999999</v>
      </c>
      <c r="L3506" s="8">
        <v>164.20699999999999</v>
      </c>
      <c r="M3506" s="8">
        <v>155.58600000000001</v>
      </c>
      <c r="N3506" s="8">
        <v>151.423</v>
      </c>
      <c r="O3506" s="8">
        <v>130.679</v>
      </c>
      <c r="P3506" s="8">
        <v>104.036</v>
      </c>
      <c r="Q3506" s="8">
        <v>84.266999999999996</v>
      </c>
      <c r="R3506" s="8">
        <v>77.527000000000001</v>
      </c>
      <c r="S3506" s="8">
        <v>71.262</v>
      </c>
      <c r="T3506" s="8">
        <v>57.323999999999998</v>
      </c>
      <c r="U3506" s="8">
        <v>47.137999999999998</v>
      </c>
      <c r="V3506" s="8">
        <v>30.571999999999999</v>
      </c>
      <c r="W3506" s="8">
        <v>23.913</v>
      </c>
      <c r="X3506" s="8">
        <v>15.715</v>
      </c>
      <c r="Y3506" s="8">
        <v>7.9240000000000004</v>
      </c>
      <c r="Z3506" s="8">
        <v>2.6850000000000001</v>
      </c>
      <c r="AA3506" s="8">
        <v>0.70699999999999996</v>
      </c>
      <c r="AB3506" s="8">
        <v>0.08</v>
      </c>
      <c r="AC3506" s="8">
        <v>8.9999999999999993E-3</v>
      </c>
    </row>
    <row r="3507" spans="1:29" ht="11.65" x14ac:dyDescent="0.35">
      <c r="A3507" s="12">
        <v>3490</v>
      </c>
      <c r="B3507" s="10" t="s">
        <v>1015</v>
      </c>
      <c r="C3507" s="18" t="s">
        <v>1257</v>
      </c>
      <c r="D3507" s="9"/>
      <c r="E3507" s="9">
        <v>8</v>
      </c>
      <c r="F3507" s="10" t="s">
        <v>1066</v>
      </c>
      <c r="G3507" s="9">
        <v>925</v>
      </c>
      <c r="H3507" s="9">
        <v>1995</v>
      </c>
      <c r="I3507" s="8">
        <v>174.23500000000001</v>
      </c>
      <c r="J3507" s="8">
        <v>182.06200000000001</v>
      </c>
      <c r="K3507" s="8">
        <v>169.07599999999999</v>
      </c>
      <c r="L3507" s="8">
        <v>150.59100000000001</v>
      </c>
      <c r="M3507" s="8">
        <v>125.101</v>
      </c>
      <c r="N3507" s="8">
        <v>105.92400000000001</v>
      </c>
      <c r="O3507" s="8">
        <v>108.267</v>
      </c>
      <c r="P3507" s="8">
        <v>98.924999999999997</v>
      </c>
      <c r="Q3507" s="8">
        <v>82.051000000000002</v>
      </c>
      <c r="R3507" s="8">
        <v>69.114999999999995</v>
      </c>
      <c r="S3507" s="8">
        <v>66.506</v>
      </c>
      <c r="T3507" s="8">
        <v>62.375999999999998</v>
      </c>
      <c r="U3507" s="8">
        <v>49.491999999999997</v>
      </c>
      <c r="V3507" s="8">
        <v>39.152999999999999</v>
      </c>
      <c r="W3507" s="8">
        <v>23.128</v>
      </c>
      <c r="X3507" s="8">
        <v>15.702999999999999</v>
      </c>
      <c r="Y3507" s="8">
        <v>8.1010000000000009</v>
      </c>
      <c r="Z3507" s="8">
        <v>2.9590000000000001</v>
      </c>
      <c r="AA3507" s="8">
        <v>0.64200000000000002</v>
      </c>
      <c r="AB3507" s="8">
        <v>9.2999999999999999E-2</v>
      </c>
      <c r="AC3507" s="8">
        <v>6.0000000000000001E-3</v>
      </c>
    </row>
    <row r="3508" spans="1:29" ht="11.65" x14ac:dyDescent="0.35">
      <c r="A3508" s="12">
        <v>3491</v>
      </c>
      <c r="B3508" s="10" t="s">
        <v>1015</v>
      </c>
      <c r="C3508" s="18" t="s">
        <v>1257</v>
      </c>
      <c r="D3508" s="9"/>
      <c r="E3508" s="9">
        <v>8</v>
      </c>
      <c r="F3508" s="10" t="s">
        <v>1066</v>
      </c>
      <c r="G3508" s="9">
        <v>925</v>
      </c>
      <c r="H3508" s="9">
        <v>2000</v>
      </c>
      <c r="I3508" s="8">
        <v>145.988</v>
      </c>
      <c r="J3508" s="8">
        <v>170.65199999999999</v>
      </c>
      <c r="K3508" s="8">
        <v>173.70400000000001</v>
      </c>
      <c r="L3508" s="8">
        <v>143.946</v>
      </c>
      <c r="M3508" s="8">
        <v>115.51900000000001</v>
      </c>
      <c r="N3508" s="8">
        <v>103.85899999999999</v>
      </c>
      <c r="O3508" s="8">
        <v>103.294</v>
      </c>
      <c r="P3508" s="8">
        <v>115.345</v>
      </c>
      <c r="Q3508" s="8">
        <v>111.252</v>
      </c>
      <c r="R3508" s="8">
        <v>93.462999999999994</v>
      </c>
      <c r="S3508" s="8">
        <v>76.438000000000002</v>
      </c>
      <c r="T3508" s="8">
        <v>66.760000000000005</v>
      </c>
      <c r="U3508" s="8">
        <v>57.738</v>
      </c>
      <c r="V3508" s="8">
        <v>44.25</v>
      </c>
      <c r="W3508" s="8">
        <v>31.917000000000002</v>
      </c>
      <c r="X3508" s="8">
        <v>15.896000000000001</v>
      </c>
      <c r="Y3508" s="8">
        <v>9.2739999999999991</v>
      </c>
      <c r="Z3508" s="8">
        <v>3.419</v>
      </c>
      <c r="AA3508" s="8">
        <v>0.70399999999999996</v>
      </c>
      <c r="AB3508" s="8">
        <v>8.2000000000000003E-2</v>
      </c>
      <c r="AC3508" s="8">
        <v>6.0000000000000001E-3</v>
      </c>
    </row>
    <row r="3509" spans="1:29" ht="11.65" x14ac:dyDescent="0.35">
      <c r="A3509" s="12">
        <v>3492</v>
      </c>
      <c r="B3509" s="10" t="s">
        <v>1015</v>
      </c>
      <c r="C3509" s="18" t="s">
        <v>1257</v>
      </c>
      <c r="D3509" s="9"/>
      <c r="E3509" s="9">
        <v>8</v>
      </c>
      <c r="F3509" s="10" t="s">
        <v>1066</v>
      </c>
      <c r="G3509" s="9">
        <v>925</v>
      </c>
      <c r="H3509" s="9">
        <v>2005</v>
      </c>
      <c r="I3509" s="8">
        <v>115.53</v>
      </c>
      <c r="J3509" s="8">
        <v>145.08600000000001</v>
      </c>
      <c r="K3509" s="8">
        <v>165.542</v>
      </c>
      <c r="L3509" s="8">
        <v>160.435</v>
      </c>
      <c r="M3509" s="8">
        <v>120.16</v>
      </c>
      <c r="N3509" s="8">
        <v>89.462000000000003</v>
      </c>
      <c r="O3509" s="8">
        <v>89.305999999999997</v>
      </c>
      <c r="P3509" s="8">
        <v>96.564999999999998</v>
      </c>
      <c r="Q3509" s="8">
        <v>109.736</v>
      </c>
      <c r="R3509" s="8">
        <v>106.738</v>
      </c>
      <c r="S3509" s="8">
        <v>89.766000000000005</v>
      </c>
      <c r="T3509" s="8">
        <v>73.122</v>
      </c>
      <c r="U3509" s="8">
        <v>63.186</v>
      </c>
      <c r="V3509" s="8">
        <v>52.506</v>
      </c>
      <c r="W3509" s="8">
        <v>37.280999999999999</v>
      </c>
      <c r="X3509" s="8">
        <v>23.381</v>
      </c>
      <c r="Y3509" s="8">
        <v>9.1989999999999998</v>
      </c>
      <c r="Z3509" s="8">
        <v>3.9380000000000002</v>
      </c>
      <c r="AA3509" s="8">
        <v>0.92500000000000004</v>
      </c>
      <c r="AB3509" s="8">
        <v>0.104</v>
      </c>
      <c r="AC3509" s="8">
        <v>7.0000000000000001E-3</v>
      </c>
    </row>
    <row r="3510" spans="1:29" ht="11.65" x14ac:dyDescent="0.35">
      <c r="A3510" s="12">
        <v>3493</v>
      </c>
      <c r="B3510" s="10" t="s">
        <v>1015</v>
      </c>
      <c r="C3510" s="18" t="s">
        <v>1257</v>
      </c>
      <c r="D3510" s="9"/>
      <c r="E3510" s="9">
        <v>8</v>
      </c>
      <c r="F3510" s="10" t="s">
        <v>1066</v>
      </c>
      <c r="G3510" s="9">
        <v>925</v>
      </c>
      <c r="H3510" s="9">
        <v>2010</v>
      </c>
      <c r="I3510" s="8">
        <v>92.622</v>
      </c>
      <c r="J3510" s="8">
        <v>114.017</v>
      </c>
      <c r="K3510" s="8">
        <v>143.12</v>
      </c>
      <c r="L3510" s="8">
        <v>150.06299999999999</v>
      </c>
      <c r="M3510" s="8">
        <v>131.99700000000001</v>
      </c>
      <c r="N3510" s="8">
        <v>97.57</v>
      </c>
      <c r="O3510" s="8">
        <v>78.563999999999993</v>
      </c>
      <c r="P3510" s="8">
        <v>84.539000000000001</v>
      </c>
      <c r="Q3510" s="8">
        <v>89.863</v>
      </c>
      <c r="R3510" s="8">
        <v>102.944</v>
      </c>
      <c r="S3510" s="8">
        <v>100.071</v>
      </c>
      <c r="T3510" s="8">
        <v>81.866</v>
      </c>
      <c r="U3510" s="8">
        <v>64.683999999999997</v>
      </c>
      <c r="V3510" s="8">
        <v>55.786999999999999</v>
      </c>
      <c r="W3510" s="8">
        <v>46.426000000000002</v>
      </c>
      <c r="X3510" s="8">
        <v>30.55</v>
      </c>
      <c r="Y3510" s="8">
        <v>15.221</v>
      </c>
      <c r="Z3510" s="8">
        <v>4.0030000000000001</v>
      </c>
      <c r="AA3510" s="8">
        <v>1.024</v>
      </c>
      <c r="AB3510" s="8">
        <v>0.129</v>
      </c>
      <c r="AC3510" s="8">
        <v>8.0000000000000002E-3</v>
      </c>
    </row>
    <row r="3511" spans="1:29" ht="11.65" x14ac:dyDescent="0.35">
      <c r="A3511" s="12">
        <v>3494</v>
      </c>
      <c r="B3511" s="10" t="s">
        <v>1015</v>
      </c>
      <c r="C3511" s="18" t="s">
        <v>1257</v>
      </c>
      <c r="D3511" s="9"/>
      <c r="E3511" s="9">
        <v>8</v>
      </c>
      <c r="F3511" s="10" t="s">
        <v>1066</v>
      </c>
      <c r="G3511" s="9">
        <v>925</v>
      </c>
      <c r="H3511" s="9">
        <v>2015</v>
      </c>
      <c r="I3511" s="8">
        <v>89.507999999999996</v>
      </c>
      <c r="J3511" s="8">
        <v>87.899000000000001</v>
      </c>
      <c r="K3511" s="8">
        <v>108.608</v>
      </c>
      <c r="L3511" s="8">
        <v>122.795</v>
      </c>
      <c r="M3511" s="8">
        <v>136.17099999999999</v>
      </c>
      <c r="N3511" s="8">
        <v>128.65199999999999</v>
      </c>
      <c r="O3511" s="8">
        <v>95.215000000000003</v>
      </c>
      <c r="P3511" s="8">
        <v>79.278999999999996</v>
      </c>
      <c r="Q3511" s="8">
        <v>83.064999999999998</v>
      </c>
      <c r="R3511" s="8">
        <v>91.363</v>
      </c>
      <c r="S3511" s="8">
        <v>102.318</v>
      </c>
      <c r="T3511" s="8">
        <v>95.709000000000003</v>
      </c>
      <c r="U3511" s="8">
        <v>75.057000000000002</v>
      </c>
      <c r="V3511" s="8">
        <v>58.866999999999997</v>
      </c>
      <c r="W3511" s="8">
        <v>50.41</v>
      </c>
      <c r="X3511" s="8">
        <v>37.222000000000001</v>
      </c>
      <c r="Y3511" s="8">
        <v>20.36</v>
      </c>
      <c r="Z3511" s="8">
        <v>7.5170000000000003</v>
      </c>
      <c r="AA3511" s="8">
        <v>1.2569999999999999</v>
      </c>
      <c r="AB3511" s="8">
        <v>0.17399999999999999</v>
      </c>
      <c r="AC3511" s="8">
        <v>0.01</v>
      </c>
    </row>
    <row r="3512" spans="1:29" ht="11.65" x14ac:dyDescent="0.35">
      <c r="A3512" s="12">
        <v>3495</v>
      </c>
      <c r="B3512" s="10" t="s">
        <v>1015</v>
      </c>
      <c r="C3512" s="18" t="s">
        <v>1257</v>
      </c>
      <c r="D3512" s="9"/>
      <c r="E3512" s="9">
        <v>8</v>
      </c>
      <c r="F3512" s="10" t="s">
        <v>1066</v>
      </c>
      <c r="G3512" s="9">
        <v>925</v>
      </c>
      <c r="H3512" s="9">
        <v>2020</v>
      </c>
      <c r="I3512" s="8">
        <v>86.563999999999993</v>
      </c>
      <c r="J3512" s="8">
        <v>87.731999999999999</v>
      </c>
      <c r="K3512" s="8">
        <v>86.956999999999994</v>
      </c>
      <c r="L3512" s="8">
        <v>106.218</v>
      </c>
      <c r="M3512" s="8">
        <v>117.374</v>
      </c>
      <c r="N3512" s="8">
        <v>129.31700000000001</v>
      </c>
      <c r="O3512" s="8">
        <v>122.633</v>
      </c>
      <c r="P3512" s="8">
        <v>90.658000000000001</v>
      </c>
      <c r="Q3512" s="8">
        <v>75.896000000000001</v>
      </c>
      <c r="R3512" s="8">
        <v>80.263999999999996</v>
      </c>
      <c r="S3512" s="8">
        <v>88.504000000000005</v>
      </c>
      <c r="T3512" s="8">
        <v>98.653999999999996</v>
      </c>
      <c r="U3512" s="8">
        <v>91.164000000000001</v>
      </c>
      <c r="V3512" s="8">
        <v>69.837000000000003</v>
      </c>
      <c r="W3512" s="8">
        <v>52.442</v>
      </c>
      <c r="X3512" s="8">
        <v>41.429000000000002</v>
      </c>
      <c r="Y3512" s="8">
        <v>25.727</v>
      </c>
      <c r="Z3512" s="8">
        <v>10.503</v>
      </c>
      <c r="AA3512" s="8">
        <v>2.5840000000000001</v>
      </c>
      <c r="AB3512" s="8">
        <v>0.24199999999999999</v>
      </c>
      <c r="AC3512" s="8">
        <v>1.4999999999999999E-2</v>
      </c>
    </row>
    <row r="3513" spans="1:29" ht="11.65" x14ac:dyDescent="0.35">
      <c r="A3513" s="12">
        <v>3496</v>
      </c>
      <c r="B3513" s="10" t="s">
        <v>1015</v>
      </c>
      <c r="C3513" s="18" t="s">
        <v>1258</v>
      </c>
      <c r="D3513" s="9"/>
      <c r="E3513" s="9">
        <v>70</v>
      </c>
      <c r="F3513" s="10" t="s">
        <v>1066</v>
      </c>
      <c r="G3513" s="9">
        <v>925</v>
      </c>
      <c r="H3513" s="9">
        <v>1950</v>
      </c>
      <c r="I3513" s="8">
        <v>195</v>
      </c>
      <c r="J3513" s="8">
        <v>137.80000000000001</v>
      </c>
      <c r="K3513" s="8">
        <v>172.70099999999999</v>
      </c>
      <c r="L3513" s="8">
        <v>160.4</v>
      </c>
      <c r="M3513" s="8">
        <v>137.6</v>
      </c>
      <c r="N3513" s="8">
        <v>81.900000000000006</v>
      </c>
      <c r="O3513" s="8">
        <v>50.2</v>
      </c>
      <c r="P3513" s="8">
        <v>62.801000000000002</v>
      </c>
      <c r="Q3513" s="8">
        <v>75.400000000000006</v>
      </c>
      <c r="R3513" s="8">
        <v>64.099999999999994</v>
      </c>
      <c r="S3513" s="8">
        <v>49.8</v>
      </c>
      <c r="T3513" s="8">
        <v>30.9</v>
      </c>
      <c r="U3513" s="8">
        <v>23.7</v>
      </c>
      <c r="V3513" s="8">
        <v>15.701000000000001</v>
      </c>
      <c r="W3513" s="8">
        <v>13.298999999999999</v>
      </c>
      <c r="X3513" s="8">
        <v>8.3000000000000007</v>
      </c>
      <c r="Y3513" s="8">
        <v>3.6960000000000002</v>
      </c>
      <c r="Z3513" s="8">
        <v>1.1100000000000001</v>
      </c>
      <c r="AA3513" s="8">
        <v>0.17899999999999999</v>
      </c>
      <c r="AB3513" s="8">
        <v>1.4999999999999999E-2</v>
      </c>
      <c r="AC3513" s="8">
        <v>1E-3</v>
      </c>
    </row>
    <row r="3514" spans="1:29" ht="11.65" x14ac:dyDescent="0.35">
      <c r="A3514" s="12">
        <v>3497</v>
      </c>
      <c r="B3514" s="10" t="s">
        <v>1015</v>
      </c>
      <c r="C3514" s="18" t="s">
        <v>1258</v>
      </c>
      <c r="D3514" s="9"/>
      <c r="E3514" s="9">
        <v>70</v>
      </c>
      <c r="F3514" s="10" t="s">
        <v>1066</v>
      </c>
      <c r="G3514" s="9">
        <v>925</v>
      </c>
      <c r="H3514" s="9">
        <v>1955</v>
      </c>
      <c r="I3514" s="8">
        <v>220.37100000000001</v>
      </c>
      <c r="J3514" s="8">
        <v>188.923</v>
      </c>
      <c r="K3514" s="8">
        <v>136.66999999999999</v>
      </c>
      <c r="L3514" s="8">
        <v>170.14599999999999</v>
      </c>
      <c r="M3514" s="8">
        <v>155.24799999999999</v>
      </c>
      <c r="N3514" s="8">
        <v>131.40600000000001</v>
      </c>
      <c r="O3514" s="8">
        <v>76.873000000000005</v>
      </c>
      <c r="P3514" s="8">
        <v>46.53</v>
      </c>
      <c r="Q3514" s="8">
        <v>59.466999999999999</v>
      </c>
      <c r="R3514" s="8">
        <v>71.515000000000001</v>
      </c>
      <c r="S3514" s="8">
        <v>59.805</v>
      </c>
      <c r="T3514" s="8">
        <v>45.104999999999997</v>
      </c>
      <c r="U3514" s="8">
        <v>26.597000000000001</v>
      </c>
      <c r="V3514" s="8">
        <v>18.898</v>
      </c>
      <c r="W3514" s="8">
        <v>11.041</v>
      </c>
      <c r="X3514" s="8">
        <v>7.7610000000000001</v>
      </c>
      <c r="Y3514" s="8">
        <v>3.6110000000000002</v>
      </c>
      <c r="Z3514" s="8">
        <v>1.1220000000000001</v>
      </c>
      <c r="AA3514" s="8">
        <v>0.27300000000000002</v>
      </c>
      <c r="AB3514" s="8">
        <v>3.4000000000000002E-2</v>
      </c>
      <c r="AC3514" s="8">
        <v>2E-3</v>
      </c>
    </row>
    <row r="3515" spans="1:29" ht="11.65" x14ac:dyDescent="0.35">
      <c r="A3515" s="12">
        <v>3498</v>
      </c>
      <c r="B3515" s="10" t="s">
        <v>1015</v>
      </c>
      <c r="C3515" s="18" t="s">
        <v>1258</v>
      </c>
      <c r="D3515" s="9"/>
      <c r="E3515" s="9">
        <v>70</v>
      </c>
      <c r="F3515" s="10" t="s">
        <v>1066</v>
      </c>
      <c r="G3515" s="9">
        <v>925</v>
      </c>
      <c r="H3515" s="9">
        <v>1960</v>
      </c>
      <c r="I3515" s="8">
        <v>224.755</v>
      </c>
      <c r="J3515" s="8">
        <v>215.26300000000001</v>
      </c>
      <c r="K3515" s="8">
        <v>187.703</v>
      </c>
      <c r="L3515" s="8">
        <v>134.42500000000001</v>
      </c>
      <c r="M3515" s="8">
        <v>165.08699999999999</v>
      </c>
      <c r="N3515" s="8">
        <v>149.023</v>
      </c>
      <c r="O3515" s="8">
        <v>125.869</v>
      </c>
      <c r="P3515" s="8">
        <v>72.852999999999994</v>
      </c>
      <c r="Q3515" s="8">
        <v>43.6</v>
      </c>
      <c r="R3515" s="8">
        <v>56.225999999999999</v>
      </c>
      <c r="S3515" s="8">
        <v>67.004000000000005</v>
      </c>
      <c r="T3515" s="8">
        <v>54.512999999999998</v>
      </c>
      <c r="U3515" s="8">
        <v>39.259</v>
      </c>
      <c r="V3515" s="8">
        <v>21.475999999999999</v>
      </c>
      <c r="W3515" s="8">
        <v>13.571999999999999</v>
      </c>
      <c r="X3515" s="8">
        <v>6.641</v>
      </c>
      <c r="Y3515" s="8">
        <v>3.58</v>
      </c>
      <c r="Z3515" s="8">
        <v>1.1970000000000001</v>
      </c>
      <c r="AA3515" s="8">
        <v>0.29199999999999998</v>
      </c>
      <c r="AB3515" s="8">
        <v>5.3999999999999999E-2</v>
      </c>
      <c r="AC3515" s="8">
        <v>5.0000000000000001E-3</v>
      </c>
    </row>
    <row r="3516" spans="1:29" ht="11.65" x14ac:dyDescent="0.35">
      <c r="A3516" s="12">
        <v>3499</v>
      </c>
      <c r="B3516" s="10" t="s">
        <v>1015</v>
      </c>
      <c r="C3516" s="18" t="s">
        <v>1258</v>
      </c>
      <c r="D3516" s="9"/>
      <c r="E3516" s="9">
        <v>70</v>
      </c>
      <c r="F3516" s="10" t="s">
        <v>1066</v>
      </c>
      <c r="G3516" s="9">
        <v>925</v>
      </c>
      <c r="H3516" s="9">
        <v>1965</v>
      </c>
      <c r="I3516" s="8">
        <v>236.18199999999999</v>
      </c>
      <c r="J3516" s="8">
        <v>220.57400000000001</v>
      </c>
      <c r="K3516" s="8">
        <v>214.00700000000001</v>
      </c>
      <c r="L3516" s="8">
        <v>185.273</v>
      </c>
      <c r="M3516" s="8">
        <v>129.74299999999999</v>
      </c>
      <c r="N3516" s="8">
        <v>158.88499999999999</v>
      </c>
      <c r="O3516" s="8">
        <v>143.40799999999999</v>
      </c>
      <c r="P3516" s="8">
        <v>121.235</v>
      </c>
      <c r="Q3516" s="8">
        <v>69.444000000000003</v>
      </c>
      <c r="R3516" s="8">
        <v>40.941000000000003</v>
      </c>
      <c r="S3516" s="8">
        <v>52.631999999999998</v>
      </c>
      <c r="T3516" s="8">
        <v>61.393000000000001</v>
      </c>
      <c r="U3516" s="8">
        <v>47.835999999999999</v>
      </c>
      <c r="V3516" s="8">
        <v>32.149000000000001</v>
      </c>
      <c r="W3516" s="8">
        <v>15.721</v>
      </c>
      <c r="X3516" s="8">
        <v>8.43</v>
      </c>
      <c r="Y3516" s="8">
        <v>3.2240000000000002</v>
      </c>
      <c r="Z3516" s="8">
        <v>1.278</v>
      </c>
      <c r="AA3516" s="8">
        <v>0.32800000000000001</v>
      </c>
      <c r="AB3516" s="8">
        <v>5.8000000000000003E-2</v>
      </c>
      <c r="AC3516" s="8">
        <v>8.0000000000000002E-3</v>
      </c>
    </row>
    <row r="3517" spans="1:29" ht="11.65" x14ac:dyDescent="0.35">
      <c r="A3517" s="12">
        <v>3500</v>
      </c>
      <c r="B3517" s="10" t="s">
        <v>1015</v>
      </c>
      <c r="C3517" s="18" t="s">
        <v>1258</v>
      </c>
      <c r="D3517" s="9"/>
      <c r="E3517" s="9">
        <v>70</v>
      </c>
      <c r="F3517" s="10" t="s">
        <v>1066</v>
      </c>
      <c r="G3517" s="9">
        <v>925</v>
      </c>
      <c r="H3517" s="9">
        <v>1970</v>
      </c>
      <c r="I3517" s="8">
        <v>219.083</v>
      </c>
      <c r="J3517" s="8">
        <v>234.53899999999999</v>
      </c>
      <c r="K3517" s="8">
        <v>221.52099999999999</v>
      </c>
      <c r="L3517" s="8">
        <v>213.07499999999999</v>
      </c>
      <c r="M3517" s="8">
        <v>172.26499999999999</v>
      </c>
      <c r="N3517" s="8">
        <v>110.202</v>
      </c>
      <c r="O3517" s="8">
        <v>146.56</v>
      </c>
      <c r="P3517" s="8">
        <v>137.99299999999999</v>
      </c>
      <c r="Q3517" s="8">
        <v>116.38500000000001</v>
      </c>
      <c r="R3517" s="8">
        <v>63.923000000000002</v>
      </c>
      <c r="S3517" s="8">
        <v>36.119</v>
      </c>
      <c r="T3517" s="8">
        <v>47.713000000000001</v>
      </c>
      <c r="U3517" s="8">
        <v>54.387999999999998</v>
      </c>
      <c r="V3517" s="8">
        <v>38.018999999999998</v>
      </c>
      <c r="W3517" s="8">
        <v>21.937999999999999</v>
      </c>
      <c r="X3517" s="8">
        <v>9.391</v>
      </c>
      <c r="Y3517" s="8">
        <v>4.165</v>
      </c>
      <c r="Z3517" s="8">
        <v>1.2010000000000001</v>
      </c>
      <c r="AA3517" s="8">
        <v>0.36699999999999999</v>
      </c>
      <c r="AB3517" s="8">
        <v>6.8000000000000005E-2</v>
      </c>
      <c r="AC3517" s="8">
        <v>8.9999999999999993E-3</v>
      </c>
    </row>
    <row r="3518" spans="1:29" ht="11.65" x14ac:dyDescent="0.35">
      <c r="A3518" s="12">
        <v>3501</v>
      </c>
      <c r="B3518" s="10" t="s">
        <v>1015</v>
      </c>
      <c r="C3518" s="18" t="s">
        <v>1258</v>
      </c>
      <c r="D3518" s="9"/>
      <c r="E3518" s="9">
        <v>70</v>
      </c>
      <c r="F3518" s="10" t="s">
        <v>1066</v>
      </c>
      <c r="G3518" s="9">
        <v>925</v>
      </c>
      <c r="H3518" s="9">
        <v>1975</v>
      </c>
      <c r="I3518" s="8">
        <v>212.524</v>
      </c>
      <c r="J3518" s="8">
        <v>218.73400000000001</v>
      </c>
      <c r="K3518" s="8">
        <v>236.88900000000001</v>
      </c>
      <c r="L3518" s="8">
        <v>223.423</v>
      </c>
      <c r="M3518" s="8">
        <v>199.58099999999999</v>
      </c>
      <c r="N3518" s="8">
        <v>151.63499999999999</v>
      </c>
      <c r="O3518" s="8">
        <v>104.31399999999999</v>
      </c>
      <c r="P3518" s="8">
        <v>144.11500000000001</v>
      </c>
      <c r="Q3518" s="8">
        <v>132.42400000000001</v>
      </c>
      <c r="R3518" s="8">
        <v>111.34699999999999</v>
      </c>
      <c r="S3518" s="8">
        <v>59.942999999999998</v>
      </c>
      <c r="T3518" s="8">
        <v>33.433999999999997</v>
      </c>
      <c r="U3518" s="8">
        <v>42.198</v>
      </c>
      <c r="V3518" s="8">
        <v>43.22</v>
      </c>
      <c r="W3518" s="8">
        <v>26.797000000000001</v>
      </c>
      <c r="X3518" s="8">
        <v>13.756</v>
      </c>
      <c r="Y3518" s="8">
        <v>4.7560000000000002</v>
      </c>
      <c r="Z3518" s="8">
        <v>1.633</v>
      </c>
      <c r="AA3518" s="8">
        <v>0.36099999999999999</v>
      </c>
      <c r="AB3518" s="8">
        <v>7.6999999999999999E-2</v>
      </c>
      <c r="AC3518" s="8">
        <v>0.01</v>
      </c>
    </row>
    <row r="3519" spans="1:29" ht="11.65" x14ac:dyDescent="0.35">
      <c r="A3519" s="12">
        <v>3502</v>
      </c>
      <c r="B3519" s="10" t="s">
        <v>1015</v>
      </c>
      <c r="C3519" s="18" t="s">
        <v>1258</v>
      </c>
      <c r="D3519" s="9"/>
      <c r="E3519" s="9">
        <v>70</v>
      </c>
      <c r="F3519" s="10" t="s">
        <v>1066</v>
      </c>
      <c r="G3519" s="9">
        <v>925</v>
      </c>
      <c r="H3519" s="9">
        <v>1980</v>
      </c>
      <c r="I3519" s="8">
        <v>195.988</v>
      </c>
      <c r="J3519" s="8">
        <v>209.34</v>
      </c>
      <c r="K3519" s="8">
        <v>214.07300000000001</v>
      </c>
      <c r="L3519" s="8">
        <v>232.35400000000001</v>
      </c>
      <c r="M3519" s="8">
        <v>212.69800000000001</v>
      </c>
      <c r="N3519" s="8">
        <v>187.965</v>
      </c>
      <c r="O3519" s="8">
        <v>147.66800000000001</v>
      </c>
      <c r="P3519" s="8">
        <v>102.869</v>
      </c>
      <c r="Q3519" s="8">
        <v>142.16900000000001</v>
      </c>
      <c r="R3519" s="8">
        <v>129.59700000000001</v>
      </c>
      <c r="S3519" s="8">
        <v>107.012</v>
      </c>
      <c r="T3519" s="8">
        <v>55.737000000000002</v>
      </c>
      <c r="U3519" s="8">
        <v>29.213000000000001</v>
      </c>
      <c r="V3519" s="8">
        <v>36.012999999999998</v>
      </c>
      <c r="W3519" s="8">
        <v>34.780999999999999</v>
      </c>
      <c r="X3519" s="8">
        <v>19.024999999999999</v>
      </c>
      <c r="Y3519" s="8">
        <v>7.9459999999999997</v>
      </c>
      <c r="Z3519" s="8">
        <v>2.0379999999999998</v>
      </c>
      <c r="AA3519" s="8">
        <v>0.495</v>
      </c>
      <c r="AB3519" s="8">
        <v>7.8E-2</v>
      </c>
      <c r="AC3519" s="8">
        <v>1.2E-2</v>
      </c>
    </row>
    <row r="3520" spans="1:29" ht="11.65" x14ac:dyDescent="0.35">
      <c r="A3520" s="12">
        <v>3503</v>
      </c>
      <c r="B3520" s="10" t="s">
        <v>1015</v>
      </c>
      <c r="C3520" s="18" t="s">
        <v>1258</v>
      </c>
      <c r="D3520" s="9"/>
      <c r="E3520" s="9">
        <v>70</v>
      </c>
      <c r="F3520" s="10" t="s">
        <v>1066</v>
      </c>
      <c r="G3520" s="9">
        <v>925</v>
      </c>
      <c r="H3520" s="9">
        <v>1985</v>
      </c>
      <c r="I3520" s="8">
        <v>190.26599999999999</v>
      </c>
      <c r="J3520" s="8">
        <v>194.54400000000001</v>
      </c>
      <c r="K3520" s="8">
        <v>208.56100000000001</v>
      </c>
      <c r="L3520" s="8">
        <v>212.45699999999999</v>
      </c>
      <c r="M3520" s="8">
        <v>228.91200000000001</v>
      </c>
      <c r="N3520" s="8">
        <v>208.452</v>
      </c>
      <c r="O3520" s="8">
        <v>184.06</v>
      </c>
      <c r="P3520" s="8">
        <v>144.35900000000001</v>
      </c>
      <c r="Q3520" s="8">
        <v>100.04900000000001</v>
      </c>
      <c r="R3520" s="8">
        <v>137.815</v>
      </c>
      <c r="S3520" s="8">
        <v>123.898</v>
      </c>
      <c r="T3520" s="8">
        <v>99.953000000000003</v>
      </c>
      <c r="U3520" s="8">
        <v>50.143000000000001</v>
      </c>
      <c r="V3520" s="8">
        <v>24.81</v>
      </c>
      <c r="W3520" s="8">
        <v>28.097999999999999</v>
      </c>
      <c r="X3520" s="8">
        <v>23.773</v>
      </c>
      <c r="Y3520" s="8">
        <v>10.667</v>
      </c>
      <c r="Z3520" s="8">
        <v>3.375</v>
      </c>
      <c r="AA3520" s="8">
        <v>0.63200000000000001</v>
      </c>
      <c r="AB3520" s="8">
        <v>0.11</v>
      </c>
      <c r="AC3520" s="8">
        <v>1.2999999999999999E-2</v>
      </c>
    </row>
    <row r="3521" spans="1:29" ht="11.65" x14ac:dyDescent="0.35">
      <c r="A3521" s="12">
        <v>3504</v>
      </c>
      <c r="B3521" s="10" t="s">
        <v>1015</v>
      </c>
      <c r="C3521" s="18" t="s">
        <v>1258</v>
      </c>
      <c r="D3521" s="9"/>
      <c r="E3521" s="9">
        <v>70</v>
      </c>
      <c r="F3521" s="10" t="s">
        <v>1066</v>
      </c>
      <c r="G3521" s="9">
        <v>925</v>
      </c>
      <c r="H3521" s="9">
        <v>1990</v>
      </c>
      <c r="I3521" s="8">
        <v>179.536</v>
      </c>
      <c r="J3521" s="8">
        <v>187.58600000000001</v>
      </c>
      <c r="K3521" s="8">
        <v>187.87799999999999</v>
      </c>
      <c r="L3521" s="8">
        <v>196.34200000000001</v>
      </c>
      <c r="M3521" s="8">
        <v>195.56800000000001</v>
      </c>
      <c r="N3521" s="8">
        <v>212.31399999999999</v>
      </c>
      <c r="O3521" s="8">
        <v>194.64099999999999</v>
      </c>
      <c r="P3521" s="8">
        <v>173.12700000000001</v>
      </c>
      <c r="Q3521" s="8">
        <v>136.684</v>
      </c>
      <c r="R3521" s="8">
        <v>95.522000000000006</v>
      </c>
      <c r="S3521" s="8">
        <v>133.904</v>
      </c>
      <c r="T3521" s="8">
        <v>118.363</v>
      </c>
      <c r="U3521" s="8">
        <v>92.305999999999997</v>
      </c>
      <c r="V3521" s="8">
        <v>45.134</v>
      </c>
      <c r="W3521" s="8">
        <v>20.902000000000001</v>
      </c>
      <c r="X3521" s="8">
        <v>20.152000000000001</v>
      </c>
      <c r="Y3521" s="8">
        <v>14.284000000000001</v>
      </c>
      <c r="Z3521" s="8">
        <v>4.9690000000000003</v>
      </c>
      <c r="AA3521" s="8">
        <v>1.117</v>
      </c>
      <c r="AB3521" s="8">
        <v>0.14399999999999999</v>
      </c>
      <c r="AC3521" s="8">
        <v>1.7000000000000001E-2</v>
      </c>
    </row>
    <row r="3522" spans="1:29" ht="11.65" x14ac:dyDescent="0.35">
      <c r="A3522" s="12">
        <v>3505</v>
      </c>
      <c r="B3522" s="10" t="s">
        <v>1015</v>
      </c>
      <c r="C3522" s="18" t="s">
        <v>1258</v>
      </c>
      <c r="D3522" s="9"/>
      <c r="E3522" s="9">
        <v>70</v>
      </c>
      <c r="F3522" s="10" t="s">
        <v>1066</v>
      </c>
      <c r="G3522" s="9">
        <v>925</v>
      </c>
      <c r="H3522" s="9">
        <v>1995</v>
      </c>
      <c r="I3522" s="8">
        <v>133.65799999999999</v>
      </c>
      <c r="J3522" s="8">
        <v>150.547</v>
      </c>
      <c r="K3522" s="8">
        <v>148.89599999999999</v>
      </c>
      <c r="L3522" s="8">
        <v>147.50200000000001</v>
      </c>
      <c r="M3522" s="8">
        <v>150.14400000000001</v>
      </c>
      <c r="N3522" s="8">
        <v>144.77199999999999</v>
      </c>
      <c r="O3522" s="8">
        <v>164.96799999999999</v>
      </c>
      <c r="P3522" s="8">
        <v>155.523</v>
      </c>
      <c r="Q3522" s="8">
        <v>141.04900000000001</v>
      </c>
      <c r="R3522" s="8">
        <v>111.018</v>
      </c>
      <c r="S3522" s="8">
        <v>82.543000000000006</v>
      </c>
      <c r="T3522" s="8">
        <v>116.617</v>
      </c>
      <c r="U3522" s="8">
        <v>92.418999999999997</v>
      </c>
      <c r="V3522" s="8">
        <v>71.948999999999998</v>
      </c>
      <c r="W3522" s="8">
        <v>33.569000000000003</v>
      </c>
      <c r="X3522" s="8">
        <v>13.621</v>
      </c>
      <c r="Y3522" s="8">
        <v>11.356999999999999</v>
      </c>
      <c r="Z3522" s="8">
        <v>6.3650000000000002</v>
      </c>
      <c r="AA3522" s="8">
        <v>1.6220000000000001</v>
      </c>
      <c r="AB3522" s="8">
        <v>0.247</v>
      </c>
      <c r="AC3522" s="8">
        <v>2.1000000000000001E-2</v>
      </c>
    </row>
    <row r="3523" spans="1:29" ht="11.65" x14ac:dyDescent="0.35">
      <c r="A3523" s="12">
        <v>3506</v>
      </c>
      <c r="B3523" s="10" t="s">
        <v>1015</v>
      </c>
      <c r="C3523" s="18" t="s">
        <v>1258</v>
      </c>
      <c r="D3523" s="9"/>
      <c r="E3523" s="9">
        <v>70</v>
      </c>
      <c r="F3523" s="10" t="s">
        <v>1066</v>
      </c>
      <c r="G3523" s="9">
        <v>925</v>
      </c>
      <c r="H3523" s="9">
        <v>2000</v>
      </c>
      <c r="I3523" s="8">
        <v>120.84</v>
      </c>
      <c r="J3523" s="8">
        <v>131.65799999999999</v>
      </c>
      <c r="K3523" s="8">
        <v>147.28299999999999</v>
      </c>
      <c r="L3523" s="8">
        <v>144.63900000000001</v>
      </c>
      <c r="M3523" s="8">
        <v>140.41900000000001</v>
      </c>
      <c r="N3523" s="8">
        <v>139.761</v>
      </c>
      <c r="O3523" s="8">
        <v>134.203</v>
      </c>
      <c r="P3523" s="8">
        <v>155.69999999999999</v>
      </c>
      <c r="Q3523" s="8">
        <v>147.881</v>
      </c>
      <c r="R3523" s="8">
        <v>133.47499999999999</v>
      </c>
      <c r="S3523" s="8">
        <v>102.905</v>
      </c>
      <c r="T3523" s="8">
        <v>73.882000000000005</v>
      </c>
      <c r="U3523" s="8">
        <v>102.46</v>
      </c>
      <c r="V3523" s="8">
        <v>76.578000000000003</v>
      </c>
      <c r="W3523" s="8">
        <v>54.856999999999999</v>
      </c>
      <c r="X3523" s="8">
        <v>21.68</v>
      </c>
      <c r="Y3523" s="8">
        <v>6.2089999999999996</v>
      </c>
      <c r="Z3523" s="8">
        <v>4.7119999999999997</v>
      </c>
      <c r="AA3523" s="8">
        <v>2.09</v>
      </c>
      <c r="AB3523" s="8">
        <v>0.34599999999999997</v>
      </c>
      <c r="AC3523" s="8">
        <v>3.3000000000000002E-2</v>
      </c>
    </row>
    <row r="3524" spans="1:29" ht="11.65" x14ac:dyDescent="0.35">
      <c r="A3524" s="12">
        <v>3507</v>
      </c>
      <c r="B3524" s="10" t="s">
        <v>1015</v>
      </c>
      <c r="C3524" s="18" t="s">
        <v>1258</v>
      </c>
      <c r="D3524" s="9"/>
      <c r="E3524" s="9">
        <v>70</v>
      </c>
      <c r="F3524" s="10" t="s">
        <v>1066</v>
      </c>
      <c r="G3524" s="9">
        <v>925</v>
      </c>
      <c r="H3524" s="9">
        <v>2005</v>
      </c>
      <c r="I3524" s="8">
        <v>91.301000000000002</v>
      </c>
      <c r="J3524" s="8">
        <v>120.471</v>
      </c>
      <c r="K3524" s="8">
        <v>131.392</v>
      </c>
      <c r="L3524" s="8">
        <v>146.78200000000001</v>
      </c>
      <c r="M3524" s="8">
        <v>143.69</v>
      </c>
      <c r="N3524" s="8">
        <v>139.232</v>
      </c>
      <c r="O3524" s="8">
        <v>138.52699999999999</v>
      </c>
      <c r="P3524" s="8">
        <v>132.87700000000001</v>
      </c>
      <c r="Q3524" s="8">
        <v>153.72300000000001</v>
      </c>
      <c r="R3524" s="8">
        <v>145.03899999999999</v>
      </c>
      <c r="S3524" s="8">
        <v>129.34299999999999</v>
      </c>
      <c r="T3524" s="8">
        <v>97.781000000000006</v>
      </c>
      <c r="U3524" s="8">
        <v>68.126999999999995</v>
      </c>
      <c r="V3524" s="8">
        <v>90.25</v>
      </c>
      <c r="W3524" s="8">
        <v>62.691000000000003</v>
      </c>
      <c r="X3524" s="8">
        <v>40.012999999999998</v>
      </c>
      <c r="Y3524" s="8">
        <v>13.266999999999999</v>
      </c>
      <c r="Z3524" s="8">
        <v>2.9449999999999998</v>
      </c>
      <c r="AA3524" s="8">
        <v>1.573</v>
      </c>
      <c r="AB3524" s="8">
        <v>0.44600000000000001</v>
      </c>
      <c r="AC3524" s="8">
        <v>4.4999999999999998E-2</v>
      </c>
    </row>
    <row r="3525" spans="1:29" ht="11.65" x14ac:dyDescent="0.35">
      <c r="A3525" s="12">
        <v>3508</v>
      </c>
      <c r="B3525" s="10" t="s">
        <v>1015</v>
      </c>
      <c r="C3525" s="18" t="s">
        <v>1258</v>
      </c>
      <c r="D3525" s="9"/>
      <c r="E3525" s="9">
        <v>70</v>
      </c>
      <c r="F3525" s="10" t="s">
        <v>1066</v>
      </c>
      <c r="G3525" s="9">
        <v>925</v>
      </c>
      <c r="H3525" s="9">
        <v>2010</v>
      </c>
      <c r="I3525" s="8">
        <v>89.260999999999996</v>
      </c>
      <c r="J3525" s="8">
        <v>91.043999999999997</v>
      </c>
      <c r="K3525" s="8">
        <v>120.18899999999999</v>
      </c>
      <c r="L3525" s="8">
        <v>129.286</v>
      </c>
      <c r="M3525" s="8">
        <v>142.64500000000001</v>
      </c>
      <c r="N3525" s="8">
        <v>138.91900000000001</v>
      </c>
      <c r="O3525" s="8">
        <v>133.964</v>
      </c>
      <c r="P3525" s="8">
        <v>133.27000000000001</v>
      </c>
      <c r="Q3525" s="8">
        <v>128.00899999999999</v>
      </c>
      <c r="R3525" s="8">
        <v>148.41200000000001</v>
      </c>
      <c r="S3525" s="8">
        <v>139.03200000000001</v>
      </c>
      <c r="T3525" s="8">
        <v>122.121</v>
      </c>
      <c r="U3525" s="8">
        <v>89.552999999999997</v>
      </c>
      <c r="V3525" s="8">
        <v>59.987000000000002</v>
      </c>
      <c r="W3525" s="8">
        <v>74.753</v>
      </c>
      <c r="X3525" s="8">
        <v>46.399000000000001</v>
      </c>
      <c r="Y3525" s="8">
        <v>24.902000000000001</v>
      </c>
      <c r="Z3525" s="8">
        <v>6.399</v>
      </c>
      <c r="AA3525" s="8">
        <v>0.997</v>
      </c>
      <c r="AB3525" s="8">
        <v>0.33700000000000002</v>
      </c>
      <c r="AC3525" s="8">
        <v>5.8000000000000003E-2</v>
      </c>
    </row>
    <row r="3526" spans="1:29" ht="11.65" x14ac:dyDescent="0.35">
      <c r="A3526" s="12">
        <v>3509</v>
      </c>
      <c r="B3526" s="10" t="s">
        <v>1015</v>
      </c>
      <c r="C3526" s="18" t="s">
        <v>1258</v>
      </c>
      <c r="D3526" s="9"/>
      <c r="E3526" s="9">
        <v>70</v>
      </c>
      <c r="F3526" s="10" t="s">
        <v>1066</v>
      </c>
      <c r="G3526" s="9">
        <v>925</v>
      </c>
      <c r="H3526" s="9">
        <v>2015</v>
      </c>
      <c r="I3526" s="8">
        <v>85.643000000000001</v>
      </c>
      <c r="J3526" s="8">
        <v>94.260999999999996</v>
      </c>
      <c r="K3526" s="8">
        <v>87.634</v>
      </c>
      <c r="L3526" s="8">
        <v>119.73399999999999</v>
      </c>
      <c r="M3526" s="8">
        <v>106.28</v>
      </c>
      <c r="N3526" s="8">
        <v>119.795</v>
      </c>
      <c r="O3526" s="8">
        <v>129.97499999999999</v>
      </c>
      <c r="P3526" s="8">
        <v>116.893</v>
      </c>
      <c r="Q3526" s="8">
        <v>119.377</v>
      </c>
      <c r="R3526" s="8">
        <v>118.767</v>
      </c>
      <c r="S3526" s="8">
        <v>135.21100000000001</v>
      </c>
      <c r="T3526" s="8">
        <v>124.14700000000001</v>
      </c>
      <c r="U3526" s="8">
        <v>115.667</v>
      </c>
      <c r="V3526" s="8">
        <v>73.83</v>
      </c>
      <c r="W3526" s="8">
        <v>52.061999999999998</v>
      </c>
      <c r="X3526" s="8">
        <v>49.658000000000001</v>
      </c>
      <c r="Y3526" s="8">
        <v>19.202000000000002</v>
      </c>
      <c r="Z3526" s="8">
        <v>10.797000000000001</v>
      </c>
      <c r="AA3526" s="8">
        <v>2.1589999999999998</v>
      </c>
      <c r="AB3526" s="8">
        <v>0.20799999999999999</v>
      </c>
      <c r="AC3526" s="8">
        <v>4.2999999999999997E-2</v>
      </c>
    </row>
    <row r="3527" spans="1:29" ht="11.65" x14ac:dyDescent="0.35">
      <c r="A3527" s="12">
        <v>3510</v>
      </c>
      <c r="B3527" s="10" t="s">
        <v>1015</v>
      </c>
      <c r="C3527" s="18" t="s">
        <v>1258</v>
      </c>
      <c r="D3527" s="9"/>
      <c r="E3527" s="9">
        <v>70</v>
      </c>
      <c r="F3527" s="10" t="s">
        <v>1066</v>
      </c>
      <c r="G3527" s="9">
        <v>925</v>
      </c>
      <c r="H3527" s="9">
        <v>2020</v>
      </c>
      <c r="I3527" s="8">
        <v>68.686000000000007</v>
      </c>
      <c r="J3527" s="8">
        <v>83.188999999999993</v>
      </c>
      <c r="K3527" s="8">
        <v>92.909000000000006</v>
      </c>
      <c r="L3527" s="8">
        <v>84.143000000000001</v>
      </c>
      <c r="M3527" s="8">
        <v>111.54900000000001</v>
      </c>
      <c r="N3527" s="8">
        <v>95.995999999999995</v>
      </c>
      <c r="O3527" s="8">
        <v>110.8</v>
      </c>
      <c r="P3527" s="8">
        <v>123.104</v>
      </c>
      <c r="Q3527" s="8">
        <v>111.798</v>
      </c>
      <c r="R3527" s="8">
        <v>115.07599999999999</v>
      </c>
      <c r="S3527" s="8">
        <v>114.211</v>
      </c>
      <c r="T3527" s="8">
        <v>128.68100000000001</v>
      </c>
      <c r="U3527" s="8">
        <v>115.499</v>
      </c>
      <c r="V3527" s="8">
        <v>103.79900000000001</v>
      </c>
      <c r="W3527" s="8">
        <v>62.167000000000002</v>
      </c>
      <c r="X3527" s="8">
        <v>39.36</v>
      </c>
      <c r="Y3527" s="8">
        <v>31.797000000000001</v>
      </c>
      <c r="Z3527" s="8">
        <v>9.5760000000000005</v>
      </c>
      <c r="AA3527" s="8">
        <v>3.7709999999999999</v>
      </c>
      <c r="AB3527" s="8">
        <v>0.46899999999999997</v>
      </c>
      <c r="AC3527" s="8">
        <v>2.9000000000000001E-2</v>
      </c>
    </row>
    <row r="3528" spans="1:29" ht="11.65" x14ac:dyDescent="0.35">
      <c r="A3528" s="12">
        <v>3511</v>
      </c>
      <c r="B3528" s="10" t="s">
        <v>1015</v>
      </c>
      <c r="C3528" s="18" t="s">
        <v>1259</v>
      </c>
      <c r="D3528" s="9"/>
      <c r="E3528" s="9">
        <v>191</v>
      </c>
      <c r="F3528" s="10" t="s">
        <v>1066</v>
      </c>
      <c r="G3528" s="9">
        <v>925</v>
      </c>
      <c r="H3528" s="9">
        <v>1950</v>
      </c>
      <c r="I3528" s="8">
        <v>196.69900000000001</v>
      </c>
      <c r="J3528" s="8">
        <v>150</v>
      </c>
      <c r="K3528" s="8">
        <v>174.80099999999999</v>
      </c>
      <c r="L3528" s="8">
        <v>185.499</v>
      </c>
      <c r="M3528" s="8">
        <v>174.8</v>
      </c>
      <c r="N3528" s="8">
        <v>132.59899999999999</v>
      </c>
      <c r="O3528" s="8">
        <v>87.5</v>
      </c>
      <c r="P3528" s="8">
        <v>115.899</v>
      </c>
      <c r="Q3528" s="8">
        <v>137.899</v>
      </c>
      <c r="R3528" s="8">
        <v>123.3</v>
      </c>
      <c r="S3528" s="8">
        <v>102</v>
      </c>
      <c r="T3528" s="8">
        <v>67.801000000000002</v>
      </c>
      <c r="U3528" s="8">
        <v>56.3</v>
      </c>
      <c r="V3528" s="8">
        <v>48.9</v>
      </c>
      <c r="W3528" s="8">
        <v>37.5</v>
      </c>
      <c r="X3528" s="8">
        <v>25.5</v>
      </c>
      <c r="Y3528" s="8">
        <v>11.558999999999999</v>
      </c>
      <c r="Z3528" s="8">
        <v>4.4400000000000004</v>
      </c>
      <c r="AA3528" s="8">
        <v>1.173</v>
      </c>
      <c r="AB3528" s="8">
        <v>0.19900000000000001</v>
      </c>
      <c r="AC3528" s="8">
        <v>2.1999999999999999E-2</v>
      </c>
    </row>
    <row r="3529" spans="1:29" ht="11.65" x14ac:dyDescent="0.35">
      <c r="A3529" s="12">
        <v>3512</v>
      </c>
      <c r="B3529" s="10" t="s">
        <v>1015</v>
      </c>
      <c r="C3529" s="18" t="s">
        <v>1259</v>
      </c>
      <c r="D3529" s="9"/>
      <c r="E3529" s="9">
        <v>191</v>
      </c>
      <c r="F3529" s="10" t="s">
        <v>1066</v>
      </c>
      <c r="G3529" s="9">
        <v>925</v>
      </c>
      <c r="H3529" s="9">
        <v>1955</v>
      </c>
      <c r="I3529" s="8">
        <v>205.68700000000001</v>
      </c>
      <c r="J3529" s="8">
        <v>194.321</v>
      </c>
      <c r="K3529" s="8">
        <v>149.755</v>
      </c>
      <c r="L3529" s="8">
        <v>174.23500000000001</v>
      </c>
      <c r="M3529" s="8">
        <v>184.108</v>
      </c>
      <c r="N3529" s="8">
        <v>173.048</v>
      </c>
      <c r="O3529" s="8">
        <v>131.196</v>
      </c>
      <c r="P3529" s="8">
        <v>86.334000000000003</v>
      </c>
      <c r="Q3529" s="8">
        <v>113.498</v>
      </c>
      <c r="R3529" s="8">
        <v>133.09</v>
      </c>
      <c r="S3529" s="8">
        <v>116.15900000000001</v>
      </c>
      <c r="T3529" s="8">
        <v>92.935000000000002</v>
      </c>
      <c r="U3529" s="8">
        <v>58.646000000000001</v>
      </c>
      <c r="V3529" s="8">
        <v>44.847000000000001</v>
      </c>
      <c r="W3529" s="8">
        <v>34.378999999999998</v>
      </c>
      <c r="X3529" s="8">
        <v>21.501999999999999</v>
      </c>
      <c r="Y3529" s="8">
        <v>11.132999999999999</v>
      </c>
      <c r="Z3529" s="8">
        <v>3.7450000000000001</v>
      </c>
      <c r="AA3529" s="8">
        <v>1.0569999999999999</v>
      </c>
      <c r="AB3529" s="8">
        <v>0.182</v>
      </c>
      <c r="AC3529" s="8">
        <v>1.9E-2</v>
      </c>
    </row>
    <row r="3530" spans="1:29" ht="11.65" x14ac:dyDescent="0.35">
      <c r="A3530" s="12">
        <v>3513</v>
      </c>
      <c r="B3530" s="10" t="s">
        <v>1015</v>
      </c>
      <c r="C3530" s="18" t="s">
        <v>1259</v>
      </c>
      <c r="D3530" s="9"/>
      <c r="E3530" s="9">
        <v>191</v>
      </c>
      <c r="F3530" s="10" t="s">
        <v>1066</v>
      </c>
      <c r="G3530" s="9">
        <v>925</v>
      </c>
      <c r="H3530" s="9">
        <v>1960</v>
      </c>
      <c r="I3530" s="8">
        <v>191.453</v>
      </c>
      <c r="J3530" s="8">
        <v>204.07</v>
      </c>
      <c r="K3530" s="8">
        <v>194.00399999999999</v>
      </c>
      <c r="L3530" s="8">
        <v>149.274</v>
      </c>
      <c r="M3530" s="8">
        <v>172.93799999999999</v>
      </c>
      <c r="N3530" s="8">
        <v>182.28100000000001</v>
      </c>
      <c r="O3530" s="8">
        <v>171.233</v>
      </c>
      <c r="P3530" s="8">
        <v>129.46600000000001</v>
      </c>
      <c r="Q3530" s="8">
        <v>84.561000000000007</v>
      </c>
      <c r="R3530" s="8">
        <v>109.57899999999999</v>
      </c>
      <c r="S3530" s="8">
        <v>125.45699999999999</v>
      </c>
      <c r="T3530" s="8">
        <v>105.935</v>
      </c>
      <c r="U3530" s="8">
        <v>80.509</v>
      </c>
      <c r="V3530" s="8">
        <v>46.835000000000001</v>
      </c>
      <c r="W3530" s="8">
        <v>31.66</v>
      </c>
      <c r="X3530" s="8">
        <v>19.853999999999999</v>
      </c>
      <c r="Y3530" s="8">
        <v>9.5050000000000008</v>
      </c>
      <c r="Z3530" s="8">
        <v>3.6819999999999999</v>
      </c>
      <c r="AA3530" s="8">
        <v>0.91500000000000004</v>
      </c>
      <c r="AB3530" s="8">
        <v>0.16900000000000001</v>
      </c>
      <c r="AC3530" s="8">
        <v>1.7999999999999999E-2</v>
      </c>
    </row>
    <row r="3531" spans="1:29" ht="11.65" x14ac:dyDescent="0.35">
      <c r="A3531" s="12">
        <v>3514</v>
      </c>
      <c r="B3531" s="10" t="s">
        <v>1015</v>
      </c>
      <c r="C3531" s="18" t="s">
        <v>1259</v>
      </c>
      <c r="D3531" s="9"/>
      <c r="E3531" s="9">
        <v>191</v>
      </c>
      <c r="F3531" s="10" t="s">
        <v>1066</v>
      </c>
      <c r="G3531" s="9">
        <v>925</v>
      </c>
      <c r="H3531" s="9">
        <v>1965</v>
      </c>
      <c r="I3531" s="8">
        <v>177.83</v>
      </c>
      <c r="J3531" s="8">
        <v>190.703</v>
      </c>
      <c r="K3531" s="8">
        <v>203.875</v>
      </c>
      <c r="L3531" s="8">
        <v>191.90100000000001</v>
      </c>
      <c r="M3531" s="8">
        <v>146.017</v>
      </c>
      <c r="N3531" s="8">
        <v>171.56899999999999</v>
      </c>
      <c r="O3531" s="8">
        <v>181.87</v>
      </c>
      <c r="P3531" s="8">
        <v>168.81800000000001</v>
      </c>
      <c r="Q3531" s="8">
        <v>125.15900000000001</v>
      </c>
      <c r="R3531" s="8">
        <v>80.873000000000005</v>
      </c>
      <c r="S3531" s="8">
        <v>105.196</v>
      </c>
      <c r="T3531" s="8">
        <v>117.28700000000001</v>
      </c>
      <c r="U3531" s="8">
        <v>94.179000000000002</v>
      </c>
      <c r="V3531" s="8">
        <v>66.513000000000005</v>
      </c>
      <c r="W3531" s="8">
        <v>35.003999999999998</v>
      </c>
      <c r="X3531" s="8">
        <v>19.533000000000001</v>
      </c>
      <c r="Y3531" s="8">
        <v>9.1489999999999991</v>
      </c>
      <c r="Z3531" s="8">
        <v>3.2130000000000001</v>
      </c>
      <c r="AA3531" s="8">
        <v>0.92200000000000004</v>
      </c>
      <c r="AB3531" s="8">
        <v>0.152</v>
      </c>
      <c r="AC3531" s="8">
        <v>1.7999999999999999E-2</v>
      </c>
    </row>
    <row r="3532" spans="1:29" ht="11.65" x14ac:dyDescent="0.35">
      <c r="A3532" s="12">
        <v>3515</v>
      </c>
      <c r="B3532" s="10" t="s">
        <v>1015</v>
      </c>
      <c r="C3532" s="18" t="s">
        <v>1259</v>
      </c>
      <c r="D3532" s="9"/>
      <c r="E3532" s="9">
        <v>191</v>
      </c>
      <c r="F3532" s="10" t="s">
        <v>1066</v>
      </c>
      <c r="G3532" s="9">
        <v>925</v>
      </c>
      <c r="H3532" s="9">
        <v>1970</v>
      </c>
      <c r="I3532" s="8">
        <v>161.14099999999999</v>
      </c>
      <c r="J3532" s="8">
        <v>176.494</v>
      </c>
      <c r="K3532" s="8">
        <v>190.68</v>
      </c>
      <c r="L3532" s="8">
        <v>203.36600000000001</v>
      </c>
      <c r="M3532" s="8">
        <v>189.018</v>
      </c>
      <c r="N3532" s="8">
        <v>142.44200000000001</v>
      </c>
      <c r="O3532" s="8">
        <v>170.13900000000001</v>
      </c>
      <c r="P3532" s="8">
        <v>180.995</v>
      </c>
      <c r="Q3532" s="8">
        <v>165.24</v>
      </c>
      <c r="R3532" s="8">
        <v>119.252</v>
      </c>
      <c r="S3532" s="8">
        <v>75.551000000000002</v>
      </c>
      <c r="T3532" s="8">
        <v>97.953000000000003</v>
      </c>
      <c r="U3532" s="8">
        <v>104.604</v>
      </c>
      <c r="V3532" s="8">
        <v>77.763999999999996</v>
      </c>
      <c r="W3532" s="8">
        <v>49.293999999999997</v>
      </c>
      <c r="X3532" s="8">
        <v>22.169</v>
      </c>
      <c r="Y3532" s="8">
        <v>9.8330000000000002</v>
      </c>
      <c r="Z3532" s="8">
        <v>3.331</v>
      </c>
      <c r="AA3532" s="8">
        <v>0.82399999999999995</v>
      </c>
      <c r="AB3532" s="8">
        <v>0.156</v>
      </c>
      <c r="AC3532" s="8">
        <v>1.7000000000000001E-2</v>
      </c>
    </row>
    <row r="3533" spans="1:29" ht="11.65" x14ac:dyDescent="0.35">
      <c r="A3533" s="12">
        <v>3516</v>
      </c>
      <c r="B3533" s="10" t="s">
        <v>1015</v>
      </c>
      <c r="C3533" s="18" t="s">
        <v>1259</v>
      </c>
      <c r="D3533" s="9"/>
      <c r="E3533" s="9">
        <v>191</v>
      </c>
      <c r="F3533" s="10" t="s">
        <v>1066</v>
      </c>
      <c r="G3533" s="9">
        <v>925</v>
      </c>
      <c r="H3533" s="9">
        <v>1975</v>
      </c>
      <c r="I3533" s="8">
        <v>167.339</v>
      </c>
      <c r="J3533" s="8">
        <v>160.864</v>
      </c>
      <c r="K3533" s="8">
        <v>175.339</v>
      </c>
      <c r="L3533" s="8">
        <v>188.38499999999999</v>
      </c>
      <c r="M3533" s="8">
        <v>198.846</v>
      </c>
      <c r="N3533" s="8">
        <v>180.827</v>
      </c>
      <c r="O3533" s="8">
        <v>134.374</v>
      </c>
      <c r="P3533" s="8">
        <v>165.46799999999999</v>
      </c>
      <c r="Q3533" s="8">
        <v>176.90799999999999</v>
      </c>
      <c r="R3533" s="8">
        <v>159.45500000000001</v>
      </c>
      <c r="S3533" s="8">
        <v>113.265</v>
      </c>
      <c r="T3533" s="8">
        <v>71.822999999999993</v>
      </c>
      <c r="U3533" s="8">
        <v>91.16</v>
      </c>
      <c r="V3533" s="8">
        <v>90.382000000000005</v>
      </c>
      <c r="W3533" s="8">
        <v>59.8</v>
      </c>
      <c r="X3533" s="8">
        <v>31.568999999999999</v>
      </c>
      <c r="Y3533" s="8">
        <v>11.028</v>
      </c>
      <c r="Z3533" s="8">
        <v>3.6469999999999998</v>
      </c>
      <c r="AA3533" s="8">
        <v>0.89800000000000002</v>
      </c>
      <c r="AB3533" s="8">
        <v>0.14399999999999999</v>
      </c>
      <c r="AC3533" s="8">
        <v>1.7000000000000001E-2</v>
      </c>
    </row>
    <row r="3534" spans="1:29" ht="11.65" x14ac:dyDescent="0.35">
      <c r="A3534" s="12">
        <v>3517</v>
      </c>
      <c r="B3534" s="10" t="s">
        <v>1015</v>
      </c>
      <c r="C3534" s="18" t="s">
        <v>1259</v>
      </c>
      <c r="D3534" s="9"/>
      <c r="E3534" s="9">
        <v>191</v>
      </c>
      <c r="F3534" s="10" t="s">
        <v>1066</v>
      </c>
      <c r="G3534" s="9">
        <v>925</v>
      </c>
      <c r="H3534" s="9">
        <v>1980</v>
      </c>
      <c r="I3534" s="8">
        <v>166.345</v>
      </c>
      <c r="J3534" s="8">
        <v>168.27799999999999</v>
      </c>
      <c r="K3534" s="8">
        <v>161.005</v>
      </c>
      <c r="L3534" s="8">
        <v>174.71299999999999</v>
      </c>
      <c r="M3534" s="8">
        <v>187.39500000000001</v>
      </c>
      <c r="N3534" s="8">
        <v>197.41399999999999</v>
      </c>
      <c r="O3534" s="8">
        <v>176.80099999999999</v>
      </c>
      <c r="P3534" s="8">
        <v>130.45599999999999</v>
      </c>
      <c r="Q3534" s="8">
        <v>164.03899999999999</v>
      </c>
      <c r="R3534" s="8">
        <v>172.61500000000001</v>
      </c>
      <c r="S3534" s="8">
        <v>150.78800000000001</v>
      </c>
      <c r="T3534" s="8">
        <v>103.754</v>
      </c>
      <c r="U3534" s="8">
        <v>63.719000000000001</v>
      </c>
      <c r="V3534" s="8">
        <v>78.203999999999994</v>
      </c>
      <c r="W3534" s="8">
        <v>69.971999999999994</v>
      </c>
      <c r="X3534" s="8">
        <v>39.003999999999998</v>
      </c>
      <c r="Y3534" s="8">
        <v>16.991</v>
      </c>
      <c r="Z3534" s="8">
        <v>4.5190000000000001</v>
      </c>
      <c r="AA3534" s="8">
        <v>0.999</v>
      </c>
      <c r="AB3534" s="8">
        <v>0.161</v>
      </c>
      <c r="AC3534" s="8">
        <v>1.7000000000000001E-2</v>
      </c>
    </row>
    <row r="3535" spans="1:29" ht="11.65" x14ac:dyDescent="0.35">
      <c r="A3535" s="12">
        <v>3518</v>
      </c>
      <c r="B3535" s="10" t="s">
        <v>1015</v>
      </c>
      <c r="C3535" s="18" t="s">
        <v>1259</v>
      </c>
      <c r="D3535" s="9"/>
      <c r="E3535" s="9">
        <v>191</v>
      </c>
      <c r="F3535" s="10" t="s">
        <v>1066</v>
      </c>
      <c r="G3535" s="9">
        <v>925</v>
      </c>
      <c r="H3535" s="9">
        <v>1985</v>
      </c>
      <c r="I3535" s="8">
        <v>165.91200000000001</v>
      </c>
      <c r="J3535" s="8">
        <v>167.42400000000001</v>
      </c>
      <c r="K3535" s="8">
        <v>170.00899999999999</v>
      </c>
      <c r="L3535" s="8">
        <v>163.209</v>
      </c>
      <c r="M3535" s="8">
        <v>176.97499999999999</v>
      </c>
      <c r="N3535" s="8">
        <v>188.97</v>
      </c>
      <c r="O3535" s="8">
        <v>198.21199999999999</v>
      </c>
      <c r="P3535" s="8">
        <v>176.79400000000001</v>
      </c>
      <c r="Q3535" s="8">
        <v>129.98699999999999</v>
      </c>
      <c r="R3535" s="8">
        <v>160.976</v>
      </c>
      <c r="S3535" s="8">
        <v>165.166</v>
      </c>
      <c r="T3535" s="8">
        <v>140.33699999999999</v>
      </c>
      <c r="U3535" s="8">
        <v>93.129000000000005</v>
      </c>
      <c r="V3535" s="8">
        <v>53.686</v>
      </c>
      <c r="W3535" s="8">
        <v>58.83</v>
      </c>
      <c r="X3535" s="8">
        <v>44.597000000000001</v>
      </c>
      <c r="Y3535" s="8">
        <v>19.998999999999999</v>
      </c>
      <c r="Z3535" s="8">
        <v>6.6349999999999998</v>
      </c>
      <c r="AA3535" s="8">
        <v>1.2669999999999999</v>
      </c>
      <c r="AB3535" s="8">
        <v>0.185</v>
      </c>
      <c r="AC3535" s="8">
        <v>1.9E-2</v>
      </c>
    </row>
    <row r="3536" spans="1:29" ht="11.65" x14ac:dyDescent="0.35">
      <c r="A3536" s="12">
        <v>3519</v>
      </c>
      <c r="B3536" s="10" t="s">
        <v>1015</v>
      </c>
      <c r="C3536" s="18" t="s">
        <v>1259</v>
      </c>
      <c r="D3536" s="9"/>
      <c r="E3536" s="9">
        <v>191</v>
      </c>
      <c r="F3536" s="10" t="s">
        <v>1066</v>
      </c>
      <c r="G3536" s="9">
        <v>925</v>
      </c>
      <c r="H3536" s="9">
        <v>1990</v>
      </c>
      <c r="I3536" s="8">
        <v>150.65100000000001</v>
      </c>
      <c r="J3536" s="8">
        <v>166.38399999999999</v>
      </c>
      <c r="K3536" s="8">
        <v>168.291</v>
      </c>
      <c r="L3536" s="8">
        <v>170.75</v>
      </c>
      <c r="M3536" s="8">
        <v>163.92599999999999</v>
      </c>
      <c r="N3536" s="8">
        <v>178.166</v>
      </c>
      <c r="O3536" s="8">
        <v>189.25899999999999</v>
      </c>
      <c r="P3536" s="8">
        <v>197.01499999999999</v>
      </c>
      <c r="Q3536" s="8">
        <v>174.11799999999999</v>
      </c>
      <c r="R3536" s="8">
        <v>126.73699999999999</v>
      </c>
      <c r="S3536" s="8">
        <v>154.75800000000001</v>
      </c>
      <c r="T3536" s="8">
        <v>153.547</v>
      </c>
      <c r="U3536" s="8">
        <v>125.724</v>
      </c>
      <c r="V3536" s="8">
        <v>79.64</v>
      </c>
      <c r="W3536" s="8">
        <v>42.197000000000003</v>
      </c>
      <c r="X3536" s="8">
        <v>39.682000000000002</v>
      </c>
      <c r="Y3536" s="8">
        <v>24.297000000000001</v>
      </c>
      <c r="Z3536" s="8">
        <v>8.4120000000000008</v>
      </c>
      <c r="AA3536" s="8">
        <v>1.9970000000000001</v>
      </c>
      <c r="AB3536" s="8">
        <v>0.24199999999999999</v>
      </c>
      <c r="AC3536" s="8">
        <v>2.1999999999999999E-2</v>
      </c>
    </row>
    <row r="3537" spans="1:29" ht="11.65" x14ac:dyDescent="0.35">
      <c r="A3537" s="12">
        <v>3520</v>
      </c>
      <c r="B3537" s="10" t="s">
        <v>1015</v>
      </c>
      <c r="C3537" s="18" t="s">
        <v>1259</v>
      </c>
      <c r="D3537" s="9"/>
      <c r="E3537" s="9">
        <v>191</v>
      </c>
      <c r="F3537" s="10" t="s">
        <v>1066</v>
      </c>
      <c r="G3537" s="9">
        <v>925</v>
      </c>
      <c r="H3537" s="9">
        <v>1995</v>
      </c>
      <c r="I3537" s="8">
        <v>124.937</v>
      </c>
      <c r="J3537" s="8">
        <v>148.41900000000001</v>
      </c>
      <c r="K3537" s="8">
        <v>164.22800000000001</v>
      </c>
      <c r="L3537" s="8">
        <v>162.732</v>
      </c>
      <c r="M3537" s="8">
        <v>157.74799999999999</v>
      </c>
      <c r="N3537" s="8">
        <v>147.72499999999999</v>
      </c>
      <c r="O3537" s="8">
        <v>165.38</v>
      </c>
      <c r="P3537" s="8">
        <v>179.29400000000001</v>
      </c>
      <c r="Q3537" s="8">
        <v>187.37299999999999</v>
      </c>
      <c r="R3537" s="8">
        <v>165.137</v>
      </c>
      <c r="S3537" s="8">
        <v>118.33799999999999</v>
      </c>
      <c r="T3537" s="8">
        <v>142.601</v>
      </c>
      <c r="U3537" s="8">
        <v>136.946</v>
      </c>
      <c r="V3537" s="8">
        <v>106.01900000000001</v>
      </c>
      <c r="W3537" s="8">
        <v>61.615000000000002</v>
      </c>
      <c r="X3537" s="8">
        <v>28.582999999999998</v>
      </c>
      <c r="Y3537" s="8">
        <v>22.405000000000001</v>
      </c>
      <c r="Z3537" s="8">
        <v>10.694000000000001</v>
      </c>
      <c r="AA3537" s="8">
        <v>2.6030000000000002</v>
      </c>
      <c r="AB3537" s="8">
        <v>0.39</v>
      </c>
      <c r="AC3537" s="8">
        <v>2.9000000000000001E-2</v>
      </c>
    </row>
    <row r="3538" spans="1:29" ht="11.65" x14ac:dyDescent="0.35">
      <c r="A3538" s="12">
        <v>3521</v>
      </c>
      <c r="B3538" s="10" t="s">
        <v>1015</v>
      </c>
      <c r="C3538" s="18" t="s">
        <v>1259</v>
      </c>
      <c r="D3538" s="9"/>
      <c r="E3538" s="9">
        <v>191</v>
      </c>
      <c r="F3538" s="10" t="s">
        <v>1066</v>
      </c>
      <c r="G3538" s="9">
        <v>925</v>
      </c>
      <c r="H3538" s="9">
        <v>2000</v>
      </c>
      <c r="I3538" s="8">
        <v>124.42</v>
      </c>
      <c r="J3538" s="8">
        <v>123.352</v>
      </c>
      <c r="K3538" s="8">
        <v>145.083</v>
      </c>
      <c r="L3538" s="8">
        <v>154.196</v>
      </c>
      <c r="M3538" s="8">
        <v>150.56100000000001</v>
      </c>
      <c r="N3538" s="8">
        <v>151.357</v>
      </c>
      <c r="O3538" s="8">
        <v>145.85599999999999</v>
      </c>
      <c r="P3538" s="8">
        <v>162.71100000000001</v>
      </c>
      <c r="Q3538" s="8">
        <v>169.572</v>
      </c>
      <c r="R3538" s="8">
        <v>169.25200000000001</v>
      </c>
      <c r="S3538" s="8">
        <v>144.06200000000001</v>
      </c>
      <c r="T3538" s="8">
        <v>102.169</v>
      </c>
      <c r="U3538" s="8">
        <v>125.806</v>
      </c>
      <c r="V3538" s="8">
        <v>113.96899999999999</v>
      </c>
      <c r="W3538" s="8">
        <v>79.581999999999994</v>
      </c>
      <c r="X3538" s="8">
        <v>40.718000000000004</v>
      </c>
      <c r="Y3538" s="8">
        <v>15.321</v>
      </c>
      <c r="Z3538" s="8">
        <v>9.7210000000000001</v>
      </c>
      <c r="AA3538" s="8">
        <v>3.371</v>
      </c>
      <c r="AB3538" s="8">
        <v>0.52100000000000002</v>
      </c>
      <c r="AC3538" s="8">
        <v>4.7E-2</v>
      </c>
    </row>
    <row r="3539" spans="1:29" ht="11.65" x14ac:dyDescent="0.35">
      <c r="A3539" s="12">
        <v>3522</v>
      </c>
      <c r="B3539" s="10" t="s">
        <v>1015</v>
      </c>
      <c r="C3539" s="18" t="s">
        <v>1259</v>
      </c>
      <c r="D3539" s="9"/>
      <c r="E3539" s="9">
        <v>191</v>
      </c>
      <c r="F3539" s="10" t="s">
        <v>1066</v>
      </c>
      <c r="G3539" s="9">
        <v>925</v>
      </c>
      <c r="H3539" s="9">
        <v>2005</v>
      </c>
      <c r="I3539" s="8">
        <v>105.962</v>
      </c>
      <c r="J3539" s="8">
        <v>124.20399999999999</v>
      </c>
      <c r="K3539" s="8">
        <v>123.179</v>
      </c>
      <c r="L3539" s="8">
        <v>144.68600000000001</v>
      </c>
      <c r="M3539" s="8">
        <v>153.29300000000001</v>
      </c>
      <c r="N3539" s="8">
        <v>149.47999999999999</v>
      </c>
      <c r="O3539" s="8">
        <v>150.29400000000001</v>
      </c>
      <c r="P3539" s="8">
        <v>144.64099999999999</v>
      </c>
      <c r="Q3539" s="8">
        <v>160.631</v>
      </c>
      <c r="R3539" s="8">
        <v>165.90600000000001</v>
      </c>
      <c r="S3539" s="8">
        <v>163.29499999999999</v>
      </c>
      <c r="T3539" s="8">
        <v>136.14699999999999</v>
      </c>
      <c r="U3539" s="8">
        <v>93.513000000000005</v>
      </c>
      <c r="V3539" s="8">
        <v>109.515</v>
      </c>
      <c r="W3539" s="8">
        <v>91.802999999999997</v>
      </c>
      <c r="X3539" s="8">
        <v>56.789000000000001</v>
      </c>
      <c r="Y3539" s="8">
        <v>24.167999999999999</v>
      </c>
      <c r="Z3539" s="8">
        <v>6.98</v>
      </c>
      <c r="AA3539" s="8">
        <v>3.0859999999999999</v>
      </c>
      <c r="AB3539" s="8">
        <v>0.67900000000000005</v>
      </c>
      <c r="AC3539" s="8">
        <v>6.4000000000000001E-2</v>
      </c>
    </row>
    <row r="3540" spans="1:29" ht="11.65" x14ac:dyDescent="0.35">
      <c r="A3540" s="12">
        <v>3523</v>
      </c>
      <c r="B3540" s="10" t="s">
        <v>1015</v>
      </c>
      <c r="C3540" s="18" t="s">
        <v>1259</v>
      </c>
      <c r="D3540" s="9"/>
      <c r="E3540" s="9">
        <v>191</v>
      </c>
      <c r="F3540" s="10" t="s">
        <v>1066</v>
      </c>
      <c r="G3540" s="9">
        <v>925</v>
      </c>
      <c r="H3540" s="9">
        <v>2010</v>
      </c>
      <c r="I3540" s="8">
        <v>112.458</v>
      </c>
      <c r="J3540" s="8">
        <v>106.60899999999999</v>
      </c>
      <c r="K3540" s="8">
        <v>124.212</v>
      </c>
      <c r="L3540" s="8">
        <v>123.423</v>
      </c>
      <c r="M3540" s="8">
        <v>140.61099999999999</v>
      </c>
      <c r="N3540" s="8">
        <v>149.101</v>
      </c>
      <c r="O3540" s="8">
        <v>150.339</v>
      </c>
      <c r="P3540" s="8">
        <v>149.01499999999999</v>
      </c>
      <c r="Q3540" s="8">
        <v>141.05199999999999</v>
      </c>
      <c r="R3540" s="8">
        <v>155.256</v>
      </c>
      <c r="S3540" s="8">
        <v>157.95500000000001</v>
      </c>
      <c r="T3540" s="8">
        <v>153.774</v>
      </c>
      <c r="U3540" s="8">
        <v>126.691</v>
      </c>
      <c r="V3540" s="8">
        <v>85.983000000000004</v>
      </c>
      <c r="W3540" s="8">
        <v>92.02</v>
      </c>
      <c r="X3540" s="8">
        <v>66.83</v>
      </c>
      <c r="Y3540" s="8">
        <v>34.643000000000001</v>
      </c>
      <c r="Z3540" s="8">
        <v>11.481999999999999</v>
      </c>
      <c r="AA3540" s="8">
        <v>2.3540000000000001</v>
      </c>
      <c r="AB3540" s="8">
        <v>0.69599999999999995</v>
      </c>
      <c r="AC3540" s="8">
        <v>0.10199999999999999</v>
      </c>
    </row>
    <row r="3541" spans="1:29" ht="11.65" x14ac:dyDescent="0.35">
      <c r="A3541" s="12">
        <v>3524</v>
      </c>
      <c r="B3541" s="10" t="s">
        <v>1015</v>
      </c>
      <c r="C3541" s="18" t="s">
        <v>1259</v>
      </c>
      <c r="D3541" s="9"/>
      <c r="E3541" s="9">
        <v>191</v>
      </c>
      <c r="F3541" s="10" t="s">
        <v>1066</v>
      </c>
      <c r="G3541" s="9">
        <v>925</v>
      </c>
      <c r="H3541" s="9">
        <v>2015</v>
      </c>
      <c r="I3541" s="8">
        <v>105.071</v>
      </c>
      <c r="J3541" s="8">
        <v>108.902</v>
      </c>
      <c r="K3541" s="8">
        <v>102.586</v>
      </c>
      <c r="L3541" s="8">
        <v>124.35299999999999</v>
      </c>
      <c r="M3541" s="8">
        <v>124.66800000000001</v>
      </c>
      <c r="N3541" s="8">
        <v>134.422</v>
      </c>
      <c r="O3541" s="8">
        <v>146.31399999999999</v>
      </c>
      <c r="P3541" s="8">
        <v>148.95500000000001</v>
      </c>
      <c r="Q3541" s="8">
        <v>137.69</v>
      </c>
      <c r="R3541" s="8">
        <v>142.63399999999999</v>
      </c>
      <c r="S3541" s="8">
        <v>151.98500000000001</v>
      </c>
      <c r="T3541" s="8">
        <v>147.51400000000001</v>
      </c>
      <c r="U3541" s="8">
        <v>143.75299999999999</v>
      </c>
      <c r="V3541" s="8">
        <v>103.745</v>
      </c>
      <c r="W3541" s="8">
        <v>77.878</v>
      </c>
      <c r="X3541" s="8">
        <v>72.674999999999997</v>
      </c>
      <c r="Y3541" s="8">
        <v>39.46</v>
      </c>
      <c r="Z3541" s="8">
        <v>17.823</v>
      </c>
      <c r="AA3541" s="8">
        <v>4.3010000000000002</v>
      </c>
      <c r="AB3541" s="8">
        <v>0.56999999999999995</v>
      </c>
      <c r="AC3541" s="8">
        <v>0.106</v>
      </c>
    </row>
    <row r="3542" spans="1:29" ht="11.65" x14ac:dyDescent="0.35">
      <c r="A3542" s="12">
        <v>3525</v>
      </c>
      <c r="B3542" s="10" t="s">
        <v>1015</v>
      </c>
      <c r="C3542" s="18" t="s">
        <v>1259</v>
      </c>
      <c r="D3542" s="9"/>
      <c r="E3542" s="9">
        <v>191</v>
      </c>
      <c r="F3542" s="10" t="s">
        <v>1066</v>
      </c>
      <c r="G3542" s="9">
        <v>925</v>
      </c>
      <c r="H3542" s="9">
        <v>2020</v>
      </c>
      <c r="I3542" s="8">
        <v>94.826999999999998</v>
      </c>
      <c r="J3542" s="8">
        <v>104.113</v>
      </c>
      <c r="K3542" s="8">
        <v>108.35899999999999</v>
      </c>
      <c r="L3542" s="8">
        <v>101.202</v>
      </c>
      <c r="M3542" s="8">
        <v>121.093</v>
      </c>
      <c r="N3542" s="8">
        <v>120.6</v>
      </c>
      <c r="O3542" s="8">
        <v>130.77199999999999</v>
      </c>
      <c r="P3542" s="8">
        <v>143.28899999999999</v>
      </c>
      <c r="Q3542" s="8">
        <v>146.27500000000001</v>
      </c>
      <c r="R3542" s="8">
        <v>134.892</v>
      </c>
      <c r="S3542" s="8">
        <v>138.70400000000001</v>
      </c>
      <c r="T3542" s="8">
        <v>145.49600000000001</v>
      </c>
      <c r="U3542" s="8">
        <v>137.57400000000001</v>
      </c>
      <c r="V3542" s="8">
        <v>129.21</v>
      </c>
      <c r="W3542" s="8">
        <v>88.861000000000004</v>
      </c>
      <c r="X3542" s="8">
        <v>60.6</v>
      </c>
      <c r="Y3542" s="8">
        <v>47.277999999999999</v>
      </c>
      <c r="Z3542" s="8">
        <v>19.696999999999999</v>
      </c>
      <c r="AA3542" s="8">
        <v>5.71</v>
      </c>
      <c r="AB3542" s="8">
        <v>0.69099999999999995</v>
      </c>
      <c r="AC3542" s="8">
        <v>4.9000000000000002E-2</v>
      </c>
    </row>
    <row r="3543" spans="1:29" ht="11.65" x14ac:dyDescent="0.35">
      <c r="A3543" s="12">
        <v>3526</v>
      </c>
      <c r="B3543" s="10" t="s">
        <v>1015</v>
      </c>
      <c r="C3543" s="18" t="s">
        <v>1260</v>
      </c>
      <c r="D3543" s="9"/>
      <c r="E3543" s="9">
        <v>300</v>
      </c>
      <c r="F3543" s="10" t="s">
        <v>1066</v>
      </c>
      <c r="G3543" s="9">
        <v>925</v>
      </c>
      <c r="H3543" s="9">
        <v>1950</v>
      </c>
      <c r="I3543" s="8">
        <v>403</v>
      </c>
      <c r="J3543" s="8">
        <v>351</v>
      </c>
      <c r="K3543" s="8">
        <v>399.99900000000002</v>
      </c>
      <c r="L3543" s="8">
        <v>388.99799999999999</v>
      </c>
      <c r="M3543" s="8">
        <v>350</v>
      </c>
      <c r="N3543" s="8">
        <v>280.99900000000002</v>
      </c>
      <c r="O3543" s="8">
        <v>240</v>
      </c>
      <c r="P3543" s="8">
        <v>246.001</v>
      </c>
      <c r="Q3543" s="8">
        <v>238.001</v>
      </c>
      <c r="R3543" s="8">
        <v>207</v>
      </c>
      <c r="S3543" s="8">
        <v>163.00200000000001</v>
      </c>
      <c r="T3543" s="8">
        <v>129.001</v>
      </c>
      <c r="U3543" s="8">
        <v>106.999</v>
      </c>
      <c r="V3543" s="8">
        <v>88.301000000000002</v>
      </c>
      <c r="W3543" s="8">
        <v>65.400000000000006</v>
      </c>
      <c r="X3543" s="8">
        <v>40.299999999999997</v>
      </c>
      <c r="Y3543" s="8">
        <v>20.6</v>
      </c>
      <c r="Z3543" s="8">
        <v>9.0609999999999999</v>
      </c>
      <c r="AA3543" s="8">
        <v>2.7</v>
      </c>
      <c r="AB3543" s="8">
        <v>0.42899999999999999</v>
      </c>
      <c r="AC3543" s="8">
        <v>0.04</v>
      </c>
    </row>
    <row r="3544" spans="1:29" ht="11.65" x14ac:dyDescent="0.35">
      <c r="A3544" s="12">
        <v>3527</v>
      </c>
      <c r="B3544" s="10" t="s">
        <v>1015</v>
      </c>
      <c r="C3544" s="18" t="s">
        <v>1260</v>
      </c>
      <c r="D3544" s="9"/>
      <c r="E3544" s="9">
        <v>300</v>
      </c>
      <c r="F3544" s="10" t="s">
        <v>1066</v>
      </c>
      <c r="G3544" s="9">
        <v>925</v>
      </c>
      <c r="H3544" s="9">
        <v>1955</v>
      </c>
      <c r="I3544" s="8">
        <v>382.02699999999999</v>
      </c>
      <c r="J3544" s="8">
        <v>394.54500000000002</v>
      </c>
      <c r="K3544" s="8">
        <v>346.048</v>
      </c>
      <c r="L3544" s="8">
        <v>393.68200000000002</v>
      </c>
      <c r="M3544" s="8">
        <v>380.13600000000002</v>
      </c>
      <c r="N3544" s="8">
        <v>340.738</v>
      </c>
      <c r="O3544" s="8">
        <v>273.14499999999998</v>
      </c>
      <c r="P3544" s="8">
        <v>233.29900000000001</v>
      </c>
      <c r="Q3544" s="8">
        <v>239.09399999999999</v>
      </c>
      <c r="R3544" s="8">
        <v>229.815</v>
      </c>
      <c r="S3544" s="8">
        <v>196.73699999999999</v>
      </c>
      <c r="T3544" s="8">
        <v>150.93</v>
      </c>
      <c r="U3544" s="8">
        <v>114.816</v>
      </c>
      <c r="V3544" s="8">
        <v>89.724999999999994</v>
      </c>
      <c r="W3544" s="8">
        <v>67.421000000000006</v>
      </c>
      <c r="X3544" s="8">
        <v>42.758000000000003</v>
      </c>
      <c r="Y3544" s="8">
        <v>20.684999999999999</v>
      </c>
      <c r="Z3544" s="8">
        <v>7.4329999999999998</v>
      </c>
      <c r="AA3544" s="8">
        <v>1.9790000000000001</v>
      </c>
      <c r="AB3544" s="8">
        <v>0.315</v>
      </c>
      <c r="AC3544" s="8">
        <v>2.5000000000000001E-2</v>
      </c>
    </row>
    <row r="3545" spans="1:29" ht="11.65" x14ac:dyDescent="0.35">
      <c r="A3545" s="12">
        <v>3528</v>
      </c>
      <c r="B3545" s="10" t="s">
        <v>1015</v>
      </c>
      <c r="C3545" s="18" t="s">
        <v>1260</v>
      </c>
      <c r="D3545" s="9"/>
      <c r="E3545" s="9">
        <v>300</v>
      </c>
      <c r="F3545" s="10" t="s">
        <v>1066</v>
      </c>
      <c r="G3545" s="9">
        <v>925</v>
      </c>
      <c r="H3545" s="9">
        <v>1960</v>
      </c>
      <c r="I3545" s="8">
        <v>408.58300000000003</v>
      </c>
      <c r="J3545" s="8">
        <v>373.07299999999998</v>
      </c>
      <c r="K3545" s="8">
        <v>390.08600000000001</v>
      </c>
      <c r="L3545" s="8">
        <v>330.89100000000002</v>
      </c>
      <c r="M3545" s="8">
        <v>366.11700000000002</v>
      </c>
      <c r="N3545" s="8">
        <v>357.613</v>
      </c>
      <c r="O3545" s="8">
        <v>321.57299999999998</v>
      </c>
      <c r="P3545" s="8">
        <v>254.41200000000001</v>
      </c>
      <c r="Q3545" s="8">
        <v>218.792</v>
      </c>
      <c r="R3545" s="8">
        <v>238.625</v>
      </c>
      <c r="S3545" s="8">
        <v>231.142</v>
      </c>
      <c r="T3545" s="8">
        <v>185.852</v>
      </c>
      <c r="U3545" s="8">
        <v>136.565</v>
      </c>
      <c r="V3545" s="8">
        <v>97.238</v>
      </c>
      <c r="W3545" s="8">
        <v>68.807000000000002</v>
      </c>
      <c r="X3545" s="8">
        <v>44.447000000000003</v>
      </c>
      <c r="Y3545" s="8">
        <v>22.292999999999999</v>
      </c>
      <c r="Z3545" s="8">
        <v>7.5309999999999997</v>
      </c>
      <c r="AA3545" s="8">
        <v>1.619</v>
      </c>
      <c r="AB3545" s="8">
        <v>0.22500000000000001</v>
      </c>
      <c r="AC3545" s="8">
        <v>1.7000000000000001E-2</v>
      </c>
    </row>
    <row r="3546" spans="1:29" ht="11.65" x14ac:dyDescent="0.35">
      <c r="A3546" s="12">
        <v>3529</v>
      </c>
      <c r="B3546" s="10" t="s">
        <v>1015</v>
      </c>
      <c r="C3546" s="18" t="s">
        <v>1260</v>
      </c>
      <c r="D3546" s="9"/>
      <c r="E3546" s="9">
        <v>300</v>
      </c>
      <c r="F3546" s="10" t="s">
        <v>1066</v>
      </c>
      <c r="G3546" s="9">
        <v>925</v>
      </c>
      <c r="H3546" s="9">
        <v>1965</v>
      </c>
      <c r="I3546" s="8">
        <v>388.68799999999999</v>
      </c>
      <c r="J3546" s="8">
        <v>400.90699999999998</v>
      </c>
      <c r="K3546" s="8">
        <v>368.51100000000002</v>
      </c>
      <c r="L3546" s="8">
        <v>375.26900000000001</v>
      </c>
      <c r="M3546" s="8">
        <v>302.416</v>
      </c>
      <c r="N3546" s="8">
        <v>335.75299999999999</v>
      </c>
      <c r="O3546" s="8">
        <v>335.76299999999998</v>
      </c>
      <c r="P3546" s="8">
        <v>307.76100000000002</v>
      </c>
      <c r="Q3546" s="8">
        <v>243.011</v>
      </c>
      <c r="R3546" s="8">
        <v>208.70599999999999</v>
      </c>
      <c r="S3546" s="8">
        <v>226.46899999999999</v>
      </c>
      <c r="T3546" s="8">
        <v>214.81299999999999</v>
      </c>
      <c r="U3546" s="8">
        <v>165.99600000000001</v>
      </c>
      <c r="V3546" s="8">
        <v>114.959</v>
      </c>
      <c r="W3546" s="8">
        <v>74.885999999999996</v>
      </c>
      <c r="X3546" s="8">
        <v>45.96</v>
      </c>
      <c r="Y3546" s="8">
        <v>23.952999999999999</v>
      </c>
      <c r="Z3546" s="8">
        <v>8.6929999999999996</v>
      </c>
      <c r="AA3546" s="8">
        <v>1.8260000000000001</v>
      </c>
      <c r="AB3546" s="8">
        <v>0.218</v>
      </c>
      <c r="AC3546" s="8">
        <v>1.4999999999999999E-2</v>
      </c>
    </row>
    <row r="3547" spans="1:29" ht="11.65" x14ac:dyDescent="0.35">
      <c r="A3547" s="12">
        <v>3530</v>
      </c>
      <c r="B3547" s="10" t="s">
        <v>1015</v>
      </c>
      <c r="C3547" s="18" t="s">
        <v>1260</v>
      </c>
      <c r="D3547" s="9"/>
      <c r="E3547" s="9">
        <v>300</v>
      </c>
      <c r="F3547" s="10" t="s">
        <v>1066</v>
      </c>
      <c r="G3547" s="9">
        <v>925</v>
      </c>
      <c r="H3547" s="9">
        <v>1970</v>
      </c>
      <c r="I3547" s="8">
        <v>395.78100000000001</v>
      </c>
      <c r="J3547" s="8">
        <v>380.892</v>
      </c>
      <c r="K3547" s="8">
        <v>388.39800000000002</v>
      </c>
      <c r="L3547" s="8">
        <v>342.05500000000001</v>
      </c>
      <c r="M3547" s="8">
        <v>331.49799999999999</v>
      </c>
      <c r="N3547" s="8">
        <v>249.386</v>
      </c>
      <c r="O3547" s="8">
        <v>283.22899999999998</v>
      </c>
      <c r="P3547" s="8">
        <v>309.81200000000001</v>
      </c>
      <c r="Q3547" s="8">
        <v>307.91500000000002</v>
      </c>
      <c r="R3547" s="8">
        <v>245.68299999999999</v>
      </c>
      <c r="S3547" s="8">
        <v>203.81899999999999</v>
      </c>
      <c r="T3547" s="8">
        <v>223.22300000000001</v>
      </c>
      <c r="U3547" s="8">
        <v>215.03299999999999</v>
      </c>
      <c r="V3547" s="8">
        <v>161.702</v>
      </c>
      <c r="W3547" s="8">
        <v>107.24</v>
      </c>
      <c r="X3547" s="8">
        <v>61.820999999999998</v>
      </c>
      <c r="Y3547" s="8">
        <v>36.628999999999998</v>
      </c>
      <c r="Z3547" s="8">
        <v>13.262</v>
      </c>
      <c r="AA3547" s="8">
        <v>2.2389999999999999</v>
      </c>
      <c r="AB3547" s="8">
        <v>0.26200000000000001</v>
      </c>
      <c r="AC3547" s="8">
        <v>1.6E-2</v>
      </c>
    </row>
    <row r="3548" spans="1:29" ht="11.65" x14ac:dyDescent="0.35">
      <c r="A3548" s="12">
        <v>3531</v>
      </c>
      <c r="B3548" s="10" t="s">
        <v>1015</v>
      </c>
      <c r="C3548" s="18" t="s">
        <v>1260</v>
      </c>
      <c r="D3548" s="9"/>
      <c r="E3548" s="9">
        <v>300</v>
      </c>
      <c r="F3548" s="10" t="s">
        <v>1066</v>
      </c>
      <c r="G3548" s="9">
        <v>925</v>
      </c>
      <c r="H3548" s="9">
        <v>1975</v>
      </c>
      <c r="I3548" s="8">
        <v>381.77600000000001</v>
      </c>
      <c r="J3548" s="8">
        <v>397.58499999999998</v>
      </c>
      <c r="K3548" s="8">
        <v>384.447</v>
      </c>
      <c r="L3548" s="8">
        <v>387.45100000000002</v>
      </c>
      <c r="M3548" s="8">
        <v>335.95499999999998</v>
      </c>
      <c r="N3548" s="8">
        <v>316.95600000000002</v>
      </c>
      <c r="O3548" s="8">
        <v>239.96799999999999</v>
      </c>
      <c r="P3548" s="8">
        <v>287.93299999999999</v>
      </c>
      <c r="Q3548" s="8">
        <v>312.84500000000003</v>
      </c>
      <c r="R3548" s="8">
        <v>301.45699999999999</v>
      </c>
      <c r="S3548" s="8">
        <v>236.15700000000001</v>
      </c>
      <c r="T3548" s="8">
        <v>198.345</v>
      </c>
      <c r="U3548" s="8">
        <v>206.28899999999999</v>
      </c>
      <c r="V3548" s="8">
        <v>185.29</v>
      </c>
      <c r="W3548" s="8">
        <v>130.78</v>
      </c>
      <c r="X3548" s="8">
        <v>77.260999999999996</v>
      </c>
      <c r="Y3548" s="8">
        <v>41.286999999999999</v>
      </c>
      <c r="Z3548" s="8">
        <v>17.963000000000001</v>
      </c>
      <c r="AA3548" s="8">
        <v>3.7370000000000001</v>
      </c>
      <c r="AB3548" s="8">
        <v>0.36899999999999999</v>
      </c>
      <c r="AC3548" s="8">
        <v>2.1999999999999999E-2</v>
      </c>
    </row>
    <row r="3549" spans="1:29" ht="11.65" x14ac:dyDescent="0.35">
      <c r="A3549" s="12">
        <v>3532</v>
      </c>
      <c r="B3549" s="10" t="s">
        <v>1015</v>
      </c>
      <c r="C3549" s="18" t="s">
        <v>1260</v>
      </c>
      <c r="D3549" s="9"/>
      <c r="E3549" s="9">
        <v>300</v>
      </c>
      <c r="F3549" s="10" t="s">
        <v>1066</v>
      </c>
      <c r="G3549" s="9">
        <v>925</v>
      </c>
      <c r="H3549" s="9">
        <v>1980</v>
      </c>
      <c r="I3549" s="8">
        <v>390.34100000000001</v>
      </c>
      <c r="J3549" s="8">
        <v>383.46499999999997</v>
      </c>
      <c r="K3549" s="8">
        <v>406.42899999999997</v>
      </c>
      <c r="L3549" s="8">
        <v>393.04700000000003</v>
      </c>
      <c r="M3549" s="8">
        <v>387.19099999999997</v>
      </c>
      <c r="N3549" s="8">
        <v>330.98700000000002</v>
      </c>
      <c r="O3549" s="8">
        <v>324.988</v>
      </c>
      <c r="P3549" s="8">
        <v>260.53699999999998</v>
      </c>
      <c r="Q3549" s="8">
        <v>307.71899999999999</v>
      </c>
      <c r="R3549" s="8">
        <v>326.33699999999999</v>
      </c>
      <c r="S3549" s="8">
        <v>305.81400000000002</v>
      </c>
      <c r="T3549" s="8">
        <v>233.011</v>
      </c>
      <c r="U3549" s="8">
        <v>188.75299999999999</v>
      </c>
      <c r="V3549" s="8">
        <v>185.602</v>
      </c>
      <c r="W3549" s="8">
        <v>156.68299999999999</v>
      </c>
      <c r="X3549" s="8">
        <v>102.121</v>
      </c>
      <c r="Y3549" s="8">
        <v>54.250999999999998</v>
      </c>
      <c r="Z3549" s="8">
        <v>20.774000000000001</v>
      </c>
      <c r="AA3549" s="8">
        <v>5.2869999999999999</v>
      </c>
      <c r="AB3549" s="8">
        <v>0.64800000000000002</v>
      </c>
      <c r="AC3549" s="8">
        <v>3.4000000000000002E-2</v>
      </c>
    </row>
    <row r="3550" spans="1:29" ht="11.65" x14ac:dyDescent="0.35">
      <c r="A3550" s="12">
        <v>3533</v>
      </c>
      <c r="B3550" s="10" t="s">
        <v>1015</v>
      </c>
      <c r="C3550" s="18" t="s">
        <v>1260</v>
      </c>
      <c r="D3550" s="9"/>
      <c r="E3550" s="9">
        <v>300</v>
      </c>
      <c r="F3550" s="10" t="s">
        <v>1066</v>
      </c>
      <c r="G3550" s="9">
        <v>925</v>
      </c>
      <c r="H3550" s="9">
        <v>1985</v>
      </c>
      <c r="I3550" s="8">
        <v>363.32600000000002</v>
      </c>
      <c r="J3550" s="8">
        <v>392.67599999999999</v>
      </c>
      <c r="K3550" s="8">
        <v>385.08600000000001</v>
      </c>
      <c r="L3550" s="8">
        <v>409.09800000000001</v>
      </c>
      <c r="M3550" s="8">
        <v>394.57600000000002</v>
      </c>
      <c r="N3550" s="8">
        <v>380.76799999999997</v>
      </c>
      <c r="O3550" s="8">
        <v>323.52999999999997</v>
      </c>
      <c r="P3550" s="8">
        <v>330.06799999999998</v>
      </c>
      <c r="Q3550" s="8">
        <v>263.69600000000003</v>
      </c>
      <c r="R3550" s="8">
        <v>312.78100000000001</v>
      </c>
      <c r="S3550" s="8">
        <v>330.72300000000001</v>
      </c>
      <c r="T3550" s="8">
        <v>293.673</v>
      </c>
      <c r="U3550" s="8">
        <v>211.71</v>
      </c>
      <c r="V3550" s="8">
        <v>181.453</v>
      </c>
      <c r="W3550" s="8">
        <v>169.63499999999999</v>
      </c>
      <c r="X3550" s="8">
        <v>114.96599999999999</v>
      </c>
      <c r="Y3550" s="8">
        <v>55.26</v>
      </c>
      <c r="Z3550" s="8">
        <v>22.375</v>
      </c>
      <c r="AA3550" s="8">
        <v>6.4260000000000002</v>
      </c>
      <c r="AB3550" s="8">
        <v>0.97299999999999998</v>
      </c>
      <c r="AC3550" s="8">
        <v>6.3E-2</v>
      </c>
    </row>
    <row r="3551" spans="1:29" ht="11.65" x14ac:dyDescent="0.35">
      <c r="A3551" s="12">
        <v>3534</v>
      </c>
      <c r="B3551" s="10" t="s">
        <v>1015</v>
      </c>
      <c r="C3551" s="18" t="s">
        <v>1260</v>
      </c>
      <c r="D3551" s="9"/>
      <c r="E3551" s="9">
        <v>300</v>
      </c>
      <c r="F3551" s="10" t="s">
        <v>1066</v>
      </c>
      <c r="G3551" s="9">
        <v>925</v>
      </c>
      <c r="H3551" s="9">
        <v>1990</v>
      </c>
      <c r="I3551" s="8">
        <v>285.33800000000002</v>
      </c>
      <c r="J3551" s="8">
        <v>356.80200000000002</v>
      </c>
      <c r="K3551" s="8">
        <v>391.78</v>
      </c>
      <c r="L3551" s="8">
        <v>403.55599999999998</v>
      </c>
      <c r="M3551" s="8">
        <v>416.05099999999999</v>
      </c>
      <c r="N3551" s="8">
        <v>380.23899999999998</v>
      </c>
      <c r="O3551" s="8">
        <v>379.63900000000001</v>
      </c>
      <c r="P3551" s="8">
        <v>337.26799999999997</v>
      </c>
      <c r="Q3551" s="8">
        <v>333.589</v>
      </c>
      <c r="R3551" s="8">
        <v>265.96800000000002</v>
      </c>
      <c r="S3551" s="8">
        <v>308.41800000000001</v>
      </c>
      <c r="T3551" s="8">
        <v>318.66500000000002</v>
      </c>
      <c r="U3551" s="8">
        <v>292.08100000000002</v>
      </c>
      <c r="V3551" s="8">
        <v>212.054</v>
      </c>
      <c r="W3551" s="8">
        <v>148.78100000000001</v>
      </c>
      <c r="X3551" s="8">
        <v>120.253</v>
      </c>
      <c r="Y3551" s="8">
        <v>80.69</v>
      </c>
      <c r="Z3551" s="8">
        <v>30.295999999999999</v>
      </c>
      <c r="AA3551" s="8">
        <v>7.2220000000000004</v>
      </c>
      <c r="AB3551" s="8">
        <v>1.2230000000000001</v>
      </c>
      <c r="AC3551" s="8">
        <v>0.1</v>
      </c>
    </row>
    <row r="3552" spans="1:29" ht="11.65" x14ac:dyDescent="0.35">
      <c r="A3552" s="12">
        <v>3535</v>
      </c>
      <c r="B3552" s="10" t="s">
        <v>1015</v>
      </c>
      <c r="C3552" s="18" t="s">
        <v>1260</v>
      </c>
      <c r="D3552" s="9"/>
      <c r="E3552" s="9">
        <v>300</v>
      </c>
      <c r="F3552" s="10" t="s">
        <v>1066</v>
      </c>
      <c r="G3552" s="9">
        <v>925</v>
      </c>
      <c r="H3552" s="9">
        <v>1995</v>
      </c>
      <c r="I3552" s="8">
        <v>274.94099999999997</v>
      </c>
      <c r="J3552" s="8">
        <v>291.47699999999998</v>
      </c>
      <c r="K3552" s="8">
        <v>373.94499999999999</v>
      </c>
      <c r="L3552" s="8">
        <v>420.68200000000002</v>
      </c>
      <c r="M3552" s="8">
        <v>436.25599999999997</v>
      </c>
      <c r="N3552" s="8">
        <v>446.589</v>
      </c>
      <c r="O3552" s="8">
        <v>407.26</v>
      </c>
      <c r="P3552" s="8">
        <v>401.68299999999999</v>
      </c>
      <c r="Q3552" s="8">
        <v>354.45499999999998</v>
      </c>
      <c r="R3552" s="8">
        <v>344.15800000000002</v>
      </c>
      <c r="S3552" s="8">
        <v>269.58499999999998</v>
      </c>
      <c r="T3552" s="8">
        <v>304.58800000000002</v>
      </c>
      <c r="U3552" s="8">
        <v>309.48399999999998</v>
      </c>
      <c r="V3552" s="8">
        <v>273.56400000000002</v>
      </c>
      <c r="W3552" s="8">
        <v>183.11799999999999</v>
      </c>
      <c r="X3552" s="8">
        <v>114.41800000000001</v>
      </c>
      <c r="Y3552" s="8">
        <v>78.762</v>
      </c>
      <c r="Z3552" s="8">
        <v>41.720999999999997</v>
      </c>
      <c r="AA3552" s="8">
        <v>11.000999999999999</v>
      </c>
      <c r="AB3552" s="8">
        <v>1.623</v>
      </c>
      <c r="AC3552" s="8">
        <v>0.152</v>
      </c>
    </row>
    <row r="3553" spans="1:29" ht="11.65" x14ac:dyDescent="0.35">
      <c r="A3553" s="12">
        <v>3536</v>
      </c>
      <c r="B3553" s="10" t="s">
        <v>1015</v>
      </c>
      <c r="C3553" s="18" t="s">
        <v>1260</v>
      </c>
      <c r="D3553" s="9"/>
      <c r="E3553" s="9">
        <v>300</v>
      </c>
      <c r="F3553" s="10" t="s">
        <v>1066</v>
      </c>
      <c r="G3553" s="9">
        <v>925</v>
      </c>
      <c r="H3553" s="9">
        <v>2000</v>
      </c>
      <c r="I3553" s="8">
        <v>275.21300000000002</v>
      </c>
      <c r="J3553" s="8">
        <v>281.01299999999998</v>
      </c>
      <c r="K3553" s="8">
        <v>305.5</v>
      </c>
      <c r="L3553" s="8">
        <v>394.90600000000001</v>
      </c>
      <c r="M3553" s="8">
        <v>443.64</v>
      </c>
      <c r="N3553" s="8">
        <v>455.10300000000001</v>
      </c>
      <c r="O3553" s="8">
        <v>460.41</v>
      </c>
      <c r="P3553" s="8">
        <v>417.93299999999999</v>
      </c>
      <c r="Q3553" s="8">
        <v>408.54500000000002</v>
      </c>
      <c r="R3553" s="8">
        <v>358.06700000000001</v>
      </c>
      <c r="S3553" s="8">
        <v>342.68299999999999</v>
      </c>
      <c r="T3553" s="8">
        <v>263.54399999999998</v>
      </c>
      <c r="U3553" s="8">
        <v>291.88099999999997</v>
      </c>
      <c r="V3553" s="8">
        <v>288.11</v>
      </c>
      <c r="W3553" s="8">
        <v>239.28100000000001</v>
      </c>
      <c r="X3553" s="8">
        <v>145.322</v>
      </c>
      <c r="Y3553" s="8">
        <v>77.200999999999993</v>
      </c>
      <c r="Z3553" s="8">
        <v>41.853999999999999</v>
      </c>
      <c r="AA3553" s="8">
        <v>15.416</v>
      </c>
      <c r="AB3553" s="8">
        <v>2.508</v>
      </c>
      <c r="AC3553" s="8">
        <v>0.20499999999999999</v>
      </c>
    </row>
    <row r="3554" spans="1:29" ht="11.65" x14ac:dyDescent="0.35">
      <c r="A3554" s="12">
        <v>3537</v>
      </c>
      <c r="B3554" s="10" t="s">
        <v>1015</v>
      </c>
      <c r="C3554" s="18" t="s">
        <v>1260</v>
      </c>
      <c r="D3554" s="9"/>
      <c r="E3554" s="9">
        <v>300</v>
      </c>
      <c r="F3554" s="10" t="s">
        <v>1066</v>
      </c>
      <c r="G3554" s="9">
        <v>925</v>
      </c>
      <c r="H3554" s="9">
        <v>2005</v>
      </c>
      <c r="I3554" s="8">
        <v>277.37799999999999</v>
      </c>
      <c r="J3554" s="8">
        <v>277.78300000000002</v>
      </c>
      <c r="K3554" s="8">
        <v>288.37200000000001</v>
      </c>
      <c r="L3554" s="8">
        <v>316.75200000000001</v>
      </c>
      <c r="M3554" s="8">
        <v>409.04899999999998</v>
      </c>
      <c r="N3554" s="8">
        <v>448.72699999999998</v>
      </c>
      <c r="O3554" s="8">
        <v>447.31400000000002</v>
      </c>
      <c r="P3554" s="8">
        <v>452.95</v>
      </c>
      <c r="Q3554" s="8">
        <v>413.64499999999998</v>
      </c>
      <c r="R3554" s="8">
        <v>400.94</v>
      </c>
      <c r="S3554" s="8">
        <v>340.779</v>
      </c>
      <c r="T3554" s="8">
        <v>327.56099999999998</v>
      </c>
      <c r="U3554" s="8">
        <v>258.85399999999998</v>
      </c>
      <c r="V3554" s="8">
        <v>279.541</v>
      </c>
      <c r="W3554" s="8">
        <v>260.65100000000001</v>
      </c>
      <c r="X3554" s="8">
        <v>194.52099999999999</v>
      </c>
      <c r="Y3554" s="8">
        <v>99.805000000000007</v>
      </c>
      <c r="Z3554" s="8">
        <v>41.895000000000003</v>
      </c>
      <c r="AA3554" s="8">
        <v>16.088000000000001</v>
      </c>
      <c r="AB3554" s="8">
        <v>3.5110000000000001</v>
      </c>
      <c r="AC3554" s="8">
        <v>0.30099999999999999</v>
      </c>
    </row>
    <row r="3555" spans="1:29" ht="11.65" x14ac:dyDescent="0.35">
      <c r="A3555" s="12">
        <v>3538</v>
      </c>
      <c r="B3555" s="10" t="s">
        <v>1015</v>
      </c>
      <c r="C3555" s="18" t="s">
        <v>1260</v>
      </c>
      <c r="D3555" s="9"/>
      <c r="E3555" s="9">
        <v>300</v>
      </c>
      <c r="F3555" s="10" t="s">
        <v>1066</v>
      </c>
      <c r="G3555" s="9">
        <v>925</v>
      </c>
      <c r="H3555" s="9">
        <v>2010</v>
      </c>
      <c r="I3555" s="8">
        <v>282.52800000000002</v>
      </c>
      <c r="J3555" s="8">
        <v>273.42599999999999</v>
      </c>
      <c r="K3555" s="8">
        <v>282.12799999999999</v>
      </c>
      <c r="L3555" s="8">
        <v>298.12099999999998</v>
      </c>
      <c r="M3555" s="8">
        <v>334.61</v>
      </c>
      <c r="N3555" s="8">
        <v>398.50099999999998</v>
      </c>
      <c r="O3555" s="8">
        <v>414.05799999999999</v>
      </c>
      <c r="P3555" s="8">
        <v>413.05799999999999</v>
      </c>
      <c r="Q3555" s="8">
        <v>410.97800000000001</v>
      </c>
      <c r="R3555" s="8">
        <v>364.34399999999999</v>
      </c>
      <c r="S3555" s="8">
        <v>348.90199999999999</v>
      </c>
      <c r="T3555" s="8">
        <v>303.22300000000001</v>
      </c>
      <c r="U3555" s="8">
        <v>298.33</v>
      </c>
      <c r="V3555" s="8">
        <v>234.22</v>
      </c>
      <c r="W3555" s="8">
        <v>249.05</v>
      </c>
      <c r="X3555" s="8">
        <v>216.95500000000001</v>
      </c>
      <c r="Y3555" s="8">
        <v>144.07300000000001</v>
      </c>
      <c r="Z3555" s="8">
        <v>60.286000000000001</v>
      </c>
      <c r="AA3555" s="8">
        <v>17.337</v>
      </c>
      <c r="AB3555" s="8">
        <v>3.9430000000000001</v>
      </c>
      <c r="AC3555" s="8">
        <v>0.48199999999999998</v>
      </c>
    </row>
    <row r="3556" spans="1:29" ht="11.65" x14ac:dyDescent="0.35">
      <c r="A3556" s="12">
        <v>3539</v>
      </c>
      <c r="B3556" s="10" t="s">
        <v>1015</v>
      </c>
      <c r="C3556" s="18" t="s">
        <v>1260</v>
      </c>
      <c r="D3556" s="9"/>
      <c r="E3556" s="9">
        <v>300</v>
      </c>
      <c r="F3556" s="10" t="s">
        <v>1066</v>
      </c>
      <c r="G3556" s="9">
        <v>925</v>
      </c>
      <c r="H3556" s="9">
        <v>2015</v>
      </c>
      <c r="I3556" s="8">
        <v>245.46700000000001</v>
      </c>
      <c r="J3556" s="8">
        <v>280.47500000000002</v>
      </c>
      <c r="K3556" s="8">
        <v>272.07600000000002</v>
      </c>
      <c r="L3556" s="8">
        <v>276.84399999999999</v>
      </c>
      <c r="M3556" s="8">
        <v>284.98500000000001</v>
      </c>
      <c r="N3556" s="8">
        <v>317.69299999999998</v>
      </c>
      <c r="O3556" s="8">
        <v>383.30500000000001</v>
      </c>
      <c r="P3556" s="8">
        <v>402.14800000000002</v>
      </c>
      <c r="Q3556" s="8">
        <v>403.55</v>
      </c>
      <c r="R3556" s="8">
        <v>401.73700000000002</v>
      </c>
      <c r="S3556" s="8">
        <v>354.327</v>
      </c>
      <c r="T3556" s="8">
        <v>336.16899999999998</v>
      </c>
      <c r="U3556" s="8">
        <v>287.77</v>
      </c>
      <c r="V3556" s="8">
        <v>277.33499999999998</v>
      </c>
      <c r="W3556" s="8">
        <v>211.124</v>
      </c>
      <c r="X3556" s="8">
        <v>211.77099999999999</v>
      </c>
      <c r="Y3556" s="8">
        <v>163.95</v>
      </c>
      <c r="Z3556" s="8">
        <v>88.578000000000003</v>
      </c>
      <c r="AA3556" s="8">
        <v>27.565999999999999</v>
      </c>
      <c r="AB3556" s="8">
        <v>5.274</v>
      </c>
      <c r="AC3556" s="8">
        <v>0.71199999999999997</v>
      </c>
    </row>
    <row r="3557" spans="1:29" ht="11.65" x14ac:dyDescent="0.35">
      <c r="A3557" s="12">
        <v>3540</v>
      </c>
      <c r="B3557" s="10" t="s">
        <v>1015</v>
      </c>
      <c r="C3557" s="18" t="s">
        <v>1260</v>
      </c>
      <c r="D3557" s="9"/>
      <c r="E3557" s="9">
        <v>300</v>
      </c>
      <c r="F3557" s="10" t="s">
        <v>1066</v>
      </c>
      <c r="G3557" s="9">
        <v>925</v>
      </c>
      <c r="H3557" s="9">
        <v>2020</v>
      </c>
      <c r="I3557" s="8">
        <v>211.17500000000001</v>
      </c>
      <c r="J3557" s="8">
        <v>243.57499999999999</v>
      </c>
      <c r="K3557" s="8">
        <v>279.40100000000001</v>
      </c>
      <c r="L3557" s="8">
        <v>269.36399999999998</v>
      </c>
      <c r="M3557" s="8">
        <v>270.45</v>
      </c>
      <c r="N3557" s="8">
        <v>276.779</v>
      </c>
      <c r="O3557" s="8">
        <v>310.19799999999998</v>
      </c>
      <c r="P3557" s="8">
        <v>376.988</v>
      </c>
      <c r="Q3557" s="8">
        <v>396.60700000000003</v>
      </c>
      <c r="R3557" s="8">
        <v>397.11599999999999</v>
      </c>
      <c r="S3557" s="8">
        <v>392.90899999999999</v>
      </c>
      <c r="T3557" s="8">
        <v>342.68599999999998</v>
      </c>
      <c r="U3557" s="8">
        <v>320.08100000000002</v>
      </c>
      <c r="V3557" s="8">
        <v>268.709</v>
      </c>
      <c r="W3557" s="8">
        <v>252.66900000000001</v>
      </c>
      <c r="X3557" s="8">
        <v>183.083</v>
      </c>
      <c r="Y3557" s="8">
        <v>164.91399999999999</v>
      </c>
      <c r="Z3557" s="8">
        <v>105.15900000000001</v>
      </c>
      <c r="AA3557" s="8">
        <v>43.491</v>
      </c>
      <c r="AB3557" s="8">
        <v>9.3740000000000006</v>
      </c>
      <c r="AC3557" s="8">
        <v>1.0980000000000001</v>
      </c>
    </row>
    <row r="3558" spans="1:29" ht="11.65" x14ac:dyDescent="0.35">
      <c r="A3558" s="12">
        <v>3541</v>
      </c>
      <c r="B3558" s="10" t="s">
        <v>1015</v>
      </c>
      <c r="C3558" s="18" t="s">
        <v>1261</v>
      </c>
      <c r="D3558" s="9"/>
      <c r="E3558" s="9">
        <v>380</v>
      </c>
      <c r="F3558" s="10" t="s">
        <v>1066</v>
      </c>
      <c r="G3558" s="9">
        <v>925</v>
      </c>
      <c r="H3558" s="9">
        <v>1950</v>
      </c>
      <c r="I3558" s="8">
        <v>2248.444</v>
      </c>
      <c r="J3558" s="8">
        <v>1969.86</v>
      </c>
      <c r="K3558" s="8">
        <v>2123.6550000000002</v>
      </c>
      <c r="L3558" s="8">
        <v>2034.4449999999999</v>
      </c>
      <c r="M3558" s="8">
        <v>1988.5540000000001</v>
      </c>
      <c r="N3558" s="8">
        <v>1874.4159999999999</v>
      </c>
      <c r="O3558" s="8">
        <v>1261.2729999999999</v>
      </c>
      <c r="P3558" s="8">
        <v>1696.319</v>
      </c>
      <c r="Q3558" s="8">
        <v>1576.3009999999999</v>
      </c>
      <c r="R3558" s="8">
        <v>1336.952</v>
      </c>
      <c r="S3558" s="8">
        <v>1109.8309999999999</v>
      </c>
      <c r="T3558" s="8">
        <v>928.20500000000004</v>
      </c>
      <c r="U3558" s="8">
        <v>818.75800000000004</v>
      </c>
      <c r="V3558" s="8">
        <v>676.96799999999996</v>
      </c>
      <c r="W3558" s="8">
        <v>514.88199999999995</v>
      </c>
      <c r="X3558" s="8">
        <v>313.24799999999999</v>
      </c>
      <c r="Y3558" s="8">
        <v>151.89699999999999</v>
      </c>
      <c r="Z3558" s="8">
        <v>50.753</v>
      </c>
      <c r="AA3558" s="8">
        <v>8.8209999999999997</v>
      </c>
      <c r="AB3558" s="8">
        <v>0.72699999999999998</v>
      </c>
      <c r="AC3558" s="8">
        <v>2.1000000000000001E-2</v>
      </c>
    </row>
    <row r="3559" spans="1:29" ht="11.65" x14ac:dyDescent="0.35">
      <c r="A3559" s="12">
        <v>3542</v>
      </c>
      <c r="B3559" s="10" t="s">
        <v>1015</v>
      </c>
      <c r="C3559" s="18" t="s">
        <v>1261</v>
      </c>
      <c r="D3559" s="9"/>
      <c r="E3559" s="9">
        <v>380</v>
      </c>
      <c r="F3559" s="10" t="s">
        <v>1066</v>
      </c>
      <c r="G3559" s="9">
        <v>925</v>
      </c>
      <c r="H3559" s="9">
        <v>1955</v>
      </c>
      <c r="I3559" s="8">
        <v>2073.701</v>
      </c>
      <c r="J3559" s="8">
        <v>2210.3159999999998</v>
      </c>
      <c r="K3559" s="8">
        <v>1933.3430000000001</v>
      </c>
      <c r="L3559" s="8">
        <v>2046.1859999999999</v>
      </c>
      <c r="M3559" s="8">
        <v>1927.0519999999999</v>
      </c>
      <c r="N3559" s="8">
        <v>1897.13</v>
      </c>
      <c r="O3559" s="8">
        <v>1816.2729999999999</v>
      </c>
      <c r="P3559" s="8">
        <v>1228.626</v>
      </c>
      <c r="Q3559" s="8">
        <v>1675.3130000000001</v>
      </c>
      <c r="R3559" s="8">
        <v>1560.1849999999999</v>
      </c>
      <c r="S3559" s="8">
        <v>1305.931</v>
      </c>
      <c r="T3559" s="8">
        <v>1063.55</v>
      </c>
      <c r="U3559" s="8">
        <v>862.99300000000005</v>
      </c>
      <c r="V3559" s="8">
        <v>726.36599999999999</v>
      </c>
      <c r="W3559" s="8">
        <v>554.78599999999994</v>
      </c>
      <c r="X3559" s="8">
        <v>362.57</v>
      </c>
      <c r="Y3559" s="8">
        <v>171.99100000000001</v>
      </c>
      <c r="Z3559" s="8">
        <v>56.863999999999997</v>
      </c>
      <c r="AA3559" s="8">
        <v>11.347</v>
      </c>
      <c r="AB3559" s="8">
        <v>1.022</v>
      </c>
      <c r="AC3559" s="8">
        <v>4.1000000000000002E-2</v>
      </c>
    </row>
    <row r="3560" spans="1:29" ht="11.65" x14ac:dyDescent="0.35">
      <c r="A3560" s="12">
        <v>3543</v>
      </c>
      <c r="B3560" s="10" t="s">
        <v>1015</v>
      </c>
      <c r="C3560" s="18" t="s">
        <v>1261</v>
      </c>
      <c r="D3560" s="9"/>
      <c r="E3560" s="9">
        <v>380</v>
      </c>
      <c r="F3560" s="10" t="s">
        <v>1066</v>
      </c>
      <c r="G3560" s="9">
        <v>925</v>
      </c>
      <c r="H3560" s="9">
        <v>1960</v>
      </c>
      <c r="I3560" s="8">
        <v>2107.5720000000001</v>
      </c>
      <c r="J3560" s="8">
        <v>2065.63</v>
      </c>
      <c r="K3560" s="8">
        <v>2193.9279999999999</v>
      </c>
      <c r="L3560" s="8">
        <v>1889.0229999999999</v>
      </c>
      <c r="M3560" s="8">
        <v>1957.4960000000001</v>
      </c>
      <c r="N3560" s="8">
        <v>1819.913</v>
      </c>
      <c r="O3560" s="8">
        <v>1808.568</v>
      </c>
      <c r="P3560" s="8">
        <v>1761.27</v>
      </c>
      <c r="Q3560" s="8">
        <v>1198.5820000000001</v>
      </c>
      <c r="R3560" s="8">
        <v>1633.741</v>
      </c>
      <c r="S3560" s="8">
        <v>1503.569</v>
      </c>
      <c r="T3560" s="8">
        <v>1232.039</v>
      </c>
      <c r="U3560" s="8">
        <v>970.85500000000002</v>
      </c>
      <c r="V3560" s="8">
        <v>751.59799999999996</v>
      </c>
      <c r="W3560" s="8">
        <v>587.678</v>
      </c>
      <c r="X3560" s="8">
        <v>394.065</v>
      </c>
      <c r="Y3560" s="8">
        <v>203.93600000000001</v>
      </c>
      <c r="Z3560" s="8">
        <v>67.31</v>
      </c>
      <c r="AA3560" s="8">
        <v>13.565</v>
      </c>
      <c r="AB3560" s="8">
        <v>1.462</v>
      </c>
      <c r="AC3560" s="8">
        <v>6.4000000000000001E-2</v>
      </c>
    </row>
    <row r="3561" spans="1:29" ht="11.65" x14ac:dyDescent="0.35">
      <c r="A3561" s="12">
        <v>3544</v>
      </c>
      <c r="B3561" s="10" t="s">
        <v>1015</v>
      </c>
      <c r="C3561" s="18" t="s">
        <v>1261</v>
      </c>
      <c r="D3561" s="9"/>
      <c r="E3561" s="9">
        <v>380</v>
      </c>
      <c r="F3561" s="10" t="s">
        <v>1066</v>
      </c>
      <c r="G3561" s="9">
        <v>925</v>
      </c>
      <c r="H3561" s="9">
        <v>1965</v>
      </c>
      <c r="I3561" s="8">
        <v>2344.89</v>
      </c>
      <c r="J3561" s="8">
        <v>2115.7190000000001</v>
      </c>
      <c r="K3561" s="8">
        <v>2031.539</v>
      </c>
      <c r="L3561" s="8">
        <v>2126.1579999999999</v>
      </c>
      <c r="M3561" s="8">
        <v>1810.69</v>
      </c>
      <c r="N3561" s="8">
        <v>1902.73</v>
      </c>
      <c r="O3561" s="8">
        <v>1788.3430000000001</v>
      </c>
      <c r="P3561" s="8">
        <v>1781.662</v>
      </c>
      <c r="Q3561" s="8">
        <v>1730.7180000000001</v>
      </c>
      <c r="R3561" s="8">
        <v>1169.403</v>
      </c>
      <c r="S3561" s="8">
        <v>1575.539</v>
      </c>
      <c r="T3561" s="8">
        <v>1427.59</v>
      </c>
      <c r="U3561" s="8">
        <v>1139.922</v>
      </c>
      <c r="V3561" s="8">
        <v>849.29</v>
      </c>
      <c r="W3561" s="8">
        <v>604.28399999999999</v>
      </c>
      <c r="X3561" s="8">
        <v>416.60700000000003</v>
      </c>
      <c r="Y3561" s="8">
        <v>223.69399999999999</v>
      </c>
      <c r="Z3561" s="8">
        <v>82.209000000000003</v>
      </c>
      <c r="AA3561" s="8">
        <v>16.7</v>
      </c>
      <c r="AB3561" s="8">
        <v>1.841</v>
      </c>
      <c r="AC3561" s="8">
        <v>9.7000000000000003E-2</v>
      </c>
    </row>
    <row r="3562" spans="1:29" ht="11.65" x14ac:dyDescent="0.35">
      <c r="A3562" s="12">
        <v>3545</v>
      </c>
      <c r="B3562" s="10" t="s">
        <v>1015</v>
      </c>
      <c r="C3562" s="18" t="s">
        <v>1261</v>
      </c>
      <c r="D3562" s="9"/>
      <c r="E3562" s="9">
        <v>380</v>
      </c>
      <c r="F3562" s="10" t="s">
        <v>1066</v>
      </c>
      <c r="G3562" s="9">
        <v>925</v>
      </c>
      <c r="H3562" s="9">
        <v>1970</v>
      </c>
      <c r="I3562" s="8">
        <v>2320.7080000000001</v>
      </c>
      <c r="J3562" s="8">
        <v>2327.7710000000002</v>
      </c>
      <c r="K3562" s="8">
        <v>2108.2460000000001</v>
      </c>
      <c r="L3562" s="8">
        <v>1991.3579999999999</v>
      </c>
      <c r="M3562" s="8">
        <v>2038.3810000000001</v>
      </c>
      <c r="N3562" s="8">
        <v>1727.6849999999999</v>
      </c>
      <c r="O3562" s="8">
        <v>1870.0329999999999</v>
      </c>
      <c r="P3562" s="8">
        <v>1790.5640000000001</v>
      </c>
      <c r="Q3562" s="8">
        <v>1776.9939999999999</v>
      </c>
      <c r="R3562" s="8">
        <v>1701.9580000000001</v>
      </c>
      <c r="S3562" s="8">
        <v>1130.7070000000001</v>
      </c>
      <c r="T3562" s="8">
        <v>1489.8219999999999</v>
      </c>
      <c r="U3562" s="8">
        <v>1315.385</v>
      </c>
      <c r="V3562" s="8">
        <v>1010.1079999999999</v>
      </c>
      <c r="W3562" s="8">
        <v>687.35599999999999</v>
      </c>
      <c r="X3562" s="8">
        <v>427.79899999999998</v>
      </c>
      <c r="Y3562" s="8">
        <v>239.80699999999999</v>
      </c>
      <c r="Z3562" s="8">
        <v>93.634</v>
      </c>
      <c r="AA3562" s="8">
        <v>21.917999999999999</v>
      </c>
      <c r="AB3562" s="8">
        <v>2.4510000000000001</v>
      </c>
      <c r="AC3562" s="8">
        <v>0.14399999999999999</v>
      </c>
    </row>
    <row r="3563" spans="1:29" ht="11.65" x14ac:dyDescent="0.35">
      <c r="A3563" s="12">
        <v>3546</v>
      </c>
      <c r="B3563" s="10" t="s">
        <v>1015</v>
      </c>
      <c r="C3563" s="18" t="s">
        <v>1261</v>
      </c>
      <c r="D3563" s="9"/>
      <c r="E3563" s="9">
        <v>380</v>
      </c>
      <c r="F3563" s="10" t="s">
        <v>1066</v>
      </c>
      <c r="G3563" s="9">
        <v>925</v>
      </c>
      <c r="H3563" s="9">
        <v>1975</v>
      </c>
      <c r="I3563" s="8">
        <v>2200.239</v>
      </c>
      <c r="J3563" s="8">
        <v>2313.3130000000001</v>
      </c>
      <c r="K3563" s="8">
        <v>2327.0500000000002</v>
      </c>
      <c r="L3563" s="8">
        <v>2086.645</v>
      </c>
      <c r="M3563" s="8">
        <v>1954.2929999999999</v>
      </c>
      <c r="N3563" s="8">
        <v>2008.373</v>
      </c>
      <c r="O3563" s="8">
        <v>1717.405</v>
      </c>
      <c r="P3563" s="8">
        <v>1865.8789999999999</v>
      </c>
      <c r="Q3563" s="8">
        <v>1781.01</v>
      </c>
      <c r="R3563" s="8">
        <v>1753.9190000000001</v>
      </c>
      <c r="S3563" s="8">
        <v>1654.9169999999999</v>
      </c>
      <c r="T3563" s="8">
        <v>1079.481</v>
      </c>
      <c r="U3563" s="8">
        <v>1373.06</v>
      </c>
      <c r="V3563" s="8">
        <v>1143.6990000000001</v>
      </c>
      <c r="W3563" s="8">
        <v>803.07600000000002</v>
      </c>
      <c r="X3563" s="8">
        <v>477.71100000000001</v>
      </c>
      <c r="Y3563" s="8">
        <v>243.63200000000001</v>
      </c>
      <c r="Z3563" s="8">
        <v>101.697</v>
      </c>
      <c r="AA3563" s="8">
        <v>26.007000000000001</v>
      </c>
      <c r="AB3563" s="8">
        <v>3.4140000000000001</v>
      </c>
      <c r="AC3563" s="8">
        <v>0.20599999999999999</v>
      </c>
    </row>
    <row r="3564" spans="1:29" ht="11.65" x14ac:dyDescent="0.35">
      <c r="A3564" s="12">
        <v>3547</v>
      </c>
      <c r="B3564" s="10" t="s">
        <v>1015</v>
      </c>
      <c r="C3564" s="18" t="s">
        <v>1261</v>
      </c>
      <c r="D3564" s="9"/>
      <c r="E3564" s="9">
        <v>380</v>
      </c>
      <c r="F3564" s="10" t="s">
        <v>1066</v>
      </c>
      <c r="G3564" s="9">
        <v>925</v>
      </c>
      <c r="H3564" s="9">
        <v>1980</v>
      </c>
      <c r="I3564" s="8">
        <v>1833.847</v>
      </c>
      <c r="J3564" s="8">
        <v>2183.0070000000001</v>
      </c>
      <c r="K3564" s="8">
        <v>2333.616</v>
      </c>
      <c r="L3564" s="8">
        <v>2331.6959999999999</v>
      </c>
      <c r="M3564" s="8">
        <v>2057.11</v>
      </c>
      <c r="N3564" s="8">
        <v>1921.4839999999999</v>
      </c>
      <c r="O3564" s="8">
        <v>2000.3230000000001</v>
      </c>
      <c r="P3564" s="8">
        <v>1730.9929999999999</v>
      </c>
      <c r="Q3564" s="8">
        <v>1865.5450000000001</v>
      </c>
      <c r="R3564" s="8">
        <v>1757.0609999999999</v>
      </c>
      <c r="S3564" s="8">
        <v>1707.278</v>
      </c>
      <c r="T3564" s="8">
        <v>1577.559</v>
      </c>
      <c r="U3564" s="8">
        <v>1002.54</v>
      </c>
      <c r="V3564" s="8">
        <v>1210.6079999999999</v>
      </c>
      <c r="W3564" s="8">
        <v>916.94899999999996</v>
      </c>
      <c r="X3564" s="8">
        <v>552.20100000000002</v>
      </c>
      <c r="Y3564" s="8">
        <v>269.822</v>
      </c>
      <c r="Z3564" s="8">
        <v>104.631</v>
      </c>
      <c r="AA3564" s="8">
        <v>28.286000000000001</v>
      </c>
      <c r="AB3564" s="8">
        <v>4.165</v>
      </c>
      <c r="AC3564" s="8">
        <v>0.29599999999999999</v>
      </c>
    </row>
    <row r="3565" spans="1:29" ht="11.65" x14ac:dyDescent="0.35">
      <c r="A3565" s="12">
        <v>3548</v>
      </c>
      <c r="B3565" s="10" t="s">
        <v>1015</v>
      </c>
      <c r="C3565" s="18" t="s">
        <v>1261</v>
      </c>
      <c r="D3565" s="9"/>
      <c r="E3565" s="9">
        <v>380</v>
      </c>
      <c r="F3565" s="10" t="s">
        <v>1066</v>
      </c>
      <c r="G3565" s="9">
        <v>925</v>
      </c>
      <c r="H3565" s="9">
        <v>1985</v>
      </c>
      <c r="I3565" s="8">
        <v>1561.6079999999999</v>
      </c>
      <c r="J3565" s="8">
        <v>1826.83</v>
      </c>
      <c r="K3565" s="8">
        <v>2199.415</v>
      </c>
      <c r="L3565" s="8">
        <v>2344.0430000000001</v>
      </c>
      <c r="M3565" s="8">
        <v>2326.3710000000001</v>
      </c>
      <c r="N3565" s="8">
        <v>2063.7620000000002</v>
      </c>
      <c r="O3565" s="8">
        <v>1942.856</v>
      </c>
      <c r="P3565" s="8">
        <v>2017.6379999999999</v>
      </c>
      <c r="Q3565" s="8">
        <v>1736.9359999999999</v>
      </c>
      <c r="R3565" s="8">
        <v>1851.232</v>
      </c>
      <c r="S3565" s="8">
        <v>1719.2239999999999</v>
      </c>
      <c r="T3565" s="8">
        <v>1634.9690000000001</v>
      </c>
      <c r="U3565" s="8">
        <v>1462.0840000000001</v>
      </c>
      <c r="V3565" s="8">
        <v>887.64099999999996</v>
      </c>
      <c r="W3565" s="8">
        <v>993.69399999999996</v>
      </c>
      <c r="X3565" s="8">
        <v>660.81399999999996</v>
      </c>
      <c r="Y3565" s="8">
        <v>321.93599999999998</v>
      </c>
      <c r="Z3565" s="8">
        <v>118.76</v>
      </c>
      <c r="AA3565" s="8">
        <v>31.376999999999999</v>
      </c>
      <c r="AB3565" s="8">
        <v>4.9489999999999998</v>
      </c>
      <c r="AC3565" s="8">
        <v>0.40899999999999997</v>
      </c>
    </row>
    <row r="3566" spans="1:29" ht="11.65" x14ac:dyDescent="0.35">
      <c r="A3566" s="12">
        <v>3549</v>
      </c>
      <c r="B3566" s="10" t="s">
        <v>1015</v>
      </c>
      <c r="C3566" s="18" t="s">
        <v>1261</v>
      </c>
      <c r="D3566" s="9"/>
      <c r="E3566" s="9">
        <v>380</v>
      </c>
      <c r="F3566" s="10" t="s">
        <v>1066</v>
      </c>
      <c r="G3566" s="9">
        <v>925</v>
      </c>
      <c r="H3566" s="9">
        <v>1990</v>
      </c>
      <c r="I3566" s="8">
        <v>1450.4480000000001</v>
      </c>
      <c r="J3566" s="8">
        <v>1552.1130000000001</v>
      </c>
      <c r="K3566" s="8">
        <v>1822.5</v>
      </c>
      <c r="L3566" s="8">
        <v>2203.5880000000002</v>
      </c>
      <c r="M3566" s="8">
        <v>2338.364</v>
      </c>
      <c r="N3566" s="8">
        <v>2305.9169999999999</v>
      </c>
      <c r="O3566" s="8">
        <v>2046.3019999999999</v>
      </c>
      <c r="P3566" s="8">
        <v>1932.442</v>
      </c>
      <c r="Q3566" s="8">
        <v>1997.6990000000001</v>
      </c>
      <c r="R3566" s="8">
        <v>1702.434</v>
      </c>
      <c r="S3566" s="8">
        <v>1798.2460000000001</v>
      </c>
      <c r="T3566" s="8">
        <v>1641.8610000000001</v>
      </c>
      <c r="U3566" s="8">
        <v>1518.6189999999999</v>
      </c>
      <c r="V3566" s="8">
        <v>1303.5640000000001</v>
      </c>
      <c r="W3566" s="8">
        <v>744.851</v>
      </c>
      <c r="X3566" s="8">
        <v>753.41899999999998</v>
      </c>
      <c r="Y3566" s="8">
        <v>419.85599999999999</v>
      </c>
      <c r="Z3566" s="8">
        <v>155.018</v>
      </c>
      <c r="AA3566" s="8">
        <v>38.692</v>
      </c>
      <c r="AB3566" s="8">
        <v>6.1589999999999998</v>
      </c>
      <c r="AC3566" s="8">
        <v>0.54100000000000004</v>
      </c>
    </row>
    <row r="3567" spans="1:29" ht="11.65" x14ac:dyDescent="0.35">
      <c r="A3567" s="12">
        <v>3550</v>
      </c>
      <c r="B3567" s="10" t="s">
        <v>1015</v>
      </c>
      <c r="C3567" s="18" t="s">
        <v>1261</v>
      </c>
      <c r="D3567" s="9"/>
      <c r="E3567" s="9">
        <v>380</v>
      </c>
      <c r="F3567" s="10" t="s">
        <v>1066</v>
      </c>
      <c r="G3567" s="9">
        <v>925</v>
      </c>
      <c r="H3567" s="9">
        <v>1995</v>
      </c>
      <c r="I3567" s="8">
        <v>1403.577</v>
      </c>
      <c r="J3567" s="8">
        <v>1445.951</v>
      </c>
      <c r="K3567" s="8">
        <v>1559.154</v>
      </c>
      <c r="L3567" s="8">
        <v>1827.77</v>
      </c>
      <c r="M3567" s="8">
        <v>2191.7310000000002</v>
      </c>
      <c r="N3567" s="8">
        <v>2321.9969999999998</v>
      </c>
      <c r="O3567" s="8">
        <v>2288.2339999999999</v>
      </c>
      <c r="P3567" s="8">
        <v>2026.8720000000001</v>
      </c>
      <c r="Q3567" s="8">
        <v>1911.87</v>
      </c>
      <c r="R3567" s="8">
        <v>1969.7429999999999</v>
      </c>
      <c r="S3567" s="8">
        <v>1666.22</v>
      </c>
      <c r="T3567" s="8">
        <v>1738.2929999999999</v>
      </c>
      <c r="U3567" s="8">
        <v>1550.9</v>
      </c>
      <c r="V3567" s="8">
        <v>1376.4110000000001</v>
      </c>
      <c r="W3567" s="8">
        <v>1111.8240000000001</v>
      </c>
      <c r="X3567" s="8">
        <v>579.92700000000002</v>
      </c>
      <c r="Y3567" s="8">
        <v>504.935</v>
      </c>
      <c r="Z3567" s="8">
        <v>215.566</v>
      </c>
      <c r="AA3567" s="8">
        <v>53.015999999999998</v>
      </c>
      <c r="AB3567" s="8">
        <v>7.7370000000000001</v>
      </c>
      <c r="AC3567" s="8">
        <v>0.66</v>
      </c>
    </row>
    <row r="3568" spans="1:29" ht="11.65" x14ac:dyDescent="0.35">
      <c r="A3568" s="12">
        <v>3551</v>
      </c>
      <c r="B3568" s="10" t="s">
        <v>1015</v>
      </c>
      <c r="C3568" s="18" t="s">
        <v>1261</v>
      </c>
      <c r="D3568" s="9"/>
      <c r="E3568" s="9">
        <v>380</v>
      </c>
      <c r="F3568" s="10" t="s">
        <v>1066</v>
      </c>
      <c r="G3568" s="9">
        <v>925</v>
      </c>
      <c r="H3568" s="9">
        <v>2000</v>
      </c>
      <c r="I3568" s="8">
        <v>1346.636</v>
      </c>
      <c r="J3568" s="8">
        <v>1386.1869999999999</v>
      </c>
      <c r="K3568" s="8">
        <v>1437.13</v>
      </c>
      <c r="L3568" s="8">
        <v>1561.6959999999999</v>
      </c>
      <c r="M3568" s="8">
        <v>1806.7149999999999</v>
      </c>
      <c r="N3568" s="8">
        <v>2159.2730000000001</v>
      </c>
      <c r="O3568" s="8">
        <v>2294.3029999999999</v>
      </c>
      <c r="P3568" s="8">
        <v>2259.8209999999999</v>
      </c>
      <c r="Q3568" s="8">
        <v>1974.6489999999999</v>
      </c>
      <c r="R3568" s="8">
        <v>1838.441</v>
      </c>
      <c r="S3568" s="8">
        <v>1898.039</v>
      </c>
      <c r="T3568" s="8">
        <v>1583.585</v>
      </c>
      <c r="U3568" s="8">
        <v>1651.2750000000001</v>
      </c>
      <c r="V3568" s="8">
        <v>1421.26</v>
      </c>
      <c r="W3568" s="8">
        <v>1183.9659999999999</v>
      </c>
      <c r="X3568" s="8">
        <v>881.89300000000003</v>
      </c>
      <c r="Y3568" s="8">
        <v>391.53</v>
      </c>
      <c r="Z3568" s="8">
        <v>268.947</v>
      </c>
      <c r="AA3568" s="8">
        <v>77.522000000000006</v>
      </c>
      <c r="AB3568" s="8">
        <v>10.917</v>
      </c>
      <c r="AC3568" s="8">
        <v>0.82899999999999996</v>
      </c>
    </row>
    <row r="3569" spans="1:29" ht="11.65" x14ac:dyDescent="0.35">
      <c r="A3569" s="12">
        <v>3552</v>
      </c>
      <c r="B3569" s="10" t="s">
        <v>1015</v>
      </c>
      <c r="C3569" s="18" t="s">
        <v>1261</v>
      </c>
      <c r="D3569" s="9"/>
      <c r="E3569" s="9">
        <v>380</v>
      </c>
      <c r="F3569" s="10" t="s">
        <v>1066</v>
      </c>
      <c r="G3569" s="9">
        <v>925</v>
      </c>
      <c r="H3569" s="9">
        <v>2005</v>
      </c>
      <c r="I3569" s="8">
        <v>1428.5139999999999</v>
      </c>
      <c r="J3569" s="8">
        <v>1384.7829999999999</v>
      </c>
      <c r="K3569" s="8">
        <v>1427.578</v>
      </c>
      <c r="L3569" s="8">
        <v>1483.7329999999999</v>
      </c>
      <c r="M3569" s="8">
        <v>1611.5150000000001</v>
      </c>
      <c r="N3569" s="8">
        <v>1900.96</v>
      </c>
      <c r="O3569" s="8">
        <v>2289.1550000000002</v>
      </c>
      <c r="P3569" s="8">
        <v>2397.4670000000001</v>
      </c>
      <c r="Q3569" s="8">
        <v>2329.5819999999999</v>
      </c>
      <c r="R3569" s="8">
        <v>2018.8620000000001</v>
      </c>
      <c r="S3569" s="8">
        <v>1838.3050000000001</v>
      </c>
      <c r="T3569" s="8">
        <v>1865.556</v>
      </c>
      <c r="U3569" s="8">
        <v>1536.7370000000001</v>
      </c>
      <c r="V3569" s="8">
        <v>1553.79</v>
      </c>
      <c r="W3569" s="8">
        <v>1274.136</v>
      </c>
      <c r="X3569" s="8">
        <v>972.245</v>
      </c>
      <c r="Y3569" s="8">
        <v>634.77800000000002</v>
      </c>
      <c r="Z3569" s="8">
        <v>226.226</v>
      </c>
      <c r="AA3569" s="8">
        <v>103.35899999999999</v>
      </c>
      <c r="AB3569" s="8">
        <v>17.195</v>
      </c>
      <c r="AC3569" s="8">
        <v>1.2589999999999999</v>
      </c>
    </row>
    <row r="3570" spans="1:29" ht="11.65" x14ac:dyDescent="0.35">
      <c r="A3570" s="12">
        <v>3553</v>
      </c>
      <c r="B3570" s="10" t="s">
        <v>1015</v>
      </c>
      <c r="C3570" s="18" t="s">
        <v>1261</v>
      </c>
      <c r="D3570" s="9"/>
      <c r="E3570" s="9">
        <v>380</v>
      </c>
      <c r="F3570" s="10" t="s">
        <v>1066</v>
      </c>
      <c r="G3570" s="9">
        <v>925</v>
      </c>
      <c r="H3570" s="9">
        <v>2010</v>
      </c>
      <c r="I3570" s="8">
        <v>1460.4390000000001</v>
      </c>
      <c r="J3570" s="8">
        <v>1424.348</v>
      </c>
      <c r="K3570" s="8">
        <v>1410.721</v>
      </c>
      <c r="L3570" s="8">
        <v>1479.5940000000001</v>
      </c>
      <c r="M3570" s="8">
        <v>1558.2529999999999</v>
      </c>
      <c r="N3570" s="8">
        <v>1694.2619999999999</v>
      </c>
      <c r="O3570" s="8">
        <v>1965.971</v>
      </c>
      <c r="P3570" s="8">
        <v>2339.8809999999999</v>
      </c>
      <c r="Q3570" s="8">
        <v>2406.8409999999999</v>
      </c>
      <c r="R3570" s="8">
        <v>2305.3980000000001</v>
      </c>
      <c r="S3570" s="8">
        <v>1973.075</v>
      </c>
      <c r="T3570" s="8">
        <v>1776.998</v>
      </c>
      <c r="U3570" s="8">
        <v>1795.711</v>
      </c>
      <c r="V3570" s="8">
        <v>1440.0719999999999</v>
      </c>
      <c r="W3570" s="8">
        <v>1421.8989999999999</v>
      </c>
      <c r="X3570" s="8">
        <v>1073.5830000000001</v>
      </c>
      <c r="Y3570" s="8">
        <v>695.15</v>
      </c>
      <c r="Z3570" s="8">
        <v>364.13</v>
      </c>
      <c r="AA3570" s="8">
        <v>91.846000000000004</v>
      </c>
      <c r="AB3570" s="8">
        <v>24.335000000000001</v>
      </c>
      <c r="AC3570" s="8">
        <v>2.0299999999999998</v>
      </c>
    </row>
    <row r="3571" spans="1:29" ht="11.65" x14ac:dyDescent="0.35">
      <c r="A3571" s="12">
        <v>3554</v>
      </c>
      <c r="B3571" s="10" t="s">
        <v>1015</v>
      </c>
      <c r="C3571" s="18" t="s">
        <v>1261</v>
      </c>
      <c r="D3571" s="9"/>
      <c r="E3571" s="9">
        <v>380</v>
      </c>
      <c r="F3571" s="10" t="s">
        <v>1066</v>
      </c>
      <c r="G3571" s="9">
        <v>925</v>
      </c>
      <c r="H3571" s="9">
        <v>2015</v>
      </c>
      <c r="I3571" s="8">
        <v>1358.9390000000001</v>
      </c>
      <c r="J3571" s="8">
        <v>1462.1369999999999</v>
      </c>
      <c r="K3571" s="8">
        <v>1462.4970000000001</v>
      </c>
      <c r="L3571" s="8">
        <v>1474.7080000000001</v>
      </c>
      <c r="M3571" s="8">
        <v>1559.5809999999999</v>
      </c>
      <c r="N3571" s="8">
        <v>1647.1320000000001</v>
      </c>
      <c r="O3571" s="8">
        <v>1785.67</v>
      </c>
      <c r="P3571" s="8">
        <v>2070.9780000000001</v>
      </c>
      <c r="Q3571" s="8">
        <v>2397.915</v>
      </c>
      <c r="R3571" s="8">
        <v>2435.8040000000001</v>
      </c>
      <c r="S3571" s="8">
        <v>2309.5349999999999</v>
      </c>
      <c r="T3571" s="8">
        <v>1956.874</v>
      </c>
      <c r="U3571" s="8">
        <v>1761.82</v>
      </c>
      <c r="V3571" s="8">
        <v>1713.441</v>
      </c>
      <c r="W3571" s="8">
        <v>1347.549</v>
      </c>
      <c r="X3571" s="8">
        <v>1230.854</v>
      </c>
      <c r="Y3571" s="8">
        <v>813.30600000000004</v>
      </c>
      <c r="Z3571" s="8">
        <v>427.31299999999999</v>
      </c>
      <c r="AA3571" s="8">
        <v>152.119</v>
      </c>
      <c r="AB3571" s="8">
        <v>22.907</v>
      </c>
      <c r="AC3571" s="8">
        <v>3.044</v>
      </c>
    </row>
    <row r="3572" spans="1:29" ht="11.65" x14ac:dyDescent="0.35">
      <c r="A3572" s="12">
        <v>3555</v>
      </c>
      <c r="B3572" s="10" t="s">
        <v>1015</v>
      </c>
      <c r="C3572" s="18" t="s">
        <v>1261</v>
      </c>
      <c r="D3572" s="9"/>
      <c r="E3572" s="9">
        <v>380</v>
      </c>
      <c r="F3572" s="10" t="s">
        <v>1066</v>
      </c>
      <c r="G3572" s="9">
        <v>925</v>
      </c>
      <c r="H3572" s="9">
        <v>2020</v>
      </c>
      <c r="I3572" s="8">
        <v>1197.289</v>
      </c>
      <c r="J3572" s="8">
        <v>1374.731</v>
      </c>
      <c r="K3572" s="8">
        <v>1470.174</v>
      </c>
      <c r="L3572" s="8">
        <v>1484.4549999999999</v>
      </c>
      <c r="M3572" s="8">
        <v>1526.577</v>
      </c>
      <c r="N3572" s="8">
        <v>1625.23</v>
      </c>
      <c r="O3572" s="8">
        <v>1702.9760000000001</v>
      </c>
      <c r="P3572" s="8">
        <v>1824.2729999999999</v>
      </c>
      <c r="Q3572" s="8">
        <v>2092.3290000000002</v>
      </c>
      <c r="R3572" s="8">
        <v>2401.0700000000002</v>
      </c>
      <c r="S3572" s="8">
        <v>2420.4659999999999</v>
      </c>
      <c r="T3572" s="8">
        <v>2274.884</v>
      </c>
      <c r="U3572" s="8">
        <v>1903.0450000000001</v>
      </c>
      <c r="V3572" s="8">
        <v>1679.6</v>
      </c>
      <c r="W3572" s="8">
        <v>1586.76</v>
      </c>
      <c r="X3572" s="8">
        <v>1182.3230000000001</v>
      </c>
      <c r="Y3572" s="8">
        <v>958.36</v>
      </c>
      <c r="Z3572" s="8">
        <v>504.05900000000003</v>
      </c>
      <c r="AA3572" s="8">
        <v>186.608</v>
      </c>
      <c r="AB3572" s="8">
        <v>39.460999999999999</v>
      </c>
      <c r="AC3572" s="8">
        <v>3.0550000000000002</v>
      </c>
    </row>
    <row r="3573" spans="1:29" ht="11.65" x14ac:dyDescent="0.35">
      <c r="A3573" s="12">
        <v>3556</v>
      </c>
      <c r="B3573" s="10" t="s">
        <v>1015</v>
      </c>
      <c r="C3573" s="18" t="s">
        <v>1262</v>
      </c>
      <c r="D3573" s="9"/>
      <c r="E3573" s="9">
        <v>470</v>
      </c>
      <c r="F3573" s="10" t="s">
        <v>1066</v>
      </c>
      <c r="G3573" s="9">
        <v>925</v>
      </c>
      <c r="H3573" s="9">
        <v>1950</v>
      </c>
      <c r="I3573" s="8">
        <v>24</v>
      </c>
      <c r="J3573" s="8">
        <v>15</v>
      </c>
      <c r="K3573" s="8">
        <v>16.001000000000001</v>
      </c>
      <c r="L3573" s="8">
        <v>14.000999999999999</v>
      </c>
      <c r="M3573" s="8">
        <v>12.999000000000001</v>
      </c>
      <c r="N3573" s="8">
        <v>10.999000000000001</v>
      </c>
      <c r="O3573" s="8">
        <v>8.9979999999999993</v>
      </c>
      <c r="P3573" s="8">
        <v>8.9990000000000006</v>
      </c>
      <c r="Q3573" s="8">
        <v>9.0009999999999994</v>
      </c>
      <c r="R3573" s="8">
        <v>8.0009999999999994</v>
      </c>
      <c r="S3573" s="8">
        <v>7</v>
      </c>
      <c r="T3573" s="8">
        <v>6.0010000000000003</v>
      </c>
      <c r="U3573" s="8">
        <v>5.0010000000000003</v>
      </c>
      <c r="V3573" s="8">
        <v>3</v>
      </c>
      <c r="W3573" s="8">
        <v>2.694</v>
      </c>
      <c r="X3573" s="8">
        <v>1.494</v>
      </c>
      <c r="Y3573" s="8">
        <v>0.56000000000000005</v>
      </c>
      <c r="Z3573" s="8">
        <v>0.20300000000000001</v>
      </c>
      <c r="AA3573" s="8">
        <v>4.4999999999999998E-2</v>
      </c>
      <c r="AB3573" s="8">
        <v>5.0000000000000001E-3</v>
      </c>
      <c r="AC3573" s="8">
        <v>0</v>
      </c>
    </row>
    <row r="3574" spans="1:29" ht="11.65" x14ac:dyDescent="0.35">
      <c r="A3574" s="12">
        <v>3557</v>
      </c>
      <c r="B3574" s="10" t="s">
        <v>1015</v>
      </c>
      <c r="C3574" s="18" t="s">
        <v>1262</v>
      </c>
      <c r="D3574" s="9"/>
      <c r="E3574" s="9">
        <v>470</v>
      </c>
      <c r="F3574" s="10" t="s">
        <v>1066</v>
      </c>
      <c r="G3574" s="9">
        <v>925</v>
      </c>
      <c r="H3574" s="9">
        <v>1955</v>
      </c>
      <c r="I3574" s="8">
        <v>20.231000000000002</v>
      </c>
      <c r="J3574" s="8">
        <v>22.66</v>
      </c>
      <c r="K3574" s="8">
        <v>14.069000000000001</v>
      </c>
      <c r="L3574" s="8">
        <v>14.975</v>
      </c>
      <c r="M3574" s="8">
        <v>10.986000000000001</v>
      </c>
      <c r="N3574" s="8">
        <v>8.5030000000000001</v>
      </c>
      <c r="O3574" s="8">
        <v>7.5279999999999996</v>
      </c>
      <c r="P3574" s="8">
        <v>7.5359999999999996</v>
      </c>
      <c r="Q3574" s="8">
        <v>8.0150000000000006</v>
      </c>
      <c r="R3574" s="8">
        <v>8.4969999999999999</v>
      </c>
      <c r="S3574" s="8">
        <v>7.4560000000000004</v>
      </c>
      <c r="T3574" s="8">
        <v>5.9640000000000004</v>
      </c>
      <c r="U3574" s="8">
        <v>5.0129999999999999</v>
      </c>
      <c r="V3574" s="8">
        <v>4.0999999999999996</v>
      </c>
      <c r="W3574" s="8">
        <v>2.7839999999999998</v>
      </c>
      <c r="X3574" s="8">
        <v>2.19</v>
      </c>
      <c r="Y3574" s="8">
        <v>0.92700000000000005</v>
      </c>
      <c r="Z3574" s="8">
        <v>0.24</v>
      </c>
      <c r="AA3574" s="8">
        <v>5.8999999999999997E-2</v>
      </c>
      <c r="AB3574" s="8">
        <v>6.0000000000000001E-3</v>
      </c>
      <c r="AC3574" s="8">
        <v>0</v>
      </c>
    </row>
    <row r="3575" spans="1:29" ht="11.65" x14ac:dyDescent="0.35">
      <c r="A3575" s="12">
        <v>3558</v>
      </c>
      <c r="B3575" s="10" t="s">
        <v>1015</v>
      </c>
      <c r="C3575" s="18" t="s">
        <v>1262</v>
      </c>
      <c r="D3575" s="9"/>
      <c r="E3575" s="9">
        <v>470</v>
      </c>
      <c r="F3575" s="10" t="s">
        <v>1066</v>
      </c>
      <c r="G3575" s="9">
        <v>925</v>
      </c>
      <c r="H3575" s="9">
        <v>1960</v>
      </c>
      <c r="I3575" s="8">
        <v>19.972999999999999</v>
      </c>
      <c r="J3575" s="8">
        <v>20.95</v>
      </c>
      <c r="K3575" s="8">
        <v>19.183</v>
      </c>
      <c r="L3575" s="8">
        <v>10.08</v>
      </c>
      <c r="M3575" s="8">
        <v>12.462999999999999</v>
      </c>
      <c r="N3575" s="8">
        <v>8.4969999999999999</v>
      </c>
      <c r="O3575" s="8">
        <v>8.0009999999999994</v>
      </c>
      <c r="P3575" s="8">
        <v>7.5270000000000001</v>
      </c>
      <c r="Q3575" s="8">
        <v>7.5380000000000003</v>
      </c>
      <c r="R3575" s="8">
        <v>7.492</v>
      </c>
      <c r="S3575" s="8">
        <v>7.0010000000000003</v>
      </c>
      <c r="T3575" s="8">
        <v>6.0039999999999996</v>
      </c>
      <c r="U3575" s="8">
        <v>5.0330000000000004</v>
      </c>
      <c r="V3575" s="8">
        <v>4.6719999999999997</v>
      </c>
      <c r="W3575" s="8">
        <v>3.673</v>
      </c>
      <c r="X3575" s="8">
        <v>1.915</v>
      </c>
      <c r="Y3575" s="8">
        <v>1.19</v>
      </c>
      <c r="Z3575" s="8">
        <v>0.38500000000000001</v>
      </c>
      <c r="AA3575" s="8">
        <v>6.7000000000000004E-2</v>
      </c>
      <c r="AB3575" s="8">
        <v>0.01</v>
      </c>
      <c r="AC3575" s="8">
        <v>1E-3</v>
      </c>
    </row>
    <row r="3576" spans="1:29" ht="11.65" x14ac:dyDescent="0.35">
      <c r="A3576" s="12">
        <v>3559</v>
      </c>
      <c r="B3576" s="10" t="s">
        <v>1015</v>
      </c>
      <c r="C3576" s="18" t="s">
        <v>1262</v>
      </c>
      <c r="D3576" s="9"/>
      <c r="E3576" s="9">
        <v>470</v>
      </c>
      <c r="F3576" s="10" t="s">
        <v>1066</v>
      </c>
      <c r="G3576" s="9">
        <v>925</v>
      </c>
      <c r="H3576" s="9">
        <v>1965</v>
      </c>
      <c r="I3576" s="8">
        <v>17.260000000000002</v>
      </c>
      <c r="J3576" s="8">
        <v>18.103000000000002</v>
      </c>
      <c r="K3576" s="8">
        <v>18.32</v>
      </c>
      <c r="L3576" s="8">
        <v>17.855</v>
      </c>
      <c r="M3576" s="8">
        <v>11.430999999999999</v>
      </c>
      <c r="N3576" s="8">
        <v>8.7100000000000009</v>
      </c>
      <c r="O3576" s="8">
        <v>8.2970000000000006</v>
      </c>
      <c r="P3576" s="8">
        <v>8.1189999999999998</v>
      </c>
      <c r="Q3576" s="8">
        <v>8.0079999999999991</v>
      </c>
      <c r="R3576" s="8">
        <v>7.3520000000000003</v>
      </c>
      <c r="S3576" s="8">
        <v>6.8319999999999999</v>
      </c>
      <c r="T3576" s="8">
        <v>6.9509999999999996</v>
      </c>
      <c r="U3576" s="8">
        <v>6.3689999999999998</v>
      </c>
      <c r="V3576" s="8">
        <v>4.55</v>
      </c>
      <c r="W3576" s="8">
        <v>3.5750000000000002</v>
      </c>
      <c r="X3576" s="8">
        <v>2.3450000000000002</v>
      </c>
      <c r="Y3576" s="8">
        <v>1.169</v>
      </c>
      <c r="Z3576" s="8">
        <v>0.47799999999999998</v>
      </c>
      <c r="AA3576" s="8">
        <v>0.104</v>
      </c>
      <c r="AB3576" s="8">
        <v>1.0999999999999999E-2</v>
      </c>
      <c r="AC3576" s="8">
        <v>1E-3</v>
      </c>
    </row>
    <row r="3577" spans="1:29" ht="11.65" x14ac:dyDescent="0.35">
      <c r="A3577" s="12">
        <v>3560</v>
      </c>
      <c r="B3577" s="10" t="s">
        <v>1015</v>
      </c>
      <c r="C3577" s="18" t="s">
        <v>1262</v>
      </c>
      <c r="D3577" s="9"/>
      <c r="E3577" s="9">
        <v>470</v>
      </c>
      <c r="F3577" s="10" t="s">
        <v>1066</v>
      </c>
      <c r="G3577" s="9">
        <v>925</v>
      </c>
      <c r="H3577" s="9">
        <v>1970</v>
      </c>
      <c r="I3577" s="8">
        <v>12.689</v>
      </c>
      <c r="J3577" s="8">
        <v>16.329000000000001</v>
      </c>
      <c r="K3577" s="8">
        <v>16.242999999999999</v>
      </c>
      <c r="L3577" s="8">
        <v>16.097000000000001</v>
      </c>
      <c r="M3577" s="8">
        <v>15.145</v>
      </c>
      <c r="N3577" s="8">
        <v>9.8759999999999994</v>
      </c>
      <c r="O3577" s="8">
        <v>9.0370000000000008</v>
      </c>
      <c r="P3577" s="8">
        <v>8.8889999999999993</v>
      </c>
      <c r="Q3577" s="8">
        <v>8.3970000000000002</v>
      </c>
      <c r="R3577" s="8">
        <v>8.3209999999999997</v>
      </c>
      <c r="S3577" s="8">
        <v>7.4589999999999996</v>
      </c>
      <c r="T3577" s="8">
        <v>6.5030000000000001</v>
      </c>
      <c r="U3577" s="8">
        <v>6.5060000000000002</v>
      </c>
      <c r="V3577" s="8">
        <v>5.6360000000000001</v>
      </c>
      <c r="W3577" s="8">
        <v>3.742</v>
      </c>
      <c r="X3577" s="8">
        <v>2.4820000000000002</v>
      </c>
      <c r="Y3577" s="8">
        <v>1.2809999999999999</v>
      </c>
      <c r="Z3577" s="8">
        <v>0.498</v>
      </c>
      <c r="AA3577" s="8">
        <v>0.15</v>
      </c>
      <c r="AB3577" s="8">
        <v>1.9E-2</v>
      </c>
      <c r="AC3577" s="8">
        <v>1E-3</v>
      </c>
    </row>
    <row r="3578" spans="1:29" ht="11.65" x14ac:dyDescent="0.35">
      <c r="A3578" s="12">
        <v>3561</v>
      </c>
      <c r="B3578" s="10" t="s">
        <v>1015</v>
      </c>
      <c r="C3578" s="18" t="s">
        <v>1262</v>
      </c>
      <c r="D3578" s="9"/>
      <c r="E3578" s="9">
        <v>470</v>
      </c>
      <c r="F3578" s="10" t="s">
        <v>1066</v>
      </c>
      <c r="G3578" s="9">
        <v>925</v>
      </c>
      <c r="H3578" s="9">
        <v>1975</v>
      </c>
      <c r="I3578" s="8">
        <v>13.292999999999999</v>
      </c>
      <c r="J3578" s="8">
        <v>12.458</v>
      </c>
      <c r="K3578" s="8">
        <v>16.047999999999998</v>
      </c>
      <c r="L3578" s="8">
        <v>14.157999999999999</v>
      </c>
      <c r="M3578" s="8">
        <v>12.903</v>
      </c>
      <c r="N3578" s="8">
        <v>13.845000000000001</v>
      </c>
      <c r="O3578" s="8">
        <v>9.7059999999999995</v>
      </c>
      <c r="P3578" s="8">
        <v>9.27</v>
      </c>
      <c r="Q3578" s="8">
        <v>9.4280000000000008</v>
      </c>
      <c r="R3578" s="8">
        <v>8.8740000000000006</v>
      </c>
      <c r="S3578" s="8">
        <v>8.83</v>
      </c>
      <c r="T3578" s="8">
        <v>7.37</v>
      </c>
      <c r="U3578" s="8">
        <v>5.6479999999999997</v>
      </c>
      <c r="V3578" s="8">
        <v>5.5510000000000002</v>
      </c>
      <c r="W3578" s="8">
        <v>4.468</v>
      </c>
      <c r="X3578" s="8">
        <v>2.4369999999999998</v>
      </c>
      <c r="Y3578" s="8">
        <v>1.3460000000000001</v>
      </c>
      <c r="Z3578" s="8">
        <v>0.56899999999999995</v>
      </c>
      <c r="AA3578" s="8">
        <v>0.17499999999999999</v>
      </c>
      <c r="AB3578" s="8">
        <v>0.03</v>
      </c>
      <c r="AC3578" s="8">
        <v>2E-3</v>
      </c>
    </row>
    <row r="3579" spans="1:29" ht="11.65" x14ac:dyDescent="0.35">
      <c r="A3579" s="12">
        <v>3562</v>
      </c>
      <c r="B3579" s="10" t="s">
        <v>1015</v>
      </c>
      <c r="C3579" s="18" t="s">
        <v>1262</v>
      </c>
      <c r="D3579" s="9"/>
      <c r="E3579" s="9">
        <v>470</v>
      </c>
      <c r="F3579" s="10" t="s">
        <v>1066</v>
      </c>
      <c r="G3579" s="9">
        <v>925</v>
      </c>
      <c r="H3579" s="9">
        <v>1980</v>
      </c>
      <c r="I3579" s="8">
        <v>14.72</v>
      </c>
      <c r="J3579" s="8">
        <v>13.17</v>
      </c>
      <c r="K3579" s="8">
        <v>12.315</v>
      </c>
      <c r="L3579" s="8">
        <v>14.986000000000001</v>
      </c>
      <c r="M3579" s="8">
        <v>12.541</v>
      </c>
      <c r="N3579" s="8">
        <v>12.233000000000001</v>
      </c>
      <c r="O3579" s="8">
        <v>13.723000000000001</v>
      </c>
      <c r="P3579" s="8">
        <v>9.8019999999999996</v>
      </c>
      <c r="Q3579" s="8">
        <v>9.4939999999999998</v>
      </c>
      <c r="R3579" s="8">
        <v>9.5679999999999996</v>
      </c>
      <c r="S3579" s="8">
        <v>8.9760000000000009</v>
      </c>
      <c r="T3579" s="8">
        <v>8.5139999999999993</v>
      </c>
      <c r="U3579" s="8">
        <v>6.6070000000000002</v>
      </c>
      <c r="V3579" s="8">
        <v>4.8650000000000002</v>
      </c>
      <c r="W3579" s="8">
        <v>4.4400000000000004</v>
      </c>
      <c r="X3579" s="8">
        <v>3.0019999999999998</v>
      </c>
      <c r="Y3579" s="8">
        <v>1.3140000000000001</v>
      </c>
      <c r="Z3579" s="8">
        <v>0.58199999999999996</v>
      </c>
      <c r="AA3579" s="8">
        <v>0.18099999999999999</v>
      </c>
      <c r="AB3579" s="8">
        <v>3.2000000000000001E-2</v>
      </c>
      <c r="AC3579" s="8">
        <v>3.0000000000000001E-3</v>
      </c>
    </row>
    <row r="3580" spans="1:29" ht="11.65" x14ac:dyDescent="0.35">
      <c r="A3580" s="12">
        <v>3563</v>
      </c>
      <c r="B3580" s="10" t="s">
        <v>1015</v>
      </c>
      <c r="C3580" s="18" t="s">
        <v>1262</v>
      </c>
      <c r="D3580" s="9"/>
      <c r="E3580" s="9">
        <v>470</v>
      </c>
      <c r="F3580" s="10" t="s">
        <v>1066</v>
      </c>
      <c r="G3580" s="9">
        <v>925</v>
      </c>
      <c r="H3580" s="9">
        <v>1985</v>
      </c>
      <c r="I3580" s="8">
        <v>14.734999999999999</v>
      </c>
      <c r="J3580" s="8">
        <v>14.776999999999999</v>
      </c>
      <c r="K3580" s="8">
        <v>13.789</v>
      </c>
      <c r="L3580" s="8">
        <v>12.323</v>
      </c>
      <c r="M3580" s="8">
        <v>13.986000000000001</v>
      </c>
      <c r="N3580" s="8">
        <v>14.37</v>
      </c>
      <c r="O3580" s="8">
        <v>14.337</v>
      </c>
      <c r="P3580" s="8">
        <v>15.154</v>
      </c>
      <c r="Q3580" s="8">
        <v>10.411</v>
      </c>
      <c r="R3580" s="8">
        <v>9.1430000000000007</v>
      </c>
      <c r="S3580" s="8">
        <v>8.23</v>
      </c>
      <c r="T3580" s="8">
        <v>7.3849999999999998</v>
      </c>
      <c r="U3580" s="8">
        <v>7.0359999999999996</v>
      </c>
      <c r="V3580" s="8">
        <v>5.0119999999999996</v>
      </c>
      <c r="W3580" s="8">
        <v>4.1440000000000001</v>
      </c>
      <c r="X3580" s="8">
        <v>2.9910000000000001</v>
      </c>
      <c r="Y3580" s="8">
        <v>1.4179999999999999</v>
      </c>
      <c r="Z3580" s="8">
        <v>0.55700000000000005</v>
      </c>
      <c r="AA3580" s="8">
        <v>0.17599999999999999</v>
      </c>
      <c r="AB3580" s="8">
        <v>0.03</v>
      </c>
      <c r="AC3580" s="8">
        <v>3.0000000000000001E-3</v>
      </c>
    </row>
    <row r="3581" spans="1:29" ht="11.65" x14ac:dyDescent="0.35">
      <c r="A3581" s="12">
        <v>3564</v>
      </c>
      <c r="B3581" s="10" t="s">
        <v>1015</v>
      </c>
      <c r="C3581" s="18" t="s">
        <v>1262</v>
      </c>
      <c r="D3581" s="9"/>
      <c r="E3581" s="9">
        <v>470</v>
      </c>
      <c r="F3581" s="10" t="s">
        <v>1066</v>
      </c>
      <c r="G3581" s="9">
        <v>925</v>
      </c>
      <c r="H3581" s="9">
        <v>1990</v>
      </c>
      <c r="I3581" s="8">
        <v>14.005000000000001</v>
      </c>
      <c r="J3581" s="8">
        <v>14.733000000000001</v>
      </c>
      <c r="K3581" s="8">
        <v>14.888999999999999</v>
      </c>
      <c r="L3581" s="8">
        <v>13.779</v>
      </c>
      <c r="M3581" s="8">
        <v>12.271000000000001</v>
      </c>
      <c r="N3581" s="8">
        <v>14.07</v>
      </c>
      <c r="O3581" s="8">
        <v>14.513</v>
      </c>
      <c r="P3581" s="8">
        <v>14.472</v>
      </c>
      <c r="Q3581" s="8">
        <v>15.239000000000001</v>
      </c>
      <c r="R3581" s="8">
        <v>10.273</v>
      </c>
      <c r="S3581" s="8">
        <v>8.9079999999999995</v>
      </c>
      <c r="T3581" s="8">
        <v>7.976</v>
      </c>
      <c r="U3581" s="8">
        <v>6.9089999999999998</v>
      </c>
      <c r="V3581" s="8">
        <v>6.3230000000000004</v>
      </c>
      <c r="W3581" s="8">
        <v>4.1609999999999996</v>
      </c>
      <c r="X3581" s="8">
        <v>3.0110000000000001</v>
      </c>
      <c r="Y3581" s="8">
        <v>1.827</v>
      </c>
      <c r="Z3581" s="8">
        <v>0.67900000000000005</v>
      </c>
      <c r="AA3581" s="8">
        <v>0.186</v>
      </c>
      <c r="AB3581" s="8">
        <v>3.4000000000000002E-2</v>
      </c>
      <c r="AC3581" s="8">
        <v>3.0000000000000001E-3</v>
      </c>
    </row>
    <row r="3582" spans="1:29" ht="11.65" x14ac:dyDescent="0.35">
      <c r="A3582" s="12">
        <v>3565</v>
      </c>
      <c r="B3582" s="10" t="s">
        <v>1015</v>
      </c>
      <c r="C3582" s="18" t="s">
        <v>1262</v>
      </c>
      <c r="D3582" s="9"/>
      <c r="E3582" s="9">
        <v>470</v>
      </c>
      <c r="F3582" s="10" t="s">
        <v>1066</v>
      </c>
      <c r="G3582" s="9">
        <v>925</v>
      </c>
      <c r="H3582" s="9">
        <v>1995</v>
      </c>
      <c r="I3582" s="8">
        <v>13.27</v>
      </c>
      <c r="J3582" s="8">
        <v>14.465999999999999</v>
      </c>
      <c r="K3582" s="8">
        <v>14.929</v>
      </c>
      <c r="L3582" s="8">
        <v>15.077999999999999</v>
      </c>
      <c r="M3582" s="8">
        <v>13.44</v>
      </c>
      <c r="N3582" s="8">
        <v>11.715</v>
      </c>
      <c r="O3582" s="8">
        <v>13.744</v>
      </c>
      <c r="P3582" s="8">
        <v>14.981999999999999</v>
      </c>
      <c r="Q3582" s="8">
        <v>14.263</v>
      </c>
      <c r="R3582" s="8">
        <v>15.234999999999999</v>
      </c>
      <c r="S3582" s="8">
        <v>10.217000000000001</v>
      </c>
      <c r="T3582" s="8">
        <v>8.7870000000000008</v>
      </c>
      <c r="U3582" s="8">
        <v>7.5620000000000003</v>
      </c>
      <c r="V3582" s="8">
        <v>6.4550000000000001</v>
      </c>
      <c r="W3582" s="8">
        <v>5.5209999999999999</v>
      </c>
      <c r="X3582" s="8">
        <v>3.3079999999999998</v>
      </c>
      <c r="Y3582" s="8">
        <v>1.94</v>
      </c>
      <c r="Z3582" s="8">
        <v>0.91100000000000003</v>
      </c>
      <c r="AA3582" s="8">
        <v>0.23499999999999999</v>
      </c>
      <c r="AB3582" s="8">
        <v>3.7999999999999999E-2</v>
      </c>
      <c r="AC3582" s="8">
        <v>4.0000000000000001E-3</v>
      </c>
    </row>
    <row r="3583" spans="1:29" ht="11.65" x14ac:dyDescent="0.35">
      <c r="A3583" s="12">
        <v>3566</v>
      </c>
      <c r="B3583" s="10" t="s">
        <v>1015</v>
      </c>
      <c r="C3583" s="18" t="s">
        <v>1262</v>
      </c>
      <c r="D3583" s="9"/>
      <c r="E3583" s="9">
        <v>470</v>
      </c>
      <c r="F3583" s="10" t="s">
        <v>1066</v>
      </c>
      <c r="G3583" s="9">
        <v>925</v>
      </c>
      <c r="H3583" s="9">
        <v>2000</v>
      </c>
      <c r="I3583" s="8">
        <v>12.266999999999999</v>
      </c>
      <c r="J3583" s="8">
        <v>13.417</v>
      </c>
      <c r="K3583" s="8">
        <v>14.574999999999999</v>
      </c>
      <c r="L3583" s="8">
        <v>14.958</v>
      </c>
      <c r="M3583" s="8">
        <v>15.087</v>
      </c>
      <c r="N3583" s="8">
        <v>14.43</v>
      </c>
      <c r="O3583" s="8">
        <v>12.452</v>
      </c>
      <c r="P3583" s="8">
        <v>14.228999999999999</v>
      </c>
      <c r="Q3583" s="8">
        <v>15.244999999999999</v>
      </c>
      <c r="R3583" s="8">
        <v>14.384</v>
      </c>
      <c r="S3583" s="8">
        <v>15.173999999999999</v>
      </c>
      <c r="T3583" s="8">
        <v>10.07</v>
      </c>
      <c r="U3583" s="8">
        <v>8.4550000000000001</v>
      </c>
      <c r="V3583" s="8">
        <v>6.9660000000000002</v>
      </c>
      <c r="W3583" s="8">
        <v>5.5739999999999998</v>
      </c>
      <c r="X3583" s="8">
        <v>4.3550000000000004</v>
      </c>
      <c r="Y3583" s="8">
        <v>2.2450000000000001</v>
      </c>
      <c r="Z3583" s="8">
        <v>1.0009999999999999</v>
      </c>
      <c r="AA3583" s="8">
        <v>0.32200000000000001</v>
      </c>
      <c r="AB3583" s="8">
        <v>5.2999999999999999E-2</v>
      </c>
      <c r="AC3583" s="8">
        <v>5.0000000000000001E-3</v>
      </c>
    </row>
    <row r="3584" spans="1:29" ht="11.65" x14ac:dyDescent="0.35">
      <c r="A3584" s="12">
        <v>3567</v>
      </c>
      <c r="B3584" s="10" t="s">
        <v>1015</v>
      </c>
      <c r="C3584" s="18" t="s">
        <v>1262</v>
      </c>
      <c r="D3584" s="9"/>
      <c r="E3584" s="9">
        <v>470</v>
      </c>
      <c r="F3584" s="10" t="s">
        <v>1066</v>
      </c>
      <c r="G3584" s="9">
        <v>925</v>
      </c>
      <c r="H3584" s="9">
        <v>2005</v>
      </c>
      <c r="I3584" s="8">
        <v>10.202999999999999</v>
      </c>
      <c r="J3584" s="8">
        <v>12.042999999999999</v>
      </c>
      <c r="K3584" s="8">
        <v>13.949</v>
      </c>
      <c r="L3584" s="8">
        <v>14.805999999999999</v>
      </c>
      <c r="M3584" s="8">
        <v>14.929</v>
      </c>
      <c r="N3584" s="8">
        <v>15.292</v>
      </c>
      <c r="O3584" s="8">
        <v>14.048999999999999</v>
      </c>
      <c r="P3584" s="8">
        <v>12.475</v>
      </c>
      <c r="Q3584" s="8">
        <v>14.346</v>
      </c>
      <c r="R3584" s="8">
        <v>15.228</v>
      </c>
      <c r="S3584" s="8">
        <v>14.375</v>
      </c>
      <c r="T3584" s="8">
        <v>15.324</v>
      </c>
      <c r="U3584" s="8">
        <v>10.164</v>
      </c>
      <c r="V3584" s="8">
        <v>8.3339999999999996</v>
      </c>
      <c r="W3584" s="8">
        <v>6.2640000000000002</v>
      </c>
      <c r="X3584" s="8">
        <v>4.4039999999999999</v>
      </c>
      <c r="Y3584" s="8">
        <v>2.879</v>
      </c>
      <c r="Z3584" s="8">
        <v>1.2030000000000001</v>
      </c>
      <c r="AA3584" s="8">
        <v>0.35299999999999998</v>
      </c>
      <c r="AB3584" s="8">
        <v>6.4000000000000001E-2</v>
      </c>
      <c r="AC3584" s="8">
        <v>6.0000000000000001E-3</v>
      </c>
    </row>
    <row r="3585" spans="1:29" ht="11.65" x14ac:dyDescent="0.35">
      <c r="A3585" s="12">
        <v>3568</v>
      </c>
      <c r="B3585" s="10" t="s">
        <v>1015</v>
      </c>
      <c r="C3585" s="18" t="s">
        <v>1262</v>
      </c>
      <c r="D3585" s="9"/>
      <c r="E3585" s="9">
        <v>470</v>
      </c>
      <c r="F3585" s="10" t="s">
        <v>1066</v>
      </c>
      <c r="G3585" s="9">
        <v>925</v>
      </c>
      <c r="H3585" s="9">
        <v>2010</v>
      </c>
      <c r="I3585" s="8">
        <v>10.026999999999999</v>
      </c>
      <c r="J3585" s="8">
        <v>10.013999999999999</v>
      </c>
      <c r="K3585" s="8">
        <v>11.739000000000001</v>
      </c>
      <c r="L3585" s="8">
        <v>13.872999999999999</v>
      </c>
      <c r="M3585" s="8">
        <v>15.006</v>
      </c>
      <c r="N3585" s="8">
        <v>15.56</v>
      </c>
      <c r="O3585" s="8">
        <v>15.355</v>
      </c>
      <c r="P3585" s="8">
        <v>14.218999999999999</v>
      </c>
      <c r="Q3585" s="8">
        <v>12.71</v>
      </c>
      <c r="R3585" s="8">
        <v>14.061</v>
      </c>
      <c r="S3585" s="8">
        <v>15.441000000000001</v>
      </c>
      <c r="T3585" s="8">
        <v>14.634</v>
      </c>
      <c r="U3585" s="8">
        <v>14.955</v>
      </c>
      <c r="V3585" s="8">
        <v>10.366</v>
      </c>
      <c r="W3585" s="8">
        <v>6.8739999999999997</v>
      </c>
      <c r="X3585" s="8">
        <v>5.6079999999999997</v>
      </c>
      <c r="Y3585" s="8">
        <v>3.0449999999999999</v>
      </c>
      <c r="Z3585" s="8">
        <v>1.5840000000000001</v>
      </c>
      <c r="AA3585" s="8">
        <v>0.45</v>
      </c>
      <c r="AB3585" s="8">
        <v>7.9000000000000001E-2</v>
      </c>
      <c r="AC3585" s="8">
        <v>8.0000000000000002E-3</v>
      </c>
    </row>
    <row r="3586" spans="1:29" ht="11.65" x14ac:dyDescent="0.35">
      <c r="A3586" s="12">
        <v>3569</v>
      </c>
      <c r="B3586" s="10" t="s">
        <v>1015</v>
      </c>
      <c r="C3586" s="18" t="s">
        <v>1262</v>
      </c>
      <c r="D3586" s="9"/>
      <c r="E3586" s="9">
        <v>470</v>
      </c>
      <c r="F3586" s="10" t="s">
        <v>1066</v>
      </c>
      <c r="G3586" s="9">
        <v>925</v>
      </c>
      <c r="H3586" s="9">
        <v>2015</v>
      </c>
      <c r="I3586" s="8">
        <v>11.065</v>
      </c>
      <c r="J3586" s="8">
        <v>10.5</v>
      </c>
      <c r="K3586" s="8">
        <v>10.282</v>
      </c>
      <c r="L3586" s="8">
        <v>12.510999999999999</v>
      </c>
      <c r="M3586" s="8">
        <v>15.372</v>
      </c>
      <c r="N3586" s="8">
        <v>16.859000000000002</v>
      </c>
      <c r="O3586" s="8">
        <v>16.709</v>
      </c>
      <c r="P3586" s="8">
        <v>15.987</v>
      </c>
      <c r="Q3586" s="8">
        <v>14.53</v>
      </c>
      <c r="R3586" s="8">
        <v>12.805</v>
      </c>
      <c r="S3586" s="8">
        <v>14.407</v>
      </c>
      <c r="T3586" s="8">
        <v>15.358000000000001</v>
      </c>
      <c r="U3586" s="8">
        <v>14.236000000000001</v>
      </c>
      <c r="V3586" s="8">
        <v>14.51</v>
      </c>
      <c r="W3586" s="8">
        <v>9.1180000000000003</v>
      </c>
      <c r="X3586" s="8">
        <v>6.4039999999999999</v>
      </c>
      <c r="Y3586" s="8">
        <v>3.774</v>
      </c>
      <c r="Z3586" s="8">
        <v>1.7949999999999999</v>
      </c>
      <c r="AA3586" s="8">
        <v>0.63</v>
      </c>
      <c r="AB3586" s="8">
        <v>0.108</v>
      </c>
      <c r="AC3586" s="8">
        <v>1.0999999999999999E-2</v>
      </c>
    </row>
    <row r="3587" spans="1:29" ht="11.65" x14ac:dyDescent="0.35">
      <c r="A3587" s="12">
        <v>3570</v>
      </c>
      <c r="B3587" s="10" t="s">
        <v>1015</v>
      </c>
      <c r="C3587" s="18" t="s">
        <v>1262</v>
      </c>
      <c r="D3587" s="9"/>
      <c r="E3587" s="9">
        <v>470</v>
      </c>
      <c r="F3587" s="10" t="s">
        <v>1066</v>
      </c>
      <c r="G3587" s="9">
        <v>925</v>
      </c>
      <c r="H3587" s="9">
        <v>2020</v>
      </c>
      <c r="I3587" s="8">
        <v>11.144</v>
      </c>
      <c r="J3587" s="8">
        <v>11.118</v>
      </c>
      <c r="K3587" s="8">
        <v>10.539</v>
      </c>
      <c r="L3587" s="8">
        <v>10.509</v>
      </c>
      <c r="M3587" s="8">
        <v>12.914</v>
      </c>
      <c r="N3587" s="8">
        <v>15.744</v>
      </c>
      <c r="O3587" s="8">
        <v>17.114000000000001</v>
      </c>
      <c r="P3587" s="8">
        <v>16.844999999999999</v>
      </c>
      <c r="Q3587" s="8">
        <v>16.042999999999999</v>
      </c>
      <c r="R3587" s="8">
        <v>14.529</v>
      </c>
      <c r="S3587" s="8">
        <v>12.736000000000001</v>
      </c>
      <c r="T3587" s="8">
        <v>14.17</v>
      </c>
      <c r="U3587" s="8">
        <v>14.948</v>
      </c>
      <c r="V3587" s="8">
        <v>13.637</v>
      </c>
      <c r="W3587" s="8">
        <v>13.456</v>
      </c>
      <c r="X3587" s="8">
        <v>7.8659999999999997</v>
      </c>
      <c r="Y3587" s="8">
        <v>4.9000000000000004</v>
      </c>
      <c r="Z3587" s="8">
        <v>2.3010000000000002</v>
      </c>
      <c r="AA3587" s="8">
        <v>0.73599999999999999</v>
      </c>
      <c r="AB3587" s="8">
        <v>0.156</v>
      </c>
      <c r="AC3587" s="8">
        <v>1.4999999999999999E-2</v>
      </c>
    </row>
    <row r="3588" spans="1:29" ht="11.65" x14ac:dyDescent="0.35">
      <c r="A3588" s="12">
        <v>3571</v>
      </c>
      <c r="B3588" s="10" t="s">
        <v>1015</v>
      </c>
      <c r="C3588" s="18" t="s">
        <v>1263</v>
      </c>
      <c r="D3588" s="9"/>
      <c r="E3588" s="9">
        <v>499</v>
      </c>
      <c r="F3588" s="10" t="s">
        <v>1066</v>
      </c>
      <c r="G3588" s="9">
        <v>925</v>
      </c>
      <c r="H3588" s="9">
        <v>1950</v>
      </c>
      <c r="I3588" s="8">
        <v>24.731999999999999</v>
      </c>
      <c r="J3588" s="8">
        <v>23.774999999999999</v>
      </c>
      <c r="K3588" s="8">
        <v>24.562999999999999</v>
      </c>
      <c r="L3588" s="8">
        <v>21.218</v>
      </c>
      <c r="M3588" s="8">
        <v>17.006</v>
      </c>
      <c r="N3588" s="8">
        <v>11.55</v>
      </c>
      <c r="O3588" s="8">
        <v>7.798</v>
      </c>
      <c r="P3588" s="8">
        <v>8.5109999999999992</v>
      </c>
      <c r="Q3588" s="8">
        <v>9.4090000000000007</v>
      </c>
      <c r="R3588" s="8">
        <v>8.4269999999999996</v>
      </c>
      <c r="S3588" s="8">
        <v>6.8460000000000001</v>
      </c>
      <c r="T3588" s="8">
        <v>6.0789999999999997</v>
      </c>
      <c r="U3588" s="8">
        <v>5.452</v>
      </c>
      <c r="V3588" s="8">
        <v>4.6669999999999998</v>
      </c>
      <c r="W3588" s="8">
        <v>3.55</v>
      </c>
      <c r="X3588" s="8">
        <v>2.5289999999999999</v>
      </c>
      <c r="Y3588" s="8">
        <v>1.1779999999999999</v>
      </c>
      <c r="Z3588" s="8">
        <v>0.43099999999999999</v>
      </c>
      <c r="AA3588" s="8">
        <v>9.8000000000000004E-2</v>
      </c>
      <c r="AB3588" s="8">
        <v>1.2E-2</v>
      </c>
      <c r="AC3588" s="8">
        <v>1E-3</v>
      </c>
    </row>
    <row r="3589" spans="1:29" ht="11.65" x14ac:dyDescent="0.35">
      <c r="A3589" s="12">
        <v>3572</v>
      </c>
      <c r="B3589" s="10" t="s">
        <v>1015</v>
      </c>
      <c r="C3589" s="18" t="s">
        <v>1263</v>
      </c>
      <c r="D3589" s="9"/>
      <c r="E3589" s="9">
        <v>499</v>
      </c>
      <c r="F3589" s="10" t="s">
        <v>1066</v>
      </c>
      <c r="G3589" s="9">
        <v>925</v>
      </c>
      <c r="H3589" s="9">
        <v>1955</v>
      </c>
      <c r="I3589" s="8">
        <v>30.484999999999999</v>
      </c>
      <c r="J3589" s="8">
        <v>24.492000000000001</v>
      </c>
      <c r="K3589" s="8">
        <v>23.815000000000001</v>
      </c>
      <c r="L3589" s="8">
        <v>24.763999999999999</v>
      </c>
      <c r="M3589" s="8">
        <v>21.771000000000001</v>
      </c>
      <c r="N3589" s="8">
        <v>17.745999999999999</v>
      </c>
      <c r="O3589" s="8">
        <v>12.201000000000001</v>
      </c>
      <c r="P3589" s="8">
        <v>8.2490000000000006</v>
      </c>
      <c r="Q3589" s="8">
        <v>8.7230000000000008</v>
      </c>
      <c r="R3589" s="8">
        <v>9.3919999999999995</v>
      </c>
      <c r="S3589" s="8">
        <v>8.202</v>
      </c>
      <c r="T3589" s="8">
        <v>6.4050000000000002</v>
      </c>
      <c r="U3589" s="8">
        <v>5.4029999999999996</v>
      </c>
      <c r="V3589" s="8">
        <v>4.5629999999999997</v>
      </c>
      <c r="W3589" s="8">
        <v>3.5859999999999999</v>
      </c>
      <c r="X3589" s="8">
        <v>2.3290000000000002</v>
      </c>
      <c r="Y3589" s="8">
        <v>1.272</v>
      </c>
      <c r="Z3589" s="8">
        <v>0.41299999999999998</v>
      </c>
      <c r="AA3589" s="8">
        <v>9.1999999999999998E-2</v>
      </c>
      <c r="AB3589" s="8">
        <v>1.2E-2</v>
      </c>
      <c r="AC3589" s="8">
        <v>1E-3</v>
      </c>
    </row>
    <row r="3590" spans="1:29" ht="11.65" x14ac:dyDescent="0.35">
      <c r="A3590" s="12">
        <v>3573</v>
      </c>
      <c r="B3590" s="10" t="s">
        <v>1015</v>
      </c>
      <c r="C3590" s="18" t="s">
        <v>1263</v>
      </c>
      <c r="D3590" s="9"/>
      <c r="E3590" s="9">
        <v>499</v>
      </c>
      <c r="F3590" s="10" t="s">
        <v>1066</v>
      </c>
      <c r="G3590" s="9">
        <v>925</v>
      </c>
      <c r="H3590" s="9">
        <v>1960</v>
      </c>
      <c r="I3590" s="8">
        <v>33.143999999999998</v>
      </c>
      <c r="J3590" s="8">
        <v>29.975999999999999</v>
      </c>
      <c r="K3590" s="8">
        <v>24.4</v>
      </c>
      <c r="L3590" s="8">
        <v>23.657</v>
      </c>
      <c r="M3590" s="8">
        <v>24.431999999999999</v>
      </c>
      <c r="N3590" s="8">
        <v>21.378</v>
      </c>
      <c r="O3590" s="8">
        <v>17.39</v>
      </c>
      <c r="P3590" s="8">
        <v>11.912000000000001</v>
      </c>
      <c r="Q3590" s="8">
        <v>8.01</v>
      </c>
      <c r="R3590" s="8">
        <v>8.4359999999999999</v>
      </c>
      <c r="S3590" s="8">
        <v>8.9570000000000007</v>
      </c>
      <c r="T3590" s="8">
        <v>7.5819999999999999</v>
      </c>
      <c r="U3590" s="8">
        <v>5.6740000000000004</v>
      </c>
      <c r="V3590" s="8">
        <v>4.5529999999999999</v>
      </c>
      <c r="W3590" s="8">
        <v>3.57</v>
      </c>
      <c r="X3590" s="8">
        <v>2.4260000000000002</v>
      </c>
      <c r="Y3590" s="8">
        <v>1.2250000000000001</v>
      </c>
      <c r="Z3590" s="8">
        <v>0.47599999999999998</v>
      </c>
      <c r="AA3590" s="8">
        <v>9.5000000000000001E-2</v>
      </c>
      <c r="AB3590" s="8">
        <v>1.0999999999999999E-2</v>
      </c>
      <c r="AC3590" s="8">
        <v>1E-3</v>
      </c>
    </row>
    <row r="3591" spans="1:29" ht="11.65" x14ac:dyDescent="0.35">
      <c r="A3591" s="12">
        <v>3574</v>
      </c>
      <c r="B3591" s="10" t="s">
        <v>1015</v>
      </c>
      <c r="C3591" s="18" t="s">
        <v>1263</v>
      </c>
      <c r="D3591" s="9"/>
      <c r="E3591" s="9">
        <v>499</v>
      </c>
      <c r="F3591" s="10" t="s">
        <v>1066</v>
      </c>
      <c r="G3591" s="9">
        <v>925</v>
      </c>
      <c r="H3591" s="9">
        <v>1965</v>
      </c>
      <c r="I3591" s="8">
        <v>34.259</v>
      </c>
      <c r="J3591" s="8">
        <v>32.783999999999999</v>
      </c>
      <c r="K3591" s="8">
        <v>29.881</v>
      </c>
      <c r="L3591" s="8">
        <v>24.254000000000001</v>
      </c>
      <c r="M3591" s="8">
        <v>23.353999999999999</v>
      </c>
      <c r="N3591" s="8">
        <v>24.035</v>
      </c>
      <c r="O3591" s="8">
        <v>21.004999999999999</v>
      </c>
      <c r="P3591" s="8">
        <v>17.05</v>
      </c>
      <c r="Q3591" s="8">
        <v>11.621</v>
      </c>
      <c r="R3591" s="8">
        <v>7.7619999999999996</v>
      </c>
      <c r="S3591" s="8">
        <v>8.0739999999999998</v>
      </c>
      <c r="T3591" s="8">
        <v>8.3390000000000004</v>
      </c>
      <c r="U3591" s="8">
        <v>6.7960000000000003</v>
      </c>
      <c r="V3591" s="8">
        <v>4.8620000000000001</v>
      </c>
      <c r="W3591" s="8">
        <v>3.6509999999999998</v>
      </c>
      <c r="X3591" s="8">
        <v>2.484</v>
      </c>
      <c r="Y3591" s="8">
        <v>1.3180000000000001</v>
      </c>
      <c r="Z3591" s="8">
        <v>0.49</v>
      </c>
      <c r="AA3591" s="8">
        <v>0.124</v>
      </c>
      <c r="AB3591" s="8">
        <v>1.4999999999999999E-2</v>
      </c>
      <c r="AC3591" s="8">
        <v>1E-3</v>
      </c>
    </row>
    <row r="3592" spans="1:29" ht="11.65" x14ac:dyDescent="0.35">
      <c r="A3592" s="12">
        <v>3575</v>
      </c>
      <c r="B3592" s="10" t="s">
        <v>1015</v>
      </c>
      <c r="C3592" s="18" t="s">
        <v>1263</v>
      </c>
      <c r="D3592" s="9"/>
      <c r="E3592" s="9">
        <v>499</v>
      </c>
      <c r="F3592" s="10" t="s">
        <v>1066</v>
      </c>
      <c r="G3592" s="9">
        <v>925</v>
      </c>
      <c r="H3592" s="9">
        <v>1970</v>
      </c>
      <c r="I3592" s="8">
        <v>28.239000000000001</v>
      </c>
      <c r="J3592" s="8">
        <v>30.832999999999998</v>
      </c>
      <c r="K3592" s="8">
        <v>29.786000000000001</v>
      </c>
      <c r="L3592" s="8">
        <v>27.960999999999999</v>
      </c>
      <c r="M3592" s="8">
        <v>21.25</v>
      </c>
      <c r="N3592" s="8">
        <v>17.8</v>
      </c>
      <c r="O3592" s="8">
        <v>18.542999999999999</v>
      </c>
      <c r="P3592" s="8">
        <v>17.376999999999999</v>
      </c>
      <c r="Q3592" s="8">
        <v>14.782999999999999</v>
      </c>
      <c r="R3592" s="8">
        <v>9.9009999999999998</v>
      </c>
      <c r="S3592" s="8">
        <v>6.3490000000000002</v>
      </c>
      <c r="T3592" s="8">
        <v>7.399</v>
      </c>
      <c r="U3592" s="8">
        <v>8.23</v>
      </c>
      <c r="V3592" s="8">
        <v>6.5670000000000002</v>
      </c>
      <c r="W3592" s="8">
        <v>4.1360000000000001</v>
      </c>
      <c r="X3592" s="8">
        <v>2.56</v>
      </c>
      <c r="Y3592" s="8">
        <v>1.3660000000000001</v>
      </c>
      <c r="Z3592" s="8">
        <v>0.53300000000000003</v>
      </c>
      <c r="AA3592" s="8">
        <v>0.128</v>
      </c>
      <c r="AB3592" s="8">
        <v>1.9E-2</v>
      </c>
      <c r="AC3592" s="8">
        <v>1E-3</v>
      </c>
    </row>
    <row r="3593" spans="1:29" ht="11.65" x14ac:dyDescent="0.35">
      <c r="A3593" s="12">
        <v>3576</v>
      </c>
      <c r="B3593" s="10" t="s">
        <v>1015</v>
      </c>
      <c r="C3593" s="18" t="s">
        <v>1263</v>
      </c>
      <c r="D3593" s="9"/>
      <c r="E3593" s="9">
        <v>499</v>
      </c>
      <c r="F3593" s="10" t="s">
        <v>1066</v>
      </c>
      <c r="G3593" s="9">
        <v>925</v>
      </c>
      <c r="H3593" s="9">
        <v>1975</v>
      </c>
      <c r="I3593" s="8">
        <v>27.742999999999999</v>
      </c>
      <c r="J3593" s="8">
        <v>28.082000000000001</v>
      </c>
      <c r="K3593" s="8">
        <v>30.751000000000001</v>
      </c>
      <c r="L3593" s="8">
        <v>29.64</v>
      </c>
      <c r="M3593" s="8">
        <v>27.661000000000001</v>
      </c>
      <c r="N3593" s="8">
        <v>20.908000000000001</v>
      </c>
      <c r="O3593" s="8">
        <v>17.486000000000001</v>
      </c>
      <c r="P3593" s="8">
        <v>18.213000000000001</v>
      </c>
      <c r="Q3593" s="8">
        <v>17.016999999999999</v>
      </c>
      <c r="R3593" s="8">
        <v>14.396000000000001</v>
      </c>
      <c r="S3593" s="8">
        <v>9.5069999999999997</v>
      </c>
      <c r="T3593" s="8">
        <v>5.9279999999999999</v>
      </c>
      <c r="U3593" s="8">
        <v>6.6669999999999998</v>
      </c>
      <c r="V3593" s="8">
        <v>7.1079999999999997</v>
      </c>
      <c r="W3593" s="8">
        <v>5.3179999999999996</v>
      </c>
      <c r="X3593" s="8">
        <v>2.9140000000000001</v>
      </c>
      <c r="Y3593" s="8">
        <v>1.4179999999999999</v>
      </c>
      <c r="Z3593" s="8">
        <v>0.56699999999999995</v>
      </c>
      <c r="AA3593" s="8">
        <v>0.14699999999999999</v>
      </c>
      <c r="AB3593" s="8">
        <v>1.9E-2</v>
      </c>
      <c r="AC3593" s="8">
        <v>2E-3</v>
      </c>
    </row>
    <row r="3594" spans="1:29" ht="11.65" x14ac:dyDescent="0.35">
      <c r="A3594" s="12">
        <v>3577</v>
      </c>
      <c r="B3594" s="10" t="s">
        <v>1015</v>
      </c>
      <c r="C3594" s="18" t="s">
        <v>1263</v>
      </c>
      <c r="D3594" s="9"/>
      <c r="E3594" s="9">
        <v>499</v>
      </c>
      <c r="F3594" s="10" t="s">
        <v>1066</v>
      </c>
      <c r="G3594" s="9">
        <v>925</v>
      </c>
      <c r="H3594" s="9">
        <v>1980</v>
      </c>
      <c r="I3594" s="8">
        <v>26.742000000000001</v>
      </c>
      <c r="J3594" s="8">
        <v>27.603000000000002</v>
      </c>
      <c r="K3594" s="8">
        <v>28.009</v>
      </c>
      <c r="L3594" s="8">
        <v>30.606000000000002</v>
      </c>
      <c r="M3594" s="8">
        <v>28.835999999999999</v>
      </c>
      <c r="N3594" s="8">
        <v>26.431999999999999</v>
      </c>
      <c r="O3594" s="8">
        <v>19.727</v>
      </c>
      <c r="P3594" s="8">
        <v>16.681999999999999</v>
      </c>
      <c r="Q3594" s="8">
        <v>17.846</v>
      </c>
      <c r="R3594" s="8">
        <v>16.591000000000001</v>
      </c>
      <c r="S3594" s="8">
        <v>13.856</v>
      </c>
      <c r="T3594" s="8">
        <v>8.9060000000000006</v>
      </c>
      <c r="U3594" s="8">
        <v>5.3570000000000002</v>
      </c>
      <c r="V3594" s="8">
        <v>5.7830000000000004</v>
      </c>
      <c r="W3594" s="8">
        <v>5.7960000000000003</v>
      </c>
      <c r="X3594" s="8">
        <v>3.7839999999999998</v>
      </c>
      <c r="Y3594" s="8">
        <v>1.643</v>
      </c>
      <c r="Z3594" s="8">
        <v>0.60099999999999998</v>
      </c>
      <c r="AA3594" s="8">
        <v>0.158</v>
      </c>
      <c r="AB3594" s="8">
        <v>2.4E-2</v>
      </c>
      <c r="AC3594" s="8">
        <v>2E-3</v>
      </c>
    </row>
    <row r="3595" spans="1:29" ht="11.65" x14ac:dyDescent="0.35">
      <c r="A3595" s="12">
        <v>3578</v>
      </c>
      <c r="B3595" s="10" t="s">
        <v>1015</v>
      </c>
      <c r="C3595" s="18" t="s">
        <v>1263</v>
      </c>
      <c r="D3595" s="9"/>
      <c r="E3595" s="9">
        <v>499</v>
      </c>
      <c r="F3595" s="10" t="s">
        <v>1066</v>
      </c>
      <c r="G3595" s="9">
        <v>925</v>
      </c>
      <c r="H3595" s="9">
        <v>1985</v>
      </c>
      <c r="I3595" s="8">
        <v>28.015000000000001</v>
      </c>
      <c r="J3595" s="8">
        <v>26.616</v>
      </c>
      <c r="K3595" s="8">
        <v>27.536999999999999</v>
      </c>
      <c r="L3595" s="8">
        <v>27.882999999999999</v>
      </c>
      <c r="M3595" s="8">
        <v>30.318999999999999</v>
      </c>
      <c r="N3595" s="8">
        <v>28.471</v>
      </c>
      <c r="O3595" s="8">
        <v>26.082000000000001</v>
      </c>
      <c r="P3595" s="8">
        <v>19.419</v>
      </c>
      <c r="Q3595" s="8">
        <v>16.373000000000001</v>
      </c>
      <c r="R3595" s="8">
        <v>17.454000000000001</v>
      </c>
      <c r="S3595" s="8">
        <v>16.047999999999998</v>
      </c>
      <c r="T3595" s="8">
        <v>13.098000000000001</v>
      </c>
      <c r="U3595" s="8">
        <v>8.1620000000000008</v>
      </c>
      <c r="V3595" s="8">
        <v>4.734</v>
      </c>
      <c r="W3595" s="8">
        <v>4.8520000000000003</v>
      </c>
      <c r="X3595" s="8">
        <v>4.3170000000000002</v>
      </c>
      <c r="Y3595" s="8">
        <v>2.2709999999999999</v>
      </c>
      <c r="Z3595" s="8">
        <v>0.753</v>
      </c>
      <c r="AA3595" s="8">
        <v>0.186</v>
      </c>
      <c r="AB3595" s="8">
        <v>2.9000000000000001E-2</v>
      </c>
      <c r="AC3595" s="8">
        <v>2E-3</v>
      </c>
    </row>
    <row r="3596" spans="1:29" ht="11.65" x14ac:dyDescent="0.35">
      <c r="A3596" s="12">
        <v>3579</v>
      </c>
      <c r="B3596" s="10" t="s">
        <v>1015</v>
      </c>
      <c r="C3596" s="18" t="s">
        <v>1263</v>
      </c>
      <c r="D3596" s="9"/>
      <c r="E3596" s="9">
        <v>499</v>
      </c>
      <c r="F3596" s="10" t="s">
        <v>1066</v>
      </c>
      <c r="G3596" s="9">
        <v>925</v>
      </c>
      <c r="H3596" s="9">
        <v>1990</v>
      </c>
      <c r="I3596" s="8">
        <v>26.763000000000002</v>
      </c>
      <c r="J3596" s="8">
        <v>27.896000000000001</v>
      </c>
      <c r="K3596" s="8">
        <v>26.553000000000001</v>
      </c>
      <c r="L3596" s="8">
        <v>27.015000000000001</v>
      </c>
      <c r="M3596" s="8">
        <v>25.667000000000002</v>
      </c>
      <c r="N3596" s="8">
        <v>26.495999999999999</v>
      </c>
      <c r="O3596" s="8">
        <v>24.74</v>
      </c>
      <c r="P3596" s="8">
        <v>23.773</v>
      </c>
      <c r="Q3596" s="8">
        <v>17.68</v>
      </c>
      <c r="R3596" s="8">
        <v>14.349</v>
      </c>
      <c r="S3596" s="8">
        <v>16.652999999999999</v>
      </c>
      <c r="T3596" s="8">
        <v>15.798999999999999</v>
      </c>
      <c r="U3596" s="8">
        <v>12.833</v>
      </c>
      <c r="V3596" s="8">
        <v>8.1839999999999993</v>
      </c>
      <c r="W3596" s="8">
        <v>4.274</v>
      </c>
      <c r="X3596" s="8">
        <v>3.6269999999999998</v>
      </c>
      <c r="Y3596" s="8">
        <v>2.6070000000000002</v>
      </c>
      <c r="Z3596" s="8">
        <v>1.0489999999999999</v>
      </c>
      <c r="AA3596" s="8">
        <v>0.23200000000000001</v>
      </c>
      <c r="AB3596" s="8">
        <v>3.4000000000000002E-2</v>
      </c>
      <c r="AC3596" s="8">
        <v>3.0000000000000001E-3</v>
      </c>
    </row>
    <row r="3597" spans="1:29" ht="11.65" x14ac:dyDescent="0.35">
      <c r="A3597" s="12">
        <v>3580</v>
      </c>
      <c r="B3597" s="10" t="s">
        <v>1015</v>
      </c>
      <c r="C3597" s="18" t="s">
        <v>1263</v>
      </c>
      <c r="D3597" s="9"/>
      <c r="E3597" s="9">
        <v>499</v>
      </c>
      <c r="F3597" s="10" t="s">
        <v>1066</v>
      </c>
      <c r="G3597" s="9">
        <v>925</v>
      </c>
      <c r="H3597" s="9">
        <v>1995</v>
      </c>
      <c r="I3597" s="8">
        <v>24.163</v>
      </c>
      <c r="J3597" s="8">
        <v>25.125</v>
      </c>
      <c r="K3597" s="8">
        <v>26.18</v>
      </c>
      <c r="L3597" s="8">
        <v>24.763000000000002</v>
      </c>
      <c r="M3597" s="8">
        <v>25.074000000000002</v>
      </c>
      <c r="N3597" s="8">
        <v>23.577999999999999</v>
      </c>
      <c r="O3597" s="8">
        <v>24.99</v>
      </c>
      <c r="P3597" s="8">
        <v>24</v>
      </c>
      <c r="Q3597" s="8">
        <v>23.606999999999999</v>
      </c>
      <c r="R3597" s="8">
        <v>17.405999999999999</v>
      </c>
      <c r="S3597" s="8">
        <v>13.656000000000001</v>
      </c>
      <c r="T3597" s="8">
        <v>15.843999999999999</v>
      </c>
      <c r="U3597" s="8">
        <v>14.618</v>
      </c>
      <c r="V3597" s="8">
        <v>11.391999999999999</v>
      </c>
      <c r="W3597" s="8">
        <v>6.8959999999999999</v>
      </c>
      <c r="X3597" s="8">
        <v>3.2</v>
      </c>
      <c r="Y3597" s="8">
        <v>2.1949999999999998</v>
      </c>
      <c r="Z3597" s="8">
        <v>1.206</v>
      </c>
      <c r="AA3597" s="8">
        <v>0.32300000000000001</v>
      </c>
      <c r="AB3597" s="8">
        <v>4.2999999999999997E-2</v>
      </c>
      <c r="AC3597" s="8">
        <v>3.0000000000000001E-3</v>
      </c>
    </row>
    <row r="3598" spans="1:29" ht="11.65" x14ac:dyDescent="0.35">
      <c r="A3598" s="12">
        <v>3581</v>
      </c>
      <c r="B3598" s="10" t="s">
        <v>1015</v>
      </c>
      <c r="C3598" s="18" t="s">
        <v>1263</v>
      </c>
      <c r="D3598" s="9"/>
      <c r="E3598" s="9">
        <v>499</v>
      </c>
      <c r="F3598" s="10" t="s">
        <v>1066</v>
      </c>
      <c r="G3598" s="9">
        <v>925</v>
      </c>
      <c r="H3598" s="9">
        <v>2000</v>
      </c>
      <c r="I3598" s="8">
        <v>21.719000000000001</v>
      </c>
      <c r="J3598" s="8">
        <v>22.733000000000001</v>
      </c>
      <c r="K3598" s="8">
        <v>24.030999999999999</v>
      </c>
      <c r="L3598" s="8">
        <v>25.390999999999998</v>
      </c>
      <c r="M3598" s="8">
        <v>22.757999999999999</v>
      </c>
      <c r="N3598" s="8">
        <v>21.902999999999999</v>
      </c>
      <c r="O3598" s="8">
        <v>20.760999999999999</v>
      </c>
      <c r="P3598" s="8">
        <v>23.047000000000001</v>
      </c>
      <c r="Q3598" s="8">
        <v>22.952000000000002</v>
      </c>
      <c r="R3598" s="8">
        <v>23.501999999999999</v>
      </c>
      <c r="S3598" s="8">
        <v>17.055</v>
      </c>
      <c r="T3598" s="8">
        <v>12.582000000000001</v>
      </c>
      <c r="U3598" s="8">
        <v>14.679</v>
      </c>
      <c r="V3598" s="8">
        <v>12.795</v>
      </c>
      <c r="W3598" s="8">
        <v>9.2720000000000002</v>
      </c>
      <c r="X3598" s="8">
        <v>5.0970000000000004</v>
      </c>
      <c r="Y3598" s="8">
        <v>1.8220000000000001</v>
      </c>
      <c r="Z3598" s="8">
        <v>0.91600000000000004</v>
      </c>
      <c r="AA3598" s="8">
        <v>0.34200000000000003</v>
      </c>
      <c r="AB3598" s="8">
        <v>5.6000000000000001E-2</v>
      </c>
      <c r="AC3598" s="8">
        <v>4.0000000000000001E-3</v>
      </c>
    </row>
    <row r="3599" spans="1:29" ht="11.65" x14ac:dyDescent="0.35">
      <c r="A3599" s="12">
        <v>3582</v>
      </c>
      <c r="B3599" s="10" t="s">
        <v>1015</v>
      </c>
      <c r="C3599" s="18" t="s">
        <v>1263</v>
      </c>
      <c r="D3599" s="9"/>
      <c r="E3599" s="9">
        <v>499</v>
      </c>
      <c r="F3599" s="10" t="s">
        <v>1066</v>
      </c>
      <c r="G3599" s="9">
        <v>925</v>
      </c>
      <c r="H3599" s="9">
        <v>2005</v>
      </c>
      <c r="I3599" s="8">
        <v>21.041</v>
      </c>
      <c r="J3599" s="8">
        <v>21.256</v>
      </c>
      <c r="K3599" s="8">
        <v>22.510999999999999</v>
      </c>
      <c r="L3599" s="8">
        <v>23.826000000000001</v>
      </c>
      <c r="M3599" s="8">
        <v>25.510999999999999</v>
      </c>
      <c r="N3599" s="8">
        <v>22.521000000000001</v>
      </c>
      <c r="O3599" s="8">
        <v>20.579000000000001</v>
      </c>
      <c r="P3599" s="8">
        <v>18.901</v>
      </c>
      <c r="Q3599" s="8">
        <v>21.265000000000001</v>
      </c>
      <c r="R3599" s="8">
        <v>21.635000000000002</v>
      </c>
      <c r="S3599" s="8">
        <v>22.914999999999999</v>
      </c>
      <c r="T3599" s="8">
        <v>15.987</v>
      </c>
      <c r="U3599" s="8">
        <v>10.99</v>
      </c>
      <c r="V3599" s="8">
        <v>13.048999999999999</v>
      </c>
      <c r="W3599" s="8">
        <v>10.568</v>
      </c>
      <c r="X3599" s="8">
        <v>6.6669999999999998</v>
      </c>
      <c r="Y3599" s="8">
        <v>3.0449999999999999</v>
      </c>
      <c r="Z3599" s="8">
        <v>0.82</v>
      </c>
      <c r="AA3599" s="8">
        <v>0.26100000000000001</v>
      </c>
      <c r="AB3599" s="8">
        <v>5.7000000000000002E-2</v>
      </c>
      <c r="AC3599" s="8">
        <v>5.0000000000000001E-3</v>
      </c>
    </row>
    <row r="3600" spans="1:29" ht="11.65" x14ac:dyDescent="0.35">
      <c r="A3600" s="12">
        <v>3583</v>
      </c>
      <c r="B3600" s="10" t="s">
        <v>1015</v>
      </c>
      <c r="C3600" s="18" t="s">
        <v>1263</v>
      </c>
      <c r="D3600" s="9"/>
      <c r="E3600" s="9">
        <v>499</v>
      </c>
      <c r="F3600" s="10" t="s">
        <v>1066</v>
      </c>
      <c r="G3600" s="9">
        <v>925</v>
      </c>
      <c r="H3600" s="9">
        <v>2010</v>
      </c>
      <c r="I3600" s="8">
        <v>20.808</v>
      </c>
      <c r="J3600" s="8">
        <v>20.672000000000001</v>
      </c>
      <c r="K3600" s="8">
        <v>21.375</v>
      </c>
      <c r="L3600" s="8">
        <v>23.337</v>
      </c>
      <c r="M3600" s="8">
        <v>23.317</v>
      </c>
      <c r="N3600" s="8">
        <v>23.577999999999999</v>
      </c>
      <c r="O3600" s="8">
        <v>21.472000000000001</v>
      </c>
      <c r="P3600" s="8">
        <v>20.352</v>
      </c>
      <c r="Q3600" s="8">
        <v>19.593</v>
      </c>
      <c r="R3600" s="8">
        <v>22.417999999999999</v>
      </c>
      <c r="S3600" s="8">
        <v>21.751000000000001</v>
      </c>
      <c r="T3600" s="8">
        <v>21.353000000000002</v>
      </c>
      <c r="U3600" s="8">
        <v>14.32</v>
      </c>
      <c r="V3600" s="8">
        <v>9.7560000000000002</v>
      </c>
      <c r="W3600" s="8">
        <v>10.827</v>
      </c>
      <c r="X3600" s="8">
        <v>7.7510000000000003</v>
      </c>
      <c r="Y3600" s="8">
        <v>3.9580000000000002</v>
      </c>
      <c r="Z3600" s="8">
        <v>1.353</v>
      </c>
      <c r="AA3600" s="8">
        <v>0.23899999999999999</v>
      </c>
      <c r="AB3600" s="8">
        <v>4.3999999999999997E-2</v>
      </c>
      <c r="AC3600" s="8">
        <v>5.0000000000000001E-3</v>
      </c>
    </row>
    <row r="3601" spans="1:29" ht="11.65" x14ac:dyDescent="0.35">
      <c r="A3601" s="12">
        <v>3584</v>
      </c>
      <c r="B3601" s="10" t="s">
        <v>1015</v>
      </c>
      <c r="C3601" s="18" t="s">
        <v>1263</v>
      </c>
      <c r="D3601" s="9"/>
      <c r="E3601" s="9">
        <v>499</v>
      </c>
      <c r="F3601" s="10" t="s">
        <v>1066</v>
      </c>
      <c r="G3601" s="9">
        <v>925</v>
      </c>
      <c r="H3601" s="9">
        <v>2015</v>
      </c>
      <c r="I3601" s="8">
        <v>19.324999999999999</v>
      </c>
      <c r="J3601" s="8">
        <v>20.678999999999998</v>
      </c>
      <c r="K3601" s="8">
        <v>20.603999999999999</v>
      </c>
      <c r="L3601" s="8">
        <v>21.696000000000002</v>
      </c>
      <c r="M3601" s="8">
        <v>22.652999999999999</v>
      </c>
      <c r="N3601" s="8">
        <v>22.097000000000001</v>
      </c>
      <c r="O3601" s="8">
        <v>23.376000000000001</v>
      </c>
      <c r="P3601" s="8">
        <v>21.454999999999998</v>
      </c>
      <c r="Q3601" s="8">
        <v>20.202000000000002</v>
      </c>
      <c r="R3601" s="8">
        <v>19.318000000000001</v>
      </c>
      <c r="S3601" s="8">
        <v>21.795999999999999</v>
      </c>
      <c r="T3601" s="8">
        <v>20.734999999999999</v>
      </c>
      <c r="U3601" s="8">
        <v>19.760999999999999</v>
      </c>
      <c r="V3601" s="8">
        <v>12.744999999999999</v>
      </c>
      <c r="W3601" s="8">
        <v>8.2010000000000005</v>
      </c>
      <c r="X3601" s="8">
        <v>8.1359999999999992</v>
      </c>
      <c r="Y3601" s="8">
        <v>4.82</v>
      </c>
      <c r="Z3601" s="8">
        <v>1.8640000000000001</v>
      </c>
      <c r="AA3601" s="8">
        <v>0.40699999999999997</v>
      </c>
      <c r="AB3601" s="8">
        <v>3.5999999999999997E-2</v>
      </c>
      <c r="AC3601" s="8">
        <v>3.0000000000000001E-3</v>
      </c>
    </row>
    <row r="3602" spans="1:29" ht="11.65" x14ac:dyDescent="0.35">
      <c r="A3602" s="12">
        <v>3585</v>
      </c>
      <c r="B3602" s="10" t="s">
        <v>1015</v>
      </c>
      <c r="C3602" s="18" t="s">
        <v>1263</v>
      </c>
      <c r="D3602" s="9"/>
      <c r="E3602" s="9">
        <v>499</v>
      </c>
      <c r="F3602" s="10" t="s">
        <v>1066</v>
      </c>
      <c r="G3602" s="9">
        <v>925</v>
      </c>
      <c r="H3602" s="9">
        <v>2020</v>
      </c>
      <c r="I3602" s="8">
        <v>19.125</v>
      </c>
      <c r="J3602" s="8">
        <v>19.260999999999999</v>
      </c>
      <c r="K3602" s="8">
        <v>20.638999999999999</v>
      </c>
      <c r="L3602" s="8">
        <v>20.51</v>
      </c>
      <c r="M3602" s="8">
        <v>21.474</v>
      </c>
      <c r="N3602" s="8">
        <v>22.347999999999999</v>
      </c>
      <c r="O3602" s="8">
        <v>21.82</v>
      </c>
      <c r="P3602" s="8">
        <v>23.12</v>
      </c>
      <c r="Q3602" s="8">
        <v>21.204000000000001</v>
      </c>
      <c r="R3602" s="8">
        <v>19.893000000000001</v>
      </c>
      <c r="S3602" s="8">
        <v>18.803999999999998</v>
      </c>
      <c r="T3602" s="8">
        <v>20.812000000000001</v>
      </c>
      <c r="U3602" s="8">
        <v>19.271000000000001</v>
      </c>
      <c r="V3602" s="8">
        <v>17.553000000000001</v>
      </c>
      <c r="W3602" s="8">
        <v>10.61</v>
      </c>
      <c r="X3602" s="8">
        <v>6.14</v>
      </c>
      <c r="Y3602" s="8">
        <v>5.0679999999999996</v>
      </c>
      <c r="Z3602" s="8">
        <v>2.2799999999999998</v>
      </c>
      <c r="AA3602" s="8">
        <v>0.56499999999999995</v>
      </c>
      <c r="AB3602" s="8">
        <v>6.3E-2</v>
      </c>
      <c r="AC3602" s="8">
        <v>3.0000000000000001E-3</v>
      </c>
    </row>
    <row r="3603" spans="1:29" ht="11.65" x14ac:dyDescent="0.35">
      <c r="A3603" s="12">
        <v>3586</v>
      </c>
      <c r="B3603" s="10" t="s">
        <v>1015</v>
      </c>
      <c r="C3603" s="18" t="s">
        <v>1264</v>
      </c>
      <c r="D3603" s="9"/>
      <c r="E3603" s="9">
        <v>807</v>
      </c>
      <c r="F3603" s="10" t="s">
        <v>1066</v>
      </c>
      <c r="G3603" s="9">
        <v>925</v>
      </c>
      <c r="H3603" s="9">
        <v>1950</v>
      </c>
      <c r="I3603" s="8">
        <v>87.108000000000004</v>
      </c>
      <c r="J3603" s="8">
        <v>72.230999999999995</v>
      </c>
      <c r="K3603" s="8">
        <v>71.078999999999994</v>
      </c>
      <c r="L3603" s="8">
        <v>67.537000000000006</v>
      </c>
      <c r="M3603" s="8">
        <v>57.674999999999997</v>
      </c>
      <c r="N3603" s="8">
        <v>49.802999999999997</v>
      </c>
      <c r="O3603" s="8">
        <v>31.780999999999999</v>
      </c>
      <c r="P3603" s="8">
        <v>40.786999999999999</v>
      </c>
      <c r="Q3603" s="8">
        <v>34.947000000000003</v>
      </c>
      <c r="R3603" s="8">
        <v>27.169</v>
      </c>
      <c r="S3603" s="8">
        <v>19.617000000000001</v>
      </c>
      <c r="T3603" s="8">
        <v>15.198</v>
      </c>
      <c r="U3603" s="8">
        <v>14.331</v>
      </c>
      <c r="V3603" s="8">
        <v>13.6</v>
      </c>
      <c r="W3603" s="8">
        <v>11.9</v>
      </c>
      <c r="X3603" s="8">
        <v>8.6010000000000009</v>
      </c>
      <c r="Y3603" s="8">
        <v>4.1779999999999999</v>
      </c>
      <c r="Z3603" s="8">
        <v>1.5920000000000001</v>
      </c>
      <c r="AA3603" s="8">
        <v>0.378</v>
      </c>
      <c r="AB3603" s="8">
        <v>4.9000000000000002E-2</v>
      </c>
      <c r="AC3603" s="8">
        <v>3.0000000000000001E-3</v>
      </c>
    </row>
    <row r="3604" spans="1:29" ht="11.65" x14ac:dyDescent="0.35">
      <c r="A3604" s="12">
        <v>3587</v>
      </c>
      <c r="B3604" s="10" t="s">
        <v>1015</v>
      </c>
      <c r="C3604" s="18" t="s">
        <v>1264</v>
      </c>
      <c r="D3604" s="9"/>
      <c r="E3604" s="9">
        <v>807</v>
      </c>
      <c r="F3604" s="10" t="s">
        <v>1066</v>
      </c>
      <c r="G3604" s="9">
        <v>925</v>
      </c>
      <c r="H3604" s="9">
        <v>1955</v>
      </c>
      <c r="I3604" s="8">
        <v>107.545</v>
      </c>
      <c r="J3604" s="8">
        <v>84.787999999999997</v>
      </c>
      <c r="K3604" s="8">
        <v>71.613</v>
      </c>
      <c r="L3604" s="8">
        <v>70.543999999999997</v>
      </c>
      <c r="M3604" s="8">
        <v>66.781999999999996</v>
      </c>
      <c r="N3604" s="8">
        <v>56.91</v>
      </c>
      <c r="O3604" s="8">
        <v>49.017000000000003</v>
      </c>
      <c r="P3604" s="8">
        <v>31.094000000000001</v>
      </c>
      <c r="Q3604" s="8">
        <v>39.530999999999999</v>
      </c>
      <c r="R3604" s="8">
        <v>33.426000000000002</v>
      </c>
      <c r="S3604" s="8">
        <v>25.506</v>
      </c>
      <c r="T3604" s="8">
        <v>17.923999999999999</v>
      </c>
      <c r="U3604" s="8">
        <v>13.319000000000001</v>
      </c>
      <c r="V3604" s="8">
        <v>11.743</v>
      </c>
      <c r="W3604" s="8">
        <v>10.031000000000001</v>
      </c>
      <c r="X3604" s="8">
        <v>7.5279999999999996</v>
      </c>
      <c r="Y3604" s="8">
        <v>4.2480000000000002</v>
      </c>
      <c r="Z3604" s="8">
        <v>1.399</v>
      </c>
      <c r="AA3604" s="8">
        <v>0.32100000000000001</v>
      </c>
      <c r="AB3604" s="8">
        <v>0.04</v>
      </c>
      <c r="AC3604" s="8">
        <v>3.0000000000000001E-3</v>
      </c>
    </row>
    <row r="3605" spans="1:29" ht="11.65" x14ac:dyDescent="0.35">
      <c r="A3605" s="12">
        <v>3588</v>
      </c>
      <c r="B3605" s="10" t="s">
        <v>1015</v>
      </c>
      <c r="C3605" s="18" t="s">
        <v>1264</v>
      </c>
      <c r="D3605" s="9"/>
      <c r="E3605" s="9">
        <v>807</v>
      </c>
      <c r="F3605" s="10" t="s">
        <v>1066</v>
      </c>
      <c r="G3605" s="9">
        <v>925</v>
      </c>
      <c r="H3605" s="9">
        <v>1960</v>
      </c>
      <c r="I3605" s="8">
        <v>102.49299999999999</v>
      </c>
      <c r="J3605" s="8">
        <v>103.96599999999999</v>
      </c>
      <c r="K3605" s="8">
        <v>83.584999999999994</v>
      </c>
      <c r="L3605" s="8">
        <v>70.620999999999995</v>
      </c>
      <c r="M3605" s="8">
        <v>68.674999999999997</v>
      </c>
      <c r="N3605" s="8">
        <v>62.753</v>
      </c>
      <c r="O3605" s="8">
        <v>51.774000000000001</v>
      </c>
      <c r="P3605" s="8">
        <v>44.648000000000003</v>
      </c>
      <c r="Q3605" s="8">
        <v>27.783999999999999</v>
      </c>
      <c r="R3605" s="8">
        <v>36.430999999999997</v>
      </c>
      <c r="S3605" s="8">
        <v>30.588999999999999</v>
      </c>
      <c r="T3605" s="8">
        <v>22.872</v>
      </c>
      <c r="U3605" s="8">
        <v>15.486000000000001</v>
      </c>
      <c r="V3605" s="8">
        <v>10.84</v>
      </c>
      <c r="W3605" s="8">
        <v>8.7170000000000005</v>
      </c>
      <c r="X3605" s="8">
        <v>6.4589999999999996</v>
      </c>
      <c r="Y3605" s="8">
        <v>3.8420000000000001</v>
      </c>
      <c r="Z3605" s="8">
        <v>1.5069999999999999</v>
      </c>
      <c r="AA3605" s="8">
        <v>0.30399999999999999</v>
      </c>
      <c r="AB3605" s="8">
        <v>3.6999999999999998E-2</v>
      </c>
      <c r="AC3605" s="8">
        <v>2E-3</v>
      </c>
    </row>
    <row r="3606" spans="1:29" ht="11.65" x14ac:dyDescent="0.35">
      <c r="A3606" s="12">
        <v>3589</v>
      </c>
      <c r="B3606" s="10" t="s">
        <v>1015</v>
      </c>
      <c r="C3606" s="18" t="s">
        <v>1264</v>
      </c>
      <c r="D3606" s="9"/>
      <c r="E3606" s="9">
        <v>807</v>
      </c>
      <c r="F3606" s="10" t="s">
        <v>1066</v>
      </c>
      <c r="G3606" s="9">
        <v>925</v>
      </c>
      <c r="H3606" s="9">
        <v>1965</v>
      </c>
      <c r="I3606" s="8">
        <v>100.55</v>
      </c>
      <c r="J3606" s="8">
        <v>99.486999999999995</v>
      </c>
      <c r="K3606" s="8">
        <v>102.795</v>
      </c>
      <c r="L3606" s="8">
        <v>82.628</v>
      </c>
      <c r="M3606" s="8">
        <v>68.876999999999995</v>
      </c>
      <c r="N3606" s="8">
        <v>65.421000000000006</v>
      </c>
      <c r="O3606" s="8">
        <v>58.587000000000003</v>
      </c>
      <c r="P3606" s="8">
        <v>47.768999999999998</v>
      </c>
      <c r="Q3606" s="8">
        <v>41.197000000000003</v>
      </c>
      <c r="R3606" s="8">
        <v>25.257999999999999</v>
      </c>
      <c r="S3606" s="8">
        <v>33.698</v>
      </c>
      <c r="T3606" s="8">
        <v>27.841000000000001</v>
      </c>
      <c r="U3606" s="8">
        <v>20.132000000000001</v>
      </c>
      <c r="V3606" s="8">
        <v>12.862</v>
      </c>
      <c r="W3606" s="8">
        <v>8.2149999999999999</v>
      </c>
      <c r="X3606" s="8">
        <v>5.766</v>
      </c>
      <c r="Y3606" s="8">
        <v>3.4430000000000001</v>
      </c>
      <c r="Z3606" s="8">
        <v>1.4850000000000001</v>
      </c>
      <c r="AA3606" s="8">
        <v>0.372</v>
      </c>
      <c r="AB3606" s="8">
        <v>4.2000000000000003E-2</v>
      </c>
      <c r="AC3606" s="8">
        <v>3.0000000000000001E-3</v>
      </c>
    </row>
    <row r="3607" spans="1:29" ht="11.65" x14ac:dyDescent="0.35">
      <c r="A3607" s="12">
        <v>3590</v>
      </c>
      <c r="B3607" s="10" t="s">
        <v>1015</v>
      </c>
      <c r="C3607" s="18" t="s">
        <v>1264</v>
      </c>
      <c r="D3607" s="9"/>
      <c r="E3607" s="9">
        <v>807</v>
      </c>
      <c r="F3607" s="10" t="s">
        <v>1066</v>
      </c>
      <c r="G3607" s="9">
        <v>925</v>
      </c>
      <c r="H3607" s="9">
        <v>1970</v>
      </c>
      <c r="I3607" s="8">
        <v>104.715</v>
      </c>
      <c r="J3607" s="8">
        <v>97.808999999999997</v>
      </c>
      <c r="K3607" s="8">
        <v>98.355000000000004</v>
      </c>
      <c r="L3607" s="8">
        <v>101.336</v>
      </c>
      <c r="M3607" s="8">
        <v>79.620999999999995</v>
      </c>
      <c r="N3607" s="8">
        <v>65.210999999999999</v>
      </c>
      <c r="O3607" s="8">
        <v>62.942</v>
      </c>
      <c r="P3607" s="8">
        <v>57.319000000000003</v>
      </c>
      <c r="Q3607" s="8">
        <v>46.593000000000004</v>
      </c>
      <c r="R3607" s="8">
        <v>39.884999999999998</v>
      </c>
      <c r="S3607" s="8">
        <v>24.077999999999999</v>
      </c>
      <c r="T3607" s="8">
        <v>31.574999999999999</v>
      </c>
      <c r="U3607" s="8">
        <v>25.248999999999999</v>
      </c>
      <c r="V3607" s="8">
        <v>17.303999999999998</v>
      </c>
      <c r="W3607" s="8">
        <v>10.138999999999999</v>
      </c>
      <c r="X3607" s="8">
        <v>5.6760000000000002</v>
      </c>
      <c r="Y3607" s="8">
        <v>3.2869999999999999</v>
      </c>
      <c r="Z3607" s="8">
        <v>1.468</v>
      </c>
      <c r="AA3607" s="8">
        <v>0.41599999999999998</v>
      </c>
      <c r="AB3607" s="8">
        <v>6.0999999999999999E-2</v>
      </c>
      <c r="AC3607" s="8">
        <v>4.0000000000000001E-3</v>
      </c>
    </row>
    <row r="3608" spans="1:29" ht="11.65" x14ac:dyDescent="0.35">
      <c r="A3608" s="12">
        <v>3591</v>
      </c>
      <c r="B3608" s="10" t="s">
        <v>1015</v>
      </c>
      <c r="C3608" s="18" t="s">
        <v>1264</v>
      </c>
      <c r="D3608" s="9"/>
      <c r="E3608" s="9">
        <v>807</v>
      </c>
      <c r="F3608" s="10" t="s">
        <v>1066</v>
      </c>
      <c r="G3608" s="9">
        <v>925</v>
      </c>
      <c r="H3608" s="9">
        <v>1975</v>
      </c>
      <c r="I3608" s="8">
        <v>97.203000000000003</v>
      </c>
      <c r="J3608" s="8">
        <v>102.373</v>
      </c>
      <c r="K3608" s="8">
        <v>93.724000000000004</v>
      </c>
      <c r="L3608" s="8">
        <v>92.522000000000006</v>
      </c>
      <c r="M3608" s="8">
        <v>97.325999999999993</v>
      </c>
      <c r="N3608" s="8">
        <v>74.001999999999995</v>
      </c>
      <c r="O3608" s="8">
        <v>58.701999999999998</v>
      </c>
      <c r="P3608" s="8">
        <v>59.798000000000002</v>
      </c>
      <c r="Q3608" s="8">
        <v>56.064</v>
      </c>
      <c r="R3608" s="8">
        <v>45.238999999999997</v>
      </c>
      <c r="S3608" s="8">
        <v>38.290999999999997</v>
      </c>
      <c r="T3608" s="8">
        <v>22.646999999999998</v>
      </c>
      <c r="U3608" s="8">
        <v>28.861999999999998</v>
      </c>
      <c r="V3608" s="8">
        <v>21.960999999999999</v>
      </c>
      <c r="W3608" s="8">
        <v>13.885999999999999</v>
      </c>
      <c r="X3608" s="8">
        <v>7.165</v>
      </c>
      <c r="Y3608" s="8">
        <v>3.31</v>
      </c>
      <c r="Z3608" s="8">
        <v>1.43</v>
      </c>
      <c r="AA3608" s="8">
        <v>0.42499999999999999</v>
      </c>
      <c r="AB3608" s="8">
        <v>7.1999999999999995E-2</v>
      </c>
      <c r="AC3608" s="8">
        <v>6.0000000000000001E-3</v>
      </c>
    </row>
    <row r="3609" spans="1:29" ht="11.65" x14ac:dyDescent="0.35">
      <c r="A3609" s="12">
        <v>3592</v>
      </c>
      <c r="B3609" s="10" t="s">
        <v>1015</v>
      </c>
      <c r="C3609" s="18" t="s">
        <v>1264</v>
      </c>
      <c r="D3609" s="9"/>
      <c r="E3609" s="9">
        <v>807</v>
      </c>
      <c r="F3609" s="10" t="s">
        <v>1066</v>
      </c>
      <c r="G3609" s="9">
        <v>925</v>
      </c>
      <c r="H3609" s="9">
        <v>1980</v>
      </c>
      <c r="I3609" s="8">
        <v>96.575000000000003</v>
      </c>
      <c r="J3609" s="8">
        <v>96.861000000000004</v>
      </c>
      <c r="K3609" s="8">
        <v>101.43</v>
      </c>
      <c r="L3609" s="8">
        <v>92.427999999999997</v>
      </c>
      <c r="M3609" s="8">
        <v>90.236999999999995</v>
      </c>
      <c r="N3609" s="8">
        <v>93.817999999999998</v>
      </c>
      <c r="O3609" s="8">
        <v>73.597999999999999</v>
      </c>
      <c r="P3609" s="8">
        <v>58.817</v>
      </c>
      <c r="Q3609" s="8">
        <v>56.348999999999997</v>
      </c>
      <c r="R3609" s="8">
        <v>53.978000000000002</v>
      </c>
      <c r="S3609" s="8">
        <v>45.194000000000003</v>
      </c>
      <c r="T3609" s="8">
        <v>36.130000000000003</v>
      </c>
      <c r="U3609" s="8">
        <v>20.428999999999998</v>
      </c>
      <c r="V3609" s="8">
        <v>25.451000000000001</v>
      </c>
      <c r="W3609" s="8">
        <v>17.739000000000001</v>
      </c>
      <c r="X3609" s="8">
        <v>9.8970000000000002</v>
      </c>
      <c r="Y3609" s="8">
        <v>4.2110000000000003</v>
      </c>
      <c r="Z3609" s="8">
        <v>1.4570000000000001</v>
      </c>
      <c r="AA3609" s="8">
        <v>0.41699999999999998</v>
      </c>
      <c r="AB3609" s="8">
        <v>7.1999999999999995E-2</v>
      </c>
      <c r="AC3609" s="8">
        <v>7.0000000000000001E-3</v>
      </c>
    </row>
    <row r="3610" spans="1:29" ht="11.65" x14ac:dyDescent="0.35">
      <c r="A3610" s="12">
        <v>3593</v>
      </c>
      <c r="B3610" s="10" t="s">
        <v>1015</v>
      </c>
      <c r="C3610" s="18" t="s">
        <v>1264</v>
      </c>
      <c r="D3610" s="9"/>
      <c r="E3610" s="9">
        <v>807</v>
      </c>
      <c r="F3610" s="10" t="s">
        <v>1066</v>
      </c>
      <c r="G3610" s="9">
        <v>925</v>
      </c>
      <c r="H3610" s="9">
        <v>1985</v>
      </c>
      <c r="I3610" s="8">
        <v>96.278999999999996</v>
      </c>
      <c r="J3610" s="8">
        <v>91.703999999999994</v>
      </c>
      <c r="K3610" s="8">
        <v>91.748999999999995</v>
      </c>
      <c r="L3610" s="8">
        <v>96.289000000000001</v>
      </c>
      <c r="M3610" s="8">
        <v>87.518000000000001</v>
      </c>
      <c r="N3610" s="8">
        <v>85.528000000000006</v>
      </c>
      <c r="O3610" s="8">
        <v>89.406000000000006</v>
      </c>
      <c r="P3610" s="8">
        <v>69.063999999999993</v>
      </c>
      <c r="Q3610" s="8">
        <v>55.218000000000004</v>
      </c>
      <c r="R3610" s="8">
        <v>53.656999999999996</v>
      </c>
      <c r="S3610" s="8">
        <v>50.984999999999999</v>
      </c>
      <c r="T3610" s="8">
        <v>42.04</v>
      </c>
      <c r="U3610" s="8">
        <v>33.11</v>
      </c>
      <c r="V3610" s="8">
        <v>17.712</v>
      </c>
      <c r="W3610" s="8">
        <v>20.042999999999999</v>
      </c>
      <c r="X3610" s="8">
        <v>12.314</v>
      </c>
      <c r="Y3610" s="8">
        <v>5.6150000000000002</v>
      </c>
      <c r="Z3610" s="8">
        <v>1.7949999999999999</v>
      </c>
      <c r="AA3610" s="8">
        <v>0.41</v>
      </c>
      <c r="AB3610" s="8">
        <v>6.9000000000000006E-2</v>
      </c>
      <c r="AC3610" s="8">
        <v>7.0000000000000001E-3</v>
      </c>
    </row>
    <row r="3611" spans="1:29" ht="11.65" x14ac:dyDescent="0.35">
      <c r="A3611" s="12">
        <v>3594</v>
      </c>
      <c r="B3611" s="10" t="s">
        <v>1015</v>
      </c>
      <c r="C3611" s="18" t="s">
        <v>1264</v>
      </c>
      <c r="D3611" s="9"/>
      <c r="E3611" s="9">
        <v>807</v>
      </c>
      <c r="F3611" s="10" t="s">
        <v>1066</v>
      </c>
      <c r="G3611" s="9">
        <v>925</v>
      </c>
      <c r="H3611" s="9">
        <v>1990</v>
      </c>
      <c r="I3611" s="8">
        <v>88.947000000000003</v>
      </c>
      <c r="J3611" s="8">
        <v>91.507999999999996</v>
      </c>
      <c r="K3611" s="8">
        <v>87.268000000000001</v>
      </c>
      <c r="L3611" s="8">
        <v>85.843999999999994</v>
      </c>
      <c r="M3611" s="8">
        <v>88.756</v>
      </c>
      <c r="N3611" s="8">
        <v>80.975999999999999</v>
      </c>
      <c r="O3611" s="8">
        <v>79.991</v>
      </c>
      <c r="P3611" s="8">
        <v>82.733999999999995</v>
      </c>
      <c r="Q3611" s="8">
        <v>62.499000000000002</v>
      </c>
      <c r="R3611" s="8">
        <v>51.218000000000004</v>
      </c>
      <c r="S3611" s="8">
        <v>51.002000000000002</v>
      </c>
      <c r="T3611" s="8">
        <v>47.677</v>
      </c>
      <c r="U3611" s="8">
        <v>38.203000000000003</v>
      </c>
      <c r="V3611" s="8">
        <v>28.984000000000002</v>
      </c>
      <c r="W3611" s="8">
        <v>14.256</v>
      </c>
      <c r="X3611" s="8">
        <v>14.054</v>
      </c>
      <c r="Y3611" s="8">
        <v>7.157</v>
      </c>
      <c r="Z3611" s="8">
        <v>2.4380000000000002</v>
      </c>
      <c r="AA3611" s="8">
        <v>0.50800000000000001</v>
      </c>
      <c r="AB3611" s="8">
        <v>6.6000000000000003E-2</v>
      </c>
      <c r="AC3611" s="8">
        <v>6.0000000000000001E-3</v>
      </c>
    </row>
    <row r="3612" spans="1:29" ht="11.65" x14ac:dyDescent="0.35">
      <c r="A3612" s="12">
        <v>3595</v>
      </c>
      <c r="B3612" s="10" t="s">
        <v>1015</v>
      </c>
      <c r="C3612" s="18" t="s">
        <v>1264</v>
      </c>
      <c r="D3612" s="9"/>
      <c r="E3612" s="9">
        <v>807</v>
      </c>
      <c r="F3612" s="10" t="s">
        <v>1066</v>
      </c>
      <c r="G3612" s="9">
        <v>925</v>
      </c>
      <c r="H3612" s="9">
        <v>1995</v>
      </c>
      <c r="I3612" s="8">
        <v>80.989999999999995</v>
      </c>
      <c r="J3612" s="8">
        <v>85.891999999999996</v>
      </c>
      <c r="K3612" s="8">
        <v>88.47</v>
      </c>
      <c r="L3612" s="8">
        <v>84.096999999999994</v>
      </c>
      <c r="M3612" s="8">
        <v>78.825000000000003</v>
      </c>
      <c r="N3612" s="8">
        <v>78.62</v>
      </c>
      <c r="O3612" s="8">
        <v>75.900999999999996</v>
      </c>
      <c r="P3612" s="8">
        <v>75.725999999999999</v>
      </c>
      <c r="Q3612" s="8">
        <v>73.716999999999999</v>
      </c>
      <c r="R3612" s="8">
        <v>56.116</v>
      </c>
      <c r="S3612" s="8">
        <v>48.856999999999999</v>
      </c>
      <c r="T3612" s="8">
        <v>47.494999999999997</v>
      </c>
      <c r="U3612" s="8">
        <v>43.043999999999997</v>
      </c>
      <c r="V3612" s="8">
        <v>33.100999999999999</v>
      </c>
      <c r="W3612" s="8">
        <v>22.984999999999999</v>
      </c>
      <c r="X3612" s="8">
        <v>9.8179999999999996</v>
      </c>
      <c r="Y3612" s="8">
        <v>7.8979999999999997</v>
      </c>
      <c r="Z3612" s="8">
        <v>2.996</v>
      </c>
      <c r="AA3612" s="8">
        <v>0.66</v>
      </c>
      <c r="AB3612" s="8">
        <v>7.9000000000000001E-2</v>
      </c>
      <c r="AC3612" s="8">
        <v>6.0000000000000001E-3</v>
      </c>
    </row>
    <row r="3613" spans="1:29" ht="11.65" x14ac:dyDescent="0.35">
      <c r="A3613" s="12">
        <v>3596</v>
      </c>
      <c r="B3613" s="10" t="s">
        <v>1015</v>
      </c>
      <c r="C3613" s="18" t="s">
        <v>1264</v>
      </c>
      <c r="D3613" s="9"/>
      <c r="E3613" s="9">
        <v>807</v>
      </c>
      <c r="F3613" s="10" t="s">
        <v>1066</v>
      </c>
      <c r="G3613" s="9">
        <v>925</v>
      </c>
      <c r="H3613" s="9">
        <v>2000</v>
      </c>
      <c r="I3613" s="8">
        <v>69.724999999999994</v>
      </c>
      <c r="J3613" s="8">
        <v>80.739000000000004</v>
      </c>
      <c r="K3613" s="8">
        <v>85.747</v>
      </c>
      <c r="L3613" s="8">
        <v>88.132999999999996</v>
      </c>
      <c r="M3613" s="8">
        <v>83.436999999999998</v>
      </c>
      <c r="N3613" s="8">
        <v>78.02</v>
      </c>
      <c r="O3613" s="8">
        <v>77.820999999999998</v>
      </c>
      <c r="P3613" s="8">
        <v>75.076999999999998</v>
      </c>
      <c r="Q3613" s="8">
        <v>74.680999999999997</v>
      </c>
      <c r="R3613" s="8">
        <v>72.174999999999997</v>
      </c>
      <c r="S3613" s="8">
        <v>54.207999999999998</v>
      </c>
      <c r="T3613" s="8">
        <v>46.228000000000002</v>
      </c>
      <c r="U3613" s="8">
        <v>43.530999999999999</v>
      </c>
      <c r="V3613" s="8">
        <v>37.472999999999999</v>
      </c>
      <c r="W3613" s="8">
        <v>26.457000000000001</v>
      </c>
      <c r="X3613" s="8">
        <v>16.007999999999999</v>
      </c>
      <c r="Y3613" s="8">
        <v>5.5739999999999998</v>
      </c>
      <c r="Z3613" s="8">
        <v>3.363</v>
      </c>
      <c r="AA3613" s="8">
        <v>0.83399999999999996</v>
      </c>
      <c r="AB3613" s="8">
        <v>0.104</v>
      </c>
      <c r="AC3613" s="8">
        <v>7.0000000000000001E-3</v>
      </c>
    </row>
    <row r="3614" spans="1:29" ht="11.65" x14ac:dyDescent="0.35">
      <c r="A3614" s="12">
        <v>3597</v>
      </c>
      <c r="B3614" s="10" t="s">
        <v>1015</v>
      </c>
      <c r="C3614" s="18" t="s">
        <v>1264</v>
      </c>
      <c r="D3614" s="9"/>
      <c r="E3614" s="9">
        <v>807</v>
      </c>
      <c r="F3614" s="10" t="s">
        <v>1066</v>
      </c>
      <c r="G3614" s="9">
        <v>925</v>
      </c>
      <c r="H3614" s="9">
        <v>2005</v>
      </c>
      <c r="I3614" s="8">
        <v>63.601999999999997</v>
      </c>
      <c r="J3614" s="8">
        <v>69.195999999999998</v>
      </c>
      <c r="K3614" s="8">
        <v>80.415000000000006</v>
      </c>
      <c r="L3614" s="8">
        <v>84.808999999999997</v>
      </c>
      <c r="M3614" s="8">
        <v>86.433000000000007</v>
      </c>
      <c r="N3614" s="8">
        <v>81.558999999999997</v>
      </c>
      <c r="O3614" s="8">
        <v>76.501999999999995</v>
      </c>
      <c r="P3614" s="8">
        <v>76.786000000000001</v>
      </c>
      <c r="Q3614" s="8">
        <v>74.218999999999994</v>
      </c>
      <c r="R3614" s="8">
        <v>73.241</v>
      </c>
      <c r="S3614" s="8">
        <v>69.677000000000007</v>
      </c>
      <c r="T3614" s="8">
        <v>51.207000000000001</v>
      </c>
      <c r="U3614" s="8">
        <v>42.436999999999998</v>
      </c>
      <c r="V3614" s="8">
        <v>38.076999999999998</v>
      </c>
      <c r="W3614" s="8">
        <v>30.19</v>
      </c>
      <c r="X3614" s="8">
        <v>18.623999999999999</v>
      </c>
      <c r="Y3614" s="8">
        <v>9.2530000000000001</v>
      </c>
      <c r="Z3614" s="8">
        <v>2.431</v>
      </c>
      <c r="AA3614" s="8">
        <v>0.96199999999999997</v>
      </c>
      <c r="AB3614" s="8">
        <v>0.13800000000000001</v>
      </c>
      <c r="AC3614" s="8">
        <v>8.9999999999999993E-3</v>
      </c>
    </row>
    <row r="3615" spans="1:29" ht="11.65" x14ac:dyDescent="0.35">
      <c r="A3615" s="12">
        <v>3598</v>
      </c>
      <c r="B3615" s="10" t="s">
        <v>1015</v>
      </c>
      <c r="C3615" s="18" t="s">
        <v>1264</v>
      </c>
      <c r="D3615" s="9"/>
      <c r="E3615" s="9">
        <v>807</v>
      </c>
      <c r="F3615" s="10" t="s">
        <v>1066</v>
      </c>
      <c r="G3615" s="9">
        <v>925</v>
      </c>
      <c r="H3615" s="9">
        <v>2010</v>
      </c>
      <c r="I3615" s="8">
        <v>58.215000000000003</v>
      </c>
      <c r="J3615" s="8">
        <v>63.256999999999998</v>
      </c>
      <c r="K3615" s="8">
        <v>68.977999999999994</v>
      </c>
      <c r="L3615" s="8">
        <v>80.09</v>
      </c>
      <c r="M3615" s="8">
        <v>84.195999999999998</v>
      </c>
      <c r="N3615" s="8">
        <v>85.400999999999996</v>
      </c>
      <c r="O3615" s="8">
        <v>80.375</v>
      </c>
      <c r="P3615" s="8">
        <v>75.555000000000007</v>
      </c>
      <c r="Q3615" s="8">
        <v>75.89</v>
      </c>
      <c r="R3615" s="8">
        <v>72.900999999999996</v>
      </c>
      <c r="S3615" s="8">
        <v>70.947000000000003</v>
      </c>
      <c r="T3615" s="8">
        <v>66.119</v>
      </c>
      <c r="U3615" s="8">
        <v>47.268999999999998</v>
      </c>
      <c r="V3615" s="8">
        <v>37.484000000000002</v>
      </c>
      <c r="W3615" s="8">
        <v>31.152999999999999</v>
      </c>
      <c r="X3615" s="8">
        <v>21.617999999999999</v>
      </c>
      <c r="Y3615" s="8">
        <v>10.733000000000001</v>
      </c>
      <c r="Z3615" s="8">
        <v>3.895</v>
      </c>
      <c r="AA3615" s="8">
        <v>0.67600000000000005</v>
      </c>
      <c r="AB3615" s="8">
        <v>0.16</v>
      </c>
      <c r="AC3615" s="8">
        <v>1.2999999999999999E-2</v>
      </c>
    </row>
    <row r="3616" spans="1:29" ht="11.65" x14ac:dyDescent="0.35">
      <c r="A3616" s="12">
        <v>3599</v>
      </c>
      <c r="B3616" s="10" t="s">
        <v>1015</v>
      </c>
      <c r="C3616" s="18" t="s">
        <v>1264</v>
      </c>
      <c r="D3616" s="9"/>
      <c r="E3616" s="9">
        <v>807</v>
      </c>
      <c r="F3616" s="10" t="s">
        <v>1066</v>
      </c>
      <c r="G3616" s="9">
        <v>925</v>
      </c>
      <c r="H3616" s="9">
        <v>2015</v>
      </c>
      <c r="I3616" s="8">
        <v>60.149000000000001</v>
      </c>
      <c r="J3616" s="8">
        <v>58.094999999999999</v>
      </c>
      <c r="K3616" s="8">
        <v>62.607999999999997</v>
      </c>
      <c r="L3616" s="8">
        <v>67.561999999999998</v>
      </c>
      <c r="M3616" s="8">
        <v>78.97</v>
      </c>
      <c r="N3616" s="8">
        <v>83.626999999999995</v>
      </c>
      <c r="O3616" s="8">
        <v>84.778999999999996</v>
      </c>
      <c r="P3616" s="8">
        <v>79.688000000000002</v>
      </c>
      <c r="Q3616" s="8">
        <v>74.763999999999996</v>
      </c>
      <c r="R3616" s="8">
        <v>74.867999999999995</v>
      </c>
      <c r="S3616" s="8">
        <v>71.194999999999993</v>
      </c>
      <c r="T3616" s="8">
        <v>67.962000000000003</v>
      </c>
      <c r="U3616" s="8">
        <v>61.55</v>
      </c>
      <c r="V3616" s="8">
        <v>42.204999999999998</v>
      </c>
      <c r="W3616" s="8">
        <v>31.315000000000001</v>
      </c>
      <c r="X3616" s="8">
        <v>22.87</v>
      </c>
      <c r="Y3616" s="8">
        <v>12.637</v>
      </c>
      <c r="Z3616" s="8">
        <v>4.508</v>
      </c>
      <c r="AA3616" s="8">
        <v>0.96499999999999997</v>
      </c>
      <c r="AB3616" s="8">
        <v>7.4999999999999997E-2</v>
      </c>
      <c r="AC3616" s="8">
        <v>8.0000000000000002E-3</v>
      </c>
    </row>
    <row r="3617" spans="1:29" ht="11.65" x14ac:dyDescent="0.35">
      <c r="A3617" s="12">
        <v>3600</v>
      </c>
      <c r="B3617" s="10" t="s">
        <v>1015</v>
      </c>
      <c r="C3617" s="18" t="s">
        <v>1264</v>
      </c>
      <c r="D3617" s="9"/>
      <c r="E3617" s="9">
        <v>807</v>
      </c>
      <c r="F3617" s="10" t="s">
        <v>1066</v>
      </c>
      <c r="G3617" s="9">
        <v>925</v>
      </c>
      <c r="H3617" s="9">
        <v>2020</v>
      </c>
      <c r="I3617" s="8">
        <v>57.664999999999999</v>
      </c>
      <c r="J3617" s="8">
        <v>59.956000000000003</v>
      </c>
      <c r="K3617" s="8">
        <v>57.981999999999999</v>
      </c>
      <c r="L3617" s="8">
        <v>62.365000000000002</v>
      </c>
      <c r="M3617" s="8">
        <v>67.055000000000007</v>
      </c>
      <c r="N3617" s="8">
        <v>78.302999999999997</v>
      </c>
      <c r="O3617" s="8">
        <v>82.945999999999998</v>
      </c>
      <c r="P3617" s="8">
        <v>84.12</v>
      </c>
      <c r="Q3617" s="8">
        <v>78.86</v>
      </c>
      <c r="R3617" s="8">
        <v>73.647000000000006</v>
      </c>
      <c r="S3617" s="8">
        <v>73.135000000000005</v>
      </c>
      <c r="T3617" s="8">
        <v>68.204999999999998</v>
      </c>
      <c r="U3617" s="8">
        <v>63.228000000000002</v>
      </c>
      <c r="V3617" s="8">
        <v>55.042999999999999</v>
      </c>
      <c r="W3617" s="8">
        <v>35.6</v>
      </c>
      <c r="X3617" s="8">
        <v>23.452000000000002</v>
      </c>
      <c r="Y3617" s="8">
        <v>13.766999999999999</v>
      </c>
      <c r="Z3617" s="8">
        <v>5.5179999999999998</v>
      </c>
      <c r="AA3617" s="8">
        <v>1.167</v>
      </c>
      <c r="AB3617" s="8">
        <v>0.113</v>
      </c>
      <c r="AC3617" s="8">
        <v>4.0000000000000001E-3</v>
      </c>
    </row>
    <row r="3618" spans="1:29" ht="11.65" x14ac:dyDescent="0.35">
      <c r="A3618" s="12">
        <v>3601</v>
      </c>
      <c r="B3618" s="10" t="s">
        <v>1015</v>
      </c>
      <c r="C3618" s="18" t="s">
        <v>1265</v>
      </c>
      <c r="D3618" s="9"/>
      <c r="E3618" s="9">
        <v>620</v>
      </c>
      <c r="F3618" s="10" t="s">
        <v>1066</v>
      </c>
      <c r="G3618" s="9">
        <v>925</v>
      </c>
      <c r="H3618" s="9">
        <v>1950</v>
      </c>
      <c r="I3618" s="8">
        <v>459.15199999999999</v>
      </c>
      <c r="J3618" s="8">
        <v>402.04599999999999</v>
      </c>
      <c r="K3618" s="8">
        <v>407.35700000000003</v>
      </c>
      <c r="L3618" s="8">
        <v>402.63200000000001</v>
      </c>
      <c r="M3618" s="8">
        <v>380.16500000000002</v>
      </c>
      <c r="N3618" s="8">
        <v>333.74900000000002</v>
      </c>
      <c r="O3618" s="8">
        <v>260.19200000000001</v>
      </c>
      <c r="P3618" s="8">
        <v>277.10000000000002</v>
      </c>
      <c r="Q3618" s="8">
        <v>242.41300000000001</v>
      </c>
      <c r="R3618" s="8">
        <v>212.072</v>
      </c>
      <c r="S3618" s="8">
        <v>169.72399999999999</v>
      </c>
      <c r="T3618" s="8">
        <v>148.012</v>
      </c>
      <c r="U3618" s="8">
        <v>121.821</v>
      </c>
      <c r="V3618" s="8">
        <v>95.988</v>
      </c>
      <c r="W3618" s="8">
        <v>66.438999999999993</v>
      </c>
      <c r="X3618" s="8">
        <v>40.588999999999999</v>
      </c>
      <c r="Y3618" s="8">
        <v>18.774000000000001</v>
      </c>
      <c r="Z3618" s="8">
        <v>6.2279999999999998</v>
      </c>
      <c r="AA3618" s="8">
        <v>1.496</v>
      </c>
      <c r="AB3618" s="8">
        <v>0.30499999999999999</v>
      </c>
      <c r="AC3618" s="8">
        <v>3.6999999999999998E-2</v>
      </c>
    </row>
    <row r="3619" spans="1:29" ht="11.65" x14ac:dyDescent="0.35">
      <c r="A3619" s="12">
        <v>3602</v>
      </c>
      <c r="B3619" s="10" t="s">
        <v>1015</v>
      </c>
      <c r="C3619" s="18" t="s">
        <v>1265</v>
      </c>
      <c r="D3619" s="9"/>
      <c r="E3619" s="9">
        <v>620</v>
      </c>
      <c r="F3619" s="10" t="s">
        <v>1066</v>
      </c>
      <c r="G3619" s="9">
        <v>925</v>
      </c>
      <c r="H3619" s="9">
        <v>1955</v>
      </c>
      <c r="I3619" s="8">
        <v>457.17500000000001</v>
      </c>
      <c r="J3619" s="8">
        <v>434.005</v>
      </c>
      <c r="K3619" s="8">
        <v>380.39</v>
      </c>
      <c r="L3619" s="8">
        <v>370.41899999999998</v>
      </c>
      <c r="M3619" s="8">
        <v>361.05</v>
      </c>
      <c r="N3619" s="8">
        <v>339.59100000000001</v>
      </c>
      <c r="O3619" s="8">
        <v>307.63900000000001</v>
      </c>
      <c r="P3619" s="8">
        <v>246.44499999999999</v>
      </c>
      <c r="Q3619" s="8">
        <v>261.83199999999999</v>
      </c>
      <c r="R3619" s="8">
        <v>231.405</v>
      </c>
      <c r="S3619" s="8">
        <v>200.04</v>
      </c>
      <c r="T3619" s="8">
        <v>156.74299999999999</v>
      </c>
      <c r="U3619" s="8">
        <v>132.47900000000001</v>
      </c>
      <c r="V3619" s="8">
        <v>104.28400000000001</v>
      </c>
      <c r="W3619" s="8">
        <v>75.277000000000001</v>
      </c>
      <c r="X3619" s="8">
        <v>44.075000000000003</v>
      </c>
      <c r="Y3619" s="8">
        <v>22.515999999999998</v>
      </c>
      <c r="Z3619" s="8">
        <v>6.8129999999999997</v>
      </c>
      <c r="AA3619" s="8">
        <v>1.4279999999999999</v>
      </c>
      <c r="AB3619" s="8">
        <v>0.20899999999999999</v>
      </c>
      <c r="AC3619" s="8">
        <v>2.5000000000000001E-2</v>
      </c>
    </row>
    <row r="3620" spans="1:29" ht="11.65" x14ac:dyDescent="0.35">
      <c r="A3620" s="12">
        <v>3603</v>
      </c>
      <c r="B3620" s="10" t="s">
        <v>1015</v>
      </c>
      <c r="C3620" s="18" t="s">
        <v>1265</v>
      </c>
      <c r="D3620" s="9"/>
      <c r="E3620" s="9">
        <v>620</v>
      </c>
      <c r="F3620" s="10" t="s">
        <v>1066</v>
      </c>
      <c r="G3620" s="9">
        <v>925</v>
      </c>
      <c r="H3620" s="9">
        <v>1960</v>
      </c>
      <c r="I3620" s="8">
        <v>461.858</v>
      </c>
      <c r="J3620" s="8">
        <v>433.04</v>
      </c>
      <c r="K3620" s="8">
        <v>422.976</v>
      </c>
      <c r="L3620" s="8">
        <v>359.29899999999998</v>
      </c>
      <c r="M3620" s="8">
        <v>335.13099999999997</v>
      </c>
      <c r="N3620" s="8">
        <v>323.05</v>
      </c>
      <c r="O3620" s="8">
        <v>302.45400000000001</v>
      </c>
      <c r="P3620" s="8">
        <v>284.05500000000001</v>
      </c>
      <c r="Q3620" s="8">
        <v>235.24600000000001</v>
      </c>
      <c r="R3620" s="8">
        <v>246.161</v>
      </c>
      <c r="S3620" s="8">
        <v>218.92</v>
      </c>
      <c r="T3620" s="8">
        <v>185.27699999999999</v>
      </c>
      <c r="U3620" s="8">
        <v>140.285</v>
      </c>
      <c r="V3620" s="8">
        <v>112.24</v>
      </c>
      <c r="W3620" s="8">
        <v>81.826999999999998</v>
      </c>
      <c r="X3620" s="8">
        <v>50.317</v>
      </c>
      <c r="Y3620" s="8">
        <v>25.484000000000002</v>
      </c>
      <c r="Z3620" s="8">
        <v>7.9329999999999998</v>
      </c>
      <c r="AA3620" s="8">
        <v>1.464</v>
      </c>
      <c r="AB3620" s="8">
        <v>0.16400000000000001</v>
      </c>
      <c r="AC3620" s="8">
        <v>1.2999999999999999E-2</v>
      </c>
    </row>
    <row r="3621" spans="1:29" ht="11.65" x14ac:dyDescent="0.35">
      <c r="A3621" s="12">
        <v>3604</v>
      </c>
      <c r="B3621" s="10" t="s">
        <v>1015</v>
      </c>
      <c r="C3621" s="18" t="s">
        <v>1265</v>
      </c>
      <c r="D3621" s="9"/>
      <c r="E3621" s="9">
        <v>620</v>
      </c>
      <c r="F3621" s="10" t="s">
        <v>1066</v>
      </c>
      <c r="G3621" s="9">
        <v>925</v>
      </c>
      <c r="H3621" s="9">
        <v>1965</v>
      </c>
      <c r="I3621" s="8">
        <v>484.12900000000002</v>
      </c>
      <c r="J3621" s="8">
        <v>428.339</v>
      </c>
      <c r="K3621" s="8">
        <v>395.70800000000003</v>
      </c>
      <c r="L3621" s="8">
        <v>363.58600000000001</v>
      </c>
      <c r="M3621" s="8">
        <v>303.43599999999998</v>
      </c>
      <c r="N3621" s="8">
        <v>293.524</v>
      </c>
      <c r="O3621" s="8">
        <v>292.90899999999999</v>
      </c>
      <c r="P3621" s="8">
        <v>279.30599999999998</v>
      </c>
      <c r="Q3621" s="8">
        <v>264.49900000000002</v>
      </c>
      <c r="R3621" s="8">
        <v>221.41399999999999</v>
      </c>
      <c r="S3621" s="8">
        <v>229.977</v>
      </c>
      <c r="T3621" s="8">
        <v>202.25200000000001</v>
      </c>
      <c r="U3621" s="8">
        <v>166.339</v>
      </c>
      <c r="V3621" s="8">
        <v>118.782</v>
      </c>
      <c r="W3621" s="8">
        <v>87.204999999999998</v>
      </c>
      <c r="X3621" s="8">
        <v>55.082999999999998</v>
      </c>
      <c r="Y3621" s="8">
        <v>28.446000000000002</v>
      </c>
      <c r="Z3621" s="8">
        <v>9.5150000000000006</v>
      </c>
      <c r="AA3621" s="8">
        <v>1.83</v>
      </c>
      <c r="AB3621" s="8">
        <v>0.186</v>
      </c>
      <c r="AC3621" s="8">
        <v>1.0999999999999999E-2</v>
      </c>
    </row>
    <row r="3622" spans="1:29" ht="11.65" x14ac:dyDescent="0.35">
      <c r="A3622" s="12">
        <v>3605</v>
      </c>
      <c r="B3622" s="10" t="s">
        <v>1015</v>
      </c>
      <c r="C3622" s="18" t="s">
        <v>1265</v>
      </c>
      <c r="D3622" s="9"/>
      <c r="E3622" s="9">
        <v>620</v>
      </c>
      <c r="F3622" s="10" t="s">
        <v>1066</v>
      </c>
      <c r="G3622" s="9">
        <v>925</v>
      </c>
      <c r="H3622" s="9">
        <v>1970</v>
      </c>
      <c r="I3622" s="8">
        <v>421.13</v>
      </c>
      <c r="J3622" s="8">
        <v>435.30200000000002</v>
      </c>
      <c r="K3622" s="8">
        <v>405.51400000000001</v>
      </c>
      <c r="L3622" s="8">
        <v>355.79199999999997</v>
      </c>
      <c r="M3622" s="8">
        <v>298.82</v>
      </c>
      <c r="N3622" s="8">
        <v>244.85300000000001</v>
      </c>
      <c r="O3622" s="8">
        <v>251.50200000000001</v>
      </c>
      <c r="P3622" s="8">
        <v>263.42200000000003</v>
      </c>
      <c r="Q3622" s="8">
        <v>256.77499999999998</v>
      </c>
      <c r="R3622" s="8">
        <v>243.755</v>
      </c>
      <c r="S3622" s="8">
        <v>204.911</v>
      </c>
      <c r="T3622" s="8">
        <v>209.70599999999999</v>
      </c>
      <c r="U3622" s="8">
        <v>179.42400000000001</v>
      </c>
      <c r="V3622" s="8">
        <v>140.39400000000001</v>
      </c>
      <c r="W3622" s="8">
        <v>90.052999999999997</v>
      </c>
      <c r="X3622" s="8">
        <v>57.029000000000003</v>
      </c>
      <c r="Y3622" s="8">
        <v>32.012999999999998</v>
      </c>
      <c r="Z3622" s="8">
        <v>10.492000000000001</v>
      </c>
      <c r="AA3622" s="8">
        <v>2.1680000000000001</v>
      </c>
      <c r="AB3622" s="8">
        <v>0.23599999999999999</v>
      </c>
      <c r="AC3622" s="8">
        <v>1.2E-2</v>
      </c>
    </row>
    <row r="3623" spans="1:29" ht="11.65" x14ac:dyDescent="0.35">
      <c r="A3623" s="12">
        <v>3606</v>
      </c>
      <c r="B3623" s="10" t="s">
        <v>1015</v>
      </c>
      <c r="C3623" s="18" t="s">
        <v>1265</v>
      </c>
      <c r="D3623" s="9"/>
      <c r="E3623" s="9">
        <v>620</v>
      </c>
      <c r="F3623" s="10" t="s">
        <v>1066</v>
      </c>
      <c r="G3623" s="9">
        <v>925</v>
      </c>
      <c r="H3623" s="9">
        <v>1975</v>
      </c>
      <c r="I3623" s="8">
        <v>431.32499999999999</v>
      </c>
      <c r="J3623" s="8">
        <v>419.351</v>
      </c>
      <c r="K3623" s="8">
        <v>430.56700000000001</v>
      </c>
      <c r="L3623" s="8">
        <v>391.86</v>
      </c>
      <c r="M3623" s="8">
        <v>343.22699999999998</v>
      </c>
      <c r="N3623" s="8">
        <v>296.91199999999998</v>
      </c>
      <c r="O3623" s="8">
        <v>250.76599999999999</v>
      </c>
      <c r="P3623" s="8">
        <v>259.19400000000002</v>
      </c>
      <c r="Q3623" s="8">
        <v>267.73899999999998</v>
      </c>
      <c r="R3623" s="8">
        <v>259.70699999999999</v>
      </c>
      <c r="S3623" s="8">
        <v>244.72200000000001</v>
      </c>
      <c r="T3623" s="8">
        <v>201.20500000000001</v>
      </c>
      <c r="U3623" s="8">
        <v>198.69</v>
      </c>
      <c r="V3623" s="8">
        <v>159.92099999999999</v>
      </c>
      <c r="W3623" s="8">
        <v>112.877</v>
      </c>
      <c r="X3623" s="8">
        <v>61.892000000000003</v>
      </c>
      <c r="Y3623" s="8">
        <v>35.436999999999998</v>
      </c>
      <c r="Z3623" s="8">
        <v>12.167999999999999</v>
      </c>
      <c r="AA3623" s="8">
        <v>2.4849999999999999</v>
      </c>
      <c r="AB3623" s="8">
        <v>0.29599999999999999</v>
      </c>
      <c r="AC3623" s="8">
        <v>1.7000000000000001E-2</v>
      </c>
    </row>
    <row r="3624" spans="1:29" ht="11.65" x14ac:dyDescent="0.35">
      <c r="A3624" s="12">
        <v>3607</v>
      </c>
      <c r="B3624" s="10" t="s">
        <v>1015</v>
      </c>
      <c r="C3624" s="18" t="s">
        <v>1265</v>
      </c>
      <c r="D3624" s="9"/>
      <c r="E3624" s="9">
        <v>620</v>
      </c>
      <c r="F3624" s="10" t="s">
        <v>1066</v>
      </c>
      <c r="G3624" s="9">
        <v>925</v>
      </c>
      <c r="H3624" s="9">
        <v>1980</v>
      </c>
      <c r="I3624" s="8">
        <v>414.13200000000001</v>
      </c>
      <c r="J3624" s="8">
        <v>437.52199999999999</v>
      </c>
      <c r="K3624" s="8">
        <v>433.62599999999998</v>
      </c>
      <c r="L3624" s="8">
        <v>428.96</v>
      </c>
      <c r="M3624" s="8">
        <v>377.60899999999998</v>
      </c>
      <c r="N3624" s="8">
        <v>333.79500000000002</v>
      </c>
      <c r="O3624" s="8">
        <v>301.94499999999999</v>
      </c>
      <c r="P3624" s="8">
        <v>262.51600000000002</v>
      </c>
      <c r="Q3624" s="8">
        <v>270.99</v>
      </c>
      <c r="R3624" s="8">
        <v>273.375</v>
      </c>
      <c r="S3624" s="8">
        <v>262.39800000000002</v>
      </c>
      <c r="T3624" s="8">
        <v>243.80799999999999</v>
      </c>
      <c r="U3624" s="8">
        <v>194.08799999999999</v>
      </c>
      <c r="V3624" s="8">
        <v>181.78899999999999</v>
      </c>
      <c r="W3624" s="8">
        <v>133.51</v>
      </c>
      <c r="X3624" s="8">
        <v>80.915000000000006</v>
      </c>
      <c r="Y3624" s="8">
        <v>39.841999999999999</v>
      </c>
      <c r="Z3624" s="8">
        <v>14.14</v>
      </c>
      <c r="AA3624" s="8">
        <v>3.085</v>
      </c>
      <c r="AB3624" s="8">
        <v>0.36099999999999999</v>
      </c>
      <c r="AC3624" s="8">
        <v>2.3E-2</v>
      </c>
    </row>
    <row r="3625" spans="1:29" ht="11.65" x14ac:dyDescent="0.35">
      <c r="A3625" s="12">
        <v>3608</v>
      </c>
      <c r="B3625" s="10" t="s">
        <v>1015</v>
      </c>
      <c r="C3625" s="18" t="s">
        <v>1265</v>
      </c>
      <c r="D3625" s="9"/>
      <c r="E3625" s="9">
        <v>620</v>
      </c>
      <c r="F3625" s="10" t="s">
        <v>1066</v>
      </c>
      <c r="G3625" s="9">
        <v>925</v>
      </c>
      <c r="H3625" s="9">
        <v>1985</v>
      </c>
      <c r="I3625" s="8">
        <v>361.12599999999998</v>
      </c>
      <c r="J3625" s="8">
        <v>407.41899999999998</v>
      </c>
      <c r="K3625" s="8">
        <v>432.7</v>
      </c>
      <c r="L3625" s="8">
        <v>412.88299999999998</v>
      </c>
      <c r="M3625" s="8">
        <v>397.17200000000003</v>
      </c>
      <c r="N3625" s="8">
        <v>358.34300000000002</v>
      </c>
      <c r="O3625" s="8">
        <v>327.17700000000002</v>
      </c>
      <c r="P3625" s="8">
        <v>303.87900000000002</v>
      </c>
      <c r="Q3625" s="8">
        <v>265.108</v>
      </c>
      <c r="R3625" s="8">
        <v>270.32100000000003</v>
      </c>
      <c r="S3625" s="8">
        <v>268.80399999999997</v>
      </c>
      <c r="T3625" s="8">
        <v>254.56299999999999</v>
      </c>
      <c r="U3625" s="8">
        <v>229.31399999999999</v>
      </c>
      <c r="V3625" s="8">
        <v>173.84</v>
      </c>
      <c r="W3625" s="8">
        <v>149.761</v>
      </c>
      <c r="X3625" s="8">
        <v>96.468999999999994</v>
      </c>
      <c r="Y3625" s="8">
        <v>51.189</v>
      </c>
      <c r="Z3625" s="8">
        <v>17.206</v>
      </c>
      <c r="AA3625" s="8">
        <v>3.988</v>
      </c>
      <c r="AB3625" s="8">
        <v>0.49399999999999999</v>
      </c>
      <c r="AC3625" s="8">
        <v>3.1E-2</v>
      </c>
    </row>
    <row r="3626" spans="1:29" ht="11.65" x14ac:dyDescent="0.35">
      <c r="A3626" s="12">
        <v>3609</v>
      </c>
      <c r="B3626" s="10" t="s">
        <v>1015</v>
      </c>
      <c r="C3626" s="18" t="s">
        <v>1265</v>
      </c>
      <c r="D3626" s="9"/>
      <c r="E3626" s="9">
        <v>620</v>
      </c>
      <c r="F3626" s="10" t="s">
        <v>1066</v>
      </c>
      <c r="G3626" s="9">
        <v>925</v>
      </c>
      <c r="H3626" s="9">
        <v>1990</v>
      </c>
      <c r="I3626" s="8">
        <v>290.23099999999999</v>
      </c>
      <c r="J3626" s="8">
        <v>343.80799999999999</v>
      </c>
      <c r="K3626" s="8">
        <v>405.11599999999999</v>
      </c>
      <c r="L3626" s="8">
        <v>424.60199999999998</v>
      </c>
      <c r="M3626" s="8">
        <v>384.91300000000001</v>
      </c>
      <c r="N3626" s="8">
        <v>361.834</v>
      </c>
      <c r="O3626" s="8">
        <v>338.291</v>
      </c>
      <c r="P3626" s="8">
        <v>320.72800000000001</v>
      </c>
      <c r="Q3626" s="8">
        <v>304.25400000000002</v>
      </c>
      <c r="R3626" s="8">
        <v>265.12200000000001</v>
      </c>
      <c r="S3626" s="8">
        <v>265.483</v>
      </c>
      <c r="T3626" s="8">
        <v>259.947</v>
      </c>
      <c r="U3626" s="8">
        <v>240.97200000000001</v>
      </c>
      <c r="V3626" s="8">
        <v>207.40199999999999</v>
      </c>
      <c r="W3626" s="8">
        <v>145.91800000000001</v>
      </c>
      <c r="X3626" s="8">
        <v>111.07299999999999</v>
      </c>
      <c r="Y3626" s="8">
        <v>63.896000000000001</v>
      </c>
      <c r="Z3626" s="8">
        <v>23.47</v>
      </c>
      <c r="AA3626" s="8">
        <v>5.1920000000000002</v>
      </c>
      <c r="AB3626" s="8">
        <v>0.71499999999999997</v>
      </c>
      <c r="AC3626" s="8">
        <v>4.5999999999999999E-2</v>
      </c>
    </row>
    <row r="3627" spans="1:29" ht="11.65" x14ac:dyDescent="0.35">
      <c r="A3627" s="12">
        <v>3610</v>
      </c>
      <c r="B3627" s="10" t="s">
        <v>1015</v>
      </c>
      <c r="C3627" s="18" t="s">
        <v>1265</v>
      </c>
      <c r="D3627" s="9"/>
      <c r="E3627" s="9">
        <v>620</v>
      </c>
      <c r="F3627" s="10" t="s">
        <v>1066</v>
      </c>
      <c r="G3627" s="9">
        <v>925</v>
      </c>
      <c r="H3627" s="9">
        <v>1995</v>
      </c>
      <c r="I3627" s="8">
        <v>278.65300000000002</v>
      </c>
      <c r="J3627" s="8">
        <v>289.82299999999998</v>
      </c>
      <c r="K3627" s="8">
        <v>349.26299999999998</v>
      </c>
      <c r="L3627" s="8">
        <v>404.16500000000002</v>
      </c>
      <c r="M3627" s="8">
        <v>415.00700000000001</v>
      </c>
      <c r="N3627" s="8">
        <v>379.42700000000002</v>
      </c>
      <c r="O3627" s="8">
        <v>365.279</v>
      </c>
      <c r="P3627" s="8">
        <v>342.75400000000002</v>
      </c>
      <c r="Q3627" s="8">
        <v>324.93400000000003</v>
      </c>
      <c r="R3627" s="8">
        <v>305.93200000000002</v>
      </c>
      <c r="S3627" s="8">
        <v>265.08999999999997</v>
      </c>
      <c r="T3627" s="8">
        <v>262.38099999999997</v>
      </c>
      <c r="U3627" s="8">
        <v>252.172</v>
      </c>
      <c r="V3627" s="8">
        <v>220.845</v>
      </c>
      <c r="W3627" s="8">
        <v>177.89500000000001</v>
      </c>
      <c r="X3627" s="8">
        <v>112.209</v>
      </c>
      <c r="Y3627" s="8">
        <v>76.789000000000001</v>
      </c>
      <c r="Z3627" s="8">
        <v>30.131</v>
      </c>
      <c r="AA3627" s="8">
        <v>7.2249999999999996</v>
      </c>
      <c r="AB3627" s="8">
        <v>0.93400000000000005</v>
      </c>
      <c r="AC3627" s="8">
        <v>6.7000000000000004E-2</v>
      </c>
    </row>
    <row r="3628" spans="1:29" ht="11.65" x14ac:dyDescent="0.35">
      <c r="A3628" s="12">
        <v>3611</v>
      </c>
      <c r="B3628" s="10" t="s">
        <v>1015</v>
      </c>
      <c r="C3628" s="18" t="s">
        <v>1265</v>
      </c>
      <c r="D3628" s="9"/>
      <c r="E3628" s="9">
        <v>620</v>
      </c>
      <c r="F3628" s="10" t="s">
        <v>1066</v>
      </c>
      <c r="G3628" s="9">
        <v>925</v>
      </c>
      <c r="H3628" s="9">
        <v>2000</v>
      </c>
      <c r="I3628" s="8">
        <v>273.12200000000001</v>
      </c>
      <c r="J3628" s="8">
        <v>273.346</v>
      </c>
      <c r="K3628" s="8">
        <v>298.834</v>
      </c>
      <c r="L3628" s="8">
        <v>358.39100000000002</v>
      </c>
      <c r="M3628" s="8">
        <v>402.04599999999999</v>
      </c>
      <c r="N3628" s="8">
        <v>405.71199999999999</v>
      </c>
      <c r="O3628" s="8">
        <v>377.904</v>
      </c>
      <c r="P3628" s="8">
        <v>375.10199999999998</v>
      </c>
      <c r="Q3628" s="8">
        <v>350.53300000000002</v>
      </c>
      <c r="R3628" s="8">
        <v>329.56099999999998</v>
      </c>
      <c r="S3628" s="8">
        <v>305.59100000000001</v>
      </c>
      <c r="T3628" s="8">
        <v>262.70400000000001</v>
      </c>
      <c r="U3628" s="8">
        <v>255.83500000000001</v>
      </c>
      <c r="V3628" s="8">
        <v>239.37700000000001</v>
      </c>
      <c r="W3628" s="8">
        <v>192.589</v>
      </c>
      <c r="X3628" s="8">
        <v>140.21199999999999</v>
      </c>
      <c r="Y3628" s="8">
        <v>76.31</v>
      </c>
      <c r="Z3628" s="8">
        <v>37.377000000000002</v>
      </c>
      <c r="AA3628" s="8">
        <v>9.7509999999999994</v>
      </c>
      <c r="AB3628" s="8">
        <v>1.3360000000000001</v>
      </c>
      <c r="AC3628" s="8">
        <v>9.0999999999999998E-2</v>
      </c>
    </row>
    <row r="3629" spans="1:29" ht="11.65" x14ac:dyDescent="0.35">
      <c r="A3629" s="12">
        <v>3612</v>
      </c>
      <c r="B3629" s="10" t="s">
        <v>1015</v>
      </c>
      <c r="C3629" s="18" t="s">
        <v>1265</v>
      </c>
      <c r="D3629" s="9"/>
      <c r="E3629" s="9">
        <v>620</v>
      </c>
      <c r="F3629" s="10" t="s">
        <v>1066</v>
      </c>
      <c r="G3629" s="9">
        <v>925</v>
      </c>
      <c r="H3629" s="9">
        <v>2005</v>
      </c>
      <c r="I3629" s="8">
        <v>284.73099999999999</v>
      </c>
      <c r="J3629" s="8">
        <v>270.84199999999998</v>
      </c>
      <c r="K3629" s="8">
        <v>276.517</v>
      </c>
      <c r="L3629" s="8">
        <v>302.88400000000001</v>
      </c>
      <c r="M3629" s="8">
        <v>363.41500000000002</v>
      </c>
      <c r="N3629" s="8">
        <v>408.53800000000001</v>
      </c>
      <c r="O3629" s="8">
        <v>414.536</v>
      </c>
      <c r="P3629" s="8">
        <v>386.46899999999999</v>
      </c>
      <c r="Q3629" s="8">
        <v>383.40199999999999</v>
      </c>
      <c r="R3629" s="8">
        <v>353.50799999999998</v>
      </c>
      <c r="S3629" s="8">
        <v>327.41699999999997</v>
      </c>
      <c r="T3629" s="8">
        <v>299.96600000000001</v>
      </c>
      <c r="U3629" s="8">
        <v>255.036</v>
      </c>
      <c r="V3629" s="8">
        <v>239.934</v>
      </c>
      <c r="W3629" s="8">
        <v>211.22900000000001</v>
      </c>
      <c r="X3629" s="8">
        <v>151.96100000000001</v>
      </c>
      <c r="Y3629" s="8">
        <v>95.617999999999995</v>
      </c>
      <c r="Z3629" s="8">
        <v>39.188000000000002</v>
      </c>
      <c r="AA3629" s="8">
        <v>12.773</v>
      </c>
      <c r="AB3629" s="8">
        <v>1.87</v>
      </c>
      <c r="AC3629" s="8">
        <v>0.13200000000000001</v>
      </c>
    </row>
    <row r="3630" spans="1:29" ht="11.65" x14ac:dyDescent="0.35">
      <c r="A3630" s="12">
        <v>3613</v>
      </c>
      <c r="B3630" s="10" t="s">
        <v>1015</v>
      </c>
      <c r="C3630" s="18" t="s">
        <v>1265</v>
      </c>
      <c r="D3630" s="9"/>
      <c r="E3630" s="9">
        <v>620</v>
      </c>
      <c r="F3630" s="10" t="s">
        <v>1066</v>
      </c>
      <c r="G3630" s="9">
        <v>925</v>
      </c>
      <c r="H3630" s="9">
        <v>2010</v>
      </c>
      <c r="I3630" s="8">
        <v>251.315</v>
      </c>
      <c r="J3630" s="8">
        <v>272.20600000000002</v>
      </c>
      <c r="K3630" s="8">
        <v>287.35399999999998</v>
      </c>
      <c r="L3630" s="8">
        <v>291.80900000000003</v>
      </c>
      <c r="M3630" s="8">
        <v>301.44900000000001</v>
      </c>
      <c r="N3630" s="8">
        <v>339.74400000000003</v>
      </c>
      <c r="O3630" s="8">
        <v>387.63600000000002</v>
      </c>
      <c r="P3630" s="8">
        <v>407.60599999999999</v>
      </c>
      <c r="Q3630" s="8">
        <v>373.60199999999998</v>
      </c>
      <c r="R3630" s="8">
        <v>371.166</v>
      </c>
      <c r="S3630" s="8">
        <v>341.44799999999998</v>
      </c>
      <c r="T3630" s="8">
        <v>319.27</v>
      </c>
      <c r="U3630" s="8">
        <v>298.85500000000002</v>
      </c>
      <c r="V3630" s="8">
        <v>249.41900000000001</v>
      </c>
      <c r="W3630" s="8">
        <v>220.24100000000001</v>
      </c>
      <c r="X3630" s="8">
        <v>181.14500000000001</v>
      </c>
      <c r="Y3630" s="8">
        <v>107.014</v>
      </c>
      <c r="Z3630" s="8">
        <v>52.095999999999997</v>
      </c>
      <c r="AA3630" s="8">
        <v>14.53</v>
      </c>
      <c r="AB3630" s="8">
        <v>2.76</v>
      </c>
      <c r="AC3630" s="8">
        <v>0.21099999999999999</v>
      </c>
    </row>
    <row r="3631" spans="1:29" ht="11.65" x14ac:dyDescent="0.35">
      <c r="A3631" s="12">
        <v>3614</v>
      </c>
      <c r="B3631" s="10" t="s">
        <v>1015</v>
      </c>
      <c r="C3631" s="18" t="s">
        <v>1265</v>
      </c>
      <c r="D3631" s="9"/>
      <c r="E3631" s="9">
        <v>620</v>
      </c>
      <c r="F3631" s="10" t="s">
        <v>1066</v>
      </c>
      <c r="G3631" s="9">
        <v>925</v>
      </c>
      <c r="H3631" s="9">
        <v>2015</v>
      </c>
      <c r="I3631" s="8">
        <v>226.88800000000001</v>
      </c>
      <c r="J3631" s="8">
        <v>250.505</v>
      </c>
      <c r="K3631" s="8">
        <v>270.649</v>
      </c>
      <c r="L3631" s="8">
        <v>274.09300000000002</v>
      </c>
      <c r="M3631" s="8">
        <v>267.07400000000001</v>
      </c>
      <c r="N3631" s="8">
        <v>277.26299999999998</v>
      </c>
      <c r="O3631" s="8">
        <v>320.84899999999999</v>
      </c>
      <c r="P3631" s="8">
        <v>373.29300000000001</v>
      </c>
      <c r="Q3631" s="8">
        <v>395.779</v>
      </c>
      <c r="R3631" s="8">
        <v>362.60300000000001</v>
      </c>
      <c r="S3631" s="8">
        <v>358.83499999999998</v>
      </c>
      <c r="T3631" s="8">
        <v>327.11500000000001</v>
      </c>
      <c r="U3631" s="8">
        <v>302.50400000000002</v>
      </c>
      <c r="V3631" s="8">
        <v>277.72000000000003</v>
      </c>
      <c r="W3631" s="8">
        <v>223.399</v>
      </c>
      <c r="X3631" s="8">
        <v>184.37299999999999</v>
      </c>
      <c r="Y3631" s="8">
        <v>133.10300000000001</v>
      </c>
      <c r="Z3631" s="8">
        <v>60.688000000000002</v>
      </c>
      <c r="AA3631" s="8">
        <v>19.811</v>
      </c>
      <c r="AB3631" s="8">
        <v>3.141</v>
      </c>
      <c r="AC3631" s="8">
        <v>0.28299999999999997</v>
      </c>
    </row>
    <row r="3632" spans="1:29" ht="11.65" x14ac:dyDescent="0.35">
      <c r="A3632" s="12">
        <v>3615</v>
      </c>
      <c r="B3632" s="10" t="s">
        <v>1015</v>
      </c>
      <c r="C3632" s="18" t="s">
        <v>1265</v>
      </c>
      <c r="D3632" s="9"/>
      <c r="E3632" s="9">
        <v>620</v>
      </c>
      <c r="F3632" s="10" t="s">
        <v>1066</v>
      </c>
      <c r="G3632" s="9">
        <v>925</v>
      </c>
      <c r="H3632" s="9">
        <v>2020</v>
      </c>
      <c r="I3632" s="8">
        <v>206.364</v>
      </c>
      <c r="J3632" s="8">
        <v>226.68600000000001</v>
      </c>
      <c r="K3632" s="8">
        <v>250.18600000000001</v>
      </c>
      <c r="L3632" s="8">
        <v>268.459</v>
      </c>
      <c r="M3632" s="8">
        <v>269.94600000000003</v>
      </c>
      <c r="N3632" s="8">
        <v>262.89499999999998</v>
      </c>
      <c r="O3632" s="8">
        <v>273.726</v>
      </c>
      <c r="P3632" s="8">
        <v>317.60300000000001</v>
      </c>
      <c r="Q3632" s="8">
        <v>369.49</v>
      </c>
      <c r="R3632" s="8">
        <v>390.11900000000003</v>
      </c>
      <c r="S3632" s="8">
        <v>354.22699999999998</v>
      </c>
      <c r="T3632" s="8">
        <v>347.02499999999998</v>
      </c>
      <c r="U3632" s="8">
        <v>312.56599999999997</v>
      </c>
      <c r="V3632" s="8">
        <v>283.96499999999997</v>
      </c>
      <c r="W3632" s="8">
        <v>252.905</v>
      </c>
      <c r="X3632" s="8">
        <v>191.05799999999999</v>
      </c>
      <c r="Y3632" s="8">
        <v>138.84800000000001</v>
      </c>
      <c r="Z3632" s="8">
        <v>78.522000000000006</v>
      </c>
      <c r="AA3632" s="8">
        <v>24.416</v>
      </c>
      <c r="AB3632" s="8">
        <v>4.6479999999999997</v>
      </c>
      <c r="AC3632" s="8">
        <v>0.38</v>
      </c>
    </row>
    <row r="3633" spans="1:29" ht="11.65" x14ac:dyDescent="0.35">
      <c r="A3633" s="12">
        <v>3616</v>
      </c>
      <c r="B3633" s="10" t="s">
        <v>1015</v>
      </c>
      <c r="C3633" s="18" t="s">
        <v>1266</v>
      </c>
      <c r="D3633" s="9">
        <v>25</v>
      </c>
      <c r="E3633" s="9">
        <v>688</v>
      </c>
      <c r="F3633" s="10" t="s">
        <v>1066</v>
      </c>
      <c r="G3633" s="9">
        <v>925</v>
      </c>
      <c r="H3633" s="9">
        <v>1950</v>
      </c>
      <c r="I3633" s="8">
        <v>381.09899999999999</v>
      </c>
      <c r="J3633" s="8">
        <v>265.024</v>
      </c>
      <c r="K3633" s="8">
        <v>310.43799999999999</v>
      </c>
      <c r="L3633" s="8">
        <v>348.38200000000001</v>
      </c>
      <c r="M3633" s="8">
        <v>342.19499999999999</v>
      </c>
      <c r="N3633" s="8">
        <v>265.24900000000002</v>
      </c>
      <c r="O3633" s="8">
        <v>155.30199999999999</v>
      </c>
      <c r="P3633" s="8">
        <v>188.28700000000001</v>
      </c>
      <c r="Q3633" s="8">
        <v>231.59299999999999</v>
      </c>
      <c r="R3633" s="8">
        <v>206.072</v>
      </c>
      <c r="S3633" s="8">
        <v>167.55500000000001</v>
      </c>
      <c r="T3633" s="8">
        <v>104.62</v>
      </c>
      <c r="U3633" s="8">
        <v>96.647000000000006</v>
      </c>
      <c r="V3633" s="8">
        <v>77.632000000000005</v>
      </c>
      <c r="W3633" s="8">
        <v>59.051000000000002</v>
      </c>
      <c r="X3633" s="8">
        <v>42.07</v>
      </c>
      <c r="Y3633" s="8">
        <v>18.704000000000001</v>
      </c>
      <c r="Z3633" s="8">
        <v>7.4370000000000003</v>
      </c>
      <c r="AA3633" s="8">
        <v>2.04</v>
      </c>
      <c r="AB3633" s="8">
        <v>0.35599999999999998</v>
      </c>
      <c r="AC3633" s="8">
        <v>0.04</v>
      </c>
    </row>
    <row r="3634" spans="1:29" ht="11.65" x14ac:dyDescent="0.35">
      <c r="A3634" s="12">
        <v>3617</v>
      </c>
      <c r="B3634" s="10" t="s">
        <v>1015</v>
      </c>
      <c r="C3634" s="18" t="s">
        <v>1266</v>
      </c>
      <c r="D3634" s="9">
        <v>25</v>
      </c>
      <c r="E3634" s="9">
        <v>688</v>
      </c>
      <c r="F3634" s="10" t="s">
        <v>1066</v>
      </c>
      <c r="G3634" s="9">
        <v>925</v>
      </c>
      <c r="H3634" s="9">
        <v>1955</v>
      </c>
      <c r="I3634" s="8">
        <v>424.36599999999999</v>
      </c>
      <c r="J3634" s="8">
        <v>374.79300000000001</v>
      </c>
      <c r="K3634" s="8">
        <v>265.72199999999998</v>
      </c>
      <c r="L3634" s="8">
        <v>310.87799999999999</v>
      </c>
      <c r="M3634" s="8">
        <v>347.64800000000002</v>
      </c>
      <c r="N3634" s="8">
        <v>340.60500000000002</v>
      </c>
      <c r="O3634" s="8">
        <v>263.44600000000003</v>
      </c>
      <c r="P3634" s="8">
        <v>153.90700000000001</v>
      </c>
      <c r="Q3634" s="8">
        <v>185.136</v>
      </c>
      <c r="R3634" s="8">
        <v>224.483</v>
      </c>
      <c r="S3634" s="8">
        <v>196.018</v>
      </c>
      <c r="T3634" s="8">
        <v>154.91200000000001</v>
      </c>
      <c r="U3634" s="8">
        <v>92.543999999999997</v>
      </c>
      <c r="V3634" s="8">
        <v>80.191999999999993</v>
      </c>
      <c r="W3634" s="8">
        <v>59.302999999999997</v>
      </c>
      <c r="X3634" s="8">
        <v>38.563000000000002</v>
      </c>
      <c r="Y3634" s="8">
        <v>21.02</v>
      </c>
      <c r="Z3634" s="8">
        <v>6.4610000000000003</v>
      </c>
      <c r="AA3634" s="8">
        <v>1.5329999999999999</v>
      </c>
      <c r="AB3634" s="8">
        <v>0.23</v>
      </c>
      <c r="AC3634" s="8">
        <v>0.02</v>
      </c>
    </row>
    <row r="3635" spans="1:29" ht="11.65" x14ac:dyDescent="0.35">
      <c r="A3635" s="12">
        <v>3618</v>
      </c>
      <c r="B3635" s="10" t="s">
        <v>1015</v>
      </c>
      <c r="C3635" s="18" t="s">
        <v>1266</v>
      </c>
      <c r="D3635" s="9">
        <v>25</v>
      </c>
      <c r="E3635" s="9">
        <v>688</v>
      </c>
      <c r="F3635" s="10" t="s">
        <v>1066</v>
      </c>
      <c r="G3635" s="9">
        <v>925</v>
      </c>
      <c r="H3635" s="9">
        <v>1960</v>
      </c>
      <c r="I3635" s="8">
        <v>360.70400000000001</v>
      </c>
      <c r="J3635" s="8">
        <v>414.49200000000002</v>
      </c>
      <c r="K3635" s="8">
        <v>371.69900000000001</v>
      </c>
      <c r="L3635" s="8">
        <v>262.85399999999998</v>
      </c>
      <c r="M3635" s="8">
        <v>306.73899999999998</v>
      </c>
      <c r="N3635" s="8">
        <v>342.59100000000001</v>
      </c>
      <c r="O3635" s="8">
        <v>335.40300000000002</v>
      </c>
      <c r="P3635" s="8">
        <v>258.71899999999999</v>
      </c>
      <c r="Q3635" s="8">
        <v>149.756</v>
      </c>
      <c r="R3635" s="8">
        <v>177.941</v>
      </c>
      <c r="S3635" s="8">
        <v>212.28200000000001</v>
      </c>
      <c r="T3635" s="8">
        <v>180.554</v>
      </c>
      <c r="U3635" s="8">
        <v>136.75800000000001</v>
      </c>
      <c r="V3635" s="8">
        <v>76.768000000000001</v>
      </c>
      <c r="W3635" s="8">
        <v>61.438000000000002</v>
      </c>
      <c r="X3635" s="8">
        <v>39.408999999999999</v>
      </c>
      <c r="Y3635" s="8">
        <v>20.036999999999999</v>
      </c>
      <c r="Z3635" s="8">
        <v>7.7309999999999999</v>
      </c>
      <c r="AA3635" s="8">
        <v>1.46</v>
      </c>
      <c r="AB3635" s="8">
        <v>0.186</v>
      </c>
      <c r="AC3635" s="8">
        <v>1.4E-2</v>
      </c>
    </row>
    <row r="3636" spans="1:29" ht="11.65" x14ac:dyDescent="0.35">
      <c r="A3636" s="12">
        <v>3619</v>
      </c>
      <c r="B3636" s="10" t="s">
        <v>1015</v>
      </c>
      <c r="C3636" s="18" t="s">
        <v>1266</v>
      </c>
      <c r="D3636" s="9">
        <v>25</v>
      </c>
      <c r="E3636" s="9">
        <v>688</v>
      </c>
      <c r="F3636" s="10" t="s">
        <v>1066</v>
      </c>
      <c r="G3636" s="9">
        <v>925</v>
      </c>
      <c r="H3636" s="9">
        <v>1965</v>
      </c>
      <c r="I3636" s="8">
        <v>346.86</v>
      </c>
      <c r="J3636" s="8">
        <v>351.61</v>
      </c>
      <c r="K3636" s="8">
        <v>409.32100000000003</v>
      </c>
      <c r="L3636" s="8">
        <v>367.07299999999998</v>
      </c>
      <c r="M3636" s="8">
        <v>258.298</v>
      </c>
      <c r="N3636" s="8">
        <v>301.10700000000003</v>
      </c>
      <c r="O3636" s="8">
        <v>336.19099999999997</v>
      </c>
      <c r="P3636" s="8">
        <v>328.62900000000002</v>
      </c>
      <c r="Q3636" s="8">
        <v>252.239</v>
      </c>
      <c r="R3636" s="8">
        <v>143.941</v>
      </c>
      <c r="S3636" s="8">
        <v>168.36199999999999</v>
      </c>
      <c r="T3636" s="8">
        <v>196.376</v>
      </c>
      <c r="U3636" s="8">
        <v>160.50800000000001</v>
      </c>
      <c r="V3636" s="8">
        <v>114.943</v>
      </c>
      <c r="W3636" s="8">
        <v>59.744</v>
      </c>
      <c r="X3636" s="8">
        <v>41.658999999999999</v>
      </c>
      <c r="Y3636" s="8">
        <v>21.206</v>
      </c>
      <c r="Z3636" s="8">
        <v>7.9089999999999998</v>
      </c>
      <c r="AA3636" s="8">
        <v>1.9610000000000001</v>
      </c>
      <c r="AB3636" s="8">
        <v>0.21</v>
      </c>
      <c r="AC3636" s="8">
        <v>1.4999999999999999E-2</v>
      </c>
    </row>
    <row r="3637" spans="1:29" ht="11.65" x14ac:dyDescent="0.35">
      <c r="A3637" s="12">
        <v>3620</v>
      </c>
      <c r="B3637" s="10" t="s">
        <v>1015</v>
      </c>
      <c r="C3637" s="18" t="s">
        <v>1266</v>
      </c>
      <c r="D3637" s="9">
        <v>25</v>
      </c>
      <c r="E3637" s="9">
        <v>688</v>
      </c>
      <c r="F3637" s="10" t="s">
        <v>1066</v>
      </c>
      <c r="G3637" s="9">
        <v>925</v>
      </c>
      <c r="H3637" s="9">
        <v>1970</v>
      </c>
      <c r="I3637" s="8">
        <v>353.18200000000002</v>
      </c>
      <c r="J3637" s="8">
        <v>339.82499999999999</v>
      </c>
      <c r="K3637" s="8">
        <v>346.81799999999998</v>
      </c>
      <c r="L3637" s="8">
        <v>404.05099999999999</v>
      </c>
      <c r="M3637" s="8">
        <v>361.863</v>
      </c>
      <c r="N3637" s="8">
        <v>253.59399999999999</v>
      </c>
      <c r="O3637" s="8">
        <v>295.39800000000002</v>
      </c>
      <c r="P3637" s="8">
        <v>329.21499999999997</v>
      </c>
      <c r="Q3637" s="8">
        <v>320.315</v>
      </c>
      <c r="R3637" s="8">
        <v>243.56899999999999</v>
      </c>
      <c r="S3637" s="8">
        <v>136.39599999999999</v>
      </c>
      <c r="T3637" s="8">
        <v>155.72900000000001</v>
      </c>
      <c r="U3637" s="8">
        <v>174.893</v>
      </c>
      <c r="V3637" s="8">
        <v>135.14099999999999</v>
      </c>
      <c r="W3637" s="8">
        <v>89.948999999999998</v>
      </c>
      <c r="X3637" s="8">
        <v>40.676000000000002</v>
      </c>
      <c r="Y3637" s="8">
        <v>22.533000000000001</v>
      </c>
      <c r="Z3637" s="8">
        <v>8.44</v>
      </c>
      <c r="AA3637" s="8">
        <v>2.0499999999999998</v>
      </c>
      <c r="AB3637" s="8">
        <v>0.29499999999999998</v>
      </c>
      <c r="AC3637" s="8">
        <v>1.7000000000000001E-2</v>
      </c>
    </row>
    <row r="3638" spans="1:29" ht="11.65" x14ac:dyDescent="0.35">
      <c r="A3638" s="12">
        <v>3621</v>
      </c>
      <c r="B3638" s="10" t="s">
        <v>1015</v>
      </c>
      <c r="C3638" s="18" t="s">
        <v>1266</v>
      </c>
      <c r="D3638" s="9">
        <v>25</v>
      </c>
      <c r="E3638" s="9">
        <v>688</v>
      </c>
      <c r="F3638" s="10" t="s">
        <v>1066</v>
      </c>
      <c r="G3638" s="9">
        <v>925</v>
      </c>
      <c r="H3638" s="9">
        <v>1975</v>
      </c>
      <c r="I3638" s="8">
        <v>377.47899999999998</v>
      </c>
      <c r="J3638" s="8">
        <v>350.10300000000001</v>
      </c>
      <c r="K3638" s="8">
        <v>338.39600000000002</v>
      </c>
      <c r="L3638" s="8">
        <v>345.05200000000002</v>
      </c>
      <c r="M3638" s="8">
        <v>401.32400000000001</v>
      </c>
      <c r="N3638" s="8">
        <v>359.02800000000002</v>
      </c>
      <c r="O3638" s="8">
        <v>251.18100000000001</v>
      </c>
      <c r="P3638" s="8">
        <v>291.84899999999999</v>
      </c>
      <c r="Q3638" s="8">
        <v>323.483</v>
      </c>
      <c r="R3638" s="8">
        <v>311.65899999999999</v>
      </c>
      <c r="S3638" s="8">
        <v>233.51</v>
      </c>
      <c r="T3638" s="8">
        <v>127.607</v>
      </c>
      <c r="U3638" s="8">
        <v>140.11799999999999</v>
      </c>
      <c r="V3638" s="8">
        <v>148.91900000000001</v>
      </c>
      <c r="W3638" s="8">
        <v>106.977</v>
      </c>
      <c r="X3638" s="8">
        <v>62.03</v>
      </c>
      <c r="Y3638" s="8">
        <v>22.321000000000002</v>
      </c>
      <c r="Z3638" s="8">
        <v>9.1720000000000006</v>
      </c>
      <c r="AA3638" s="8">
        <v>2.2400000000000002</v>
      </c>
      <c r="AB3638" s="8">
        <v>0.313</v>
      </c>
      <c r="AC3638" s="8">
        <v>2.4E-2</v>
      </c>
    </row>
    <row r="3639" spans="1:29" ht="11.65" x14ac:dyDescent="0.35">
      <c r="A3639" s="12">
        <v>3622</v>
      </c>
      <c r="B3639" s="10" t="s">
        <v>1015</v>
      </c>
      <c r="C3639" s="18" t="s">
        <v>1266</v>
      </c>
      <c r="D3639" s="9">
        <v>25</v>
      </c>
      <c r="E3639" s="9">
        <v>688</v>
      </c>
      <c r="F3639" s="10" t="s">
        <v>1066</v>
      </c>
      <c r="G3639" s="9">
        <v>925</v>
      </c>
      <c r="H3639" s="9">
        <v>1980</v>
      </c>
      <c r="I3639" s="8">
        <v>397.85700000000003</v>
      </c>
      <c r="J3639" s="8">
        <v>375.87700000000001</v>
      </c>
      <c r="K3639" s="8">
        <v>349.77300000000002</v>
      </c>
      <c r="L3639" s="8">
        <v>337.83699999999999</v>
      </c>
      <c r="M3639" s="8">
        <v>343.79300000000001</v>
      </c>
      <c r="N3639" s="8">
        <v>399.27699999999999</v>
      </c>
      <c r="O3639" s="8">
        <v>356.774</v>
      </c>
      <c r="P3639" s="8">
        <v>249.00200000000001</v>
      </c>
      <c r="Q3639" s="8">
        <v>287.64999999999998</v>
      </c>
      <c r="R3639" s="8">
        <v>315.55700000000002</v>
      </c>
      <c r="S3639" s="8">
        <v>299.41300000000001</v>
      </c>
      <c r="T3639" s="8">
        <v>219.029</v>
      </c>
      <c r="U3639" s="8">
        <v>115.114</v>
      </c>
      <c r="V3639" s="8">
        <v>119.521</v>
      </c>
      <c r="W3639" s="8">
        <v>118.002</v>
      </c>
      <c r="X3639" s="8">
        <v>73.823999999999998</v>
      </c>
      <c r="Y3639" s="8">
        <v>34.052</v>
      </c>
      <c r="Z3639" s="8">
        <v>9.0109999999999992</v>
      </c>
      <c r="AA3639" s="8">
        <v>2.395</v>
      </c>
      <c r="AB3639" s="8">
        <v>0.33700000000000002</v>
      </c>
      <c r="AC3639" s="8">
        <v>2.5999999999999999E-2</v>
      </c>
    </row>
    <row r="3640" spans="1:29" ht="11.65" x14ac:dyDescent="0.35">
      <c r="A3640" s="12">
        <v>3623</v>
      </c>
      <c r="B3640" s="10" t="s">
        <v>1015</v>
      </c>
      <c r="C3640" s="18" t="s">
        <v>1266</v>
      </c>
      <c r="D3640" s="9">
        <v>25</v>
      </c>
      <c r="E3640" s="9">
        <v>688</v>
      </c>
      <c r="F3640" s="10" t="s">
        <v>1066</v>
      </c>
      <c r="G3640" s="9">
        <v>925</v>
      </c>
      <c r="H3640" s="9">
        <v>1985</v>
      </c>
      <c r="I3640" s="8">
        <v>389.53399999999999</v>
      </c>
      <c r="J3640" s="8">
        <v>395.68700000000001</v>
      </c>
      <c r="K3640" s="8">
        <v>374.83499999999998</v>
      </c>
      <c r="L3640" s="8">
        <v>348.541</v>
      </c>
      <c r="M3640" s="8">
        <v>335.95699999999999</v>
      </c>
      <c r="N3640" s="8">
        <v>341.416</v>
      </c>
      <c r="O3640" s="8">
        <v>396.17500000000001</v>
      </c>
      <c r="P3640" s="8">
        <v>353.13400000000001</v>
      </c>
      <c r="Q3640" s="8">
        <v>245</v>
      </c>
      <c r="R3640" s="8">
        <v>280.21899999999999</v>
      </c>
      <c r="S3640" s="8">
        <v>302.89299999999997</v>
      </c>
      <c r="T3640" s="8">
        <v>280.75200000000001</v>
      </c>
      <c r="U3640" s="8">
        <v>197.584</v>
      </c>
      <c r="V3640" s="8">
        <v>98.209000000000003</v>
      </c>
      <c r="W3640" s="8">
        <v>94.807000000000002</v>
      </c>
      <c r="X3640" s="8">
        <v>81.584000000000003</v>
      </c>
      <c r="Y3640" s="8">
        <v>40.758000000000003</v>
      </c>
      <c r="Z3640" s="8">
        <v>13.888</v>
      </c>
      <c r="AA3640" s="8">
        <v>2.3809999999999998</v>
      </c>
      <c r="AB3640" s="8">
        <v>0.36799999999999999</v>
      </c>
      <c r="AC3640" s="8">
        <v>2.8000000000000001E-2</v>
      </c>
    </row>
    <row r="3641" spans="1:29" ht="11.65" x14ac:dyDescent="0.35">
      <c r="A3641" s="12">
        <v>3624</v>
      </c>
      <c r="B3641" s="10" t="s">
        <v>1015</v>
      </c>
      <c r="C3641" s="18" t="s">
        <v>1266</v>
      </c>
      <c r="D3641" s="9">
        <v>25</v>
      </c>
      <c r="E3641" s="9">
        <v>688</v>
      </c>
      <c r="F3641" s="10" t="s">
        <v>1066</v>
      </c>
      <c r="G3641" s="9">
        <v>925</v>
      </c>
      <c r="H3641" s="9">
        <v>1990</v>
      </c>
      <c r="I3641" s="8">
        <v>376.053</v>
      </c>
      <c r="J3641" s="8">
        <v>387.14400000000001</v>
      </c>
      <c r="K3641" s="8">
        <v>393.87400000000002</v>
      </c>
      <c r="L3641" s="8">
        <v>372.82499999999999</v>
      </c>
      <c r="M3641" s="8">
        <v>345.887</v>
      </c>
      <c r="N3641" s="8">
        <v>332.88299999999998</v>
      </c>
      <c r="O3641" s="8">
        <v>337.839</v>
      </c>
      <c r="P3641" s="8">
        <v>391.161</v>
      </c>
      <c r="Q3641" s="8">
        <v>346.67</v>
      </c>
      <c r="R3641" s="8">
        <v>237.78</v>
      </c>
      <c r="S3641" s="8">
        <v>267.79000000000002</v>
      </c>
      <c r="T3641" s="8">
        <v>282.59399999999999</v>
      </c>
      <c r="U3641" s="8">
        <v>251.77199999999999</v>
      </c>
      <c r="V3641" s="8">
        <v>167.45699999999999</v>
      </c>
      <c r="W3641" s="8">
        <v>77.046000000000006</v>
      </c>
      <c r="X3641" s="8">
        <v>64.897000000000006</v>
      </c>
      <c r="Y3641" s="8">
        <v>44.323999999999998</v>
      </c>
      <c r="Z3641" s="8">
        <v>16.169</v>
      </c>
      <c r="AA3641" s="8">
        <v>3.5139999999999998</v>
      </c>
      <c r="AB3641" s="8">
        <v>0.34399999999999997</v>
      </c>
      <c r="AC3641" s="8">
        <v>2.9000000000000001E-2</v>
      </c>
    </row>
    <row r="3642" spans="1:29" ht="11.65" x14ac:dyDescent="0.35">
      <c r="A3642" s="12">
        <v>3625</v>
      </c>
      <c r="B3642" s="10" t="s">
        <v>1015</v>
      </c>
      <c r="C3642" s="18" t="s">
        <v>1266</v>
      </c>
      <c r="D3642" s="9">
        <v>25</v>
      </c>
      <c r="E3642" s="9">
        <v>688</v>
      </c>
      <c r="F3642" s="10" t="s">
        <v>1066</v>
      </c>
      <c r="G3642" s="9">
        <v>925</v>
      </c>
      <c r="H3642" s="9">
        <v>1995</v>
      </c>
      <c r="I3642" s="8">
        <v>341.26499999999999</v>
      </c>
      <c r="J3642" s="8">
        <v>381.35599999999999</v>
      </c>
      <c r="K3642" s="8">
        <v>392.351</v>
      </c>
      <c r="L3642" s="8">
        <v>399.04700000000003</v>
      </c>
      <c r="M3642" s="8">
        <v>377.50700000000001</v>
      </c>
      <c r="N3642" s="8">
        <v>349.60300000000001</v>
      </c>
      <c r="O3642" s="8">
        <v>335.89600000000002</v>
      </c>
      <c r="P3642" s="8">
        <v>340.71600000000001</v>
      </c>
      <c r="Q3642" s="8">
        <v>391.10500000000002</v>
      </c>
      <c r="R3642" s="8">
        <v>341.65300000000002</v>
      </c>
      <c r="S3642" s="8">
        <v>231.93199999999999</v>
      </c>
      <c r="T3642" s="8">
        <v>256.86200000000002</v>
      </c>
      <c r="U3642" s="8">
        <v>261.10899999999998</v>
      </c>
      <c r="V3642" s="8">
        <v>219.64400000000001</v>
      </c>
      <c r="W3642" s="8">
        <v>135.464</v>
      </c>
      <c r="X3642" s="8">
        <v>55.161999999999999</v>
      </c>
      <c r="Y3642" s="8">
        <v>36.938000000000002</v>
      </c>
      <c r="Z3642" s="8">
        <v>18.175000000000001</v>
      </c>
      <c r="AA3642" s="8">
        <v>4.2140000000000004</v>
      </c>
      <c r="AB3642" s="8">
        <v>0.52600000000000002</v>
      </c>
      <c r="AC3642" s="8">
        <v>2.8000000000000001E-2</v>
      </c>
    </row>
    <row r="3643" spans="1:29" ht="11.65" x14ac:dyDescent="0.35">
      <c r="A3643" s="12">
        <v>3626</v>
      </c>
      <c r="B3643" s="10" t="s">
        <v>1015</v>
      </c>
      <c r="C3643" s="18" t="s">
        <v>1266</v>
      </c>
      <c r="D3643" s="9">
        <v>25</v>
      </c>
      <c r="E3643" s="9">
        <v>688</v>
      </c>
      <c r="F3643" s="10" t="s">
        <v>1066</v>
      </c>
      <c r="G3643" s="9">
        <v>925</v>
      </c>
      <c r="H3643" s="9">
        <v>2000</v>
      </c>
      <c r="I3643" s="8">
        <v>306.49599999999998</v>
      </c>
      <c r="J3643" s="8">
        <v>333.17500000000001</v>
      </c>
      <c r="K3643" s="8">
        <v>357.43900000000002</v>
      </c>
      <c r="L3643" s="8">
        <v>343.58100000000002</v>
      </c>
      <c r="M3643" s="8">
        <v>349.50200000000001</v>
      </c>
      <c r="N3643" s="8">
        <v>336.40199999999999</v>
      </c>
      <c r="O3643" s="8">
        <v>316.8</v>
      </c>
      <c r="P3643" s="8">
        <v>312.03699999999998</v>
      </c>
      <c r="Q3643" s="8">
        <v>323.767</v>
      </c>
      <c r="R3643" s="8">
        <v>373.40800000000002</v>
      </c>
      <c r="S3643" s="8">
        <v>322.86500000000001</v>
      </c>
      <c r="T3643" s="8">
        <v>214.065</v>
      </c>
      <c r="U3643" s="8">
        <v>229.33</v>
      </c>
      <c r="V3643" s="8">
        <v>221.124</v>
      </c>
      <c r="W3643" s="8">
        <v>172.792</v>
      </c>
      <c r="X3643" s="8">
        <v>93.028000000000006</v>
      </c>
      <c r="Y3643" s="8">
        <v>29.94</v>
      </c>
      <c r="Z3643" s="8">
        <v>14.84</v>
      </c>
      <c r="AA3643" s="8">
        <v>4.7460000000000004</v>
      </c>
      <c r="AB3643" s="8">
        <v>0.63400000000000001</v>
      </c>
      <c r="AC3643" s="8">
        <v>4.2000000000000003E-2</v>
      </c>
    </row>
    <row r="3644" spans="1:29" ht="11.65" x14ac:dyDescent="0.35">
      <c r="A3644" s="12">
        <v>3627</v>
      </c>
      <c r="B3644" s="10" t="s">
        <v>1015</v>
      </c>
      <c r="C3644" s="18" t="s">
        <v>1266</v>
      </c>
      <c r="D3644" s="9">
        <v>25</v>
      </c>
      <c r="E3644" s="9">
        <v>688</v>
      </c>
      <c r="F3644" s="10" t="s">
        <v>1066</v>
      </c>
      <c r="G3644" s="9">
        <v>925</v>
      </c>
      <c r="H3644" s="9">
        <v>2005</v>
      </c>
      <c r="I3644" s="8">
        <v>276.16899999999998</v>
      </c>
      <c r="J3644" s="8">
        <v>290.68200000000002</v>
      </c>
      <c r="K3644" s="8">
        <v>317.64</v>
      </c>
      <c r="L3644" s="8">
        <v>342.661</v>
      </c>
      <c r="M3644" s="8">
        <v>326.00400000000002</v>
      </c>
      <c r="N3644" s="8">
        <v>333.16800000000001</v>
      </c>
      <c r="O3644" s="8">
        <v>321.97500000000002</v>
      </c>
      <c r="P3644" s="8">
        <v>301.21499999999997</v>
      </c>
      <c r="Q3644" s="8">
        <v>293.51900000000001</v>
      </c>
      <c r="R3644" s="8">
        <v>301.87400000000002</v>
      </c>
      <c r="S3644" s="8">
        <v>349.84699999999998</v>
      </c>
      <c r="T3644" s="8">
        <v>298.61500000000001</v>
      </c>
      <c r="U3644" s="8">
        <v>191.24199999999999</v>
      </c>
      <c r="V3644" s="8">
        <v>196.20500000000001</v>
      </c>
      <c r="W3644" s="8">
        <v>173.57</v>
      </c>
      <c r="X3644" s="8">
        <v>117.71</v>
      </c>
      <c r="Y3644" s="8">
        <v>51.965000000000003</v>
      </c>
      <c r="Z3644" s="8">
        <v>12.473000000000001</v>
      </c>
      <c r="AA3644" s="8">
        <v>3.8490000000000002</v>
      </c>
      <c r="AB3644" s="8">
        <v>0.64200000000000002</v>
      </c>
      <c r="AC3644" s="8">
        <v>4.4999999999999998E-2</v>
      </c>
    </row>
    <row r="3645" spans="1:29" ht="11.65" x14ac:dyDescent="0.35">
      <c r="A3645" s="12">
        <v>3628</v>
      </c>
      <c r="B3645" s="10" t="s">
        <v>1015</v>
      </c>
      <c r="C3645" s="18" t="s">
        <v>1266</v>
      </c>
      <c r="D3645" s="9">
        <v>25</v>
      </c>
      <c r="E3645" s="9">
        <v>688</v>
      </c>
      <c r="F3645" s="10" t="s">
        <v>1066</v>
      </c>
      <c r="G3645" s="9">
        <v>925</v>
      </c>
      <c r="H3645" s="9">
        <v>2010</v>
      </c>
      <c r="I3645" s="8">
        <v>252.643</v>
      </c>
      <c r="J3645" s="8">
        <v>269.88600000000002</v>
      </c>
      <c r="K3645" s="8">
        <v>280.67500000000001</v>
      </c>
      <c r="L3645" s="8">
        <v>304.45100000000002</v>
      </c>
      <c r="M3645" s="8">
        <v>327.27100000000002</v>
      </c>
      <c r="N3645" s="8">
        <v>310.98899999999998</v>
      </c>
      <c r="O3645" s="8">
        <v>320.05500000000001</v>
      </c>
      <c r="P3645" s="8">
        <v>311.04300000000001</v>
      </c>
      <c r="Q3645" s="8">
        <v>292.358</v>
      </c>
      <c r="R3645" s="8">
        <v>285.31</v>
      </c>
      <c r="S3645" s="8">
        <v>290.69299999999998</v>
      </c>
      <c r="T3645" s="8">
        <v>328.541</v>
      </c>
      <c r="U3645" s="8">
        <v>271.43900000000002</v>
      </c>
      <c r="V3645" s="8">
        <v>169.00399999999999</v>
      </c>
      <c r="W3645" s="8">
        <v>164.39699999999999</v>
      </c>
      <c r="X3645" s="8">
        <v>129.15700000000001</v>
      </c>
      <c r="Y3645" s="8">
        <v>71.963999999999999</v>
      </c>
      <c r="Z3645" s="8">
        <v>22.84</v>
      </c>
      <c r="AA3645" s="8">
        <v>3.2240000000000002</v>
      </c>
      <c r="AB3645" s="8">
        <v>0.48799999999999999</v>
      </c>
      <c r="AC3645" s="8">
        <v>4.1000000000000002E-2</v>
      </c>
    </row>
    <row r="3646" spans="1:29" ht="11.65" x14ac:dyDescent="0.35">
      <c r="A3646" s="12">
        <v>3629</v>
      </c>
      <c r="B3646" s="10" t="s">
        <v>1015</v>
      </c>
      <c r="C3646" s="18" t="s">
        <v>1266</v>
      </c>
      <c r="D3646" s="9">
        <v>25</v>
      </c>
      <c r="E3646" s="9">
        <v>688</v>
      </c>
      <c r="F3646" s="10" t="s">
        <v>1066</v>
      </c>
      <c r="G3646" s="9">
        <v>925</v>
      </c>
      <c r="H3646" s="9">
        <v>2015</v>
      </c>
      <c r="I3646" s="8">
        <v>225.50399999999999</v>
      </c>
      <c r="J3646" s="8">
        <v>251.60499999999999</v>
      </c>
      <c r="K3646" s="8">
        <v>264.56299999999999</v>
      </c>
      <c r="L3646" s="8">
        <v>272.35700000000003</v>
      </c>
      <c r="M3646" s="8">
        <v>294.62599999999998</v>
      </c>
      <c r="N3646" s="8">
        <v>317.62700000000001</v>
      </c>
      <c r="O3646" s="8">
        <v>302.62</v>
      </c>
      <c r="P3646" s="8">
        <v>312.88900000000001</v>
      </c>
      <c r="Q3646" s="8">
        <v>305.495</v>
      </c>
      <c r="R3646" s="8">
        <v>287.94099999999997</v>
      </c>
      <c r="S3646" s="8">
        <v>279.81200000000001</v>
      </c>
      <c r="T3646" s="8">
        <v>280.72300000000001</v>
      </c>
      <c r="U3646" s="8">
        <v>307.69</v>
      </c>
      <c r="V3646" s="8">
        <v>245.88</v>
      </c>
      <c r="W3646" s="8">
        <v>147.91800000000001</v>
      </c>
      <c r="X3646" s="8">
        <v>128.87100000000001</v>
      </c>
      <c r="Y3646" s="8">
        <v>84.847999999999999</v>
      </c>
      <c r="Z3646" s="8">
        <v>33.594999999999999</v>
      </c>
      <c r="AA3646" s="8">
        <v>6.069</v>
      </c>
      <c r="AB3646" s="8">
        <v>0.40899999999999997</v>
      </c>
      <c r="AC3646" s="8">
        <v>0.03</v>
      </c>
    </row>
    <row r="3647" spans="1:29" ht="11.65" x14ac:dyDescent="0.35">
      <c r="A3647" s="12">
        <v>3630</v>
      </c>
      <c r="B3647" s="10" t="s">
        <v>1015</v>
      </c>
      <c r="C3647" s="18" t="s">
        <v>1266</v>
      </c>
      <c r="D3647" s="9">
        <v>25</v>
      </c>
      <c r="E3647" s="9">
        <v>688</v>
      </c>
      <c r="F3647" s="10" t="s">
        <v>1066</v>
      </c>
      <c r="G3647" s="9">
        <v>925</v>
      </c>
      <c r="H3647" s="9">
        <v>2020</v>
      </c>
      <c r="I3647" s="8">
        <v>216.71100000000001</v>
      </c>
      <c r="J3647" s="8">
        <v>225.78200000000001</v>
      </c>
      <c r="K3647" s="8">
        <v>251.69</v>
      </c>
      <c r="L3647" s="8">
        <v>264.86500000000001</v>
      </c>
      <c r="M3647" s="8">
        <v>273.10300000000001</v>
      </c>
      <c r="N3647" s="8">
        <v>295.50799999999998</v>
      </c>
      <c r="O3647" s="8">
        <v>317.84800000000001</v>
      </c>
      <c r="P3647" s="8">
        <v>301.97699999999998</v>
      </c>
      <c r="Q3647" s="8">
        <v>310.90100000000001</v>
      </c>
      <c r="R3647" s="8">
        <v>301.34100000000001</v>
      </c>
      <c r="S3647" s="8">
        <v>280.32900000000001</v>
      </c>
      <c r="T3647" s="8">
        <v>266.358</v>
      </c>
      <c r="U3647" s="8">
        <v>258.69200000000001</v>
      </c>
      <c r="V3647" s="8">
        <v>271.83600000000001</v>
      </c>
      <c r="W3647" s="8">
        <v>205.01300000000001</v>
      </c>
      <c r="X3647" s="8">
        <v>110.33499999999999</v>
      </c>
      <c r="Y3647" s="8">
        <v>78.599000000000004</v>
      </c>
      <c r="Z3647" s="8">
        <v>38.517000000000003</v>
      </c>
      <c r="AA3647" s="8">
        <v>9.4139999999999997</v>
      </c>
      <c r="AB3647" s="8">
        <v>0.80600000000000005</v>
      </c>
      <c r="AC3647" s="8">
        <v>2.5999999999999999E-2</v>
      </c>
    </row>
    <row r="3648" spans="1:29" ht="11.65" x14ac:dyDescent="0.35">
      <c r="A3648" s="12">
        <v>3631</v>
      </c>
      <c r="B3648" s="10" t="s">
        <v>1015</v>
      </c>
      <c r="C3648" s="18" t="s">
        <v>1267</v>
      </c>
      <c r="D3648" s="9"/>
      <c r="E3648" s="9">
        <v>705</v>
      </c>
      <c r="F3648" s="10" t="s">
        <v>1066</v>
      </c>
      <c r="G3648" s="9">
        <v>925</v>
      </c>
      <c r="H3648" s="9">
        <v>1950</v>
      </c>
      <c r="I3648" s="8">
        <v>75.400999999999996</v>
      </c>
      <c r="J3648" s="8">
        <v>64.599999999999994</v>
      </c>
      <c r="K3648" s="8">
        <v>66.2</v>
      </c>
      <c r="L3648" s="8">
        <v>68.8</v>
      </c>
      <c r="M3648" s="8">
        <v>65.7</v>
      </c>
      <c r="N3648" s="8">
        <v>49.4</v>
      </c>
      <c r="O3648" s="8">
        <v>31.599</v>
      </c>
      <c r="P3648" s="8">
        <v>46</v>
      </c>
      <c r="Q3648" s="8">
        <v>52</v>
      </c>
      <c r="R3648" s="8">
        <v>48.298999999999999</v>
      </c>
      <c r="S3648" s="8">
        <v>39.6</v>
      </c>
      <c r="T3648" s="8">
        <v>27.699000000000002</v>
      </c>
      <c r="U3648" s="8">
        <v>22.600999999999999</v>
      </c>
      <c r="V3648" s="8">
        <v>18.600000000000001</v>
      </c>
      <c r="W3648" s="8">
        <v>12.9</v>
      </c>
      <c r="X3648" s="8">
        <v>8.6010000000000009</v>
      </c>
      <c r="Y3648" s="8">
        <v>4.1779999999999999</v>
      </c>
      <c r="Z3648" s="8">
        <v>1.5920000000000001</v>
      </c>
      <c r="AA3648" s="8">
        <v>0.378</v>
      </c>
      <c r="AB3648" s="8">
        <v>4.9000000000000002E-2</v>
      </c>
      <c r="AC3648" s="8">
        <v>3.0000000000000001E-3</v>
      </c>
    </row>
    <row r="3649" spans="1:29" ht="11.65" x14ac:dyDescent="0.35">
      <c r="A3649" s="12">
        <v>3632</v>
      </c>
      <c r="B3649" s="10" t="s">
        <v>1015</v>
      </c>
      <c r="C3649" s="18" t="s">
        <v>1267</v>
      </c>
      <c r="D3649" s="9"/>
      <c r="E3649" s="9">
        <v>705</v>
      </c>
      <c r="F3649" s="10" t="s">
        <v>1066</v>
      </c>
      <c r="G3649" s="9">
        <v>925</v>
      </c>
      <c r="H3649" s="9">
        <v>1955</v>
      </c>
      <c r="I3649" s="8">
        <v>77.974000000000004</v>
      </c>
      <c r="J3649" s="8">
        <v>74.790999999999997</v>
      </c>
      <c r="K3649" s="8">
        <v>64.210999999999999</v>
      </c>
      <c r="L3649" s="8">
        <v>64.840999999999994</v>
      </c>
      <c r="M3649" s="8">
        <v>66.162999999999997</v>
      </c>
      <c r="N3649" s="8">
        <v>62.929000000000002</v>
      </c>
      <c r="O3649" s="8">
        <v>47.203000000000003</v>
      </c>
      <c r="P3649" s="8">
        <v>29.963999999999999</v>
      </c>
      <c r="Q3649" s="8">
        <v>43.963999999999999</v>
      </c>
      <c r="R3649" s="8">
        <v>49.164999999999999</v>
      </c>
      <c r="S3649" s="8">
        <v>44.518999999999998</v>
      </c>
      <c r="T3649" s="8">
        <v>35.274000000000001</v>
      </c>
      <c r="U3649" s="8">
        <v>23.744</v>
      </c>
      <c r="V3649" s="8">
        <v>18.315999999999999</v>
      </c>
      <c r="W3649" s="8">
        <v>13.678000000000001</v>
      </c>
      <c r="X3649" s="8">
        <v>7.9829999999999997</v>
      </c>
      <c r="Y3649" s="8">
        <v>4.0510000000000002</v>
      </c>
      <c r="Z3649" s="8">
        <v>1.35</v>
      </c>
      <c r="AA3649" s="8">
        <v>0.32</v>
      </c>
      <c r="AB3649" s="8">
        <v>4.2999999999999997E-2</v>
      </c>
      <c r="AC3649" s="8">
        <v>3.0000000000000001E-3</v>
      </c>
    </row>
    <row r="3650" spans="1:29" ht="11.65" x14ac:dyDescent="0.35">
      <c r="A3650" s="12">
        <v>3633</v>
      </c>
      <c r="B3650" s="10" t="s">
        <v>1015</v>
      </c>
      <c r="C3650" s="18" t="s">
        <v>1267</v>
      </c>
      <c r="D3650" s="9"/>
      <c r="E3650" s="9">
        <v>705</v>
      </c>
      <c r="F3650" s="10" t="s">
        <v>1066</v>
      </c>
      <c r="G3650" s="9">
        <v>925</v>
      </c>
      <c r="H3650" s="9">
        <v>1960</v>
      </c>
      <c r="I3650" s="8">
        <v>72.599999999999994</v>
      </c>
      <c r="J3650" s="8">
        <v>77.441999999999993</v>
      </c>
      <c r="K3650" s="8">
        <v>74.421999999999997</v>
      </c>
      <c r="L3650" s="8">
        <v>62.219000000000001</v>
      </c>
      <c r="M3650" s="8">
        <v>63.277000000000001</v>
      </c>
      <c r="N3650" s="8">
        <v>65.203000000000003</v>
      </c>
      <c r="O3650" s="8">
        <v>62.140999999999998</v>
      </c>
      <c r="P3650" s="8">
        <v>46.468000000000004</v>
      </c>
      <c r="Q3650" s="8">
        <v>29.11</v>
      </c>
      <c r="R3650" s="8">
        <v>41.607999999999997</v>
      </c>
      <c r="S3650" s="8">
        <v>45.313000000000002</v>
      </c>
      <c r="T3650" s="8">
        <v>40.119</v>
      </c>
      <c r="U3650" s="8">
        <v>31.029</v>
      </c>
      <c r="V3650" s="8">
        <v>19.803999999999998</v>
      </c>
      <c r="W3650" s="8">
        <v>13.909000000000001</v>
      </c>
      <c r="X3650" s="8">
        <v>9.0329999999999995</v>
      </c>
      <c r="Y3650" s="8">
        <v>4.673</v>
      </c>
      <c r="Z3650" s="8">
        <v>1.37</v>
      </c>
      <c r="AA3650" s="8">
        <v>0.28299999999999997</v>
      </c>
      <c r="AB3650" s="8">
        <v>3.6999999999999998E-2</v>
      </c>
      <c r="AC3650" s="8">
        <v>3.0000000000000001E-3</v>
      </c>
    </row>
    <row r="3651" spans="1:29" ht="11.65" x14ac:dyDescent="0.35">
      <c r="A3651" s="12">
        <v>3634</v>
      </c>
      <c r="B3651" s="10" t="s">
        <v>1015</v>
      </c>
      <c r="C3651" s="18" t="s">
        <v>1267</v>
      </c>
      <c r="D3651" s="9"/>
      <c r="E3651" s="9">
        <v>705</v>
      </c>
      <c r="F3651" s="10" t="s">
        <v>1066</v>
      </c>
      <c r="G3651" s="9">
        <v>925</v>
      </c>
      <c r="H3651" s="9">
        <v>1965</v>
      </c>
      <c r="I3651" s="8">
        <v>71.117999999999995</v>
      </c>
      <c r="J3651" s="8">
        <v>69.495999999999995</v>
      </c>
      <c r="K3651" s="8">
        <v>75.503</v>
      </c>
      <c r="L3651" s="8">
        <v>71.710999999999999</v>
      </c>
      <c r="M3651" s="8">
        <v>60.997</v>
      </c>
      <c r="N3651" s="8">
        <v>61.898000000000003</v>
      </c>
      <c r="O3651" s="8">
        <v>63.802</v>
      </c>
      <c r="P3651" s="8">
        <v>60.615000000000002</v>
      </c>
      <c r="Q3651" s="8">
        <v>44.917000000000002</v>
      </c>
      <c r="R3651" s="8">
        <v>27.690999999999999</v>
      </c>
      <c r="S3651" s="8">
        <v>38.895000000000003</v>
      </c>
      <c r="T3651" s="8">
        <v>41.301000000000002</v>
      </c>
      <c r="U3651" s="8">
        <v>35.405000000000001</v>
      </c>
      <c r="V3651" s="8">
        <v>25.905999999999999</v>
      </c>
      <c r="W3651" s="8">
        <v>15.000999999999999</v>
      </c>
      <c r="X3651" s="8">
        <v>9.1999999999999993</v>
      </c>
      <c r="Y3651" s="8">
        <v>4.8520000000000003</v>
      </c>
      <c r="Z3651" s="8">
        <v>1.617</v>
      </c>
      <c r="AA3651" s="8">
        <v>0.29599999999999999</v>
      </c>
      <c r="AB3651" s="8">
        <v>3.4000000000000002E-2</v>
      </c>
      <c r="AC3651" s="8">
        <v>3.0000000000000001E-3</v>
      </c>
    </row>
    <row r="3652" spans="1:29" ht="11.65" x14ac:dyDescent="0.35">
      <c r="A3652" s="12">
        <v>3635</v>
      </c>
      <c r="B3652" s="10" t="s">
        <v>1015</v>
      </c>
      <c r="C3652" s="18" t="s">
        <v>1267</v>
      </c>
      <c r="D3652" s="9"/>
      <c r="E3652" s="9">
        <v>705</v>
      </c>
      <c r="F3652" s="10" t="s">
        <v>1066</v>
      </c>
      <c r="G3652" s="9">
        <v>925</v>
      </c>
      <c r="H3652" s="9">
        <v>1970</v>
      </c>
      <c r="I3652" s="8">
        <v>68.605999999999995</v>
      </c>
      <c r="J3652" s="8">
        <v>69.53</v>
      </c>
      <c r="K3652" s="8">
        <v>67.715000000000003</v>
      </c>
      <c r="L3652" s="8">
        <v>76.400999999999996</v>
      </c>
      <c r="M3652" s="8">
        <v>74.284999999999997</v>
      </c>
      <c r="N3652" s="8">
        <v>60.3</v>
      </c>
      <c r="O3652" s="8">
        <v>62.613999999999997</v>
      </c>
      <c r="P3652" s="8">
        <v>62.582000000000001</v>
      </c>
      <c r="Q3652" s="8">
        <v>58.465000000000003</v>
      </c>
      <c r="R3652" s="8">
        <v>43.018000000000001</v>
      </c>
      <c r="S3652" s="8">
        <v>26.585000000000001</v>
      </c>
      <c r="T3652" s="8">
        <v>36.325000000000003</v>
      </c>
      <c r="U3652" s="8">
        <v>37.265000000000001</v>
      </c>
      <c r="V3652" s="8">
        <v>29.027999999999999</v>
      </c>
      <c r="W3652" s="8">
        <v>19.388999999999999</v>
      </c>
      <c r="X3652" s="8">
        <v>9.3759999999999994</v>
      </c>
      <c r="Y3652" s="8">
        <v>4.5990000000000002</v>
      </c>
      <c r="Z3652" s="8">
        <v>1.66</v>
      </c>
      <c r="AA3652" s="8">
        <v>0.34399999999999997</v>
      </c>
      <c r="AB3652" s="8">
        <v>3.5000000000000003E-2</v>
      </c>
      <c r="AC3652" s="8">
        <v>3.0000000000000001E-3</v>
      </c>
    </row>
    <row r="3653" spans="1:29" ht="11.65" x14ac:dyDescent="0.35">
      <c r="A3653" s="12">
        <v>3636</v>
      </c>
      <c r="B3653" s="10" t="s">
        <v>1015</v>
      </c>
      <c r="C3653" s="18" t="s">
        <v>1267</v>
      </c>
      <c r="D3653" s="9"/>
      <c r="E3653" s="9">
        <v>705</v>
      </c>
      <c r="F3653" s="10" t="s">
        <v>1066</v>
      </c>
      <c r="G3653" s="9">
        <v>925</v>
      </c>
      <c r="H3653" s="9">
        <v>1975</v>
      </c>
      <c r="I3653" s="8">
        <v>73.224999999999994</v>
      </c>
      <c r="J3653" s="8">
        <v>69.094999999999999</v>
      </c>
      <c r="K3653" s="8">
        <v>70</v>
      </c>
      <c r="L3653" s="8">
        <v>68.093000000000004</v>
      </c>
      <c r="M3653" s="8">
        <v>76.402000000000001</v>
      </c>
      <c r="N3653" s="8">
        <v>74.111000000000004</v>
      </c>
      <c r="O3653" s="8">
        <v>60.197000000000003</v>
      </c>
      <c r="P3653" s="8">
        <v>62.2</v>
      </c>
      <c r="Q3653" s="8">
        <v>61.701999999999998</v>
      </c>
      <c r="R3653" s="8">
        <v>56.811999999999998</v>
      </c>
      <c r="S3653" s="8">
        <v>40.912999999999997</v>
      </c>
      <c r="T3653" s="8">
        <v>24.692</v>
      </c>
      <c r="U3653" s="8">
        <v>32.597000000000001</v>
      </c>
      <c r="V3653" s="8">
        <v>31.701000000000001</v>
      </c>
      <c r="W3653" s="8">
        <v>22.402000000000001</v>
      </c>
      <c r="X3653" s="8">
        <v>13.103</v>
      </c>
      <c r="Y3653" s="8">
        <v>5.218</v>
      </c>
      <c r="Z3653" s="8">
        <v>1.5880000000000001</v>
      </c>
      <c r="AA3653" s="8">
        <v>0.35599999999999998</v>
      </c>
      <c r="AB3653" s="8">
        <v>4.1000000000000002E-2</v>
      </c>
      <c r="AC3653" s="8">
        <v>3.0000000000000001E-3</v>
      </c>
    </row>
    <row r="3654" spans="1:29" ht="11.65" x14ac:dyDescent="0.35">
      <c r="A3654" s="12">
        <v>3637</v>
      </c>
      <c r="B3654" s="10" t="s">
        <v>1015</v>
      </c>
      <c r="C3654" s="18" t="s">
        <v>1267</v>
      </c>
      <c r="D3654" s="9"/>
      <c r="E3654" s="9">
        <v>705</v>
      </c>
      <c r="F3654" s="10" t="s">
        <v>1066</v>
      </c>
      <c r="G3654" s="9">
        <v>925</v>
      </c>
      <c r="H3654" s="9">
        <v>1980</v>
      </c>
      <c r="I3654" s="8">
        <v>77.173000000000002</v>
      </c>
      <c r="J3654" s="8">
        <v>74.028000000000006</v>
      </c>
      <c r="K3654" s="8">
        <v>70.39</v>
      </c>
      <c r="L3654" s="8">
        <v>71.322000000000003</v>
      </c>
      <c r="M3654" s="8">
        <v>73.128</v>
      </c>
      <c r="N3654" s="8">
        <v>80.959999999999994</v>
      </c>
      <c r="O3654" s="8">
        <v>71.076999999999998</v>
      </c>
      <c r="P3654" s="8">
        <v>56.155000000000001</v>
      </c>
      <c r="Q3654" s="8">
        <v>59.448</v>
      </c>
      <c r="R3654" s="8">
        <v>57.7</v>
      </c>
      <c r="S3654" s="8">
        <v>53.6</v>
      </c>
      <c r="T3654" s="8">
        <v>39.113</v>
      </c>
      <c r="U3654" s="8">
        <v>22.869</v>
      </c>
      <c r="V3654" s="8">
        <v>29.023</v>
      </c>
      <c r="W3654" s="8">
        <v>25.117999999999999</v>
      </c>
      <c r="X3654" s="8">
        <v>15.037000000000001</v>
      </c>
      <c r="Y3654" s="8">
        <v>8.1289999999999996</v>
      </c>
      <c r="Z3654" s="8">
        <v>1.8440000000000001</v>
      </c>
      <c r="AA3654" s="8">
        <v>0.34899999999999998</v>
      </c>
      <c r="AB3654" s="8">
        <v>4.2999999999999997E-2</v>
      </c>
      <c r="AC3654" s="8">
        <v>3.0000000000000001E-3</v>
      </c>
    </row>
    <row r="3655" spans="1:29" ht="11.65" x14ac:dyDescent="0.35">
      <c r="A3655" s="12">
        <v>3638</v>
      </c>
      <c r="B3655" s="10" t="s">
        <v>1015</v>
      </c>
      <c r="C3655" s="18" t="s">
        <v>1267</v>
      </c>
      <c r="D3655" s="9"/>
      <c r="E3655" s="9">
        <v>705</v>
      </c>
      <c r="F3655" s="10" t="s">
        <v>1066</v>
      </c>
      <c r="G3655" s="9">
        <v>925</v>
      </c>
      <c r="H3655" s="9">
        <v>1985</v>
      </c>
      <c r="I3655" s="8">
        <v>73.126000000000005</v>
      </c>
      <c r="J3655" s="8">
        <v>79.146000000000001</v>
      </c>
      <c r="K3655" s="8">
        <v>74.632999999999996</v>
      </c>
      <c r="L3655" s="8">
        <v>74.046000000000006</v>
      </c>
      <c r="M3655" s="8">
        <v>74.515000000000001</v>
      </c>
      <c r="N3655" s="8">
        <v>79.83</v>
      </c>
      <c r="O3655" s="8">
        <v>85.766000000000005</v>
      </c>
      <c r="P3655" s="8">
        <v>69.656000000000006</v>
      </c>
      <c r="Q3655" s="8">
        <v>63.347999999999999</v>
      </c>
      <c r="R3655" s="8">
        <v>60.731999999999999</v>
      </c>
      <c r="S3655" s="8">
        <v>58.802</v>
      </c>
      <c r="T3655" s="8">
        <v>48.234000000000002</v>
      </c>
      <c r="U3655" s="8">
        <v>35.091999999999999</v>
      </c>
      <c r="V3655" s="8">
        <v>17.373000000000001</v>
      </c>
      <c r="W3655" s="8">
        <v>25.073</v>
      </c>
      <c r="X3655" s="8">
        <v>16.561</v>
      </c>
      <c r="Y3655" s="8">
        <v>7.2140000000000004</v>
      </c>
      <c r="Z3655" s="8">
        <v>2.919</v>
      </c>
      <c r="AA3655" s="8">
        <v>0.42299999999999999</v>
      </c>
      <c r="AB3655" s="8">
        <v>4.8000000000000001E-2</v>
      </c>
      <c r="AC3655" s="8">
        <v>3.0000000000000001E-3</v>
      </c>
    </row>
    <row r="3656" spans="1:29" ht="11.65" x14ac:dyDescent="0.35">
      <c r="A3656" s="12">
        <v>3639</v>
      </c>
      <c r="B3656" s="10" t="s">
        <v>1015</v>
      </c>
      <c r="C3656" s="18" t="s">
        <v>1267</v>
      </c>
      <c r="D3656" s="9"/>
      <c r="E3656" s="9">
        <v>705</v>
      </c>
      <c r="F3656" s="10" t="s">
        <v>1066</v>
      </c>
      <c r="G3656" s="9">
        <v>925</v>
      </c>
      <c r="H3656" s="9">
        <v>1990</v>
      </c>
      <c r="I3656" s="8">
        <v>63.023000000000003</v>
      </c>
      <c r="J3656" s="8">
        <v>72.194000000000003</v>
      </c>
      <c r="K3656" s="8">
        <v>78.846000000000004</v>
      </c>
      <c r="L3656" s="8">
        <v>74.605999999999995</v>
      </c>
      <c r="M3656" s="8">
        <v>75.25</v>
      </c>
      <c r="N3656" s="8">
        <v>78.123999999999995</v>
      </c>
      <c r="O3656" s="8">
        <v>82.816000000000003</v>
      </c>
      <c r="P3656" s="8">
        <v>86.718000000000004</v>
      </c>
      <c r="Q3656" s="8">
        <v>69.363</v>
      </c>
      <c r="R3656" s="8">
        <v>62.954999999999998</v>
      </c>
      <c r="S3656" s="8">
        <v>58.773000000000003</v>
      </c>
      <c r="T3656" s="8">
        <v>55.268000000000001</v>
      </c>
      <c r="U3656" s="8">
        <v>43.16</v>
      </c>
      <c r="V3656" s="8">
        <v>29.733000000000001</v>
      </c>
      <c r="W3656" s="8">
        <v>13.625</v>
      </c>
      <c r="X3656" s="8">
        <v>17.738</v>
      </c>
      <c r="Y3656" s="8">
        <v>9.2780000000000005</v>
      </c>
      <c r="Z3656" s="8">
        <v>2.9039999999999999</v>
      </c>
      <c r="AA3656" s="8">
        <v>0.76600000000000001</v>
      </c>
      <c r="AB3656" s="8">
        <v>6.6000000000000003E-2</v>
      </c>
      <c r="AC3656" s="8">
        <v>4.0000000000000001E-3</v>
      </c>
    </row>
    <row r="3657" spans="1:29" ht="11.65" x14ac:dyDescent="0.35">
      <c r="A3657" s="12">
        <v>3640</v>
      </c>
      <c r="B3657" s="10" t="s">
        <v>1015</v>
      </c>
      <c r="C3657" s="18" t="s">
        <v>1267</v>
      </c>
      <c r="D3657" s="9"/>
      <c r="E3657" s="9">
        <v>705</v>
      </c>
      <c r="F3657" s="10" t="s">
        <v>1066</v>
      </c>
      <c r="G3657" s="9">
        <v>925</v>
      </c>
      <c r="H3657" s="9">
        <v>1995</v>
      </c>
      <c r="I3657" s="8">
        <v>50.975000000000001</v>
      </c>
      <c r="J3657" s="8">
        <v>63.11</v>
      </c>
      <c r="K3657" s="8">
        <v>71.683000000000007</v>
      </c>
      <c r="L3657" s="8">
        <v>78.516000000000005</v>
      </c>
      <c r="M3657" s="8">
        <v>73.043000000000006</v>
      </c>
      <c r="N3657" s="8">
        <v>73.838999999999999</v>
      </c>
      <c r="O3657" s="8">
        <v>75.953000000000003</v>
      </c>
      <c r="P3657" s="8">
        <v>79.710999999999999</v>
      </c>
      <c r="Q3657" s="8">
        <v>84.617999999999995</v>
      </c>
      <c r="R3657" s="8">
        <v>65.349999999999994</v>
      </c>
      <c r="S3657" s="8">
        <v>59.561</v>
      </c>
      <c r="T3657" s="8">
        <v>54.002000000000002</v>
      </c>
      <c r="U3657" s="8">
        <v>49.652000000000001</v>
      </c>
      <c r="V3657" s="8">
        <v>37.085000000000001</v>
      </c>
      <c r="W3657" s="8">
        <v>24.327999999999999</v>
      </c>
      <c r="X3657" s="8">
        <v>9.5190000000000001</v>
      </c>
      <c r="Y3657" s="8">
        <v>10.494</v>
      </c>
      <c r="Z3657" s="8">
        <v>4.0019999999999998</v>
      </c>
      <c r="AA3657" s="8">
        <v>0.81</v>
      </c>
      <c r="AB3657" s="8">
        <v>0.121</v>
      </c>
      <c r="AC3657" s="8">
        <v>6.0000000000000001E-3</v>
      </c>
    </row>
    <row r="3658" spans="1:29" ht="11.65" x14ac:dyDescent="0.35">
      <c r="A3658" s="12">
        <v>3641</v>
      </c>
      <c r="B3658" s="10" t="s">
        <v>1015</v>
      </c>
      <c r="C3658" s="18" t="s">
        <v>1267</v>
      </c>
      <c r="D3658" s="9"/>
      <c r="E3658" s="9">
        <v>705</v>
      </c>
      <c r="F3658" s="10" t="s">
        <v>1066</v>
      </c>
      <c r="G3658" s="9">
        <v>925</v>
      </c>
      <c r="H3658" s="9">
        <v>2000</v>
      </c>
      <c r="I3658" s="8">
        <v>46.37</v>
      </c>
      <c r="J3658" s="8">
        <v>51.548000000000002</v>
      </c>
      <c r="K3658" s="8">
        <v>63.075000000000003</v>
      </c>
      <c r="L3658" s="8">
        <v>71.484999999999999</v>
      </c>
      <c r="M3658" s="8">
        <v>79.156000000000006</v>
      </c>
      <c r="N3658" s="8">
        <v>74.28</v>
      </c>
      <c r="O3658" s="8">
        <v>76.117999999999995</v>
      </c>
      <c r="P3658" s="8">
        <v>77.870999999999995</v>
      </c>
      <c r="Q3658" s="8">
        <v>80.858000000000004</v>
      </c>
      <c r="R3658" s="8">
        <v>83.397999999999996</v>
      </c>
      <c r="S3658" s="8">
        <v>61.609000000000002</v>
      </c>
      <c r="T3658" s="8">
        <v>54.777999999999999</v>
      </c>
      <c r="U3658" s="8">
        <v>48.707999999999998</v>
      </c>
      <c r="V3658" s="8">
        <v>42.56</v>
      </c>
      <c r="W3658" s="8">
        <v>30.148</v>
      </c>
      <c r="X3658" s="8">
        <v>17.713000000000001</v>
      </c>
      <c r="Y3658" s="8">
        <v>6.1079999999999997</v>
      </c>
      <c r="Z3658" s="8">
        <v>4.87</v>
      </c>
      <c r="AA3658" s="8">
        <v>1.206</v>
      </c>
      <c r="AB3658" s="8">
        <v>0.13400000000000001</v>
      </c>
      <c r="AC3658" s="8">
        <v>1.0999999999999999E-2</v>
      </c>
    </row>
    <row r="3659" spans="1:29" ht="11.65" x14ac:dyDescent="0.35">
      <c r="A3659" s="12">
        <v>3642</v>
      </c>
      <c r="B3659" s="10" t="s">
        <v>1015</v>
      </c>
      <c r="C3659" s="18" t="s">
        <v>1267</v>
      </c>
      <c r="D3659" s="9"/>
      <c r="E3659" s="9">
        <v>705</v>
      </c>
      <c r="F3659" s="10" t="s">
        <v>1066</v>
      </c>
      <c r="G3659" s="9">
        <v>925</v>
      </c>
      <c r="H3659" s="9">
        <v>2005</v>
      </c>
      <c r="I3659" s="8">
        <v>45.024999999999999</v>
      </c>
      <c r="J3659" s="8">
        <v>46.526000000000003</v>
      </c>
      <c r="K3659" s="8">
        <v>51.664999999999999</v>
      </c>
      <c r="L3659" s="8">
        <v>63.734000000000002</v>
      </c>
      <c r="M3659" s="8">
        <v>72.531999999999996</v>
      </c>
      <c r="N3659" s="8">
        <v>80.042000000000002</v>
      </c>
      <c r="O3659" s="8">
        <v>74.873999999999995</v>
      </c>
      <c r="P3659" s="8">
        <v>76.245999999999995</v>
      </c>
      <c r="Q3659" s="8">
        <v>77.421999999999997</v>
      </c>
      <c r="R3659" s="8">
        <v>79.552000000000007</v>
      </c>
      <c r="S3659" s="8">
        <v>80.884</v>
      </c>
      <c r="T3659" s="8">
        <v>58.731999999999999</v>
      </c>
      <c r="U3659" s="8">
        <v>50.81</v>
      </c>
      <c r="V3659" s="8">
        <v>43.389000000000003</v>
      </c>
      <c r="W3659" s="8">
        <v>35.386000000000003</v>
      </c>
      <c r="X3659" s="8">
        <v>22.643999999999998</v>
      </c>
      <c r="Y3659" s="8">
        <v>11.324999999999999</v>
      </c>
      <c r="Z3659" s="8">
        <v>2.9249999999999998</v>
      </c>
      <c r="AA3659" s="8">
        <v>1.5489999999999999</v>
      </c>
      <c r="AB3659" s="8">
        <v>0.219</v>
      </c>
      <c r="AC3659" s="8">
        <v>1.2999999999999999E-2</v>
      </c>
    </row>
    <row r="3660" spans="1:29" ht="11.65" x14ac:dyDescent="0.35">
      <c r="A3660" s="12">
        <v>3643</v>
      </c>
      <c r="B3660" s="10" t="s">
        <v>1015</v>
      </c>
      <c r="C3660" s="18" t="s">
        <v>1267</v>
      </c>
      <c r="D3660" s="9"/>
      <c r="E3660" s="9">
        <v>705</v>
      </c>
      <c r="F3660" s="10" t="s">
        <v>1066</v>
      </c>
      <c r="G3660" s="9">
        <v>925</v>
      </c>
      <c r="H3660" s="9">
        <v>2010</v>
      </c>
      <c r="I3660" s="8">
        <v>53.707000000000001</v>
      </c>
      <c r="J3660" s="8">
        <v>46.045999999999999</v>
      </c>
      <c r="K3660" s="8">
        <v>47.637</v>
      </c>
      <c r="L3660" s="8">
        <v>52.814999999999998</v>
      </c>
      <c r="M3660" s="8">
        <v>67.760000000000005</v>
      </c>
      <c r="N3660" s="8">
        <v>77.561999999999998</v>
      </c>
      <c r="O3660" s="8">
        <v>83.682000000000002</v>
      </c>
      <c r="P3660" s="8">
        <v>78.087000000000003</v>
      </c>
      <c r="Q3660" s="8">
        <v>78.814999999999998</v>
      </c>
      <c r="R3660" s="8">
        <v>79.099999999999994</v>
      </c>
      <c r="S3660" s="8">
        <v>79.164000000000001</v>
      </c>
      <c r="T3660" s="8">
        <v>78.19</v>
      </c>
      <c r="U3660" s="8">
        <v>55.097000000000001</v>
      </c>
      <c r="V3660" s="8">
        <v>46.155999999999999</v>
      </c>
      <c r="W3660" s="8">
        <v>37.573</v>
      </c>
      <c r="X3660" s="8">
        <v>28.07</v>
      </c>
      <c r="Y3660" s="8">
        <v>15.58</v>
      </c>
      <c r="Z3660" s="8">
        <v>6.0380000000000003</v>
      </c>
      <c r="AA3660" s="8">
        <v>1.048</v>
      </c>
      <c r="AB3660" s="8">
        <v>0.32900000000000001</v>
      </c>
      <c r="AC3660" s="8">
        <v>2.5000000000000001E-2</v>
      </c>
    </row>
    <row r="3661" spans="1:29" ht="11.65" x14ac:dyDescent="0.35">
      <c r="A3661" s="12">
        <v>3644</v>
      </c>
      <c r="B3661" s="10" t="s">
        <v>1015</v>
      </c>
      <c r="C3661" s="18" t="s">
        <v>1267</v>
      </c>
      <c r="D3661" s="9"/>
      <c r="E3661" s="9">
        <v>705</v>
      </c>
      <c r="F3661" s="10" t="s">
        <v>1066</v>
      </c>
      <c r="G3661" s="9">
        <v>925</v>
      </c>
      <c r="H3661" s="9">
        <v>2015</v>
      </c>
      <c r="I3661" s="8">
        <v>55.896000000000001</v>
      </c>
      <c r="J3661" s="8">
        <v>53.774000000000001</v>
      </c>
      <c r="K3661" s="8">
        <v>46.854999999999997</v>
      </c>
      <c r="L3661" s="8">
        <v>49.029000000000003</v>
      </c>
      <c r="M3661" s="8">
        <v>55.18</v>
      </c>
      <c r="N3661" s="8">
        <v>69.076999999999998</v>
      </c>
      <c r="O3661" s="8">
        <v>78.177000000000007</v>
      </c>
      <c r="P3661" s="8">
        <v>83.570999999999998</v>
      </c>
      <c r="Q3661" s="8">
        <v>77.731999999999999</v>
      </c>
      <c r="R3661" s="8">
        <v>78.091999999999999</v>
      </c>
      <c r="S3661" s="8">
        <v>77.614999999999995</v>
      </c>
      <c r="T3661" s="8">
        <v>76.462999999999994</v>
      </c>
      <c r="U3661" s="8">
        <v>73.956000000000003</v>
      </c>
      <c r="V3661" s="8">
        <v>50.773000000000003</v>
      </c>
      <c r="W3661" s="8">
        <v>40.795999999999999</v>
      </c>
      <c r="X3661" s="8">
        <v>30.867000000000001</v>
      </c>
      <c r="Y3661" s="8">
        <v>20.048999999999999</v>
      </c>
      <c r="Z3661" s="8">
        <v>8.7379999999999995</v>
      </c>
      <c r="AA3661" s="8">
        <v>2.3340000000000001</v>
      </c>
      <c r="AB3661" s="8">
        <v>0.23599999999999999</v>
      </c>
      <c r="AC3661" s="8">
        <v>4.1000000000000002E-2</v>
      </c>
    </row>
    <row r="3662" spans="1:29" ht="11.65" x14ac:dyDescent="0.35">
      <c r="A3662" s="12">
        <v>3645</v>
      </c>
      <c r="B3662" s="10" t="s">
        <v>1015</v>
      </c>
      <c r="C3662" s="18" t="s">
        <v>1267</v>
      </c>
      <c r="D3662" s="9"/>
      <c r="E3662" s="9">
        <v>705</v>
      </c>
      <c r="F3662" s="10" t="s">
        <v>1066</v>
      </c>
      <c r="G3662" s="9">
        <v>925</v>
      </c>
      <c r="H3662" s="9">
        <v>2020</v>
      </c>
      <c r="I3662" s="8">
        <v>52.033000000000001</v>
      </c>
      <c r="J3662" s="8">
        <v>56.012999999999998</v>
      </c>
      <c r="K3662" s="8">
        <v>53.853999999999999</v>
      </c>
      <c r="L3662" s="8">
        <v>47.332999999999998</v>
      </c>
      <c r="M3662" s="8">
        <v>49.860999999999997</v>
      </c>
      <c r="N3662" s="8">
        <v>55.914999999999999</v>
      </c>
      <c r="O3662" s="8">
        <v>69.516000000000005</v>
      </c>
      <c r="P3662" s="8">
        <v>78.344999999999999</v>
      </c>
      <c r="Q3662" s="8">
        <v>83.47</v>
      </c>
      <c r="R3662" s="8">
        <v>77.290999999999997</v>
      </c>
      <c r="S3662" s="8">
        <v>76.94</v>
      </c>
      <c r="T3662" s="8">
        <v>75.409000000000006</v>
      </c>
      <c r="U3662" s="8">
        <v>72.831000000000003</v>
      </c>
      <c r="V3662" s="8">
        <v>68.599000000000004</v>
      </c>
      <c r="W3662" s="8">
        <v>45.362000000000002</v>
      </c>
      <c r="X3662" s="8">
        <v>34.220999999999997</v>
      </c>
      <c r="Y3662" s="8">
        <v>22.777999999999999</v>
      </c>
      <c r="Z3662" s="8">
        <v>11.512</v>
      </c>
      <c r="AA3662" s="8">
        <v>3.3809999999999998</v>
      </c>
      <c r="AB3662" s="8">
        <v>0.53400000000000003</v>
      </c>
      <c r="AC3662" s="8">
        <v>3.2000000000000001E-2</v>
      </c>
    </row>
    <row r="3663" spans="1:29" ht="11.65" x14ac:dyDescent="0.35">
      <c r="A3663" s="12">
        <v>3646</v>
      </c>
      <c r="B3663" s="10" t="s">
        <v>1015</v>
      </c>
      <c r="C3663" s="18" t="s">
        <v>1268</v>
      </c>
      <c r="D3663" s="9">
        <v>26</v>
      </c>
      <c r="E3663" s="9">
        <v>724</v>
      </c>
      <c r="F3663" s="10" t="s">
        <v>1066</v>
      </c>
      <c r="G3663" s="9">
        <v>925</v>
      </c>
      <c r="H3663" s="9">
        <v>1950</v>
      </c>
      <c r="I3663" s="8">
        <v>1362.501</v>
      </c>
      <c r="J3663" s="8">
        <v>1249.1869999999999</v>
      </c>
      <c r="K3663" s="8">
        <v>1179.7570000000001</v>
      </c>
      <c r="L3663" s="8">
        <v>1346.941</v>
      </c>
      <c r="M3663" s="8">
        <v>1321.606</v>
      </c>
      <c r="N3663" s="8">
        <v>1160.2850000000001</v>
      </c>
      <c r="O3663" s="8">
        <v>889.12</v>
      </c>
      <c r="P3663" s="8">
        <v>889.47799999999995</v>
      </c>
      <c r="Q3663" s="8">
        <v>862.09500000000003</v>
      </c>
      <c r="R3663" s="8">
        <v>789.09400000000005</v>
      </c>
      <c r="S3663" s="8">
        <v>640.13400000000001</v>
      </c>
      <c r="T3663" s="8">
        <v>532.01300000000003</v>
      </c>
      <c r="U3663" s="8">
        <v>457.48200000000003</v>
      </c>
      <c r="V3663" s="8">
        <v>347.44799999999998</v>
      </c>
      <c r="W3663" s="8">
        <v>240.221</v>
      </c>
      <c r="X3663" s="8">
        <v>141.464</v>
      </c>
      <c r="Y3663" s="8">
        <v>68.106999999999999</v>
      </c>
      <c r="Z3663" s="8">
        <v>23.681000000000001</v>
      </c>
      <c r="AA3663" s="8">
        <v>5.4829999999999997</v>
      </c>
      <c r="AB3663" s="8">
        <v>0.89700000000000002</v>
      </c>
      <c r="AC3663" s="8">
        <v>7.6999999999999999E-2</v>
      </c>
    </row>
    <row r="3664" spans="1:29" ht="11.65" x14ac:dyDescent="0.35">
      <c r="A3664" s="12">
        <v>3647</v>
      </c>
      <c r="B3664" s="10" t="s">
        <v>1015</v>
      </c>
      <c r="C3664" s="18" t="s">
        <v>1268</v>
      </c>
      <c r="D3664" s="9">
        <v>26</v>
      </c>
      <c r="E3664" s="9">
        <v>724</v>
      </c>
      <c r="F3664" s="10" t="s">
        <v>1066</v>
      </c>
      <c r="G3664" s="9">
        <v>925</v>
      </c>
      <c r="H3664" s="9">
        <v>1955</v>
      </c>
      <c r="I3664" s="8">
        <v>1386.202</v>
      </c>
      <c r="J3664" s="8">
        <v>1334.617</v>
      </c>
      <c r="K3664" s="8">
        <v>1250.1289999999999</v>
      </c>
      <c r="L3664" s="8">
        <v>1168.5029999999999</v>
      </c>
      <c r="M3664" s="8">
        <v>1303.2950000000001</v>
      </c>
      <c r="N3664" s="8">
        <v>1240.722</v>
      </c>
      <c r="O3664" s="8">
        <v>1090.317</v>
      </c>
      <c r="P3664" s="8">
        <v>850.22199999999998</v>
      </c>
      <c r="Q3664" s="8">
        <v>856.04</v>
      </c>
      <c r="R3664" s="8">
        <v>823.69500000000005</v>
      </c>
      <c r="S3664" s="8">
        <v>743.37400000000002</v>
      </c>
      <c r="T3664" s="8">
        <v>590.94600000000003</v>
      </c>
      <c r="U3664" s="8">
        <v>478.44</v>
      </c>
      <c r="V3664" s="8">
        <v>387.70100000000002</v>
      </c>
      <c r="W3664" s="8">
        <v>268.334</v>
      </c>
      <c r="X3664" s="8">
        <v>159.07499999999999</v>
      </c>
      <c r="Y3664" s="8">
        <v>78.525999999999996</v>
      </c>
      <c r="Z3664" s="8">
        <v>27.045999999999999</v>
      </c>
      <c r="AA3664" s="8">
        <v>6.5309999999999997</v>
      </c>
      <c r="AB3664" s="8">
        <v>1.0649999999999999</v>
      </c>
      <c r="AC3664" s="8">
        <v>9.5000000000000001E-2</v>
      </c>
    </row>
    <row r="3665" spans="1:29" ht="11.65" x14ac:dyDescent="0.35">
      <c r="A3665" s="12">
        <v>3648</v>
      </c>
      <c r="B3665" s="10" t="s">
        <v>1015</v>
      </c>
      <c r="C3665" s="18" t="s">
        <v>1268</v>
      </c>
      <c r="D3665" s="9">
        <v>26</v>
      </c>
      <c r="E3665" s="9">
        <v>724</v>
      </c>
      <c r="F3665" s="10" t="s">
        <v>1066</v>
      </c>
      <c r="G3665" s="9">
        <v>925</v>
      </c>
      <c r="H3665" s="9">
        <v>1960</v>
      </c>
      <c r="I3665" s="8">
        <v>1538.5609999999999</v>
      </c>
      <c r="J3665" s="8">
        <v>1361.028</v>
      </c>
      <c r="K3665" s="8">
        <v>1347.3330000000001</v>
      </c>
      <c r="L3665" s="8">
        <v>1254.9169999999999</v>
      </c>
      <c r="M3665" s="8">
        <v>1153.9639999999999</v>
      </c>
      <c r="N3665" s="8">
        <v>1262.3130000000001</v>
      </c>
      <c r="O3665" s="8">
        <v>1166.7950000000001</v>
      </c>
      <c r="P3665" s="8">
        <v>1026.222</v>
      </c>
      <c r="Q3665" s="8">
        <v>815.42700000000002</v>
      </c>
      <c r="R3665" s="8">
        <v>822.50300000000004</v>
      </c>
      <c r="S3665" s="8">
        <v>779.98400000000004</v>
      </c>
      <c r="T3665" s="8">
        <v>688.899</v>
      </c>
      <c r="U3665" s="8">
        <v>530.53</v>
      </c>
      <c r="V3665" s="8">
        <v>408.56</v>
      </c>
      <c r="W3665" s="8">
        <v>303.73500000000001</v>
      </c>
      <c r="X3665" s="8">
        <v>178.51599999999999</v>
      </c>
      <c r="Y3665" s="8">
        <v>87.858000000000004</v>
      </c>
      <c r="Z3665" s="8">
        <v>31.265999999999998</v>
      </c>
      <c r="AA3665" s="8">
        <v>7.1769999999999996</v>
      </c>
      <c r="AB3665" s="8">
        <v>1.1459999999999999</v>
      </c>
      <c r="AC3665" s="8">
        <v>0.10299999999999999</v>
      </c>
    </row>
    <row r="3666" spans="1:29" ht="11.65" x14ac:dyDescent="0.35">
      <c r="A3666" s="12">
        <v>3649</v>
      </c>
      <c r="B3666" s="10" t="s">
        <v>1015</v>
      </c>
      <c r="C3666" s="18" t="s">
        <v>1268</v>
      </c>
      <c r="D3666" s="9">
        <v>26</v>
      </c>
      <c r="E3666" s="9">
        <v>724</v>
      </c>
      <c r="F3666" s="10" t="s">
        <v>1066</v>
      </c>
      <c r="G3666" s="9">
        <v>925</v>
      </c>
      <c r="H3666" s="9">
        <v>1965</v>
      </c>
      <c r="I3666" s="8">
        <v>1639.348</v>
      </c>
      <c r="J3666" s="8">
        <v>1548.4839999999999</v>
      </c>
      <c r="K3666" s="8">
        <v>1357.385</v>
      </c>
      <c r="L3666" s="8">
        <v>1322.3420000000001</v>
      </c>
      <c r="M3666" s="8">
        <v>1203.5650000000001</v>
      </c>
      <c r="N3666" s="8">
        <v>1088.8030000000001</v>
      </c>
      <c r="O3666" s="8">
        <v>1217.298</v>
      </c>
      <c r="P3666" s="8">
        <v>1147.2380000000001</v>
      </c>
      <c r="Q3666" s="8">
        <v>1009.591</v>
      </c>
      <c r="R3666" s="8">
        <v>798.04300000000001</v>
      </c>
      <c r="S3666" s="8">
        <v>795.74400000000003</v>
      </c>
      <c r="T3666" s="8">
        <v>741.81</v>
      </c>
      <c r="U3666" s="8">
        <v>635.07500000000005</v>
      </c>
      <c r="V3666" s="8">
        <v>462.04</v>
      </c>
      <c r="W3666" s="8">
        <v>326.62799999999999</v>
      </c>
      <c r="X3666" s="8">
        <v>211.233</v>
      </c>
      <c r="Y3666" s="8">
        <v>103.307</v>
      </c>
      <c r="Z3666" s="8">
        <v>36.908000000000001</v>
      </c>
      <c r="AA3666" s="8">
        <v>8.6850000000000005</v>
      </c>
      <c r="AB3666" s="8">
        <v>1.24</v>
      </c>
      <c r="AC3666" s="8">
        <v>0.112</v>
      </c>
    </row>
    <row r="3667" spans="1:29" ht="11.65" x14ac:dyDescent="0.35">
      <c r="A3667" s="12">
        <v>3650</v>
      </c>
      <c r="B3667" s="10" t="s">
        <v>1015</v>
      </c>
      <c r="C3667" s="18" t="s">
        <v>1268</v>
      </c>
      <c r="D3667" s="9">
        <v>26</v>
      </c>
      <c r="E3667" s="9">
        <v>724</v>
      </c>
      <c r="F3667" s="10" t="s">
        <v>1066</v>
      </c>
      <c r="G3667" s="9">
        <v>925</v>
      </c>
      <c r="H3667" s="9">
        <v>1970</v>
      </c>
      <c r="I3667" s="8">
        <v>1659.056</v>
      </c>
      <c r="J3667" s="8">
        <v>1658.3979999999999</v>
      </c>
      <c r="K3667" s="8">
        <v>1557.6559999999999</v>
      </c>
      <c r="L3667" s="8">
        <v>1353.8309999999999</v>
      </c>
      <c r="M3667" s="8">
        <v>1290.1089999999999</v>
      </c>
      <c r="N3667" s="8">
        <v>1145.3969999999999</v>
      </c>
      <c r="O3667" s="8">
        <v>1018.588</v>
      </c>
      <c r="P3667" s="8">
        <v>1170.981</v>
      </c>
      <c r="Q3667" s="8">
        <v>1129.7819999999999</v>
      </c>
      <c r="R3667" s="8">
        <v>991.98199999999997</v>
      </c>
      <c r="S3667" s="8">
        <v>774.56500000000005</v>
      </c>
      <c r="T3667" s="8">
        <v>757.899</v>
      </c>
      <c r="U3667" s="8">
        <v>686.36900000000003</v>
      </c>
      <c r="V3667" s="8">
        <v>558.47799999999995</v>
      </c>
      <c r="W3667" s="8">
        <v>373.23700000000002</v>
      </c>
      <c r="X3667" s="8">
        <v>228.2</v>
      </c>
      <c r="Y3667" s="8">
        <v>122.98699999999999</v>
      </c>
      <c r="Z3667" s="8">
        <v>44.457999999999998</v>
      </c>
      <c r="AA3667" s="8">
        <v>10.534000000000001</v>
      </c>
      <c r="AB3667" s="8">
        <v>1.5429999999999999</v>
      </c>
      <c r="AC3667" s="8">
        <v>0.122</v>
      </c>
    </row>
    <row r="3668" spans="1:29" ht="11.65" x14ac:dyDescent="0.35">
      <c r="A3668" s="12">
        <v>3651</v>
      </c>
      <c r="B3668" s="10" t="s">
        <v>1015</v>
      </c>
      <c r="C3668" s="18" t="s">
        <v>1268</v>
      </c>
      <c r="D3668" s="9">
        <v>26</v>
      </c>
      <c r="E3668" s="9">
        <v>724</v>
      </c>
      <c r="F3668" s="10" t="s">
        <v>1066</v>
      </c>
      <c r="G3668" s="9">
        <v>925</v>
      </c>
      <c r="H3668" s="9">
        <v>1975</v>
      </c>
      <c r="I3668" s="8">
        <v>1707.865</v>
      </c>
      <c r="J3668" s="8">
        <v>1671.394</v>
      </c>
      <c r="K3668" s="8">
        <v>1669.2940000000001</v>
      </c>
      <c r="L3668" s="8">
        <v>1547.915</v>
      </c>
      <c r="M3668" s="8">
        <v>1323.3119999999999</v>
      </c>
      <c r="N3668" s="8">
        <v>1261.268</v>
      </c>
      <c r="O3668" s="8">
        <v>1139.9390000000001</v>
      </c>
      <c r="P3668" s="8">
        <v>1024.5930000000001</v>
      </c>
      <c r="Q3668" s="8">
        <v>1169.5350000000001</v>
      </c>
      <c r="R3668" s="8">
        <v>1121.087</v>
      </c>
      <c r="S3668" s="8">
        <v>969.57100000000003</v>
      </c>
      <c r="T3668" s="8">
        <v>740.91099999999994</v>
      </c>
      <c r="U3668" s="8">
        <v>703.26199999999994</v>
      </c>
      <c r="V3668" s="8">
        <v>604.63699999999994</v>
      </c>
      <c r="W3668" s="8">
        <v>451.03800000000001</v>
      </c>
      <c r="X3668" s="8">
        <v>261.74299999999999</v>
      </c>
      <c r="Y3668" s="8">
        <v>131.77099999999999</v>
      </c>
      <c r="Z3668" s="8">
        <v>52.238</v>
      </c>
      <c r="AA3668" s="8">
        <v>12.42</v>
      </c>
      <c r="AB3668" s="8">
        <v>1.754</v>
      </c>
      <c r="AC3668" s="8">
        <v>0.14399999999999999</v>
      </c>
    </row>
    <row r="3669" spans="1:29" ht="11.65" x14ac:dyDescent="0.35">
      <c r="A3669" s="12">
        <v>3652</v>
      </c>
      <c r="B3669" s="10" t="s">
        <v>1015</v>
      </c>
      <c r="C3669" s="18" t="s">
        <v>1268</v>
      </c>
      <c r="D3669" s="9">
        <v>26</v>
      </c>
      <c r="E3669" s="9">
        <v>724</v>
      </c>
      <c r="F3669" s="10" t="s">
        <v>1066</v>
      </c>
      <c r="G3669" s="9">
        <v>925</v>
      </c>
      <c r="H3669" s="9">
        <v>1980</v>
      </c>
      <c r="I3669" s="8">
        <v>1634.9110000000001</v>
      </c>
      <c r="J3669" s="8">
        <v>1709.653</v>
      </c>
      <c r="K3669" s="8">
        <v>1687.54</v>
      </c>
      <c r="L3669" s="8">
        <v>1680.673</v>
      </c>
      <c r="M3669" s="8">
        <v>1525.6089999999999</v>
      </c>
      <c r="N3669" s="8">
        <v>1284.7439999999999</v>
      </c>
      <c r="O3669" s="8">
        <v>1226.298</v>
      </c>
      <c r="P3669" s="8">
        <v>1126.5440000000001</v>
      </c>
      <c r="Q3669" s="8">
        <v>1028.298</v>
      </c>
      <c r="R3669" s="8">
        <v>1162.7550000000001</v>
      </c>
      <c r="S3669" s="8">
        <v>1099.3579999999999</v>
      </c>
      <c r="T3669" s="8">
        <v>932.12800000000004</v>
      </c>
      <c r="U3669" s="8">
        <v>692.67700000000002</v>
      </c>
      <c r="V3669" s="8">
        <v>630.71699999999998</v>
      </c>
      <c r="W3669" s="8">
        <v>503.89400000000001</v>
      </c>
      <c r="X3669" s="8">
        <v>331.84399999999999</v>
      </c>
      <c r="Y3669" s="8">
        <v>160.64699999999999</v>
      </c>
      <c r="Z3669" s="8">
        <v>60.731000000000002</v>
      </c>
      <c r="AA3669" s="8">
        <v>15.978</v>
      </c>
      <c r="AB3669" s="8">
        <v>2.3359999999999999</v>
      </c>
      <c r="AC3669" s="8">
        <v>0.191</v>
      </c>
    </row>
    <row r="3670" spans="1:29" ht="11.65" x14ac:dyDescent="0.35">
      <c r="A3670" s="12">
        <v>3653</v>
      </c>
      <c r="B3670" s="10" t="s">
        <v>1015</v>
      </c>
      <c r="C3670" s="18" t="s">
        <v>1268</v>
      </c>
      <c r="D3670" s="9">
        <v>26</v>
      </c>
      <c r="E3670" s="9">
        <v>724</v>
      </c>
      <c r="F3670" s="10" t="s">
        <v>1066</v>
      </c>
      <c r="G3670" s="9">
        <v>925</v>
      </c>
      <c r="H3670" s="9">
        <v>1985</v>
      </c>
      <c r="I3670" s="8">
        <v>1313.8920000000001</v>
      </c>
      <c r="J3670" s="8">
        <v>1640.4649999999999</v>
      </c>
      <c r="K3670" s="8">
        <v>1711.3019999999999</v>
      </c>
      <c r="L3670" s="8">
        <v>1680.068</v>
      </c>
      <c r="M3670" s="8">
        <v>1651.537</v>
      </c>
      <c r="N3670" s="8">
        <v>1494.817</v>
      </c>
      <c r="O3670" s="8">
        <v>1266.894</v>
      </c>
      <c r="P3670" s="8">
        <v>1211.0340000000001</v>
      </c>
      <c r="Q3670" s="8">
        <v>1109.8489999999999</v>
      </c>
      <c r="R3670" s="8">
        <v>1009.205</v>
      </c>
      <c r="S3670" s="8">
        <v>1130.8579999999999</v>
      </c>
      <c r="T3670" s="8">
        <v>1055.172</v>
      </c>
      <c r="U3670" s="8">
        <v>875.49300000000005</v>
      </c>
      <c r="V3670" s="8">
        <v>627.10400000000004</v>
      </c>
      <c r="W3670" s="8">
        <v>534.05999999999995</v>
      </c>
      <c r="X3670" s="8">
        <v>381.327</v>
      </c>
      <c r="Y3670" s="8">
        <v>212.64</v>
      </c>
      <c r="Z3670" s="8">
        <v>78.569999999999993</v>
      </c>
      <c r="AA3670" s="8">
        <v>19.949000000000002</v>
      </c>
      <c r="AB3670" s="8">
        <v>3.2890000000000001</v>
      </c>
      <c r="AC3670" s="8">
        <v>0.26500000000000001</v>
      </c>
    </row>
    <row r="3671" spans="1:29" ht="11.65" x14ac:dyDescent="0.35">
      <c r="A3671" s="12">
        <v>3654</v>
      </c>
      <c r="B3671" s="10" t="s">
        <v>1015</v>
      </c>
      <c r="C3671" s="18" t="s">
        <v>1268</v>
      </c>
      <c r="D3671" s="9">
        <v>26</v>
      </c>
      <c r="E3671" s="9">
        <v>724</v>
      </c>
      <c r="F3671" s="10" t="s">
        <v>1066</v>
      </c>
      <c r="G3671" s="9">
        <v>925</v>
      </c>
      <c r="H3671" s="9">
        <v>1990</v>
      </c>
      <c r="I3671" s="8">
        <v>1081.568</v>
      </c>
      <c r="J3671" s="8">
        <v>1304.675</v>
      </c>
      <c r="K3671" s="8">
        <v>1638.9680000000001</v>
      </c>
      <c r="L3671" s="8">
        <v>1712.1310000000001</v>
      </c>
      <c r="M3671" s="8">
        <v>1662.5039999999999</v>
      </c>
      <c r="N3671" s="8">
        <v>1612.9090000000001</v>
      </c>
      <c r="O3671" s="8">
        <v>1460.9349999999999</v>
      </c>
      <c r="P3671" s="8">
        <v>1249.2070000000001</v>
      </c>
      <c r="Q3671" s="8">
        <v>1194.758</v>
      </c>
      <c r="R3671" s="8">
        <v>1088.079</v>
      </c>
      <c r="S3671" s="8">
        <v>979.11300000000006</v>
      </c>
      <c r="T3671" s="8">
        <v>1082.761</v>
      </c>
      <c r="U3671" s="8">
        <v>990.94200000000001</v>
      </c>
      <c r="V3671" s="8">
        <v>796.51700000000005</v>
      </c>
      <c r="W3671" s="8">
        <v>538.95100000000002</v>
      </c>
      <c r="X3671" s="8">
        <v>414.52300000000002</v>
      </c>
      <c r="Y3671" s="8">
        <v>253.74100000000001</v>
      </c>
      <c r="Z3671" s="8">
        <v>109.95099999999999</v>
      </c>
      <c r="AA3671" s="8">
        <v>27.216999999999999</v>
      </c>
      <c r="AB3671" s="8">
        <v>4.1769999999999996</v>
      </c>
      <c r="AC3671" s="8">
        <v>0.38700000000000001</v>
      </c>
    </row>
    <row r="3672" spans="1:29" ht="11.65" x14ac:dyDescent="0.35">
      <c r="A3672" s="12">
        <v>3655</v>
      </c>
      <c r="B3672" s="10" t="s">
        <v>1015</v>
      </c>
      <c r="C3672" s="18" t="s">
        <v>1268</v>
      </c>
      <c r="D3672" s="9">
        <v>26</v>
      </c>
      <c r="E3672" s="9">
        <v>724</v>
      </c>
      <c r="F3672" s="10" t="s">
        <v>1066</v>
      </c>
      <c r="G3672" s="9">
        <v>925</v>
      </c>
      <c r="H3672" s="9">
        <v>1995</v>
      </c>
      <c r="I3672" s="8">
        <v>1003.509</v>
      </c>
      <c r="J3672" s="8">
        <v>1087.6020000000001</v>
      </c>
      <c r="K3672" s="8">
        <v>1319.749</v>
      </c>
      <c r="L3672" s="8">
        <v>1647.9159999999999</v>
      </c>
      <c r="M3672" s="8">
        <v>1703.942</v>
      </c>
      <c r="N3672" s="8">
        <v>1650.39</v>
      </c>
      <c r="O3672" s="8">
        <v>1606.8689999999999</v>
      </c>
      <c r="P3672" s="8">
        <v>1461.3340000000001</v>
      </c>
      <c r="Q3672" s="8">
        <v>1254.6010000000001</v>
      </c>
      <c r="R3672" s="8">
        <v>1192.8409999999999</v>
      </c>
      <c r="S3672" s="8">
        <v>1067.462</v>
      </c>
      <c r="T3672" s="8">
        <v>952.96100000000001</v>
      </c>
      <c r="U3672" s="8">
        <v>1033.481</v>
      </c>
      <c r="V3672" s="8">
        <v>909.63499999999999</v>
      </c>
      <c r="W3672" s="8">
        <v>687.97199999999998</v>
      </c>
      <c r="X3672" s="8">
        <v>428.23899999999998</v>
      </c>
      <c r="Y3672" s="8">
        <v>289.28800000000001</v>
      </c>
      <c r="Z3672" s="8">
        <v>136.91999999999999</v>
      </c>
      <c r="AA3672" s="8">
        <v>40.088000000000001</v>
      </c>
      <c r="AB3672" s="8">
        <v>5.9420000000000002</v>
      </c>
      <c r="AC3672" s="8">
        <v>0.497</v>
      </c>
    </row>
    <row r="3673" spans="1:29" ht="11.65" x14ac:dyDescent="0.35">
      <c r="A3673" s="12">
        <v>3656</v>
      </c>
      <c r="B3673" s="10" t="s">
        <v>1015</v>
      </c>
      <c r="C3673" s="18" t="s">
        <v>1268</v>
      </c>
      <c r="D3673" s="9">
        <v>26</v>
      </c>
      <c r="E3673" s="9">
        <v>724</v>
      </c>
      <c r="F3673" s="10" t="s">
        <v>1066</v>
      </c>
      <c r="G3673" s="9">
        <v>925</v>
      </c>
      <c r="H3673" s="9">
        <v>2000</v>
      </c>
      <c r="I3673" s="8">
        <v>969.71799999999996</v>
      </c>
      <c r="J3673" s="8">
        <v>1010.117</v>
      </c>
      <c r="K3673" s="8">
        <v>1116.9829999999999</v>
      </c>
      <c r="L3673" s="8">
        <v>1360.856</v>
      </c>
      <c r="M3673" s="8">
        <v>1688.4010000000001</v>
      </c>
      <c r="N3673" s="8">
        <v>1746.471</v>
      </c>
      <c r="O3673" s="8">
        <v>1691.634</v>
      </c>
      <c r="P3673" s="8">
        <v>1649.0709999999999</v>
      </c>
      <c r="Q3673" s="8">
        <v>1498.538</v>
      </c>
      <c r="R3673" s="8">
        <v>1276.9880000000001</v>
      </c>
      <c r="S3673" s="8">
        <v>1195.92</v>
      </c>
      <c r="T3673" s="8">
        <v>1054.2850000000001</v>
      </c>
      <c r="U3673" s="8">
        <v>923.279</v>
      </c>
      <c r="V3673" s="8">
        <v>970.84699999999998</v>
      </c>
      <c r="W3673" s="8">
        <v>811.01199999999994</v>
      </c>
      <c r="X3673" s="8">
        <v>556.74400000000003</v>
      </c>
      <c r="Y3673" s="8">
        <v>301.00700000000001</v>
      </c>
      <c r="Z3673" s="8">
        <v>159.16900000000001</v>
      </c>
      <c r="AA3673" s="8">
        <v>50.604999999999997</v>
      </c>
      <c r="AB3673" s="8">
        <v>8.8170000000000002</v>
      </c>
      <c r="AC3673" s="8">
        <v>0.69799999999999995</v>
      </c>
    </row>
    <row r="3674" spans="1:29" ht="11.65" x14ac:dyDescent="0.35">
      <c r="A3674" s="12">
        <v>3657</v>
      </c>
      <c r="B3674" s="10" t="s">
        <v>1015</v>
      </c>
      <c r="C3674" s="18" t="s">
        <v>1268</v>
      </c>
      <c r="D3674" s="9">
        <v>26</v>
      </c>
      <c r="E3674" s="9">
        <v>724</v>
      </c>
      <c r="F3674" s="10" t="s">
        <v>1066</v>
      </c>
      <c r="G3674" s="9">
        <v>925</v>
      </c>
      <c r="H3674" s="9">
        <v>2005</v>
      </c>
      <c r="I3674" s="8">
        <v>1118.752</v>
      </c>
      <c r="J3674" s="8">
        <v>1020.722</v>
      </c>
      <c r="K3674" s="8">
        <v>1084.836</v>
      </c>
      <c r="L3674" s="8">
        <v>1195.825</v>
      </c>
      <c r="M3674" s="8">
        <v>1481.4670000000001</v>
      </c>
      <c r="N3674" s="8">
        <v>1896.55</v>
      </c>
      <c r="O3674" s="8">
        <v>1988.71</v>
      </c>
      <c r="P3674" s="8">
        <v>1887.002</v>
      </c>
      <c r="Q3674" s="8">
        <v>1784.6559999999999</v>
      </c>
      <c r="R3674" s="8">
        <v>1585.117</v>
      </c>
      <c r="S3674" s="8">
        <v>1322.914</v>
      </c>
      <c r="T3674" s="8">
        <v>1207.501</v>
      </c>
      <c r="U3674" s="8">
        <v>1043.116</v>
      </c>
      <c r="V3674" s="8">
        <v>887.923</v>
      </c>
      <c r="W3674" s="8">
        <v>882.57100000000003</v>
      </c>
      <c r="X3674" s="8">
        <v>674.95600000000002</v>
      </c>
      <c r="Y3674" s="8">
        <v>406.27100000000002</v>
      </c>
      <c r="Z3674" s="8">
        <v>172.654</v>
      </c>
      <c r="AA3674" s="8">
        <v>61.731000000000002</v>
      </c>
      <c r="AB3674" s="8">
        <v>11.513999999999999</v>
      </c>
      <c r="AC3674" s="8">
        <v>1.054</v>
      </c>
    </row>
    <row r="3675" spans="1:29" ht="11.65" x14ac:dyDescent="0.35">
      <c r="A3675" s="12">
        <v>3658</v>
      </c>
      <c r="B3675" s="10" t="s">
        <v>1015</v>
      </c>
      <c r="C3675" s="18" t="s">
        <v>1268</v>
      </c>
      <c r="D3675" s="9">
        <v>26</v>
      </c>
      <c r="E3675" s="9">
        <v>724</v>
      </c>
      <c r="F3675" s="10" t="s">
        <v>1066</v>
      </c>
      <c r="G3675" s="9">
        <v>925</v>
      </c>
      <c r="H3675" s="9">
        <v>2010</v>
      </c>
      <c r="I3675" s="8">
        <v>1293.0640000000001</v>
      </c>
      <c r="J3675" s="8">
        <v>1146.8779999999999</v>
      </c>
      <c r="K3675" s="8">
        <v>1133.4580000000001</v>
      </c>
      <c r="L3675" s="8">
        <v>1183.5830000000001</v>
      </c>
      <c r="M3675" s="8">
        <v>1339.3789999999999</v>
      </c>
      <c r="N3675" s="8">
        <v>1721.8720000000001</v>
      </c>
      <c r="O3675" s="8">
        <v>2140.085</v>
      </c>
      <c r="P3675" s="8">
        <v>2120.7150000000001</v>
      </c>
      <c r="Q3675" s="8">
        <v>1929.104</v>
      </c>
      <c r="R3675" s="8">
        <v>1788.7239999999999</v>
      </c>
      <c r="S3675" s="8">
        <v>1539.4559999999999</v>
      </c>
      <c r="T3675" s="8">
        <v>1269.373</v>
      </c>
      <c r="U3675" s="8">
        <v>1180.7280000000001</v>
      </c>
      <c r="V3675" s="8">
        <v>1014.021</v>
      </c>
      <c r="W3675" s="8">
        <v>790.351</v>
      </c>
      <c r="X3675" s="8">
        <v>768.92499999999995</v>
      </c>
      <c r="Y3675" s="8">
        <v>517.29</v>
      </c>
      <c r="Z3675" s="8">
        <v>231.80500000000001</v>
      </c>
      <c r="AA3675" s="8">
        <v>70.897999999999996</v>
      </c>
      <c r="AB3675" s="8">
        <v>14.959</v>
      </c>
      <c r="AC3675" s="8">
        <v>1.4650000000000001</v>
      </c>
    </row>
    <row r="3676" spans="1:29" ht="11.65" x14ac:dyDescent="0.35">
      <c r="A3676" s="12">
        <v>3659</v>
      </c>
      <c r="B3676" s="10" t="s">
        <v>1015</v>
      </c>
      <c r="C3676" s="18" t="s">
        <v>1268</v>
      </c>
      <c r="D3676" s="9">
        <v>26</v>
      </c>
      <c r="E3676" s="9">
        <v>724</v>
      </c>
      <c r="F3676" s="10" t="s">
        <v>1066</v>
      </c>
      <c r="G3676" s="9">
        <v>925</v>
      </c>
      <c r="H3676" s="9">
        <v>2015</v>
      </c>
      <c r="I3676" s="8">
        <v>1152.8969999999999</v>
      </c>
      <c r="J3676" s="8">
        <v>1288.857</v>
      </c>
      <c r="K3676" s="8">
        <v>1145.4870000000001</v>
      </c>
      <c r="L3676" s="8">
        <v>1141.904</v>
      </c>
      <c r="M3676" s="8">
        <v>1187.7370000000001</v>
      </c>
      <c r="N3676" s="8">
        <v>1302.723</v>
      </c>
      <c r="O3676" s="8">
        <v>1629.193</v>
      </c>
      <c r="P3676" s="8">
        <v>2027.663</v>
      </c>
      <c r="Q3676" s="8">
        <v>2024.5060000000001</v>
      </c>
      <c r="R3676" s="8">
        <v>1852.998</v>
      </c>
      <c r="S3676" s="8">
        <v>1724.0139999999999</v>
      </c>
      <c r="T3676" s="8">
        <v>1479.4870000000001</v>
      </c>
      <c r="U3676" s="8">
        <v>1212.703</v>
      </c>
      <c r="V3676" s="8">
        <v>1112.329</v>
      </c>
      <c r="W3676" s="8">
        <v>924.73099999999999</v>
      </c>
      <c r="X3676" s="8">
        <v>676.23599999999999</v>
      </c>
      <c r="Y3676" s="8">
        <v>587.65300000000002</v>
      </c>
      <c r="Z3676" s="8">
        <v>321.63799999999998</v>
      </c>
      <c r="AA3676" s="8">
        <v>102.51600000000001</v>
      </c>
      <c r="AB3676" s="8">
        <v>18.893999999999998</v>
      </c>
      <c r="AC3676" s="8">
        <v>2.0750000000000002</v>
      </c>
    </row>
    <row r="3677" spans="1:29" ht="11.65" x14ac:dyDescent="0.35">
      <c r="A3677" s="12">
        <v>3660</v>
      </c>
      <c r="B3677" s="10" t="s">
        <v>1015</v>
      </c>
      <c r="C3677" s="18" t="s">
        <v>1268</v>
      </c>
      <c r="D3677" s="9">
        <v>26</v>
      </c>
      <c r="E3677" s="9">
        <v>724</v>
      </c>
      <c r="F3677" s="10" t="s">
        <v>1066</v>
      </c>
      <c r="G3677" s="9">
        <v>925</v>
      </c>
      <c r="H3677" s="9">
        <v>2020</v>
      </c>
      <c r="I3677" s="8">
        <v>1025.6669999999999</v>
      </c>
      <c r="J3677" s="8">
        <v>1156.7070000000001</v>
      </c>
      <c r="K3677" s="8">
        <v>1290.6420000000001</v>
      </c>
      <c r="L3677" s="8">
        <v>1150.896</v>
      </c>
      <c r="M3677" s="8">
        <v>1154.9659999999999</v>
      </c>
      <c r="N3677" s="8">
        <v>1204.153</v>
      </c>
      <c r="O3677" s="8">
        <v>1316.047</v>
      </c>
      <c r="P3677" s="8">
        <v>1636.394</v>
      </c>
      <c r="Q3677" s="8">
        <v>2026.5170000000001</v>
      </c>
      <c r="R3677" s="8">
        <v>2012.53</v>
      </c>
      <c r="S3677" s="8">
        <v>1828.634</v>
      </c>
      <c r="T3677" s="8">
        <v>1684.404</v>
      </c>
      <c r="U3677" s="8">
        <v>1426.2560000000001</v>
      </c>
      <c r="V3677" s="8">
        <v>1147.93</v>
      </c>
      <c r="W3677" s="8">
        <v>1022.777</v>
      </c>
      <c r="X3677" s="8">
        <v>805.92100000000005</v>
      </c>
      <c r="Y3677" s="8">
        <v>530.58000000000004</v>
      </c>
      <c r="Z3677" s="8">
        <v>378.43200000000002</v>
      </c>
      <c r="AA3677" s="8">
        <v>147.935</v>
      </c>
      <c r="AB3677" s="8">
        <v>28.428000000000001</v>
      </c>
      <c r="AC3677" s="8">
        <v>2.5219999999999998</v>
      </c>
    </row>
    <row r="3678" spans="1:29" ht="11.65" x14ac:dyDescent="0.35">
      <c r="A3678" s="23">
        <v>3661</v>
      </c>
      <c r="B3678" s="21" t="s">
        <v>1015</v>
      </c>
      <c r="C3678" s="22" t="s">
        <v>1269</v>
      </c>
      <c r="D3678" s="20"/>
      <c r="E3678" s="20">
        <v>926</v>
      </c>
      <c r="F3678" s="21" t="s">
        <v>1065</v>
      </c>
      <c r="G3678" s="20">
        <v>917</v>
      </c>
      <c r="H3678" s="20">
        <v>1950</v>
      </c>
      <c r="I3678" s="19">
        <v>5834.1530000000002</v>
      </c>
      <c r="J3678" s="19">
        <v>5235.8959999999997</v>
      </c>
      <c r="K3678" s="19">
        <v>5803.1139999999996</v>
      </c>
      <c r="L3678" s="19">
        <v>5398.3459999999995</v>
      </c>
      <c r="M3678" s="19">
        <v>5190.0910000000003</v>
      </c>
      <c r="N3678" s="19">
        <v>4828.2889999999998</v>
      </c>
      <c r="O3678" s="19">
        <v>3366.319</v>
      </c>
      <c r="P3678" s="19">
        <v>4690.8410000000003</v>
      </c>
      <c r="Q3678" s="19">
        <v>5120.8530000000001</v>
      </c>
      <c r="R3678" s="19">
        <v>5126.1459999999997</v>
      </c>
      <c r="S3678" s="19">
        <v>4268.8339999999998</v>
      </c>
      <c r="T3678" s="19">
        <v>3314.5729999999999</v>
      </c>
      <c r="U3678" s="19">
        <v>2934.0889999999999</v>
      </c>
      <c r="V3678" s="19">
        <v>2440.3150000000001</v>
      </c>
      <c r="W3678" s="19">
        <v>1921.377</v>
      </c>
      <c r="X3678" s="19">
        <v>1149.298</v>
      </c>
      <c r="Y3678" s="19">
        <v>459.87200000000001</v>
      </c>
      <c r="Z3678" s="19">
        <v>165.381</v>
      </c>
      <c r="AA3678" s="19">
        <v>36.509</v>
      </c>
      <c r="AB3678" s="19">
        <v>4.774</v>
      </c>
      <c r="AC3678" s="19">
        <v>0.375</v>
      </c>
    </row>
    <row r="3679" spans="1:29" ht="11.65" x14ac:dyDescent="0.35">
      <c r="A3679" s="23">
        <v>3662</v>
      </c>
      <c r="B3679" s="21" t="s">
        <v>1015</v>
      </c>
      <c r="C3679" s="22" t="s">
        <v>1269</v>
      </c>
      <c r="D3679" s="20"/>
      <c r="E3679" s="20">
        <v>926</v>
      </c>
      <c r="F3679" s="21" t="s">
        <v>1065</v>
      </c>
      <c r="G3679" s="20">
        <v>917</v>
      </c>
      <c r="H3679" s="20">
        <v>1955</v>
      </c>
      <c r="I3679" s="19">
        <v>6099.1930000000002</v>
      </c>
      <c r="J3679" s="19">
        <v>5808.3450000000003</v>
      </c>
      <c r="K3679" s="19">
        <v>5234.0079999999998</v>
      </c>
      <c r="L3679" s="19">
        <v>5793.2389999999996</v>
      </c>
      <c r="M3679" s="19">
        <v>5368.8249999999998</v>
      </c>
      <c r="N3679" s="19">
        <v>5139.634</v>
      </c>
      <c r="O3679" s="19">
        <v>4770.8379999999997</v>
      </c>
      <c r="P3679" s="19">
        <v>3326.7489999999998</v>
      </c>
      <c r="Q3679" s="19">
        <v>4611.3100000000004</v>
      </c>
      <c r="R3679" s="19">
        <v>4988.21</v>
      </c>
      <c r="S3679" s="19">
        <v>4917.01</v>
      </c>
      <c r="T3679" s="19">
        <v>4000.2330000000002</v>
      </c>
      <c r="U3679" s="19">
        <v>3005.0909999999999</v>
      </c>
      <c r="V3679" s="19">
        <v>2524.777</v>
      </c>
      <c r="W3679" s="19">
        <v>1919.4469999999999</v>
      </c>
      <c r="X3679" s="19">
        <v>1297.682</v>
      </c>
      <c r="Y3679" s="19">
        <v>611.86500000000001</v>
      </c>
      <c r="Z3679" s="19">
        <v>171.309</v>
      </c>
      <c r="AA3679" s="19">
        <v>38.121000000000002</v>
      </c>
      <c r="AB3679" s="19">
        <v>5.0110000000000001</v>
      </c>
      <c r="AC3679" s="19">
        <v>0.39700000000000002</v>
      </c>
    </row>
    <row r="3680" spans="1:29" ht="11.65" x14ac:dyDescent="0.35">
      <c r="A3680" s="23">
        <v>3663</v>
      </c>
      <c r="B3680" s="21" t="s">
        <v>1015</v>
      </c>
      <c r="C3680" s="22" t="s">
        <v>1269</v>
      </c>
      <c r="D3680" s="20"/>
      <c r="E3680" s="20">
        <v>926</v>
      </c>
      <c r="F3680" s="21" t="s">
        <v>1065</v>
      </c>
      <c r="G3680" s="20">
        <v>917</v>
      </c>
      <c r="H3680" s="20">
        <v>1960</v>
      </c>
      <c r="I3680" s="19">
        <v>6521.1639999999998</v>
      </c>
      <c r="J3680" s="19">
        <v>6143.3209999999999</v>
      </c>
      <c r="K3680" s="19">
        <v>5892.6589999999997</v>
      </c>
      <c r="L3680" s="19">
        <v>5295.2430000000004</v>
      </c>
      <c r="M3680" s="19">
        <v>5776.1229999999996</v>
      </c>
      <c r="N3680" s="19">
        <v>5322.6210000000001</v>
      </c>
      <c r="O3680" s="19">
        <v>5135.0590000000002</v>
      </c>
      <c r="P3680" s="19">
        <v>4734.5119999999997</v>
      </c>
      <c r="Q3680" s="19">
        <v>3264.8319999999999</v>
      </c>
      <c r="R3680" s="19">
        <v>4535.6210000000001</v>
      </c>
      <c r="S3680" s="19">
        <v>4825</v>
      </c>
      <c r="T3680" s="19">
        <v>4615.26</v>
      </c>
      <c r="U3680" s="19">
        <v>3608.8760000000002</v>
      </c>
      <c r="V3680" s="19">
        <v>2579.6990000000001</v>
      </c>
      <c r="W3680" s="19">
        <v>1990.992</v>
      </c>
      <c r="X3680" s="19">
        <v>1316.94</v>
      </c>
      <c r="Y3680" s="19">
        <v>711.49699999999996</v>
      </c>
      <c r="Z3680" s="19">
        <v>234.458</v>
      </c>
      <c r="AA3680" s="19">
        <v>39.500999999999998</v>
      </c>
      <c r="AB3680" s="19">
        <v>4.7249999999999996</v>
      </c>
      <c r="AC3680" s="19">
        <v>0.34499999999999997</v>
      </c>
    </row>
    <row r="3681" spans="1:29" ht="11.65" x14ac:dyDescent="0.35">
      <c r="A3681" s="23">
        <v>3664</v>
      </c>
      <c r="B3681" s="21" t="s">
        <v>1015</v>
      </c>
      <c r="C3681" s="22" t="s">
        <v>1269</v>
      </c>
      <c r="D3681" s="20"/>
      <c r="E3681" s="20">
        <v>926</v>
      </c>
      <c r="F3681" s="21" t="s">
        <v>1065</v>
      </c>
      <c r="G3681" s="20">
        <v>917</v>
      </c>
      <c r="H3681" s="20">
        <v>1965</v>
      </c>
      <c r="I3681" s="19">
        <v>7066.8710000000001</v>
      </c>
      <c r="J3681" s="19">
        <v>6559.835</v>
      </c>
      <c r="K3681" s="19">
        <v>6241.1940000000004</v>
      </c>
      <c r="L3681" s="19">
        <v>6057.902</v>
      </c>
      <c r="M3681" s="19">
        <v>5508.7820000000002</v>
      </c>
      <c r="N3681" s="19">
        <v>5938.83</v>
      </c>
      <c r="O3681" s="19">
        <v>5456.3429999999998</v>
      </c>
      <c r="P3681" s="19">
        <v>5259.42</v>
      </c>
      <c r="Q3681" s="19">
        <v>4775.2190000000001</v>
      </c>
      <c r="R3681" s="19">
        <v>3232.8649999999998</v>
      </c>
      <c r="S3681" s="19">
        <v>4414.8959999999997</v>
      </c>
      <c r="T3681" s="19">
        <v>4569.0200000000004</v>
      </c>
      <c r="U3681" s="19">
        <v>4177.9440000000004</v>
      </c>
      <c r="V3681" s="19">
        <v>3069.2510000000002</v>
      </c>
      <c r="W3681" s="19">
        <v>2027.0820000000001</v>
      </c>
      <c r="X3681" s="19">
        <v>1373.519</v>
      </c>
      <c r="Y3681" s="19">
        <v>730.83100000000002</v>
      </c>
      <c r="Z3681" s="19">
        <v>279.166</v>
      </c>
      <c r="AA3681" s="19">
        <v>56.423999999999999</v>
      </c>
      <c r="AB3681" s="19">
        <v>5.2469999999999999</v>
      </c>
      <c r="AC3681" s="19">
        <v>0.34</v>
      </c>
    </row>
    <row r="3682" spans="1:29" ht="11.65" x14ac:dyDescent="0.35">
      <c r="A3682" s="23">
        <v>3665</v>
      </c>
      <c r="B3682" s="21" t="s">
        <v>1015</v>
      </c>
      <c r="C3682" s="22" t="s">
        <v>1269</v>
      </c>
      <c r="D3682" s="20"/>
      <c r="E3682" s="20">
        <v>926</v>
      </c>
      <c r="F3682" s="21" t="s">
        <v>1065</v>
      </c>
      <c r="G3682" s="20">
        <v>917</v>
      </c>
      <c r="H3682" s="20">
        <v>1970</v>
      </c>
      <c r="I3682" s="19">
        <v>6825.7920000000004</v>
      </c>
      <c r="J3682" s="19">
        <v>7097.1869999999999</v>
      </c>
      <c r="K3682" s="19">
        <v>6612.95</v>
      </c>
      <c r="L3682" s="19">
        <v>6258.7719999999999</v>
      </c>
      <c r="M3682" s="19">
        <v>6150.5439999999999</v>
      </c>
      <c r="N3682" s="19">
        <v>5700.2830000000004</v>
      </c>
      <c r="O3682" s="19">
        <v>6055.7809999999999</v>
      </c>
      <c r="P3682" s="19">
        <v>5475.875</v>
      </c>
      <c r="Q3682" s="19">
        <v>5247.8879999999999</v>
      </c>
      <c r="R3682" s="19">
        <v>4703.808</v>
      </c>
      <c r="S3682" s="19">
        <v>3106.4349999999999</v>
      </c>
      <c r="T3682" s="19">
        <v>4157.6679999999997</v>
      </c>
      <c r="U3682" s="19">
        <v>4135.32</v>
      </c>
      <c r="V3682" s="19">
        <v>3543.6819999999998</v>
      </c>
      <c r="W3682" s="19">
        <v>2371.0140000000001</v>
      </c>
      <c r="X3682" s="19">
        <v>1373.787</v>
      </c>
      <c r="Y3682" s="19">
        <v>757.01900000000001</v>
      </c>
      <c r="Z3682" s="19">
        <v>291.68599999999998</v>
      </c>
      <c r="AA3682" s="19">
        <v>69.724999999999994</v>
      </c>
      <c r="AB3682" s="19">
        <v>7.8949999999999996</v>
      </c>
      <c r="AC3682" s="19">
        <v>0.42</v>
      </c>
    </row>
    <row r="3683" spans="1:29" ht="11.65" x14ac:dyDescent="0.35">
      <c r="A3683" s="23">
        <v>3666</v>
      </c>
      <c r="B3683" s="21" t="s">
        <v>1015</v>
      </c>
      <c r="C3683" s="22" t="s">
        <v>1269</v>
      </c>
      <c r="D3683" s="20"/>
      <c r="E3683" s="20">
        <v>926</v>
      </c>
      <c r="F3683" s="21" t="s">
        <v>1065</v>
      </c>
      <c r="G3683" s="20">
        <v>917</v>
      </c>
      <c r="H3683" s="20">
        <v>1975</v>
      </c>
      <c r="I3683" s="19">
        <v>5740.3109999999997</v>
      </c>
      <c r="J3683" s="19">
        <v>6893.8040000000001</v>
      </c>
      <c r="K3683" s="19">
        <v>7164.8440000000001</v>
      </c>
      <c r="L3683" s="19">
        <v>6704.2650000000003</v>
      </c>
      <c r="M3683" s="19">
        <v>6369.598</v>
      </c>
      <c r="N3683" s="19">
        <v>6280.0169999999998</v>
      </c>
      <c r="O3683" s="19">
        <v>5759.9589999999998</v>
      </c>
      <c r="P3683" s="19">
        <v>6029.59</v>
      </c>
      <c r="Q3683" s="19">
        <v>5405.183</v>
      </c>
      <c r="R3683" s="19">
        <v>5122.2359999999999</v>
      </c>
      <c r="S3683" s="19">
        <v>4520.152</v>
      </c>
      <c r="T3683" s="19">
        <v>2918.5439999999999</v>
      </c>
      <c r="U3683" s="19">
        <v>3775.0149999999999</v>
      </c>
      <c r="V3683" s="19">
        <v>3541.0590000000002</v>
      </c>
      <c r="W3683" s="19">
        <v>2763.9639999999999</v>
      </c>
      <c r="X3683" s="19">
        <v>1611.2329999999999</v>
      </c>
      <c r="Y3683" s="19">
        <v>761.54100000000005</v>
      </c>
      <c r="Z3683" s="19">
        <v>308.63400000000001</v>
      </c>
      <c r="AA3683" s="19">
        <v>76.441000000000003</v>
      </c>
      <c r="AB3683" s="19">
        <v>10.335000000000001</v>
      </c>
      <c r="AC3683" s="19">
        <v>0.65200000000000002</v>
      </c>
    </row>
    <row r="3684" spans="1:29" ht="11.65" x14ac:dyDescent="0.35">
      <c r="A3684" s="23">
        <v>3667</v>
      </c>
      <c r="B3684" s="21" t="s">
        <v>1015</v>
      </c>
      <c r="C3684" s="22" t="s">
        <v>1269</v>
      </c>
      <c r="D3684" s="20"/>
      <c r="E3684" s="20">
        <v>926</v>
      </c>
      <c r="F3684" s="21" t="s">
        <v>1065</v>
      </c>
      <c r="G3684" s="20">
        <v>917</v>
      </c>
      <c r="H3684" s="20">
        <v>1980</v>
      </c>
      <c r="I3684" s="19">
        <v>5072.7089999999998</v>
      </c>
      <c r="J3684" s="19">
        <v>5738.259</v>
      </c>
      <c r="K3684" s="19">
        <v>6942.43</v>
      </c>
      <c r="L3684" s="19">
        <v>7267.848</v>
      </c>
      <c r="M3684" s="19">
        <v>6773.5110000000004</v>
      </c>
      <c r="N3684" s="19">
        <v>6390.2060000000001</v>
      </c>
      <c r="O3684" s="19">
        <v>6235.576</v>
      </c>
      <c r="P3684" s="19">
        <v>5651.5050000000001</v>
      </c>
      <c r="Q3684" s="19">
        <v>5887.2839999999997</v>
      </c>
      <c r="R3684" s="19">
        <v>5230.6580000000004</v>
      </c>
      <c r="S3684" s="19">
        <v>4910.6719999999996</v>
      </c>
      <c r="T3684" s="19">
        <v>4257.9070000000002</v>
      </c>
      <c r="U3684" s="19">
        <v>2661.1260000000002</v>
      </c>
      <c r="V3684" s="19">
        <v>3269.0880000000002</v>
      </c>
      <c r="W3684" s="19">
        <v>2807.5619999999999</v>
      </c>
      <c r="X3684" s="19">
        <v>1908.55</v>
      </c>
      <c r="Y3684" s="19">
        <v>910.70399999999995</v>
      </c>
      <c r="Z3684" s="19">
        <v>320.86399999999998</v>
      </c>
      <c r="AA3684" s="19">
        <v>84.581999999999994</v>
      </c>
      <c r="AB3684" s="19">
        <v>12.077</v>
      </c>
      <c r="AC3684" s="19">
        <v>0.90700000000000003</v>
      </c>
    </row>
    <row r="3685" spans="1:29" ht="11.65" x14ac:dyDescent="0.35">
      <c r="A3685" s="23">
        <v>3668</v>
      </c>
      <c r="B3685" s="21" t="s">
        <v>1015</v>
      </c>
      <c r="C3685" s="22" t="s">
        <v>1269</v>
      </c>
      <c r="D3685" s="20"/>
      <c r="E3685" s="20">
        <v>926</v>
      </c>
      <c r="F3685" s="21" t="s">
        <v>1065</v>
      </c>
      <c r="G3685" s="20">
        <v>917</v>
      </c>
      <c r="H3685" s="20">
        <v>1985</v>
      </c>
      <c r="I3685" s="19">
        <v>5243.9849999999997</v>
      </c>
      <c r="J3685" s="19">
        <v>5068.1859999999997</v>
      </c>
      <c r="K3685" s="19">
        <v>5750.0659999999998</v>
      </c>
      <c r="L3685" s="19">
        <v>6967.31</v>
      </c>
      <c r="M3685" s="19">
        <v>7283.77</v>
      </c>
      <c r="N3685" s="19">
        <v>6812.5050000000001</v>
      </c>
      <c r="O3685" s="19">
        <v>6396.66</v>
      </c>
      <c r="P3685" s="19">
        <v>6161.6620000000003</v>
      </c>
      <c r="Q3685" s="19">
        <v>5533.8270000000002</v>
      </c>
      <c r="R3685" s="19">
        <v>5715.366</v>
      </c>
      <c r="S3685" s="19">
        <v>5007.1090000000004</v>
      </c>
      <c r="T3685" s="19">
        <v>4629.9560000000001</v>
      </c>
      <c r="U3685" s="19">
        <v>3907.098</v>
      </c>
      <c r="V3685" s="19">
        <v>2328.0880000000002</v>
      </c>
      <c r="W3685" s="19">
        <v>2653.17</v>
      </c>
      <c r="X3685" s="19">
        <v>1998.4110000000001</v>
      </c>
      <c r="Y3685" s="19">
        <v>1107.0930000000001</v>
      </c>
      <c r="Z3685" s="19">
        <v>394.65100000000001</v>
      </c>
      <c r="AA3685" s="19">
        <v>92.456000000000003</v>
      </c>
      <c r="AB3685" s="19">
        <v>14.446999999999999</v>
      </c>
      <c r="AC3685" s="19">
        <v>1.143</v>
      </c>
    </row>
    <row r="3686" spans="1:29" ht="11.65" x14ac:dyDescent="0.35">
      <c r="A3686" s="23">
        <v>3669</v>
      </c>
      <c r="B3686" s="21" t="s">
        <v>1015</v>
      </c>
      <c r="C3686" s="22" t="s">
        <v>1269</v>
      </c>
      <c r="D3686" s="20"/>
      <c r="E3686" s="20">
        <v>926</v>
      </c>
      <c r="F3686" s="21" t="s">
        <v>1065</v>
      </c>
      <c r="G3686" s="20">
        <v>917</v>
      </c>
      <c r="H3686" s="20">
        <v>1990</v>
      </c>
      <c r="I3686" s="19">
        <v>5383.32</v>
      </c>
      <c r="J3686" s="19">
        <v>5344.9210000000003</v>
      </c>
      <c r="K3686" s="19">
        <v>5154.6180000000004</v>
      </c>
      <c r="L3686" s="19">
        <v>5836.8580000000002</v>
      </c>
      <c r="M3686" s="19">
        <v>7082.0709999999999</v>
      </c>
      <c r="N3686" s="19">
        <v>7437.2309999999998</v>
      </c>
      <c r="O3686" s="19">
        <v>6927.692</v>
      </c>
      <c r="P3686" s="19">
        <v>6441.491</v>
      </c>
      <c r="Q3686" s="19">
        <v>6152.8149999999996</v>
      </c>
      <c r="R3686" s="19">
        <v>5477.3879999999999</v>
      </c>
      <c r="S3686" s="19">
        <v>5578.982</v>
      </c>
      <c r="T3686" s="19">
        <v>4789.28</v>
      </c>
      <c r="U3686" s="19">
        <v>4309.317</v>
      </c>
      <c r="V3686" s="19">
        <v>3486.4389999999999</v>
      </c>
      <c r="W3686" s="19">
        <v>1936.8119999999999</v>
      </c>
      <c r="X3686" s="19">
        <v>1971.7570000000001</v>
      </c>
      <c r="Y3686" s="19">
        <v>1224.1479999999999</v>
      </c>
      <c r="Z3686" s="19">
        <v>504.49099999999999</v>
      </c>
      <c r="AA3686" s="19">
        <v>119.892</v>
      </c>
      <c r="AB3686" s="19">
        <v>16.504000000000001</v>
      </c>
      <c r="AC3686" s="19">
        <v>1.3979999999999999</v>
      </c>
    </row>
    <row r="3687" spans="1:29" ht="11.65" x14ac:dyDescent="0.35">
      <c r="A3687" s="23">
        <v>3670</v>
      </c>
      <c r="B3687" s="21" t="s">
        <v>1015</v>
      </c>
      <c r="C3687" s="22" t="s">
        <v>1269</v>
      </c>
      <c r="D3687" s="20"/>
      <c r="E3687" s="20">
        <v>926</v>
      </c>
      <c r="F3687" s="21" t="s">
        <v>1065</v>
      </c>
      <c r="G3687" s="20">
        <v>917</v>
      </c>
      <c r="H3687" s="20">
        <v>1995</v>
      </c>
      <c r="I3687" s="19">
        <v>5235.5410000000002</v>
      </c>
      <c r="J3687" s="19">
        <v>5570.1440000000002</v>
      </c>
      <c r="K3687" s="19">
        <v>5525.4160000000002</v>
      </c>
      <c r="L3687" s="19">
        <v>5311.45</v>
      </c>
      <c r="M3687" s="19">
        <v>6007.7830000000004</v>
      </c>
      <c r="N3687" s="19">
        <v>7290.509</v>
      </c>
      <c r="O3687" s="19">
        <v>7617.2920000000004</v>
      </c>
      <c r="P3687" s="19">
        <v>7026.0450000000001</v>
      </c>
      <c r="Q3687" s="19">
        <v>6438.6589999999997</v>
      </c>
      <c r="R3687" s="19">
        <v>6065.5680000000002</v>
      </c>
      <c r="S3687" s="19">
        <v>5335.3909999999996</v>
      </c>
      <c r="T3687" s="19">
        <v>5346.009</v>
      </c>
      <c r="U3687" s="19">
        <v>4465.1980000000003</v>
      </c>
      <c r="V3687" s="19">
        <v>3861.884</v>
      </c>
      <c r="W3687" s="19">
        <v>2951.8429999999998</v>
      </c>
      <c r="X3687" s="19">
        <v>1482.43</v>
      </c>
      <c r="Y3687" s="19">
        <v>1268.422</v>
      </c>
      <c r="Z3687" s="19">
        <v>594.11</v>
      </c>
      <c r="AA3687" s="19">
        <v>161.89699999999999</v>
      </c>
      <c r="AB3687" s="19">
        <v>22.094999999999999</v>
      </c>
      <c r="AC3687" s="19">
        <v>1.6020000000000001</v>
      </c>
    </row>
    <row r="3688" spans="1:29" ht="11.65" x14ac:dyDescent="0.35">
      <c r="A3688" s="23">
        <v>3671</v>
      </c>
      <c r="B3688" s="21" t="s">
        <v>1015</v>
      </c>
      <c r="C3688" s="22" t="s">
        <v>1269</v>
      </c>
      <c r="D3688" s="20"/>
      <c r="E3688" s="20">
        <v>926</v>
      </c>
      <c r="F3688" s="21" t="s">
        <v>1065</v>
      </c>
      <c r="G3688" s="20">
        <v>917</v>
      </c>
      <c r="H3688" s="20">
        <v>2000</v>
      </c>
      <c r="I3688" s="19">
        <v>5119.8590000000004</v>
      </c>
      <c r="J3688" s="19">
        <v>5299.7520000000004</v>
      </c>
      <c r="K3688" s="19">
        <v>5642.2250000000004</v>
      </c>
      <c r="L3688" s="19">
        <v>5576.5950000000003</v>
      </c>
      <c r="M3688" s="19">
        <v>5392.875</v>
      </c>
      <c r="N3688" s="19">
        <v>6091.223</v>
      </c>
      <c r="O3688" s="19">
        <v>7301.848</v>
      </c>
      <c r="P3688" s="19">
        <v>7578.9570000000003</v>
      </c>
      <c r="Q3688" s="19">
        <v>6948.1450000000004</v>
      </c>
      <c r="R3688" s="19">
        <v>6325.9480000000003</v>
      </c>
      <c r="S3688" s="19">
        <v>5906.3940000000002</v>
      </c>
      <c r="T3688" s="19">
        <v>5121.585</v>
      </c>
      <c r="U3688" s="19">
        <v>5016.3630000000003</v>
      </c>
      <c r="V3688" s="19">
        <v>4035.7779999999998</v>
      </c>
      <c r="W3688" s="19">
        <v>3304.0149999999999</v>
      </c>
      <c r="X3688" s="19">
        <v>2311.2020000000002</v>
      </c>
      <c r="Y3688" s="19">
        <v>989.73099999999999</v>
      </c>
      <c r="Z3688" s="19">
        <v>647.47400000000005</v>
      </c>
      <c r="AA3688" s="19">
        <v>200.07900000000001</v>
      </c>
      <c r="AB3688" s="19">
        <v>30.562000000000001</v>
      </c>
      <c r="AC3688" s="19">
        <v>2.1459999999999999</v>
      </c>
    </row>
    <row r="3689" spans="1:29" ht="11.65" x14ac:dyDescent="0.35">
      <c r="A3689" s="23">
        <v>3672</v>
      </c>
      <c r="B3689" s="21" t="s">
        <v>1015</v>
      </c>
      <c r="C3689" s="22" t="s">
        <v>1269</v>
      </c>
      <c r="D3689" s="20"/>
      <c r="E3689" s="20">
        <v>926</v>
      </c>
      <c r="F3689" s="21" t="s">
        <v>1065</v>
      </c>
      <c r="G3689" s="20">
        <v>917</v>
      </c>
      <c r="H3689" s="20">
        <v>2005</v>
      </c>
      <c r="I3689" s="19">
        <v>5028.366</v>
      </c>
      <c r="J3689" s="19">
        <v>5192.3739999999998</v>
      </c>
      <c r="K3689" s="19">
        <v>5396.7120000000004</v>
      </c>
      <c r="L3689" s="19">
        <v>5725.0290000000005</v>
      </c>
      <c r="M3689" s="19">
        <v>5727.8140000000003</v>
      </c>
      <c r="N3689" s="19">
        <v>5588.8450000000003</v>
      </c>
      <c r="O3689" s="19">
        <v>6212.924</v>
      </c>
      <c r="P3689" s="19">
        <v>7350.6379999999999</v>
      </c>
      <c r="Q3689" s="19">
        <v>7550.6149999999998</v>
      </c>
      <c r="R3689" s="19">
        <v>6865.4049999999997</v>
      </c>
      <c r="S3689" s="19">
        <v>6209.0550000000003</v>
      </c>
      <c r="T3689" s="19">
        <v>5726.9679999999998</v>
      </c>
      <c r="U3689" s="19">
        <v>4853.6260000000002</v>
      </c>
      <c r="V3689" s="19">
        <v>4612.1660000000002</v>
      </c>
      <c r="W3689" s="19">
        <v>3524.9810000000002</v>
      </c>
      <c r="X3689" s="19">
        <v>2648.6640000000002</v>
      </c>
      <c r="Y3689" s="19">
        <v>1610.5060000000001</v>
      </c>
      <c r="Z3689" s="19">
        <v>538.42100000000005</v>
      </c>
      <c r="AA3689" s="19">
        <v>234.22399999999999</v>
      </c>
      <c r="AB3689" s="19">
        <v>40.798999999999999</v>
      </c>
      <c r="AC3689" s="19">
        <v>3.1459999999999999</v>
      </c>
    </row>
    <row r="3690" spans="1:29" ht="11.65" x14ac:dyDescent="0.35">
      <c r="A3690" s="23">
        <v>3673</v>
      </c>
      <c r="B3690" s="21" t="s">
        <v>1015</v>
      </c>
      <c r="C3690" s="22" t="s">
        <v>1269</v>
      </c>
      <c r="D3690" s="20"/>
      <c r="E3690" s="20">
        <v>926</v>
      </c>
      <c r="F3690" s="21" t="s">
        <v>1065</v>
      </c>
      <c r="G3690" s="20">
        <v>917</v>
      </c>
      <c r="H3690" s="20">
        <v>2010</v>
      </c>
      <c r="I3690" s="19">
        <v>4968.8530000000001</v>
      </c>
      <c r="J3690" s="19">
        <v>5073.5709999999999</v>
      </c>
      <c r="K3690" s="19">
        <v>5259.9939999999997</v>
      </c>
      <c r="L3690" s="19">
        <v>5439.5240000000003</v>
      </c>
      <c r="M3690" s="19">
        <v>5808.0190000000002</v>
      </c>
      <c r="N3690" s="19">
        <v>5861.4409999999998</v>
      </c>
      <c r="O3690" s="19">
        <v>5675.7240000000002</v>
      </c>
      <c r="P3690" s="19">
        <v>6249.2640000000001</v>
      </c>
      <c r="Q3690" s="19">
        <v>7339.0450000000001</v>
      </c>
      <c r="R3690" s="19">
        <v>7489.36</v>
      </c>
      <c r="S3690" s="19">
        <v>6736.1180000000004</v>
      </c>
      <c r="T3690" s="19">
        <v>6001.0159999999996</v>
      </c>
      <c r="U3690" s="19">
        <v>5424.19</v>
      </c>
      <c r="V3690" s="19">
        <v>4480.0460000000003</v>
      </c>
      <c r="W3690" s="19">
        <v>4109.4120000000003</v>
      </c>
      <c r="X3690" s="19">
        <v>2921.9810000000002</v>
      </c>
      <c r="Y3690" s="19">
        <v>1928.096</v>
      </c>
      <c r="Z3690" s="19">
        <v>930.65200000000004</v>
      </c>
      <c r="AA3690" s="19">
        <v>211.55199999999999</v>
      </c>
      <c r="AB3690" s="19">
        <v>52.231999999999999</v>
      </c>
      <c r="AC3690" s="19">
        <v>4.5670000000000002</v>
      </c>
    </row>
    <row r="3691" spans="1:29" ht="11.65" x14ac:dyDescent="0.35">
      <c r="A3691" s="23">
        <v>3674</v>
      </c>
      <c r="B3691" s="21" t="s">
        <v>1015</v>
      </c>
      <c r="C3691" s="22" t="s">
        <v>1269</v>
      </c>
      <c r="D3691" s="20"/>
      <c r="E3691" s="20">
        <v>926</v>
      </c>
      <c r="F3691" s="21" t="s">
        <v>1065</v>
      </c>
      <c r="G3691" s="20">
        <v>917</v>
      </c>
      <c r="H3691" s="20">
        <v>2015</v>
      </c>
      <c r="I3691" s="19">
        <v>5016.5219999999999</v>
      </c>
      <c r="J3691" s="19">
        <v>5082.8280000000004</v>
      </c>
      <c r="K3691" s="19">
        <v>5261.6490000000003</v>
      </c>
      <c r="L3691" s="19">
        <v>5445.1710000000003</v>
      </c>
      <c r="M3691" s="19">
        <v>5632.9340000000002</v>
      </c>
      <c r="N3691" s="19">
        <v>6042.3779999999997</v>
      </c>
      <c r="O3691" s="19">
        <v>6096.5820000000003</v>
      </c>
      <c r="P3691" s="19">
        <v>5836.9830000000002</v>
      </c>
      <c r="Q3691" s="19">
        <v>6313.5959999999995</v>
      </c>
      <c r="R3691" s="19">
        <v>7326.3379999999997</v>
      </c>
      <c r="S3691" s="19">
        <v>7388.732</v>
      </c>
      <c r="T3691" s="19">
        <v>6555.0929999999998</v>
      </c>
      <c r="U3691" s="19">
        <v>5723.241</v>
      </c>
      <c r="V3691" s="19">
        <v>5058.973</v>
      </c>
      <c r="W3691" s="19">
        <v>4038.0419999999999</v>
      </c>
      <c r="X3691" s="19">
        <v>3482.5940000000001</v>
      </c>
      <c r="Y3691" s="19">
        <v>2197.3690000000001</v>
      </c>
      <c r="Z3691" s="19">
        <v>1160.278</v>
      </c>
      <c r="AA3691" s="19">
        <v>384.96899999999999</v>
      </c>
      <c r="AB3691" s="19">
        <v>50.161000000000001</v>
      </c>
      <c r="AC3691" s="19">
        <v>6.1360000000000001</v>
      </c>
    </row>
    <row r="3692" spans="1:29" ht="11.65" x14ac:dyDescent="0.35">
      <c r="A3692" s="23">
        <v>3675</v>
      </c>
      <c r="B3692" s="21" t="s">
        <v>1015</v>
      </c>
      <c r="C3692" s="22" t="s">
        <v>1269</v>
      </c>
      <c r="D3692" s="20"/>
      <c r="E3692" s="20">
        <v>926</v>
      </c>
      <c r="F3692" s="21" t="s">
        <v>1065</v>
      </c>
      <c r="G3692" s="20">
        <v>917</v>
      </c>
      <c r="H3692" s="20">
        <v>2020</v>
      </c>
      <c r="I3692" s="19">
        <v>5180.518</v>
      </c>
      <c r="J3692" s="19">
        <v>5231.6899999999996</v>
      </c>
      <c r="K3692" s="19">
        <v>5298.0129999999999</v>
      </c>
      <c r="L3692" s="19">
        <v>5456.9009999999998</v>
      </c>
      <c r="M3692" s="19">
        <v>5643.72</v>
      </c>
      <c r="N3692" s="19">
        <v>5883.7979999999998</v>
      </c>
      <c r="O3692" s="19">
        <v>6319.8559999999998</v>
      </c>
      <c r="P3692" s="19">
        <v>6317.0929999999998</v>
      </c>
      <c r="Q3692" s="19">
        <v>5978.7359999999999</v>
      </c>
      <c r="R3692" s="19">
        <v>6374.5990000000002</v>
      </c>
      <c r="S3692" s="19">
        <v>7271.9549999999999</v>
      </c>
      <c r="T3692" s="19">
        <v>7205.3760000000002</v>
      </c>
      <c r="U3692" s="19">
        <v>6260.4440000000004</v>
      </c>
      <c r="V3692" s="19">
        <v>5323.89</v>
      </c>
      <c r="W3692" s="19">
        <v>4544.8190000000004</v>
      </c>
      <c r="X3692" s="19">
        <v>3416.1640000000002</v>
      </c>
      <c r="Y3692" s="19">
        <v>2635.9029999999998</v>
      </c>
      <c r="Z3692" s="19">
        <v>1379.2660000000001</v>
      </c>
      <c r="AA3692" s="19">
        <v>534.28200000000004</v>
      </c>
      <c r="AB3692" s="19">
        <v>109.691</v>
      </c>
      <c r="AC3692" s="19">
        <v>7.8639999999999999</v>
      </c>
    </row>
    <row r="3693" spans="1:29" ht="11.65" x14ac:dyDescent="0.35">
      <c r="A3693" s="12">
        <v>3676</v>
      </c>
      <c r="B3693" s="10" t="s">
        <v>1015</v>
      </c>
      <c r="C3693" s="18" t="s">
        <v>1270</v>
      </c>
      <c r="D3693" s="9"/>
      <c r="E3693" s="9">
        <v>40</v>
      </c>
      <c r="F3693" s="10" t="s">
        <v>1066</v>
      </c>
      <c r="G3693" s="9">
        <v>926</v>
      </c>
      <c r="H3693" s="9">
        <v>1950</v>
      </c>
      <c r="I3693" s="8">
        <v>263.899</v>
      </c>
      <c r="J3693" s="8">
        <v>285.06099999999998</v>
      </c>
      <c r="K3693" s="8">
        <v>255.07</v>
      </c>
      <c r="L3693" s="8">
        <v>233.333</v>
      </c>
      <c r="M3693" s="8">
        <v>241.78899999999999</v>
      </c>
      <c r="N3693" s="8">
        <v>223.14</v>
      </c>
      <c r="O3693" s="8">
        <v>150.78899999999999</v>
      </c>
      <c r="P3693" s="8">
        <v>219.667</v>
      </c>
      <c r="Q3693" s="8">
        <v>246.03100000000001</v>
      </c>
      <c r="R3693" s="8">
        <v>255.19499999999999</v>
      </c>
      <c r="S3693" s="8">
        <v>219.93100000000001</v>
      </c>
      <c r="T3693" s="8">
        <v>173.518</v>
      </c>
      <c r="U3693" s="8">
        <v>149.15799999999999</v>
      </c>
      <c r="V3693" s="8">
        <v>123.342</v>
      </c>
      <c r="W3693" s="8">
        <v>92.216999999999999</v>
      </c>
      <c r="X3693" s="8">
        <v>54.895000000000003</v>
      </c>
      <c r="Y3693" s="8">
        <v>24.349</v>
      </c>
      <c r="Z3693" s="8">
        <v>7.3159999999999998</v>
      </c>
      <c r="AA3693" s="8">
        <v>1.1419999999999999</v>
      </c>
      <c r="AB3693" s="8">
        <v>0.104</v>
      </c>
      <c r="AC3693" s="8">
        <v>1.2E-2</v>
      </c>
    </row>
    <row r="3694" spans="1:29" ht="11.65" x14ac:dyDescent="0.35">
      <c r="A3694" s="12">
        <v>3677</v>
      </c>
      <c r="B3694" s="10" t="s">
        <v>1015</v>
      </c>
      <c r="C3694" s="18" t="s">
        <v>1270</v>
      </c>
      <c r="D3694" s="9"/>
      <c r="E3694" s="9">
        <v>40</v>
      </c>
      <c r="F3694" s="10" t="s">
        <v>1066</v>
      </c>
      <c r="G3694" s="9">
        <v>926</v>
      </c>
      <c r="H3694" s="9">
        <v>1955</v>
      </c>
      <c r="I3694" s="8">
        <v>250.26400000000001</v>
      </c>
      <c r="J3694" s="8">
        <v>259.642</v>
      </c>
      <c r="K3694" s="8">
        <v>283.12200000000001</v>
      </c>
      <c r="L3694" s="8">
        <v>251.43</v>
      </c>
      <c r="M3694" s="8">
        <v>225.46299999999999</v>
      </c>
      <c r="N3694" s="8">
        <v>232.14699999999999</v>
      </c>
      <c r="O3694" s="8">
        <v>214.62200000000001</v>
      </c>
      <c r="P3694" s="8">
        <v>144.453</v>
      </c>
      <c r="Q3694" s="8">
        <v>212.94399999999999</v>
      </c>
      <c r="R3694" s="8">
        <v>237.63800000000001</v>
      </c>
      <c r="S3694" s="8">
        <v>242.726</v>
      </c>
      <c r="T3694" s="8">
        <v>203.54499999999999</v>
      </c>
      <c r="U3694" s="8">
        <v>154.62700000000001</v>
      </c>
      <c r="V3694" s="8">
        <v>125.35899999999999</v>
      </c>
      <c r="W3694" s="8">
        <v>94.388999999999996</v>
      </c>
      <c r="X3694" s="8">
        <v>60.924999999999997</v>
      </c>
      <c r="Y3694" s="8">
        <v>28.315000000000001</v>
      </c>
      <c r="Z3694" s="8">
        <v>8.6419999999999995</v>
      </c>
      <c r="AA3694" s="8">
        <v>1.542</v>
      </c>
      <c r="AB3694" s="8">
        <v>0.124</v>
      </c>
      <c r="AC3694" s="8">
        <v>6.0000000000000001E-3</v>
      </c>
    </row>
    <row r="3695" spans="1:29" ht="11.65" x14ac:dyDescent="0.35">
      <c r="A3695" s="12">
        <v>3678</v>
      </c>
      <c r="B3695" s="10" t="s">
        <v>1015</v>
      </c>
      <c r="C3695" s="18" t="s">
        <v>1270</v>
      </c>
      <c r="D3695" s="9"/>
      <c r="E3695" s="9">
        <v>40</v>
      </c>
      <c r="F3695" s="10" t="s">
        <v>1066</v>
      </c>
      <c r="G3695" s="9">
        <v>926</v>
      </c>
      <c r="H3695" s="9">
        <v>1960</v>
      </c>
      <c r="I3695" s="8">
        <v>296.71300000000002</v>
      </c>
      <c r="J3695" s="8">
        <v>247.251</v>
      </c>
      <c r="K3695" s="8">
        <v>258.24400000000003</v>
      </c>
      <c r="L3695" s="8">
        <v>280.16500000000002</v>
      </c>
      <c r="M3695" s="8">
        <v>244.959</v>
      </c>
      <c r="N3695" s="8">
        <v>217.994</v>
      </c>
      <c r="O3695" s="8">
        <v>225.446</v>
      </c>
      <c r="P3695" s="8">
        <v>208.97499999999999</v>
      </c>
      <c r="Q3695" s="8">
        <v>140.11099999999999</v>
      </c>
      <c r="R3695" s="8">
        <v>206.476</v>
      </c>
      <c r="S3695" s="8">
        <v>227.255</v>
      </c>
      <c r="T3695" s="8">
        <v>225.68799999999999</v>
      </c>
      <c r="U3695" s="8">
        <v>181.19399999999999</v>
      </c>
      <c r="V3695" s="8">
        <v>129.76</v>
      </c>
      <c r="W3695" s="8">
        <v>96.137</v>
      </c>
      <c r="X3695" s="8">
        <v>62.625</v>
      </c>
      <c r="Y3695" s="8">
        <v>32.119999999999997</v>
      </c>
      <c r="Z3695" s="8">
        <v>10.377000000000001</v>
      </c>
      <c r="AA3695" s="8">
        <v>1.9379999999999999</v>
      </c>
      <c r="AB3695" s="8">
        <v>0.184</v>
      </c>
      <c r="AC3695" s="8">
        <v>8.0000000000000002E-3</v>
      </c>
    </row>
    <row r="3696" spans="1:29" ht="11.65" x14ac:dyDescent="0.35">
      <c r="A3696" s="12">
        <v>3679</v>
      </c>
      <c r="B3696" s="10" t="s">
        <v>1015</v>
      </c>
      <c r="C3696" s="18" t="s">
        <v>1270</v>
      </c>
      <c r="D3696" s="9"/>
      <c r="E3696" s="9">
        <v>40</v>
      </c>
      <c r="F3696" s="10" t="s">
        <v>1066</v>
      </c>
      <c r="G3696" s="9">
        <v>926</v>
      </c>
      <c r="H3696" s="9">
        <v>1965</v>
      </c>
      <c r="I3696" s="8">
        <v>330.67200000000003</v>
      </c>
      <c r="J3696" s="8">
        <v>295.42500000000001</v>
      </c>
      <c r="K3696" s="8">
        <v>246.82400000000001</v>
      </c>
      <c r="L3696" s="8">
        <v>257.70299999999997</v>
      </c>
      <c r="M3696" s="8">
        <v>279.05500000000001</v>
      </c>
      <c r="N3696" s="8">
        <v>244.26900000000001</v>
      </c>
      <c r="O3696" s="8">
        <v>217.15899999999999</v>
      </c>
      <c r="P3696" s="8">
        <v>223.71</v>
      </c>
      <c r="Q3696" s="8">
        <v>206.34</v>
      </c>
      <c r="R3696" s="8">
        <v>137.334</v>
      </c>
      <c r="S3696" s="8">
        <v>199.11</v>
      </c>
      <c r="T3696" s="8">
        <v>213.262</v>
      </c>
      <c r="U3696" s="8">
        <v>202.02199999999999</v>
      </c>
      <c r="V3696" s="8">
        <v>151.77699999999999</v>
      </c>
      <c r="W3696" s="8">
        <v>99.26</v>
      </c>
      <c r="X3696" s="8">
        <v>64.061999999999998</v>
      </c>
      <c r="Y3696" s="8">
        <v>33.402000000000001</v>
      </c>
      <c r="Z3696" s="8">
        <v>12.058</v>
      </c>
      <c r="AA3696" s="8">
        <v>2.367</v>
      </c>
      <c r="AB3696" s="8">
        <v>0.23100000000000001</v>
      </c>
      <c r="AC3696" s="8">
        <v>1.0999999999999999E-2</v>
      </c>
    </row>
    <row r="3697" spans="1:29" ht="11.65" x14ac:dyDescent="0.35">
      <c r="A3697" s="12">
        <v>3680</v>
      </c>
      <c r="B3697" s="10" t="s">
        <v>1015</v>
      </c>
      <c r="C3697" s="18" t="s">
        <v>1270</v>
      </c>
      <c r="D3697" s="9"/>
      <c r="E3697" s="9">
        <v>40</v>
      </c>
      <c r="F3697" s="10" t="s">
        <v>1066</v>
      </c>
      <c r="G3697" s="9">
        <v>926</v>
      </c>
      <c r="H3697" s="9">
        <v>1970</v>
      </c>
      <c r="I3697" s="8">
        <v>318.59899999999999</v>
      </c>
      <c r="J3697" s="8">
        <v>330.19799999999998</v>
      </c>
      <c r="K3697" s="8">
        <v>295.25200000000001</v>
      </c>
      <c r="L3697" s="8">
        <v>247.38</v>
      </c>
      <c r="M3697" s="8">
        <v>259.14600000000002</v>
      </c>
      <c r="N3697" s="8">
        <v>281.31400000000002</v>
      </c>
      <c r="O3697" s="8">
        <v>246.02</v>
      </c>
      <c r="P3697" s="8">
        <v>217.41300000000001</v>
      </c>
      <c r="Q3697" s="8">
        <v>221.89599999999999</v>
      </c>
      <c r="R3697" s="8">
        <v>202.61699999999999</v>
      </c>
      <c r="S3697" s="8">
        <v>133.12899999999999</v>
      </c>
      <c r="T3697" s="8">
        <v>187.774</v>
      </c>
      <c r="U3697" s="8">
        <v>191.99799999999999</v>
      </c>
      <c r="V3697" s="8">
        <v>168.756</v>
      </c>
      <c r="W3697" s="8">
        <v>114.373</v>
      </c>
      <c r="X3697" s="8">
        <v>65.111000000000004</v>
      </c>
      <c r="Y3697" s="8">
        <v>33.686</v>
      </c>
      <c r="Z3697" s="8">
        <v>12.593</v>
      </c>
      <c r="AA3697" s="8">
        <v>2.8580000000000001</v>
      </c>
      <c r="AB3697" s="8">
        <v>0.312</v>
      </c>
      <c r="AC3697" s="8">
        <v>1.7000000000000001E-2</v>
      </c>
    </row>
    <row r="3698" spans="1:29" ht="11.65" x14ac:dyDescent="0.35">
      <c r="A3698" s="12">
        <v>3681</v>
      </c>
      <c r="B3698" s="10" t="s">
        <v>1015</v>
      </c>
      <c r="C3698" s="18" t="s">
        <v>1270</v>
      </c>
      <c r="D3698" s="9"/>
      <c r="E3698" s="9">
        <v>40</v>
      </c>
      <c r="F3698" s="10" t="s">
        <v>1066</v>
      </c>
      <c r="G3698" s="9">
        <v>926</v>
      </c>
      <c r="H3698" s="9">
        <v>1975</v>
      </c>
      <c r="I3698" s="8">
        <v>260.15499999999997</v>
      </c>
      <c r="J3698" s="8">
        <v>319.084</v>
      </c>
      <c r="K3698" s="8">
        <v>330.37400000000002</v>
      </c>
      <c r="L3698" s="8">
        <v>296.45400000000001</v>
      </c>
      <c r="M3698" s="8">
        <v>250.899</v>
      </c>
      <c r="N3698" s="8">
        <v>264.39800000000002</v>
      </c>
      <c r="O3698" s="8">
        <v>285.27100000000002</v>
      </c>
      <c r="P3698" s="8">
        <v>247.92699999999999</v>
      </c>
      <c r="Q3698" s="8">
        <v>216.88300000000001</v>
      </c>
      <c r="R3698" s="8">
        <v>218.37299999999999</v>
      </c>
      <c r="S3698" s="8">
        <v>196.256</v>
      </c>
      <c r="T3698" s="8">
        <v>126.226</v>
      </c>
      <c r="U3698" s="8">
        <v>170.95699999999999</v>
      </c>
      <c r="V3698" s="8">
        <v>163.25800000000001</v>
      </c>
      <c r="W3698" s="8">
        <v>129.209</v>
      </c>
      <c r="X3698" s="8">
        <v>75.266000000000005</v>
      </c>
      <c r="Y3698" s="8">
        <v>34.600999999999999</v>
      </c>
      <c r="Z3698" s="8">
        <v>12.896000000000001</v>
      </c>
      <c r="AA3698" s="8">
        <v>2.984</v>
      </c>
      <c r="AB3698" s="8">
        <v>0.377</v>
      </c>
      <c r="AC3698" s="8">
        <v>2.1999999999999999E-2</v>
      </c>
    </row>
    <row r="3699" spans="1:29" ht="11.65" x14ac:dyDescent="0.35">
      <c r="A3699" s="12">
        <v>3682</v>
      </c>
      <c r="B3699" s="10" t="s">
        <v>1015</v>
      </c>
      <c r="C3699" s="18" t="s">
        <v>1270</v>
      </c>
      <c r="D3699" s="9"/>
      <c r="E3699" s="9">
        <v>40</v>
      </c>
      <c r="F3699" s="10" t="s">
        <v>1066</v>
      </c>
      <c r="G3699" s="9">
        <v>926</v>
      </c>
      <c r="H3699" s="9">
        <v>1980</v>
      </c>
      <c r="I3699" s="8">
        <v>220.535</v>
      </c>
      <c r="J3699" s="8">
        <v>259.52300000000002</v>
      </c>
      <c r="K3699" s="8">
        <v>318.589</v>
      </c>
      <c r="L3699" s="8">
        <v>329.05799999999999</v>
      </c>
      <c r="M3699" s="8">
        <v>293.87400000000002</v>
      </c>
      <c r="N3699" s="8">
        <v>249.13499999999999</v>
      </c>
      <c r="O3699" s="8">
        <v>262.476</v>
      </c>
      <c r="P3699" s="8">
        <v>282.47000000000003</v>
      </c>
      <c r="Q3699" s="8">
        <v>244.21899999999999</v>
      </c>
      <c r="R3699" s="8">
        <v>211.40899999999999</v>
      </c>
      <c r="S3699" s="8">
        <v>209.839</v>
      </c>
      <c r="T3699" s="8">
        <v>184.774</v>
      </c>
      <c r="U3699" s="8">
        <v>115.146</v>
      </c>
      <c r="V3699" s="8">
        <v>147.75800000000001</v>
      </c>
      <c r="W3699" s="8">
        <v>127.916</v>
      </c>
      <c r="X3699" s="8">
        <v>86.834999999999994</v>
      </c>
      <c r="Y3699" s="8">
        <v>40.229999999999997</v>
      </c>
      <c r="Z3699" s="8">
        <v>13.44</v>
      </c>
      <c r="AA3699" s="8">
        <v>3.1309999999999998</v>
      </c>
      <c r="AB3699" s="8">
        <v>0.38800000000000001</v>
      </c>
      <c r="AC3699" s="8">
        <v>2.8000000000000001E-2</v>
      </c>
    </row>
    <row r="3700" spans="1:29" ht="11.65" x14ac:dyDescent="0.35">
      <c r="A3700" s="12">
        <v>3683</v>
      </c>
      <c r="B3700" s="10" t="s">
        <v>1015</v>
      </c>
      <c r="C3700" s="18" t="s">
        <v>1270</v>
      </c>
      <c r="D3700" s="9"/>
      <c r="E3700" s="9">
        <v>40</v>
      </c>
      <c r="F3700" s="10" t="s">
        <v>1066</v>
      </c>
      <c r="G3700" s="9">
        <v>926</v>
      </c>
      <c r="H3700" s="9">
        <v>1985</v>
      </c>
      <c r="I3700" s="8">
        <v>226.464</v>
      </c>
      <c r="J3700" s="8">
        <v>220.41300000000001</v>
      </c>
      <c r="K3700" s="8">
        <v>259.37299999999999</v>
      </c>
      <c r="L3700" s="8">
        <v>318.00099999999998</v>
      </c>
      <c r="M3700" s="8">
        <v>327.49599999999998</v>
      </c>
      <c r="N3700" s="8">
        <v>293.17500000000001</v>
      </c>
      <c r="O3700" s="8">
        <v>248.56700000000001</v>
      </c>
      <c r="P3700" s="8">
        <v>260.904</v>
      </c>
      <c r="Q3700" s="8">
        <v>278.94400000000002</v>
      </c>
      <c r="R3700" s="8">
        <v>238.97800000000001</v>
      </c>
      <c r="S3700" s="8">
        <v>203.773</v>
      </c>
      <c r="T3700" s="8">
        <v>197.828</v>
      </c>
      <c r="U3700" s="8">
        <v>168.99600000000001</v>
      </c>
      <c r="V3700" s="8">
        <v>100.69</v>
      </c>
      <c r="W3700" s="8">
        <v>118.931</v>
      </c>
      <c r="X3700" s="8">
        <v>89.212000000000003</v>
      </c>
      <c r="Y3700" s="8">
        <v>48.209000000000003</v>
      </c>
      <c r="Z3700" s="8">
        <v>16.091000000000001</v>
      </c>
      <c r="AA3700" s="8">
        <v>3.5219999999999998</v>
      </c>
      <c r="AB3700" s="8">
        <v>0.48099999999999998</v>
      </c>
      <c r="AC3700" s="8">
        <v>3.3000000000000002E-2</v>
      </c>
    </row>
    <row r="3701" spans="1:29" ht="11.65" x14ac:dyDescent="0.35">
      <c r="A3701" s="12">
        <v>3684</v>
      </c>
      <c r="B3701" s="10" t="s">
        <v>1015</v>
      </c>
      <c r="C3701" s="18" t="s">
        <v>1270</v>
      </c>
      <c r="D3701" s="9"/>
      <c r="E3701" s="9">
        <v>40</v>
      </c>
      <c r="F3701" s="10" t="s">
        <v>1066</v>
      </c>
      <c r="G3701" s="9">
        <v>926</v>
      </c>
      <c r="H3701" s="9">
        <v>1990</v>
      </c>
      <c r="I3701" s="8">
        <v>219.869</v>
      </c>
      <c r="J3701" s="8">
        <v>228.50800000000001</v>
      </c>
      <c r="K3701" s="8">
        <v>221.47200000000001</v>
      </c>
      <c r="L3701" s="8">
        <v>262.13600000000002</v>
      </c>
      <c r="M3701" s="8">
        <v>323.91399999999999</v>
      </c>
      <c r="N3701" s="8">
        <v>335.565</v>
      </c>
      <c r="O3701" s="8">
        <v>299.91399999999999</v>
      </c>
      <c r="P3701" s="8">
        <v>252.83500000000001</v>
      </c>
      <c r="Q3701" s="8">
        <v>261.87099999999998</v>
      </c>
      <c r="R3701" s="8">
        <v>276.29000000000002</v>
      </c>
      <c r="S3701" s="8">
        <v>233.625</v>
      </c>
      <c r="T3701" s="8">
        <v>194.73500000000001</v>
      </c>
      <c r="U3701" s="8">
        <v>183.16499999999999</v>
      </c>
      <c r="V3701" s="8">
        <v>149.905</v>
      </c>
      <c r="W3701" s="8">
        <v>83.534000000000006</v>
      </c>
      <c r="X3701" s="8">
        <v>87.605000000000004</v>
      </c>
      <c r="Y3701" s="8">
        <v>53.59</v>
      </c>
      <c r="Z3701" s="8">
        <v>21.013000000000002</v>
      </c>
      <c r="AA3701" s="8">
        <v>4.5380000000000003</v>
      </c>
      <c r="AB3701" s="8">
        <v>0.54800000000000004</v>
      </c>
      <c r="AC3701" s="8">
        <v>3.9E-2</v>
      </c>
    </row>
    <row r="3702" spans="1:29" ht="11.65" x14ac:dyDescent="0.35">
      <c r="A3702" s="12">
        <v>3685</v>
      </c>
      <c r="B3702" s="10" t="s">
        <v>1015</v>
      </c>
      <c r="C3702" s="18" t="s">
        <v>1270</v>
      </c>
      <c r="D3702" s="9"/>
      <c r="E3702" s="9">
        <v>40</v>
      </c>
      <c r="F3702" s="10" t="s">
        <v>1066</v>
      </c>
      <c r="G3702" s="9">
        <v>926</v>
      </c>
      <c r="H3702" s="9">
        <v>1995</v>
      </c>
      <c r="I3702" s="8">
        <v>242.327</v>
      </c>
      <c r="J3702" s="8">
        <v>238.619</v>
      </c>
      <c r="K3702" s="8">
        <v>244.87100000000001</v>
      </c>
      <c r="L3702" s="8">
        <v>234.839</v>
      </c>
      <c r="M3702" s="8">
        <v>279.70100000000002</v>
      </c>
      <c r="N3702" s="8">
        <v>351.91800000000001</v>
      </c>
      <c r="O3702" s="8">
        <v>363.75900000000001</v>
      </c>
      <c r="P3702" s="8">
        <v>316.64800000000002</v>
      </c>
      <c r="Q3702" s="8">
        <v>256.27699999999999</v>
      </c>
      <c r="R3702" s="8">
        <v>251.14500000000001</v>
      </c>
      <c r="S3702" s="8">
        <v>257.69400000000002</v>
      </c>
      <c r="T3702" s="8">
        <v>210.62</v>
      </c>
      <c r="U3702" s="8">
        <v>172.029</v>
      </c>
      <c r="V3702" s="8">
        <v>162.16399999999999</v>
      </c>
      <c r="W3702" s="8">
        <v>125.498</v>
      </c>
      <c r="X3702" s="8">
        <v>60.688000000000002</v>
      </c>
      <c r="Y3702" s="8">
        <v>54.88</v>
      </c>
      <c r="Z3702" s="8">
        <v>25.710999999999999</v>
      </c>
      <c r="AA3702" s="8">
        <v>6.2960000000000003</v>
      </c>
      <c r="AB3702" s="8">
        <v>0.76600000000000001</v>
      </c>
      <c r="AC3702" s="8">
        <v>4.5999999999999999E-2</v>
      </c>
    </row>
    <row r="3703" spans="1:29" ht="11.65" x14ac:dyDescent="0.35">
      <c r="A3703" s="12">
        <v>3686</v>
      </c>
      <c r="B3703" s="10" t="s">
        <v>1015</v>
      </c>
      <c r="C3703" s="18" t="s">
        <v>1270</v>
      </c>
      <c r="D3703" s="9"/>
      <c r="E3703" s="9">
        <v>40</v>
      </c>
      <c r="F3703" s="10" t="s">
        <v>1066</v>
      </c>
      <c r="G3703" s="9">
        <v>926</v>
      </c>
      <c r="H3703" s="9">
        <v>2000</v>
      </c>
      <c r="I3703" s="8">
        <v>213.67500000000001</v>
      </c>
      <c r="J3703" s="8">
        <v>243.501</v>
      </c>
      <c r="K3703" s="8">
        <v>239.21899999999999</v>
      </c>
      <c r="L3703" s="8">
        <v>246.40700000000001</v>
      </c>
      <c r="M3703" s="8">
        <v>238.262</v>
      </c>
      <c r="N3703" s="8">
        <v>284.21199999999999</v>
      </c>
      <c r="O3703" s="8">
        <v>355.33199999999999</v>
      </c>
      <c r="P3703" s="8">
        <v>365.16500000000002</v>
      </c>
      <c r="Q3703" s="8">
        <v>316.02699999999999</v>
      </c>
      <c r="R3703" s="8">
        <v>253.84899999999999</v>
      </c>
      <c r="S3703" s="8">
        <v>245.66499999999999</v>
      </c>
      <c r="T3703" s="8">
        <v>248.17500000000001</v>
      </c>
      <c r="U3703" s="8">
        <v>198.39699999999999</v>
      </c>
      <c r="V3703" s="8">
        <v>155.67599999999999</v>
      </c>
      <c r="W3703" s="8">
        <v>138.28200000000001</v>
      </c>
      <c r="X3703" s="8">
        <v>97.483999999999995</v>
      </c>
      <c r="Y3703" s="8">
        <v>40.188000000000002</v>
      </c>
      <c r="Z3703" s="8">
        <v>27.41</v>
      </c>
      <c r="AA3703" s="8">
        <v>8.3149999999999995</v>
      </c>
      <c r="AB3703" s="8">
        <v>1.097</v>
      </c>
      <c r="AC3703" s="8">
        <v>6.6000000000000003E-2</v>
      </c>
    </row>
    <row r="3704" spans="1:29" ht="11.65" x14ac:dyDescent="0.35">
      <c r="A3704" s="12">
        <v>3687</v>
      </c>
      <c r="B3704" s="10" t="s">
        <v>1015</v>
      </c>
      <c r="C3704" s="18" t="s">
        <v>1270</v>
      </c>
      <c r="D3704" s="9"/>
      <c r="E3704" s="9">
        <v>40</v>
      </c>
      <c r="F3704" s="10" t="s">
        <v>1066</v>
      </c>
      <c r="G3704" s="9">
        <v>926</v>
      </c>
      <c r="H3704" s="9">
        <v>2005</v>
      </c>
      <c r="I3704" s="8">
        <v>204.20699999999999</v>
      </c>
      <c r="J3704" s="8">
        <v>221.292</v>
      </c>
      <c r="K3704" s="8">
        <v>250.59399999999999</v>
      </c>
      <c r="L3704" s="8">
        <v>250.90299999999999</v>
      </c>
      <c r="M3704" s="8">
        <v>264.89400000000001</v>
      </c>
      <c r="N3704" s="8">
        <v>255.05</v>
      </c>
      <c r="O3704" s="8">
        <v>292.22399999999999</v>
      </c>
      <c r="P3704" s="8">
        <v>356.029</v>
      </c>
      <c r="Q3704" s="8">
        <v>360.42500000000001</v>
      </c>
      <c r="R3704" s="8">
        <v>309.15699999999998</v>
      </c>
      <c r="S3704" s="8">
        <v>246.12</v>
      </c>
      <c r="T3704" s="8">
        <v>234.863</v>
      </c>
      <c r="U3704" s="8">
        <v>234.422</v>
      </c>
      <c r="V3704" s="8">
        <v>182.07499999999999</v>
      </c>
      <c r="W3704" s="8">
        <v>136.18199999999999</v>
      </c>
      <c r="X3704" s="8">
        <v>111.979</v>
      </c>
      <c r="Y3704" s="8">
        <v>68.2</v>
      </c>
      <c r="Z3704" s="8">
        <v>21.963000000000001</v>
      </c>
      <c r="AA3704" s="8">
        <v>9.7530000000000001</v>
      </c>
      <c r="AB3704" s="8">
        <v>1.619</v>
      </c>
      <c r="AC3704" s="8">
        <v>0.108</v>
      </c>
    </row>
    <row r="3705" spans="1:29" ht="11.65" x14ac:dyDescent="0.35">
      <c r="A3705" s="12">
        <v>3688</v>
      </c>
      <c r="B3705" s="10" t="s">
        <v>1015</v>
      </c>
      <c r="C3705" s="18" t="s">
        <v>1270</v>
      </c>
      <c r="D3705" s="9"/>
      <c r="E3705" s="9">
        <v>40</v>
      </c>
      <c r="F3705" s="10" t="s">
        <v>1066</v>
      </c>
      <c r="G3705" s="9">
        <v>926</v>
      </c>
      <c r="H3705" s="9">
        <v>2010</v>
      </c>
      <c r="I3705" s="8">
        <v>200.53</v>
      </c>
      <c r="J3705" s="8">
        <v>208.63300000000001</v>
      </c>
      <c r="K3705" s="8">
        <v>225.41399999999999</v>
      </c>
      <c r="L3705" s="8">
        <v>257.79300000000001</v>
      </c>
      <c r="M3705" s="8">
        <v>263.29899999999998</v>
      </c>
      <c r="N3705" s="8">
        <v>279.01900000000001</v>
      </c>
      <c r="O3705" s="8">
        <v>264.16300000000001</v>
      </c>
      <c r="P3705" s="8">
        <v>295.87</v>
      </c>
      <c r="Q3705" s="8">
        <v>356.87200000000001</v>
      </c>
      <c r="R3705" s="8">
        <v>358.13099999999997</v>
      </c>
      <c r="S3705" s="8">
        <v>304.387</v>
      </c>
      <c r="T3705" s="8">
        <v>238.79300000000001</v>
      </c>
      <c r="U3705" s="8">
        <v>222.346</v>
      </c>
      <c r="V3705" s="8">
        <v>217.43799999999999</v>
      </c>
      <c r="W3705" s="8">
        <v>162.61000000000001</v>
      </c>
      <c r="X3705" s="8">
        <v>112.68</v>
      </c>
      <c r="Y3705" s="8">
        <v>81.245999999999995</v>
      </c>
      <c r="Z3705" s="8">
        <v>38.777999999999999</v>
      </c>
      <c r="AA3705" s="8">
        <v>8.4139999999999997</v>
      </c>
      <c r="AB3705" s="8">
        <v>2.0590000000000002</v>
      </c>
      <c r="AC3705" s="8">
        <v>0.16700000000000001</v>
      </c>
    </row>
    <row r="3706" spans="1:29" ht="11.65" x14ac:dyDescent="0.35">
      <c r="A3706" s="12">
        <v>3689</v>
      </c>
      <c r="B3706" s="10" t="s">
        <v>1015</v>
      </c>
      <c r="C3706" s="18" t="s">
        <v>1270</v>
      </c>
      <c r="D3706" s="9"/>
      <c r="E3706" s="9">
        <v>40</v>
      </c>
      <c r="F3706" s="10" t="s">
        <v>1066</v>
      </c>
      <c r="G3706" s="9">
        <v>926</v>
      </c>
      <c r="H3706" s="9">
        <v>2015</v>
      </c>
      <c r="I3706" s="8">
        <v>209.58799999999999</v>
      </c>
      <c r="J3706" s="8">
        <v>206.44900000000001</v>
      </c>
      <c r="K3706" s="8">
        <v>213.059</v>
      </c>
      <c r="L3706" s="8">
        <v>234.57</v>
      </c>
      <c r="M3706" s="8">
        <v>281.95600000000002</v>
      </c>
      <c r="N3706" s="8">
        <v>291.64100000000002</v>
      </c>
      <c r="O3706" s="8">
        <v>298.56700000000001</v>
      </c>
      <c r="P3706" s="8">
        <v>274.59300000000002</v>
      </c>
      <c r="Q3706" s="8">
        <v>300.54700000000003</v>
      </c>
      <c r="R3706" s="8">
        <v>357.87</v>
      </c>
      <c r="S3706" s="8">
        <v>353.53199999999998</v>
      </c>
      <c r="T3706" s="8">
        <v>296.52600000000001</v>
      </c>
      <c r="U3706" s="8">
        <v>229.61500000000001</v>
      </c>
      <c r="V3706" s="8">
        <v>208.952</v>
      </c>
      <c r="W3706" s="8">
        <v>197.995</v>
      </c>
      <c r="X3706" s="8">
        <v>140.52799999999999</v>
      </c>
      <c r="Y3706" s="8">
        <v>86.162999999999997</v>
      </c>
      <c r="Z3706" s="8">
        <v>48.807000000000002</v>
      </c>
      <c r="AA3706" s="8">
        <v>15.581</v>
      </c>
      <c r="AB3706" s="8">
        <v>1.8939999999999999</v>
      </c>
      <c r="AC3706" s="8">
        <v>0.223</v>
      </c>
    </row>
    <row r="3707" spans="1:29" ht="11.65" x14ac:dyDescent="0.35">
      <c r="A3707" s="12">
        <v>3690</v>
      </c>
      <c r="B3707" s="10" t="s">
        <v>1015</v>
      </c>
      <c r="C3707" s="18" t="s">
        <v>1270</v>
      </c>
      <c r="D3707" s="9"/>
      <c r="E3707" s="9">
        <v>40</v>
      </c>
      <c r="F3707" s="10" t="s">
        <v>1066</v>
      </c>
      <c r="G3707" s="9">
        <v>926</v>
      </c>
      <c r="H3707" s="9">
        <v>2020</v>
      </c>
      <c r="I3707" s="8">
        <v>230.364</v>
      </c>
      <c r="J3707" s="8">
        <v>219.99600000000001</v>
      </c>
      <c r="K3707" s="8">
        <v>218.79499999999999</v>
      </c>
      <c r="L3707" s="8">
        <v>233.50399999999999</v>
      </c>
      <c r="M3707" s="8">
        <v>263.26100000000002</v>
      </c>
      <c r="N3707" s="8">
        <v>312.06599999999997</v>
      </c>
      <c r="O3707" s="8">
        <v>315.827</v>
      </c>
      <c r="P3707" s="8">
        <v>314.61900000000003</v>
      </c>
      <c r="Q3707" s="8">
        <v>284.43799999999999</v>
      </c>
      <c r="R3707" s="8">
        <v>305.30500000000001</v>
      </c>
      <c r="S3707" s="8">
        <v>357.25</v>
      </c>
      <c r="T3707" s="8">
        <v>346.83800000000002</v>
      </c>
      <c r="U3707" s="8">
        <v>284.67</v>
      </c>
      <c r="V3707" s="8">
        <v>213.95500000000001</v>
      </c>
      <c r="W3707" s="8">
        <v>187.33699999999999</v>
      </c>
      <c r="X3707" s="8">
        <v>168.53299999999999</v>
      </c>
      <c r="Y3707" s="8">
        <v>107.116</v>
      </c>
      <c r="Z3707" s="8">
        <v>52.213999999999999</v>
      </c>
      <c r="AA3707" s="8">
        <v>19.835000000000001</v>
      </c>
      <c r="AB3707" s="8">
        <v>3.5619999999999998</v>
      </c>
      <c r="AC3707" s="8">
        <v>0.20599999999999999</v>
      </c>
    </row>
    <row r="3708" spans="1:29" ht="11.65" x14ac:dyDescent="0.35">
      <c r="A3708" s="12">
        <v>3691</v>
      </c>
      <c r="B3708" s="10" t="s">
        <v>1015</v>
      </c>
      <c r="C3708" s="18" t="s">
        <v>1271</v>
      </c>
      <c r="D3708" s="9"/>
      <c r="E3708" s="9">
        <v>56</v>
      </c>
      <c r="F3708" s="10" t="s">
        <v>1066</v>
      </c>
      <c r="G3708" s="9">
        <v>926</v>
      </c>
      <c r="H3708" s="9">
        <v>1950</v>
      </c>
      <c r="I3708" s="8">
        <v>355.178</v>
      </c>
      <c r="J3708" s="8">
        <v>276.75900000000001</v>
      </c>
      <c r="K3708" s="8">
        <v>288.82100000000003</v>
      </c>
      <c r="L3708" s="8">
        <v>313.18599999999998</v>
      </c>
      <c r="M3708" s="8">
        <v>331.738</v>
      </c>
      <c r="N3708" s="8">
        <v>355.27300000000002</v>
      </c>
      <c r="O3708" s="8">
        <v>238.97200000000001</v>
      </c>
      <c r="P3708" s="8">
        <v>314.74099999999999</v>
      </c>
      <c r="Q3708" s="8">
        <v>325.88799999999998</v>
      </c>
      <c r="R3708" s="8">
        <v>322.822</v>
      </c>
      <c r="S3708" s="8">
        <v>282.01499999999999</v>
      </c>
      <c r="T3708" s="8">
        <v>229.40199999999999</v>
      </c>
      <c r="U3708" s="8">
        <v>196.595</v>
      </c>
      <c r="V3708" s="8">
        <v>168.41</v>
      </c>
      <c r="W3708" s="8">
        <v>127.782</v>
      </c>
      <c r="X3708" s="8">
        <v>79.617999999999995</v>
      </c>
      <c r="Y3708" s="8">
        <v>36.664999999999999</v>
      </c>
      <c r="Z3708" s="8">
        <v>10.901999999999999</v>
      </c>
      <c r="AA3708" s="8">
        <v>1.913</v>
      </c>
      <c r="AB3708" s="8">
        <v>0.17799999999999999</v>
      </c>
      <c r="AC3708" s="8">
        <v>4.0000000000000001E-3</v>
      </c>
    </row>
    <row r="3709" spans="1:29" ht="11.65" x14ac:dyDescent="0.35">
      <c r="A3709" s="12">
        <v>3692</v>
      </c>
      <c r="B3709" s="10" t="s">
        <v>1015</v>
      </c>
      <c r="C3709" s="18" t="s">
        <v>1271</v>
      </c>
      <c r="D3709" s="9"/>
      <c r="E3709" s="9">
        <v>56</v>
      </c>
      <c r="F3709" s="10" t="s">
        <v>1066</v>
      </c>
      <c r="G3709" s="9">
        <v>926</v>
      </c>
      <c r="H3709" s="9">
        <v>1955</v>
      </c>
      <c r="I3709" s="8">
        <v>358.64600000000002</v>
      </c>
      <c r="J3709" s="8">
        <v>355.04700000000003</v>
      </c>
      <c r="K3709" s="8">
        <v>277.15499999999997</v>
      </c>
      <c r="L3709" s="8">
        <v>290.15600000000001</v>
      </c>
      <c r="M3709" s="8">
        <v>315.83800000000002</v>
      </c>
      <c r="N3709" s="8">
        <v>333.59899999999999</v>
      </c>
      <c r="O3709" s="8">
        <v>355.404</v>
      </c>
      <c r="P3709" s="8">
        <v>238.67500000000001</v>
      </c>
      <c r="Q3709" s="8">
        <v>311.22500000000002</v>
      </c>
      <c r="R3709" s="8">
        <v>318.24099999999999</v>
      </c>
      <c r="S3709" s="8">
        <v>309.09399999999999</v>
      </c>
      <c r="T3709" s="8">
        <v>262.73399999999998</v>
      </c>
      <c r="U3709" s="8">
        <v>205.959</v>
      </c>
      <c r="V3709" s="8">
        <v>167.49799999999999</v>
      </c>
      <c r="W3709" s="8">
        <v>131.82400000000001</v>
      </c>
      <c r="X3709" s="8">
        <v>86.605999999999995</v>
      </c>
      <c r="Y3709" s="8">
        <v>42.536000000000001</v>
      </c>
      <c r="Z3709" s="8">
        <v>13.592000000000001</v>
      </c>
      <c r="AA3709" s="8">
        <v>2.3650000000000002</v>
      </c>
      <c r="AB3709" s="8">
        <v>0.217</v>
      </c>
      <c r="AC3709" s="8">
        <v>0.01</v>
      </c>
    </row>
    <row r="3710" spans="1:29" ht="11.65" x14ac:dyDescent="0.35">
      <c r="A3710" s="12">
        <v>3693</v>
      </c>
      <c r="B3710" s="10" t="s">
        <v>1015</v>
      </c>
      <c r="C3710" s="18" t="s">
        <v>1271</v>
      </c>
      <c r="D3710" s="9"/>
      <c r="E3710" s="9">
        <v>56</v>
      </c>
      <c r="F3710" s="10" t="s">
        <v>1066</v>
      </c>
      <c r="G3710" s="9">
        <v>926</v>
      </c>
      <c r="H3710" s="9">
        <v>1960</v>
      </c>
      <c r="I3710" s="8">
        <v>383.733</v>
      </c>
      <c r="J3710" s="8">
        <v>360.01400000000001</v>
      </c>
      <c r="K3710" s="8">
        <v>356.66</v>
      </c>
      <c r="L3710" s="8">
        <v>278.80399999999997</v>
      </c>
      <c r="M3710" s="8">
        <v>292.49900000000002</v>
      </c>
      <c r="N3710" s="8">
        <v>316.48399999999998</v>
      </c>
      <c r="O3710" s="8">
        <v>332.709</v>
      </c>
      <c r="P3710" s="8">
        <v>353.37700000000001</v>
      </c>
      <c r="Q3710" s="8">
        <v>235.923</v>
      </c>
      <c r="R3710" s="8">
        <v>304.47500000000002</v>
      </c>
      <c r="S3710" s="8">
        <v>306.20499999999998</v>
      </c>
      <c r="T3710" s="8">
        <v>289.18400000000003</v>
      </c>
      <c r="U3710" s="8">
        <v>236.18700000000001</v>
      </c>
      <c r="V3710" s="8">
        <v>175.297</v>
      </c>
      <c r="W3710" s="8">
        <v>131.29499999999999</v>
      </c>
      <c r="X3710" s="8">
        <v>90.346000000000004</v>
      </c>
      <c r="Y3710" s="8">
        <v>47.238</v>
      </c>
      <c r="Z3710" s="8">
        <v>16.420000000000002</v>
      </c>
      <c r="AA3710" s="8">
        <v>3.19</v>
      </c>
      <c r="AB3710" s="8">
        <v>0.29499999999999998</v>
      </c>
      <c r="AC3710" s="8">
        <v>1.4E-2</v>
      </c>
    </row>
    <row r="3711" spans="1:29" ht="11.65" x14ac:dyDescent="0.35">
      <c r="A3711" s="12">
        <v>3694</v>
      </c>
      <c r="B3711" s="10" t="s">
        <v>1015</v>
      </c>
      <c r="C3711" s="18" t="s">
        <v>1271</v>
      </c>
      <c r="D3711" s="9"/>
      <c r="E3711" s="9">
        <v>56</v>
      </c>
      <c r="F3711" s="10" t="s">
        <v>1066</v>
      </c>
      <c r="G3711" s="9">
        <v>926</v>
      </c>
      <c r="H3711" s="9">
        <v>1965</v>
      </c>
      <c r="I3711" s="8">
        <v>401.68799999999999</v>
      </c>
      <c r="J3711" s="8">
        <v>387.05700000000002</v>
      </c>
      <c r="K3711" s="8">
        <v>362.60300000000001</v>
      </c>
      <c r="L3711" s="8">
        <v>358.71699999999998</v>
      </c>
      <c r="M3711" s="8">
        <v>282.108</v>
      </c>
      <c r="N3711" s="8">
        <v>294.78500000000003</v>
      </c>
      <c r="O3711" s="8">
        <v>317.28899999999999</v>
      </c>
      <c r="P3711" s="8">
        <v>329.137</v>
      </c>
      <c r="Q3711" s="8">
        <v>345.17899999999997</v>
      </c>
      <c r="R3711" s="8">
        <v>228.01400000000001</v>
      </c>
      <c r="S3711" s="8">
        <v>290.774</v>
      </c>
      <c r="T3711" s="8">
        <v>284.85199999999998</v>
      </c>
      <c r="U3711" s="8">
        <v>258.04599999999999</v>
      </c>
      <c r="V3711" s="8">
        <v>198.87799999999999</v>
      </c>
      <c r="W3711" s="8">
        <v>136.31800000000001</v>
      </c>
      <c r="X3711" s="8">
        <v>89.727000000000004</v>
      </c>
      <c r="Y3711" s="8">
        <v>49.746000000000002</v>
      </c>
      <c r="Z3711" s="8">
        <v>18.373999999999999</v>
      </c>
      <c r="AA3711" s="8">
        <v>3.919</v>
      </c>
      <c r="AB3711" s="8">
        <v>0.41099999999999998</v>
      </c>
      <c r="AC3711" s="8">
        <v>1.7999999999999999E-2</v>
      </c>
    </row>
    <row r="3712" spans="1:29" ht="11.65" x14ac:dyDescent="0.35">
      <c r="A3712" s="12">
        <v>3695</v>
      </c>
      <c r="B3712" s="10" t="s">
        <v>1015</v>
      </c>
      <c r="C3712" s="18" t="s">
        <v>1271</v>
      </c>
      <c r="D3712" s="9"/>
      <c r="E3712" s="9">
        <v>56</v>
      </c>
      <c r="F3712" s="10" t="s">
        <v>1066</v>
      </c>
      <c r="G3712" s="9">
        <v>926</v>
      </c>
      <c r="H3712" s="9">
        <v>1970</v>
      </c>
      <c r="I3712" s="8">
        <v>368.54500000000002</v>
      </c>
      <c r="J3712" s="8">
        <v>403.471</v>
      </c>
      <c r="K3712" s="8">
        <v>389.66199999999998</v>
      </c>
      <c r="L3712" s="8">
        <v>366.30900000000003</v>
      </c>
      <c r="M3712" s="8">
        <v>362.54</v>
      </c>
      <c r="N3712" s="8">
        <v>285.59300000000002</v>
      </c>
      <c r="O3712" s="8">
        <v>296.40499999999997</v>
      </c>
      <c r="P3712" s="8">
        <v>314.41199999999998</v>
      </c>
      <c r="Q3712" s="8">
        <v>322.142</v>
      </c>
      <c r="R3712" s="8">
        <v>335.435</v>
      </c>
      <c r="S3712" s="8">
        <v>218.03</v>
      </c>
      <c r="T3712" s="8">
        <v>271.31299999999999</v>
      </c>
      <c r="U3712" s="8">
        <v>254.52699999999999</v>
      </c>
      <c r="V3712" s="8">
        <v>216.13200000000001</v>
      </c>
      <c r="W3712" s="8">
        <v>151.928</v>
      </c>
      <c r="X3712" s="8">
        <v>91.212999999999994</v>
      </c>
      <c r="Y3712" s="8">
        <v>48.796999999999997</v>
      </c>
      <c r="Z3712" s="8">
        <v>19.649999999999999</v>
      </c>
      <c r="AA3712" s="8">
        <v>4.5110000000000001</v>
      </c>
      <c r="AB3712" s="8">
        <v>0.52600000000000002</v>
      </c>
      <c r="AC3712" s="8">
        <v>0.03</v>
      </c>
    </row>
    <row r="3713" spans="1:29" ht="11.65" x14ac:dyDescent="0.35">
      <c r="A3713" s="12">
        <v>3696</v>
      </c>
      <c r="B3713" s="10" t="s">
        <v>1015</v>
      </c>
      <c r="C3713" s="18" t="s">
        <v>1271</v>
      </c>
      <c r="D3713" s="9"/>
      <c r="E3713" s="9">
        <v>56</v>
      </c>
      <c r="F3713" s="10" t="s">
        <v>1066</v>
      </c>
      <c r="G3713" s="9">
        <v>926</v>
      </c>
      <c r="H3713" s="9">
        <v>1975</v>
      </c>
      <c r="I3713" s="8">
        <v>334.84699999999998</v>
      </c>
      <c r="J3713" s="8">
        <v>370.63099999999997</v>
      </c>
      <c r="K3713" s="8">
        <v>407.09899999999999</v>
      </c>
      <c r="L3713" s="8">
        <v>394.685</v>
      </c>
      <c r="M3713" s="8">
        <v>370.78399999999999</v>
      </c>
      <c r="N3713" s="8">
        <v>366.03500000000003</v>
      </c>
      <c r="O3713" s="8">
        <v>287.37400000000002</v>
      </c>
      <c r="P3713" s="8">
        <v>296.209</v>
      </c>
      <c r="Q3713" s="8">
        <v>311.93599999999998</v>
      </c>
      <c r="R3713" s="8">
        <v>314.899</v>
      </c>
      <c r="S3713" s="8">
        <v>321.97399999999999</v>
      </c>
      <c r="T3713" s="8">
        <v>203.90600000000001</v>
      </c>
      <c r="U3713" s="8">
        <v>243.334</v>
      </c>
      <c r="V3713" s="8">
        <v>213.82400000000001</v>
      </c>
      <c r="W3713" s="8">
        <v>165.06</v>
      </c>
      <c r="X3713" s="8">
        <v>101.58499999999999</v>
      </c>
      <c r="Y3713" s="8">
        <v>49.927</v>
      </c>
      <c r="Z3713" s="8">
        <v>19.698</v>
      </c>
      <c r="AA3713" s="8">
        <v>5.0190000000000001</v>
      </c>
      <c r="AB3713" s="8">
        <v>0.63400000000000001</v>
      </c>
      <c r="AC3713" s="8">
        <v>0.04</v>
      </c>
    </row>
    <row r="3714" spans="1:29" ht="11.65" x14ac:dyDescent="0.35">
      <c r="A3714" s="12">
        <v>3697</v>
      </c>
      <c r="B3714" s="10" t="s">
        <v>1015</v>
      </c>
      <c r="C3714" s="18" t="s">
        <v>1271</v>
      </c>
      <c r="D3714" s="9"/>
      <c r="E3714" s="9">
        <v>56</v>
      </c>
      <c r="F3714" s="10" t="s">
        <v>1066</v>
      </c>
      <c r="G3714" s="9">
        <v>926</v>
      </c>
      <c r="H3714" s="9">
        <v>1980</v>
      </c>
      <c r="I3714" s="8">
        <v>308.13299999999998</v>
      </c>
      <c r="J3714" s="8">
        <v>337.34500000000003</v>
      </c>
      <c r="K3714" s="8">
        <v>373.46499999999997</v>
      </c>
      <c r="L3714" s="8">
        <v>411.71199999999999</v>
      </c>
      <c r="M3714" s="8">
        <v>399.988</v>
      </c>
      <c r="N3714" s="8">
        <v>374.76299999999998</v>
      </c>
      <c r="O3714" s="8">
        <v>367.29700000000003</v>
      </c>
      <c r="P3714" s="8">
        <v>287.36399999999998</v>
      </c>
      <c r="Q3714" s="8">
        <v>294.20600000000002</v>
      </c>
      <c r="R3714" s="8">
        <v>307.04700000000003</v>
      </c>
      <c r="S3714" s="8">
        <v>303.83999999999997</v>
      </c>
      <c r="T3714" s="8">
        <v>302.89299999999997</v>
      </c>
      <c r="U3714" s="8">
        <v>185.28700000000001</v>
      </c>
      <c r="V3714" s="8">
        <v>208.197</v>
      </c>
      <c r="W3714" s="8">
        <v>166.374</v>
      </c>
      <c r="X3714" s="8">
        <v>111.83</v>
      </c>
      <c r="Y3714" s="8">
        <v>56.27</v>
      </c>
      <c r="Z3714" s="8">
        <v>20.882999999999999</v>
      </c>
      <c r="AA3714" s="8">
        <v>5.2949999999999999</v>
      </c>
      <c r="AB3714" s="8">
        <v>0.78400000000000003</v>
      </c>
      <c r="AC3714" s="8">
        <v>5.6000000000000001E-2</v>
      </c>
    </row>
    <row r="3715" spans="1:29" ht="11.65" x14ac:dyDescent="0.35">
      <c r="A3715" s="12">
        <v>3698</v>
      </c>
      <c r="B3715" s="10" t="s">
        <v>1015</v>
      </c>
      <c r="C3715" s="18" t="s">
        <v>1271</v>
      </c>
      <c r="D3715" s="9"/>
      <c r="E3715" s="9">
        <v>56</v>
      </c>
      <c r="F3715" s="10" t="s">
        <v>1066</v>
      </c>
      <c r="G3715" s="9">
        <v>926</v>
      </c>
      <c r="H3715" s="9">
        <v>1985</v>
      </c>
      <c r="I3715" s="8">
        <v>302.93900000000002</v>
      </c>
      <c r="J3715" s="8">
        <v>308.54199999999997</v>
      </c>
      <c r="K3715" s="8">
        <v>337.50700000000001</v>
      </c>
      <c r="L3715" s="8">
        <v>372.738</v>
      </c>
      <c r="M3715" s="8">
        <v>411.34</v>
      </c>
      <c r="N3715" s="8">
        <v>401.92700000000002</v>
      </c>
      <c r="O3715" s="8">
        <v>374.553</v>
      </c>
      <c r="P3715" s="8">
        <v>364.23200000000003</v>
      </c>
      <c r="Q3715" s="8">
        <v>283.95</v>
      </c>
      <c r="R3715" s="8">
        <v>288.82499999999999</v>
      </c>
      <c r="S3715" s="8">
        <v>297.63200000000001</v>
      </c>
      <c r="T3715" s="8">
        <v>288.255</v>
      </c>
      <c r="U3715" s="8">
        <v>277.65800000000002</v>
      </c>
      <c r="V3715" s="8">
        <v>161.227</v>
      </c>
      <c r="W3715" s="8">
        <v>165.929</v>
      </c>
      <c r="X3715" s="8">
        <v>115.58199999999999</v>
      </c>
      <c r="Y3715" s="8">
        <v>63.365000000000002</v>
      </c>
      <c r="Z3715" s="8">
        <v>24.108000000000001</v>
      </c>
      <c r="AA3715" s="8">
        <v>5.9539999999999997</v>
      </c>
      <c r="AB3715" s="8">
        <v>0.91</v>
      </c>
      <c r="AC3715" s="8">
        <v>7.6999999999999999E-2</v>
      </c>
    </row>
    <row r="3716" spans="1:29" ht="11.65" x14ac:dyDescent="0.35">
      <c r="A3716" s="12">
        <v>3699</v>
      </c>
      <c r="B3716" s="10" t="s">
        <v>1015</v>
      </c>
      <c r="C3716" s="18" t="s">
        <v>1271</v>
      </c>
      <c r="D3716" s="9"/>
      <c r="E3716" s="9">
        <v>56</v>
      </c>
      <c r="F3716" s="10" t="s">
        <v>1066</v>
      </c>
      <c r="G3716" s="9">
        <v>926</v>
      </c>
      <c r="H3716" s="9">
        <v>1990</v>
      </c>
      <c r="I3716" s="8">
        <v>303.06299999999999</v>
      </c>
      <c r="J3716" s="8">
        <v>307.476</v>
      </c>
      <c r="K3716" s="8">
        <v>311.32100000000003</v>
      </c>
      <c r="L3716" s="8">
        <v>340.07100000000003</v>
      </c>
      <c r="M3716" s="8">
        <v>376.44400000000002</v>
      </c>
      <c r="N3716" s="8">
        <v>411.86099999999999</v>
      </c>
      <c r="O3716" s="8">
        <v>399.40100000000001</v>
      </c>
      <c r="P3716" s="8">
        <v>371.59399999999999</v>
      </c>
      <c r="Q3716" s="8">
        <v>360.20100000000002</v>
      </c>
      <c r="R3716" s="8">
        <v>279.12700000000001</v>
      </c>
      <c r="S3716" s="8">
        <v>281.23399999999998</v>
      </c>
      <c r="T3716" s="8">
        <v>284.67200000000003</v>
      </c>
      <c r="U3716" s="8">
        <v>267.14400000000001</v>
      </c>
      <c r="V3716" s="8">
        <v>245.191</v>
      </c>
      <c r="W3716" s="8">
        <v>131.834</v>
      </c>
      <c r="X3716" s="8">
        <v>119.79600000000001</v>
      </c>
      <c r="Y3716" s="8">
        <v>68.652000000000001</v>
      </c>
      <c r="Z3716" s="8">
        <v>28.276</v>
      </c>
      <c r="AA3716" s="8">
        <v>7.3220000000000001</v>
      </c>
      <c r="AB3716" s="8">
        <v>1.093</v>
      </c>
      <c r="AC3716" s="8">
        <v>9.7000000000000003E-2</v>
      </c>
    </row>
    <row r="3717" spans="1:29" ht="11.65" x14ac:dyDescent="0.35">
      <c r="A3717" s="12">
        <v>3700</v>
      </c>
      <c r="B3717" s="10" t="s">
        <v>1015</v>
      </c>
      <c r="C3717" s="18" t="s">
        <v>1271</v>
      </c>
      <c r="D3717" s="9"/>
      <c r="E3717" s="9">
        <v>56</v>
      </c>
      <c r="F3717" s="10" t="s">
        <v>1066</v>
      </c>
      <c r="G3717" s="9">
        <v>926</v>
      </c>
      <c r="H3717" s="9">
        <v>1995</v>
      </c>
      <c r="I3717" s="8">
        <v>311.96199999999999</v>
      </c>
      <c r="J3717" s="8">
        <v>311.75</v>
      </c>
      <c r="K3717" s="8">
        <v>310.7</v>
      </c>
      <c r="L3717" s="8">
        <v>312.81700000000001</v>
      </c>
      <c r="M3717" s="8">
        <v>345.09199999999998</v>
      </c>
      <c r="N3717" s="8">
        <v>384.66300000000001</v>
      </c>
      <c r="O3717" s="8">
        <v>416.91800000000001</v>
      </c>
      <c r="P3717" s="8">
        <v>399.06599999999997</v>
      </c>
      <c r="Q3717" s="8">
        <v>368.41199999999998</v>
      </c>
      <c r="R3717" s="8">
        <v>354.78899999999999</v>
      </c>
      <c r="S3717" s="8">
        <v>272.36900000000003</v>
      </c>
      <c r="T3717" s="8">
        <v>270.43700000000001</v>
      </c>
      <c r="U3717" s="8">
        <v>266.68700000000001</v>
      </c>
      <c r="V3717" s="8">
        <v>239.596</v>
      </c>
      <c r="W3717" s="8">
        <v>205.255</v>
      </c>
      <c r="X3717" s="8">
        <v>98.596999999999994</v>
      </c>
      <c r="Y3717" s="8">
        <v>74.453999999999994</v>
      </c>
      <c r="Z3717" s="8">
        <v>32.003</v>
      </c>
      <c r="AA3717" s="8">
        <v>8.7929999999999993</v>
      </c>
      <c r="AB3717" s="8">
        <v>1.351</v>
      </c>
      <c r="AC3717" s="8">
        <v>0.108</v>
      </c>
    </row>
    <row r="3718" spans="1:29" ht="11.65" x14ac:dyDescent="0.35">
      <c r="A3718" s="12">
        <v>3701</v>
      </c>
      <c r="B3718" s="10" t="s">
        <v>1015</v>
      </c>
      <c r="C3718" s="18" t="s">
        <v>1271</v>
      </c>
      <c r="D3718" s="9"/>
      <c r="E3718" s="9">
        <v>56</v>
      </c>
      <c r="F3718" s="10" t="s">
        <v>1066</v>
      </c>
      <c r="G3718" s="9">
        <v>926</v>
      </c>
      <c r="H3718" s="9">
        <v>2000</v>
      </c>
      <c r="I3718" s="8">
        <v>293.92</v>
      </c>
      <c r="J3718" s="8">
        <v>316.05200000000002</v>
      </c>
      <c r="K3718" s="8">
        <v>313.95699999999999</v>
      </c>
      <c r="L3718" s="8">
        <v>312.28100000000001</v>
      </c>
      <c r="M3718" s="8">
        <v>317.20499999999998</v>
      </c>
      <c r="N3718" s="8">
        <v>349.53</v>
      </c>
      <c r="O3718" s="8">
        <v>386.19</v>
      </c>
      <c r="P3718" s="8">
        <v>416.43700000000001</v>
      </c>
      <c r="Q3718" s="8">
        <v>396.18299999999999</v>
      </c>
      <c r="R3718" s="8">
        <v>361.38600000000002</v>
      </c>
      <c r="S3718" s="8">
        <v>343.44600000000003</v>
      </c>
      <c r="T3718" s="8">
        <v>260.02300000000002</v>
      </c>
      <c r="U3718" s="8">
        <v>253.602</v>
      </c>
      <c r="V3718" s="8">
        <v>241.405</v>
      </c>
      <c r="W3718" s="8">
        <v>203.56200000000001</v>
      </c>
      <c r="X3718" s="8">
        <v>157.59899999999999</v>
      </c>
      <c r="Y3718" s="8">
        <v>63.710999999999999</v>
      </c>
      <c r="Z3718" s="8">
        <v>36.268000000000001</v>
      </c>
      <c r="AA3718" s="8">
        <v>10.331</v>
      </c>
      <c r="AB3718" s="8">
        <v>1.603</v>
      </c>
      <c r="AC3718" s="8">
        <v>0.129</v>
      </c>
    </row>
    <row r="3719" spans="1:29" ht="11.65" x14ac:dyDescent="0.35">
      <c r="A3719" s="12">
        <v>3702</v>
      </c>
      <c r="B3719" s="10" t="s">
        <v>1015</v>
      </c>
      <c r="C3719" s="18" t="s">
        <v>1271</v>
      </c>
      <c r="D3719" s="9"/>
      <c r="E3719" s="9">
        <v>56</v>
      </c>
      <c r="F3719" s="10" t="s">
        <v>1066</v>
      </c>
      <c r="G3719" s="9">
        <v>926</v>
      </c>
      <c r="H3719" s="9">
        <v>2005</v>
      </c>
      <c r="I3719" s="8">
        <v>298.49599999999998</v>
      </c>
      <c r="J3719" s="8">
        <v>302.51100000000002</v>
      </c>
      <c r="K3719" s="8">
        <v>323.30900000000003</v>
      </c>
      <c r="L3719" s="8">
        <v>320.41399999999999</v>
      </c>
      <c r="M3719" s="8">
        <v>331.30700000000002</v>
      </c>
      <c r="N3719" s="8">
        <v>338.66500000000002</v>
      </c>
      <c r="O3719" s="8">
        <v>358.93599999999998</v>
      </c>
      <c r="P3719" s="8">
        <v>392.51900000000001</v>
      </c>
      <c r="Q3719" s="8">
        <v>418.31700000000001</v>
      </c>
      <c r="R3719" s="8">
        <v>393.61799999999999</v>
      </c>
      <c r="S3719" s="8">
        <v>354.68900000000002</v>
      </c>
      <c r="T3719" s="8">
        <v>332.46</v>
      </c>
      <c r="U3719" s="8">
        <v>247.12700000000001</v>
      </c>
      <c r="V3719" s="8">
        <v>233.685</v>
      </c>
      <c r="W3719" s="8">
        <v>210.536</v>
      </c>
      <c r="X3719" s="8">
        <v>162.374</v>
      </c>
      <c r="Y3719" s="8">
        <v>107.938</v>
      </c>
      <c r="Z3719" s="8">
        <v>33.283000000000001</v>
      </c>
      <c r="AA3719" s="8">
        <v>12.048999999999999</v>
      </c>
      <c r="AB3719" s="8">
        <v>1.8580000000000001</v>
      </c>
      <c r="AC3719" s="8">
        <v>0.14399999999999999</v>
      </c>
    </row>
    <row r="3720" spans="1:29" ht="11.65" x14ac:dyDescent="0.35">
      <c r="A3720" s="12">
        <v>3703</v>
      </c>
      <c r="B3720" s="10" t="s">
        <v>1015</v>
      </c>
      <c r="C3720" s="18" t="s">
        <v>1271</v>
      </c>
      <c r="D3720" s="9"/>
      <c r="E3720" s="9">
        <v>56</v>
      </c>
      <c r="F3720" s="10" t="s">
        <v>1066</v>
      </c>
      <c r="G3720" s="9">
        <v>926</v>
      </c>
      <c r="H3720" s="9">
        <v>2010</v>
      </c>
      <c r="I3720" s="8">
        <v>323.73099999999999</v>
      </c>
      <c r="J3720" s="8">
        <v>308.33800000000002</v>
      </c>
      <c r="K3720" s="8">
        <v>311.99700000000001</v>
      </c>
      <c r="L3720" s="8">
        <v>334.26600000000002</v>
      </c>
      <c r="M3720" s="8">
        <v>337.13099999999997</v>
      </c>
      <c r="N3720" s="8">
        <v>355.76900000000001</v>
      </c>
      <c r="O3720" s="8">
        <v>363.17099999999999</v>
      </c>
      <c r="P3720" s="8">
        <v>376.82600000000002</v>
      </c>
      <c r="Q3720" s="8">
        <v>399.20100000000002</v>
      </c>
      <c r="R3720" s="8">
        <v>415.16300000000001</v>
      </c>
      <c r="S3720" s="8">
        <v>387.52100000000002</v>
      </c>
      <c r="T3720" s="8">
        <v>343.928</v>
      </c>
      <c r="U3720" s="8">
        <v>313.26499999999999</v>
      </c>
      <c r="V3720" s="8">
        <v>224.42500000000001</v>
      </c>
      <c r="W3720" s="8">
        <v>207.73400000000001</v>
      </c>
      <c r="X3720" s="8">
        <v>176.22200000000001</v>
      </c>
      <c r="Y3720" s="8">
        <v>117.932</v>
      </c>
      <c r="Z3720" s="8">
        <v>60.326000000000001</v>
      </c>
      <c r="AA3720" s="8">
        <v>12.364000000000001</v>
      </c>
      <c r="AB3720" s="8">
        <v>2.4649999999999999</v>
      </c>
      <c r="AC3720" s="8">
        <v>0.186</v>
      </c>
    </row>
    <row r="3721" spans="1:29" ht="11.65" x14ac:dyDescent="0.35">
      <c r="A3721" s="12">
        <v>3704</v>
      </c>
      <c r="B3721" s="10" t="s">
        <v>1015</v>
      </c>
      <c r="C3721" s="18" t="s">
        <v>1271</v>
      </c>
      <c r="D3721" s="9"/>
      <c r="E3721" s="9">
        <v>56</v>
      </c>
      <c r="F3721" s="10" t="s">
        <v>1066</v>
      </c>
      <c r="G3721" s="9">
        <v>926</v>
      </c>
      <c r="H3721" s="9">
        <v>2015</v>
      </c>
      <c r="I3721" s="8">
        <v>329.87099999999998</v>
      </c>
      <c r="J3721" s="8">
        <v>333.38799999999998</v>
      </c>
      <c r="K3721" s="8">
        <v>317.95800000000003</v>
      </c>
      <c r="L3721" s="8">
        <v>322.09500000000003</v>
      </c>
      <c r="M3721" s="8">
        <v>351.66899999999998</v>
      </c>
      <c r="N3721" s="8">
        <v>356.42500000000001</v>
      </c>
      <c r="O3721" s="8">
        <v>365.89800000000002</v>
      </c>
      <c r="P3721" s="8">
        <v>374.36500000000001</v>
      </c>
      <c r="Q3721" s="8">
        <v>389.59500000000003</v>
      </c>
      <c r="R3721" s="8">
        <v>406.75900000000001</v>
      </c>
      <c r="S3721" s="8">
        <v>414.05399999999997</v>
      </c>
      <c r="T3721" s="8">
        <v>379.16300000000001</v>
      </c>
      <c r="U3721" s="8">
        <v>325.72399999999999</v>
      </c>
      <c r="V3721" s="8">
        <v>286.01400000000001</v>
      </c>
      <c r="W3721" s="8">
        <v>199.53399999999999</v>
      </c>
      <c r="X3721" s="8">
        <v>172.53899999999999</v>
      </c>
      <c r="Y3721" s="8">
        <v>128.31800000000001</v>
      </c>
      <c r="Z3721" s="8">
        <v>68.527000000000001</v>
      </c>
      <c r="AA3721" s="8">
        <v>23.724</v>
      </c>
      <c r="AB3721" s="8">
        <v>2.742</v>
      </c>
      <c r="AC3721" s="8">
        <v>0.27200000000000002</v>
      </c>
    </row>
    <row r="3722" spans="1:29" ht="11.65" x14ac:dyDescent="0.35">
      <c r="A3722" s="12">
        <v>3705</v>
      </c>
      <c r="B3722" s="10" t="s">
        <v>1015</v>
      </c>
      <c r="C3722" s="18" t="s">
        <v>1271</v>
      </c>
      <c r="D3722" s="9"/>
      <c r="E3722" s="9">
        <v>56</v>
      </c>
      <c r="F3722" s="10" t="s">
        <v>1066</v>
      </c>
      <c r="G3722" s="9">
        <v>926</v>
      </c>
      <c r="H3722" s="9">
        <v>2020</v>
      </c>
      <c r="I3722" s="8">
        <v>326.34100000000001</v>
      </c>
      <c r="J3722" s="8">
        <v>345.55799999999999</v>
      </c>
      <c r="K3722" s="8">
        <v>345.59100000000001</v>
      </c>
      <c r="L3722" s="8">
        <v>329.23399999999998</v>
      </c>
      <c r="M3722" s="8">
        <v>337.762</v>
      </c>
      <c r="N3722" s="8">
        <v>372.15800000000002</v>
      </c>
      <c r="O3722" s="8">
        <v>375.267</v>
      </c>
      <c r="P3722" s="8">
        <v>378.62599999999998</v>
      </c>
      <c r="Q3722" s="8">
        <v>381.48099999999999</v>
      </c>
      <c r="R3722" s="8">
        <v>392.495</v>
      </c>
      <c r="S3722" s="8">
        <v>405.226</v>
      </c>
      <c r="T3722" s="8">
        <v>406.32299999999998</v>
      </c>
      <c r="U3722" s="8">
        <v>365.22300000000001</v>
      </c>
      <c r="V3722" s="8">
        <v>306.53399999999999</v>
      </c>
      <c r="W3722" s="8">
        <v>260.16000000000003</v>
      </c>
      <c r="X3722" s="8">
        <v>171.43700000000001</v>
      </c>
      <c r="Y3722" s="8">
        <v>132.26400000000001</v>
      </c>
      <c r="Z3722" s="8">
        <v>78.406999999999996</v>
      </c>
      <c r="AA3722" s="8">
        <v>28.401</v>
      </c>
      <c r="AB3722" s="8">
        <v>5.548</v>
      </c>
      <c r="AC3722" s="8">
        <v>0.29899999999999999</v>
      </c>
    </row>
    <row r="3723" spans="1:29" ht="11.65" x14ac:dyDescent="0.35">
      <c r="A3723" s="12">
        <v>3706</v>
      </c>
      <c r="B3723" s="10" t="s">
        <v>1015</v>
      </c>
      <c r="C3723" s="18" t="s">
        <v>1272</v>
      </c>
      <c r="D3723" s="9">
        <v>27</v>
      </c>
      <c r="E3723" s="9">
        <v>250</v>
      </c>
      <c r="F3723" s="10" t="s">
        <v>1066</v>
      </c>
      <c r="G3723" s="9">
        <v>926</v>
      </c>
      <c r="H3723" s="9">
        <v>1950</v>
      </c>
      <c r="I3723" s="8">
        <v>2019.67</v>
      </c>
      <c r="J3723" s="8">
        <v>1379.4590000000001</v>
      </c>
      <c r="K3723" s="8">
        <v>1420.5530000000001</v>
      </c>
      <c r="L3723" s="8">
        <v>1592.13</v>
      </c>
      <c r="M3723" s="8">
        <v>1639.953</v>
      </c>
      <c r="N3723" s="8">
        <v>1648.973</v>
      </c>
      <c r="O3723" s="8">
        <v>987.36</v>
      </c>
      <c r="P3723" s="8">
        <v>1442.049</v>
      </c>
      <c r="Q3723" s="8">
        <v>1537.539</v>
      </c>
      <c r="R3723" s="8">
        <v>1513.4490000000001</v>
      </c>
      <c r="S3723" s="8">
        <v>1257.2049999999999</v>
      </c>
      <c r="T3723" s="8">
        <v>934.36599999999999</v>
      </c>
      <c r="U3723" s="8">
        <v>847.75599999999997</v>
      </c>
      <c r="V3723" s="8">
        <v>714.32399999999996</v>
      </c>
      <c r="W3723" s="8">
        <v>578.56399999999996</v>
      </c>
      <c r="X3723" s="8">
        <v>366.34</v>
      </c>
      <c r="Y3723" s="8">
        <v>167.208</v>
      </c>
      <c r="Z3723" s="8">
        <v>53.152000000000001</v>
      </c>
      <c r="AA3723" s="8">
        <v>9.1370000000000005</v>
      </c>
      <c r="AB3723" s="8">
        <v>0.86499999999999999</v>
      </c>
      <c r="AC3723" s="8">
        <v>4.3999999999999997E-2</v>
      </c>
    </row>
    <row r="3724" spans="1:29" ht="11.65" x14ac:dyDescent="0.35">
      <c r="A3724" s="12">
        <v>3707</v>
      </c>
      <c r="B3724" s="10" t="s">
        <v>1015</v>
      </c>
      <c r="C3724" s="18" t="s">
        <v>1272</v>
      </c>
      <c r="D3724" s="9">
        <v>27</v>
      </c>
      <c r="E3724" s="9">
        <v>250</v>
      </c>
      <c r="F3724" s="10" t="s">
        <v>1066</v>
      </c>
      <c r="G3724" s="9">
        <v>926</v>
      </c>
      <c r="H3724" s="9">
        <v>1955</v>
      </c>
      <c r="I3724" s="8">
        <v>1991.48</v>
      </c>
      <c r="J3724" s="8">
        <v>2024.5509999999999</v>
      </c>
      <c r="K3724" s="8">
        <v>1390.982</v>
      </c>
      <c r="L3724" s="8">
        <v>1429.778</v>
      </c>
      <c r="M3724" s="8">
        <v>1592.8119999999999</v>
      </c>
      <c r="N3724" s="8">
        <v>1633.999</v>
      </c>
      <c r="O3724" s="8">
        <v>1639.837</v>
      </c>
      <c r="P3724" s="8">
        <v>982.39099999999996</v>
      </c>
      <c r="Q3724" s="8">
        <v>1420.1089999999999</v>
      </c>
      <c r="R3724" s="8">
        <v>1492.367</v>
      </c>
      <c r="S3724" s="8">
        <v>1439.123</v>
      </c>
      <c r="T3724" s="8">
        <v>1164.54</v>
      </c>
      <c r="U3724" s="8">
        <v>835.99300000000005</v>
      </c>
      <c r="V3724" s="8">
        <v>718.81600000000003</v>
      </c>
      <c r="W3724" s="8">
        <v>553.27</v>
      </c>
      <c r="X3724" s="8">
        <v>385.37799999999999</v>
      </c>
      <c r="Y3724" s="8">
        <v>192.46799999999999</v>
      </c>
      <c r="Z3724" s="8">
        <v>60.152999999999999</v>
      </c>
      <c r="AA3724" s="8">
        <v>11.259</v>
      </c>
      <c r="AB3724" s="8">
        <v>1.0489999999999999</v>
      </c>
      <c r="AC3724" s="8">
        <v>4.9000000000000002E-2</v>
      </c>
    </row>
    <row r="3725" spans="1:29" ht="11.65" x14ac:dyDescent="0.35">
      <c r="A3725" s="12">
        <v>3708</v>
      </c>
      <c r="B3725" s="10" t="s">
        <v>1015</v>
      </c>
      <c r="C3725" s="18" t="s">
        <v>1272</v>
      </c>
      <c r="D3725" s="9">
        <v>27</v>
      </c>
      <c r="E3725" s="9">
        <v>250</v>
      </c>
      <c r="F3725" s="10" t="s">
        <v>1066</v>
      </c>
      <c r="G3725" s="9">
        <v>926</v>
      </c>
      <c r="H3725" s="9">
        <v>1960</v>
      </c>
      <c r="I3725" s="8">
        <v>2033.501</v>
      </c>
      <c r="J3725" s="8">
        <v>2039.181</v>
      </c>
      <c r="K3725" s="8">
        <v>2060.884</v>
      </c>
      <c r="L3725" s="8">
        <v>1426.095</v>
      </c>
      <c r="M3725" s="8">
        <v>1469.415</v>
      </c>
      <c r="N3725" s="8">
        <v>1629.951</v>
      </c>
      <c r="O3725" s="8">
        <v>1659.396</v>
      </c>
      <c r="P3725" s="8">
        <v>1650.037</v>
      </c>
      <c r="Q3725" s="8">
        <v>986.46</v>
      </c>
      <c r="R3725" s="8">
        <v>1395.6410000000001</v>
      </c>
      <c r="S3725" s="8">
        <v>1435.384</v>
      </c>
      <c r="T3725" s="8">
        <v>1346.1089999999999</v>
      </c>
      <c r="U3725" s="8">
        <v>1051.83</v>
      </c>
      <c r="V3725" s="8">
        <v>719.524</v>
      </c>
      <c r="W3725" s="8">
        <v>569.00900000000001</v>
      </c>
      <c r="X3725" s="8">
        <v>381.25099999999998</v>
      </c>
      <c r="Y3725" s="8">
        <v>211.92099999999999</v>
      </c>
      <c r="Z3725" s="8">
        <v>73.775999999999996</v>
      </c>
      <c r="AA3725" s="8">
        <v>13.757999999999999</v>
      </c>
      <c r="AB3725" s="8">
        <v>1.38</v>
      </c>
      <c r="AC3725" s="8">
        <v>6.6000000000000003E-2</v>
      </c>
    </row>
    <row r="3726" spans="1:29" ht="11.65" x14ac:dyDescent="0.35">
      <c r="A3726" s="12">
        <v>3709</v>
      </c>
      <c r="B3726" s="10" t="s">
        <v>1015</v>
      </c>
      <c r="C3726" s="18" t="s">
        <v>1272</v>
      </c>
      <c r="D3726" s="9">
        <v>27</v>
      </c>
      <c r="E3726" s="9">
        <v>250</v>
      </c>
      <c r="F3726" s="10" t="s">
        <v>1066</v>
      </c>
      <c r="G3726" s="9">
        <v>926</v>
      </c>
      <c r="H3726" s="9">
        <v>1965</v>
      </c>
      <c r="I3726" s="8">
        <v>2166.3150000000001</v>
      </c>
      <c r="J3726" s="8">
        <v>2083.201</v>
      </c>
      <c r="K3726" s="8">
        <v>2106.7629999999999</v>
      </c>
      <c r="L3726" s="8">
        <v>2131.5549999999998</v>
      </c>
      <c r="M3726" s="8">
        <v>1501.9190000000001</v>
      </c>
      <c r="N3726" s="8">
        <v>1541.8140000000001</v>
      </c>
      <c r="O3726" s="8">
        <v>1689.6220000000001</v>
      </c>
      <c r="P3726" s="8">
        <v>1701.423</v>
      </c>
      <c r="Q3726" s="8">
        <v>1666.279</v>
      </c>
      <c r="R3726" s="8">
        <v>991.12300000000005</v>
      </c>
      <c r="S3726" s="8">
        <v>1363.1020000000001</v>
      </c>
      <c r="T3726" s="8">
        <v>1361.0029999999999</v>
      </c>
      <c r="U3726" s="8">
        <v>1224.0940000000001</v>
      </c>
      <c r="V3726" s="8">
        <v>908.18</v>
      </c>
      <c r="W3726" s="8">
        <v>577.13400000000001</v>
      </c>
      <c r="X3726" s="8">
        <v>399.32600000000002</v>
      </c>
      <c r="Y3726" s="8">
        <v>214.56100000000001</v>
      </c>
      <c r="Z3726" s="8">
        <v>84.094999999999999</v>
      </c>
      <c r="AA3726" s="8">
        <v>18.094000000000001</v>
      </c>
      <c r="AB3726" s="8">
        <v>1.887</v>
      </c>
      <c r="AC3726" s="8">
        <v>9.5000000000000001E-2</v>
      </c>
    </row>
    <row r="3727" spans="1:29" ht="11.65" x14ac:dyDescent="0.35">
      <c r="A3727" s="12">
        <v>3710</v>
      </c>
      <c r="B3727" s="10" t="s">
        <v>1015</v>
      </c>
      <c r="C3727" s="18" t="s">
        <v>1272</v>
      </c>
      <c r="D3727" s="9">
        <v>27</v>
      </c>
      <c r="E3727" s="9">
        <v>250</v>
      </c>
      <c r="F3727" s="10" t="s">
        <v>1066</v>
      </c>
      <c r="G3727" s="9">
        <v>926</v>
      </c>
      <c r="H3727" s="9">
        <v>1970</v>
      </c>
      <c r="I3727" s="8">
        <v>2143.3939999999998</v>
      </c>
      <c r="J3727" s="8">
        <v>2179.81</v>
      </c>
      <c r="K3727" s="8">
        <v>2102.6010000000001</v>
      </c>
      <c r="L3727" s="8">
        <v>2119.0479999999998</v>
      </c>
      <c r="M3727" s="8">
        <v>2150.3359999999998</v>
      </c>
      <c r="N3727" s="8">
        <v>1535.6179999999999</v>
      </c>
      <c r="O3727" s="8">
        <v>1569.4110000000001</v>
      </c>
      <c r="P3727" s="8">
        <v>1701.8430000000001</v>
      </c>
      <c r="Q3727" s="8">
        <v>1694.088</v>
      </c>
      <c r="R3727" s="8">
        <v>1634.0730000000001</v>
      </c>
      <c r="S3727" s="8">
        <v>956.71</v>
      </c>
      <c r="T3727" s="8">
        <v>1279.607</v>
      </c>
      <c r="U3727" s="8">
        <v>1227.373</v>
      </c>
      <c r="V3727" s="8">
        <v>1042.5509999999999</v>
      </c>
      <c r="W3727" s="8">
        <v>712.78399999999999</v>
      </c>
      <c r="X3727" s="8">
        <v>401.27800000000002</v>
      </c>
      <c r="Y3727" s="8">
        <v>227.26300000000001</v>
      </c>
      <c r="Z3727" s="8">
        <v>89.227000000000004</v>
      </c>
      <c r="AA3727" s="8">
        <v>22.213000000000001</v>
      </c>
      <c r="AB3727" s="8">
        <v>2.7120000000000002</v>
      </c>
      <c r="AC3727" s="8">
        <v>0.152</v>
      </c>
    </row>
    <row r="3728" spans="1:29" ht="11.65" x14ac:dyDescent="0.35">
      <c r="A3728" s="12">
        <v>3711</v>
      </c>
      <c r="B3728" s="10" t="s">
        <v>1015</v>
      </c>
      <c r="C3728" s="18" t="s">
        <v>1272</v>
      </c>
      <c r="D3728" s="9">
        <v>27</v>
      </c>
      <c r="E3728" s="9">
        <v>250</v>
      </c>
      <c r="F3728" s="10" t="s">
        <v>1066</v>
      </c>
      <c r="G3728" s="9">
        <v>926</v>
      </c>
      <c r="H3728" s="9">
        <v>1975</v>
      </c>
      <c r="I3728" s="8">
        <v>2105.4679999999998</v>
      </c>
      <c r="J3728" s="8">
        <v>2160.0329999999999</v>
      </c>
      <c r="K3728" s="8">
        <v>2204.2049999999999</v>
      </c>
      <c r="L3728" s="8">
        <v>2137.1709999999998</v>
      </c>
      <c r="M3728" s="8">
        <v>2162.402</v>
      </c>
      <c r="N3728" s="8">
        <v>2198.0540000000001</v>
      </c>
      <c r="O3728" s="8">
        <v>1564.3130000000001</v>
      </c>
      <c r="P3728" s="8">
        <v>1565.367</v>
      </c>
      <c r="Q3728" s="8">
        <v>1671.721</v>
      </c>
      <c r="R3728" s="8">
        <v>1643.3219999999999</v>
      </c>
      <c r="S3728" s="8">
        <v>1563.65</v>
      </c>
      <c r="T3728" s="8">
        <v>898.12</v>
      </c>
      <c r="U3728" s="8">
        <v>1165.3050000000001</v>
      </c>
      <c r="V3728" s="8">
        <v>1062.9349999999999</v>
      </c>
      <c r="W3728" s="8">
        <v>835.23</v>
      </c>
      <c r="X3728" s="8">
        <v>503.959</v>
      </c>
      <c r="Y3728" s="8">
        <v>232.81700000000001</v>
      </c>
      <c r="Z3728" s="8">
        <v>97.259</v>
      </c>
      <c r="AA3728" s="8">
        <v>24.949000000000002</v>
      </c>
      <c r="AB3728" s="8">
        <v>3.5510000000000002</v>
      </c>
      <c r="AC3728" s="8">
        <v>0.23400000000000001</v>
      </c>
    </row>
    <row r="3729" spans="1:29" ht="11.65" x14ac:dyDescent="0.35">
      <c r="A3729" s="12">
        <v>3712</v>
      </c>
      <c r="B3729" s="10" t="s">
        <v>1015</v>
      </c>
      <c r="C3729" s="18" t="s">
        <v>1272</v>
      </c>
      <c r="D3729" s="9">
        <v>27</v>
      </c>
      <c r="E3729" s="9">
        <v>250</v>
      </c>
      <c r="F3729" s="10" t="s">
        <v>1066</v>
      </c>
      <c r="G3729" s="9">
        <v>926</v>
      </c>
      <c r="H3729" s="9">
        <v>1980</v>
      </c>
      <c r="I3729" s="8">
        <v>1868.0170000000001</v>
      </c>
      <c r="J3729" s="8">
        <v>2126.9989999999998</v>
      </c>
      <c r="K3729" s="8">
        <v>2189.0529999999999</v>
      </c>
      <c r="L3729" s="8">
        <v>2209.8629999999998</v>
      </c>
      <c r="M3729" s="8">
        <v>2118.3620000000001</v>
      </c>
      <c r="N3729" s="8">
        <v>2148.6469999999999</v>
      </c>
      <c r="O3729" s="8">
        <v>2181.7689999999998</v>
      </c>
      <c r="P3729" s="8">
        <v>1539.2719999999999</v>
      </c>
      <c r="Q3729" s="8">
        <v>1530.3340000000001</v>
      </c>
      <c r="R3729" s="8">
        <v>1618.1030000000001</v>
      </c>
      <c r="S3729" s="8">
        <v>1567.8309999999999</v>
      </c>
      <c r="T3729" s="8">
        <v>1467.2860000000001</v>
      </c>
      <c r="U3729" s="8">
        <v>820.15899999999999</v>
      </c>
      <c r="V3729" s="8">
        <v>1016.096</v>
      </c>
      <c r="W3729" s="8">
        <v>861.16200000000003</v>
      </c>
      <c r="X3729" s="8">
        <v>600.79499999999996</v>
      </c>
      <c r="Y3729" s="8">
        <v>300.78399999999999</v>
      </c>
      <c r="Z3729" s="8">
        <v>104.21</v>
      </c>
      <c r="AA3729" s="8">
        <v>28.373999999999999</v>
      </c>
      <c r="AB3729" s="8">
        <v>4.25</v>
      </c>
      <c r="AC3729" s="8">
        <v>0.32700000000000001</v>
      </c>
    </row>
    <row r="3730" spans="1:29" ht="11.65" x14ac:dyDescent="0.35">
      <c r="A3730" s="12">
        <v>3713</v>
      </c>
      <c r="B3730" s="10" t="s">
        <v>1015</v>
      </c>
      <c r="C3730" s="18" t="s">
        <v>1272</v>
      </c>
      <c r="D3730" s="9">
        <v>27</v>
      </c>
      <c r="E3730" s="9">
        <v>250</v>
      </c>
      <c r="F3730" s="10" t="s">
        <v>1066</v>
      </c>
      <c r="G3730" s="9">
        <v>926</v>
      </c>
      <c r="H3730" s="9">
        <v>1985</v>
      </c>
      <c r="I3730" s="8">
        <v>1960.9680000000001</v>
      </c>
      <c r="J3730" s="8">
        <v>1884.749</v>
      </c>
      <c r="K3730" s="8">
        <v>2155.4769999999999</v>
      </c>
      <c r="L3730" s="8">
        <v>2195.9720000000002</v>
      </c>
      <c r="M3730" s="8">
        <v>2190.1729999999998</v>
      </c>
      <c r="N3730" s="8">
        <v>2108.8980000000001</v>
      </c>
      <c r="O3730" s="8">
        <v>2147.7040000000002</v>
      </c>
      <c r="P3730" s="8">
        <v>2164.2550000000001</v>
      </c>
      <c r="Q3730" s="8">
        <v>1511.09</v>
      </c>
      <c r="R3730" s="8">
        <v>1486.0039999999999</v>
      </c>
      <c r="S3730" s="8">
        <v>1548.297</v>
      </c>
      <c r="T3730" s="8">
        <v>1474.0150000000001</v>
      </c>
      <c r="U3730" s="8">
        <v>1347.8040000000001</v>
      </c>
      <c r="V3730" s="8">
        <v>726.18</v>
      </c>
      <c r="W3730" s="8">
        <v>843.53399999999999</v>
      </c>
      <c r="X3730" s="8">
        <v>637.57299999999998</v>
      </c>
      <c r="Y3730" s="8">
        <v>367.43299999999999</v>
      </c>
      <c r="Z3730" s="8">
        <v>137.46899999999999</v>
      </c>
      <c r="AA3730" s="8">
        <v>31.501000000000001</v>
      </c>
      <c r="AB3730" s="8">
        <v>4.9400000000000004</v>
      </c>
      <c r="AC3730" s="8">
        <v>0.40200000000000002</v>
      </c>
    </row>
    <row r="3731" spans="1:29" ht="11.65" x14ac:dyDescent="0.35">
      <c r="A3731" s="12">
        <v>3714</v>
      </c>
      <c r="B3731" s="10" t="s">
        <v>1015</v>
      </c>
      <c r="C3731" s="18" t="s">
        <v>1272</v>
      </c>
      <c r="D3731" s="9">
        <v>27</v>
      </c>
      <c r="E3731" s="9">
        <v>250</v>
      </c>
      <c r="F3731" s="10" t="s">
        <v>1066</v>
      </c>
      <c r="G3731" s="9">
        <v>926</v>
      </c>
      <c r="H3731" s="9">
        <v>1990</v>
      </c>
      <c r="I3731" s="8">
        <v>1944.184</v>
      </c>
      <c r="J3731" s="8">
        <v>1971.7529999999999</v>
      </c>
      <c r="K3731" s="8">
        <v>1906.4829999999999</v>
      </c>
      <c r="L3731" s="8">
        <v>2158.2089999999998</v>
      </c>
      <c r="M3731" s="8">
        <v>2172.1489999999999</v>
      </c>
      <c r="N3731" s="8">
        <v>2174.6019999999999</v>
      </c>
      <c r="O3731" s="8">
        <v>2108.9760000000001</v>
      </c>
      <c r="P3731" s="8">
        <v>2138.2570000000001</v>
      </c>
      <c r="Q3731" s="8">
        <v>2137.259</v>
      </c>
      <c r="R3731" s="8">
        <v>1477.346</v>
      </c>
      <c r="S3731" s="8">
        <v>1433.848</v>
      </c>
      <c r="T3731" s="8">
        <v>1468.152</v>
      </c>
      <c r="U3731" s="8">
        <v>1365.0350000000001</v>
      </c>
      <c r="V3731" s="8">
        <v>1207.3589999999999</v>
      </c>
      <c r="W3731" s="8">
        <v>617.65599999999995</v>
      </c>
      <c r="X3731" s="8">
        <v>650.87099999999998</v>
      </c>
      <c r="Y3731" s="8">
        <v>413.67399999999998</v>
      </c>
      <c r="Z3731" s="8">
        <v>180.12899999999999</v>
      </c>
      <c r="AA3731" s="8">
        <v>44.662999999999997</v>
      </c>
      <c r="AB3731" s="8">
        <v>5.8520000000000003</v>
      </c>
      <c r="AC3731" s="8">
        <v>0.49199999999999999</v>
      </c>
    </row>
    <row r="3732" spans="1:29" ht="11.65" x14ac:dyDescent="0.35">
      <c r="A3732" s="12">
        <v>3715</v>
      </c>
      <c r="B3732" s="10" t="s">
        <v>1015</v>
      </c>
      <c r="C3732" s="18" t="s">
        <v>1272</v>
      </c>
      <c r="D3732" s="9">
        <v>27</v>
      </c>
      <c r="E3732" s="9">
        <v>250</v>
      </c>
      <c r="F3732" s="10" t="s">
        <v>1066</v>
      </c>
      <c r="G3732" s="9">
        <v>926</v>
      </c>
      <c r="H3732" s="9">
        <v>1995</v>
      </c>
      <c r="I3732" s="8">
        <v>1855.39</v>
      </c>
      <c r="J3732" s="8">
        <v>1943.6980000000001</v>
      </c>
      <c r="K3732" s="8">
        <v>1985.162</v>
      </c>
      <c r="L3732" s="8">
        <v>1897.4269999999999</v>
      </c>
      <c r="M3732" s="8">
        <v>2110.6970000000001</v>
      </c>
      <c r="N3732" s="8">
        <v>2135.2150000000001</v>
      </c>
      <c r="O3732" s="8">
        <v>2171.4969999999998</v>
      </c>
      <c r="P3732" s="8">
        <v>2106.2460000000001</v>
      </c>
      <c r="Q3732" s="8">
        <v>2114.5419999999999</v>
      </c>
      <c r="R3732" s="8">
        <v>2094.1509999999998</v>
      </c>
      <c r="S3732" s="8">
        <v>1434.329</v>
      </c>
      <c r="T3732" s="8">
        <v>1371.663</v>
      </c>
      <c r="U3732" s="8">
        <v>1369.4929999999999</v>
      </c>
      <c r="V3732" s="8">
        <v>1231.8019999999999</v>
      </c>
      <c r="W3732" s="8">
        <v>1041.0709999999999</v>
      </c>
      <c r="X3732" s="8">
        <v>490.625</v>
      </c>
      <c r="Y3732" s="8">
        <v>443.63</v>
      </c>
      <c r="Z3732" s="8">
        <v>217.43100000000001</v>
      </c>
      <c r="AA3732" s="8">
        <v>63.588000000000001</v>
      </c>
      <c r="AB3732" s="8">
        <v>9.0060000000000002</v>
      </c>
      <c r="AC3732" s="8">
        <v>0.61799999999999999</v>
      </c>
    </row>
    <row r="3733" spans="1:29" ht="11.65" x14ac:dyDescent="0.35">
      <c r="A3733" s="12">
        <v>3716</v>
      </c>
      <c r="B3733" s="10" t="s">
        <v>1015</v>
      </c>
      <c r="C3733" s="18" t="s">
        <v>1272</v>
      </c>
      <c r="D3733" s="9">
        <v>27</v>
      </c>
      <c r="E3733" s="9">
        <v>250</v>
      </c>
      <c r="F3733" s="10" t="s">
        <v>1066</v>
      </c>
      <c r="G3733" s="9">
        <v>926</v>
      </c>
      <c r="H3733" s="9">
        <v>2000</v>
      </c>
      <c r="I3733" s="8">
        <v>1883.62</v>
      </c>
      <c r="J3733" s="8">
        <v>1861.1320000000001</v>
      </c>
      <c r="K3733" s="8">
        <v>1967.7750000000001</v>
      </c>
      <c r="L3733" s="8">
        <v>1983.924</v>
      </c>
      <c r="M3733" s="8">
        <v>1861.701</v>
      </c>
      <c r="N3733" s="8">
        <v>2079.33</v>
      </c>
      <c r="O3733" s="8">
        <v>2127.625</v>
      </c>
      <c r="P3733" s="8">
        <v>2161.578</v>
      </c>
      <c r="Q3733" s="8">
        <v>2080.4789999999998</v>
      </c>
      <c r="R3733" s="8">
        <v>2074.355</v>
      </c>
      <c r="S3733" s="8">
        <v>2039.3330000000001</v>
      </c>
      <c r="T3733" s="8">
        <v>1382.1179999999999</v>
      </c>
      <c r="U3733" s="8">
        <v>1292.47</v>
      </c>
      <c r="V3733" s="8">
        <v>1246.8720000000001</v>
      </c>
      <c r="W3733" s="8">
        <v>1068.7670000000001</v>
      </c>
      <c r="X3733" s="8">
        <v>837.76499999999999</v>
      </c>
      <c r="Y3733" s="8">
        <v>342.44900000000001</v>
      </c>
      <c r="Z3733" s="8">
        <v>241.04599999999999</v>
      </c>
      <c r="AA3733" s="8">
        <v>79.135999999999996</v>
      </c>
      <c r="AB3733" s="8">
        <v>13.04</v>
      </c>
      <c r="AC3733" s="8">
        <v>0.93</v>
      </c>
    </row>
    <row r="3734" spans="1:29" ht="11.65" x14ac:dyDescent="0.35">
      <c r="A3734" s="12">
        <v>3717</v>
      </c>
      <c r="B3734" s="10" t="s">
        <v>1015</v>
      </c>
      <c r="C3734" s="18" t="s">
        <v>1272</v>
      </c>
      <c r="D3734" s="9">
        <v>27</v>
      </c>
      <c r="E3734" s="9">
        <v>250</v>
      </c>
      <c r="F3734" s="10" t="s">
        <v>1066</v>
      </c>
      <c r="G3734" s="9">
        <v>926</v>
      </c>
      <c r="H3734" s="9">
        <v>2005</v>
      </c>
      <c r="I3734" s="8">
        <v>1962.1</v>
      </c>
      <c r="J3734" s="8">
        <v>1905.7360000000001</v>
      </c>
      <c r="K3734" s="8">
        <v>1918.99</v>
      </c>
      <c r="L3734" s="8">
        <v>2009.1559999999999</v>
      </c>
      <c r="M3734" s="8">
        <v>1985.1780000000001</v>
      </c>
      <c r="N3734" s="8">
        <v>1862.134</v>
      </c>
      <c r="O3734" s="8">
        <v>2107.0410000000002</v>
      </c>
      <c r="P3734" s="8">
        <v>2156.8820000000001</v>
      </c>
      <c r="Q3734" s="8">
        <v>2168.61</v>
      </c>
      <c r="R3734" s="8">
        <v>2063.69</v>
      </c>
      <c r="S3734" s="8">
        <v>2038.126</v>
      </c>
      <c r="T3734" s="8">
        <v>1982.7360000000001</v>
      </c>
      <c r="U3734" s="8">
        <v>1323.3710000000001</v>
      </c>
      <c r="V3734" s="8">
        <v>1201.83</v>
      </c>
      <c r="W3734" s="8">
        <v>1109.3720000000001</v>
      </c>
      <c r="X3734" s="8">
        <v>881.35900000000004</v>
      </c>
      <c r="Y3734" s="8">
        <v>605.50099999999998</v>
      </c>
      <c r="Z3734" s="8">
        <v>195.94300000000001</v>
      </c>
      <c r="AA3734" s="8">
        <v>93.438999999999993</v>
      </c>
      <c r="AB3734" s="8">
        <v>17.504000000000001</v>
      </c>
      <c r="AC3734" s="8">
        <v>1.446</v>
      </c>
    </row>
    <row r="3735" spans="1:29" ht="11.65" x14ac:dyDescent="0.35">
      <c r="A3735" s="12">
        <v>3718</v>
      </c>
      <c r="B3735" s="10" t="s">
        <v>1015</v>
      </c>
      <c r="C3735" s="18" t="s">
        <v>1272</v>
      </c>
      <c r="D3735" s="9">
        <v>27</v>
      </c>
      <c r="E3735" s="9">
        <v>250</v>
      </c>
      <c r="F3735" s="10" t="s">
        <v>1066</v>
      </c>
      <c r="G3735" s="9">
        <v>926</v>
      </c>
      <c r="H3735" s="9">
        <v>2010</v>
      </c>
      <c r="I3735" s="8">
        <v>2014.491</v>
      </c>
      <c r="J3735" s="8">
        <v>1975.9580000000001</v>
      </c>
      <c r="K3735" s="8">
        <v>1955.4939999999999</v>
      </c>
      <c r="L3735" s="8">
        <v>1937.018</v>
      </c>
      <c r="M3735" s="8">
        <v>1969.4929999999999</v>
      </c>
      <c r="N3735" s="8">
        <v>1950.9780000000001</v>
      </c>
      <c r="O3735" s="8">
        <v>1884.1389999999999</v>
      </c>
      <c r="P3735" s="8">
        <v>2146.2829999999999</v>
      </c>
      <c r="Q3735" s="8">
        <v>2174.85</v>
      </c>
      <c r="R3735" s="8">
        <v>2160.0740000000001</v>
      </c>
      <c r="S3735" s="8">
        <v>2031.617</v>
      </c>
      <c r="T3735" s="8">
        <v>1977.6389999999999</v>
      </c>
      <c r="U3735" s="8">
        <v>1889.4780000000001</v>
      </c>
      <c r="V3735" s="8">
        <v>1231.7270000000001</v>
      </c>
      <c r="W3735" s="8">
        <v>1081.6179999999999</v>
      </c>
      <c r="X3735" s="8">
        <v>938.09100000000001</v>
      </c>
      <c r="Y3735" s="8">
        <v>663.56200000000001</v>
      </c>
      <c r="Z3735" s="8">
        <v>368.29700000000003</v>
      </c>
      <c r="AA3735" s="8">
        <v>82.667000000000002</v>
      </c>
      <c r="AB3735" s="8">
        <v>22.911999999999999</v>
      </c>
      <c r="AC3735" s="8">
        <v>2.153</v>
      </c>
    </row>
    <row r="3736" spans="1:29" ht="11.65" x14ac:dyDescent="0.35">
      <c r="A3736" s="12">
        <v>3719</v>
      </c>
      <c r="B3736" s="10" t="s">
        <v>1015</v>
      </c>
      <c r="C3736" s="18" t="s">
        <v>1272</v>
      </c>
      <c r="D3736" s="9">
        <v>27</v>
      </c>
      <c r="E3736" s="9">
        <v>250</v>
      </c>
      <c r="F3736" s="10" t="s">
        <v>1066</v>
      </c>
      <c r="G3736" s="9">
        <v>926</v>
      </c>
      <c r="H3736" s="9">
        <v>2015</v>
      </c>
      <c r="I3736" s="8">
        <v>1990.8109999999999</v>
      </c>
      <c r="J3736" s="8">
        <v>2033.212</v>
      </c>
      <c r="K3736" s="8">
        <v>2027.0139999999999</v>
      </c>
      <c r="L3736" s="8">
        <v>1955.8230000000001</v>
      </c>
      <c r="M3736" s="8">
        <v>1876.337</v>
      </c>
      <c r="N3736" s="8">
        <v>1922.7940000000001</v>
      </c>
      <c r="O3736" s="8">
        <v>1968.1569999999999</v>
      </c>
      <c r="P3736" s="8">
        <v>1924.6849999999999</v>
      </c>
      <c r="Q3736" s="8">
        <v>2166.0309999999999</v>
      </c>
      <c r="R3736" s="8">
        <v>2171.366</v>
      </c>
      <c r="S3736" s="8">
        <v>2137.277</v>
      </c>
      <c r="T3736" s="8">
        <v>1984.3219999999999</v>
      </c>
      <c r="U3736" s="8">
        <v>1895.192</v>
      </c>
      <c r="V3736" s="8">
        <v>1773.268</v>
      </c>
      <c r="W3736" s="8">
        <v>1124.75</v>
      </c>
      <c r="X3736" s="8">
        <v>936.74599999999998</v>
      </c>
      <c r="Y3736" s="8">
        <v>730.62699999999995</v>
      </c>
      <c r="Z3736" s="8">
        <v>422.74099999999999</v>
      </c>
      <c r="AA3736" s="8">
        <v>165.14400000000001</v>
      </c>
      <c r="AB3736" s="8">
        <v>21.513999999999999</v>
      </c>
      <c r="AC3736" s="8">
        <v>2.9470000000000001</v>
      </c>
    </row>
    <row r="3737" spans="1:29" ht="11.65" x14ac:dyDescent="0.35">
      <c r="A3737" s="12">
        <v>3720</v>
      </c>
      <c r="B3737" s="10" t="s">
        <v>1015</v>
      </c>
      <c r="C3737" s="18" t="s">
        <v>1272</v>
      </c>
      <c r="D3737" s="9">
        <v>27</v>
      </c>
      <c r="E3737" s="9">
        <v>250</v>
      </c>
      <c r="F3737" s="10" t="s">
        <v>1066</v>
      </c>
      <c r="G3737" s="9">
        <v>926</v>
      </c>
      <c r="H3737" s="9">
        <v>2020</v>
      </c>
      <c r="I3737" s="8">
        <v>1850.423</v>
      </c>
      <c r="J3737" s="8">
        <v>1995.914</v>
      </c>
      <c r="K3737" s="8">
        <v>2044.7270000000001</v>
      </c>
      <c r="L3737" s="8">
        <v>1985.9459999999999</v>
      </c>
      <c r="M3737" s="8">
        <v>1868.952</v>
      </c>
      <c r="N3737" s="8">
        <v>1822.0730000000001</v>
      </c>
      <c r="O3737" s="8">
        <v>1931.9490000000001</v>
      </c>
      <c r="P3737" s="8">
        <v>1995.3520000000001</v>
      </c>
      <c r="Q3737" s="8">
        <v>1943.64</v>
      </c>
      <c r="R3737" s="8">
        <v>2169.1390000000001</v>
      </c>
      <c r="S3737" s="8">
        <v>2146.431</v>
      </c>
      <c r="T3737" s="8">
        <v>2079.2089999999998</v>
      </c>
      <c r="U3737" s="8">
        <v>1902.7909999999999</v>
      </c>
      <c r="V3737" s="8">
        <v>1785.8510000000001</v>
      </c>
      <c r="W3737" s="8">
        <v>1627.1959999999999</v>
      </c>
      <c r="X3737" s="8">
        <v>981.80499999999995</v>
      </c>
      <c r="Y3737" s="8">
        <v>740.34699999999998</v>
      </c>
      <c r="Z3737" s="8">
        <v>475.73099999999999</v>
      </c>
      <c r="AA3737" s="8">
        <v>194.36699999999999</v>
      </c>
      <c r="AB3737" s="8">
        <v>44.359000000000002</v>
      </c>
      <c r="AC3737" s="8">
        <v>2.9929999999999999</v>
      </c>
    </row>
    <row r="3738" spans="1:29" ht="11.65" x14ac:dyDescent="0.35">
      <c r="A3738" s="12">
        <v>3721</v>
      </c>
      <c r="B3738" s="10" t="s">
        <v>1015</v>
      </c>
      <c r="C3738" s="18" t="s">
        <v>1273</v>
      </c>
      <c r="D3738" s="9"/>
      <c r="E3738" s="9">
        <v>276</v>
      </c>
      <c r="F3738" s="10" t="s">
        <v>1066</v>
      </c>
      <c r="G3738" s="9">
        <v>926</v>
      </c>
      <c r="H3738" s="9">
        <v>1950</v>
      </c>
      <c r="I3738" s="8">
        <v>2356.9369999999999</v>
      </c>
      <c r="J3738" s="8">
        <v>2623.7739999999999</v>
      </c>
      <c r="K3738" s="8">
        <v>3254.9270000000001</v>
      </c>
      <c r="L3738" s="8">
        <v>2664.3</v>
      </c>
      <c r="M3738" s="8">
        <v>2394.1610000000001</v>
      </c>
      <c r="N3738" s="8">
        <v>2018.596</v>
      </c>
      <c r="O3738" s="8">
        <v>1484.8489999999999</v>
      </c>
      <c r="P3738" s="8">
        <v>2193.2089999999998</v>
      </c>
      <c r="Q3738" s="8">
        <v>2511.0100000000002</v>
      </c>
      <c r="R3738" s="8">
        <v>2580.674</v>
      </c>
      <c r="S3738" s="8">
        <v>2114.9789999999998</v>
      </c>
      <c r="T3738" s="8">
        <v>1643.26</v>
      </c>
      <c r="U3738" s="8">
        <v>1456.5630000000001</v>
      </c>
      <c r="V3738" s="8">
        <v>1203.915</v>
      </c>
      <c r="W3738" s="8">
        <v>950.14099999999996</v>
      </c>
      <c r="X3738" s="8">
        <v>545.59100000000001</v>
      </c>
      <c r="Y3738" s="8">
        <v>183.68899999999999</v>
      </c>
      <c r="Z3738" s="8">
        <v>78.188000000000002</v>
      </c>
      <c r="AA3738" s="8">
        <v>21.507000000000001</v>
      </c>
      <c r="AB3738" s="8">
        <v>3.34</v>
      </c>
      <c r="AC3738" s="8">
        <v>0.29499999999999998</v>
      </c>
    </row>
    <row r="3739" spans="1:29" ht="11.65" x14ac:dyDescent="0.35">
      <c r="A3739" s="12">
        <v>3722</v>
      </c>
      <c r="B3739" s="10" t="s">
        <v>1015</v>
      </c>
      <c r="C3739" s="18" t="s">
        <v>1273</v>
      </c>
      <c r="D3739" s="9"/>
      <c r="E3739" s="9">
        <v>276</v>
      </c>
      <c r="F3739" s="10" t="s">
        <v>1066</v>
      </c>
      <c r="G3739" s="9">
        <v>926</v>
      </c>
      <c r="H3739" s="9">
        <v>1955</v>
      </c>
      <c r="I3739" s="8">
        <v>2705.1869999999999</v>
      </c>
      <c r="J3739" s="8">
        <v>2334.2179999999998</v>
      </c>
      <c r="K3739" s="8">
        <v>2613.3330000000001</v>
      </c>
      <c r="L3739" s="8">
        <v>3237.002</v>
      </c>
      <c r="M3739" s="8">
        <v>2637.0070000000001</v>
      </c>
      <c r="N3739" s="8">
        <v>2365.1790000000001</v>
      </c>
      <c r="O3739" s="8">
        <v>1992.1089999999999</v>
      </c>
      <c r="P3739" s="8">
        <v>1463.2149999999999</v>
      </c>
      <c r="Q3739" s="8">
        <v>2155.7800000000002</v>
      </c>
      <c r="R3739" s="8">
        <v>2450.1909999999998</v>
      </c>
      <c r="S3739" s="8">
        <v>2485.31</v>
      </c>
      <c r="T3739" s="8">
        <v>1992.373</v>
      </c>
      <c r="U3739" s="8">
        <v>1498.6379999999999</v>
      </c>
      <c r="V3739" s="8">
        <v>1262.0440000000001</v>
      </c>
      <c r="W3739" s="8">
        <v>951.7</v>
      </c>
      <c r="X3739" s="8">
        <v>641.06600000000003</v>
      </c>
      <c r="Y3739" s="8">
        <v>288.73200000000003</v>
      </c>
      <c r="Z3739" s="8">
        <v>69.231999999999999</v>
      </c>
      <c r="AA3739" s="8">
        <v>18.963000000000001</v>
      </c>
      <c r="AB3739" s="8">
        <v>3.238</v>
      </c>
      <c r="AC3739" s="8">
        <v>0.311</v>
      </c>
    </row>
    <row r="3740" spans="1:29" ht="11.65" x14ac:dyDescent="0.35">
      <c r="A3740" s="12">
        <v>3723</v>
      </c>
      <c r="B3740" s="10" t="s">
        <v>1015</v>
      </c>
      <c r="C3740" s="18" t="s">
        <v>1273</v>
      </c>
      <c r="D3740" s="9"/>
      <c r="E3740" s="9">
        <v>276</v>
      </c>
      <c r="F3740" s="10" t="s">
        <v>1066</v>
      </c>
      <c r="G3740" s="9">
        <v>926</v>
      </c>
      <c r="H3740" s="9">
        <v>1960</v>
      </c>
      <c r="I3740" s="8">
        <v>2976.518</v>
      </c>
      <c r="J3740" s="8">
        <v>2709.4780000000001</v>
      </c>
      <c r="K3740" s="8">
        <v>2382.114</v>
      </c>
      <c r="L3740" s="8">
        <v>2632.53</v>
      </c>
      <c r="M3740" s="8">
        <v>3156.7550000000001</v>
      </c>
      <c r="N3740" s="8">
        <v>2555.924</v>
      </c>
      <c r="O3740" s="8">
        <v>2350.4560000000001</v>
      </c>
      <c r="P3740" s="8">
        <v>1960.913</v>
      </c>
      <c r="Q3740" s="8">
        <v>1414.8969999999999</v>
      </c>
      <c r="R3740" s="8">
        <v>2124.1089999999999</v>
      </c>
      <c r="S3740" s="8">
        <v>2378.393</v>
      </c>
      <c r="T3740" s="8">
        <v>2334.1149999999998</v>
      </c>
      <c r="U3740" s="8">
        <v>1791.4449999999999</v>
      </c>
      <c r="V3740" s="8">
        <v>1281.326</v>
      </c>
      <c r="W3740" s="8">
        <v>988.62900000000002</v>
      </c>
      <c r="X3740" s="8">
        <v>646.24599999999998</v>
      </c>
      <c r="Y3740" s="8">
        <v>347.21899999999999</v>
      </c>
      <c r="Z3740" s="8">
        <v>108.896</v>
      </c>
      <c r="AA3740" s="8">
        <v>15.568</v>
      </c>
      <c r="AB3740" s="8">
        <v>2.3159999999999998</v>
      </c>
      <c r="AC3740" s="8">
        <v>0.22900000000000001</v>
      </c>
    </row>
    <row r="3741" spans="1:29" ht="11.65" x14ac:dyDescent="0.35">
      <c r="A3741" s="12">
        <v>3724</v>
      </c>
      <c r="B3741" s="10" t="s">
        <v>1015</v>
      </c>
      <c r="C3741" s="18" t="s">
        <v>1273</v>
      </c>
      <c r="D3741" s="9"/>
      <c r="E3741" s="9">
        <v>276</v>
      </c>
      <c r="F3741" s="10" t="s">
        <v>1066</v>
      </c>
      <c r="G3741" s="9">
        <v>926</v>
      </c>
      <c r="H3741" s="9">
        <v>1965</v>
      </c>
      <c r="I3741" s="8">
        <v>3269.4459999999999</v>
      </c>
      <c r="J3741" s="8">
        <v>2964.5639999999999</v>
      </c>
      <c r="K3741" s="8">
        <v>2721.625</v>
      </c>
      <c r="L3741" s="8">
        <v>2444.9749999999999</v>
      </c>
      <c r="M3741" s="8">
        <v>2726.232</v>
      </c>
      <c r="N3741" s="8">
        <v>3220.0509999999999</v>
      </c>
      <c r="O3741" s="8">
        <v>2618.268</v>
      </c>
      <c r="P3741" s="8">
        <v>2432.5610000000001</v>
      </c>
      <c r="Q3741" s="8">
        <v>1992.97</v>
      </c>
      <c r="R3741" s="8">
        <v>1393.729</v>
      </c>
      <c r="S3741" s="8">
        <v>2069.0230000000001</v>
      </c>
      <c r="T3741" s="8">
        <v>2255.71</v>
      </c>
      <c r="U3741" s="8">
        <v>2107.4740000000002</v>
      </c>
      <c r="V3741" s="8">
        <v>1505.81</v>
      </c>
      <c r="W3741" s="8">
        <v>990.72500000000002</v>
      </c>
      <c r="X3741" s="8">
        <v>670.68399999999997</v>
      </c>
      <c r="Y3741" s="8">
        <v>351.78699999999998</v>
      </c>
      <c r="Z3741" s="8">
        <v>133.00299999999999</v>
      </c>
      <c r="AA3741" s="8">
        <v>25.265000000000001</v>
      </c>
      <c r="AB3741" s="8">
        <v>1.966</v>
      </c>
      <c r="AC3741" s="8">
        <v>0.17</v>
      </c>
    </row>
    <row r="3742" spans="1:29" ht="11.65" x14ac:dyDescent="0.35">
      <c r="A3742" s="12">
        <v>3725</v>
      </c>
      <c r="B3742" s="10" t="s">
        <v>1015</v>
      </c>
      <c r="C3742" s="18" t="s">
        <v>1273</v>
      </c>
      <c r="D3742" s="9"/>
      <c r="E3742" s="9">
        <v>276</v>
      </c>
      <c r="F3742" s="10" t="s">
        <v>1066</v>
      </c>
      <c r="G3742" s="9">
        <v>926</v>
      </c>
      <c r="H3742" s="9">
        <v>1970</v>
      </c>
      <c r="I3742" s="8">
        <v>3110.41</v>
      </c>
      <c r="J3742" s="8">
        <v>3290.01</v>
      </c>
      <c r="K3742" s="8">
        <v>2992.1179999999999</v>
      </c>
      <c r="L3742" s="8">
        <v>2716.5059999999999</v>
      </c>
      <c r="M3742" s="8">
        <v>2504.91</v>
      </c>
      <c r="N3742" s="8">
        <v>2859.067</v>
      </c>
      <c r="O3742" s="8">
        <v>3290.8969999999999</v>
      </c>
      <c r="P3742" s="8">
        <v>2621.51</v>
      </c>
      <c r="Q3742" s="8">
        <v>2435.2489999999998</v>
      </c>
      <c r="R3742" s="8">
        <v>1971.8889999999999</v>
      </c>
      <c r="S3742" s="8">
        <v>1327.7850000000001</v>
      </c>
      <c r="T3742" s="8">
        <v>1949.4939999999999</v>
      </c>
      <c r="U3742" s="8">
        <v>2044.396</v>
      </c>
      <c r="V3742" s="8">
        <v>1779.3109999999999</v>
      </c>
      <c r="W3742" s="8">
        <v>1146.1559999999999</v>
      </c>
      <c r="X3742" s="8">
        <v>655.50800000000004</v>
      </c>
      <c r="Y3742" s="8">
        <v>357.53899999999999</v>
      </c>
      <c r="Z3742" s="8">
        <v>133.94999999999999</v>
      </c>
      <c r="AA3742" s="8">
        <v>31.055</v>
      </c>
      <c r="AB3742" s="8">
        <v>3.2309999999999999</v>
      </c>
      <c r="AC3742" s="8">
        <v>0.14899999999999999</v>
      </c>
    </row>
    <row r="3743" spans="1:29" ht="11.65" x14ac:dyDescent="0.35">
      <c r="A3743" s="12">
        <v>3726</v>
      </c>
      <c r="B3743" s="10" t="s">
        <v>1015</v>
      </c>
      <c r="C3743" s="18" t="s">
        <v>1273</v>
      </c>
      <c r="D3743" s="9"/>
      <c r="E3743" s="9">
        <v>276</v>
      </c>
      <c r="F3743" s="10" t="s">
        <v>1066</v>
      </c>
      <c r="G3743" s="9">
        <v>926</v>
      </c>
      <c r="H3743" s="9">
        <v>1975</v>
      </c>
      <c r="I3743" s="8">
        <v>2272.0610000000001</v>
      </c>
      <c r="J3743" s="8">
        <v>3157.607</v>
      </c>
      <c r="K3743" s="8">
        <v>3321.123</v>
      </c>
      <c r="L3743" s="8">
        <v>3029.0259999999998</v>
      </c>
      <c r="M3743" s="8">
        <v>2762.402</v>
      </c>
      <c r="N3743" s="8">
        <v>2554.011</v>
      </c>
      <c r="O3743" s="8">
        <v>2871.248</v>
      </c>
      <c r="P3743" s="8">
        <v>3261.1779999999999</v>
      </c>
      <c r="Q3743" s="8">
        <v>2584.48</v>
      </c>
      <c r="R3743" s="8">
        <v>2379.5340000000001</v>
      </c>
      <c r="S3743" s="8">
        <v>1894.61</v>
      </c>
      <c r="T3743" s="8">
        <v>1241.335</v>
      </c>
      <c r="U3743" s="8">
        <v>1763.586</v>
      </c>
      <c r="V3743" s="8">
        <v>1737.191</v>
      </c>
      <c r="W3743" s="8">
        <v>1362.6369999999999</v>
      </c>
      <c r="X3743" s="8">
        <v>754.21299999999997</v>
      </c>
      <c r="Y3743" s="8">
        <v>347.73399999999998</v>
      </c>
      <c r="Z3743" s="8">
        <v>137.96299999999999</v>
      </c>
      <c r="AA3743" s="8">
        <v>32.604999999999997</v>
      </c>
      <c r="AB3743" s="8">
        <v>4.1760000000000002</v>
      </c>
      <c r="AC3743" s="8">
        <v>0.24099999999999999</v>
      </c>
    </row>
    <row r="3744" spans="1:29" ht="11.65" x14ac:dyDescent="0.35">
      <c r="A3744" s="12">
        <v>3727</v>
      </c>
      <c r="B3744" s="10" t="s">
        <v>1015</v>
      </c>
      <c r="C3744" s="18" t="s">
        <v>1273</v>
      </c>
      <c r="D3744" s="9"/>
      <c r="E3744" s="9">
        <v>276</v>
      </c>
      <c r="F3744" s="10" t="s">
        <v>1066</v>
      </c>
      <c r="G3744" s="9">
        <v>926</v>
      </c>
      <c r="H3744" s="9">
        <v>1980</v>
      </c>
      <c r="I3744" s="8">
        <v>2029.242</v>
      </c>
      <c r="J3744" s="8">
        <v>2250.0079999999998</v>
      </c>
      <c r="K3744" s="8">
        <v>3172.37</v>
      </c>
      <c r="L3744" s="8">
        <v>3406.7269999999999</v>
      </c>
      <c r="M3744" s="8">
        <v>3105.991</v>
      </c>
      <c r="N3744" s="8">
        <v>2784.82</v>
      </c>
      <c r="O3744" s="8">
        <v>2531.4720000000002</v>
      </c>
      <c r="P3744" s="8">
        <v>2806.13</v>
      </c>
      <c r="Q3744" s="8">
        <v>3175.8209999999999</v>
      </c>
      <c r="R3744" s="8">
        <v>2490.6190000000001</v>
      </c>
      <c r="S3744" s="8">
        <v>2282.6370000000002</v>
      </c>
      <c r="T3744" s="8">
        <v>1786.9949999999999</v>
      </c>
      <c r="U3744" s="8">
        <v>1127.4749999999999</v>
      </c>
      <c r="V3744" s="8">
        <v>1520.145</v>
      </c>
      <c r="W3744" s="8">
        <v>1357.2360000000001</v>
      </c>
      <c r="X3744" s="8">
        <v>912.73500000000001</v>
      </c>
      <c r="Y3744" s="8">
        <v>406.26299999999998</v>
      </c>
      <c r="Z3744" s="8">
        <v>137.054</v>
      </c>
      <c r="AA3744" s="8">
        <v>34.762</v>
      </c>
      <c r="AB3744" s="8">
        <v>4.57</v>
      </c>
      <c r="AC3744" s="8">
        <v>0.32900000000000001</v>
      </c>
    </row>
    <row r="3745" spans="1:29" ht="11.65" x14ac:dyDescent="0.35">
      <c r="A3745" s="12">
        <v>3728</v>
      </c>
      <c r="B3745" s="10" t="s">
        <v>1015</v>
      </c>
      <c r="C3745" s="18" t="s">
        <v>1273</v>
      </c>
      <c r="D3745" s="9"/>
      <c r="E3745" s="9">
        <v>276</v>
      </c>
      <c r="F3745" s="10" t="s">
        <v>1066</v>
      </c>
      <c r="G3745" s="9">
        <v>926</v>
      </c>
      <c r="H3745" s="9">
        <v>1985</v>
      </c>
      <c r="I3745" s="8">
        <v>2103.6930000000002</v>
      </c>
      <c r="J3745" s="8">
        <v>2003.0429999999999</v>
      </c>
      <c r="K3745" s="8">
        <v>2229.6019999999999</v>
      </c>
      <c r="L3745" s="8">
        <v>3183.902</v>
      </c>
      <c r="M3745" s="8">
        <v>3433.5650000000001</v>
      </c>
      <c r="N3745" s="8">
        <v>3131.1959999999999</v>
      </c>
      <c r="O3745" s="8">
        <v>2778.75</v>
      </c>
      <c r="P3745" s="8">
        <v>2480.92</v>
      </c>
      <c r="Q3745" s="8">
        <v>2732.337</v>
      </c>
      <c r="R3745" s="8">
        <v>3070.8090000000002</v>
      </c>
      <c r="S3745" s="8">
        <v>2371.3519999999999</v>
      </c>
      <c r="T3745" s="8">
        <v>2148.7939999999999</v>
      </c>
      <c r="U3745" s="8">
        <v>1636.04</v>
      </c>
      <c r="V3745" s="8">
        <v>976.21299999999997</v>
      </c>
      <c r="W3745" s="8">
        <v>1215.1010000000001</v>
      </c>
      <c r="X3745" s="8">
        <v>939.96299999999997</v>
      </c>
      <c r="Y3745" s="8">
        <v>507.05900000000003</v>
      </c>
      <c r="Z3745" s="8">
        <v>166.13399999999999</v>
      </c>
      <c r="AA3745" s="8">
        <v>36.762</v>
      </c>
      <c r="AB3745" s="8">
        <v>5.5110000000000001</v>
      </c>
      <c r="AC3745" s="8">
        <v>0.39700000000000002</v>
      </c>
    </row>
    <row r="3746" spans="1:29" ht="11.65" x14ac:dyDescent="0.35">
      <c r="A3746" s="12">
        <v>3729</v>
      </c>
      <c r="B3746" s="10" t="s">
        <v>1015</v>
      </c>
      <c r="C3746" s="18" t="s">
        <v>1273</v>
      </c>
      <c r="D3746" s="9"/>
      <c r="E3746" s="9">
        <v>276</v>
      </c>
      <c r="F3746" s="10" t="s">
        <v>1066</v>
      </c>
      <c r="G3746" s="9">
        <v>926</v>
      </c>
      <c r="H3746" s="9">
        <v>1990</v>
      </c>
      <c r="I3746" s="8">
        <v>2229.3980000000001</v>
      </c>
      <c r="J3746" s="8">
        <v>2176.7750000000001</v>
      </c>
      <c r="K3746" s="8">
        <v>2050.9340000000002</v>
      </c>
      <c r="L3746" s="8">
        <v>2291.8290000000002</v>
      </c>
      <c r="M3746" s="8">
        <v>3291.4639999999999</v>
      </c>
      <c r="N3746" s="8">
        <v>3556.625</v>
      </c>
      <c r="O3746" s="8">
        <v>3211.8789999999999</v>
      </c>
      <c r="P3746" s="8">
        <v>2821.933</v>
      </c>
      <c r="Q3746" s="8">
        <v>2505.5309999999999</v>
      </c>
      <c r="R3746" s="8">
        <v>2726.0909999999999</v>
      </c>
      <c r="S3746" s="8">
        <v>3016.15</v>
      </c>
      <c r="T3746" s="8">
        <v>2283.4180000000001</v>
      </c>
      <c r="U3746" s="8">
        <v>2012.838</v>
      </c>
      <c r="V3746" s="8">
        <v>1462.6890000000001</v>
      </c>
      <c r="W3746" s="8">
        <v>801.971</v>
      </c>
      <c r="X3746" s="8">
        <v>882.94299999999998</v>
      </c>
      <c r="Y3746" s="8">
        <v>553.13800000000003</v>
      </c>
      <c r="Z3746" s="8">
        <v>216.66</v>
      </c>
      <c r="AA3746" s="8">
        <v>46.7</v>
      </c>
      <c r="AB3746" s="8">
        <v>6.1130000000000004</v>
      </c>
      <c r="AC3746" s="8">
        <v>0.48299999999999998</v>
      </c>
    </row>
    <row r="3747" spans="1:29" ht="11.65" x14ac:dyDescent="0.35">
      <c r="A3747" s="12">
        <v>3730</v>
      </c>
      <c r="B3747" s="10" t="s">
        <v>1015</v>
      </c>
      <c r="C3747" s="18" t="s">
        <v>1273</v>
      </c>
      <c r="D3747" s="9"/>
      <c r="E3747" s="9">
        <v>276</v>
      </c>
      <c r="F3747" s="10" t="s">
        <v>1066</v>
      </c>
      <c r="G3747" s="9">
        <v>926</v>
      </c>
      <c r="H3747" s="9">
        <v>1995</v>
      </c>
      <c r="I3747" s="8">
        <v>2088.5929999999998</v>
      </c>
      <c r="J3747" s="8">
        <v>2364.422</v>
      </c>
      <c r="K3747" s="8">
        <v>2302.6999999999998</v>
      </c>
      <c r="L3747" s="8">
        <v>2179.7640000000001</v>
      </c>
      <c r="M3747" s="8">
        <v>2462.9540000000002</v>
      </c>
      <c r="N3747" s="8">
        <v>3457.3049999999998</v>
      </c>
      <c r="O3747" s="8">
        <v>3666.1329999999998</v>
      </c>
      <c r="P3747" s="8">
        <v>3279.1149999999998</v>
      </c>
      <c r="Q3747" s="8">
        <v>2840.9169999999999</v>
      </c>
      <c r="R3747" s="8">
        <v>2486.9319999999998</v>
      </c>
      <c r="S3747" s="8">
        <v>2668.569</v>
      </c>
      <c r="T3747" s="8">
        <v>2905.049</v>
      </c>
      <c r="U3747" s="8">
        <v>2137.5940000000001</v>
      </c>
      <c r="V3747" s="8">
        <v>1798.7059999999999</v>
      </c>
      <c r="W3747" s="8">
        <v>1225.229</v>
      </c>
      <c r="X3747" s="8">
        <v>604.32899999999995</v>
      </c>
      <c r="Y3747" s="8">
        <v>548.51199999999994</v>
      </c>
      <c r="Z3747" s="8">
        <v>253.14400000000001</v>
      </c>
      <c r="AA3747" s="8">
        <v>64.216999999999999</v>
      </c>
      <c r="AB3747" s="8">
        <v>7.8159999999999998</v>
      </c>
      <c r="AC3747" s="8">
        <v>0.53800000000000003</v>
      </c>
    </row>
    <row r="3748" spans="1:29" ht="11.65" x14ac:dyDescent="0.35">
      <c r="A3748" s="12">
        <v>3731</v>
      </c>
      <c r="B3748" s="10" t="s">
        <v>1015</v>
      </c>
      <c r="C3748" s="18" t="s">
        <v>1273</v>
      </c>
      <c r="D3748" s="9"/>
      <c r="E3748" s="9">
        <v>276</v>
      </c>
      <c r="F3748" s="10" t="s">
        <v>1066</v>
      </c>
      <c r="G3748" s="9">
        <v>926</v>
      </c>
      <c r="H3748" s="9">
        <v>2000</v>
      </c>
      <c r="I3748" s="8">
        <v>2008.8689999999999</v>
      </c>
      <c r="J3748" s="8">
        <v>2132.6999999999998</v>
      </c>
      <c r="K3748" s="8">
        <v>2393.748</v>
      </c>
      <c r="L3748" s="8">
        <v>2330.2280000000001</v>
      </c>
      <c r="M3748" s="8">
        <v>2267.5079999999998</v>
      </c>
      <c r="N3748" s="8">
        <v>2541.5140000000001</v>
      </c>
      <c r="O3748" s="8">
        <v>3449.3969999999999</v>
      </c>
      <c r="P3748" s="8">
        <v>3632.4459999999999</v>
      </c>
      <c r="Q3748" s="8">
        <v>3239.41</v>
      </c>
      <c r="R3748" s="8">
        <v>2791.6660000000002</v>
      </c>
      <c r="S3748" s="8">
        <v>2422.1170000000002</v>
      </c>
      <c r="T3748" s="8">
        <v>2558.489</v>
      </c>
      <c r="U3748" s="8">
        <v>2722.53</v>
      </c>
      <c r="V3748" s="8">
        <v>1924.1210000000001</v>
      </c>
      <c r="W3748" s="8">
        <v>1525.953</v>
      </c>
      <c r="X3748" s="8">
        <v>944.23900000000003</v>
      </c>
      <c r="Y3748" s="8">
        <v>393.83600000000001</v>
      </c>
      <c r="Z3748" s="8">
        <v>269.21300000000002</v>
      </c>
      <c r="AA3748" s="8">
        <v>80.542000000000002</v>
      </c>
      <c r="AB3748" s="8">
        <v>11.286</v>
      </c>
      <c r="AC3748" s="8">
        <v>0.69499999999999995</v>
      </c>
    </row>
    <row r="3749" spans="1:29" ht="11.65" x14ac:dyDescent="0.35">
      <c r="A3749" s="12">
        <v>3732</v>
      </c>
      <c r="B3749" s="10" t="s">
        <v>1015</v>
      </c>
      <c r="C3749" s="18" t="s">
        <v>1273</v>
      </c>
      <c r="D3749" s="9"/>
      <c r="E3749" s="9">
        <v>276</v>
      </c>
      <c r="F3749" s="10" t="s">
        <v>1066</v>
      </c>
      <c r="G3749" s="9">
        <v>926</v>
      </c>
      <c r="H3749" s="9">
        <v>2005</v>
      </c>
      <c r="I3749" s="8">
        <v>1844.0039999999999</v>
      </c>
      <c r="J3749" s="8">
        <v>2032.8040000000001</v>
      </c>
      <c r="K3749" s="8">
        <v>2148.1590000000001</v>
      </c>
      <c r="L3749" s="8">
        <v>2403.6550000000002</v>
      </c>
      <c r="M3749" s="8">
        <v>2417.348</v>
      </c>
      <c r="N3749" s="8">
        <v>2384.277</v>
      </c>
      <c r="O3749" s="8">
        <v>2583.1579999999999</v>
      </c>
      <c r="P3749" s="8">
        <v>3444.9520000000002</v>
      </c>
      <c r="Q3749" s="8">
        <v>3601.5210000000002</v>
      </c>
      <c r="R3749" s="8">
        <v>3191.8780000000002</v>
      </c>
      <c r="S3749" s="8">
        <v>2742.7930000000001</v>
      </c>
      <c r="T3749" s="8">
        <v>2351.163</v>
      </c>
      <c r="U3749" s="8">
        <v>2414.0909999999999</v>
      </c>
      <c r="V3749" s="8">
        <v>2492.893</v>
      </c>
      <c r="W3749" s="8">
        <v>1661.325</v>
      </c>
      <c r="X3749" s="8">
        <v>1199.2840000000001</v>
      </c>
      <c r="Y3749" s="8">
        <v>641.66899999999998</v>
      </c>
      <c r="Z3749" s="8">
        <v>208.602</v>
      </c>
      <c r="AA3749" s="8">
        <v>93.25</v>
      </c>
      <c r="AB3749" s="8">
        <v>15.565</v>
      </c>
      <c r="AC3749" s="8">
        <v>1.08</v>
      </c>
    </row>
    <row r="3750" spans="1:29" ht="11.65" x14ac:dyDescent="0.35">
      <c r="A3750" s="12">
        <v>3733</v>
      </c>
      <c r="B3750" s="10" t="s">
        <v>1015</v>
      </c>
      <c r="C3750" s="18" t="s">
        <v>1273</v>
      </c>
      <c r="D3750" s="9"/>
      <c r="E3750" s="9">
        <v>276</v>
      </c>
      <c r="F3750" s="10" t="s">
        <v>1066</v>
      </c>
      <c r="G3750" s="9">
        <v>926</v>
      </c>
      <c r="H3750" s="9">
        <v>2010</v>
      </c>
      <c r="I3750" s="8">
        <v>1738.816</v>
      </c>
      <c r="J3750" s="8">
        <v>1852.259</v>
      </c>
      <c r="K3750" s="8">
        <v>2028.61</v>
      </c>
      <c r="L3750" s="8">
        <v>2138.3440000000001</v>
      </c>
      <c r="M3750" s="8">
        <v>2460.0369999999998</v>
      </c>
      <c r="N3750" s="8">
        <v>2491.1260000000002</v>
      </c>
      <c r="O3750" s="8">
        <v>2375.9340000000002</v>
      </c>
      <c r="P3750" s="8">
        <v>2542.4810000000002</v>
      </c>
      <c r="Q3750" s="8">
        <v>3402.2429999999999</v>
      </c>
      <c r="R3750" s="8">
        <v>3549.3710000000001</v>
      </c>
      <c r="S3750" s="8">
        <v>3110.8609999999999</v>
      </c>
      <c r="T3750" s="8">
        <v>2634.2060000000001</v>
      </c>
      <c r="U3750" s="8">
        <v>2207.81</v>
      </c>
      <c r="V3750" s="8">
        <v>2213.6030000000001</v>
      </c>
      <c r="W3750" s="8">
        <v>2208.4270000000001</v>
      </c>
      <c r="X3750" s="8">
        <v>1356.2819999999999</v>
      </c>
      <c r="Y3750" s="8">
        <v>852.18299999999999</v>
      </c>
      <c r="Z3750" s="8">
        <v>357.39699999999999</v>
      </c>
      <c r="AA3750" s="8">
        <v>78.09</v>
      </c>
      <c r="AB3750" s="8">
        <v>19.166</v>
      </c>
      <c r="AC3750" s="8">
        <v>1.5680000000000001</v>
      </c>
    </row>
    <row r="3751" spans="1:29" ht="11.65" x14ac:dyDescent="0.35">
      <c r="A3751" s="12">
        <v>3734</v>
      </c>
      <c r="B3751" s="10" t="s">
        <v>1015</v>
      </c>
      <c r="C3751" s="18" t="s">
        <v>1273</v>
      </c>
      <c r="D3751" s="9"/>
      <c r="E3751" s="9">
        <v>276</v>
      </c>
      <c r="F3751" s="10" t="s">
        <v>1066</v>
      </c>
      <c r="G3751" s="9">
        <v>926</v>
      </c>
      <c r="H3751" s="9">
        <v>2015</v>
      </c>
      <c r="I3751" s="8">
        <v>1791.874</v>
      </c>
      <c r="J3751" s="8">
        <v>1804.175</v>
      </c>
      <c r="K3751" s="8">
        <v>1962.623</v>
      </c>
      <c r="L3751" s="8">
        <v>2173.5529999999999</v>
      </c>
      <c r="M3751" s="8">
        <v>2301.4810000000002</v>
      </c>
      <c r="N3751" s="8">
        <v>2624.2579999999998</v>
      </c>
      <c r="O3751" s="8">
        <v>2627.1289999999999</v>
      </c>
      <c r="P3751" s="8">
        <v>2456.9</v>
      </c>
      <c r="Q3751" s="8">
        <v>2561.8429999999998</v>
      </c>
      <c r="R3751" s="8">
        <v>3374.2220000000002</v>
      </c>
      <c r="S3751" s="8">
        <v>3487.8040000000001</v>
      </c>
      <c r="T3751" s="8">
        <v>3015.375</v>
      </c>
      <c r="U3751" s="8">
        <v>2507.6799999999998</v>
      </c>
      <c r="V3751" s="8">
        <v>2052.125</v>
      </c>
      <c r="W3751" s="8">
        <v>1982.8979999999999</v>
      </c>
      <c r="X3751" s="8">
        <v>1851.048</v>
      </c>
      <c r="Y3751" s="8">
        <v>998.346</v>
      </c>
      <c r="Z3751" s="8">
        <v>493.85</v>
      </c>
      <c r="AA3751" s="8">
        <v>138.12200000000001</v>
      </c>
      <c r="AB3751" s="8">
        <v>17.222000000000001</v>
      </c>
      <c r="AC3751" s="8">
        <v>2.048</v>
      </c>
    </row>
    <row r="3752" spans="1:29" ht="11.65" x14ac:dyDescent="0.35">
      <c r="A3752" s="12">
        <v>3735</v>
      </c>
      <c r="B3752" s="10" t="s">
        <v>1015</v>
      </c>
      <c r="C3752" s="18" t="s">
        <v>1273</v>
      </c>
      <c r="D3752" s="9"/>
      <c r="E3752" s="9">
        <v>276</v>
      </c>
      <c r="F3752" s="10" t="s">
        <v>1066</v>
      </c>
      <c r="G3752" s="9">
        <v>926</v>
      </c>
      <c r="H3752" s="9">
        <v>2020</v>
      </c>
      <c r="I3752" s="8">
        <v>2082.3429999999998</v>
      </c>
      <c r="J3752" s="8">
        <v>1970.345</v>
      </c>
      <c r="K3752" s="8">
        <v>1979.34</v>
      </c>
      <c r="L3752" s="8">
        <v>2150.221</v>
      </c>
      <c r="M3752" s="8">
        <v>2382.4960000000001</v>
      </c>
      <c r="N3752" s="8">
        <v>2521.7979999999998</v>
      </c>
      <c r="O3752" s="8">
        <v>2822.8440000000001</v>
      </c>
      <c r="P3752" s="8">
        <v>2774.4549999999999</v>
      </c>
      <c r="Q3752" s="8">
        <v>2551.8020000000001</v>
      </c>
      <c r="R3752" s="8">
        <v>2607.67</v>
      </c>
      <c r="S3752" s="8">
        <v>3352.933</v>
      </c>
      <c r="T3752" s="8">
        <v>3393.2060000000001</v>
      </c>
      <c r="U3752" s="8">
        <v>2854.7060000000001</v>
      </c>
      <c r="V3752" s="8">
        <v>2291.0810000000001</v>
      </c>
      <c r="W3752" s="8">
        <v>1791.116</v>
      </c>
      <c r="X3752" s="8">
        <v>1631.884</v>
      </c>
      <c r="Y3752" s="8">
        <v>1359.1189999999999</v>
      </c>
      <c r="Z3752" s="8">
        <v>612.79600000000005</v>
      </c>
      <c r="AA3752" s="8">
        <v>236.559</v>
      </c>
      <c r="AB3752" s="8">
        <v>45.63</v>
      </c>
      <c r="AC3752" s="8">
        <v>3.5670000000000002</v>
      </c>
    </row>
    <row r="3753" spans="1:29" ht="11.65" x14ac:dyDescent="0.35">
      <c r="A3753" s="12">
        <v>3736</v>
      </c>
      <c r="B3753" s="10" t="s">
        <v>1015</v>
      </c>
      <c r="C3753" s="18" t="s">
        <v>1274</v>
      </c>
      <c r="D3753" s="9"/>
      <c r="E3753" s="9">
        <v>442</v>
      </c>
      <c r="F3753" s="10" t="s">
        <v>1066</v>
      </c>
      <c r="G3753" s="9">
        <v>926</v>
      </c>
      <c r="H3753" s="9">
        <v>1950</v>
      </c>
      <c r="I3753" s="8">
        <v>10</v>
      </c>
      <c r="J3753" s="8">
        <v>10</v>
      </c>
      <c r="K3753" s="8">
        <v>10</v>
      </c>
      <c r="L3753" s="8">
        <v>13</v>
      </c>
      <c r="M3753" s="8">
        <v>12</v>
      </c>
      <c r="N3753" s="8">
        <v>10</v>
      </c>
      <c r="O3753" s="8">
        <v>9.9990000000000006</v>
      </c>
      <c r="P3753" s="8">
        <v>12</v>
      </c>
      <c r="Q3753" s="8">
        <v>12.000999999999999</v>
      </c>
      <c r="R3753" s="8">
        <v>11</v>
      </c>
      <c r="S3753" s="8">
        <v>9.0009999999999994</v>
      </c>
      <c r="T3753" s="8">
        <v>7.9989999999999997</v>
      </c>
      <c r="U3753" s="8">
        <v>7</v>
      </c>
      <c r="V3753" s="8">
        <v>6</v>
      </c>
      <c r="W3753" s="8">
        <v>3.8889999999999998</v>
      </c>
      <c r="X3753" s="8">
        <v>2.4260000000000002</v>
      </c>
      <c r="Y3753" s="8">
        <v>1.1579999999999999</v>
      </c>
      <c r="Z3753" s="8">
        <v>0.46500000000000002</v>
      </c>
      <c r="AA3753" s="8">
        <v>6.5000000000000002E-2</v>
      </c>
      <c r="AB3753" s="8">
        <v>0</v>
      </c>
      <c r="AC3753" s="8">
        <v>0</v>
      </c>
    </row>
    <row r="3754" spans="1:29" ht="11.65" x14ac:dyDescent="0.35">
      <c r="A3754" s="12">
        <v>3737</v>
      </c>
      <c r="B3754" s="10" t="s">
        <v>1015</v>
      </c>
      <c r="C3754" s="18" t="s">
        <v>1274</v>
      </c>
      <c r="D3754" s="9"/>
      <c r="E3754" s="9">
        <v>442</v>
      </c>
      <c r="F3754" s="10" t="s">
        <v>1066</v>
      </c>
      <c r="G3754" s="9">
        <v>926</v>
      </c>
      <c r="H3754" s="9">
        <v>1955</v>
      </c>
      <c r="I3754" s="8">
        <v>11</v>
      </c>
      <c r="J3754" s="8">
        <v>10</v>
      </c>
      <c r="K3754" s="8">
        <v>9.9990000000000006</v>
      </c>
      <c r="L3754" s="8">
        <v>10</v>
      </c>
      <c r="M3754" s="8">
        <v>11.997999999999999</v>
      </c>
      <c r="N3754" s="8">
        <v>12.999000000000001</v>
      </c>
      <c r="O3754" s="8">
        <v>10.999000000000001</v>
      </c>
      <c r="P3754" s="8">
        <v>10</v>
      </c>
      <c r="Q3754" s="8">
        <v>11.999000000000001</v>
      </c>
      <c r="R3754" s="8">
        <v>12.000999999999999</v>
      </c>
      <c r="S3754" s="8">
        <v>10.999000000000001</v>
      </c>
      <c r="T3754" s="8">
        <v>9</v>
      </c>
      <c r="U3754" s="8">
        <v>7</v>
      </c>
      <c r="V3754" s="8">
        <v>6</v>
      </c>
      <c r="W3754" s="8">
        <v>4.2779999999999996</v>
      </c>
      <c r="X3754" s="8">
        <v>2.73</v>
      </c>
      <c r="Y3754" s="8">
        <v>1.5820000000000001</v>
      </c>
      <c r="Z3754" s="8">
        <v>0.41699999999999998</v>
      </c>
      <c r="AA3754" s="8">
        <v>0.109</v>
      </c>
      <c r="AB3754" s="8">
        <v>8.0000000000000002E-3</v>
      </c>
      <c r="AC3754" s="8">
        <v>0</v>
      </c>
    </row>
    <row r="3755" spans="1:29" ht="11.65" x14ac:dyDescent="0.35">
      <c r="A3755" s="12">
        <v>3738</v>
      </c>
      <c r="B3755" s="10" t="s">
        <v>1015</v>
      </c>
      <c r="C3755" s="18" t="s">
        <v>1274</v>
      </c>
      <c r="D3755" s="9"/>
      <c r="E3755" s="9">
        <v>442</v>
      </c>
      <c r="F3755" s="10" t="s">
        <v>1066</v>
      </c>
      <c r="G3755" s="9">
        <v>926</v>
      </c>
      <c r="H3755" s="9">
        <v>1960</v>
      </c>
      <c r="I3755" s="8">
        <v>12.471</v>
      </c>
      <c r="J3755" s="8">
        <v>11.35</v>
      </c>
      <c r="K3755" s="8">
        <v>10.231</v>
      </c>
      <c r="L3755" s="8">
        <v>10.153</v>
      </c>
      <c r="M3755" s="8">
        <v>11.33</v>
      </c>
      <c r="N3755" s="8">
        <v>12.146000000000001</v>
      </c>
      <c r="O3755" s="8">
        <v>12.74</v>
      </c>
      <c r="P3755" s="8">
        <v>9.8559999999999999</v>
      </c>
      <c r="Q3755" s="8">
        <v>8.86</v>
      </c>
      <c r="R3755" s="8">
        <v>11.377000000000001</v>
      </c>
      <c r="S3755" s="8">
        <v>11.569000000000001</v>
      </c>
      <c r="T3755" s="8">
        <v>10.305</v>
      </c>
      <c r="U3755" s="8">
        <v>7.9660000000000002</v>
      </c>
      <c r="V3755" s="8">
        <v>5.931</v>
      </c>
      <c r="W3755" s="8">
        <v>4.2130000000000001</v>
      </c>
      <c r="X3755" s="8">
        <v>2.7280000000000002</v>
      </c>
      <c r="Y3755" s="8">
        <v>1.4319999999999999</v>
      </c>
      <c r="Z3755" s="8">
        <v>0.59299999999999997</v>
      </c>
      <c r="AA3755" s="8">
        <v>0.104</v>
      </c>
      <c r="AB3755" s="8">
        <v>1.4999999999999999E-2</v>
      </c>
      <c r="AC3755" s="8">
        <v>1E-3</v>
      </c>
    </row>
    <row r="3756" spans="1:29" ht="11.65" x14ac:dyDescent="0.35">
      <c r="A3756" s="12">
        <v>3739</v>
      </c>
      <c r="B3756" s="10" t="s">
        <v>1015</v>
      </c>
      <c r="C3756" s="18" t="s">
        <v>1274</v>
      </c>
      <c r="D3756" s="9"/>
      <c r="E3756" s="9">
        <v>442</v>
      </c>
      <c r="F3756" s="10" t="s">
        <v>1066</v>
      </c>
      <c r="G3756" s="9">
        <v>926</v>
      </c>
      <c r="H3756" s="9">
        <v>1965</v>
      </c>
      <c r="I3756" s="8">
        <v>13.065</v>
      </c>
      <c r="J3756" s="8">
        <v>12.736000000000001</v>
      </c>
      <c r="K3756" s="8">
        <v>11.678000000000001</v>
      </c>
      <c r="L3756" s="8">
        <v>11.112</v>
      </c>
      <c r="M3756" s="8">
        <v>11.06</v>
      </c>
      <c r="N3756" s="8">
        <v>11.93</v>
      </c>
      <c r="O3756" s="8">
        <v>12.358000000000001</v>
      </c>
      <c r="P3756" s="8">
        <v>12.847</v>
      </c>
      <c r="Q3756" s="8">
        <v>9.8369999999999997</v>
      </c>
      <c r="R3756" s="8">
        <v>8.7550000000000008</v>
      </c>
      <c r="S3756" s="8">
        <v>10.936</v>
      </c>
      <c r="T3756" s="8">
        <v>10.734</v>
      </c>
      <c r="U3756" s="8">
        <v>9.09</v>
      </c>
      <c r="V3756" s="8">
        <v>6.7030000000000003</v>
      </c>
      <c r="W3756" s="8">
        <v>4.5510000000000002</v>
      </c>
      <c r="X3756" s="8">
        <v>2.8370000000000002</v>
      </c>
      <c r="Y3756" s="8">
        <v>1.5049999999999999</v>
      </c>
      <c r="Z3756" s="8">
        <v>0.56200000000000006</v>
      </c>
      <c r="AA3756" s="8">
        <v>0.154</v>
      </c>
      <c r="AB3756" s="8">
        <v>1.4999999999999999E-2</v>
      </c>
      <c r="AC3756" s="8">
        <v>2E-3</v>
      </c>
    </row>
    <row r="3757" spans="1:29" ht="11.65" x14ac:dyDescent="0.35">
      <c r="A3757" s="12">
        <v>3740</v>
      </c>
      <c r="B3757" s="10" t="s">
        <v>1015</v>
      </c>
      <c r="C3757" s="18" t="s">
        <v>1274</v>
      </c>
      <c r="D3757" s="9"/>
      <c r="E3757" s="9">
        <v>442</v>
      </c>
      <c r="F3757" s="10" t="s">
        <v>1066</v>
      </c>
      <c r="G3757" s="9">
        <v>926</v>
      </c>
      <c r="H3757" s="9">
        <v>1970</v>
      </c>
      <c r="I3757" s="8">
        <v>12.234</v>
      </c>
      <c r="J3757" s="8">
        <v>13.233000000000001</v>
      </c>
      <c r="K3757" s="8">
        <v>13.023</v>
      </c>
      <c r="L3757" s="8">
        <v>12.36</v>
      </c>
      <c r="M3757" s="8">
        <v>11.513999999999999</v>
      </c>
      <c r="N3757" s="8">
        <v>11.603999999999999</v>
      </c>
      <c r="O3757" s="8">
        <v>12.077</v>
      </c>
      <c r="P3757" s="8">
        <v>12.397</v>
      </c>
      <c r="Q3757" s="8">
        <v>12.797000000000001</v>
      </c>
      <c r="R3757" s="8">
        <v>9.6080000000000005</v>
      </c>
      <c r="S3757" s="8">
        <v>8.3699999999999992</v>
      </c>
      <c r="T3757" s="8">
        <v>10.085000000000001</v>
      </c>
      <c r="U3757" s="8">
        <v>9.3610000000000007</v>
      </c>
      <c r="V3757" s="8">
        <v>7.516</v>
      </c>
      <c r="W3757" s="8">
        <v>5.024</v>
      </c>
      <c r="X3757" s="8">
        <v>2.9750000000000001</v>
      </c>
      <c r="Y3757" s="8">
        <v>1.5189999999999999</v>
      </c>
      <c r="Z3757" s="8">
        <v>0.57299999999999995</v>
      </c>
      <c r="AA3757" s="8">
        <v>0.14099999999999999</v>
      </c>
      <c r="AB3757" s="8">
        <v>2.4E-2</v>
      </c>
      <c r="AC3757" s="8">
        <v>2E-3</v>
      </c>
    </row>
    <row r="3758" spans="1:29" ht="11.65" x14ac:dyDescent="0.35">
      <c r="A3758" s="12">
        <v>3741</v>
      </c>
      <c r="B3758" s="10" t="s">
        <v>1015</v>
      </c>
      <c r="C3758" s="18" t="s">
        <v>1274</v>
      </c>
      <c r="D3758" s="9"/>
      <c r="E3758" s="9">
        <v>442</v>
      </c>
      <c r="F3758" s="10" t="s">
        <v>1066</v>
      </c>
      <c r="G3758" s="9">
        <v>926</v>
      </c>
      <c r="H3758" s="9">
        <v>1975</v>
      </c>
      <c r="I3758" s="8">
        <v>10.753</v>
      </c>
      <c r="J3758" s="8">
        <v>12.738</v>
      </c>
      <c r="K3758" s="8">
        <v>13.659000000000001</v>
      </c>
      <c r="L3758" s="8">
        <v>13.776</v>
      </c>
      <c r="M3758" s="8">
        <v>13.754</v>
      </c>
      <c r="N3758" s="8">
        <v>13.481</v>
      </c>
      <c r="O3758" s="8">
        <v>12.603</v>
      </c>
      <c r="P3758" s="8">
        <v>12.563000000000001</v>
      </c>
      <c r="Q3758" s="8">
        <v>12.670999999999999</v>
      </c>
      <c r="R3758" s="8">
        <v>12.768000000000001</v>
      </c>
      <c r="S3758" s="8">
        <v>9.3919999999999995</v>
      </c>
      <c r="T3758" s="8">
        <v>7.7510000000000003</v>
      </c>
      <c r="U3758" s="8">
        <v>8.8539999999999992</v>
      </c>
      <c r="V3758" s="8">
        <v>7.7720000000000002</v>
      </c>
      <c r="W3758" s="8">
        <v>5.6040000000000001</v>
      </c>
      <c r="X3758" s="8">
        <v>3.2789999999999999</v>
      </c>
      <c r="Y3758" s="8">
        <v>1.63</v>
      </c>
      <c r="Z3758" s="8">
        <v>0.58799999999999997</v>
      </c>
      <c r="AA3758" s="8">
        <v>0.151</v>
      </c>
      <c r="AB3758" s="8">
        <v>2.3E-2</v>
      </c>
      <c r="AC3758" s="8">
        <v>2E-3</v>
      </c>
    </row>
    <row r="3759" spans="1:29" ht="11.65" x14ac:dyDescent="0.35">
      <c r="A3759" s="12">
        <v>3742</v>
      </c>
      <c r="B3759" s="10" t="s">
        <v>1015</v>
      </c>
      <c r="C3759" s="18" t="s">
        <v>1274</v>
      </c>
      <c r="D3759" s="9"/>
      <c r="E3759" s="9">
        <v>442</v>
      </c>
      <c r="F3759" s="10" t="s">
        <v>1066</v>
      </c>
      <c r="G3759" s="9">
        <v>926</v>
      </c>
      <c r="H3759" s="9">
        <v>1980</v>
      </c>
      <c r="I3759" s="8">
        <v>10.494</v>
      </c>
      <c r="J3759" s="8">
        <v>11.196999999999999</v>
      </c>
      <c r="K3759" s="8">
        <v>13.209</v>
      </c>
      <c r="L3759" s="8">
        <v>14.147</v>
      </c>
      <c r="M3759" s="8">
        <v>14.484999999999999</v>
      </c>
      <c r="N3759" s="8">
        <v>14.6</v>
      </c>
      <c r="O3759" s="8">
        <v>14.577</v>
      </c>
      <c r="P3759" s="8">
        <v>12.824999999999999</v>
      </c>
      <c r="Q3759" s="8">
        <v>12.409000000000001</v>
      </c>
      <c r="R3759" s="8">
        <v>12.381</v>
      </c>
      <c r="S3759" s="8">
        <v>12.185</v>
      </c>
      <c r="T3759" s="8">
        <v>8.6880000000000006</v>
      </c>
      <c r="U3759" s="8">
        <v>6.8929999999999998</v>
      </c>
      <c r="V3759" s="8">
        <v>7.3739999999999997</v>
      </c>
      <c r="W3759" s="8">
        <v>5.9630000000000001</v>
      </c>
      <c r="X3759" s="8">
        <v>3.698</v>
      </c>
      <c r="Y3759" s="8">
        <v>1.7709999999999999</v>
      </c>
      <c r="Z3759" s="8">
        <v>0.63200000000000001</v>
      </c>
      <c r="AA3759" s="8">
        <v>0.153</v>
      </c>
      <c r="AB3759" s="8">
        <v>2.4E-2</v>
      </c>
      <c r="AC3759" s="8">
        <v>2E-3</v>
      </c>
    </row>
    <row r="3760" spans="1:29" ht="11.65" x14ac:dyDescent="0.35">
      <c r="A3760" s="12">
        <v>3743</v>
      </c>
      <c r="B3760" s="10" t="s">
        <v>1015</v>
      </c>
      <c r="C3760" s="18" t="s">
        <v>1274</v>
      </c>
      <c r="D3760" s="9"/>
      <c r="E3760" s="9">
        <v>442</v>
      </c>
      <c r="F3760" s="10" t="s">
        <v>1066</v>
      </c>
      <c r="G3760" s="9">
        <v>926</v>
      </c>
      <c r="H3760" s="9">
        <v>1985</v>
      </c>
      <c r="I3760" s="8">
        <v>10.862</v>
      </c>
      <c r="J3760" s="8">
        <v>10.503</v>
      </c>
      <c r="K3760" s="8">
        <v>11.022</v>
      </c>
      <c r="L3760" s="8">
        <v>13.196</v>
      </c>
      <c r="M3760" s="8">
        <v>14.787000000000001</v>
      </c>
      <c r="N3760" s="8">
        <v>15.162000000000001</v>
      </c>
      <c r="O3760" s="8">
        <v>14.922000000000001</v>
      </c>
      <c r="P3760" s="8">
        <v>14.385</v>
      </c>
      <c r="Q3760" s="8">
        <v>12.313000000000001</v>
      </c>
      <c r="R3760" s="8">
        <v>11.927</v>
      </c>
      <c r="S3760" s="8">
        <v>11.631</v>
      </c>
      <c r="T3760" s="8">
        <v>11.319000000000001</v>
      </c>
      <c r="U3760" s="8">
        <v>7.5990000000000002</v>
      </c>
      <c r="V3760" s="8">
        <v>5.7919999999999998</v>
      </c>
      <c r="W3760" s="8">
        <v>5.8460000000000001</v>
      </c>
      <c r="X3760" s="8">
        <v>4.0609999999999999</v>
      </c>
      <c r="Y3760" s="8">
        <v>2.0310000000000001</v>
      </c>
      <c r="Z3760" s="8">
        <v>0.71499999999999997</v>
      </c>
      <c r="AA3760" s="8">
        <v>0.16700000000000001</v>
      </c>
      <c r="AB3760" s="8">
        <v>2.4E-2</v>
      </c>
      <c r="AC3760" s="8">
        <v>2E-3</v>
      </c>
    </row>
    <row r="3761" spans="1:29" ht="11.65" x14ac:dyDescent="0.35">
      <c r="A3761" s="12">
        <v>3744</v>
      </c>
      <c r="B3761" s="10" t="s">
        <v>1015</v>
      </c>
      <c r="C3761" s="18" t="s">
        <v>1274</v>
      </c>
      <c r="D3761" s="9"/>
      <c r="E3761" s="9">
        <v>442</v>
      </c>
      <c r="F3761" s="10" t="s">
        <v>1066</v>
      </c>
      <c r="G3761" s="9">
        <v>926</v>
      </c>
      <c r="H3761" s="9">
        <v>1990</v>
      </c>
      <c r="I3761" s="8">
        <v>11.906000000000001</v>
      </c>
      <c r="J3761" s="8">
        <v>11.223000000000001</v>
      </c>
      <c r="K3761" s="8">
        <v>10.775</v>
      </c>
      <c r="L3761" s="8">
        <v>11.423999999999999</v>
      </c>
      <c r="M3761" s="8">
        <v>14.461</v>
      </c>
      <c r="N3761" s="8">
        <v>16.757000000000001</v>
      </c>
      <c r="O3761" s="8">
        <v>16.459</v>
      </c>
      <c r="P3761" s="8">
        <v>15.547000000000001</v>
      </c>
      <c r="Q3761" s="8">
        <v>14.515000000000001</v>
      </c>
      <c r="R3761" s="8">
        <v>12.247999999999999</v>
      </c>
      <c r="S3761" s="8">
        <v>11.593999999999999</v>
      </c>
      <c r="T3761" s="8">
        <v>10.863</v>
      </c>
      <c r="U3761" s="8">
        <v>10.19</v>
      </c>
      <c r="V3761" s="8">
        <v>6.5759999999999996</v>
      </c>
      <c r="W3761" s="8">
        <v>4.6280000000000001</v>
      </c>
      <c r="X3761" s="8">
        <v>4.2130000000000001</v>
      </c>
      <c r="Y3761" s="8">
        <v>2.3069999999999999</v>
      </c>
      <c r="Z3761" s="8">
        <v>0.877</v>
      </c>
      <c r="AA3761" s="8">
        <v>0.20599999999999999</v>
      </c>
      <c r="AB3761" s="8">
        <v>2.9000000000000001E-2</v>
      </c>
      <c r="AC3761" s="8">
        <v>2E-3</v>
      </c>
    </row>
    <row r="3762" spans="1:29" ht="11.65" x14ac:dyDescent="0.35">
      <c r="A3762" s="12">
        <v>3745</v>
      </c>
      <c r="B3762" s="10" t="s">
        <v>1015</v>
      </c>
      <c r="C3762" s="18" t="s">
        <v>1274</v>
      </c>
      <c r="D3762" s="9"/>
      <c r="E3762" s="9">
        <v>442</v>
      </c>
      <c r="F3762" s="10" t="s">
        <v>1066</v>
      </c>
      <c r="G3762" s="9">
        <v>926</v>
      </c>
      <c r="H3762" s="9">
        <v>1995</v>
      </c>
      <c r="I3762" s="8">
        <v>14.055</v>
      </c>
      <c r="J3762" s="8">
        <v>12.73</v>
      </c>
      <c r="K3762" s="8">
        <v>11.782</v>
      </c>
      <c r="L3762" s="8">
        <v>11.349</v>
      </c>
      <c r="M3762" s="8">
        <v>13.114000000000001</v>
      </c>
      <c r="N3762" s="8">
        <v>16.834</v>
      </c>
      <c r="O3762" s="8">
        <v>18.309000000000001</v>
      </c>
      <c r="P3762" s="8">
        <v>17.172000000000001</v>
      </c>
      <c r="Q3762" s="8">
        <v>15.791</v>
      </c>
      <c r="R3762" s="8">
        <v>14.534000000000001</v>
      </c>
      <c r="S3762" s="8">
        <v>11.965</v>
      </c>
      <c r="T3762" s="8">
        <v>11.021000000000001</v>
      </c>
      <c r="U3762" s="8">
        <v>9.9990000000000006</v>
      </c>
      <c r="V3762" s="8">
        <v>9.0410000000000004</v>
      </c>
      <c r="W3762" s="8">
        <v>5.4210000000000003</v>
      </c>
      <c r="X3762" s="8">
        <v>3.3860000000000001</v>
      </c>
      <c r="Y3762" s="8">
        <v>2.528</v>
      </c>
      <c r="Z3762" s="8">
        <v>1.0489999999999999</v>
      </c>
      <c r="AA3762" s="8">
        <v>0.26700000000000002</v>
      </c>
      <c r="AB3762" s="8">
        <v>3.6999999999999998E-2</v>
      </c>
      <c r="AC3762" s="8">
        <v>3.0000000000000001E-3</v>
      </c>
    </row>
    <row r="3763" spans="1:29" ht="11.65" x14ac:dyDescent="0.35">
      <c r="A3763" s="12">
        <v>3746</v>
      </c>
      <c r="B3763" s="10" t="s">
        <v>1015</v>
      </c>
      <c r="C3763" s="18" t="s">
        <v>1274</v>
      </c>
      <c r="D3763" s="9"/>
      <c r="E3763" s="9">
        <v>442</v>
      </c>
      <c r="F3763" s="10" t="s">
        <v>1066</v>
      </c>
      <c r="G3763" s="9">
        <v>926</v>
      </c>
      <c r="H3763" s="9">
        <v>2000</v>
      </c>
      <c r="I3763" s="8">
        <v>14.68</v>
      </c>
      <c r="J3763" s="8">
        <v>14.557</v>
      </c>
      <c r="K3763" s="8">
        <v>13.18</v>
      </c>
      <c r="L3763" s="8">
        <v>12.419</v>
      </c>
      <c r="M3763" s="8">
        <v>12.847</v>
      </c>
      <c r="N3763" s="8">
        <v>15.638</v>
      </c>
      <c r="O3763" s="8">
        <v>18.795000000000002</v>
      </c>
      <c r="P3763" s="8">
        <v>19.346</v>
      </c>
      <c r="Q3763" s="8">
        <v>17.638000000000002</v>
      </c>
      <c r="R3763" s="8">
        <v>15.706</v>
      </c>
      <c r="S3763" s="8">
        <v>14.161</v>
      </c>
      <c r="T3763" s="8">
        <v>11.442</v>
      </c>
      <c r="U3763" s="8">
        <v>10.074</v>
      </c>
      <c r="V3763" s="8">
        <v>8.8699999999999992</v>
      </c>
      <c r="W3763" s="8">
        <v>7.6029999999999998</v>
      </c>
      <c r="X3763" s="8">
        <v>4.1289999999999996</v>
      </c>
      <c r="Y3763" s="8">
        <v>2.097</v>
      </c>
      <c r="Z3763" s="8">
        <v>1.21</v>
      </c>
      <c r="AA3763" s="8">
        <v>0.34100000000000003</v>
      </c>
      <c r="AB3763" s="8">
        <v>0.05</v>
      </c>
      <c r="AC3763" s="8">
        <v>4.0000000000000001E-3</v>
      </c>
    </row>
    <row r="3764" spans="1:29" ht="11.65" x14ac:dyDescent="0.35">
      <c r="A3764" s="12">
        <v>3747</v>
      </c>
      <c r="B3764" s="10" t="s">
        <v>1015</v>
      </c>
      <c r="C3764" s="18" t="s">
        <v>1274</v>
      </c>
      <c r="D3764" s="9"/>
      <c r="E3764" s="9">
        <v>442</v>
      </c>
      <c r="F3764" s="10" t="s">
        <v>1066</v>
      </c>
      <c r="G3764" s="9">
        <v>926</v>
      </c>
      <c r="H3764" s="9">
        <v>2005</v>
      </c>
      <c r="I3764" s="8">
        <v>14.292</v>
      </c>
      <c r="J3764" s="8">
        <v>14.893000000000001</v>
      </c>
      <c r="K3764" s="8">
        <v>14.691000000000001</v>
      </c>
      <c r="L3764" s="8">
        <v>13.592000000000001</v>
      </c>
      <c r="M3764" s="8">
        <v>13.506</v>
      </c>
      <c r="N3764" s="8">
        <v>14.589</v>
      </c>
      <c r="O3764" s="8">
        <v>17.006</v>
      </c>
      <c r="P3764" s="8">
        <v>19.547000000000001</v>
      </c>
      <c r="Q3764" s="8">
        <v>19.734999999999999</v>
      </c>
      <c r="R3764" s="8">
        <v>17.641999999999999</v>
      </c>
      <c r="S3764" s="8">
        <v>15.404999999999999</v>
      </c>
      <c r="T3764" s="8">
        <v>13.538</v>
      </c>
      <c r="U3764" s="8">
        <v>10.423</v>
      </c>
      <c r="V3764" s="8">
        <v>8.9909999999999997</v>
      </c>
      <c r="W3764" s="8">
        <v>7.6520000000000001</v>
      </c>
      <c r="X3764" s="8">
        <v>5.9909999999999997</v>
      </c>
      <c r="Y3764" s="8">
        <v>2.819</v>
      </c>
      <c r="Z3764" s="8">
        <v>1.101</v>
      </c>
      <c r="AA3764" s="8">
        <v>0.44</v>
      </c>
      <c r="AB3764" s="8">
        <v>7.5999999999999998E-2</v>
      </c>
      <c r="AC3764" s="8">
        <v>6.0000000000000001E-3</v>
      </c>
    </row>
    <row r="3765" spans="1:29" ht="11.65" x14ac:dyDescent="0.35">
      <c r="A3765" s="12">
        <v>3748</v>
      </c>
      <c r="B3765" s="10" t="s">
        <v>1015</v>
      </c>
      <c r="C3765" s="18" t="s">
        <v>1274</v>
      </c>
      <c r="D3765" s="9"/>
      <c r="E3765" s="9">
        <v>442</v>
      </c>
      <c r="F3765" s="10" t="s">
        <v>1066</v>
      </c>
      <c r="G3765" s="9">
        <v>926</v>
      </c>
      <c r="H3765" s="9">
        <v>2010</v>
      </c>
      <c r="I3765" s="8">
        <v>14.791</v>
      </c>
      <c r="J3765" s="8">
        <v>15.49</v>
      </c>
      <c r="K3765" s="8">
        <v>15.811999999999999</v>
      </c>
      <c r="L3765" s="8">
        <v>15.465999999999999</v>
      </c>
      <c r="M3765" s="8">
        <v>15.286</v>
      </c>
      <c r="N3765" s="8">
        <v>17.838999999999999</v>
      </c>
      <c r="O3765" s="8">
        <v>18.911999999999999</v>
      </c>
      <c r="P3765" s="8">
        <v>19.675000000000001</v>
      </c>
      <c r="Q3765" s="8">
        <v>21.718</v>
      </c>
      <c r="R3765" s="8">
        <v>21.007000000000001</v>
      </c>
      <c r="S3765" s="8">
        <v>18.126999999999999</v>
      </c>
      <c r="T3765" s="8">
        <v>15.263999999999999</v>
      </c>
      <c r="U3765" s="8">
        <v>12.795999999999999</v>
      </c>
      <c r="V3765" s="8">
        <v>9.532</v>
      </c>
      <c r="W3765" s="8">
        <v>7.9450000000000003</v>
      </c>
      <c r="X3765" s="8">
        <v>6.4649999999999999</v>
      </c>
      <c r="Y3765" s="8">
        <v>4.0990000000000002</v>
      </c>
      <c r="Z3765" s="8">
        <v>1.5429999999999999</v>
      </c>
      <c r="AA3765" s="8">
        <v>0.41899999999999998</v>
      </c>
      <c r="AB3765" s="8">
        <v>0.10100000000000001</v>
      </c>
      <c r="AC3765" s="8">
        <v>0.01</v>
      </c>
    </row>
    <row r="3766" spans="1:29" ht="11.65" x14ac:dyDescent="0.35">
      <c r="A3766" s="12">
        <v>3749</v>
      </c>
      <c r="B3766" s="10" t="s">
        <v>1015</v>
      </c>
      <c r="C3766" s="18" t="s">
        <v>1274</v>
      </c>
      <c r="D3766" s="9"/>
      <c r="E3766" s="9">
        <v>442</v>
      </c>
      <c r="F3766" s="10" t="s">
        <v>1066</v>
      </c>
      <c r="G3766" s="9">
        <v>926</v>
      </c>
      <c r="H3766" s="9">
        <v>2015</v>
      </c>
      <c r="I3766" s="8">
        <v>16.16</v>
      </c>
      <c r="J3766" s="8">
        <v>15.365</v>
      </c>
      <c r="K3766" s="8">
        <v>16.09</v>
      </c>
      <c r="L3766" s="8">
        <v>17.405000000000001</v>
      </c>
      <c r="M3766" s="8">
        <v>18.634</v>
      </c>
      <c r="N3766" s="8">
        <v>20.285</v>
      </c>
      <c r="O3766" s="8">
        <v>22.195</v>
      </c>
      <c r="P3766" s="8">
        <v>21.387</v>
      </c>
      <c r="Q3766" s="8">
        <v>22.402000000000001</v>
      </c>
      <c r="R3766" s="8">
        <v>24.603999999999999</v>
      </c>
      <c r="S3766" s="8">
        <v>21.891999999999999</v>
      </c>
      <c r="T3766" s="8">
        <v>18.247</v>
      </c>
      <c r="U3766" s="8">
        <v>14.683999999999999</v>
      </c>
      <c r="V3766" s="8">
        <v>11.882</v>
      </c>
      <c r="W3766" s="8">
        <v>8.5150000000000006</v>
      </c>
      <c r="X3766" s="8">
        <v>6.4459999999999997</v>
      </c>
      <c r="Y3766" s="8">
        <v>5.141</v>
      </c>
      <c r="Z3766" s="8">
        <v>2.3959999999999999</v>
      </c>
      <c r="AA3766" s="8">
        <v>0.60799999999999998</v>
      </c>
      <c r="AB3766" s="8">
        <v>9.1999999999999998E-2</v>
      </c>
      <c r="AC3766" s="8">
        <v>1.0999999999999999E-2</v>
      </c>
    </row>
    <row r="3767" spans="1:29" ht="11.65" x14ac:dyDescent="0.35">
      <c r="A3767" s="12">
        <v>3750</v>
      </c>
      <c r="B3767" s="10" t="s">
        <v>1015</v>
      </c>
      <c r="C3767" s="18" t="s">
        <v>1274</v>
      </c>
      <c r="D3767" s="9"/>
      <c r="E3767" s="9">
        <v>442</v>
      </c>
      <c r="F3767" s="10" t="s">
        <v>1066</v>
      </c>
      <c r="G3767" s="9">
        <v>926</v>
      </c>
      <c r="H3767" s="9">
        <v>2020</v>
      </c>
      <c r="I3767" s="8">
        <v>17.102</v>
      </c>
      <c r="J3767" s="8">
        <v>16.733000000000001</v>
      </c>
      <c r="K3767" s="8">
        <v>15.962</v>
      </c>
      <c r="L3767" s="8">
        <v>17.684999999999999</v>
      </c>
      <c r="M3767" s="8">
        <v>20.581</v>
      </c>
      <c r="N3767" s="8">
        <v>23.626000000000001</v>
      </c>
      <c r="O3767" s="8">
        <v>24.641999999999999</v>
      </c>
      <c r="P3767" s="8">
        <v>24.661999999999999</v>
      </c>
      <c r="Q3767" s="8">
        <v>24.117999999999999</v>
      </c>
      <c r="R3767" s="8">
        <v>25.298999999999999</v>
      </c>
      <c r="S3767" s="8">
        <v>25.484999999999999</v>
      </c>
      <c r="T3767" s="8">
        <v>21.983000000000001</v>
      </c>
      <c r="U3767" s="8">
        <v>17.629000000000001</v>
      </c>
      <c r="V3767" s="8">
        <v>13.718999999999999</v>
      </c>
      <c r="W3767" s="8">
        <v>10.766999999999999</v>
      </c>
      <c r="X3767" s="8">
        <v>7.0490000000000004</v>
      </c>
      <c r="Y3767" s="8">
        <v>5.24</v>
      </c>
      <c r="Z3767" s="8">
        <v>3.1549999999999998</v>
      </c>
      <c r="AA3767" s="8">
        <v>1.002</v>
      </c>
      <c r="AB3767" s="8">
        <v>0.13900000000000001</v>
      </c>
      <c r="AC3767" s="8">
        <v>8.9999999999999993E-3</v>
      </c>
    </row>
    <row r="3768" spans="1:29" ht="11.65" x14ac:dyDescent="0.35">
      <c r="A3768" s="12">
        <v>3751</v>
      </c>
      <c r="B3768" s="10" t="s">
        <v>1015</v>
      </c>
      <c r="C3768" s="18" t="s">
        <v>1275</v>
      </c>
      <c r="D3768" s="9">
        <v>28</v>
      </c>
      <c r="E3768" s="9">
        <v>528</v>
      </c>
      <c r="F3768" s="10" t="s">
        <v>1066</v>
      </c>
      <c r="G3768" s="9">
        <v>926</v>
      </c>
      <c r="H3768" s="9">
        <v>1950</v>
      </c>
      <c r="I3768" s="8">
        <v>611.43100000000004</v>
      </c>
      <c r="J3768" s="8">
        <v>472.35899999999998</v>
      </c>
      <c r="K3768" s="8">
        <v>416.476</v>
      </c>
      <c r="L3768" s="8">
        <v>415.53699999999998</v>
      </c>
      <c r="M3768" s="8">
        <v>402.19900000000001</v>
      </c>
      <c r="N3768" s="8">
        <v>396.47399999999999</v>
      </c>
      <c r="O3768" s="8">
        <v>341.10399999999998</v>
      </c>
      <c r="P3768" s="8">
        <v>334.61099999999999</v>
      </c>
      <c r="Q3768" s="8">
        <v>315.39400000000001</v>
      </c>
      <c r="R3768" s="8">
        <v>284.85700000000003</v>
      </c>
      <c r="S3768" s="8">
        <v>250.00299999999999</v>
      </c>
      <c r="T3768" s="8">
        <v>214.58</v>
      </c>
      <c r="U3768" s="8">
        <v>182.09700000000001</v>
      </c>
      <c r="V3768" s="8">
        <v>145.63900000000001</v>
      </c>
      <c r="W3768" s="8">
        <v>110.214</v>
      </c>
      <c r="X3768" s="8">
        <v>67.09</v>
      </c>
      <c r="Y3768" s="8">
        <v>32.216999999999999</v>
      </c>
      <c r="Z3768" s="8">
        <v>10.835000000000001</v>
      </c>
      <c r="AA3768" s="8">
        <v>1.998</v>
      </c>
      <c r="AB3768" s="8">
        <v>0.222</v>
      </c>
      <c r="AC3768" s="8">
        <v>1.7999999999999999E-2</v>
      </c>
    </row>
    <row r="3769" spans="1:29" ht="11.65" x14ac:dyDescent="0.35">
      <c r="A3769" s="12">
        <v>3752</v>
      </c>
      <c r="B3769" s="10" t="s">
        <v>1015</v>
      </c>
      <c r="C3769" s="18" t="s">
        <v>1275</v>
      </c>
      <c r="D3769" s="9">
        <v>28</v>
      </c>
      <c r="E3769" s="9">
        <v>528</v>
      </c>
      <c r="F3769" s="10" t="s">
        <v>1066</v>
      </c>
      <c r="G3769" s="9">
        <v>926</v>
      </c>
      <c r="H3769" s="9">
        <v>1955</v>
      </c>
      <c r="I3769" s="8">
        <v>570.54600000000005</v>
      </c>
      <c r="J3769" s="8">
        <v>606.875</v>
      </c>
      <c r="K3769" s="8">
        <v>469.56</v>
      </c>
      <c r="L3769" s="8">
        <v>414.42399999999998</v>
      </c>
      <c r="M3769" s="8">
        <v>405.40899999999999</v>
      </c>
      <c r="N3769" s="8">
        <v>381.93700000000001</v>
      </c>
      <c r="O3769" s="8">
        <v>378.50599999999997</v>
      </c>
      <c r="P3769" s="8">
        <v>330.62</v>
      </c>
      <c r="Q3769" s="8">
        <v>327.15699999999998</v>
      </c>
      <c r="R3769" s="8">
        <v>307.67200000000003</v>
      </c>
      <c r="S3769" s="8">
        <v>276.59100000000001</v>
      </c>
      <c r="T3769" s="8">
        <v>239.70500000000001</v>
      </c>
      <c r="U3769" s="8">
        <v>200.89400000000001</v>
      </c>
      <c r="V3769" s="8">
        <v>163.67699999999999</v>
      </c>
      <c r="W3769" s="8">
        <v>121.90600000000001</v>
      </c>
      <c r="X3769" s="8">
        <v>81.381</v>
      </c>
      <c r="Y3769" s="8">
        <v>40.225999999999999</v>
      </c>
      <c r="Z3769" s="8">
        <v>13.827</v>
      </c>
      <c r="AA3769" s="8">
        <v>2.8570000000000002</v>
      </c>
      <c r="AB3769" s="8">
        <v>0.28299999999999997</v>
      </c>
      <c r="AC3769" s="8">
        <v>1.7000000000000001E-2</v>
      </c>
    </row>
    <row r="3770" spans="1:29" ht="11.65" x14ac:dyDescent="0.35">
      <c r="A3770" s="12">
        <v>3753</v>
      </c>
      <c r="B3770" s="10" t="s">
        <v>1015</v>
      </c>
      <c r="C3770" s="18" t="s">
        <v>1275</v>
      </c>
      <c r="D3770" s="9">
        <v>28</v>
      </c>
      <c r="E3770" s="9">
        <v>528</v>
      </c>
      <c r="F3770" s="10" t="s">
        <v>1066</v>
      </c>
      <c r="G3770" s="9">
        <v>926</v>
      </c>
      <c r="H3770" s="9">
        <v>1960</v>
      </c>
      <c r="I3770" s="8">
        <v>592.29399999999998</v>
      </c>
      <c r="J3770" s="8">
        <v>566.24699999999996</v>
      </c>
      <c r="K3770" s="8">
        <v>605.42600000000004</v>
      </c>
      <c r="L3770" s="8">
        <v>467.34500000000003</v>
      </c>
      <c r="M3770" s="8">
        <v>409.73500000000001</v>
      </c>
      <c r="N3770" s="8">
        <v>396.77499999999998</v>
      </c>
      <c r="O3770" s="8">
        <v>373.49200000000002</v>
      </c>
      <c r="P3770" s="8">
        <v>373.44400000000002</v>
      </c>
      <c r="Q3770" s="8">
        <v>326.63900000000001</v>
      </c>
      <c r="R3770" s="8">
        <v>321.89</v>
      </c>
      <c r="S3770" s="8">
        <v>300.36700000000002</v>
      </c>
      <c r="T3770" s="8">
        <v>265.55700000000002</v>
      </c>
      <c r="U3770" s="8">
        <v>223.54599999999999</v>
      </c>
      <c r="V3770" s="8">
        <v>179.74100000000001</v>
      </c>
      <c r="W3770" s="8">
        <v>136.959</v>
      </c>
      <c r="X3770" s="8">
        <v>90.311999999999998</v>
      </c>
      <c r="Y3770" s="8">
        <v>49.277999999999999</v>
      </c>
      <c r="Z3770" s="8">
        <v>17.472999999999999</v>
      </c>
      <c r="AA3770" s="8">
        <v>3.6459999999999999</v>
      </c>
      <c r="AB3770" s="8">
        <v>0.39600000000000002</v>
      </c>
      <c r="AC3770" s="8">
        <v>0.02</v>
      </c>
    </row>
    <row r="3771" spans="1:29" ht="11.65" x14ac:dyDescent="0.35">
      <c r="A3771" s="12">
        <v>3754</v>
      </c>
      <c r="B3771" s="10" t="s">
        <v>1015</v>
      </c>
      <c r="C3771" s="18" t="s">
        <v>1275</v>
      </c>
      <c r="D3771" s="9">
        <v>28</v>
      </c>
      <c r="E3771" s="9">
        <v>528</v>
      </c>
      <c r="F3771" s="10" t="s">
        <v>1066</v>
      </c>
      <c r="G3771" s="9">
        <v>926</v>
      </c>
      <c r="H3771" s="9">
        <v>1965</v>
      </c>
      <c r="I3771" s="8">
        <v>626.40899999999999</v>
      </c>
      <c r="J3771" s="8">
        <v>586.45299999999997</v>
      </c>
      <c r="K3771" s="8">
        <v>565.33600000000001</v>
      </c>
      <c r="L3771" s="8">
        <v>604.36599999999999</v>
      </c>
      <c r="M3771" s="8">
        <v>466.55700000000002</v>
      </c>
      <c r="N3771" s="8">
        <v>411.50299999999999</v>
      </c>
      <c r="O3771" s="8">
        <v>399.87200000000001</v>
      </c>
      <c r="P3771" s="8">
        <v>374.858</v>
      </c>
      <c r="Q3771" s="8">
        <v>371.79</v>
      </c>
      <c r="R3771" s="8">
        <v>322.459</v>
      </c>
      <c r="S3771" s="8">
        <v>314.23</v>
      </c>
      <c r="T3771" s="8">
        <v>287.221</v>
      </c>
      <c r="U3771" s="8">
        <v>245.52699999999999</v>
      </c>
      <c r="V3771" s="8">
        <v>197.179</v>
      </c>
      <c r="W3771" s="8">
        <v>148.62799999999999</v>
      </c>
      <c r="X3771" s="8">
        <v>101.66800000000001</v>
      </c>
      <c r="Y3771" s="8">
        <v>55.329000000000001</v>
      </c>
      <c r="Z3771" s="8">
        <v>22.184999999999999</v>
      </c>
      <c r="AA3771" s="8">
        <v>4.9359999999999999</v>
      </c>
      <c r="AB3771" s="8">
        <v>0.56399999999999995</v>
      </c>
      <c r="AC3771" s="8">
        <v>3.4000000000000002E-2</v>
      </c>
    </row>
    <row r="3772" spans="1:29" ht="11.65" x14ac:dyDescent="0.35">
      <c r="A3772" s="12">
        <v>3755</v>
      </c>
      <c r="B3772" s="10" t="s">
        <v>1015</v>
      </c>
      <c r="C3772" s="18" t="s">
        <v>1275</v>
      </c>
      <c r="D3772" s="9">
        <v>28</v>
      </c>
      <c r="E3772" s="9">
        <v>528</v>
      </c>
      <c r="F3772" s="10" t="s">
        <v>1066</v>
      </c>
      <c r="G3772" s="9">
        <v>926</v>
      </c>
      <c r="H3772" s="9">
        <v>1970</v>
      </c>
      <c r="I3772" s="8">
        <v>613.18799999999999</v>
      </c>
      <c r="J3772" s="8">
        <v>625.19200000000001</v>
      </c>
      <c r="K3772" s="8">
        <v>586.71</v>
      </c>
      <c r="L3772" s="8">
        <v>565.94899999999996</v>
      </c>
      <c r="M3772" s="8">
        <v>604.63199999999995</v>
      </c>
      <c r="N3772" s="8">
        <v>471.12900000000002</v>
      </c>
      <c r="O3772" s="8">
        <v>417.70299999999997</v>
      </c>
      <c r="P3772" s="8">
        <v>403.33</v>
      </c>
      <c r="Q3772" s="8">
        <v>375.00400000000002</v>
      </c>
      <c r="R3772" s="8">
        <v>367.26299999999998</v>
      </c>
      <c r="S3772" s="8">
        <v>314.012</v>
      </c>
      <c r="T3772" s="8">
        <v>299.43200000000002</v>
      </c>
      <c r="U3772" s="8">
        <v>264.29000000000002</v>
      </c>
      <c r="V3772" s="8">
        <v>214.64500000000001</v>
      </c>
      <c r="W3772" s="8">
        <v>160.066</v>
      </c>
      <c r="X3772" s="8">
        <v>107.971</v>
      </c>
      <c r="Y3772" s="8">
        <v>62.256</v>
      </c>
      <c r="Z3772" s="8">
        <v>25.573</v>
      </c>
      <c r="AA3772" s="8">
        <v>6.649</v>
      </c>
      <c r="AB3772" s="8">
        <v>0.85</v>
      </c>
      <c r="AC3772" s="8">
        <v>5.6000000000000001E-2</v>
      </c>
    </row>
    <row r="3773" spans="1:29" ht="11.65" x14ac:dyDescent="0.35">
      <c r="A3773" s="12">
        <v>3756</v>
      </c>
      <c r="B3773" s="10" t="s">
        <v>1015</v>
      </c>
      <c r="C3773" s="18" t="s">
        <v>1275</v>
      </c>
      <c r="D3773" s="9">
        <v>28</v>
      </c>
      <c r="E3773" s="9">
        <v>528</v>
      </c>
      <c r="F3773" s="10" t="s">
        <v>1066</v>
      </c>
      <c r="G3773" s="9">
        <v>926</v>
      </c>
      <c r="H3773" s="9">
        <v>1975</v>
      </c>
      <c r="I3773" s="8">
        <v>531.96400000000006</v>
      </c>
      <c r="J3773" s="8">
        <v>615.91099999999994</v>
      </c>
      <c r="K3773" s="8">
        <v>632.36199999999997</v>
      </c>
      <c r="L3773" s="8">
        <v>597.98900000000003</v>
      </c>
      <c r="M3773" s="8">
        <v>579.48599999999999</v>
      </c>
      <c r="N3773" s="8">
        <v>620.10400000000004</v>
      </c>
      <c r="O3773" s="8">
        <v>486.92899999999997</v>
      </c>
      <c r="P3773" s="8">
        <v>428.084</v>
      </c>
      <c r="Q3773" s="8">
        <v>405.012</v>
      </c>
      <c r="R3773" s="8">
        <v>369.03100000000001</v>
      </c>
      <c r="S3773" s="8">
        <v>356.84300000000002</v>
      </c>
      <c r="T3773" s="8">
        <v>298.863</v>
      </c>
      <c r="U3773" s="8">
        <v>275.56900000000002</v>
      </c>
      <c r="V3773" s="8">
        <v>230.417</v>
      </c>
      <c r="W3773" s="8">
        <v>172.95099999999999</v>
      </c>
      <c r="X3773" s="8">
        <v>114.804</v>
      </c>
      <c r="Y3773" s="8">
        <v>65.42</v>
      </c>
      <c r="Z3773" s="8">
        <v>28.896000000000001</v>
      </c>
      <c r="AA3773" s="8">
        <v>7.8710000000000004</v>
      </c>
      <c r="AB3773" s="8">
        <v>1.2090000000000001</v>
      </c>
      <c r="AC3773" s="8">
        <v>9.0999999999999998E-2</v>
      </c>
    </row>
    <row r="3774" spans="1:29" ht="11.65" x14ac:dyDescent="0.35">
      <c r="A3774" s="12">
        <v>3757</v>
      </c>
      <c r="B3774" s="10" t="s">
        <v>1015</v>
      </c>
      <c r="C3774" s="18" t="s">
        <v>1275</v>
      </c>
      <c r="D3774" s="9">
        <v>28</v>
      </c>
      <c r="E3774" s="9">
        <v>528</v>
      </c>
      <c r="F3774" s="10" t="s">
        <v>1066</v>
      </c>
      <c r="G3774" s="9">
        <v>926</v>
      </c>
      <c r="H3774" s="9">
        <v>1980</v>
      </c>
      <c r="I3774" s="8">
        <v>453.01</v>
      </c>
      <c r="J3774" s="8">
        <v>538.93799999999999</v>
      </c>
      <c r="K3774" s="8">
        <v>623.95299999999997</v>
      </c>
      <c r="L3774" s="8">
        <v>641.72900000000004</v>
      </c>
      <c r="M3774" s="8">
        <v>610.26199999999994</v>
      </c>
      <c r="N3774" s="8">
        <v>588.39099999999996</v>
      </c>
      <c r="O3774" s="8">
        <v>620.75800000000004</v>
      </c>
      <c r="P3774" s="8">
        <v>485.20800000000003</v>
      </c>
      <c r="Q3774" s="8">
        <v>424.64100000000002</v>
      </c>
      <c r="R3774" s="8">
        <v>398.65499999999997</v>
      </c>
      <c r="S3774" s="8">
        <v>359.23200000000003</v>
      </c>
      <c r="T3774" s="8">
        <v>341.23500000000001</v>
      </c>
      <c r="U3774" s="8">
        <v>276.31799999999998</v>
      </c>
      <c r="V3774" s="8">
        <v>241.09399999999999</v>
      </c>
      <c r="W3774" s="8">
        <v>185.70599999999999</v>
      </c>
      <c r="X3774" s="8">
        <v>124.19799999999999</v>
      </c>
      <c r="Y3774" s="8">
        <v>69.838999999999999</v>
      </c>
      <c r="Z3774" s="8">
        <v>31.15</v>
      </c>
      <c r="AA3774" s="8">
        <v>9.4619999999999997</v>
      </c>
      <c r="AB3774" s="8">
        <v>1.5660000000000001</v>
      </c>
      <c r="AC3774" s="8">
        <v>0.13300000000000001</v>
      </c>
    </row>
    <row r="3775" spans="1:29" ht="11.65" x14ac:dyDescent="0.35">
      <c r="A3775" s="12">
        <v>3758</v>
      </c>
      <c r="B3775" s="10" t="s">
        <v>1015</v>
      </c>
      <c r="C3775" s="18" t="s">
        <v>1275</v>
      </c>
      <c r="D3775" s="9">
        <v>28</v>
      </c>
      <c r="E3775" s="9">
        <v>528</v>
      </c>
      <c r="F3775" s="10" t="s">
        <v>1066</v>
      </c>
      <c r="G3775" s="9">
        <v>926</v>
      </c>
      <c r="H3775" s="9">
        <v>1985</v>
      </c>
      <c r="I3775" s="8">
        <v>449.65300000000002</v>
      </c>
      <c r="J3775" s="8">
        <v>454.62799999999999</v>
      </c>
      <c r="K3775" s="8">
        <v>541.03800000000001</v>
      </c>
      <c r="L3775" s="8">
        <v>628.35400000000004</v>
      </c>
      <c r="M3775" s="8">
        <v>647.89400000000001</v>
      </c>
      <c r="N3775" s="8">
        <v>616.25300000000004</v>
      </c>
      <c r="O3775" s="8">
        <v>589.98699999999997</v>
      </c>
      <c r="P3775" s="8">
        <v>616.65</v>
      </c>
      <c r="Q3775" s="8">
        <v>478.48</v>
      </c>
      <c r="R3775" s="8">
        <v>416.38600000000002</v>
      </c>
      <c r="S3775" s="8">
        <v>387.45800000000003</v>
      </c>
      <c r="T3775" s="8">
        <v>343.64100000000002</v>
      </c>
      <c r="U3775" s="8">
        <v>316.61399999999998</v>
      </c>
      <c r="V3775" s="8">
        <v>243.52799999999999</v>
      </c>
      <c r="W3775" s="8">
        <v>196.58099999999999</v>
      </c>
      <c r="X3775" s="8">
        <v>134.334</v>
      </c>
      <c r="Y3775" s="8">
        <v>76.021000000000001</v>
      </c>
      <c r="Z3775" s="8">
        <v>33.475999999999999</v>
      </c>
      <c r="AA3775" s="8">
        <v>10.329000000000001</v>
      </c>
      <c r="AB3775" s="8">
        <v>1.956</v>
      </c>
      <c r="AC3775" s="8">
        <v>0.18099999999999999</v>
      </c>
    </row>
    <row r="3776" spans="1:29" ht="11.65" x14ac:dyDescent="0.35">
      <c r="A3776" s="12">
        <v>3759</v>
      </c>
      <c r="B3776" s="10" t="s">
        <v>1015</v>
      </c>
      <c r="C3776" s="18" t="s">
        <v>1275</v>
      </c>
      <c r="D3776" s="9">
        <v>28</v>
      </c>
      <c r="E3776" s="9">
        <v>528</v>
      </c>
      <c r="F3776" s="10" t="s">
        <v>1066</v>
      </c>
      <c r="G3776" s="9">
        <v>926</v>
      </c>
      <c r="H3776" s="9">
        <v>1990</v>
      </c>
      <c r="I3776" s="8">
        <v>477.79199999999997</v>
      </c>
      <c r="J3776" s="8">
        <v>454.005</v>
      </c>
      <c r="K3776" s="8">
        <v>461.697</v>
      </c>
      <c r="L3776" s="8">
        <v>549.50199999999995</v>
      </c>
      <c r="M3776" s="8">
        <v>643.16600000000005</v>
      </c>
      <c r="N3776" s="8">
        <v>666.33399999999995</v>
      </c>
      <c r="O3776" s="8">
        <v>625.05600000000004</v>
      </c>
      <c r="P3776" s="8">
        <v>588.48199999999997</v>
      </c>
      <c r="Q3776" s="8">
        <v>611.93899999999996</v>
      </c>
      <c r="R3776" s="8">
        <v>471.87400000000002</v>
      </c>
      <c r="S3776" s="8">
        <v>405.54899999999998</v>
      </c>
      <c r="T3776" s="8">
        <v>370.15100000000001</v>
      </c>
      <c r="U3776" s="8">
        <v>319.24900000000002</v>
      </c>
      <c r="V3776" s="8">
        <v>281.02999999999997</v>
      </c>
      <c r="W3776" s="8">
        <v>200.489</v>
      </c>
      <c r="X3776" s="8">
        <v>144.08199999999999</v>
      </c>
      <c r="Y3776" s="8">
        <v>82.331000000000003</v>
      </c>
      <c r="Z3776" s="8">
        <v>36.076999999999998</v>
      </c>
      <c r="AA3776" s="8">
        <v>11.000999999999999</v>
      </c>
      <c r="AB3776" s="8">
        <v>2.0819999999999999</v>
      </c>
      <c r="AC3776" s="8">
        <v>0.218</v>
      </c>
    </row>
    <row r="3777" spans="1:29" ht="11.65" x14ac:dyDescent="0.35">
      <c r="A3777" s="12">
        <v>3760</v>
      </c>
      <c r="B3777" s="10" t="s">
        <v>1015</v>
      </c>
      <c r="C3777" s="18" t="s">
        <v>1275</v>
      </c>
      <c r="D3777" s="9">
        <v>28</v>
      </c>
      <c r="E3777" s="9">
        <v>528</v>
      </c>
      <c r="F3777" s="10" t="s">
        <v>1066</v>
      </c>
      <c r="G3777" s="9">
        <v>926</v>
      </c>
      <c r="H3777" s="9">
        <v>1995</v>
      </c>
      <c r="I3777" s="8">
        <v>504.16300000000001</v>
      </c>
      <c r="J3777" s="8">
        <v>487.459</v>
      </c>
      <c r="K3777" s="8">
        <v>462.33100000000002</v>
      </c>
      <c r="L3777" s="8">
        <v>470.94</v>
      </c>
      <c r="M3777" s="8">
        <v>565.78200000000004</v>
      </c>
      <c r="N3777" s="8">
        <v>661.56799999999998</v>
      </c>
      <c r="O3777" s="8">
        <v>673.83</v>
      </c>
      <c r="P3777" s="8">
        <v>624.69200000000001</v>
      </c>
      <c r="Q3777" s="8">
        <v>586.06200000000001</v>
      </c>
      <c r="R3777" s="8">
        <v>605.75400000000002</v>
      </c>
      <c r="S3777" s="8">
        <v>463.28100000000001</v>
      </c>
      <c r="T3777" s="8">
        <v>392.29199999999997</v>
      </c>
      <c r="U3777" s="8">
        <v>348.23200000000003</v>
      </c>
      <c r="V3777" s="8">
        <v>287.29300000000001</v>
      </c>
      <c r="W3777" s="8">
        <v>235.31200000000001</v>
      </c>
      <c r="X3777" s="8">
        <v>149.292</v>
      </c>
      <c r="Y3777" s="8">
        <v>89.581000000000003</v>
      </c>
      <c r="Z3777" s="8">
        <v>38.97</v>
      </c>
      <c r="AA3777" s="8">
        <v>11.420999999999999</v>
      </c>
      <c r="AB3777" s="8">
        <v>2.0489999999999999</v>
      </c>
      <c r="AC3777" s="8">
        <v>0.20300000000000001</v>
      </c>
    </row>
    <row r="3778" spans="1:29" ht="11.65" x14ac:dyDescent="0.35">
      <c r="A3778" s="12">
        <v>3761</v>
      </c>
      <c r="B3778" s="10" t="s">
        <v>1015</v>
      </c>
      <c r="C3778" s="18" t="s">
        <v>1275</v>
      </c>
      <c r="D3778" s="9">
        <v>28</v>
      </c>
      <c r="E3778" s="9">
        <v>528</v>
      </c>
      <c r="F3778" s="10" t="s">
        <v>1066</v>
      </c>
      <c r="G3778" s="9">
        <v>926</v>
      </c>
      <c r="H3778" s="9">
        <v>2000</v>
      </c>
      <c r="I3778" s="8">
        <v>498.15600000000001</v>
      </c>
      <c r="J3778" s="8">
        <v>510.21</v>
      </c>
      <c r="K3778" s="8">
        <v>497.16300000000001</v>
      </c>
      <c r="L3778" s="8">
        <v>476.291</v>
      </c>
      <c r="M3778" s="8">
        <v>486.86099999999999</v>
      </c>
      <c r="N3778" s="8">
        <v>580.92499999999995</v>
      </c>
      <c r="O3778" s="8">
        <v>670.45699999999999</v>
      </c>
      <c r="P3778" s="8">
        <v>674.49699999999996</v>
      </c>
      <c r="Q3778" s="8">
        <v>619.86900000000003</v>
      </c>
      <c r="R3778" s="8">
        <v>577.86599999999999</v>
      </c>
      <c r="S3778" s="8">
        <v>592.29499999999996</v>
      </c>
      <c r="T3778" s="8">
        <v>446.57499999999999</v>
      </c>
      <c r="U3778" s="8">
        <v>369.57600000000002</v>
      </c>
      <c r="V3778" s="8">
        <v>314.58100000000002</v>
      </c>
      <c r="W3778" s="8">
        <v>242.929</v>
      </c>
      <c r="X3778" s="8">
        <v>178.535</v>
      </c>
      <c r="Y3778" s="8">
        <v>94.384</v>
      </c>
      <c r="Z3778" s="8">
        <v>42.850999999999999</v>
      </c>
      <c r="AA3778" s="8">
        <v>12.404</v>
      </c>
      <c r="AB3778" s="8">
        <v>2.0990000000000002</v>
      </c>
      <c r="AC3778" s="8">
        <v>0.216</v>
      </c>
    </row>
    <row r="3779" spans="1:29" ht="11.65" x14ac:dyDescent="0.35">
      <c r="A3779" s="12">
        <v>3762</v>
      </c>
      <c r="B3779" s="10" t="s">
        <v>1015</v>
      </c>
      <c r="C3779" s="18" t="s">
        <v>1275</v>
      </c>
      <c r="D3779" s="9">
        <v>28</v>
      </c>
      <c r="E3779" s="9">
        <v>528</v>
      </c>
      <c r="F3779" s="10" t="s">
        <v>1066</v>
      </c>
      <c r="G3779" s="9">
        <v>926</v>
      </c>
      <c r="H3779" s="9">
        <v>2005</v>
      </c>
      <c r="I3779" s="8">
        <v>515.71</v>
      </c>
      <c r="J3779" s="8">
        <v>506.85</v>
      </c>
      <c r="K3779" s="8">
        <v>515.029</v>
      </c>
      <c r="L3779" s="8">
        <v>504.16199999999998</v>
      </c>
      <c r="M3779" s="8">
        <v>492.05500000000001</v>
      </c>
      <c r="N3779" s="8">
        <v>502.68900000000002</v>
      </c>
      <c r="O3779" s="8">
        <v>587.52599999999995</v>
      </c>
      <c r="P3779" s="8">
        <v>669.58600000000001</v>
      </c>
      <c r="Q3779" s="8">
        <v>667.93200000000002</v>
      </c>
      <c r="R3779" s="8">
        <v>610.84900000000005</v>
      </c>
      <c r="S3779" s="8">
        <v>565.19000000000005</v>
      </c>
      <c r="T3779" s="8">
        <v>572.63900000000001</v>
      </c>
      <c r="U3779" s="8">
        <v>423.53300000000002</v>
      </c>
      <c r="V3779" s="8">
        <v>339.14699999999999</v>
      </c>
      <c r="W3779" s="8">
        <v>271.84500000000003</v>
      </c>
      <c r="X3779" s="8">
        <v>189.99</v>
      </c>
      <c r="Y3779" s="8">
        <v>117.651</v>
      </c>
      <c r="Z3779" s="8">
        <v>47.122999999999998</v>
      </c>
      <c r="AA3779" s="8">
        <v>14.064</v>
      </c>
      <c r="AB3779" s="8">
        <v>2.29</v>
      </c>
      <c r="AC3779" s="8">
        <v>0.215</v>
      </c>
    </row>
    <row r="3780" spans="1:29" ht="11.65" x14ac:dyDescent="0.35">
      <c r="A3780" s="12">
        <v>3763</v>
      </c>
      <c r="B3780" s="10" t="s">
        <v>1015</v>
      </c>
      <c r="C3780" s="18" t="s">
        <v>1275</v>
      </c>
      <c r="D3780" s="9">
        <v>28</v>
      </c>
      <c r="E3780" s="9">
        <v>528</v>
      </c>
      <c r="F3780" s="10" t="s">
        <v>1066</v>
      </c>
      <c r="G3780" s="9">
        <v>926</v>
      </c>
      <c r="H3780" s="9">
        <v>2010</v>
      </c>
      <c r="I3780" s="8">
        <v>477.25599999999997</v>
      </c>
      <c r="J3780" s="8">
        <v>516.09299999999996</v>
      </c>
      <c r="K3780" s="8">
        <v>507.57499999999999</v>
      </c>
      <c r="L3780" s="8">
        <v>520.36800000000005</v>
      </c>
      <c r="M3780" s="8">
        <v>521.80799999999999</v>
      </c>
      <c r="N3780" s="8">
        <v>508.41399999999999</v>
      </c>
      <c r="O3780" s="8">
        <v>506.56200000000001</v>
      </c>
      <c r="P3780" s="8">
        <v>582.20500000000004</v>
      </c>
      <c r="Q3780" s="8">
        <v>657.495</v>
      </c>
      <c r="R3780" s="8">
        <v>657.61599999999999</v>
      </c>
      <c r="S3780" s="8">
        <v>599.822</v>
      </c>
      <c r="T3780" s="8">
        <v>548.71</v>
      </c>
      <c r="U3780" s="8">
        <v>546.73800000000006</v>
      </c>
      <c r="V3780" s="8">
        <v>392.94200000000001</v>
      </c>
      <c r="W3780" s="8">
        <v>300.90100000000001</v>
      </c>
      <c r="X3780" s="8">
        <v>222.12799999999999</v>
      </c>
      <c r="Y3780" s="8">
        <v>133.54400000000001</v>
      </c>
      <c r="Z3780" s="8">
        <v>64.135999999999996</v>
      </c>
      <c r="AA3780" s="8">
        <v>16.983000000000001</v>
      </c>
      <c r="AB3780" s="8">
        <v>2.8559999999999999</v>
      </c>
      <c r="AC3780" s="8">
        <v>0.252</v>
      </c>
    </row>
    <row r="3781" spans="1:29" ht="11.65" x14ac:dyDescent="0.35">
      <c r="A3781" s="12">
        <v>3764</v>
      </c>
      <c r="B3781" s="10" t="s">
        <v>1015</v>
      </c>
      <c r="C3781" s="18" t="s">
        <v>1275</v>
      </c>
      <c r="D3781" s="9">
        <v>28</v>
      </c>
      <c r="E3781" s="9">
        <v>528</v>
      </c>
      <c r="F3781" s="10" t="s">
        <v>1066</v>
      </c>
      <c r="G3781" s="9">
        <v>926</v>
      </c>
      <c r="H3781" s="9">
        <v>2015</v>
      </c>
      <c r="I3781" s="8">
        <v>457.32100000000003</v>
      </c>
      <c r="J3781" s="8">
        <v>480.94600000000003</v>
      </c>
      <c r="K3781" s="8">
        <v>519.49099999999999</v>
      </c>
      <c r="L3781" s="8">
        <v>517.303</v>
      </c>
      <c r="M3781" s="8">
        <v>542.09199999999998</v>
      </c>
      <c r="N3781" s="8">
        <v>540.28399999999999</v>
      </c>
      <c r="O3781" s="8">
        <v>511.9</v>
      </c>
      <c r="P3781" s="8">
        <v>502.71899999999999</v>
      </c>
      <c r="Q3781" s="8">
        <v>574.58399999999995</v>
      </c>
      <c r="R3781" s="8">
        <v>646.45100000000002</v>
      </c>
      <c r="S3781" s="8">
        <v>643.37</v>
      </c>
      <c r="T3781" s="8">
        <v>581.87</v>
      </c>
      <c r="U3781" s="8">
        <v>522.80399999999997</v>
      </c>
      <c r="V3781" s="8">
        <v>507.88099999999997</v>
      </c>
      <c r="W3781" s="8">
        <v>351.66</v>
      </c>
      <c r="X3781" s="8">
        <v>251.733</v>
      </c>
      <c r="Y3781" s="8">
        <v>162.09200000000001</v>
      </c>
      <c r="Z3781" s="8">
        <v>76.88</v>
      </c>
      <c r="AA3781" s="8">
        <v>24.91</v>
      </c>
      <c r="AB3781" s="8">
        <v>3.7610000000000001</v>
      </c>
      <c r="AC3781" s="8">
        <v>0.33500000000000002</v>
      </c>
    </row>
    <row r="3782" spans="1:29" ht="11.65" x14ac:dyDescent="0.35">
      <c r="A3782" s="12">
        <v>3765</v>
      </c>
      <c r="B3782" s="10" t="s">
        <v>1015</v>
      </c>
      <c r="C3782" s="18" t="s">
        <v>1275</v>
      </c>
      <c r="D3782" s="9">
        <v>28</v>
      </c>
      <c r="E3782" s="9">
        <v>528</v>
      </c>
      <c r="F3782" s="10" t="s">
        <v>1066</v>
      </c>
      <c r="G3782" s="9">
        <v>926</v>
      </c>
      <c r="H3782" s="9">
        <v>2020</v>
      </c>
      <c r="I3782" s="8">
        <v>440.38</v>
      </c>
      <c r="J3782" s="8">
        <v>458.89299999999997</v>
      </c>
      <c r="K3782" s="8">
        <v>481.72899999999998</v>
      </c>
      <c r="L3782" s="8">
        <v>521.58100000000002</v>
      </c>
      <c r="M3782" s="8">
        <v>522.34400000000005</v>
      </c>
      <c r="N3782" s="8">
        <v>548.471</v>
      </c>
      <c r="O3782" s="8">
        <v>545.55799999999999</v>
      </c>
      <c r="P3782" s="8">
        <v>515.16999999999996</v>
      </c>
      <c r="Q3782" s="8">
        <v>503.78699999999998</v>
      </c>
      <c r="R3782" s="8">
        <v>572.54</v>
      </c>
      <c r="S3782" s="8">
        <v>639.65200000000004</v>
      </c>
      <c r="T3782" s="8">
        <v>630.63699999999994</v>
      </c>
      <c r="U3782" s="8">
        <v>562.40700000000004</v>
      </c>
      <c r="V3782" s="8">
        <v>494.64400000000001</v>
      </c>
      <c r="W3782" s="8">
        <v>464.15600000000001</v>
      </c>
      <c r="X3782" s="8">
        <v>301.90600000000001</v>
      </c>
      <c r="Y3782" s="8">
        <v>192.58799999999999</v>
      </c>
      <c r="Z3782" s="8">
        <v>100.68</v>
      </c>
      <c r="AA3782" s="8">
        <v>33.241</v>
      </c>
      <c r="AB3782" s="8">
        <v>6.31</v>
      </c>
      <c r="AC3782" s="8">
        <v>0.47099999999999997</v>
      </c>
    </row>
    <row r="3783" spans="1:29" ht="11.65" x14ac:dyDescent="0.35">
      <c r="A3783" s="12">
        <v>3766</v>
      </c>
      <c r="B3783" s="10" t="s">
        <v>1015</v>
      </c>
      <c r="C3783" s="18" t="s">
        <v>1276</v>
      </c>
      <c r="D3783" s="9"/>
      <c r="E3783" s="9">
        <v>756</v>
      </c>
      <c r="F3783" s="10" t="s">
        <v>1066</v>
      </c>
      <c r="G3783" s="9">
        <v>926</v>
      </c>
      <c r="H3783" s="9">
        <v>1950</v>
      </c>
      <c r="I3783" s="8">
        <v>215.79900000000001</v>
      </c>
      <c r="J3783" s="8">
        <v>187.3</v>
      </c>
      <c r="K3783" s="8">
        <v>156.30000000000001</v>
      </c>
      <c r="L3783" s="8">
        <v>166.001</v>
      </c>
      <c r="M3783" s="8">
        <v>167.3</v>
      </c>
      <c r="N3783" s="8">
        <v>174.7</v>
      </c>
      <c r="O3783" s="8">
        <v>152.30000000000001</v>
      </c>
      <c r="P3783" s="8">
        <v>173.4</v>
      </c>
      <c r="Q3783" s="8">
        <v>171.7</v>
      </c>
      <c r="R3783" s="8">
        <v>156.9</v>
      </c>
      <c r="S3783" s="8">
        <v>134.59899999999999</v>
      </c>
      <c r="T3783" s="8">
        <v>110.599</v>
      </c>
      <c r="U3783" s="8">
        <v>94.100999999999999</v>
      </c>
      <c r="V3783" s="8">
        <v>78.001000000000005</v>
      </c>
      <c r="W3783" s="8">
        <v>58</v>
      </c>
      <c r="X3783" s="8">
        <v>33</v>
      </c>
      <c r="Y3783" s="8">
        <v>14.414</v>
      </c>
      <c r="Z3783" s="8">
        <v>4.4710000000000001</v>
      </c>
      <c r="AA3783" s="8">
        <v>0.73399999999999999</v>
      </c>
      <c r="AB3783" s="8">
        <v>6.5000000000000002E-2</v>
      </c>
      <c r="AC3783" s="8">
        <v>2E-3</v>
      </c>
    </row>
    <row r="3784" spans="1:29" ht="11.65" x14ac:dyDescent="0.35">
      <c r="A3784" s="12">
        <v>3767</v>
      </c>
      <c r="B3784" s="10" t="s">
        <v>1015</v>
      </c>
      <c r="C3784" s="18" t="s">
        <v>1276</v>
      </c>
      <c r="D3784" s="9"/>
      <c r="E3784" s="9">
        <v>756</v>
      </c>
      <c r="F3784" s="10" t="s">
        <v>1066</v>
      </c>
      <c r="G3784" s="9">
        <v>926</v>
      </c>
      <c r="H3784" s="9">
        <v>1955</v>
      </c>
      <c r="I3784" s="8">
        <v>210.46199999999999</v>
      </c>
      <c r="J3784" s="8">
        <v>216.83500000000001</v>
      </c>
      <c r="K3784" s="8">
        <v>188.702</v>
      </c>
      <c r="L3784" s="8">
        <v>159.416</v>
      </c>
      <c r="M3784" s="8">
        <v>179.417</v>
      </c>
      <c r="N3784" s="8">
        <v>178.809</v>
      </c>
      <c r="O3784" s="8">
        <v>178.24799999999999</v>
      </c>
      <c r="P3784" s="8">
        <v>156.48599999999999</v>
      </c>
      <c r="Q3784" s="8">
        <v>170.965</v>
      </c>
      <c r="R3784" s="8">
        <v>168.87299999999999</v>
      </c>
      <c r="S3784" s="8">
        <v>151.99700000000001</v>
      </c>
      <c r="T3784" s="8">
        <v>127.318</v>
      </c>
      <c r="U3784" s="8">
        <v>101.218</v>
      </c>
      <c r="V3784" s="8">
        <v>80.709999999999994</v>
      </c>
      <c r="W3784" s="8">
        <v>61.557000000000002</v>
      </c>
      <c r="X3784" s="8">
        <v>39.215000000000003</v>
      </c>
      <c r="Y3784" s="8">
        <v>17.827000000000002</v>
      </c>
      <c r="Z3784" s="8">
        <v>5.38</v>
      </c>
      <c r="AA3784" s="8">
        <v>1.0129999999999999</v>
      </c>
      <c r="AB3784" s="8">
        <v>9.1999999999999998E-2</v>
      </c>
      <c r="AC3784" s="8">
        <v>4.0000000000000001E-3</v>
      </c>
    </row>
    <row r="3785" spans="1:29" ht="11.65" x14ac:dyDescent="0.35">
      <c r="A3785" s="12">
        <v>3768</v>
      </c>
      <c r="B3785" s="10" t="s">
        <v>1015</v>
      </c>
      <c r="C3785" s="18" t="s">
        <v>1276</v>
      </c>
      <c r="D3785" s="9"/>
      <c r="E3785" s="9">
        <v>756</v>
      </c>
      <c r="F3785" s="10" t="s">
        <v>1066</v>
      </c>
      <c r="G3785" s="9">
        <v>926</v>
      </c>
      <c r="H3785" s="9">
        <v>1960</v>
      </c>
      <c r="I3785" s="8">
        <v>224.67699999999999</v>
      </c>
      <c r="J3785" s="8">
        <v>208.56800000000001</v>
      </c>
      <c r="K3785" s="8">
        <v>217.845</v>
      </c>
      <c r="L3785" s="8">
        <v>198.85</v>
      </c>
      <c r="M3785" s="8">
        <v>190.39</v>
      </c>
      <c r="N3785" s="8">
        <v>192.13200000000001</v>
      </c>
      <c r="O3785" s="8">
        <v>179.63900000000001</v>
      </c>
      <c r="P3785" s="8">
        <v>176.554</v>
      </c>
      <c r="Q3785" s="8">
        <v>150.86500000000001</v>
      </c>
      <c r="R3785" s="8">
        <v>170.49199999999999</v>
      </c>
      <c r="S3785" s="8">
        <v>164.488</v>
      </c>
      <c r="T3785" s="8">
        <v>143.096</v>
      </c>
      <c r="U3785" s="8">
        <v>115.61499999999999</v>
      </c>
      <c r="V3785" s="8">
        <v>87.322999999999993</v>
      </c>
      <c r="W3785" s="8">
        <v>64.105000000000004</v>
      </c>
      <c r="X3785" s="8">
        <v>42.972999999999999</v>
      </c>
      <c r="Y3785" s="8">
        <v>21.951000000000001</v>
      </c>
      <c r="Z3785" s="8">
        <v>6.8520000000000003</v>
      </c>
      <c r="AA3785" s="8">
        <v>1.28</v>
      </c>
      <c r="AB3785" s="8">
        <v>0.13900000000000001</v>
      </c>
      <c r="AC3785" s="8">
        <v>7.0000000000000001E-3</v>
      </c>
    </row>
    <row r="3786" spans="1:29" ht="11.65" x14ac:dyDescent="0.35">
      <c r="A3786" s="12">
        <v>3769</v>
      </c>
      <c r="B3786" s="10" t="s">
        <v>1015</v>
      </c>
      <c r="C3786" s="18" t="s">
        <v>1276</v>
      </c>
      <c r="D3786" s="9"/>
      <c r="E3786" s="9">
        <v>756</v>
      </c>
      <c r="F3786" s="10" t="s">
        <v>1066</v>
      </c>
      <c r="G3786" s="9">
        <v>926</v>
      </c>
      <c r="H3786" s="9">
        <v>1965</v>
      </c>
      <c r="I3786" s="8">
        <v>257.411</v>
      </c>
      <c r="J3786" s="8">
        <v>228.95599999999999</v>
      </c>
      <c r="K3786" s="8">
        <v>225.047</v>
      </c>
      <c r="L3786" s="8">
        <v>248.065</v>
      </c>
      <c r="M3786" s="8">
        <v>240.24</v>
      </c>
      <c r="N3786" s="8">
        <v>213.303</v>
      </c>
      <c r="O3786" s="8">
        <v>200.59299999999999</v>
      </c>
      <c r="P3786" s="8">
        <v>183.679</v>
      </c>
      <c r="Q3786" s="8">
        <v>181.44499999999999</v>
      </c>
      <c r="R3786" s="8">
        <v>150.41</v>
      </c>
      <c r="S3786" s="8">
        <v>166.54300000000001</v>
      </c>
      <c r="T3786" s="8">
        <v>154.95599999999999</v>
      </c>
      <c r="U3786" s="8">
        <v>130.56800000000001</v>
      </c>
      <c r="V3786" s="8">
        <v>99.771000000000001</v>
      </c>
      <c r="W3786" s="8">
        <v>69.820999999999998</v>
      </c>
      <c r="X3786" s="8">
        <v>44.756</v>
      </c>
      <c r="Y3786" s="8">
        <v>24.242999999999999</v>
      </c>
      <c r="Z3786" s="8">
        <v>8.75</v>
      </c>
      <c r="AA3786" s="8">
        <v>1.671</v>
      </c>
      <c r="AB3786" s="8">
        <v>0.17100000000000001</v>
      </c>
      <c r="AC3786" s="8">
        <v>0.01</v>
      </c>
    </row>
    <row r="3787" spans="1:29" ht="11.65" x14ac:dyDescent="0.35">
      <c r="A3787" s="12">
        <v>3770</v>
      </c>
      <c r="B3787" s="10" t="s">
        <v>1015</v>
      </c>
      <c r="C3787" s="18" t="s">
        <v>1276</v>
      </c>
      <c r="D3787" s="9"/>
      <c r="E3787" s="9">
        <v>756</v>
      </c>
      <c r="F3787" s="10" t="s">
        <v>1066</v>
      </c>
      <c r="G3787" s="9">
        <v>926</v>
      </c>
      <c r="H3787" s="9">
        <v>1970</v>
      </c>
      <c r="I3787" s="8">
        <v>258.089</v>
      </c>
      <c r="J3787" s="8">
        <v>253.65100000000001</v>
      </c>
      <c r="K3787" s="8">
        <v>231.995</v>
      </c>
      <c r="L3787" s="8">
        <v>229.773</v>
      </c>
      <c r="M3787" s="8">
        <v>255.77699999999999</v>
      </c>
      <c r="N3787" s="8">
        <v>254.09200000000001</v>
      </c>
      <c r="O3787" s="8">
        <v>221.82300000000001</v>
      </c>
      <c r="P3787" s="8">
        <v>203.75</v>
      </c>
      <c r="Q3787" s="8">
        <v>185.47</v>
      </c>
      <c r="R3787" s="8">
        <v>181.39</v>
      </c>
      <c r="S3787" s="8">
        <v>147.46199999999999</v>
      </c>
      <c r="T3787" s="8">
        <v>158.73400000000001</v>
      </c>
      <c r="U3787" s="8">
        <v>142.13</v>
      </c>
      <c r="V3787" s="8">
        <v>113.736</v>
      </c>
      <c r="W3787" s="8">
        <v>79.89</v>
      </c>
      <c r="X3787" s="8">
        <v>49.234999999999999</v>
      </c>
      <c r="Y3787" s="8">
        <v>25.638000000000002</v>
      </c>
      <c r="Z3787" s="8">
        <v>10.013999999999999</v>
      </c>
      <c r="AA3787" s="8">
        <v>2.2589999999999999</v>
      </c>
      <c r="AB3787" s="8">
        <v>0.23799999999999999</v>
      </c>
      <c r="AC3787" s="8">
        <v>1.4E-2</v>
      </c>
    </row>
    <row r="3788" spans="1:29" ht="11.65" x14ac:dyDescent="0.35">
      <c r="A3788" s="12">
        <v>3771</v>
      </c>
      <c r="B3788" s="10" t="s">
        <v>1015</v>
      </c>
      <c r="C3788" s="18" t="s">
        <v>1276</v>
      </c>
      <c r="D3788" s="9"/>
      <c r="E3788" s="9">
        <v>756</v>
      </c>
      <c r="F3788" s="10" t="s">
        <v>1066</v>
      </c>
      <c r="G3788" s="9">
        <v>926</v>
      </c>
      <c r="H3788" s="9">
        <v>1975</v>
      </c>
      <c r="I3788" s="8">
        <v>223.726</v>
      </c>
      <c r="J3788" s="8">
        <v>256.053</v>
      </c>
      <c r="K3788" s="8">
        <v>254.46600000000001</v>
      </c>
      <c r="L3788" s="8">
        <v>233.49600000000001</v>
      </c>
      <c r="M3788" s="8">
        <v>228.09200000000001</v>
      </c>
      <c r="N3788" s="8">
        <v>261.94099999999997</v>
      </c>
      <c r="O3788" s="8">
        <v>250.38300000000001</v>
      </c>
      <c r="P3788" s="8">
        <v>216.75299999999999</v>
      </c>
      <c r="Q3788" s="8">
        <v>201.089</v>
      </c>
      <c r="R3788" s="8">
        <v>182.988</v>
      </c>
      <c r="S3788" s="8">
        <v>175.94</v>
      </c>
      <c r="T3788" s="8">
        <v>141.25899999999999</v>
      </c>
      <c r="U3788" s="8">
        <v>146.24199999999999</v>
      </c>
      <c r="V3788" s="8">
        <v>124.521</v>
      </c>
      <c r="W3788" s="8">
        <v>92.391000000000005</v>
      </c>
      <c r="X3788" s="8">
        <v>57.496000000000002</v>
      </c>
      <c r="Y3788" s="8">
        <v>29.05</v>
      </c>
      <c r="Z3788" s="8">
        <v>11.198</v>
      </c>
      <c r="AA3788" s="8">
        <v>2.8319999999999999</v>
      </c>
      <c r="AB3788" s="8">
        <v>0.36</v>
      </c>
      <c r="AC3788" s="8">
        <v>2.1999999999999999E-2</v>
      </c>
    </row>
    <row r="3789" spans="1:29" ht="11.65" x14ac:dyDescent="0.35">
      <c r="A3789" s="12">
        <v>3772</v>
      </c>
      <c r="B3789" s="10" t="s">
        <v>1015</v>
      </c>
      <c r="C3789" s="18" t="s">
        <v>1276</v>
      </c>
      <c r="D3789" s="9"/>
      <c r="E3789" s="9">
        <v>756</v>
      </c>
      <c r="F3789" s="10" t="s">
        <v>1066</v>
      </c>
      <c r="G3789" s="9">
        <v>926</v>
      </c>
      <c r="H3789" s="9">
        <v>1980</v>
      </c>
      <c r="I3789" s="8">
        <v>181.52699999999999</v>
      </c>
      <c r="J3789" s="8">
        <v>212.90100000000001</v>
      </c>
      <c r="K3789" s="8">
        <v>249.83099999999999</v>
      </c>
      <c r="L3789" s="8">
        <v>252.99299999999999</v>
      </c>
      <c r="M3789" s="8">
        <v>228.45400000000001</v>
      </c>
      <c r="N3789" s="8">
        <v>227.97800000000001</v>
      </c>
      <c r="O3789" s="8">
        <v>254.80799999999999</v>
      </c>
      <c r="P3789" s="8">
        <v>236.34899999999999</v>
      </c>
      <c r="Q3789" s="8">
        <v>204.07900000000001</v>
      </c>
      <c r="R3789" s="8">
        <v>191.108</v>
      </c>
      <c r="S3789" s="8">
        <v>173.74</v>
      </c>
      <c r="T3789" s="8">
        <v>164.459</v>
      </c>
      <c r="U3789" s="8">
        <v>128.77699999999999</v>
      </c>
      <c r="V3789" s="8">
        <v>127.395</v>
      </c>
      <c r="W3789" s="8">
        <v>102.121</v>
      </c>
      <c r="X3789" s="8">
        <v>67.835999999999999</v>
      </c>
      <c r="Y3789" s="8">
        <v>35.168999999999997</v>
      </c>
      <c r="Z3789" s="8">
        <v>13.342000000000001</v>
      </c>
      <c r="AA3789" s="8">
        <v>3.3679999999999999</v>
      </c>
      <c r="AB3789" s="8">
        <v>0.49199999999999999</v>
      </c>
      <c r="AC3789" s="8">
        <v>3.2000000000000001E-2</v>
      </c>
    </row>
    <row r="3790" spans="1:29" ht="11.65" x14ac:dyDescent="0.35">
      <c r="A3790" s="12">
        <v>3773</v>
      </c>
      <c r="B3790" s="10" t="s">
        <v>1015</v>
      </c>
      <c r="C3790" s="18" t="s">
        <v>1276</v>
      </c>
      <c r="D3790" s="9"/>
      <c r="E3790" s="9">
        <v>756</v>
      </c>
      <c r="F3790" s="10" t="s">
        <v>1066</v>
      </c>
      <c r="G3790" s="9">
        <v>926</v>
      </c>
      <c r="H3790" s="9">
        <v>1985</v>
      </c>
      <c r="I3790" s="8">
        <v>188.304</v>
      </c>
      <c r="J3790" s="8">
        <v>184.65600000000001</v>
      </c>
      <c r="K3790" s="8">
        <v>214.56200000000001</v>
      </c>
      <c r="L3790" s="8">
        <v>253.001</v>
      </c>
      <c r="M3790" s="8">
        <v>256.80200000000002</v>
      </c>
      <c r="N3790" s="8">
        <v>243.35300000000001</v>
      </c>
      <c r="O3790" s="8">
        <v>240.46600000000001</v>
      </c>
      <c r="P3790" s="8">
        <v>257.62700000000001</v>
      </c>
      <c r="Q3790" s="8">
        <v>234.875</v>
      </c>
      <c r="R3790" s="8">
        <v>200.702</v>
      </c>
      <c r="S3790" s="8">
        <v>185.49299999999999</v>
      </c>
      <c r="T3790" s="8">
        <v>164.8</v>
      </c>
      <c r="U3790" s="8">
        <v>150.566</v>
      </c>
      <c r="V3790" s="8">
        <v>113.523</v>
      </c>
      <c r="W3790" s="8">
        <v>106.259</v>
      </c>
      <c r="X3790" s="8">
        <v>76.584000000000003</v>
      </c>
      <c r="Y3790" s="8">
        <v>42.558</v>
      </c>
      <c r="Z3790" s="8">
        <v>16.494</v>
      </c>
      <c r="AA3790" s="8">
        <v>4.1760000000000002</v>
      </c>
      <c r="AB3790" s="8">
        <v>0.62</v>
      </c>
      <c r="AC3790" s="8">
        <v>5.0999999999999997E-2</v>
      </c>
    </row>
    <row r="3791" spans="1:29" ht="11.65" x14ac:dyDescent="0.35">
      <c r="A3791" s="12">
        <v>3774</v>
      </c>
      <c r="B3791" s="10" t="s">
        <v>1015</v>
      </c>
      <c r="C3791" s="18" t="s">
        <v>1276</v>
      </c>
      <c r="D3791" s="9"/>
      <c r="E3791" s="9">
        <v>756</v>
      </c>
      <c r="F3791" s="10" t="s">
        <v>1066</v>
      </c>
      <c r="G3791" s="9">
        <v>926</v>
      </c>
      <c r="H3791" s="9">
        <v>1990</v>
      </c>
      <c r="I3791" s="8">
        <v>195.69399999999999</v>
      </c>
      <c r="J3791" s="8">
        <v>193.851</v>
      </c>
      <c r="K3791" s="8">
        <v>190.18100000000001</v>
      </c>
      <c r="L3791" s="8">
        <v>222.10599999999999</v>
      </c>
      <c r="M3791" s="8">
        <v>258.404</v>
      </c>
      <c r="N3791" s="8">
        <v>273.625</v>
      </c>
      <c r="O3791" s="8">
        <v>263.35399999999998</v>
      </c>
      <c r="P3791" s="8">
        <v>250.78700000000001</v>
      </c>
      <c r="Q3791" s="8">
        <v>259.15199999999999</v>
      </c>
      <c r="R3791" s="8">
        <v>232.501</v>
      </c>
      <c r="S3791" s="8">
        <v>195.09200000000001</v>
      </c>
      <c r="T3791" s="8">
        <v>175.65</v>
      </c>
      <c r="U3791" s="8">
        <v>150.535</v>
      </c>
      <c r="V3791" s="8">
        <v>132.24100000000001</v>
      </c>
      <c r="W3791" s="8">
        <v>95.683000000000007</v>
      </c>
      <c r="X3791" s="8">
        <v>81.393000000000001</v>
      </c>
      <c r="Y3791" s="8">
        <v>49.75</v>
      </c>
      <c r="Z3791" s="8">
        <v>21.273</v>
      </c>
      <c r="AA3791" s="8">
        <v>5.4139999999999997</v>
      </c>
      <c r="AB3791" s="8">
        <v>0.78100000000000003</v>
      </c>
      <c r="AC3791" s="8">
        <v>6.7000000000000004E-2</v>
      </c>
    </row>
    <row r="3792" spans="1:29" ht="11.65" x14ac:dyDescent="0.35">
      <c r="A3792" s="12">
        <v>3775</v>
      </c>
      <c r="B3792" s="10" t="s">
        <v>1015</v>
      </c>
      <c r="C3792" s="18" t="s">
        <v>1276</v>
      </c>
      <c r="D3792" s="9"/>
      <c r="E3792" s="9">
        <v>756</v>
      </c>
      <c r="F3792" s="10" t="s">
        <v>1066</v>
      </c>
      <c r="G3792" s="9">
        <v>926</v>
      </c>
      <c r="H3792" s="9">
        <v>1995</v>
      </c>
      <c r="I3792" s="8">
        <v>217.43899999999999</v>
      </c>
      <c r="J3792" s="8">
        <v>209.82400000000001</v>
      </c>
      <c r="K3792" s="8">
        <v>206.316</v>
      </c>
      <c r="L3792" s="8">
        <v>202.446</v>
      </c>
      <c r="M3792" s="8">
        <v>228.86799999999999</v>
      </c>
      <c r="N3792" s="8">
        <v>280.67899999999997</v>
      </c>
      <c r="O3792" s="8">
        <v>304.709</v>
      </c>
      <c r="P3792" s="8">
        <v>280.255</v>
      </c>
      <c r="Q3792" s="8">
        <v>254.62899999999999</v>
      </c>
      <c r="R3792" s="8">
        <v>255.89400000000001</v>
      </c>
      <c r="S3792" s="8">
        <v>225.053</v>
      </c>
      <c r="T3792" s="8">
        <v>182.98500000000001</v>
      </c>
      <c r="U3792" s="8">
        <v>159.61600000000001</v>
      </c>
      <c r="V3792" s="8">
        <v>132.304</v>
      </c>
      <c r="W3792" s="8">
        <v>112.714</v>
      </c>
      <c r="X3792" s="8">
        <v>74.647999999999996</v>
      </c>
      <c r="Y3792" s="8">
        <v>54.256</v>
      </c>
      <c r="Z3792" s="8">
        <v>25.478000000000002</v>
      </c>
      <c r="AA3792" s="8">
        <v>7.2590000000000003</v>
      </c>
      <c r="AB3792" s="8">
        <v>1.0609999999999999</v>
      </c>
      <c r="AC3792" s="8">
        <v>8.5000000000000006E-2</v>
      </c>
    </row>
    <row r="3793" spans="1:29" ht="11.65" x14ac:dyDescent="0.35">
      <c r="A3793" s="12">
        <v>3776</v>
      </c>
      <c r="B3793" s="10" t="s">
        <v>1015</v>
      </c>
      <c r="C3793" s="18" t="s">
        <v>1276</v>
      </c>
      <c r="D3793" s="9"/>
      <c r="E3793" s="9">
        <v>756</v>
      </c>
      <c r="F3793" s="10" t="s">
        <v>1066</v>
      </c>
      <c r="G3793" s="9">
        <v>926</v>
      </c>
      <c r="H3793" s="9">
        <v>2000</v>
      </c>
      <c r="I3793" s="8">
        <v>205.23099999999999</v>
      </c>
      <c r="J3793" s="8">
        <v>219.79599999999999</v>
      </c>
      <c r="K3793" s="8">
        <v>215.40100000000001</v>
      </c>
      <c r="L3793" s="8">
        <v>213.322</v>
      </c>
      <c r="M3793" s="8">
        <v>206.75299999999999</v>
      </c>
      <c r="N3793" s="8">
        <v>238.07300000000001</v>
      </c>
      <c r="O3793" s="8">
        <v>291.33699999999999</v>
      </c>
      <c r="P3793" s="8">
        <v>306.87700000000001</v>
      </c>
      <c r="Q3793" s="8">
        <v>275.96499999999997</v>
      </c>
      <c r="R3793" s="8">
        <v>248.77500000000001</v>
      </c>
      <c r="S3793" s="8">
        <v>246.85300000000001</v>
      </c>
      <c r="T3793" s="8">
        <v>212.624</v>
      </c>
      <c r="U3793" s="8">
        <v>168.017</v>
      </c>
      <c r="V3793" s="8">
        <v>142.946</v>
      </c>
      <c r="W3793" s="8">
        <v>115.771</v>
      </c>
      <c r="X3793" s="8">
        <v>90.463999999999999</v>
      </c>
      <c r="Y3793" s="8">
        <v>52.53</v>
      </c>
      <c r="Z3793" s="8">
        <v>29.196000000000002</v>
      </c>
      <c r="AA3793" s="8">
        <v>8.9060000000000006</v>
      </c>
      <c r="AB3793" s="8">
        <v>1.3759999999999999</v>
      </c>
      <c r="AC3793" s="8">
        <v>0.105</v>
      </c>
    </row>
    <row r="3794" spans="1:29" ht="11.65" x14ac:dyDescent="0.35">
      <c r="A3794" s="12">
        <v>3777</v>
      </c>
      <c r="B3794" s="10" t="s">
        <v>1015</v>
      </c>
      <c r="C3794" s="18" t="s">
        <v>1276</v>
      </c>
      <c r="D3794" s="9"/>
      <c r="E3794" s="9">
        <v>756</v>
      </c>
      <c r="F3794" s="10" t="s">
        <v>1066</v>
      </c>
      <c r="G3794" s="9">
        <v>926</v>
      </c>
      <c r="H3794" s="9">
        <v>2005</v>
      </c>
      <c r="I3794" s="8">
        <v>187.559</v>
      </c>
      <c r="J3794" s="8">
        <v>206.52099999999999</v>
      </c>
      <c r="K3794" s="8">
        <v>224.10400000000001</v>
      </c>
      <c r="L3794" s="8">
        <v>221.31100000000001</v>
      </c>
      <c r="M3794" s="8">
        <v>221.80099999999999</v>
      </c>
      <c r="N3794" s="8">
        <v>229.69</v>
      </c>
      <c r="O3794" s="8">
        <v>264.76900000000001</v>
      </c>
      <c r="P3794" s="8">
        <v>308.32600000000002</v>
      </c>
      <c r="Q3794" s="8">
        <v>311.38</v>
      </c>
      <c r="R3794" s="8">
        <v>276.02499999999998</v>
      </c>
      <c r="S3794" s="8">
        <v>244.26300000000001</v>
      </c>
      <c r="T3794" s="8">
        <v>237.06200000000001</v>
      </c>
      <c r="U3794" s="8">
        <v>198.55</v>
      </c>
      <c r="V3794" s="8">
        <v>151.94399999999999</v>
      </c>
      <c r="W3794" s="8">
        <v>126.86199999999999</v>
      </c>
      <c r="X3794" s="8">
        <v>96.557000000000002</v>
      </c>
      <c r="Y3794" s="8">
        <v>66.049000000000007</v>
      </c>
      <c r="Z3794" s="8">
        <v>30.105</v>
      </c>
      <c r="AA3794" s="8">
        <v>11.115</v>
      </c>
      <c r="AB3794" s="8">
        <v>1.861</v>
      </c>
      <c r="AC3794" s="8">
        <v>0.14599999999999999</v>
      </c>
    </row>
    <row r="3795" spans="1:29" ht="11.65" x14ac:dyDescent="0.35">
      <c r="A3795" s="12">
        <v>3778</v>
      </c>
      <c r="B3795" s="10" t="s">
        <v>1015</v>
      </c>
      <c r="C3795" s="18" t="s">
        <v>1276</v>
      </c>
      <c r="D3795" s="9"/>
      <c r="E3795" s="9">
        <v>756</v>
      </c>
      <c r="F3795" s="10" t="s">
        <v>1066</v>
      </c>
      <c r="G3795" s="9">
        <v>926</v>
      </c>
      <c r="H3795" s="9">
        <v>2010</v>
      </c>
      <c r="I3795" s="8">
        <v>197.34200000000001</v>
      </c>
      <c r="J3795" s="8">
        <v>194.827</v>
      </c>
      <c r="K3795" s="8">
        <v>213.27699999999999</v>
      </c>
      <c r="L3795" s="8">
        <v>234.36099999999999</v>
      </c>
      <c r="M3795" s="8">
        <v>239.04400000000001</v>
      </c>
      <c r="N3795" s="8">
        <v>256.44400000000002</v>
      </c>
      <c r="O3795" s="8">
        <v>260.96499999999997</v>
      </c>
      <c r="P3795" s="8">
        <v>283.64100000000002</v>
      </c>
      <c r="Q3795" s="8">
        <v>323.78699999999998</v>
      </c>
      <c r="R3795" s="8">
        <v>325.14600000000002</v>
      </c>
      <c r="S3795" s="8">
        <v>281.14100000000002</v>
      </c>
      <c r="T3795" s="8">
        <v>240.03200000000001</v>
      </c>
      <c r="U3795" s="8">
        <v>229.28200000000001</v>
      </c>
      <c r="V3795" s="8">
        <v>188.35499999999999</v>
      </c>
      <c r="W3795" s="8">
        <v>138.63499999999999</v>
      </c>
      <c r="X3795" s="8">
        <v>109.123</v>
      </c>
      <c r="Y3795" s="8">
        <v>74.457999999999998</v>
      </c>
      <c r="Z3795" s="8">
        <v>39.776000000000003</v>
      </c>
      <c r="AA3795" s="8">
        <v>12.489000000000001</v>
      </c>
      <c r="AB3795" s="8">
        <v>2.6429999999999998</v>
      </c>
      <c r="AC3795" s="8">
        <v>0.22800000000000001</v>
      </c>
    </row>
    <row r="3796" spans="1:29" ht="11.65" x14ac:dyDescent="0.35">
      <c r="A3796" s="12">
        <v>3779</v>
      </c>
      <c r="B3796" s="10" t="s">
        <v>1015</v>
      </c>
      <c r="C3796" s="18" t="s">
        <v>1276</v>
      </c>
      <c r="D3796" s="9"/>
      <c r="E3796" s="9">
        <v>756</v>
      </c>
      <c r="F3796" s="10" t="s">
        <v>1066</v>
      </c>
      <c r="G3796" s="9">
        <v>926</v>
      </c>
      <c r="H3796" s="9">
        <v>2015</v>
      </c>
      <c r="I3796" s="8">
        <v>219.09700000000001</v>
      </c>
      <c r="J3796" s="8">
        <v>207.43100000000001</v>
      </c>
      <c r="K3796" s="8">
        <v>203.55199999999999</v>
      </c>
      <c r="L3796" s="8">
        <v>222.49199999999999</v>
      </c>
      <c r="M3796" s="8">
        <v>258.77699999999999</v>
      </c>
      <c r="N3796" s="8">
        <v>284.63</v>
      </c>
      <c r="O3796" s="8">
        <v>300.65699999999998</v>
      </c>
      <c r="P3796" s="8">
        <v>280.19</v>
      </c>
      <c r="Q3796" s="8">
        <v>295.99599999999998</v>
      </c>
      <c r="R3796" s="8">
        <v>341.93299999999999</v>
      </c>
      <c r="S3796" s="8">
        <v>327.81099999999998</v>
      </c>
      <c r="T3796" s="8">
        <v>276.86599999999999</v>
      </c>
      <c r="U3796" s="8">
        <v>225.048</v>
      </c>
      <c r="V3796" s="8">
        <v>216.49100000000001</v>
      </c>
      <c r="W3796" s="8">
        <v>170.81100000000001</v>
      </c>
      <c r="X3796" s="8">
        <v>122.262</v>
      </c>
      <c r="Y3796" s="8">
        <v>85.864999999999995</v>
      </c>
      <c r="Z3796" s="8">
        <v>46.395000000000003</v>
      </c>
      <c r="AA3796" s="8">
        <v>16.695</v>
      </c>
      <c r="AB3796" s="8">
        <v>2.8959999999999999</v>
      </c>
      <c r="AC3796" s="8">
        <v>0.29399999999999998</v>
      </c>
    </row>
    <row r="3797" spans="1:29" ht="11.65" x14ac:dyDescent="0.35">
      <c r="A3797" s="12">
        <v>3780</v>
      </c>
      <c r="B3797" s="10" t="s">
        <v>1015</v>
      </c>
      <c r="C3797" s="18" t="s">
        <v>1276</v>
      </c>
      <c r="D3797" s="9"/>
      <c r="E3797" s="9">
        <v>756</v>
      </c>
      <c r="F3797" s="10" t="s">
        <v>1066</v>
      </c>
      <c r="G3797" s="9">
        <v>926</v>
      </c>
      <c r="H3797" s="9">
        <v>2020</v>
      </c>
      <c r="I3797" s="8">
        <v>231.28</v>
      </c>
      <c r="J3797" s="8">
        <v>222.43600000000001</v>
      </c>
      <c r="K3797" s="8">
        <v>209.99700000000001</v>
      </c>
      <c r="L3797" s="8">
        <v>216.791</v>
      </c>
      <c r="M3797" s="8">
        <v>246.24600000000001</v>
      </c>
      <c r="N3797" s="8">
        <v>281.45999999999998</v>
      </c>
      <c r="O3797" s="8">
        <v>301.57600000000002</v>
      </c>
      <c r="P3797" s="8">
        <v>312.03399999999999</v>
      </c>
      <c r="Q3797" s="8">
        <v>287.24799999999999</v>
      </c>
      <c r="R3797" s="8">
        <v>299.517</v>
      </c>
      <c r="S3797" s="8">
        <v>341.87299999999999</v>
      </c>
      <c r="T3797" s="8">
        <v>324.28199999999998</v>
      </c>
      <c r="U3797" s="8">
        <v>270.39699999999999</v>
      </c>
      <c r="V3797" s="8">
        <v>215.755</v>
      </c>
      <c r="W3797" s="8">
        <v>201.94300000000001</v>
      </c>
      <c r="X3797" s="8">
        <v>151.94300000000001</v>
      </c>
      <c r="Y3797" s="8">
        <v>98.228999999999999</v>
      </c>
      <c r="Z3797" s="8">
        <v>55.737000000000002</v>
      </c>
      <c r="AA3797" s="8">
        <v>20.518000000000001</v>
      </c>
      <c r="AB3797" s="8">
        <v>4.0759999999999996</v>
      </c>
      <c r="AC3797" s="8">
        <v>0.31</v>
      </c>
    </row>
    <row r="3798" spans="1:29" ht="11.65" x14ac:dyDescent="0.35">
      <c r="A3798" s="17">
        <v>3781</v>
      </c>
      <c r="B3798" s="15" t="s">
        <v>1015</v>
      </c>
      <c r="C3798" s="16" t="s">
        <v>1277</v>
      </c>
      <c r="D3798" s="14"/>
      <c r="E3798" s="14">
        <v>918</v>
      </c>
      <c r="F3798" s="15" t="s">
        <v>1232</v>
      </c>
      <c r="G3798" s="14">
        <v>1829</v>
      </c>
      <c r="H3798" s="14">
        <v>1950</v>
      </c>
      <c r="I3798" s="13">
        <v>9652.1020000000008</v>
      </c>
      <c r="J3798" s="13">
        <v>7719.1210000000001</v>
      </c>
      <c r="K3798" s="13">
        <v>6463.8519999999999</v>
      </c>
      <c r="L3798" s="13">
        <v>6214.7330000000002</v>
      </c>
      <c r="M3798" s="13">
        <v>6659.5309999999999</v>
      </c>
      <c r="N3798" s="13">
        <v>6959.549</v>
      </c>
      <c r="O3798" s="13">
        <v>6559.652</v>
      </c>
      <c r="P3798" s="13">
        <v>6240.942</v>
      </c>
      <c r="Q3798" s="13">
        <v>5761.6940000000004</v>
      </c>
      <c r="R3798" s="13">
        <v>5107.6499999999996</v>
      </c>
      <c r="S3798" s="13">
        <v>4625.92</v>
      </c>
      <c r="T3798" s="13">
        <v>4078.51</v>
      </c>
      <c r="U3798" s="13">
        <v>3567.4569999999999</v>
      </c>
      <c r="V3798" s="13">
        <v>2834.9929999999999</v>
      </c>
      <c r="W3798" s="13">
        <v>1829.472</v>
      </c>
      <c r="X3798" s="13">
        <v>1115.0260000000001</v>
      </c>
      <c r="Y3798" s="13">
        <v>531.75199999999995</v>
      </c>
      <c r="Z3798" s="13">
        <v>227.07300000000001</v>
      </c>
      <c r="AA3798" s="13">
        <v>67.361999999999995</v>
      </c>
      <c r="AB3798" s="13">
        <v>12.443</v>
      </c>
      <c r="AC3798" s="13">
        <v>1.27</v>
      </c>
    </row>
    <row r="3799" spans="1:29" ht="11.65" x14ac:dyDescent="0.35">
      <c r="A3799" s="17">
        <v>3782</v>
      </c>
      <c r="B3799" s="15" t="s">
        <v>1015</v>
      </c>
      <c r="C3799" s="16" t="s">
        <v>1277</v>
      </c>
      <c r="D3799" s="14"/>
      <c r="E3799" s="14">
        <v>918</v>
      </c>
      <c r="F3799" s="15" t="s">
        <v>1232</v>
      </c>
      <c r="G3799" s="14">
        <v>1829</v>
      </c>
      <c r="H3799" s="14">
        <v>1955</v>
      </c>
      <c r="I3799" s="13">
        <v>10839.26</v>
      </c>
      <c r="J3799" s="13">
        <v>9679.6479999999992</v>
      </c>
      <c r="K3799" s="13">
        <v>7834.2950000000001</v>
      </c>
      <c r="L3799" s="13">
        <v>6313.58</v>
      </c>
      <c r="M3799" s="13">
        <v>5936.2280000000001</v>
      </c>
      <c r="N3799" s="13">
        <v>6709.3310000000001</v>
      </c>
      <c r="O3799" s="13">
        <v>6991.9080000000004</v>
      </c>
      <c r="P3799" s="13">
        <v>6575.0020000000004</v>
      </c>
      <c r="Q3799" s="13">
        <v>6182.3909999999996</v>
      </c>
      <c r="R3799" s="13">
        <v>5440.7650000000003</v>
      </c>
      <c r="S3799" s="13">
        <v>5218.5330000000004</v>
      </c>
      <c r="T3799" s="13">
        <v>4257.1629999999996</v>
      </c>
      <c r="U3799" s="13">
        <v>3783.5830000000001</v>
      </c>
      <c r="V3799" s="13">
        <v>3068.34</v>
      </c>
      <c r="W3799" s="13">
        <v>2130.7950000000001</v>
      </c>
      <c r="X3799" s="13">
        <v>1303.615</v>
      </c>
      <c r="Y3799" s="13">
        <v>683.70699999999999</v>
      </c>
      <c r="Z3799" s="13">
        <v>238.06200000000001</v>
      </c>
      <c r="AA3799" s="13">
        <v>71.341999999999999</v>
      </c>
      <c r="AB3799" s="13">
        <v>13.722</v>
      </c>
      <c r="AC3799" s="13">
        <v>1.58</v>
      </c>
    </row>
    <row r="3800" spans="1:29" ht="11.65" x14ac:dyDescent="0.35">
      <c r="A3800" s="17">
        <v>3783</v>
      </c>
      <c r="B3800" s="15" t="s">
        <v>1015</v>
      </c>
      <c r="C3800" s="16" t="s">
        <v>1277</v>
      </c>
      <c r="D3800" s="14"/>
      <c r="E3800" s="14">
        <v>918</v>
      </c>
      <c r="F3800" s="15" t="s">
        <v>1232</v>
      </c>
      <c r="G3800" s="14">
        <v>1829</v>
      </c>
      <c r="H3800" s="14">
        <v>1960</v>
      </c>
      <c r="I3800" s="13">
        <v>11721.422</v>
      </c>
      <c r="J3800" s="13">
        <v>10887.032999999999</v>
      </c>
      <c r="K3800" s="13">
        <v>9744.8349999999991</v>
      </c>
      <c r="L3800" s="13">
        <v>7659.1989999999996</v>
      </c>
      <c r="M3800" s="13">
        <v>6331.2719999999999</v>
      </c>
      <c r="N3800" s="13">
        <v>6369.2929999999997</v>
      </c>
      <c r="O3800" s="13">
        <v>6824.21</v>
      </c>
      <c r="P3800" s="13">
        <v>7021.3440000000001</v>
      </c>
      <c r="Q3800" s="13">
        <v>6497.652</v>
      </c>
      <c r="R3800" s="13">
        <v>6069.9440000000004</v>
      </c>
      <c r="S3800" s="13">
        <v>5464.1859999999997</v>
      </c>
      <c r="T3800" s="13">
        <v>4870.2939999999999</v>
      </c>
      <c r="U3800" s="13">
        <v>3860.4090000000001</v>
      </c>
      <c r="V3800" s="13">
        <v>3212.3249999999998</v>
      </c>
      <c r="W3800" s="13">
        <v>2345.027</v>
      </c>
      <c r="X3800" s="13">
        <v>1539.5889999999999</v>
      </c>
      <c r="Y3800" s="13">
        <v>759.79100000000005</v>
      </c>
      <c r="Z3800" s="13">
        <v>306.61500000000001</v>
      </c>
      <c r="AA3800" s="13">
        <v>74.331000000000003</v>
      </c>
      <c r="AB3800" s="13">
        <v>14.268000000000001</v>
      </c>
      <c r="AC3800" s="13">
        <v>1.6970000000000001</v>
      </c>
    </row>
    <row r="3801" spans="1:29" ht="11.65" x14ac:dyDescent="0.35">
      <c r="A3801" s="17">
        <v>3784</v>
      </c>
      <c r="B3801" s="15" t="s">
        <v>1015</v>
      </c>
      <c r="C3801" s="16" t="s">
        <v>1277</v>
      </c>
      <c r="D3801" s="14"/>
      <c r="E3801" s="14">
        <v>918</v>
      </c>
      <c r="F3801" s="15" t="s">
        <v>1232</v>
      </c>
      <c r="G3801" s="14">
        <v>1829</v>
      </c>
      <c r="H3801" s="14">
        <v>1965</v>
      </c>
      <c r="I3801" s="13">
        <v>11243.668</v>
      </c>
      <c r="J3801" s="13">
        <v>11810.204</v>
      </c>
      <c r="K3801" s="13">
        <v>10983.671</v>
      </c>
      <c r="L3801" s="13">
        <v>9700.2250000000004</v>
      </c>
      <c r="M3801" s="13">
        <v>7620.0990000000002</v>
      </c>
      <c r="N3801" s="13">
        <v>6564.16</v>
      </c>
      <c r="O3801" s="13">
        <v>6503.549</v>
      </c>
      <c r="P3801" s="13">
        <v>6821.6980000000003</v>
      </c>
      <c r="Q3801" s="13">
        <v>6945.9920000000002</v>
      </c>
      <c r="R3801" s="13">
        <v>6342.5810000000001</v>
      </c>
      <c r="S3801" s="13">
        <v>5824.4790000000003</v>
      </c>
      <c r="T3801" s="13">
        <v>5176.7939999999999</v>
      </c>
      <c r="U3801" s="13">
        <v>4296.6440000000002</v>
      </c>
      <c r="V3801" s="13">
        <v>3289.7359999999999</v>
      </c>
      <c r="W3801" s="13">
        <v>2525.65</v>
      </c>
      <c r="X3801" s="13">
        <v>1697.575</v>
      </c>
      <c r="Y3801" s="13">
        <v>877.06200000000001</v>
      </c>
      <c r="Z3801" s="13">
        <v>339.82600000000002</v>
      </c>
      <c r="AA3801" s="13">
        <v>94.966999999999999</v>
      </c>
      <c r="AB3801" s="13">
        <v>14.645</v>
      </c>
      <c r="AC3801" s="13">
        <v>1.7190000000000001</v>
      </c>
    </row>
    <row r="3802" spans="1:29" ht="11.65" x14ac:dyDescent="0.35">
      <c r="A3802" s="17">
        <v>3785</v>
      </c>
      <c r="B3802" s="15" t="s">
        <v>1015</v>
      </c>
      <c r="C3802" s="16" t="s">
        <v>1277</v>
      </c>
      <c r="D3802" s="14"/>
      <c r="E3802" s="14">
        <v>918</v>
      </c>
      <c r="F3802" s="15" t="s">
        <v>1232</v>
      </c>
      <c r="G3802" s="14">
        <v>1829</v>
      </c>
      <c r="H3802" s="14">
        <v>1970</v>
      </c>
      <c r="I3802" s="13">
        <v>9968.5059999999994</v>
      </c>
      <c r="J3802" s="13">
        <v>11549.82</v>
      </c>
      <c r="K3802" s="13">
        <v>11920.075999999999</v>
      </c>
      <c r="L3802" s="13">
        <v>10955.304</v>
      </c>
      <c r="M3802" s="13">
        <v>9175.1919999999991</v>
      </c>
      <c r="N3802" s="13">
        <v>7868.5360000000001</v>
      </c>
      <c r="O3802" s="13">
        <v>6746.9059999999999</v>
      </c>
      <c r="P3802" s="13">
        <v>6461.1689999999999</v>
      </c>
      <c r="Q3802" s="13">
        <v>6793.1310000000003</v>
      </c>
      <c r="R3802" s="13">
        <v>6828.4979999999996</v>
      </c>
      <c r="S3802" s="13">
        <v>6111.1210000000001</v>
      </c>
      <c r="T3802" s="13">
        <v>5439.93</v>
      </c>
      <c r="U3802" s="13">
        <v>4574.6639999999998</v>
      </c>
      <c r="V3802" s="13">
        <v>3697.0590000000002</v>
      </c>
      <c r="W3802" s="13">
        <v>2554.33</v>
      </c>
      <c r="X3802" s="13">
        <v>1780.7349999999999</v>
      </c>
      <c r="Y3802" s="13">
        <v>999.81799999999998</v>
      </c>
      <c r="Z3802" s="13">
        <v>399.3</v>
      </c>
      <c r="AA3802" s="13">
        <v>107.922</v>
      </c>
      <c r="AB3802" s="13">
        <v>19.128</v>
      </c>
      <c r="AC3802" s="13">
        <v>1.853</v>
      </c>
    </row>
    <row r="3803" spans="1:29" ht="11.65" x14ac:dyDescent="0.35">
      <c r="A3803" s="17">
        <v>3786</v>
      </c>
      <c r="B3803" s="15" t="s">
        <v>1015</v>
      </c>
      <c r="C3803" s="16" t="s">
        <v>1277</v>
      </c>
      <c r="D3803" s="14"/>
      <c r="E3803" s="14">
        <v>918</v>
      </c>
      <c r="F3803" s="15" t="s">
        <v>1232</v>
      </c>
      <c r="G3803" s="14">
        <v>1829</v>
      </c>
      <c r="H3803" s="14">
        <v>1975</v>
      </c>
      <c r="I3803" s="13">
        <v>9365.3189999999995</v>
      </c>
      <c r="J3803" s="13">
        <v>10059.819</v>
      </c>
      <c r="K3803" s="13">
        <v>11671.723</v>
      </c>
      <c r="L3803" s="13">
        <v>11976.35</v>
      </c>
      <c r="M3803" s="13">
        <v>11038.012000000001</v>
      </c>
      <c r="N3803" s="13">
        <v>9759.5580000000009</v>
      </c>
      <c r="O3803" s="13">
        <v>8058.6210000000001</v>
      </c>
      <c r="P3803" s="13">
        <v>6711.0739999999996</v>
      </c>
      <c r="Q3803" s="13">
        <v>6476.5469999999996</v>
      </c>
      <c r="R3803" s="13">
        <v>6648.8710000000001</v>
      </c>
      <c r="S3803" s="13">
        <v>6549.2629999999999</v>
      </c>
      <c r="T3803" s="13">
        <v>5708.0950000000003</v>
      </c>
      <c r="U3803" s="13">
        <v>4904.4340000000002</v>
      </c>
      <c r="V3803" s="13">
        <v>3965.93</v>
      </c>
      <c r="W3803" s="13">
        <v>2872.7579999999998</v>
      </c>
      <c r="X3803" s="13">
        <v>1832.7840000000001</v>
      </c>
      <c r="Y3803" s="13">
        <v>1103.9159999999999</v>
      </c>
      <c r="Z3803" s="13">
        <v>471.30200000000002</v>
      </c>
      <c r="AA3803" s="13">
        <v>134.417</v>
      </c>
      <c r="AB3803" s="13">
        <v>23.425999999999998</v>
      </c>
      <c r="AC3803" s="13">
        <v>2.5910000000000002</v>
      </c>
    </row>
    <row r="3804" spans="1:29" ht="11.65" x14ac:dyDescent="0.35">
      <c r="A3804" s="17">
        <v>3787</v>
      </c>
      <c r="B3804" s="15" t="s">
        <v>1015</v>
      </c>
      <c r="C3804" s="16" t="s">
        <v>1277</v>
      </c>
      <c r="D3804" s="14"/>
      <c r="E3804" s="14">
        <v>918</v>
      </c>
      <c r="F3804" s="15" t="s">
        <v>1232</v>
      </c>
      <c r="G3804" s="14">
        <v>1829</v>
      </c>
      <c r="H3804" s="14">
        <v>1980</v>
      </c>
      <c r="I3804" s="13">
        <v>9467.1560000000009</v>
      </c>
      <c r="J3804" s="13">
        <v>9621.16</v>
      </c>
      <c r="K3804" s="13">
        <v>10707.343999999999</v>
      </c>
      <c r="L3804" s="13">
        <v>12216.584000000001</v>
      </c>
      <c r="M3804" s="13">
        <v>12153.243</v>
      </c>
      <c r="N3804" s="13">
        <v>11103.189</v>
      </c>
      <c r="O3804" s="13">
        <v>9818.5349999999999</v>
      </c>
      <c r="P3804" s="13">
        <v>7601.5829999999996</v>
      </c>
      <c r="Q3804" s="13">
        <v>6606.3689999999997</v>
      </c>
      <c r="R3804" s="13">
        <v>6063.6</v>
      </c>
      <c r="S3804" s="13">
        <v>6249.5929999999998</v>
      </c>
      <c r="T3804" s="13">
        <v>6084.4889999999996</v>
      </c>
      <c r="U3804" s="13">
        <v>5240.22</v>
      </c>
      <c r="V3804" s="13">
        <v>4478.9660000000003</v>
      </c>
      <c r="W3804" s="13">
        <v>3207.0540000000001</v>
      </c>
      <c r="X3804" s="13">
        <v>2327.5610000000001</v>
      </c>
      <c r="Y3804" s="13">
        <v>1036.8910000000001</v>
      </c>
      <c r="Z3804" s="13">
        <v>549.49400000000003</v>
      </c>
      <c r="AA3804" s="13">
        <v>170.49700000000001</v>
      </c>
      <c r="AB3804" s="13">
        <v>32.018999999999998</v>
      </c>
      <c r="AC3804" s="13">
        <v>3.5550000000000002</v>
      </c>
    </row>
    <row r="3805" spans="1:29" ht="11.65" x14ac:dyDescent="0.35">
      <c r="A3805" s="17">
        <v>3788</v>
      </c>
      <c r="B3805" s="15" t="s">
        <v>1015</v>
      </c>
      <c r="C3805" s="16" t="s">
        <v>1277</v>
      </c>
      <c r="D3805" s="14"/>
      <c r="E3805" s="14">
        <v>918</v>
      </c>
      <c r="F3805" s="15" t="s">
        <v>1232</v>
      </c>
      <c r="G3805" s="14">
        <v>1829</v>
      </c>
      <c r="H3805" s="14">
        <v>1985</v>
      </c>
      <c r="I3805" s="13">
        <v>10043.175999999999</v>
      </c>
      <c r="J3805" s="13">
        <v>9615.1650000000009</v>
      </c>
      <c r="K3805" s="13">
        <v>9896.8230000000003</v>
      </c>
      <c r="L3805" s="13">
        <v>10984.619000000001</v>
      </c>
      <c r="M3805" s="13">
        <v>12286</v>
      </c>
      <c r="N3805" s="13">
        <v>12334.812</v>
      </c>
      <c r="O3805" s="13">
        <v>11296.434999999999</v>
      </c>
      <c r="P3805" s="13">
        <v>9744.9429999999993</v>
      </c>
      <c r="Q3805" s="13">
        <v>7622.7650000000003</v>
      </c>
      <c r="R3805" s="13">
        <v>6531.2079999999996</v>
      </c>
      <c r="S3805" s="13">
        <v>5927.3879999999999</v>
      </c>
      <c r="T3805" s="13">
        <v>5958.6750000000002</v>
      </c>
      <c r="U3805" s="13">
        <v>5633.3190000000004</v>
      </c>
      <c r="V3805" s="13">
        <v>4692.5889999999999</v>
      </c>
      <c r="W3805" s="13">
        <v>3630.9630000000002</v>
      </c>
      <c r="X3805" s="13">
        <v>2394.4090000000001</v>
      </c>
      <c r="Y3805" s="13">
        <v>1449.67</v>
      </c>
      <c r="Z3805" s="13">
        <v>525.35699999999997</v>
      </c>
      <c r="AA3805" s="13">
        <v>203.51900000000001</v>
      </c>
      <c r="AB3805" s="13">
        <v>41.360999999999997</v>
      </c>
      <c r="AC3805" s="13">
        <v>4.9249999999999998</v>
      </c>
    </row>
    <row r="3806" spans="1:29" ht="11.65" x14ac:dyDescent="0.35">
      <c r="A3806" s="17">
        <v>3789</v>
      </c>
      <c r="B3806" s="15" t="s">
        <v>1015</v>
      </c>
      <c r="C3806" s="16" t="s">
        <v>1277</v>
      </c>
      <c r="D3806" s="14"/>
      <c r="E3806" s="14">
        <v>918</v>
      </c>
      <c r="F3806" s="15" t="s">
        <v>1232</v>
      </c>
      <c r="G3806" s="14">
        <v>1829</v>
      </c>
      <c r="H3806" s="14">
        <v>1990</v>
      </c>
      <c r="I3806" s="13">
        <v>10830.653</v>
      </c>
      <c r="J3806" s="13">
        <v>10197.708000000001</v>
      </c>
      <c r="K3806" s="13">
        <v>9865.5879999999997</v>
      </c>
      <c r="L3806" s="13">
        <v>10215.32</v>
      </c>
      <c r="M3806" s="13">
        <v>11117.728999999999</v>
      </c>
      <c r="N3806" s="13">
        <v>12247.282999999999</v>
      </c>
      <c r="O3806" s="13">
        <v>12414.237999999999</v>
      </c>
      <c r="P3806" s="13">
        <v>11259.591</v>
      </c>
      <c r="Q3806" s="13">
        <v>9803.4269999999997</v>
      </c>
      <c r="R3806" s="13">
        <v>7500.0159999999996</v>
      </c>
      <c r="S3806" s="13">
        <v>6382.2749999999996</v>
      </c>
      <c r="T3806" s="13">
        <v>5663.8710000000001</v>
      </c>
      <c r="U3806" s="13">
        <v>5552.9690000000001</v>
      </c>
      <c r="V3806" s="13">
        <v>5038.3379999999997</v>
      </c>
      <c r="W3806" s="13">
        <v>3889.1149999999998</v>
      </c>
      <c r="X3806" s="13">
        <v>2771.9290000000001</v>
      </c>
      <c r="Y3806" s="13">
        <v>1526.451</v>
      </c>
      <c r="Z3806" s="13">
        <v>744.21799999999996</v>
      </c>
      <c r="AA3806" s="13">
        <v>193.995</v>
      </c>
      <c r="AB3806" s="13">
        <v>48.286999999999999</v>
      </c>
      <c r="AC3806" s="13">
        <v>6.0570000000000004</v>
      </c>
    </row>
    <row r="3807" spans="1:29" ht="11.65" x14ac:dyDescent="0.35">
      <c r="A3807" s="17">
        <v>3790</v>
      </c>
      <c r="B3807" s="15" t="s">
        <v>1015</v>
      </c>
      <c r="C3807" s="16" t="s">
        <v>1277</v>
      </c>
      <c r="D3807" s="14"/>
      <c r="E3807" s="14">
        <v>918</v>
      </c>
      <c r="F3807" s="15" t="s">
        <v>1232</v>
      </c>
      <c r="G3807" s="14">
        <v>1829</v>
      </c>
      <c r="H3807" s="14">
        <v>1995</v>
      </c>
      <c r="I3807" s="13">
        <v>11225.474</v>
      </c>
      <c r="J3807" s="13">
        <v>11022.284</v>
      </c>
      <c r="K3807" s="13">
        <v>10675.175999999999</v>
      </c>
      <c r="L3807" s="13">
        <v>10383.328</v>
      </c>
      <c r="M3807" s="13">
        <v>10322.299999999999</v>
      </c>
      <c r="N3807" s="13">
        <v>11191.914000000001</v>
      </c>
      <c r="O3807" s="13">
        <v>12643.957</v>
      </c>
      <c r="P3807" s="13">
        <v>12520.188</v>
      </c>
      <c r="Q3807" s="13">
        <v>11210.203</v>
      </c>
      <c r="R3807" s="13">
        <v>9546.259</v>
      </c>
      <c r="S3807" s="13">
        <v>7354.4390000000003</v>
      </c>
      <c r="T3807" s="13">
        <v>6125.2470000000003</v>
      </c>
      <c r="U3807" s="13">
        <v>5340.473</v>
      </c>
      <c r="V3807" s="13">
        <v>5025.3490000000002</v>
      </c>
      <c r="W3807" s="13">
        <v>4253.91</v>
      </c>
      <c r="X3807" s="13">
        <v>3026.192</v>
      </c>
      <c r="Y3807" s="13">
        <v>1772.527</v>
      </c>
      <c r="Z3807" s="13">
        <v>805.71199999999999</v>
      </c>
      <c r="AA3807" s="13">
        <v>282.26</v>
      </c>
      <c r="AB3807" s="13">
        <v>46.384999999999998</v>
      </c>
      <c r="AC3807" s="13">
        <v>6.9829999999999997</v>
      </c>
    </row>
    <row r="3808" spans="1:29" ht="11.65" x14ac:dyDescent="0.35">
      <c r="A3808" s="17">
        <v>3791</v>
      </c>
      <c r="B3808" s="15" t="s">
        <v>1015</v>
      </c>
      <c r="C3808" s="16" t="s">
        <v>1277</v>
      </c>
      <c r="D3808" s="14"/>
      <c r="E3808" s="14">
        <v>918</v>
      </c>
      <c r="F3808" s="15" t="s">
        <v>1232</v>
      </c>
      <c r="G3808" s="14">
        <v>1829</v>
      </c>
      <c r="H3808" s="14">
        <v>2000</v>
      </c>
      <c r="I3808" s="13">
        <v>10919.637000000001</v>
      </c>
      <c r="J3808" s="13">
        <v>11715.308999999999</v>
      </c>
      <c r="K3808" s="13">
        <v>11661.985000000001</v>
      </c>
      <c r="L3808" s="13">
        <v>11301.653</v>
      </c>
      <c r="M3808" s="13">
        <v>10765.313</v>
      </c>
      <c r="N3808" s="13">
        <v>10813.575000000001</v>
      </c>
      <c r="O3808" s="13">
        <v>11661.365</v>
      </c>
      <c r="P3808" s="13">
        <v>12799.232</v>
      </c>
      <c r="Q3808" s="13">
        <v>12514.450999999999</v>
      </c>
      <c r="R3808" s="13">
        <v>11187.311</v>
      </c>
      <c r="S3808" s="13">
        <v>9565.99</v>
      </c>
      <c r="T3808" s="13">
        <v>7149.8140000000003</v>
      </c>
      <c r="U3808" s="13">
        <v>5880.1570000000002</v>
      </c>
      <c r="V3808" s="13">
        <v>4930.7219999999998</v>
      </c>
      <c r="W3808" s="13">
        <v>4338.0219999999999</v>
      </c>
      <c r="X3808" s="13">
        <v>3388.8009999999999</v>
      </c>
      <c r="Y3808" s="13">
        <v>2069.509</v>
      </c>
      <c r="Z3808" s="13">
        <v>945.50699999999995</v>
      </c>
      <c r="AA3808" s="13">
        <v>300.36399999999998</v>
      </c>
      <c r="AB3808" s="13">
        <v>63.71</v>
      </c>
      <c r="AC3808" s="13">
        <v>6.1440000000000001</v>
      </c>
    </row>
    <row r="3809" spans="1:29" ht="11.65" x14ac:dyDescent="0.35">
      <c r="A3809" s="17">
        <v>3792</v>
      </c>
      <c r="B3809" s="15" t="s">
        <v>1015</v>
      </c>
      <c r="C3809" s="16" t="s">
        <v>1277</v>
      </c>
      <c r="D3809" s="14"/>
      <c r="E3809" s="14">
        <v>918</v>
      </c>
      <c r="F3809" s="15" t="s">
        <v>1232</v>
      </c>
      <c r="G3809" s="14">
        <v>1829</v>
      </c>
      <c r="H3809" s="14">
        <v>2005</v>
      </c>
      <c r="I3809" s="13">
        <v>11245.439</v>
      </c>
      <c r="J3809" s="13">
        <v>11061.941000000001</v>
      </c>
      <c r="K3809" s="13">
        <v>12141.428</v>
      </c>
      <c r="L3809" s="13">
        <v>12217.550999999999</v>
      </c>
      <c r="M3809" s="13">
        <v>11678.368</v>
      </c>
      <c r="N3809" s="13">
        <v>10842.394</v>
      </c>
      <c r="O3809" s="13">
        <v>10993.870999999999</v>
      </c>
      <c r="P3809" s="13">
        <v>11755.267</v>
      </c>
      <c r="Q3809" s="13">
        <v>12755.767</v>
      </c>
      <c r="R3809" s="13">
        <v>12393.831</v>
      </c>
      <c r="S3809" s="13">
        <v>11022.937</v>
      </c>
      <c r="T3809" s="13">
        <v>9319.67</v>
      </c>
      <c r="U3809" s="13">
        <v>6855.6909999999998</v>
      </c>
      <c r="V3809" s="13">
        <v>5482.5739999999996</v>
      </c>
      <c r="W3809" s="13">
        <v>4353.1099999999997</v>
      </c>
      <c r="X3809" s="13">
        <v>3523.2559999999999</v>
      </c>
      <c r="Y3809" s="13">
        <v>2347.0390000000002</v>
      </c>
      <c r="Z3809" s="13">
        <v>1153.471</v>
      </c>
      <c r="AA3809" s="13">
        <v>361.255</v>
      </c>
      <c r="AB3809" s="13">
        <v>66.682000000000002</v>
      </c>
      <c r="AC3809" s="13">
        <v>7.4939999999999998</v>
      </c>
    </row>
    <row r="3810" spans="1:29" ht="11.65" x14ac:dyDescent="0.35">
      <c r="A3810" s="17">
        <v>3793</v>
      </c>
      <c r="B3810" s="15" t="s">
        <v>1015</v>
      </c>
      <c r="C3810" s="16" t="s">
        <v>1277</v>
      </c>
      <c r="D3810" s="14"/>
      <c r="E3810" s="14">
        <v>918</v>
      </c>
      <c r="F3810" s="15" t="s">
        <v>1232</v>
      </c>
      <c r="G3810" s="14">
        <v>1829</v>
      </c>
      <c r="H3810" s="14">
        <v>2010</v>
      </c>
      <c r="I3810" s="13">
        <v>11653.472</v>
      </c>
      <c r="J3810" s="13">
        <v>11495.125</v>
      </c>
      <c r="K3810" s="13">
        <v>11689.566999999999</v>
      </c>
      <c r="L3810" s="13">
        <v>12543.434999999999</v>
      </c>
      <c r="M3810" s="13">
        <v>12331.415999999999</v>
      </c>
      <c r="N3810" s="13">
        <v>11704.147000000001</v>
      </c>
      <c r="O3810" s="13">
        <v>11093.951999999999</v>
      </c>
      <c r="P3810" s="13">
        <v>11131.716</v>
      </c>
      <c r="Q3810" s="13">
        <v>11785.659</v>
      </c>
      <c r="R3810" s="13">
        <v>12685.201999999999</v>
      </c>
      <c r="S3810" s="13">
        <v>12271.368</v>
      </c>
      <c r="T3810" s="13">
        <v>10751.425999999999</v>
      </c>
      <c r="U3810" s="13">
        <v>8950.6640000000007</v>
      </c>
      <c r="V3810" s="13">
        <v>6433.3209999999999</v>
      </c>
      <c r="W3810" s="13">
        <v>4882.8959999999997</v>
      </c>
      <c r="X3810" s="13">
        <v>3599.9119999999998</v>
      </c>
      <c r="Y3810" s="13">
        <v>2628.1849999999999</v>
      </c>
      <c r="Z3810" s="13">
        <v>1408.135</v>
      </c>
      <c r="AA3810" s="13">
        <v>481.52600000000001</v>
      </c>
      <c r="AB3810" s="13">
        <v>87.665000000000006</v>
      </c>
      <c r="AC3810" s="13">
        <v>8.5960000000000001</v>
      </c>
    </row>
    <row r="3811" spans="1:29" ht="11.65" x14ac:dyDescent="0.35">
      <c r="A3811" s="17">
        <v>3794</v>
      </c>
      <c r="B3811" s="15" t="s">
        <v>1015</v>
      </c>
      <c r="C3811" s="16" t="s">
        <v>1277</v>
      </c>
      <c r="D3811" s="14"/>
      <c r="E3811" s="14">
        <v>918</v>
      </c>
      <c r="F3811" s="15" t="s">
        <v>1232</v>
      </c>
      <c r="G3811" s="14">
        <v>1829</v>
      </c>
      <c r="H3811" s="14">
        <v>2015</v>
      </c>
      <c r="I3811" s="13">
        <v>11192.397999999999</v>
      </c>
      <c r="J3811" s="13">
        <v>11742.749</v>
      </c>
      <c r="K3811" s="13">
        <v>11563.873</v>
      </c>
      <c r="L3811" s="13">
        <v>12034.550999999999</v>
      </c>
      <c r="M3811" s="13">
        <v>13097.106</v>
      </c>
      <c r="N3811" s="13">
        <v>12722.976000000001</v>
      </c>
      <c r="O3811" s="13">
        <v>12018.725</v>
      </c>
      <c r="P3811" s="13">
        <v>11286.659</v>
      </c>
      <c r="Q3811" s="13">
        <v>11205.957</v>
      </c>
      <c r="R3811" s="13">
        <v>11725.79</v>
      </c>
      <c r="S3811" s="13">
        <v>12475.467000000001</v>
      </c>
      <c r="T3811" s="13">
        <v>11917.928</v>
      </c>
      <c r="U3811" s="13">
        <v>10240.237999999999</v>
      </c>
      <c r="V3811" s="13">
        <v>8361.0769999999993</v>
      </c>
      <c r="W3811" s="13">
        <v>5773.0860000000002</v>
      </c>
      <c r="X3811" s="13">
        <v>4123.6620000000003</v>
      </c>
      <c r="Y3811" s="13">
        <v>2729.4780000000001</v>
      </c>
      <c r="Z3811" s="13">
        <v>1650.2270000000001</v>
      </c>
      <c r="AA3811" s="13">
        <v>635.22</v>
      </c>
      <c r="AB3811" s="13">
        <v>129.62100000000001</v>
      </c>
      <c r="AC3811" s="13">
        <v>12.702</v>
      </c>
    </row>
    <row r="3812" spans="1:29" ht="11.65" x14ac:dyDescent="0.35">
      <c r="A3812" s="17">
        <v>3795</v>
      </c>
      <c r="B3812" s="15" t="s">
        <v>1015</v>
      </c>
      <c r="C3812" s="16" t="s">
        <v>1277</v>
      </c>
      <c r="D3812" s="14"/>
      <c r="E3812" s="14">
        <v>918</v>
      </c>
      <c r="F3812" s="15" t="s">
        <v>1232</v>
      </c>
      <c r="G3812" s="14">
        <v>1829</v>
      </c>
      <c r="H3812" s="14">
        <v>2020</v>
      </c>
      <c r="I3812" s="13">
        <v>11079.31</v>
      </c>
      <c r="J3812" s="13">
        <v>11261.703</v>
      </c>
      <c r="K3812" s="13">
        <v>11795.671</v>
      </c>
      <c r="L3812" s="13">
        <v>11855.544</v>
      </c>
      <c r="M3812" s="13">
        <v>12534.918</v>
      </c>
      <c r="N3812" s="13">
        <v>13538.215</v>
      </c>
      <c r="O3812" s="13">
        <v>13022.441000000001</v>
      </c>
      <c r="P3812" s="13">
        <v>12184.44</v>
      </c>
      <c r="Q3812" s="13">
        <v>11346.259</v>
      </c>
      <c r="R3812" s="13">
        <v>11162.566999999999</v>
      </c>
      <c r="S3812" s="13">
        <v>11540.511</v>
      </c>
      <c r="T3812" s="13">
        <v>12088.347</v>
      </c>
      <c r="U3812" s="13">
        <v>11329.877</v>
      </c>
      <c r="V3812" s="13">
        <v>9516.1820000000007</v>
      </c>
      <c r="W3812" s="13">
        <v>7515.6040000000003</v>
      </c>
      <c r="X3812" s="13">
        <v>4896.991</v>
      </c>
      <c r="Y3812" s="13">
        <v>3162.4279999999999</v>
      </c>
      <c r="Z3812" s="13">
        <v>1744.375</v>
      </c>
      <c r="AA3812" s="13">
        <v>786.84900000000005</v>
      </c>
      <c r="AB3812" s="13">
        <v>196.023</v>
      </c>
      <c r="AC3812" s="13">
        <v>22.266999999999999</v>
      </c>
    </row>
    <row r="3813" spans="1:29" ht="11.65" x14ac:dyDescent="0.35">
      <c r="A3813" s="12">
        <v>3796</v>
      </c>
      <c r="B3813" s="10" t="s">
        <v>1015</v>
      </c>
      <c r="C3813" s="11" t="s">
        <v>1278</v>
      </c>
      <c r="D3813" s="9"/>
      <c r="E3813" s="9">
        <v>124</v>
      </c>
      <c r="F3813" s="10" t="s">
        <v>1066</v>
      </c>
      <c r="G3813" s="9">
        <v>918</v>
      </c>
      <c r="H3813" s="9">
        <v>1950</v>
      </c>
      <c r="I3813" s="8">
        <v>835</v>
      </c>
      <c r="J3813" s="8">
        <v>671</v>
      </c>
      <c r="K3813" s="8">
        <v>570.99900000000002</v>
      </c>
      <c r="L3813" s="8">
        <v>544</v>
      </c>
      <c r="M3813" s="8">
        <v>552</v>
      </c>
      <c r="N3813" s="8">
        <v>550</v>
      </c>
      <c r="O3813" s="8">
        <v>513</v>
      </c>
      <c r="P3813" s="8">
        <v>487.99799999999999</v>
      </c>
      <c r="Q3813" s="8">
        <v>432.00200000000001</v>
      </c>
      <c r="R3813" s="8">
        <v>378.00099999999998</v>
      </c>
      <c r="S3813" s="8">
        <v>338.00099999999998</v>
      </c>
      <c r="T3813" s="8">
        <v>295.99900000000002</v>
      </c>
      <c r="U3813" s="8">
        <v>263.00099999999998</v>
      </c>
      <c r="V3813" s="8">
        <v>220.999</v>
      </c>
      <c r="W3813" s="8">
        <v>156</v>
      </c>
      <c r="X3813" s="8">
        <v>92.001000000000005</v>
      </c>
      <c r="Y3813" s="8">
        <v>42.204000000000001</v>
      </c>
      <c r="Z3813" s="8">
        <v>18.001000000000001</v>
      </c>
      <c r="AA3813" s="8">
        <v>4.3310000000000004</v>
      </c>
      <c r="AB3813" s="8">
        <v>0.63900000000000001</v>
      </c>
      <c r="AC3813" s="8">
        <v>7.0000000000000007E-2</v>
      </c>
    </row>
    <row r="3814" spans="1:29" ht="11.65" x14ac:dyDescent="0.35">
      <c r="A3814" s="12">
        <v>3797</v>
      </c>
      <c r="B3814" s="10" t="s">
        <v>1015</v>
      </c>
      <c r="C3814" s="11" t="s">
        <v>1278</v>
      </c>
      <c r="D3814" s="9"/>
      <c r="E3814" s="9">
        <v>124</v>
      </c>
      <c r="F3814" s="10" t="s">
        <v>1066</v>
      </c>
      <c r="G3814" s="9">
        <v>918</v>
      </c>
      <c r="H3814" s="9">
        <v>1955</v>
      </c>
      <c r="I3814" s="8">
        <v>989.59199999999998</v>
      </c>
      <c r="J3814" s="8">
        <v>880.029</v>
      </c>
      <c r="K3814" s="8">
        <v>697.43499999999995</v>
      </c>
      <c r="L3814" s="8">
        <v>575.57500000000005</v>
      </c>
      <c r="M3814" s="8">
        <v>561.14599999999996</v>
      </c>
      <c r="N3814" s="8">
        <v>595.08699999999999</v>
      </c>
      <c r="O3814" s="8">
        <v>582.08000000000004</v>
      </c>
      <c r="P3814" s="8">
        <v>544.56700000000001</v>
      </c>
      <c r="Q3814" s="8">
        <v>507.24700000000001</v>
      </c>
      <c r="R3814" s="8">
        <v>440.90899999999999</v>
      </c>
      <c r="S3814" s="8">
        <v>373.935</v>
      </c>
      <c r="T3814" s="8">
        <v>316.61700000000002</v>
      </c>
      <c r="U3814" s="8">
        <v>265.548</v>
      </c>
      <c r="V3814" s="8">
        <v>235.035</v>
      </c>
      <c r="W3814" s="8">
        <v>182.95099999999999</v>
      </c>
      <c r="X3814" s="8">
        <v>110.75</v>
      </c>
      <c r="Y3814" s="8">
        <v>57.555</v>
      </c>
      <c r="Z3814" s="8">
        <v>18.736999999999998</v>
      </c>
      <c r="AA3814" s="8">
        <v>5.4589999999999996</v>
      </c>
      <c r="AB3814" s="8">
        <v>0.80700000000000005</v>
      </c>
      <c r="AC3814" s="8">
        <v>6.5000000000000002E-2</v>
      </c>
    </row>
    <row r="3815" spans="1:29" ht="11.65" x14ac:dyDescent="0.35">
      <c r="A3815" s="12">
        <v>3798</v>
      </c>
      <c r="B3815" s="10" t="s">
        <v>1015</v>
      </c>
      <c r="C3815" s="11" t="s">
        <v>1278</v>
      </c>
      <c r="D3815" s="9"/>
      <c r="E3815" s="9">
        <v>124</v>
      </c>
      <c r="F3815" s="10" t="s">
        <v>1066</v>
      </c>
      <c r="G3815" s="9">
        <v>918</v>
      </c>
      <c r="H3815" s="9">
        <v>1960</v>
      </c>
      <c r="I3815" s="8">
        <v>1133.424</v>
      </c>
      <c r="J3815" s="8">
        <v>1037.502</v>
      </c>
      <c r="K3815" s="8">
        <v>905.66399999999999</v>
      </c>
      <c r="L3815" s="8">
        <v>698.77099999999996</v>
      </c>
      <c r="M3815" s="8">
        <v>586.798</v>
      </c>
      <c r="N3815" s="8">
        <v>616.9</v>
      </c>
      <c r="O3815" s="8">
        <v>638.00699999999995</v>
      </c>
      <c r="P3815" s="8">
        <v>615.88900000000001</v>
      </c>
      <c r="Q3815" s="8">
        <v>550.07600000000002</v>
      </c>
      <c r="R3815" s="8">
        <v>504.21499999999997</v>
      </c>
      <c r="S3815" s="8">
        <v>430.13099999999997</v>
      </c>
      <c r="T3815" s="8">
        <v>353.69600000000003</v>
      </c>
      <c r="U3815" s="8">
        <v>286.40300000000002</v>
      </c>
      <c r="V3815" s="8">
        <v>238.63399999999999</v>
      </c>
      <c r="W3815" s="8">
        <v>194.49600000000001</v>
      </c>
      <c r="X3815" s="8">
        <v>130.76</v>
      </c>
      <c r="Y3815" s="8">
        <v>69.399000000000001</v>
      </c>
      <c r="Z3815" s="8">
        <v>26.238</v>
      </c>
      <c r="AA3815" s="8">
        <v>5.8090000000000002</v>
      </c>
      <c r="AB3815" s="8">
        <v>1.0109999999999999</v>
      </c>
      <c r="AC3815" s="8">
        <v>8.3000000000000004E-2</v>
      </c>
    </row>
    <row r="3816" spans="1:29" ht="11.65" x14ac:dyDescent="0.35">
      <c r="A3816" s="12">
        <v>3799</v>
      </c>
      <c r="B3816" s="10" t="s">
        <v>1015</v>
      </c>
      <c r="C3816" s="11" t="s">
        <v>1278</v>
      </c>
      <c r="D3816" s="9"/>
      <c r="E3816" s="9">
        <v>124</v>
      </c>
      <c r="F3816" s="10" t="s">
        <v>1066</v>
      </c>
      <c r="G3816" s="9">
        <v>918</v>
      </c>
      <c r="H3816" s="9">
        <v>1965</v>
      </c>
      <c r="I3816" s="8">
        <v>1149.519</v>
      </c>
      <c r="J3816" s="8">
        <v>1149.942</v>
      </c>
      <c r="K3816" s="8">
        <v>1042.7070000000001</v>
      </c>
      <c r="L3816" s="8">
        <v>897.08699999999999</v>
      </c>
      <c r="M3816" s="8">
        <v>691.31700000000001</v>
      </c>
      <c r="N3816" s="8">
        <v>605.51900000000001</v>
      </c>
      <c r="O3816" s="8">
        <v>628.13199999999995</v>
      </c>
      <c r="P3816" s="8">
        <v>641.44200000000001</v>
      </c>
      <c r="Q3816" s="8">
        <v>608.26199999999994</v>
      </c>
      <c r="R3816" s="8">
        <v>532.13099999999997</v>
      </c>
      <c r="S3816" s="8">
        <v>486.31299999999999</v>
      </c>
      <c r="T3816" s="8">
        <v>401.38099999999997</v>
      </c>
      <c r="U3816" s="8">
        <v>321.04000000000002</v>
      </c>
      <c r="V3816" s="8">
        <v>251.38800000000001</v>
      </c>
      <c r="W3816" s="8">
        <v>197.56700000000001</v>
      </c>
      <c r="X3816" s="8">
        <v>138.12700000000001</v>
      </c>
      <c r="Y3816" s="8">
        <v>81.715999999999994</v>
      </c>
      <c r="Z3816" s="8">
        <v>32.255000000000003</v>
      </c>
      <c r="AA3816" s="8">
        <v>8.3859999999999992</v>
      </c>
      <c r="AB3816" s="8">
        <v>1.1519999999999999</v>
      </c>
      <c r="AC3816" s="8">
        <v>0.112</v>
      </c>
    </row>
    <row r="3817" spans="1:29" ht="11.65" x14ac:dyDescent="0.35">
      <c r="A3817" s="12">
        <v>3800</v>
      </c>
      <c r="B3817" s="10" t="s">
        <v>1015</v>
      </c>
      <c r="C3817" s="11" t="s">
        <v>1278</v>
      </c>
      <c r="D3817" s="9"/>
      <c r="E3817" s="9">
        <v>124</v>
      </c>
      <c r="F3817" s="10" t="s">
        <v>1066</v>
      </c>
      <c r="G3817" s="9">
        <v>918</v>
      </c>
      <c r="H3817" s="9">
        <v>1970</v>
      </c>
      <c r="I3817" s="8">
        <v>959.81</v>
      </c>
      <c r="J3817" s="8">
        <v>1167.4390000000001</v>
      </c>
      <c r="K3817" s="8">
        <v>1166.318</v>
      </c>
      <c r="L3817" s="8">
        <v>1054.2629999999999</v>
      </c>
      <c r="M3817" s="8">
        <v>929.596</v>
      </c>
      <c r="N3817" s="8">
        <v>770.23299999999995</v>
      </c>
      <c r="O3817" s="8">
        <v>655.40800000000002</v>
      </c>
      <c r="P3817" s="8">
        <v>649.17499999999995</v>
      </c>
      <c r="Q3817" s="8">
        <v>641.54200000000003</v>
      </c>
      <c r="R3817" s="8">
        <v>602.14800000000002</v>
      </c>
      <c r="S3817" s="8">
        <v>513.27300000000002</v>
      </c>
      <c r="T3817" s="8">
        <v>463.96800000000002</v>
      </c>
      <c r="U3817" s="8">
        <v>371.39699999999999</v>
      </c>
      <c r="V3817" s="8">
        <v>286.34500000000003</v>
      </c>
      <c r="W3817" s="8">
        <v>203.42599999999999</v>
      </c>
      <c r="X3817" s="8">
        <v>141.48599999999999</v>
      </c>
      <c r="Y3817" s="8">
        <v>87.742000000000004</v>
      </c>
      <c r="Z3817" s="8">
        <v>38.904000000000003</v>
      </c>
      <c r="AA3817" s="8">
        <v>10.532999999999999</v>
      </c>
      <c r="AB3817" s="8">
        <v>1.647</v>
      </c>
      <c r="AC3817" s="8">
        <v>0.13100000000000001</v>
      </c>
    </row>
    <row r="3818" spans="1:29" ht="11.65" x14ac:dyDescent="0.35">
      <c r="A3818" s="12">
        <v>3801</v>
      </c>
      <c r="B3818" s="10" t="s">
        <v>1015</v>
      </c>
      <c r="C3818" s="11" t="s">
        <v>1278</v>
      </c>
      <c r="D3818" s="9"/>
      <c r="E3818" s="9">
        <v>124</v>
      </c>
      <c r="F3818" s="10" t="s">
        <v>1066</v>
      </c>
      <c r="G3818" s="9">
        <v>918</v>
      </c>
      <c r="H3818" s="9">
        <v>1975</v>
      </c>
      <c r="I3818" s="8">
        <v>904.577</v>
      </c>
      <c r="J3818" s="8">
        <v>990.84199999999998</v>
      </c>
      <c r="K3818" s="8">
        <v>1195.2750000000001</v>
      </c>
      <c r="L3818" s="8">
        <v>1192.299</v>
      </c>
      <c r="M3818" s="8">
        <v>1096.1010000000001</v>
      </c>
      <c r="N3818" s="8">
        <v>1010.808</v>
      </c>
      <c r="O3818" s="8">
        <v>817.20299999999997</v>
      </c>
      <c r="P3818" s="8">
        <v>673.36800000000005</v>
      </c>
      <c r="Q3818" s="8">
        <v>657.37699999999995</v>
      </c>
      <c r="R3818" s="8">
        <v>631.75599999999997</v>
      </c>
      <c r="S3818" s="8">
        <v>591.21799999999996</v>
      </c>
      <c r="T3818" s="8">
        <v>483.43400000000003</v>
      </c>
      <c r="U3818" s="8">
        <v>432.18</v>
      </c>
      <c r="V3818" s="8">
        <v>330.59500000000003</v>
      </c>
      <c r="W3818" s="8">
        <v>237.691</v>
      </c>
      <c r="X3818" s="8">
        <v>147.71799999999999</v>
      </c>
      <c r="Y3818" s="8">
        <v>86.849000000000004</v>
      </c>
      <c r="Z3818" s="8">
        <v>42.396000000000001</v>
      </c>
      <c r="AA3818" s="8">
        <v>13.172000000000001</v>
      </c>
      <c r="AB3818" s="8">
        <v>2.2170000000000001</v>
      </c>
      <c r="AC3818" s="8">
        <v>0.2</v>
      </c>
    </row>
    <row r="3819" spans="1:29" ht="11.65" x14ac:dyDescent="0.35">
      <c r="A3819" s="12">
        <v>3802</v>
      </c>
      <c r="B3819" s="10" t="s">
        <v>1015</v>
      </c>
      <c r="C3819" s="11" t="s">
        <v>1278</v>
      </c>
      <c r="D3819" s="9"/>
      <c r="E3819" s="9">
        <v>124</v>
      </c>
      <c r="F3819" s="10" t="s">
        <v>1066</v>
      </c>
      <c r="G3819" s="9">
        <v>918</v>
      </c>
      <c r="H3819" s="9">
        <v>1980</v>
      </c>
      <c r="I3819" s="8">
        <v>914.96500000000003</v>
      </c>
      <c r="J3819" s="8">
        <v>926.00199999999995</v>
      </c>
      <c r="K3819" s="8">
        <v>1008.784</v>
      </c>
      <c r="L3819" s="8">
        <v>1224.923</v>
      </c>
      <c r="M3819" s="8">
        <v>1217.653</v>
      </c>
      <c r="N3819" s="8">
        <v>1099.9110000000001</v>
      </c>
      <c r="O3819" s="8">
        <v>1019.023</v>
      </c>
      <c r="P3819" s="8">
        <v>813.755</v>
      </c>
      <c r="Q3819" s="8">
        <v>676.39</v>
      </c>
      <c r="R3819" s="8">
        <v>643.23699999999997</v>
      </c>
      <c r="S3819" s="8">
        <v>614.69100000000003</v>
      </c>
      <c r="T3819" s="8">
        <v>562.26599999999996</v>
      </c>
      <c r="U3819" s="8">
        <v>449.35500000000002</v>
      </c>
      <c r="V3819" s="8">
        <v>383.548</v>
      </c>
      <c r="W3819" s="8">
        <v>273.03800000000001</v>
      </c>
      <c r="X3819" s="8">
        <v>176.28899999999999</v>
      </c>
      <c r="Y3819" s="8">
        <v>92.763999999999996</v>
      </c>
      <c r="Z3819" s="8">
        <v>43.563000000000002</v>
      </c>
      <c r="AA3819" s="8">
        <v>15.48</v>
      </c>
      <c r="AB3819" s="8">
        <v>3.0670000000000002</v>
      </c>
      <c r="AC3819" s="8">
        <v>0.316</v>
      </c>
    </row>
    <row r="3820" spans="1:29" ht="11.65" x14ac:dyDescent="0.35">
      <c r="A3820" s="12">
        <v>3803</v>
      </c>
      <c r="B3820" s="10" t="s">
        <v>1015</v>
      </c>
      <c r="C3820" s="11" t="s">
        <v>1278</v>
      </c>
      <c r="D3820" s="9"/>
      <c r="E3820" s="9">
        <v>124</v>
      </c>
      <c r="F3820" s="10" t="s">
        <v>1066</v>
      </c>
      <c r="G3820" s="9">
        <v>918</v>
      </c>
      <c r="H3820" s="9">
        <v>1985</v>
      </c>
      <c r="I3820" s="8">
        <v>943.28899999999999</v>
      </c>
      <c r="J3820" s="8">
        <v>927.82399999999996</v>
      </c>
      <c r="K3820" s="8">
        <v>937.572</v>
      </c>
      <c r="L3820" s="8">
        <v>1036.6310000000001</v>
      </c>
      <c r="M3820" s="8">
        <v>1265.1849999999999</v>
      </c>
      <c r="N3820" s="8">
        <v>1225.442</v>
      </c>
      <c r="O3820" s="8">
        <v>1108.1220000000001</v>
      </c>
      <c r="P3820" s="8">
        <v>1014.48</v>
      </c>
      <c r="Q3820" s="8">
        <v>806.48699999999997</v>
      </c>
      <c r="R3820" s="8">
        <v>659.13499999999999</v>
      </c>
      <c r="S3820" s="8">
        <v>627.18600000000004</v>
      </c>
      <c r="T3820" s="8">
        <v>594.35599999999999</v>
      </c>
      <c r="U3820" s="8">
        <v>527.096</v>
      </c>
      <c r="V3820" s="8">
        <v>404.53699999999998</v>
      </c>
      <c r="W3820" s="8">
        <v>320.09500000000003</v>
      </c>
      <c r="X3820" s="8">
        <v>205.11600000000001</v>
      </c>
      <c r="Y3820" s="8">
        <v>112.331</v>
      </c>
      <c r="Z3820" s="8">
        <v>47.820999999999998</v>
      </c>
      <c r="AA3820" s="8">
        <v>16.390999999999998</v>
      </c>
      <c r="AB3820" s="8">
        <v>3.7909999999999999</v>
      </c>
      <c r="AC3820" s="8">
        <v>0.46600000000000003</v>
      </c>
    </row>
    <row r="3821" spans="1:29" ht="11.65" x14ac:dyDescent="0.35">
      <c r="A3821" s="12">
        <v>3804</v>
      </c>
      <c r="B3821" s="10" t="s">
        <v>1015</v>
      </c>
      <c r="C3821" s="11" t="s">
        <v>1278</v>
      </c>
      <c r="D3821" s="9"/>
      <c r="E3821" s="9">
        <v>124</v>
      </c>
      <c r="F3821" s="10" t="s">
        <v>1066</v>
      </c>
      <c r="G3821" s="9">
        <v>918</v>
      </c>
      <c r="H3821" s="9">
        <v>1990</v>
      </c>
      <c r="I3821" s="8">
        <v>982.71799999999996</v>
      </c>
      <c r="J3821" s="8">
        <v>980.995</v>
      </c>
      <c r="K3821" s="8">
        <v>958.024</v>
      </c>
      <c r="L3821" s="8">
        <v>988.65</v>
      </c>
      <c r="M3821" s="8">
        <v>1076.9069999999999</v>
      </c>
      <c r="N3821" s="8">
        <v>1293.7339999999999</v>
      </c>
      <c r="O3821" s="8">
        <v>1267.0319999999999</v>
      </c>
      <c r="P3821" s="8">
        <v>1135.973</v>
      </c>
      <c r="Q3821" s="8">
        <v>1031.0809999999999</v>
      </c>
      <c r="R3821" s="8">
        <v>804.56</v>
      </c>
      <c r="S3821" s="8">
        <v>654.94500000000005</v>
      </c>
      <c r="T3821" s="8">
        <v>615.92600000000004</v>
      </c>
      <c r="U3821" s="8">
        <v>567.99199999999996</v>
      </c>
      <c r="V3821" s="8">
        <v>487.46600000000001</v>
      </c>
      <c r="W3821" s="8">
        <v>348.48500000000001</v>
      </c>
      <c r="X3821" s="8">
        <v>248.7</v>
      </c>
      <c r="Y3821" s="8">
        <v>133.02500000000001</v>
      </c>
      <c r="Z3821" s="8">
        <v>58.273000000000003</v>
      </c>
      <c r="AA3821" s="8">
        <v>17.722000000000001</v>
      </c>
      <c r="AB3821" s="8">
        <v>3.8879999999999999</v>
      </c>
      <c r="AC3821" s="8">
        <v>0.55300000000000005</v>
      </c>
    </row>
    <row r="3822" spans="1:29" ht="11.65" x14ac:dyDescent="0.35">
      <c r="A3822" s="12">
        <v>3805</v>
      </c>
      <c r="B3822" s="10" t="s">
        <v>1015</v>
      </c>
      <c r="C3822" s="11" t="s">
        <v>1278</v>
      </c>
      <c r="D3822" s="9"/>
      <c r="E3822" s="9">
        <v>124</v>
      </c>
      <c r="F3822" s="10" t="s">
        <v>1066</v>
      </c>
      <c r="G3822" s="9">
        <v>918</v>
      </c>
      <c r="H3822" s="9">
        <v>1995</v>
      </c>
      <c r="I3822" s="8">
        <v>1012.228</v>
      </c>
      <c r="J3822" s="8">
        <v>1014.939</v>
      </c>
      <c r="K3822" s="8">
        <v>1019.3</v>
      </c>
      <c r="L3822" s="8">
        <v>1013.749</v>
      </c>
      <c r="M3822" s="8">
        <v>1016.987</v>
      </c>
      <c r="N3822" s="8">
        <v>1100.9590000000001</v>
      </c>
      <c r="O3822" s="8">
        <v>1315.154</v>
      </c>
      <c r="P3822" s="8">
        <v>1281.21</v>
      </c>
      <c r="Q3822" s="8">
        <v>1143.2149999999999</v>
      </c>
      <c r="R3822" s="8">
        <v>1026.9760000000001</v>
      </c>
      <c r="S3822" s="8">
        <v>788.31700000000001</v>
      </c>
      <c r="T3822" s="8">
        <v>641.57899999999995</v>
      </c>
      <c r="U3822" s="8">
        <v>592.94500000000005</v>
      </c>
      <c r="V3822" s="8">
        <v>521.83900000000006</v>
      </c>
      <c r="W3822" s="8">
        <v>418.59899999999999</v>
      </c>
      <c r="X3822" s="8">
        <v>270.31599999999997</v>
      </c>
      <c r="Y3822" s="8">
        <v>163.215</v>
      </c>
      <c r="Z3822" s="8">
        <v>70.003</v>
      </c>
      <c r="AA3822" s="8">
        <v>21.873999999999999</v>
      </c>
      <c r="AB3822" s="8">
        <v>4.1859999999999999</v>
      </c>
      <c r="AC3822" s="8">
        <v>0.54900000000000004</v>
      </c>
    </row>
    <row r="3823" spans="1:29" ht="11.65" x14ac:dyDescent="0.35">
      <c r="A3823" s="12">
        <v>3806</v>
      </c>
      <c r="B3823" s="10" t="s">
        <v>1015</v>
      </c>
      <c r="C3823" s="11" t="s">
        <v>1278</v>
      </c>
      <c r="D3823" s="9"/>
      <c r="E3823" s="9">
        <v>124</v>
      </c>
      <c r="F3823" s="10" t="s">
        <v>1066</v>
      </c>
      <c r="G3823" s="9">
        <v>918</v>
      </c>
      <c r="H3823" s="9">
        <v>2000</v>
      </c>
      <c r="I3823" s="8">
        <v>914.06299999999999</v>
      </c>
      <c r="J3823" s="8">
        <v>1038.6489999999999</v>
      </c>
      <c r="K3823" s="8">
        <v>1049.297</v>
      </c>
      <c r="L3823" s="8">
        <v>1073.6210000000001</v>
      </c>
      <c r="M3823" s="8">
        <v>1055.672</v>
      </c>
      <c r="N3823" s="8">
        <v>1047.4870000000001</v>
      </c>
      <c r="O3823" s="8">
        <v>1138.3130000000001</v>
      </c>
      <c r="P3823" s="8">
        <v>1344.7529999999999</v>
      </c>
      <c r="Q3823" s="8">
        <v>1295.431</v>
      </c>
      <c r="R3823" s="8">
        <v>1144.702</v>
      </c>
      <c r="S3823" s="8">
        <v>1016.992</v>
      </c>
      <c r="T3823" s="8">
        <v>771.16499999999996</v>
      </c>
      <c r="U3823" s="8">
        <v>615.06500000000005</v>
      </c>
      <c r="V3823" s="8">
        <v>550.25900000000001</v>
      </c>
      <c r="W3823" s="8">
        <v>457.74799999999999</v>
      </c>
      <c r="X3823" s="8">
        <v>334.62400000000002</v>
      </c>
      <c r="Y3823" s="8">
        <v>185.73500000000001</v>
      </c>
      <c r="Z3823" s="8">
        <v>87.221000000000004</v>
      </c>
      <c r="AA3823" s="8">
        <v>26.085000000000001</v>
      </c>
      <c r="AB3823" s="8">
        <v>4.8979999999999997</v>
      </c>
      <c r="AC3823" s="8">
        <v>0.53800000000000003</v>
      </c>
    </row>
    <row r="3824" spans="1:29" ht="11.65" x14ac:dyDescent="0.35">
      <c r="A3824" s="12">
        <v>3807</v>
      </c>
      <c r="B3824" s="10" t="s">
        <v>1015</v>
      </c>
      <c r="C3824" s="11" t="s">
        <v>1278</v>
      </c>
      <c r="D3824" s="9"/>
      <c r="E3824" s="9">
        <v>124</v>
      </c>
      <c r="F3824" s="10" t="s">
        <v>1066</v>
      </c>
      <c r="G3824" s="9">
        <v>918</v>
      </c>
      <c r="H3824" s="9">
        <v>2005</v>
      </c>
      <c r="I3824" s="8">
        <v>879.05</v>
      </c>
      <c r="J3824" s="8">
        <v>952.91200000000003</v>
      </c>
      <c r="K3824" s="8">
        <v>1081.5650000000001</v>
      </c>
      <c r="L3824" s="8">
        <v>1116.92</v>
      </c>
      <c r="M3824" s="8">
        <v>1130.826</v>
      </c>
      <c r="N3824" s="8">
        <v>1092.3399999999999</v>
      </c>
      <c r="O3824" s="8">
        <v>1097.1790000000001</v>
      </c>
      <c r="P3824" s="8">
        <v>1186.645</v>
      </c>
      <c r="Q3824" s="8">
        <v>1381.02</v>
      </c>
      <c r="R3824" s="8">
        <v>1305.4459999999999</v>
      </c>
      <c r="S3824" s="8">
        <v>1143.75</v>
      </c>
      <c r="T3824" s="8">
        <v>989.55200000000002</v>
      </c>
      <c r="U3824" s="8">
        <v>751.69600000000003</v>
      </c>
      <c r="V3824" s="8">
        <v>577.34400000000005</v>
      </c>
      <c r="W3824" s="8">
        <v>489.50599999999997</v>
      </c>
      <c r="X3824" s="8">
        <v>377.661</v>
      </c>
      <c r="Y3824" s="8">
        <v>245.00299999999999</v>
      </c>
      <c r="Z3824" s="8">
        <v>105.627</v>
      </c>
      <c r="AA3824" s="8">
        <v>34.645000000000003</v>
      </c>
      <c r="AB3824" s="8">
        <v>6.1379999999999999</v>
      </c>
      <c r="AC3824" s="8">
        <v>0.61899999999999999</v>
      </c>
    </row>
    <row r="3825" spans="1:29" ht="11.65" x14ac:dyDescent="0.35">
      <c r="A3825" s="12">
        <v>3808</v>
      </c>
      <c r="B3825" s="10" t="s">
        <v>1015</v>
      </c>
      <c r="C3825" s="11" t="s">
        <v>1278</v>
      </c>
      <c r="D3825" s="9"/>
      <c r="E3825" s="9">
        <v>124</v>
      </c>
      <c r="F3825" s="10" t="s">
        <v>1066</v>
      </c>
      <c r="G3825" s="9">
        <v>918</v>
      </c>
      <c r="H3825" s="9">
        <v>2010</v>
      </c>
      <c r="I3825" s="8">
        <v>967.471</v>
      </c>
      <c r="J3825" s="8">
        <v>930.23800000000006</v>
      </c>
      <c r="K3825" s="8">
        <v>993.22699999999998</v>
      </c>
      <c r="L3825" s="8">
        <v>1141.4159999999999</v>
      </c>
      <c r="M3825" s="8">
        <v>1220.943</v>
      </c>
      <c r="N3825" s="8">
        <v>1218.4649999999999</v>
      </c>
      <c r="O3825" s="8">
        <v>1152.732</v>
      </c>
      <c r="P3825" s="8">
        <v>1154.0050000000001</v>
      </c>
      <c r="Q3825" s="8">
        <v>1219.105</v>
      </c>
      <c r="R3825" s="8">
        <v>1404.229</v>
      </c>
      <c r="S3825" s="8">
        <v>1303.056</v>
      </c>
      <c r="T3825" s="8">
        <v>1126.8910000000001</v>
      </c>
      <c r="U3825" s="8">
        <v>960.56299999999999</v>
      </c>
      <c r="V3825" s="8">
        <v>712.71699999999998</v>
      </c>
      <c r="W3825" s="8">
        <v>522.09400000000005</v>
      </c>
      <c r="X3825" s="8">
        <v>415.61099999999999</v>
      </c>
      <c r="Y3825" s="8">
        <v>295.59800000000001</v>
      </c>
      <c r="Z3825" s="8">
        <v>149.226</v>
      </c>
      <c r="AA3825" s="8">
        <v>44.787999999999997</v>
      </c>
      <c r="AB3825" s="8">
        <v>8.64</v>
      </c>
      <c r="AC3825" s="8">
        <v>0.79300000000000004</v>
      </c>
    </row>
    <row r="3826" spans="1:29" ht="11.65" x14ac:dyDescent="0.35">
      <c r="A3826" s="12">
        <v>3809</v>
      </c>
      <c r="B3826" s="10" t="s">
        <v>1015</v>
      </c>
      <c r="C3826" s="11" t="s">
        <v>1278</v>
      </c>
      <c r="D3826" s="9"/>
      <c r="E3826" s="9">
        <v>124</v>
      </c>
      <c r="F3826" s="10" t="s">
        <v>1066</v>
      </c>
      <c r="G3826" s="9">
        <v>918</v>
      </c>
      <c r="H3826" s="9">
        <v>2015</v>
      </c>
      <c r="I3826" s="8">
        <v>996.16800000000001</v>
      </c>
      <c r="J3826" s="8">
        <v>1002.283</v>
      </c>
      <c r="K3826" s="8">
        <v>955.04899999999998</v>
      </c>
      <c r="L3826" s="8">
        <v>1097.3320000000001</v>
      </c>
      <c r="M3826" s="8">
        <v>1284.1990000000001</v>
      </c>
      <c r="N3826" s="8">
        <v>1236.9290000000001</v>
      </c>
      <c r="O3826" s="8">
        <v>1269.1890000000001</v>
      </c>
      <c r="P3826" s="8">
        <v>1192.192</v>
      </c>
      <c r="Q3826" s="8">
        <v>1174.32</v>
      </c>
      <c r="R3826" s="8">
        <v>1216.076</v>
      </c>
      <c r="S3826" s="8">
        <v>1400.008</v>
      </c>
      <c r="T3826" s="8">
        <v>1311.348</v>
      </c>
      <c r="U3826" s="8">
        <v>1099.3150000000001</v>
      </c>
      <c r="V3826" s="8">
        <v>941.07799999999997</v>
      </c>
      <c r="W3826" s="8">
        <v>652.11</v>
      </c>
      <c r="X3826" s="8">
        <v>452.24200000000002</v>
      </c>
      <c r="Y3826" s="8">
        <v>319.41500000000002</v>
      </c>
      <c r="Z3826" s="8">
        <v>186.66499999999999</v>
      </c>
      <c r="AA3826" s="8">
        <v>65.652000000000001</v>
      </c>
      <c r="AB3826" s="8">
        <v>11.458</v>
      </c>
      <c r="AC3826" s="8">
        <v>1.1100000000000001</v>
      </c>
    </row>
    <row r="3827" spans="1:29" ht="11.65" x14ac:dyDescent="0.35">
      <c r="A3827" s="12">
        <v>3810</v>
      </c>
      <c r="B3827" s="10" t="s">
        <v>1015</v>
      </c>
      <c r="C3827" s="11" t="s">
        <v>1278</v>
      </c>
      <c r="D3827" s="9"/>
      <c r="E3827" s="9">
        <v>124</v>
      </c>
      <c r="F3827" s="10" t="s">
        <v>1066</v>
      </c>
      <c r="G3827" s="9">
        <v>918</v>
      </c>
      <c r="H3827" s="9">
        <v>2020</v>
      </c>
      <c r="I3827" s="8">
        <v>1020.925</v>
      </c>
      <c r="J3827" s="8">
        <v>1011.765</v>
      </c>
      <c r="K3827" s="8">
        <v>1014.23</v>
      </c>
      <c r="L3827" s="8">
        <v>1017.2809999999999</v>
      </c>
      <c r="M3827" s="8">
        <v>1208.2329999999999</v>
      </c>
      <c r="N3827" s="8">
        <v>1389.5409999999999</v>
      </c>
      <c r="O3827" s="8">
        <v>1315.9559999999999</v>
      </c>
      <c r="P3827" s="8">
        <v>1321.8920000000001</v>
      </c>
      <c r="Q3827" s="8">
        <v>1224.232</v>
      </c>
      <c r="R3827" s="8">
        <v>1189.671</v>
      </c>
      <c r="S3827" s="8">
        <v>1215.9829999999999</v>
      </c>
      <c r="T3827" s="8">
        <v>1380.7739999999999</v>
      </c>
      <c r="U3827" s="8">
        <v>1275.239</v>
      </c>
      <c r="V3827" s="8">
        <v>1047.3969999999999</v>
      </c>
      <c r="W3827" s="8">
        <v>867.42600000000004</v>
      </c>
      <c r="X3827" s="8">
        <v>568.28599999999994</v>
      </c>
      <c r="Y3827" s="8">
        <v>355.94299999999998</v>
      </c>
      <c r="Z3827" s="8">
        <v>205.33</v>
      </c>
      <c r="AA3827" s="8">
        <v>83.6</v>
      </c>
      <c r="AB3827" s="8">
        <v>17</v>
      </c>
      <c r="AC3827" s="8">
        <v>1.474</v>
      </c>
    </row>
    <row r="3828" spans="1:29" ht="11.65" x14ac:dyDescent="0.35">
      <c r="A3828" s="12">
        <v>3811</v>
      </c>
      <c r="B3828" s="10" t="s">
        <v>1015</v>
      </c>
      <c r="C3828" s="11" t="s">
        <v>1279</v>
      </c>
      <c r="D3828" s="9">
        <v>29</v>
      </c>
      <c r="E3828" s="9">
        <v>840</v>
      </c>
      <c r="F3828" s="10" t="s">
        <v>1066</v>
      </c>
      <c r="G3828" s="9">
        <v>918</v>
      </c>
      <c r="H3828" s="9">
        <v>1950</v>
      </c>
      <c r="I3828" s="8">
        <v>8812.3089999999993</v>
      </c>
      <c r="J3828" s="8">
        <v>7044.1629999999996</v>
      </c>
      <c r="K3828" s="8">
        <v>5889.5780000000004</v>
      </c>
      <c r="L3828" s="8">
        <v>5667.77</v>
      </c>
      <c r="M3828" s="8">
        <v>6104.7950000000001</v>
      </c>
      <c r="N3828" s="8">
        <v>6407.134</v>
      </c>
      <c r="O3828" s="8">
        <v>6044.5050000000001</v>
      </c>
      <c r="P3828" s="8">
        <v>5750.9570000000003</v>
      </c>
      <c r="Q3828" s="8">
        <v>5327.98</v>
      </c>
      <c r="R3828" s="8">
        <v>4728.0640000000003</v>
      </c>
      <c r="S3828" s="8">
        <v>4286.7489999999998</v>
      </c>
      <c r="T3828" s="8">
        <v>3781.547</v>
      </c>
      <c r="U3828" s="8">
        <v>3303.8029999999999</v>
      </c>
      <c r="V3828" s="8">
        <v>2613.48</v>
      </c>
      <c r="W3828" s="8">
        <v>1673.1110000000001</v>
      </c>
      <c r="X3828" s="8">
        <v>1022.797</v>
      </c>
      <c r="Y3828" s="8">
        <v>489.41800000000001</v>
      </c>
      <c r="Z3828" s="8">
        <v>209.03399999999999</v>
      </c>
      <c r="AA3828" s="8">
        <v>63.02</v>
      </c>
      <c r="AB3828" s="8">
        <v>11.804</v>
      </c>
      <c r="AC3828" s="8">
        <v>1.2</v>
      </c>
    </row>
    <row r="3829" spans="1:29" ht="11.65" x14ac:dyDescent="0.35">
      <c r="A3829" s="12">
        <v>3812</v>
      </c>
      <c r="B3829" s="10" t="s">
        <v>1015</v>
      </c>
      <c r="C3829" s="11" t="s">
        <v>1279</v>
      </c>
      <c r="D3829" s="9">
        <v>29</v>
      </c>
      <c r="E3829" s="9">
        <v>840</v>
      </c>
      <c r="F3829" s="10" t="s">
        <v>1066</v>
      </c>
      <c r="G3829" s="9">
        <v>918</v>
      </c>
      <c r="H3829" s="9">
        <v>1955</v>
      </c>
      <c r="I3829" s="8">
        <v>9844.4040000000005</v>
      </c>
      <c r="J3829" s="8">
        <v>8795.0229999999992</v>
      </c>
      <c r="K3829" s="8">
        <v>7133.0590000000002</v>
      </c>
      <c r="L3829" s="8">
        <v>5734.8710000000001</v>
      </c>
      <c r="M3829" s="8">
        <v>5372.1719999999996</v>
      </c>
      <c r="N3829" s="8">
        <v>6111.4440000000004</v>
      </c>
      <c r="O3829" s="8">
        <v>6407.4759999999997</v>
      </c>
      <c r="P3829" s="8">
        <v>6028.3379999999997</v>
      </c>
      <c r="Q3829" s="8">
        <v>5673.2439999999997</v>
      </c>
      <c r="R3829" s="8">
        <v>4998.2160000000003</v>
      </c>
      <c r="S3829" s="8">
        <v>4843.134</v>
      </c>
      <c r="T3829" s="8">
        <v>3939.5010000000002</v>
      </c>
      <c r="U3829" s="8">
        <v>3517.2040000000002</v>
      </c>
      <c r="V3829" s="8">
        <v>2832.7840000000001</v>
      </c>
      <c r="W3829" s="8">
        <v>1947.4739999999999</v>
      </c>
      <c r="X3829" s="8">
        <v>1192.652</v>
      </c>
      <c r="Y3829" s="8">
        <v>626.04399999999998</v>
      </c>
      <c r="Z3829" s="8">
        <v>219.27500000000001</v>
      </c>
      <c r="AA3829" s="8">
        <v>65.873000000000005</v>
      </c>
      <c r="AB3829" s="8">
        <v>12.914999999999999</v>
      </c>
      <c r="AC3829" s="8">
        <v>1.5149999999999999</v>
      </c>
    </row>
    <row r="3830" spans="1:29" ht="11.65" x14ac:dyDescent="0.35">
      <c r="A3830" s="12">
        <v>3813</v>
      </c>
      <c r="B3830" s="10" t="s">
        <v>1015</v>
      </c>
      <c r="C3830" s="11" t="s">
        <v>1279</v>
      </c>
      <c r="D3830" s="9">
        <v>29</v>
      </c>
      <c r="E3830" s="9">
        <v>840</v>
      </c>
      <c r="F3830" s="10" t="s">
        <v>1066</v>
      </c>
      <c r="G3830" s="9">
        <v>918</v>
      </c>
      <c r="H3830" s="9">
        <v>1960</v>
      </c>
      <c r="I3830" s="8">
        <v>10581.516</v>
      </c>
      <c r="J3830" s="8">
        <v>9844.4480000000003</v>
      </c>
      <c r="K3830" s="8">
        <v>8834.6970000000001</v>
      </c>
      <c r="L3830" s="8">
        <v>6956.7790000000005</v>
      </c>
      <c r="M3830" s="8">
        <v>5741.2749999999996</v>
      </c>
      <c r="N3830" s="8">
        <v>5749.3329999999996</v>
      </c>
      <c r="O3830" s="8">
        <v>6183.4</v>
      </c>
      <c r="P3830" s="8">
        <v>6403.1710000000003</v>
      </c>
      <c r="Q3830" s="8">
        <v>5945.5550000000003</v>
      </c>
      <c r="R3830" s="8">
        <v>5563.89</v>
      </c>
      <c r="S3830" s="8">
        <v>5032.4939999999997</v>
      </c>
      <c r="T3830" s="8">
        <v>4515.2420000000002</v>
      </c>
      <c r="U3830" s="8">
        <v>3573.0659999999998</v>
      </c>
      <c r="V3830" s="8">
        <v>2973.0030000000002</v>
      </c>
      <c r="W3830" s="8">
        <v>2150.1469999999999</v>
      </c>
      <c r="X3830" s="8">
        <v>1408.5909999999999</v>
      </c>
      <c r="Y3830" s="8">
        <v>690.28</v>
      </c>
      <c r="Z3830" s="8">
        <v>280.33499999999998</v>
      </c>
      <c r="AA3830" s="8">
        <v>68.509</v>
      </c>
      <c r="AB3830" s="8">
        <v>13.257</v>
      </c>
      <c r="AC3830" s="8">
        <v>1.6140000000000001</v>
      </c>
    </row>
    <row r="3831" spans="1:29" ht="11.65" x14ac:dyDescent="0.35">
      <c r="A3831" s="12">
        <v>3814</v>
      </c>
      <c r="B3831" s="10" t="s">
        <v>1015</v>
      </c>
      <c r="C3831" s="11" t="s">
        <v>1279</v>
      </c>
      <c r="D3831" s="9">
        <v>29</v>
      </c>
      <c r="E3831" s="9">
        <v>840</v>
      </c>
      <c r="F3831" s="10" t="s">
        <v>1066</v>
      </c>
      <c r="G3831" s="9">
        <v>918</v>
      </c>
      <c r="H3831" s="9">
        <v>1965</v>
      </c>
      <c r="I3831" s="8">
        <v>10087.043</v>
      </c>
      <c r="J3831" s="8">
        <v>10653.888000000001</v>
      </c>
      <c r="K3831" s="8">
        <v>9936.0450000000001</v>
      </c>
      <c r="L3831" s="8">
        <v>8798.9040000000005</v>
      </c>
      <c r="M3831" s="8">
        <v>6924.9979999999996</v>
      </c>
      <c r="N3831" s="8">
        <v>5955.12</v>
      </c>
      <c r="O3831" s="8">
        <v>5872.3</v>
      </c>
      <c r="P3831" s="8">
        <v>6177.5020000000004</v>
      </c>
      <c r="Q3831" s="8">
        <v>6335.5</v>
      </c>
      <c r="R3831" s="8">
        <v>5808.4790000000003</v>
      </c>
      <c r="S3831" s="8">
        <v>5336.4179999999997</v>
      </c>
      <c r="T3831" s="8">
        <v>4773.9539999999997</v>
      </c>
      <c r="U3831" s="8">
        <v>3974.3870000000002</v>
      </c>
      <c r="V3831" s="8">
        <v>3037.5419999999999</v>
      </c>
      <c r="W3831" s="8">
        <v>2327.5529999999999</v>
      </c>
      <c r="X3831" s="8">
        <v>1559.193</v>
      </c>
      <c r="Y3831" s="8">
        <v>795.221</v>
      </c>
      <c r="Z3831" s="8">
        <v>307.52699999999999</v>
      </c>
      <c r="AA3831" s="8">
        <v>86.570999999999998</v>
      </c>
      <c r="AB3831" s="8">
        <v>13.493</v>
      </c>
      <c r="AC3831" s="8">
        <v>1.607</v>
      </c>
    </row>
    <row r="3832" spans="1:29" ht="11.65" x14ac:dyDescent="0.35">
      <c r="A3832" s="12">
        <v>3815</v>
      </c>
      <c r="B3832" s="10" t="s">
        <v>1015</v>
      </c>
      <c r="C3832" s="11" t="s">
        <v>1279</v>
      </c>
      <c r="D3832" s="9">
        <v>29</v>
      </c>
      <c r="E3832" s="9">
        <v>840</v>
      </c>
      <c r="F3832" s="10" t="s">
        <v>1066</v>
      </c>
      <c r="G3832" s="9">
        <v>918</v>
      </c>
      <c r="H3832" s="9">
        <v>1970</v>
      </c>
      <c r="I3832" s="8">
        <v>9002.2420000000002</v>
      </c>
      <c r="J3832" s="8">
        <v>10375.282999999999</v>
      </c>
      <c r="K3832" s="8">
        <v>10747.638000000001</v>
      </c>
      <c r="L3832" s="8">
        <v>9896.5280000000002</v>
      </c>
      <c r="M3832" s="8">
        <v>8241.1049999999996</v>
      </c>
      <c r="N3832" s="8">
        <v>7093.585</v>
      </c>
      <c r="O3832" s="8">
        <v>6087.607</v>
      </c>
      <c r="P3832" s="8">
        <v>5808.7659999999996</v>
      </c>
      <c r="Q3832" s="8">
        <v>6148.8389999999999</v>
      </c>
      <c r="R3832" s="8">
        <v>6224.1409999999996</v>
      </c>
      <c r="S3832" s="8">
        <v>5595.9279999999999</v>
      </c>
      <c r="T3832" s="8">
        <v>4974.308</v>
      </c>
      <c r="U3832" s="8">
        <v>4201.942</v>
      </c>
      <c r="V3832" s="8">
        <v>3409.6709999999998</v>
      </c>
      <c r="W3832" s="8">
        <v>2350.27</v>
      </c>
      <c r="X3832" s="8">
        <v>1638.884</v>
      </c>
      <c r="Y3832" s="8">
        <v>911.93799999999999</v>
      </c>
      <c r="Z3832" s="8">
        <v>360.34699999999998</v>
      </c>
      <c r="AA3832" s="8">
        <v>97.378</v>
      </c>
      <c r="AB3832" s="8">
        <v>17.481000000000002</v>
      </c>
      <c r="AC3832" s="8">
        <v>1.722</v>
      </c>
    </row>
    <row r="3833" spans="1:29" ht="11.65" x14ac:dyDescent="0.35">
      <c r="A3833" s="12">
        <v>3816</v>
      </c>
      <c r="B3833" s="10" t="s">
        <v>1015</v>
      </c>
      <c r="C3833" s="11" t="s">
        <v>1279</v>
      </c>
      <c r="D3833" s="9">
        <v>29</v>
      </c>
      <c r="E3833" s="9">
        <v>840</v>
      </c>
      <c r="F3833" s="10" t="s">
        <v>1066</v>
      </c>
      <c r="G3833" s="9">
        <v>918</v>
      </c>
      <c r="H3833" s="9">
        <v>1975</v>
      </c>
      <c r="I3833" s="8">
        <v>8455.8340000000007</v>
      </c>
      <c r="J3833" s="8">
        <v>9063.0259999999998</v>
      </c>
      <c r="K3833" s="8">
        <v>10469.513000000001</v>
      </c>
      <c r="L3833" s="8">
        <v>10778.025</v>
      </c>
      <c r="M3833" s="8">
        <v>9936.8880000000008</v>
      </c>
      <c r="N3833" s="8">
        <v>8743.6239999999998</v>
      </c>
      <c r="O3833" s="8">
        <v>7236.45</v>
      </c>
      <c r="P3833" s="8">
        <v>6033.8410000000003</v>
      </c>
      <c r="Q3833" s="8">
        <v>5815.9750000000004</v>
      </c>
      <c r="R3833" s="8">
        <v>6014.4080000000004</v>
      </c>
      <c r="S3833" s="8">
        <v>5955.8630000000003</v>
      </c>
      <c r="T3833" s="8">
        <v>5222.8869999999997</v>
      </c>
      <c r="U3833" s="8">
        <v>4470.7460000000001</v>
      </c>
      <c r="V3833" s="8">
        <v>3634.221</v>
      </c>
      <c r="W3833" s="8">
        <v>2634.2440000000001</v>
      </c>
      <c r="X3833" s="8">
        <v>1684.6179999999999</v>
      </c>
      <c r="Y3833" s="8">
        <v>1016.864</v>
      </c>
      <c r="Z3833" s="8">
        <v>428.84899999999999</v>
      </c>
      <c r="AA3833" s="8">
        <v>121.235</v>
      </c>
      <c r="AB3833" s="8">
        <v>21.209</v>
      </c>
      <c r="AC3833" s="8">
        <v>2.391</v>
      </c>
    </row>
    <row r="3834" spans="1:29" ht="11.65" x14ac:dyDescent="0.35">
      <c r="A3834" s="12">
        <v>3817</v>
      </c>
      <c r="B3834" s="10" t="s">
        <v>1015</v>
      </c>
      <c r="C3834" s="11" t="s">
        <v>1279</v>
      </c>
      <c r="D3834" s="9">
        <v>29</v>
      </c>
      <c r="E3834" s="9">
        <v>840</v>
      </c>
      <c r="F3834" s="10" t="s">
        <v>1066</v>
      </c>
      <c r="G3834" s="9">
        <v>918</v>
      </c>
      <c r="H3834" s="9">
        <v>1980</v>
      </c>
      <c r="I3834" s="8">
        <v>8547.6209999999992</v>
      </c>
      <c r="J3834" s="8">
        <v>8690.3189999999995</v>
      </c>
      <c r="K3834" s="8">
        <v>9692.4660000000003</v>
      </c>
      <c r="L3834" s="8">
        <v>10985.213</v>
      </c>
      <c r="M3834" s="8">
        <v>10929.571</v>
      </c>
      <c r="N3834" s="8">
        <v>9998.0519999999997</v>
      </c>
      <c r="O3834" s="8">
        <v>8794.3809999999994</v>
      </c>
      <c r="P3834" s="8">
        <v>6783.2839999999997</v>
      </c>
      <c r="Q3834" s="8">
        <v>5926.5159999999996</v>
      </c>
      <c r="R3834" s="8">
        <v>5417.424</v>
      </c>
      <c r="S3834" s="8">
        <v>5632.3850000000002</v>
      </c>
      <c r="T3834" s="8">
        <v>5520.3040000000001</v>
      </c>
      <c r="U3834" s="8">
        <v>4789.2960000000003</v>
      </c>
      <c r="V3834" s="8">
        <v>4094.181</v>
      </c>
      <c r="W3834" s="8">
        <v>2933.125</v>
      </c>
      <c r="X3834" s="8">
        <v>2150.7089999999998</v>
      </c>
      <c r="Y3834" s="8">
        <v>943.89099999999996</v>
      </c>
      <c r="Z3834" s="8">
        <v>505.84899999999999</v>
      </c>
      <c r="AA3834" s="8">
        <v>155.00399999999999</v>
      </c>
      <c r="AB3834" s="8">
        <v>28.952000000000002</v>
      </c>
      <c r="AC3834" s="8">
        <v>3.2389999999999999</v>
      </c>
    </row>
    <row r="3835" spans="1:29" ht="11.65" x14ac:dyDescent="0.35">
      <c r="A3835" s="12">
        <v>3818</v>
      </c>
      <c r="B3835" s="10" t="s">
        <v>1015</v>
      </c>
      <c r="C3835" s="11" t="s">
        <v>1279</v>
      </c>
      <c r="D3835" s="9">
        <v>29</v>
      </c>
      <c r="E3835" s="9">
        <v>840</v>
      </c>
      <c r="F3835" s="10" t="s">
        <v>1066</v>
      </c>
      <c r="G3835" s="9">
        <v>918</v>
      </c>
      <c r="H3835" s="9">
        <v>1985</v>
      </c>
      <c r="I3835" s="8">
        <v>9094.9959999999992</v>
      </c>
      <c r="J3835" s="8">
        <v>8682.8430000000008</v>
      </c>
      <c r="K3835" s="8">
        <v>8954.5769999999993</v>
      </c>
      <c r="L3835" s="8">
        <v>9942.1409999999996</v>
      </c>
      <c r="M3835" s="8">
        <v>11014.22</v>
      </c>
      <c r="N3835" s="8">
        <v>11103.074000000001</v>
      </c>
      <c r="O3835" s="8">
        <v>10183.058000000001</v>
      </c>
      <c r="P3835" s="8">
        <v>8725.4539999999997</v>
      </c>
      <c r="Q3835" s="8">
        <v>6811.933</v>
      </c>
      <c r="R3835" s="8">
        <v>5868.7889999999998</v>
      </c>
      <c r="S3835" s="8">
        <v>5297.4480000000003</v>
      </c>
      <c r="T3835" s="8">
        <v>5362.0219999999999</v>
      </c>
      <c r="U3835" s="8">
        <v>5104.5230000000001</v>
      </c>
      <c r="V3835" s="8">
        <v>4286.7359999999999</v>
      </c>
      <c r="W3835" s="8">
        <v>3309.9029999999998</v>
      </c>
      <c r="X3835" s="8">
        <v>2188.6849999999999</v>
      </c>
      <c r="Y3835" s="8">
        <v>1337.0319999999999</v>
      </c>
      <c r="Z3835" s="8">
        <v>477.44</v>
      </c>
      <c r="AA3835" s="8">
        <v>187.108</v>
      </c>
      <c r="AB3835" s="8">
        <v>37.567999999999998</v>
      </c>
      <c r="AC3835" s="8">
        <v>4.4589999999999996</v>
      </c>
    </row>
    <row r="3836" spans="1:29" ht="11.65" x14ac:dyDescent="0.35">
      <c r="A3836" s="12">
        <v>3819</v>
      </c>
      <c r="B3836" s="10" t="s">
        <v>1015</v>
      </c>
      <c r="C3836" s="11" t="s">
        <v>1279</v>
      </c>
      <c r="D3836" s="9">
        <v>29</v>
      </c>
      <c r="E3836" s="9">
        <v>840</v>
      </c>
      <c r="F3836" s="10" t="s">
        <v>1066</v>
      </c>
      <c r="G3836" s="9">
        <v>918</v>
      </c>
      <c r="H3836" s="9">
        <v>1990</v>
      </c>
      <c r="I3836" s="8">
        <v>9842.6749999999993</v>
      </c>
      <c r="J3836" s="8">
        <v>9211.9470000000001</v>
      </c>
      <c r="K3836" s="8">
        <v>8903.1790000000001</v>
      </c>
      <c r="L3836" s="8">
        <v>9222.2139999999999</v>
      </c>
      <c r="M3836" s="8">
        <v>10034.894</v>
      </c>
      <c r="N3836" s="8">
        <v>10946.788</v>
      </c>
      <c r="O3836" s="8">
        <v>11140.973</v>
      </c>
      <c r="P3836" s="8">
        <v>10118.460999999999</v>
      </c>
      <c r="Q3836" s="8">
        <v>8767.5589999999993</v>
      </c>
      <c r="R3836" s="8">
        <v>6691.326</v>
      </c>
      <c r="S3836" s="8">
        <v>5724.29</v>
      </c>
      <c r="T3836" s="8">
        <v>5045.424</v>
      </c>
      <c r="U3836" s="8">
        <v>4982.9530000000004</v>
      </c>
      <c r="V3836" s="8">
        <v>4549.4369999999999</v>
      </c>
      <c r="W3836" s="8">
        <v>3539.616</v>
      </c>
      <c r="X3836" s="8">
        <v>2522.5569999999998</v>
      </c>
      <c r="Y3836" s="8">
        <v>1393.0909999999999</v>
      </c>
      <c r="Z3836" s="8">
        <v>685.81799999999998</v>
      </c>
      <c r="AA3836" s="8">
        <v>176.25</v>
      </c>
      <c r="AB3836" s="8">
        <v>44.396999999999998</v>
      </c>
      <c r="AC3836" s="8">
        <v>5.5039999999999996</v>
      </c>
    </row>
    <row r="3837" spans="1:29" ht="11.65" x14ac:dyDescent="0.35">
      <c r="A3837" s="12">
        <v>3820</v>
      </c>
      <c r="B3837" s="10" t="s">
        <v>1015</v>
      </c>
      <c r="C3837" s="11" t="s">
        <v>1279</v>
      </c>
      <c r="D3837" s="9">
        <v>29</v>
      </c>
      <c r="E3837" s="9">
        <v>840</v>
      </c>
      <c r="F3837" s="10" t="s">
        <v>1066</v>
      </c>
      <c r="G3837" s="9">
        <v>918</v>
      </c>
      <c r="H3837" s="9">
        <v>1995</v>
      </c>
      <c r="I3837" s="8">
        <v>10207.957</v>
      </c>
      <c r="J3837" s="8">
        <v>10002.23</v>
      </c>
      <c r="K3837" s="8">
        <v>9651.2569999999996</v>
      </c>
      <c r="L3837" s="8">
        <v>9365.4310000000005</v>
      </c>
      <c r="M3837" s="8">
        <v>9301.0959999999995</v>
      </c>
      <c r="N3837" s="8">
        <v>10085.195</v>
      </c>
      <c r="O3837" s="8">
        <v>11322.221</v>
      </c>
      <c r="P3837" s="8">
        <v>11232.998</v>
      </c>
      <c r="Q3837" s="8">
        <v>10062.148999999999</v>
      </c>
      <c r="R3837" s="8">
        <v>8514.8379999999997</v>
      </c>
      <c r="S3837" s="8">
        <v>6562.3289999999997</v>
      </c>
      <c r="T3837" s="8">
        <v>5480.9160000000002</v>
      </c>
      <c r="U3837" s="8">
        <v>4745.3140000000003</v>
      </c>
      <c r="V3837" s="8">
        <v>4501.8379999999997</v>
      </c>
      <c r="W3837" s="8">
        <v>3834.2310000000002</v>
      </c>
      <c r="X3837" s="8">
        <v>2755.1979999999999</v>
      </c>
      <c r="Y3837" s="8">
        <v>1608.954</v>
      </c>
      <c r="Z3837" s="8">
        <v>735.56600000000003</v>
      </c>
      <c r="AA3837" s="8">
        <v>260.351</v>
      </c>
      <c r="AB3837" s="8">
        <v>42.195999999999998</v>
      </c>
      <c r="AC3837" s="8">
        <v>6.4340000000000002</v>
      </c>
    </row>
    <row r="3838" spans="1:29" ht="11.65" x14ac:dyDescent="0.35">
      <c r="A3838" s="12">
        <v>3821</v>
      </c>
      <c r="B3838" s="10" t="s">
        <v>1015</v>
      </c>
      <c r="C3838" s="11" t="s">
        <v>1279</v>
      </c>
      <c r="D3838" s="9">
        <v>29</v>
      </c>
      <c r="E3838" s="9">
        <v>840</v>
      </c>
      <c r="F3838" s="10" t="s">
        <v>1066</v>
      </c>
      <c r="G3838" s="9">
        <v>918</v>
      </c>
      <c r="H3838" s="9">
        <v>2000</v>
      </c>
      <c r="I3838" s="8">
        <v>10000.905000000001</v>
      </c>
      <c r="J3838" s="8">
        <v>10671.51</v>
      </c>
      <c r="K3838" s="8">
        <v>10607.727999999999</v>
      </c>
      <c r="L3838" s="8">
        <v>10223.642</v>
      </c>
      <c r="M3838" s="8">
        <v>9705.8989999999994</v>
      </c>
      <c r="N3838" s="8">
        <v>9761.9519999999993</v>
      </c>
      <c r="O3838" s="8">
        <v>10517.304</v>
      </c>
      <c r="P3838" s="8">
        <v>11448.082</v>
      </c>
      <c r="Q3838" s="8">
        <v>11213.322</v>
      </c>
      <c r="R3838" s="8">
        <v>10037.915000000001</v>
      </c>
      <c r="S3838" s="8">
        <v>8544.7289999999994</v>
      </c>
      <c r="T3838" s="8">
        <v>6375.0460000000003</v>
      </c>
      <c r="U3838" s="8">
        <v>5262.5590000000002</v>
      </c>
      <c r="V3838" s="8">
        <v>4378.558</v>
      </c>
      <c r="W3838" s="8">
        <v>3878.913</v>
      </c>
      <c r="X3838" s="8">
        <v>3053.384</v>
      </c>
      <c r="Y3838" s="8">
        <v>1883.3720000000001</v>
      </c>
      <c r="Z3838" s="8">
        <v>858.11900000000003</v>
      </c>
      <c r="AA3838" s="8">
        <v>274.23500000000001</v>
      </c>
      <c r="AB3838" s="8">
        <v>58.808</v>
      </c>
      <c r="AC3838" s="8">
        <v>5.6059999999999999</v>
      </c>
    </row>
    <row r="3839" spans="1:29" ht="11.65" x14ac:dyDescent="0.35">
      <c r="A3839" s="12">
        <v>3822</v>
      </c>
      <c r="B3839" s="10" t="s">
        <v>1015</v>
      </c>
      <c r="C3839" s="11" t="s">
        <v>1279</v>
      </c>
      <c r="D3839" s="9">
        <v>29</v>
      </c>
      <c r="E3839" s="9">
        <v>840</v>
      </c>
      <c r="F3839" s="10" t="s">
        <v>1066</v>
      </c>
      <c r="G3839" s="9">
        <v>918</v>
      </c>
      <c r="H3839" s="9">
        <v>2005</v>
      </c>
      <c r="I3839" s="8">
        <v>10362.146000000001</v>
      </c>
      <c r="J3839" s="8">
        <v>10104.445</v>
      </c>
      <c r="K3839" s="8">
        <v>11054.861999999999</v>
      </c>
      <c r="L3839" s="8">
        <v>11095.918</v>
      </c>
      <c r="M3839" s="8">
        <v>10543.3</v>
      </c>
      <c r="N3839" s="8">
        <v>9746.1260000000002</v>
      </c>
      <c r="O3839" s="8">
        <v>9892.3819999999996</v>
      </c>
      <c r="P3839" s="8">
        <v>10562.911</v>
      </c>
      <c r="Q3839" s="8">
        <v>11368.494000000001</v>
      </c>
      <c r="R3839" s="8">
        <v>11082.866</v>
      </c>
      <c r="S3839" s="8">
        <v>9874.6949999999997</v>
      </c>
      <c r="T3839" s="8">
        <v>8326.1190000000006</v>
      </c>
      <c r="U3839" s="8">
        <v>6100.835</v>
      </c>
      <c r="V3839" s="8">
        <v>4903.1469999999999</v>
      </c>
      <c r="W3839" s="8">
        <v>3862.085</v>
      </c>
      <c r="X3839" s="8">
        <v>3144.6039999999998</v>
      </c>
      <c r="Y3839" s="8">
        <v>2101.5300000000002</v>
      </c>
      <c r="Z3839" s="8">
        <v>1047.646</v>
      </c>
      <c r="AA3839" s="8">
        <v>326.55700000000002</v>
      </c>
      <c r="AB3839" s="8">
        <v>60.537999999999997</v>
      </c>
      <c r="AC3839" s="8">
        <v>6.875</v>
      </c>
    </row>
    <row r="3840" spans="1:29" ht="11.65" x14ac:dyDescent="0.35">
      <c r="A3840" s="12">
        <v>3823</v>
      </c>
      <c r="B3840" s="10" t="s">
        <v>1015</v>
      </c>
      <c r="C3840" s="11" t="s">
        <v>1279</v>
      </c>
      <c r="D3840" s="9">
        <v>29</v>
      </c>
      <c r="E3840" s="9">
        <v>840</v>
      </c>
      <c r="F3840" s="10" t="s">
        <v>1066</v>
      </c>
      <c r="G3840" s="9">
        <v>918</v>
      </c>
      <c r="H3840" s="9">
        <v>2010</v>
      </c>
      <c r="I3840" s="8">
        <v>10682.016</v>
      </c>
      <c r="J3840" s="8">
        <v>10560.883</v>
      </c>
      <c r="K3840" s="8">
        <v>10692.048000000001</v>
      </c>
      <c r="L3840" s="8">
        <v>11397.394</v>
      </c>
      <c r="M3840" s="8">
        <v>11105.992</v>
      </c>
      <c r="N3840" s="8">
        <v>10481.35</v>
      </c>
      <c r="O3840" s="8">
        <v>9937.116</v>
      </c>
      <c r="P3840" s="8">
        <v>9973.4770000000008</v>
      </c>
      <c r="Q3840" s="8">
        <v>10561.121999999999</v>
      </c>
      <c r="R3840" s="8">
        <v>11274.976000000001</v>
      </c>
      <c r="S3840" s="8">
        <v>10963.058999999999</v>
      </c>
      <c r="T3840" s="8">
        <v>9620.4210000000003</v>
      </c>
      <c r="U3840" s="8">
        <v>7986.6260000000002</v>
      </c>
      <c r="V3840" s="8">
        <v>5718.0190000000002</v>
      </c>
      <c r="W3840" s="8">
        <v>4359.1459999999997</v>
      </c>
      <c r="X3840" s="8">
        <v>3183.16</v>
      </c>
      <c r="Y3840" s="8">
        <v>2331.9699999999998</v>
      </c>
      <c r="Z3840" s="8">
        <v>1258.6489999999999</v>
      </c>
      <c r="AA3840" s="8">
        <v>436.66800000000001</v>
      </c>
      <c r="AB3840" s="8">
        <v>79.016000000000005</v>
      </c>
      <c r="AC3840" s="8">
        <v>7.8019999999999996</v>
      </c>
    </row>
    <row r="3841" spans="1:29" ht="11.65" x14ac:dyDescent="0.35">
      <c r="A3841" s="12">
        <v>3824</v>
      </c>
      <c r="B3841" s="10" t="s">
        <v>1015</v>
      </c>
      <c r="C3841" s="11" t="s">
        <v>1279</v>
      </c>
      <c r="D3841" s="9">
        <v>29</v>
      </c>
      <c r="E3841" s="9">
        <v>840</v>
      </c>
      <c r="F3841" s="10" t="s">
        <v>1066</v>
      </c>
      <c r="G3841" s="9">
        <v>918</v>
      </c>
      <c r="H3841" s="9">
        <v>2015</v>
      </c>
      <c r="I3841" s="8">
        <v>10192.623</v>
      </c>
      <c r="J3841" s="8">
        <v>10736.531999999999</v>
      </c>
      <c r="K3841" s="8">
        <v>10604.77</v>
      </c>
      <c r="L3841" s="8">
        <v>10933.183999999999</v>
      </c>
      <c r="M3841" s="8">
        <v>11808.561</v>
      </c>
      <c r="N3841" s="8">
        <v>11481.85</v>
      </c>
      <c r="O3841" s="8">
        <v>10745.591</v>
      </c>
      <c r="P3841" s="8">
        <v>10090.852999999999</v>
      </c>
      <c r="Q3841" s="8">
        <v>10027.705</v>
      </c>
      <c r="R3841" s="8">
        <v>10504.541999999999</v>
      </c>
      <c r="S3841" s="8">
        <v>11069.727999999999</v>
      </c>
      <c r="T3841" s="8">
        <v>10601.54</v>
      </c>
      <c r="U3841" s="8">
        <v>9137.0310000000009</v>
      </c>
      <c r="V3841" s="8">
        <v>7416.9139999999998</v>
      </c>
      <c r="W3841" s="8">
        <v>5118.7629999999999</v>
      </c>
      <c r="X3841" s="8">
        <v>3670.1309999999999</v>
      </c>
      <c r="Y3841" s="8">
        <v>2409.348</v>
      </c>
      <c r="Z3841" s="8">
        <v>1463.24</v>
      </c>
      <c r="AA3841" s="8">
        <v>569.47500000000002</v>
      </c>
      <c r="AB3841" s="8">
        <v>118.149</v>
      </c>
      <c r="AC3841" s="8">
        <v>11.590999999999999</v>
      </c>
    </row>
    <row r="3842" spans="1:29" ht="11.65" x14ac:dyDescent="0.35">
      <c r="A3842" s="12">
        <v>3825</v>
      </c>
      <c r="B3842" s="10" t="s">
        <v>1015</v>
      </c>
      <c r="C3842" s="11" t="s">
        <v>1279</v>
      </c>
      <c r="D3842" s="9">
        <v>29</v>
      </c>
      <c r="E3842" s="9">
        <v>840</v>
      </c>
      <c r="F3842" s="10" t="s">
        <v>1066</v>
      </c>
      <c r="G3842" s="9">
        <v>918</v>
      </c>
      <c r="H3842" s="9">
        <v>2020</v>
      </c>
      <c r="I3842" s="8">
        <v>10055.063</v>
      </c>
      <c r="J3842" s="8">
        <v>10246.393</v>
      </c>
      <c r="K3842" s="8">
        <v>10777.513000000001</v>
      </c>
      <c r="L3842" s="8">
        <v>10834.321</v>
      </c>
      <c r="M3842" s="8">
        <v>11322.732</v>
      </c>
      <c r="N3842" s="8">
        <v>12144.455</v>
      </c>
      <c r="O3842" s="8">
        <v>11702.513999999999</v>
      </c>
      <c r="P3842" s="8">
        <v>10858.870999999999</v>
      </c>
      <c r="Q3842" s="8">
        <v>10118.582</v>
      </c>
      <c r="R3842" s="8">
        <v>9969.0990000000002</v>
      </c>
      <c r="S3842" s="8">
        <v>10319.535</v>
      </c>
      <c r="T3842" s="8">
        <v>10702.065000000001</v>
      </c>
      <c r="U3842" s="8">
        <v>10049.886</v>
      </c>
      <c r="V3842" s="8">
        <v>8465.2739999999994</v>
      </c>
      <c r="W3842" s="8">
        <v>6645.5190000000002</v>
      </c>
      <c r="X3842" s="8">
        <v>4326.9859999999999</v>
      </c>
      <c r="Y3842" s="8">
        <v>2805.623</v>
      </c>
      <c r="Z3842" s="8">
        <v>1538.6590000000001</v>
      </c>
      <c r="AA3842" s="8">
        <v>703.13099999999997</v>
      </c>
      <c r="AB3842" s="8">
        <v>179.00299999999999</v>
      </c>
      <c r="AC3842" s="8">
        <v>20.792000000000002</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5F3CF-FEEA-4F6E-8846-32F919D92815}">
  <dimension ref="A1:AC3842"/>
  <sheetViews>
    <sheetView topLeftCell="A11" workbookViewId="0">
      <selection activeCell="I474" sqref="I474"/>
    </sheetView>
  </sheetViews>
  <sheetFormatPr defaultColWidth="8" defaultRowHeight="10.5" x14ac:dyDescent="0.35"/>
  <cols>
    <col min="1" max="1" width="5.73046875" style="7" customWidth="1"/>
    <col min="2" max="2" width="21.73046875" style="7" customWidth="1"/>
    <col min="3" max="3" width="45" style="7" customWidth="1"/>
    <col min="4" max="4" width="6.46484375" style="7" customWidth="1"/>
    <col min="5" max="5" width="7.19921875" style="7" customWidth="1"/>
    <col min="6" max="6" width="14.46484375" style="7" customWidth="1"/>
    <col min="7" max="7" width="7.19921875" style="7" customWidth="1"/>
    <col min="8" max="8" width="11.53125" style="7" customWidth="1"/>
    <col min="9" max="29" width="8.53125" style="7" customWidth="1"/>
    <col min="30" max="16384" width="8" style="7"/>
  </cols>
  <sheetData>
    <row r="1" spans="1:29" ht="11.65" x14ac:dyDescent="0.35">
      <c r="A1" s="431"/>
      <c r="B1" s="431"/>
      <c r="C1" s="431"/>
      <c r="D1" s="431"/>
      <c r="E1" s="431"/>
      <c r="F1" s="431"/>
      <c r="G1" s="431"/>
      <c r="H1" s="431"/>
      <c r="I1" s="46"/>
      <c r="J1" s="46"/>
      <c r="K1" s="46"/>
      <c r="L1" s="46"/>
      <c r="M1" s="46"/>
      <c r="N1" s="46"/>
      <c r="O1" s="46"/>
      <c r="P1" s="46"/>
      <c r="Q1" s="46"/>
      <c r="R1" s="46"/>
      <c r="S1" s="46"/>
      <c r="T1" s="46"/>
      <c r="U1" s="46"/>
      <c r="V1" s="46"/>
      <c r="W1" s="46"/>
      <c r="X1" s="46"/>
      <c r="Y1" s="46"/>
      <c r="Z1" s="46"/>
      <c r="AA1" s="46"/>
      <c r="AB1" s="46"/>
      <c r="AC1" s="46"/>
    </row>
    <row r="2" spans="1:29" ht="11.65" x14ac:dyDescent="0.35">
      <c r="A2" s="431"/>
      <c r="B2" s="431"/>
      <c r="C2" s="431"/>
      <c r="D2" s="431"/>
      <c r="E2" s="431"/>
      <c r="F2" s="431"/>
      <c r="G2" s="431"/>
      <c r="H2" s="431"/>
      <c r="I2" s="46"/>
      <c r="J2" s="46"/>
      <c r="K2" s="46"/>
      <c r="L2" s="46"/>
      <c r="M2" s="46"/>
      <c r="N2" s="46"/>
      <c r="O2" s="46"/>
      <c r="P2" s="46"/>
      <c r="Q2" s="46"/>
      <c r="R2" s="46"/>
      <c r="S2" s="46"/>
      <c r="T2" s="46"/>
      <c r="U2" s="46"/>
      <c r="V2" s="46"/>
      <c r="W2" s="46"/>
      <c r="X2" s="46"/>
      <c r="Y2" s="46"/>
      <c r="Z2" s="46"/>
      <c r="AA2" s="46"/>
      <c r="AB2" s="46"/>
      <c r="AC2" s="46"/>
    </row>
    <row r="3" spans="1:29" ht="11.65" x14ac:dyDescent="0.35">
      <c r="A3" s="431"/>
      <c r="B3" s="431"/>
      <c r="C3" s="431"/>
      <c r="D3" s="431"/>
      <c r="E3" s="431"/>
      <c r="F3" s="431"/>
      <c r="G3" s="431"/>
      <c r="H3" s="431"/>
      <c r="I3" s="46"/>
      <c r="J3" s="46"/>
      <c r="K3" s="46"/>
      <c r="L3" s="46"/>
      <c r="M3" s="46"/>
      <c r="N3" s="46"/>
      <c r="O3" s="46"/>
      <c r="P3" s="46"/>
      <c r="Q3" s="46"/>
      <c r="R3" s="46"/>
      <c r="S3" s="46"/>
      <c r="T3" s="46"/>
      <c r="U3" s="46"/>
      <c r="V3" s="46"/>
      <c r="W3" s="46"/>
      <c r="X3" s="46"/>
      <c r="Y3" s="46"/>
      <c r="Z3" s="46"/>
      <c r="AA3" s="46"/>
      <c r="AB3" s="46"/>
      <c r="AC3" s="46"/>
    </row>
    <row r="4" spans="1:29" ht="11.65" x14ac:dyDescent="0.35">
      <c r="A4" s="431"/>
      <c r="B4" s="431"/>
      <c r="C4" s="431"/>
      <c r="D4" s="431"/>
      <c r="E4" s="431"/>
      <c r="F4" s="431"/>
      <c r="G4" s="431"/>
      <c r="H4" s="431"/>
      <c r="I4" s="46"/>
      <c r="J4" s="46"/>
      <c r="K4" s="46"/>
      <c r="L4" s="46"/>
      <c r="M4" s="46"/>
      <c r="N4" s="46"/>
      <c r="O4" s="46"/>
      <c r="P4" s="46"/>
      <c r="Q4" s="46"/>
      <c r="R4" s="46"/>
      <c r="S4" s="46"/>
      <c r="T4" s="46"/>
      <c r="U4" s="46"/>
      <c r="V4" s="46"/>
      <c r="W4" s="46"/>
      <c r="X4" s="46"/>
      <c r="Y4" s="46"/>
      <c r="Z4" s="46"/>
      <c r="AA4" s="46"/>
      <c r="AB4" s="46"/>
      <c r="AC4" s="46"/>
    </row>
    <row r="5" spans="1:29" ht="15" x14ac:dyDescent="0.4">
      <c r="A5" s="432" t="s">
        <v>998</v>
      </c>
      <c r="B5" s="432"/>
      <c r="C5" s="432"/>
      <c r="D5" s="432"/>
      <c r="E5" s="432"/>
      <c r="F5" s="432"/>
      <c r="G5" s="432"/>
      <c r="H5" s="432"/>
      <c r="I5" s="46"/>
      <c r="J5" s="46"/>
      <c r="K5" s="46"/>
      <c r="L5" s="46"/>
      <c r="M5" s="46"/>
      <c r="N5" s="46"/>
      <c r="O5" s="46"/>
      <c r="P5" s="46"/>
      <c r="Q5" s="46"/>
      <c r="R5" s="46"/>
      <c r="S5" s="46"/>
      <c r="T5" s="46"/>
      <c r="U5" s="46"/>
      <c r="V5" s="46"/>
      <c r="W5" s="46"/>
      <c r="X5" s="46"/>
      <c r="Y5" s="46"/>
      <c r="Z5" s="46"/>
      <c r="AA5" s="46"/>
      <c r="AB5" s="46"/>
      <c r="AC5" s="46"/>
    </row>
    <row r="6" spans="1:29" ht="13.15" x14ac:dyDescent="0.4">
      <c r="A6" s="430" t="s">
        <v>999</v>
      </c>
      <c r="B6" s="430"/>
      <c r="C6" s="430"/>
      <c r="D6" s="430"/>
      <c r="E6" s="430"/>
      <c r="F6" s="430"/>
      <c r="G6" s="430"/>
      <c r="H6" s="430"/>
      <c r="I6" s="46"/>
      <c r="J6" s="46"/>
      <c r="K6" s="46"/>
      <c r="L6" s="46"/>
      <c r="M6" s="46"/>
      <c r="N6" s="46"/>
      <c r="O6" s="46"/>
      <c r="P6" s="46"/>
      <c r="Q6" s="46"/>
      <c r="R6" s="46"/>
      <c r="S6" s="46"/>
      <c r="T6" s="46"/>
      <c r="U6" s="46"/>
      <c r="V6" s="46"/>
      <c r="W6" s="46"/>
      <c r="X6" s="46"/>
      <c r="Y6" s="46"/>
      <c r="Z6" s="46"/>
      <c r="AA6" s="46"/>
      <c r="AB6" s="46"/>
      <c r="AC6" s="46"/>
    </row>
    <row r="7" spans="1:29" ht="13.15" x14ac:dyDescent="0.4">
      <c r="A7" s="430" t="s">
        <v>1000</v>
      </c>
      <c r="B7" s="430"/>
      <c r="C7" s="430"/>
      <c r="D7" s="430"/>
      <c r="E7" s="430"/>
      <c r="F7" s="430"/>
      <c r="G7" s="430"/>
      <c r="H7" s="430"/>
      <c r="I7" s="46"/>
      <c r="J7" s="46"/>
      <c r="K7" s="46"/>
      <c r="L7" s="46"/>
      <c r="M7" s="46"/>
      <c r="N7" s="46"/>
      <c r="O7" s="46"/>
      <c r="P7" s="46"/>
      <c r="Q7" s="46"/>
      <c r="R7" s="46"/>
      <c r="S7" s="46"/>
      <c r="T7" s="46"/>
      <c r="U7" s="46"/>
      <c r="V7" s="46"/>
      <c r="W7" s="46"/>
      <c r="X7" s="46"/>
      <c r="Y7" s="46"/>
      <c r="Z7" s="46"/>
      <c r="AA7" s="46"/>
      <c r="AB7" s="46"/>
      <c r="AC7" s="46"/>
    </row>
    <row r="8" spans="1:29" ht="11.65" x14ac:dyDescent="0.35">
      <c r="A8" s="431"/>
      <c r="B8" s="431"/>
      <c r="C8" s="431"/>
      <c r="D8" s="431"/>
      <c r="E8" s="431"/>
      <c r="F8" s="431"/>
      <c r="G8" s="431"/>
      <c r="H8" s="431"/>
      <c r="I8" s="46"/>
      <c r="J8" s="46"/>
      <c r="K8" s="46"/>
      <c r="L8" s="46"/>
      <c r="M8" s="46"/>
      <c r="N8" s="46"/>
      <c r="O8" s="46"/>
      <c r="P8" s="46"/>
      <c r="Q8" s="46"/>
      <c r="R8" s="46"/>
      <c r="S8" s="46"/>
      <c r="T8" s="46"/>
      <c r="U8" s="46"/>
      <c r="V8" s="46"/>
      <c r="W8" s="46"/>
      <c r="X8" s="46"/>
      <c r="Y8" s="46"/>
      <c r="Z8" s="46"/>
      <c r="AA8" s="46"/>
      <c r="AB8" s="46"/>
      <c r="AC8" s="46"/>
    </row>
    <row r="9" spans="1:29" ht="12.75" x14ac:dyDescent="0.35">
      <c r="A9" s="436" t="s">
        <v>1001</v>
      </c>
      <c r="B9" s="436"/>
      <c r="C9" s="436"/>
      <c r="D9" s="436"/>
      <c r="E9" s="436"/>
      <c r="F9" s="436"/>
      <c r="G9" s="436"/>
      <c r="H9" s="436"/>
      <c r="I9" s="46"/>
      <c r="J9" s="46"/>
      <c r="K9" s="46"/>
      <c r="L9" s="46"/>
      <c r="M9" s="46"/>
      <c r="N9" s="46"/>
      <c r="O9" s="46"/>
      <c r="P9" s="46"/>
      <c r="Q9" s="46"/>
      <c r="R9" s="46"/>
      <c r="S9" s="46"/>
      <c r="T9" s="46"/>
      <c r="U9" s="46"/>
      <c r="V9" s="46"/>
      <c r="W9" s="46"/>
      <c r="X9" s="46"/>
      <c r="Y9" s="46"/>
      <c r="Z9" s="46"/>
      <c r="AA9" s="46"/>
      <c r="AB9" s="46"/>
      <c r="AC9" s="46"/>
    </row>
    <row r="10" spans="1:29" ht="13.15" x14ac:dyDescent="0.4">
      <c r="A10" s="430" t="s">
        <v>1280</v>
      </c>
      <c r="B10" s="430"/>
      <c r="C10" s="430"/>
      <c r="D10" s="430"/>
      <c r="E10" s="430"/>
      <c r="F10" s="430"/>
      <c r="G10" s="430"/>
      <c r="H10" s="430"/>
      <c r="I10" s="46"/>
      <c r="J10" s="46"/>
      <c r="K10" s="46"/>
      <c r="L10" s="46"/>
      <c r="M10" s="46"/>
      <c r="N10" s="46"/>
      <c r="O10" s="46"/>
      <c r="P10" s="46"/>
      <c r="Q10" s="46"/>
      <c r="R10" s="46"/>
      <c r="S10" s="46"/>
      <c r="T10" s="46"/>
      <c r="U10" s="46"/>
      <c r="V10" s="46"/>
      <c r="W10" s="46"/>
      <c r="X10" s="46"/>
      <c r="Y10" s="46"/>
      <c r="Z10" s="46"/>
      <c r="AA10" s="46"/>
      <c r="AB10" s="46"/>
      <c r="AC10" s="46"/>
    </row>
    <row r="11" spans="1:29" ht="11.65" x14ac:dyDescent="0.35">
      <c r="A11" s="437" t="s">
        <v>1003</v>
      </c>
      <c r="B11" s="437"/>
      <c r="C11" s="437"/>
      <c r="D11" s="437"/>
      <c r="E11" s="437"/>
      <c r="F11" s="437"/>
      <c r="G11" s="437"/>
      <c r="H11" s="437"/>
      <c r="I11" s="46"/>
      <c r="J11" s="46"/>
      <c r="K11" s="46"/>
      <c r="L11" s="46"/>
      <c r="M11" s="46"/>
      <c r="N11" s="46"/>
      <c r="O11" s="46"/>
      <c r="P11" s="46"/>
      <c r="Q11" s="46"/>
      <c r="R11" s="46"/>
      <c r="S11" s="46"/>
      <c r="T11" s="46"/>
      <c r="U11" s="46"/>
      <c r="V11" s="46"/>
      <c r="W11" s="46"/>
      <c r="X11" s="46"/>
      <c r="Y11" s="46"/>
      <c r="Z11" s="46"/>
      <c r="AA11" s="46"/>
      <c r="AB11" s="46"/>
      <c r="AC11" s="46"/>
    </row>
    <row r="12" spans="1:29" ht="11.65" x14ac:dyDescent="0.35">
      <c r="A12" s="438" t="s">
        <v>1281</v>
      </c>
      <c r="B12" s="438"/>
      <c r="C12" s="438"/>
      <c r="D12" s="438"/>
      <c r="E12" s="438"/>
      <c r="F12" s="438"/>
      <c r="G12" s="438"/>
      <c r="H12" s="438"/>
      <c r="I12" s="46"/>
      <c r="J12" s="46"/>
      <c r="K12" s="46"/>
      <c r="L12" s="46"/>
      <c r="M12" s="46"/>
      <c r="N12" s="46"/>
      <c r="O12" s="46"/>
      <c r="P12" s="46"/>
      <c r="Q12" s="46"/>
      <c r="R12" s="46"/>
      <c r="S12" s="46"/>
      <c r="T12" s="46"/>
      <c r="U12" s="46"/>
      <c r="V12" s="46"/>
      <c r="W12" s="46"/>
      <c r="X12" s="46"/>
      <c r="Y12" s="46"/>
      <c r="Z12" s="46"/>
      <c r="AA12" s="46"/>
      <c r="AB12" s="46"/>
      <c r="AC12" s="46"/>
    </row>
    <row r="13" spans="1:29" ht="11.65" x14ac:dyDescent="0.35">
      <c r="A13" s="433" t="s">
        <v>1005</v>
      </c>
      <c r="B13" s="433"/>
      <c r="C13" s="433"/>
      <c r="D13" s="433"/>
      <c r="E13" s="433"/>
      <c r="F13" s="433"/>
      <c r="G13" s="433"/>
      <c r="H13" s="433"/>
      <c r="I13" s="46"/>
      <c r="J13" s="46"/>
      <c r="K13" s="46"/>
      <c r="L13" s="46"/>
      <c r="M13" s="46"/>
      <c r="N13" s="46"/>
      <c r="O13" s="46"/>
      <c r="P13" s="46"/>
      <c r="Q13" s="46"/>
      <c r="R13" s="46"/>
      <c r="S13" s="46"/>
      <c r="T13" s="46"/>
      <c r="U13" s="46"/>
      <c r="V13" s="46"/>
      <c r="W13" s="46"/>
      <c r="X13" s="46"/>
      <c r="Y13" s="46"/>
      <c r="Z13" s="46"/>
      <c r="AA13" s="46"/>
      <c r="AB13" s="46"/>
      <c r="AC13" s="46"/>
    </row>
    <row r="14" spans="1:29" ht="11.65" x14ac:dyDescent="0.35">
      <c r="A14" s="434" t="s">
        <v>1006</v>
      </c>
      <c r="B14" s="434"/>
      <c r="C14" s="434"/>
      <c r="D14" s="434"/>
      <c r="E14" s="434"/>
      <c r="F14" s="434"/>
      <c r="G14" s="434"/>
      <c r="H14" s="434"/>
      <c r="I14" s="46"/>
      <c r="J14" s="46"/>
      <c r="K14" s="46"/>
      <c r="L14" s="46"/>
      <c r="M14" s="46"/>
      <c r="N14" s="46"/>
      <c r="O14" s="46"/>
      <c r="P14" s="46"/>
      <c r="Q14" s="46"/>
      <c r="R14" s="46"/>
      <c r="S14" s="46"/>
      <c r="T14" s="46"/>
      <c r="U14" s="46"/>
      <c r="V14" s="46"/>
      <c r="W14" s="46"/>
      <c r="X14" s="46"/>
      <c r="Y14" s="46"/>
      <c r="Z14" s="46"/>
      <c r="AA14" s="46"/>
      <c r="AB14" s="46"/>
      <c r="AC14" s="46"/>
    </row>
    <row r="15" spans="1:29" ht="11.65" x14ac:dyDescent="0.35">
      <c r="A15" s="435"/>
      <c r="B15" s="435"/>
      <c r="C15" s="435"/>
      <c r="D15" s="435"/>
      <c r="E15" s="435"/>
      <c r="F15" s="435"/>
      <c r="G15" s="435"/>
      <c r="H15" s="435"/>
      <c r="I15" s="46"/>
      <c r="J15" s="46"/>
      <c r="K15" s="46"/>
      <c r="L15" s="46"/>
      <c r="M15" s="46"/>
      <c r="N15" s="46"/>
      <c r="O15" s="46"/>
      <c r="P15" s="46"/>
      <c r="Q15" s="46"/>
      <c r="R15" s="46"/>
      <c r="S15" s="46"/>
      <c r="T15" s="46"/>
      <c r="U15" s="46"/>
      <c r="V15" s="46"/>
      <c r="W15" s="46"/>
      <c r="X15" s="46"/>
      <c r="Y15" s="46"/>
      <c r="Z15" s="46"/>
      <c r="AA15" s="46"/>
      <c r="AB15" s="46"/>
      <c r="AC15" s="46"/>
    </row>
    <row r="16" spans="1:29" ht="11.65" x14ac:dyDescent="0.35">
      <c r="A16" s="45"/>
      <c r="B16" s="45"/>
      <c r="C16" s="45"/>
      <c r="D16" s="45"/>
      <c r="E16" s="45"/>
      <c r="F16" s="45"/>
      <c r="G16" s="45"/>
      <c r="H16" s="45"/>
      <c r="I16" s="44" t="s">
        <v>1282</v>
      </c>
      <c r="J16" s="43"/>
      <c r="K16" s="43"/>
      <c r="L16" s="43"/>
      <c r="M16" s="43"/>
      <c r="N16" s="43"/>
      <c r="O16" s="43"/>
      <c r="P16" s="43"/>
      <c r="Q16" s="43"/>
      <c r="R16" s="43"/>
      <c r="S16" s="43"/>
      <c r="T16" s="43"/>
      <c r="U16" s="43"/>
      <c r="V16" s="43"/>
      <c r="W16" s="43"/>
      <c r="X16" s="43"/>
      <c r="Y16" s="43"/>
      <c r="Z16" s="43"/>
      <c r="AA16" s="43"/>
      <c r="AB16" s="43"/>
      <c r="AC16" s="42"/>
    </row>
    <row r="17" spans="1:29" ht="34.9" x14ac:dyDescent="0.35">
      <c r="A17" s="41" t="s">
        <v>1008</v>
      </c>
      <c r="B17" s="41" t="s">
        <v>1009</v>
      </c>
      <c r="C17" s="40" t="s">
        <v>1010</v>
      </c>
      <c r="D17" s="40" t="s">
        <v>81</v>
      </c>
      <c r="E17" s="39" t="s">
        <v>1011</v>
      </c>
      <c r="F17" s="40" t="s">
        <v>1012</v>
      </c>
      <c r="G17" s="39" t="s">
        <v>1013</v>
      </c>
      <c r="H17" s="39" t="s">
        <v>1014</v>
      </c>
      <c r="I17" s="38" t="s">
        <v>981</v>
      </c>
      <c r="J17" s="38" t="s">
        <v>982</v>
      </c>
      <c r="K17" s="38" t="s">
        <v>983</v>
      </c>
      <c r="L17" s="38" t="s">
        <v>664</v>
      </c>
      <c r="M17" s="38" t="s">
        <v>665</v>
      </c>
      <c r="N17" s="38" t="s">
        <v>667</v>
      </c>
      <c r="O17" s="38" t="s">
        <v>670</v>
      </c>
      <c r="P17" s="38" t="s">
        <v>672</v>
      </c>
      <c r="Q17" s="38" t="s">
        <v>674</v>
      </c>
      <c r="R17" s="38" t="s">
        <v>676</v>
      </c>
      <c r="S17" s="38" t="s">
        <v>984</v>
      </c>
      <c r="T17" s="38" t="s">
        <v>985</v>
      </c>
      <c r="U17" s="38" t="s">
        <v>986</v>
      </c>
      <c r="V17" s="38" t="s">
        <v>987</v>
      </c>
      <c r="W17" s="38" t="s">
        <v>988</v>
      </c>
      <c r="X17" s="38" t="s">
        <v>989</v>
      </c>
      <c r="Y17" s="38" t="s">
        <v>990</v>
      </c>
      <c r="Z17" s="38" t="s">
        <v>991</v>
      </c>
      <c r="AA17" s="38" t="s">
        <v>992</v>
      </c>
      <c r="AB17" s="38" t="s">
        <v>993</v>
      </c>
      <c r="AC17" s="38" t="s">
        <v>994</v>
      </c>
    </row>
    <row r="18" spans="1:29" ht="11.65" hidden="1" x14ac:dyDescent="0.35">
      <c r="A18" s="12">
        <v>1</v>
      </c>
      <c r="B18" s="10" t="s">
        <v>1015</v>
      </c>
      <c r="C18" s="37" t="s">
        <v>1016</v>
      </c>
      <c r="D18" s="9"/>
      <c r="E18" s="9">
        <v>900</v>
      </c>
      <c r="F18" s="10" t="s">
        <v>1017</v>
      </c>
      <c r="G18" s="9">
        <v>0</v>
      </c>
      <c r="H18" s="9">
        <v>1950</v>
      </c>
      <c r="I18" s="8">
        <v>166076.75099999999</v>
      </c>
      <c r="J18" s="8">
        <v>131785.035</v>
      </c>
      <c r="K18" s="8">
        <v>127342.693</v>
      </c>
      <c r="L18" s="8">
        <v>117332.713</v>
      </c>
      <c r="M18" s="8">
        <v>109689.337</v>
      </c>
      <c r="N18" s="8">
        <v>98537.657999999996</v>
      </c>
      <c r="O18" s="8">
        <v>84666.453999999998</v>
      </c>
      <c r="P18" s="8">
        <v>83025.587</v>
      </c>
      <c r="Q18" s="8">
        <v>74400.103000000003</v>
      </c>
      <c r="R18" s="8">
        <v>64902.476999999999</v>
      </c>
      <c r="S18" s="8">
        <v>55078.203999999998</v>
      </c>
      <c r="T18" s="8">
        <v>46114.025999999998</v>
      </c>
      <c r="U18" s="8">
        <v>39066.813000000002</v>
      </c>
      <c r="V18" s="8">
        <v>30065.688999999998</v>
      </c>
      <c r="W18" s="8">
        <v>20806.445</v>
      </c>
      <c r="X18" s="8">
        <v>12558.136</v>
      </c>
      <c r="Y18" s="8">
        <v>5750.3310000000001</v>
      </c>
      <c r="Z18" s="8">
        <v>2178.2820000000002</v>
      </c>
      <c r="AA18" s="8">
        <v>630.98400000000004</v>
      </c>
      <c r="AB18" s="8">
        <v>139.238</v>
      </c>
      <c r="AC18" s="8">
        <v>24.506</v>
      </c>
    </row>
    <row r="19" spans="1:29" ht="11.65" hidden="1" x14ac:dyDescent="0.35">
      <c r="A19" s="12">
        <v>2</v>
      </c>
      <c r="B19" s="10" t="s">
        <v>1015</v>
      </c>
      <c r="C19" s="37" t="s">
        <v>1016</v>
      </c>
      <c r="D19" s="9"/>
      <c r="E19" s="9">
        <v>900</v>
      </c>
      <c r="F19" s="10" t="s">
        <v>1017</v>
      </c>
      <c r="G19" s="9">
        <v>0</v>
      </c>
      <c r="H19" s="9">
        <v>1955</v>
      </c>
      <c r="I19" s="8">
        <v>199235.71599999999</v>
      </c>
      <c r="J19" s="8">
        <v>154926.27799999999</v>
      </c>
      <c r="K19" s="8">
        <v>128615.54</v>
      </c>
      <c r="L19" s="8">
        <v>124828.33199999999</v>
      </c>
      <c r="M19" s="8">
        <v>114282.974</v>
      </c>
      <c r="N19" s="8">
        <v>106314.63099999999</v>
      </c>
      <c r="O19" s="8">
        <v>95222.323000000004</v>
      </c>
      <c r="P19" s="8">
        <v>81377.963000000003</v>
      </c>
      <c r="Q19" s="8">
        <v>79460.103000000003</v>
      </c>
      <c r="R19" s="8">
        <v>70485.0450000001</v>
      </c>
      <c r="S19" s="8">
        <v>61385.201999999997</v>
      </c>
      <c r="T19" s="8">
        <v>50850.048999999999</v>
      </c>
      <c r="U19" s="8">
        <v>41065.582999999999</v>
      </c>
      <c r="V19" s="8">
        <v>32639.081999999999</v>
      </c>
      <c r="W19" s="8">
        <v>22948.374</v>
      </c>
      <c r="X19" s="8">
        <v>13811.369000000001</v>
      </c>
      <c r="Y19" s="8">
        <v>6843.0709999999999</v>
      </c>
      <c r="Z19" s="8">
        <v>2313.549</v>
      </c>
      <c r="AA19" s="8">
        <v>620.17100000000005</v>
      </c>
      <c r="AB19" s="8">
        <v>118.17</v>
      </c>
      <c r="AC19" s="8">
        <v>18.091000000000001</v>
      </c>
    </row>
    <row r="20" spans="1:29" ht="11.65" hidden="1" x14ac:dyDescent="0.35">
      <c r="A20" s="12">
        <v>3</v>
      </c>
      <c r="B20" s="10" t="s">
        <v>1015</v>
      </c>
      <c r="C20" s="37" t="s">
        <v>1016</v>
      </c>
      <c r="D20" s="9"/>
      <c r="E20" s="9">
        <v>900</v>
      </c>
      <c r="F20" s="10" t="s">
        <v>1017</v>
      </c>
      <c r="G20" s="9">
        <v>0</v>
      </c>
      <c r="H20" s="9">
        <v>1960</v>
      </c>
      <c r="I20" s="8">
        <v>212401.91800000001</v>
      </c>
      <c r="J20" s="8">
        <v>187553.41200000001</v>
      </c>
      <c r="K20" s="8">
        <v>151839.70800000001</v>
      </c>
      <c r="L20" s="8">
        <v>126067.867</v>
      </c>
      <c r="M20" s="8">
        <v>122023.277</v>
      </c>
      <c r="N20" s="8">
        <v>111277.46</v>
      </c>
      <c r="O20" s="8">
        <v>103287.038</v>
      </c>
      <c r="P20" s="8">
        <v>92106.862999999896</v>
      </c>
      <c r="Q20" s="8">
        <v>77941.472999999998</v>
      </c>
      <c r="R20" s="8">
        <v>75952.744999999995</v>
      </c>
      <c r="S20" s="8">
        <v>66935.878999999899</v>
      </c>
      <c r="T20" s="8">
        <v>57055.667000000001</v>
      </c>
      <c r="U20" s="8">
        <v>45672.44</v>
      </c>
      <c r="V20" s="8">
        <v>34739.500999999997</v>
      </c>
      <c r="W20" s="8">
        <v>25264.017</v>
      </c>
      <c r="X20" s="8">
        <v>15455.925999999999</v>
      </c>
      <c r="Y20" s="8">
        <v>7567.3860000000004</v>
      </c>
      <c r="Z20" s="8">
        <v>2828.7730000000001</v>
      </c>
      <c r="AA20" s="8">
        <v>658.47199999999998</v>
      </c>
      <c r="AB20" s="8">
        <v>117.717</v>
      </c>
      <c r="AC20" s="8">
        <v>15.474</v>
      </c>
    </row>
    <row r="21" spans="1:29" ht="11.65" hidden="1" x14ac:dyDescent="0.35">
      <c r="A21" s="12">
        <v>4</v>
      </c>
      <c r="B21" s="10" t="s">
        <v>1015</v>
      </c>
      <c r="C21" s="37" t="s">
        <v>1016</v>
      </c>
      <c r="D21" s="9"/>
      <c r="E21" s="9">
        <v>900</v>
      </c>
      <c r="F21" s="10" t="s">
        <v>1017</v>
      </c>
      <c r="G21" s="9">
        <v>0</v>
      </c>
      <c r="H21" s="9">
        <v>1965</v>
      </c>
      <c r="I21" s="8">
        <v>234318.098</v>
      </c>
      <c r="J21" s="8">
        <v>200959.18599999999</v>
      </c>
      <c r="K21" s="8">
        <v>183749.76500000001</v>
      </c>
      <c r="L21" s="8">
        <v>149281.78</v>
      </c>
      <c r="M21" s="8">
        <v>123584.36599999999</v>
      </c>
      <c r="N21" s="8">
        <v>119208.762</v>
      </c>
      <c r="O21" s="8">
        <v>108203.792</v>
      </c>
      <c r="P21" s="8">
        <v>100174.958</v>
      </c>
      <c r="Q21" s="8">
        <v>88885.335000000006</v>
      </c>
      <c r="R21" s="8">
        <v>74558.279000000097</v>
      </c>
      <c r="S21" s="8">
        <v>72219.364000000001</v>
      </c>
      <c r="T21" s="8">
        <v>62710.989000000001</v>
      </c>
      <c r="U21" s="8">
        <v>51492.692000000003</v>
      </c>
      <c r="V21" s="8">
        <v>39069.461000000003</v>
      </c>
      <c r="W21" s="8">
        <v>27449.965</v>
      </c>
      <c r="X21" s="8">
        <v>17732.147000000001</v>
      </c>
      <c r="Y21" s="8">
        <v>9019.6010000000006</v>
      </c>
      <c r="Z21" s="8">
        <v>3331.8220000000001</v>
      </c>
      <c r="AA21" s="8">
        <v>869.74099999999999</v>
      </c>
      <c r="AB21" s="8">
        <v>129.126</v>
      </c>
      <c r="AC21" s="8">
        <v>15.401999999999999</v>
      </c>
    </row>
    <row r="22" spans="1:29" ht="11.65" hidden="1" x14ac:dyDescent="0.35">
      <c r="A22" s="12">
        <v>5</v>
      </c>
      <c r="B22" s="10" t="s">
        <v>1015</v>
      </c>
      <c r="C22" s="37" t="s">
        <v>1016</v>
      </c>
      <c r="D22" s="9"/>
      <c r="E22" s="9">
        <v>900</v>
      </c>
      <c r="F22" s="10" t="s">
        <v>1017</v>
      </c>
      <c r="G22" s="9">
        <v>0</v>
      </c>
      <c r="H22" s="9">
        <v>1970</v>
      </c>
      <c r="I22" s="8">
        <v>256787.46599999999</v>
      </c>
      <c r="J22" s="8">
        <v>224556.12400000001</v>
      </c>
      <c r="K22" s="8">
        <v>198211.965</v>
      </c>
      <c r="L22" s="8">
        <v>181376.86799999999</v>
      </c>
      <c r="M22" s="8">
        <v>146958.96400000001</v>
      </c>
      <c r="N22" s="8">
        <v>121194.137</v>
      </c>
      <c r="O22" s="8">
        <v>116731.478</v>
      </c>
      <c r="P22" s="8">
        <v>105407.397</v>
      </c>
      <c r="Q22" s="8">
        <v>97345.608999999997</v>
      </c>
      <c r="R22" s="8">
        <v>85989.521999999997</v>
      </c>
      <c r="S22" s="8">
        <v>71106.514999999999</v>
      </c>
      <c r="T22" s="8">
        <v>68179.089000000007</v>
      </c>
      <c r="U22" s="8">
        <v>57600.534</v>
      </c>
      <c r="V22" s="8">
        <v>45332.239000000001</v>
      </c>
      <c r="W22" s="8">
        <v>31974.542000000001</v>
      </c>
      <c r="X22" s="8">
        <v>19919.902999999998</v>
      </c>
      <c r="Y22" s="8">
        <v>10910.45</v>
      </c>
      <c r="Z22" s="8">
        <v>4190.9690000000001</v>
      </c>
      <c r="AA22" s="8">
        <v>1074.9280000000001</v>
      </c>
      <c r="AB22" s="8">
        <v>180.643</v>
      </c>
      <c r="AC22" s="8">
        <v>17.533999999999999</v>
      </c>
    </row>
    <row r="23" spans="1:29" ht="11.65" hidden="1" x14ac:dyDescent="0.35">
      <c r="A23" s="12">
        <v>6</v>
      </c>
      <c r="B23" s="10" t="s">
        <v>1015</v>
      </c>
      <c r="C23" s="37" t="s">
        <v>1016</v>
      </c>
      <c r="D23" s="9"/>
      <c r="E23" s="9">
        <v>900</v>
      </c>
      <c r="F23" s="10" t="s">
        <v>1017</v>
      </c>
      <c r="G23" s="9">
        <v>0</v>
      </c>
      <c r="H23" s="9">
        <v>1975</v>
      </c>
      <c r="I23" s="8">
        <v>266221.23200000002</v>
      </c>
      <c r="J23" s="8">
        <v>247279.02900000001</v>
      </c>
      <c r="K23" s="8">
        <v>221764.30900000001</v>
      </c>
      <c r="L23" s="8">
        <v>195801.304</v>
      </c>
      <c r="M23" s="8">
        <v>178776.37100000001</v>
      </c>
      <c r="N23" s="8">
        <v>144815.155</v>
      </c>
      <c r="O23" s="8">
        <v>119396.514</v>
      </c>
      <c r="P23" s="8">
        <v>114636.70600000001</v>
      </c>
      <c r="Q23" s="8">
        <v>103066.524</v>
      </c>
      <c r="R23" s="8">
        <v>94668.765999999901</v>
      </c>
      <c r="S23" s="8">
        <v>83030.664999999994</v>
      </c>
      <c r="T23" s="8">
        <v>67439.433999999994</v>
      </c>
      <c r="U23" s="8">
        <v>63021.589</v>
      </c>
      <c r="V23" s="8">
        <v>51299.178999999996</v>
      </c>
      <c r="W23" s="8">
        <v>37502.286999999997</v>
      </c>
      <c r="X23" s="8">
        <v>23663.794999999998</v>
      </c>
      <c r="Y23" s="8">
        <v>12557.248</v>
      </c>
      <c r="Z23" s="8">
        <v>5215.9579999999996</v>
      </c>
      <c r="AA23" s="8">
        <v>1403.126</v>
      </c>
      <c r="AB23" s="8">
        <v>230.428</v>
      </c>
      <c r="AC23" s="8">
        <v>24.829000000000001</v>
      </c>
    </row>
    <row r="24" spans="1:29" ht="11.65" hidden="1" x14ac:dyDescent="0.35">
      <c r="A24" s="12">
        <v>7</v>
      </c>
      <c r="B24" s="10" t="s">
        <v>1015</v>
      </c>
      <c r="C24" s="37" t="s">
        <v>1016</v>
      </c>
      <c r="D24" s="9"/>
      <c r="E24" s="9">
        <v>900</v>
      </c>
      <c r="F24" s="10" t="s">
        <v>1017</v>
      </c>
      <c r="G24" s="9">
        <v>0</v>
      </c>
      <c r="H24" s="9">
        <v>1980</v>
      </c>
      <c r="I24" s="8">
        <v>267433.962</v>
      </c>
      <c r="J24" s="8">
        <v>257558.87400000001</v>
      </c>
      <c r="K24" s="8">
        <v>244681.76500000001</v>
      </c>
      <c r="L24" s="8">
        <v>219851.71</v>
      </c>
      <c r="M24" s="8">
        <v>193518.31599999999</v>
      </c>
      <c r="N24" s="8">
        <v>176264.31200000001</v>
      </c>
      <c r="O24" s="8">
        <v>142802.37599999999</v>
      </c>
      <c r="P24" s="8">
        <v>117340.079</v>
      </c>
      <c r="Q24" s="8">
        <v>112452.925</v>
      </c>
      <c r="R24" s="8">
        <v>100567.84</v>
      </c>
      <c r="S24" s="8">
        <v>91656.606</v>
      </c>
      <c r="T24" s="8">
        <v>79361.705999999904</v>
      </c>
      <c r="U24" s="8">
        <v>62857.917999999998</v>
      </c>
      <c r="V24" s="8">
        <v>56730.688000000002</v>
      </c>
      <c r="W24" s="8">
        <v>43171.887000000002</v>
      </c>
      <c r="X24" s="8">
        <v>28507.050999999999</v>
      </c>
      <c r="Y24" s="8">
        <v>15066.710999999999</v>
      </c>
      <c r="Z24" s="8">
        <v>6262.817</v>
      </c>
      <c r="AA24" s="8">
        <v>1860.72</v>
      </c>
      <c r="AB24" s="8">
        <v>331.01900000000001</v>
      </c>
      <c r="AC24" s="8">
        <v>35.156999999999996</v>
      </c>
    </row>
    <row r="25" spans="1:29" ht="11.65" hidden="1" x14ac:dyDescent="0.35">
      <c r="A25" s="12">
        <v>8</v>
      </c>
      <c r="B25" s="10" t="s">
        <v>1015</v>
      </c>
      <c r="C25" s="37" t="s">
        <v>1016</v>
      </c>
      <c r="D25" s="9"/>
      <c r="E25" s="9">
        <v>900</v>
      </c>
      <c r="F25" s="10" t="s">
        <v>1017</v>
      </c>
      <c r="G25" s="9">
        <v>0</v>
      </c>
      <c r="H25" s="9">
        <v>1985</v>
      </c>
      <c r="I25" s="8">
        <v>287730.91499999998</v>
      </c>
      <c r="J25" s="8">
        <v>259928.372</v>
      </c>
      <c r="K25" s="8">
        <v>255382.3</v>
      </c>
      <c r="L25" s="8">
        <v>242939.80499999999</v>
      </c>
      <c r="M25" s="8">
        <v>217742.92600000001</v>
      </c>
      <c r="N25" s="8">
        <v>191405.2</v>
      </c>
      <c r="O25" s="8">
        <v>174442.524</v>
      </c>
      <c r="P25" s="8">
        <v>140970.804</v>
      </c>
      <c r="Q25" s="8">
        <v>115392.67</v>
      </c>
      <c r="R25" s="8">
        <v>109914.878</v>
      </c>
      <c r="S25" s="8">
        <v>97513.006999999896</v>
      </c>
      <c r="T25" s="8">
        <v>87703.335999999996</v>
      </c>
      <c r="U25" s="8">
        <v>74163.88</v>
      </c>
      <c r="V25" s="8">
        <v>56578.510999999999</v>
      </c>
      <c r="W25" s="8">
        <v>48107.779000000002</v>
      </c>
      <c r="X25" s="8">
        <v>33140.269999999997</v>
      </c>
      <c r="Y25" s="8">
        <v>18600.066999999999</v>
      </c>
      <c r="Z25" s="8">
        <v>7700.3239999999996</v>
      </c>
      <c r="AA25" s="8">
        <v>2327.7570000000001</v>
      </c>
      <c r="AB25" s="8">
        <v>459.45800000000003</v>
      </c>
      <c r="AC25" s="8">
        <v>52.28</v>
      </c>
    </row>
    <row r="26" spans="1:29" ht="11.65" hidden="1" x14ac:dyDescent="0.35">
      <c r="A26" s="12">
        <v>9</v>
      </c>
      <c r="B26" s="10" t="s">
        <v>1015</v>
      </c>
      <c r="C26" s="37" t="s">
        <v>1016</v>
      </c>
      <c r="D26" s="9"/>
      <c r="E26" s="9">
        <v>900</v>
      </c>
      <c r="F26" s="10" t="s">
        <v>1017</v>
      </c>
      <c r="G26" s="9">
        <v>0</v>
      </c>
      <c r="H26" s="9">
        <v>1990</v>
      </c>
      <c r="I26" s="8">
        <v>312904.92099999997</v>
      </c>
      <c r="J26" s="8">
        <v>280584.39</v>
      </c>
      <c r="K26" s="8">
        <v>258206.011</v>
      </c>
      <c r="L26" s="8">
        <v>253752.72500000001</v>
      </c>
      <c r="M26" s="8">
        <v>240488.774</v>
      </c>
      <c r="N26" s="8">
        <v>215158.753</v>
      </c>
      <c r="O26" s="8">
        <v>189532.25700000001</v>
      </c>
      <c r="P26" s="8">
        <v>172361.62599999999</v>
      </c>
      <c r="Q26" s="8">
        <v>139002.875</v>
      </c>
      <c r="R26" s="8">
        <v>112989.89200000001</v>
      </c>
      <c r="S26" s="8">
        <v>106781.32799999999</v>
      </c>
      <c r="T26" s="8">
        <v>93546.26</v>
      </c>
      <c r="U26" s="8">
        <v>82402.414000000004</v>
      </c>
      <c r="V26" s="8">
        <v>67298.801999999996</v>
      </c>
      <c r="W26" s="8">
        <v>48127.661</v>
      </c>
      <c r="X26" s="8">
        <v>37461.862999999998</v>
      </c>
      <c r="Y26" s="8">
        <v>22262.944</v>
      </c>
      <c r="Z26" s="8">
        <v>9848.5879999999997</v>
      </c>
      <c r="AA26" s="8">
        <v>2954.732</v>
      </c>
      <c r="AB26" s="8">
        <v>595.18700000000001</v>
      </c>
      <c r="AC26" s="8">
        <v>73.775999999999996</v>
      </c>
    </row>
    <row r="27" spans="1:29" ht="11.65" hidden="1" x14ac:dyDescent="0.35">
      <c r="A27" s="12">
        <v>10</v>
      </c>
      <c r="B27" s="10" t="s">
        <v>1015</v>
      </c>
      <c r="C27" s="37" t="s">
        <v>1016</v>
      </c>
      <c r="D27" s="9"/>
      <c r="E27" s="9">
        <v>900</v>
      </c>
      <c r="F27" s="10" t="s">
        <v>1017</v>
      </c>
      <c r="G27" s="9">
        <v>0</v>
      </c>
      <c r="H27" s="9">
        <v>1995</v>
      </c>
      <c r="I27" s="8">
        <v>300116.58500000002</v>
      </c>
      <c r="J27" s="8">
        <v>306503.32</v>
      </c>
      <c r="K27" s="8">
        <v>279135.97499999998</v>
      </c>
      <c r="L27" s="8">
        <v>256439.79800000001</v>
      </c>
      <c r="M27" s="8">
        <v>250736.39499999999</v>
      </c>
      <c r="N27" s="8">
        <v>237984.56599999999</v>
      </c>
      <c r="O27" s="8">
        <v>213331.58199999999</v>
      </c>
      <c r="P27" s="8">
        <v>187490.65299999999</v>
      </c>
      <c r="Q27" s="8">
        <v>170028.984</v>
      </c>
      <c r="R27" s="8">
        <v>136300.22099999999</v>
      </c>
      <c r="S27" s="8">
        <v>110085.762</v>
      </c>
      <c r="T27" s="8">
        <v>102659.90700000001</v>
      </c>
      <c r="U27" s="8">
        <v>88146.0649999999</v>
      </c>
      <c r="V27" s="8">
        <v>75008.379999999903</v>
      </c>
      <c r="W27" s="8">
        <v>57818.813999999998</v>
      </c>
      <c r="X27" s="8">
        <v>37799.561000000002</v>
      </c>
      <c r="Y27" s="8">
        <v>25573.599999999999</v>
      </c>
      <c r="Z27" s="8">
        <v>12138.686</v>
      </c>
      <c r="AA27" s="8">
        <v>3905.549</v>
      </c>
      <c r="AB27" s="8">
        <v>769.41800000000001</v>
      </c>
      <c r="AC27" s="8">
        <v>97.56</v>
      </c>
    </row>
    <row r="28" spans="1:29" ht="11.65" hidden="1" x14ac:dyDescent="0.35">
      <c r="A28" s="12">
        <v>11</v>
      </c>
      <c r="B28" s="10" t="s">
        <v>1015</v>
      </c>
      <c r="C28" s="37" t="s">
        <v>1016</v>
      </c>
      <c r="D28" s="9"/>
      <c r="E28" s="9">
        <v>900</v>
      </c>
      <c r="F28" s="10" t="s">
        <v>1017</v>
      </c>
      <c r="G28" s="9">
        <v>0</v>
      </c>
      <c r="H28" s="9">
        <v>2000</v>
      </c>
      <c r="I28" s="8">
        <v>297524.446</v>
      </c>
      <c r="J28" s="8">
        <v>294721.31300000002</v>
      </c>
      <c r="K28" s="8">
        <v>304907.62199999997</v>
      </c>
      <c r="L28" s="8">
        <v>277325.69799999997</v>
      </c>
      <c r="M28" s="8">
        <v>253615.22899999999</v>
      </c>
      <c r="N28" s="8">
        <v>248521.02100000001</v>
      </c>
      <c r="O28" s="8">
        <v>235955.489</v>
      </c>
      <c r="P28" s="8">
        <v>211271.76300000001</v>
      </c>
      <c r="Q28" s="8">
        <v>184962.16500000001</v>
      </c>
      <c r="R28" s="8">
        <v>167016.867</v>
      </c>
      <c r="S28" s="8">
        <v>132979.91800000001</v>
      </c>
      <c r="T28" s="8">
        <v>105959.06600000001</v>
      </c>
      <c r="U28" s="8">
        <v>97026.392000000094</v>
      </c>
      <c r="V28" s="8">
        <v>80658.785000000003</v>
      </c>
      <c r="W28" s="8">
        <v>65037.963000000003</v>
      </c>
      <c r="X28" s="8">
        <v>46156.828999999998</v>
      </c>
      <c r="Y28" s="8">
        <v>26131.116999999998</v>
      </c>
      <c r="Z28" s="8">
        <v>14205.699000000001</v>
      </c>
      <c r="AA28" s="8">
        <v>4926.4870000000001</v>
      </c>
      <c r="AB28" s="8">
        <v>1032.7570000000001</v>
      </c>
      <c r="AC28" s="8">
        <v>123.322</v>
      </c>
    </row>
    <row r="29" spans="1:29" ht="11.65" hidden="1" x14ac:dyDescent="0.35">
      <c r="A29" s="12">
        <v>12</v>
      </c>
      <c r="B29" s="10" t="s">
        <v>1015</v>
      </c>
      <c r="C29" s="37" t="s">
        <v>1016</v>
      </c>
      <c r="D29" s="9"/>
      <c r="E29" s="9">
        <v>900</v>
      </c>
      <c r="F29" s="10" t="s">
        <v>1017</v>
      </c>
      <c r="G29" s="9">
        <v>0</v>
      </c>
      <c r="H29" s="9">
        <v>2005</v>
      </c>
      <c r="I29" s="8">
        <v>302684.04800000001</v>
      </c>
      <c r="J29" s="8">
        <v>293422.78899999999</v>
      </c>
      <c r="K29" s="8">
        <v>293769.15600000002</v>
      </c>
      <c r="L29" s="8">
        <v>302955.43900000001</v>
      </c>
      <c r="M29" s="8">
        <v>274398.576</v>
      </c>
      <c r="N29" s="8">
        <v>251351.38399999999</v>
      </c>
      <c r="O29" s="8">
        <v>246135.016</v>
      </c>
      <c r="P29" s="8">
        <v>233386.51</v>
      </c>
      <c r="Q29" s="8">
        <v>208210.679</v>
      </c>
      <c r="R29" s="8">
        <v>181231.71400000001</v>
      </c>
      <c r="S29" s="8">
        <v>163015.481</v>
      </c>
      <c r="T29" s="8">
        <v>128637.109</v>
      </c>
      <c r="U29" s="8">
        <v>100378.204</v>
      </c>
      <c r="V29" s="8">
        <v>88844.347999999998</v>
      </c>
      <c r="W29" s="8">
        <v>70150.732000000004</v>
      </c>
      <c r="X29" s="8">
        <v>52050.7069999999</v>
      </c>
      <c r="Y29" s="8">
        <v>32442.188999999998</v>
      </c>
      <c r="Z29" s="8">
        <v>14859.041999999999</v>
      </c>
      <c r="AA29" s="8">
        <v>5980.5529999999999</v>
      </c>
      <c r="AB29" s="8">
        <v>1349.6420000000001</v>
      </c>
      <c r="AC29" s="8">
        <v>168.37100000000001</v>
      </c>
    </row>
    <row r="30" spans="1:29" ht="11.65" hidden="1" x14ac:dyDescent="0.35">
      <c r="A30" s="12">
        <v>13</v>
      </c>
      <c r="B30" s="10" t="s">
        <v>1015</v>
      </c>
      <c r="C30" s="37" t="s">
        <v>1016</v>
      </c>
      <c r="D30" s="9"/>
      <c r="E30" s="9">
        <v>900</v>
      </c>
      <c r="F30" s="10" t="s">
        <v>1017</v>
      </c>
      <c r="G30" s="9">
        <v>0</v>
      </c>
      <c r="H30" s="9">
        <v>2010</v>
      </c>
      <c r="I30" s="8">
        <v>314830.27899999998</v>
      </c>
      <c r="J30" s="8">
        <v>298887.18</v>
      </c>
      <c r="K30" s="8">
        <v>292350.93199999997</v>
      </c>
      <c r="L30" s="8">
        <v>291784.717</v>
      </c>
      <c r="M30" s="8">
        <v>299587.185</v>
      </c>
      <c r="N30" s="8">
        <v>272496.83600000001</v>
      </c>
      <c r="O30" s="8">
        <v>249103.34099999999</v>
      </c>
      <c r="P30" s="8">
        <v>243873.79</v>
      </c>
      <c r="Q30" s="8">
        <v>230557.18299999999</v>
      </c>
      <c r="R30" s="8">
        <v>205213.58900000001</v>
      </c>
      <c r="S30" s="8">
        <v>177498.04399999999</v>
      </c>
      <c r="T30" s="8">
        <v>157642.81299999999</v>
      </c>
      <c r="U30" s="8">
        <v>121963.781</v>
      </c>
      <c r="V30" s="8">
        <v>92682.658999999898</v>
      </c>
      <c r="W30" s="8">
        <v>78080.582000000097</v>
      </c>
      <c r="X30" s="8">
        <v>56918.843999999997</v>
      </c>
      <c r="Y30" s="8">
        <v>37766.321000000004</v>
      </c>
      <c r="Z30" s="8">
        <v>19277.507000000001</v>
      </c>
      <c r="AA30" s="8">
        <v>6607.2079999999996</v>
      </c>
      <c r="AB30" s="8">
        <v>1760.251</v>
      </c>
      <c r="AC30" s="8">
        <v>236.911</v>
      </c>
    </row>
    <row r="31" spans="1:29" ht="11.65" hidden="1" x14ac:dyDescent="0.35">
      <c r="A31" s="12">
        <v>14</v>
      </c>
      <c r="B31" s="10" t="s">
        <v>1015</v>
      </c>
      <c r="C31" s="37" t="s">
        <v>1016</v>
      </c>
      <c r="D31" s="9"/>
      <c r="E31" s="9">
        <v>900</v>
      </c>
      <c r="F31" s="10" t="s">
        <v>1017</v>
      </c>
      <c r="G31" s="9">
        <v>0</v>
      </c>
      <c r="H31" s="9">
        <v>2015</v>
      </c>
      <c r="I31" s="8">
        <v>324426.47899999999</v>
      </c>
      <c r="J31" s="8">
        <v>311369.57299999997</v>
      </c>
      <c r="K31" s="8">
        <v>297196.91200000001</v>
      </c>
      <c r="L31" s="8">
        <v>290909.82</v>
      </c>
      <c r="M31" s="8">
        <v>290007.14399999997</v>
      </c>
      <c r="N31" s="8">
        <v>297821.63199999998</v>
      </c>
      <c r="O31" s="8">
        <v>270533.93</v>
      </c>
      <c r="P31" s="8">
        <v>247008.32800000001</v>
      </c>
      <c r="Q31" s="8">
        <v>241397.23199999999</v>
      </c>
      <c r="R31" s="8">
        <v>227487.908</v>
      </c>
      <c r="S31" s="8">
        <v>201179.943</v>
      </c>
      <c r="T31" s="8">
        <v>172316.299</v>
      </c>
      <c r="U31" s="8">
        <v>150609.92300000001</v>
      </c>
      <c r="V31" s="8">
        <v>113307.337</v>
      </c>
      <c r="W31" s="8">
        <v>82434.652000000002</v>
      </c>
      <c r="X31" s="8">
        <v>64521.428</v>
      </c>
      <c r="Y31" s="8">
        <v>41932.891000000003</v>
      </c>
      <c r="Z31" s="8">
        <v>23210.81</v>
      </c>
      <c r="AA31" s="8">
        <v>9009.4169999999995</v>
      </c>
      <c r="AB31" s="8">
        <v>2087.0569999999998</v>
      </c>
      <c r="AC31" s="8">
        <v>331.87799999999999</v>
      </c>
    </row>
    <row r="32" spans="1:29" ht="11.65" hidden="1" x14ac:dyDescent="0.35">
      <c r="A32" s="12">
        <v>15</v>
      </c>
      <c r="B32" s="10" t="s">
        <v>1015</v>
      </c>
      <c r="C32" s="37" t="s">
        <v>1016</v>
      </c>
      <c r="D32" s="9"/>
      <c r="E32" s="9">
        <v>900</v>
      </c>
      <c r="F32" s="10" t="s">
        <v>1017</v>
      </c>
      <c r="G32" s="9">
        <v>0</v>
      </c>
      <c r="H32" s="9">
        <v>2020</v>
      </c>
      <c r="I32" s="8">
        <v>328509.234</v>
      </c>
      <c r="J32" s="8">
        <v>321511.86700000003</v>
      </c>
      <c r="K32" s="8">
        <v>309769.90600000002</v>
      </c>
      <c r="L32" s="8">
        <v>295553.75799999997</v>
      </c>
      <c r="M32" s="8">
        <v>289100.90299999999</v>
      </c>
      <c r="N32" s="8">
        <v>288632.766</v>
      </c>
      <c r="O32" s="8">
        <v>296293.74800000002</v>
      </c>
      <c r="P32" s="8">
        <v>268371.75400000002</v>
      </c>
      <c r="Q32" s="8">
        <v>244399.17600000001</v>
      </c>
      <c r="R32" s="8">
        <v>238133.28200000001</v>
      </c>
      <c r="S32" s="8">
        <v>223162.98199999999</v>
      </c>
      <c r="T32" s="8">
        <v>195633.74299999999</v>
      </c>
      <c r="U32" s="8">
        <v>164961.323</v>
      </c>
      <c r="V32" s="8">
        <v>140704.32000000001</v>
      </c>
      <c r="W32" s="8">
        <v>101491.34699999999</v>
      </c>
      <c r="X32" s="8">
        <v>69026.831000000006</v>
      </c>
      <c r="Y32" s="8">
        <v>48281.201000000001</v>
      </c>
      <c r="Z32" s="8">
        <v>26429.329000000002</v>
      </c>
      <c r="AA32" s="8">
        <v>11352.182000000001</v>
      </c>
      <c r="AB32" s="8">
        <v>3055.8449999999998</v>
      </c>
      <c r="AC32" s="8">
        <v>449.279</v>
      </c>
    </row>
    <row r="33" spans="1:29" ht="11.65" hidden="1" x14ac:dyDescent="0.35">
      <c r="A33" s="35">
        <v>16</v>
      </c>
      <c r="B33" s="33" t="s">
        <v>1015</v>
      </c>
      <c r="C33" s="34" t="s">
        <v>1018</v>
      </c>
      <c r="D33" s="32" t="s">
        <v>1019</v>
      </c>
      <c r="E33" s="32">
        <v>1803</v>
      </c>
      <c r="F33" s="33" t="s">
        <v>1020</v>
      </c>
      <c r="G33" s="32">
        <v>900</v>
      </c>
      <c r="H33" s="32">
        <v>1950</v>
      </c>
      <c r="I33" s="31" t="s">
        <v>1021</v>
      </c>
      <c r="J33" s="31" t="s">
        <v>1021</v>
      </c>
      <c r="K33" s="31" t="s">
        <v>1021</v>
      </c>
      <c r="L33" s="31" t="s">
        <v>1021</v>
      </c>
      <c r="M33" s="31" t="s">
        <v>1021</v>
      </c>
      <c r="N33" s="31" t="s">
        <v>1021</v>
      </c>
      <c r="O33" s="31" t="s">
        <v>1021</v>
      </c>
      <c r="P33" s="31" t="s">
        <v>1021</v>
      </c>
      <c r="Q33" s="31" t="s">
        <v>1021</v>
      </c>
      <c r="R33" s="31" t="s">
        <v>1021</v>
      </c>
      <c r="S33" s="31" t="s">
        <v>1021</v>
      </c>
      <c r="T33" s="31" t="s">
        <v>1021</v>
      </c>
      <c r="U33" s="31" t="s">
        <v>1021</v>
      </c>
      <c r="V33" s="31" t="s">
        <v>1021</v>
      </c>
      <c r="W33" s="31" t="s">
        <v>1021</v>
      </c>
      <c r="X33" s="31" t="s">
        <v>1021</v>
      </c>
      <c r="Y33" s="31" t="s">
        <v>1021</v>
      </c>
      <c r="Z33" s="31" t="s">
        <v>1021</v>
      </c>
      <c r="AA33" s="31" t="s">
        <v>1021</v>
      </c>
      <c r="AB33" s="31" t="s">
        <v>1021</v>
      </c>
      <c r="AC33" s="31" t="s">
        <v>1021</v>
      </c>
    </row>
    <row r="34" spans="1:29" ht="11.65" hidden="1" x14ac:dyDescent="0.35">
      <c r="A34" s="35">
        <v>17</v>
      </c>
      <c r="B34" s="33" t="s">
        <v>1015</v>
      </c>
      <c r="C34" s="34" t="s">
        <v>1018</v>
      </c>
      <c r="D34" s="32" t="s">
        <v>1019</v>
      </c>
      <c r="E34" s="32">
        <v>1803</v>
      </c>
      <c r="F34" s="33" t="s">
        <v>1020</v>
      </c>
      <c r="G34" s="32">
        <v>900</v>
      </c>
      <c r="H34" s="32">
        <v>1955</v>
      </c>
      <c r="I34" s="31" t="s">
        <v>1021</v>
      </c>
      <c r="J34" s="31" t="s">
        <v>1021</v>
      </c>
      <c r="K34" s="31" t="s">
        <v>1021</v>
      </c>
      <c r="L34" s="31" t="s">
        <v>1021</v>
      </c>
      <c r="M34" s="31" t="s">
        <v>1021</v>
      </c>
      <c r="N34" s="31" t="s">
        <v>1021</v>
      </c>
      <c r="O34" s="31" t="s">
        <v>1021</v>
      </c>
      <c r="P34" s="31" t="s">
        <v>1021</v>
      </c>
      <c r="Q34" s="31" t="s">
        <v>1021</v>
      </c>
      <c r="R34" s="31" t="s">
        <v>1021</v>
      </c>
      <c r="S34" s="31" t="s">
        <v>1021</v>
      </c>
      <c r="T34" s="31" t="s">
        <v>1021</v>
      </c>
      <c r="U34" s="31" t="s">
        <v>1021</v>
      </c>
      <c r="V34" s="31" t="s">
        <v>1021</v>
      </c>
      <c r="W34" s="31" t="s">
        <v>1021</v>
      </c>
      <c r="X34" s="31" t="s">
        <v>1021</v>
      </c>
      <c r="Y34" s="31" t="s">
        <v>1021</v>
      </c>
      <c r="Z34" s="31" t="s">
        <v>1021</v>
      </c>
      <c r="AA34" s="31" t="s">
        <v>1021</v>
      </c>
      <c r="AB34" s="31" t="s">
        <v>1021</v>
      </c>
      <c r="AC34" s="31" t="s">
        <v>1021</v>
      </c>
    </row>
    <row r="35" spans="1:29" ht="11.65" hidden="1" x14ac:dyDescent="0.35">
      <c r="A35" s="35">
        <v>18</v>
      </c>
      <c r="B35" s="33" t="s">
        <v>1015</v>
      </c>
      <c r="C35" s="34" t="s">
        <v>1018</v>
      </c>
      <c r="D35" s="32" t="s">
        <v>1019</v>
      </c>
      <c r="E35" s="32">
        <v>1803</v>
      </c>
      <c r="F35" s="33" t="s">
        <v>1020</v>
      </c>
      <c r="G35" s="32">
        <v>900</v>
      </c>
      <c r="H35" s="32">
        <v>1960</v>
      </c>
      <c r="I35" s="31" t="s">
        <v>1021</v>
      </c>
      <c r="J35" s="31" t="s">
        <v>1021</v>
      </c>
      <c r="K35" s="31" t="s">
        <v>1021</v>
      </c>
      <c r="L35" s="31" t="s">
        <v>1021</v>
      </c>
      <c r="M35" s="31" t="s">
        <v>1021</v>
      </c>
      <c r="N35" s="31" t="s">
        <v>1021</v>
      </c>
      <c r="O35" s="31" t="s">
        <v>1021</v>
      </c>
      <c r="P35" s="31" t="s">
        <v>1021</v>
      </c>
      <c r="Q35" s="31" t="s">
        <v>1021</v>
      </c>
      <c r="R35" s="31" t="s">
        <v>1021</v>
      </c>
      <c r="S35" s="31" t="s">
        <v>1021</v>
      </c>
      <c r="T35" s="31" t="s">
        <v>1021</v>
      </c>
      <c r="U35" s="31" t="s">
        <v>1021</v>
      </c>
      <c r="V35" s="31" t="s">
        <v>1021</v>
      </c>
      <c r="W35" s="31" t="s">
        <v>1021</v>
      </c>
      <c r="X35" s="31" t="s">
        <v>1021</v>
      </c>
      <c r="Y35" s="31" t="s">
        <v>1021</v>
      </c>
      <c r="Z35" s="31" t="s">
        <v>1021</v>
      </c>
      <c r="AA35" s="31" t="s">
        <v>1021</v>
      </c>
      <c r="AB35" s="31" t="s">
        <v>1021</v>
      </c>
      <c r="AC35" s="31" t="s">
        <v>1021</v>
      </c>
    </row>
    <row r="36" spans="1:29" ht="11.65" hidden="1" x14ac:dyDescent="0.35">
      <c r="A36" s="35">
        <v>19</v>
      </c>
      <c r="B36" s="33" t="s">
        <v>1015</v>
      </c>
      <c r="C36" s="34" t="s">
        <v>1018</v>
      </c>
      <c r="D36" s="32" t="s">
        <v>1019</v>
      </c>
      <c r="E36" s="32">
        <v>1803</v>
      </c>
      <c r="F36" s="33" t="s">
        <v>1020</v>
      </c>
      <c r="G36" s="32">
        <v>900</v>
      </c>
      <c r="H36" s="32">
        <v>1965</v>
      </c>
      <c r="I36" s="31" t="s">
        <v>1021</v>
      </c>
      <c r="J36" s="31" t="s">
        <v>1021</v>
      </c>
      <c r="K36" s="31" t="s">
        <v>1021</v>
      </c>
      <c r="L36" s="31" t="s">
        <v>1021</v>
      </c>
      <c r="M36" s="31" t="s">
        <v>1021</v>
      </c>
      <c r="N36" s="31" t="s">
        <v>1021</v>
      </c>
      <c r="O36" s="31" t="s">
        <v>1021</v>
      </c>
      <c r="P36" s="31" t="s">
        <v>1021</v>
      </c>
      <c r="Q36" s="31" t="s">
        <v>1021</v>
      </c>
      <c r="R36" s="31" t="s">
        <v>1021</v>
      </c>
      <c r="S36" s="31" t="s">
        <v>1021</v>
      </c>
      <c r="T36" s="31" t="s">
        <v>1021</v>
      </c>
      <c r="U36" s="31" t="s">
        <v>1021</v>
      </c>
      <c r="V36" s="31" t="s">
        <v>1021</v>
      </c>
      <c r="W36" s="31" t="s">
        <v>1021</v>
      </c>
      <c r="X36" s="31" t="s">
        <v>1021</v>
      </c>
      <c r="Y36" s="31" t="s">
        <v>1021</v>
      </c>
      <c r="Z36" s="31" t="s">
        <v>1021</v>
      </c>
      <c r="AA36" s="31" t="s">
        <v>1021</v>
      </c>
      <c r="AB36" s="31" t="s">
        <v>1021</v>
      </c>
      <c r="AC36" s="31" t="s">
        <v>1021</v>
      </c>
    </row>
    <row r="37" spans="1:29" ht="11.65" hidden="1" x14ac:dyDescent="0.35">
      <c r="A37" s="35">
        <v>20</v>
      </c>
      <c r="B37" s="33" t="s">
        <v>1015</v>
      </c>
      <c r="C37" s="34" t="s">
        <v>1018</v>
      </c>
      <c r="D37" s="32" t="s">
        <v>1019</v>
      </c>
      <c r="E37" s="32">
        <v>1803</v>
      </c>
      <c r="F37" s="33" t="s">
        <v>1020</v>
      </c>
      <c r="G37" s="32">
        <v>900</v>
      </c>
      <c r="H37" s="32">
        <v>1970</v>
      </c>
      <c r="I37" s="31" t="s">
        <v>1021</v>
      </c>
      <c r="J37" s="31" t="s">
        <v>1021</v>
      </c>
      <c r="K37" s="31" t="s">
        <v>1021</v>
      </c>
      <c r="L37" s="31" t="s">
        <v>1021</v>
      </c>
      <c r="M37" s="31" t="s">
        <v>1021</v>
      </c>
      <c r="N37" s="31" t="s">
        <v>1021</v>
      </c>
      <c r="O37" s="31" t="s">
        <v>1021</v>
      </c>
      <c r="P37" s="31" t="s">
        <v>1021</v>
      </c>
      <c r="Q37" s="31" t="s">
        <v>1021</v>
      </c>
      <c r="R37" s="31" t="s">
        <v>1021</v>
      </c>
      <c r="S37" s="31" t="s">
        <v>1021</v>
      </c>
      <c r="T37" s="31" t="s">
        <v>1021</v>
      </c>
      <c r="U37" s="31" t="s">
        <v>1021</v>
      </c>
      <c r="V37" s="31" t="s">
        <v>1021</v>
      </c>
      <c r="W37" s="31" t="s">
        <v>1021</v>
      </c>
      <c r="X37" s="31" t="s">
        <v>1021</v>
      </c>
      <c r="Y37" s="31" t="s">
        <v>1021</v>
      </c>
      <c r="Z37" s="31" t="s">
        <v>1021</v>
      </c>
      <c r="AA37" s="31" t="s">
        <v>1021</v>
      </c>
      <c r="AB37" s="31" t="s">
        <v>1021</v>
      </c>
      <c r="AC37" s="31" t="s">
        <v>1021</v>
      </c>
    </row>
    <row r="38" spans="1:29" ht="11.65" hidden="1" x14ac:dyDescent="0.35">
      <c r="A38" s="35">
        <v>21</v>
      </c>
      <c r="B38" s="33" t="s">
        <v>1015</v>
      </c>
      <c r="C38" s="34" t="s">
        <v>1018</v>
      </c>
      <c r="D38" s="32" t="s">
        <v>1019</v>
      </c>
      <c r="E38" s="32">
        <v>1803</v>
      </c>
      <c r="F38" s="33" t="s">
        <v>1020</v>
      </c>
      <c r="G38" s="32">
        <v>900</v>
      </c>
      <c r="H38" s="32">
        <v>1975</v>
      </c>
      <c r="I38" s="31" t="s">
        <v>1021</v>
      </c>
      <c r="J38" s="31" t="s">
        <v>1021</v>
      </c>
      <c r="K38" s="31" t="s">
        <v>1021</v>
      </c>
      <c r="L38" s="31" t="s">
        <v>1021</v>
      </c>
      <c r="M38" s="31" t="s">
        <v>1021</v>
      </c>
      <c r="N38" s="31" t="s">
        <v>1021</v>
      </c>
      <c r="O38" s="31" t="s">
        <v>1021</v>
      </c>
      <c r="P38" s="31" t="s">
        <v>1021</v>
      </c>
      <c r="Q38" s="31" t="s">
        <v>1021</v>
      </c>
      <c r="R38" s="31" t="s">
        <v>1021</v>
      </c>
      <c r="S38" s="31" t="s">
        <v>1021</v>
      </c>
      <c r="T38" s="31" t="s">
        <v>1021</v>
      </c>
      <c r="U38" s="31" t="s">
        <v>1021</v>
      </c>
      <c r="V38" s="31" t="s">
        <v>1021</v>
      </c>
      <c r="W38" s="31" t="s">
        <v>1021</v>
      </c>
      <c r="X38" s="31" t="s">
        <v>1021</v>
      </c>
      <c r="Y38" s="31" t="s">
        <v>1021</v>
      </c>
      <c r="Z38" s="31" t="s">
        <v>1021</v>
      </c>
      <c r="AA38" s="31" t="s">
        <v>1021</v>
      </c>
      <c r="AB38" s="31" t="s">
        <v>1021</v>
      </c>
      <c r="AC38" s="31" t="s">
        <v>1021</v>
      </c>
    </row>
    <row r="39" spans="1:29" ht="11.65" hidden="1" x14ac:dyDescent="0.35">
      <c r="A39" s="35">
        <v>22</v>
      </c>
      <c r="B39" s="33" t="s">
        <v>1015</v>
      </c>
      <c r="C39" s="34" t="s">
        <v>1018</v>
      </c>
      <c r="D39" s="32" t="s">
        <v>1019</v>
      </c>
      <c r="E39" s="32">
        <v>1803</v>
      </c>
      <c r="F39" s="33" t="s">
        <v>1020</v>
      </c>
      <c r="G39" s="32">
        <v>900</v>
      </c>
      <c r="H39" s="32">
        <v>1980</v>
      </c>
      <c r="I39" s="31" t="s">
        <v>1021</v>
      </c>
      <c r="J39" s="31" t="s">
        <v>1021</v>
      </c>
      <c r="K39" s="31" t="s">
        <v>1021</v>
      </c>
      <c r="L39" s="31" t="s">
        <v>1021</v>
      </c>
      <c r="M39" s="31" t="s">
        <v>1021</v>
      </c>
      <c r="N39" s="31" t="s">
        <v>1021</v>
      </c>
      <c r="O39" s="31" t="s">
        <v>1021</v>
      </c>
      <c r="P39" s="31" t="s">
        <v>1021</v>
      </c>
      <c r="Q39" s="31" t="s">
        <v>1021</v>
      </c>
      <c r="R39" s="31" t="s">
        <v>1021</v>
      </c>
      <c r="S39" s="31" t="s">
        <v>1021</v>
      </c>
      <c r="T39" s="31" t="s">
        <v>1021</v>
      </c>
      <c r="U39" s="31" t="s">
        <v>1021</v>
      </c>
      <c r="V39" s="31" t="s">
        <v>1021</v>
      </c>
      <c r="W39" s="31" t="s">
        <v>1021</v>
      </c>
      <c r="X39" s="31" t="s">
        <v>1021</v>
      </c>
      <c r="Y39" s="31" t="s">
        <v>1021</v>
      </c>
      <c r="Z39" s="31" t="s">
        <v>1021</v>
      </c>
      <c r="AA39" s="31" t="s">
        <v>1021</v>
      </c>
      <c r="AB39" s="31" t="s">
        <v>1021</v>
      </c>
      <c r="AC39" s="31" t="s">
        <v>1021</v>
      </c>
    </row>
    <row r="40" spans="1:29" ht="11.65" hidden="1" x14ac:dyDescent="0.35">
      <c r="A40" s="35">
        <v>23</v>
      </c>
      <c r="B40" s="33" t="s">
        <v>1015</v>
      </c>
      <c r="C40" s="34" t="s">
        <v>1018</v>
      </c>
      <c r="D40" s="32" t="s">
        <v>1019</v>
      </c>
      <c r="E40" s="32">
        <v>1803</v>
      </c>
      <c r="F40" s="33" t="s">
        <v>1020</v>
      </c>
      <c r="G40" s="32">
        <v>900</v>
      </c>
      <c r="H40" s="32">
        <v>1985</v>
      </c>
      <c r="I40" s="31" t="s">
        <v>1021</v>
      </c>
      <c r="J40" s="31" t="s">
        <v>1021</v>
      </c>
      <c r="K40" s="31" t="s">
        <v>1021</v>
      </c>
      <c r="L40" s="31" t="s">
        <v>1021</v>
      </c>
      <c r="M40" s="31" t="s">
        <v>1021</v>
      </c>
      <c r="N40" s="31" t="s">
        <v>1021</v>
      </c>
      <c r="O40" s="31" t="s">
        <v>1021</v>
      </c>
      <c r="P40" s="31" t="s">
        <v>1021</v>
      </c>
      <c r="Q40" s="31" t="s">
        <v>1021</v>
      </c>
      <c r="R40" s="31" t="s">
        <v>1021</v>
      </c>
      <c r="S40" s="31" t="s">
        <v>1021</v>
      </c>
      <c r="T40" s="31" t="s">
        <v>1021</v>
      </c>
      <c r="U40" s="31" t="s">
        <v>1021</v>
      </c>
      <c r="V40" s="31" t="s">
        <v>1021</v>
      </c>
      <c r="W40" s="31" t="s">
        <v>1021</v>
      </c>
      <c r="X40" s="31" t="s">
        <v>1021</v>
      </c>
      <c r="Y40" s="31" t="s">
        <v>1021</v>
      </c>
      <c r="Z40" s="31" t="s">
        <v>1021</v>
      </c>
      <c r="AA40" s="31" t="s">
        <v>1021</v>
      </c>
      <c r="AB40" s="31" t="s">
        <v>1021</v>
      </c>
      <c r="AC40" s="31" t="s">
        <v>1021</v>
      </c>
    </row>
    <row r="41" spans="1:29" ht="11.65" hidden="1" x14ac:dyDescent="0.35">
      <c r="A41" s="35">
        <v>24</v>
      </c>
      <c r="B41" s="33" t="s">
        <v>1015</v>
      </c>
      <c r="C41" s="34" t="s">
        <v>1018</v>
      </c>
      <c r="D41" s="32" t="s">
        <v>1019</v>
      </c>
      <c r="E41" s="32">
        <v>1803</v>
      </c>
      <c r="F41" s="33" t="s">
        <v>1020</v>
      </c>
      <c r="G41" s="32">
        <v>900</v>
      </c>
      <c r="H41" s="32">
        <v>1990</v>
      </c>
      <c r="I41" s="31" t="s">
        <v>1021</v>
      </c>
      <c r="J41" s="31" t="s">
        <v>1021</v>
      </c>
      <c r="K41" s="31" t="s">
        <v>1021</v>
      </c>
      <c r="L41" s="31" t="s">
        <v>1021</v>
      </c>
      <c r="M41" s="31" t="s">
        <v>1021</v>
      </c>
      <c r="N41" s="31" t="s">
        <v>1021</v>
      </c>
      <c r="O41" s="31" t="s">
        <v>1021</v>
      </c>
      <c r="P41" s="31" t="s">
        <v>1021</v>
      </c>
      <c r="Q41" s="31" t="s">
        <v>1021</v>
      </c>
      <c r="R41" s="31" t="s">
        <v>1021</v>
      </c>
      <c r="S41" s="31" t="s">
        <v>1021</v>
      </c>
      <c r="T41" s="31" t="s">
        <v>1021</v>
      </c>
      <c r="U41" s="31" t="s">
        <v>1021</v>
      </c>
      <c r="V41" s="31" t="s">
        <v>1021</v>
      </c>
      <c r="W41" s="31" t="s">
        <v>1021</v>
      </c>
      <c r="X41" s="31" t="s">
        <v>1021</v>
      </c>
      <c r="Y41" s="31" t="s">
        <v>1021</v>
      </c>
      <c r="Z41" s="31" t="s">
        <v>1021</v>
      </c>
      <c r="AA41" s="31" t="s">
        <v>1021</v>
      </c>
      <c r="AB41" s="31" t="s">
        <v>1021</v>
      </c>
      <c r="AC41" s="31" t="s">
        <v>1021</v>
      </c>
    </row>
    <row r="42" spans="1:29" ht="11.65" hidden="1" x14ac:dyDescent="0.35">
      <c r="A42" s="35">
        <v>25</v>
      </c>
      <c r="B42" s="33" t="s">
        <v>1015</v>
      </c>
      <c r="C42" s="34" t="s">
        <v>1018</v>
      </c>
      <c r="D42" s="32" t="s">
        <v>1019</v>
      </c>
      <c r="E42" s="32">
        <v>1803</v>
      </c>
      <c r="F42" s="33" t="s">
        <v>1020</v>
      </c>
      <c r="G42" s="32">
        <v>900</v>
      </c>
      <c r="H42" s="32">
        <v>1995</v>
      </c>
      <c r="I42" s="31" t="s">
        <v>1021</v>
      </c>
      <c r="J42" s="31" t="s">
        <v>1021</v>
      </c>
      <c r="K42" s="31" t="s">
        <v>1021</v>
      </c>
      <c r="L42" s="31" t="s">
        <v>1021</v>
      </c>
      <c r="M42" s="31" t="s">
        <v>1021</v>
      </c>
      <c r="N42" s="31" t="s">
        <v>1021</v>
      </c>
      <c r="O42" s="31" t="s">
        <v>1021</v>
      </c>
      <c r="P42" s="31" t="s">
        <v>1021</v>
      </c>
      <c r="Q42" s="31" t="s">
        <v>1021</v>
      </c>
      <c r="R42" s="31" t="s">
        <v>1021</v>
      </c>
      <c r="S42" s="31" t="s">
        <v>1021</v>
      </c>
      <c r="T42" s="31" t="s">
        <v>1021</v>
      </c>
      <c r="U42" s="31" t="s">
        <v>1021</v>
      </c>
      <c r="V42" s="31" t="s">
        <v>1021</v>
      </c>
      <c r="W42" s="31" t="s">
        <v>1021</v>
      </c>
      <c r="X42" s="31" t="s">
        <v>1021</v>
      </c>
      <c r="Y42" s="31" t="s">
        <v>1021</v>
      </c>
      <c r="Z42" s="31" t="s">
        <v>1021</v>
      </c>
      <c r="AA42" s="31" t="s">
        <v>1021</v>
      </c>
      <c r="AB42" s="31" t="s">
        <v>1021</v>
      </c>
      <c r="AC42" s="31" t="s">
        <v>1021</v>
      </c>
    </row>
    <row r="43" spans="1:29" ht="11.65" hidden="1" x14ac:dyDescent="0.35">
      <c r="A43" s="35">
        <v>26</v>
      </c>
      <c r="B43" s="33" t="s">
        <v>1015</v>
      </c>
      <c r="C43" s="34" t="s">
        <v>1018</v>
      </c>
      <c r="D43" s="32" t="s">
        <v>1019</v>
      </c>
      <c r="E43" s="32">
        <v>1803</v>
      </c>
      <c r="F43" s="33" t="s">
        <v>1020</v>
      </c>
      <c r="G43" s="32">
        <v>900</v>
      </c>
      <c r="H43" s="32">
        <v>2000</v>
      </c>
      <c r="I43" s="31" t="s">
        <v>1021</v>
      </c>
      <c r="J43" s="31" t="s">
        <v>1021</v>
      </c>
      <c r="K43" s="31" t="s">
        <v>1021</v>
      </c>
      <c r="L43" s="31" t="s">
        <v>1021</v>
      </c>
      <c r="M43" s="31" t="s">
        <v>1021</v>
      </c>
      <c r="N43" s="31" t="s">
        <v>1021</v>
      </c>
      <c r="O43" s="31" t="s">
        <v>1021</v>
      </c>
      <c r="P43" s="31" t="s">
        <v>1021</v>
      </c>
      <c r="Q43" s="31" t="s">
        <v>1021</v>
      </c>
      <c r="R43" s="31" t="s">
        <v>1021</v>
      </c>
      <c r="S43" s="31" t="s">
        <v>1021</v>
      </c>
      <c r="T43" s="31" t="s">
        <v>1021</v>
      </c>
      <c r="U43" s="31" t="s">
        <v>1021</v>
      </c>
      <c r="V43" s="31" t="s">
        <v>1021</v>
      </c>
      <c r="W43" s="31" t="s">
        <v>1021</v>
      </c>
      <c r="X43" s="31" t="s">
        <v>1021</v>
      </c>
      <c r="Y43" s="31" t="s">
        <v>1021</v>
      </c>
      <c r="Z43" s="31" t="s">
        <v>1021</v>
      </c>
      <c r="AA43" s="31" t="s">
        <v>1021</v>
      </c>
      <c r="AB43" s="31" t="s">
        <v>1021</v>
      </c>
      <c r="AC43" s="31" t="s">
        <v>1021</v>
      </c>
    </row>
    <row r="44" spans="1:29" ht="11.65" hidden="1" x14ac:dyDescent="0.35">
      <c r="A44" s="35">
        <v>27</v>
      </c>
      <c r="B44" s="33" t="s">
        <v>1015</v>
      </c>
      <c r="C44" s="34" t="s">
        <v>1018</v>
      </c>
      <c r="D44" s="32" t="s">
        <v>1019</v>
      </c>
      <c r="E44" s="32">
        <v>1803</v>
      </c>
      <c r="F44" s="33" t="s">
        <v>1020</v>
      </c>
      <c r="G44" s="32">
        <v>900</v>
      </c>
      <c r="H44" s="32">
        <v>2005</v>
      </c>
      <c r="I44" s="31" t="s">
        <v>1021</v>
      </c>
      <c r="J44" s="31" t="s">
        <v>1021</v>
      </c>
      <c r="K44" s="31" t="s">
        <v>1021</v>
      </c>
      <c r="L44" s="31" t="s">
        <v>1021</v>
      </c>
      <c r="M44" s="31" t="s">
        <v>1021</v>
      </c>
      <c r="N44" s="31" t="s">
        <v>1021</v>
      </c>
      <c r="O44" s="31" t="s">
        <v>1021</v>
      </c>
      <c r="P44" s="31" t="s">
        <v>1021</v>
      </c>
      <c r="Q44" s="31" t="s">
        <v>1021</v>
      </c>
      <c r="R44" s="31" t="s">
        <v>1021</v>
      </c>
      <c r="S44" s="31" t="s">
        <v>1021</v>
      </c>
      <c r="T44" s="31" t="s">
        <v>1021</v>
      </c>
      <c r="U44" s="31" t="s">
        <v>1021</v>
      </c>
      <c r="V44" s="31" t="s">
        <v>1021</v>
      </c>
      <c r="W44" s="31" t="s">
        <v>1021</v>
      </c>
      <c r="X44" s="31" t="s">
        <v>1021</v>
      </c>
      <c r="Y44" s="31" t="s">
        <v>1021</v>
      </c>
      <c r="Z44" s="31" t="s">
        <v>1021</v>
      </c>
      <c r="AA44" s="31" t="s">
        <v>1021</v>
      </c>
      <c r="AB44" s="31" t="s">
        <v>1021</v>
      </c>
      <c r="AC44" s="31" t="s">
        <v>1021</v>
      </c>
    </row>
    <row r="45" spans="1:29" ht="11.65" hidden="1" x14ac:dyDescent="0.35">
      <c r="A45" s="35">
        <v>28</v>
      </c>
      <c r="B45" s="33" t="s">
        <v>1015</v>
      </c>
      <c r="C45" s="34" t="s">
        <v>1018</v>
      </c>
      <c r="D45" s="32" t="s">
        <v>1019</v>
      </c>
      <c r="E45" s="32">
        <v>1803</v>
      </c>
      <c r="F45" s="33" t="s">
        <v>1020</v>
      </c>
      <c r="G45" s="32">
        <v>900</v>
      </c>
      <c r="H45" s="32">
        <v>2010</v>
      </c>
      <c r="I45" s="31" t="s">
        <v>1021</v>
      </c>
      <c r="J45" s="31" t="s">
        <v>1021</v>
      </c>
      <c r="K45" s="31" t="s">
        <v>1021</v>
      </c>
      <c r="L45" s="31" t="s">
        <v>1021</v>
      </c>
      <c r="M45" s="31" t="s">
        <v>1021</v>
      </c>
      <c r="N45" s="31" t="s">
        <v>1021</v>
      </c>
      <c r="O45" s="31" t="s">
        <v>1021</v>
      </c>
      <c r="P45" s="31" t="s">
        <v>1021</v>
      </c>
      <c r="Q45" s="31" t="s">
        <v>1021</v>
      </c>
      <c r="R45" s="31" t="s">
        <v>1021</v>
      </c>
      <c r="S45" s="31" t="s">
        <v>1021</v>
      </c>
      <c r="T45" s="31" t="s">
        <v>1021</v>
      </c>
      <c r="U45" s="31" t="s">
        <v>1021</v>
      </c>
      <c r="V45" s="31" t="s">
        <v>1021</v>
      </c>
      <c r="W45" s="31" t="s">
        <v>1021</v>
      </c>
      <c r="X45" s="31" t="s">
        <v>1021</v>
      </c>
      <c r="Y45" s="31" t="s">
        <v>1021</v>
      </c>
      <c r="Z45" s="31" t="s">
        <v>1021</v>
      </c>
      <c r="AA45" s="31" t="s">
        <v>1021</v>
      </c>
      <c r="AB45" s="31" t="s">
        <v>1021</v>
      </c>
      <c r="AC45" s="31" t="s">
        <v>1021</v>
      </c>
    </row>
    <row r="46" spans="1:29" ht="11.65" hidden="1" x14ac:dyDescent="0.35">
      <c r="A46" s="35">
        <v>29</v>
      </c>
      <c r="B46" s="33" t="s">
        <v>1015</v>
      </c>
      <c r="C46" s="34" t="s">
        <v>1018</v>
      </c>
      <c r="D46" s="32" t="s">
        <v>1019</v>
      </c>
      <c r="E46" s="32">
        <v>1803</v>
      </c>
      <c r="F46" s="33" t="s">
        <v>1020</v>
      </c>
      <c r="G46" s="32">
        <v>900</v>
      </c>
      <c r="H46" s="32">
        <v>2015</v>
      </c>
      <c r="I46" s="31" t="s">
        <v>1021</v>
      </c>
      <c r="J46" s="31" t="s">
        <v>1021</v>
      </c>
      <c r="K46" s="31" t="s">
        <v>1021</v>
      </c>
      <c r="L46" s="31" t="s">
        <v>1021</v>
      </c>
      <c r="M46" s="31" t="s">
        <v>1021</v>
      </c>
      <c r="N46" s="31" t="s">
        <v>1021</v>
      </c>
      <c r="O46" s="31" t="s">
        <v>1021</v>
      </c>
      <c r="P46" s="31" t="s">
        <v>1021</v>
      </c>
      <c r="Q46" s="31" t="s">
        <v>1021</v>
      </c>
      <c r="R46" s="31" t="s">
        <v>1021</v>
      </c>
      <c r="S46" s="31" t="s">
        <v>1021</v>
      </c>
      <c r="T46" s="31" t="s">
        <v>1021</v>
      </c>
      <c r="U46" s="31" t="s">
        <v>1021</v>
      </c>
      <c r="V46" s="31" t="s">
        <v>1021</v>
      </c>
      <c r="W46" s="31" t="s">
        <v>1021</v>
      </c>
      <c r="X46" s="31" t="s">
        <v>1021</v>
      </c>
      <c r="Y46" s="31" t="s">
        <v>1021</v>
      </c>
      <c r="Z46" s="31" t="s">
        <v>1021</v>
      </c>
      <c r="AA46" s="31" t="s">
        <v>1021</v>
      </c>
      <c r="AB46" s="31" t="s">
        <v>1021</v>
      </c>
      <c r="AC46" s="31" t="s">
        <v>1021</v>
      </c>
    </row>
    <row r="47" spans="1:29" ht="11.65" hidden="1" x14ac:dyDescent="0.35">
      <c r="A47" s="35">
        <v>30</v>
      </c>
      <c r="B47" s="33" t="s">
        <v>1015</v>
      </c>
      <c r="C47" s="34" t="s">
        <v>1018</v>
      </c>
      <c r="D47" s="32" t="s">
        <v>1019</v>
      </c>
      <c r="E47" s="32">
        <v>1803</v>
      </c>
      <c r="F47" s="33" t="s">
        <v>1020</v>
      </c>
      <c r="G47" s="32">
        <v>900</v>
      </c>
      <c r="H47" s="32">
        <v>2020</v>
      </c>
      <c r="I47" s="31" t="s">
        <v>1021</v>
      </c>
      <c r="J47" s="31" t="s">
        <v>1021</v>
      </c>
      <c r="K47" s="31" t="s">
        <v>1021</v>
      </c>
      <c r="L47" s="31" t="s">
        <v>1021</v>
      </c>
      <c r="M47" s="31" t="s">
        <v>1021</v>
      </c>
      <c r="N47" s="31" t="s">
        <v>1021</v>
      </c>
      <c r="O47" s="31" t="s">
        <v>1021</v>
      </c>
      <c r="P47" s="31" t="s">
        <v>1021</v>
      </c>
      <c r="Q47" s="31" t="s">
        <v>1021</v>
      </c>
      <c r="R47" s="31" t="s">
        <v>1021</v>
      </c>
      <c r="S47" s="31" t="s">
        <v>1021</v>
      </c>
      <c r="T47" s="31" t="s">
        <v>1021</v>
      </c>
      <c r="U47" s="31" t="s">
        <v>1021</v>
      </c>
      <c r="V47" s="31" t="s">
        <v>1021</v>
      </c>
      <c r="W47" s="31" t="s">
        <v>1021</v>
      </c>
      <c r="X47" s="31" t="s">
        <v>1021</v>
      </c>
      <c r="Y47" s="31" t="s">
        <v>1021</v>
      </c>
      <c r="Z47" s="31" t="s">
        <v>1021</v>
      </c>
      <c r="AA47" s="31" t="s">
        <v>1021</v>
      </c>
      <c r="AB47" s="31" t="s">
        <v>1021</v>
      </c>
      <c r="AC47" s="31" t="s">
        <v>1021</v>
      </c>
    </row>
    <row r="48" spans="1:29" ht="11.65" hidden="1" x14ac:dyDescent="0.35">
      <c r="A48" s="12">
        <v>31</v>
      </c>
      <c r="B48" s="10" t="s">
        <v>1015</v>
      </c>
      <c r="C48" s="36" t="s">
        <v>1022</v>
      </c>
      <c r="D48" s="9" t="s">
        <v>1023</v>
      </c>
      <c r="E48" s="9">
        <v>901</v>
      </c>
      <c r="F48" s="10" t="s">
        <v>1024</v>
      </c>
      <c r="G48" s="9">
        <v>1803</v>
      </c>
      <c r="H48" s="9">
        <v>1950</v>
      </c>
      <c r="I48" s="8">
        <v>40614.118999999999</v>
      </c>
      <c r="J48" s="8">
        <v>33201.237999999998</v>
      </c>
      <c r="K48" s="8">
        <v>36136.097000000002</v>
      </c>
      <c r="L48" s="8">
        <v>34044.998</v>
      </c>
      <c r="M48" s="8">
        <v>36324.714</v>
      </c>
      <c r="N48" s="8">
        <v>34276.955000000002</v>
      </c>
      <c r="O48" s="8">
        <v>27129.722000000002</v>
      </c>
      <c r="P48" s="8">
        <v>31645.332999999999</v>
      </c>
      <c r="Q48" s="8">
        <v>29680.766</v>
      </c>
      <c r="R48" s="8">
        <v>26745.244999999999</v>
      </c>
      <c r="S48" s="8">
        <v>23199.732</v>
      </c>
      <c r="T48" s="8">
        <v>19833.334999999999</v>
      </c>
      <c r="U48" s="8">
        <v>17357.524000000001</v>
      </c>
      <c r="V48" s="8">
        <v>14250.018</v>
      </c>
      <c r="W48" s="8">
        <v>10391.574000000001</v>
      </c>
      <c r="X48" s="8">
        <v>6592.6980000000003</v>
      </c>
      <c r="Y48" s="8">
        <v>3170.5160000000001</v>
      </c>
      <c r="Z48" s="8">
        <v>1348.809</v>
      </c>
      <c r="AA48" s="8">
        <v>402.04399999999998</v>
      </c>
      <c r="AB48" s="8">
        <v>85.352999999999994</v>
      </c>
      <c r="AC48" s="8">
        <v>13.919</v>
      </c>
    </row>
    <row r="49" spans="1:29" ht="11.65" hidden="1" x14ac:dyDescent="0.35">
      <c r="A49" s="12">
        <v>32</v>
      </c>
      <c r="B49" s="10" t="s">
        <v>1015</v>
      </c>
      <c r="C49" s="36" t="s">
        <v>1022</v>
      </c>
      <c r="D49" s="9" t="s">
        <v>1023</v>
      </c>
      <c r="E49" s="9">
        <v>901</v>
      </c>
      <c r="F49" s="10" t="s">
        <v>1024</v>
      </c>
      <c r="G49" s="9">
        <v>1803</v>
      </c>
      <c r="H49" s="9">
        <v>1955</v>
      </c>
      <c r="I49" s="8">
        <v>42827.124000000003</v>
      </c>
      <c r="J49" s="8">
        <v>40092.482000000004</v>
      </c>
      <c r="K49" s="8">
        <v>33206.029000000002</v>
      </c>
      <c r="L49" s="8">
        <v>36051.065999999999</v>
      </c>
      <c r="M49" s="8">
        <v>33718.932000000001</v>
      </c>
      <c r="N49" s="8">
        <v>35840.557999999997</v>
      </c>
      <c r="O49" s="8">
        <v>33881.858999999997</v>
      </c>
      <c r="P49" s="8">
        <v>26755.346000000001</v>
      </c>
      <c r="Q49" s="8">
        <v>31144.93</v>
      </c>
      <c r="R49" s="8">
        <v>28875.830999999998</v>
      </c>
      <c r="S49" s="8">
        <v>26272.598999999998</v>
      </c>
      <c r="T49" s="8">
        <v>22191.133000000002</v>
      </c>
      <c r="U49" s="8">
        <v>18687.02</v>
      </c>
      <c r="V49" s="8">
        <v>15674.254999999999</v>
      </c>
      <c r="W49" s="8">
        <v>11831.864</v>
      </c>
      <c r="X49" s="8">
        <v>7674.35</v>
      </c>
      <c r="Y49" s="8">
        <v>4113.1779999999999</v>
      </c>
      <c r="Z49" s="8">
        <v>1433.425</v>
      </c>
      <c r="AA49" s="8">
        <v>416.279</v>
      </c>
      <c r="AB49" s="8">
        <v>78.861000000000004</v>
      </c>
      <c r="AC49" s="8">
        <v>11.109</v>
      </c>
    </row>
    <row r="50" spans="1:29" ht="11.65" hidden="1" x14ac:dyDescent="0.35">
      <c r="A50" s="12">
        <v>33</v>
      </c>
      <c r="B50" s="10" t="s">
        <v>1015</v>
      </c>
      <c r="C50" s="36" t="s">
        <v>1022</v>
      </c>
      <c r="D50" s="9" t="s">
        <v>1023</v>
      </c>
      <c r="E50" s="9">
        <v>901</v>
      </c>
      <c r="F50" s="10" t="s">
        <v>1024</v>
      </c>
      <c r="G50" s="9">
        <v>1803</v>
      </c>
      <c r="H50" s="9">
        <v>1960</v>
      </c>
      <c r="I50" s="8">
        <v>43734.205000000002</v>
      </c>
      <c r="J50" s="8">
        <v>42661.606</v>
      </c>
      <c r="K50" s="8">
        <v>40269.243000000002</v>
      </c>
      <c r="L50" s="8">
        <v>33089.29</v>
      </c>
      <c r="M50" s="8">
        <v>35845.873</v>
      </c>
      <c r="N50" s="8">
        <v>33381.982000000004</v>
      </c>
      <c r="O50" s="8">
        <v>35595.586000000003</v>
      </c>
      <c r="P50" s="8">
        <v>33556.161999999997</v>
      </c>
      <c r="Q50" s="8">
        <v>26257.066999999999</v>
      </c>
      <c r="R50" s="8">
        <v>30579.661</v>
      </c>
      <c r="S50" s="8">
        <v>28416.312999999998</v>
      </c>
      <c r="T50" s="8">
        <v>25352.705999999998</v>
      </c>
      <c r="U50" s="8">
        <v>21072.356</v>
      </c>
      <c r="V50" s="8">
        <v>17033.178</v>
      </c>
      <c r="W50" s="8">
        <v>13223.331</v>
      </c>
      <c r="X50" s="8">
        <v>8899.0959999999995</v>
      </c>
      <c r="Y50" s="8">
        <v>4782.5339999999997</v>
      </c>
      <c r="Z50" s="8">
        <v>1927.114</v>
      </c>
      <c r="AA50" s="8">
        <v>452.738</v>
      </c>
      <c r="AB50" s="8">
        <v>81.626000000000005</v>
      </c>
      <c r="AC50" s="8">
        <v>9.7230000000000008</v>
      </c>
    </row>
    <row r="51" spans="1:29" ht="11.65" hidden="1" x14ac:dyDescent="0.35">
      <c r="A51" s="12">
        <v>34</v>
      </c>
      <c r="B51" s="10" t="s">
        <v>1015</v>
      </c>
      <c r="C51" s="36" t="s">
        <v>1022</v>
      </c>
      <c r="D51" s="9" t="s">
        <v>1023</v>
      </c>
      <c r="E51" s="9">
        <v>901</v>
      </c>
      <c r="F51" s="10" t="s">
        <v>1024</v>
      </c>
      <c r="G51" s="9">
        <v>1803</v>
      </c>
      <c r="H51" s="9">
        <v>1965</v>
      </c>
      <c r="I51" s="8">
        <v>42969.294999999998</v>
      </c>
      <c r="J51" s="8">
        <v>43787.044000000002</v>
      </c>
      <c r="K51" s="8">
        <v>42616.747000000003</v>
      </c>
      <c r="L51" s="8">
        <v>40208.125999999997</v>
      </c>
      <c r="M51" s="8">
        <v>33161.413999999997</v>
      </c>
      <c r="N51" s="8">
        <v>35706.701000000001</v>
      </c>
      <c r="O51" s="8">
        <v>33139.321000000004</v>
      </c>
      <c r="P51" s="8">
        <v>35327.305</v>
      </c>
      <c r="Q51" s="8">
        <v>33216.737999999998</v>
      </c>
      <c r="R51" s="8">
        <v>25841.137999999999</v>
      </c>
      <c r="S51" s="8">
        <v>29978.067999999999</v>
      </c>
      <c r="T51" s="8">
        <v>27712.616000000002</v>
      </c>
      <c r="U51" s="8">
        <v>24032.649000000001</v>
      </c>
      <c r="V51" s="8">
        <v>19321.079000000002</v>
      </c>
      <c r="W51" s="8">
        <v>14666.531999999999</v>
      </c>
      <c r="X51" s="8">
        <v>10256.125</v>
      </c>
      <c r="Y51" s="8">
        <v>5800.9269999999997</v>
      </c>
      <c r="Z51" s="8">
        <v>2294.4960000000001</v>
      </c>
      <c r="AA51" s="8">
        <v>626.22</v>
      </c>
      <c r="AB51" s="8">
        <v>89.545000000000002</v>
      </c>
      <c r="AC51" s="8">
        <v>9.7349999999999994</v>
      </c>
    </row>
    <row r="52" spans="1:29" ht="11.65" hidden="1" x14ac:dyDescent="0.35">
      <c r="A52" s="12">
        <v>35</v>
      </c>
      <c r="B52" s="10" t="s">
        <v>1015</v>
      </c>
      <c r="C52" s="36" t="s">
        <v>1022</v>
      </c>
      <c r="D52" s="9" t="s">
        <v>1023</v>
      </c>
      <c r="E52" s="9">
        <v>901</v>
      </c>
      <c r="F52" s="10" t="s">
        <v>1024</v>
      </c>
      <c r="G52" s="9">
        <v>1803</v>
      </c>
      <c r="H52" s="9">
        <v>1970</v>
      </c>
      <c r="I52" s="8">
        <v>40568.686000000002</v>
      </c>
      <c r="J52" s="8">
        <v>43255.572999999997</v>
      </c>
      <c r="K52" s="8">
        <v>43884.874000000003</v>
      </c>
      <c r="L52" s="8">
        <v>42569.241000000002</v>
      </c>
      <c r="M52" s="8">
        <v>40198.044000000002</v>
      </c>
      <c r="N52" s="8">
        <v>33028.985000000001</v>
      </c>
      <c r="O52" s="8">
        <v>35564.661999999997</v>
      </c>
      <c r="P52" s="8">
        <v>32820.415000000001</v>
      </c>
      <c r="Q52" s="8">
        <v>34968.209000000003</v>
      </c>
      <c r="R52" s="8">
        <v>32898.122000000003</v>
      </c>
      <c r="S52" s="8">
        <v>25247.573</v>
      </c>
      <c r="T52" s="8">
        <v>29171.94</v>
      </c>
      <c r="U52" s="8">
        <v>26412.260999999999</v>
      </c>
      <c r="V52" s="8">
        <v>22238.096000000001</v>
      </c>
      <c r="W52" s="8">
        <v>16724.575000000001</v>
      </c>
      <c r="X52" s="8">
        <v>11331.496999999999</v>
      </c>
      <c r="Y52" s="8">
        <v>6854.6270000000004</v>
      </c>
      <c r="Z52" s="8">
        <v>2885.817</v>
      </c>
      <c r="AA52" s="8">
        <v>776.96900000000005</v>
      </c>
      <c r="AB52" s="8">
        <v>130.61199999999999</v>
      </c>
      <c r="AC52" s="8">
        <v>10.978999999999999</v>
      </c>
    </row>
    <row r="53" spans="1:29" ht="11.65" hidden="1" x14ac:dyDescent="0.35">
      <c r="A53" s="12">
        <v>36</v>
      </c>
      <c r="B53" s="10" t="s">
        <v>1015</v>
      </c>
      <c r="C53" s="36" t="s">
        <v>1022</v>
      </c>
      <c r="D53" s="9" t="s">
        <v>1023</v>
      </c>
      <c r="E53" s="9">
        <v>901</v>
      </c>
      <c r="F53" s="10" t="s">
        <v>1024</v>
      </c>
      <c r="G53" s="9">
        <v>1803</v>
      </c>
      <c r="H53" s="9">
        <v>1975</v>
      </c>
      <c r="I53" s="8">
        <v>39786.627999999997</v>
      </c>
      <c r="J53" s="8">
        <v>40678.358999999997</v>
      </c>
      <c r="K53" s="8">
        <v>43361.800999999999</v>
      </c>
      <c r="L53" s="8">
        <v>43940.195</v>
      </c>
      <c r="M53" s="8">
        <v>42817.116000000002</v>
      </c>
      <c r="N53" s="8">
        <v>40402.394999999997</v>
      </c>
      <c r="O53" s="8">
        <v>33261.339999999997</v>
      </c>
      <c r="P53" s="8">
        <v>35540.974000000002</v>
      </c>
      <c r="Q53" s="8">
        <v>32641.575000000001</v>
      </c>
      <c r="R53" s="8">
        <v>34533.896000000001</v>
      </c>
      <c r="S53" s="8">
        <v>32380.375</v>
      </c>
      <c r="T53" s="8">
        <v>24574.361000000001</v>
      </c>
      <c r="U53" s="8">
        <v>27781.281999999999</v>
      </c>
      <c r="V53" s="8">
        <v>24627.079000000002</v>
      </c>
      <c r="W53" s="8">
        <v>19331.02</v>
      </c>
      <c r="X53" s="8">
        <v>13221.05</v>
      </c>
      <c r="Y53" s="8">
        <v>7788.7830000000004</v>
      </c>
      <c r="Z53" s="8">
        <v>3533.002</v>
      </c>
      <c r="AA53" s="8">
        <v>1028.2280000000001</v>
      </c>
      <c r="AB53" s="8">
        <v>169.2</v>
      </c>
      <c r="AC53" s="8">
        <v>16.507999999999999</v>
      </c>
    </row>
    <row r="54" spans="1:29" ht="11.65" hidden="1" x14ac:dyDescent="0.35">
      <c r="A54" s="12">
        <v>37</v>
      </c>
      <c r="B54" s="10" t="s">
        <v>1015</v>
      </c>
      <c r="C54" s="36" t="s">
        <v>1022</v>
      </c>
      <c r="D54" s="9" t="s">
        <v>1023</v>
      </c>
      <c r="E54" s="9">
        <v>901</v>
      </c>
      <c r="F54" s="10" t="s">
        <v>1024</v>
      </c>
      <c r="G54" s="9">
        <v>1803</v>
      </c>
      <c r="H54" s="9">
        <v>1980</v>
      </c>
      <c r="I54" s="8">
        <v>38068.364999999998</v>
      </c>
      <c r="J54" s="8">
        <v>39756.307999999997</v>
      </c>
      <c r="K54" s="8">
        <v>40953.510999999999</v>
      </c>
      <c r="L54" s="8">
        <v>43762.328000000001</v>
      </c>
      <c r="M54" s="8">
        <v>44266.438000000002</v>
      </c>
      <c r="N54" s="8">
        <v>42957.381999999998</v>
      </c>
      <c r="O54" s="8">
        <v>40561.726999999999</v>
      </c>
      <c r="P54" s="8">
        <v>33161.483999999997</v>
      </c>
      <c r="Q54" s="8">
        <v>35408.510999999999</v>
      </c>
      <c r="R54" s="8">
        <v>32342.806</v>
      </c>
      <c r="S54" s="8">
        <v>34044.175999999999</v>
      </c>
      <c r="T54" s="8">
        <v>31605.877</v>
      </c>
      <c r="U54" s="8">
        <v>23643.014999999999</v>
      </c>
      <c r="V54" s="8">
        <v>26050.026000000002</v>
      </c>
      <c r="W54" s="8">
        <v>21809.088</v>
      </c>
      <c r="X54" s="8">
        <v>15721.65</v>
      </c>
      <c r="Y54" s="8">
        <v>9045.7080000000005</v>
      </c>
      <c r="Z54" s="8">
        <v>4220.2049999999999</v>
      </c>
      <c r="AA54" s="8">
        <v>1349.74</v>
      </c>
      <c r="AB54" s="8">
        <v>250.04599999999999</v>
      </c>
      <c r="AC54" s="8">
        <v>24.257000000000001</v>
      </c>
    </row>
    <row r="55" spans="1:29" ht="11.65" hidden="1" x14ac:dyDescent="0.35">
      <c r="A55" s="12">
        <v>38</v>
      </c>
      <c r="B55" s="10" t="s">
        <v>1015</v>
      </c>
      <c r="C55" s="36" t="s">
        <v>1022</v>
      </c>
      <c r="D55" s="9" t="s">
        <v>1023</v>
      </c>
      <c r="E55" s="9">
        <v>901</v>
      </c>
      <c r="F55" s="10" t="s">
        <v>1024</v>
      </c>
      <c r="G55" s="9">
        <v>1803</v>
      </c>
      <c r="H55" s="9">
        <v>1985</v>
      </c>
      <c r="I55" s="8">
        <v>38174.889000000003</v>
      </c>
      <c r="J55" s="8">
        <v>38252.696000000004</v>
      </c>
      <c r="K55" s="8">
        <v>40078.279000000002</v>
      </c>
      <c r="L55" s="8">
        <v>41303.120000000003</v>
      </c>
      <c r="M55" s="8">
        <v>44108.663999999997</v>
      </c>
      <c r="N55" s="8">
        <v>44510.525000000001</v>
      </c>
      <c r="O55" s="8">
        <v>43197.582999999999</v>
      </c>
      <c r="P55" s="8">
        <v>40458.917999999998</v>
      </c>
      <c r="Q55" s="8">
        <v>33045.531000000003</v>
      </c>
      <c r="R55" s="8">
        <v>35010.129000000001</v>
      </c>
      <c r="S55" s="8">
        <v>31817.169000000002</v>
      </c>
      <c r="T55" s="8">
        <v>33161.720999999998</v>
      </c>
      <c r="U55" s="8">
        <v>30243.114000000001</v>
      </c>
      <c r="V55" s="8">
        <v>22168.037</v>
      </c>
      <c r="W55" s="8">
        <v>23149.519</v>
      </c>
      <c r="X55" s="8">
        <v>17856.313999999998</v>
      </c>
      <c r="Y55" s="8">
        <v>11045.331</v>
      </c>
      <c r="Z55" s="8">
        <v>5026.6679999999997</v>
      </c>
      <c r="AA55" s="8">
        <v>1691.9390000000001</v>
      </c>
      <c r="AB55" s="8">
        <v>345.28399999999999</v>
      </c>
      <c r="AC55" s="8">
        <v>38.103000000000002</v>
      </c>
    </row>
    <row r="56" spans="1:29" ht="11.65" hidden="1" x14ac:dyDescent="0.35">
      <c r="A56" s="12">
        <v>39</v>
      </c>
      <c r="B56" s="10" t="s">
        <v>1015</v>
      </c>
      <c r="C56" s="36" t="s">
        <v>1022</v>
      </c>
      <c r="D56" s="9" t="s">
        <v>1023</v>
      </c>
      <c r="E56" s="9">
        <v>901</v>
      </c>
      <c r="F56" s="10" t="s">
        <v>1024</v>
      </c>
      <c r="G56" s="9">
        <v>1803</v>
      </c>
      <c r="H56" s="9">
        <v>1990</v>
      </c>
      <c r="I56" s="8">
        <v>37840.978999999999</v>
      </c>
      <c r="J56" s="8">
        <v>38413.845999999998</v>
      </c>
      <c r="K56" s="8">
        <v>38767.108999999997</v>
      </c>
      <c r="L56" s="8">
        <v>40659.805</v>
      </c>
      <c r="M56" s="8">
        <v>41668.678</v>
      </c>
      <c r="N56" s="8">
        <v>44258.889000000003</v>
      </c>
      <c r="O56" s="8">
        <v>44862.813999999998</v>
      </c>
      <c r="P56" s="8">
        <v>43195.559000000001</v>
      </c>
      <c r="Q56" s="8">
        <v>40423.222000000002</v>
      </c>
      <c r="R56" s="8">
        <v>32670.591</v>
      </c>
      <c r="S56" s="8">
        <v>34449.663</v>
      </c>
      <c r="T56" s="8">
        <v>31041.199000000001</v>
      </c>
      <c r="U56" s="8">
        <v>31910.681</v>
      </c>
      <c r="V56" s="8">
        <v>28460.038</v>
      </c>
      <c r="W56" s="8">
        <v>19876.903999999999</v>
      </c>
      <c r="X56" s="8">
        <v>19290.882000000001</v>
      </c>
      <c r="Y56" s="8">
        <v>13013.897000000001</v>
      </c>
      <c r="Z56" s="8">
        <v>6369.1030000000001</v>
      </c>
      <c r="AA56" s="8">
        <v>2075.223</v>
      </c>
      <c r="AB56" s="8">
        <v>446.77100000000002</v>
      </c>
      <c r="AC56" s="8">
        <v>53.134</v>
      </c>
    </row>
    <row r="57" spans="1:29" ht="11.65" hidden="1" x14ac:dyDescent="0.35">
      <c r="A57" s="12">
        <v>40</v>
      </c>
      <c r="B57" s="10" t="s">
        <v>1015</v>
      </c>
      <c r="C57" s="36" t="s">
        <v>1022</v>
      </c>
      <c r="D57" s="9" t="s">
        <v>1023</v>
      </c>
      <c r="E57" s="9">
        <v>901</v>
      </c>
      <c r="F57" s="10" t="s">
        <v>1024</v>
      </c>
      <c r="G57" s="9">
        <v>1803</v>
      </c>
      <c r="H57" s="9">
        <v>1995</v>
      </c>
      <c r="I57" s="8">
        <v>34703.614000000001</v>
      </c>
      <c r="J57" s="8">
        <v>38299.928999999996</v>
      </c>
      <c r="K57" s="8">
        <v>39181.917000000001</v>
      </c>
      <c r="L57" s="8">
        <v>39435.563000000002</v>
      </c>
      <c r="M57" s="8">
        <v>41107.230000000003</v>
      </c>
      <c r="N57" s="8">
        <v>42198.970999999998</v>
      </c>
      <c r="O57" s="8">
        <v>44935.34</v>
      </c>
      <c r="P57" s="8">
        <v>45100.483</v>
      </c>
      <c r="Q57" s="8">
        <v>43157.459000000003</v>
      </c>
      <c r="R57" s="8">
        <v>39977.46</v>
      </c>
      <c r="S57" s="8">
        <v>32278.376</v>
      </c>
      <c r="T57" s="8">
        <v>33655.336000000003</v>
      </c>
      <c r="U57" s="8">
        <v>29952.348999999998</v>
      </c>
      <c r="V57" s="8">
        <v>30010.262999999999</v>
      </c>
      <c r="W57" s="8">
        <v>25570.334999999999</v>
      </c>
      <c r="X57" s="8">
        <v>16774.635999999999</v>
      </c>
      <c r="Y57" s="8">
        <v>14197.076999999999</v>
      </c>
      <c r="Z57" s="8">
        <v>7732.0559999999996</v>
      </c>
      <c r="AA57" s="8">
        <v>2719.6790000000001</v>
      </c>
      <c r="AB57" s="8">
        <v>556.04300000000001</v>
      </c>
      <c r="AC57" s="8">
        <v>69.680000000000007</v>
      </c>
    </row>
    <row r="58" spans="1:29" ht="11.65" hidden="1" x14ac:dyDescent="0.35">
      <c r="A58" s="12">
        <v>41</v>
      </c>
      <c r="B58" s="10" t="s">
        <v>1015</v>
      </c>
      <c r="C58" s="36" t="s">
        <v>1022</v>
      </c>
      <c r="D58" s="9" t="s">
        <v>1023</v>
      </c>
      <c r="E58" s="9">
        <v>901</v>
      </c>
      <c r="F58" s="10" t="s">
        <v>1024</v>
      </c>
      <c r="G58" s="9">
        <v>1803</v>
      </c>
      <c r="H58" s="9">
        <v>2000</v>
      </c>
      <c r="I58" s="8">
        <v>32011.231</v>
      </c>
      <c r="J58" s="8">
        <v>35255.173000000003</v>
      </c>
      <c r="K58" s="8">
        <v>39138.517999999996</v>
      </c>
      <c r="L58" s="8">
        <v>39906.303</v>
      </c>
      <c r="M58" s="8">
        <v>40008.491000000002</v>
      </c>
      <c r="N58" s="8">
        <v>41892.052000000003</v>
      </c>
      <c r="O58" s="8">
        <v>42812.784</v>
      </c>
      <c r="P58" s="8">
        <v>45239.67</v>
      </c>
      <c r="Q58" s="8">
        <v>45051.197</v>
      </c>
      <c r="R58" s="8">
        <v>42906.186999999998</v>
      </c>
      <c r="S58" s="8">
        <v>39616.472999999998</v>
      </c>
      <c r="T58" s="8">
        <v>31679.037</v>
      </c>
      <c r="U58" s="8">
        <v>32596.753000000001</v>
      </c>
      <c r="V58" s="8">
        <v>28405.151000000002</v>
      </c>
      <c r="W58" s="8">
        <v>27208.069</v>
      </c>
      <c r="X58" s="8">
        <v>21727.152999999998</v>
      </c>
      <c r="Y58" s="8">
        <v>12713.503000000001</v>
      </c>
      <c r="Z58" s="8">
        <v>8616.152</v>
      </c>
      <c r="AA58" s="8">
        <v>3361.8040000000001</v>
      </c>
      <c r="AB58" s="8">
        <v>732.51099999999997</v>
      </c>
      <c r="AC58" s="8">
        <v>83.373000000000005</v>
      </c>
    </row>
    <row r="59" spans="1:29" ht="11.65" hidden="1" x14ac:dyDescent="0.35">
      <c r="A59" s="12">
        <v>42</v>
      </c>
      <c r="B59" s="10" t="s">
        <v>1015</v>
      </c>
      <c r="C59" s="36" t="s">
        <v>1022</v>
      </c>
      <c r="D59" s="9" t="s">
        <v>1023</v>
      </c>
      <c r="E59" s="9">
        <v>901</v>
      </c>
      <c r="F59" s="10" t="s">
        <v>1024</v>
      </c>
      <c r="G59" s="9">
        <v>1803</v>
      </c>
      <c r="H59" s="9">
        <v>2005</v>
      </c>
      <c r="I59" s="8">
        <v>32135.223000000002</v>
      </c>
      <c r="J59" s="8">
        <v>32359.803</v>
      </c>
      <c r="K59" s="8">
        <v>35928.843999999997</v>
      </c>
      <c r="L59" s="8">
        <v>39870.264000000003</v>
      </c>
      <c r="M59" s="8">
        <v>40958.819000000003</v>
      </c>
      <c r="N59" s="8">
        <v>41115.635000000002</v>
      </c>
      <c r="O59" s="8">
        <v>42759.362999999998</v>
      </c>
      <c r="P59" s="8">
        <v>43413.01</v>
      </c>
      <c r="Q59" s="8">
        <v>45461.21</v>
      </c>
      <c r="R59" s="8">
        <v>44896.877999999997</v>
      </c>
      <c r="S59" s="8">
        <v>42536.248</v>
      </c>
      <c r="T59" s="8">
        <v>38989.178</v>
      </c>
      <c r="U59" s="8">
        <v>30827.74</v>
      </c>
      <c r="V59" s="8">
        <v>31064.11</v>
      </c>
      <c r="W59" s="8">
        <v>26080.239000000001</v>
      </c>
      <c r="X59" s="8">
        <v>23313.831999999999</v>
      </c>
      <c r="Y59" s="8">
        <v>16633.998</v>
      </c>
      <c r="Z59" s="8">
        <v>8113.0330000000004</v>
      </c>
      <c r="AA59" s="8">
        <v>3919.5329999999999</v>
      </c>
      <c r="AB59" s="8">
        <v>943.54200000000003</v>
      </c>
      <c r="AC59" s="8">
        <v>110.64</v>
      </c>
    </row>
    <row r="60" spans="1:29" ht="11.65" hidden="1" x14ac:dyDescent="0.35">
      <c r="A60" s="12">
        <v>43</v>
      </c>
      <c r="B60" s="10" t="s">
        <v>1015</v>
      </c>
      <c r="C60" s="36" t="s">
        <v>1022</v>
      </c>
      <c r="D60" s="9" t="s">
        <v>1023</v>
      </c>
      <c r="E60" s="9">
        <v>901</v>
      </c>
      <c r="F60" s="10" t="s">
        <v>1024</v>
      </c>
      <c r="G60" s="9">
        <v>1803</v>
      </c>
      <c r="H60" s="9">
        <v>2010</v>
      </c>
      <c r="I60" s="8">
        <v>33941.684999999998</v>
      </c>
      <c r="J60" s="8">
        <v>32484.124</v>
      </c>
      <c r="K60" s="8">
        <v>33205.444000000003</v>
      </c>
      <c r="L60" s="8">
        <v>36855.012000000002</v>
      </c>
      <c r="M60" s="8">
        <v>40985.159</v>
      </c>
      <c r="N60" s="8">
        <v>41938.016000000003</v>
      </c>
      <c r="O60" s="8">
        <v>42080.192999999999</v>
      </c>
      <c r="P60" s="8">
        <v>43307.440999999999</v>
      </c>
      <c r="Q60" s="8">
        <v>43384.946000000004</v>
      </c>
      <c r="R60" s="8">
        <v>45585.961000000003</v>
      </c>
      <c r="S60" s="8">
        <v>44590.684000000001</v>
      </c>
      <c r="T60" s="8">
        <v>42001.919000000002</v>
      </c>
      <c r="U60" s="8">
        <v>37659.874000000003</v>
      </c>
      <c r="V60" s="8">
        <v>29846.951000000001</v>
      </c>
      <c r="W60" s="8">
        <v>28766.163</v>
      </c>
      <c r="X60" s="8">
        <v>22896.971000000001</v>
      </c>
      <c r="Y60" s="8">
        <v>18584.306</v>
      </c>
      <c r="Z60" s="8">
        <v>10966.226000000001</v>
      </c>
      <c r="AA60" s="8">
        <v>4004.5039999999999</v>
      </c>
      <c r="AB60" s="8">
        <v>1195.3130000000001</v>
      </c>
      <c r="AC60" s="8">
        <v>154.232</v>
      </c>
    </row>
    <row r="61" spans="1:29" ht="11.65" hidden="1" x14ac:dyDescent="0.35">
      <c r="A61" s="12">
        <v>44</v>
      </c>
      <c r="B61" s="10" t="s">
        <v>1015</v>
      </c>
      <c r="C61" s="36" t="s">
        <v>1022</v>
      </c>
      <c r="D61" s="9" t="s">
        <v>1023</v>
      </c>
      <c r="E61" s="9">
        <v>901</v>
      </c>
      <c r="F61" s="10" t="s">
        <v>1024</v>
      </c>
      <c r="G61" s="9">
        <v>1803</v>
      </c>
      <c r="H61" s="9">
        <v>2015</v>
      </c>
      <c r="I61" s="8">
        <v>33800.728999999999</v>
      </c>
      <c r="J61" s="8">
        <v>34226.349000000002</v>
      </c>
      <c r="K61" s="8">
        <v>32816.536999999997</v>
      </c>
      <c r="L61" s="8">
        <v>33941.226000000002</v>
      </c>
      <c r="M61" s="8">
        <v>38024.423000000003</v>
      </c>
      <c r="N61" s="8">
        <v>42052.28</v>
      </c>
      <c r="O61" s="8">
        <v>42754.993999999999</v>
      </c>
      <c r="P61" s="8">
        <v>42590.205000000002</v>
      </c>
      <c r="Q61" s="8">
        <v>43481.137000000002</v>
      </c>
      <c r="R61" s="8">
        <v>43341.425999999999</v>
      </c>
      <c r="S61" s="8">
        <v>45196.031000000003</v>
      </c>
      <c r="T61" s="8">
        <v>43866.709000000003</v>
      </c>
      <c r="U61" s="8">
        <v>40894.536999999997</v>
      </c>
      <c r="V61" s="8">
        <v>36157.212</v>
      </c>
      <c r="W61" s="8">
        <v>28025.363000000001</v>
      </c>
      <c r="X61" s="8">
        <v>25555.938999999998</v>
      </c>
      <c r="Y61" s="8">
        <v>18618.495999999999</v>
      </c>
      <c r="Z61" s="8">
        <v>12632.819</v>
      </c>
      <c r="AA61" s="8">
        <v>5579.6540000000005</v>
      </c>
      <c r="AB61" s="8">
        <v>1307.3699999999999</v>
      </c>
      <c r="AC61" s="8">
        <v>205.70099999999999</v>
      </c>
    </row>
    <row r="62" spans="1:29" ht="11.65" hidden="1" x14ac:dyDescent="0.35">
      <c r="A62" s="12">
        <v>45</v>
      </c>
      <c r="B62" s="10" t="s">
        <v>1015</v>
      </c>
      <c r="C62" s="36" t="s">
        <v>1022</v>
      </c>
      <c r="D62" s="9" t="s">
        <v>1023</v>
      </c>
      <c r="E62" s="9">
        <v>901</v>
      </c>
      <c r="F62" s="10" t="s">
        <v>1024</v>
      </c>
      <c r="G62" s="9">
        <v>1803</v>
      </c>
      <c r="H62" s="9">
        <v>2020</v>
      </c>
      <c r="I62" s="8">
        <v>32889.169000000002</v>
      </c>
      <c r="J62" s="8">
        <v>34162.118999999999</v>
      </c>
      <c r="K62" s="8">
        <v>34504.004999999997</v>
      </c>
      <c r="L62" s="8">
        <v>33485.434999999998</v>
      </c>
      <c r="M62" s="8">
        <v>34957.084000000003</v>
      </c>
      <c r="N62" s="8">
        <v>39098.512000000002</v>
      </c>
      <c r="O62" s="8">
        <v>42901.004999999997</v>
      </c>
      <c r="P62" s="8">
        <v>43245.728000000003</v>
      </c>
      <c r="Q62" s="8">
        <v>42794.508000000002</v>
      </c>
      <c r="R62" s="8">
        <v>43462.508000000002</v>
      </c>
      <c r="S62" s="8">
        <v>43016.588000000003</v>
      </c>
      <c r="T62" s="8">
        <v>44539.063999999998</v>
      </c>
      <c r="U62" s="8">
        <v>42705.248</v>
      </c>
      <c r="V62" s="8">
        <v>39286.457000000002</v>
      </c>
      <c r="W62" s="8">
        <v>33828.970999999998</v>
      </c>
      <c r="X62" s="8">
        <v>25210.625</v>
      </c>
      <c r="Y62" s="8">
        <v>20808.650000000001</v>
      </c>
      <c r="Z62" s="8">
        <v>13027.152</v>
      </c>
      <c r="AA62" s="8">
        <v>6714.9889999999996</v>
      </c>
      <c r="AB62" s="8">
        <v>1944.8320000000001</v>
      </c>
      <c r="AC62" s="8">
        <v>258.28399999999999</v>
      </c>
    </row>
    <row r="63" spans="1:29" ht="11.65" hidden="1" x14ac:dyDescent="0.35">
      <c r="A63" s="12">
        <v>46</v>
      </c>
      <c r="B63" s="10" t="s">
        <v>1015</v>
      </c>
      <c r="C63" s="36" t="s">
        <v>1025</v>
      </c>
      <c r="D63" s="9" t="s">
        <v>1026</v>
      </c>
      <c r="E63" s="9">
        <v>902</v>
      </c>
      <c r="F63" s="10" t="s">
        <v>1024</v>
      </c>
      <c r="G63" s="9">
        <v>1803</v>
      </c>
      <c r="H63" s="9">
        <v>1950</v>
      </c>
      <c r="I63" s="8">
        <v>125462.632</v>
      </c>
      <c r="J63" s="8">
        <v>98583.797000000006</v>
      </c>
      <c r="K63" s="8">
        <v>91206.596000000005</v>
      </c>
      <c r="L63" s="8">
        <v>83287.714999999997</v>
      </c>
      <c r="M63" s="8">
        <v>73364.623000000094</v>
      </c>
      <c r="N63" s="8">
        <v>64260.703000000001</v>
      </c>
      <c r="O63" s="8">
        <v>57536.732000000004</v>
      </c>
      <c r="P63" s="8">
        <v>51380.254000000001</v>
      </c>
      <c r="Q63" s="8">
        <v>44719.337</v>
      </c>
      <c r="R63" s="8">
        <v>38157.232000000004</v>
      </c>
      <c r="S63" s="8">
        <v>31878.472000000002</v>
      </c>
      <c r="T63" s="8">
        <v>26280.690999999999</v>
      </c>
      <c r="U63" s="8">
        <v>21709.289000000001</v>
      </c>
      <c r="V63" s="8">
        <v>15815.671</v>
      </c>
      <c r="W63" s="8">
        <v>10414.870999999999</v>
      </c>
      <c r="X63" s="8">
        <v>5965.4380000000001</v>
      </c>
      <c r="Y63" s="8">
        <v>2579.8150000000001</v>
      </c>
      <c r="Z63" s="8">
        <v>829.47299999999996</v>
      </c>
      <c r="AA63" s="8">
        <v>228.94</v>
      </c>
      <c r="AB63" s="8">
        <v>53.885000000000097</v>
      </c>
      <c r="AC63" s="8">
        <v>10.587</v>
      </c>
    </row>
    <row r="64" spans="1:29" ht="11.65" hidden="1" x14ac:dyDescent="0.35">
      <c r="A64" s="12">
        <v>47</v>
      </c>
      <c r="B64" s="10" t="s">
        <v>1015</v>
      </c>
      <c r="C64" s="36" t="s">
        <v>1025</v>
      </c>
      <c r="D64" s="9" t="s">
        <v>1026</v>
      </c>
      <c r="E64" s="9">
        <v>902</v>
      </c>
      <c r="F64" s="10" t="s">
        <v>1024</v>
      </c>
      <c r="G64" s="9">
        <v>1803</v>
      </c>
      <c r="H64" s="9">
        <v>1955</v>
      </c>
      <c r="I64" s="8">
        <v>156408.592</v>
      </c>
      <c r="J64" s="8">
        <v>114833.796</v>
      </c>
      <c r="K64" s="8">
        <v>95409.510999999897</v>
      </c>
      <c r="L64" s="8">
        <v>88777.266000000003</v>
      </c>
      <c r="M64" s="8">
        <v>80564.042000000001</v>
      </c>
      <c r="N64" s="8">
        <v>70474.073000000004</v>
      </c>
      <c r="O64" s="8">
        <v>61340.464</v>
      </c>
      <c r="P64" s="8">
        <v>54622.616999999998</v>
      </c>
      <c r="Q64" s="8">
        <v>48315.173000000003</v>
      </c>
      <c r="R64" s="8">
        <v>41609.214000000102</v>
      </c>
      <c r="S64" s="8">
        <v>35112.603000000003</v>
      </c>
      <c r="T64" s="8">
        <v>28658.916000000001</v>
      </c>
      <c r="U64" s="8">
        <v>22378.562999999998</v>
      </c>
      <c r="V64" s="8">
        <v>16964.827000000001</v>
      </c>
      <c r="W64" s="8">
        <v>11116.51</v>
      </c>
      <c r="X64" s="8">
        <v>6137.0190000000002</v>
      </c>
      <c r="Y64" s="8">
        <v>2729.893</v>
      </c>
      <c r="Z64" s="8">
        <v>880.12400000000002</v>
      </c>
      <c r="AA64" s="8">
        <v>203.892</v>
      </c>
      <c r="AB64" s="8">
        <v>39.308999999999997</v>
      </c>
      <c r="AC64" s="8">
        <v>6.9820000000000002</v>
      </c>
    </row>
    <row r="65" spans="1:29" ht="11.65" hidden="1" x14ac:dyDescent="0.35">
      <c r="A65" s="12">
        <v>48</v>
      </c>
      <c r="B65" s="10" t="s">
        <v>1015</v>
      </c>
      <c r="C65" s="36" t="s">
        <v>1025</v>
      </c>
      <c r="D65" s="9" t="s">
        <v>1026</v>
      </c>
      <c r="E65" s="9">
        <v>902</v>
      </c>
      <c r="F65" s="10" t="s">
        <v>1024</v>
      </c>
      <c r="G65" s="9">
        <v>1803</v>
      </c>
      <c r="H65" s="9">
        <v>1960</v>
      </c>
      <c r="I65" s="8">
        <v>168667.71299999999</v>
      </c>
      <c r="J65" s="8">
        <v>144891.80600000001</v>
      </c>
      <c r="K65" s="8">
        <v>111570.465</v>
      </c>
      <c r="L65" s="8">
        <v>92978.576999999903</v>
      </c>
      <c r="M65" s="8">
        <v>86177.403999999893</v>
      </c>
      <c r="N65" s="8">
        <v>77895.478000000003</v>
      </c>
      <c r="O65" s="8">
        <v>67691.452000000005</v>
      </c>
      <c r="P65" s="8">
        <v>58550.701000000001</v>
      </c>
      <c r="Q65" s="8">
        <v>51684.406000000003</v>
      </c>
      <c r="R65" s="8">
        <v>45373.084000000003</v>
      </c>
      <c r="S65" s="8">
        <v>38519.565999999999</v>
      </c>
      <c r="T65" s="8">
        <v>31702.960999999999</v>
      </c>
      <c r="U65" s="8">
        <v>24600.083999999999</v>
      </c>
      <c r="V65" s="8">
        <v>17706.323</v>
      </c>
      <c r="W65" s="8">
        <v>12040.686</v>
      </c>
      <c r="X65" s="8">
        <v>6556.83</v>
      </c>
      <c r="Y65" s="8">
        <v>2784.8519999999999</v>
      </c>
      <c r="Z65" s="8">
        <v>901.65899999999999</v>
      </c>
      <c r="AA65" s="8">
        <v>205.73400000000001</v>
      </c>
      <c r="AB65" s="8">
        <v>36.091000000000001</v>
      </c>
      <c r="AC65" s="8">
        <v>5.7510000000000003</v>
      </c>
    </row>
    <row r="66" spans="1:29" ht="11.65" hidden="1" x14ac:dyDescent="0.35">
      <c r="A66" s="12">
        <v>49</v>
      </c>
      <c r="B66" s="10" t="s">
        <v>1015</v>
      </c>
      <c r="C66" s="36" t="s">
        <v>1025</v>
      </c>
      <c r="D66" s="9" t="s">
        <v>1026</v>
      </c>
      <c r="E66" s="9">
        <v>902</v>
      </c>
      <c r="F66" s="10" t="s">
        <v>1024</v>
      </c>
      <c r="G66" s="9">
        <v>1803</v>
      </c>
      <c r="H66" s="9">
        <v>1965</v>
      </c>
      <c r="I66" s="8">
        <v>191348.80300000001</v>
      </c>
      <c r="J66" s="8">
        <v>157172.14199999999</v>
      </c>
      <c r="K66" s="8">
        <v>141133.01800000001</v>
      </c>
      <c r="L66" s="8">
        <v>109073.65399999999</v>
      </c>
      <c r="M66" s="8">
        <v>90422.952000000005</v>
      </c>
      <c r="N66" s="8">
        <v>83502.061000000002</v>
      </c>
      <c r="O66" s="8">
        <v>75064.471000000005</v>
      </c>
      <c r="P66" s="8">
        <v>64847.652999999897</v>
      </c>
      <c r="Q66" s="8">
        <v>55668.597000000002</v>
      </c>
      <c r="R66" s="8">
        <v>48717.141000000003</v>
      </c>
      <c r="S66" s="8">
        <v>42241.296000000002</v>
      </c>
      <c r="T66" s="8">
        <v>34998.373</v>
      </c>
      <c r="U66" s="8">
        <v>27460.043000000001</v>
      </c>
      <c r="V66" s="8">
        <v>19748.382000000001</v>
      </c>
      <c r="W66" s="8">
        <v>12783.433000000001</v>
      </c>
      <c r="X66" s="8">
        <v>7476.0219999999999</v>
      </c>
      <c r="Y66" s="8">
        <v>3218.674</v>
      </c>
      <c r="Z66" s="8">
        <v>1037.326</v>
      </c>
      <c r="AA66" s="8">
        <v>243.52099999999999</v>
      </c>
      <c r="AB66" s="8">
        <v>39.581000000000003</v>
      </c>
      <c r="AC66" s="8">
        <v>5.6669999999999998</v>
      </c>
    </row>
    <row r="67" spans="1:29" ht="11.65" hidden="1" x14ac:dyDescent="0.35">
      <c r="A67" s="12">
        <v>50</v>
      </c>
      <c r="B67" s="10" t="s">
        <v>1015</v>
      </c>
      <c r="C67" s="36" t="s">
        <v>1025</v>
      </c>
      <c r="D67" s="9" t="s">
        <v>1026</v>
      </c>
      <c r="E67" s="9">
        <v>902</v>
      </c>
      <c r="F67" s="10" t="s">
        <v>1024</v>
      </c>
      <c r="G67" s="9">
        <v>1803</v>
      </c>
      <c r="H67" s="9">
        <v>1970</v>
      </c>
      <c r="I67" s="8">
        <v>216218.78</v>
      </c>
      <c r="J67" s="8">
        <v>181300.55100000001</v>
      </c>
      <c r="K67" s="8">
        <v>154327.09099999999</v>
      </c>
      <c r="L67" s="8">
        <v>138807.62700000001</v>
      </c>
      <c r="M67" s="8">
        <v>106760.92</v>
      </c>
      <c r="N67" s="8">
        <v>88165.152000000002</v>
      </c>
      <c r="O67" s="8">
        <v>81166.816000000006</v>
      </c>
      <c r="P67" s="8">
        <v>72586.982000000004</v>
      </c>
      <c r="Q67" s="8">
        <v>62377.4</v>
      </c>
      <c r="R67" s="8">
        <v>53091.4</v>
      </c>
      <c r="S67" s="8">
        <v>45858.942000000003</v>
      </c>
      <c r="T67" s="8">
        <v>39007.148999999998</v>
      </c>
      <c r="U67" s="8">
        <v>31188.273000000001</v>
      </c>
      <c r="V67" s="8">
        <v>23094.143</v>
      </c>
      <c r="W67" s="8">
        <v>15249.967000000001</v>
      </c>
      <c r="X67" s="8">
        <v>8588.4060000000009</v>
      </c>
      <c r="Y67" s="8">
        <v>4055.8229999999999</v>
      </c>
      <c r="Z67" s="8">
        <v>1305.152</v>
      </c>
      <c r="AA67" s="8">
        <v>297.959</v>
      </c>
      <c r="AB67" s="8">
        <v>50.030999999999999</v>
      </c>
      <c r="AC67" s="8">
        <v>6.5549999999999997</v>
      </c>
    </row>
    <row r="68" spans="1:29" ht="11.65" hidden="1" x14ac:dyDescent="0.35">
      <c r="A68" s="12">
        <v>51</v>
      </c>
      <c r="B68" s="10" t="s">
        <v>1015</v>
      </c>
      <c r="C68" s="36" t="s">
        <v>1025</v>
      </c>
      <c r="D68" s="9" t="s">
        <v>1026</v>
      </c>
      <c r="E68" s="9">
        <v>902</v>
      </c>
      <c r="F68" s="10" t="s">
        <v>1024</v>
      </c>
      <c r="G68" s="9">
        <v>1803</v>
      </c>
      <c r="H68" s="9">
        <v>1975</v>
      </c>
      <c r="I68" s="8">
        <v>226434.60399999999</v>
      </c>
      <c r="J68" s="8">
        <v>206600.67</v>
      </c>
      <c r="K68" s="8">
        <v>178402.508</v>
      </c>
      <c r="L68" s="8">
        <v>151861.109</v>
      </c>
      <c r="M68" s="8">
        <v>135959.255</v>
      </c>
      <c r="N68" s="8">
        <v>104412.76</v>
      </c>
      <c r="O68" s="8">
        <v>86135.173999999999</v>
      </c>
      <c r="P68" s="8">
        <v>79095.732000000004</v>
      </c>
      <c r="Q68" s="8">
        <v>70424.948999999993</v>
      </c>
      <c r="R68" s="8">
        <v>60134.87</v>
      </c>
      <c r="S68" s="8">
        <v>50650.29</v>
      </c>
      <c r="T68" s="8">
        <v>42865.072999999997</v>
      </c>
      <c r="U68" s="8">
        <v>35240.307000000001</v>
      </c>
      <c r="V68" s="8">
        <v>26672.1</v>
      </c>
      <c r="W68" s="8">
        <v>18171.267</v>
      </c>
      <c r="X68" s="8">
        <v>10442.745000000001</v>
      </c>
      <c r="Y68" s="8">
        <v>4768.4650000000001</v>
      </c>
      <c r="Z68" s="8">
        <v>1682.9559999999999</v>
      </c>
      <c r="AA68" s="8">
        <v>374.89800000000002</v>
      </c>
      <c r="AB68" s="8">
        <v>61.228000000000002</v>
      </c>
      <c r="AC68" s="8">
        <v>8.3209999999999997</v>
      </c>
    </row>
    <row r="69" spans="1:29" ht="11.65" hidden="1" x14ac:dyDescent="0.35">
      <c r="A69" s="12">
        <v>52</v>
      </c>
      <c r="B69" s="10" t="s">
        <v>1015</v>
      </c>
      <c r="C69" s="36" t="s">
        <v>1025</v>
      </c>
      <c r="D69" s="9" t="s">
        <v>1026</v>
      </c>
      <c r="E69" s="9">
        <v>902</v>
      </c>
      <c r="F69" s="10" t="s">
        <v>1024</v>
      </c>
      <c r="G69" s="9">
        <v>1803</v>
      </c>
      <c r="H69" s="9">
        <v>1980</v>
      </c>
      <c r="I69" s="8">
        <v>229365.59700000001</v>
      </c>
      <c r="J69" s="8">
        <v>217802.56599999999</v>
      </c>
      <c r="K69" s="8">
        <v>203728.25399999999</v>
      </c>
      <c r="L69" s="8">
        <v>176089.38200000001</v>
      </c>
      <c r="M69" s="8">
        <v>149251.878</v>
      </c>
      <c r="N69" s="8">
        <v>133306.93</v>
      </c>
      <c r="O69" s="8">
        <v>102240.649</v>
      </c>
      <c r="P69" s="8">
        <v>84178.595000000001</v>
      </c>
      <c r="Q69" s="8">
        <v>77044.414000000004</v>
      </c>
      <c r="R69" s="8">
        <v>68225.034</v>
      </c>
      <c r="S69" s="8">
        <v>57612.43</v>
      </c>
      <c r="T69" s="8">
        <v>47755.828999999998</v>
      </c>
      <c r="U69" s="8">
        <v>39214.902999999998</v>
      </c>
      <c r="V69" s="8">
        <v>30680.662</v>
      </c>
      <c r="W69" s="8">
        <v>21362.798999999999</v>
      </c>
      <c r="X69" s="8">
        <v>12785.401</v>
      </c>
      <c r="Y69" s="8">
        <v>6021.0029999999997</v>
      </c>
      <c r="Z69" s="8">
        <v>2042.6120000000001</v>
      </c>
      <c r="AA69" s="8">
        <v>510.98</v>
      </c>
      <c r="AB69" s="8">
        <v>80.972999999999999</v>
      </c>
      <c r="AC69" s="8">
        <v>10.9</v>
      </c>
    </row>
    <row r="70" spans="1:29" ht="11.65" hidden="1" x14ac:dyDescent="0.35">
      <c r="A70" s="12">
        <v>53</v>
      </c>
      <c r="B70" s="10" t="s">
        <v>1015</v>
      </c>
      <c r="C70" s="36" t="s">
        <v>1025</v>
      </c>
      <c r="D70" s="9" t="s">
        <v>1026</v>
      </c>
      <c r="E70" s="9">
        <v>902</v>
      </c>
      <c r="F70" s="10" t="s">
        <v>1024</v>
      </c>
      <c r="G70" s="9">
        <v>1803</v>
      </c>
      <c r="H70" s="9">
        <v>1985</v>
      </c>
      <c r="I70" s="8">
        <v>249556.02600000001</v>
      </c>
      <c r="J70" s="8">
        <v>221675.67600000001</v>
      </c>
      <c r="K70" s="8">
        <v>215304.02100000001</v>
      </c>
      <c r="L70" s="8">
        <v>201636.685</v>
      </c>
      <c r="M70" s="8">
        <v>173634.26199999999</v>
      </c>
      <c r="N70" s="8">
        <v>146894.67499999999</v>
      </c>
      <c r="O70" s="8">
        <v>131244.94099999999</v>
      </c>
      <c r="P70" s="8">
        <v>100511.886</v>
      </c>
      <c r="Q70" s="8">
        <v>82347.138999999996</v>
      </c>
      <c r="R70" s="8">
        <v>74904.748999999996</v>
      </c>
      <c r="S70" s="8">
        <v>65695.838000000003</v>
      </c>
      <c r="T70" s="8">
        <v>54541.614999999998</v>
      </c>
      <c r="U70" s="8">
        <v>43920.766000000003</v>
      </c>
      <c r="V70" s="8">
        <v>34410.474000000002</v>
      </c>
      <c r="W70" s="8">
        <v>24958.26</v>
      </c>
      <c r="X70" s="8">
        <v>15283.956</v>
      </c>
      <c r="Y70" s="8">
        <v>7554.7359999999999</v>
      </c>
      <c r="Z70" s="8">
        <v>2673.6559999999999</v>
      </c>
      <c r="AA70" s="8">
        <v>635.81799999999998</v>
      </c>
      <c r="AB70" s="8">
        <v>114.17400000000001</v>
      </c>
      <c r="AC70" s="8">
        <v>14.177</v>
      </c>
    </row>
    <row r="71" spans="1:29" ht="11.65" hidden="1" x14ac:dyDescent="0.35">
      <c r="A71" s="12">
        <v>54</v>
      </c>
      <c r="B71" s="10" t="s">
        <v>1015</v>
      </c>
      <c r="C71" s="36" t="s">
        <v>1025</v>
      </c>
      <c r="D71" s="9" t="s">
        <v>1026</v>
      </c>
      <c r="E71" s="9">
        <v>902</v>
      </c>
      <c r="F71" s="10" t="s">
        <v>1024</v>
      </c>
      <c r="G71" s="9">
        <v>1803</v>
      </c>
      <c r="H71" s="9">
        <v>1990</v>
      </c>
      <c r="I71" s="8">
        <v>275063.94199999998</v>
      </c>
      <c r="J71" s="8">
        <v>242170.54399999999</v>
      </c>
      <c r="K71" s="8">
        <v>219438.902</v>
      </c>
      <c r="L71" s="8">
        <v>213092.92</v>
      </c>
      <c r="M71" s="8">
        <v>198820.09599999999</v>
      </c>
      <c r="N71" s="8">
        <v>170899.864</v>
      </c>
      <c r="O71" s="8">
        <v>144669.443</v>
      </c>
      <c r="P71" s="8">
        <v>129166.067</v>
      </c>
      <c r="Q71" s="8">
        <v>98579.653000000006</v>
      </c>
      <c r="R71" s="8">
        <v>80319.301000000007</v>
      </c>
      <c r="S71" s="8">
        <v>72331.664999999994</v>
      </c>
      <c r="T71" s="8">
        <v>62505.061000000002</v>
      </c>
      <c r="U71" s="8">
        <v>50491.733</v>
      </c>
      <c r="V71" s="8">
        <v>38838.764000000003</v>
      </c>
      <c r="W71" s="8">
        <v>28250.757000000001</v>
      </c>
      <c r="X71" s="8">
        <v>18170.981</v>
      </c>
      <c r="Y71" s="8">
        <v>9249.0470000000096</v>
      </c>
      <c r="Z71" s="8">
        <v>3479.4850000000001</v>
      </c>
      <c r="AA71" s="8">
        <v>879.50900000000001</v>
      </c>
      <c r="AB71" s="8">
        <v>148.416</v>
      </c>
      <c r="AC71" s="8">
        <v>20.641999999999999</v>
      </c>
    </row>
    <row r="72" spans="1:29" ht="11.65" hidden="1" x14ac:dyDescent="0.35">
      <c r="A72" s="12">
        <v>55</v>
      </c>
      <c r="B72" s="10" t="s">
        <v>1015</v>
      </c>
      <c r="C72" s="36" t="s">
        <v>1025</v>
      </c>
      <c r="D72" s="9" t="s">
        <v>1026</v>
      </c>
      <c r="E72" s="9">
        <v>902</v>
      </c>
      <c r="F72" s="10" t="s">
        <v>1024</v>
      </c>
      <c r="G72" s="9">
        <v>1803</v>
      </c>
      <c r="H72" s="9">
        <v>1995</v>
      </c>
      <c r="I72" s="8">
        <v>265412.97100000002</v>
      </c>
      <c r="J72" s="8">
        <v>268203.391</v>
      </c>
      <c r="K72" s="8">
        <v>239954.05799999999</v>
      </c>
      <c r="L72" s="8">
        <v>217004.23499999999</v>
      </c>
      <c r="M72" s="8">
        <v>209629.16500000001</v>
      </c>
      <c r="N72" s="8">
        <v>195785.595</v>
      </c>
      <c r="O72" s="8">
        <v>168396.242</v>
      </c>
      <c r="P72" s="8">
        <v>142390.17000000001</v>
      </c>
      <c r="Q72" s="8">
        <v>126871.52499999999</v>
      </c>
      <c r="R72" s="8">
        <v>96322.760999999999</v>
      </c>
      <c r="S72" s="8">
        <v>77807.385999999999</v>
      </c>
      <c r="T72" s="8">
        <v>69004.570999999996</v>
      </c>
      <c r="U72" s="8">
        <v>58193.716</v>
      </c>
      <c r="V72" s="8">
        <v>44998.116999999998</v>
      </c>
      <c r="W72" s="8">
        <v>32248.478999999999</v>
      </c>
      <c r="X72" s="8">
        <v>21024.924999999999</v>
      </c>
      <c r="Y72" s="8">
        <v>11376.522999999999</v>
      </c>
      <c r="Z72" s="8">
        <v>4406.63</v>
      </c>
      <c r="AA72" s="8">
        <v>1185.8699999999999</v>
      </c>
      <c r="AB72" s="8">
        <v>213.375</v>
      </c>
      <c r="AC72" s="8">
        <v>27.88</v>
      </c>
    </row>
    <row r="73" spans="1:29" ht="11.65" hidden="1" x14ac:dyDescent="0.35">
      <c r="A73" s="12">
        <v>56</v>
      </c>
      <c r="B73" s="10" t="s">
        <v>1015</v>
      </c>
      <c r="C73" s="36" t="s">
        <v>1025</v>
      </c>
      <c r="D73" s="9" t="s">
        <v>1026</v>
      </c>
      <c r="E73" s="9">
        <v>902</v>
      </c>
      <c r="F73" s="10" t="s">
        <v>1024</v>
      </c>
      <c r="G73" s="9">
        <v>1803</v>
      </c>
      <c r="H73" s="9">
        <v>2000</v>
      </c>
      <c r="I73" s="8">
        <v>265513.21500000003</v>
      </c>
      <c r="J73" s="8">
        <v>259466.14</v>
      </c>
      <c r="K73" s="8">
        <v>265769.10399999999</v>
      </c>
      <c r="L73" s="8">
        <v>237419.39499999999</v>
      </c>
      <c r="M73" s="8">
        <v>213606.73800000001</v>
      </c>
      <c r="N73" s="8">
        <v>206628.96900000001</v>
      </c>
      <c r="O73" s="8">
        <v>193142.70499999999</v>
      </c>
      <c r="P73" s="8">
        <v>166032.09299999999</v>
      </c>
      <c r="Q73" s="8">
        <v>139910.96799999999</v>
      </c>
      <c r="R73" s="8">
        <v>124110.68</v>
      </c>
      <c r="S73" s="8">
        <v>93363.445000000007</v>
      </c>
      <c r="T73" s="8">
        <v>74280.029000000097</v>
      </c>
      <c r="U73" s="8">
        <v>64429.639000000003</v>
      </c>
      <c r="V73" s="8">
        <v>52253.633999999998</v>
      </c>
      <c r="W73" s="8">
        <v>37829.894</v>
      </c>
      <c r="X73" s="8">
        <v>24429.675999999999</v>
      </c>
      <c r="Y73" s="8">
        <v>13417.614</v>
      </c>
      <c r="Z73" s="8">
        <v>5589.5469999999996</v>
      </c>
      <c r="AA73" s="8">
        <v>1564.683</v>
      </c>
      <c r="AB73" s="8">
        <v>300.24599999999998</v>
      </c>
      <c r="AC73" s="8">
        <v>39.948999999999998</v>
      </c>
    </row>
    <row r="74" spans="1:29" ht="11.65" hidden="1" x14ac:dyDescent="0.35">
      <c r="A74" s="12">
        <v>57</v>
      </c>
      <c r="B74" s="10" t="s">
        <v>1015</v>
      </c>
      <c r="C74" s="36" t="s">
        <v>1025</v>
      </c>
      <c r="D74" s="9" t="s">
        <v>1026</v>
      </c>
      <c r="E74" s="9">
        <v>902</v>
      </c>
      <c r="F74" s="10" t="s">
        <v>1024</v>
      </c>
      <c r="G74" s="9">
        <v>1803</v>
      </c>
      <c r="H74" s="9">
        <v>2005</v>
      </c>
      <c r="I74" s="8">
        <v>270548.82500000001</v>
      </c>
      <c r="J74" s="8">
        <v>261062.986</v>
      </c>
      <c r="K74" s="8">
        <v>257840.31200000001</v>
      </c>
      <c r="L74" s="8">
        <v>263085.17499999999</v>
      </c>
      <c r="M74" s="8">
        <v>233439.75700000001</v>
      </c>
      <c r="N74" s="8">
        <v>210235.74900000001</v>
      </c>
      <c r="O74" s="8">
        <v>203375.65299999999</v>
      </c>
      <c r="P74" s="8">
        <v>189973.5</v>
      </c>
      <c r="Q74" s="8">
        <v>162749.46900000001</v>
      </c>
      <c r="R74" s="8">
        <v>136334.83600000001</v>
      </c>
      <c r="S74" s="8">
        <v>120479.23299999999</v>
      </c>
      <c r="T74" s="8">
        <v>89647.930999999997</v>
      </c>
      <c r="U74" s="8">
        <v>69550.464000000007</v>
      </c>
      <c r="V74" s="8">
        <v>57780.237999999998</v>
      </c>
      <c r="W74" s="8">
        <v>44070.493000000002</v>
      </c>
      <c r="X74" s="8">
        <v>28736.875</v>
      </c>
      <c r="Y74" s="8">
        <v>15808.191000000001</v>
      </c>
      <c r="Z74" s="8">
        <v>6746.009</v>
      </c>
      <c r="AA74" s="8">
        <v>2061.02</v>
      </c>
      <c r="AB74" s="8">
        <v>406.1</v>
      </c>
      <c r="AC74" s="8">
        <v>57.731000000000002</v>
      </c>
    </row>
    <row r="75" spans="1:29" ht="11.65" hidden="1" x14ac:dyDescent="0.35">
      <c r="A75" s="12">
        <v>58</v>
      </c>
      <c r="B75" s="10" t="s">
        <v>1015</v>
      </c>
      <c r="C75" s="36" t="s">
        <v>1025</v>
      </c>
      <c r="D75" s="9" t="s">
        <v>1026</v>
      </c>
      <c r="E75" s="9">
        <v>902</v>
      </c>
      <c r="F75" s="10" t="s">
        <v>1024</v>
      </c>
      <c r="G75" s="9">
        <v>1803</v>
      </c>
      <c r="H75" s="9">
        <v>2010</v>
      </c>
      <c r="I75" s="8">
        <v>280888.59399999998</v>
      </c>
      <c r="J75" s="8">
        <v>266403.05599999998</v>
      </c>
      <c r="K75" s="8">
        <v>259145.48800000001</v>
      </c>
      <c r="L75" s="8">
        <v>254929.70499999999</v>
      </c>
      <c r="M75" s="8">
        <v>258602.02600000001</v>
      </c>
      <c r="N75" s="8">
        <v>230558.82</v>
      </c>
      <c r="O75" s="8">
        <v>207023.14799999999</v>
      </c>
      <c r="P75" s="8">
        <v>200566.34899999999</v>
      </c>
      <c r="Q75" s="8">
        <v>187172.23699999999</v>
      </c>
      <c r="R75" s="8">
        <v>159627.628</v>
      </c>
      <c r="S75" s="8">
        <v>132907.35999999999</v>
      </c>
      <c r="T75" s="8">
        <v>115640.894</v>
      </c>
      <c r="U75" s="8">
        <v>84303.907000000007</v>
      </c>
      <c r="V75" s="8">
        <v>62835.707999999999</v>
      </c>
      <c r="W75" s="8">
        <v>49314.419000000002</v>
      </c>
      <c r="X75" s="8">
        <v>34021.873</v>
      </c>
      <c r="Y75" s="8">
        <v>19182.014999999999</v>
      </c>
      <c r="Z75" s="8">
        <v>8311.2810000000009</v>
      </c>
      <c r="AA75" s="8">
        <v>2602.7040000000002</v>
      </c>
      <c r="AB75" s="8">
        <v>564.93799999999999</v>
      </c>
      <c r="AC75" s="8">
        <v>82.679000000000002</v>
      </c>
    </row>
    <row r="76" spans="1:29" ht="11.65" hidden="1" x14ac:dyDescent="0.35">
      <c r="A76" s="12">
        <v>59</v>
      </c>
      <c r="B76" s="10" t="s">
        <v>1015</v>
      </c>
      <c r="C76" s="36" t="s">
        <v>1025</v>
      </c>
      <c r="D76" s="9" t="s">
        <v>1026</v>
      </c>
      <c r="E76" s="9">
        <v>902</v>
      </c>
      <c r="F76" s="10" t="s">
        <v>1024</v>
      </c>
      <c r="G76" s="9">
        <v>1803</v>
      </c>
      <c r="H76" s="9">
        <v>2015</v>
      </c>
      <c r="I76" s="8">
        <v>290625.75</v>
      </c>
      <c r="J76" s="8">
        <v>277143.22399999999</v>
      </c>
      <c r="K76" s="8">
        <v>264380.375</v>
      </c>
      <c r="L76" s="8">
        <v>256968.59400000001</v>
      </c>
      <c r="M76" s="8">
        <v>251982.72099999999</v>
      </c>
      <c r="N76" s="8">
        <v>255769.35200000001</v>
      </c>
      <c r="O76" s="8">
        <v>227778.93599999999</v>
      </c>
      <c r="P76" s="8">
        <v>204418.12299999999</v>
      </c>
      <c r="Q76" s="8">
        <v>197916.095</v>
      </c>
      <c r="R76" s="8">
        <v>184146.48199999999</v>
      </c>
      <c r="S76" s="8">
        <v>155983.91200000001</v>
      </c>
      <c r="T76" s="8">
        <v>128449.59</v>
      </c>
      <c r="U76" s="8">
        <v>109715.386</v>
      </c>
      <c r="V76" s="8">
        <v>77150.125</v>
      </c>
      <c r="W76" s="8">
        <v>54409.288999999997</v>
      </c>
      <c r="X76" s="8">
        <v>38965.489000000001</v>
      </c>
      <c r="Y76" s="8">
        <v>23314.395</v>
      </c>
      <c r="Z76" s="8">
        <v>10577.991</v>
      </c>
      <c r="AA76" s="8">
        <v>3429.7629999999999</v>
      </c>
      <c r="AB76" s="8">
        <v>779.68699999999899</v>
      </c>
      <c r="AC76" s="8">
        <v>126.17700000000001</v>
      </c>
    </row>
    <row r="77" spans="1:29" ht="11.65" hidden="1" x14ac:dyDescent="0.35">
      <c r="A77" s="12">
        <v>60</v>
      </c>
      <c r="B77" s="10" t="s">
        <v>1015</v>
      </c>
      <c r="C77" s="36" t="s">
        <v>1025</v>
      </c>
      <c r="D77" s="9" t="s">
        <v>1026</v>
      </c>
      <c r="E77" s="9">
        <v>902</v>
      </c>
      <c r="F77" s="10" t="s">
        <v>1024</v>
      </c>
      <c r="G77" s="9">
        <v>1803</v>
      </c>
      <c r="H77" s="9">
        <v>2020</v>
      </c>
      <c r="I77" s="8">
        <v>295620.065</v>
      </c>
      <c r="J77" s="8">
        <v>287349.74800000002</v>
      </c>
      <c r="K77" s="8">
        <v>275265.90100000001</v>
      </c>
      <c r="L77" s="8">
        <v>262068.323</v>
      </c>
      <c r="M77" s="8">
        <v>254143.81899999999</v>
      </c>
      <c r="N77" s="8">
        <v>249534.25399999999</v>
      </c>
      <c r="O77" s="8">
        <v>253392.74299999999</v>
      </c>
      <c r="P77" s="8">
        <v>225126.02600000001</v>
      </c>
      <c r="Q77" s="8">
        <v>201604.66800000001</v>
      </c>
      <c r="R77" s="8">
        <v>194670.774</v>
      </c>
      <c r="S77" s="8">
        <v>180146.394</v>
      </c>
      <c r="T77" s="8">
        <v>151094.679</v>
      </c>
      <c r="U77" s="8">
        <v>122256.075</v>
      </c>
      <c r="V77" s="8">
        <v>101417.863</v>
      </c>
      <c r="W77" s="8">
        <v>67662.376000000004</v>
      </c>
      <c r="X77" s="8">
        <v>43816.205999999998</v>
      </c>
      <c r="Y77" s="8">
        <v>27472.550999999999</v>
      </c>
      <c r="Z77" s="8">
        <v>13402.177</v>
      </c>
      <c r="AA77" s="8">
        <v>4637.1930000000002</v>
      </c>
      <c r="AB77" s="8">
        <v>1111.0129999999999</v>
      </c>
      <c r="AC77" s="8">
        <v>190.995</v>
      </c>
    </row>
    <row r="78" spans="1:29" ht="11.65" hidden="1" x14ac:dyDescent="0.35">
      <c r="A78" s="12">
        <v>61</v>
      </c>
      <c r="B78" s="10" t="s">
        <v>1015</v>
      </c>
      <c r="C78" s="30" t="s">
        <v>1027</v>
      </c>
      <c r="D78" s="9" t="s">
        <v>1028</v>
      </c>
      <c r="E78" s="9">
        <v>941</v>
      </c>
      <c r="F78" s="10" t="s">
        <v>1024</v>
      </c>
      <c r="G78" s="9">
        <v>902</v>
      </c>
      <c r="H78" s="9">
        <v>1950</v>
      </c>
      <c r="I78" s="8">
        <v>16252.664000000001</v>
      </c>
      <c r="J78" s="8">
        <v>12797.483</v>
      </c>
      <c r="K78" s="8">
        <v>11104.124</v>
      </c>
      <c r="L78" s="8">
        <v>9850.6290000000008</v>
      </c>
      <c r="M78" s="8">
        <v>8647.1029999999992</v>
      </c>
      <c r="N78" s="8">
        <v>7469.2179999999998</v>
      </c>
      <c r="O78" s="8">
        <v>6407.6270000000004</v>
      </c>
      <c r="P78" s="8">
        <v>5448.5349999999999</v>
      </c>
      <c r="Q78" s="8">
        <v>4610.5600000000004</v>
      </c>
      <c r="R78" s="8">
        <v>3899.7869999999998</v>
      </c>
      <c r="S78" s="8">
        <v>3192.8429999999998</v>
      </c>
      <c r="T78" s="8">
        <v>2571.962</v>
      </c>
      <c r="U78" s="8">
        <v>1992.643</v>
      </c>
      <c r="V78" s="8">
        <v>1492.2090000000001</v>
      </c>
      <c r="W78" s="8">
        <v>1003.857</v>
      </c>
      <c r="X78" s="8">
        <v>569.245</v>
      </c>
      <c r="Y78" s="8">
        <v>226.761</v>
      </c>
      <c r="Z78" s="8">
        <v>62.932000000000002</v>
      </c>
      <c r="AA78" s="8">
        <v>11.491</v>
      </c>
      <c r="AB78" s="8">
        <v>1.355</v>
      </c>
      <c r="AC78" s="8">
        <v>0.112</v>
      </c>
    </row>
    <row r="79" spans="1:29" ht="11.65" hidden="1" x14ac:dyDescent="0.35">
      <c r="A79" s="12">
        <v>62</v>
      </c>
      <c r="B79" s="10" t="s">
        <v>1015</v>
      </c>
      <c r="C79" s="30" t="s">
        <v>1027</v>
      </c>
      <c r="D79" s="9" t="s">
        <v>1028</v>
      </c>
      <c r="E79" s="9">
        <v>941</v>
      </c>
      <c r="F79" s="10" t="s">
        <v>1024</v>
      </c>
      <c r="G79" s="9">
        <v>902</v>
      </c>
      <c r="H79" s="9">
        <v>1955</v>
      </c>
      <c r="I79" s="8">
        <v>18432.861000000001</v>
      </c>
      <c r="J79" s="8">
        <v>14247.085999999999</v>
      </c>
      <c r="K79" s="8">
        <v>12239.804</v>
      </c>
      <c r="L79" s="8">
        <v>10715.344999999999</v>
      </c>
      <c r="M79" s="8">
        <v>9427.6</v>
      </c>
      <c r="N79" s="8">
        <v>8217.2250000000004</v>
      </c>
      <c r="O79" s="8">
        <v>7056.6239999999998</v>
      </c>
      <c r="P79" s="8">
        <v>6018.2550000000001</v>
      </c>
      <c r="Q79" s="8">
        <v>5090.5460000000003</v>
      </c>
      <c r="R79" s="8">
        <v>4285.2879999999996</v>
      </c>
      <c r="S79" s="8">
        <v>3578.4630000000002</v>
      </c>
      <c r="T79" s="8">
        <v>2856.4189999999999</v>
      </c>
      <c r="U79" s="8">
        <v>2182.4690000000001</v>
      </c>
      <c r="V79" s="8">
        <v>1549.8240000000001</v>
      </c>
      <c r="W79" s="8">
        <v>1019.4349999999999</v>
      </c>
      <c r="X79" s="8">
        <v>558.34900000000005</v>
      </c>
      <c r="Y79" s="8">
        <v>236.696</v>
      </c>
      <c r="Z79" s="8">
        <v>64.051000000000002</v>
      </c>
      <c r="AA79" s="8">
        <v>11.557</v>
      </c>
      <c r="AB79" s="8">
        <v>1.3169999999999999</v>
      </c>
      <c r="AC79" s="8">
        <v>0.106</v>
      </c>
    </row>
    <row r="80" spans="1:29" ht="11.65" hidden="1" x14ac:dyDescent="0.35">
      <c r="A80" s="12">
        <v>63</v>
      </c>
      <c r="B80" s="10" t="s">
        <v>1015</v>
      </c>
      <c r="C80" s="30" t="s">
        <v>1027</v>
      </c>
      <c r="D80" s="9" t="s">
        <v>1028</v>
      </c>
      <c r="E80" s="9">
        <v>941</v>
      </c>
      <c r="F80" s="10" t="s">
        <v>1024</v>
      </c>
      <c r="G80" s="9">
        <v>902</v>
      </c>
      <c r="H80" s="9">
        <v>1960</v>
      </c>
      <c r="I80" s="8">
        <v>21004.884999999998</v>
      </c>
      <c r="J80" s="8">
        <v>16411.332999999999</v>
      </c>
      <c r="K80" s="8">
        <v>13609.63</v>
      </c>
      <c r="L80" s="8">
        <v>11771.022000000001</v>
      </c>
      <c r="M80" s="8">
        <v>10269.039000000001</v>
      </c>
      <c r="N80" s="8">
        <v>9021.8109999999997</v>
      </c>
      <c r="O80" s="8">
        <v>7806.5860000000002</v>
      </c>
      <c r="P80" s="8">
        <v>6654.6369999999997</v>
      </c>
      <c r="Q80" s="8">
        <v>5643.3389999999999</v>
      </c>
      <c r="R80" s="8">
        <v>4746.67</v>
      </c>
      <c r="S80" s="8">
        <v>3944.8270000000002</v>
      </c>
      <c r="T80" s="8">
        <v>3216.6120000000001</v>
      </c>
      <c r="U80" s="8">
        <v>2444.1799999999998</v>
      </c>
      <c r="V80" s="8">
        <v>1719.3430000000001</v>
      </c>
      <c r="W80" s="8">
        <v>1082.4780000000001</v>
      </c>
      <c r="X80" s="8">
        <v>588.51</v>
      </c>
      <c r="Y80" s="8">
        <v>245.334</v>
      </c>
      <c r="Z80" s="8">
        <v>71.572999999999993</v>
      </c>
      <c r="AA80" s="8">
        <v>12.305999999999999</v>
      </c>
      <c r="AB80" s="8">
        <v>1.3859999999999999</v>
      </c>
      <c r="AC80" s="8">
        <v>0.104</v>
      </c>
    </row>
    <row r="81" spans="1:29" ht="11.65" hidden="1" x14ac:dyDescent="0.35">
      <c r="A81" s="12">
        <v>64</v>
      </c>
      <c r="B81" s="10" t="s">
        <v>1015</v>
      </c>
      <c r="C81" s="30" t="s">
        <v>1027</v>
      </c>
      <c r="D81" s="9" t="s">
        <v>1028</v>
      </c>
      <c r="E81" s="9">
        <v>941</v>
      </c>
      <c r="F81" s="10" t="s">
        <v>1024</v>
      </c>
      <c r="G81" s="9">
        <v>902</v>
      </c>
      <c r="H81" s="9">
        <v>1965</v>
      </c>
      <c r="I81" s="8">
        <v>23969.728999999999</v>
      </c>
      <c r="J81" s="8">
        <v>18910.189999999999</v>
      </c>
      <c r="K81" s="8">
        <v>15817.734</v>
      </c>
      <c r="L81" s="8">
        <v>13191.957</v>
      </c>
      <c r="M81" s="8">
        <v>11314.335999999999</v>
      </c>
      <c r="N81" s="8">
        <v>9808.6049999999996</v>
      </c>
      <c r="O81" s="8">
        <v>8580.1219999999994</v>
      </c>
      <c r="P81" s="8">
        <v>7389.0510000000004</v>
      </c>
      <c r="Q81" s="8">
        <v>6268.6459999999997</v>
      </c>
      <c r="R81" s="8">
        <v>5289.2169999999996</v>
      </c>
      <c r="S81" s="8">
        <v>4397.8540000000003</v>
      </c>
      <c r="T81" s="8">
        <v>3572.44</v>
      </c>
      <c r="U81" s="8">
        <v>2780.1709999999998</v>
      </c>
      <c r="V81" s="8">
        <v>1954.3409999999999</v>
      </c>
      <c r="W81" s="8">
        <v>1224.5540000000001</v>
      </c>
      <c r="X81" s="8">
        <v>644.63800000000003</v>
      </c>
      <c r="Y81" s="8">
        <v>269.63799999999998</v>
      </c>
      <c r="Z81" s="8">
        <v>78.286000000000001</v>
      </c>
      <c r="AA81" s="8">
        <v>14.451000000000001</v>
      </c>
      <c r="AB81" s="8">
        <v>1.5209999999999999</v>
      </c>
      <c r="AC81" s="8">
        <v>0.113</v>
      </c>
    </row>
    <row r="82" spans="1:29" ht="11.65" hidden="1" x14ac:dyDescent="0.35">
      <c r="A82" s="12">
        <v>65</v>
      </c>
      <c r="B82" s="10" t="s">
        <v>1015</v>
      </c>
      <c r="C82" s="30" t="s">
        <v>1027</v>
      </c>
      <c r="D82" s="9" t="s">
        <v>1028</v>
      </c>
      <c r="E82" s="9">
        <v>941</v>
      </c>
      <c r="F82" s="10" t="s">
        <v>1024</v>
      </c>
      <c r="G82" s="9">
        <v>902</v>
      </c>
      <c r="H82" s="9">
        <v>1970</v>
      </c>
      <c r="I82" s="8">
        <v>27334.508000000002</v>
      </c>
      <c r="J82" s="8">
        <v>21803.986000000001</v>
      </c>
      <c r="K82" s="8">
        <v>18247.949000000001</v>
      </c>
      <c r="L82" s="8">
        <v>15295.296</v>
      </c>
      <c r="M82" s="8">
        <v>12780.365</v>
      </c>
      <c r="N82" s="8">
        <v>10921.210999999999</v>
      </c>
      <c r="O82" s="8">
        <v>9411.4429999999993</v>
      </c>
      <c r="P82" s="8">
        <v>8140.692</v>
      </c>
      <c r="Q82" s="8">
        <v>6974.8239999999996</v>
      </c>
      <c r="R82" s="8">
        <v>5870.2030000000004</v>
      </c>
      <c r="S82" s="8">
        <v>4905.8109999999997</v>
      </c>
      <c r="T82" s="8">
        <v>3983.933</v>
      </c>
      <c r="U82" s="8">
        <v>3104.6120000000001</v>
      </c>
      <c r="V82" s="8">
        <v>2238.8620000000001</v>
      </c>
      <c r="W82" s="8">
        <v>1410.002</v>
      </c>
      <c r="X82" s="8">
        <v>740.53300000000002</v>
      </c>
      <c r="Y82" s="8">
        <v>300.32</v>
      </c>
      <c r="Z82" s="8">
        <v>89.787000000000006</v>
      </c>
      <c r="AA82" s="8">
        <v>16.564</v>
      </c>
      <c r="AB82" s="8">
        <v>1.85</v>
      </c>
      <c r="AC82" s="8">
        <v>0.128</v>
      </c>
    </row>
    <row r="83" spans="1:29" ht="11.65" hidden="1" x14ac:dyDescent="0.35">
      <c r="A83" s="12">
        <v>66</v>
      </c>
      <c r="B83" s="10" t="s">
        <v>1015</v>
      </c>
      <c r="C83" s="30" t="s">
        <v>1027</v>
      </c>
      <c r="D83" s="9" t="s">
        <v>1028</v>
      </c>
      <c r="E83" s="9">
        <v>941</v>
      </c>
      <c r="F83" s="10" t="s">
        <v>1024</v>
      </c>
      <c r="G83" s="9">
        <v>902</v>
      </c>
      <c r="H83" s="9">
        <v>1975</v>
      </c>
      <c r="I83" s="8">
        <v>30643.751</v>
      </c>
      <c r="J83" s="8">
        <v>24801.148000000001</v>
      </c>
      <c r="K83" s="8">
        <v>20967.645</v>
      </c>
      <c r="L83" s="8">
        <v>17327.437000000002</v>
      </c>
      <c r="M83" s="8">
        <v>14272.681</v>
      </c>
      <c r="N83" s="8">
        <v>12147.492</v>
      </c>
      <c r="O83" s="8">
        <v>10454.356</v>
      </c>
      <c r="P83" s="8">
        <v>8976.1119999999992</v>
      </c>
      <c r="Q83" s="8">
        <v>7729.1210000000001</v>
      </c>
      <c r="R83" s="8">
        <v>6583.9589999999998</v>
      </c>
      <c r="S83" s="8">
        <v>5484.0659999999998</v>
      </c>
      <c r="T83" s="8">
        <v>4491.0959999999995</v>
      </c>
      <c r="U83" s="8">
        <v>3500.0540000000001</v>
      </c>
      <c r="V83" s="8">
        <v>2546.2289999999998</v>
      </c>
      <c r="W83" s="8">
        <v>1649.2840000000001</v>
      </c>
      <c r="X83" s="8">
        <v>877.25400000000002</v>
      </c>
      <c r="Y83" s="8">
        <v>360.21899999999999</v>
      </c>
      <c r="Z83" s="8">
        <v>103.13</v>
      </c>
      <c r="AA83" s="8">
        <v>19.672999999999998</v>
      </c>
      <c r="AB83" s="8">
        <v>2.1970000000000001</v>
      </c>
      <c r="AC83" s="8">
        <v>0.157</v>
      </c>
    </row>
    <row r="84" spans="1:29" ht="11.65" hidden="1" x14ac:dyDescent="0.35">
      <c r="A84" s="12">
        <v>67</v>
      </c>
      <c r="B84" s="10" t="s">
        <v>1015</v>
      </c>
      <c r="C84" s="30" t="s">
        <v>1027</v>
      </c>
      <c r="D84" s="9" t="s">
        <v>1028</v>
      </c>
      <c r="E84" s="9">
        <v>941</v>
      </c>
      <c r="F84" s="10" t="s">
        <v>1024</v>
      </c>
      <c r="G84" s="9">
        <v>902</v>
      </c>
      <c r="H84" s="9">
        <v>1980</v>
      </c>
      <c r="I84" s="8">
        <v>34697.078999999998</v>
      </c>
      <c r="J84" s="8">
        <v>28113.848000000002</v>
      </c>
      <c r="K84" s="8">
        <v>23866.982</v>
      </c>
      <c r="L84" s="8">
        <v>20250.803</v>
      </c>
      <c r="M84" s="8">
        <v>16669.677</v>
      </c>
      <c r="N84" s="8">
        <v>13578.541999999999</v>
      </c>
      <c r="O84" s="8">
        <v>11506.936</v>
      </c>
      <c r="P84" s="8">
        <v>9966.4959999999992</v>
      </c>
      <c r="Q84" s="8">
        <v>8461.2990000000009</v>
      </c>
      <c r="R84" s="8">
        <v>7235.1980000000003</v>
      </c>
      <c r="S84" s="8">
        <v>6068.7550000000001</v>
      </c>
      <c r="T84" s="8">
        <v>5007.9639999999999</v>
      </c>
      <c r="U84" s="8">
        <v>3922.5949999999998</v>
      </c>
      <c r="V84" s="8">
        <v>2879.7820000000002</v>
      </c>
      <c r="W84" s="8">
        <v>1882.114</v>
      </c>
      <c r="X84" s="8">
        <v>1052.086</v>
      </c>
      <c r="Y84" s="8">
        <v>437.46600000000001</v>
      </c>
      <c r="Z84" s="8">
        <v>125.461</v>
      </c>
      <c r="AA84" s="8">
        <v>22.693999999999999</v>
      </c>
      <c r="AB84" s="8">
        <v>2.613</v>
      </c>
      <c r="AC84" s="8">
        <v>0.183</v>
      </c>
    </row>
    <row r="85" spans="1:29" ht="11.65" hidden="1" x14ac:dyDescent="0.35">
      <c r="A85" s="12">
        <v>68</v>
      </c>
      <c r="B85" s="10" t="s">
        <v>1015</v>
      </c>
      <c r="C85" s="30" t="s">
        <v>1027</v>
      </c>
      <c r="D85" s="9" t="s">
        <v>1028</v>
      </c>
      <c r="E85" s="9">
        <v>941</v>
      </c>
      <c r="F85" s="10" t="s">
        <v>1024</v>
      </c>
      <c r="G85" s="9">
        <v>902</v>
      </c>
      <c r="H85" s="9">
        <v>1985</v>
      </c>
      <c r="I85" s="8">
        <v>39265.086000000003</v>
      </c>
      <c r="J85" s="8">
        <v>32083.724999999999</v>
      </c>
      <c r="K85" s="8">
        <v>27212.248</v>
      </c>
      <c r="L85" s="8">
        <v>23194.063999999998</v>
      </c>
      <c r="M85" s="8">
        <v>19510.008000000002</v>
      </c>
      <c r="N85" s="8">
        <v>15889.745999999999</v>
      </c>
      <c r="O85" s="8">
        <v>12883.33</v>
      </c>
      <c r="P85" s="8">
        <v>10945.209000000001</v>
      </c>
      <c r="Q85" s="8">
        <v>9406.5959999999995</v>
      </c>
      <c r="R85" s="8">
        <v>7882.7740000000003</v>
      </c>
      <c r="S85" s="8">
        <v>6676.3329999999996</v>
      </c>
      <c r="T85" s="8">
        <v>5512.4359999999997</v>
      </c>
      <c r="U85" s="8">
        <v>4383.2</v>
      </c>
      <c r="V85" s="8">
        <v>3222.8090000000002</v>
      </c>
      <c r="W85" s="8">
        <v>2141.8000000000002</v>
      </c>
      <c r="X85" s="8">
        <v>1195.085</v>
      </c>
      <c r="Y85" s="8">
        <v>523.86900000000003</v>
      </c>
      <c r="Z85" s="8">
        <v>155.01499999999999</v>
      </c>
      <c r="AA85" s="8">
        <v>28.623000000000001</v>
      </c>
      <c r="AB85" s="8">
        <v>3.1190000000000002</v>
      </c>
      <c r="AC85" s="8">
        <v>0.22900000000000001</v>
      </c>
    </row>
    <row r="86" spans="1:29" ht="11.65" hidden="1" x14ac:dyDescent="0.35">
      <c r="A86" s="12">
        <v>69</v>
      </c>
      <c r="B86" s="10" t="s">
        <v>1015</v>
      </c>
      <c r="C86" s="30" t="s">
        <v>1027</v>
      </c>
      <c r="D86" s="9" t="s">
        <v>1028</v>
      </c>
      <c r="E86" s="9">
        <v>941</v>
      </c>
      <c r="F86" s="10" t="s">
        <v>1024</v>
      </c>
      <c r="G86" s="9">
        <v>902</v>
      </c>
      <c r="H86" s="9">
        <v>1990</v>
      </c>
      <c r="I86" s="8">
        <v>43649.983999999997</v>
      </c>
      <c r="J86" s="8">
        <v>36826.925000000003</v>
      </c>
      <c r="K86" s="8">
        <v>31320.851999999999</v>
      </c>
      <c r="L86" s="8">
        <v>26615.843000000001</v>
      </c>
      <c r="M86" s="8">
        <v>22566.725999999999</v>
      </c>
      <c r="N86" s="8">
        <v>18814.692999999999</v>
      </c>
      <c r="O86" s="8">
        <v>15273.581</v>
      </c>
      <c r="P86" s="8">
        <v>12337.853999999999</v>
      </c>
      <c r="Q86" s="8">
        <v>10472.272000000001</v>
      </c>
      <c r="R86" s="8">
        <v>8910.0360000000001</v>
      </c>
      <c r="S86" s="8">
        <v>7397.8710000000001</v>
      </c>
      <c r="T86" s="8">
        <v>6163.433</v>
      </c>
      <c r="U86" s="8">
        <v>4925.6980000000003</v>
      </c>
      <c r="V86" s="8">
        <v>3698.9969999999998</v>
      </c>
      <c r="W86" s="8">
        <v>2472.8560000000002</v>
      </c>
      <c r="X86" s="8">
        <v>1406.7239999999999</v>
      </c>
      <c r="Y86" s="8">
        <v>620.21900000000005</v>
      </c>
      <c r="Z86" s="8">
        <v>192.64599999999999</v>
      </c>
      <c r="AA86" s="8">
        <v>36.545999999999999</v>
      </c>
      <c r="AB86" s="8">
        <v>4.0910000000000002</v>
      </c>
      <c r="AC86" s="8">
        <v>0.27800000000000002</v>
      </c>
    </row>
    <row r="87" spans="1:29" ht="11.65" hidden="1" x14ac:dyDescent="0.35">
      <c r="A87" s="12">
        <v>70</v>
      </c>
      <c r="B87" s="10" t="s">
        <v>1015</v>
      </c>
      <c r="C87" s="30" t="s">
        <v>1027</v>
      </c>
      <c r="D87" s="9" t="s">
        <v>1028</v>
      </c>
      <c r="E87" s="9">
        <v>941</v>
      </c>
      <c r="F87" s="10" t="s">
        <v>1024</v>
      </c>
      <c r="G87" s="9">
        <v>902</v>
      </c>
      <c r="H87" s="9">
        <v>1995</v>
      </c>
      <c r="I87" s="8">
        <v>48166.61</v>
      </c>
      <c r="J87" s="8">
        <v>41417.480000000003</v>
      </c>
      <c r="K87" s="8">
        <v>36244.94</v>
      </c>
      <c r="L87" s="8">
        <v>30656.271000000001</v>
      </c>
      <c r="M87" s="8">
        <v>25832.107</v>
      </c>
      <c r="N87" s="8">
        <v>21912.276999999998</v>
      </c>
      <c r="O87" s="8">
        <v>18266.014999999999</v>
      </c>
      <c r="P87" s="8">
        <v>14802.526</v>
      </c>
      <c r="Q87" s="8">
        <v>11884.427</v>
      </c>
      <c r="R87" s="8">
        <v>10025.004999999999</v>
      </c>
      <c r="S87" s="8">
        <v>8476.723</v>
      </c>
      <c r="T87" s="8">
        <v>6933.1409999999996</v>
      </c>
      <c r="U87" s="8">
        <v>5609.77</v>
      </c>
      <c r="V87" s="8">
        <v>4241.2759999999998</v>
      </c>
      <c r="W87" s="8">
        <v>2906.9989999999998</v>
      </c>
      <c r="X87" s="8">
        <v>1679.87</v>
      </c>
      <c r="Y87" s="8">
        <v>760.60299999999995</v>
      </c>
      <c r="Z87" s="8">
        <v>238.59800000000001</v>
      </c>
      <c r="AA87" s="8">
        <v>47.430999999999997</v>
      </c>
      <c r="AB87" s="8">
        <v>5.4850000000000003</v>
      </c>
      <c r="AC87" s="8">
        <v>0.375</v>
      </c>
    </row>
    <row r="88" spans="1:29" ht="11.65" hidden="1" x14ac:dyDescent="0.35">
      <c r="A88" s="12">
        <v>71</v>
      </c>
      <c r="B88" s="10" t="s">
        <v>1015</v>
      </c>
      <c r="C88" s="30" t="s">
        <v>1027</v>
      </c>
      <c r="D88" s="9" t="s">
        <v>1028</v>
      </c>
      <c r="E88" s="9">
        <v>941</v>
      </c>
      <c r="F88" s="10" t="s">
        <v>1024</v>
      </c>
      <c r="G88" s="9">
        <v>902</v>
      </c>
      <c r="H88" s="9">
        <v>2000</v>
      </c>
      <c r="I88" s="8">
        <v>53277.444000000003</v>
      </c>
      <c r="J88" s="8">
        <v>46042.135999999999</v>
      </c>
      <c r="K88" s="8">
        <v>40691.78</v>
      </c>
      <c r="L88" s="8">
        <v>35665.629000000001</v>
      </c>
      <c r="M88" s="8">
        <v>29781.399000000001</v>
      </c>
      <c r="N88" s="8">
        <v>24973.163</v>
      </c>
      <c r="O88" s="8">
        <v>21051.219000000001</v>
      </c>
      <c r="P88" s="8">
        <v>17500.97</v>
      </c>
      <c r="Q88" s="8">
        <v>14066.712</v>
      </c>
      <c r="R88" s="8">
        <v>11250.027</v>
      </c>
      <c r="S88" s="8">
        <v>9426.6959999999999</v>
      </c>
      <c r="T88" s="8">
        <v>7882.5550000000003</v>
      </c>
      <c r="U88" s="8">
        <v>6267.1090000000004</v>
      </c>
      <c r="V88" s="8">
        <v>4845.634</v>
      </c>
      <c r="W88" s="8">
        <v>3347.1149999999998</v>
      </c>
      <c r="X88" s="8">
        <v>2030.057</v>
      </c>
      <c r="Y88" s="8">
        <v>939.34900000000005</v>
      </c>
      <c r="Z88" s="8">
        <v>302.27800000000002</v>
      </c>
      <c r="AA88" s="8">
        <v>62.051000000000002</v>
      </c>
      <c r="AB88" s="8">
        <v>7.7590000000000003</v>
      </c>
      <c r="AC88" s="8">
        <v>0.54900000000000004</v>
      </c>
    </row>
    <row r="89" spans="1:29" ht="11.65" hidden="1" x14ac:dyDescent="0.35">
      <c r="A89" s="12">
        <v>72</v>
      </c>
      <c r="B89" s="10" t="s">
        <v>1015</v>
      </c>
      <c r="C89" s="30" t="s">
        <v>1027</v>
      </c>
      <c r="D89" s="9" t="s">
        <v>1028</v>
      </c>
      <c r="E89" s="9">
        <v>941</v>
      </c>
      <c r="F89" s="10" t="s">
        <v>1024</v>
      </c>
      <c r="G89" s="9">
        <v>902</v>
      </c>
      <c r="H89" s="9">
        <v>2005</v>
      </c>
      <c r="I89" s="8">
        <v>58695.934999999998</v>
      </c>
      <c r="J89" s="8">
        <v>51413.328999999998</v>
      </c>
      <c r="K89" s="8">
        <v>45470.633000000002</v>
      </c>
      <c r="L89" s="8">
        <v>39816.892999999996</v>
      </c>
      <c r="M89" s="8">
        <v>34653.362999999998</v>
      </c>
      <c r="N89" s="8">
        <v>28865.614000000001</v>
      </c>
      <c r="O89" s="8">
        <v>24059.418000000001</v>
      </c>
      <c r="P89" s="8">
        <v>20197.581999999999</v>
      </c>
      <c r="Q89" s="8">
        <v>16739.316999999999</v>
      </c>
      <c r="R89" s="8">
        <v>13350.342000000001</v>
      </c>
      <c r="S89" s="8">
        <v>10609.248</v>
      </c>
      <c r="T89" s="8">
        <v>8796.9680000000008</v>
      </c>
      <c r="U89" s="8">
        <v>7143.29</v>
      </c>
      <c r="V89" s="8">
        <v>5402.4639999999999</v>
      </c>
      <c r="W89" s="8">
        <v>3859.5039999999999</v>
      </c>
      <c r="X89" s="8">
        <v>2358.652</v>
      </c>
      <c r="Y89" s="8">
        <v>1161.7180000000001</v>
      </c>
      <c r="Z89" s="8">
        <v>387.84300000000002</v>
      </c>
      <c r="AA89" s="8">
        <v>82.875</v>
      </c>
      <c r="AB89" s="8">
        <v>10.891999999999999</v>
      </c>
      <c r="AC89" s="8">
        <v>0.86099999999999999</v>
      </c>
    </row>
    <row r="90" spans="1:29" ht="11.65" hidden="1" x14ac:dyDescent="0.35">
      <c r="A90" s="12">
        <v>73</v>
      </c>
      <c r="B90" s="10" t="s">
        <v>1015</v>
      </c>
      <c r="C90" s="30" t="s">
        <v>1027</v>
      </c>
      <c r="D90" s="9" t="s">
        <v>1028</v>
      </c>
      <c r="E90" s="9">
        <v>941</v>
      </c>
      <c r="F90" s="10" t="s">
        <v>1024</v>
      </c>
      <c r="G90" s="9">
        <v>902</v>
      </c>
      <c r="H90" s="9">
        <v>2010</v>
      </c>
      <c r="I90" s="8">
        <v>63754.101999999999</v>
      </c>
      <c r="J90" s="8">
        <v>57032.328999999998</v>
      </c>
      <c r="K90" s="8">
        <v>50820.351999999999</v>
      </c>
      <c r="L90" s="8">
        <v>44471.135000000002</v>
      </c>
      <c r="M90" s="8">
        <v>38315.057999999997</v>
      </c>
      <c r="N90" s="8">
        <v>33596.483999999997</v>
      </c>
      <c r="O90" s="8">
        <v>27769.918000000001</v>
      </c>
      <c r="P90" s="8">
        <v>23109.34</v>
      </c>
      <c r="Q90" s="8">
        <v>19396.039000000001</v>
      </c>
      <c r="R90" s="8">
        <v>15972.987999999999</v>
      </c>
      <c r="S90" s="8">
        <v>12650.964</v>
      </c>
      <c r="T90" s="8">
        <v>9918.9110000000001</v>
      </c>
      <c r="U90" s="8">
        <v>8020.5429999999997</v>
      </c>
      <c r="V90" s="8">
        <v>6209.8329999999996</v>
      </c>
      <c r="W90" s="8">
        <v>4335.6899999999996</v>
      </c>
      <c r="X90" s="8">
        <v>2769.0189999999998</v>
      </c>
      <c r="Y90" s="8">
        <v>1403.2940000000001</v>
      </c>
      <c r="Z90" s="8">
        <v>505.62</v>
      </c>
      <c r="AA90" s="8">
        <v>114.066</v>
      </c>
      <c r="AB90" s="8">
        <v>16.175000000000001</v>
      </c>
      <c r="AC90" s="8">
        <v>1.419</v>
      </c>
    </row>
    <row r="91" spans="1:29" ht="11.65" hidden="1" x14ac:dyDescent="0.35">
      <c r="A91" s="12">
        <v>74</v>
      </c>
      <c r="B91" s="10" t="s">
        <v>1015</v>
      </c>
      <c r="C91" s="30" t="s">
        <v>1027</v>
      </c>
      <c r="D91" s="9" t="s">
        <v>1028</v>
      </c>
      <c r="E91" s="9">
        <v>941</v>
      </c>
      <c r="F91" s="10" t="s">
        <v>1024</v>
      </c>
      <c r="G91" s="9">
        <v>902</v>
      </c>
      <c r="H91" s="9">
        <v>2015</v>
      </c>
      <c r="I91" s="8">
        <v>68562.335000000006</v>
      </c>
      <c r="J91" s="8">
        <v>62322.451000000001</v>
      </c>
      <c r="K91" s="8">
        <v>56417.737000000001</v>
      </c>
      <c r="L91" s="8">
        <v>50147.182000000001</v>
      </c>
      <c r="M91" s="8">
        <v>43622.311000000002</v>
      </c>
      <c r="N91" s="8">
        <v>37451.218999999997</v>
      </c>
      <c r="O91" s="8">
        <v>32647.307000000001</v>
      </c>
      <c r="P91" s="8">
        <v>26861.371999999999</v>
      </c>
      <c r="Q91" s="8">
        <v>22351.724999999999</v>
      </c>
      <c r="R91" s="8">
        <v>18661.388999999999</v>
      </c>
      <c r="S91" s="8">
        <v>15265.611000000001</v>
      </c>
      <c r="T91" s="8">
        <v>11944.683999999999</v>
      </c>
      <c r="U91" s="8">
        <v>9109.5730000000003</v>
      </c>
      <c r="V91" s="8">
        <v>7047.8239999999996</v>
      </c>
      <c r="W91" s="8">
        <v>5091.5600000000004</v>
      </c>
      <c r="X91" s="8">
        <v>3178.4409999999998</v>
      </c>
      <c r="Y91" s="8">
        <v>1686.567</v>
      </c>
      <c r="Z91" s="8">
        <v>646.16200000000003</v>
      </c>
      <c r="AA91" s="8">
        <v>163.48400000000001</v>
      </c>
      <c r="AB91" s="8">
        <v>25.753</v>
      </c>
      <c r="AC91" s="8">
        <v>2.6619999999999999</v>
      </c>
    </row>
    <row r="92" spans="1:29" ht="11.65" hidden="1" x14ac:dyDescent="0.35">
      <c r="A92" s="12">
        <v>75</v>
      </c>
      <c r="B92" s="10" t="s">
        <v>1015</v>
      </c>
      <c r="C92" s="30" t="s">
        <v>1027</v>
      </c>
      <c r="D92" s="9" t="s">
        <v>1028</v>
      </c>
      <c r="E92" s="9">
        <v>941</v>
      </c>
      <c r="F92" s="10" t="s">
        <v>1024</v>
      </c>
      <c r="G92" s="9">
        <v>902</v>
      </c>
      <c r="H92" s="9">
        <v>2020</v>
      </c>
      <c r="I92" s="8">
        <v>73542.442999999999</v>
      </c>
      <c r="J92" s="8">
        <v>67354.578999999998</v>
      </c>
      <c r="K92" s="8">
        <v>61765.36</v>
      </c>
      <c r="L92" s="8">
        <v>55714.927000000003</v>
      </c>
      <c r="M92" s="8">
        <v>49294.048000000003</v>
      </c>
      <c r="N92" s="8">
        <v>42931.987000000001</v>
      </c>
      <c r="O92" s="8">
        <v>36760.606</v>
      </c>
      <c r="P92" s="8">
        <v>31880.080000000002</v>
      </c>
      <c r="Q92" s="8">
        <v>26182.645</v>
      </c>
      <c r="R92" s="8">
        <v>21668.786</v>
      </c>
      <c r="S92" s="8">
        <v>17933.508999999998</v>
      </c>
      <c r="T92" s="8">
        <v>14511.7</v>
      </c>
      <c r="U92" s="8">
        <v>11072.797</v>
      </c>
      <c r="V92" s="8">
        <v>8079.6170000000002</v>
      </c>
      <c r="W92" s="8">
        <v>5850.4830000000002</v>
      </c>
      <c r="X92" s="8">
        <v>3801.0030000000002</v>
      </c>
      <c r="Y92" s="8">
        <v>1990.1510000000001</v>
      </c>
      <c r="Z92" s="8">
        <v>813.197</v>
      </c>
      <c r="AA92" s="8">
        <v>226.37700000000001</v>
      </c>
      <c r="AB92" s="8">
        <v>42.180999999999997</v>
      </c>
      <c r="AC92" s="8">
        <v>5.359</v>
      </c>
    </row>
    <row r="93" spans="1:29" ht="23.25" hidden="1" x14ac:dyDescent="0.35">
      <c r="A93" s="12">
        <v>76</v>
      </c>
      <c r="B93" s="10" t="s">
        <v>1015</v>
      </c>
      <c r="C93" s="30" t="s">
        <v>1029</v>
      </c>
      <c r="D93" s="9" t="s">
        <v>1030</v>
      </c>
      <c r="E93" s="9">
        <v>934</v>
      </c>
      <c r="F93" s="10" t="s">
        <v>1024</v>
      </c>
      <c r="G93" s="9">
        <v>902</v>
      </c>
      <c r="H93" s="9">
        <v>1950</v>
      </c>
      <c r="I93" s="8">
        <v>109209.96799999999</v>
      </c>
      <c r="J93" s="8">
        <v>85786.313999999998</v>
      </c>
      <c r="K93" s="8">
        <v>80102.471999999994</v>
      </c>
      <c r="L93" s="8">
        <v>73437.085999999996</v>
      </c>
      <c r="M93" s="8">
        <v>64717.52</v>
      </c>
      <c r="N93" s="8">
        <v>56791.485000000001</v>
      </c>
      <c r="O93" s="8">
        <v>51129.105000000003</v>
      </c>
      <c r="P93" s="8">
        <v>45931.718999999997</v>
      </c>
      <c r="Q93" s="8">
        <v>40108.777000000002</v>
      </c>
      <c r="R93" s="8">
        <v>34257.445</v>
      </c>
      <c r="S93" s="8">
        <v>28685.629000000001</v>
      </c>
      <c r="T93" s="8">
        <v>23708.728999999999</v>
      </c>
      <c r="U93" s="8">
        <v>19716.646000000001</v>
      </c>
      <c r="V93" s="8">
        <v>14323.462</v>
      </c>
      <c r="W93" s="8">
        <v>9411.0139999999992</v>
      </c>
      <c r="X93" s="8">
        <v>5396.1930000000002</v>
      </c>
      <c r="Y93" s="8">
        <v>2353.0540000000001</v>
      </c>
      <c r="Z93" s="8">
        <v>766.54100000000005</v>
      </c>
      <c r="AA93" s="8">
        <v>217.44900000000001</v>
      </c>
      <c r="AB93" s="8">
        <v>52.53</v>
      </c>
      <c r="AC93" s="8">
        <v>10.475</v>
      </c>
    </row>
    <row r="94" spans="1:29" ht="23.25" hidden="1" x14ac:dyDescent="0.35">
      <c r="A94" s="12">
        <v>77</v>
      </c>
      <c r="B94" s="10" t="s">
        <v>1015</v>
      </c>
      <c r="C94" s="30" t="s">
        <v>1029</v>
      </c>
      <c r="D94" s="9" t="s">
        <v>1030</v>
      </c>
      <c r="E94" s="9">
        <v>934</v>
      </c>
      <c r="F94" s="10" t="s">
        <v>1024</v>
      </c>
      <c r="G94" s="9">
        <v>902</v>
      </c>
      <c r="H94" s="9">
        <v>1955</v>
      </c>
      <c r="I94" s="8">
        <v>137975.731</v>
      </c>
      <c r="J94" s="8">
        <v>100586.71</v>
      </c>
      <c r="K94" s="8">
        <v>83169.706999999995</v>
      </c>
      <c r="L94" s="8">
        <v>78061.921000000002</v>
      </c>
      <c r="M94" s="8">
        <v>71136.441999999995</v>
      </c>
      <c r="N94" s="8">
        <v>62256.847999999998</v>
      </c>
      <c r="O94" s="8">
        <v>54283.839999999997</v>
      </c>
      <c r="P94" s="8">
        <v>48604.362000000001</v>
      </c>
      <c r="Q94" s="8">
        <v>43224.627</v>
      </c>
      <c r="R94" s="8">
        <v>37323.925999999999</v>
      </c>
      <c r="S94" s="8">
        <v>31534.14</v>
      </c>
      <c r="T94" s="8">
        <v>25802.496999999999</v>
      </c>
      <c r="U94" s="8">
        <v>20196.094000000001</v>
      </c>
      <c r="V94" s="8">
        <v>15415.003000000001</v>
      </c>
      <c r="W94" s="8">
        <v>10097.075000000001</v>
      </c>
      <c r="X94" s="8">
        <v>5578.67</v>
      </c>
      <c r="Y94" s="8">
        <v>2493.1970000000001</v>
      </c>
      <c r="Z94" s="8">
        <v>816.07299999999998</v>
      </c>
      <c r="AA94" s="8">
        <v>192.33500000000001</v>
      </c>
      <c r="AB94" s="8">
        <v>37.991999999999997</v>
      </c>
      <c r="AC94" s="8">
        <v>6.8760000000000003</v>
      </c>
    </row>
    <row r="95" spans="1:29" ht="23.25" hidden="1" x14ac:dyDescent="0.35">
      <c r="A95" s="12">
        <v>78</v>
      </c>
      <c r="B95" s="10" t="s">
        <v>1015</v>
      </c>
      <c r="C95" s="30" t="s">
        <v>1029</v>
      </c>
      <c r="D95" s="9" t="s">
        <v>1030</v>
      </c>
      <c r="E95" s="9">
        <v>934</v>
      </c>
      <c r="F95" s="10" t="s">
        <v>1024</v>
      </c>
      <c r="G95" s="9">
        <v>902</v>
      </c>
      <c r="H95" s="9">
        <v>1960</v>
      </c>
      <c r="I95" s="8">
        <v>147662.82800000001</v>
      </c>
      <c r="J95" s="8">
        <v>128480.473</v>
      </c>
      <c r="K95" s="8">
        <v>97960.835000000006</v>
      </c>
      <c r="L95" s="8">
        <v>81207.554999999906</v>
      </c>
      <c r="M95" s="8">
        <v>75908.364999999903</v>
      </c>
      <c r="N95" s="8">
        <v>68873.667000000001</v>
      </c>
      <c r="O95" s="8">
        <v>59884.866000000002</v>
      </c>
      <c r="P95" s="8">
        <v>51896.063999999998</v>
      </c>
      <c r="Q95" s="8">
        <v>46041.067000000003</v>
      </c>
      <c r="R95" s="8">
        <v>40626.413999999997</v>
      </c>
      <c r="S95" s="8">
        <v>34574.739000000001</v>
      </c>
      <c r="T95" s="8">
        <v>28486.348999999998</v>
      </c>
      <c r="U95" s="8">
        <v>22155.903999999999</v>
      </c>
      <c r="V95" s="8">
        <v>15986.98</v>
      </c>
      <c r="W95" s="8">
        <v>10958.208000000001</v>
      </c>
      <c r="X95" s="8">
        <v>5968.32</v>
      </c>
      <c r="Y95" s="8">
        <v>2539.518</v>
      </c>
      <c r="Z95" s="8">
        <v>830.08600000000001</v>
      </c>
      <c r="AA95" s="8">
        <v>193.428</v>
      </c>
      <c r="AB95" s="8">
        <v>34.704999999999998</v>
      </c>
      <c r="AC95" s="8">
        <v>5.6470000000000002</v>
      </c>
    </row>
    <row r="96" spans="1:29" ht="23.25" hidden="1" x14ac:dyDescent="0.35">
      <c r="A96" s="12">
        <v>79</v>
      </c>
      <c r="B96" s="10" t="s">
        <v>1015</v>
      </c>
      <c r="C96" s="30" t="s">
        <v>1029</v>
      </c>
      <c r="D96" s="9" t="s">
        <v>1030</v>
      </c>
      <c r="E96" s="9">
        <v>934</v>
      </c>
      <c r="F96" s="10" t="s">
        <v>1024</v>
      </c>
      <c r="G96" s="9">
        <v>902</v>
      </c>
      <c r="H96" s="9">
        <v>1965</v>
      </c>
      <c r="I96" s="8">
        <v>167379.07399999999</v>
      </c>
      <c r="J96" s="8">
        <v>138261.95199999999</v>
      </c>
      <c r="K96" s="8">
        <v>125315.284</v>
      </c>
      <c r="L96" s="8">
        <v>95881.697</v>
      </c>
      <c r="M96" s="8">
        <v>79108.615999999995</v>
      </c>
      <c r="N96" s="8">
        <v>73693.456000000006</v>
      </c>
      <c r="O96" s="8">
        <v>66484.349000000002</v>
      </c>
      <c r="P96" s="8">
        <v>57458.601999999897</v>
      </c>
      <c r="Q96" s="8">
        <v>49399.951000000001</v>
      </c>
      <c r="R96" s="8">
        <v>43427.923999999999</v>
      </c>
      <c r="S96" s="8">
        <v>37843.442000000003</v>
      </c>
      <c r="T96" s="8">
        <v>31425.933000000001</v>
      </c>
      <c r="U96" s="8">
        <v>24679.871999999999</v>
      </c>
      <c r="V96" s="8">
        <v>17794.041000000001</v>
      </c>
      <c r="W96" s="8">
        <v>11558.879000000001</v>
      </c>
      <c r="X96" s="8">
        <v>6831.384</v>
      </c>
      <c r="Y96" s="8">
        <v>2949.0360000000001</v>
      </c>
      <c r="Z96" s="8">
        <v>959.04</v>
      </c>
      <c r="AA96" s="8">
        <v>229.07</v>
      </c>
      <c r="AB96" s="8">
        <v>38.06</v>
      </c>
      <c r="AC96" s="8">
        <v>5.5540000000000003</v>
      </c>
    </row>
    <row r="97" spans="1:29" ht="23.25" hidden="1" x14ac:dyDescent="0.35">
      <c r="A97" s="12">
        <v>80</v>
      </c>
      <c r="B97" s="10" t="s">
        <v>1015</v>
      </c>
      <c r="C97" s="30" t="s">
        <v>1029</v>
      </c>
      <c r="D97" s="9" t="s">
        <v>1030</v>
      </c>
      <c r="E97" s="9">
        <v>934</v>
      </c>
      <c r="F97" s="10" t="s">
        <v>1024</v>
      </c>
      <c r="G97" s="9">
        <v>902</v>
      </c>
      <c r="H97" s="9">
        <v>1970</v>
      </c>
      <c r="I97" s="8">
        <v>188884.272</v>
      </c>
      <c r="J97" s="8">
        <v>159496.565</v>
      </c>
      <c r="K97" s="8">
        <v>136079.14199999999</v>
      </c>
      <c r="L97" s="8">
        <v>123512.33100000001</v>
      </c>
      <c r="M97" s="8">
        <v>93980.554999999993</v>
      </c>
      <c r="N97" s="8">
        <v>77243.941000000006</v>
      </c>
      <c r="O97" s="8">
        <v>71755.373000000007</v>
      </c>
      <c r="P97" s="8">
        <v>64446.29</v>
      </c>
      <c r="Q97" s="8">
        <v>55402.576000000001</v>
      </c>
      <c r="R97" s="8">
        <v>47221.197</v>
      </c>
      <c r="S97" s="8">
        <v>40953.131000000001</v>
      </c>
      <c r="T97" s="8">
        <v>35023.216</v>
      </c>
      <c r="U97" s="8">
        <v>28083.661</v>
      </c>
      <c r="V97" s="8">
        <v>20855.280999999999</v>
      </c>
      <c r="W97" s="8">
        <v>13839.965</v>
      </c>
      <c r="X97" s="8">
        <v>7847.8729999999996</v>
      </c>
      <c r="Y97" s="8">
        <v>3755.5030000000002</v>
      </c>
      <c r="Z97" s="8">
        <v>1215.365</v>
      </c>
      <c r="AA97" s="8">
        <v>281.39499999999998</v>
      </c>
      <c r="AB97" s="8">
        <v>48.180999999999997</v>
      </c>
      <c r="AC97" s="8">
        <v>6.4269999999999996</v>
      </c>
    </row>
    <row r="98" spans="1:29" ht="23.25" hidden="1" x14ac:dyDescent="0.35">
      <c r="A98" s="12">
        <v>81</v>
      </c>
      <c r="B98" s="10" t="s">
        <v>1015</v>
      </c>
      <c r="C98" s="30" t="s">
        <v>1029</v>
      </c>
      <c r="D98" s="9" t="s">
        <v>1030</v>
      </c>
      <c r="E98" s="9">
        <v>934</v>
      </c>
      <c r="F98" s="10" t="s">
        <v>1024</v>
      </c>
      <c r="G98" s="9">
        <v>902</v>
      </c>
      <c r="H98" s="9">
        <v>1975</v>
      </c>
      <c r="I98" s="8">
        <v>195790.853</v>
      </c>
      <c r="J98" s="8">
        <v>181799.522</v>
      </c>
      <c r="K98" s="8">
        <v>157434.86300000001</v>
      </c>
      <c r="L98" s="8">
        <v>134533.67199999999</v>
      </c>
      <c r="M98" s="8">
        <v>121686.57399999999</v>
      </c>
      <c r="N98" s="8">
        <v>92265.267999999996</v>
      </c>
      <c r="O98" s="8">
        <v>75680.817999999999</v>
      </c>
      <c r="P98" s="8">
        <v>70119.62</v>
      </c>
      <c r="Q98" s="8">
        <v>62695.828000000001</v>
      </c>
      <c r="R98" s="8">
        <v>53550.911</v>
      </c>
      <c r="S98" s="8">
        <v>45166.224000000002</v>
      </c>
      <c r="T98" s="8">
        <v>38373.976999999999</v>
      </c>
      <c r="U98" s="8">
        <v>31740.253000000001</v>
      </c>
      <c r="V98" s="8">
        <v>24125.870999999999</v>
      </c>
      <c r="W98" s="8">
        <v>16521.983</v>
      </c>
      <c r="X98" s="8">
        <v>9565.491</v>
      </c>
      <c r="Y98" s="8">
        <v>4408.2460000000001</v>
      </c>
      <c r="Z98" s="8">
        <v>1579.826</v>
      </c>
      <c r="AA98" s="8">
        <v>355.22500000000002</v>
      </c>
      <c r="AB98" s="8">
        <v>59.030999999999999</v>
      </c>
      <c r="AC98" s="8">
        <v>8.1639999999999997</v>
      </c>
    </row>
    <row r="99" spans="1:29" ht="23.25" hidden="1" x14ac:dyDescent="0.35">
      <c r="A99" s="12">
        <v>82</v>
      </c>
      <c r="B99" s="10" t="s">
        <v>1015</v>
      </c>
      <c r="C99" s="30" t="s">
        <v>1029</v>
      </c>
      <c r="D99" s="9" t="s">
        <v>1030</v>
      </c>
      <c r="E99" s="9">
        <v>934</v>
      </c>
      <c r="F99" s="10" t="s">
        <v>1024</v>
      </c>
      <c r="G99" s="9">
        <v>902</v>
      </c>
      <c r="H99" s="9">
        <v>1980</v>
      </c>
      <c r="I99" s="8">
        <v>194668.51800000001</v>
      </c>
      <c r="J99" s="8">
        <v>189688.71799999999</v>
      </c>
      <c r="K99" s="8">
        <v>179861.272</v>
      </c>
      <c r="L99" s="8">
        <v>155838.579</v>
      </c>
      <c r="M99" s="8">
        <v>132582.201</v>
      </c>
      <c r="N99" s="8">
        <v>119728.38800000001</v>
      </c>
      <c r="O99" s="8">
        <v>90733.713000000105</v>
      </c>
      <c r="P99" s="8">
        <v>74212.099000000002</v>
      </c>
      <c r="Q99" s="8">
        <v>68583.115000000005</v>
      </c>
      <c r="R99" s="8">
        <v>60989.836000000003</v>
      </c>
      <c r="S99" s="8">
        <v>51543.675000000003</v>
      </c>
      <c r="T99" s="8">
        <v>42747.864999999998</v>
      </c>
      <c r="U99" s="8">
        <v>35292.307999999997</v>
      </c>
      <c r="V99" s="8">
        <v>27800.880000000001</v>
      </c>
      <c r="W99" s="8">
        <v>19480.685000000001</v>
      </c>
      <c r="X99" s="8">
        <v>11733.315000000001</v>
      </c>
      <c r="Y99" s="8">
        <v>5583.5370000000003</v>
      </c>
      <c r="Z99" s="8">
        <v>1917.1510000000001</v>
      </c>
      <c r="AA99" s="8">
        <v>488.286</v>
      </c>
      <c r="AB99" s="8">
        <v>78.36</v>
      </c>
      <c r="AC99" s="8">
        <v>10.717000000000001</v>
      </c>
    </row>
    <row r="100" spans="1:29" ht="23.25" hidden="1" x14ac:dyDescent="0.35">
      <c r="A100" s="12">
        <v>83</v>
      </c>
      <c r="B100" s="10" t="s">
        <v>1015</v>
      </c>
      <c r="C100" s="30" t="s">
        <v>1029</v>
      </c>
      <c r="D100" s="9" t="s">
        <v>1030</v>
      </c>
      <c r="E100" s="9">
        <v>934</v>
      </c>
      <c r="F100" s="10" t="s">
        <v>1024</v>
      </c>
      <c r="G100" s="9">
        <v>902</v>
      </c>
      <c r="H100" s="9">
        <v>1985</v>
      </c>
      <c r="I100" s="8">
        <v>210290.94</v>
      </c>
      <c r="J100" s="8">
        <v>189591.951</v>
      </c>
      <c r="K100" s="8">
        <v>188091.77299999999</v>
      </c>
      <c r="L100" s="8">
        <v>178442.62100000001</v>
      </c>
      <c r="M100" s="8">
        <v>154124.25399999999</v>
      </c>
      <c r="N100" s="8">
        <v>131004.929</v>
      </c>
      <c r="O100" s="8">
        <v>118361.611</v>
      </c>
      <c r="P100" s="8">
        <v>89566.676999999894</v>
      </c>
      <c r="Q100" s="8">
        <v>72940.543000000005</v>
      </c>
      <c r="R100" s="8">
        <v>67021.975000000006</v>
      </c>
      <c r="S100" s="8">
        <v>59019.504999999997</v>
      </c>
      <c r="T100" s="8">
        <v>49029.178999999996</v>
      </c>
      <c r="U100" s="8">
        <v>39537.565999999999</v>
      </c>
      <c r="V100" s="8">
        <v>31187.665000000001</v>
      </c>
      <c r="W100" s="8">
        <v>22816.46</v>
      </c>
      <c r="X100" s="8">
        <v>14088.870999999999</v>
      </c>
      <c r="Y100" s="8">
        <v>7030.8670000000002</v>
      </c>
      <c r="Z100" s="8">
        <v>2518.6410000000001</v>
      </c>
      <c r="AA100" s="8">
        <v>607.19500000000005</v>
      </c>
      <c r="AB100" s="8">
        <v>111.05500000000001</v>
      </c>
      <c r="AC100" s="8">
        <v>13.948</v>
      </c>
    </row>
    <row r="101" spans="1:29" ht="23.25" hidden="1" x14ac:dyDescent="0.35">
      <c r="A101" s="12">
        <v>84</v>
      </c>
      <c r="B101" s="10" t="s">
        <v>1015</v>
      </c>
      <c r="C101" s="30" t="s">
        <v>1029</v>
      </c>
      <c r="D101" s="9" t="s">
        <v>1030</v>
      </c>
      <c r="E101" s="9">
        <v>934</v>
      </c>
      <c r="F101" s="10" t="s">
        <v>1024</v>
      </c>
      <c r="G101" s="9">
        <v>902</v>
      </c>
      <c r="H101" s="9">
        <v>1990</v>
      </c>
      <c r="I101" s="8">
        <v>231413.95800000001</v>
      </c>
      <c r="J101" s="8">
        <v>205343.61900000001</v>
      </c>
      <c r="K101" s="8">
        <v>188118.05</v>
      </c>
      <c r="L101" s="8">
        <v>186477.07699999999</v>
      </c>
      <c r="M101" s="8">
        <v>176253.37</v>
      </c>
      <c r="N101" s="8">
        <v>152085.171</v>
      </c>
      <c r="O101" s="8">
        <v>129395.86199999999</v>
      </c>
      <c r="P101" s="8">
        <v>116828.213</v>
      </c>
      <c r="Q101" s="8">
        <v>88107.380999999994</v>
      </c>
      <c r="R101" s="8">
        <v>71409.264999999999</v>
      </c>
      <c r="S101" s="8">
        <v>64933.794000000002</v>
      </c>
      <c r="T101" s="8">
        <v>56341.627999999997</v>
      </c>
      <c r="U101" s="8">
        <v>45566.035000000003</v>
      </c>
      <c r="V101" s="8">
        <v>35139.767</v>
      </c>
      <c r="W101" s="8">
        <v>25777.901000000002</v>
      </c>
      <c r="X101" s="8">
        <v>16764.257000000001</v>
      </c>
      <c r="Y101" s="8">
        <v>8628.8279999999995</v>
      </c>
      <c r="Z101" s="8">
        <v>3286.8389999999999</v>
      </c>
      <c r="AA101" s="8">
        <v>842.96299999999997</v>
      </c>
      <c r="AB101" s="8">
        <v>144.32499999999999</v>
      </c>
      <c r="AC101" s="8">
        <v>20.364000000000001</v>
      </c>
    </row>
    <row r="102" spans="1:29" ht="23.25" hidden="1" x14ac:dyDescent="0.35">
      <c r="A102" s="12">
        <v>85</v>
      </c>
      <c r="B102" s="10" t="s">
        <v>1015</v>
      </c>
      <c r="C102" s="30" t="s">
        <v>1029</v>
      </c>
      <c r="D102" s="9" t="s">
        <v>1030</v>
      </c>
      <c r="E102" s="9">
        <v>934</v>
      </c>
      <c r="F102" s="10" t="s">
        <v>1024</v>
      </c>
      <c r="G102" s="9">
        <v>902</v>
      </c>
      <c r="H102" s="9">
        <v>1995</v>
      </c>
      <c r="I102" s="8">
        <v>217246.361</v>
      </c>
      <c r="J102" s="8">
        <v>226785.91099999999</v>
      </c>
      <c r="K102" s="8">
        <v>203709.11799999999</v>
      </c>
      <c r="L102" s="8">
        <v>186347.96400000001</v>
      </c>
      <c r="M102" s="8">
        <v>183797.05799999999</v>
      </c>
      <c r="N102" s="8">
        <v>173873.318</v>
      </c>
      <c r="O102" s="8">
        <v>150130.22700000001</v>
      </c>
      <c r="P102" s="8">
        <v>127587.644</v>
      </c>
      <c r="Q102" s="8">
        <v>114987.098</v>
      </c>
      <c r="R102" s="8">
        <v>86297.755999999994</v>
      </c>
      <c r="S102" s="8">
        <v>69330.663</v>
      </c>
      <c r="T102" s="8">
        <v>62071.43</v>
      </c>
      <c r="U102" s="8">
        <v>52583.946000000004</v>
      </c>
      <c r="V102" s="8">
        <v>40756.841</v>
      </c>
      <c r="W102" s="8">
        <v>29341.48</v>
      </c>
      <c r="X102" s="8">
        <v>19345.055</v>
      </c>
      <c r="Y102" s="8">
        <v>10615.92</v>
      </c>
      <c r="Z102" s="8">
        <v>4168.0320000000002</v>
      </c>
      <c r="AA102" s="8">
        <v>1138.4390000000001</v>
      </c>
      <c r="AB102" s="8">
        <v>207.89</v>
      </c>
      <c r="AC102" s="8">
        <v>27.504999999999999</v>
      </c>
    </row>
    <row r="103" spans="1:29" ht="23.25" hidden="1" x14ac:dyDescent="0.35">
      <c r="A103" s="12">
        <v>86</v>
      </c>
      <c r="B103" s="10" t="s">
        <v>1015</v>
      </c>
      <c r="C103" s="30" t="s">
        <v>1029</v>
      </c>
      <c r="D103" s="9" t="s">
        <v>1030</v>
      </c>
      <c r="E103" s="9">
        <v>934</v>
      </c>
      <c r="F103" s="10" t="s">
        <v>1024</v>
      </c>
      <c r="G103" s="9">
        <v>902</v>
      </c>
      <c r="H103" s="9">
        <v>2000</v>
      </c>
      <c r="I103" s="8">
        <v>212235.77100000001</v>
      </c>
      <c r="J103" s="8">
        <v>213424.00399999999</v>
      </c>
      <c r="K103" s="8">
        <v>225077.32399999999</v>
      </c>
      <c r="L103" s="8">
        <v>201753.766</v>
      </c>
      <c r="M103" s="8">
        <v>183825.33900000001</v>
      </c>
      <c r="N103" s="8">
        <v>181655.80600000001</v>
      </c>
      <c r="O103" s="8">
        <v>172091.486</v>
      </c>
      <c r="P103" s="8">
        <v>148531.12299999999</v>
      </c>
      <c r="Q103" s="8">
        <v>125844.25599999999</v>
      </c>
      <c r="R103" s="8">
        <v>112860.65300000001</v>
      </c>
      <c r="S103" s="8">
        <v>83936.748999999996</v>
      </c>
      <c r="T103" s="8">
        <v>66397.474000000002</v>
      </c>
      <c r="U103" s="8">
        <v>58162.53</v>
      </c>
      <c r="V103" s="8">
        <v>47408</v>
      </c>
      <c r="W103" s="8">
        <v>34482.779000000002</v>
      </c>
      <c r="X103" s="8">
        <v>22399.618999999999</v>
      </c>
      <c r="Y103" s="8">
        <v>12478.264999999999</v>
      </c>
      <c r="Z103" s="8">
        <v>5287.2690000000002</v>
      </c>
      <c r="AA103" s="8">
        <v>1502.6320000000001</v>
      </c>
      <c r="AB103" s="8">
        <v>292.48700000000002</v>
      </c>
      <c r="AC103" s="8">
        <v>39.4</v>
      </c>
    </row>
    <row r="104" spans="1:29" ht="23.25" hidden="1" x14ac:dyDescent="0.35">
      <c r="A104" s="12">
        <v>87</v>
      </c>
      <c r="B104" s="10" t="s">
        <v>1015</v>
      </c>
      <c r="C104" s="30" t="s">
        <v>1029</v>
      </c>
      <c r="D104" s="9" t="s">
        <v>1030</v>
      </c>
      <c r="E104" s="9">
        <v>934</v>
      </c>
      <c r="F104" s="10" t="s">
        <v>1024</v>
      </c>
      <c r="G104" s="9">
        <v>902</v>
      </c>
      <c r="H104" s="9">
        <v>2005</v>
      </c>
      <c r="I104" s="8">
        <v>211852.89</v>
      </c>
      <c r="J104" s="8">
        <v>209649.65700000001</v>
      </c>
      <c r="K104" s="8">
        <v>212369.679</v>
      </c>
      <c r="L104" s="8">
        <v>223268.28200000001</v>
      </c>
      <c r="M104" s="8">
        <v>198786.394</v>
      </c>
      <c r="N104" s="8">
        <v>181370.13500000001</v>
      </c>
      <c r="O104" s="8">
        <v>179316.23499999999</v>
      </c>
      <c r="P104" s="8">
        <v>169775.91800000001</v>
      </c>
      <c r="Q104" s="8">
        <v>146010.152</v>
      </c>
      <c r="R104" s="8">
        <v>122984.49400000001</v>
      </c>
      <c r="S104" s="8">
        <v>109869.985</v>
      </c>
      <c r="T104" s="8">
        <v>80850.963000000003</v>
      </c>
      <c r="U104" s="8">
        <v>62407.173999999999</v>
      </c>
      <c r="V104" s="8">
        <v>52377.773999999998</v>
      </c>
      <c r="W104" s="8">
        <v>40210.989000000001</v>
      </c>
      <c r="X104" s="8">
        <v>26378.223000000002</v>
      </c>
      <c r="Y104" s="8">
        <v>14646.473</v>
      </c>
      <c r="Z104" s="8">
        <v>6358.1660000000002</v>
      </c>
      <c r="AA104" s="8">
        <v>1978.145</v>
      </c>
      <c r="AB104" s="8">
        <v>395.20800000000003</v>
      </c>
      <c r="AC104" s="8">
        <v>56.87</v>
      </c>
    </row>
    <row r="105" spans="1:29" ht="23.25" hidden="1" x14ac:dyDescent="0.35">
      <c r="A105" s="12">
        <v>88</v>
      </c>
      <c r="B105" s="10" t="s">
        <v>1015</v>
      </c>
      <c r="C105" s="30" t="s">
        <v>1029</v>
      </c>
      <c r="D105" s="9" t="s">
        <v>1030</v>
      </c>
      <c r="E105" s="9">
        <v>934</v>
      </c>
      <c r="F105" s="10" t="s">
        <v>1024</v>
      </c>
      <c r="G105" s="9">
        <v>902</v>
      </c>
      <c r="H105" s="9">
        <v>2010</v>
      </c>
      <c r="I105" s="8">
        <v>217134.492</v>
      </c>
      <c r="J105" s="8">
        <v>209370.72700000001</v>
      </c>
      <c r="K105" s="8">
        <v>208325.136</v>
      </c>
      <c r="L105" s="8">
        <v>210458.57</v>
      </c>
      <c r="M105" s="8">
        <v>220286.96799999999</v>
      </c>
      <c r="N105" s="8">
        <v>196962.33600000001</v>
      </c>
      <c r="O105" s="8">
        <v>179253.23</v>
      </c>
      <c r="P105" s="8">
        <v>177457.00899999999</v>
      </c>
      <c r="Q105" s="8">
        <v>167776.198</v>
      </c>
      <c r="R105" s="8">
        <v>143654.64000000001</v>
      </c>
      <c r="S105" s="8">
        <v>120256.39599999999</v>
      </c>
      <c r="T105" s="8">
        <v>105721.98299999999</v>
      </c>
      <c r="U105" s="8">
        <v>76283.364000000001</v>
      </c>
      <c r="V105" s="8">
        <v>56625.875</v>
      </c>
      <c r="W105" s="8">
        <v>44978.728999999999</v>
      </c>
      <c r="X105" s="8">
        <v>31252.853999999999</v>
      </c>
      <c r="Y105" s="8">
        <v>17778.721000000001</v>
      </c>
      <c r="Z105" s="8">
        <v>7805.6610000000001</v>
      </c>
      <c r="AA105" s="8">
        <v>2488.6379999999999</v>
      </c>
      <c r="AB105" s="8">
        <v>548.76300000000003</v>
      </c>
      <c r="AC105" s="8">
        <v>81.260000000000005</v>
      </c>
    </row>
    <row r="106" spans="1:29" ht="23.25" hidden="1" x14ac:dyDescent="0.35">
      <c r="A106" s="12">
        <v>89</v>
      </c>
      <c r="B106" s="10" t="s">
        <v>1015</v>
      </c>
      <c r="C106" s="30" t="s">
        <v>1029</v>
      </c>
      <c r="D106" s="9" t="s">
        <v>1030</v>
      </c>
      <c r="E106" s="9">
        <v>934</v>
      </c>
      <c r="F106" s="10" t="s">
        <v>1024</v>
      </c>
      <c r="G106" s="9">
        <v>902</v>
      </c>
      <c r="H106" s="9">
        <v>2015</v>
      </c>
      <c r="I106" s="8">
        <v>222063.41500000001</v>
      </c>
      <c r="J106" s="8">
        <v>214820.77299999999</v>
      </c>
      <c r="K106" s="8">
        <v>207962.63800000001</v>
      </c>
      <c r="L106" s="8">
        <v>206821.41200000001</v>
      </c>
      <c r="M106" s="8">
        <v>208360.41</v>
      </c>
      <c r="N106" s="8">
        <v>218318.133</v>
      </c>
      <c r="O106" s="8">
        <v>195131.62899999999</v>
      </c>
      <c r="P106" s="8">
        <v>177556.75099999999</v>
      </c>
      <c r="Q106" s="8">
        <v>175564.37</v>
      </c>
      <c r="R106" s="8">
        <v>165485.09299999999</v>
      </c>
      <c r="S106" s="8">
        <v>140718.30100000001</v>
      </c>
      <c r="T106" s="8">
        <v>116504.906</v>
      </c>
      <c r="U106" s="8">
        <v>100605.81299999999</v>
      </c>
      <c r="V106" s="8">
        <v>70102.301000000007</v>
      </c>
      <c r="W106" s="8">
        <v>49317.728999999999</v>
      </c>
      <c r="X106" s="8">
        <v>35787.048000000003</v>
      </c>
      <c r="Y106" s="8">
        <v>21627.828000000001</v>
      </c>
      <c r="Z106" s="8">
        <v>9931.8289999999997</v>
      </c>
      <c r="AA106" s="8">
        <v>3266.279</v>
      </c>
      <c r="AB106" s="8">
        <v>753.93399999999997</v>
      </c>
      <c r="AC106" s="8">
        <v>123.515</v>
      </c>
    </row>
    <row r="107" spans="1:29" ht="23.25" hidden="1" x14ac:dyDescent="0.35">
      <c r="A107" s="12">
        <v>90</v>
      </c>
      <c r="B107" s="10" t="s">
        <v>1015</v>
      </c>
      <c r="C107" s="30" t="s">
        <v>1029</v>
      </c>
      <c r="D107" s="9" t="s">
        <v>1030</v>
      </c>
      <c r="E107" s="9">
        <v>934</v>
      </c>
      <c r="F107" s="10" t="s">
        <v>1024</v>
      </c>
      <c r="G107" s="9">
        <v>902</v>
      </c>
      <c r="H107" s="9">
        <v>2020</v>
      </c>
      <c r="I107" s="8">
        <v>222077.622</v>
      </c>
      <c r="J107" s="8">
        <v>219995.16899999999</v>
      </c>
      <c r="K107" s="8">
        <v>213500.541</v>
      </c>
      <c r="L107" s="8">
        <v>206353.39600000001</v>
      </c>
      <c r="M107" s="8">
        <v>204849.77100000001</v>
      </c>
      <c r="N107" s="8">
        <v>206602.26699999999</v>
      </c>
      <c r="O107" s="8">
        <v>216632.13699999999</v>
      </c>
      <c r="P107" s="8">
        <v>193245.946</v>
      </c>
      <c r="Q107" s="8">
        <v>175422.02299999999</v>
      </c>
      <c r="R107" s="8">
        <v>173001.98800000001</v>
      </c>
      <c r="S107" s="8">
        <v>162212.88500000001</v>
      </c>
      <c r="T107" s="8">
        <v>136582.97899999999</v>
      </c>
      <c r="U107" s="8">
        <v>111183.27800000001</v>
      </c>
      <c r="V107" s="8">
        <v>93338.246000000101</v>
      </c>
      <c r="W107" s="8">
        <v>61811.892999999996</v>
      </c>
      <c r="X107" s="8">
        <v>40015.203000000001</v>
      </c>
      <c r="Y107" s="8">
        <v>25482.400000000001</v>
      </c>
      <c r="Z107" s="8">
        <v>12588.98</v>
      </c>
      <c r="AA107" s="8">
        <v>4410.8159999999998</v>
      </c>
      <c r="AB107" s="8">
        <v>1068.8320000000001</v>
      </c>
      <c r="AC107" s="8">
        <v>185.636</v>
      </c>
    </row>
    <row r="108" spans="1:29" ht="11.65" hidden="1" x14ac:dyDescent="0.35">
      <c r="A108" s="12">
        <v>91</v>
      </c>
      <c r="B108" s="10" t="s">
        <v>1015</v>
      </c>
      <c r="C108" s="36" t="s">
        <v>1031</v>
      </c>
      <c r="D108" s="9"/>
      <c r="E108" s="9">
        <v>948</v>
      </c>
      <c r="F108" s="10" t="s">
        <v>1024</v>
      </c>
      <c r="G108" s="9">
        <v>1803</v>
      </c>
      <c r="H108" s="9">
        <v>1950</v>
      </c>
      <c r="I108" s="8">
        <v>87848.53</v>
      </c>
      <c r="J108" s="8">
        <v>71201.620000000097</v>
      </c>
      <c r="K108" s="8">
        <v>65329.307999999997</v>
      </c>
      <c r="L108" s="8">
        <v>58346.114000000001</v>
      </c>
      <c r="M108" s="8">
        <v>51335.394</v>
      </c>
      <c r="N108" s="8">
        <v>43894.133000000002</v>
      </c>
      <c r="O108" s="8">
        <v>37618.082999999999</v>
      </c>
      <c r="P108" s="8">
        <v>33276.184000000001</v>
      </c>
      <c r="Q108" s="8">
        <v>28896.923999999999</v>
      </c>
      <c r="R108" s="8">
        <v>23894.149000000001</v>
      </c>
      <c r="S108" s="8">
        <v>20371.310000000001</v>
      </c>
      <c r="T108" s="8">
        <v>15603.597</v>
      </c>
      <c r="U108" s="8">
        <v>13074.168</v>
      </c>
      <c r="V108" s="8">
        <v>8945.0509999999995</v>
      </c>
      <c r="W108" s="8">
        <v>6328.1450000000004</v>
      </c>
      <c r="X108" s="8">
        <v>3706.7660000000001</v>
      </c>
      <c r="Y108" s="8">
        <v>1714.2840000000001</v>
      </c>
      <c r="Z108" s="8">
        <v>656.70100000000002</v>
      </c>
      <c r="AA108" s="8">
        <v>196.72200000000001</v>
      </c>
      <c r="AB108" s="8">
        <v>49.874000000000102</v>
      </c>
      <c r="AC108" s="8">
        <v>10.167</v>
      </c>
    </row>
    <row r="109" spans="1:29" ht="11.65" hidden="1" x14ac:dyDescent="0.35">
      <c r="A109" s="12">
        <v>92</v>
      </c>
      <c r="B109" s="10" t="s">
        <v>1015</v>
      </c>
      <c r="C109" s="36" t="s">
        <v>1031</v>
      </c>
      <c r="D109" s="9"/>
      <c r="E109" s="9">
        <v>948</v>
      </c>
      <c r="F109" s="10" t="s">
        <v>1024</v>
      </c>
      <c r="G109" s="9">
        <v>1803</v>
      </c>
      <c r="H109" s="9">
        <v>1955</v>
      </c>
      <c r="I109" s="8">
        <v>104918.74400000001</v>
      </c>
      <c r="J109" s="8">
        <v>79850.771000000095</v>
      </c>
      <c r="K109" s="8">
        <v>68843.664000000004</v>
      </c>
      <c r="L109" s="8">
        <v>63482.720999999998</v>
      </c>
      <c r="M109" s="8">
        <v>56243.262999999999</v>
      </c>
      <c r="N109" s="8">
        <v>49138.097999999998</v>
      </c>
      <c r="O109" s="8">
        <v>41755.288</v>
      </c>
      <c r="P109" s="8">
        <v>35565.127999999997</v>
      </c>
      <c r="Q109" s="8">
        <v>31250.300999999999</v>
      </c>
      <c r="R109" s="8">
        <v>26930.806</v>
      </c>
      <c r="S109" s="8">
        <v>21950.401000000002</v>
      </c>
      <c r="T109" s="8">
        <v>18229.808000000001</v>
      </c>
      <c r="U109" s="8">
        <v>13420.117</v>
      </c>
      <c r="V109" s="8">
        <v>10503.04</v>
      </c>
      <c r="W109" s="8">
        <v>6524.3770000000004</v>
      </c>
      <c r="X109" s="8">
        <v>3940.43</v>
      </c>
      <c r="Y109" s="8">
        <v>1847.056</v>
      </c>
      <c r="Z109" s="8">
        <v>625.74400000000003</v>
      </c>
      <c r="AA109" s="8">
        <v>168.315</v>
      </c>
      <c r="AB109" s="8">
        <v>34.951000000000001</v>
      </c>
      <c r="AC109" s="8">
        <v>6.5460000000000003</v>
      </c>
    </row>
    <row r="110" spans="1:29" ht="11.65" hidden="1" x14ac:dyDescent="0.35">
      <c r="A110" s="12">
        <v>93</v>
      </c>
      <c r="B110" s="10" t="s">
        <v>1015</v>
      </c>
      <c r="C110" s="36" t="s">
        <v>1031</v>
      </c>
      <c r="D110" s="9"/>
      <c r="E110" s="9">
        <v>948</v>
      </c>
      <c r="F110" s="10" t="s">
        <v>1024</v>
      </c>
      <c r="G110" s="9">
        <v>1803</v>
      </c>
      <c r="H110" s="9">
        <v>1960</v>
      </c>
      <c r="I110" s="8">
        <v>120281.792</v>
      </c>
      <c r="J110" s="8">
        <v>96810.803</v>
      </c>
      <c r="K110" s="8">
        <v>77529.409</v>
      </c>
      <c r="L110" s="8">
        <v>66954.368000000002</v>
      </c>
      <c r="M110" s="8">
        <v>61431.249000000003</v>
      </c>
      <c r="N110" s="8">
        <v>54252.644</v>
      </c>
      <c r="O110" s="8">
        <v>47120.690999999999</v>
      </c>
      <c r="P110" s="8">
        <v>39795.364999999998</v>
      </c>
      <c r="Q110" s="8">
        <v>33593.267</v>
      </c>
      <c r="R110" s="8">
        <v>29315.306</v>
      </c>
      <c r="S110" s="8">
        <v>24892.737000000001</v>
      </c>
      <c r="T110" s="8">
        <v>19857.514999999999</v>
      </c>
      <c r="U110" s="8">
        <v>15845.509</v>
      </c>
      <c r="V110" s="8">
        <v>10970.504999999999</v>
      </c>
      <c r="W110" s="8">
        <v>7797.759</v>
      </c>
      <c r="X110" s="8">
        <v>4210.2879999999996</v>
      </c>
      <c r="Y110" s="8">
        <v>2052.558</v>
      </c>
      <c r="Z110" s="8">
        <v>717.70100000000002</v>
      </c>
      <c r="AA110" s="8">
        <v>171.91200000000001</v>
      </c>
      <c r="AB110" s="8">
        <v>32.957000000000001</v>
      </c>
      <c r="AC110" s="8">
        <v>5.4450000000000003</v>
      </c>
    </row>
    <row r="111" spans="1:29" ht="11.65" hidden="1" x14ac:dyDescent="0.35">
      <c r="A111" s="12">
        <v>94</v>
      </c>
      <c r="B111" s="10" t="s">
        <v>1015</v>
      </c>
      <c r="C111" s="36" t="s">
        <v>1031</v>
      </c>
      <c r="D111" s="9"/>
      <c r="E111" s="9">
        <v>948</v>
      </c>
      <c r="F111" s="10" t="s">
        <v>1024</v>
      </c>
      <c r="G111" s="9">
        <v>1803</v>
      </c>
      <c r="H111" s="9">
        <v>1965</v>
      </c>
      <c r="I111" s="8">
        <v>135045.04800000001</v>
      </c>
      <c r="J111" s="8">
        <v>112117.495</v>
      </c>
      <c r="K111" s="8">
        <v>94375.517000000007</v>
      </c>
      <c r="L111" s="8">
        <v>75796.777000000002</v>
      </c>
      <c r="M111" s="8">
        <v>65087.527000000002</v>
      </c>
      <c r="N111" s="8">
        <v>59501.648999999998</v>
      </c>
      <c r="O111" s="8">
        <v>52281.868999999999</v>
      </c>
      <c r="P111" s="8">
        <v>45158.205000000002</v>
      </c>
      <c r="Q111" s="8">
        <v>37858.910000000003</v>
      </c>
      <c r="R111" s="8">
        <v>31680.857</v>
      </c>
      <c r="S111" s="8">
        <v>27328.351999999999</v>
      </c>
      <c r="T111" s="8">
        <v>22735.16</v>
      </c>
      <c r="U111" s="8">
        <v>17480.294999999998</v>
      </c>
      <c r="V111" s="8">
        <v>13093.324000000001</v>
      </c>
      <c r="W111" s="8">
        <v>8307.0499999999993</v>
      </c>
      <c r="X111" s="8">
        <v>5153.6530000000002</v>
      </c>
      <c r="Y111" s="8">
        <v>2274.875</v>
      </c>
      <c r="Z111" s="8">
        <v>829.59699999999998</v>
      </c>
      <c r="AA111" s="8">
        <v>208.06700000000001</v>
      </c>
      <c r="AB111" s="8">
        <v>35.548000000000002</v>
      </c>
      <c r="AC111" s="8">
        <v>5.38</v>
      </c>
    </row>
    <row r="112" spans="1:29" ht="11.65" hidden="1" x14ac:dyDescent="0.35">
      <c r="A112" s="12">
        <v>95</v>
      </c>
      <c r="B112" s="10" t="s">
        <v>1015</v>
      </c>
      <c r="C112" s="36" t="s">
        <v>1031</v>
      </c>
      <c r="D112" s="9"/>
      <c r="E112" s="9">
        <v>948</v>
      </c>
      <c r="F112" s="10" t="s">
        <v>1024</v>
      </c>
      <c r="G112" s="9">
        <v>1803</v>
      </c>
      <c r="H112" s="9">
        <v>1970</v>
      </c>
      <c r="I112" s="8">
        <v>148711.573</v>
      </c>
      <c r="J112" s="8">
        <v>126942.41899999999</v>
      </c>
      <c r="K112" s="8">
        <v>109669.902</v>
      </c>
      <c r="L112" s="8">
        <v>92405.351999999999</v>
      </c>
      <c r="M112" s="8">
        <v>73880.956000000006</v>
      </c>
      <c r="N112" s="8">
        <v>63214.411999999997</v>
      </c>
      <c r="O112" s="8">
        <v>57602.701000000001</v>
      </c>
      <c r="P112" s="8">
        <v>50324.811999999998</v>
      </c>
      <c r="Q112" s="8">
        <v>43259.656999999999</v>
      </c>
      <c r="R112" s="8">
        <v>35970.428999999996</v>
      </c>
      <c r="S112" s="8">
        <v>29728.316999999999</v>
      </c>
      <c r="T112" s="8">
        <v>25162.841</v>
      </c>
      <c r="U112" s="8">
        <v>20208.638999999999</v>
      </c>
      <c r="V112" s="8">
        <v>14649.526</v>
      </c>
      <c r="W112" s="8">
        <v>10051.092000000001</v>
      </c>
      <c r="X112" s="8">
        <v>5607.6589999999997</v>
      </c>
      <c r="Y112" s="8">
        <v>2863.4389999999999</v>
      </c>
      <c r="Z112" s="8">
        <v>949.81100000000004</v>
      </c>
      <c r="AA112" s="8">
        <v>247.52699999999999</v>
      </c>
      <c r="AB112" s="8">
        <v>44.765999999999998</v>
      </c>
      <c r="AC112" s="8">
        <v>6.1020000000000003</v>
      </c>
    </row>
    <row r="113" spans="1:29" ht="11.65" hidden="1" x14ac:dyDescent="0.35">
      <c r="A113" s="12">
        <v>96</v>
      </c>
      <c r="B113" s="10" t="s">
        <v>1015</v>
      </c>
      <c r="C113" s="36" t="s">
        <v>1031</v>
      </c>
      <c r="D113" s="9"/>
      <c r="E113" s="9">
        <v>948</v>
      </c>
      <c r="F113" s="10" t="s">
        <v>1024</v>
      </c>
      <c r="G113" s="9">
        <v>1803</v>
      </c>
      <c r="H113" s="9">
        <v>1975</v>
      </c>
      <c r="I113" s="8">
        <v>163055.965</v>
      </c>
      <c r="J113" s="8">
        <v>140651.06099999999</v>
      </c>
      <c r="K113" s="8">
        <v>124465.48699999999</v>
      </c>
      <c r="L113" s="8">
        <v>107459.348</v>
      </c>
      <c r="M113" s="8">
        <v>89900.388999999996</v>
      </c>
      <c r="N113" s="8">
        <v>71851.350999999995</v>
      </c>
      <c r="O113" s="8">
        <v>61475.377999999997</v>
      </c>
      <c r="P113" s="8">
        <v>55863.656000000003</v>
      </c>
      <c r="Q113" s="8">
        <v>48575.135000000002</v>
      </c>
      <c r="R113" s="8">
        <v>41493.552000000003</v>
      </c>
      <c r="S113" s="8">
        <v>34132.438999999998</v>
      </c>
      <c r="T113" s="8">
        <v>27616.087</v>
      </c>
      <c r="U113" s="8">
        <v>22580.674999999999</v>
      </c>
      <c r="V113" s="8">
        <v>17145.665000000001</v>
      </c>
      <c r="W113" s="8">
        <v>11429.508</v>
      </c>
      <c r="X113" s="8">
        <v>6881.9430000000002</v>
      </c>
      <c r="Y113" s="8">
        <v>3166.6410000000001</v>
      </c>
      <c r="Z113" s="8">
        <v>1217.7249999999999</v>
      </c>
      <c r="AA113" s="8">
        <v>285.21499999999997</v>
      </c>
      <c r="AB113" s="8">
        <v>53.255000000000003</v>
      </c>
      <c r="AC113" s="8">
        <v>7.7</v>
      </c>
    </row>
    <row r="114" spans="1:29" ht="11.65" hidden="1" x14ac:dyDescent="0.35">
      <c r="A114" s="12">
        <v>97</v>
      </c>
      <c r="B114" s="10" t="s">
        <v>1015</v>
      </c>
      <c r="C114" s="36" t="s">
        <v>1031</v>
      </c>
      <c r="D114" s="9"/>
      <c r="E114" s="9">
        <v>948</v>
      </c>
      <c r="F114" s="10" t="s">
        <v>1024</v>
      </c>
      <c r="G114" s="9">
        <v>1803</v>
      </c>
      <c r="H114" s="9">
        <v>1980</v>
      </c>
      <c r="I114" s="8">
        <v>179004.834</v>
      </c>
      <c r="J114" s="8">
        <v>155439.55600000001</v>
      </c>
      <c r="K114" s="8">
        <v>138171.95199999999</v>
      </c>
      <c r="L114" s="8">
        <v>122332.82399999999</v>
      </c>
      <c r="M114" s="8">
        <v>105079.386</v>
      </c>
      <c r="N114" s="8">
        <v>87584.998999999996</v>
      </c>
      <c r="O114" s="8">
        <v>69938.584000000104</v>
      </c>
      <c r="P114" s="8">
        <v>59761.718000000001</v>
      </c>
      <c r="Q114" s="8">
        <v>54103.262000000002</v>
      </c>
      <c r="R114" s="8">
        <v>46755.925000000003</v>
      </c>
      <c r="S114" s="8">
        <v>39471.002</v>
      </c>
      <c r="T114" s="8">
        <v>31917.664000000001</v>
      </c>
      <c r="U114" s="8">
        <v>24966.384999999998</v>
      </c>
      <c r="V114" s="8">
        <v>19401.427</v>
      </c>
      <c r="W114" s="8">
        <v>13581.504000000001</v>
      </c>
      <c r="X114" s="8">
        <v>8029.1450000000004</v>
      </c>
      <c r="Y114" s="8">
        <v>4013.39</v>
      </c>
      <c r="Z114" s="8">
        <v>1396.4670000000001</v>
      </c>
      <c r="AA114" s="8">
        <v>389.27699999999999</v>
      </c>
      <c r="AB114" s="8">
        <v>66.100999999999999</v>
      </c>
      <c r="AC114" s="8">
        <v>9.9250000000000007</v>
      </c>
    </row>
    <row r="115" spans="1:29" ht="11.65" hidden="1" x14ac:dyDescent="0.35">
      <c r="A115" s="12">
        <v>98</v>
      </c>
      <c r="B115" s="10" t="s">
        <v>1015</v>
      </c>
      <c r="C115" s="36" t="s">
        <v>1031</v>
      </c>
      <c r="D115" s="9"/>
      <c r="E115" s="9">
        <v>948</v>
      </c>
      <c r="F115" s="10" t="s">
        <v>1024</v>
      </c>
      <c r="G115" s="9">
        <v>1803</v>
      </c>
      <c r="H115" s="9">
        <v>1985</v>
      </c>
      <c r="I115" s="8">
        <v>197776.82800000001</v>
      </c>
      <c r="J115" s="8">
        <v>171825.253</v>
      </c>
      <c r="K115" s="8">
        <v>153204.84400000001</v>
      </c>
      <c r="L115" s="8">
        <v>136308.41699999999</v>
      </c>
      <c r="M115" s="8">
        <v>120130.056</v>
      </c>
      <c r="N115" s="8">
        <v>102967.054</v>
      </c>
      <c r="O115" s="8">
        <v>85828.426000000007</v>
      </c>
      <c r="P115" s="8">
        <v>68473.633000000002</v>
      </c>
      <c r="Q115" s="8">
        <v>58193.446000000004</v>
      </c>
      <c r="R115" s="8">
        <v>52305.817999999999</v>
      </c>
      <c r="S115" s="8">
        <v>44726.25</v>
      </c>
      <c r="T115" s="8">
        <v>37070.502</v>
      </c>
      <c r="U115" s="8">
        <v>29036.543000000001</v>
      </c>
      <c r="V115" s="8">
        <v>21560.454000000002</v>
      </c>
      <c r="W115" s="8">
        <v>15523.114</v>
      </c>
      <c r="X115" s="8">
        <v>9644.0319999999992</v>
      </c>
      <c r="Y115" s="8">
        <v>4778.9319999999998</v>
      </c>
      <c r="Z115" s="8">
        <v>1827.3320000000001</v>
      </c>
      <c r="AA115" s="8">
        <v>458.83199999999999</v>
      </c>
      <c r="AB115" s="8">
        <v>92.934000000000097</v>
      </c>
      <c r="AC115" s="8">
        <v>12.356999999999999</v>
      </c>
    </row>
    <row r="116" spans="1:29" ht="11.65" hidden="1" x14ac:dyDescent="0.35">
      <c r="A116" s="12">
        <v>99</v>
      </c>
      <c r="B116" s="10" t="s">
        <v>1015</v>
      </c>
      <c r="C116" s="36" t="s">
        <v>1031</v>
      </c>
      <c r="D116" s="9"/>
      <c r="E116" s="9">
        <v>948</v>
      </c>
      <c r="F116" s="10" t="s">
        <v>1024</v>
      </c>
      <c r="G116" s="9">
        <v>1803</v>
      </c>
      <c r="H116" s="9">
        <v>1990</v>
      </c>
      <c r="I116" s="8">
        <v>210003.95199999999</v>
      </c>
      <c r="J116" s="8">
        <v>190869.52100000001</v>
      </c>
      <c r="K116" s="8">
        <v>169709.65100000001</v>
      </c>
      <c r="L116" s="8">
        <v>151186.625</v>
      </c>
      <c r="M116" s="8">
        <v>133755.217</v>
      </c>
      <c r="N116" s="8">
        <v>117672.859</v>
      </c>
      <c r="O116" s="8">
        <v>101003.447</v>
      </c>
      <c r="P116" s="8">
        <v>84084.159</v>
      </c>
      <c r="Q116" s="8">
        <v>66831.987999999998</v>
      </c>
      <c r="R116" s="8">
        <v>56459.392</v>
      </c>
      <c r="S116" s="8">
        <v>50189.243000000002</v>
      </c>
      <c r="T116" s="8">
        <v>42190.455000000002</v>
      </c>
      <c r="U116" s="8">
        <v>33966.322</v>
      </c>
      <c r="V116" s="8">
        <v>25327.960999999999</v>
      </c>
      <c r="W116" s="8">
        <v>17393.429</v>
      </c>
      <c r="X116" s="8">
        <v>11163.868</v>
      </c>
      <c r="Y116" s="8">
        <v>5814.9040000000005</v>
      </c>
      <c r="Z116" s="8">
        <v>2244.625</v>
      </c>
      <c r="AA116" s="8">
        <v>626.39599999999996</v>
      </c>
      <c r="AB116" s="8">
        <v>114.244</v>
      </c>
      <c r="AC116" s="8">
        <v>17.879000000000001</v>
      </c>
    </row>
    <row r="117" spans="1:29" ht="11.65" hidden="1" x14ac:dyDescent="0.35">
      <c r="A117" s="12">
        <v>100</v>
      </c>
      <c r="B117" s="10" t="s">
        <v>1015</v>
      </c>
      <c r="C117" s="36" t="s">
        <v>1031</v>
      </c>
      <c r="D117" s="9"/>
      <c r="E117" s="9">
        <v>948</v>
      </c>
      <c r="F117" s="10" t="s">
        <v>1024</v>
      </c>
      <c r="G117" s="9">
        <v>1803</v>
      </c>
      <c r="H117" s="9">
        <v>1995</v>
      </c>
      <c r="I117" s="8">
        <v>216886.35200000001</v>
      </c>
      <c r="J117" s="8">
        <v>203642.128</v>
      </c>
      <c r="K117" s="8">
        <v>188789.84099999999</v>
      </c>
      <c r="L117" s="8">
        <v>167445.10500000001</v>
      </c>
      <c r="M117" s="8">
        <v>147999.111</v>
      </c>
      <c r="N117" s="8">
        <v>131035.59299999999</v>
      </c>
      <c r="O117" s="8">
        <v>115472.4</v>
      </c>
      <c r="P117" s="8">
        <v>99026.646999999997</v>
      </c>
      <c r="Q117" s="8">
        <v>82184.587</v>
      </c>
      <c r="R117" s="8">
        <v>64972.2</v>
      </c>
      <c r="S117" s="8">
        <v>54414.813000000002</v>
      </c>
      <c r="T117" s="8">
        <v>47535.792000000001</v>
      </c>
      <c r="U117" s="8">
        <v>38934.040999999997</v>
      </c>
      <c r="V117" s="8">
        <v>29925.569</v>
      </c>
      <c r="W117" s="8">
        <v>20760.333999999999</v>
      </c>
      <c r="X117" s="8">
        <v>12790.213</v>
      </c>
      <c r="Y117" s="8">
        <v>6952.1910000000098</v>
      </c>
      <c r="Z117" s="8">
        <v>2803.127</v>
      </c>
      <c r="AA117" s="8">
        <v>794.476</v>
      </c>
      <c r="AB117" s="8">
        <v>161.41800000000001</v>
      </c>
      <c r="AC117" s="8">
        <v>23.082999999999998</v>
      </c>
    </row>
    <row r="118" spans="1:29" ht="11.65" hidden="1" x14ac:dyDescent="0.35">
      <c r="A118" s="12">
        <v>101</v>
      </c>
      <c r="B118" s="10" t="s">
        <v>1015</v>
      </c>
      <c r="C118" s="36" t="s">
        <v>1031</v>
      </c>
      <c r="D118" s="9"/>
      <c r="E118" s="9">
        <v>948</v>
      </c>
      <c r="F118" s="10" t="s">
        <v>1024</v>
      </c>
      <c r="G118" s="9">
        <v>1803</v>
      </c>
      <c r="H118" s="9">
        <v>2000</v>
      </c>
      <c r="I118" s="8">
        <v>223083.25</v>
      </c>
      <c r="J118" s="8">
        <v>211222.00099999999</v>
      </c>
      <c r="K118" s="8">
        <v>201341.315</v>
      </c>
      <c r="L118" s="8">
        <v>186389.71799999999</v>
      </c>
      <c r="M118" s="8">
        <v>164196.31</v>
      </c>
      <c r="N118" s="8">
        <v>145230.709</v>
      </c>
      <c r="O118" s="8">
        <v>128688.86</v>
      </c>
      <c r="P118" s="8">
        <v>113407.671</v>
      </c>
      <c r="Q118" s="8">
        <v>96885.717999999993</v>
      </c>
      <c r="R118" s="8">
        <v>79927.47</v>
      </c>
      <c r="S118" s="8">
        <v>62571.584999999999</v>
      </c>
      <c r="T118" s="8">
        <v>51557.249000000003</v>
      </c>
      <c r="U118" s="8">
        <v>44010.82</v>
      </c>
      <c r="V118" s="8">
        <v>34565.383999999998</v>
      </c>
      <c r="W118" s="8">
        <v>24833.701000000001</v>
      </c>
      <c r="X118" s="8">
        <v>15600.031999999999</v>
      </c>
      <c r="Y118" s="8">
        <v>8124.04</v>
      </c>
      <c r="Z118" s="8">
        <v>3446.99</v>
      </c>
      <c r="AA118" s="8">
        <v>1020.873</v>
      </c>
      <c r="AB118" s="8">
        <v>212.18199999999999</v>
      </c>
      <c r="AC118" s="8">
        <v>32.070999999999998</v>
      </c>
    </row>
    <row r="119" spans="1:29" ht="11.65" hidden="1" x14ac:dyDescent="0.35">
      <c r="A119" s="12">
        <v>102</v>
      </c>
      <c r="B119" s="10" t="s">
        <v>1015</v>
      </c>
      <c r="C119" s="36" t="s">
        <v>1031</v>
      </c>
      <c r="D119" s="9"/>
      <c r="E119" s="9">
        <v>948</v>
      </c>
      <c r="F119" s="10" t="s">
        <v>1024</v>
      </c>
      <c r="G119" s="9">
        <v>1803</v>
      </c>
      <c r="H119" s="9">
        <v>2005</v>
      </c>
      <c r="I119" s="8">
        <v>231276.18900000001</v>
      </c>
      <c r="J119" s="8">
        <v>218813.97700000001</v>
      </c>
      <c r="K119" s="8">
        <v>209687.611</v>
      </c>
      <c r="L119" s="8">
        <v>198851.89600000001</v>
      </c>
      <c r="M119" s="8">
        <v>182673.85800000001</v>
      </c>
      <c r="N119" s="8">
        <v>161109.59099999999</v>
      </c>
      <c r="O119" s="8">
        <v>142316.016</v>
      </c>
      <c r="P119" s="8">
        <v>125915.95600000001</v>
      </c>
      <c r="Q119" s="8">
        <v>110546.85799999999</v>
      </c>
      <c r="R119" s="8">
        <v>93788.866999999998</v>
      </c>
      <c r="S119" s="8">
        <v>77025.001000000004</v>
      </c>
      <c r="T119" s="8">
        <v>59665.678999999996</v>
      </c>
      <c r="U119" s="8">
        <v>47844.317999999999</v>
      </c>
      <c r="V119" s="8">
        <v>38934.447999999997</v>
      </c>
      <c r="W119" s="8">
        <v>28746.018</v>
      </c>
      <c r="X119" s="8">
        <v>18653.921999999999</v>
      </c>
      <c r="Y119" s="8">
        <v>10090.058999999999</v>
      </c>
      <c r="Z119" s="8">
        <v>4139.5349999999999</v>
      </c>
      <c r="AA119" s="8">
        <v>1310.2629999999999</v>
      </c>
      <c r="AB119" s="8">
        <v>283.17700000000002</v>
      </c>
      <c r="AC119" s="8">
        <v>44.32</v>
      </c>
    </row>
    <row r="120" spans="1:29" ht="11.65" hidden="1" x14ac:dyDescent="0.35">
      <c r="A120" s="12">
        <v>103</v>
      </c>
      <c r="B120" s="10" t="s">
        <v>1015</v>
      </c>
      <c r="C120" s="36" t="s">
        <v>1031</v>
      </c>
      <c r="D120" s="9"/>
      <c r="E120" s="9">
        <v>948</v>
      </c>
      <c r="F120" s="10" t="s">
        <v>1024</v>
      </c>
      <c r="G120" s="9">
        <v>1803</v>
      </c>
      <c r="H120" s="9">
        <v>2010</v>
      </c>
      <c r="I120" s="8">
        <v>241235.046</v>
      </c>
      <c r="J120" s="8">
        <v>227252.60500000001</v>
      </c>
      <c r="K120" s="8">
        <v>216982.041</v>
      </c>
      <c r="L120" s="8">
        <v>206952.50399999999</v>
      </c>
      <c r="M120" s="8">
        <v>194684.77100000001</v>
      </c>
      <c r="N120" s="8">
        <v>180023.11499999999</v>
      </c>
      <c r="O120" s="8">
        <v>158136.019</v>
      </c>
      <c r="P120" s="8">
        <v>139843.35500000001</v>
      </c>
      <c r="Q120" s="8">
        <v>123592.548</v>
      </c>
      <c r="R120" s="8">
        <v>107979.3</v>
      </c>
      <c r="S120" s="8">
        <v>91006.48</v>
      </c>
      <c r="T120" s="8">
        <v>73187.827999999994</v>
      </c>
      <c r="U120" s="8">
        <v>55528.523000000001</v>
      </c>
      <c r="V120" s="8">
        <v>42672.953000000001</v>
      </c>
      <c r="W120" s="8">
        <v>32846.014000000003</v>
      </c>
      <c r="X120" s="8">
        <v>21979.187999999998</v>
      </c>
      <c r="Y120" s="8">
        <v>12446.745000000001</v>
      </c>
      <c r="Z120" s="8">
        <v>5353.8620000000001</v>
      </c>
      <c r="AA120" s="8">
        <v>1635.941</v>
      </c>
      <c r="AB120" s="8">
        <v>384.572</v>
      </c>
      <c r="AC120" s="8">
        <v>61.826999999999998</v>
      </c>
    </row>
    <row r="121" spans="1:29" ht="11.65" hidden="1" x14ac:dyDescent="0.35">
      <c r="A121" s="12">
        <v>104</v>
      </c>
      <c r="B121" s="10" t="s">
        <v>1015</v>
      </c>
      <c r="C121" s="36" t="s">
        <v>1031</v>
      </c>
      <c r="D121" s="9"/>
      <c r="E121" s="9">
        <v>948</v>
      </c>
      <c r="F121" s="10" t="s">
        <v>1024</v>
      </c>
      <c r="G121" s="9">
        <v>1803</v>
      </c>
      <c r="H121" s="9">
        <v>2015</v>
      </c>
      <c r="I121" s="8">
        <v>249488.77799999999</v>
      </c>
      <c r="J121" s="8">
        <v>237561.861</v>
      </c>
      <c r="K121" s="8">
        <v>225292.80799999999</v>
      </c>
      <c r="L121" s="8">
        <v>214941.11199999999</v>
      </c>
      <c r="M121" s="8">
        <v>204230.976</v>
      </c>
      <c r="N121" s="8">
        <v>192084.951</v>
      </c>
      <c r="O121" s="8">
        <v>177456.22</v>
      </c>
      <c r="P121" s="8">
        <v>155772.084</v>
      </c>
      <c r="Q121" s="8">
        <v>137558.742</v>
      </c>
      <c r="R121" s="8">
        <v>121099.113</v>
      </c>
      <c r="S121" s="8">
        <v>104978.247</v>
      </c>
      <c r="T121" s="8">
        <v>87391.816999999995</v>
      </c>
      <c r="U121" s="8">
        <v>68774.498000000007</v>
      </c>
      <c r="V121" s="8">
        <v>50242.714</v>
      </c>
      <c r="W121" s="8">
        <v>36576.902999999998</v>
      </c>
      <c r="X121" s="8">
        <v>25696.512999999999</v>
      </c>
      <c r="Y121" s="8">
        <v>14933.567999999999</v>
      </c>
      <c r="Z121" s="8">
        <v>6846.7049999999999</v>
      </c>
      <c r="AA121" s="8">
        <v>2215.5749999999998</v>
      </c>
      <c r="AB121" s="8">
        <v>502.90899999999999</v>
      </c>
      <c r="AC121" s="8">
        <v>88.132000000000005</v>
      </c>
    </row>
    <row r="122" spans="1:29" ht="11.65" hidden="1" x14ac:dyDescent="0.35">
      <c r="A122" s="12">
        <v>105</v>
      </c>
      <c r="B122" s="10" t="s">
        <v>1015</v>
      </c>
      <c r="C122" s="36" t="s">
        <v>1031</v>
      </c>
      <c r="D122" s="9"/>
      <c r="E122" s="9">
        <v>948</v>
      </c>
      <c r="F122" s="10" t="s">
        <v>1024</v>
      </c>
      <c r="G122" s="9">
        <v>1803</v>
      </c>
      <c r="H122" s="9">
        <v>2020</v>
      </c>
      <c r="I122" s="8">
        <v>255465.22200000001</v>
      </c>
      <c r="J122" s="8">
        <v>246276.88200000001</v>
      </c>
      <c r="K122" s="8">
        <v>235737.372</v>
      </c>
      <c r="L122" s="8">
        <v>223109.02299999999</v>
      </c>
      <c r="M122" s="8">
        <v>212335.774</v>
      </c>
      <c r="N122" s="8">
        <v>201991.44099999999</v>
      </c>
      <c r="O122" s="8">
        <v>189955.603</v>
      </c>
      <c r="P122" s="8">
        <v>175031.06200000001</v>
      </c>
      <c r="Q122" s="8">
        <v>153230.89000000001</v>
      </c>
      <c r="R122" s="8">
        <v>134762.33100000001</v>
      </c>
      <c r="S122" s="8">
        <v>117783.83</v>
      </c>
      <c r="T122" s="8">
        <v>100987.11199999999</v>
      </c>
      <c r="U122" s="8">
        <v>82476.415999999997</v>
      </c>
      <c r="V122" s="8">
        <v>62792.364999999998</v>
      </c>
      <c r="W122" s="8">
        <v>43483.169000000002</v>
      </c>
      <c r="X122" s="8">
        <v>29051.953000000001</v>
      </c>
      <c r="Y122" s="8">
        <v>17820.655999999999</v>
      </c>
      <c r="Z122" s="8">
        <v>8441.3529999999992</v>
      </c>
      <c r="AA122" s="8">
        <v>2955.2869999999998</v>
      </c>
      <c r="AB122" s="8">
        <v>719.19499999999903</v>
      </c>
      <c r="AC122" s="8">
        <v>123.447</v>
      </c>
    </row>
    <row r="123" spans="1:29" ht="11.65" hidden="1" x14ac:dyDescent="0.35">
      <c r="A123" s="12">
        <v>106</v>
      </c>
      <c r="B123" s="10" t="s">
        <v>1015</v>
      </c>
      <c r="C123" s="36" t="s">
        <v>1032</v>
      </c>
      <c r="D123" s="9" t="s">
        <v>1033</v>
      </c>
      <c r="E123" s="9">
        <v>1636</v>
      </c>
      <c r="F123" s="10" t="s">
        <v>1034</v>
      </c>
      <c r="G123" s="9">
        <v>1803</v>
      </c>
      <c r="H123" s="9">
        <v>1950</v>
      </c>
      <c r="I123" s="8">
        <v>8045.1750000000002</v>
      </c>
      <c r="J123" s="8">
        <v>6327.3810000000003</v>
      </c>
      <c r="K123" s="8">
        <v>6077.1549999999997</v>
      </c>
      <c r="L123" s="8">
        <v>5247.59</v>
      </c>
      <c r="M123" s="8">
        <v>4850.5519999999997</v>
      </c>
      <c r="N123" s="8">
        <v>3966.3110000000001</v>
      </c>
      <c r="O123" s="8">
        <v>3248.0529999999999</v>
      </c>
      <c r="P123" s="8">
        <v>3048.2750000000001</v>
      </c>
      <c r="Q123" s="8">
        <v>2615.4110000000001</v>
      </c>
      <c r="R123" s="8">
        <v>2359.7579999999998</v>
      </c>
      <c r="S123" s="8">
        <v>1870.49</v>
      </c>
      <c r="T123" s="8">
        <v>1451.971</v>
      </c>
      <c r="U123" s="8">
        <v>1248.4739999999999</v>
      </c>
      <c r="V123" s="8">
        <v>940.45</v>
      </c>
      <c r="W123" s="8">
        <v>621.98400000000004</v>
      </c>
      <c r="X123" s="8">
        <v>358.90499999999997</v>
      </c>
      <c r="Y123" s="8">
        <v>151.595</v>
      </c>
      <c r="Z123" s="8">
        <v>58.55</v>
      </c>
      <c r="AA123" s="8">
        <v>18.881</v>
      </c>
      <c r="AB123" s="8">
        <v>3.702</v>
      </c>
      <c r="AC123" s="8">
        <v>0.502</v>
      </c>
    </row>
    <row r="124" spans="1:29" ht="11.65" hidden="1" x14ac:dyDescent="0.35">
      <c r="A124" s="12">
        <v>107</v>
      </c>
      <c r="B124" s="10" t="s">
        <v>1015</v>
      </c>
      <c r="C124" s="36" t="s">
        <v>1032</v>
      </c>
      <c r="D124" s="9" t="s">
        <v>1033</v>
      </c>
      <c r="E124" s="9">
        <v>1636</v>
      </c>
      <c r="F124" s="10" t="s">
        <v>1034</v>
      </c>
      <c r="G124" s="9">
        <v>1803</v>
      </c>
      <c r="H124" s="9">
        <v>1955</v>
      </c>
      <c r="I124" s="8">
        <v>9636.17</v>
      </c>
      <c r="J124" s="8">
        <v>7186.3829999999998</v>
      </c>
      <c r="K124" s="8">
        <v>6120.8119999999999</v>
      </c>
      <c r="L124" s="8">
        <v>5951.3940000000002</v>
      </c>
      <c r="M124" s="8">
        <v>5089.4380000000001</v>
      </c>
      <c r="N124" s="8">
        <v>4681.3969999999999</v>
      </c>
      <c r="O124" s="8">
        <v>3802.2269999999999</v>
      </c>
      <c r="P124" s="8">
        <v>3091.1790000000001</v>
      </c>
      <c r="Q124" s="8">
        <v>2902.53</v>
      </c>
      <c r="R124" s="8">
        <v>2481.105</v>
      </c>
      <c r="S124" s="8">
        <v>2215.6170000000002</v>
      </c>
      <c r="T124" s="8">
        <v>1712.8610000000001</v>
      </c>
      <c r="U124" s="8">
        <v>1270.703</v>
      </c>
      <c r="V124" s="8">
        <v>1029.069</v>
      </c>
      <c r="W124" s="8">
        <v>700.74800000000005</v>
      </c>
      <c r="X124" s="8">
        <v>398.733</v>
      </c>
      <c r="Y124" s="8">
        <v>178.05099999999999</v>
      </c>
      <c r="Z124" s="8">
        <v>56.466000000000001</v>
      </c>
      <c r="AA124" s="8">
        <v>15.84</v>
      </c>
      <c r="AB124" s="8">
        <v>3.714</v>
      </c>
      <c r="AC124" s="8">
        <v>0.52100000000000002</v>
      </c>
    </row>
    <row r="125" spans="1:29" ht="11.65" hidden="1" x14ac:dyDescent="0.35">
      <c r="A125" s="12">
        <v>108</v>
      </c>
      <c r="B125" s="10" t="s">
        <v>1015</v>
      </c>
      <c r="C125" s="36" t="s">
        <v>1032</v>
      </c>
      <c r="D125" s="9" t="s">
        <v>1033</v>
      </c>
      <c r="E125" s="9">
        <v>1636</v>
      </c>
      <c r="F125" s="10" t="s">
        <v>1034</v>
      </c>
      <c r="G125" s="9">
        <v>1803</v>
      </c>
      <c r="H125" s="9">
        <v>1960</v>
      </c>
      <c r="I125" s="8">
        <v>11153.339</v>
      </c>
      <c r="J125" s="8">
        <v>8778.1910000000007</v>
      </c>
      <c r="K125" s="8">
        <v>6993.2920000000004</v>
      </c>
      <c r="L125" s="8">
        <v>5995.5690000000004</v>
      </c>
      <c r="M125" s="8">
        <v>5793.8419999999996</v>
      </c>
      <c r="N125" s="8">
        <v>4923.4610000000002</v>
      </c>
      <c r="O125" s="8">
        <v>4516.7060000000001</v>
      </c>
      <c r="P125" s="8">
        <v>3645.3069999999998</v>
      </c>
      <c r="Q125" s="8">
        <v>2945.473</v>
      </c>
      <c r="R125" s="8">
        <v>2765.5129999999999</v>
      </c>
      <c r="S125" s="8">
        <v>2341.9499999999998</v>
      </c>
      <c r="T125" s="8">
        <v>2048.2179999999998</v>
      </c>
      <c r="U125" s="8">
        <v>1520.0340000000001</v>
      </c>
      <c r="V125" s="8">
        <v>1057.0150000000001</v>
      </c>
      <c r="W125" s="8">
        <v>784.096</v>
      </c>
      <c r="X125" s="8">
        <v>460.64699999999999</v>
      </c>
      <c r="Y125" s="8">
        <v>204.16200000000001</v>
      </c>
      <c r="Z125" s="8">
        <v>71.210999999999999</v>
      </c>
      <c r="AA125" s="8">
        <v>16.631</v>
      </c>
      <c r="AB125" s="8">
        <v>3.5459999999999998</v>
      </c>
      <c r="AC125" s="8">
        <v>0.66800000000000004</v>
      </c>
    </row>
    <row r="126" spans="1:29" ht="11.65" hidden="1" x14ac:dyDescent="0.35">
      <c r="A126" s="12">
        <v>109</v>
      </c>
      <c r="B126" s="10" t="s">
        <v>1015</v>
      </c>
      <c r="C126" s="36" t="s">
        <v>1032</v>
      </c>
      <c r="D126" s="9" t="s">
        <v>1033</v>
      </c>
      <c r="E126" s="9">
        <v>1636</v>
      </c>
      <c r="F126" s="10" t="s">
        <v>1034</v>
      </c>
      <c r="G126" s="9">
        <v>1803</v>
      </c>
      <c r="H126" s="9">
        <v>1965</v>
      </c>
      <c r="I126" s="8">
        <v>12740.411</v>
      </c>
      <c r="J126" s="8">
        <v>10288.93</v>
      </c>
      <c r="K126" s="8">
        <v>8572.5830000000005</v>
      </c>
      <c r="L126" s="8">
        <v>6862.2070000000003</v>
      </c>
      <c r="M126" s="8">
        <v>5812.9690000000001</v>
      </c>
      <c r="N126" s="8">
        <v>5608.4260000000004</v>
      </c>
      <c r="O126" s="8">
        <v>4733.1350000000002</v>
      </c>
      <c r="P126" s="8">
        <v>4338.9840000000004</v>
      </c>
      <c r="Q126" s="8">
        <v>3481.8809999999999</v>
      </c>
      <c r="R126" s="8">
        <v>2803.585</v>
      </c>
      <c r="S126" s="8">
        <v>2631.1439999999998</v>
      </c>
      <c r="T126" s="8">
        <v>2186.8910000000001</v>
      </c>
      <c r="U126" s="8">
        <v>1826.3620000000001</v>
      </c>
      <c r="V126" s="8">
        <v>1269.81</v>
      </c>
      <c r="W126" s="8">
        <v>804.74699999999996</v>
      </c>
      <c r="X126" s="8">
        <v>526.68299999999999</v>
      </c>
      <c r="Y126" s="8">
        <v>241.953</v>
      </c>
      <c r="Z126" s="8">
        <v>85.61</v>
      </c>
      <c r="AA126" s="8">
        <v>22.346</v>
      </c>
      <c r="AB126" s="8">
        <v>3.9929999999999999</v>
      </c>
      <c r="AC126" s="8">
        <v>0.71099999999999997</v>
      </c>
    </row>
    <row r="127" spans="1:29" ht="11.65" hidden="1" x14ac:dyDescent="0.35">
      <c r="A127" s="12">
        <v>110</v>
      </c>
      <c r="B127" s="10" t="s">
        <v>1015</v>
      </c>
      <c r="C127" s="36" t="s">
        <v>1032</v>
      </c>
      <c r="D127" s="9" t="s">
        <v>1033</v>
      </c>
      <c r="E127" s="9">
        <v>1636</v>
      </c>
      <c r="F127" s="10" t="s">
        <v>1034</v>
      </c>
      <c r="G127" s="9">
        <v>1803</v>
      </c>
      <c r="H127" s="9">
        <v>1970</v>
      </c>
      <c r="I127" s="8">
        <v>13960.941000000001</v>
      </c>
      <c r="J127" s="8">
        <v>11835.406999999999</v>
      </c>
      <c r="K127" s="8">
        <v>10100.215</v>
      </c>
      <c r="L127" s="8">
        <v>8408.2139999999999</v>
      </c>
      <c r="M127" s="8">
        <v>6682.6409999999996</v>
      </c>
      <c r="N127" s="8">
        <v>5624.3289999999997</v>
      </c>
      <c r="O127" s="8">
        <v>5436.0550000000003</v>
      </c>
      <c r="P127" s="8">
        <v>4540.4229999999998</v>
      </c>
      <c r="Q127" s="8">
        <v>4164.3609999999999</v>
      </c>
      <c r="R127" s="8">
        <v>3318.721</v>
      </c>
      <c r="S127" s="8">
        <v>2646.29</v>
      </c>
      <c r="T127" s="8">
        <v>2461.3710000000001</v>
      </c>
      <c r="U127" s="8">
        <v>1978.826</v>
      </c>
      <c r="V127" s="8">
        <v>1545.279</v>
      </c>
      <c r="W127" s="8">
        <v>975.39499999999998</v>
      </c>
      <c r="X127" s="8">
        <v>538.49099999999999</v>
      </c>
      <c r="Y127" s="8">
        <v>279.80399999999997</v>
      </c>
      <c r="Z127" s="8">
        <v>104.67400000000001</v>
      </c>
      <c r="AA127" s="8">
        <v>28.355</v>
      </c>
      <c r="AB127" s="8">
        <v>5.7169999999999996</v>
      </c>
      <c r="AC127" s="8">
        <v>0.84799999999999998</v>
      </c>
    </row>
    <row r="128" spans="1:29" ht="11.65" hidden="1" x14ac:dyDescent="0.35">
      <c r="A128" s="12">
        <v>111</v>
      </c>
      <c r="B128" s="10" t="s">
        <v>1015</v>
      </c>
      <c r="C128" s="36" t="s">
        <v>1032</v>
      </c>
      <c r="D128" s="9" t="s">
        <v>1033</v>
      </c>
      <c r="E128" s="9">
        <v>1636</v>
      </c>
      <c r="F128" s="10" t="s">
        <v>1034</v>
      </c>
      <c r="G128" s="9">
        <v>1803</v>
      </c>
      <c r="H128" s="9">
        <v>1975</v>
      </c>
      <c r="I128" s="8">
        <v>15706.25</v>
      </c>
      <c r="J128" s="8">
        <v>12941.040999999999</v>
      </c>
      <c r="K128" s="8">
        <v>11508.643</v>
      </c>
      <c r="L128" s="8">
        <v>9842.4560000000001</v>
      </c>
      <c r="M128" s="8">
        <v>8189.4160000000002</v>
      </c>
      <c r="N128" s="8">
        <v>6418.3130000000001</v>
      </c>
      <c r="O128" s="8">
        <v>5378.1180000000004</v>
      </c>
      <c r="P128" s="8">
        <v>5173.2520000000004</v>
      </c>
      <c r="Q128" s="8">
        <v>4304.55</v>
      </c>
      <c r="R128" s="8">
        <v>3951.5630000000001</v>
      </c>
      <c r="S128" s="8">
        <v>3176.2669999999998</v>
      </c>
      <c r="T128" s="8">
        <v>2466.5630000000001</v>
      </c>
      <c r="U128" s="8">
        <v>2191.5659999999998</v>
      </c>
      <c r="V128" s="8">
        <v>1669.835</v>
      </c>
      <c r="W128" s="8">
        <v>1187.0129999999999</v>
      </c>
      <c r="X128" s="8">
        <v>652.48199999999997</v>
      </c>
      <c r="Y128" s="8">
        <v>307.39699999999999</v>
      </c>
      <c r="Z128" s="8">
        <v>124.24299999999999</v>
      </c>
      <c r="AA128" s="8">
        <v>35.549999999999997</v>
      </c>
      <c r="AB128" s="8">
        <v>7.5419999999999998</v>
      </c>
      <c r="AC128" s="8">
        <v>1.2250000000000001</v>
      </c>
    </row>
    <row r="129" spans="1:29" ht="11.65" hidden="1" x14ac:dyDescent="0.35">
      <c r="A129" s="12">
        <v>112</v>
      </c>
      <c r="B129" s="10" t="s">
        <v>1015</v>
      </c>
      <c r="C129" s="36" t="s">
        <v>1032</v>
      </c>
      <c r="D129" s="9" t="s">
        <v>1033</v>
      </c>
      <c r="E129" s="9">
        <v>1636</v>
      </c>
      <c r="F129" s="10" t="s">
        <v>1034</v>
      </c>
      <c r="G129" s="9">
        <v>1803</v>
      </c>
      <c r="H129" s="9">
        <v>1980</v>
      </c>
      <c r="I129" s="8">
        <v>17609.002</v>
      </c>
      <c r="J129" s="8">
        <v>14301.84</v>
      </c>
      <c r="K129" s="8">
        <v>12276.156999999999</v>
      </c>
      <c r="L129" s="8">
        <v>10907.439</v>
      </c>
      <c r="M129" s="8">
        <v>9384.73</v>
      </c>
      <c r="N129" s="8">
        <v>7809.0860000000002</v>
      </c>
      <c r="O129" s="8">
        <v>6105.5969999999998</v>
      </c>
      <c r="P129" s="8">
        <v>5009.4290000000001</v>
      </c>
      <c r="Q129" s="8">
        <v>4833.7539999999999</v>
      </c>
      <c r="R129" s="8">
        <v>4052.3119999999999</v>
      </c>
      <c r="S129" s="8">
        <v>3676.587</v>
      </c>
      <c r="T129" s="8">
        <v>2957.7049999999999</v>
      </c>
      <c r="U129" s="8">
        <v>2201.482</v>
      </c>
      <c r="V129" s="8">
        <v>1861.655</v>
      </c>
      <c r="W129" s="8">
        <v>1290.73</v>
      </c>
      <c r="X129" s="8">
        <v>833.78599999999994</v>
      </c>
      <c r="Y129" s="8">
        <v>373.29599999999999</v>
      </c>
      <c r="Z129" s="8">
        <v>136.22999999999999</v>
      </c>
      <c r="AA129" s="8">
        <v>42.710999999999999</v>
      </c>
      <c r="AB129" s="8">
        <v>9.4969999999999999</v>
      </c>
      <c r="AC129" s="8">
        <v>1.635</v>
      </c>
    </row>
    <row r="130" spans="1:29" ht="11.65" hidden="1" x14ac:dyDescent="0.35">
      <c r="A130" s="12">
        <v>113</v>
      </c>
      <c r="B130" s="10" t="s">
        <v>1015</v>
      </c>
      <c r="C130" s="36" t="s">
        <v>1032</v>
      </c>
      <c r="D130" s="9" t="s">
        <v>1033</v>
      </c>
      <c r="E130" s="9">
        <v>1636</v>
      </c>
      <c r="F130" s="10" t="s">
        <v>1034</v>
      </c>
      <c r="G130" s="9">
        <v>1803</v>
      </c>
      <c r="H130" s="9">
        <v>1985</v>
      </c>
      <c r="I130" s="8">
        <v>19871.743999999999</v>
      </c>
      <c r="J130" s="8">
        <v>16224.37</v>
      </c>
      <c r="K130" s="8">
        <v>13758.393</v>
      </c>
      <c r="L130" s="8">
        <v>11806.532999999999</v>
      </c>
      <c r="M130" s="8">
        <v>10472.98</v>
      </c>
      <c r="N130" s="8">
        <v>8977.4560000000001</v>
      </c>
      <c r="O130" s="8">
        <v>7433.54</v>
      </c>
      <c r="P130" s="8">
        <v>5763.8429999999998</v>
      </c>
      <c r="Q130" s="8">
        <v>4706.3959999999997</v>
      </c>
      <c r="R130" s="8">
        <v>4537.7560000000003</v>
      </c>
      <c r="S130" s="8">
        <v>3785.797</v>
      </c>
      <c r="T130" s="8">
        <v>3394.5509999999999</v>
      </c>
      <c r="U130" s="8">
        <v>2629.835</v>
      </c>
      <c r="V130" s="8">
        <v>1860.4870000000001</v>
      </c>
      <c r="W130" s="8">
        <v>1455.896</v>
      </c>
      <c r="X130" s="8">
        <v>890.09</v>
      </c>
      <c r="Y130" s="8">
        <v>480.84300000000002</v>
      </c>
      <c r="Z130" s="8">
        <v>168.46100000000001</v>
      </c>
      <c r="AA130" s="8">
        <v>47.018000000000001</v>
      </c>
      <c r="AB130" s="8">
        <v>11.595000000000001</v>
      </c>
      <c r="AC130" s="8">
        <v>2.1219999999999999</v>
      </c>
    </row>
    <row r="131" spans="1:29" ht="11.65" hidden="1" x14ac:dyDescent="0.35">
      <c r="A131" s="12">
        <v>114</v>
      </c>
      <c r="B131" s="10" t="s">
        <v>1015</v>
      </c>
      <c r="C131" s="36" t="s">
        <v>1032</v>
      </c>
      <c r="D131" s="9" t="s">
        <v>1033</v>
      </c>
      <c r="E131" s="9">
        <v>1636</v>
      </c>
      <c r="F131" s="10" t="s">
        <v>1034</v>
      </c>
      <c r="G131" s="9">
        <v>1803</v>
      </c>
      <c r="H131" s="9">
        <v>1990</v>
      </c>
      <c r="I131" s="8">
        <v>22524.653999999999</v>
      </c>
      <c r="J131" s="8">
        <v>18652.094000000001</v>
      </c>
      <c r="K131" s="8">
        <v>15822.883</v>
      </c>
      <c r="L131" s="8">
        <v>13344.697</v>
      </c>
      <c r="M131" s="8">
        <v>11420.432000000001</v>
      </c>
      <c r="N131" s="8">
        <v>10143.066000000001</v>
      </c>
      <c r="O131" s="8">
        <v>8714.4230000000007</v>
      </c>
      <c r="P131" s="8">
        <v>7157.5950000000003</v>
      </c>
      <c r="Q131" s="8">
        <v>5537.7</v>
      </c>
      <c r="R131" s="8">
        <v>4465.4049999999997</v>
      </c>
      <c r="S131" s="8">
        <v>4270.4989999999998</v>
      </c>
      <c r="T131" s="8">
        <v>3516.9659999999999</v>
      </c>
      <c r="U131" s="8">
        <v>3076.3620000000001</v>
      </c>
      <c r="V131" s="8">
        <v>2261.87</v>
      </c>
      <c r="W131" s="8">
        <v>1475.6089999999999</v>
      </c>
      <c r="X131" s="8">
        <v>1022.631</v>
      </c>
      <c r="Y131" s="8">
        <v>502.52600000000001</v>
      </c>
      <c r="Z131" s="8">
        <v>225.94</v>
      </c>
      <c r="AA131" s="8">
        <v>59.256</v>
      </c>
      <c r="AB131" s="8">
        <v>12.616</v>
      </c>
      <c r="AC131" s="8">
        <v>2.5299999999999998</v>
      </c>
    </row>
    <row r="132" spans="1:29" ht="11.65" hidden="1" x14ac:dyDescent="0.35">
      <c r="A132" s="12">
        <v>115</v>
      </c>
      <c r="B132" s="10" t="s">
        <v>1015</v>
      </c>
      <c r="C132" s="36" t="s">
        <v>1032</v>
      </c>
      <c r="D132" s="9" t="s">
        <v>1033</v>
      </c>
      <c r="E132" s="9">
        <v>1636</v>
      </c>
      <c r="F132" s="10" t="s">
        <v>1034</v>
      </c>
      <c r="G132" s="9">
        <v>1803</v>
      </c>
      <c r="H132" s="9">
        <v>1995</v>
      </c>
      <c r="I132" s="8">
        <v>24267.741999999998</v>
      </c>
      <c r="J132" s="8">
        <v>21233.312999999998</v>
      </c>
      <c r="K132" s="8">
        <v>18257.038</v>
      </c>
      <c r="L132" s="8">
        <v>15371.814</v>
      </c>
      <c r="M132" s="8">
        <v>12855.039000000001</v>
      </c>
      <c r="N132" s="8">
        <v>10939.378000000001</v>
      </c>
      <c r="O132" s="8">
        <v>9644.0220000000008</v>
      </c>
      <c r="P132" s="8">
        <v>8260.9740000000002</v>
      </c>
      <c r="Q132" s="8">
        <v>6717.8720000000003</v>
      </c>
      <c r="R132" s="8">
        <v>5174.1170000000002</v>
      </c>
      <c r="S132" s="8">
        <v>4173.4049999999997</v>
      </c>
      <c r="T132" s="8">
        <v>3935.8809999999999</v>
      </c>
      <c r="U132" s="8">
        <v>3147.0630000000001</v>
      </c>
      <c r="V132" s="8">
        <v>2635.8490000000002</v>
      </c>
      <c r="W132" s="8">
        <v>1788.9059999999999</v>
      </c>
      <c r="X132" s="8">
        <v>1025.039</v>
      </c>
      <c r="Y132" s="8">
        <v>597.43299999999999</v>
      </c>
      <c r="Z132" s="8">
        <v>227.48500000000001</v>
      </c>
      <c r="AA132" s="8">
        <v>75.953000000000003</v>
      </c>
      <c r="AB132" s="8">
        <v>14.04</v>
      </c>
      <c r="AC132" s="8">
        <v>2.363</v>
      </c>
    </row>
    <row r="133" spans="1:29" ht="11.65" hidden="1" x14ac:dyDescent="0.35">
      <c r="A133" s="12">
        <v>116</v>
      </c>
      <c r="B133" s="10" t="s">
        <v>1015</v>
      </c>
      <c r="C133" s="36" t="s">
        <v>1032</v>
      </c>
      <c r="D133" s="9" t="s">
        <v>1033</v>
      </c>
      <c r="E133" s="9">
        <v>1636</v>
      </c>
      <c r="F133" s="10" t="s">
        <v>1034</v>
      </c>
      <c r="G133" s="9">
        <v>1803</v>
      </c>
      <c r="H133" s="9">
        <v>2000</v>
      </c>
      <c r="I133" s="8">
        <v>26417.884999999998</v>
      </c>
      <c r="J133" s="8">
        <v>23349.498</v>
      </c>
      <c r="K133" s="8">
        <v>20913.014999999999</v>
      </c>
      <c r="L133" s="8">
        <v>17908.117999999999</v>
      </c>
      <c r="M133" s="8">
        <v>14840.593999999999</v>
      </c>
      <c r="N133" s="8">
        <v>12318.102000000001</v>
      </c>
      <c r="O133" s="8">
        <v>10377.865</v>
      </c>
      <c r="P133" s="8">
        <v>9113.9330000000009</v>
      </c>
      <c r="Q133" s="8">
        <v>7719.3620000000001</v>
      </c>
      <c r="R133" s="8">
        <v>6265.0249999999996</v>
      </c>
      <c r="S133" s="8">
        <v>4777.2209999999995</v>
      </c>
      <c r="T133" s="8">
        <v>3837.154</v>
      </c>
      <c r="U133" s="8">
        <v>3518.5129999999999</v>
      </c>
      <c r="V133" s="8">
        <v>2696.518</v>
      </c>
      <c r="W133" s="8">
        <v>2078.9940000000001</v>
      </c>
      <c r="X133" s="8">
        <v>1275.289</v>
      </c>
      <c r="Y133" s="8">
        <v>588.14400000000001</v>
      </c>
      <c r="Z133" s="8">
        <v>268.09699999999998</v>
      </c>
      <c r="AA133" s="8">
        <v>72.197000000000003</v>
      </c>
      <c r="AB133" s="8">
        <v>16.744</v>
      </c>
      <c r="AC133" s="8">
        <v>2.1539999999999999</v>
      </c>
    </row>
    <row r="134" spans="1:29" ht="11.65" hidden="1" x14ac:dyDescent="0.35">
      <c r="A134" s="12">
        <v>117</v>
      </c>
      <c r="B134" s="10" t="s">
        <v>1015</v>
      </c>
      <c r="C134" s="36" t="s">
        <v>1032</v>
      </c>
      <c r="D134" s="9" t="s">
        <v>1033</v>
      </c>
      <c r="E134" s="9">
        <v>1636</v>
      </c>
      <c r="F134" s="10" t="s">
        <v>1034</v>
      </c>
      <c r="G134" s="9">
        <v>1803</v>
      </c>
      <c r="H134" s="9">
        <v>2005</v>
      </c>
      <c r="I134" s="8">
        <v>28733.598000000002</v>
      </c>
      <c r="J134" s="8">
        <v>25553.444</v>
      </c>
      <c r="K134" s="8">
        <v>23110.278999999999</v>
      </c>
      <c r="L134" s="8">
        <v>20498.664000000001</v>
      </c>
      <c r="M134" s="8">
        <v>17340.814999999999</v>
      </c>
      <c r="N134" s="8">
        <v>14253.831</v>
      </c>
      <c r="O134" s="8">
        <v>11760.191999999999</v>
      </c>
      <c r="P134" s="8">
        <v>9895.0370000000003</v>
      </c>
      <c r="Q134" s="8">
        <v>8651.8989999999994</v>
      </c>
      <c r="R134" s="8">
        <v>7299.4139999999998</v>
      </c>
      <c r="S134" s="8">
        <v>5867.3890000000001</v>
      </c>
      <c r="T134" s="8">
        <v>4448.1419999999998</v>
      </c>
      <c r="U134" s="8">
        <v>3493.0039999999999</v>
      </c>
      <c r="V134" s="8">
        <v>3045.3449999999998</v>
      </c>
      <c r="W134" s="8">
        <v>2184.3209999999999</v>
      </c>
      <c r="X134" s="8">
        <v>1488.1569999999999</v>
      </c>
      <c r="Y134" s="8">
        <v>762.72299999999996</v>
      </c>
      <c r="Z134" s="8">
        <v>262.89499999999998</v>
      </c>
      <c r="AA134" s="8">
        <v>87.415999999999997</v>
      </c>
      <c r="AB134" s="8">
        <v>16.041</v>
      </c>
      <c r="AC134" s="8">
        <v>2.6890000000000001</v>
      </c>
    </row>
    <row r="135" spans="1:29" ht="11.65" hidden="1" x14ac:dyDescent="0.35">
      <c r="A135" s="12">
        <v>118</v>
      </c>
      <c r="B135" s="10" t="s">
        <v>1015</v>
      </c>
      <c r="C135" s="36" t="s">
        <v>1032</v>
      </c>
      <c r="D135" s="9" t="s">
        <v>1033</v>
      </c>
      <c r="E135" s="9">
        <v>1636</v>
      </c>
      <c r="F135" s="10" t="s">
        <v>1034</v>
      </c>
      <c r="G135" s="9">
        <v>1803</v>
      </c>
      <c r="H135" s="9">
        <v>2010</v>
      </c>
      <c r="I135" s="8">
        <v>31758.236000000001</v>
      </c>
      <c r="J135" s="8">
        <v>27935.517</v>
      </c>
      <c r="K135" s="8">
        <v>25336.069</v>
      </c>
      <c r="L135" s="8">
        <v>22723.266</v>
      </c>
      <c r="M135" s="8">
        <v>19819.951000000001</v>
      </c>
      <c r="N135" s="8">
        <v>16702.396000000001</v>
      </c>
      <c r="O135" s="8">
        <v>13597.391</v>
      </c>
      <c r="P135" s="8">
        <v>11239.796</v>
      </c>
      <c r="Q135" s="8">
        <v>9502.1170000000002</v>
      </c>
      <c r="R135" s="8">
        <v>8320.1929999999993</v>
      </c>
      <c r="S135" s="8">
        <v>6921.7129999999997</v>
      </c>
      <c r="T135" s="8">
        <v>5477.3630000000003</v>
      </c>
      <c r="U135" s="8">
        <v>4097.5190000000002</v>
      </c>
      <c r="V135" s="8">
        <v>3104.395</v>
      </c>
      <c r="W135" s="8">
        <v>2479.9760000000001</v>
      </c>
      <c r="X135" s="8">
        <v>1579.587</v>
      </c>
      <c r="Y135" s="8">
        <v>913.61699999999996</v>
      </c>
      <c r="Z135" s="8">
        <v>349.464</v>
      </c>
      <c r="AA135" s="8">
        <v>83.183000000000007</v>
      </c>
      <c r="AB135" s="8">
        <v>19.027000000000001</v>
      </c>
      <c r="AC135" s="8">
        <v>2.6160000000000001</v>
      </c>
    </row>
    <row r="136" spans="1:29" ht="11.65" hidden="1" x14ac:dyDescent="0.35">
      <c r="A136" s="12">
        <v>119</v>
      </c>
      <c r="B136" s="10" t="s">
        <v>1015</v>
      </c>
      <c r="C136" s="36" t="s">
        <v>1032</v>
      </c>
      <c r="D136" s="9" t="s">
        <v>1033</v>
      </c>
      <c r="E136" s="9">
        <v>1636</v>
      </c>
      <c r="F136" s="10" t="s">
        <v>1034</v>
      </c>
      <c r="G136" s="9">
        <v>1803</v>
      </c>
      <c r="H136" s="9">
        <v>2015</v>
      </c>
      <c r="I136" s="8">
        <v>34835.777999999998</v>
      </c>
      <c r="J136" s="8">
        <v>31093.325000000001</v>
      </c>
      <c r="K136" s="8">
        <v>27633.003000000001</v>
      </c>
      <c r="L136" s="8">
        <v>25056.826000000001</v>
      </c>
      <c r="M136" s="8">
        <v>22320.795999999998</v>
      </c>
      <c r="N136" s="8">
        <v>19339.131000000001</v>
      </c>
      <c r="O136" s="8">
        <v>16239.875</v>
      </c>
      <c r="P136" s="8">
        <v>13206.713</v>
      </c>
      <c r="Q136" s="8">
        <v>10890.79</v>
      </c>
      <c r="R136" s="8">
        <v>9172.3979999999992</v>
      </c>
      <c r="S136" s="8">
        <v>8034.3040000000001</v>
      </c>
      <c r="T136" s="8">
        <v>6582.5550000000003</v>
      </c>
      <c r="U136" s="8">
        <v>5120.9260000000004</v>
      </c>
      <c r="V136" s="8">
        <v>3618.056</v>
      </c>
      <c r="W136" s="8">
        <v>2606.8029999999999</v>
      </c>
      <c r="X136" s="8">
        <v>1864.4290000000001</v>
      </c>
      <c r="Y136" s="8">
        <v>984.01900000000001</v>
      </c>
      <c r="Z136" s="8">
        <v>423.40499999999997</v>
      </c>
      <c r="AA136" s="8">
        <v>109.925</v>
      </c>
      <c r="AB136" s="8">
        <v>17.097999999999999</v>
      </c>
      <c r="AC136" s="8">
        <v>2.8039999999999998</v>
      </c>
    </row>
    <row r="137" spans="1:29" ht="11.65" hidden="1" x14ac:dyDescent="0.35">
      <c r="A137" s="12">
        <v>120</v>
      </c>
      <c r="B137" s="10" t="s">
        <v>1015</v>
      </c>
      <c r="C137" s="36" t="s">
        <v>1032</v>
      </c>
      <c r="D137" s="9" t="s">
        <v>1033</v>
      </c>
      <c r="E137" s="9">
        <v>1636</v>
      </c>
      <c r="F137" s="10" t="s">
        <v>1034</v>
      </c>
      <c r="G137" s="9">
        <v>1803</v>
      </c>
      <c r="H137" s="9">
        <v>2020</v>
      </c>
      <c r="I137" s="8">
        <v>37050.870000000003</v>
      </c>
      <c r="J137" s="8">
        <v>34278.644</v>
      </c>
      <c r="K137" s="8">
        <v>30850.001</v>
      </c>
      <c r="L137" s="8">
        <v>27353.237000000001</v>
      </c>
      <c r="M137" s="8">
        <v>24627.095000000001</v>
      </c>
      <c r="N137" s="8">
        <v>21922.873</v>
      </c>
      <c r="O137" s="8">
        <v>19004.387999999999</v>
      </c>
      <c r="P137" s="8">
        <v>15877.4</v>
      </c>
      <c r="Q137" s="8">
        <v>12911.085999999999</v>
      </c>
      <c r="R137" s="8">
        <v>10617.207</v>
      </c>
      <c r="S137" s="8">
        <v>8856.2090000000007</v>
      </c>
      <c r="T137" s="8">
        <v>7696.56</v>
      </c>
      <c r="U137" s="8">
        <v>6181.1390000000001</v>
      </c>
      <c r="V137" s="8">
        <v>4626.8360000000002</v>
      </c>
      <c r="W137" s="8">
        <v>3061.8809999999999</v>
      </c>
      <c r="X137" s="8">
        <v>1978.7329999999999</v>
      </c>
      <c r="Y137" s="8">
        <v>1192.462</v>
      </c>
      <c r="Z137" s="8">
        <v>474.42500000000001</v>
      </c>
      <c r="AA137" s="8">
        <v>142.81100000000001</v>
      </c>
      <c r="AB137" s="8">
        <v>24.661999999999999</v>
      </c>
      <c r="AC137" s="8">
        <v>2.875</v>
      </c>
    </row>
    <row r="138" spans="1:29" ht="11.65" hidden="1" x14ac:dyDescent="0.35">
      <c r="A138" s="12">
        <v>121</v>
      </c>
      <c r="B138" s="10" t="s">
        <v>1015</v>
      </c>
      <c r="C138" s="36" t="s">
        <v>1035</v>
      </c>
      <c r="D138" s="9" t="s">
        <v>1036</v>
      </c>
      <c r="E138" s="9">
        <v>1637</v>
      </c>
      <c r="F138" s="10" t="s">
        <v>1034</v>
      </c>
      <c r="G138" s="9">
        <v>1803</v>
      </c>
      <c r="H138" s="9">
        <v>1950</v>
      </c>
      <c r="I138" s="8">
        <v>1790.106</v>
      </c>
      <c r="J138" s="8">
        <v>1510.3340000000001</v>
      </c>
      <c r="K138" s="8">
        <v>1353.3679999999999</v>
      </c>
      <c r="L138" s="8">
        <v>1176.646</v>
      </c>
      <c r="M138" s="8">
        <v>1034.0899999999999</v>
      </c>
      <c r="N138" s="8">
        <v>903.44100000000003</v>
      </c>
      <c r="O138" s="8">
        <v>794.02499999999998</v>
      </c>
      <c r="P138" s="8">
        <v>716.67899999999997</v>
      </c>
      <c r="Q138" s="8">
        <v>595.21400000000006</v>
      </c>
      <c r="R138" s="8">
        <v>494.20800000000003</v>
      </c>
      <c r="S138" s="8">
        <v>382.37200000000001</v>
      </c>
      <c r="T138" s="8">
        <v>280.541</v>
      </c>
      <c r="U138" s="8">
        <v>244.51300000000001</v>
      </c>
      <c r="V138" s="8">
        <v>189.696</v>
      </c>
      <c r="W138" s="8">
        <v>136.702</v>
      </c>
      <c r="X138" s="8">
        <v>89.114000000000004</v>
      </c>
      <c r="Y138" s="8">
        <v>39.923000000000002</v>
      </c>
      <c r="Z138" s="8">
        <v>16.946999999999999</v>
      </c>
      <c r="AA138" s="8">
        <v>5.3479999999999999</v>
      </c>
      <c r="AB138" s="8">
        <v>1.24</v>
      </c>
      <c r="AC138" s="8">
        <v>0.25</v>
      </c>
    </row>
    <row r="139" spans="1:29" ht="11.65" hidden="1" x14ac:dyDescent="0.35">
      <c r="A139" s="12">
        <v>122</v>
      </c>
      <c r="B139" s="10" t="s">
        <v>1015</v>
      </c>
      <c r="C139" s="36" t="s">
        <v>1035</v>
      </c>
      <c r="D139" s="9" t="s">
        <v>1036</v>
      </c>
      <c r="E139" s="9">
        <v>1637</v>
      </c>
      <c r="F139" s="10" t="s">
        <v>1034</v>
      </c>
      <c r="G139" s="9">
        <v>1803</v>
      </c>
      <c r="H139" s="9">
        <v>1955</v>
      </c>
      <c r="I139" s="8">
        <v>2097.491</v>
      </c>
      <c r="J139" s="8">
        <v>1659.8219999999999</v>
      </c>
      <c r="K139" s="8">
        <v>1458.5940000000001</v>
      </c>
      <c r="L139" s="8">
        <v>1299.4059999999999</v>
      </c>
      <c r="M139" s="8">
        <v>1117.7329999999999</v>
      </c>
      <c r="N139" s="8">
        <v>967.04700000000003</v>
      </c>
      <c r="O139" s="8">
        <v>847.36400000000003</v>
      </c>
      <c r="P139" s="8">
        <v>763.23599999999999</v>
      </c>
      <c r="Q139" s="8">
        <v>657.86099999999999</v>
      </c>
      <c r="R139" s="8">
        <v>567.57399999999996</v>
      </c>
      <c r="S139" s="8">
        <v>457.25599999999997</v>
      </c>
      <c r="T139" s="8">
        <v>343.78899999999999</v>
      </c>
      <c r="U139" s="8">
        <v>254.96700000000001</v>
      </c>
      <c r="V139" s="8">
        <v>208.31899999999999</v>
      </c>
      <c r="W139" s="8">
        <v>145.91900000000001</v>
      </c>
      <c r="X139" s="8">
        <v>89.620999999999995</v>
      </c>
      <c r="Y139" s="8">
        <v>51.561999999999998</v>
      </c>
      <c r="Z139" s="8">
        <v>15.484999999999999</v>
      </c>
      <c r="AA139" s="8">
        <v>4.7060000000000004</v>
      </c>
      <c r="AB139" s="8">
        <v>1.0349999999999999</v>
      </c>
      <c r="AC139" s="8">
        <v>0.187</v>
      </c>
    </row>
    <row r="140" spans="1:29" ht="11.65" hidden="1" x14ac:dyDescent="0.35">
      <c r="A140" s="12">
        <v>123</v>
      </c>
      <c r="B140" s="10" t="s">
        <v>1015</v>
      </c>
      <c r="C140" s="36" t="s">
        <v>1035</v>
      </c>
      <c r="D140" s="9" t="s">
        <v>1036</v>
      </c>
      <c r="E140" s="9">
        <v>1637</v>
      </c>
      <c r="F140" s="10" t="s">
        <v>1034</v>
      </c>
      <c r="G140" s="9">
        <v>1803</v>
      </c>
      <c r="H140" s="9">
        <v>1960</v>
      </c>
      <c r="I140" s="8">
        <v>2328.462</v>
      </c>
      <c r="J140" s="8">
        <v>1982.693</v>
      </c>
      <c r="K140" s="8">
        <v>1624.511</v>
      </c>
      <c r="L140" s="8">
        <v>1403.69</v>
      </c>
      <c r="M140" s="8">
        <v>1233.627</v>
      </c>
      <c r="N140" s="8">
        <v>1056.0429999999999</v>
      </c>
      <c r="O140" s="8">
        <v>917.93100000000004</v>
      </c>
      <c r="P140" s="8">
        <v>811.51099999999997</v>
      </c>
      <c r="Q140" s="8">
        <v>707.40499999999997</v>
      </c>
      <c r="R140" s="8">
        <v>626.42999999999995</v>
      </c>
      <c r="S140" s="8">
        <v>520.28899999999999</v>
      </c>
      <c r="T140" s="8">
        <v>415.50200000000001</v>
      </c>
      <c r="U140" s="8">
        <v>309.72399999999999</v>
      </c>
      <c r="V140" s="8">
        <v>218.57599999999999</v>
      </c>
      <c r="W140" s="8">
        <v>163.61099999999999</v>
      </c>
      <c r="X140" s="8">
        <v>101.206</v>
      </c>
      <c r="Y140" s="8">
        <v>51.59</v>
      </c>
      <c r="Z140" s="8">
        <v>21.529</v>
      </c>
      <c r="AA140" s="8">
        <v>4.6100000000000003</v>
      </c>
      <c r="AB140" s="8">
        <v>0.97199999999999998</v>
      </c>
      <c r="AC140" s="8">
        <v>0.16</v>
      </c>
    </row>
    <row r="141" spans="1:29" ht="11.65" hidden="1" x14ac:dyDescent="0.35">
      <c r="A141" s="12">
        <v>124</v>
      </c>
      <c r="B141" s="10" t="s">
        <v>1015</v>
      </c>
      <c r="C141" s="36" t="s">
        <v>1035</v>
      </c>
      <c r="D141" s="9" t="s">
        <v>1036</v>
      </c>
      <c r="E141" s="9">
        <v>1637</v>
      </c>
      <c r="F141" s="10" t="s">
        <v>1034</v>
      </c>
      <c r="G141" s="9">
        <v>1803</v>
      </c>
      <c r="H141" s="9">
        <v>1965</v>
      </c>
      <c r="I141" s="8">
        <v>2652.9070000000002</v>
      </c>
      <c r="J141" s="8">
        <v>2207.2640000000001</v>
      </c>
      <c r="K141" s="8">
        <v>1922.451</v>
      </c>
      <c r="L141" s="8">
        <v>1561.3219999999999</v>
      </c>
      <c r="M141" s="8">
        <v>1333.8520000000001</v>
      </c>
      <c r="N141" s="8">
        <v>1168.915</v>
      </c>
      <c r="O141" s="8">
        <v>1004.585</v>
      </c>
      <c r="P141" s="8">
        <v>874.59900000000005</v>
      </c>
      <c r="Q141" s="8">
        <v>758.96</v>
      </c>
      <c r="R141" s="8">
        <v>666.17600000000004</v>
      </c>
      <c r="S141" s="8">
        <v>579.37599999999998</v>
      </c>
      <c r="T141" s="8">
        <v>484.178</v>
      </c>
      <c r="U141" s="8">
        <v>380.22300000000001</v>
      </c>
      <c r="V141" s="8">
        <v>266.56200000000001</v>
      </c>
      <c r="W141" s="8">
        <v>179.16</v>
      </c>
      <c r="X141" s="8">
        <v>116.74</v>
      </c>
      <c r="Y141" s="8">
        <v>61.936</v>
      </c>
      <c r="Z141" s="8">
        <v>21.986000000000001</v>
      </c>
      <c r="AA141" s="8">
        <v>7.0620000000000003</v>
      </c>
      <c r="AB141" s="8">
        <v>0.98</v>
      </c>
      <c r="AC141" s="8">
        <v>0.151</v>
      </c>
    </row>
    <row r="142" spans="1:29" ht="11.65" hidden="1" x14ac:dyDescent="0.35">
      <c r="A142" s="12">
        <v>125</v>
      </c>
      <c r="B142" s="10" t="s">
        <v>1015</v>
      </c>
      <c r="C142" s="36" t="s">
        <v>1035</v>
      </c>
      <c r="D142" s="9" t="s">
        <v>1036</v>
      </c>
      <c r="E142" s="9">
        <v>1637</v>
      </c>
      <c r="F142" s="10" t="s">
        <v>1034</v>
      </c>
      <c r="G142" s="9">
        <v>1803</v>
      </c>
      <c r="H142" s="9">
        <v>1970</v>
      </c>
      <c r="I142" s="8">
        <v>2669.2269999999999</v>
      </c>
      <c r="J142" s="8">
        <v>2550.4720000000002</v>
      </c>
      <c r="K142" s="8">
        <v>2150.9160000000002</v>
      </c>
      <c r="L142" s="8">
        <v>1846.5419999999999</v>
      </c>
      <c r="M142" s="8">
        <v>1489.0650000000001</v>
      </c>
      <c r="N142" s="8">
        <v>1247.027</v>
      </c>
      <c r="O142" s="8">
        <v>1088.7190000000001</v>
      </c>
      <c r="P142" s="8">
        <v>936.95299999999997</v>
      </c>
      <c r="Q142" s="8">
        <v>818.18200000000002</v>
      </c>
      <c r="R142" s="8">
        <v>710.64700000000005</v>
      </c>
      <c r="S142" s="8">
        <v>619.24599999999998</v>
      </c>
      <c r="T142" s="8">
        <v>538.54200000000003</v>
      </c>
      <c r="U142" s="8">
        <v>445.16699999999997</v>
      </c>
      <c r="V142" s="8">
        <v>336.77300000000002</v>
      </c>
      <c r="W142" s="8">
        <v>215.02099999999999</v>
      </c>
      <c r="X142" s="8">
        <v>127.657</v>
      </c>
      <c r="Y142" s="8">
        <v>76.287999999999997</v>
      </c>
      <c r="Z142" s="8">
        <v>27.622</v>
      </c>
      <c r="AA142" s="8">
        <v>7.1959999999999997</v>
      </c>
      <c r="AB142" s="8">
        <v>1.6080000000000001</v>
      </c>
      <c r="AC142" s="8">
        <v>0.153</v>
      </c>
    </row>
    <row r="143" spans="1:29" ht="11.65" hidden="1" x14ac:dyDescent="0.35">
      <c r="A143" s="12">
        <v>126</v>
      </c>
      <c r="B143" s="10" t="s">
        <v>1015</v>
      </c>
      <c r="C143" s="36" t="s">
        <v>1035</v>
      </c>
      <c r="D143" s="9" t="s">
        <v>1036</v>
      </c>
      <c r="E143" s="9">
        <v>1637</v>
      </c>
      <c r="F143" s="10" t="s">
        <v>1034</v>
      </c>
      <c r="G143" s="9">
        <v>1803</v>
      </c>
      <c r="H143" s="9">
        <v>1975</v>
      </c>
      <c r="I143" s="8">
        <v>2693.29</v>
      </c>
      <c r="J143" s="8">
        <v>2589.2109999999998</v>
      </c>
      <c r="K143" s="8">
        <v>2497.5050000000001</v>
      </c>
      <c r="L143" s="8">
        <v>2069.6</v>
      </c>
      <c r="M143" s="8">
        <v>1753.636</v>
      </c>
      <c r="N143" s="8">
        <v>1415.29</v>
      </c>
      <c r="O143" s="8">
        <v>1193.1959999999999</v>
      </c>
      <c r="P143" s="8">
        <v>1045.981</v>
      </c>
      <c r="Q143" s="8">
        <v>895.101</v>
      </c>
      <c r="R143" s="8">
        <v>778.36300000000006</v>
      </c>
      <c r="S143" s="8">
        <v>668.69399999999996</v>
      </c>
      <c r="T143" s="8">
        <v>575.60400000000004</v>
      </c>
      <c r="U143" s="8">
        <v>489.45299999999997</v>
      </c>
      <c r="V143" s="8">
        <v>392.27100000000002</v>
      </c>
      <c r="W143" s="8">
        <v>274.85700000000003</v>
      </c>
      <c r="X143" s="8">
        <v>158.5</v>
      </c>
      <c r="Y143" s="8">
        <v>76.866</v>
      </c>
      <c r="Z143" s="8">
        <v>37.146999999999998</v>
      </c>
      <c r="AA143" s="8">
        <v>9.93</v>
      </c>
      <c r="AB143" s="8">
        <v>1.7430000000000001</v>
      </c>
      <c r="AC143" s="8">
        <v>0.26200000000000001</v>
      </c>
    </row>
    <row r="144" spans="1:29" ht="11.65" hidden="1" x14ac:dyDescent="0.35">
      <c r="A144" s="12">
        <v>127</v>
      </c>
      <c r="B144" s="10" t="s">
        <v>1015</v>
      </c>
      <c r="C144" s="36" t="s">
        <v>1035</v>
      </c>
      <c r="D144" s="9" t="s">
        <v>1036</v>
      </c>
      <c r="E144" s="9">
        <v>1637</v>
      </c>
      <c r="F144" s="10" t="s">
        <v>1034</v>
      </c>
      <c r="G144" s="9">
        <v>1803</v>
      </c>
      <c r="H144" s="9">
        <v>1980</v>
      </c>
      <c r="I144" s="8">
        <v>2635.83</v>
      </c>
      <c r="J144" s="8">
        <v>2609.8240000000001</v>
      </c>
      <c r="K144" s="8">
        <v>2536.3110000000001</v>
      </c>
      <c r="L144" s="8">
        <v>2408.8649999999998</v>
      </c>
      <c r="M144" s="8">
        <v>1944.0509999999999</v>
      </c>
      <c r="N144" s="8">
        <v>1664.1320000000001</v>
      </c>
      <c r="O144" s="8">
        <v>1363.954</v>
      </c>
      <c r="P144" s="8">
        <v>1152.5029999999999</v>
      </c>
      <c r="Q144" s="8">
        <v>1005.543</v>
      </c>
      <c r="R144" s="8">
        <v>852.17399999999998</v>
      </c>
      <c r="S144" s="8">
        <v>735.63199999999995</v>
      </c>
      <c r="T144" s="8">
        <v>624.78300000000002</v>
      </c>
      <c r="U144" s="8">
        <v>531.17999999999995</v>
      </c>
      <c r="V144" s="8">
        <v>442.52</v>
      </c>
      <c r="W144" s="8">
        <v>328.04199999999997</v>
      </c>
      <c r="X144" s="8">
        <v>209.648</v>
      </c>
      <c r="Y144" s="8">
        <v>121.279</v>
      </c>
      <c r="Z144" s="8">
        <v>38.597000000000001</v>
      </c>
      <c r="AA144" s="8">
        <v>14.539</v>
      </c>
      <c r="AB144" s="8">
        <v>2.6379999999999999</v>
      </c>
      <c r="AC144" s="8">
        <v>0.32400000000000001</v>
      </c>
    </row>
    <row r="145" spans="1:29" ht="11.65" hidden="1" x14ac:dyDescent="0.35">
      <c r="A145" s="12">
        <v>128</v>
      </c>
      <c r="B145" s="10" t="s">
        <v>1015</v>
      </c>
      <c r="C145" s="36" t="s">
        <v>1035</v>
      </c>
      <c r="D145" s="9" t="s">
        <v>1036</v>
      </c>
      <c r="E145" s="9">
        <v>1637</v>
      </c>
      <c r="F145" s="10" t="s">
        <v>1034</v>
      </c>
      <c r="G145" s="9">
        <v>1803</v>
      </c>
      <c r="H145" s="9">
        <v>1985</v>
      </c>
      <c r="I145" s="8">
        <v>2848.357</v>
      </c>
      <c r="J145" s="8">
        <v>2552.721</v>
      </c>
      <c r="K145" s="8">
        <v>2577.6550000000002</v>
      </c>
      <c r="L145" s="8">
        <v>2473.692</v>
      </c>
      <c r="M145" s="8">
        <v>2297.3090000000002</v>
      </c>
      <c r="N145" s="8">
        <v>1852.627</v>
      </c>
      <c r="O145" s="8">
        <v>1608.318</v>
      </c>
      <c r="P145" s="8">
        <v>1303.904</v>
      </c>
      <c r="Q145" s="8">
        <v>1104.213</v>
      </c>
      <c r="R145" s="8">
        <v>966.35799999999995</v>
      </c>
      <c r="S145" s="8">
        <v>810.28399999999999</v>
      </c>
      <c r="T145" s="8">
        <v>694.65200000000004</v>
      </c>
      <c r="U145" s="8">
        <v>576.98900000000003</v>
      </c>
      <c r="V145" s="8">
        <v>479.45800000000003</v>
      </c>
      <c r="W145" s="8">
        <v>370.67599999999999</v>
      </c>
      <c r="X145" s="8">
        <v>260.17099999999999</v>
      </c>
      <c r="Y145" s="8">
        <v>146.53399999999999</v>
      </c>
      <c r="Z145" s="8">
        <v>62.832999999999998</v>
      </c>
      <c r="AA145" s="8">
        <v>15.064</v>
      </c>
      <c r="AB145" s="8">
        <v>4.1289999999999996</v>
      </c>
      <c r="AC145" s="8">
        <v>0.50700000000000001</v>
      </c>
    </row>
    <row r="146" spans="1:29" ht="11.65" hidden="1" x14ac:dyDescent="0.35">
      <c r="A146" s="12">
        <v>129</v>
      </c>
      <c r="B146" s="10" t="s">
        <v>1015</v>
      </c>
      <c r="C146" s="36" t="s">
        <v>1035</v>
      </c>
      <c r="D146" s="9" t="s">
        <v>1036</v>
      </c>
      <c r="E146" s="9">
        <v>1637</v>
      </c>
      <c r="F146" s="10" t="s">
        <v>1034</v>
      </c>
      <c r="G146" s="9">
        <v>1803</v>
      </c>
      <c r="H146" s="9">
        <v>1990</v>
      </c>
      <c r="I146" s="8">
        <v>2971.076</v>
      </c>
      <c r="J146" s="8">
        <v>2755.6729999999998</v>
      </c>
      <c r="K146" s="8">
        <v>2514.7629999999999</v>
      </c>
      <c r="L146" s="8">
        <v>2513.7779999999998</v>
      </c>
      <c r="M146" s="8">
        <v>2388.866</v>
      </c>
      <c r="N146" s="8">
        <v>2225.5909999999999</v>
      </c>
      <c r="O146" s="8">
        <v>1802.231</v>
      </c>
      <c r="P146" s="8">
        <v>1558.7670000000001</v>
      </c>
      <c r="Q146" s="8">
        <v>1270.373</v>
      </c>
      <c r="R146" s="8">
        <v>1067.867</v>
      </c>
      <c r="S146" s="8">
        <v>919.91600000000005</v>
      </c>
      <c r="T146" s="8">
        <v>766.32000000000096</v>
      </c>
      <c r="U146" s="8">
        <v>647.76700000000005</v>
      </c>
      <c r="V146" s="8">
        <v>527.71199999999999</v>
      </c>
      <c r="W146" s="8">
        <v>408.26600000000002</v>
      </c>
      <c r="X146" s="8">
        <v>297.73</v>
      </c>
      <c r="Y146" s="8">
        <v>185.22900000000001</v>
      </c>
      <c r="Z146" s="8">
        <v>78.498000000000005</v>
      </c>
      <c r="AA146" s="8">
        <v>25.702999999999999</v>
      </c>
      <c r="AB146" s="8">
        <v>4.3860000000000001</v>
      </c>
      <c r="AC146" s="8">
        <v>0.86299999999999999</v>
      </c>
    </row>
    <row r="147" spans="1:29" ht="11.65" hidden="1" x14ac:dyDescent="0.35">
      <c r="A147" s="12">
        <v>130</v>
      </c>
      <c r="B147" s="10" t="s">
        <v>1015</v>
      </c>
      <c r="C147" s="36" t="s">
        <v>1035</v>
      </c>
      <c r="D147" s="9" t="s">
        <v>1036</v>
      </c>
      <c r="E147" s="9">
        <v>1637</v>
      </c>
      <c r="F147" s="10" t="s">
        <v>1034</v>
      </c>
      <c r="G147" s="9">
        <v>1803</v>
      </c>
      <c r="H147" s="9">
        <v>1995</v>
      </c>
      <c r="I147" s="8">
        <v>3026.306</v>
      </c>
      <c r="J147" s="8">
        <v>2903.009</v>
      </c>
      <c r="K147" s="8">
        <v>2722.0079999999998</v>
      </c>
      <c r="L147" s="8">
        <v>2471.3440000000001</v>
      </c>
      <c r="M147" s="8">
        <v>2428.3339999999998</v>
      </c>
      <c r="N147" s="8">
        <v>2302.7620000000002</v>
      </c>
      <c r="O147" s="8">
        <v>2166.6469999999999</v>
      </c>
      <c r="P147" s="8">
        <v>1759.115</v>
      </c>
      <c r="Q147" s="8">
        <v>1522.7840000000001</v>
      </c>
      <c r="R147" s="8">
        <v>1247.5409999999999</v>
      </c>
      <c r="S147" s="8">
        <v>1042.404</v>
      </c>
      <c r="T147" s="8">
        <v>887.86599999999999</v>
      </c>
      <c r="U147" s="8">
        <v>728.06700000000001</v>
      </c>
      <c r="V147" s="8">
        <v>587.48800000000006</v>
      </c>
      <c r="W147" s="8">
        <v>454.72300000000001</v>
      </c>
      <c r="X147" s="8">
        <v>324.49200000000002</v>
      </c>
      <c r="Y147" s="8">
        <v>213.613</v>
      </c>
      <c r="Z147" s="8">
        <v>102.46899999999999</v>
      </c>
      <c r="AA147" s="8">
        <v>33.286999999999999</v>
      </c>
      <c r="AB147" s="8">
        <v>7.593</v>
      </c>
      <c r="AC147" s="8">
        <v>0.97799999999999998</v>
      </c>
    </row>
    <row r="148" spans="1:29" ht="11.65" hidden="1" x14ac:dyDescent="0.35">
      <c r="A148" s="12">
        <v>131</v>
      </c>
      <c r="B148" s="10" t="s">
        <v>1015</v>
      </c>
      <c r="C148" s="36" t="s">
        <v>1035</v>
      </c>
      <c r="D148" s="9" t="s">
        <v>1036</v>
      </c>
      <c r="E148" s="9">
        <v>1637</v>
      </c>
      <c r="F148" s="10" t="s">
        <v>1034</v>
      </c>
      <c r="G148" s="9">
        <v>1803</v>
      </c>
      <c r="H148" s="9">
        <v>2000</v>
      </c>
      <c r="I148" s="8">
        <v>3044.6959999999999</v>
      </c>
      <c r="J148" s="8">
        <v>2969.375</v>
      </c>
      <c r="K148" s="8">
        <v>2866.1610000000001</v>
      </c>
      <c r="L148" s="8">
        <v>2668.819</v>
      </c>
      <c r="M148" s="8">
        <v>2383.5250000000001</v>
      </c>
      <c r="N148" s="8">
        <v>2357.7429999999999</v>
      </c>
      <c r="O148" s="8">
        <v>2249.1979999999999</v>
      </c>
      <c r="P148" s="8">
        <v>2123.3380000000002</v>
      </c>
      <c r="Q148" s="8">
        <v>1714.3130000000001</v>
      </c>
      <c r="R148" s="8">
        <v>1479.925</v>
      </c>
      <c r="S148" s="8">
        <v>1207.498</v>
      </c>
      <c r="T148" s="8">
        <v>989.47699999999998</v>
      </c>
      <c r="U148" s="8">
        <v>838.86599999999999</v>
      </c>
      <c r="V148" s="8">
        <v>660.44</v>
      </c>
      <c r="W148" s="8">
        <v>514.83100000000002</v>
      </c>
      <c r="X148" s="8">
        <v>365.32100000000003</v>
      </c>
      <c r="Y148" s="8">
        <v>234.69</v>
      </c>
      <c r="Z148" s="8">
        <v>122.22199999999999</v>
      </c>
      <c r="AA148" s="8">
        <v>45.548999999999999</v>
      </c>
      <c r="AB148" s="8">
        <v>10.747999999999999</v>
      </c>
      <c r="AC148" s="8">
        <v>1.7270000000000001</v>
      </c>
    </row>
    <row r="149" spans="1:29" ht="11.65" hidden="1" x14ac:dyDescent="0.35">
      <c r="A149" s="12">
        <v>132</v>
      </c>
      <c r="B149" s="10" t="s">
        <v>1015</v>
      </c>
      <c r="C149" s="36" t="s">
        <v>1035</v>
      </c>
      <c r="D149" s="9" t="s">
        <v>1036</v>
      </c>
      <c r="E149" s="9">
        <v>1637</v>
      </c>
      <c r="F149" s="10" t="s">
        <v>1034</v>
      </c>
      <c r="G149" s="9">
        <v>1803</v>
      </c>
      <c r="H149" s="9">
        <v>2005</v>
      </c>
      <c r="I149" s="8">
        <v>3009.5859999999998</v>
      </c>
      <c r="J149" s="8">
        <v>2983.3209999999999</v>
      </c>
      <c r="K149" s="8">
        <v>2907.0529999999999</v>
      </c>
      <c r="L149" s="8">
        <v>2808.3380000000002</v>
      </c>
      <c r="M149" s="8">
        <v>2561.951</v>
      </c>
      <c r="N149" s="8">
        <v>2311.5189999999998</v>
      </c>
      <c r="O149" s="8">
        <v>2301.8560000000002</v>
      </c>
      <c r="P149" s="8">
        <v>2199.2669999999998</v>
      </c>
      <c r="Q149" s="8">
        <v>2065.0100000000002</v>
      </c>
      <c r="R149" s="8">
        <v>1662.12</v>
      </c>
      <c r="S149" s="8">
        <v>1436.788</v>
      </c>
      <c r="T149" s="8">
        <v>1146.67</v>
      </c>
      <c r="U149" s="8">
        <v>928.77300000000002</v>
      </c>
      <c r="V149" s="8">
        <v>755.90599999999995</v>
      </c>
      <c r="W149" s="8">
        <v>573.22900000000004</v>
      </c>
      <c r="X149" s="8">
        <v>415.35500000000002</v>
      </c>
      <c r="Y149" s="8">
        <v>264.77199999999999</v>
      </c>
      <c r="Z149" s="8">
        <v>137.10499999999999</v>
      </c>
      <c r="AA149" s="8">
        <v>56.529000000000003</v>
      </c>
      <c r="AB149" s="8">
        <v>15.391999999999999</v>
      </c>
      <c r="AC149" s="8">
        <v>2.6720000000000002</v>
      </c>
    </row>
    <row r="150" spans="1:29" ht="11.65" hidden="1" x14ac:dyDescent="0.35">
      <c r="A150" s="12">
        <v>133</v>
      </c>
      <c r="B150" s="10" t="s">
        <v>1015</v>
      </c>
      <c r="C150" s="36" t="s">
        <v>1035</v>
      </c>
      <c r="D150" s="9" t="s">
        <v>1036</v>
      </c>
      <c r="E150" s="9">
        <v>1637</v>
      </c>
      <c r="F150" s="10" t="s">
        <v>1034</v>
      </c>
      <c r="G150" s="9">
        <v>1803</v>
      </c>
      <c r="H150" s="9">
        <v>2010</v>
      </c>
      <c r="I150" s="8">
        <v>3010.8560000000002</v>
      </c>
      <c r="J150" s="8">
        <v>2959.2570000000001</v>
      </c>
      <c r="K150" s="8">
        <v>2945.9929999999999</v>
      </c>
      <c r="L150" s="8">
        <v>2906.0230000000001</v>
      </c>
      <c r="M150" s="8">
        <v>2760.6970000000001</v>
      </c>
      <c r="N150" s="8">
        <v>2554.1469999999999</v>
      </c>
      <c r="O150" s="8">
        <v>2277.864</v>
      </c>
      <c r="P150" s="8">
        <v>2268.2559999999999</v>
      </c>
      <c r="Q150" s="8">
        <v>2151.3040000000001</v>
      </c>
      <c r="R150" s="8">
        <v>2017.106</v>
      </c>
      <c r="S150" s="8">
        <v>1623.9159999999999</v>
      </c>
      <c r="T150" s="8">
        <v>1377.4190000000001</v>
      </c>
      <c r="U150" s="8">
        <v>1098.242</v>
      </c>
      <c r="V150" s="8">
        <v>843.78399999999999</v>
      </c>
      <c r="W150" s="8">
        <v>666.49699999999996</v>
      </c>
      <c r="X150" s="8">
        <v>472.65600000000001</v>
      </c>
      <c r="Y150" s="8">
        <v>309.03699999999998</v>
      </c>
      <c r="Z150" s="8">
        <v>161.541</v>
      </c>
      <c r="AA150" s="8">
        <v>67.372000000000099</v>
      </c>
      <c r="AB150" s="8">
        <v>20.760999999999999</v>
      </c>
      <c r="AC150" s="8">
        <v>3.653</v>
      </c>
    </row>
    <row r="151" spans="1:29" ht="11.65" hidden="1" x14ac:dyDescent="0.35">
      <c r="A151" s="12">
        <v>134</v>
      </c>
      <c r="B151" s="10" t="s">
        <v>1015</v>
      </c>
      <c r="C151" s="36" t="s">
        <v>1035</v>
      </c>
      <c r="D151" s="9" t="s">
        <v>1036</v>
      </c>
      <c r="E151" s="9">
        <v>1637</v>
      </c>
      <c r="F151" s="10" t="s">
        <v>1034</v>
      </c>
      <c r="G151" s="9">
        <v>1803</v>
      </c>
      <c r="H151" s="9">
        <v>2015</v>
      </c>
      <c r="I151" s="8">
        <v>3050.3029999999999</v>
      </c>
      <c r="J151" s="8">
        <v>2983.5279999999998</v>
      </c>
      <c r="K151" s="8">
        <v>2931.6610000000001</v>
      </c>
      <c r="L151" s="8">
        <v>2913.41</v>
      </c>
      <c r="M151" s="8">
        <v>2814.9940000000001</v>
      </c>
      <c r="N151" s="8">
        <v>2706.4929999999999</v>
      </c>
      <c r="O151" s="8">
        <v>2506.08</v>
      </c>
      <c r="P151" s="8">
        <v>2220.9229999999998</v>
      </c>
      <c r="Q151" s="8">
        <v>2210.462</v>
      </c>
      <c r="R151" s="8">
        <v>2104.4589999999998</v>
      </c>
      <c r="S151" s="8">
        <v>1968.547</v>
      </c>
      <c r="T151" s="8">
        <v>1570.739</v>
      </c>
      <c r="U151" s="8">
        <v>1316.1389999999999</v>
      </c>
      <c r="V151" s="8">
        <v>995.18600000000004</v>
      </c>
      <c r="W151" s="8">
        <v>746.37599999999998</v>
      </c>
      <c r="X151" s="8">
        <v>551.04600000000005</v>
      </c>
      <c r="Y151" s="8">
        <v>350.43599999999998</v>
      </c>
      <c r="Z151" s="8">
        <v>193.065</v>
      </c>
      <c r="AA151" s="8">
        <v>81.912999999999997</v>
      </c>
      <c r="AB151" s="8">
        <v>25.283999999999999</v>
      </c>
      <c r="AC151" s="8">
        <v>4.9530000000000003</v>
      </c>
    </row>
    <row r="152" spans="1:29" ht="11.65" hidden="1" x14ac:dyDescent="0.35">
      <c r="A152" s="12">
        <v>135</v>
      </c>
      <c r="B152" s="10" t="s">
        <v>1015</v>
      </c>
      <c r="C152" s="36" t="s">
        <v>1035</v>
      </c>
      <c r="D152" s="9" t="s">
        <v>1036</v>
      </c>
      <c r="E152" s="9">
        <v>1637</v>
      </c>
      <c r="F152" s="10" t="s">
        <v>1034</v>
      </c>
      <c r="G152" s="9">
        <v>1803</v>
      </c>
      <c r="H152" s="9">
        <v>2020</v>
      </c>
      <c r="I152" s="8">
        <v>3034.2040000000002</v>
      </c>
      <c r="J152" s="8">
        <v>3004.4079999999999</v>
      </c>
      <c r="K152" s="8">
        <v>2952.3829999999998</v>
      </c>
      <c r="L152" s="8">
        <v>2863.029</v>
      </c>
      <c r="M152" s="8">
        <v>2807.8609999999999</v>
      </c>
      <c r="N152" s="8">
        <v>2733.5140000000001</v>
      </c>
      <c r="O152" s="8">
        <v>2638.2730000000001</v>
      </c>
      <c r="P152" s="8">
        <v>2430.3150000000001</v>
      </c>
      <c r="Q152" s="8">
        <v>2161.1509999999998</v>
      </c>
      <c r="R152" s="8">
        <v>2155.701</v>
      </c>
      <c r="S152" s="8">
        <v>2046.259</v>
      </c>
      <c r="T152" s="8">
        <v>1902.0329999999999</v>
      </c>
      <c r="U152" s="8">
        <v>1496.96</v>
      </c>
      <c r="V152" s="8">
        <v>1224.7260000000001</v>
      </c>
      <c r="W152" s="8">
        <v>890.82500000000005</v>
      </c>
      <c r="X152" s="8">
        <v>625.30899999999997</v>
      </c>
      <c r="Y152" s="8">
        <v>416.52600000000001</v>
      </c>
      <c r="Z152" s="8">
        <v>226.601</v>
      </c>
      <c r="AA152" s="8">
        <v>100.444</v>
      </c>
      <c r="AB152" s="8">
        <v>32.064999999999998</v>
      </c>
      <c r="AC152" s="8">
        <v>6.52</v>
      </c>
    </row>
    <row r="153" spans="1:29" ht="11.65" hidden="1" x14ac:dyDescent="0.35">
      <c r="A153" s="35">
        <v>136</v>
      </c>
      <c r="B153" s="33" t="s">
        <v>1015</v>
      </c>
      <c r="C153" s="34" t="s">
        <v>1037</v>
      </c>
      <c r="D153" s="32"/>
      <c r="E153" s="32">
        <v>1802</v>
      </c>
      <c r="F153" s="33" t="s">
        <v>1020</v>
      </c>
      <c r="G153" s="32">
        <v>900</v>
      </c>
      <c r="H153" s="32">
        <v>1950</v>
      </c>
      <c r="I153" s="31" t="s">
        <v>1021</v>
      </c>
      <c r="J153" s="31" t="s">
        <v>1021</v>
      </c>
      <c r="K153" s="31" t="s">
        <v>1021</v>
      </c>
      <c r="L153" s="31" t="s">
        <v>1021</v>
      </c>
      <c r="M153" s="31" t="s">
        <v>1021</v>
      </c>
      <c r="N153" s="31" t="s">
        <v>1021</v>
      </c>
      <c r="O153" s="31" t="s">
        <v>1021</v>
      </c>
      <c r="P153" s="31" t="s">
        <v>1021</v>
      </c>
      <c r="Q153" s="31" t="s">
        <v>1021</v>
      </c>
      <c r="R153" s="31" t="s">
        <v>1021</v>
      </c>
      <c r="S153" s="31" t="s">
        <v>1021</v>
      </c>
      <c r="T153" s="31" t="s">
        <v>1021</v>
      </c>
      <c r="U153" s="31" t="s">
        <v>1021</v>
      </c>
      <c r="V153" s="31" t="s">
        <v>1021</v>
      </c>
      <c r="W153" s="31" t="s">
        <v>1021</v>
      </c>
      <c r="X153" s="31" t="s">
        <v>1021</v>
      </c>
      <c r="Y153" s="31" t="s">
        <v>1021</v>
      </c>
      <c r="Z153" s="31" t="s">
        <v>1021</v>
      </c>
      <c r="AA153" s="31" t="s">
        <v>1021</v>
      </c>
      <c r="AB153" s="31" t="s">
        <v>1021</v>
      </c>
      <c r="AC153" s="31" t="s">
        <v>1021</v>
      </c>
    </row>
    <row r="154" spans="1:29" ht="11.65" hidden="1" x14ac:dyDescent="0.35">
      <c r="A154" s="35">
        <v>137</v>
      </c>
      <c r="B154" s="33" t="s">
        <v>1015</v>
      </c>
      <c r="C154" s="34" t="s">
        <v>1037</v>
      </c>
      <c r="D154" s="32"/>
      <c r="E154" s="32">
        <v>1802</v>
      </c>
      <c r="F154" s="33" t="s">
        <v>1020</v>
      </c>
      <c r="G154" s="32">
        <v>900</v>
      </c>
      <c r="H154" s="32">
        <v>1955</v>
      </c>
      <c r="I154" s="31" t="s">
        <v>1021</v>
      </c>
      <c r="J154" s="31" t="s">
        <v>1021</v>
      </c>
      <c r="K154" s="31" t="s">
        <v>1021</v>
      </c>
      <c r="L154" s="31" t="s">
        <v>1021</v>
      </c>
      <c r="M154" s="31" t="s">
        <v>1021</v>
      </c>
      <c r="N154" s="31" t="s">
        <v>1021</v>
      </c>
      <c r="O154" s="31" t="s">
        <v>1021</v>
      </c>
      <c r="P154" s="31" t="s">
        <v>1021</v>
      </c>
      <c r="Q154" s="31" t="s">
        <v>1021</v>
      </c>
      <c r="R154" s="31" t="s">
        <v>1021</v>
      </c>
      <c r="S154" s="31" t="s">
        <v>1021</v>
      </c>
      <c r="T154" s="31" t="s">
        <v>1021</v>
      </c>
      <c r="U154" s="31" t="s">
        <v>1021</v>
      </c>
      <c r="V154" s="31" t="s">
        <v>1021</v>
      </c>
      <c r="W154" s="31" t="s">
        <v>1021</v>
      </c>
      <c r="X154" s="31" t="s">
        <v>1021</v>
      </c>
      <c r="Y154" s="31" t="s">
        <v>1021</v>
      </c>
      <c r="Z154" s="31" t="s">
        <v>1021</v>
      </c>
      <c r="AA154" s="31" t="s">
        <v>1021</v>
      </c>
      <c r="AB154" s="31" t="s">
        <v>1021</v>
      </c>
      <c r="AC154" s="31" t="s">
        <v>1021</v>
      </c>
    </row>
    <row r="155" spans="1:29" ht="11.65" hidden="1" x14ac:dyDescent="0.35">
      <c r="A155" s="35">
        <v>138</v>
      </c>
      <c r="B155" s="33" t="s">
        <v>1015</v>
      </c>
      <c r="C155" s="34" t="s">
        <v>1037</v>
      </c>
      <c r="D155" s="32"/>
      <c r="E155" s="32">
        <v>1802</v>
      </c>
      <c r="F155" s="33" t="s">
        <v>1020</v>
      </c>
      <c r="G155" s="32">
        <v>900</v>
      </c>
      <c r="H155" s="32">
        <v>1960</v>
      </c>
      <c r="I155" s="31" t="s">
        <v>1021</v>
      </c>
      <c r="J155" s="31" t="s">
        <v>1021</v>
      </c>
      <c r="K155" s="31" t="s">
        <v>1021</v>
      </c>
      <c r="L155" s="31" t="s">
        <v>1021</v>
      </c>
      <c r="M155" s="31" t="s">
        <v>1021</v>
      </c>
      <c r="N155" s="31" t="s">
        <v>1021</v>
      </c>
      <c r="O155" s="31" t="s">
        <v>1021</v>
      </c>
      <c r="P155" s="31" t="s">
        <v>1021</v>
      </c>
      <c r="Q155" s="31" t="s">
        <v>1021</v>
      </c>
      <c r="R155" s="31" t="s">
        <v>1021</v>
      </c>
      <c r="S155" s="31" t="s">
        <v>1021</v>
      </c>
      <c r="T155" s="31" t="s">
        <v>1021</v>
      </c>
      <c r="U155" s="31" t="s">
        <v>1021</v>
      </c>
      <c r="V155" s="31" t="s">
        <v>1021</v>
      </c>
      <c r="W155" s="31" t="s">
        <v>1021</v>
      </c>
      <c r="X155" s="31" t="s">
        <v>1021</v>
      </c>
      <c r="Y155" s="31" t="s">
        <v>1021</v>
      </c>
      <c r="Z155" s="31" t="s">
        <v>1021</v>
      </c>
      <c r="AA155" s="31" t="s">
        <v>1021</v>
      </c>
      <c r="AB155" s="31" t="s">
        <v>1021</v>
      </c>
      <c r="AC155" s="31" t="s">
        <v>1021</v>
      </c>
    </row>
    <row r="156" spans="1:29" ht="11.65" hidden="1" x14ac:dyDescent="0.35">
      <c r="A156" s="35">
        <v>139</v>
      </c>
      <c r="B156" s="33" t="s">
        <v>1015</v>
      </c>
      <c r="C156" s="34" t="s">
        <v>1037</v>
      </c>
      <c r="D156" s="32"/>
      <c r="E156" s="32">
        <v>1802</v>
      </c>
      <c r="F156" s="33" t="s">
        <v>1020</v>
      </c>
      <c r="G156" s="32">
        <v>900</v>
      </c>
      <c r="H156" s="32">
        <v>1965</v>
      </c>
      <c r="I156" s="31" t="s">
        <v>1021</v>
      </c>
      <c r="J156" s="31" t="s">
        <v>1021</v>
      </c>
      <c r="K156" s="31" t="s">
        <v>1021</v>
      </c>
      <c r="L156" s="31" t="s">
        <v>1021</v>
      </c>
      <c r="M156" s="31" t="s">
        <v>1021</v>
      </c>
      <c r="N156" s="31" t="s">
        <v>1021</v>
      </c>
      <c r="O156" s="31" t="s">
        <v>1021</v>
      </c>
      <c r="P156" s="31" t="s">
        <v>1021</v>
      </c>
      <c r="Q156" s="31" t="s">
        <v>1021</v>
      </c>
      <c r="R156" s="31" t="s">
        <v>1021</v>
      </c>
      <c r="S156" s="31" t="s">
        <v>1021</v>
      </c>
      <c r="T156" s="31" t="s">
        <v>1021</v>
      </c>
      <c r="U156" s="31" t="s">
        <v>1021</v>
      </c>
      <c r="V156" s="31" t="s">
        <v>1021</v>
      </c>
      <c r="W156" s="31" t="s">
        <v>1021</v>
      </c>
      <c r="X156" s="31" t="s">
        <v>1021</v>
      </c>
      <c r="Y156" s="31" t="s">
        <v>1021</v>
      </c>
      <c r="Z156" s="31" t="s">
        <v>1021</v>
      </c>
      <c r="AA156" s="31" t="s">
        <v>1021</v>
      </c>
      <c r="AB156" s="31" t="s">
        <v>1021</v>
      </c>
      <c r="AC156" s="31" t="s">
        <v>1021</v>
      </c>
    </row>
    <row r="157" spans="1:29" ht="11.65" hidden="1" x14ac:dyDescent="0.35">
      <c r="A157" s="35">
        <v>140</v>
      </c>
      <c r="B157" s="33" t="s">
        <v>1015</v>
      </c>
      <c r="C157" s="34" t="s">
        <v>1037</v>
      </c>
      <c r="D157" s="32"/>
      <c r="E157" s="32">
        <v>1802</v>
      </c>
      <c r="F157" s="33" t="s">
        <v>1020</v>
      </c>
      <c r="G157" s="32">
        <v>900</v>
      </c>
      <c r="H157" s="32">
        <v>1970</v>
      </c>
      <c r="I157" s="31" t="s">
        <v>1021</v>
      </c>
      <c r="J157" s="31" t="s">
        <v>1021</v>
      </c>
      <c r="K157" s="31" t="s">
        <v>1021</v>
      </c>
      <c r="L157" s="31" t="s">
        <v>1021</v>
      </c>
      <c r="M157" s="31" t="s">
        <v>1021</v>
      </c>
      <c r="N157" s="31" t="s">
        <v>1021</v>
      </c>
      <c r="O157" s="31" t="s">
        <v>1021</v>
      </c>
      <c r="P157" s="31" t="s">
        <v>1021</v>
      </c>
      <c r="Q157" s="31" t="s">
        <v>1021</v>
      </c>
      <c r="R157" s="31" t="s">
        <v>1021</v>
      </c>
      <c r="S157" s="31" t="s">
        <v>1021</v>
      </c>
      <c r="T157" s="31" t="s">
        <v>1021</v>
      </c>
      <c r="U157" s="31" t="s">
        <v>1021</v>
      </c>
      <c r="V157" s="31" t="s">
        <v>1021</v>
      </c>
      <c r="W157" s="31" t="s">
        <v>1021</v>
      </c>
      <c r="X157" s="31" t="s">
        <v>1021</v>
      </c>
      <c r="Y157" s="31" t="s">
        <v>1021</v>
      </c>
      <c r="Z157" s="31" t="s">
        <v>1021</v>
      </c>
      <c r="AA157" s="31" t="s">
        <v>1021</v>
      </c>
      <c r="AB157" s="31" t="s">
        <v>1021</v>
      </c>
      <c r="AC157" s="31" t="s">
        <v>1021</v>
      </c>
    </row>
    <row r="158" spans="1:29" ht="11.65" hidden="1" x14ac:dyDescent="0.35">
      <c r="A158" s="35">
        <v>141</v>
      </c>
      <c r="B158" s="33" t="s">
        <v>1015</v>
      </c>
      <c r="C158" s="34" t="s">
        <v>1037</v>
      </c>
      <c r="D158" s="32"/>
      <c r="E158" s="32">
        <v>1802</v>
      </c>
      <c r="F158" s="33" t="s">
        <v>1020</v>
      </c>
      <c r="G158" s="32">
        <v>900</v>
      </c>
      <c r="H158" s="32">
        <v>1975</v>
      </c>
      <c r="I158" s="31" t="s">
        <v>1021</v>
      </c>
      <c r="J158" s="31" t="s">
        <v>1021</v>
      </c>
      <c r="K158" s="31" t="s">
        <v>1021</v>
      </c>
      <c r="L158" s="31" t="s">
        <v>1021</v>
      </c>
      <c r="M158" s="31" t="s">
        <v>1021</v>
      </c>
      <c r="N158" s="31" t="s">
        <v>1021</v>
      </c>
      <c r="O158" s="31" t="s">
        <v>1021</v>
      </c>
      <c r="P158" s="31" t="s">
        <v>1021</v>
      </c>
      <c r="Q158" s="31" t="s">
        <v>1021</v>
      </c>
      <c r="R158" s="31" t="s">
        <v>1021</v>
      </c>
      <c r="S158" s="31" t="s">
        <v>1021</v>
      </c>
      <c r="T158" s="31" t="s">
        <v>1021</v>
      </c>
      <c r="U158" s="31" t="s">
        <v>1021</v>
      </c>
      <c r="V158" s="31" t="s">
        <v>1021</v>
      </c>
      <c r="W158" s="31" t="s">
        <v>1021</v>
      </c>
      <c r="X158" s="31" t="s">
        <v>1021</v>
      </c>
      <c r="Y158" s="31" t="s">
        <v>1021</v>
      </c>
      <c r="Z158" s="31" t="s">
        <v>1021</v>
      </c>
      <c r="AA158" s="31" t="s">
        <v>1021</v>
      </c>
      <c r="AB158" s="31" t="s">
        <v>1021</v>
      </c>
      <c r="AC158" s="31" t="s">
        <v>1021</v>
      </c>
    </row>
    <row r="159" spans="1:29" ht="11.65" hidden="1" x14ac:dyDescent="0.35">
      <c r="A159" s="35">
        <v>142</v>
      </c>
      <c r="B159" s="33" t="s">
        <v>1015</v>
      </c>
      <c r="C159" s="34" t="s">
        <v>1037</v>
      </c>
      <c r="D159" s="32"/>
      <c r="E159" s="32">
        <v>1802</v>
      </c>
      <c r="F159" s="33" t="s">
        <v>1020</v>
      </c>
      <c r="G159" s="32">
        <v>900</v>
      </c>
      <c r="H159" s="32">
        <v>1980</v>
      </c>
      <c r="I159" s="31" t="s">
        <v>1021</v>
      </c>
      <c r="J159" s="31" t="s">
        <v>1021</v>
      </c>
      <c r="K159" s="31" t="s">
        <v>1021</v>
      </c>
      <c r="L159" s="31" t="s">
        <v>1021</v>
      </c>
      <c r="M159" s="31" t="s">
        <v>1021</v>
      </c>
      <c r="N159" s="31" t="s">
        <v>1021</v>
      </c>
      <c r="O159" s="31" t="s">
        <v>1021</v>
      </c>
      <c r="P159" s="31" t="s">
        <v>1021</v>
      </c>
      <c r="Q159" s="31" t="s">
        <v>1021</v>
      </c>
      <c r="R159" s="31" t="s">
        <v>1021</v>
      </c>
      <c r="S159" s="31" t="s">
        <v>1021</v>
      </c>
      <c r="T159" s="31" t="s">
        <v>1021</v>
      </c>
      <c r="U159" s="31" t="s">
        <v>1021</v>
      </c>
      <c r="V159" s="31" t="s">
        <v>1021</v>
      </c>
      <c r="W159" s="31" t="s">
        <v>1021</v>
      </c>
      <c r="X159" s="31" t="s">
        <v>1021</v>
      </c>
      <c r="Y159" s="31" t="s">
        <v>1021</v>
      </c>
      <c r="Z159" s="31" t="s">
        <v>1021</v>
      </c>
      <c r="AA159" s="31" t="s">
        <v>1021</v>
      </c>
      <c r="AB159" s="31" t="s">
        <v>1021</v>
      </c>
      <c r="AC159" s="31" t="s">
        <v>1021</v>
      </c>
    </row>
    <row r="160" spans="1:29" ht="11.65" hidden="1" x14ac:dyDescent="0.35">
      <c r="A160" s="35">
        <v>143</v>
      </c>
      <c r="B160" s="33" t="s">
        <v>1015</v>
      </c>
      <c r="C160" s="34" t="s">
        <v>1037</v>
      </c>
      <c r="D160" s="32"/>
      <c r="E160" s="32">
        <v>1802</v>
      </c>
      <c r="F160" s="33" t="s">
        <v>1020</v>
      </c>
      <c r="G160" s="32">
        <v>900</v>
      </c>
      <c r="H160" s="32">
        <v>1985</v>
      </c>
      <c r="I160" s="31" t="s">
        <v>1021</v>
      </c>
      <c r="J160" s="31" t="s">
        <v>1021</v>
      </c>
      <c r="K160" s="31" t="s">
        <v>1021</v>
      </c>
      <c r="L160" s="31" t="s">
        <v>1021</v>
      </c>
      <c r="M160" s="31" t="s">
        <v>1021</v>
      </c>
      <c r="N160" s="31" t="s">
        <v>1021</v>
      </c>
      <c r="O160" s="31" t="s">
        <v>1021</v>
      </c>
      <c r="P160" s="31" t="s">
        <v>1021</v>
      </c>
      <c r="Q160" s="31" t="s">
        <v>1021</v>
      </c>
      <c r="R160" s="31" t="s">
        <v>1021</v>
      </c>
      <c r="S160" s="31" t="s">
        <v>1021</v>
      </c>
      <c r="T160" s="31" t="s">
        <v>1021</v>
      </c>
      <c r="U160" s="31" t="s">
        <v>1021</v>
      </c>
      <c r="V160" s="31" t="s">
        <v>1021</v>
      </c>
      <c r="W160" s="31" t="s">
        <v>1021</v>
      </c>
      <c r="X160" s="31" t="s">
        <v>1021</v>
      </c>
      <c r="Y160" s="31" t="s">
        <v>1021</v>
      </c>
      <c r="Z160" s="31" t="s">
        <v>1021</v>
      </c>
      <c r="AA160" s="31" t="s">
        <v>1021</v>
      </c>
      <c r="AB160" s="31" t="s">
        <v>1021</v>
      </c>
      <c r="AC160" s="31" t="s">
        <v>1021</v>
      </c>
    </row>
    <row r="161" spans="1:29" ht="11.65" hidden="1" x14ac:dyDescent="0.35">
      <c r="A161" s="35">
        <v>144</v>
      </c>
      <c r="B161" s="33" t="s">
        <v>1015</v>
      </c>
      <c r="C161" s="34" t="s">
        <v>1037</v>
      </c>
      <c r="D161" s="32"/>
      <c r="E161" s="32">
        <v>1802</v>
      </c>
      <c r="F161" s="33" t="s">
        <v>1020</v>
      </c>
      <c r="G161" s="32">
        <v>900</v>
      </c>
      <c r="H161" s="32">
        <v>1990</v>
      </c>
      <c r="I161" s="31" t="s">
        <v>1021</v>
      </c>
      <c r="J161" s="31" t="s">
        <v>1021</v>
      </c>
      <c r="K161" s="31" t="s">
        <v>1021</v>
      </c>
      <c r="L161" s="31" t="s">
        <v>1021</v>
      </c>
      <c r="M161" s="31" t="s">
        <v>1021</v>
      </c>
      <c r="N161" s="31" t="s">
        <v>1021</v>
      </c>
      <c r="O161" s="31" t="s">
        <v>1021</v>
      </c>
      <c r="P161" s="31" t="s">
        <v>1021</v>
      </c>
      <c r="Q161" s="31" t="s">
        <v>1021</v>
      </c>
      <c r="R161" s="31" t="s">
        <v>1021</v>
      </c>
      <c r="S161" s="31" t="s">
        <v>1021</v>
      </c>
      <c r="T161" s="31" t="s">
        <v>1021</v>
      </c>
      <c r="U161" s="31" t="s">
        <v>1021</v>
      </c>
      <c r="V161" s="31" t="s">
        <v>1021</v>
      </c>
      <c r="W161" s="31" t="s">
        <v>1021</v>
      </c>
      <c r="X161" s="31" t="s">
        <v>1021</v>
      </c>
      <c r="Y161" s="31" t="s">
        <v>1021</v>
      </c>
      <c r="Z161" s="31" t="s">
        <v>1021</v>
      </c>
      <c r="AA161" s="31" t="s">
        <v>1021</v>
      </c>
      <c r="AB161" s="31" t="s">
        <v>1021</v>
      </c>
      <c r="AC161" s="31" t="s">
        <v>1021</v>
      </c>
    </row>
    <row r="162" spans="1:29" ht="11.65" hidden="1" x14ac:dyDescent="0.35">
      <c r="A162" s="35">
        <v>145</v>
      </c>
      <c r="B162" s="33" t="s">
        <v>1015</v>
      </c>
      <c r="C162" s="34" t="s">
        <v>1037</v>
      </c>
      <c r="D162" s="32"/>
      <c r="E162" s="32">
        <v>1802</v>
      </c>
      <c r="F162" s="33" t="s">
        <v>1020</v>
      </c>
      <c r="G162" s="32">
        <v>900</v>
      </c>
      <c r="H162" s="32">
        <v>1995</v>
      </c>
      <c r="I162" s="31" t="s">
        <v>1021</v>
      </c>
      <c r="J162" s="31" t="s">
        <v>1021</v>
      </c>
      <c r="K162" s="31" t="s">
        <v>1021</v>
      </c>
      <c r="L162" s="31" t="s">
        <v>1021</v>
      </c>
      <c r="M162" s="31" t="s">
        <v>1021</v>
      </c>
      <c r="N162" s="31" t="s">
        <v>1021</v>
      </c>
      <c r="O162" s="31" t="s">
        <v>1021</v>
      </c>
      <c r="P162" s="31" t="s">
        <v>1021</v>
      </c>
      <c r="Q162" s="31" t="s">
        <v>1021</v>
      </c>
      <c r="R162" s="31" t="s">
        <v>1021</v>
      </c>
      <c r="S162" s="31" t="s">
        <v>1021</v>
      </c>
      <c r="T162" s="31" t="s">
        <v>1021</v>
      </c>
      <c r="U162" s="31" t="s">
        <v>1021</v>
      </c>
      <c r="V162" s="31" t="s">
        <v>1021</v>
      </c>
      <c r="W162" s="31" t="s">
        <v>1021</v>
      </c>
      <c r="X162" s="31" t="s">
        <v>1021</v>
      </c>
      <c r="Y162" s="31" t="s">
        <v>1021</v>
      </c>
      <c r="Z162" s="31" t="s">
        <v>1021</v>
      </c>
      <c r="AA162" s="31" t="s">
        <v>1021</v>
      </c>
      <c r="AB162" s="31" t="s">
        <v>1021</v>
      </c>
      <c r="AC162" s="31" t="s">
        <v>1021</v>
      </c>
    </row>
    <row r="163" spans="1:29" ht="11.65" hidden="1" x14ac:dyDescent="0.35">
      <c r="A163" s="35">
        <v>146</v>
      </c>
      <c r="B163" s="33" t="s">
        <v>1015</v>
      </c>
      <c r="C163" s="34" t="s">
        <v>1037</v>
      </c>
      <c r="D163" s="32"/>
      <c r="E163" s="32">
        <v>1802</v>
      </c>
      <c r="F163" s="33" t="s">
        <v>1020</v>
      </c>
      <c r="G163" s="32">
        <v>900</v>
      </c>
      <c r="H163" s="32">
        <v>2000</v>
      </c>
      <c r="I163" s="31" t="s">
        <v>1021</v>
      </c>
      <c r="J163" s="31" t="s">
        <v>1021</v>
      </c>
      <c r="K163" s="31" t="s">
        <v>1021</v>
      </c>
      <c r="L163" s="31" t="s">
        <v>1021</v>
      </c>
      <c r="M163" s="31" t="s">
        <v>1021</v>
      </c>
      <c r="N163" s="31" t="s">
        <v>1021</v>
      </c>
      <c r="O163" s="31" t="s">
        <v>1021</v>
      </c>
      <c r="P163" s="31" t="s">
        <v>1021</v>
      </c>
      <c r="Q163" s="31" t="s">
        <v>1021</v>
      </c>
      <c r="R163" s="31" t="s">
        <v>1021</v>
      </c>
      <c r="S163" s="31" t="s">
        <v>1021</v>
      </c>
      <c r="T163" s="31" t="s">
        <v>1021</v>
      </c>
      <c r="U163" s="31" t="s">
        <v>1021</v>
      </c>
      <c r="V163" s="31" t="s">
        <v>1021</v>
      </c>
      <c r="W163" s="31" t="s">
        <v>1021</v>
      </c>
      <c r="X163" s="31" t="s">
        <v>1021</v>
      </c>
      <c r="Y163" s="31" t="s">
        <v>1021</v>
      </c>
      <c r="Z163" s="31" t="s">
        <v>1021</v>
      </c>
      <c r="AA163" s="31" t="s">
        <v>1021</v>
      </c>
      <c r="AB163" s="31" t="s">
        <v>1021</v>
      </c>
      <c r="AC163" s="31" t="s">
        <v>1021</v>
      </c>
    </row>
    <row r="164" spans="1:29" ht="11.65" hidden="1" x14ac:dyDescent="0.35">
      <c r="A164" s="35">
        <v>147</v>
      </c>
      <c r="B164" s="33" t="s">
        <v>1015</v>
      </c>
      <c r="C164" s="34" t="s">
        <v>1037</v>
      </c>
      <c r="D164" s="32"/>
      <c r="E164" s="32">
        <v>1802</v>
      </c>
      <c r="F164" s="33" t="s">
        <v>1020</v>
      </c>
      <c r="G164" s="32">
        <v>900</v>
      </c>
      <c r="H164" s="32">
        <v>2005</v>
      </c>
      <c r="I164" s="31" t="s">
        <v>1021</v>
      </c>
      <c r="J164" s="31" t="s">
        <v>1021</v>
      </c>
      <c r="K164" s="31" t="s">
        <v>1021</v>
      </c>
      <c r="L164" s="31" t="s">
        <v>1021</v>
      </c>
      <c r="M164" s="31" t="s">
        <v>1021</v>
      </c>
      <c r="N164" s="31" t="s">
        <v>1021</v>
      </c>
      <c r="O164" s="31" t="s">
        <v>1021</v>
      </c>
      <c r="P164" s="31" t="s">
        <v>1021</v>
      </c>
      <c r="Q164" s="31" t="s">
        <v>1021</v>
      </c>
      <c r="R164" s="31" t="s">
        <v>1021</v>
      </c>
      <c r="S164" s="31" t="s">
        <v>1021</v>
      </c>
      <c r="T164" s="31" t="s">
        <v>1021</v>
      </c>
      <c r="U164" s="31" t="s">
        <v>1021</v>
      </c>
      <c r="V164" s="31" t="s">
        <v>1021</v>
      </c>
      <c r="W164" s="31" t="s">
        <v>1021</v>
      </c>
      <c r="X164" s="31" t="s">
        <v>1021</v>
      </c>
      <c r="Y164" s="31" t="s">
        <v>1021</v>
      </c>
      <c r="Z164" s="31" t="s">
        <v>1021</v>
      </c>
      <c r="AA164" s="31" t="s">
        <v>1021</v>
      </c>
      <c r="AB164" s="31" t="s">
        <v>1021</v>
      </c>
      <c r="AC164" s="31" t="s">
        <v>1021</v>
      </c>
    </row>
    <row r="165" spans="1:29" ht="11.65" hidden="1" x14ac:dyDescent="0.35">
      <c r="A165" s="35">
        <v>148</v>
      </c>
      <c r="B165" s="33" t="s">
        <v>1015</v>
      </c>
      <c r="C165" s="34" t="s">
        <v>1037</v>
      </c>
      <c r="D165" s="32"/>
      <c r="E165" s="32">
        <v>1802</v>
      </c>
      <c r="F165" s="33" t="s">
        <v>1020</v>
      </c>
      <c r="G165" s="32">
        <v>900</v>
      </c>
      <c r="H165" s="32">
        <v>2010</v>
      </c>
      <c r="I165" s="31" t="s">
        <v>1021</v>
      </c>
      <c r="J165" s="31" t="s">
        <v>1021</v>
      </c>
      <c r="K165" s="31" t="s">
        <v>1021</v>
      </c>
      <c r="L165" s="31" t="s">
        <v>1021</v>
      </c>
      <c r="M165" s="31" t="s">
        <v>1021</v>
      </c>
      <c r="N165" s="31" t="s">
        <v>1021</v>
      </c>
      <c r="O165" s="31" t="s">
        <v>1021</v>
      </c>
      <c r="P165" s="31" t="s">
        <v>1021</v>
      </c>
      <c r="Q165" s="31" t="s">
        <v>1021</v>
      </c>
      <c r="R165" s="31" t="s">
        <v>1021</v>
      </c>
      <c r="S165" s="31" t="s">
        <v>1021</v>
      </c>
      <c r="T165" s="31" t="s">
        <v>1021</v>
      </c>
      <c r="U165" s="31" t="s">
        <v>1021</v>
      </c>
      <c r="V165" s="31" t="s">
        <v>1021</v>
      </c>
      <c r="W165" s="31" t="s">
        <v>1021</v>
      </c>
      <c r="X165" s="31" t="s">
        <v>1021</v>
      </c>
      <c r="Y165" s="31" t="s">
        <v>1021</v>
      </c>
      <c r="Z165" s="31" t="s">
        <v>1021</v>
      </c>
      <c r="AA165" s="31" t="s">
        <v>1021</v>
      </c>
      <c r="AB165" s="31" t="s">
        <v>1021</v>
      </c>
      <c r="AC165" s="31" t="s">
        <v>1021</v>
      </c>
    </row>
    <row r="166" spans="1:29" ht="11.65" hidden="1" x14ac:dyDescent="0.35">
      <c r="A166" s="35">
        <v>149</v>
      </c>
      <c r="B166" s="33" t="s">
        <v>1015</v>
      </c>
      <c r="C166" s="34" t="s">
        <v>1037</v>
      </c>
      <c r="D166" s="32"/>
      <c r="E166" s="32">
        <v>1802</v>
      </c>
      <c r="F166" s="33" t="s">
        <v>1020</v>
      </c>
      <c r="G166" s="32">
        <v>900</v>
      </c>
      <c r="H166" s="32">
        <v>2015</v>
      </c>
      <c r="I166" s="31" t="s">
        <v>1021</v>
      </c>
      <c r="J166" s="31" t="s">
        <v>1021</v>
      </c>
      <c r="K166" s="31" t="s">
        <v>1021</v>
      </c>
      <c r="L166" s="31" t="s">
        <v>1021</v>
      </c>
      <c r="M166" s="31" t="s">
        <v>1021</v>
      </c>
      <c r="N166" s="31" t="s">
        <v>1021</v>
      </c>
      <c r="O166" s="31" t="s">
        <v>1021</v>
      </c>
      <c r="P166" s="31" t="s">
        <v>1021</v>
      </c>
      <c r="Q166" s="31" t="s">
        <v>1021</v>
      </c>
      <c r="R166" s="31" t="s">
        <v>1021</v>
      </c>
      <c r="S166" s="31" t="s">
        <v>1021</v>
      </c>
      <c r="T166" s="31" t="s">
        <v>1021</v>
      </c>
      <c r="U166" s="31" t="s">
        <v>1021</v>
      </c>
      <c r="V166" s="31" t="s">
        <v>1021</v>
      </c>
      <c r="W166" s="31" t="s">
        <v>1021</v>
      </c>
      <c r="X166" s="31" t="s">
        <v>1021</v>
      </c>
      <c r="Y166" s="31" t="s">
        <v>1021</v>
      </c>
      <c r="Z166" s="31" t="s">
        <v>1021</v>
      </c>
      <c r="AA166" s="31" t="s">
        <v>1021</v>
      </c>
      <c r="AB166" s="31" t="s">
        <v>1021</v>
      </c>
      <c r="AC166" s="31" t="s">
        <v>1021</v>
      </c>
    </row>
    <row r="167" spans="1:29" ht="11.65" hidden="1" x14ac:dyDescent="0.35">
      <c r="A167" s="35">
        <v>150</v>
      </c>
      <c r="B167" s="33" t="s">
        <v>1015</v>
      </c>
      <c r="C167" s="34" t="s">
        <v>1037</v>
      </c>
      <c r="D167" s="32"/>
      <c r="E167" s="32">
        <v>1802</v>
      </c>
      <c r="F167" s="33" t="s">
        <v>1020</v>
      </c>
      <c r="G167" s="32">
        <v>900</v>
      </c>
      <c r="H167" s="32">
        <v>2020</v>
      </c>
      <c r="I167" s="31" t="s">
        <v>1021</v>
      </c>
      <c r="J167" s="31" t="s">
        <v>1021</v>
      </c>
      <c r="K167" s="31" t="s">
        <v>1021</v>
      </c>
      <c r="L167" s="31" t="s">
        <v>1021</v>
      </c>
      <c r="M167" s="31" t="s">
        <v>1021</v>
      </c>
      <c r="N167" s="31" t="s">
        <v>1021</v>
      </c>
      <c r="O167" s="31" t="s">
        <v>1021</v>
      </c>
      <c r="P167" s="31" t="s">
        <v>1021</v>
      </c>
      <c r="Q167" s="31" t="s">
        <v>1021</v>
      </c>
      <c r="R167" s="31" t="s">
        <v>1021</v>
      </c>
      <c r="S167" s="31" t="s">
        <v>1021</v>
      </c>
      <c r="T167" s="31" t="s">
        <v>1021</v>
      </c>
      <c r="U167" s="31" t="s">
        <v>1021</v>
      </c>
      <c r="V167" s="31" t="s">
        <v>1021</v>
      </c>
      <c r="W167" s="31" t="s">
        <v>1021</v>
      </c>
      <c r="X167" s="31" t="s">
        <v>1021</v>
      </c>
      <c r="Y167" s="31" t="s">
        <v>1021</v>
      </c>
      <c r="Z167" s="31" t="s">
        <v>1021</v>
      </c>
      <c r="AA167" s="31" t="s">
        <v>1021</v>
      </c>
      <c r="AB167" s="31" t="s">
        <v>1021</v>
      </c>
      <c r="AC167" s="31" t="s">
        <v>1021</v>
      </c>
    </row>
    <row r="168" spans="1:29" ht="11.65" hidden="1" x14ac:dyDescent="0.35">
      <c r="A168" s="12">
        <v>151</v>
      </c>
      <c r="B168" s="10" t="s">
        <v>1015</v>
      </c>
      <c r="C168" s="36" t="s">
        <v>1038</v>
      </c>
      <c r="D168" s="9" t="s">
        <v>1039</v>
      </c>
      <c r="E168" s="9">
        <v>1503</v>
      </c>
      <c r="F168" s="10" t="s">
        <v>1040</v>
      </c>
      <c r="G168" s="9">
        <v>1802</v>
      </c>
      <c r="H168" s="9">
        <v>1950</v>
      </c>
      <c r="I168" s="8">
        <v>35990.491000000002</v>
      </c>
      <c r="J168" s="8">
        <v>30297.67</v>
      </c>
      <c r="K168" s="8">
        <v>28936.880000000001</v>
      </c>
      <c r="L168" s="8">
        <v>28250.543000000001</v>
      </c>
      <c r="M168" s="8">
        <v>28496.92</v>
      </c>
      <c r="N168" s="8">
        <v>28352.213</v>
      </c>
      <c r="O168" s="8">
        <v>23187.026999999998</v>
      </c>
      <c r="P168" s="8">
        <v>25422.81</v>
      </c>
      <c r="Q168" s="8">
        <v>24058.635999999999</v>
      </c>
      <c r="R168" s="8">
        <v>21713.917000000001</v>
      </c>
      <c r="S168" s="8">
        <v>19367.296999999999</v>
      </c>
      <c r="T168" s="8">
        <v>16700.451000000001</v>
      </c>
      <c r="U168" s="8">
        <v>14562.544</v>
      </c>
      <c r="V168" s="8">
        <v>11952.384</v>
      </c>
      <c r="W168" s="8">
        <v>8741.875</v>
      </c>
      <c r="X168" s="8">
        <v>5490.6610000000001</v>
      </c>
      <c r="Y168" s="8">
        <v>2690.3020000000001</v>
      </c>
      <c r="Z168" s="8">
        <v>1125.519</v>
      </c>
      <c r="AA168" s="8">
        <v>322.90499999999997</v>
      </c>
      <c r="AB168" s="8">
        <v>62.802</v>
      </c>
      <c r="AC168" s="8">
        <v>8.4239999999999995</v>
      </c>
    </row>
    <row r="169" spans="1:29" ht="11.65" hidden="1" x14ac:dyDescent="0.35">
      <c r="A169" s="12">
        <v>152</v>
      </c>
      <c r="B169" s="10" t="s">
        <v>1015</v>
      </c>
      <c r="C169" s="36" t="s">
        <v>1038</v>
      </c>
      <c r="D169" s="9" t="s">
        <v>1039</v>
      </c>
      <c r="E169" s="9">
        <v>1503</v>
      </c>
      <c r="F169" s="10" t="s">
        <v>1040</v>
      </c>
      <c r="G169" s="9">
        <v>1802</v>
      </c>
      <c r="H169" s="9">
        <v>1955</v>
      </c>
      <c r="I169" s="8">
        <v>37281.910000000003</v>
      </c>
      <c r="J169" s="8">
        <v>35598.745999999999</v>
      </c>
      <c r="K169" s="8">
        <v>30317.755000000001</v>
      </c>
      <c r="L169" s="8">
        <v>28812.546999999999</v>
      </c>
      <c r="M169" s="8">
        <v>28042.494999999999</v>
      </c>
      <c r="N169" s="8">
        <v>28194.745999999999</v>
      </c>
      <c r="O169" s="8">
        <v>28076.043000000001</v>
      </c>
      <c r="P169" s="8">
        <v>22889.635999999999</v>
      </c>
      <c r="Q169" s="8">
        <v>25001.312999999998</v>
      </c>
      <c r="R169" s="8">
        <v>23383.17</v>
      </c>
      <c r="S169" s="8">
        <v>21381.077000000001</v>
      </c>
      <c r="T169" s="8">
        <v>18506.832999999999</v>
      </c>
      <c r="U169" s="8">
        <v>15747.644</v>
      </c>
      <c r="V169" s="8">
        <v>13151.279</v>
      </c>
      <c r="W169" s="8">
        <v>9914.7459999999992</v>
      </c>
      <c r="X169" s="8">
        <v>6472.0169999999998</v>
      </c>
      <c r="Y169" s="8">
        <v>3408.5920000000001</v>
      </c>
      <c r="Z169" s="8">
        <v>1216.6959999999999</v>
      </c>
      <c r="AA169" s="8">
        <v>349.06599999999997</v>
      </c>
      <c r="AB169" s="8">
        <v>64.658000000000001</v>
      </c>
      <c r="AC169" s="8">
        <v>8.2669999999999995</v>
      </c>
    </row>
    <row r="170" spans="1:29" ht="11.65" hidden="1" x14ac:dyDescent="0.35">
      <c r="A170" s="12">
        <v>153</v>
      </c>
      <c r="B170" s="10" t="s">
        <v>1015</v>
      </c>
      <c r="C170" s="36" t="s">
        <v>1038</v>
      </c>
      <c r="D170" s="9" t="s">
        <v>1039</v>
      </c>
      <c r="E170" s="9">
        <v>1503</v>
      </c>
      <c r="F170" s="10" t="s">
        <v>1040</v>
      </c>
      <c r="G170" s="9">
        <v>1802</v>
      </c>
      <c r="H170" s="9">
        <v>1960</v>
      </c>
      <c r="I170" s="8">
        <v>39005.463000000003</v>
      </c>
      <c r="J170" s="8">
        <v>37190.531999999999</v>
      </c>
      <c r="K170" s="8">
        <v>35685.646000000001</v>
      </c>
      <c r="L170" s="8">
        <v>30112.777999999998</v>
      </c>
      <c r="M170" s="8">
        <v>28638.367999999999</v>
      </c>
      <c r="N170" s="8">
        <v>27859.938999999998</v>
      </c>
      <c r="O170" s="8">
        <v>28032.623</v>
      </c>
      <c r="P170" s="8">
        <v>27856.894</v>
      </c>
      <c r="Q170" s="8">
        <v>22512.66</v>
      </c>
      <c r="R170" s="8">
        <v>24598.126</v>
      </c>
      <c r="S170" s="8">
        <v>23110.587</v>
      </c>
      <c r="T170" s="8">
        <v>20644.976999999999</v>
      </c>
      <c r="U170" s="8">
        <v>17554.793000000001</v>
      </c>
      <c r="V170" s="8">
        <v>14309.427</v>
      </c>
      <c r="W170" s="8">
        <v>11092.453</v>
      </c>
      <c r="X170" s="8">
        <v>7516.7330000000002</v>
      </c>
      <c r="Y170" s="8">
        <v>4094.2959999999998</v>
      </c>
      <c r="Z170" s="8">
        <v>1601.71</v>
      </c>
      <c r="AA170" s="8">
        <v>384.512</v>
      </c>
      <c r="AB170" s="8">
        <v>68.98</v>
      </c>
      <c r="AC170" s="8">
        <v>8.0120000000000005</v>
      </c>
    </row>
    <row r="171" spans="1:29" ht="11.65" hidden="1" x14ac:dyDescent="0.35">
      <c r="A171" s="12">
        <v>154</v>
      </c>
      <c r="B171" s="10" t="s">
        <v>1015</v>
      </c>
      <c r="C171" s="36" t="s">
        <v>1038</v>
      </c>
      <c r="D171" s="9" t="s">
        <v>1039</v>
      </c>
      <c r="E171" s="9">
        <v>1503</v>
      </c>
      <c r="F171" s="10" t="s">
        <v>1040</v>
      </c>
      <c r="G171" s="9">
        <v>1802</v>
      </c>
      <c r="H171" s="9">
        <v>1965</v>
      </c>
      <c r="I171" s="8">
        <v>39706.563999999998</v>
      </c>
      <c r="J171" s="8">
        <v>38941.245999999999</v>
      </c>
      <c r="K171" s="8">
        <v>37241.326999999997</v>
      </c>
      <c r="L171" s="8">
        <v>35645.881000000001</v>
      </c>
      <c r="M171" s="8">
        <v>30200.166000000001</v>
      </c>
      <c r="N171" s="8">
        <v>28622.213</v>
      </c>
      <c r="O171" s="8">
        <v>27781.206999999999</v>
      </c>
      <c r="P171" s="8">
        <v>27884.679</v>
      </c>
      <c r="Q171" s="8">
        <v>27596.97</v>
      </c>
      <c r="R171" s="8">
        <v>22190.477999999999</v>
      </c>
      <c r="S171" s="8">
        <v>24034.047999999999</v>
      </c>
      <c r="T171" s="8">
        <v>22466.850999999999</v>
      </c>
      <c r="U171" s="8">
        <v>19540.031999999999</v>
      </c>
      <c r="V171" s="8">
        <v>16100.037</v>
      </c>
      <c r="W171" s="8">
        <v>12374.9</v>
      </c>
      <c r="X171" s="8">
        <v>8623.6249999999909</v>
      </c>
      <c r="Y171" s="8">
        <v>4859.299</v>
      </c>
      <c r="Z171" s="8">
        <v>1965.4380000000001</v>
      </c>
      <c r="AA171" s="8">
        <v>521.90899999999999</v>
      </c>
      <c r="AB171" s="8">
        <v>76.164000000000001</v>
      </c>
      <c r="AC171" s="8">
        <v>8.234</v>
      </c>
    </row>
    <row r="172" spans="1:29" ht="11.65" hidden="1" x14ac:dyDescent="0.35">
      <c r="A172" s="12">
        <v>155</v>
      </c>
      <c r="B172" s="10" t="s">
        <v>1015</v>
      </c>
      <c r="C172" s="36" t="s">
        <v>1038</v>
      </c>
      <c r="D172" s="9" t="s">
        <v>1039</v>
      </c>
      <c r="E172" s="9">
        <v>1503</v>
      </c>
      <c r="F172" s="10" t="s">
        <v>1040</v>
      </c>
      <c r="G172" s="9">
        <v>1802</v>
      </c>
      <c r="H172" s="9">
        <v>1970</v>
      </c>
      <c r="I172" s="8">
        <v>38405.788</v>
      </c>
      <c r="J172" s="8">
        <v>39857.743000000002</v>
      </c>
      <c r="K172" s="8">
        <v>39125.491000000002</v>
      </c>
      <c r="L172" s="8">
        <v>37303.267999999996</v>
      </c>
      <c r="M172" s="8">
        <v>35703.199999999997</v>
      </c>
      <c r="N172" s="8">
        <v>30134.883999999998</v>
      </c>
      <c r="O172" s="8">
        <v>28585.463</v>
      </c>
      <c r="P172" s="8">
        <v>27663.98</v>
      </c>
      <c r="Q172" s="8">
        <v>27699.539000000001</v>
      </c>
      <c r="R172" s="8">
        <v>27233.028999999999</v>
      </c>
      <c r="S172" s="8">
        <v>21656.055</v>
      </c>
      <c r="T172" s="8">
        <v>23309.601999999999</v>
      </c>
      <c r="U172" s="8">
        <v>21317.144</v>
      </c>
      <c r="V172" s="8">
        <v>18105.295999999998</v>
      </c>
      <c r="W172" s="8">
        <v>14010.056</v>
      </c>
      <c r="X172" s="8">
        <v>9682.8070000000007</v>
      </c>
      <c r="Y172" s="8">
        <v>5727.1940000000004</v>
      </c>
      <c r="Z172" s="8">
        <v>2427.2930000000001</v>
      </c>
      <c r="AA172" s="8">
        <v>666.08900000000006</v>
      </c>
      <c r="AB172" s="8">
        <v>109.03400000000001</v>
      </c>
      <c r="AC172" s="8">
        <v>9.3309999999999995</v>
      </c>
    </row>
    <row r="173" spans="1:29" ht="11.65" hidden="1" x14ac:dyDescent="0.35">
      <c r="A173" s="12">
        <v>156</v>
      </c>
      <c r="B173" s="10" t="s">
        <v>1015</v>
      </c>
      <c r="C173" s="36" t="s">
        <v>1038</v>
      </c>
      <c r="D173" s="9" t="s">
        <v>1039</v>
      </c>
      <c r="E173" s="9">
        <v>1503</v>
      </c>
      <c r="F173" s="10" t="s">
        <v>1040</v>
      </c>
      <c r="G173" s="9">
        <v>1802</v>
      </c>
      <c r="H173" s="9">
        <v>1975</v>
      </c>
      <c r="I173" s="8">
        <v>37474.67</v>
      </c>
      <c r="J173" s="8">
        <v>38529.874000000003</v>
      </c>
      <c r="K173" s="8">
        <v>40114.285000000003</v>
      </c>
      <c r="L173" s="8">
        <v>39360.269999999997</v>
      </c>
      <c r="M173" s="8">
        <v>37631.620999999999</v>
      </c>
      <c r="N173" s="8">
        <v>35942.322</v>
      </c>
      <c r="O173" s="8">
        <v>30386.792000000001</v>
      </c>
      <c r="P173" s="8">
        <v>28599.89</v>
      </c>
      <c r="Q173" s="8">
        <v>27539.696</v>
      </c>
      <c r="R173" s="8">
        <v>27381.982</v>
      </c>
      <c r="S173" s="8">
        <v>26709.08</v>
      </c>
      <c r="T173" s="8">
        <v>21013.99</v>
      </c>
      <c r="U173" s="8">
        <v>22234.525000000001</v>
      </c>
      <c r="V173" s="8">
        <v>19915.633999999998</v>
      </c>
      <c r="W173" s="8">
        <v>15788.259</v>
      </c>
      <c r="X173" s="8">
        <v>11185.001</v>
      </c>
      <c r="Y173" s="8">
        <v>6678.4920000000002</v>
      </c>
      <c r="Z173" s="8">
        <v>2982.8960000000002</v>
      </c>
      <c r="AA173" s="8">
        <v>872.01</v>
      </c>
      <c r="AB173" s="8">
        <v>145.91399999999999</v>
      </c>
      <c r="AC173" s="8">
        <v>13.808999999999999</v>
      </c>
    </row>
    <row r="174" spans="1:29" ht="11.65" hidden="1" x14ac:dyDescent="0.35">
      <c r="A174" s="12">
        <v>157</v>
      </c>
      <c r="B174" s="10" t="s">
        <v>1015</v>
      </c>
      <c r="C174" s="36" t="s">
        <v>1038</v>
      </c>
      <c r="D174" s="9" t="s">
        <v>1039</v>
      </c>
      <c r="E174" s="9">
        <v>1503</v>
      </c>
      <c r="F174" s="10" t="s">
        <v>1040</v>
      </c>
      <c r="G174" s="9">
        <v>1802</v>
      </c>
      <c r="H174" s="9">
        <v>1980</v>
      </c>
      <c r="I174" s="8">
        <v>35767.561999999998</v>
      </c>
      <c r="J174" s="8">
        <v>37477.472000000002</v>
      </c>
      <c r="K174" s="8">
        <v>38847.285000000003</v>
      </c>
      <c r="L174" s="8">
        <v>40518.987000000001</v>
      </c>
      <c r="M174" s="8">
        <v>39668.25</v>
      </c>
      <c r="N174" s="8">
        <v>37707.677000000003</v>
      </c>
      <c r="O174" s="8">
        <v>36102.481</v>
      </c>
      <c r="P174" s="8">
        <v>30338.554</v>
      </c>
      <c r="Q174" s="8">
        <v>28548.684000000001</v>
      </c>
      <c r="R174" s="8">
        <v>27302.794999999998</v>
      </c>
      <c r="S174" s="8">
        <v>27029.608</v>
      </c>
      <c r="T174" s="8">
        <v>26131.346000000001</v>
      </c>
      <c r="U174" s="8">
        <v>20279.606</v>
      </c>
      <c r="V174" s="8">
        <v>20992.562000000002</v>
      </c>
      <c r="W174" s="8">
        <v>17741.440999999999</v>
      </c>
      <c r="X174" s="8">
        <v>12993.397999999999</v>
      </c>
      <c r="Y174" s="8">
        <v>7775.7910000000002</v>
      </c>
      <c r="Z174" s="8">
        <v>3671.2220000000002</v>
      </c>
      <c r="AA174" s="8">
        <v>1148.8589999999999</v>
      </c>
      <c r="AB174" s="8">
        <v>212.01900000000001</v>
      </c>
      <c r="AC174" s="8">
        <v>20.492000000000001</v>
      </c>
    </row>
    <row r="175" spans="1:29" ht="11.65" hidden="1" x14ac:dyDescent="0.35">
      <c r="A175" s="12">
        <v>158</v>
      </c>
      <c r="B175" s="10" t="s">
        <v>1015</v>
      </c>
      <c r="C175" s="36" t="s">
        <v>1038</v>
      </c>
      <c r="D175" s="9" t="s">
        <v>1039</v>
      </c>
      <c r="E175" s="9">
        <v>1503</v>
      </c>
      <c r="F175" s="10" t="s">
        <v>1040</v>
      </c>
      <c r="G175" s="9">
        <v>1802</v>
      </c>
      <c r="H175" s="9">
        <v>1985</v>
      </c>
      <c r="I175" s="8">
        <v>35819.875</v>
      </c>
      <c r="J175" s="8">
        <v>35955.432999999997</v>
      </c>
      <c r="K175" s="8">
        <v>37866.370000000003</v>
      </c>
      <c r="L175" s="8">
        <v>39256.692000000003</v>
      </c>
      <c r="M175" s="8">
        <v>40889.417000000001</v>
      </c>
      <c r="N175" s="8">
        <v>39986.491000000002</v>
      </c>
      <c r="O175" s="8">
        <v>38079.061999999998</v>
      </c>
      <c r="P175" s="8">
        <v>36113.17</v>
      </c>
      <c r="Q175" s="8">
        <v>30264.915000000001</v>
      </c>
      <c r="R175" s="8">
        <v>28261.503000000001</v>
      </c>
      <c r="S175" s="8">
        <v>26877.017</v>
      </c>
      <c r="T175" s="8">
        <v>26344.006000000001</v>
      </c>
      <c r="U175" s="8">
        <v>25080.839</v>
      </c>
      <c r="V175" s="8">
        <v>19105.677</v>
      </c>
      <c r="W175" s="8">
        <v>18800.088</v>
      </c>
      <c r="X175" s="8">
        <v>14723.499</v>
      </c>
      <c r="Y175" s="8">
        <v>9325.5810000000001</v>
      </c>
      <c r="Z175" s="8">
        <v>4421.9989999999998</v>
      </c>
      <c r="AA175" s="8">
        <v>1500.69</v>
      </c>
      <c r="AB175" s="8">
        <v>298.71800000000002</v>
      </c>
      <c r="AC175" s="8">
        <v>32.383000000000003</v>
      </c>
    </row>
    <row r="176" spans="1:29" ht="11.65" hidden="1" x14ac:dyDescent="0.35">
      <c r="A176" s="12">
        <v>159</v>
      </c>
      <c r="B176" s="10" t="s">
        <v>1015</v>
      </c>
      <c r="C176" s="36" t="s">
        <v>1038</v>
      </c>
      <c r="D176" s="9" t="s">
        <v>1039</v>
      </c>
      <c r="E176" s="9">
        <v>1503</v>
      </c>
      <c r="F176" s="10" t="s">
        <v>1040</v>
      </c>
      <c r="G176" s="9">
        <v>1802</v>
      </c>
      <c r="H176" s="9">
        <v>1990</v>
      </c>
      <c r="I176" s="8">
        <v>35519.741000000002</v>
      </c>
      <c r="J176" s="8">
        <v>36054.07</v>
      </c>
      <c r="K176" s="8">
        <v>36550.483</v>
      </c>
      <c r="L176" s="8">
        <v>38431.231</v>
      </c>
      <c r="M176" s="8">
        <v>39818.319000000003</v>
      </c>
      <c r="N176" s="8">
        <v>41253.565999999999</v>
      </c>
      <c r="O176" s="8">
        <v>40469.510999999999</v>
      </c>
      <c r="P176" s="8">
        <v>38116.116000000002</v>
      </c>
      <c r="Q176" s="8">
        <v>36105.68</v>
      </c>
      <c r="R176" s="8">
        <v>29973.338</v>
      </c>
      <c r="S176" s="8">
        <v>27848.010999999999</v>
      </c>
      <c r="T176" s="8">
        <v>26244.356</v>
      </c>
      <c r="U176" s="8">
        <v>25478.396000000001</v>
      </c>
      <c r="V176" s="8">
        <v>23801.791000000001</v>
      </c>
      <c r="W176" s="8">
        <v>17289.902999999998</v>
      </c>
      <c r="X176" s="8">
        <v>15900.804</v>
      </c>
      <c r="Y176" s="8">
        <v>10919.166999999999</v>
      </c>
      <c r="Z176" s="8">
        <v>5542.1260000000002</v>
      </c>
      <c r="AA176" s="8">
        <v>1871.9760000000001</v>
      </c>
      <c r="AB176" s="8">
        <v>404.11500000000001</v>
      </c>
      <c r="AC176" s="8">
        <v>46.396999999999998</v>
      </c>
    </row>
    <row r="177" spans="1:29" ht="11.65" hidden="1" x14ac:dyDescent="0.35">
      <c r="A177" s="12">
        <v>160</v>
      </c>
      <c r="B177" s="10" t="s">
        <v>1015</v>
      </c>
      <c r="C177" s="36" t="s">
        <v>1038</v>
      </c>
      <c r="D177" s="9" t="s">
        <v>1039</v>
      </c>
      <c r="E177" s="9">
        <v>1503</v>
      </c>
      <c r="F177" s="10" t="s">
        <v>1040</v>
      </c>
      <c r="G177" s="9">
        <v>1802</v>
      </c>
      <c r="H177" s="9">
        <v>1995</v>
      </c>
      <c r="I177" s="8">
        <v>35258.775999999998</v>
      </c>
      <c r="J177" s="8">
        <v>35819.366000000002</v>
      </c>
      <c r="K177" s="8">
        <v>36744.099000000002</v>
      </c>
      <c r="L177" s="8">
        <v>37208.527000000002</v>
      </c>
      <c r="M177" s="8">
        <v>38979.377999999997</v>
      </c>
      <c r="N177" s="8">
        <v>40449.733999999997</v>
      </c>
      <c r="O177" s="8">
        <v>42012.713000000003</v>
      </c>
      <c r="P177" s="8">
        <v>40761.947</v>
      </c>
      <c r="Q177" s="8">
        <v>38149.197999999997</v>
      </c>
      <c r="R177" s="8">
        <v>35744.671999999999</v>
      </c>
      <c r="S177" s="8">
        <v>29652.335999999999</v>
      </c>
      <c r="T177" s="8">
        <v>27350.327000000001</v>
      </c>
      <c r="U177" s="8">
        <v>25499.882000000001</v>
      </c>
      <c r="V177" s="8">
        <v>24223.5</v>
      </c>
      <c r="W177" s="8">
        <v>21686.245999999999</v>
      </c>
      <c r="X177" s="8">
        <v>14830.74</v>
      </c>
      <c r="Y177" s="8">
        <v>12035.272999999999</v>
      </c>
      <c r="Z177" s="8">
        <v>6768.2370000000001</v>
      </c>
      <c r="AA177" s="8">
        <v>2465.19</v>
      </c>
      <c r="AB177" s="8">
        <v>519.45399999999995</v>
      </c>
      <c r="AC177" s="8">
        <v>64.674000000000007</v>
      </c>
    </row>
    <row r="178" spans="1:29" ht="11.65" hidden="1" x14ac:dyDescent="0.35">
      <c r="A178" s="12">
        <v>161</v>
      </c>
      <c r="B178" s="10" t="s">
        <v>1015</v>
      </c>
      <c r="C178" s="36" t="s">
        <v>1038</v>
      </c>
      <c r="D178" s="9" t="s">
        <v>1039</v>
      </c>
      <c r="E178" s="9">
        <v>1503</v>
      </c>
      <c r="F178" s="10" t="s">
        <v>1040</v>
      </c>
      <c r="G178" s="9">
        <v>1802</v>
      </c>
      <c r="H178" s="9">
        <v>2000</v>
      </c>
      <c r="I178" s="8">
        <v>33703.203999999998</v>
      </c>
      <c r="J178" s="8">
        <v>35844.286999999997</v>
      </c>
      <c r="K178" s="8">
        <v>36526.048999999999</v>
      </c>
      <c r="L178" s="8">
        <v>37279.305</v>
      </c>
      <c r="M178" s="8">
        <v>37995.188999999998</v>
      </c>
      <c r="N178" s="8">
        <v>40213.106</v>
      </c>
      <c r="O178" s="8">
        <v>41322.35</v>
      </c>
      <c r="P178" s="8">
        <v>42466.315000000002</v>
      </c>
      <c r="Q178" s="8">
        <v>40764.269</v>
      </c>
      <c r="R178" s="8">
        <v>37992.896999999997</v>
      </c>
      <c r="S178" s="8">
        <v>35547.892</v>
      </c>
      <c r="T178" s="8">
        <v>29155.281999999999</v>
      </c>
      <c r="U178" s="8">
        <v>26716.565999999999</v>
      </c>
      <c r="V178" s="8">
        <v>24438.435000000001</v>
      </c>
      <c r="W178" s="8">
        <v>22355.791000000001</v>
      </c>
      <c r="X178" s="8">
        <v>18893.058000000001</v>
      </c>
      <c r="Y178" s="8">
        <v>11610.581</v>
      </c>
      <c r="Z178" s="8">
        <v>7682.1959999999999</v>
      </c>
      <c r="AA178" s="8">
        <v>3102.105</v>
      </c>
      <c r="AB178" s="8">
        <v>696.56200000000001</v>
      </c>
      <c r="AC178" s="8">
        <v>80.807000000000002</v>
      </c>
    </row>
    <row r="179" spans="1:29" ht="11.65" hidden="1" x14ac:dyDescent="0.35">
      <c r="A179" s="12">
        <v>162</v>
      </c>
      <c r="B179" s="10" t="s">
        <v>1015</v>
      </c>
      <c r="C179" s="36" t="s">
        <v>1038</v>
      </c>
      <c r="D179" s="9" t="s">
        <v>1039</v>
      </c>
      <c r="E179" s="9">
        <v>1503</v>
      </c>
      <c r="F179" s="10" t="s">
        <v>1040</v>
      </c>
      <c r="G179" s="9">
        <v>1802</v>
      </c>
      <c r="H179" s="9">
        <v>2005</v>
      </c>
      <c r="I179" s="8">
        <v>33314.150999999998</v>
      </c>
      <c r="J179" s="8">
        <v>34033.17</v>
      </c>
      <c r="K179" s="8">
        <v>36472.75</v>
      </c>
      <c r="L179" s="8">
        <v>37241.373</v>
      </c>
      <c r="M179" s="8">
        <v>38446.06</v>
      </c>
      <c r="N179" s="8">
        <v>39472.961000000003</v>
      </c>
      <c r="O179" s="8">
        <v>41401.025999999998</v>
      </c>
      <c r="P179" s="8">
        <v>42058.481</v>
      </c>
      <c r="Q179" s="8">
        <v>42692.991000000002</v>
      </c>
      <c r="R179" s="8">
        <v>40657.726999999999</v>
      </c>
      <c r="S179" s="8">
        <v>37785.071000000004</v>
      </c>
      <c r="T179" s="8">
        <v>35107.148999999998</v>
      </c>
      <c r="U179" s="8">
        <v>28545.868999999999</v>
      </c>
      <c r="V179" s="8">
        <v>25732.507000000001</v>
      </c>
      <c r="W179" s="8">
        <v>22820.727999999999</v>
      </c>
      <c r="X179" s="8">
        <v>19725.615000000002</v>
      </c>
      <c r="Y179" s="8">
        <v>14969.192999999999</v>
      </c>
      <c r="Z179" s="8">
        <v>7706.4920000000002</v>
      </c>
      <c r="AA179" s="8">
        <v>3686.3710000000001</v>
      </c>
      <c r="AB179" s="8">
        <v>913.45600000000002</v>
      </c>
      <c r="AC179" s="8">
        <v>109.35299999999999</v>
      </c>
    </row>
    <row r="180" spans="1:29" ht="11.65" hidden="1" x14ac:dyDescent="0.35">
      <c r="A180" s="12">
        <v>163</v>
      </c>
      <c r="B180" s="10" t="s">
        <v>1015</v>
      </c>
      <c r="C180" s="36" t="s">
        <v>1038</v>
      </c>
      <c r="D180" s="9" t="s">
        <v>1039</v>
      </c>
      <c r="E180" s="9">
        <v>1503</v>
      </c>
      <c r="F180" s="10" t="s">
        <v>1040</v>
      </c>
      <c r="G180" s="9">
        <v>1802</v>
      </c>
      <c r="H180" s="9">
        <v>2010</v>
      </c>
      <c r="I180" s="8">
        <v>34426.917999999998</v>
      </c>
      <c r="J180" s="8">
        <v>33722.654999999999</v>
      </c>
      <c r="K180" s="8">
        <v>34940.955000000002</v>
      </c>
      <c r="L180" s="8">
        <v>37252.36</v>
      </c>
      <c r="M180" s="8">
        <v>38470.688000000002</v>
      </c>
      <c r="N180" s="8">
        <v>40239.629000000001</v>
      </c>
      <c r="O180" s="8">
        <v>41005.216</v>
      </c>
      <c r="P180" s="8">
        <v>42298.673000000003</v>
      </c>
      <c r="Q180" s="8">
        <v>42375.762999999999</v>
      </c>
      <c r="R180" s="8">
        <v>42672.55</v>
      </c>
      <c r="S180" s="8">
        <v>40470.26</v>
      </c>
      <c r="T180" s="8">
        <v>37334.919000000002</v>
      </c>
      <c r="U180" s="8">
        <v>34380.18</v>
      </c>
      <c r="V180" s="8">
        <v>27532.626</v>
      </c>
      <c r="W180" s="8">
        <v>24149.651999999998</v>
      </c>
      <c r="X180" s="8">
        <v>20474.077000000001</v>
      </c>
      <c r="Y180" s="8">
        <v>16248.540999999999</v>
      </c>
      <c r="Z180" s="8">
        <v>10291.415999999999</v>
      </c>
      <c r="AA180" s="8">
        <v>3944.7719999999999</v>
      </c>
      <c r="AB180" s="8">
        <v>1172.538</v>
      </c>
      <c r="AC180" s="8">
        <v>154.76300000000001</v>
      </c>
    </row>
    <row r="181" spans="1:29" ht="11.65" hidden="1" x14ac:dyDescent="0.35">
      <c r="A181" s="12">
        <v>164</v>
      </c>
      <c r="B181" s="10" t="s">
        <v>1015</v>
      </c>
      <c r="C181" s="36" t="s">
        <v>1038</v>
      </c>
      <c r="D181" s="9" t="s">
        <v>1039</v>
      </c>
      <c r="E181" s="9">
        <v>1503</v>
      </c>
      <c r="F181" s="10" t="s">
        <v>1040</v>
      </c>
      <c r="G181" s="9">
        <v>1802</v>
      </c>
      <c r="H181" s="9">
        <v>2015</v>
      </c>
      <c r="I181" s="8">
        <v>33990.798999999999</v>
      </c>
      <c r="J181" s="8">
        <v>34652.982000000004</v>
      </c>
      <c r="K181" s="8">
        <v>33927.733999999997</v>
      </c>
      <c r="L181" s="8">
        <v>35574.347999999998</v>
      </c>
      <c r="M181" s="8">
        <v>38478.837</v>
      </c>
      <c r="N181" s="8">
        <v>40135.764999999999</v>
      </c>
      <c r="O181" s="8">
        <v>41659.732000000004</v>
      </c>
      <c r="P181" s="8">
        <v>41900.22</v>
      </c>
      <c r="Q181" s="8">
        <v>42656.747000000003</v>
      </c>
      <c r="R181" s="8">
        <v>42458.788999999997</v>
      </c>
      <c r="S181" s="8">
        <v>42407.123</v>
      </c>
      <c r="T181" s="8">
        <v>39908.178999999996</v>
      </c>
      <c r="U181" s="8">
        <v>36484.527000000002</v>
      </c>
      <c r="V181" s="8">
        <v>33116.123</v>
      </c>
      <c r="W181" s="8">
        <v>26052.187999999998</v>
      </c>
      <c r="X181" s="8">
        <v>21922.826000000001</v>
      </c>
      <c r="Y181" s="8">
        <v>17094.312999999998</v>
      </c>
      <c r="Z181" s="8">
        <v>11545.050999999999</v>
      </c>
      <c r="AA181" s="8">
        <v>5435.5280000000002</v>
      </c>
      <c r="AB181" s="8">
        <v>1328.326</v>
      </c>
      <c r="AC181" s="8">
        <v>209.65299999999999</v>
      </c>
    </row>
    <row r="182" spans="1:29" ht="11.65" hidden="1" x14ac:dyDescent="0.35">
      <c r="A182" s="12">
        <v>165</v>
      </c>
      <c r="B182" s="10" t="s">
        <v>1015</v>
      </c>
      <c r="C182" s="36" t="s">
        <v>1038</v>
      </c>
      <c r="D182" s="9" t="s">
        <v>1039</v>
      </c>
      <c r="E182" s="9">
        <v>1503</v>
      </c>
      <c r="F182" s="10" t="s">
        <v>1040</v>
      </c>
      <c r="G182" s="9">
        <v>1802</v>
      </c>
      <c r="H182" s="9">
        <v>2020</v>
      </c>
      <c r="I182" s="8">
        <v>33206.14</v>
      </c>
      <c r="J182" s="8">
        <v>34370.586000000003</v>
      </c>
      <c r="K182" s="8">
        <v>34894.624000000003</v>
      </c>
      <c r="L182" s="8">
        <v>34478.639999999999</v>
      </c>
      <c r="M182" s="8">
        <v>36696.764999999999</v>
      </c>
      <c r="N182" s="8">
        <v>39958.072</v>
      </c>
      <c r="O182" s="8">
        <v>41336.523000000001</v>
      </c>
      <c r="P182" s="8">
        <v>42233.9</v>
      </c>
      <c r="Q182" s="8">
        <v>42027.673000000003</v>
      </c>
      <c r="R182" s="8">
        <v>42518.68</v>
      </c>
      <c r="S182" s="8">
        <v>42062.192999999999</v>
      </c>
      <c r="T182" s="8">
        <v>41776.775000000001</v>
      </c>
      <c r="U182" s="8">
        <v>38973.324999999997</v>
      </c>
      <c r="V182" s="8">
        <v>35225.337</v>
      </c>
      <c r="W182" s="8">
        <v>31290.035</v>
      </c>
      <c r="X182" s="8">
        <v>23707.9</v>
      </c>
      <c r="Y182" s="8">
        <v>18413.177</v>
      </c>
      <c r="Z182" s="8">
        <v>12357.539000000001</v>
      </c>
      <c r="AA182" s="8">
        <v>6379.2209999999995</v>
      </c>
      <c r="AB182" s="8">
        <v>1948.107</v>
      </c>
      <c r="AC182" s="8">
        <v>268.33999999999997</v>
      </c>
    </row>
    <row r="183" spans="1:29" ht="11.65" hidden="1" x14ac:dyDescent="0.35">
      <c r="A183" s="12">
        <v>166</v>
      </c>
      <c r="B183" s="10" t="s">
        <v>1015</v>
      </c>
      <c r="C183" s="36" t="s">
        <v>1041</v>
      </c>
      <c r="D183" s="9" t="s">
        <v>1039</v>
      </c>
      <c r="E183" s="9">
        <v>1517</v>
      </c>
      <c r="F183" s="10" t="s">
        <v>1040</v>
      </c>
      <c r="G183" s="9">
        <v>1802</v>
      </c>
      <c r="H183" s="9">
        <v>1950</v>
      </c>
      <c r="I183" s="8">
        <v>118499.90300000001</v>
      </c>
      <c r="J183" s="8">
        <v>92213.519</v>
      </c>
      <c r="K183" s="8">
        <v>90313.705000000002</v>
      </c>
      <c r="L183" s="8">
        <v>81967.388999999996</v>
      </c>
      <c r="M183" s="8">
        <v>75015.909</v>
      </c>
      <c r="N183" s="8">
        <v>64895.677000000003</v>
      </c>
      <c r="O183" s="8">
        <v>56987.603999999999</v>
      </c>
      <c r="P183" s="8">
        <v>53769.222999999998</v>
      </c>
      <c r="Q183" s="8">
        <v>47056.201000000001</v>
      </c>
      <c r="R183" s="8">
        <v>40408.898000000001</v>
      </c>
      <c r="S183" s="8">
        <v>33428.409</v>
      </c>
      <c r="T183" s="8">
        <v>27553.446</v>
      </c>
      <c r="U183" s="8">
        <v>23042.008999999998</v>
      </c>
      <c r="V183" s="8">
        <v>17023.311000000002</v>
      </c>
      <c r="W183" s="8">
        <v>11376.364</v>
      </c>
      <c r="X183" s="8">
        <v>6677.9350000000004</v>
      </c>
      <c r="Y183" s="8">
        <v>2898.9760000000001</v>
      </c>
      <c r="Z183" s="8">
        <v>1005.184</v>
      </c>
      <c r="AA183" s="8">
        <v>298.50099999999998</v>
      </c>
      <c r="AB183" s="8">
        <v>75.188000000000002</v>
      </c>
      <c r="AC183" s="8">
        <v>15.965</v>
      </c>
    </row>
    <row r="184" spans="1:29" ht="11.65" hidden="1" x14ac:dyDescent="0.35">
      <c r="A184" s="12">
        <v>167</v>
      </c>
      <c r="B184" s="10" t="s">
        <v>1015</v>
      </c>
      <c r="C184" s="36" t="s">
        <v>1041</v>
      </c>
      <c r="D184" s="9" t="s">
        <v>1039</v>
      </c>
      <c r="E184" s="9">
        <v>1517</v>
      </c>
      <c r="F184" s="10" t="s">
        <v>1040</v>
      </c>
      <c r="G184" s="9">
        <v>1802</v>
      </c>
      <c r="H184" s="9">
        <v>1955</v>
      </c>
      <c r="I184" s="8">
        <v>149270.641</v>
      </c>
      <c r="J184" s="8">
        <v>109232.803</v>
      </c>
      <c r="K184" s="8">
        <v>89471.45</v>
      </c>
      <c r="L184" s="8">
        <v>88263.539000000004</v>
      </c>
      <c r="M184" s="8">
        <v>79518.229000000007</v>
      </c>
      <c r="N184" s="8">
        <v>72336.845000000001</v>
      </c>
      <c r="O184" s="8">
        <v>62221.483</v>
      </c>
      <c r="P184" s="8">
        <v>54323.896999999997</v>
      </c>
      <c r="Q184" s="8">
        <v>50914.673000000003</v>
      </c>
      <c r="R184" s="8">
        <v>44070.938000000002</v>
      </c>
      <c r="S184" s="8">
        <v>37466.093000000001</v>
      </c>
      <c r="T184" s="8">
        <v>30310.35</v>
      </c>
      <c r="U184" s="8">
        <v>23742.655999999999</v>
      </c>
      <c r="V184" s="8">
        <v>18339.566999999999</v>
      </c>
      <c r="W184" s="8">
        <v>12274.797</v>
      </c>
      <c r="X184" s="8">
        <v>6944.97</v>
      </c>
      <c r="Y184" s="8">
        <v>3265.3910000000001</v>
      </c>
      <c r="Z184" s="8">
        <v>1049.479</v>
      </c>
      <c r="AA184" s="8">
        <v>262.01799999999997</v>
      </c>
      <c r="AB184" s="8">
        <v>52.378</v>
      </c>
      <c r="AC184" s="8">
        <v>9.7260000000000009</v>
      </c>
    </row>
    <row r="185" spans="1:29" ht="11.65" hidden="1" x14ac:dyDescent="0.35">
      <c r="A185" s="12">
        <v>168</v>
      </c>
      <c r="B185" s="10" t="s">
        <v>1015</v>
      </c>
      <c r="C185" s="36" t="s">
        <v>1041</v>
      </c>
      <c r="D185" s="9" t="s">
        <v>1039</v>
      </c>
      <c r="E185" s="9">
        <v>1517</v>
      </c>
      <c r="F185" s="10" t="s">
        <v>1040</v>
      </c>
      <c r="G185" s="9">
        <v>1802</v>
      </c>
      <c r="H185" s="9">
        <v>1960</v>
      </c>
      <c r="I185" s="8">
        <v>158780.538</v>
      </c>
      <c r="J185" s="8">
        <v>139145.967</v>
      </c>
      <c r="K185" s="8">
        <v>106480.58</v>
      </c>
      <c r="L185" s="8">
        <v>87434.853000000003</v>
      </c>
      <c r="M185" s="8">
        <v>85971.676999999996</v>
      </c>
      <c r="N185" s="8">
        <v>77037.432000000001</v>
      </c>
      <c r="O185" s="8">
        <v>69793.438999999998</v>
      </c>
      <c r="P185" s="8">
        <v>59623.898000000001</v>
      </c>
      <c r="Q185" s="8">
        <v>51534.616999999998</v>
      </c>
      <c r="R185" s="8">
        <v>48054.052000000003</v>
      </c>
      <c r="S185" s="8">
        <v>41033.964999999997</v>
      </c>
      <c r="T185" s="8">
        <v>34130.605000000003</v>
      </c>
      <c r="U185" s="8">
        <v>26374.059000000001</v>
      </c>
      <c r="V185" s="8">
        <v>19173.634999999998</v>
      </c>
      <c r="W185" s="8">
        <v>13352.883</v>
      </c>
      <c r="X185" s="8">
        <v>7487.1660000000002</v>
      </c>
      <c r="Y185" s="8">
        <v>3292.431</v>
      </c>
      <c r="Z185" s="8">
        <v>1173.7809999999999</v>
      </c>
      <c r="AA185" s="8">
        <v>264.52999999999997</v>
      </c>
      <c r="AB185" s="8">
        <v>47.619</v>
      </c>
      <c r="AC185" s="8">
        <v>7.3710000000000004</v>
      </c>
    </row>
    <row r="186" spans="1:29" ht="11.65" hidden="1" x14ac:dyDescent="0.35">
      <c r="A186" s="12">
        <v>169</v>
      </c>
      <c r="B186" s="10" t="s">
        <v>1015</v>
      </c>
      <c r="C186" s="36" t="s">
        <v>1041</v>
      </c>
      <c r="D186" s="9" t="s">
        <v>1039</v>
      </c>
      <c r="E186" s="9">
        <v>1517</v>
      </c>
      <c r="F186" s="10" t="s">
        <v>1040</v>
      </c>
      <c r="G186" s="9">
        <v>1802</v>
      </c>
      <c r="H186" s="9">
        <v>1965</v>
      </c>
      <c r="I186" s="8">
        <v>178205.663</v>
      </c>
      <c r="J186" s="8">
        <v>148897.42600000001</v>
      </c>
      <c r="K186" s="8">
        <v>135702.38</v>
      </c>
      <c r="L186" s="8">
        <v>104264.24400000001</v>
      </c>
      <c r="M186" s="8">
        <v>85209.179000000004</v>
      </c>
      <c r="N186" s="8">
        <v>83525.646999999997</v>
      </c>
      <c r="O186" s="8">
        <v>74372.680999999997</v>
      </c>
      <c r="P186" s="8">
        <v>67134.967999999993</v>
      </c>
      <c r="Q186" s="8">
        <v>56939.697999999997</v>
      </c>
      <c r="R186" s="8">
        <v>48724.565000000002</v>
      </c>
      <c r="S186" s="8">
        <v>45130.455000000002</v>
      </c>
      <c r="T186" s="8">
        <v>37719.999000000003</v>
      </c>
      <c r="U186" s="8">
        <v>29977.531999999999</v>
      </c>
      <c r="V186" s="8">
        <v>21561.425999999999</v>
      </c>
      <c r="W186" s="8">
        <v>14164.133</v>
      </c>
      <c r="X186" s="8">
        <v>8608.3189999999995</v>
      </c>
      <c r="Y186" s="8">
        <v>3946.5680000000002</v>
      </c>
      <c r="Z186" s="8">
        <v>1307.0160000000001</v>
      </c>
      <c r="AA186" s="8">
        <v>336.78899999999999</v>
      </c>
      <c r="AB186" s="8">
        <v>51.768999999999998</v>
      </c>
      <c r="AC186" s="8">
        <v>7.0780000000000003</v>
      </c>
    </row>
    <row r="187" spans="1:29" ht="11.65" hidden="1" x14ac:dyDescent="0.35">
      <c r="A187" s="12">
        <v>170</v>
      </c>
      <c r="B187" s="10" t="s">
        <v>1015</v>
      </c>
      <c r="C187" s="36" t="s">
        <v>1041</v>
      </c>
      <c r="D187" s="9" t="s">
        <v>1039</v>
      </c>
      <c r="E187" s="9">
        <v>1517</v>
      </c>
      <c r="F187" s="10" t="s">
        <v>1040</v>
      </c>
      <c r="G187" s="9">
        <v>1802</v>
      </c>
      <c r="H187" s="9">
        <v>1970</v>
      </c>
      <c r="I187" s="8">
        <v>199457.68400000001</v>
      </c>
      <c r="J187" s="8">
        <v>169810.962</v>
      </c>
      <c r="K187" s="8">
        <v>146373.22399999999</v>
      </c>
      <c r="L187" s="8">
        <v>133554.9</v>
      </c>
      <c r="M187" s="8">
        <v>102206.02800000001</v>
      </c>
      <c r="N187" s="8">
        <v>83208.52</v>
      </c>
      <c r="O187" s="8">
        <v>81392.191000000006</v>
      </c>
      <c r="P187" s="8">
        <v>71982.025999999998</v>
      </c>
      <c r="Q187" s="8">
        <v>64762.982000000004</v>
      </c>
      <c r="R187" s="8">
        <v>54657.474999999999</v>
      </c>
      <c r="S187" s="8">
        <v>46054.040999999997</v>
      </c>
      <c r="T187" s="8">
        <v>42084.084999999999</v>
      </c>
      <c r="U187" s="8">
        <v>34075.017</v>
      </c>
      <c r="V187" s="8">
        <v>25609.505000000001</v>
      </c>
      <c r="W187" s="8">
        <v>16924.216</v>
      </c>
      <c r="X187" s="8">
        <v>9666.9680000000008</v>
      </c>
      <c r="Y187" s="8">
        <v>4937.2730000000001</v>
      </c>
      <c r="Z187" s="8">
        <v>1690.8489999999999</v>
      </c>
      <c r="AA187" s="8">
        <v>396.05799999999999</v>
      </c>
      <c r="AB187" s="8">
        <v>70.174999999999997</v>
      </c>
      <c r="AC187" s="8">
        <v>8.0990000000000002</v>
      </c>
    </row>
    <row r="188" spans="1:29" ht="11.65" hidden="1" x14ac:dyDescent="0.35">
      <c r="A188" s="12">
        <v>171</v>
      </c>
      <c r="B188" s="10" t="s">
        <v>1015</v>
      </c>
      <c r="C188" s="36" t="s">
        <v>1041</v>
      </c>
      <c r="D188" s="9" t="s">
        <v>1039</v>
      </c>
      <c r="E188" s="9">
        <v>1517</v>
      </c>
      <c r="F188" s="10" t="s">
        <v>1040</v>
      </c>
      <c r="G188" s="9">
        <v>1802</v>
      </c>
      <c r="H188" s="9">
        <v>1975</v>
      </c>
      <c r="I188" s="8">
        <v>207253.07500000001</v>
      </c>
      <c r="J188" s="8">
        <v>191460.788</v>
      </c>
      <c r="K188" s="8">
        <v>167248.57699999999</v>
      </c>
      <c r="L188" s="8">
        <v>144086.353</v>
      </c>
      <c r="M188" s="8">
        <v>131018.20699999999</v>
      </c>
      <c r="N188" s="8">
        <v>100226.409</v>
      </c>
      <c r="O188" s="8">
        <v>81535.009999999995</v>
      </c>
      <c r="P188" s="8">
        <v>79620.320000000094</v>
      </c>
      <c r="Q188" s="8">
        <v>70077.759999999995</v>
      </c>
      <c r="R188" s="8">
        <v>62690.527000000002</v>
      </c>
      <c r="S188" s="8">
        <v>52490.22</v>
      </c>
      <c r="T188" s="8">
        <v>43320.750999999997</v>
      </c>
      <c r="U188" s="8">
        <v>38342.120999999999</v>
      </c>
      <c r="V188" s="8">
        <v>29562.231</v>
      </c>
      <c r="W188" s="8">
        <v>20506.044999999998</v>
      </c>
      <c r="X188" s="8">
        <v>11816.338</v>
      </c>
      <c r="Y188" s="8">
        <v>5588.6620000000003</v>
      </c>
      <c r="Z188" s="8">
        <v>2146.6129999999998</v>
      </c>
      <c r="AA188" s="8">
        <v>514.96600000000001</v>
      </c>
      <c r="AB188" s="8">
        <v>82.793999999999997</v>
      </c>
      <c r="AC188" s="8">
        <v>10.893000000000001</v>
      </c>
    </row>
    <row r="189" spans="1:29" ht="11.65" hidden="1" x14ac:dyDescent="0.35">
      <c r="A189" s="12">
        <v>172</v>
      </c>
      <c r="B189" s="10" t="s">
        <v>1015</v>
      </c>
      <c r="C189" s="36" t="s">
        <v>1041</v>
      </c>
      <c r="D189" s="9" t="s">
        <v>1039</v>
      </c>
      <c r="E189" s="9">
        <v>1517</v>
      </c>
      <c r="F189" s="10" t="s">
        <v>1040</v>
      </c>
      <c r="G189" s="9">
        <v>1802</v>
      </c>
      <c r="H189" s="9">
        <v>1980</v>
      </c>
      <c r="I189" s="8">
        <v>207440.72899999999</v>
      </c>
      <c r="J189" s="8">
        <v>200457.04500000001</v>
      </c>
      <c r="K189" s="8">
        <v>189263.636</v>
      </c>
      <c r="L189" s="8">
        <v>165487.321</v>
      </c>
      <c r="M189" s="8">
        <v>141964.226</v>
      </c>
      <c r="N189" s="8">
        <v>128848.236</v>
      </c>
      <c r="O189" s="8">
        <v>98438.592000000004</v>
      </c>
      <c r="P189" s="8">
        <v>79896.538</v>
      </c>
      <c r="Q189" s="8">
        <v>77860.774999999994</v>
      </c>
      <c r="R189" s="8">
        <v>68111.34</v>
      </c>
      <c r="S189" s="8">
        <v>60356.144999999997</v>
      </c>
      <c r="T189" s="8">
        <v>49699.141000000003</v>
      </c>
      <c r="U189" s="8">
        <v>39833.993999999999</v>
      </c>
      <c r="V189" s="8">
        <v>33685.368999999999</v>
      </c>
      <c r="W189" s="8">
        <v>24051.386999999999</v>
      </c>
      <c r="X189" s="8">
        <v>14712.06</v>
      </c>
      <c r="Y189" s="8">
        <v>6942.8509999999997</v>
      </c>
      <c r="Z189" s="8">
        <v>2486.7310000000002</v>
      </c>
      <c r="AA189" s="8">
        <v>692.04899999999998</v>
      </c>
      <c r="AB189" s="8">
        <v>116.764</v>
      </c>
      <c r="AC189" s="8">
        <v>14.509</v>
      </c>
    </row>
    <row r="190" spans="1:29" ht="11.65" hidden="1" x14ac:dyDescent="0.35">
      <c r="A190" s="12">
        <v>173</v>
      </c>
      <c r="B190" s="10" t="s">
        <v>1015</v>
      </c>
      <c r="C190" s="36" t="s">
        <v>1041</v>
      </c>
      <c r="D190" s="9" t="s">
        <v>1039</v>
      </c>
      <c r="E190" s="9">
        <v>1517</v>
      </c>
      <c r="F190" s="10" t="s">
        <v>1040</v>
      </c>
      <c r="G190" s="9">
        <v>1802</v>
      </c>
      <c r="H190" s="9">
        <v>1985</v>
      </c>
      <c r="I190" s="8">
        <v>224340.60500000001</v>
      </c>
      <c r="J190" s="8">
        <v>201787.53599999999</v>
      </c>
      <c r="K190" s="8">
        <v>198636.16399999999</v>
      </c>
      <c r="L190" s="8">
        <v>187684.87700000001</v>
      </c>
      <c r="M190" s="8">
        <v>163592.473</v>
      </c>
      <c r="N190" s="8">
        <v>140098.11600000001</v>
      </c>
      <c r="O190" s="8">
        <v>127155.537</v>
      </c>
      <c r="P190" s="8">
        <v>97050.739000000001</v>
      </c>
      <c r="Q190" s="8">
        <v>78442.891000000003</v>
      </c>
      <c r="R190" s="8">
        <v>75986.717999999993</v>
      </c>
      <c r="S190" s="8">
        <v>65851.938999999998</v>
      </c>
      <c r="T190" s="8">
        <v>57458.080000000002</v>
      </c>
      <c r="U190" s="8">
        <v>45965.828999999998</v>
      </c>
      <c r="V190" s="8">
        <v>35183.451000000001</v>
      </c>
      <c r="W190" s="8">
        <v>27749.381000000001</v>
      </c>
      <c r="X190" s="8">
        <v>17514.199000000001</v>
      </c>
      <c r="Y190" s="8">
        <v>8856.3829999999998</v>
      </c>
      <c r="Z190" s="8">
        <v>3150.431</v>
      </c>
      <c r="AA190" s="8">
        <v>802.36599999999999</v>
      </c>
      <c r="AB190" s="8">
        <v>157.89699999999999</v>
      </c>
      <c r="AC190" s="8">
        <v>19.687000000000001</v>
      </c>
    </row>
    <row r="191" spans="1:29" ht="11.65" hidden="1" x14ac:dyDescent="0.35">
      <c r="A191" s="12">
        <v>174</v>
      </c>
      <c r="B191" s="10" t="s">
        <v>1015</v>
      </c>
      <c r="C191" s="36" t="s">
        <v>1041</v>
      </c>
      <c r="D191" s="9" t="s">
        <v>1039</v>
      </c>
      <c r="E191" s="9">
        <v>1517</v>
      </c>
      <c r="F191" s="10" t="s">
        <v>1040</v>
      </c>
      <c r="G191" s="9">
        <v>1802</v>
      </c>
      <c r="H191" s="9">
        <v>1990</v>
      </c>
      <c r="I191" s="8">
        <v>246117.33</v>
      </c>
      <c r="J191" s="8">
        <v>218829.212</v>
      </c>
      <c r="K191" s="8">
        <v>200074.92600000001</v>
      </c>
      <c r="L191" s="8">
        <v>196918.2</v>
      </c>
      <c r="M191" s="8">
        <v>185148.152</v>
      </c>
      <c r="N191" s="8">
        <v>161156.75399999999</v>
      </c>
      <c r="O191" s="8">
        <v>138199.315</v>
      </c>
      <c r="P191" s="8">
        <v>125468.674</v>
      </c>
      <c r="Q191" s="8">
        <v>95444.111999999994</v>
      </c>
      <c r="R191" s="8">
        <v>76695.524000000005</v>
      </c>
      <c r="S191" s="8">
        <v>73621.679000000004</v>
      </c>
      <c r="T191" s="8">
        <v>62888.17</v>
      </c>
      <c r="U191" s="8">
        <v>53427.874000000003</v>
      </c>
      <c r="V191" s="8">
        <v>40843.942000000003</v>
      </c>
      <c r="W191" s="8">
        <v>29052.813999999998</v>
      </c>
      <c r="X191" s="8">
        <v>20508.852999999999</v>
      </c>
      <c r="Y191" s="8">
        <v>10855.37</v>
      </c>
      <c r="Z191" s="8">
        <v>4147.0249999999996</v>
      </c>
      <c r="AA191" s="8">
        <v>1051.422</v>
      </c>
      <c r="AB191" s="8">
        <v>187.37700000000001</v>
      </c>
      <c r="AC191" s="8">
        <v>27.097999999999999</v>
      </c>
    </row>
    <row r="192" spans="1:29" ht="11.65" hidden="1" x14ac:dyDescent="0.35">
      <c r="A192" s="12">
        <v>175</v>
      </c>
      <c r="B192" s="10" t="s">
        <v>1015</v>
      </c>
      <c r="C192" s="36" t="s">
        <v>1041</v>
      </c>
      <c r="D192" s="9" t="s">
        <v>1039</v>
      </c>
      <c r="E192" s="9">
        <v>1517</v>
      </c>
      <c r="F192" s="10" t="s">
        <v>1040</v>
      </c>
      <c r="G192" s="9">
        <v>1802</v>
      </c>
      <c r="H192" s="9">
        <v>1995</v>
      </c>
      <c r="I192" s="8">
        <v>229650.076</v>
      </c>
      <c r="J192" s="8">
        <v>241184.48</v>
      </c>
      <c r="K192" s="8">
        <v>217126.215</v>
      </c>
      <c r="L192" s="8">
        <v>198124.44699999999</v>
      </c>
      <c r="M192" s="8">
        <v>193906.6</v>
      </c>
      <c r="N192" s="8">
        <v>182459.307</v>
      </c>
      <c r="O192" s="8">
        <v>158950.6</v>
      </c>
      <c r="P192" s="8">
        <v>136218.66099999999</v>
      </c>
      <c r="Q192" s="8">
        <v>123461.916</v>
      </c>
      <c r="R192" s="8">
        <v>93423.197</v>
      </c>
      <c r="S192" s="8">
        <v>74408.316999999995</v>
      </c>
      <c r="T192" s="8">
        <v>70323.369000000006</v>
      </c>
      <c r="U192" s="8">
        <v>58618.277999999998</v>
      </c>
      <c r="V192" s="8">
        <v>47758.953000000001</v>
      </c>
      <c r="W192" s="8">
        <v>34021.097000000002</v>
      </c>
      <c r="X192" s="8">
        <v>21726.092000000001</v>
      </c>
      <c r="Y192" s="8">
        <v>12947.941999999999</v>
      </c>
      <c r="Z192" s="8">
        <v>5174.9520000000002</v>
      </c>
      <c r="AA192" s="8">
        <v>1399.14</v>
      </c>
      <c r="AB192" s="8">
        <v>244.89400000000001</v>
      </c>
      <c r="AC192" s="8">
        <v>32.505000000000003</v>
      </c>
    </row>
    <row r="193" spans="1:29" ht="11.65" hidden="1" x14ac:dyDescent="0.35">
      <c r="A193" s="12">
        <v>176</v>
      </c>
      <c r="B193" s="10" t="s">
        <v>1015</v>
      </c>
      <c r="C193" s="36" t="s">
        <v>1041</v>
      </c>
      <c r="D193" s="9" t="s">
        <v>1039</v>
      </c>
      <c r="E193" s="9">
        <v>1517</v>
      </c>
      <c r="F193" s="10" t="s">
        <v>1040</v>
      </c>
      <c r="G193" s="9">
        <v>1802</v>
      </c>
      <c r="H193" s="9">
        <v>2000</v>
      </c>
      <c r="I193" s="8">
        <v>224112.77600000001</v>
      </c>
      <c r="J193" s="8">
        <v>225345.17</v>
      </c>
      <c r="K193" s="8">
        <v>239416.45</v>
      </c>
      <c r="L193" s="8">
        <v>215265.23499999999</v>
      </c>
      <c r="M193" s="8">
        <v>195183.86</v>
      </c>
      <c r="N193" s="8">
        <v>191139.951</v>
      </c>
      <c r="O193" s="8">
        <v>180256.05900000001</v>
      </c>
      <c r="P193" s="8">
        <v>157058.50099999999</v>
      </c>
      <c r="Q193" s="8">
        <v>134299.94899999999</v>
      </c>
      <c r="R193" s="8">
        <v>121134.11</v>
      </c>
      <c r="S193" s="8">
        <v>90761.910999999993</v>
      </c>
      <c r="T193" s="8">
        <v>71222.986999999994</v>
      </c>
      <c r="U193" s="8">
        <v>65822.808999999994</v>
      </c>
      <c r="V193" s="8">
        <v>52757.381999999998</v>
      </c>
      <c r="W193" s="8">
        <v>40298.205000000002</v>
      </c>
      <c r="X193" s="8">
        <v>25783.653999999999</v>
      </c>
      <c r="Y193" s="8">
        <v>13826.07</v>
      </c>
      <c r="Z193" s="8">
        <v>6289.8829999999998</v>
      </c>
      <c r="AA193" s="8">
        <v>1774.027</v>
      </c>
      <c r="AB193" s="8">
        <v>329.41800000000001</v>
      </c>
      <c r="AC193" s="8">
        <v>41.963000000000001</v>
      </c>
    </row>
    <row r="194" spans="1:29" ht="11.65" hidden="1" x14ac:dyDescent="0.35">
      <c r="A194" s="12">
        <v>177</v>
      </c>
      <c r="B194" s="10" t="s">
        <v>1015</v>
      </c>
      <c r="C194" s="36" t="s">
        <v>1041</v>
      </c>
      <c r="D194" s="9" t="s">
        <v>1039</v>
      </c>
      <c r="E194" s="9">
        <v>1517</v>
      </c>
      <c r="F194" s="10" t="s">
        <v>1040</v>
      </c>
      <c r="G194" s="9">
        <v>1802</v>
      </c>
      <c r="H194" s="9">
        <v>2005</v>
      </c>
      <c r="I194" s="8">
        <v>224848.12700000001</v>
      </c>
      <c r="J194" s="8">
        <v>221170.37</v>
      </c>
      <c r="K194" s="8">
        <v>224196.75</v>
      </c>
      <c r="L194" s="8">
        <v>237288.774</v>
      </c>
      <c r="M194" s="8">
        <v>211862.435</v>
      </c>
      <c r="N194" s="8">
        <v>192176.67</v>
      </c>
      <c r="O194" s="8">
        <v>188301.652</v>
      </c>
      <c r="P194" s="8">
        <v>177621.55300000001</v>
      </c>
      <c r="Q194" s="8">
        <v>154346.85999999999</v>
      </c>
      <c r="R194" s="8">
        <v>131199.587</v>
      </c>
      <c r="S194" s="8">
        <v>117811.901</v>
      </c>
      <c r="T194" s="8">
        <v>87309.264999999999</v>
      </c>
      <c r="U194" s="8">
        <v>66743.001000000004</v>
      </c>
      <c r="V194" s="8">
        <v>59210.27</v>
      </c>
      <c r="W194" s="8">
        <v>44561.152000000002</v>
      </c>
      <c r="X194" s="8">
        <v>30657.125</v>
      </c>
      <c r="Y194" s="8">
        <v>16643.058000000001</v>
      </c>
      <c r="Z194" s="8">
        <v>6871.723</v>
      </c>
      <c r="AA194" s="8">
        <v>2231.7890000000002</v>
      </c>
      <c r="AB194" s="8">
        <v>427.589</v>
      </c>
      <c r="AC194" s="8">
        <v>58.228000000000002</v>
      </c>
    </row>
    <row r="195" spans="1:29" ht="11.65" hidden="1" x14ac:dyDescent="0.35">
      <c r="A195" s="12">
        <v>178</v>
      </c>
      <c r="B195" s="10" t="s">
        <v>1015</v>
      </c>
      <c r="C195" s="36" t="s">
        <v>1041</v>
      </c>
      <c r="D195" s="9" t="s">
        <v>1039</v>
      </c>
      <c r="E195" s="9">
        <v>1517</v>
      </c>
      <c r="F195" s="10" t="s">
        <v>1040</v>
      </c>
      <c r="G195" s="9">
        <v>1802</v>
      </c>
      <c r="H195" s="9">
        <v>2010</v>
      </c>
      <c r="I195" s="8">
        <v>230753.90900000001</v>
      </c>
      <c r="J195" s="8">
        <v>221990.74100000001</v>
      </c>
      <c r="K195" s="8">
        <v>219624.323</v>
      </c>
      <c r="L195" s="8">
        <v>222022.15599999999</v>
      </c>
      <c r="M195" s="8">
        <v>233585.372</v>
      </c>
      <c r="N195" s="8">
        <v>208929.924</v>
      </c>
      <c r="O195" s="8">
        <v>189152.50399999999</v>
      </c>
      <c r="P195" s="8">
        <v>185791.038</v>
      </c>
      <c r="Q195" s="8">
        <v>175012.13800000001</v>
      </c>
      <c r="R195" s="8">
        <v>151837.717</v>
      </c>
      <c r="S195" s="8">
        <v>128103.98</v>
      </c>
      <c r="T195" s="8">
        <v>113360.564</v>
      </c>
      <c r="U195" s="8">
        <v>81844.7420000001</v>
      </c>
      <c r="V195" s="8">
        <v>60660.510999999999</v>
      </c>
      <c r="W195" s="8">
        <v>50772.243999999999</v>
      </c>
      <c r="X195" s="8">
        <v>34461.442999999999</v>
      </c>
      <c r="Y195" s="8">
        <v>20539.811000000002</v>
      </c>
      <c r="Z195" s="8">
        <v>8639.1419999999998</v>
      </c>
      <c r="AA195" s="8">
        <v>2585.6179999999999</v>
      </c>
      <c r="AB195" s="8">
        <v>576.50699999999995</v>
      </c>
      <c r="AC195" s="8">
        <v>81.078999999999994</v>
      </c>
    </row>
    <row r="196" spans="1:29" ht="11.65" hidden="1" x14ac:dyDescent="0.35">
      <c r="A196" s="12">
        <v>179</v>
      </c>
      <c r="B196" s="10" t="s">
        <v>1015</v>
      </c>
      <c r="C196" s="36" t="s">
        <v>1041</v>
      </c>
      <c r="D196" s="9" t="s">
        <v>1039</v>
      </c>
      <c r="E196" s="9">
        <v>1517</v>
      </c>
      <c r="F196" s="10" t="s">
        <v>1040</v>
      </c>
      <c r="G196" s="9">
        <v>1802</v>
      </c>
      <c r="H196" s="9">
        <v>2015</v>
      </c>
      <c r="I196" s="8">
        <v>236425.02</v>
      </c>
      <c r="J196" s="8">
        <v>228702.95600000001</v>
      </c>
      <c r="K196" s="8">
        <v>220958.61900000001</v>
      </c>
      <c r="L196" s="8">
        <v>218275.91099999999</v>
      </c>
      <c r="M196" s="8">
        <v>219875.69500000001</v>
      </c>
      <c r="N196" s="8">
        <v>231105.79199999999</v>
      </c>
      <c r="O196" s="8">
        <v>206445.3</v>
      </c>
      <c r="P196" s="8">
        <v>186942.47500000001</v>
      </c>
      <c r="Q196" s="8">
        <v>183632.38200000001</v>
      </c>
      <c r="R196" s="8">
        <v>172452</v>
      </c>
      <c r="S196" s="8">
        <v>148610.954</v>
      </c>
      <c r="T196" s="8">
        <v>124021.27800000001</v>
      </c>
      <c r="U196" s="8">
        <v>107747.133</v>
      </c>
      <c r="V196" s="8">
        <v>75129.327999999994</v>
      </c>
      <c r="W196" s="8">
        <v>52691.078999999998</v>
      </c>
      <c r="X196" s="8">
        <v>40299.862000000001</v>
      </c>
      <c r="Y196" s="8">
        <v>23661.692999999999</v>
      </c>
      <c r="Z196" s="8">
        <v>11240.419</v>
      </c>
      <c r="AA196" s="8">
        <v>3473.7379999999998</v>
      </c>
      <c r="AB196" s="8">
        <v>744.279</v>
      </c>
      <c r="AC196" s="8">
        <v>120.727</v>
      </c>
    </row>
    <row r="197" spans="1:29" ht="11.65" hidden="1" x14ac:dyDescent="0.35">
      <c r="A197" s="12">
        <v>180</v>
      </c>
      <c r="B197" s="10" t="s">
        <v>1015</v>
      </c>
      <c r="C197" s="36" t="s">
        <v>1041</v>
      </c>
      <c r="D197" s="9" t="s">
        <v>1039</v>
      </c>
      <c r="E197" s="9">
        <v>1517</v>
      </c>
      <c r="F197" s="10" t="s">
        <v>1040</v>
      </c>
      <c r="G197" s="9">
        <v>1802</v>
      </c>
      <c r="H197" s="9">
        <v>2020</v>
      </c>
      <c r="I197" s="8">
        <v>236828.76800000001</v>
      </c>
      <c r="J197" s="8">
        <v>234351.155</v>
      </c>
      <c r="K197" s="8">
        <v>227456.31</v>
      </c>
      <c r="L197" s="8">
        <v>219320.66699999999</v>
      </c>
      <c r="M197" s="8">
        <v>216040.15900000001</v>
      </c>
      <c r="N197" s="8">
        <v>217696.02</v>
      </c>
      <c r="O197" s="8">
        <v>228987.53400000001</v>
      </c>
      <c r="P197" s="8">
        <v>204330.003</v>
      </c>
      <c r="Q197" s="8">
        <v>184726.72500000001</v>
      </c>
      <c r="R197" s="8">
        <v>180971.98499999999</v>
      </c>
      <c r="S197" s="8">
        <v>169017.05</v>
      </c>
      <c r="T197" s="8">
        <v>144194.63699999999</v>
      </c>
      <c r="U197" s="8">
        <v>118178.99800000001</v>
      </c>
      <c r="V197" s="8">
        <v>99785.655000000101</v>
      </c>
      <c r="W197" s="8">
        <v>65975.327999999994</v>
      </c>
      <c r="X197" s="8">
        <v>42572.557000000001</v>
      </c>
      <c r="Y197" s="8">
        <v>28457.566999999999</v>
      </c>
      <c r="Z197" s="8">
        <v>13534.795</v>
      </c>
      <c r="AA197" s="8">
        <v>4842.7659999999996</v>
      </c>
      <c r="AB197" s="8">
        <v>1087.492</v>
      </c>
      <c r="AC197" s="8">
        <v>178.91399999999999</v>
      </c>
    </row>
    <row r="198" spans="1:29" ht="11.65" hidden="1" x14ac:dyDescent="0.35">
      <c r="A198" s="12">
        <v>181</v>
      </c>
      <c r="B198" s="10" t="s">
        <v>1015</v>
      </c>
      <c r="C198" s="30" t="s">
        <v>1042</v>
      </c>
      <c r="D198" s="9" t="s">
        <v>1039</v>
      </c>
      <c r="E198" s="9">
        <v>1502</v>
      </c>
      <c r="F198" s="10" t="s">
        <v>1040</v>
      </c>
      <c r="G198" s="9">
        <v>1517</v>
      </c>
      <c r="H198" s="9">
        <v>1950</v>
      </c>
      <c r="I198" s="8">
        <v>63369.093999999997</v>
      </c>
      <c r="J198" s="8">
        <v>47009.161999999997</v>
      </c>
      <c r="K198" s="8">
        <v>47544.2</v>
      </c>
      <c r="L198" s="8">
        <v>43820.512000000002</v>
      </c>
      <c r="M198" s="8">
        <v>40936.216</v>
      </c>
      <c r="N198" s="8">
        <v>35558.906000000003</v>
      </c>
      <c r="O198" s="8">
        <v>31808.221000000001</v>
      </c>
      <c r="P198" s="8">
        <v>30779.200000000001</v>
      </c>
      <c r="Q198" s="8">
        <v>27171.886999999999</v>
      </c>
      <c r="R198" s="8">
        <v>23963.755000000001</v>
      </c>
      <c r="S198" s="8">
        <v>19587.370999999999</v>
      </c>
      <c r="T198" s="8">
        <v>16988.646000000001</v>
      </c>
      <c r="U198" s="8">
        <v>14024.062</v>
      </c>
      <c r="V198" s="8">
        <v>10897.928</v>
      </c>
      <c r="W198" s="8">
        <v>6848.6480000000001</v>
      </c>
      <c r="X198" s="8">
        <v>3884.7919999999999</v>
      </c>
      <c r="Y198" s="8">
        <v>1608.8720000000001</v>
      </c>
      <c r="Z198" s="8">
        <v>500.91199999999998</v>
      </c>
      <c r="AA198" s="8">
        <v>151.239</v>
      </c>
      <c r="AB198" s="8">
        <v>43.524000000000001</v>
      </c>
      <c r="AC198" s="8">
        <v>13.951000000000001</v>
      </c>
    </row>
    <row r="199" spans="1:29" ht="11.65" hidden="1" x14ac:dyDescent="0.35">
      <c r="A199" s="12">
        <v>182</v>
      </c>
      <c r="B199" s="10" t="s">
        <v>1015</v>
      </c>
      <c r="C199" s="30" t="s">
        <v>1042</v>
      </c>
      <c r="D199" s="9" t="s">
        <v>1039</v>
      </c>
      <c r="E199" s="9">
        <v>1502</v>
      </c>
      <c r="F199" s="10" t="s">
        <v>1040</v>
      </c>
      <c r="G199" s="9">
        <v>1517</v>
      </c>
      <c r="H199" s="9">
        <v>1955</v>
      </c>
      <c r="I199" s="8">
        <v>82919.47</v>
      </c>
      <c r="J199" s="8">
        <v>59337.728000000003</v>
      </c>
      <c r="K199" s="8">
        <v>45837.98</v>
      </c>
      <c r="L199" s="8">
        <v>46748.055999999997</v>
      </c>
      <c r="M199" s="8">
        <v>42790.766000000003</v>
      </c>
      <c r="N199" s="8">
        <v>39730.732000000004</v>
      </c>
      <c r="O199" s="8">
        <v>34345.928999999996</v>
      </c>
      <c r="P199" s="8">
        <v>30602.373</v>
      </c>
      <c r="Q199" s="8">
        <v>29367.455999999998</v>
      </c>
      <c r="R199" s="8">
        <v>25624.12</v>
      </c>
      <c r="S199" s="8">
        <v>22429.75</v>
      </c>
      <c r="T199" s="8">
        <v>18002.014999999999</v>
      </c>
      <c r="U199" s="8">
        <v>14710.329</v>
      </c>
      <c r="V199" s="8">
        <v>11146.319</v>
      </c>
      <c r="W199" s="8">
        <v>7819.5050000000001</v>
      </c>
      <c r="X199" s="8">
        <v>4120.7719999999999</v>
      </c>
      <c r="Y199" s="8">
        <v>1857.2929999999999</v>
      </c>
      <c r="Z199" s="8">
        <v>565.82000000000005</v>
      </c>
      <c r="AA199" s="8">
        <v>130.58799999999999</v>
      </c>
      <c r="AB199" s="8">
        <v>26.48</v>
      </c>
      <c r="AC199" s="8">
        <v>6.0460000000000003</v>
      </c>
    </row>
    <row r="200" spans="1:29" ht="11.65" hidden="1" x14ac:dyDescent="0.35">
      <c r="A200" s="12">
        <v>183</v>
      </c>
      <c r="B200" s="10" t="s">
        <v>1015</v>
      </c>
      <c r="C200" s="30" t="s">
        <v>1042</v>
      </c>
      <c r="D200" s="9" t="s">
        <v>1039</v>
      </c>
      <c r="E200" s="9">
        <v>1502</v>
      </c>
      <c r="F200" s="10" t="s">
        <v>1040</v>
      </c>
      <c r="G200" s="9">
        <v>1517</v>
      </c>
      <c r="H200" s="9">
        <v>1960</v>
      </c>
      <c r="I200" s="8">
        <v>83485.989000000001</v>
      </c>
      <c r="J200" s="8">
        <v>78119.796000000002</v>
      </c>
      <c r="K200" s="8">
        <v>58035.493999999999</v>
      </c>
      <c r="L200" s="8">
        <v>45078.449000000001</v>
      </c>
      <c r="M200" s="8">
        <v>45779.286</v>
      </c>
      <c r="N200" s="8">
        <v>41667.976000000002</v>
      </c>
      <c r="O200" s="8">
        <v>38588.701999999997</v>
      </c>
      <c r="P200" s="8">
        <v>33101.938999999998</v>
      </c>
      <c r="Q200" s="8">
        <v>29199.649000000001</v>
      </c>
      <c r="R200" s="8">
        <v>28070.482</v>
      </c>
      <c r="S200" s="8">
        <v>24125.359</v>
      </c>
      <c r="T200" s="8">
        <v>20615.734</v>
      </c>
      <c r="U200" s="8">
        <v>15692.915999999999</v>
      </c>
      <c r="V200" s="8">
        <v>11781.761</v>
      </c>
      <c r="W200" s="8">
        <v>8055.4939999999997</v>
      </c>
      <c r="X200" s="8">
        <v>4684.6390000000001</v>
      </c>
      <c r="Y200" s="8">
        <v>1913.951</v>
      </c>
      <c r="Z200" s="8">
        <v>618.82899999999995</v>
      </c>
      <c r="AA200" s="8">
        <v>131.62899999999999</v>
      </c>
      <c r="AB200" s="8">
        <v>22.867999999999999</v>
      </c>
      <c r="AC200" s="8">
        <v>3.82</v>
      </c>
    </row>
    <row r="201" spans="1:29" ht="11.65" hidden="1" x14ac:dyDescent="0.35">
      <c r="A201" s="12">
        <v>184</v>
      </c>
      <c r="B201" s="10" t="s">
        <v>1015</v>
      </c>
      <c r="C201" s="30" t="s">
        <v>1042</v>
      </c>
      <c r="D201" s="9" t="s">
        <v>1039</v>
      </c>
      <c r="E201" s="9">
        <v>1502</v>
      </c>
      <c r="F201" s="10" t="s">
        <v>1040</v>
      </c>
      <c r="G201" s="9">
        <v>1517</v>
      </c>
      <c r="H201" s="9">
        <v>1965</v>
      </c>
      <c r="I201" s="8">
        <v>94181.032000000007</v>
      </c>
      <c r="J201" s="8">
        <v>78917.695999999996</v>
      </c>
      <c r="K201" s="8">
        <v>76329.584000000003</v>
      </c>
      <c r="L201" s="8">
        <v>56953.105000000003</v>
      </c>
      <c r="M201" s="8">
        <v>44030.131000000001</v>
      </c>
      <c r="N201" s="8">
        <v>44587.241999999998</v>
      </c>
      <c r="O201" s="8">
        <v>40357.462</v>
      </c>
      <c r="P201" s="8">
        <v>37293.330999999998</v>
      </c>
      <c r="Q201" s="8">
        <v>31771.996999999999</v>
      </c>
      <c r="R201" s="8">
        <v>27764.457999999999</v>
      </c>
      <c r="S201" s="8">
        <v>26533.206999999999</v>
      </c>
      <c r="T201" s="8">
        <v>22282.832999999999</v>
      </c>
      <c r="U201" s="8">
        <v>18124.145</v>
      </c>
      <c r="V201" s="8">
        <v>12797.584999999999</v>
      </c>
      <c r="W201" s="8">
        <v>8614.0879999999997</v>
      </c>
      <c r="X201" s="8">
        <v>5117.0559999999996</v>
      </c>
      <c r="Y201" s="8">
        <v>2382.17</v>
      </c>
      <c r="Z201" s="8">
        <v>748.58500000000004</v>
      </c>
      <c r="AA201" s="8">
        <v>176.685</v>
      </c>
      <c r="AB201" s="8">
        <v>24.928000000000001</v>
      </c>
      <c r="AC201" s="8">
        <v>3.2949999999999999</v>
      </c>
    </row>
    <row r="202" spans="1:29" ht="11.65" hidden="1" x14ac:dyDescent="0.35">
      <c r="A202" s="12">
        <v>185</v>
      </c>
      <c r="B202" s="10" t="s">
        <v>1015</v>
      </c>
      <c r="C202" s="30" t="s">
        <v>1042</v>
      </c>
      <c r="D202" s="9" t="s">
        <v>1039</v>
      </c>
      <c r="E202" s="9">
        <v>1502</v>
      </c>
      <c r="F202" s="10" t="s">
        <v>1040</v>
      </c>
      <c r="G202" s="9">
        <v>1517</v>
      </c>
      <c r="H202" s="9">
        <v>1970</v>
      </c>
      <c r="I202" s="8">
        <v>107312.81600000001</v>
      </c>
      <c r="J202" s="8">
        <v>91135.812000000005</v>
      </c>
      <c r="K202" s="8">
        <v>78036.323000000004</v>
      </c>
      <c r="L202" s="8">
        <v>75469.247000000003</v>
      </c>
      <c r="M202" s="8">
        <v>56092.455000000002</v>
      </c>
      <c r="N202" s="8">
        <v>43237.315999999999</v>
      </c>
      <c r="O202" s="8">
        <v>43713.442000000003</v>
      </c>
      <c r="P202" s="8">
        <v>39332.750999999997</v>
      </c>
      <c r="Q202" s="8">
        <v>36231.974000000002</v>
      </c>
      <c r="R202" s="8">
        <v>30792.792000000001</v>
      </c>
      <c r="S202" s="8">
        <v>26456.871999999999</v>
      </c>
      <c r="T202" s="8">
        <v>24972.312999999998</v>
      </c>
      <c r="U202" s="8">
        <v>20388.134999999998</v>
      </c>
      <c r="V202" s="8">
        <v>15730.688</v>
      </c>
      <c r="W202" s="8">
        <v>10274.395</v>
      </c>
      <c r="X202" s="8">
        <v>5957.5529999999999</v>
      </c>
      <c r="Y202" s="8">
        <v>2960.2179999999998</v>
      </c>
      <c r="Z202" s="8">
        <v>1024.1869999999999</v>
      </c>
      <c r="AA202" s="8">
        <v>229.191</v>
      </c>
      <c r="AB202" s="8">
        <v>35.899000000000001</v>
      </c>
      <c r="AC202" s="8">
        <v>3.6309999999999998</v>
      </c>
    </row>
    <row r="203" spans="1:29" ht="11.65" hidden="1" x14ac:dyDescent="0.35">
      <c r="A203" s="12">
        <v>186</v>
      </c>
      <c r="B203" s="10" t="s">
        <v>1015</v>
      </c>
      <c r="C203" s="30" t="s">
        <v>1042</v>
      </c>
      <c r="D203" s="9" t="s">
        <v>1039</v>
      </c>
      <c r="E203" s="9">
        <v>1502</v>
      </c>
      <c r="F203" s="10" t="s">
        <v>1040</v>
      </c>
      <c r="G203" s="9">
        <v>1517</v>
      </c>
      <c r="H203" s="9">
        <v>1975</v>
      </c>
      <c r="I203" s="8">
        <v>105948.508</v>
      </c>
      <c r="J203" s="8">
        <v>104722.56200000001</v>
      </c>
      <c r="K203" s="8">
        <v>90183.805000000095</v>
      </c>
      <c r="L203" s="8">
        <v>77266.611000000004</v>
      </c>
      <c r="M203" s="8">
        <v>74661.528999999995</v>
      </c>
      <c r="N203" s="8">
        <v>55341.857000000004</v>
      </c>
      <c r="O203" s="8">
        <v>42555.32</v>
      </c>
      <c r="P203" s="8">
        <v>43012.832999999999</v>
      </c>
      <c r="Q203" s="8">
        <v>38513.743999999999</v>
      </c>
      <c r="R203" s="8">
        <v>35281.383999999998</v>
      </c>
      <c r="S203" s="8">
        <v>29813.696</v>
      </c>
      <c r="T203" s="8">
        <v>25125.216</v>
      </c>
      <c r="U203" s="8">
        <v>23029.043000000001</v>
      </c>
      <c r="V203" s="8">
        <v>18013.53</v>
      </c>
      <c r="W203" s="8">
        <v>12870.593000000001</v>
      </c>
      <c r="X203" s="8">
        <v>7312.1369999999997</v>
      </c>
      <c r="Y203" s="8">
        <v>3490.2379999999998</v>
      </c>
      <c r="Z203" s="8">
        <v>1296.971</v>
      </c>
      <c r="AA203" s="8">
        <v>314.416</v>
      </c>
      <c r="AB203" s="8">
        <v>47.49</v>
      </c>
      <c r="AC203" s="8">
        <v>5.101</v>
      </c>
    </row>
    <row r="204" spans="1:29" ht="11.65" hidden="1" x14ac:dyDescent="0.35">
      <c r="A204" s="12">
        <v>187</v>
      </c>
      <c r="B204" s="10" t="s">
        <v>1015</v>
      </c>
      <c r="C204" s="30" t="s">
        <v>1042</v>
      </c>
      <c r="D204" s="9" t="s">
        <v>1039</v>
      </c>
      <c r="E204" s="9">
        <v>1502</v>
      </c>
      <c r="F204" s="10" t="s">
        <v>1040</v>
      </c>
      <c r="G204" s="9">
        <v>1517</v>
      </c>
      <c r="H204" s="9">
        <v>1980</v>
      </c>
      <c r="I204" s="8">
        <v>96075.410999999993</v>
      </c>
      <c r="J204" s="8">
        <v>104098.302</v>
      </c>
      <c r="K204" s="8">
        <v>103897.973</v>
      </c>
      <c r="L204" s="8">
        <v>89472.928</v>
      </c>
      <c r="M204" s="8">
        <v>76503.031000000003</v>
      </c>
      <c r="N204" s="8">
        <v>73885.77</v>
      </c>
      <c r="O204" s="8">
        <v>54718.690999999999</v>
      </c>
      <c r="P204" s="8">
        <v>41909.951000000001</v>
      </c>
      <c r="Q204" s="8">
        <v>42310.421000000002</v>
      </c>
      <c r="R204" s="8">
        <v>37701.048000000003</v>
      </c>
      <c r="S204" s="8">
        <v>34238.618999999999</v>
      </c>
      <c r="T204" s="8">
        <v>28516.170999999998</v>
      </c>
      <c r="U204" s="8">
        <v>23437.484</v>
      </c>
      <c r="V204" s="8">
        <v>20601.330999999998</v>
      </c>
      <c r="W204" s="8">
        <v>14960.465</v>
      </c>
      <c r="X204" s="8">
        <v>9410.2849999999999</v>
      </c>
      <c r="Y204" s="8">
        <v>4358.2389999999996</v>
      </c>
      <c r="Z204" s="8">
        <v>1558.0340000000001</v>
      </c>
      <c r="AA204" s="8">
        <v>422.30900000000003</v>
      </c>
      <c r="AB204" s="8">
        <v>71.126000000000005</v>
      </c>
      <c r="AC204" s="8">
        <v>7.8310000000000004</v>
      </c>
    </row>
    <row r="205" spans="1:29" ht="11.65" hidden="1" x14ac:dyDescent="0.35">
      <c r="A205" s="12">
        <v>188</v>
      </c>
      <c r="B205" s="10" t="s">
        <v>1015</v>
      </c>
      <c r="C205" s="30" t="s">
        <v>1042</v>
      </c>
      <c r="D205" s="9" t="s">
        <v>1039</v>
      </c>
      <c r="E205" s="9">
        <v>1502</v>
      </c>
      <c r="F205" s="10" t="s">
        <v>1040</v>
      </c>
      <c r="G205" s="9">
        <v>1517</v>
      </c>
      <c r="H205" s="9">
        <v>1985</v>
      </c>
      <c r="I205" s="8">
        <v>101069.374</v>
      </c>
      <c r="J205" s="8">
        <v>94956.038</v>
      </c>
      <c r="K205" s="8">
        <v>103601.43399999999</v>
      </c>
      <c r="L205" s="8">
        <v>103308.645</v>
      </c>
      <c r="M205" s="8">
        <v>88859.433999999994</v>
      </c>
      <c r="N205" s="8">
        <v>75928.441999999995</v>
      </c>
      <c r="O205" s="8">
        <v>73297.451000000001</v>
      </c>
      <c r="P205" s="8">
        <v>54220.966</v>
      </c>
      <c r="Q205" s="8">
        <v>41412.993999999999</v>
      </c>
      <c r="R205" s="8">
        <v>41609.872000000003</v>
      </c>
      <c r="S205" s="8">
        <v>36772.898999999998</v>
      </c>
      <c r="T205" s="8">
        <v>32932.182999999997</v>
      </c>
      <c r="U205" s="8">
        <v>26773.593000000001</v>
      </c>
      <c r="V205" s="8">
        <v>21131.288</v>
      </c>
      <c r="W205" s="8">
        <v>17365.208999999999</v>
      </c>
      <c r="X205" s="8">
        <v>11152.862999999999</v>
      </c>
      <c r="Y205" s="8">
        <v>5755.3090000000002</v>
      </c>
      <c r="Z205" s="8">
        <v>1997.7090000000001</v>
      </c>
      <c r="AA205" s="8">
        <v>506.928</v>
      </c>
      <c r="AB205" s="8">
        <v>95.838999999999999</v>
      </c>
      <c r="AC205" s="8">
        <v>11.404999999999999</v>
      </c>
    </row>
    <row r="206" spans="1:29" ht="11.65" hidden="1" x14ac:dyDescent="0.35">
      <c r="A206" s="12">
        <v>189</v>
      </c>
      <c r="B206" s="10" t="s">
        <v>1015</v>
      </c>
      <c r="C206" s="30" t="s">
        <v>1042</v>
      </c>
      <c r="D206" s="9" t="s">
        <v>1039</v>
      </c>
      <c r="E206" s="9">
        <v>1502</v>
      </c>
      <c r="F206" s="10" t="s">
        <v>1040</v>
      </c>
      <c r="G206" s="9">
        <v>1517</v>
      </c>
      <c r="H206" s="9">
        <v>1990</v>
      </c>
      <c r="I206" s="8">
        <v>115357.442</v>
      </c>
      <c r="J206" s="8">
        <v>99996.225999999995</v>
      </c>
      <c r="K206" s="8">
        <v>94634.092999999993</v>
      </c>
      <c r="L206" s="8">
        <v>103066.22100000001</v>
      </c>
      <c r="M206" s="8">
        <v>102331.716</v>
      </c>
      <c r="N206" s="8">
        <v>87931.608999999997</v>
      </c>
      <c r="O206" s="8">
        <v>75245.910999999993</v>
      </c>
      <c r="P206" s="8">
        <v>72661.081000000006</v>
      </c>
      <c r="Q206" s="8">
        <v>53624.135999999999</v>
      </c>
      <c r="R206" s="8">
        <v>40767.612000000001</v>
      </c>
      <c r="S206" s="8">
        <v>40659.019999999997</v>
      </c>
      <c r="T206" s="8">
        <v>35563.313000000002</v>
      </c>
      <c r="U206" s="8">
        <v>31123.274000000001</v>
      </c>
      <c r="V206" s="8">
        <v>24294.786</v>
      </c>
      <c r="W206" s="8">
        <v>17913.244999999999</v>
      </c>
      <c r="X206" s="8">
        <v>13201.198</v>
      </c>
      <c r="Y206" s="8">
        <v>7122.1790000000001</v>
      </c>
      <c r="Z206" s="8">
        <v>2738.6439999999998</v>
      </c>
      <c r="AA206" s="8">
        <v>675.00199999999995</v>
      </c>
      <c r="AB206" s="8">
        <v>116.235</v>
      </c>
      <c r="AC206" s="8">
        <v>15.297000000000001</v>
      </c>
    </row>
    <row r="207" spans="1:29" ht="11.65" hidden="1" x14ac:dyDescent="0.35">
      <c r="A207" s="12">
        <v>190</v>
      </c>
      <c r="B207" s="10" t="s">
        <v>1015</v>
      </c>
      <c r="C207" s="30" t="s">
        <v>1042</v>
      </c>
      <c r="D207" s="9" t="s">
        <v>1039</v>
      </c>
      <c r="E207" s="9">
        <v>1502</v>
      </c>
      <c r="F207" s="10" t="s">
        <v>1040</v>
      </c>
      <c r="G207" s="9">
        <v>1517</v>
      </c>
      <c r="H207" s="9">
        <v>1995</v>
      </c>
      <c r="I207" s="8">
        <v>95287.474000000002</v>
      </c>
      <c r="J207" s="8">
        <v>114417.208</v>
      </c>
      <c r="K207" s="8">
        <v>99552.2</v>
      </c>
      <c r="L207" s="8">
        <v>93955.063999999998</v>
      </c>
      <c r="M207" s="8">
        <v>101900.11</v>
      </c>
      <c r="N207" s="8">
        <v>101383.288</v>
      </c>
      <c r="O207" s="8">
        <v>87174.020999999993</v>
      </c>
      <c r="P207" s="8">
        <v>74508.19</v>
      </c>
      <c r="Q207" s="8">
        <v>71815.19</v>
      </c>
      <c r="R207" s="8">
        <v>52752.124000000003</v>
      </c>
      <c r="S207" s="8">
        <v>39839.553</v>
      </c>
      <c r="T207" s="8">
        <v>39247.741000000002</v>
      </c>
      <c r="U207" s="8">
        <v>33607.53</v>
      </c>
      <c r="V207" s="8">
        <v>28343.848000000002</v>
      </c>
      <c r="W207" s="8">
        <v>20715.776000000002</v>
      </c>
      <c r="X207" s="8">
        <v>13765.111999999999</v>
      </c>
      <c r="Y207" s="8">
        <v>8597.4699999999993</v>
      </c>
      <c r="Z207" s="8">
        <v>3466.8009999999999</v>
      </c>
      <c r="AA207" s="8">
        <v>934.04100000000005</v>
      </c>
      <c r="AB207" s="8">
        <v>151.78700000000001</v>
      </c>
      <c r="AC207" s="8">
        <v>17.952999999999999</v>
      </c>
    </row>
    <row r="208" spans="1:29" ht="11.65" hidden="1" x14ac:dyDescent="0.35">
      <c r="A208" s="12">
        <v>191</v>
      </c>
      <c r="B208" s="10" t="s">
        <v>1015</v>
      </c>
      <c r="C208" s="30" t="s">
        <v>1042</v>
      </c>
      <c r="D208" s="9" t="s">
        <v>1039</v>
      </c>
      <c r="E208" s="9">
        <v>1502</v>
      </c>
      <c r="F208" s="10" t="s">
        <v>1040</v>
      </c>
      <c r="G208" s="9">
        <v>1517</v>
      </c>
      <c r="H208" s="9">
        <v>2000</v>
      </c>
      <c r="I208" s="8">
        <v>86771.873000000007</v>
      </c>
      <c r="J208" s="8">
        <v>94620.938999999998</v>
      </c>
      <c r="K208" s="8">
        <v>113984.394</v>
      </c>
      <c r="L208" s="8">
        <v>98901.130999999994</v>
      </c>
      <c r="M208" s="8">
        <v>92797.812000000005</v>
      </c>
      <c r="N208" s="8">
        <v>100931.63400000001</v>
      </c>
      <c r="O208" s="8">
        <v>100786.178</v>
      </c>
      <c r="P208" s="8">
        <v>86710.297000000006</v>
      </c>
      <c r="Q208" s="8">
        <v>73949.038</v>
      </c>
      <c r="R208" s="8">
        <v>70891.091</v>
      </c>
      <c r="S208" s="8">
        <v>51621.362999999998</v>
      </c>
      <c r="T208" s="8">
        <v>38575.724000000002</v>
      </c>
      <c r="U208" s="8">
        <v>37205.148000000001</v>
      </c>
      <c r="V208" s="8">
        <v>30794.019</v>
      </c>
      <c r="W208" s="8">
        <v>24445.922999999999</v>
      </c>
      <c r="X208" s="8">
        <v>16015.867</v>
      </c>
      <c r="Y208" s="8">
        <v>8947.9369999999999</v>
      </c>
      <c r="Z208" s="8">
        <v>4267.2709999999997</v>
      </c>
      <c r="AA208" s="8">
        <v>1208.3219999999999</v>
      </c>
      <c r="AB208" s="8">
        <v>212.256</v>
      </c>
      <c r="AC208" s="8">
        <v>22.195</v>
      </c>
    </row>
    <row r="209" spans="1:29" ht="11.65" hidden="1" x14ac:dyDescent="0.35">
      <c r="A209" s="12">
        <v>192</v>
      </c>
      <c r="B209" s="10" t="s">
        <v>1015</v>
      </c>
      <c r="C209" s="30" t="s">
        <v>1042</v>
      </c>
      <c r="D209" s="9" t="s">
        <v>1039</v>
      </c>
      <c r="E209" s="9">
        <v>1502</v>
      </c>
      <c r="F209" s="10" t="s">
        <v>1040</v>
      </c>
      <c r="G209" s="9">
        <v>1517</v>
      </c>
      <c r="H209" s="9">
        <v>2005</v>
      </c>
      <c r="I209" s="8">
        <v>83043.527000000002</v>
      </c>
      <c r="J209" s="8">
        <v>86289.892999999996</v>
      </c>
      <c r="K209" s="8">
        <v>94333.021999999997</v>
      </c>
      <c r="L209" s="8">
        <v>113288.004</v>
      </c>
      <c r="M209" s="8">
        <v>98087.981</v>
      </c>
      <c r="N209" s="8">
        <v>91947.441999999995</v>
      </c>
      <c r="O209" s="8">
        <v>100114.88499999999</v>
      </c>
      <c r="P209" s="8">
        <v>100047.942</v>
      </c>
      <c r="Q209" s="8">
        <v>85775.894</v>
      </c>
      <c r="R209" s="8">
        <v>72840.804999999993</v>
      </c>
      <c r="S209" s="8">
        <v>69329.368000000002</v>
      </c>
      <c r="T209" s="8">
        <v>50047.857000000004</v>
      </c>
      <c r="U209" s="8">
        <v>36767.523000000001</v>
      </c>
      <c r="V209" s="8">
        <v>34272.305999999997</v>
      </c>
      <c r="W209" s="8">
        <v>26737.444</v>
      </c>
      <c r="X209" s="8">
        <v>19116.454000000002</v>
      </c>
      <c r="Y209" s="8">
        <v>10571.522999999999</v>
      </c>
      <c r="Z209" s="8">
        <v>4547.0690000000004</v>
      </c>
      <c r="AA209" s="8">
        <v>1540.2339999999999</v>
      </c>
      <c r="AB209" s="8">
        <v>281.94499999999999</v>
      </c>
      <c r="AC209" s="8">
        <v>32.011000000000003</v>
      </c>
    </row>
    <row r="210" spans="1:29" ht="11.65" hidden="1" x14ac:dyDescent="0.35">
      <c r="A210" s="12">
        <v>193</v>
      </c>
      <c r="B210" s="10" t="s">
        <v>1015</v>
      </c>
      <c r="C210" s="30" t="s">
        <v>1042</v>
      </c>
      <c r="D210" s="9" t="s">
        <v>1039</v>
      </c>
      <c r="E210" s="9">
        <v>1502</v>
      </c>
      <c r="F210" s="10" t="s">
        <v>1040</v>
      </c>
      <c r="G210" s="9">
        <v>1517</v>
      </c>
      <c r="H210" s="9">
        <v>2010</v>
      </c>
      <c r="I210" s="8">
        <v>84429.558999999994</v>
      </c>
      <c r="J210" s="8">
        <v>82660.687999999995</v>
      </c>
      <c r="K210" s="8">
        <v>86040.641000000003</v>
      </c>
      <c r="L210" s="8">
        <v>94184.320000000007</v>
      </c>
      <c r="M210" s="8">
        <v>112531.336</v>
      </c>
      <c r="N210" s="8">
        <v>96942.933999999994</v>
      </c>
      <c r="O210" s="8">
        <v>90910.34</v>
      </c>
      <c r="P210" s="8">
        <v>99205.417000000001</v>
      </c>
      <c r="Q210" s="8">
        <v>98865.409</v>
      </c>
      <c r="R210" s="8">
        <v>84832.509000000005</v>
      </c>
      <c r="S210" s="8">
        <v>71505.813999999998</v>
      </c>
      <c r="T210" s="8">
        <v>67619.036999999997</v>
      </c>
      <c r="U210" s="8">
        <v>47604.002</v>
      </c>
      <c r="V210" s="8">
        <v>34376.415000000001</v>
      </c>
      <c r="W210" s="8">
        <v>30183.609</v>
      </c>
      <c r="X210" s="8">
        <v>21296.293000000001</v>
      </c>
      <c r="Y210" s="8">
        <v>13122.442999999999</v>
      </c>
      <c r="Z210" s="8">
        <v>5636.2160000000003</v>
      </c>
      <c r="AA210" s="8">
        <v>1754.6759999999999</v>
      </c>
      <c r="AB210" s="8">
        <v>386.327</v>
      </c>
      <c r="AC210" s="8">
        <v>45.988999999999997</v>
      </c>
    </row>
    <row r="211" spans="1:29" ht="11.65" hidden="1" x14ac:dyDescent="0.35">
      <c r="A211" s="12">
        <v>194</v>
      </c>
      <c r="B211" s="10" t="s">
        <v>1015</v>
      </c>
      <c r="C211" s="30" t="s">
        <v>1042</v>
      </c>
      <c r="D211" s="9" t="s">
        <v>1039</v>
      </c>
      <c r="E211" s="9">
        <v>1502</v>
      </c>
      <c r="F211" s="10" t="s">
        <v>1040</v>
      </c>
      <c r="G211" s="9">
        <v>1517</v>
      </c>
      <c r="H211" s="9">
        <v>2015</v>
      </c>
      <c r="I211" s="8">
        <v>87968.217999999993</v>
      </c>
      <c r="J211" s="8">
        <v>84546.452000000005</v>
      </c>
      <c r="K211" s="8">
        <v>82750.347999999998</v>
      </c>
      <c r="L211" s="8">
        <v>86006.150999999998</v>
      </c>
      <c r="M211" s="8">
        <v>93870.811000000002</v>
      </c>
      <c r="N211" s="8">
        <v>111996.315</v>
      </c>
      <c r="O211" s="8">
        <v>96339.907000000007</v>
      </c>
      <c r="P211" s="8">
        <v>90402.313999999998</v>
      </c>
      <c r="Q211" s="8">
        <v>98615.731</v>
      </c>
      <c r="R211" s="8">
        <v>98003.477999999901</v>
      </c>
      <c r="S211" s="8">
        <v>83628.998000000007</v>
      </c>
      <c r="T211" s="8">
        <v>69912.702000000005</v>
      </c>
      <c r="U211" s="8">
        <v>65116.110999999997</v>
      </c>
      <c r="V211" s="8">
        <v>44558.506999999998</v>
      </c>
      <c r="W211" s="8">
        <v>30701.512999999999</v>
      </c>
      <c r="X211" s="8">
        <v>24682.302</v>
      </c>
      <c r="Y211" s="8">
        <v>15146.706</v>
      </c>
      <c r="Z211" s="8">
        <v>7457.4170000000004</v>
      </c>
      <c r="AA211" s="8">
        <v>2361.7310000000002</v>
      </c>
      <c r="AB211" s="8">
        <v>508.76400000000001</v>
      </c>
      <c r="AC211" s="8">
        <v>73.887</v>
      </c>
    </row>
    <row r="212" spans="1:29" ht="11.65" hidden="1" x14ac:dyDescent="0.35">
      <c r="A212" s="12">
        <v>195</v>
      </c>
      <c r="B212" s="10" t="s">
        <v>1015</v>
      </c>
      <c r="C212" s="30" t="s">
        <v>1042</v>
      </c>
      <c r="D212" s="9" t="s">
        <v>1039</v>
      </c>
      <c r="E212" s="9">
        <v>1502</v>
      </c>
      <c r="F212" s="10" t="s">
        <v>1040</v>
      </c>
      <c r="G212" s="9">
        <v>1517</v>
      </c>
      <c r="H212" s="9">
        <v>2020</v>
      </c>
      <c r="I212" s="8">
        <v>86778.482000000004</v>
      </c>
      <c r="J212" s="8">
        <v>87727.137000000002</v>
      </c>
      <c r="K212" s="8">
        <v>84325.214000000007</v>
      </c>
      <c r="L212" s="8">
        <v>82400.457999999999</v>
      </c>
      <c r="M212" s="8">
        <v>85565.327000000005</v>
      </c>
      <c r="N212" s="8">
        <v>93443.25</v>
      </c>
      <c r="O212" s="8">
        <v>111519.205</v>
      </c>
      <c r="P212" s="8">
        <v>95818.553</v>
      </c>
      <c r="Q212" s="8">
        <v>89771.873000000007</v>
      </c>
      <c r="R212" s="8">
        <v>97699.303</v>
      </c>
      <c r="S212" s="8">
        <v>96719.620999999999</v>
      </c>
      <c r="T212" s="8">
        <v>81954.792000000001</v>
      </c>
      <c r="U212" s="8">
        <v>67514.221999999994</v>
      </c>
      <c r="V212" s="8">
        <v>61381.307999999997</v>
      </c>
      <c r="W212" s="8">
        <v>40080.786</v>
      </c>
      <c r="X212" s="8">
        <v>25650.213</v>
      </c>
      <c r="Y212" s="8">
        <v>18136.72</v>
      </c>
      <c r="Z212" s="8">
        <v>9091.9140000000007</v>
      </c>
      <c r="AA212" s="8">
        <v>3410.39</v>
      </c>
      <c r="AB212" s="8">
        <v>763.67099999999903</v>
      </c>
      <c r="AC212" s="8">
        <v>117.34099999999999</v>
      </c>
    </row>
    <row r="213" spans="1:29" ht="11.65" hidden="1" x14ac:dyDescent="0.35">
      <c r="A213" s="12">
        <v>196</v>
      </c>
      <c r="B213" s="10" t="s">
        <v>1015</v>
      </c>
      <c r="C213" s="30" t="s">
        <v>1043</v>
      </c>
      <c r="D213" s="9" t="s">
        <v>1039</v>
      </c>
      <c r="E213" s="9">
        <v>1501</v>
      </c>
      <c r="F213" s="10" t="s">
        <v>1040</v>
      </c>
      <c r="G213" s="9">
        <v>1517</v>
      </c>
      <c r="H213" s="9">
        <v>1950</v>
      </c>
      <c r="I213" s="8">
        <v>55130.809000000001</v>
      </c>
      <c r="J213" s="8">
        <v>45204.357000000004</v>
      </c>
      <c r="K213" s="8">
        <v>42769.504999999997</v>
      </c>
      <c r="L213" s="8">
        <v>38146.877</v>
      </c>
      <c r="M213" s="8">
        <v>34079.692999999999</v>
      </c>
      <c r="N213" s="8">
        <v>29336.771000000001</v>
      </c>
      <c r="O213" s="8">
        <v>25179.383000000002</v>
      </c>
      <c r="P213" s="8">
        <v>22990.023000000001</v>
      </c>
      <c r="Q213" s="8">
        <v>19884.313999999998</v>
      </c>
      <c r="R213" s="8">
        <v>16445.143</v>
      </c>
      <c r="S213" s="8">
        <v>13841.038</v>
      </c>
      <c r="T213" s="8">
        <v>10564.8</v>
      </c>
      <c r="U213" s="8">
        <v>9017.9470000000001</v>
      </c>
      <c r="V213" s="8">
        <v>6125.3829999999998</v>
      </c>
      <c r="W213" s="8">
        <v>4527.7160000000003</v>
      </c>
      <c r="X213" s="8">
        <v>2793.143</v>
      </c>
      <c r="Y213" s="8">
        <v>1290.104</v>
      </c>
      <c r="Z213" s="8">
        <v>504.27199999999999</v>
      </c>
      <c r="AA213" s="8">
        <v>147.262</v>
      </c>
      <c r="AB213" s="8">
        <v>31.664000000000001</v>
      </c>
      <c r="AC213" s="8">
        <v>2.0139999999999998</v>
      </c>
    </row>
    <row r="214" spans="1:29" ht="11.65" hidden="1" x14ac:dyDescent="0.35">
      <c r="A214" s="12">
        <v>197</v>
      </c>
      <c r="B214" s="10" t="s">
        <v>1015</v>
      </c>
      <c r="C214" s="30" t="s">
        <v>1043</v>
      </c>
      <c r="D214" s="9" t="s">
        <v>1039</v>
      </c>
      <c r="E214" s="9">
        <v>1501</v>
      </c>
      <c r="F214" s="10" t="s">
        <v>1040</v>
      </c>
      <c r="G214" s="9">
        <v>1517</v>
      </c>
      <c r="H214" s="9">
        <v>1955</v>
      </c>
      <c r="I214" s="8">
        <v>66351.171000000002</v>
      </c>
      <c r="J214" s="8">
        <v>49895.074999999997</v>
      </c>
      <c r="K214" s="8">
        <v>43633.47</v>
      </c>
      <c r="L214" s="8">
        <v>41515.483</v>
      </c>
      <c r="M214" s="8">
        <v>36727.463000000003</v>
      </c>
      <c r="N214" s="8">
        <v>32606.113000000001</v>
      </c>
      <c r="O214" s="8">
        <v>27875.554</v>
      </c>
      <c r="P214" s="8">
        <v>23721.524000000001</v>
      </c>
      <c r="Q214" s="8">
        <v>21547.217000000001</v>
      </c>
      <c r="R214" s="8">
        <v>18446.817999999999</v>
      </c>
      <c r="S214" s="8">
        <v>15036.343000000001</v>
      </c>
      <c r="T214" s="8">
        <v>12308.334999999999</v>
      </c>
      <c r="U214" s="8">
        <v>9032.3269999999993</v>
      </c>
      <c r="V214" s="8">
        <v>7193.2479999999996</v>
      </c>
      <c r="W214" s="8">
        <v>4455.2920000000004</v>
      </c>
      <c r="X214" s="8">
        <v>2824.1979999999999</v>
      </c>
      <c r="Y214" s="8">
        <v>1408.098</v>
      </c>
      <c r="Z214" s="8">
        <v>483.65899999999999</v>
      </c>
      <c r="AA214" s="8">
        <v>131.43</v>
      </c>
      <c r="AB214" s="8">
        <v>25.898</v>
      </c>
      <c r="AC214" s="8">
        <v>3.68</v>
      </c>
    </row>
    <row r="215" spans="1:29" ht="11.65" hidden="1" x14ac:dyDescent="0.35">
      <c r="A215" s="12">
        <v>198</v>
      </c>
      <c r="B215" s="10" t="s">
        <v>1015</v>
      </c>
      <c r="C215" s="30" t="s">
        <v>1043</v>
      </c>
      <c r="D215" s="9" t="s">
        <v>1039</v>
      </c>
      <c r="E215" s="9">
        <v>1501</v>
      </c>
      <c r="F215" s="10" t="s">
        <v>1040</v>
      </c>
      <c r="G215" s="9">
        <v>1517</v>
      </c>
      <c r="H215" s="9">
        <v>1960</v>
      </c>
      <c r="I215" s="8">
        <v>75294.548999999999</v>
      </c>
      <c r="J215" s="8">
        <v>61026.171000000002</v>
      </c>
      <c r="K215" s="8">
        <v>48445.086000000003</v>
      </c>
      <c r="L215" s="8">
        <v>42356.404000000002</v>
      </c>
      <c r="M215" s="8">
        <v>40192.391000000003</v>
      </c>
      <c r="N215" s="8">
        <v>35369.455999999998</v>
      </c>
      <c r="O215" s="8">
        <v>31204.737000000001</v>
      </c>
      <c r="P215" s="8">
        <v>26521.958999999999</v>
      </c>
      <c r="Q215" s="8">
        <v>22334.968000000001</v>
      </c>
      <c r="R215" s="8">
        <v>19983.57</v>
      </c>
      <c r="S215" s="8">
        <v>16908.606</v>
      </c>
      <c r="T215" s="8">
        <v>13514.870999999999</v>
      </c>
      <c r="U215" s="8">
        <v>10681.143</v>
      </c>
      <c r="V215" s="8">
        <v>7391.8739999999998</v>
      </c>
      <c r="W215" s="8">
        <v>5297.3890000000001</v>
      </c>
      <c r="X215" s="8">
        <v>2802.527</v>
      </c>
      <c r="Y215" s="8">
        <v>1378.48</v>
      </c>
      <c r="Z215" s="8">
        <v>554.952</v>
      </c>
      <c r="AA215" s="8">
        <v>132.90100000000001</v>
      </c>
      <c r="AB215" s="8">
        <v>24.751000000000001</v>
      </c>
      <c r="AC215" s="8">
        <v>3.5510000000000002</v>
      </c>
    </row>
    <row r="216" spans="1:29" ht="11.65" hidden="1" x14ac:dyDescent="0.35">
      <c r="A216" s="12">
        <v>199</v>
      </c>
      <c r="B216" s="10" t="s">
        <v>1015</v>
      </c>
      <c r="C216" s="30" t="s">
        <v>1043</v>
      </c>
      <c r="D216" s="9" t="s">
        <v>1039</v>
      </c>
      <c r="E216" s="9">
        <v>1501</v>
      </c>
      <c r="F216" s="10" t="s">
        <v>1040</v>
      </c>
      <c r="G216" s="9">
        <v>1517</v>
      </c>
      <c r="H216" s="9">
        <v>1965</v>
      </c>
      <c r="I216" s="8">
        <v>84024.630999999994</v>
      </c>
      <c r="J216" s="8">
        <v>69979.73</v>
      </c>
      <c r="K216" s="8">
        <v>59372.796000000002</v>
      </c>
      <c r="L216" s="8">
        <v>47311.139000000003</v>
      </c>
      <c r="M216" s="8">
        <v>41179.048000000003</v>
      </c>
      <c r="N216" s="8">
        <v>38938.404999999999</v>
      </c>
      <c r="O216" s="8">
        <v>34015.218999999997</v>
      </c>
      <c r="P216" s="8">
        <v>29841.636999999999</v>
      </c>
      <c r="Q216" s="8">
        <v>25167.701000000001</v>
      </c>
      <c r="R216" s="8">
        <v>20960.107</v>
      </c>
      <c r="S216" s="8">
        <v>18597.248</v>
      </c>
      <c r="T216" s="8">
        <v>15437.165999999999</v>
      </c>
      <c r="U216" s="8">
        <v>11853.387000000001</v>
      </c>
      <c r="V216" s="8">
        <v>8763.8410000000003</v>
      </c>
      <c r="W216" s="8">
        <v>5550.0450000000001</v>
      </c>
      <c r="X216" s="8">
        <v>3491.2629999999999</v>
      </c>
      <c r="Y216" s="8">
        <v>1564.3979999999999</v>
      </c>
      <c r="Z216" s="8">
        <v>558.43100000000004</v>
      </c>
      <c r="AA216" s="8">
        <v>160.10400000000001</v>
      </c>
      <c r="AB216" s="8">
        <v>26.841000000000001</v>
      </c>
      <c r="AC216" s="8">
        <v>3.7829999999999999</v>
      </c>
    </row>
    <row r="217" spans="1:29" ht="11.65" hidden="1" x14ac:dyDescent="0.35">
      <c r="A217" s="12">
        <v>200</v>
      </c>
      <c r="B217" s="10" t="s">
        <v>1015</v>
      </c>
      <c r="C217" s="30" t="s">
        <v>1043</v>
      </c>
      <c r="D217" s="9" t="s">
        <v>1039</v>
      </c>
      <c r="E217" s="9">
        <v>1501</v>
      </c>
      <c r="F217" s="10" t="s">
        <v>1040</v>
      </c>
      <c r="G217" s="9">
        <v>1517</v>
      </c>
      <c r="H217" s="9">
        <v>1970</v>
      </c>
      <c r="I217" s="8">
        <v>92144.868000000002</v>
      </c>
      <c r="J217" s="8">
        <v>78675.149999999994</v>
      </c>
      <c r="K217" s="8">
        <v>68336.900999999998</v>
      </c>
      <c r="L217" s="8">
        <v>58085.652999999998</v>
      </c>
      <c r="M217" s="8">
        <v>46113.572999999997</v>
      </c>
      <c r="N217" s="8">
        <v>39971.203999999998</v>
      </c>
      <c r="O217" s="8">
        <v>37678.749000000003</v>
      </c>
      <c r="P217" s="8">
        <v>32649.275000000001</v>
      </c>
      <c r="Q217" s="8">
        <v>28531.008000000002</v>
      </c>
      <c r="R217" s="8">
        <v>23864.683000000001</v>
      </c>
      <c r="S217" s="8">
        <v>19597.169000000002</v>
      </c>
      <c r="T217" s="8">
        <v>17111.772000000001</v>
      </c>
      <c r="U217" s="8">
        <v>13686.882</v>
      </c>
      <c r="V217" s="8">
        <v>9878.8169999999991</v>
      </c>
      <c r="W217" s="8">
        <v>6649.8209999999999</v>
      </c>
      <c r="X217" s="8">
        <v>3709.415</v>
      </c>
      <c r="Y217" s="8">
        <v>1977.0550000000001</v>
      </c>
      <c r="Z217" s="8">
        <v>666.66200000000003</v>
      </c>
      <c r="AA217" s="8">
        <v>166.86699999999999</v>
      </c>
      <c r="AB217" s="8">
        <v>34.276000000000003</v>
      </c>
      <c r="AC217" s="8">
        <v>4.468</v>
      </c>
    </row>
    <row r="218" spans="1:29" ht="11.65" hidden="1" x14ac:dyDescent="0.35">
      <c r="A218" s="12">
        <v>201</v>
      </c>
      <c r="B218" s="10" t="s">
        <v>1015</v>
      </c>
      <c r="C218" s="30" t="s">
        <v>1043</v>
      </c>
      <c r="D218" s="9" t="s">
        <v>1039</v>
      </c>
      <c r="E218" s="9">
        <v>1501</v>
      </c>
      <c r="F218" s="10" t="s">
        <v>1040</v>
      </c>
      <c r="G218" s="9">
        <v>1517</v>
      </c>
      <c r="H218" s="9">
        <v>1975</v>
      </c>
      <c r="I218" s="8">
        <v>101304.567</v>
      </c>
      <c r="J218" s="8">
        <v>86738.225999999995</v>
      </c>
      <c r="K218" s="8">
        <v>77064.771999999997</v>
      </c>
      <c r="L218" s="8">
        <v>66819.741999999998</v>
      </c>
      <c r="M218" s="8">
        <v>56356.678</v>
      </c>
      <c r="N218" s="8">
        <v>44884.552000000003</v>
      </c>
      <c r="O218" s="8">
        <v>38979.69</v>
      </c>
      <c r="P218" s="8">
        <v>36607.487000000001</v>
      </c>
      <c r="Q218" s="8">
        <v>31564.016</v>
      </c>
      <c r="R218" s="8">
        <v>27409.143</v>
      </c>
      <c r="S218" s="8">
        <v>22676.524000000001</v>
      </c>
      <c r="T218" s="8">
        <v>18195.535</v>
      </c>
      <c r="U218" s="8">
        <v>15313.078</v>
      </c>
      <c r="V218" s="8">
        <v>11548.700999999999</v>
      </c>
      <c r="W218" s="8">
        <v>7635.4520000000002</v>
      </c>
      <c r="X218" s="8">
        <v>4504.201</v>
      </c>
      <c r="Y218" s="8">
        <v>2098.424</v>
      </c>
      <c r="Z218" s="8">
        <v>849.64200000000005</v>
      </c>
      <c r="AA218" s="8">
        <v>200.55</v>
      </c>
      <c r="AB218" s="8">
        <v>35.304000000000002</v>
      </c>
      <c r="AC218" s="8">
        <v>5.7919999999999998</v>
      </c>
    </row>
    <row r="219" spans="1:29" ht="11.65" hidden="1" x14ac:dyDescent="0.35">
      <c r="A219" s="12">
        <v>202</v>
      </c>
      <c r="B219" s="10" t="s">
        <v>1015</v>
      </c>
      <c r="C219" s="30" t="s">
        <v>1043</v>
      </c>
      <c r="D219" s="9" t="s">
        <v>1039</v>
      </c>
      <c r="E219" s="9">
        <v>1501</v>
      </c>
      <c r="F219" s="10" t="s">
        <v>1040</v>
      </c>
      <c r="G219" s="9">
        <v>1517</v>
      </c>
      <c r="H219" s="9">
        <v>1980</v>
      </c>
      <c r="I219" s="8">
        <v>111365.318</v>
      </c>
      <c r="J219" s="8">
        <v>96358.743000000002</v>
      </c>
      <c r="K219" s="8">
        <v>85365.663</v>
      </c>
      <c r="L219" s="8">
        <v>76014.392999999996</v>
      </c>
      <c r="M219" s="8">
        <v>65461.195</v>
      </c>
      <c r="N219" s="8">
        <v>54962.466</v>
      </c>
      <c r="O219" s="8">
        <v>43719.900999999998</v>
      </c>
      <c r="P219" s="8">
        <v>37986.587</v>
      </c>
      <c r="Q219" s="8">
        <v>35550.353999999999</v>
      </c>
      <c r="R219" s="8">
        <v>30410.292000000001</v>
      </c>
      <c r="S219" s="8">
        <v>26117.526000000002</v>
      </c>
      <c r="T219" s="8">
        <v>21182.97</v>
      </c>
      <c r="U219" s="8">
        <v>16396.509999999998</v>
      </c>
      <c r="V219" s="8">
        <v>13084.038</v>
      </c>
      <c r="W219" s="8">
        <v>9090.9220000000005</v>
      </c>
      <c r="X219" s="8">
        <v>5301.7749999999996</v>
      </c>
      <c r="Y219" s="8">
        <v>2584.6120000000001</v>
      </c>
      <c r="Z219" s="8">
        <v>928.697</v>
      </c>
      <c r="AA219" s="8">
        <v>269.74</v>
      </c>
      <c r="AB219" s="8">
        <v>45.637999999999998</v>
      </c>
      <c r="AC219" s="8">
        <v>6.6779999999999999</v>
      </c>
    </row>
    <row r="220" spans="1:29" ht="11.65" hidden="1" x14ac:dyDescent="0.35">
      <c r="A220" s="12">
        <v>203</v>
      </c>
      <c r="B220" s="10" t="s">
        <v>1015</v>
      </c>
      <c r="C220" s="30" t="s">
        <v>1043</v>
      </c>
      <c r="D220" s="9" t="s">
        <v>1039</v>
      </c>
      <c r="E220" s="9">
        <v>1501</v>
      </c>
      <c r="F220" s="10" t="s">
        <v>1040</v>
      </c>
      <c r="G220" s="9">
        <v>1517</v>
      </c>
      <c r="H220" s="9">
        <v>1985</v>
      </c>
      <c r="I220" s="8">
        <v>123271.231</v>
      </c>
      <c r="J220" s="8">
        <v>106831.49800000001</v>
      </c>
      <c r="K220" s="8">
        <v>95034.73</v>
      </c>
      <c r="L220" s="8">
        <v>84376.232000000004</v>
      </c>
      <c r="M220" s="8">
        <v>74733.039000000004</v>
      </c>
      <c r="N220" s="8">
        <v>64169.673999999999</v>
      </c>
      <c r="O220" s="8">
        <v>53858.086000000003</v>
      </c>
      <c r="P220" s="8">
        <v>42829.773000000001</v>
      </c>
      <c r="Q220" s="8">
        <v>37029.896999999997</v>
      </c>
      <c r="R220" s="8">
        <v>34376.845999999998</v>
      </c>
      <c r="S220" s="8">
        <v>29079.040000000001</v>
      </c>
      <c r="T220" s="8">
        <v>24525.897000000001</v>
      </c>
      <c r="U220" s="8">
        <v>19192.236000000001</v>
      </c>
      <c r="V220" s="8">
        <v>14052.163</v>
      </c>
      <c r="W220" s="8">
        <v>10384.172</v>
      </c>
      <c r="X220" s="8">
        <v>6361.3360000000002</v>
      </c>
      <c r="Y220" s="8">
        <v>3101.0740000000001</v>
      </c>
      <c r="Z220" s="8">
        <v>1152.722</v>
      </c>
      <c r="AA220" s="8">
        <v>295.43799999999999</v>
      </c>
      <c r="AB220" s="8">
        <v>62.058</v>
      </c>
      <c r="AC220" s="8">
        <v>8.282</v>
      </c>
    </row>
    <row r="221" spans="1:29" ht="11.65" hidden="1" x14ac:dyDescent="0.35">
      <c r="A221" s="12">
        <v>204</v>
      </c>
      <c r="B221" s="10" t="s">
        <v>1015</v>
      </c>
      <c r="C221" s="30" t="s">
        <v>1043</v>
      </c>
      <c r="D221" s="9" t="s">
        <v>1039</v>
      </c>
      <c r="E221" s="9">
        <v>1501</v>
      </c>
      <c r="F221" s="10" t="s">
        <v>1040</v>
      </c>
      <c r="G221" s="9">
        <v>1517</v>
      </c>
      <c r="H221" s="9">
        <v>1990</v>
      </c>
      <c r="I221" s="8">
        <v>130759.88800000001</v>
      </c>
      <c r="J221" s="8">
        <v>118832.986</v>
      </c>
      <c r="K221" s="8">
        <v>105440.833</v>
      </c>
      <c r="L221" s="8">
        <v>93851.979000000007</v>
      </c>
      <c r="M221" s="8">
        <v>82816.436000000002</v>
      </c>
      <c r="N221" s="8">
        <v>73225.145000000004</v>
      </c>
      <c r="O221" s="8">
        <v>62953.404000000002</v>
      </c>
      <c r="P221" s="8">
        <v>52807.593000000001</v>
      </c>
      <c r="Q221" s="8">
        <v>41819.976000000002</v>
      </c>
      <c r="R221" s="8">
        <v>35927.911999999997</v>
      </c>
      <c r="S221" s="8">
        <v>32962.659</v>
      </c>
      <c r="T221" s="8">
        <v>27324.857</v>
      </c>
      <c r="U221" s="8">
        <v>22304.6</v>
      </c>
      <c r="V221" s="8">
        <v>16549.155999999999</v>
      </c>
      <c r="W221" s="8">
        <v>11139.569</v>
      </c>
      <c r="X221" s="8">
        <v>7307.6549999999997</v>
      </c>
      <c r="Y221" s="8">
        <v>3733.1909999999998</v>
      </c>
      <c r="Z221" s="8">
        <v>1408.3810000000001</v>
      </c>
      <c r="AA221" s="8">
        <v>376.42</v>
      </c>
      <c r="AB221" s="8">
        <v>71.141999999999996</v>
      </c>
      <c r="AC221" s="8">
        <v>11.801</v>
      </c>
    </row>
    <row r="222" spans="1:29" ht="11.65" hidden="1" x14ac:dyDescent="0.35">
      <c r="A222" s="12">
        <v>205</v>
      </c>
      <c r="B222" s="10" t="s">
        <v>1015</v>
      </c>
      <c r="C222" s="30" t="s">
        <v>1043</v>
      </c>
      <c r="D222" s="9" t="s">
        <v>1039</v>
      </c>
      <c r="E222" s="9">
        <v>1501</v>
      </c>
      <c r="F222" s="10" t="s">
        <v>1040</v>
      </c>
      <c r="G222" s="9">
        <v>1517</v>
      </c>
      <c r="H222" s="9">
        <v>1995</v>
      </c>
      <c r="I222" s="8">
        <v>134362.60200000001</v>
      </c>
      <c r="J222" s="8">
        <v>126767.272</v>
      </c>
      <c r="K222" s="8">
        <v>117574.015</v>
      </c>
      <c r="L222" s="8">
        <v>104169.383</v>
      </c>
      <c r="M222" s="8">
        <v>92006.49</v>
      </c>
      <c r="N222" s="8">
        <v>81076.019</v>
      </c>
      <c r="O222" s="8">
        <v>71776.578999999998</v>
      </c>
      <c r="P222" s="8">
        <v>61710.470999999998</v>
      </c>
      <c r="Q222" s="8">
        <v>51646.726000000002</v>
      </c>
      <c r="R222" s="8">
        <v>40671.072999999997</v>
      </c>
      <c r="S222" s="8">
        <v>34568.764000000003</v>
      </c>
      <c r="T222" s="8">
        <v>31075.628000000001</v>
      </c>
      <c r="U222" s="8">
        <v>25010.748</v>
      </c>
      <c r="V222" s="8">
        <v>19415.105</v>
      </c>
      <c r="W222" s="8">
        <v>13305.321</v>
      </c>
      <c r="X222" s="8">
        <v>7960.98</v>
      </c>
      <c r="Y222" s="8">
        <v>4350.4719999999998</v>
      </c>
      <c r="Z222" s="8">
        <v>1708.1510000000001</v>
      </c>
      <c r="AA222" s="8">
        <v>465.09899999999999</v>
      </c>
      <c r="AB222" s="8">
        <v>93.106999999999999</v>
      </c>
      <c r="AC222" s="8">
        <v>14.552</v>
      </c>
    </row>
    <row r="223" spans="1:29" ht="11.65" hidden="1" x14ac:dyDescent="0.35">
      <c r="A223" s="12">
        <v>206</v>
      </c>
      <c r="B223" s="10" t="s">
        <v>1015</v>
      </c>
      <c r="C223" s="30" t="s">
        <v>1043</v>
      </c>
      <c r="D223" s="9" t="s">
        <v>1039</v>
      </c>
      <c r="E223" s="9">
        <v>1501</v>
      </c>
      <c r="F223" s="10" t="s">
        <v>1040</v>
      </c>
      <c r="G223" s="9">
        <v>1517</v>
      </c>
      <c r="H223" s="9">
        <v>2000</v>
      </c>
      <c r="I223" s="8">
        <v>137340.90299999999</v>
      </c>
      <c r="J223" s="8">
        <v>130724.231</v>
      </c>
      <c r="K223" s="8">
        <v>125432.056</v>
      </c>
      <c r="L223" s="8">
        <v>116364.10400000001</v>
      </c>
      <c r="M223" s="8">
        <v>102386.048</v>
      </c>
      <c r="N223" s="8">
        <v>90208.316999999995</v>
      </c>
      <c r="O223" s="8">
        <v>79469.880999999994</v>
      </c>
      <c r="P223" s="8">
        <v>70348.203999999998</v>
      </c>
      <c r="Q223" s="8">
        <v>60350.911</v>
      </c>
      <c r="R223" s="8">
        <v>50243.019</v>
      </c>
      <c r="S223" s="8">
        <v>39140.548000000003</v>
      </c>
      <c r="T223" s="8">
        <v>32647.262999999999</v>
      </c>
      <c r="U223" s="8">
        <v>28617.661</v>
      </c>
      <c r="V223" s="8">
        <v>21963.363000000001</v>
      </c>
      <c r="W223" s="8">
        <v>15852.281999999999</v>
      </c>
      <c r="X223" s="8">
        <v>9767.7870000000003</v>
      </c>
      <c r="Y223" s="8">
        <v>4878.1329999999998</v>
      </c>
      <c r="Z223" s="8">
        <v>2022.6120000000001</v>
      </c>
      <c r="AA223" s="8">
        <v>565.70500000000004</v>
      </c>
      <c r="AB223" s="8">
        <v>117.16200000000001</v>
      </c>
      <c r="AC223" s="8">
        <v>19.768000000000001</v>
      </c>
    </row>
    <row r="224" spans="1:29" ht="11.65" hidden="1" x14ac:dyDescent="0.35">
      <c r="A224" s="12">
        <v>207</v>
      </c>
      <c r="B224" s="10" t="s">
        <v>1015</v>
      </c>
      <c r="C224" s="30" t="s">
        <v>1043</v>
      </c>
      <c r="D224" s="9" t="s">
        <v>1039</v>
      </c>
      <c r="E224" s="9">
        <v>1501</v>
      </c>
      <c r="F224" s="10" t="s">
        <v>1040</v>
      </c>
      <c r="G224" s="9">
        <v>1517</v>
      </c>
      <c r="H224" s="9">
        <v>2005</v>
      </c>
      <c r="I224" s="8">
        <v>141804.6</v>
      </c>
      <c r="J224" s="8">
        <v>134880.47700000001</v>
      </c>
      <c r="K224" s="8">
        <v>129863.728</v>
      </c>
      <c r="L224" s="8">
        <v>124000.77</v>
      </c>
      <c r="M224" s="8">
        <v>113774.454</v>
      </c>
      <c r="N224" s="8">
        <v>100229.228</v>
      </c>
      <c r="O224" s="8">
        <v>88186.767000000007</v>
      </c>
      <c r="P224" s="8">
        <v>77573.611000000004</v>
      </c>
      <c r="Q224" s="8">
        <v>68570.966</v>
      </c>
      <c r="R224" s="8">
        <v>58358.781999999999</v>
      </c>
      <c r="S224" s="8">
        <v>48482.533000000003</v>
      </c>
      <c r="T224" s="8">
        <v>37261.408000000003</v>
      </c>
      <c r="U224" s="8">
        <v>29975.477999999999</v>
      </c>
      <c r="V224" s="8">
        <v>24937.964</v>
      </c>
      <c r="W224" s="8">
        <v>17823.707999999999</v>
      </c>
      <c r="X224" s="8">
        <v>11540.671</v>
      </c>
      <c r="Y224" s="8">
        <v>6071.5349999999999</v>
      </c>
      <c r="Z224" s="8">
        <v>2324.654</v>
      </c>
      <c r="AA224" s="8">
        <v>691.55499999999995</v>
      </c>
      <c r="AB224" s="8">
        <v>145.64400000000001</v>
      </c>
      <c r="AC224" s="8">
        <v>26.216999999999999</v>
      </c>
    </row>
    <row r="225" spans="1:29" ht="11.65" hidden="1" x14ac:dyDescent="0.35">
      <c r="A225" s="12">
        <v>208</v>
      </c>
      <c r="B225" s="10" t="s">
        <v>1015</v>
      </c>
      <c r="C225" s="30" t="s">
        <v>1043</v>
      </c>
      <c r="D225" s="9" t="s">
        <v>1039</v>
      </c>
      <c r="E225" s="9">
        <v>1501</v>
      </c>
      <c r="F225" s="10" t="s">
        <v>1040</v>
      </c>
      <c r="G225" s="9">
        <v>1517</v>
      </c>
      <c r="H225" s="9">
        <v>2010</v>
      </c>
      <c r="I225" s="8">
        <v>146324.35</v>
      </c>
      <c r="J225" s="8">
        <v>139330.05300000001</v>
      </c>
      <c r="K225" s="8">
        <v>133583.682</v>
      </c>
      <c r="L225" s="8">
        <v>127837.836</v>
      </c>
      <c r="M225" s="8">
        <v>121054.03599999999</v>
      </c>
      <c r="N225" s="8">
        <v>111986.99</v>
      </c>
      <c r="O225" s="8">
        <v>98242.164000000004</v>
      </c>
      <c r="P225" s="8">
        <v>86585.620999999999</v>
      </c>
      <c r="Q225" s="8">
        <v>76146.729000000007</v>
      </c>
      <c r="R225" s="8">
        <v>67005.207999999999</v>
      </c>
      <c r="S225" s="8">
        <v>56598.165999999997</v>
      </c>
      <c r="T225" s="8">
        <v>45741.527000000002</v>
      </c>
      <c r="U225" s="8">
        <v>34240.74</v>
      </c>
      <c r="V225" s="8">
        <v>26284.096000000001</v>
      </c>
      <c r="W225" s="8">
        <v>20588.634999999998</v>
      </c>
      <c r="X225" s="8">
        <v>13165.15</v>
      </c>
      <c r="Y225" s="8">
        <v>7417.3680000000004</v>
      </c>
      <c r="Z225" s="8">
        <v>3002.9259999999999</v>
      </c>
      <c r="AA225" s="8">
        <v>830.94200000000001</v>
      </c>
      <c r="AB225" s="8">
        <v>190.18</v>
      </c>
      <c r="AC225" s="8">
        <v>35.090000000000003</v>
      </c>
    </row>
    <row r="226" spans="1:29" ht="11.65" hidden="1" x14ac:dyDescent="0.35">
      <c r="A226" s="12">
        <v>209</v>
      </c>
      <c r="B226" s="10" t="s">
        <v>1015</v>
      </c>
      <c r="C226" s="30" t="s">
        <v>1043</v>
      </c>
      <c r="D226" s="9" t="s">
        <v>1039</v>
      </c>
      <c r="E226" s="9">
        <v>1501</v>
      </c>
      <c r="F226" s="10" t="s">
        <v>1040</v>
      </c>
      <c r="G226" s="9">
        <v>1517</v>
      </c>
      <c r="H226" s="9">
        <v>2015</v>
      </c>
      <c r="I226" s="8">
        <v>148456.802</v>
      </c>
      <c r="J226" s="8">
        <v>144156.50399999999</v>
      </c>
      <c r="K226" s="8">
        <v>138208.27100000001</v>
      </c>
      <c r="L226" s="8">
        <v>132269.76000000001</v>
      </c>
      <c r="M226" s="8">
        <v>126004.88400000001</v>
      </c>
      <c r="N226" s="8">
        <v>119109.477</v>
      </c>
      <c r="O226" s="8">
        <v>110105.393</v>
      </c>
      <c r="P226" s="8">
        <v>96540.160999999993</v>
      </c>
      <c r="Q226" s="8">
        <v>85016.650999999998</v>
      </c>
      <c r="R226" s="8">
        <v>74448.521999999997</v>
      </c>
      <c r="S226" s="8">
        <v>64981.955999999998</v>
      </c>
      <c r="T226" s="8">
        <v>54108.576000000001</v>
      </c>
      <c r="U226" s="8">
        <v>42631.021999999997</v>
      </c>
      <c r="V226" s="8">
        <v>30570.821</v>
      </c>
      <c r="W226" s="8">
        <v>21989.565999999999</v>
      </c>
      <c r="X226" s="8">
        <v>15617.56</v>
      </c>
      <c r="Y226" s="8">
        <v>8514.9869999999992</v>
      </c>
      <c r="Z226" s="8">
        <v>3783.002</v>
      </c>
      <c r="AA226" s="8">
        <v>1112.0070000000001</v>
      </c>
      <c r="AB226" s="8">
        <v>235.51499999999999</v>
      </c>
      <c r="AC226" s="8">
        <v>46.84</v>
      </c>
    </row>
    <row r="227" spans="1:29" ht="11.65" hidden="1" x14ac:dyDescent="0.35">
      <c r="A227" s="12">
        <v>210</v>
      </c>
      <c r="B227" s="10" t="s">
        <v>1015</v>
      </c>
      <c r="C227" s="30" t="s">
        <v>1043</v>
      </c>
      <c r="D227" s="9" t="s">
        <v>1039</v>
      </c>
      <c r="E227" s="9">
        <v>1501</v>
      </c>
      <c r="F227" s="10" t="s">
        <v>1040</v>
      </c>
      <c r="G227" s="9">
        <v>1517</v>
      </c>
      <c r="H227" s="9">
        <v>2020</v>
      </c>
      <c r="I227" s="8">
        <v>150050.28599999999</v>
      </c>
      <c r="J227" s="8">
        <v>146624.01800000001</v>
      </c>
      <c r="K227" s="8">
        <v>143131.09599999999</v>
      </c>
      <c r="L227" s="8">
        <v>136920.209</v>
      </c>
      <c r="M227" s="8">
        <v>130474.83199999999</v>
      </c>
      <c r="N227" s="8">
        <v>124252.77</v>
      </c>
      <c r="O227" s="8">
        <v>117468.329</v>
      </c>
      <c r="P227" s="8">
        <v>108511.45</v>
      </c>
      <c r="Q227" s="8">
        <v>94954.851999999999</v>
      </c>
      <c r="R227" s="8">
        <v>83272.682000000001</v>
      </c>
      <c r="S227" s="8">
        <v>72297.429000000004</v>
      </c>
      <c r="T227" s="8">
        <v>62239.845000000001</v>
      </c>
      <c r="U227" s="8">
        <v>50664.775999999998</v>
      </c>
      <c r="V227" s="8">
        <v>38404.347000000002</v>
      </c>
      <c r="W227" s="8">
        <v>25894.542000000001</v>
      </c>
      <c r="X227" s="8">
        <v>16922.344000000001</v>
      </c>
      <c r="Y227" s="8">
        <v>10320.847</v>
      </c>
      <c r="Z227" s="8">
        <v>4442.8810000000003</v>
      </c>
      <c r="AA227" s="8">
        <v>1432.376</v>
      </c>
      <c r="AB227" s="8">
        <v>323.82100000000003</v>
      </c>
      <c r="AC227" s="8">
        <v>61.573</v>
      </c>
    </row>
    <row r="228" spans="1:29" ht="11.65" hidden="1" x14ac:dyDescent="0.35">
      <c r="A228" s="12">
        <v>211</v>
      </c>
      <c r="B228" s="10" t="s">
        <v>1015</v>
      </c>
      <c r="C228" s="36" t="s">
        <v>1044</v>
      </c>
      <c r="D228" s="9" t="s">
        <v>1039</v>
      </c>
      <c r="E228" s="9">
        <v>1500</v>
      </c>
      <c r="F228" s="10" t="s">
        <v>1040</v>
      </c>
      <c r="G228" s="9">
        <v>1802</v>
      </c>
      <c r="H228" s="9">
        <v>1950</v>
      </c>
      <c r="I228" s="8">
        <v>11520.981</v>
      </c>
      <c r="J228" s="8">
        <v>9225.65</v>
      </c>
      <c r="K228" s="8">
        <v>8048.893</v>
      </c>
      <c r="L228" s="8">
        <v>7075.7860000000001</v>
      </c>
      <c r="M228" s="8">
        <v>6142.0010000000002</v>
      </c>
      <c r="N228" s="8">
        <v>5258.0209999999997</v>
      </c>
      <c r="O228" s="8">
        <v>4464.5640000000003</v>
      </c>
      <c r="P228" s="8">
        <v>3808.732</v>
      </c>
      <c r="Q228" s="8">
        <v>3264.1680000000001</v>
      </c>
      <c r="R228" s="8">
        <v>2761.7979999999998</v>
      </c>
      <c r="S228" s="8">
        <v>2267.9369999999999</v>
      </c>
      <c r="T228" s="8">
        <v>1847.386</v>
      </c>
      <c r="U228" s="8">
        <v>1451.1489999999999</v>
      </c>
      <c r="V228" s="8">
        <v>1081.068</v>
      </c>
      <c r="W228" s="8">
        <v>681.00599999999997</v>
      </c>
      <c r="X228" s="8">
        <v>385.351</v>
      </c>
      <c r="Y228" s="8">
        <v>158.73400000000001</v>
      </c>
      <c r="Z228" s="8">
        <v>46.683</v>
      </c>
      <c r="AA228" s="8">
        <v>9.35</v>
      </c>
      <c r="AB228" s="8">
        <v>1.212</v>
      </c>
      <c r="AC228" s="8">
        <v>0.11</v>
      </c>
    </row>
    <row r="229" spans="1:29" ht="11.65" hidden="1" x14ac:dyDescent="0.35">
      <c r="A229" s="12">
        <v>212</v>
      </c>
      <c r="B229" s="10" t="s">
        <v>1015</v>
      </c>
      <c r="C229" s="36" t="s">
        <v>1044</v>
      </c>
      <c r="D229" s="9" t="s">
        <v>1039</v>
      </c>
      <c r="E229" s="9">
        <v>1500</v>
      </c>
      <c r="F229" s="10" t="s">
        <v>1040</v>
      </c>
      <c r="G229" s="9">
        <v>1802</v>
      </c>
      <c r="H229" s="9">
        <v>1955</v>
      </c>
      <c r="I229" s="8">
        <v>12603.813</v>
      </c>
      <c r="J229" s="8">
        <v>10032.781000000001</v>
      </c>
      <c r="K229" s="8">
        <v>8779.0370000000003</v>
      </c>
      <c r="L229" s="8">
        <v>7709.8940000000002</v>
      </c>
      <c r="M229" s="8">
        <v>6684.3789999999999</v>
      </c>
      <c r="N229" s="8">
        <v>5749.84</v>
      </c>
      <c r="O229" s="8">
        <v>4894.518</v>
      </c>
      <c r="P229" s="8">
        <v>4138.5870000000004</v>
      </c>
      <c r="Q229" s="8">
        <v>3520.6570000000002</v>
      </c>
      <c r="R229" s="8">
        <v>3011.1669999999999</v>
      </c>
      <c r="S229" s="8">
        <v>2521.5079999999998</v>
      </c>
      <c r="T229" s="8">
        <v>2018.6679999999999</v>
      </c>
      <c r="U229" s="8">
        <v>1563.9390000000001</v>
      </c>
      <c r="V229" s="8">
        <v>1137.703</v>
      </c>
      <c r="W229" s="8">
        <v>751.51900000000001</v>
      </c>
      <c r="X229" s="8">
        <v>390.12700000000001</v>
      </c>
      <c r="Y229" s="8">
        <v>166.64500000000001</v>
      </c>
      <c r="Z229" s="8">
        <v>46.402000000000001</v>
      </c>
      <c r="AA229" s="8">
        <v>8.8369999999999997</v>
      </c>
      <c r="AB229" s="8">
        <v>1.099</v>
      </c>
      <c r="AC229" s="8">
        <v>9.5000000000000001E-2</v>
      </c>
    </row>
    <row r="230" spans="1:29" ht="11.65" hidden="1" x14ac:dyDescent="0.35">
      <c r="A230" s="12">
        <v>213</v>
      </c>
      <c r="B230" s="10" t="s">
        <v>1015</v>
      </c>
      <c r="C230" s="36" t="s">
        <v>1044</v>
      </c>
      <c r="D230" s="9" t="s">
        <v>1039</v>
      </c>
      <c r="E230" s="9">
        <v>1500</v>
      </c>
      <c r="F230" s="10" t="s">
        <v>1040</v>
      </c>
      <c r="G230" s="9">
        <v>1802</v>
      </c>
      <c r="H230" s="9">
        <v>1960</v>
      </c>
      <c r="I230" s="8">
        <v>14527.688</v>
      </c>
      <c r="J230" s="8">
        <v>11140.535</v>
      </c>
      <c r="K230" s="8">
        <v>9612.5030000000006</v>
      </c>
      <c r="L230" s="8">
        <v>8473.5750000000007</v>
      </c>
      <c r="M230" s="8">
        <v>7371.33</v>
      </c>
      <c r="N230" s="8">
        <v>6343.634</v>
      </c>
      <c r="O230" s="8">
        <v>5428.5029999999997</v>
      </c>
      <c r="P230" s="8">
        <v>4596.4459999999999</v>
      </c>
      <c r="Q230" s="8">
        <v>3868.9450000000002</v>
      </c>
      <c r="R230" s="8">
        <v>3277.6419999999998</v>
      </c>
      <c r="S230" s="8">
        <v>2772.0720000000001</v>
      </c>
      <c r="T230" s="8">
        <v>2265.2829999999999</v>
      </c>
      <c r="U230" s="8">
        <v>1731.2719999999999</v>
      </c>
      <c r="V230" s="8">
        <v>1246.079</v>
      </c>
      <c r="W230" s="8">
        <v>810.18200000000002</v>
      </c>
      <c r="X230" s="8">
        <v>445.983</v>
      </c>
      <c r="Y230" s="8">
        <v>178.041</v>
      </c>
      <c r="Z230" s="8">
        <v>52.238</v>
      </c>
      <c r="AA230" s="8">
        <v>9.141</v>
      </c>
      <c r="AB230" s="8">
        <v>1.077</v>
      </c>
      <c r="AC230" s="8">
        <v>8.7999999999999995E-2</v>
      </c>
    </row>
    <row r="231" spans="1:29" ht="11.65" hidden="1" x14ac:dyDescent="0.35">
      <c r="A231" s="12">
        <v>214</v>
      </c>
      <c r="B231" s="10" t="s">
        <v>1015</v>
      </c>
      <c r="C231" s="36" t="s">
        <v>1044</v>
      </c>
      <c r="D231" s="9" t="s">
        <v>1039</v>
      </c>
      <c r="E231" s="9">
        <v>1500</v>
      </c>
      <c r="F231" s="10" t="s">
        <v>1040</v>
      </c>
      <c r="G231" s="9">
        <v>1802</v>
      </c>
      <c r="H231" s="9">
        <v>1965</v>
      </c>
      <c r="I231" s="8">
        <v>16306.823</v>
      </c>
      <c r="J231" s="8">
        <v>13031.971</v>
      </c>
      <c r="K231" s="8">
        <v>10728.8</v>
      </c>
      <c r="L231" s="8">
        <v>9310.875</v>
      </c>
      <c r="M231" s="8">
        <v>8129.8159999999998</v>
      </c>
      <c r="N231" s="8">
        <v>7022.5460000000003</v>
      </c>
      <c r="O231" s="8">
        <v>6015.8289999999997</v>
      </c>
      <c r="P231" s="8">
        <v>5124.0249999999996</v>
      </c>
      <c r="Q231" s="8">
        <v>4319.585</v>
      </c>
      <c r="R231" s="8">
        <v>3620.4029999999998</v>
      </c>
      <c r="S231" s="8">
        <v>3033.4389999999999</v>
      </c>
      <c r="T231" s="8">
        <v>2506.4789999999998</v>
      </c>
      <c r="U231" s="8">
        <v>1960.7280000000001</v>
      </c>
      <c r="V231" s="8">
        <v>1397.239</v>
      </c>
      <c r="W231" s="8">
        <v>902.28800000000001</v>
      </c>
      <c r="X231" s="8">
        <v>493.78699999999998</v>
      </c>
      <c r="Y231" s="8">
        <v>210.471</v>
      </c>
      <c r="Z231" s="8">
        <v>58.109000000000002</v>
      </c>
      <c r="AA231" s="8">
        <v>10.721</v>
      </c>
      <c r="AB231" s="8">
        <v>1.1399999999999999</v>
      </c>
      <c r="AC231" s="8">
        <v>8.5999999999999993E-2</v>
      </c>
    </row>
    <row r="232" spans="1:29" ht="11.65" hidden="1" x14ac:dyDescent="0.35">
      <c r="A232" s="12">
        <v>215</v>
      </c>
      <c r="B232" s="10" t="s">
        <v>1015</v>
      </c>
      <c r="C232" s="36" t="s">
        <v>1044</v>
      </c>
      <c r="D232" s="9" t="s">
        <v>1039</v>
      </c>
      <c r="E232" s="9">
        <v>1500</v>
      </c>
      <c r="F232" s="10" t="s">
        <v>1040</v>
      </c>
      <c r="G232" s="9">
        <v>1802</v>
      </c>
      <c r="H232" s="9">
        <v>1970</v>
      </c>
      <c r="I232" s="8">
        <v>18819.965</v>
      </c>
      <c r="J232" s="8">
        <v>14788.005999999999</v>
      </c>
      <c r="K232" s="8">
        <v>12624.939</v>
      </c>
      <c r="L232" s="8">
        <v>10445.99</v>
      </c>
      <c r="M232" s="8">
        <v>8995.9850000000006</v>
      </c>
      <c r="N232" s="8">
        <v>7808.1210000000001</v>
      </c>
      <c r="O232" s="8">
        <v>6715.8230000000003</v>
      </c>
      <c r="P232" s="8">
        <v>5726.8130000000001</v>
      </c>
      <c r="Q232" s="8">
        <v>4852.5630000000001</v>
      </c>
      <c r="R232" s="8">
        <v>4070.1289999999999</v>
      </c>
      <c r="S232" s="8">
        <v>3374.395</v>
      </c>
      <c r="T232" s="8">
        <v>2764.4789999999998</v>
      </c>
      <c r="U232" s="8">
        <v>2191.9580000000001</v>
      </c>
      <c r="V232" s="8">
        <v>1604.7380000000001</v>
      </c>
      <c r="W232" s="8">
        <v>1031.127</v>
      </c>
      <c r="X232" s="8">
        <v>563.99400000000003</v>
      </c>
      <c r="Y232" s="8">
        <v>242.10300000000001</v>
      </c>
      <c r="Z232" s="8">
        <v>71.186999999999998</v>
      </c>
      <c r="AA232" s="8">
        <v>12.351000000000001</v>
      </c>
      <c r="AB232" s="8">
        <v>1.373</v>
      </c>
      <c r="AC232" s="8">
        <v>9.7000000000000003E-2</v>
      </c>
    </row>
    <row r="233" spans="1:29" ht="11.65" hidden="1" x14ac:dyDescent="0.35">
      <c r="A233" s="12">
        <v>216</v>
      </c>
      <c r="B233" s="10" t="s">
        <v>1015</v>
      </c>
      <c r="C233" s="36" t="s">
        <v>1044</v>
      </c>
      <c r="D233" s="9" t="s">
        <v>1039</v>
      </c>
      <c r="E233" s="9">
        <v>1500</v>
      </c>
      <c r="F233" s="10" t="s">
        <v>1040</v>
      </c>
      <c r="G233" s="9">
        <v>1802</v>
      </c>
      <c r="H233" s="9">
        <v>1975</v>
      </c>
      <c r="I233" s="8">
        <v>21400.965</v>
      </c>
      <c r="J233" s="8">
        <v>17188.542000000001</v>
      </c>
      <c r="K233" s="8">
        <v>14303.224</v>
      </c>
      <c r="L233" s="8">
        <v>12272.338</v>
      </c>
      <c r="M233" s="8">
        <v>10070.114</v>
      </c>
      <c r="N233" s="8">
        <v>8604.1190000000006</v>
      </c>
      <c r="O233" s="8">
        <v>7437.1450000000004</v>
      </c>
      <c r="P233" s="8">
        <v>6380.3</v>
      </c>
      <c r="Q233" s="8">
        <v>5416.8559999999998</v>
      </c>
      <c r="R233" s="8">
        <v>4567.9880000000003</v>
      </c>
      <c r="S233" s="8">
        <v>3804.6</v>
      </c>
      <c r="T233" s="8">
        <v>3084.61</v>
      </c>
      <c r="U233" s="8">
        <v>2426.3069999999998</v>
      </c>
      <c r="V233" s="8">
        <v>1806.4949999999999</v>
      </c>
      <c r="W233" s="8">
        <v>1196.8779999999999</v>
      </c>
      <c r="X233" s="8">
        <v>655.048</v>
      </c>
      <c r="Y233" s="8">
        <v>285.16199999999998</v>
      </c>
      <c r="Z233" s="8">
        <v>84.34</v>
      </c>
      <c r="AA233" s="8">
        <v>15.541</v>
      </c>
      <c r="AB233" s="8">
        <v>1.625</v>
      </c>
      <c r="AC233" s="8">
        <v>0.11899999999999999</v>
      </c>
    </row>
    <row r="234" spans="1:29" ht="11.65" hidden="1" x14ac:dyDescent="0.35">
      <c r="A234" s="12">
        <v>217</v>
      </c>
      <c r="B234" s="10" t="s">
        <v>1015</v>
      </c>
      <c r="C234" s="36" t="s">
        <v>1044</v>
      </c>
      <c r="D234" s="9" t="s">
        <v>1039</v>
      </c>
      <c r="E234" s="9">
        <v>1500</v>
      </c>
      <c r="F234" s="10" t="s">
        <v>1040</v>
      </c>
      <c r="G234" s="9">
        <v>1802</v>
      </c>
      <c r="H234" s="9">
        <v>1980</v>
      </c>
      <c r="I234" s="8">
        <v>24141.883999999998</v>
      </c>
      <c r="J234" s="8">
        <v>19536.742999999999</v>
      </c>
      <c r="K234" s="8">
        <v>16472.271000000001</v>
      </c>
      <c r="L234" s="8">
        <v>13751.698</v>
      </c>
      <c r="M234" s="8">
        <v>11816.232</v>
      </c>
      <c r="N234" s="8">
        <v>9652.6569999999992</v>
      </c>
      <c r="O234" s="8">
        <v>8214.1740000000009</v>
      </c>
      <c r="P234" s="8">
        <v>7064.4629999999997</v>
      </c>
      <c r="Q234" s="8">
        <v>6007.415</v>
      </c>
      <c r="R234" s="8">
        <v>5121.3770000000004</v>
      </c>
      <c r="S234" s="8">
        <v>4242.5529999999999</v>
      </c>
      <c r="T234" s="8">
        <v>3505.89</v>
      </c>
      <c r="U234" s="8">
        <v>2723.9810000000002</v>
      </c>
      <c r="V234" s="8">
        <v>2035.105</v>
      </c>
      <c r="W234" s="8">
        <v>1365.6420000000001</v>
      </c>
      <c r="X234" s="8">
        <v>792.13699999999994</v>
      </c>
      <c r="Y234" s="8">
        <v>341.51400000000001</v>
      </c>
      <c r="Z234" s="8">
        <v>102.096</v>
      </c>
      <c r="AA234" s="8">
        <v>18.956</v>
      </c>
      <c r="AB234" s="8">
        <v>2.08</v>
      </c>
      <c r="AC234" s="8">
        <v>0.14099999999999999</v>
      </c>
    </row>
    <row r="235" spans="1:29" ht="11.65" hidden="1" x14ac:dyDescent="0.35">
      <c r="A235" s="12">
        <v>218</v>
      </c>
      <c r="B235" s="10" t="s">
        <v>1015</v>
      </c>
      <c r="C235" s="36" t="s">
        <v>1044</v>
      </c>
      <c r="D235" s="9" t="s">
        <v>1039</v>
      </c>
      <c r="E235" s="9">
        <v>1500</v>
      </c>
      <c r="F235" s="10" t="s">
        <v>1040</v>
      </c>
      <c r="G235" s="9">
        <v>1802</v>
      </c>
      <c r="H235" s="9">
        <v>1985</v>
      </c>
      <c r="I235" s="8">
        <v>27479.973000000002</v>
      </c>
      <c r="J235" s="8">
        <v>22099.382000000001</v>
      </c>
      <c r="K235" s="8">
        <v>18789.401000000002</v>
      </c>
      <c r="L235" s="8">
        <v>15904.043</v>
      </c>
      <c r="M235" s="8">
        <v>13179.982</v>
      </c>
      <c r="N235" s="8">
        <v>11252.252</v>
      </c>
      <c r="O235" s="8">
        <v>9147.0360000000001</v>
      </c>
      <c r="P235" s="8">
        <v>7758.4690000000001</v>
      </c>
      <c r="Q235" s="8">
        <v>6644.1149999999998</v>
      </c>
      <c r="R235" s="8">
        <v>5630.37</v>
      </c>
      <c r="S235" s="8">
        <v>4752.2879999999996</v>
      </c>
      <c r="T235" s="8">
        <v>3874.1370000000002</v>
      </c>
      <c r="U235" s="8">
        <v>3092.7710000000002</v>
      </c>
      <c r="V235" s="8">
        <v>2270.1019999999999</v>
      </c>
      <c r="W235" s="8">
        <v>1542.5329999999999</v>
      </c>
      <c r="X235" s="8">
        <v>891.11400000000003</v>
      </c>
      <c r="Y235" s="8">
        <v>410.04899999999998</v>
      </c>
      <c r="Z235" s="8">
        <v>123.962</v>
      </c>
      <c r="AA235" s="8">
        <v>23.541</v>
      </c>
      <c r="AB235" s="8">
        <v>2.5990000000000002</v>
      </c>
      <c r="AC235" s="8">
        <v>0.182</v>
      </c>
    </row>
    <row r="236" spans="1:29" ht="11.65" hidden="1" x14ac:dyDescent="0.35">
      <c r="A236" s="12">
        <v>219</v>
      </c>
      <c r="B236" s="10" t="s">
        <v>1015</v>
      </c>
      <c r="C236" s="36" t="s">
        <v>1044</v>
      </c>
      <c r="D236" s="9" t="s">
        <v>1039</v>
      </c>
      <c r="E236" s="9">
        <v>1500</v>
      </c>
      <c r="F236" s="10" t="s">
        <v>1040</v>
      </c>
      <c r="G236" s="9">
        <v>1802</v>
      </c>
      <c r="H236" s="9">
        <v>1990</v>
      </c>
      <c r="I236" s="8">
        <v>31166.387999999999</v>
      </c>
      <c r="J236" s="8">
        <v>25608.814999999999</v>
      </c>
      <c r="K236" s="8">
        <v>21491.166000000001</v>
      </c>
      <c r="L236" s="8">
        <v>18308.749</v>
      </c>
      <c r="M236" s="8">
        <v>15431.085999999999</v>
      </c>
      <c r="N236" s="8">
        <v>12663.487999999999</v>
      </c>
      <c r="O236" s="8">
        <v>10789.4</v>
      </c>
      <c r="P236" s="8">
        <v>8712.2610000000004</v>
      </c>
      <c r="Q236" s="8">
        <v>7402.9719999999998</v>
      </c>
      <c r="R236" s="8">
        <v>6280.6260000000002</v>
      </c>
      <c r="S236" s="8">
        <v>5275.5950000000003</v>
      </c>
      <c r="T236" s="8">
        <v>4383.0060000000003</v>
      </c>
      <c r="U236" s="8">
        <v>3469.3040000000001</v>
      </c>
      <c r="V236" s="8">
        <v>2630.0059999999999</v>
      </c>
      <c r="W236" s="8">
        <v>1767.925</v>
      </c>
      <c r="X236" s="8">
        <v>1038.655</v>
      </c>
      <c r="Y236" s="8">
        <v>479.81700000000001</v>
      </c>
      <c r="Z236" s="8">
        <v>154.57300000000001</v>
      </c>
      <c r="AA236" s="8">
        <v>29.555</v>
      </c>
      <c r="AB236" s="8">
        <v>3.3570000000000002</v>
      </c>
      <c r="AC236" s="8">
        <v>0.23300000000000001</v>
      </c>
    </row>
    <row r="237" spans="1:29" ht="11.65" hidden="1" x14ac:dyDescent="0.35">
      <c r="A237" s="12">
        <v>220</v>
      </c>
      <c r="B237" s="10" t="s">
        <v>1015</v>
      </c>
      <c r="C237" s="36" t="s">
        <v>1044</v>
      </c>
      <c r="D237" s="9" t="s">
        <v>1039</v>
      </c>
      <c r="E237" s="9">
        <v>1500</v>
      </c>
      <c r="F237" s="10" t="s">
        <v>1040</v>
      </c>
      <c r="G237" s="9">
        <v>1802</v>
      </c>
      <c r="H237" s="9">
        <v>1995</v>
      </c>
      <c r="I237" s="8">
        <v>35102.421000000002</v>
      </c>
      <c r="J237" s="8">
        <v>29396.653999999999</v>
      </c>
      <c r="K237" s="8">
        <v>25169.034</v>
      </c>
      <c r="L237" s="8">
        <v>21012.775000000001</v>
      </c>
      <c r="M237" s="8">
        <v>17766.994999999999</v>
      </c>
      <c r="N237" s="8">
        <v>14983.28</v>
      </c>
      <c r="O237" s="8">
        <v>12279.085999999999</v>
      </c>
      <c r="P237" s="8">
        <v>10432.919</v>
      </c>
      <c r="Q237" s="8">
        <v>8352.5959999999995</v>
      </c>
      <c r="R237" s="8">
        <v>7083.3890000000001</v>
      </c>
      <c r="S237" s="8">
        <v>5984.0249999999996</v>
      </c>
      <c r="T237" s="8">
        <v>4951.8320000000003</v>
      </c>
      <c r="U237" s="8">
        <v>3997.6610000000001</v>
      </c>
      <c r="V237" s="8">
        <v>3000.96</v>
      </c>
      <c r="W237" s="8">
        <v>2090.3000000000002</v>
      </c>
      <c r="X237" s="8">
        <v>1227.7660000000001</v>
      </c>
      <c r="Y237" s="8">
        <v>579.47500000000002</v>
      </c>
      <c r="Z237" s="8">
        <v>190.10499999999999</v>
      </c>
      <c r="AA237" s="8">
        <v>38.872999999999998</v>
      </c>
      <c r="AB237" s="8">
        <v>4.4859999999999998</v>
      </c>
      <c r="AC237" s="8">
        <v>0.311</v>
      </c>
    </row>
    <row r="238" spans="1:29" ht="11.65" hidden="1" x14ac:dyDescent="0.35">
      <c r="A238" s="12">
        <v>221</v>
      </c>
      <c r="B238" s="10" t="s">
        <v>1015</v>
      </c>
      <c r="C238" s="36" t="s">
        <v>1044</v>
      </c>
      <c r="D238" s="9" t="s">
        <v>1039</v>
      </c>
      <c r="E238" s="9">
        <v>1500</v>
      </c>
      <c r="F238" s="10" t="s">
        <v>1040</v>
      </c>
      <c r="G238" s="9">
        <v>1802</v>
      </c>
      <c r="H238" s="9">
        <v>2000</v>
      </c>
      <c r="I238" s="8">
        <v>39598.595999999998</v>
      </c>
      <c r="J238" s="8">
        <v>33422.334000000003</v>
      </c>
      <c r="K238" s="8">
        <v>28856.915000000001</v>
      </c>
      <c r="L238" s="8">
        <v>24684.562999999998</v>
      </c>
      <c r="M238" s="8">
        <v>20349.014999999999</v>
      </c>
      <c r="N238" s="8">
        <v>17080.266</v>
      </c>
      <c r="O238" s="8">
        <v>14277.968999999999</v>
      </c>
      <c r="P238" s="8">
        <v>11653.728999999999</v>
      </c>
      <c r="Q238" s="8">
        <v>9820.5570000000007</v>
      </c>
      <c r="R238" s="8">
        <v>7826.0060000000003</v>
      </c>
      <c r="S238" s="8">
        <v>6621.6350000000002</v>
      </c>
      <c r="T238" s="8">
        <v>5541.6220000000003</v>
      </c>
      <c r="U238" s="8">
        <v>4453.0619999999999</v>
      </c>
      <c r="V238" s="8">
        <v>3434.4140000000002</v>
      </c>
      <c r="W238" s="8">
        <v>2360.395</v>
      </c>
      <c r="X238" s="8">
        <v>1461.403</v>
      </c>
      <c r="Y238" s="8">
        <v>682.24400000000003</v>
      </c>
      <c r="Z238" s="8">
        <v>226.48099999999999</v>
      </c>
      <c r="AA238" s="8">
        <v>47.607999999999997</v>
      </c>
      <c r="AB238" s="8">
        <v>5.9379999999999997</v>
      </c>
      <c r="AC238" s="8">
        <v>0.42099999999999999</v>
      </c>
    </row>
    <row r="239" spans="1:29" ht="11.65" hidden="1" x14ac:dyDescent="0.35">
      <c r="A239" s="12">
        <v>222</v>
      </c>
      <c r="B239" s="10" t="s">
        <v>1015</v>
      </c>
      <c r="C239" s="36" t="s">
        <v>1044</v>
      </c>
      <c r="D239" s="9" t="s">
        <v>1039</v>
      </c>
      <c r="E239" s="9">
        <v>1500</v>
      </c>
      <c r="F239" s="10" t="s">
        <v>1040</v>
      </c>
      <c r="G239" s="9">
        <v>1802</v>
      </c>
      <c r="H239" s="9">
        <v>2005</v>
      </c>
      <c r="I239" s="8">
        <v>44404.326999999997</v>
      </c>
      <c r="J239" s="8">
        <v>38105.603000000003</v>
      </c>
      <c r="K239" s="8">
        <v>32986.286999999997</v>
      </c>
      <c r="L239" s="8">
        <v>28313.178</v>
      </c>
      <c r="M239" s="8">
        <v>23995.974999999999</v>
      </c>
      <c r="N239" s="8">
        <v>19611.602999999999</v>
      </c>
      <c r="O239" s="8">
        <v>16335.674000000001</v>
      </c>
      <c r="P239" s="8">
        <v>13604.387000000001</v>
      </c>
      <c r="Q239" s="8">
        <v>11075.710999999999</v>
      </c>
      <c r="R239" s="8">
        <v>9295.1730000000007</v>
      </c>
      <c r="S239" s="8">
        <v>7354.3159999999998</v>
      </c>
      <c r="T239" s="8">
        <v>6171.9170000000004</v>
      </c>
      <c r="U239" s="8">
        <v>5051.0230000000001</v>
      </c>
      <c r="V239" s="8">
        <v>3869.0340000000001</v>
      </c>
      <c r="W239" s="8">
        <v>2741.9720000000002</v>
      </c>
      <c r="X239" s="8">
        <v>1647.3710000000001</v>
      </c>
      <c r="Y239" s="8">
        <v>814.84500000000003</v>
      </c>
      <c r="Z239" s="8">
        <v>272.32799999999997</v>
      </c>
      <c r="AA239" s="8">
        <v>58.536999999999999</v>
      </c>
      <c r="AB239" s="8">
        <v>7.5389999999999997</v>
      </c>
      <c r="AC239" s="8">
        <v>0.57599999999999996</v>
      </c>
    </row>
    <row r="240" spans="1:29" ht="11.65" hidden="1" x14ac:dyDescent="0.35">
      <c r="A240" s="12">
        <v>223</v>
      </c>
      <c r="B240" s="10" t="s">
        <v>1015</v>
      </c>
      <c r="C240" s="36" t="s">
        <v>1044</v>
      </c>
      <c r="D240" s="9" t="s">
        <v>1039</v>
      </c>
      <c r="E240" s="9">
        <v>1500</v>
      </c>
      <c r="F240" s="10" t="s">
        <v>1040</v>
      </c>
      <c r="G240" s="9">
        <v>1802</v>
      </c>
      <c r="H240" s="9">
        <v>2010</v>
      </c>
      <c r="I240" s="8">
        <v>49529.891000000003</v>
      </c>
      <c r="J240" s="8">
        <v>43055.449000000001</v>
      </c>
      <c r="K240" s="8">
        <v>37673.446000000004</v>
      </c>
      <c r="L240" s="8">
        <v>32399.348000000002</v>
      </c>
      <c r="M240" s="8">
        <v>27431.536</v>
      </c>
      <c r="N240" s="8">
        <v>23235.491999999998</v>
      </c>
      <c r="O240" s="8">
        <v>18852.307000000001</v>
      </c>
      <c r="P240" s="8">
        <v>15683.909</v>
      </c>
      <c r="Q240" s="8">
        <v>13066.737999999999</v>
      </c>
      <c r="R240" s="8">
        <v>10609.834000000001</v>
      </c>
      <c r="S240" s="8">
        <v>8847.0210000000006</v>
      </c>
      <c r="T240" s="8">
        <v>6883.5640000000003</v>
      </c>
      <c r="U240" s="8">
        <v>5690.7929999999997</v>
      </c>
      <c r="V240" s="8">
        <v>4451.9059999999999</v>
      </c>
      <c r="W240" s="8">
        <v>3127.596</v>
      </c>
      <c r="X240" s="8">
        <v>1959.422</v>
      </c>
      <c r="Y240" s="8">
        <v>961.06500000000005</v>
      </c>
      <c r="Z240" s="8">
        <v>336.31900000000002</v>
      </c>
      <c r="AA240" s="8">
        <v>72.052000000000007</v>
      </c>
      <c r="AB240" s="8">
        <v>9.6170000000000009</v>
      </c>
      <c r="AC240" s="8">
        <v>0.76800000000000002</v>
      </c>
    </row>
    <row r="241" spans="1:29" ht="11.65" hidden="1" x14ac:dyDescent="0.35">
      <c r="A241" s="12">
        <v>224</v>
      </c>
      <c r="B241" s="10" t="s">
        <v>1015</v>
      </c>
      <c r="C241" s="36" t="s">
        <v>1044</v>
      </c>
      <c r="D241" s="9" t="s">
        <v>1039</v>
      </c>
      <c r="E241" s="9">
        <v>1500</v>
      </c>
      <c r="F241" s="10" t="s">
        <v>1040</v>
      </c>
      <c r="G241" s="9">
        <v>1802</v>
      </c>
      <c r="H241" s="9">
        <v>2015</v>
      </c>
      <c r="I241" s="8">
        <v>53894.74</v>
      </c>
      <c r="J241" s="8">
        <v>47895.491000000002</v>
      </c>
      <c r="K241" s="8">
        <v>42192.764999999999</v>
      </c>
      <c r="L241" s="8">
        <v>36949.423000000003</v>
      </c>
      <c r="M241" s="8">
        <v>31557.296999999999</v>
      </c>
      <c r="N241" s="8">
        <v>26486.537</v>
      </c>
      <c r="O241" s="8">
        <v>22335.039000000001</v>
      </c>
      <c r="P241" s="8">
        <v>18069.275000000001</v>
      </c>
      <c r="Q241" s="8">
        <v>15009.902</v>
      </c>
      <c r="R241" s="8">
        <v>12479.002</v>
      </c>
      <c r="S241" s="8">
        <v>10071.513000000001</v>
      </c>
      <c r="T241" s="8">
        <v>8311.0640000000003</v>
      </c>
      <c r="U241" s="8">
        <v>6315.1</v>
      </c>
      <c r="V241" s="8">
        <v>5015.0420000000004</v>
      </c>
      <c r="W241" s="8">
        <v>3655.9720000000002</v>
      </c>
      <c r="X241" s="8">
        <v>2270.8490000000002</v>
      </c>
      <c r="Y241" s="8">
        <v>1156.098</v>
      </c>
      <c r="Z241" s="8">
        <v>413.315</v>
      </c>
      <c r="AA241" s="8">
        <v>93.956999999999994</v>
      </c>
      <c r="AB241" s="8">
        <v>12.398999999999999</v>
      </c>
      <c r="AC241" s="8">
        <v>1.028</v>
      </c>
    </row>
    <row r="242" spans="1:29" ht="11.65" hidden="1" x14ac:dyDescent="0.35">
      <c r="A242" s="12">
        <v>225</v>
      </c>
      <c r="B242" s="10" t="s">
        <v>1015</v>
      </c>
      <c r="C242" s="36" t="s">
        <v>1044</v>
      </c>
      <c r="D242" s="9" t="s">
        <v>1039</v>
      </c>
      <c r="E242" s="9">
        <v>1500</v>
      </c>
      <c r="F242" s="10" t="s">
        <v>1040</v>
      </c>
      <c r="G242" s="9">
        <v>1802</v>
      </c>
      <c r="H242" s="9">
        <v>2020</v>
      </c>
      <c r="I242" s="8">
        <v>58355.906999999999</v>
      </c>
      <c r="J242" s="8">
        <v>52674.328000000001</v>
      </c>
      <c r="K242" s="8">
        <v>47301.050999999999</v>
      </c>
      <c r="L242" s="8">
        <v>41636.555</v>
      </c>
      <c r="M242" s="8">
        <v>36253.957000000002</v>
      </c>
      <c r="N242" s="8">
        <v>30883.39</v>
      </c>
      <c r="O242" s="8">
        <v>25874.959999999999</v>
      </c>
      <c r="P242" s="8">
        <v>21712.326000000001</v>
      </c>
      <c r="Q242" s="8">
        <v>17547.805</v>
      </c>
      <c r="R242" s="8">
        <v>14544.887000000001</v>
      </c>
      <c r="S242" s="8">
        <v>11986.527</v>
      </c>
      <c r="T242" s="8">
        <v>9573.152</v>
      </c>
      <c r="U242" s="8">
        <v>7734.8379999999997</v>
      </c>
      <c r="V242" s="8">
        <v>5632.3249999999998</v>
      </c>
      <c r="W242" s="8">
        <v>4181.9530000000004</v>
      </c>
      <c r="X242" s="8">
        <v>2714.53</v>
      </c>
      <c r="Y242" s="8">
        <v>1387.3420000000001</v>
      </c>
      <c r="Z242" s="8">
        <v>521.75800000000004</v>
      </c>
      <c r="AA242" s="8">
        <v>122.795</v>
      </c>
      <c r="AB242" s="8">
        <v>17.312000000000001</v>
      </c>
      <c r="AC242" s="8">
        <v>1.452</v>
      </c>
    </row>
    <row r="243" spans="1:29" ht="11.65" hidden="1" x14ac:dyDescent="0.35">
      <c r="A243" s="12">
        <v>226</v>
      </c>
      <c r="B243" s="10" t="s">
        <v>1015</v>
      </c>
      <c r="C243" s="36" t="s">
        <v>1045</v>
      </c>
      <c r="D243" s="9"/>
      <c r="E243" s="9">
        <v>1518</v>
      </c>
      <c r="F243" s="10" t="s">
        <v>1040</v>
      </c>
      <c r="G243" s="9">
        <v>1802</v>
      </c>
      <c r="H243" s="9">
        <v>1950</v>
      </c>
      <c r="I243" s="8">
        <v>65.376000000000005</v>
      </c>
      <c r="J243" s="8">
        <v>48.195999999999998</v>
      </c>
      <c r="K243" s="8">
        <v>43.215000000000003</v>
      </c>
      <c r="L243" s="8">
        <v>38.994999999999997</v>
      </c>
      <c r="M243" s="8">
        <v>34.506999999999998</v>
      </c>
      <c r="N243" s="8">
        <v>31.747</v>
      </c>
      <c r="O243" s="8">
        <v>27.259</v>
      </c>
      <c r="P243" s="8">
        <v>24.821999999999999</v>
      </c>
      <c r="Q243" s="8">
        <v>21.097999999999999</v>
      </c>
      <c r="R243" s="8">
        <v>17.864000000000001</v>
      </c>
      <c r="S243" s="8">
        <v>14.561</v>
      </c>
      <c r="T243" s="8">
        <v>12.743</v>
      </c>
      <c r="U243" s="8">
        <v>11.111000000000001</v>
      </c>
      <c r="V243" s="8">
        <v>8.9260000000000002</v>
      </c>
      <c r="W243" s="8">
        <v>7.2</v>
      </c>
      <c r="X243" s="8">
        <v>4.1890000000000001</v>
      </c>
      <c r="Y243" s="8">
        <v>2.319</v>
      </c>
      <c r="Z243" s="8">
        <v>0.89600000000000002</v>
      </c>
      <c r="AA243" s="8">
        <v>0.22800000000000001</v>
      </c>
      <c r="AB243" s="8">
        <v>3.5999999999999997E-2</v>
      </c>
      <c r="AC243" s="8">
        <v>7.0000000000000001E-3</v>
      </c>
    </row>
    <row r="244" spans="1:29" ht="11.65" hidden="1" x14ac:dyDescent="0.35">
      <c r="A244" s="12">
        <v>227</v>
      </c>
      <c r="B244" s="10" t="s">
        <v>1015</v>
      </c>
      <c r="C244" s="36" t="s">
        <v>1045</v>
      </c>
      <c r="D244" s="9"/>
      <c r="E244" s="9">
        <v>1518</v>
      </c>
      <c r="F244" s="10" t="s">
        <v>1040</v>
      </c>
      <c r="G244" s="9">
        <v>1802</v>
      </c>
      <c r="H244" s="9">
        <v>1955</v>
      </c>
      <c r="I244" s="8">
        <v>79.352000000000004</v>
      </c>
      <c r="J244" s="8">
        <v>61.948</v>
      </c>
      <c r="K244" s="8">
        <v>47.298000000000002</v>
      </c>
      <c r="L244" s="8">
        <v>42.351999999999997</v>
      </c>
      <c r="M244" s="8">
        <v>37.871000000000002</v>
      </c>
      <c r="N244" s="8">
        <v>33.200000000000003</v>
      </c>
      <c r="O244" s="8">
        <v>30.279</v>
      </c>
      <c r="P244" s="8">
        <v>25.843</v>
      </c>
      <c r="Q244" s="8">
        <v>23.46</v>
      </c>
      <c r="R244" s="8">
        <v>19.77</v>
      </c>
      <c r="S244" s="8">
        <v>16.524000000000001</v>
      </c>
      <c r="T244" s="8">
        <v>14.198</v>
      </c>
      <c r="U244" s="8">
        <v>11.343999999999999</v>
      </c>
      <c r="V244" s="8">
        <v>10.532999999999999</v>
      </c>
      <c r="W244" s="8">
        <v>7.3120000000000003</v>
      </c>
      <c r="X244" s="8">
        <v>4.2549999999999999</v>
      </c>
      <c r="Y244" s="8">
        <v>2.4430000000000001</v>
      </c>
      <c r="Z244" s="8">
        <v>0.97199999999999998</v>
      </c>
      <c r="AA244" s="8">
        <v>0.25</v>
      </c>
      <c r="AB244" s="8">
        <v>3.5000000000000003E-2</v>
      </c>
      <c r="AC244" s="8">
        <v>3.0000000000000001E-3</v>
      </c>
    </row>
    <row r="245" spans="1:29" ht="11.65" hidden="1" x14ac:dyDescent="0.35">
      <c r="A245" s="12">
        <v>228</v>
      </c>
      <c r="B245" s="10" t="s">
        <v>1015</v>
      </c>
      <c r="C245" s="36" t="s">
        <v>1045</v>
      </c>
      <c r="D245" s="9"/>
      <c r="E245" s="9">
        <v>1518</v>
      </c>
      <c r="F245" s="10" t="s">
        <v>1040</v>
      </c>
      <c r="G245" s="9">
        <v>1802</v>
      </c>
      <c r="H245" s="9">
        <v>1960</v>
      </c>
      <c r="I245" s="8">
        <v>88.228999999999999</v>
      </c>
      <c r="J245" s="8">
        <v>76.378</v>
      </c>
      <c r="K245" s="8">
        <v>60.978999999999999</v>
      </c>
      <c r="L245" s="8">
        <v>46.661000000000001</v>
      </c>
      <c r="M245" s="8">
        <v>41.902000000000001</v>
      </c>
      <c r="N245" s="8">
        <v>36.454999999999998</v>
      </c>
      <c r="O245" s="8">
        <v>32.472999999999999</v>
      </c>
      <c r="P245" s="8">
        <v>29.625</v>
      </c>
      <c r="Q245" s="8">
        <v>25.251000000000001</v>
      </c>
      <c r="R245" s="8">
        <v>22.925000000000001</v>
      </c>
      <c r="S245" s="8">
        <v>19.254999999999999</v>
      </c>
      <c r="T245" s="8">
        <v>14.802</v>
      </c>
      <c r="U245" s="8">
        <v>12.316000000000001</v>
      </c>
      <c r="V245" s="8">
        <v>10.36</v>
      </c>
      <c r="W245" s="8">
        <v>8.4990000000000006</v>
      </c>
      <c r="X245" s="8">
        <v>6.0439999999999996</v>
      </c>
      <c r="Y245" s="8">
        <v>2.6179999999999999</v>
      </c>
      <c r="Z245" s="8">
        <v>1.044</v>
      </c>
      <c r="AA245" s="8">
        <v>0.28899999999999998</v>
      </c>
      <c r="AB245" s="8">
        <v>4.1000000000000002E-2</v>
      </c>
      <c r="AC245" s="8">
        <v>3.0000000000000001E-3</v>
      </c>
    </row>
    <row r="246" spans="1:29" ht="11.65" hidden="1" x14ac:dyDescent="0.35">
      <c r="A246" s="12">
        <v>229</v>
      </c>
      <c r="B246" s="10" t="s">
        <v>1015</v>
      </c>
      <c r="C246" s="36" t="s">
        <v>1045</v>
      </c>
      <c r="D246" s="9"/>
      <c r="E246" s="9">
        <v>1518</v>
      </c>
      <c r="F246" s="10" t="s">
        <v>1040</v>
      </c>
      <c r="G246" s="9">
        <v>1802</v>
      </c>
      <c r="H246" s="9">
        <v>1965</v>
      </c>
      <c r="I246" s="8">
        <v>99.048000000000002</v>
      </c>
      <c r="J246" s="8">
        <v>88.543000000000006</v>
      </c>
      <c r="K246" s="8">
        <v>77.257999999999996</v>
      </c>
      <c r="L246" s="8">
        <v>60.78</v>
      </c>
      <c r="M246" s="8">
        <v>45.204999999999998</v>
      </c>
      <c r="N246" s="8">
        <v>38.356000000000002</v>
      </c>
      <c r="O246" s="8">
        <v>34.075000000000003</v>
      </c>
      <c r="P246" s="8">
        <v>31.286000000000001</v>
      </c>
      <c r="Q246" s="8">
        <v>29.082000000000001</v>
      </c>
      <c r="R246" s="8">
        <v>22.832999999999998</v>
      </c>
      <c r="S246" s="8">
        <v>21.422000000000001</v>
      </c>
      <c r="T246" s="8">
        <v>17.66</v>
      </c>
      <c r="U246" s="8">
        <v>14.4</v>
      </c>
      <c r="V246" s="8">
        <v>10.759</v>
      </c>
      <c r="W246" s="8">
        <v>8.6440000000000001</v>
      </c>
      <c r="X246" s="8">
        <v>6.4160000000000004</v>
      </c>
      <c r="Y246" s="8">
        <v>3.2629999999999999</v>
      </c>
      <c r="Z246" s="8">
        <v>1.2589999999999999</v>
      </c>
      <c r="AA246" s="8">
        <v>0.32200000000000001</v>
      </c>
      <c r="AB246" s="8">
        <v>5.2999999999999999E-2</v>
      </c>
      <c r="AC246" s="8">
        <v>4.0000000000000001E-3</v>
      </c>
    </row>
    <row r="247" spans="1:29" ht="11.65" hidden="1" x14ac:dyDescent="0.35">
      <c r="A247" s="12">
        <v>230</v>
      </c>
      <c r="B247" s="10" t="s">
        <v>1015</v>
      </c>
      <c r="C247" s="36" t="s">
        <v>1045</v>
      </c>
      <c r="D247" s="9"/>
      <c r="E247" s="9">
        <v>1518</v>
      </c>
      <c r="F247" s="10" t="s">
        <v>1040</v>
      </c>
      <c r="G247" s="9">
        <v>1802</v>
      </c>
      <c r="H247" s="9">
        <v>1970</v>
      </c>
      <c r="I247" s="8">
        <v>104.029</v>
      </c>
      <c r="J247" s="8">
        <v>99.412999999999997</v>
      </c>
      <c r="K247" s="8">
        <v>88.311000000000007</v>
      </c>
      <c r="L247" s="8">
        <v>72.709999999999994</v>
      </c>
      <c r="M247" s="8">
        <v>53.750999999999998</v>
      </c>
      <c r="N247" s="8">
        <v>42.612000000000002</v>
      </c>
      <c r="O247" s="8">
        <v>38.000999999999998</v>
      </c>
      <c r="P247" s="8">
        <v>34.578000000000003</v>
      </c>
      <c r="Q247" s="8">
        <v>30.524999999999999</v>
      </c>
      <c r="R247" s="8">
        <v>28.888999999999999</v>
      </c>
      <c r="S247" s="8">
        <v>22.024000000000001</v>
      </c>
      <c r="T247" s="8">
        <v>20.922999999999998</v>
      </c>
      <c r="U247" s="8">
        <v>16.414999999999999</v>
      </c>
      <c r="V247" s="8">
        <v>12.7</v>
      </c>
      <c r="W247" s="8">
        <v>9.1430000000000007</v>
      </c>
      <c r="X247" s="8">
        <v>6.1340000000000003</v>
      </c>
      <c r="Y247" s="8">
        <v>3.88</v>
      </c>
      <c r="Z247" s="8">
        <v>1.64</v>
      </c>
      <c r="AA247" s="8">
        <v>0.43</v>
      </c>
      <c r="AB247" s="8">
        <v>6.0999999999999999E-2</v>
      </c>
      <c r="AC247" s="8">
        <v>7.0000000000000001E-3</v>
      </c>
    </row>
    <row r="248" spans="1:29" ht="11.65" hidden="1" x14ac:dyDescent="0.35">
      <c r="A248" s="12">
        <v>231</v>
      </c>
      <c r="B248" s="10" t="s">
        <v>1015</v>
      </c>
      <c r="C248" s="36" t="s">
        <v>1045</v>
      </c>
      <c r="D248" s="9"/>
      <c r="E248" s="9">
        <v>1518</v>
      </c>
      <c r="F248" s="10" t="s">
        <v>1040</v>
      </c>
      <c r="G248" s="9">
        <v>1802</v>
      </c>
      <c r="H248" s="9">
        <v>1975</v>
      </c>
      <c r="I248" s="8">
        <v>92.522000000000006</v>
      </c>
      <c r="J248" s="8">
        <v>99.825000000000003</v>
      </c>
      <c r="K248" s="8">
        <v>98.222999999999999</v>
      </c>
      <c r="L248" s="8">
        <v>82.343000000000004</v>
      </c>
      <c r="M248" s="8">
        <v>56.429000000000002</v>
      </c>
      <c r="N248" s="8">
        <v>42.305</v>
      </c>
      <c r="O248" s="8">
        <v>37.567</v>
      </c>
      <c r="P248" s="8">
        <v>36.195999999999998</v>
      </c>
      <c r="Q248" s="8">
        <v>32.212000000000003</v>
      </c>
      <c r="R248" s="8">
        <v>28.268999999999998</v>
      </c>
      <c r="S248" s="8">
        <v>26.765000000000001</v>
      </c>
      <c r="T248" s="8">
        <v>20.082999999999998</v>
      </c>
      <c r="U248" s="8">
        <v>18.635999999999999</v>
      </c>
      <c r="V248" s="8">
        <v>14.819000000000001</v>
      </c>
      <c r="W248" s="8">
        <v>11.105</v>
      </c>
      <c r="X248" s="8">
        <v>7.4080000000000004</v>
      </c>
      <c r="Y248" s="8">
        <v>4.9320000000000004</v>
      </c>
      <c r="Z248" s="8">
        <v>2.109</v>
      </c>
      <c r="AA248" s="8">
        <v>0.60899999999999999</v>
      </c>
      <c r="AB248" s="8">
        <v>9.5000000000000001E-2</v>
      </c>
      <c r="AC248" s="8">
        <v>8.0000000000000002E-3</v>
      </c>
    </row>
    <row r="249" spans="1:29" ht="11.65" hidden="1" x14ac:dyDescent="0.35">
      <c r="A249" s="12">
        <v>232</v>
      </c>
      <c r="B249" s="10" t="s">
        <v>1015</v>
      </c>
      <c r="C249" s="36" t="s">
        <v>1045</v>
      </c>
      <c r="D249" s="9"/>
      <c r="E249" s="9">
        <v>1518</v>
      </c>
      <c r="F249" s="10" t="s">
        <v>1040</v>
      </c>
      <c r="G249" s="9">
        <v>1802</v>
      </c>
      <c r="H249" s="9">
        <v>1980</v>
      </c>
      <c r="I249" s="8">
        <v>83.787000000000006</v>
      </c>
      <c r="J249" s="8">
        <v>87.614000000000004</v>
      </c>
      <c r="K249" s="8">
        <v>98.572999999999993</v>
      </c>
      <c r="L249" s="8">
        <v>93.703999999999994</v>
      </c>
      <c r="M249" s="8">
        <v>69.608000000000004</v>
      </c>
      <c r="N249" s="8">
        <v>55.741999999999997</v>
      </c>
      <c r="O249" s="8">
        <v>47.128999999999998</v>
      </c>
      <c r="P249" s="8">
        <v>40.524000000000001</v>
      </c>
      <c r="Q249" s="8">
        <v>36.051000000000002</v>
      </c>
      <c r="R249" s="8">
        <v>32.328000000000003</v>
      </c>
      <c r="S249" s="8">
        <v>28.3</v>
      </c>
      <c r="T249" s="8">
        <v>25.329000000000001</v>
      </c>
      <c r="U249" s="8">
        <v>20.337</v>
      </c>
      <c r="V249" s="8">
        <v>17.652000000000001</v>
      </c>
      <c r="W249" s="8">
        <v>13.417</v>
      </c>
      <c r="X249" s="8">
        <v>9.4559999999999995</v>
      </c>
      <c r="Y249" s="8">
        <v>6.5549999999999997</v>
      </c>
      <c r="Z249" s="8">
        <v>2.7679999999999998</v>
      </c>
      <c r="AA249" s="8">
        <v>0.85599999999999998</v>
      </c>
      <c r="AB249" s="8">
        <v>0.156</v>
      </c>
      <c r="AC249" s="8">
        <v>1.4999999999999999E-2</v>
      </c>
    </row>
    <row r="250" spans="1:29" ht="11.65" hidden="1" x14ac:dyDescent="0.35">
      <c r="A250" s="12">
        <v>233</v>
      </c>
      <c r="B250" s="10" t="s">
        <v>1015</v>
      </c>
      <c r="C250" s="36" t="s">
        <v>1045</v>
      </c>
      <c r="D250" s="9"/>
      <c r="E250" s="9">
        <v>1518</v>
      </c>
      <c r="F250" s="10" t="s">
        <v>1040</v>
      </c>
      <c r="G250" s="9">
        <v>1802</v>
      </c>
      <c r="H250" s="9">
        <v>1985</v>
      </c>
      <c r="I250" s="8">
        <v>90.462000000000003</v>
      </c>
      <c r="J250" s="8">
        <v>86.021000000000001</v>
      </c>
      <c r="K250" s="8">
        <v>90.364999999999995</v>
      </c>
      <c r="L250" s="8">
        <v>94.192999999999998</v>
      </c>
      <c r="M250" s="8">
        <v>81.054000000000002</v>
      </c>
      <c r="N250" s="8">
        <v>68.340999999999994</v>
      </c>
      <c r="O250" s="8">
        <v>60.889000000000003</v>
      </c>
      <c r="P250" s="8">
        <v>48.426000000000002</v>
      </c>
      <c r="Q250" s="8">
        <v>40.749000000000002</v>
      </c>
      <c r="R250" s="8">
        <v>36.286999999999999</v>
      </c>
      <c r="S250" s="8">
        <v>31.763000000000002</v>
      </c>
      <c r="T250" s="8">
        <v>27.113</v>
      </c>
      <c r="U250" s="8">
        <v>24.440999999999999</v>
      </c>
      <c r="V250" s="8">
        <v>19.280999999999999</v>
      </c>
      <c r="W250" s="8">
        <v>15.776999999999999</v>
      </c>
      <c r="X250" s="8">
        <v>11.458</v>
      </c>
      <c r="Y250" s="8">
        <v>8.0540000000000003</v>
      </c>
      <c r="Z250" s="8">
        <v>3.9319999999999999</v>
      </c>
      <c r="AA250" s="8">
        <v>1.1599999999999999</v>
      </c>
      <c r="AB250" s="8">
        <v>0.24399999999999999</v>
      </c>
      <c r="AC250" s="8">
        <v>2.8000000000000001E-2</v>
      </c>
    </row>
    <row r="251" spans="1:29" ht="11.65" hidden="1" x14ac:dyDescent="0.35">
      <c r="A251" s="12">
        <v>234</v>
      </c>
      <c r="B251" s="10" t="s">
        <v>1015</v>
      </c>
      <c r="C251" s="36" t="s">
        <v>1045</v>
      </c>
      <c r="D251" s="9"/>
      <c r="E251" s="9">
        <v>1518</v>
      </c>
      <c r="F251" s="10" t="s">
        <v>1040</v>
      </c>
      <c r="G251" s="9">
        <v>1802</v>
      </c>
      <c r="H251" s="9">
        <v>1990</v>
      </c>
      <c r="I251" s="8">
        <v>101.462</v>
      </c>
      <c r="J251" s="8">
        <v>92.293000000000006</v>
      </c>
      <c r="K251" s="8">
        <v>89.436000000000007</v>
      </c>
      <c r="L251" s="8">
        <v>94.545000000000002</v>
      </c>
      <c r="M251" s="8">
        <v>91.216999999999999</v>
      </c>
      <c r="N251" s="8">
        <v>84.944999999999993</v>
      </c>
      <c r="O251" s="8">
        <v>74.031000000000006</v>
      </c>
      <c r="P251" s="8">
        <v>64.575000000000003</v>
      </c>
      <c r="Q251" s="8">
        <v>50.110999999999997</v>
      </c>
      <c r="R251" s="8">
        <v>40.404000000000003</v>
      </c>
      <c r="S251" s="8">
        <v>36.042999999999999</v>
      </c>
      <c r="T251" s="8">
        <v>30.728000000000002</v>
      </c>
      <c r="U251" s="8">
        <v>26.84</v>
      </c>
      <c r="V251" s="8">
        <v>23.062999999999999</v>
      </c>
      <c r="W251" s="8">
        <v>17.018999999999998</v>
      </c>
      <c r="X251" s="8">
        <v>13.551</v>
      </c>
      <c r="Y251" s="8">
        <v>8.59</v>
      </c>
      <c r="Z251" s="8">
        <v>4.8639999999999999</v>
      </c>
      <c r="AA251" s="8">
        <v>1.7789999999999999</v>
      </c>
      <c r="AB251" s="8">
        <v>0.33800000000000002</v>
      </c>
      <c r="AC251" s="8">
        <v>4.8000000000000001E-2</v>
      </c>
    </row>
    <row r="252" spans="1:29" ht="11.65" hidden="1" x14ac:dyDescent="0.35">
      <c r="A252" s="12">
        <v>235</v>
      </c>
      <c r="B252" s="10" t="s">
        <v>1015</v>
      </c>
      <c r="C252" s="36" t="s">
        <v>1045</v>
      </c>
      <c r="D252" s="9"/>
      <c r="E252" s="9">
        <v>1518</v>
      </c>
      <c r="F252" s="10" t="s">
        <v>1040</v>
      </c>
      <c r="G252" s="9">
        <v>1802</v>
      </c>
      <c r="H252" s="9">
        <v>1995</v>
      </c>
      <c r="I252" s="8">
        <v>105.312</v>
      </c>
      <c r="J252" s="8">
        <v>102.82</v>
      </c>
      <c r="K252" s="8">
        <v>96.626999999999995</v>
      </c>
      <c r="L252" s="8">
        <v>94.049000000000007</v>
      </c>
      <c r="M252" s="8">
        <v>83.421999999999997</v>
      </c>
      <c r="N252" s="8">
        <v>92.245000000000005</v>
      </c>
      <c r="O252" s="8">
        <v>89.183000000000007</v>
      </c>
      <c r="P252" s="8">
        <v>77.126000000000005</v>
      </c>
      <c r="Q252" s="8">
        <v>65.274000000000001</v>
      </c>
      <c r="R252" s="8">
        <v>48.963000000000001</v>
      </c>
      <c r="S252" s="8">
        <v>41.084000000000003</v>
      </c>
      <c r="T252" s="8">
        <v>34.378999999999998</v>
      </c>
      <c r="U252" s="8">
        <v>30.244</v>
      </c>
      <c r="V252" s="8">
        <v>24.966999999999999</v>
      </c>
      <c r="W252" s="8">
        <v>21.170999999999999</v>
      </c>
      <c r="X252" s="8">
        <v>14.962999999999999</v>
      </c>
      <c r="Y252" s="8">
        <v>10.91</v>
      </c>
      <c r="Z252" s="8">
        <v>5.3920000000000003</v>
      </c>
      <c r="AA252" s="8">
        <v>2.3460000000000001</v>
      </c>
      <c r="AB252" s="8">
        <v>0.58399999999999996</v>
      </c>
      <c r="AC252" s="8">
        <v>7.0000000000000007E-2</v>
      </c>
    </row>
    <row r="253" spans="1:29" ht="11.65" hidden="1" x14ac:dyDescent="0.35">
      <c r="A253" s="12">
        <v>236</v>
      </c>
      <c r="B253" s="10" t="s">
        <v>1015</v>
      </c>
      <c r="C253" s="36" t="s">
        <v>1045</v>
      </c>
      <c r="D253" s="9"/>
      <c r="E253" s="9">
        <v>1518</v>
      </c>
      <c r="F253" s="10" t="s">
        <v>1040</v>
      </c>
      <c r="G253" s="9">
        <v>1802</v>
      </c>
      <c r="H253" s="9">
        <v>2000</v>
      </c>
      <c r="I253" s="8">
        <v>109.87</v>
      </c>
      <c r="J253" s="8">
        <v>109.52200000000001</v>
      </c>
      <c r="K253" s="8">
        <v>108.208</v>
      </c>
      <c r="L253" s="8">
        <v>96.594999999999999</v>
      </c>
      <c r="M253" s="8">
        <v>87.165000000000006</v>
      </c>
      <c r="N253" s="8">
        <v>87.697999999999993</v>
      </c>
      <c r="O253" s="8">
        <v>99.111000000000004</v>
      </c>
      <c r="P253" s="8">
        <v>93.218000000000004</v>
      </c>
      <c r="Q253" s="8">
        <v>77.39</v>
      </c>
      <c r="R253" s="8">
        <v>63.853999999999999</v>
      </c>
      <c r="S253" s="8">
        <v>48.48</v>
      </c>
      <c r="T253" s="8">
        <v>39.174999999999997</v>
      </c>
      <c r="U253" s="8">
        <v>33.954999999999998</v>
      </c>
      <c r="V253" s="8">
        <v>28.553999999999998</v>
      </c>
      <c r="W253" s="8">
        <v>23.571999999999999</v>
      </c>
      <c r="X253" s="8">
        <v>18.713999999999999</v>
      </c>
      <c r="Y253" s="8">
        <v>12.222</v>
      </c>
      <c r="Z253" s="8">
        <v>7.1390000000000002</v>
      </c>
      <c r="AA253" s="8">
        <v>2.7469999999999999</v>
      </c>
      <c r="AB253" s="8">
        <v>0.83899999999999997</v>
      </c>
      <c r="AC253" s="8">
        <v>0.13100000000000001</v>
      </c>
    </row>
    <row r="254" spans="1:29" ht="11.65" hidden="1" x14ac:dyDescent="0.35">
      <c r="A254" s="12">
        <v>237</v>
      </c>
      <c r="B254" s="10" t="s">
        <v>1015</v>
      </c>
      <c r="C254" s="36" t="s">
        <v>1045</v>
      </c>
      <c r="D254" s="9"/>
      <c r="E254" s="9">
        <v>1518</v>
      </c>
      <c r="F254" s="10" t="s">
        <v>1040</v>
      </c>
      <c r="G254" s="9">
        <v>1802</v>
      </c>
      <c r="H254" s="9">
        <v>2005</v>
      </c>
      <c r="I254" s="8">
        <v>117.443</v>
      </c>
      <c r="J254" s="8">
        <v>113.646</v>
      </c>
      <c r="K254" s="8">
        <v>113.369</v>
      </c>
      <c r="L254" s="8">
        <v>112.114</v>
      </c>
      <c r="M254" s="8">
        <v>94.105999999999995</v>
      </c>
      <c r="N254" s="8">
        <v>90.15</v>
      </c>
      <c r="O254" s="8">
        <v>96.664000000000001</v>
      </c>
      <c r="P254" s="8">
        <v>102.089</v>
      </c>
      <c r="Q254" s="8">
        <v>95.117000000000004</v>
      </c>
      <c r="R254" s="8">
        <v>79.227000000000004</v>
      </c>
      <c r="S254" s="8">
        <v>64.192999999999998</v>
      </c>
      <c r="T254" s="8">
        <v>48.777999999999999</v>
      </c>
      <c r="U254" s="8">
        <v>38.311</v>
      </c>
      <c r="V254" s="8">
        <v>32.536999999999999</v>
      </c>
      <c r="W254" s="8">
        <v>26.88</v>
      </c>
      <c r="X254" s="8">
        <v>20.596</v>
      </c>
      <c r="Y254" s="8">
        <v>15.093</v>
      </c>
      <c r="Z254" s="8">
        <v>8.4990000000000006</v>
      </c>
      <c r="AA254" s="8">
        <v>3.8559999999999999</v>
      </c>
      <c r="AB254" s="8">
        <v>1.0580000000000001</v>
      </c>
      <c r="AC254" s="8">
        <v>0.214</v>
      </c>
    </row>
    <row r="255" spans="1:29" ht="11.65" hidden="1" x14ac:dyDescent="0.35">
      <c r="A255" s="12">
        <v>238</v>
      </c>
      <c r="B255" s="10" t="s">
        <v>1015</v>
      </c>
      <c r="C255" s="36" t="s">
        <v>1045</v>
      </c>
      <c r="D255" s="9"/>
      <c r="E255" s="9">
        <v>1518</v>
      </c>
      <c r="F255" s="10" t="s">
        <v>1040</v>
      </c>
      <c r="G255" s="9">
        <v>1802</v>
      </c>
      <c r="H255" s="9">
        <v>2010</v>
      </c>
      <c r="I255" s="8">
        <v>119.56100000000001</v>
      </c>
      <c r="J255" s="8">
        <v>118.33499999999999</v>
      </c>
      <c r="K255" s="8">
        <v>112.208</v>
      </c>
      <c r="L255" s="8">
        <v>110.85299999999999</v>
      </c>
      <c r="M255" s="8">
        <v>99.588999999999999</v>
      </c>
      <c r="N255" s="8">
        <v>91.790999999999997</v>
      </c>
      <c r="O255" s="8">
        <v>93.313999999999993</v>
      </c>
      <c r="P255" s="8">
        <v>100.17</v>
      </c>
      <c r="Q255" s="8">
        <v>102.544</v>
      </c>
      <c r="R255" s="8">
        <v>93.488</v>
      </c>
      <c r="S255" s="8">
        <v>76.783000000000001</v>
      </c>
      <c r="T255" s="8">
        <v>63.765999999999998</v>
      </c>
      <c r="U255" s="8">
        <v>48.066000000000003</v>
      </c>
      <c r="V255" s="8">
        <v>37.616</v>
      </c>
      <c r="W255" s="8">
        <v>31.09</v>
      </c>
      <c r="X255" s="8">
        <v>23.902000000000001</v>
      </c>
      <c r="Y255" s="8">
        <v>16.904</v>
      </c>
      <c r="Z255" s="8">
        <v>10.63</v>
      </c>
      <c r="AA255" s="8">
        <v>4.766</v>
      </c>
      <c r="AB255" s="8">
        <v>1.589</v>
      </c>
      <c r="AC255" s="8">
        <v>0.30099999999999999</v>
      </c>
    </row>
    <row r="256" spans="1:29" ht="11.65" hidden="1" x14ac:dyDescent="0.35">
      <c r="A256" s="12">
        <v>239</v>
      </c>
      <c r="B256" s="10" t="s">
        <v>1015</v>
      </c>
      <c r="C256" s="36" t="s">
        <v>1045</v>
      </c>
      <c r="D256" s="9"/>
      <c r="E256" s="9">
        <v>1518</v>
      </c>
      <c r="F256" s="10" t="s">
        <v>1040</v>
      </c>
      <c r="G256" s="9">
        <v>1802</v>
      </c>
      <c r="H256" s="9">
        <v>2015</v>
      </c>
      <c r="I256" s="8">
        <v>115.92</v>
      </c>
      <c r="J256" s="8">
        <v>118.14400000000001</v>
      </c>
      <c r="K256" s="8">
        <v>117.794</v>
      </c>
      <c r="L256" s="8">
        <v>110.13800000000001</v>
      </c>
      <c r="M256" s="8">
        <v>95.314999999999998</v>
      </c>
      <c r="N256" s="8">
        <v>93.537999999999997</v>
      </c>
      <c r="O256" s="8">
        <v>93.858999999999995</v>
      </c>
      <c r="P256" s="8">
        <v>96.358000000000004</v>
      </c>
      <c r="Q256" s="8">
        <v>98.200999999999993</v>
      </c>
      <c r="R256" s="8">
        <v>98.117000000000004</v>
      </c>
      <c r="S256" s="8">
        <v>90.352999999999994</v>
      </c>
      <c r="T256" s="8">
        <v>75.778000000000006</v>
      </c>
      <c r="U256" s="8">
        <v>63.162999999999997</v>
      </c>
      <c r="V256" s="8">
        <v>46.844000000000001</v>
      </c>
      <c r="W256" s="8">
        <v>35.412999999999997</v>
      </c>
      <c r="X256" s="8">
        <v>27.890999999999998</v>
      </c>
      <c r="Y256" s="8">
        <v>20.786999999999999</v>
      </c>
      <c r="Z256" s="8">
        <v>12.025</v>
      </c>
      <c r="AA256" s="8">
        <v>6.194</v>
      </c>
      <c r="AB256" s="8">
        <v>2.0529999999999999</v>
      </c>
      <c r="AC256" s="8">
        <v>0.47</v>
      </c>
    </row>
    <row r="257" spans="1:29" ht="11.65" hidden="1" x14ac:dyDescent="0.35">
      <c r="A257" s="12">
        <v>240</v>
      </c>
      <c r="B257" s="10" t="s">
        <v>1015</v>
      </c>
      <c r="C257" s="36" t="s">
        <v>1045</v>
      </c>
      <c r="D257" s="9"/>
      <c r="E257" s="9">
        <v>1518</v>
      </c>
      <c r="F257" s="10" t="s">
        <v>1040</v>
      </c>
      <c r="G257" s="9">
        <v>1802</v>
      </c>
      <c r="H257" s="9">
        <v>2020</v>
      </c>
      <c r="I257" s="8">
        <v>118.419</v>
      </c>
      <c r="J257" s="8">
        <v>115.798</v>
      </c>
      <c r="K257" s="8">
        <v>117.92100000000001</v>
      </c>
      <c r="L257" s="8">
        <v>117.896</v>
      </c>
      <c r="M257" s="8">
        <v>110.02200000000001</v>
      </c>
      <c r="N257" s="8">
        <v>95.284000000000006</v>
      </c>
      <c r="O257" s="8">
        <v>94.730999999999995</v>
      </c>
      <c r="P257" s="8">
        <v>95.525000000000006</v>
      </c>
      <c r="Q257" s="8">
        <v>96.972999999999999</v>
      </c>
      <c r="R257" s="8">
        <v>97.73</v>
      </c>
      <c r="S257" s="8">
        <v>97.212000000000003</v>
      </c>
      <c r="T257" s="8">
        <v>89.179000000000002</v>
      </c>
      <c r="U257" s="8">
        <v>74.162000000000006</v>
      </c>
      <c r="V257" s="8">
        <v>61.003</v>
      </c>
      <c r="W257" s="8">
        <v>44.030999999999999</v>
      </c>
      <c r="X257" s="8">
        <v>31.844000000000001</v>
      </c>
      <c r="Y257" s="8">
        <v>23.114999999999998</v>
      </c>
      <c r="Z257" s="8">
        <v>15.237</v>
      </c>
      <c r="AA257" s="8">
        <v>7.4</v>
      </c>
      <c r="AB257" s="8">
        <v>2.9340000000000002</v>
      </c>
      <c r="AC257" s="8">
        <v>0.57299999999999995</v>
      </c>
    </row>
    <row r="258" spans="1:29" ht="11.65" hidden="1" x14ac:dyDescent="0.35">
      <c r="A258" s="35">
        <v>241</v>
      </c>
      <c r="B258" s="33" t="s">
        <v>1015</v>
      </c>
      <c r="C258" s="34" t="s">
        <v>1046</v>
      </c>
      <c r="D258" s="32" t="s">
        <v>1047</v>
      </c>
      <c r="E258" s="32">
        <v>1840</v>
      </c>
      <c r="F258" s="33" t="s">
        <v>1020</v>
      </c>
      <c r="G258" s="32">
        <v>900</v>
      </c>
      <c r="H258" s="32">
        <v>1950</v>
      </c>
      <c r="I258" s="31" t="s">
        <v>1021</v>
      </c>
      <c r="J258" s="31" t="s">
        <v>1021</v>
      </c>
      <c r="K258" s="31" t="s">
        <v>1021</v>
      </c>
      <c r="L258" s="31" t="s">
        <v>1021</v>
      </c>
      <c r="M258" s="31" t="s">
        <v>1021</v>
      </c>
      <c r="N258" s="31" t="s">
        <v>1021</v>
      </c>
      <c r="O258" s="31" t="s">
        <v>1021</v>
      </c>
      <c r="P258" s="31" t="s">
        <v>1021</v>
      </c>
      <c r="Q258" s="31" t="s">
        <v>1021</v>
      </c>
      <c r="R258" s="31" t="s">
        <v>1021</v>
      </c>
      <c r="S258" s="31" t="s">
        <v>1021</v>
      </c>
      <c r="T258" s="31" t="s">
        <v>1021</v>
      </c>
      <c r="U258" s="31" t="s">
        <v>1021</v>
      </c>
      <c r="V258" s="31" t="s">
        <v>1021</v>
      </c>
      <c r="W258" s="31" t="s">
        <v>1021</v>
      </c>
      <c r="X258" s="31" t="s">
        <v>1021</v>
      </c>
      <c r="Y258" s="31" t="s">
        <v>1021</v>
      </c>
      <c r="Z258" s="31" t="s">
        <v>1021</v>
      </c>
      <c r="AA258" s="31" t="s">
        <v>1021</v>
      </c>
      <c r="AB258" s="31" t="s">
        <v>1021</v>
      </c>
      <c r="AC258" s="31" t="s">
        <v>1021</v>
      </c>
    </row>
    <row r="259" spans="1:29" ht="11.65" hidden="1" x14ac:dyDescent="0.35">
      <c r="A259" s="35">
        <v>242</v>
      </c>
      <c r="B259" s="33" t="s">
        <v>1015</v>
      </c>
      <c r="C259" s="34" t="s">
        <v>1046</v>
      </c>
      <c r="D259" s="32" t="s">
        <v>1047</v>
      </c>
      <c r="E259" s="32">
        <v>1840</v>
      </c>
      <c r="F259" s="33" t="s">
        <v>1020</v>
      </c>
      <c r="G259" s="32">
        <v>900</v>
      </c>
      <c r="H259" s="32">
        <v>1955</v>
      </c>
      <c r="I259" s="31" t="s">
        <v>1021</v>
      </c>
      <c r="J259" s="31" t="s">
        <v>1021</v>
      </c>
      <c r="K259" s="31" t="s">
        <v>1021</v>
      </c>
      <c r="L259" s="31" t="s">
        <v>1021</v>
      </c>
      <c r="M259" s="31" t="s">
        <v>1021</v>
      </c>
      <c r="N259" s="31" t="s">
        <v>1021</v>
      </c>
      <c r="O259" s="31" t="s">
        <v>1021</v>
      </c>
      <c r="P259" s="31" t="s">
        <v>1021</v>
      </c>
      <c r="Q259" s="31" t="s">
        <v>1021</v>
      </c>
      <c r="R259" s="31" t="s">
        <v>1021</v>
      </c>
      <c r="S259" s="31" t="s">
        <v>1021</v>
      </c>
      <c r="T259" s="31" t="s">
        <v>1021</v>
      </c>
      <c r="U259" s="31" t="s">
        <v>1021</v>
      </c>
      <c r="V259" s="31" t="s">
        <v>1021</v>
      </c>
      <c r="W259" s="31" t="s">
        <v>1021</v>
      </c>
      <c r="X259" s="31" t="s">
        <v>1021</v>
      </c>
      <c r="Y259" s="31" t="s">
        <v>1021</v>
      </c>
      <c r="Z259" s="31" t="s">
        <v>1021</v>
      </c>
      <c r="AA259" s="31" t="s">
        <v>1021</v>
      </c>
      <c r="AB259" s="31" t="s">
        <v>1021</v>
      </c>
      <c r="AC259" s="31" t="s">
        <v>1021</v>
      </c>
    </row>
    <row r="260" spans="1:29" ht="11.65" hidden="1" x14ac:dyDescent="0.35">
      <c r="A260" s="35">
        <v>243</v>
      </c>
      <c r="B260" s="33" t="s">
        <v>1015</v>
      </c>
      <c r="C260" s="34" t="s">
        <v>1046</v>
      </c>
      <c r="D260" s="32" t="s">
        <v>1047</v>
      </c>
      <c r="E260" s="32">
        <v>1840</v>
      </c>
      <c r="F260" s="33" t="s">
        <v>1020</v>
      </c>
      <c r="G260" s="32">
        <v>900</v>
      </c>
      <c r="H260" s="32">
        <v>1960</v>
      </c>
      <c r="I260" s="31" t="s">
        <v>1021</v>
      </c>
      <c r="J260" s="31" t="s">
        <v>1021</v>
      </c>
      <c r="K260" s="31" t="s">
        <v>1021</v>
      </c>
      <c r="L260" s="31" t="s">
        <v>1021</v>
      </c>
      <c r="M260" s="31" t="s">
        <v>1021</v>
      </c>
      <c r="N260" s="31" t="s">
        <v>1021</v>
      </c>
      <c r="O260" s="31" t="s">
        <v>1021</v>
      </c>
      <c r="P260" s="31" t="s">
        <v>1021</v>
      </c>
      <c r="Q260" s="31" t="s">
        <v>1021</v>
      </c>
      <c r="R260" s="31" t="s">
        <v>1021</v>
      </c>
      <c r="S260" s="31" t="s">
        <v>1021</v>
      </c>
      <c r="T260" s="31" t="s">
        <v>1021</v>
      </c>
      <c r="U260" s="31" t="s">
        <v>1021</v>
      </c>
      <c r="V260" s="31" t="s">
        <v>1021</v>
      </c>
      <c r="W260" s="31" t="s">
        <v>1021</v>
      </c>
      <c r="X260" s="31" t="s">
        <v>1021</v>
      </c>
      <c r="Y260" s="31" t="s">
        <v>1021</v>
      </c>
      <c r="Z260" s="31" t="s">
        <v>1021</v>
      </c>
      <c r="AA260" s="31" t="s">
        <v>1021</v>
      </c>
      <c r="AB260" s="31" t="s">
        <v>1021</v>
      </c>
      <c r="AC260" s="31" t="s">
        <v>1021</v>
      </c>
    </row>
    <row r="261" spans="1:29" ht="11.65" hidden="1" x14ac:dyDescent="0.35">
      <c r="A261" s="35">
        <v>244</v>
      </c>
      <c r="B261" s="33" t="s">
        <v>1015</v>
      </c>
      <c r="C261" s="34" t="s">
        <v>1046</v>
      </c>
      <c r="D261" s="32" t="s">
        <v>1047</v>
      </c>
      <c r="E261" s="32">
        <v>1840</v>
      </c>
      <c r="F261" s="33" t="s">
        <v>1020</v>
      </c>
      <c r="G261" s="32">
        <v>900</v>
      </c>
      <c r="H261" s="32">
        <v>1965</v>
      </c>
      <c r="I261" s="31" t="s">
        <v>1021</v>
      </c>
      <c r="J261" s="31" t="s">
        <v>1021</v>
      </c>
      <c r="K261" s="31" t="s">
        <v>1021</v>
      </c>
      <c r="L261" s="31" t="s">
        <v>1021</v>
      </c>
      <c r="M261" s="31" t="s">
        <v>1021</v>
      </c>
      <c r="N261" s="31" t="s">
        <v>1021</v>
      </c>
      <c r="O261" s="31" t="s">
        <v>1021</v>
      </c>
      <c r="P261" s="31" t="s">
        <v>1021</v>
      </c>
      <c r="Q261" s="31" t="s">
        <v>1021</v>
      </c>
      <c r="R261" s="31" t="s">
        <v>1021</v>
      </c>
      <c r="S261" s="31" t="s">
        <v>1021</v>
      </c>
      <c r="T261" s="31" t="s">
        <v>1021</v>
      </c>
      <c r="U261" s="31" t="s">
        <v>1021</v>
      </c>
      <c r="V261" s="31" t="s">
        <v>1021</v>
      </c>
      <c r="W261" s="31" t="s">
        <v>1021</v>
      </c>
      <c r="X261" s="31" t="s">
        <v>1021</v>
      </c>
      <c r="Y261" s="31" t="s">
        <v>1021</v>
      </c>
      <c r="Z261" s="31" t="s">
        <v>1021</v>
      </c>
      <c r="AA261" s="31" t="s">
        <v>1021</v>
      </c>
      <c r="AB261" s="31" t="s">
        <v>1021</v>
      </c>
      <c r="AC261" s="31" t="s">
        <v>1021</v>
      </c>
    </row>
    <row r="262" spans="1:29" ht="11.65" hidden="1" x14ac:dyDescent="0.35">
      <c r="A262" s="35">
        <v>245</v>
      </c>
      <c r="B262" s="33" t="s">
        <v>1015</v>
      </c>
      <c r="C262" s="34" t="s">
        <v>1046</v>
      </c>
      <c r="D262" s="32" t="s">
        <v>1047</v>
      </c>
      <c r="E262" s="32">
        <v>1840</v>
      </c>
      <c r="F262" s="33" t="s">
        <v>1020</v>
      </c>
      <c r="G262" s="32">
        <v>900</v>
      </c>
      <c r="H262" s="32">
        <v>1970</v>
      </c>
      <c r="I262" s="31" t="s">
        <v>1021</v>
      </c>
      <c r="J262" s="31" t="s">
        <v>1021</v>
      </c>
      <c r="K262" s="31" t="s">
        <v>1021</v>
      </c>
      <c r="L262" s="31" t="s">
        <v>1021</v>
      </c>
      <c r="M262" s="31" t="s">
        <v>1021</v>
      </c>
      <c r="N262" s="31" t="s">
        <v>1021</v>
      </c>
      <c r="O262" s="31" t="s">
        <v>1021</v>
      </c>
      <c r="P262" s="31" t="s">
        <v>1021</v>
      </c>
      <c r="Q262" s="31" t="s">
        <v>1021</v>
      </c>
      <c r="R262" s="31" t="s">
        <v>1021</v>
      </c>
      <c r="S262" s="31" t="s">
        <v>1021</v>
      </c>
      <c r="T262" s="31" t="s">
        <v>1021</v>
      </c>
      <c r="U262" s="31" t="s">
        <v>1021</v>
      </c>
      <c r="V262" s="31" t="s">
        <v>1021</v>
      </c>
      <c r="W262" s="31" t="s">
        <v>1021</v>
      </c>
      <c r="X262" s="31" t="s">
        <v>1021</v>
      </c>
      <c r="Y262" s="31" t="s">
        <v>1021</v>
      </c>
      <c r="Z262" s="31" t="s">
        <v>1021</v>
      </c>
      <c r="AA262" s="31" t="s">
        <v>1021</v>
      </c>
      <c r="AB262" s="31" t="s">
        <v>1021</v>
      </c>
      <c r="AC262" s="31" t="s">
        <v>1021</v>
      </c>
    </row>
    <row r="263" spans="1:29" ht="11.65" hidden="1" x14ac:dyDescent="0.35">
      <c r="A263" s="35">
        <v>246</v>
      </c>
      <c r="B263" s="33" t="s">
        <v>1015</v>
      </c>
      <c r="C263" s="34" t="s">
        <v>1046</v>
      </c>
      <c r="D263" s="32" t="s">
        <v>1047</v>
      </c>
      <c r="E263" s="32">
        <v>1840</v>
      </c>
      <c r="F263" s="33" t="s">
        <v>1020</v>
      </c>
      <c r="G263" s="32">
        <v>900</v>
      </c>
      <c r="H263" s="32">
        <v>1975</v>
      </c>
      <c r="I263" s="31" t="s">
        <v>1021</v>
      </c>
      <c r="J263" s="31" t="s">
        <v>1021</v>
      </c>
      <c r="K263" s="31" t="s">
        <v>1021</v>
      </c>
      <c r="L263" s="31" t="s">
        <v>1021</v>
      </c>
      <c r="M263" s="31" t="s">
        <v>1021</v>
      </c>
      <c r="N263" s="31" t="s">
        <v>1021</v>
      </c>
      <c r="O263" s="31" t="s">
        <v>1021</v>
      </c>
      <c r="P263" s="31" t="s">
        <v>1021</v>
      </c>
      <c r="Q263" s="31" t="s">
        <v>1021</v>
      </c>
      <c r="R263" s="31" t="s">
        <v>1021</v>
      </c>
      <c r="S263" s="31" t="s">
        <v>1021</v>
      </c>
      <c r="T263" s="31" t="s">
        <v>1021</v>
      </c>
      <c r="U263" s="31" t="s">
        <v>1021</v>
      </c>
      <c r="V263" s="31" t="s">
        <v>1021</v>
      </c>
      <c r="W263" s="31" t="s">
        <v>1021</v>
      </c>
      <c r="X263" s="31" t="s">
        <v>1021</v>
      </c>
      <c r="Y263" s="31" t="s">
        <v>1021</v>
      </c>
      <c r="Z263" s="31" t="s">
        <v>1021</v>
      </c>
      <c r="AA263" s="31" t="s">
        <v>1021</v>
      </c>
      <c r="AB263" s="31" t="s">
        <v>1021</v>
      </c>
      <c r="AC263" s="31" t="s">
        <v>1021</v>
      </c>
    </row>
    <row r="264" spans="1:29" ht="11.65" hidden="1" x14ac:dyDescent="0.35">
      <c r="A264" s="35">
        <v>247</v>
      </c>
      <c r="B264" s="33" t="s">
        <v>1015</v>
      </c>
      <c r="C264" s="34" t="s">
        <v>1046</v>
      </c>
      <c r="D264" s="32" t="s">
        <v>1047</v>
      </c>
      <c r="E264" s="32">
        <v>1840</v>
      </c>
      <c r="F264" s="33" t="s">
        <v>1020</v>
      </c>
      <c r="G264" s="32">
        <v>900</v>
      </c>
      <c r="H264" s="32">
        <v>1980</v>
      </c>
      <c r="I264" s="31" t="s">
        <v>1021</v>
      </c>
      <c r="J264" s="31" t="s">
        <v>1021</v>
      </c>
      <c r="K264" s="31" t="s">
        <v>1021</v>
      </c>
      <c r="L264" s="31" t="s">
        <v>1021</v>
      </c>
      <c r="M264" s="31" t="s">
        <v>1021</v>
      </c>
      <c r="N264" s="31" t="s">
        <v>1021</v>
      </c>
      <c r="O264" s="31" t="s">
        <v>1021</v>
      </c>
      <c r="P264" s="31" t="s">
        <v>1021</v>
      </c>
      <c r="Q264" s="31" t="s">
        <v>1021</v>
      </c>
      <c r="R264" s="31" t="s">
        <v>1021</v>
      </c>
      <c r="S264" s="31" t="s">
        <v>1021</v>
      </c>
      <c r="T264" s="31" t="s">
        <v>1021</v>
      </c>
      <c r="U264" s="31" t="s">
        <v>1021</v>
      </c>
      <c r="V264" s="31" t="s">
        <v>1021</v>
      </c>
      <c r="W264" s="31" t="s">
        <v>1021</v>
      </c>
      <c r="X264" s="31" t="s">
        <v>1021</v>
      </c>
      <c r="Y264" s="31" t="s">
        <v>1021</v>
      </c>
      <c r="Z264" s="31" t="s">
        <v>1021</v>
      </c>
      <c r="AA264" s="31" t="s">
        <v>1021</v>
      </c>
      <c r="AB264" s="31" t="s">
        <v>1021</v>
      </c>
      <c r="AC264" s="31" t="s">
        <v>1021</v>
      </c>
    </row>
    <row r="265" spans="1:29" ht="11.65" hidden="1" x14ac:dyDescent="0.35">
      <c r="A265" s="35">
        <v>248</v>
      </c>
      <c r="B265" s="33" t="s">
        <v>1015</v>
      </c>
      <c r="C265" s="34" t="s">
        <v>1046</v>
      </c>
      <c r="D265" s="32" t="s">
        <v>1047</v>
      </c>
      <c r="E265" s="32">
        <v>1840</v>
      </c>
      <c r="F265" s="33" t="s">
        <v>1020</v>
      </c>
      <c r="G265" s="32">
        <v>900</v>
      </c>
      <c r="H265" s="32">
        <v>1985</v>
      </c>
      <c r="I265" s="31" t="s">
        <v>1021</v>
      </c>
      <c r="J265" s="31" t="s">
        <v>1021</v>
      </c>
      <c r="K265" s="31" t="s">
        <v>1021</v>
      </c>
      <c r="L265" s="31" t="s">
        <v>1021</v>
      </c>
      <c r="M265" s="31" t="s">
        <v>1021</v>
      </c>
      <c r="N265" s="31" t="s">
        <v>1021</v>
      </c>
      <c r="O265" s="31" t="s">
        <v>1021</v>
      </c>
      <c r="P265" s="31" t="s">
        <v>1021</v>
      </c>
      <c r="Q265" s="31" t="s">
        <v>1021</v>
      </c>
      <c r="R265" s="31" t="s">
        <v>1021</v>
      </c>
      <c r="S265" s="31" t="s">
        <v>1021</v>
      </c>
      <c r="T265" s="31" t="s">
        <v>1021</v>
      </c>
      <c r="U265" s="31" t="s">
        <v>1021</v>
      </c>
      <c r="V265" s="31" t="s">
        <v>1021</v>
      </c>
      <c r="W265" s="31" t="s">
        <v>1021</v>
      </c>
      <c r="X265" s="31" t="s">
        <v>1021</v>
      </c>
      <c r="Y265" s="31" t="s">
        <v>1021</v>
      </c>
      <c r="Z265" s="31" t="s">
        <v>1021</v>
      </c>
      <c r="AA265" s="31" t="s">
        <v>1021</v>
      </c>
      <c r="AB265" s="31" t="s">
        <v>1021</v>
      </c>
      <c r="AC265" s="31" t="s">
        <v>1021</v>
      </c>
    </row>
    <row r="266" spans="1:29" ht="11.65" hidden="1" x14ac:dyDescent="0.35">
      <c r="A266" s="35">
        <v>249</v>
      </c>
      <c r="B266" s="33" t="s">
        <v>1015</v>
      </c>
      <c r="C266" s="34" t="s">
        <v>1046</v>
      </c>
      <c r="D266" s="32" t="s">
        <v>1047</v>
      </c>
      <c r="E266" s="32">
        <v>1840</v>
      </c>
      <c r="F266" s="33" t="s">
        <v>1020</v>
      </c>
      <c r="G266" s="32">
        <v>900</v>
      </c>
      <c r="H266" s="32">
        <v>1990</v>
      </c>
      <c r="I266" s="31" t="s">
        <v>1021</v>
      </c>
      <c r="J266" s="31" t="s">
        <v>1021</v>
      </c>
      <c r="K266" s="31" t="s">
        <v>1021</v>
      </c>
      <c r="L266" s="31" t="s">
        <v>1021</v>
      </c>
      <c r="M266" s="31" t="s">
        <v>1021</v>
      </c>
      <c r="N266" s="31" t="s">
        <v>1021</v>
      </c>
      <c r="O266" s="31" t="s">
        <v>1021</v>
      </c>
      <c r="P266" s="31" t="s">
        <v>1021</v>
      </c>
      <c r="Q266" s="31" t="s">
        <v>1021</v>
      </c>
      <c r="R266" s="31" t="s">
        <v>1021</v>
      </c>
      <c r="S266" s="31" t="s">
        <v>1021</v>
      </c>
      <c r="T266" s="31" t="s">
        <v>1021</v>
      </c>
      <c r="U266" s="31" t="s">
        <v>1021</v>
      </c>
      <c r="V266" s="31" t="s">
        <v>1021</v>
      </c>
      <c r="W266" s="31" t="s">
        <v>1021</v>
      </c>
      <c r="X266" s="31" t="s">
        <v>1021</v>
      </c>
      <c r="Y266" s="31" t="s">
        <v>1021</v>
      </c>
      <c r="Z266" s="31" t="s">
        <v>1021</v>
      </c>
      <c r="AA266" s="31" t="s">
        <v>1021</v>
      </c>
      <c r="AB266" s="31" t="s">
        <v>1021</v>
      </c>
      <c r="AC266" s="31" t="s">
        <v>1021</v>
      </c>
    </row>
    <row r="267" spans="1:29" ht="11.65" hidden="1" x14ac:dyDescent="0.35">
      <c r="A267" s="35">
        <v>250</v>
      </c>
      <c r="B267" s="33" t="s">
        <v>1015</v>
      </c>
      <c r="C267" s="34" t="s">
        <v>1046</v>
      </c>
      <c r="D267" s="32" t="s">
        <v>1047</v>
      </c>
      <c r="E267" s="32">
        <v>1840</v>
      </c>
      <c r="F267" s="33" t="s">
        <v>1020</v>
      </c>
      <c r="G267" s="32">
        <v>900</v>
      </c>
      <c r="H267" s="32">
        <v>1995</v>
      </c>
      <c r="I267" s="31" t="s">
        <v>1021</v>
      </c>
      <c r="J267" s="31" t="s">
        <v>1021</v>
      </c>
      <c r="K267" s="31" t="s">
        <v>1021</v>
      </c>
      <c r="L267" s="31" t="s">
        <v>1021</v>
      </c>
      <c r="M267" s="31" t="s">
        <v>1021</v>
      </c>
      <c r="N267" s="31" t="s">
        <v>1021</v>
      </c>
      <c r="O267" s="31" t="s">
        <v>1021</v>
      </c>
      <c r="P267" s="31" t="s">
        <v>1021</v>
      </c>
      <c r="Q267" s="31" t="s">
        <v>1021</v>
      </c>
      <c r="R267" s="31" t="s">
        <v>1021</v>
      </c>
      <c r="S267" s="31" t="s">
        <v>1021</v>
      </c>
      <c r="T267" s="31" t="s">
        <v>1021</v>
      </c>
      <c r="U267" s="31" t="s">
        <v>1021</v>
      </c>
      <c r="V267" s="31" t="s">
        <v>1021</v>
      </c>
      <c r="W267" s="31" t="s">
        <v>1021</v>
      </c>
      <c r="X267" s="31" t="s">
        <v>1021</v>
      </c>
      <c r="Y267" s="31" t="s">
        <v>1021</v>
      </c>
      <c r="Z267" s="31" t="s">
        <v>1021</v>
      </c>
      <c r="AA267" s="31" t="s">
        <v>1021</v>
      </c>
      <c r="AB267" s="31" t="s">
        <v>1021</v>
      </c>
      <c r="AC267" s="31" t="s">
        <v>1021</v>
      </c>
    </row>
    <row r="268" spans="1:29" ht="11.65" hidden="1" x14ac:dyDescent="0.35">
      <c r="A268" s="35">
        <v>251</v>
      </c>
      <c r="B268" s="33" t="s">
        <v>1015</v>
      </c>
      <c r="C268" s="34" t="s">
        <v>1046</v>
      </c>
      <c r="D268" s="32" t="s">
        <v>1047</v>
      </c>
      <c r="E268" s="32">
        <v>1840</v>
      </c>
      <c r="F268" s="33" t="s">
        <v>1020</v>
      </c>
      <c r="G268" s="32">
        <v>900</v>
      </c>
      <c r="H268" s="32">
        <v>2000</v>
      </c>
      <c r="I268" s="31" t="s">
        <v>1021</v>
      </c>
      <c r="J268" s="31" t="s">
        <v>1021</v>
      </c>
      <c r="K268" s="31" t="s">
        <v>1021</v>
      </c>
      <c r="L268" s="31" t="s">
        <v>1021</v>
      </c>
      <c r="M268" s="31" t="s">
        <v>1021</v>
      </c>
      <c r="N268" s="31" t="s">
        <v>1021</v>
      </c>
      <c r="O268" s="31" t="s">
        <v>1021</v>
      </c>
      <c r="P268" s="31" t="s">
        <v>1021</v>
      </c>
      <c r="Q268" s="31" t="s">
        <v>1021</v>
      </c>
      <c r="R268" s="31" t="s">
        <v>1021</v>
      </c>
      <c r="S268" s="31" t="s">
        <v>1021</v>
      </c>
      <c r="T268" s="31" t="s">
        <v>1021</v>
      </c>
      <c r="U268" s="31" t="s">
        <v>1021</v>
      </c>
      <c r="V268" s="31" t="s">
        <v>1021</v>
      </c>
      <c r="W268" s="31" t="s">
        <v>1021</v>
      </c>
      <c r="X268" s="31" t="s">
        <v>1021</v>
      </c>
      <c r="Y268" s="31" t="s">
        <v>1021</v>
      </c>
      <c r="Z268" s="31" t="s">
        <v>1021</v>
      </c>
      <c r="AA268" s="31" t="s">
        <v>1021</v>
      </c>
      <c r="AB268" s="31" t="s">
        <v>1021</v>
      </c>
      <c r="AC268" s="31" t="s">
        <v>1021</v>
      </c>
    </row>
    <row r="269" spans="1:29" ht="11.65" hidden="1" x14ac:dyDescent="0.35">
      <c r="A269" s="35">
        <v>252</v>
      </c>
      <c r="B269" s="33" t="s">
        <v>1015</v>
      </c>
      <c r="C269" s="34" t="s">
        <v>1046</v>
      </c>
      <c r="D269" s="32" t="s">
        <v>1047</v>
      </c>
      <c r="E269" s="32">
        <v>1840</v>
      </c>
      <c r="F269" s="33" t="s">
        <v>1020</v>
      </c>
      <c r="G269" s="32">
        <v>900</v>
      </c>
      <c r="H269" s="32">
        <v>2005</v>
      </c>
      <c r="I269" s="31" t="s">
        <v>1021</v>
      </c>
      <c r="J269" s="31" t="s">
        <v>1021</v>
      </c>
      <c r="K269" s="31" t="s">
        <v>1021</v>
      </c>
      <c r="L269" s="31" t="s">
        <v>1021</v>
      </c>
      <c r="M269" s="31" t="s">
        <v>1021</v>
      </c>
      <c r="N269" s="31" t="s">
        <v>1021</v>
      </c>
      <c r="O269" s="31" t="s">
        <v>1021</v>
      </c>
      <c r="P269" s="31" t="s">
        <v>1021</v>
      </c>
      <c r="Q269" s="31" t="s">
        <v>1021</v>
      </c>
      <c r="R269" s="31" t="s">
        <v>1021</v>
      </c>
      <c r="S269" s="31" t="s">
        <v>1021</v>
      </c>
      <c r="T269" s="31" t="s">
        <v>1021</v>
      </c>
      <c r="U269" s="31" t="s">
        <v>1021</v>
      </c>
      <c r="V269" s="31" t="s">
        <v>1021</v>
      </c>
      <c r="W269" s="31" t="s">
        <v>1021</v>
      </c>
      <c r="X269" s="31" t="s">
        <v>1021</v>
      </c>
      <c r="Y269" s="31" t="s">
        <v>1021</v>
      </c>
      <c r="Z269" s="31" t="s">
        <v>1021</v>
      </c>
      <c r="AA269" s="31" t="s">
        <v>1021</v>
      </c>
      <c r="AB269" s="31" t="s">
        <v>1021</v>
      </c>
      <c r="AC269" s="31" t="s">
        <v>1021</v>
      </c>
    </row>
    <row r="270" spans="1:29" ht="11.65" hidden="1" x14ac:dyDescent="0.35">
      <c r="A270" s="35">
        <v>253</v>
      </c>
      <c r="B270" s="33" t="s">
        <v>1015</v>
      </c>
      <c r="C270" s="34" t="s">
        <v>1046</v>
      </c>
      <c r="D270" s="32" t="s">
        <v>1047</v>
      </c>
      <c r="E270" s="32">
        <v>1840</v>
      </c>
      <c r="F270" s="33" t="s">
        <v>1020</v>
      </c>
      <c r="G270" s="32">
        <v>900</v>
      </c>
      <c r="H270" s="32">
        <v>2010</v>
      </c>
      <c r="I270" s="31" t="s">
        <v>1021</v>
      </c>
      <c r="J270" s="31" t="s">
        <v>1021</v>
      </c>
      <c r="K270" s="31" t="s">
        <v>1021</v>
      </c>
      <c r="L270" s="31" t="s">
        <v>1021</v>
      </c>
      <c r="M270" s="31" t="s">
        <v>1021</v>
      </c>
      <c r="N270" s="31" t="s">
        <v>1021</v>
      </c>
      <c r="O270" s="31" t="s">
        <v>1021</v>
      </c>
      <c r="P270" s="31" t="s">
        <v>1021</v>
      </c>
      <c r="Q270" s="31" t="s">
        <v>1021</v>
      </c>
      <c r="R270" s="31" t="s">
        <v>1021</v>
      </c>
      <c r="S270" s="31" t="s">
        <v>1021</v>
      </c>
      <c r="T270" s="31" t="s">
        <v>1021</v>
      </c>
      <c r="U270" s="31" t="s">
        <v>1021</v>
      </c>
      <c r="V270" s="31" t="s">
        <v>1021</v>
      </c>
      <c r="W270" s="31" t="s">
        <v>1021</v>
      </c>
      <c r="X270" s="31" t="s">
        <v>1021</v>
      </c>
      <c r="Y270" s="31" t="s">
        <v>1021</v>
      </c>
      <c r="Z270" s="31" t="s">
        <v>1021</v>
      </c>
      <c r="AA270" s="31" t="s">
        <v>1021</v>
      </c>
      <c r="AB270" s="31" t="s">
        <v>1021</v>
      </c>
      <c r="AC270" s="31" t="s">
        <v>1021</v>
      </c>
    </row>
    <row r="271" spans="1:29" ht="11.65" hidden="1" x14ac:dyDescent="0.35">
      <c r="A271" s="35">
        <v>254</v>
      </c>
      <c r="B271" s="33" t="s">
        <v>1015</v>
      </c>
      <c r="C271" s="34" t="s">
        <v>1046</v>
      </c>
      <c r="D271" s="32" t="s">
        <v>1047</v>
      </c>
      <c r="E271" s="32">
        <v>1840</v>
      </c>
      <c r="F271" s="33" t="s">
        <v>1020</v>
      </c>
      <c r="G271" s="32">
        <v>900</v>
      </c>
      <c r="H271" s="32">
        <v>2015</v>
      </c>
      <c r="I271" s="31" t="s">
        <v>1021</v>
      </c>
      <c r="J271" s="31" t="s">
        <v>1021</v>
      </c>
      <c r="K271" s="31" t="s">
        <v>1021</v>
      </c>
      <c r="L271" s="31" t="s">
        <v>1021</v>
      </c>
      <c r="M271" s="31" t="s">
        <v>1021</v>
      </c>
      <c r="N271" s="31" t="s">
        <v>1021</v>
      </c>
      <c r="O271" s="31" t="s">
        <v>1021</v>
      </c>
      <c r="P271" s="31" t="s">
        <v>1021</v>
      </c>
      <c r="Q271" s="31" t="s">
        <v>1021</v>
      </c>
      <c r="R271" s="31" t="s">
        <v>1021</v>
      </c>
      <c r="S271" s="31" t="s">
        <v>1021</v>
      </c>
      <c r="T271" s="31" t="s">
        <v>1021</v>
      </c>
      <c r="U271" s="31" t="s">
        <v>1021</v>
      </c>
      <c r="V271" s="31" t="s">
        <v>1021</v>
      </c>
      <c r="W271" s="31" t="s">
        <v>1021</v>
      </c>
      <c r="X271" s="31" t="s">
        <v>1021</v>
      </c>
      <c r="Y271" s="31" t="s">
        <v>1021</v>
      </c>
      <c r="Z271" s="31" t="s">
        <v>1021</v>
      </c>
      <c r="AA271" s="31" t="s">
        <v>1021</v>
      </c>
      <c r="AB271" s="31" t="s">
        <v>1021</v>
      </c>
      <c r="AC271" s="31" t="s">
        <v>1021</v>
      </c>
    </row>
    <row r="272" spans="1:29" ht="11.65" hidden="1" x14ac:dyDescent="0.35">
      <c r="A272" s="35">
        <v>255</v>
      </c>
      <c r="B272" s="33" t="s">
        <v>1015</v>
      </c>
      <c r="C272" s="34" t="s">
        <v>1046</v>
      </c>
      <c r="D272" s="32" t="s">
        <v>1047</v>
      </c>
      <c r="E272" s="32">
        <v>1840</v>
      </c>
      <c r="F272" s="33" t="s">
        <v>1020</v>
      </c>
      <c r="G272" s="32">
        <v>900</v>
      </c>
      <c r="H272" s="32">
        <v>2020</v>
      </c>
      <c r="I272" s="31" t="s">
        <v>1021</v>
      </c>
      <c r="J272" s="31" t="s">
        <v>1021</v>
      </c>
      <c r="K272" s="31" t="s">
        <v>1021</v>
      </c>
      <c r="L272" s="31" t="s">
        <v>1021</v>
      </c>
      <c r="M272" s="31" t="s">
        <v>1021</v>
      </c>
      <c r="N272" s="31" t="s">
        <v>1021</v>
      </c>
      <c r="O272" s="31" t="s">
        <v>1021</v>
      </c>
      <c r="P272" s="31" t="s">
        <v>1021</v>
      </c>
      <c r="Q272" s="31" t="s">
        <v>1021</v>
      </c>
      <c r="R272" s="31" t="s">
        <v>1021</v>
      </c>
      <c r="S272" s="31" t="s">
        <v>1021</v>
      </c>
      <c r="T272" s="31" t="s">
        <v>1021</v>
      </c>
      <c r="U272" s="31" t="s">
        <v>1021</v>
      </c>
      <c r="V272" s="31" t="s">
        <v>1021</v>
      </c>
      <c r="W272" s="31" t="s">
        <v>1021</v>
      </c>
      <c r="X272" s="31" t="s">
        <v>1021</v>
      </c>
      <c r="Y272" s="31" t="s">
        <v>1021</v>
      </c>
      <c r="Z272" s="31" t="s">
        <v>1021</v>
      </c>
      <c r="AA272" s="31" t="s">
        <v>1021</v>
      </c>
      <c r="AB272" s="31" t="s">
        <v>1021</v>
      </c>
      <c r="AC272" s="31" t="s">
        <v>1021</v>
      </c>
    </row>
    <row r="273" spans="1:29" ht="11.65" hidden="1" x14ac:dyDescent="0.35">
      <c r="A273" s="12">
        <v>256</v>
      </c>
      <c r="B273" s="10" t="s">
        <v>1015</v>
      </c>
      <c r="C273" s="36" t="s">
        <v>1048</v>
      </c>
      <c r="D273" s="9" t="s">
        <v>1049</v>
      </c>
      <c r="E273" s="9">
        <v>903</v>
      </c>
      <c r="F273" s="10" t="s">
        <v>921</v>
      </c>
      <c r="G273" s="9">
        <v>1840</v>
      </c>
      <c r="H273" s="9">
        <v>1950</v>
      </c>
      <c r="I273" s="8">
        <v>19129.060000000001</v>
      </c>
      <c r="J273" s="8">
        <v>14824.245000000001</v>
      </c>
      <c r="K273" s="8">
        <v>12918.472</v>
      </c>
      <c r="L273" s="8">
        <v>11518.254000000001</v>
      </c>
      <c r="M273" s="8">
        <v>10091.424999999999</v>
      </c>
      <c r="N273" s="8">
        <v>8668.134</v>
      </c>
      <c r="O273" s="8">
        <v>7428.4229999999998</v>
      </c>
      <c r="P273" s="8">
        <v>6301.2870000000003</v>
      </c>
      <c r="Q273" s="8">
        <v>5452.6469999999999</v>
      </c>
      <c r="R273" s="8">
        <v>4603.4129999999996</v>
      </c>
      <c r="S273" s="8">
        <v>3917.1880000000001</v>
      </c>
      <c r="T273" s="8">
        <v>3164.89</v>
      </c>
      <c r="U273" s="8">
        <v>2492.5839999999998</v>
      </c>
      <c r="V273" s="8">
        <v>1826.0450000000001</v>
      </c>
      <c r="W273" s="8">
        <v>1207.6210000000001</v>
      </c>
      <c r="X273" s="8">
        <v>647.76300000000003</v>
      </c>
      <c r="Y273" s="8">
        <v>281.08100000000002</v>
      </c>
      <c r="Z273" s="8">
        <v>88.03</v>
      </c>
      <c r="AA273" s="8">
        <v>20.885000000000002</v>
      </c>
      <c r="AB273" s="8">
        <v>3.282</v>
      </c>
      <c r="AC273" s="8">
        <v>0.374</v>
      </c>
    </row>
    <row r="274" spans="1:29" ht="11.65" hidden="1" x14ac:dyDescent="0.35">
      <c r="A274" s="12">
        <v>257</v>
      </c>
      <c r="B274" s="10" t="s">
        <v>1015</v>
      </c>
      <c r="C274" s="36" t="s">
        <v>1048</v>
      </c>
      <c r="D274" s="9" t="s">
        <v>1049</v>
      </c>
      <c r="E274" s="9">
        <v>903</v>
      </c>
      <c r="F274" s="10" t="s">
        <v>921</v>
      </c>
      <c r="G274" s="9">
        <v>1840</v>
      </c>
      <c r="H274" s="9">
        <v>1955</v>
      </c>
      <c r="I274" s="8">
        <v>21772.526000000002</v>
      </c>
      <c r="J274" s="8">
        <v>16776.073</v>
      </c>
      <c r="K274" s="8">
        <v>14195.967000000001</v>
      </c>
      <c r="L274" s="8">
        <v>12489.262000000001</v>
      </c>
      <c r="M274" s="8">
        <v>11056.207</v>
      </c>
      <c r="N274" s="8">
        <v>9622.8580000000002</v>
      </c>
      <c r="O274" s="8">
        <v>8223.6790000000001</v>
      </c>
      <c r="P274" s="8">
        <v>7016.6559999999999</v>
      </c>
      <c r="Q274" s="8">
        <v>5926.6670000000004</v>
      </c>
      <c r="R274" s="8">
        <v>5112.8720000000003</v>
      </c>
      <c r="S274" s="8">
        <v>4269.2219999999998</v>
      </c>
      <c r="T274" s="8">
        <v>3548.2539999999999</v>
      </c>
      <c r="U274" s="8">
        <v>2741.7249999999999</v>
      </c>
      <c r="V274" s="8">
        <v>2000.8810000000001</v>
      </c>
      <c r="W274" s="8">
        <v>1295.634</v>
      </c>
      <c r="X274" s="8">
        <v>705.55700000000002</v>
      </c>
      <c r="Y274" s="8">
        <v>281.99299999999999</v>
      </c>
      <c r="Z274" s="8">
        <v>81.204999999999998</v>
      </c>
      <c r="AA274" s="8">
        <v>15.869</v>
      </c>
      <c r="AB274" s="8">
        <v>2.149</v>
      </c>
      <c r="AC274" s="8">
        <v>0.19900000000000001</v>
      </c>
    </row>
    <row r="275" spans="1:29" ht="11.65" hidden="1" x14ac:dyDescent="0.35">
      <c r="A275" s="12">
        <v>258</v>
      </c>
      <c r="B275" s="10" t="s">
        <v>1015</v>
      </c>
      <c r="C275" s="36" t="s">
        <v>1048</v>
      </c>
      <c r="D275" s="9" t="s">
        <v>1049</v>
      </c>
      <c r="E275" s="9">
        <v>903</v>
      </c>
      <c r="F275" s="10" t="s">
        <v>921</v>
      </c>
      <c r="G275" s="9">
        <v>1840</v>
      </c>
      <c r="H275" s="9">
        <v>1960</v>
      </c>
      <c r="I275" s="8">
        <v>24786.478999999999</v>
      </c>
      <c r="J275" s="8">
        <v>19431.085999999999</v>
      </c>
      <c r="K275" s="8">
        <v>16075.008</v>
      </c>
      <c r="L275" s="8">
        <v>13653.848</v>
      </c>
      <c r="M275" s="8">
        <v>11984.003000000001</v>
      </c>
      <c r="N275" s="8">
        <v>10614.611000000001</v>
      </c>
      <c r="O275" s="8">
        <v>9192.9740000000002</v>
      </c>
      <c r="P275" s="8">
        <v>7804.0330000000004</v>
      </c>
      <c r="Q275" s="8">
        <v>6620.5860000000002</v>
      </c>
      <c r="R275" s="8">
        <v>5573.3370000000004</v>
      </c>
      <c r="S275" s="8">
        <v>4754.8019999999997</v>
      </c>
      <c r="T275" s="8">
        <v>3881.6869999999999</v>
      </c>
      <c r="U275" s="8">
        <v>3095.502</v>
      </c>
      <c r="V275" s="8">
        <v>2223.5819999999999</v>
      </c>
      <c r="W275" s="8">
        <v>1446.566</v>
      </c>
      <c r="X275" s="8">
        <v>780.80399999999997</v>
      </c>
      <c r="Y275" s="8">
        <v>324.541</v>
      </c>
      <c r="Z275" s="8">
        <v>87.944999999999993</v>
      </c>
      <c r="AA275" s="8">
        <v>15.154999999999999</v>
      </c>
      <c r="AB275" s="8">
        <v>1.718</v>
      </c>
      <c r="AC275" s="8">
        <v>0.15</v>
      </c>
    </row>
    <row r="276" spans="1:29" ht="11.65" hidden="1" x14ac:dyDescent="0.35">
      <c r="A276" s="12">
        <v>259</v>
      </c>
      <c r="B276" s="10" t="s">
        <v>1015</v>
      </c>
      <c r="C276" s="36" t="s">
        <v>1048</v>
      </c>
      <c r="D276" s="9" t="s">
        <v>1049</v>
      </c>
      <c r="E276" s="9">
        <v>903</v>
      </c>
      <c r="F276" s="10" t="s">
        <v>921</v>
      </c>
      <c r="G276" s="9">
        <v>1840</v>
      </c>
      <c r="H276" s="9">
        <v>1965</v>
      </c>
      <c r="I276" s="8">
        <v>28271.288</v>
      </c>
      <c r="J276" s="8">
        <v>22414.557000000001</v>
      </c>
      <c r="K276" s="8">
        <v>18794.41</v>
      </c>
      <c r="L276" s="8">
        <v>15554.598</v>
      </c>
      <c r="M276" s="8">
        <v>13135.733</v>
      </c>
      <c r="N276" s="8">
        <v>11510.441999999999</v>
      </c>
      <c r="O276" s="8">
        <v>10171.913</v>
      </c>
      <c r="P276" s="8">
        <v>8769.3619999999992</v>
      </c>
      <c r="Q276" s="8">
        <v>7399.2070000000003</v>
      </c>
      <c r="R276" s="8">
        <v>6248.2740000000003</v>
      </c>
      <c r="S276" s="8">
        <v>5202.1350000000002</v>
      </c>
      <c r="T276" s="8">
        <v>4346.4480000000003</v>
      </c>
      <c r="U276" s="8">
        <v>3412.701</v>
      </c>
      <c r="V276" s="8">
        <v>2540.9639999999999</v>
      </c>
      <c r="W276" s="8">
        <v>1633.528</v>
      </c>
      <c r="X276" s="8">
        <v>895.82600000000002</v>
      </c>
      <c r="Y276" s="8">
        <v>372.22899999999998</v>
      </c>
      <c r="Z276" s="8">
        <v>106.541</v>
      </c>
      <c r="AA276" s="8">
        <v>17.567</v>
      </c>
      <c r="AB276" s="8">
        <v>1.724</v>
      </c>
      <c r="AC276" s="8">
        <v>0.124</v>
      </c>
    </row>
    <row r="277" spans="1:29" ht="11.65" hidden="1" x14ac:dyDescent="0.35">
      <c r="A277" s="12">
        <v>260</v>
      </c>
      <c r="B277" s="10" t="s">
        <v>1015</v>
      </c>
      <c r="C277" s="36" t="s">
        <v>1048</v>
      </c>
      <c r="D277" s="9" t="s">
        <v>1049</v>
      </c>
      <c r="E277" s="9">
        <v>903</v>
      </c>
      <c r="F277" s="10" t="s">
        <v>921</v>
      </c>
      <c r="G277" s="9">
        <v>1840</v>
      </c>
      <c r="H277" s="9">
        <v>1970</v>
      </c>
      <c r="I277" s="8">
        <v>32033.057000000001</v>
      </c>
      <c r="J277" s="8">
        <v>25841.317999999999</v>
      </c>
      <c r="K277" s="8">
        <v>21731.927</v>
      </c>
      <c r="L277" s="8">
        <v>18207.731</v>
      </c>
      <c r="M277" s="8">
        <v>15040.868</v>
      </c>
      <c r="N277" s="8">
        <v>12673.722</v>
      </c>
      <c r="O277" s="8">
        <v>11063.073</v>
      </c>
      <c r="P277" s="8">
        <v>9694.9809999999998</v>
      </c>
      <c r="Q277" s="8">
        <v>8328.2109999999993</v>
      </c>
      <c r="R277" s="8">
        <v>6984.5940000000001</v>
      </c>
      <c r="S277" s="8">
        <v>5844.3119999999999</v>
      </c>
      <c r="T277" s="8">
        <v>4759.6629999999996</v>
      </c>
      <c r="U277" s="8">
        <v>3842.5549999999998</v>
      </c>
      <c r="V277" s="8">
        <v>2819.895</v>
      </c>
      <c r="W277" s="8">
        <v>1890.498</v>
      </c>
      <c r="X277" s="8">
        <v>1026.1969999999999</v>
      </c>
      <c r="Y277" s="8">
        <v>434.47</v>
      </c>
      <c r="Z277" s="8">
        <v>127.238</v>
      </c>
      <c r="AA277" s="8">
        <v>22.507000000000001</v>
      </c>
      <c r="AB277" s="8">
        <v>2.1579999999999999</v>
      </c>
      <c r="AC277" s="8">
        <v>0.13700000000000001</v>
      </c>
    </row>
    <row r="278" spans="1:29" ht="11.65" hidden="1" x14ac:dyDescent="0.35">
      <c r="A278" s="12">
        <v>261</v>
      </c>
      <c r="B278" s="10" t="s">
        <v>1015</v>
      </c>
      <c r="C278" s="36" t="s">
        <v>1048</v>
      </c>
      <c r="D278" s="9" t="s">
        <v>1049</v>
      </c>
      <c r="E278" s="9">
        <v>903</v>
      </c>
      <c r="F278" s="10" t="s">
        <v>921</v>
      </c>
      <c r="G278" s="9">
        <v>1840</v>
      </c>
      <c r="H278" s="9">
        <v>1975</v>
      </c>
      <c r="I278" s="8">
        <v>36719.35</v>
      </c>
      <c r="J278" s="8">
        <v>29543.136999999999</v>
      </c>
      <c r="K278" s="8">
        <v>25135.653999999999</v>
      </c>
      <c r="L278" s="8">
        <v>21172.42</v>
      </c>
      <c r="M278" s="8">
        <v>17503.445</v>
      </c>
      <c r="N278" s="8">
        <v>14397.763000000001</v>
      </c>
      <c r="O278" s="8">
        <v>12164.304</v>
      </c>
      <c r="P278" s="8">
        <v>10609.790999999999</v>
      </c>
      <c r="Q278" s="8">
        <v>9270.83</v>
      </c>
      <c r="R278" s="8">
        <v>7932.9030000000002</v>
      </c>
      <c r="S278" s="8">
        <v>6582.518</v>
      </c>
      <c r="T278" s="8">
        <v>5396.893</v>
      </c>
      <c r="U278" s="8">
        <v>4241.5929999999998</v>
      </c>
      <c r="V278" s="8">
        <v>3220.2629999999999</v>
      </c>
      <c r="W278" s="8">
        <v>2134.33</v>
      </c>
      <c r="X278" s="8">
        <v>1214.7860000000001</v>
      </c>
      <c r="Y278" s="8">
        <v>514.99199999999996</v>
      </c>
      <c r="Z278" s="8">
        <v>152.57900000000001</v>
      </c>
      <c r="AA278" s="8">
        <v>27.792000000000002</v>
      </c>
      <c r="AB278" s="8">
        <v>2.9239999999999999</v>
      </c>
      <c r="AC278" s="8">
        <v>0.18</v>
      </c>
    </row>
    <row r="279" spans="1:29" ht="11.65" hidden="1" x14ac:dyDescent="0.35">
      <c r="A279" s="12">
        <v>262</v>
      </c>
      <c r="B279" s="10" t="s">
        <v>1015</v>
      </c>
      <c r="C279" s="36" t="s">
        <v>1048</v>
      </c>
      <c r="D279" s="9" t="s">
        <v>1049</v>
      </c>
      <c r="E279" s="9">
        <v>903</v>
      </c>
      <c r="F279" s="10" t="s">
        <v>921</v>
      </c>
      <c r="G279" s="9">
        <v>1840</v>
      </c>
      <c r="H279" s="9">
        <v>1980</v>
      </c>
      <c r="I279" s="8">
        <v>42391.733999999997</v>
      </c>
      <c r="J279" s="8">
        <v>34156.565999999999</v>
      </c>
      <c r="K279" s="8">
        <v>28732.721000000001</v>
      </c>
      <c r="L279" s="8">
        <v>24491.347000000002</v>
      </c>
      <c r="M279" s="8">
        <v>20503.740000000002</v>
      </c>
      <c r="N279" s="8">
        <v>16895.563999999998</v>
      </c>
      <c r="O279" s="8">
        <v>13920.418</v>
      </c>
      <c r="P279" s="8">
        <v>11733.034</v>
      </c>
      <c r="Q279" s="8">
        <v>10165.886</v>
      </c>
      <c r="R279" s="8">
        <v>8887.643</v>
      </c>
      <c r="S279" s="8">
        <v>7485.6369999999997</v>
      </c>
      <c r="T279" s="8">
        <v>6133.7340000000004</v>
      </c>
      <c r="U279" s="8">
        <v>4841.5200000000004</v>
      </c>
      <c r="V279" s="8">
        <v>3609.7570000000001</v>
      </c>
      <c r="W279" s="8">
        <v>2472.5940000000001</v>
      </c>
      <c r="X279" s="8">
        <v>1413.1279999999999</v>
      </c>
      <c r="Y279" s="8">
        <v>627.86099999999999</v>
      </c>
      <c r="Z279" s="8">
        <v>185.19800000000001</v>
      </c>
      <c r="AA279" s="8">
        <v>34.048999999999999</v>
      </c>
      <c r="AB279" s="8">
        <v>3.798</v>
      </c>
      <c r="AC279" s="8">
        <v>0.249</v>
      </c>
    </row>
    <row r="280" spans="1:29" ht="11.65" hidden="1" x14ac:dyDescent="0.35">
      <c r="A280" s="12">
        <v>263</v>
      </c>
      <c r="B280" s="10" t="s">
        <v>1015</v>
      </c>
      <c r="C280" s="36" t="s">
        <v>1048</v>
      </c>
      <c r="D280" s="9" t="s">
        <v>1049</v>
      </c>
      <c r="E280" s="9">
        <v>903</v>
      </c>
      <c r="F280" s="10" t="s">
        <v>921</v>
      </c>
      <c r="G280" s="9">
        <v>1840</v>
      </c>
      <c r="H280" s="9">
        <v>1985</v>
      </c>
      <c r="I280" s="8">
        <v>48537.582000000002</v>
      </c>
      <c r="J280" s="8">
        <v>39770.338000000003</v>
      </c>
      <c r="K280" s="8">
        <v>33405.353999999999</v>
      </c>
      <c r="L280" s="8">
        <v>28178.287</v>
      </c>
      <c r="M280" s="8">
        <v>23801.436000000002</v>
      </c>
      <c r="N280" s="8">
        <v>19814.578000000001</v>
      </c>
      <c r="O280" s="8">
        <v>16350.115</v>
      </c>
      <c r="P280" s="8">
        <v>13470.492</v>
      </c>
      <c r="Q280" s="8">
        <v>11288.865</v>
      </c>
      <c r="R280" s="8">
        <v>9736.0249999999996</v>
      </c>
      <c r="S280" s="8">
        <v>8433.0589999999993</v>
      </c>
      <c r="T280" s="8">
        <v>6985.17</v>
      </c>
      <c r="U280" s="8">
        <v>5548.5469999999996</v>
      </c>
      <c r="V280" s="8">
        <v>4144.0389999999998</v>
      </c>
      <c r="W280" s="8">
        <v>2808.9630000000002</v>
      </c>
      <c r="X280" s="8">
        <v>1650.442</v>
      </c>
      <c r="Y280" s="8">
        <v>739.404</v>
      </c>
      <c r="Z280" s="8">
        <v>229.917</v>
      </c>
      <c r="AA280" s="8">
        <v>42.536000000000001</v>
      </c>
      <c r="AB280" s="8">
        <v>4.8369999999999997</v>
      </c>
      <c r="AC280" s="8">
        <v>0.34</v>
      </c>
    </row>
    <row r="281" spans="1:29" ht="11.65" hidden="1" x14ac:dyDescent="0.35">
      <c r="A281" s="12">
        <v>264</v>
      </c>
      <c r="B281" s="10" t="s">
        <v>1015</v>
      </c>
      <c r="C281" s="36" t="s">
        <v>1048</v>
      </c>
      <c r="D281" s="9" t="s">
        <v>1049</v>
      </c>
      <c r="E281" s="9">
        <v>903</v>
      </c>
      <c r="F281" s="10" t="s">
        <v>921</v>
      </c>
      <c r="G281" s="9">
        <v>1840</v>
      </c>
      <c r="H281" s="9">
        <v>1990</v>
      </c>
      <c r="I281" s="8">
        <v>54182.756999999998</v>
      </c>
      <c r="J281" s="8">
        <v>45885.963000000003</v>
      </c>
      <c r="K281" s="8">
        <v>39003.351999999999</v>
      </c>
      <c r="L281" s="8">
        <v>32785.892999999996</v>
      </c>
      <c r="M281" s="8">
        <v>27462.517</v>
      </c>
      <c r="N281" s="8">
        <v>23054.146000000001</v>
      </c>
      <c r="O281" s="8">
        <v>19241.498</v>
      </c>
      <c r="P281" s="8">
        <v>15844.165000000001</v>
      </c>
      <c r="Q281" s="8">
        <v>13030.998</v>
      </c>
      <c r="R281" s="8">
        <v>10845.701999999999</v>
      </c>
      <c r="S281" s="8">
        <v>9255.7340000000004</v>
      </c>
      <c r="T281" s="8">
        <v>7877.9719999999998</v>
      </c>
      <c r="U281" s="8">
        <v>6338.1869999999999</v>
      </c>
      <c r="V281" s="8">
        <v>4783.7659999999996</v>
      </c>
      <c r="W281" s="8">
        <v>3256.1729999999998</v>
      </c>
      <c r="X281" s="8">
        <v>1900.798</v>
      </c>
      <c r="Y281" s="8">
        <v>884.65899999999999</v>
      </c>
      <c r="Z281" s="8">
        <v>277.76400000000001</v>
      </c>
      <c r="AA281" s="8">
        <v>53.802</v>
      </c>
      <c r="AB281" s="8">
        <v>6.0940000000000003</v>
      </c>
      <c r="AC281" s="8">
        <v>0.42099999999999999</v>
      </c>
    </row>
    <row r="282" spans="1:29" ht="11.65" hidden="1" x14ac:dyDescent="0.35">
      <c r="A282" s="12">
        <v>265</v>
      </c>
      <c r="B282" s="10" t="s">
        <v>1015</v>
      </c>
      <c r="C282" s="36" t="s">
        <v>1048</v>
      </c>
      <c r="D282" s="9" t="s">
        <v>1049</v>
      </c>
      <c r="E282" s="9">
        <v>903</v>
      </c>
      <c r="F282" s="10" t="s">
        <v>921</v>
      </c>
      <c r="G282" s="9">
        <v>1840</v>
      </c>
      <c r="H282" s="9">
        <v>1995</v>
      </c>
      <c r="I282" s="8">
        <v>58645.347999999998</v>
      </c>
      <c r="J282" s="8">
        <v>51230.387000000002</v>
      </c>
      <c r="K282" s="8">
        <v>44996.027000000002</v>
      </c>
      <c r="L282" s="8">
        <v>38174.033000000003</v>
      </c>
      <c r="M282" s="8">
        <v>31884.409</v>
      </c>
      <c r="N282" s="8">
        <v>26680.652999999998</v>
      </c>
      <c r="O282" s="8">
        <v>22374.23</v>
      </c>
      <c r="P282" s="8">
        <v>18651.663</v>
      </c>
      <c r="Q282" s="8">
        <v>15279.245000000001</v>
      </c>
      <c r="R282" s="8">
        <v>12532.97</v>
      </c>
      <c r="S282" s="8">
        <v>10349.329</v>
      </c>
      <c r="T282" s="8">
        <v>8693.1360000000004</v>
      </c>
      <c r="U282" s="8">
        <v>7200.692</v>
      </c>
      <c r="V282" s="8">
        <v>5491.8490000000002</v>
      </c>
      <c r="W282" s="8">
        <v>3796.3960000000002</v>
      </c>
      <c r="X282" s="8">
        <v>2234.605</v>
      </c>
      <c r="Y282" s="8">
        <v>1037.395</v>
      </c>
      <c r="Z282" s="8">
        <v>342.34800000000001</v>
      </c>
      <c r="AA282" s="8">
        <v>68.866</v>
      </c>
      <c r="AB282" s="8">
        <v>8.3439999999999994</v>
      </c>
      <c r="AC282" s="8">
        <v>0.58299999999999996</v>
      </c>
    </row>
    <row r="283" spans="1:29" ht="11.65" hidden="1" x14ac:dyDescent="0.35">
      <c r="A283" s="12">
        <v>266</v>
      </c>
      <c r="B283" s="10" t="s">
        <v>1015</v>
      </c>
      <c r="C283" s="36" t="s">
        <v>1048</v>
      </c>
      <c r="D283" s="9" t="s">
        <v>1049</v>
      </c>
      <c r="E283" s="9">
        <v>903</v>
      </c>
      <c r="F283" s="10" t="s">
        <v>921</v>
      </c>
      <c r="G283" s="9">
        <v>1840</v>
      </c>
      <c r="H283" s="9">
        <v>2000</v>
      </c>
      <c r="I283" s="8">
        <v>64712.457999999999</v>
      </c>
      <c r="J283" s="8">
        <v>55959.639000000003</v>
      </c>
      <c r="K283" s="8">
        <v>50362.644</v>
      </c>
      <c r="L283" s="8">
        <v>44295.91</v>
      </c>
      <c r="M283" s="8">
        <v>37203.394999999997</v>
      </c>
      <c r="N283" s="8">
        <v>30798.719000000001</v>
      </c>
      <c r="O283" s="8">
        <v>25576.429</v>
      </c>
      <c r="P283" s="8">
        <v>21391.097000000002</v>
      </c>
      <c r="Q283" s="8">
        <v>17758.876</v>
      </c>
      <c r="R283" s="8">
        <v>14501.741</v>
      </c>
      <c r="S283" s="8">
        <v>11803.852999999999</v>
      </c>
      <c r="T283" s="8">
        <v>9623.9889999999996</v>
      </c>
      <c r="U283" s="8">
        <v>7880.7749999999996</v>
      </c>
      <c r="V283" s="8">
        <v>6232.7849999999999</v>
      </c>
      <c r="W283" s="8">
        <v>4347.83</v>
      </c>
      <c r="X283" s="8">
        <v>2633.9259999999999</v>
      </c>
      <c r="Y283" s="8">
        <v>1234.0150000000001</v>
      </c>
      <c r="Z283" s="8">
        <v>404.548</v>
      </c>
      <c r="AA283" s="8">
        <v>86.478999999999999</v>
      </c>
      <c r="AB283" s="8">
        <v>11.218</v>
      </c>
      <c r="AC283" s="8">
        <v>0.85799999999999998</v>
      </c>
    </row>
    <row r="284" spans="1:29" ht="11.65" hidden="1" x14ac:dyDescent="0.35">
      <c r="A284" s="12">
        <v>267</v>
      </c>
      <c r="B284" s="10" t="s">
        <v>1015</v>
      </c>
      <c r="C284" s="36" t="s">
        <v>1048</v>
      </c>
      <c r="D284" s="9" t="s">
        <v>1049</v>
      </c>
      <c r="E284" s="9">
        <v>903</v>
      </c>
      <c r="F284" s="10" t="s">
        <v>921</v>
      </c>
      <c r="G284" s="9">
        <v>1840</v>
      </c>
      <c r="H284" s="9">
        <v>2005</v>
      </c>
      <c r="I284" s="8">
        <v>72356.157000000007</v>
      </c>
      <c r="J284" s="8">
        <v>62147.832000000002</v>
      </c>
      <c r="K284" s="8">
        <v>55086.216999999997</v>
      </c>
      <c r="L284" s="8">
        <v>49459.917000000001</v>
      </c>
      <c r="M284" s="8">
        <v>43098.114000000001</v>
      </c>
      <c r="N284" s="8">
        <v>35933.141000000003</v>
      </c>
      <c r="O284" s="8">
        <v>29575.955999999998</v>
      </c>
      <c r="P284" s="8">
        <v>24424.954000000002</v>
      </c>
      <c r="Q284" s="8">
        <v>20335.5</v>
      </c>
      <c r="R284" s="8">
        <v>16860.482</v>
      </c>
      <c r="S284" s="8">
        <v>13665.79</v>
      </c>
      <c r="T284" s="8">
        <v>10979.565000000001</v>
      </c>
      <c r="U284" s="8">
        <v>8723.9249999999993</v>
      </c>
      <c r="V284" s="8">
        <v>6810.4930000000004</v>
      </c>
      <c r="W284" s="8">
        <v>4957.7640000000001</v>
      </c>
      <c r="X284" s="8">
        <v>3011.33</v>
      </c>
      <c r="Y284" s="8">
        <v>1466.0450000000001</v>
      </c>
      <c r="Z284" s="8">
        <v>491.24200000000002</v>
      </c>
      <c r="AA284" s="8">
        <v>105.74299999999999</v>
      </c>
      <c r="AB284" s="8">
        <v>14.78</v>
      </c>
      <c r="AC284" s="8">
        <v>1.2110000000000001</v>
      </c>
    </row>
    <row r="285" spans="1:29" ht="11.65" hidden="1" x14ac:dyDescent="0.35">
      <c r="A285" s="12">
        <v>268</v>
      </c>
      <c r="B285" s="10" t="s">
        <v>1015</v>
      </c>
      <c r="C285" s="36" t="s">
        <v>1048</v>
      </c>
      <c r="D285" s="9" t="s">
        <v>1049</v>
      </c>
      <c r="E285" s="9">
        <v>903</v>
      </c>
      <c r="F285" s="10" t="s">
        <v>921</v>
      </c>
      <c r="G285" s="9">
        <v>1840</v>
      </c>
      <c r="H285" s="9">
        <v>2010</v>
      </c>
      <c r="I285" s="8">
        <v>81663.803</v>
      </c>
      <c r="J285" s="8">
        <v>70024.502999999997</v>
      </c>
      <c r="K285" s="8">
        <v>61268.775000000001</v>
      </c>
      <c r="L285" s="8">
        <v>54291.881999999998</v>
      </c>
      <c r="M285" s="8">
        <v>48242.411</v>
      </c>
      <c r="N285" s="8">
        <v>41780.031999999999</v>
      </c>
      <c r="O285" s="8">
        <v>34588.173999999999</v>
      </c>
      <c r="P285" s="8">
        <v>28367.559000000001</v>
      </c>
      <c r="Q285" s="8">
        <v>23374.771000000001</v>
      </c>
      <c r="R285" s="8">
        <v>19452.940999999999</v>
      </c>
      <c r="S285" s="8">
        <v>16012.706</v>
      </c>
      <c r="T285" s="8">
        <v>12815.582</v>
      </c>
      <c r="U285" s="8">
        <v>10048.218999999999</v>
      </c>
      <c r="V285" s="8">
        <v>7615.0370000000003</v>
      </c>
      <c r="W285" s="8">
        <v>5493.6369999999997</v>
      </c>
      <c r="X285" s="8">
        <v>3517.6439999999998</v>
      </c>
      <c r="Y285" s="8">
        <v>1739.6010000000001</v>
      </c>
      <c r="Z285" s="8">
        <v>602.24</v>
      </c>
      <c r="AA285" s="8">
        <v>131.654</v>
      </c>
      <c r="AB285" s="8">
        <v>18.568000000000001</v>
      </c>
      <c r="AC285" s="8">
        <v>1.643</v>
      </c>
    </row>
    <row r="286" spans="1:29" ht="11.65" hidden="1" x14ac:dyDescent="0.35">
      <c r="A286" s="12">
        <v>269</v>
      </c>
      <c r="B286" s="10" t="s">
        <v>1015</v>
      </c>
      <c r="C286" s="36" t="s">
        <v>1048</v>
      </c>
      <c r="D286" s="9" t="s">
        <v>1049</v>
      </c>
      <c r="E286" s="9">
        <v>903</v>
      </c>
      <c r="F286" s="10" t="s">
        <v>921</v>
      </c>
      <c r="G286" s="9">
        <v>1840</v>
      </c>
      <c r="H286" s="9">
        <v>2015</v>
      </c>
      <c r="I286" s="8">
        <v>91308.565000000002</v>
      </c>
      <c r="J286" s="8">
        <v>79543.565000000002</v>
      </c>
      <c r="K286" s="8">
        <v>69115.97</v>
      </c>
      <c r="L286" s="8">
        <v>60490.983999999997</v>
      </c>
      <c r="M286" s="8">
        <v>53221.311000000002</v>
      </c>
      <c r="N286" s="8">
        <v>46924.127999999997</v>
      </c>
      <c r="O286" s="8">
        <v>40490.553</v>
      </c>
      <c r="P286" s="8">
        <v>33446.553999999996</v>
      </c>
      <c r="Q286" s="8">
        <v>27393.929</v>
      </c>
      <c r="R286" s="8">
        <v>22533.703000000001</v>
      </c>
      <c r="S286" s="8">
        <v>18630.004000000001</v>
      </c>
      <c r="T286" s="8">
        <v>15153.263000000001</v>
      </c>
      <c r="U286" s="8">
        <v>11843.147999999999</v>
      </c>
      <c r="V286" s="8">
        <v>8869.41</v>
      </c>
      <c r="W286" s="8">
        <v>6222.4359999999997</v>
      </c>
      <c r="X286" s="8">
        <v>3964.0149999999999</v>
      </c>
      <c r="Y286" s="8">
        <v>2072.9029999999998</v>
      </c>
      <c r="Z286" s="8">
        <v>741.22299999999996</v>
      </c>
      <c r="AA286" s="8">
        <v>166.63200000000001</v>
      </c>
      <c r="AB286" s="8">
        <v>23.373000000000001</v>
      </c>
      <c r="AC286" s="8">
        <v>2.1150000000000002</v>
      </c>
    </row>
    <row r="287" spans="1:29" ht="11.65" hidden="1" x14ac:dyDescent="0.35">
      <c r="A287" s="12">
        <v>270</v>
      </c>
      <c r="B287" s="10" t="s">
        <v>1015</v>
      </c>
      <c r="C287" s="36" t="s">
        <v>1048</v>
      </c>
      <c r="D287" s="9" t="s">
        <v>1049</v>
      </c>
      <c r="E287" s="9">
        <v>903</v>
      </c>
      <c r="F287" s="10" t="s">
        <v>921</v>
      </c>
      <c r="G287" s="9">
        <v>1840</v>
      </c>
      <c r="H287" s="9">
        <v>2020</v>
      </c>
      <c r="I287" s="8">
        <v>98412.312999999995</v>
      </c>
      <c r="J287" s="8">
        <v>89449.951000000001</v>
      </c>
      <c r="K287" s="8">
        <v>78707.198000000004</v>
      </c>
      <c r="L287" s="8">
        <v>68414.726999999999</v>
      </c>
      <c r="M287" s="8">
        <v>59581.811999999998</v>
      </c>
      <c r="N287" s="8">
        <v>52193.330999999998</v>
      </c>
      <c r="O287" s="8">
        <v>45887.743000000002</v>
      </c>
      <c r="P287" s="8">
        <v>39483.159</v>
      </c>
      <c r="Q287" s="8">
        <v>32523.592000000001</v>
      </c>
      <c r="R287" s="8">
        <v>26546.822</v>
      </c>
      <c r="S287" s="8">
        <v>21681.188999999998</v>
      </c>
      <c r="T287" s="8">
        <v>17710.687000000002</v>
      </c>
      <c r="U287" s="8">
        <v>14088.837</v>
      </c>
      <c r="V287" s="8">
        <v>10560.42</v>
      </c>
      <c r="W287" s="8">
        <v>7342.54</v>
      </c>
      <c r="X287" s="8">
        <v>4564.4129999999996</v>
      </c>
      <c r="Y287" s="8">
        <v>2396.748</v>
      </c>
      <c r="Z287" s="8">
        <v>924.096</v>
      </c>
      <c r="AA287" s="8">
        <v>216.273</v>
      </c>
      <c r="AB287" s="8">
        <v>31.199000000000002</v>
      </c>
      <c r="AC287" s="8">
        <v>2.7229999999999999</v>
      </c>
    </row>
    <row r="288" spans="1:29" ht="11.65" hidden="1" x14ac:dyDescent="0.35">
      <c r="A288" s="12">
        <v>271</v>
      </c>
      <c r="B288" s="10" t="s">
        <v>1015</v>
      </c>
      <c r="C288" s="36" t="s">
        <v>1050</v>
      </c>
      <c r="D288" s="9" t="s">
        <v>1051</v>
      </c>
      <c r="E288" s="9">
        <v>935</v>
      </c>
      <c r="F288" s="10" t="s">
        <v>921</v>
      </c>
      <c r="G288" s="9">
        <v>1840</v>
      </c>
      <c r="H288" s="9">
        <v>1950</v>
      </c>
      <c r="I288" s="8">
        <v>98180.1709999999</v>
      </c>
      <c r="J288" s="8">
        <v>77406.683000000005</v>
      </c>
      <c r="K288" s="8">
        <v>72841.377999999997</v>
      </c>
      <c r="L288" s="8">
        <v>67429.156000000003</v>
      </c>
      <c r="M288" s="8">
        <v>59398.887999999999</v>
      </c>
      <c r="N288" s="8">
        <v>52400.201999999997</v>
      </c>
      <c r="O288" s="8">
        <v>47448.942999999999</v>
      </c>
      <c r="P288" s="8">
        <v>42784.892999999996</v>
      </c>
      <c r="Q288" s="8">
        <v>37358.870999999999</v>
      </c>
      <c r="R288" s="8">
        <v>31990.216</v>
      </c>
      <c r="S288" s="8">
        <v>26646.467000000001</v>
      </c>
      <c r="T288" s="8">
        <v>22168.758000000002</v>
      </c>
      <c r="U288" s="8">
        <v>18562.241999999998</v>
      </c>
      <c r="V288" s="8">
        <v>13625.194</v>
      </c>
      <c r="W288" s="8">
        <v>9030.57</v>
      </c>
      <c r="X288" s="8">
        <v>5187.0230000000001</v>
      </c>
      <c r="Y288" s="8">
        <v>2224.1759999999999</v>
      </c>
      <c r="Z288" s="8">
        <v>674.98199999999997</v>
      </c>
      <c r="AA288" s="8">
        <v>168.065</v>
      </c>
      <c r="AB288" s="8">
        <v>31.547000000000001</v>
      </c>
      <c r="AC288" s="8">
        <v>2.0950000000000002</v>
      </c>
    </row>
    <row r="289" spans="1:29" ht="11.65" hidden="1" x14ac:dyDescent="0.35">
      <c r="A289" s="12">
        <v>272</v>
      </c>
      <c r="B289" s="10" t="s">
        <v>1015</v>
      </c>
      <c r="C289" s="36" t="s">
        <v>1050</v>
      </c>
      <c r="D289" s="9" t="s">
        <v>1051</v>
      </c>
      <c r="E289" s="9">
        <v>935</v>
      </c>
      <c r="F289" s="10" t="s">
        <v>921</v>
      </c>
      <c r="G289" s="9">
        <v>1840</v>
      </c>
      <c r="H289" s="9">
        <v>1955</v>
      </c>
      <c r="I289" s="8">
        <v>122924.003</v>
      </c>
      <c r="J289" s="8">
        <v>90501.451000000001</v>
      </c>
      <c r="K289" s="8">
        <v>75020.308999999994</v>
      </c>
      <c r="L289" s="8">
        <v>70982.778000000006</v>
      </c>
      <c r="M289" s="8">
        <v>65317.481</v>
      </c>
      <c r="N289" s="8">
        <v>57141.813000000002</v>
      </c>
      <c r="O289" s="8">
        <v>50073.879000000001</v>
      </c>
      <c r="P289" s="8">
        <v>45061.464</v>
      </c>
      <c r="Q289" s="8">
        <v>40238.055999999997</v>
      </c>
      <c r="R289" s="8">
        <v>34701.262000000002</v>
      </c>
      <c r="S289" s="8">
        <v>29402.723000000002</v>
      </c>
      <c r="T289" s="8">
        <v>23933.3</v>
      </c>
      <c r="U289" s="8">
        <v>18815.325000000001</v>
      </c>
      <c r="V289" s="8">
        <v>14436.011</v>
      </c>
      <c r="W289" s="8">
        <v>9557.2690000000002</v>
      </c>
      <c r="X289" s="8">
        <v>5327.6080000000002</v>
      </c>
      <c r="Y289" s="8">
        <v>2383.4969999999998</v>
      </c>
      <c r="Z289" s="8">
        <v>774.33199999999999</v>
      </c>
      <c r="AA289" s="8">
        <v>170.18799999999999</v>
      </c>
      <c r="AB289" s="8">
        <v>30.234000000000002</v>
      </c>
      <c r="AC289" s="8">
        <v>4.2759999999999998</v>
      </c>
    </row>
    <row r="290" spans="1:29" ht="11.65" hidden="1" x14ac:dyDescent="0.35">
      <c r="A290" s="12">
        <v>273</v>
      </c>
      <c r="B290" s="10" t="s">
        <v>1015</v>
      </c>
      <c r="C290" s="36" t="s">
        <v>1050</v>
      </c>
      <c r="D290" s="9" t="s">
        <v>1051</v>
      </c>
      <c r="E290" s="9">
        <v>935</v>
      </c>
      <c r="F290" s="10" t="s">
        <v>921</v>
      </c>
      <c r="G290" s="9">
        <v>1840</v>
      </c>
      <c r="H290" s="9">
        <v>1960</v>
      </c>
      <c r="I290" s="8">
        <v>129105.791</v>
      </c>
      <c r="J290" s="8">
        <v>114423.31299999999</v>
      </c>
      <c r="K290" s="8">
        <v>88107.587</v>
      </c>
      <c r="L290" s="8">
        <v>73299.145000000004</v>
      </c>
      <c r="M290" s="8">
        <v>69090.328999999998</v>
      </c>
      <c r="N290" s="8">
        <v>63295.813000000002</v>
      </c>
      <c r="O290" s="8">
        <v>54980.362000000001</v>
      </c>
      <c r="P290" s="8">
        <v>47860.982000000004</v>
      </c>
      <c r="Q290" s="8">
        <v>42684.22</v>
      </c>
      <c r="R290" s="8">
        <v>37788.58</v>
      </c>
      <c r="S290" s="8">
        <v>32121.528999999999</v>
      </c>
      <c r="T290" s="8">
        <v>26530.292000000001</v>
      </c>
      <c r="U290" s="8">
        <v>20482.569</v>
      </c>
      <c r="V290" s="8">
        <v>14812.983</v>
      </c>
      <c r="W290" s="8">
        <v>10197.244000000001</v>
      </c>
      <c r="X290" s="8">
        <v>5597.9089999999997</v>
      </c>
      <c r="Y290" s="8">
        <v>2401.79</v>
      </c>
      <c r="Z290" s="8">
        <v>785.77499999999998</v>
      </c>
      <c r="AA290" s="8">
        <v>179.59299999999999</v>
      </c>
      <c r="AB290" s="8">
        <v>29.748000000000001</v>
      </c>
      <c r="AC290" s="8">
        <v>4.407</v>
      </c>
    </row>
    <row r="291" spans="1:29" ht="11.65" hidden="1" x14ac:dyDescent="0.35">
      <c r="A291" s="12">
        <v>274</v>
      </c>
      <c r="B291" s="10" t="s">
        <v>1015</v>
      </c>
      <c r="C291" s="36" t="s">
        <v>1050</v>
      </c>
      <c r="D291" s="9" t="s">
        <v>1051</v>
      </c>
      <c r="E291" s="9">
        <v>935</v>
      </c>
      <c r="F291" s="10" t="s">
        <v>921</v>
      </c>
      <c r="G291" s="9">
        <v>1840</v>
      </c>
      <c r="H291" s="9">
        <v>1965</v>
      </c>
      <c r="I291" s="8">
        <v>145887.334</v>
      </c>
      <c r="J291" s="8">
        <v>120677.098</v>
      </c>
      <c r="K291" s="8">
        <v>111494.442</v>
      </c>
      <c r="L291" s="8">
        <v>86318.062000000107</v>
      </c>
      <c r="M291" s="8">
        <v>71486.447</v>
      </c>
      <c r="N291" s="8">
        <v>67128.903000000006</v>
      </c>
      <c r="O291" s="8">
        <v>61116.402000000002</v>
      </c>
      <c r="P291" s="8">
        <v>52743.006999999998</v>
      </c>
      <c r="Q291" s="8">
        <v>45555.434999999998</v>
      </c>
      <c r="R291" s="8">
        <v>40240.173999999999</v>
      </c>
      <c r="S291" s="8">
        <v>35190.67</v>
      </c>
      <c r="T291" s="8">
        <v>29165.785</v>
      </c>
      <c r="U291" s="8">
        <v>22920.983</v>
      </c>
      <c r="V291" s="8">
        <v>16365.844999999999</v>
      </c>
      <c r="W291" s="8">
        <v>10635.505999999999</v>
      </c>
      <c r="X291" s="8">
        <v>6303.4610000000002</v>
      </c>
      <c r="Y291" s="8">
        <v>2735.1309999999999</v>
      </c>
      <c r="Z291" s="8">
        <v>901.12599999999998</v>
      </c>
      <c r="AA291" s="8">
        <v>212.77699999999999</v>
      </c>
      <c r="AB291" s="8">
        <v>33.99</v>
      </c>
      <c r="AC291" s="8">
        <v>4.617</v>
      </c>
    </row>
    <row r="292" spans="1:29" ht="11.65" hidden="1" x14ac:dyDescent="0.35">
      <c r="A292" s="12">
        <v>275</v>
      </c>
      <c r="B292" s="10" t="s">
        <v>1015</v>
      </c>
      <c r="C292" s="36" t="s">
        <v>1050</v>
      </c>
      <c r="D292" s="9" t="s">
        <v>1051</v>
      </c>
      <c r="E292" s="9">
        <v>935</v>
      </c>
      <c r="F292" s="10" t="s">
        <v>921</v>
      </c>
      <c r="G292" s="9">
        <v>1840</v>
      </c>
      <c r="H292" s="9">
        <v>1970</v>
      </c>
      <c r="I292" s="8">
        <v>165770.277</v>
      </c>
      <c r="J292" s="8">
        <v>138969.95699999999</v>
      </c>
      <c r="K292" s="8">
        <v>118795.06200000001</v>
      </c>
      <c r="L292" s="8">
        <v>110009.046</v>
      </c>
      <c r="M292" s="8">
        <v>84820.944000000003</v>
      </c>
      <c r="N292" s="8">
        <v>70016.42</v>
      </c>
      <c r="O292" s="8">
        <v>65531.9</v>
      </c>
      <c r="P292" s="8">
        <v>59359.567999999999</v>
      </c>
      <c r="Q292" s="8">
        <v>50930.131999999998</v>
      </c>
      <c r="R292" s="8">
        <v>43590.451000000001</v>
      </c>
      <c r="S292" s="8">
        <v>37978.934000000001</v>
      </c>
      <c r="T292" s="8">
        <v>32596.396000000001</v>
      </c>
      <c r="U292" s="8">
        <v>26061.603999999999</v>
      </c>
      <c r="V292" s="8">
        <v>19355.060000000001</v>
      </c>
      <c r="W292" s="8">
        <v>12729.495999999999</v>
      </c>
      <c r="X292" s="8">
        <v>7214.4</v>
      </c>
      <c r="Y292" s="8">
        <v>3457.5329999999999</v>
      </c>
      <c r="Z292" s="8">
        <v>1128.201</v>
      </c>
      <c r="AA292" s="8">
        <v>261.03500000000003</v>
      </c>
      <c r="AB292" s="8">
        <v>43.343000000000004</v>
      </c>
      <c r="AC292" s="8">
        <v>5.5030000000000001</v>
      </c>
    </row>
    <row r="293" spans="1:29" ht="11.65" hidden="1" x14ac:dyDescent="0.35">
      <c r="A293" s="12">
        <v>276</v>
      </c>
      <c r="B293" s="10" t="s">
        <v>1015</v>
      </c>
      <c r="C293" s="36" t="s">
        <v>1050</v>
      </c>
      <c r="D293" s="9" t="s">
        <v>1051</v>
      </c>
      <c r="E293" s="9">
        <v>935</v>
      </c>
      <c r="F293" s="10" t="s">
        <v>921</v>
      </c>
      <c r="G293" s="9">
        <v>1840</v>
      </c>
      <c r="H293" s="9">
        <v>1975</v>
      </c>
      <c r="I293" s="8">
        <v>170471.39</v>
      </c>
      <c r="J293" s="8">
        <v>159233.209</v>
      </c>
      <c r="K293" s="8">
        <v>136999.921</v>
      </c>
      <c r="L293" s="8">
        <v>117136.41899999999</v>
      </c>
      <c r="M293" s="8">
        <v>108230.849</v>
      </c>
      <c r="N293" s="8">
        <v>83507.536999999997</v>
      </c>
      <c r="O293" s="8">
        <v>68810.718999999997</v>
      </c>
      <c r="P293" s="8">
        <v>64149.273999999998</v>
      </c>
      <c r="Q293" s="8">
        <v>57827.167000000001</v>
      </c>
      <c r="R293" s="8">
        <v>49289.093000000001</v>
      </c>
      <c r="S293" s="8">
        <v>41756.898000000001</v>
      </c>
      <c r="T293" s="8">
        <v>35641.747000000003</v>
      </c>
      <c r="U293" s="8">
        <v>29578.823</v>
      </c>
      <c r="V293" s="8">
        <v>22408.242999999999</v>
      </c>
      <c r="W293" s="8">
        <v>15359.103999999999</v>
      </c>
      <c r="X293" s="8">
        <v>8808.41</v>
      </c>
      <c r="Y293" s="8">
        <v>4064.4580000000001</v>
      </c>
      <c r="Z293" s="8">
        <v>1460.508</v>
      </c>
      <c r="AA293" s="8">
        <v>325.54599999999999</v>
      </c>
      <c r="AB293" s="8">
        <v>52.475000000000001</v>
      </c>
      <c r="AC293" s="8">
        <v>7.0330000000000004</v>
      </c>
    </row>
    <row r="294" spans="1:29" ht="11.65" hidden="1" x14ac:dyDescent="0.35">
      <c r="A294" s="12">
        <v>277</v>
      </c>
      <c r="B294" s="10" t="s">
        <v>1015</v>
      </c>
      <c r="C294" s="36" t="s">
        <v>1050</v>
      </c>
      <c r="D294" s="9" t="s">
        <v>1051</v>
      </c>
      <c r="E294" s="9">
        <v>935</v>
      </c>
      <c r="F294" s="10" t="s">
        <v>921</v>
      </c>
      <c r="G294" s="9">
        <v>1840</v>
      </c>
      <c r="H294" s="9">
        <v>1980</v>
      </c>
      <c r="I294" s="8">
        <v>165151.342</v>
      </c>
      <c r="J294" s="8">
        <v>164933.579</v>
      </c>
      <c r="K294" s="8">
        <v>157478.35800000001</v>
      </c>
      <c r="L294" s="8">
        <v>135715.43900000001</v>
      </c>
      <c r="M294" s="8">
        <v>115681.96799999999</v>
      </c>
      <c r="N294" s="8">
        <v>106592.482</v>
      </c>
      <c r="O294" s="8">
        <v>82087.157000000007</v>
      </c>
      <c r="P294" s="8">
        <v>67488.33</v>
      </c>
      <c r="Q294" s="8">
        <v>62724.625</v>
      </c>
      <c r="R294" s="8">
        <v>56187.421000000002</v>
      </c>
      <c r="S294" s="8">
        <v>47426.756999999998</v>
      </c>
      <c r="T294" s="8">
        <v>39535.006999999998</v>
      </c>
      <c r="U294" s="8">
        <v>32783.283000000003</v>
      </c>
      <c r="V294" s="8">
        <v>25915.282999999999</v>
      </c>
      <c r="W294" s="8">
        <v>18131.278999999999</v>
      </c>
      <c r="X294" s="8">
        <v>10940.605</v>
      </c>
      <c r="Y294" s="8">
        <v>5161.75</v>
      </c>
      <c r="Z294" s="8">
        <v>1785.972</v>
      </c>
      <c r="AA294" s="8">
        <v>448.54199999999997</v>
      </c>
      <c r="AB294" s="8">
        <v>69.087999999999994</v>
      </c>
      <c r="AC294" s="8">
        <v>9.0960000000000001</v>
      </c>
    </row>
    <row r="295" spans="1:29" ht="11.65" hidden="1" x14ac:dyDescent="0.35">
      <c r="A295" s="12">
        <v>278</v>
      </c>
      <c r="B295" s="10" t="s">
        <v>1015</v>
      </c>
      <c r="C295" s="36" t="s">
        <v>1050</v>
      </c>
      <c r="D295" s="9" t="s">
        <v>1051</v>
      </c>
      <c r="E295" s="9">
        <v>935</v>
      </c>
      <c r="F295" s="10" t="s">
        <v>921</v>
      </c>
      <c r="G295" s="9">
        <v>1840</v>
      </c>
      <c r="H295" s="9">
        <v>1985</v>
      </c>
      <c r="I295" s="8">
        <v>177267.34700000001</v>
      </c>
      <c r="J295" s="8">
        <v>160554.258</v>
      </c>
      <c r="K295" s="8">
        <v>163348.872</v>
      </c>
      <c r="L295" s="8">
        <v>156238.75899999999</v>
      </c>
      <c r="M295" s="8">
        <v>134322.71599999999</v>
      </c>
      <c r="N295" s="8">
        <v>114354.17600000001</v>
      </c>
      <c r="O295" s="8">
        <v>105322.77800000001</v>
      </c>
      <c r="P295" s="8">
        <v>81017.991999999998</v>
      </c>
      <c r="Q295" s="8">
        <v>66285.857999999993</v>
      </c>
      <c r="R295" s="8">
        <v>61199.112000000001</v>
      </c>
      <c r="S295" s="8">
        <v>54308.85</v>
      </c>
      <c r="T295" s="8">
        <v>45081.957999999999</v>
      </c>
      <c r="U295" s="8">
        <v>36539.06</v>
      </c>
      <c r="V295" s="8">
        <v>28955.967000000001</v>
      </c>
      <c r="W295" s="8">
        <v>21319.911</v>
      </c>
      <c r="X295" s="8">
        <v>13167.213</v>
      </c>
      <c r="Y295" s="8">
        <v>6607.2950000000001</v>
      </c>
      <c r="Z295" s="8">
        <v>2365.6460000000002</v>
      </c>
      <c r="AA295" s="8">
        <v>568.31899999999996</v>
      </c>
      <c r="AB295" s="8">
        <v>98.840999999999994</v>
      </c>
      <c r="AC295" s="8">
        <v>11.612</v>
      </c>
    </row>
    <row r="296" spans="1:29" ht="11.65" hidden="1" x14ac:dyDescent="0.35">
      <c r="A296" s="12">
        <v>279</v>
      </c>
      <c r="B296" s="10" t="s">
        <v>1015</v>
      </c>
      <c r="C296" s="36" t="s">
        <v>1050</v>
      </c>
      <c r="D296" s="9" t="s">
        <v>1051</v>
      </c>
      <c r="E296" s="9">
        <v>935</v>
      </c>
      <c r="F296" s="10" t="s">
        <v>921</v>
      </c>
      <c r="G296" s="9">
        <v>1840</v>
      </c>
      <c r="H296" s="9">
        <v>1990</v>
      </c>
      <c r="I296" s="8">
        <v>196039.96400000001</v>
      </c>
      <c r="J296" s="8">
        <v>172935.272</v>
      </c>
      <c r="K296" s="8">
        <v>159327.046</v>
      </c>
      <c r="L296" s="8">
        <v>162072.89600000001</v>
      </c>
      <c r="M296" s="8">
        <v>154544.492</v>
      </c>
      <c r="N296" s="8">
        <v>132735.24799999999</v>
      </c>
      <c r="O296" s="8">
        <v>113067.019</v>
      </c>
      <c r="P296" s="8">
        <v>103984.405</v>
      </c>
      <c r="Q296" s="8">
        <v>79698.085999999996</v>
      </c>
      <c r="R296" s="8">
        <v>64879.652999999998</v>
      </c>
      <c r="S296" s="8">
        <v>59311.167000000001</v>
      </c>
      <c r="T296" s="8">
        <v>51902.998</v>
      </c>
      <c r="U296" s="8">
        <v>41964.1</v>
      </c>
      <c r="V296" s="8">
        <v>32543.044000000002</v>
      </c>
      <c r="W296" s="8">
        <v>24043.623</v>
      </c>
      <c r="X296" s="8">
        <v>15791.742</v>
      </c>
      <c r="Y296" s="8">
        <v>8175.4340000000002</v>
      </c>
      <c r="Z296" s="8">
        <v>3159.8409999999999</v>
      </c>
      <c r="AA296" s="8">
        <v>805.43</v>
      </c>
      <c r="AB296" s="8">
        <v>132.761</v>
      </c>
      <c r="AC296" s="8">
        <v>17.103000000000002</v>
      </c>
    </row>
    <row r="297" spans="1:29" ht="11.65" hidden="1" x14ac:dyDescent="0.35">
      <c r="A297" s="12">
        <v>280</v>
      </c>
      <c r="B297" s="10" t="s">
        <v>1015</v>
      </c>
      <c r="C297" s="36" t="s">
        <v>1050</v>
      </c>
      <c r="D297" s="9" t="s">
        <v>1051</v>
      </c>
      <c r="E297" s="9">
        <v>935</v>
      </c>
      <c r="F297" s="10" t="s">
        <v>921</v>
      </c>
      <c r="G297" s="9">
        <v>1840</v>
      </c>
      <c r="H297" s="9">
        <v>1995</v>
      </c>
      <c r="I297" s="8">
        <v>181322.78599999999</v>
      </c>
      <c r="J297" s="8">
        <v>192429.15400000001</v>
      </c>
      <c r="K297" s="8">
        <v>171804.103</v>
      </c>
      <c r="L297" s="8">
        <v>158095.277</v>
      </c>
      <c r="M297" s="8">
        <v>160188.15</v>
      </c>
      <c r="N297" s="8">
        <v>152690.39000000001</v>
      </c>
      <c r="O297" s="8">
        <v>131156.38699999999</v>
      </c>
      <c r="P297" s="8">
        <v>111604.12</v>
      </c>
      <c r="Q297" s="8">
        <v>102465.382</v>
      </c>
      <c r="R297" s="8">
        <v>78133.301999999996</v>
      </c>
      <c r="S297" s="8">
        <v>63058.41</v>
      </c>
      <c r="T297" s="8">
        <v>56787.324999999997</v>
      </c>
      <c r="U297" s="8">
        <v>48556.512000000002</v>
      </c>
      <c r="V297" s="8">
        <v>37685.065999999999</v>
      </c>
      <c r="W297" s="8">
        <v>27339.508999999998</v>
      </c>
      <c r="X297" s="8">
        <v>18227.16</v>
      </c>
      <c r="Y297" s="8">
        <v>10180.927</v>
      </c>
      <c r="Z297" s="8">
        <v>4065.337</v>
      </c>
      <c r="AA297" s="8">
        <v>1125.5229999999999</v>
      </c>
      <c r="AB297" s="8">
        <v>198.75899999999999</v>
      </c>
      <c r="AC297" s="8">
        <v>24.001000000000001</v>
      </c>
    </row>
    <row r="298" spans="1:29" ht="11.65" hidden="1" x14ac:dyDescent="0.35">
      <c r="A298" s="12">
        <v>281</v>
      </c>
      <c r="B298" s="10" t="s">
        <v>1015</v>
      </c>
      <c r="C298" s="36" t="s">
        <v>1050</v>
      </c>
      <c r="D298" s="9" t="s">
        <v>1051</v>
      </c>
      <c r="E298" s="9">
        <v>935</v>
      </c>
      <c r="F298" s="10" t="s">
        <v>921</v>
      </c>
      <c r="G298" s="9">
        <v>1840</v>
      </c>
      <c r="H298" s="9">
        <v>2000</v>
      </c>
      <c r="I298" s="8">
        <v>175324.356</v>
      </c>
      <c r="J298" s="8">
        <v>178334.88800000001</v>
      </c>
      <c r="K298" s="8">
        <v>191163.223</v>
      </c>
      <c r="L298" s="8">
        <v>170387.514</v>
      </c>
      <c r="M298" s="8">
        <v>156160.55100000001</v>
      </c>
      <c r="N298" s="8">
        <v>158659.266</v>
      </c>
      <c r="O298" s="8">
        <v>151477.45300000001</v>
      </c>
      <c r="P298" s="8">
        <v>130054.076</v>
      </c>
      <c r="Q298" s="8">
        <v>110268.09699999999</v>
      </c>
      <c r="R298" s="8">
        <v>100732.076</v>
      </c>
      <c r="S298" s="8">
        <v>76143.736999999994</v>
      </c>
      <c r="T298" s="8">
        <v>60530.945</v>
      </c>
      <c r="U298" s="8">
        <v>53345.082999999999</v>
      </c>
      <c r="V298" s="8">
        <v>43953.290999999997</v>
      </c>
      <c r="W298" s="8">
        <v>32099.824000000001</v>
      </c>
      <c r="X298" s="8">
        <v>21130.226999999999</v>
      </c>
      <c r="Y298" s="8">
        <v>12000.986999999999</v>
      </c>
      <c r="Z298" s="8">
        <v>5260.77</v>
      </c>
      <c r="AA298" s="8">
        <v>1537.04</v>
      </c>
      <c r="AB298" s="8">
        <v>299.279</v>
      </c>
      <c r="AC298" s="8">
        <v>37.268000000000001</v>
      </c>
    </row>
    <row r="299" spans="1:29" ht="11.65" hidden="1" x14ac:dyDescent="0.35">
      <c r="A299" s="12">
        <v>282</v>
      </c>
      <c r="B299" s="10" t="s">
        <v>1015</v>
      </c>
      <c r="C299" s="36" t="s">
        <v>1050</v>
      </c>
      <c r="D299" s="9" t="s">
        <v>1051</v>
      </c>
      <c r="E299" s="9">
        <v>935</v>
      </c>
      <c r="F299" s="10" t="s">
        <v>921</v>
      </c>
      <c r="G299" s="9">
        <v>1840</v>
      </c>
      <c r="H299" s="9">
        <v>2005</v>
      </c>
      <c r="I299" s="8">
        <v>173315.22</v>
      </c>
      <c r="J299" s="8">
        <v>173718.35500000001</v>
      </c>
      <c r="K299" s="8">
        <v>177836.764</v>
      </c>
      <c r="L299" s="8">
        <v>189871.54800000001</v>
      </c>
      <c r="M299" s="8">
        <v>168162.95699999999</v>
      </c>
      <c r="N299" s="8">
        <v>154574.09099999999</v>
      </c>
      <c r="O299" s="8">
        <v>156954.50899999999</v>
      </c>
      <c r="P299" s="8">
        <v>149736.91399999999</v>
      </c>
      <c r="Q299" s="8">
        <v>128110.49800000001</v>
      </c>
      <c r="R299" s="8">
        <v>107879.993</v>
      </c>
      <c r="S299" s="8">
        <v>98252.475999999995</v>
      </c>
      <c r="T299" s="8">
        <v>73590.361000000004</v>
      </c>
      <c r="U299" s="8">
        <v>57062.269</v>
      </c>
      <c r="V299" s="8">
        <v>48195.031000000003</v>
      </c>
      <c r="W299" s="8">
        <v>37525.237999999998</v>
      </c>
      <c r="X299" s="8">
        <v>24867.644</v>
      </c>
      <c r="Y299" s="8">
        <v>14140.339</v>
      </c>
      <c r="Z299" s="8">
        <v>6372.1980000000003</v>
      </c>
      <c r="AA299" s="8">
        <v>2103.3710000000001</v>
      </c>
      <c r="AB299" s="8">
        <v>434.03</v>
      </c>
      <c r="AC299" s="8">
        <v>58.933</v>
      </c>
    </row>
    <row r="300" spans="1:29" ht="11.65" hidden="1" x14ac:dyDescent="0.35">
      <c r="A300" s="12">
        <v>283</v>
      </c>
      <c r="B300" s="10" t="s">
        <v>1015</v>
      </c>
      <c r="C300" s="36" t="s">
        <v>1050</v>
      </c>
      <c r="D300" s="9" t="s">
        <v>1051</v>
      </c>
      <c r="E300" s="9">
        <v>935</v>
      </c>
      <c r="F300" s="10" t="s">
        <v>921</v>
      </c>
      <c r="G300" s="9">
        <v>1840</v>
      </c>
      <c r="H300" s="9">
        <v>2010</v>
      </c>
      <c r="I300" s="8">
        <v>175219.677</v>
      </c>
      <c r="J300" s="8">
        <v>171709.79699999999</v>
      </c>
      <c r="K300" s="8">
        <v>172859.06299999999</v>
      </c>
      <c r="L300" s="8">
        <v>176001.96299999999</v>
      </c>
      <c r="M300" s="8">
        <v>187047.413</v>
      </c>
      <c r="N300" s="8">
        <v>166994.353</v>
      </c>
      <c r="O300" s="8">
        <v>153050.16899999999</v>
      </c>
      <c r="P300" s="8">
        <v>155661.014</v>
      </c>
      <c r="Q300" s="8">
        <v>148313.321</v>
      </c>
      <c r="R300" s="8">
        <v>126227.041</v>
      </c>
      <c r="S300" s="8">
        <v>105630.27</v>
      </c>
      <c r="T300" s="8">
        <v>94638.186000000002</v>
      </c>
      <c r="U300" s="8">
        <v>69561.115999999995</v>
      </c>
      <c r="V300" s="8">
        <v>51909.936000000002</v>
      </c>
      <c r="W300" s="8">
        <v>41573.46</v>
      </c>
      <c r="X300" s="8">
        <v>29479.994999999999</v>
      </c>
      <c r="Y300" s="8">
        <v>17141.957999999999</v>
      </c>
      <c r="Z300" s="8">
        <v>7869.36</v>
      </c>
      <c r="AA300" s="8">
        <v>2669.4479999999999</v>
      </c>
      <c r="AB300" s="8">
        <v>632.65700000000004</v>
      </c>
      <c r="AC300" s="8">
        <v>91.19</v>
      </c>
    </row>
    <row r="301" spans="1:29" ht="11.65" hidden="1" x14ac:dyDescent="0.35">
      <c r="A301" s="12">
        <v>284</v>
      </c>
      <c r="B301" s="10" t="s">
        <v>1015</v>
      </c>
      <c r="C301" s="36" t="s">
        <v>1050</v>
      </c>
      <c r="D301" s="9" t="s">
        <v>1051</v>
      </c>
      <c r="E301" s="9">
        <v>935</v>
      </c>
      <c r="F301" s="10" t="s">
        <v>921</v>
      </c>
      <c r="G301" s="9">
        <v>1840</v>
      </c>
      <c r="H301" s="9">
        <v>2015</v>
      </c>
      <c r="I301" s="8">
        <v>175509.84700000001</v>
      </c>
      <c r="J301" s="8">
        <v>173752.63399999999</v>
      </c>
      <c r="K301" s="8">
        <v>170747.31400000001</v>
      </c>
      <c r="L301" s="8">
        <v>171737.54199999999</v>
      </c>
      <c r="M301" s="8">
        <v>174457.747</v>
      </c>
      <c r="N301" s="8">
        <v>185871.70499999999</v>
      </c>
      <c r="O301" s="8">
        <v>165830.234</v>
      </c>
      <c r="P301" s="8">
        <v>151877.29699999999</v>
      </c>
      <c r="Q301" s="8">
        <v>154239.65400000001</v>
      </c>
      <c r="R301" s="8">
        <v>146418.33100000001</v>
      </c>
      <c r="S301" s="8">
        <v>123748.73699999999</v>
      </c>
      <c r="T301" s="8">
        <v>102424.098</v>
      </c>
      <c r="U301" s="8">
        <v>90144.551999999996</v>
      </c>
      <c r="V301" s="8">
        <v>64084.911</v>
      </c>
      <c r="W301" s="8">
        <v>45445.733999999997</v>
      </c>
      <c r="X301" s="8">
        <v>33405.470999999998</v>
      </c>
      <c r="Y301" s="8">
        <v>20812.616999999998</v>
      </c>
      <c r="Z301" s="8">
        <v>9966.7240000000002</v>
      </c>
      <c r="AA301" s="8">
        <v>3500.779</v>
      </c>
      <c r="AB301" s="8">
        <v>856.75099999999998</v>
      </c>
      <c r="AC301" s="8">
        <v>140.048</v>
      </c>
    </row>
    <row r="302" spans="1:29" ht="11.65" hidden="1" x14ac:dyDescent="0.35">
      <c r="A302" s="12">
        <v>285</v>
      </c>
      <c r="B302" s="10" t="s">
        <v>1015</v>
      </c>
      <c r="C302" s="36" t="s">
        <v>1050</v>
      </c>
      <c r="D302" s="9" t="s">
        <v>1051</v>
      </c>
      <c r="E302" s="9">
        <v>935</v>
      </c>
      <c r="F302" s="10" t="s">
        <v>921</v>
      </c>
      <c r="G302" s="9">
        <v>1840</v>
      </c>
      <c r="H302" s="9">
        <v>2020</v>
      </c>
      <c r="I302" s="8">
        <v>173545.66899999999</v>
      </c>
      <c r="J302" s="8">
        <v>174296.39600000001</v>
      </c>
      <c r="K302" s="8">
        <v>172935.497</v>
      </c>
      <c r="L302" s="8">
        <v>169485.24799999999</v>
      </c>
      <c r="M302" s="8">
        <v>170129.97500000001</v>
      </c>
      <c r="N302" s="8">
        <v>173301.93900000001</v>
      </c>
      <c r="O302" s="8">
        <v>184753.709</v>
      </c>
      <c r="P302" s="8">
        <v>164401.38399999999</v>
      </c>
      <c r="Q302" s="8">
        <v>150210.44699999999</v>
      </c>
      <c r="R302" s="8">
        <v>152136.31</v>
      </c>
      <c r="S302" s="8">
        <v>143626.03200000001</v>
      </c>
      <c r="T302" s="8">
        <v>120221.65399999999</v>
      </c>
      <c r="U302" s="8">
        <v>97829.308999999994</v>
      </c>
      <c r="V302" s="8">
        <v>83763.134000000005</v>
      </c>
      <c r="W302" s="8">
        <v>56802.544000000002</v>
      </c>
      <c r="X302" s="8">
        <v>37256.743000000002</v>
      </c>
      <c r="Y302" s="8">
        <v>24228.292000000001</v>
      </c>
      <c r="Z302" s="8">
        <v>12567.38</v>
      </c>
      <c r="AA302" s="8">
        <v>4685.0600000000004</v>
      </c>
      <c r="AB302" s="8">
        <v>1208.146</v>
      </c>
      <c r="AC302" s="8">
        <v>207.88300000000001</v>
      </c>
    </row>
    <row r="303" spans="1:29" ht="11.65" hidden="1" x14ac:dyDescent="0.35">
      <c r="A303" s="12">
        <v>286</v>
      </c>
      <c r="B303" s="10" t="s">
        <v>1015</v>
      </c>
      <c r="C303" s="36" t="s">
        <v>1052</v>
      </c>
      <c r="D303" s="9" t="s">
        <v>1053</v>
      </c>
      <c r="E303" s="9">
        <v>908</v>
      </c>
      <c r="F303" s="10" t="s">
        <v>921</v>
      </c>
      <c r="G303" s="9">
        <v>1840</v>
      </c>
      <c r="H303" s="9">
        <v>1950</v>
      </c>
      <c r="I303" s="8">
        <v>25350.001</v>
      </c>
      <c r="J303" s="8">
        <v>20718.462</v>
      </c>
      <c r="K303" s="8">
        <v>25266.472000000002</v>
      </c>
      <c r="L303" s="8">
        <v>23412.577000000001</v>
      </c>
      <c r="M303" s="8">
        <v>25349.839</v>
      </c>
      <c r="N303" s="8">
        <v>23481.022000000001</v>
      </c>
      <c r="O303" s="8">
        <v>17291.446</v>
      </c>
      <c r="P303" s="8">
        <v>22308.706999999999</v>
      </c>
      <c r="Q303" s="8">
        <v>21304.720000000001</v>
      </c>
      <c r="R303" s="8">
        <v>19386.037</v>
      </c>
      <c r="S303" s="8">
        <v>16608.171999999999</v>
      </c>
      <c r="T303" s="8">
        <v>14087.22</v>
      </c>
      <c r="U303" s="8">
        <v>12332.187</v>
      </c>
      <c r="V303" s="8">
        <v>10036.767</v>
      </c>
      <c r="W303" s="8">
        <v>7513.5379999999996</v>
      </c>
      <c r="X303" s="8">
        <v>4816.7830000000004</v>
      </c>
      <c r="Y303" s="8">
        <v>2334.14</v>
      </c>
      <c r="Z303" s="8">
        <v>950.71100000000001</v>
      </c>
      <c r="AA303" s="8">
        <v>259.065</v>
      </c>
      <c r="AB303" s="8">
        <v>50.347000000000001</v>
      </c>
      <c r="AC303" s="8">
        <v>8.516</v>
      </c>
    </row>
    <row r="304" spans="1:29" ht="11.65" hidden="1" x14ac:dyDescent="0.35">
      <c r="A304" s="12">
        <v>287</v>
      </c>
      <c r="B304" s="10" t="s">
        <v>1015</v>
      </c>
      <c r="C304" s="36" t="s">
        <v>1052</v>
      </c>
      <c r="D304" s="9" t="s">
        <v>1053</v>
      </c>
      <c r="E304" s="9">
        <v>908</v>
      </c>
      <c r="F304" s="10" t="s">
        <v>921</v>
      </c>
      <c r="G304" s="9">
        <v>1840</v>
      </c>
      <c r="H304" s="9">
        <v>1955</v>
      </c>
      <c r="I304" s="8">
        <v>27175.334999999999</v>
      </c>
      <c r="J304" s="8">
        <v>24893.311000000002</v>
      </c>
      <c r="K304" s="8">
        <v>20644.370999999999</v>
      </c>
      <c r="L304" s="8">
        <v>25187.421999999999</v>
      </c>
      <c r="M304" s="8">
        <v>23079.452000000001</v>
      </c>
      <c r="N304" s="8">
        <v>24878.023000000001</v>
      </c>
      <c r="O304" s="8">
        <v>23086.656999999999</v>
      </c>
      <c r="P304" s="8">
        <v>16954.971000000001</v>
      </c>
      <c r="Q304" s="8">
        <v>21914.897000000001</v>
      </c>
      <c r="R304" s="8">
        <v>20822.707999999999</v>
      </c>
      <c r="S304" s="8">
        <v>18818.474999999999</v>
      </c>
      <c r="T304" s="8">
        <v>15902.088</v>
      </c>
      <c r="U304" s="8">
        <v>13200.647000000001</v>
      </c>
      <c r="V304" s="8">
        <v>11088.971</v>
      </c>
      <c r="W304" s="8">
        <v>8372.2219999999998</v>
      </c>
      <c r="X304" s="8">
        <v>5492.5940000000001</v>
      </c>
      <c r="Y304" s="8">
        <v>2928.89</v>
      </c>
      <c r="Z304" s="8">
        <v>1018.341</v>
      </c>
      <c r="AA304" s="8">
        <v>273.98700000000002</v>
      </c>
      <c r="AB304" s="8">
        <v>45.524999999999999</v>
      </c>
      <c r="AC304" s="8">
        <v>5.81</v>
      </c>
    </row>
    <row r="305" spans="1:29" ht="11.65" hidden="1" x14ac:dyDescent="0.35">
      <c r="A305" s="12">
        <v>288</v>
      </c>
      <c r="B305" s="10" t="s">
        <v>1015</v>
      </c>
      <c r="C305" s="36" t="s">
        <v>1052</v>
      </c>
      <c r="D305" s="9" t="s">
        <v>1053</v>
      </c>
      <c r="E305" s="9">
        <v>908</v>
      </c>
      <c r="F305" s="10" t="s">
        <v>921</v>
      </c>
      <c r="G305" s="9">
        <v>1840</v>
      </c>
      <c r="H305" s="9">
        <v>1960</v>
      </c>
      <c r="I305" s="8">
        <v>27926.097000000002</v>
      </c>
      <c r="J305" s="8">
        <v>26985.42</v>
      </c>
      <c r="K305" s="8">
        <v>24996.57</v>
      </c>
      <c r="L305" s="8">
        <v>20565.772000000001</v>
      </c>
      <c r="M305" s="8">
        <v>24859.071</v>
      </c>
      <c r="N305" s="8">
        <v>22631.643</v>
      </c>
      <c r="O305" s="8">
        <v>24549.05</v>
      </c>
      <c r="P305" s="8">
        <v>22758.982</v>
      </c>
      <c r="Q305" s="8">
        <v>16538.172999999999</v>
      </c>
      <c r="R305" s="8">
        <v>21447.537</v>
      </c>
      <c r="S305" s="8">
        <v>20236.935000000001</v>
      </c>
      <c r="T305" s="8">
        <v>18109.791000000001</v>
      </c>
      <c r="U305" s="8">
        <v>15059.477000000001</v>
      </c>
      <c r="V305" s="8">
        <v>12046.791999999999</v>
      </c>
      <c r="W305" s="8">
        <v>9387.9789999999994</v>
      </c>
      <c r="X305" s="8">
        <v>6203.4279999999999</v>
      </c>
      <c r="Y305" s="8">
        <v>3338.9059999999999</v>
      </c>
      <c r="Z305" s="8">
        <v>1329.5709999999999</v>
      </c>
      <c r="AA305" s="8">
        <v>305.78199999999998</v>
      </c>
      <c r="AB305" s="8">
        <v>49.036000000000001</v>
      </c>
      <c r="AC305" s="8">
        <v>4.8979999999999997</v>
      </c>
    </row>
    <row r="306" spans="1:29" ht="11.65" hidden="1" x14ac:dyDescent="0.35">
      <c r="A306" s="12">
        <v>289</v>
      </c>
      <c r="B306" s="10" t="s">
        <v>1015</v>
      </c>
      <c r="C306" s="36" t="s">
        <v>1052</v>
      </c>
      <c r="D306" s="9" t="s">
        <v>1053</v>
      </c>
      <c r="E306" s="9">
        <v>908</v>
      </c>
      <c r="F306" s="10" t="s">
        <v>921</v>
      </c>
      <c r="G306" s="9">
        <v>1840</v>
      </c>
      <c r="H306" s="9">
        <v>1965</v>
      </c>
      <c r="I306" s="8">
        <v>27493.56</v>
      </c>
      <c r="J306" s="8">
        <v>27909.613000000001</v>
      </c>
      <c r="K306" s="8">
        <v>26896.14</v>
      </c>
      <c r="L306" s="8">
        <v>24881.413</v>
      </c>
      <c r="M306" s="8">
        <v>20425.473000000002</v>
      </c>
      <c r="N306" s="8">
        <v>24624.258000000002</v>
      </c>
      <c r="O306" s="8">
        <v>22346.566999999999</v>
      </c>
      <c r="P306" s="8">
        <v>24299.167000000001</v>
      </c>
      <c r="Q306" s="8">
        <v>22491.52</v>
      </c>
      <c r="R306" s="8">
        <v>16255.218999999999</v>
      </c>
      <c r="S306" s="8">
        <v>21092.203000000001</v>
      </c>
      <c r="T306" s="8">
        <v>19719.596000000001</v>
      </c>
      <c r="U306" s="8">
        <v>17256.906999999999</v>
      </c>
      <c r="V306" s="8">
        <v>13814.418</v>
      </c>
      <c r="W306" s="8">
        <v>10310.16</v>
      </c>
      <c r="X306" s="8">
        <v>7211.5290000000005</v>
      </c>
      <c r="Y306" s="8">
        <v>4015.5349999999999</v>
      </c>
      <c r="Z306" s="8">
        <v>1556.742</v>
      </c>
      <c r="AA306" s="8">
        <v>412.017</v>
      </c>
      <c r="AB306" s="8">
        <v>56.408000000000001</v>
      </c>
      <c r="AC306" s="8">
        <v>5.2240000000000002</v>
      </c>
    </row>
    <row r="307" spans="1:29" ht="11.65" hidden="1" x14ac:dyDescent="0.35">
      <c r="A307" s="12">
        <v>290</v>
      </c>
      <c r="B307" s="10" t="s">
        <v>1015</v>
      </c>
      <c r="C307" s="36" t="s">
        <v>1052</v>
      </c>
      <c r="D307" s="9" t="s">
        <v>1053</v>
      </c>
      <c r="E307" s="9">
        <v>908</v>
      </c>
      <c r="F307" s="10" t="s">
        <v>921</v>
      </c>
      <c r="G307" s="9">
        <v>1840</v>
      </c>
      <c r="H307" s="9">
        <v>1970</v>
      </c>
      <c r="I307" s="8">
        <v>25886.257000000001</v>
      </c>
      <c r="J307" s="8">
        <v>27486.905999999999</v>
      </c>
      <c r="K307" s="8">
        <v>27836.167000000001</v>
      </c>
      <c r="L307" s="8">
        <v>26738.962</v>
      </c>
      <c r="M307" s="8">
        <v>24684.191999999999</v>
      </c>
      <c r="N307" s="8">
        <v>20176.759999999998</v>
      </c>
      <c r="O307" s="8">
        <v>24337.998</v>
      </c>
      <c r="P307" s="8">
        <v>21966.395</v>
      </c>
      <c r="Q307" s="8">
        <v>23950.307000000001</v>
      </c>
      <c r="R307" s="8">
        <v>22268.026000000002</v>
      </c>
      <c r="S307" s="8">
        <v>15849.602999999999</v>
      </c>
      <c r="T307" s="8">
        <v>20523.718000000001</v>
      </c>
      <c r="U307" s="8">
        <v>18879.7</v>
      </c>
      <c r="V307" s="8">
        <v>15910.351000000001</v>
      </c>
      <c r="W307" s="8">
        <v>11893.841</v>
      </c>
      <c r="X307" s="8">
        <v>7860.3829999999998</v>
      </c>
      <c r="Y307" s="8">
        <v>4748.6229999999996</v>
      </c>
      <c r="Z307" s="8">
        <v>1933.75</v>
      </c>
      <c r="AA307" s="8">
        <v>501.22</v>
      </c>
      <c r="AB307" s="8">
        <v>79.947999999999993</v>
      </c>
      <c r="AC307" s="8">
        <v>6.2619999999999996</v>
      </c>
    </row>
    <row r="308" spans="1:29" ht="11.65" hidden="1" x14ac:dyDescent="0.35">
      <c r="A308" s="12">
        <v>291</v>
      </c>
      <c r="B308" s="10" t="s">
        <v>1015</v>
      </c>
      <c r="C308" s="36" t="s">
        <v>1052</v>
      </c>
      <c r="D308" s="9" t="s">
        <v>1053</v>
      </c>
      <c r="E308" s="9">
        <v>908</v>
      </c>
      <c r="F308" s="10" t="s">
        <v>921</v>
      </c>
      <c r="G308" s="9">
        <v>1840</v>
      </c>
      <c r="H308" s="9">
        <v>1975</v>
      </c>
      <c r="I308" s="8">
        <v>25124.503000000001</v>
      </c>
      <c r="J308" s="8">
        <v>25852.668000000001</v>
      </c>
      <c r="K308" s="8">
        <v>27420.05</v>
      </c>
      <c r="L308" s="8">
        <v>27729.089</v>
      </c>
      <c r="M308" s="8">
        <v>26725.149000000001</v>
      </c>
      <c r="N308" s="8">
        <v>24649.059000000001</v>
      </c>
      <c r="O308" s="8">
        <v>20154.839</v>
      </c>
      <c r="P308" s="8">
        <v>24263.99</v>
      </c>
      <c r="Q308" s="8">
        <v>21794.920999999998</v>
      </c>
      <c r="R308" s="8">
        <v>23622.337</v>
      </c>
      <c r="S308" s="8">
        <v>21941.923999999999</v>
      </c>
      <c r="T308" s="8">
        <v>15437.049000000001</v>
      </c>
      <c r="U308" s="8">
        <v>19553.235000000001</v>
      </c>
      <c r="V308" s="8">
        <v>17478.964</v>
      </c>
      <c r="W308" s="8">
        <v>13829.624</v>
      </c>
      <c r="X308" s="8">
        <v>9241.4619999999995</v>
      </c>
      <c r="Y308" s="8">
        <v>5227.6049999999996</v>
      </c>
      <c r="Z308" s="8">
        <v>2350.2890000000002</v>
      </c>
      <c r="AA308" s="8">
        <v>645.23299999999995</v>
      </c>
      <c r="AB308" s="8">
        <v>98.838999999999999</v>
      </c>
      <c r="AC308" s="8">
        <v>8.9260000000000002</v>
      </c>
    </row>
    <row r="309" spans="1:29" ht="11.65" hidden="1" x14ac:dyDescent="0.35">
      <c r="A309" s="12">
        <v>292</v>
      </c>
      <c r="B309" s="10" t="s">
        <v>1015</v>
      </c>
      <c r="C309" s="36" t="s">
        <v>1052</v>
      </c>
      <c r="D309" s="9" t="s">
        <v>1053</v>
      </c>
      <c r="E309" s="9">
        <v>908</v>
      </c>
      <c r="F309" s="10" t="s">
        <v>921</v>
      </c>
      <c r="G309" s="9">
        <v>1840</v>
      </c>
      <c r="H309" s="9">
        <v>1980</v>
      </c>
      <c r="I309" s="8">
        <v>24289.361000000001</v>
      </c>
      <c r="J309" s="8">
        <v>24999.78</v>
      </c>
      <c r="K309" s="8">
        <v>25899.510999999999</v>
      </c>
      <c r="L309" s="8">
        <v>27557.047999999999</v>
      </c>
      <c r="M309" s="8">
        <v>27772.73</v>
      </c>
      <c r="N309" s="8">
        <v>26660.022000000001</v>
      </c>
      <c r="O309" s="8">
        <v>24571.08</v>
      </c>
      <c r="P309" s="8">
        <v>20065.832999999999</v>
      </c>
      <c r="Q309" s="8">
        <v>24107.351999999999</v>
      </c>
      <c r="R309" s="8">
        <v>21545.635999999999</v>
      </c>
      <c r="S309" s="8">
        <v>23206.934000000001</v>
      </c>
      <c r="T309" s="8">
        <v>21325.811000000002</v>
      </c>
      <c r="U309" s="8">
        <v>14781.51</v>
      </c>
      <c r="V309" s="8">
        <v>18162.093000000001</v>
      </c>
      <c r="W309" s="8">
        <v>15388.73</v>
      </c>
      <c r="X309" s="8">
        <v>10997.591</v>
      </c>
      <c r="Y309" s="8">
        <v>6198.201</v>
      </c>
      <c r="Z309" s="8">
        <v>2681.9250000000002</v>
      </c>
      <c r="AA309" s="8">
        <v>827.52300000000002</v>
      </c>
      <c r="AB309" s="8">
        <v>139.15</v>
      </c>
      <c r="AC309" s="8">
        <v>12.173999999999999</v>
      </c>
    </row>
    <row r="310" spans="1:29" ht="11.65" hidden="1" x14ac:dyDescent="0.35">
      <c r="A310" s="12">
        <v>293</v>
      </c>
      <c r="B310" s="10" t="s">
        <v>1015</v>
      </c>
      <c r="C310" s="36" t="s">
        <v>1052</v>
      </c>
      <c r="D310" s="9" t="s">
        <v>1053</v>
      </c>
      <c r="E310" s="9">
        <v>908</v>
      </c>
      <c r="F310" s="10" t="s">
        <v>921</v>
      </c>
      <c r="G310" s="9">
        <v>1840</v>
      </c>
      <c r="H310" s="9">
        <v>1985</v>
      </c>
      <c r="I310" s="8">
        <v>24168.534</v>
      </c>
      <c r="J310" s="8">
        <v>24329.588</v>
      </c>
      <c r="K310" s="8">
        <v>25056.393</v>
      </c>
      <c r="L310" s="8">
        <v>25953.166000000001</v>
      </c>
      <c r="M310" s="8">
        <v>27652.026999999998</v>
      </c>
      <c r="N310" s="8">
        <v>27815.618999999999</v>
      </c>
      <c r="O310" s="8">
        <v>26634.772000000001</v>
      </c>
      <c r="P310" s="8">
        <v>24485.879000000001</v>
      </c>
      <c r="Q310" s="8">
        <v>19924.93</v>
      </c>
      <c r="R310" s="8">
        <v>23788.565999999999</v>
      </c>
      <c r="S310" s="8">
        <v>21136.245999999999</v>
      </c>
      <c r="T310" s="8">
        <v>22555.829000000002</v>
      </c>
      <c r="U310" s="8">
        <v>20348.715</v>
      </c>
      <c r="V310" s="8">
        <v>13712.151</v>
      </c>
      <c r="W310" s="8">
        <v>16039.674999999999</v>
      </c>
      <c r="X310" s="8">
        <v>12363.98</v>
      </c>
      <c r="Y310" s="8">
        <v>7494.6670000000004</v>
      </c>
      <c r="Z310" s="8">
        <v>3261.9960000000001</v>
      </c>
      <c r="AA310" s="8">
        <v>980.23400000000004</v>
      </c>
      <c r="AB310" s="8">
        <v>185.971</v>
      </c>
      <c r="AC310" s="8">
        <v>17.864000000000001</v>
      </c>
    </row>
    <row r="311" spans="1:29" ht="11.65" hidden="1" x14ac:dyDescent="0.35">
      <c r="A311" s="12">
        <v>294</v>
      </c>
      <c r="B311" s="10" t="s">
        <v>1015</v>
      </c>
      <c r="C311" s="36" t="s">
        <v>1052</v>
      </c>
      <c r="D311" s="9" t="s">
        <v>1053</v>
      </c>
      <c r="E311" s="9">
        <v>908</v>
      </c>
      <c r="F311" s="10" t="s">
        <v>921</v>
      </c>
      <c r="G311" s="9">
        <v>1840</v>
      </c>
      <c r="H311" s="9">
        <v>1990</v>
      </c>
      <c r="I311" s="8">
        <v>23454.281999999999</v>
      </c>
      <c r="J311" s="8">
        <v>24230.543000000001</v>
      </c>
      <c r="K311" s="8">
        <v>24446.775000000001</v>
      </c>
      <c r="L311" s="8">
        <v>25250.842000000001</v>
      </c>
      <c r="M311" s="8">
        <v>26071.901000000002</v>
      </c>
      <c r="N311" s="8">
        <v>27697.125</v>
      </c>
      <c r="O311" s="8">
        <v>27837.83</v>
      </c>
      <c r="P311" s="8">
        <v>26588.741000000002</v>
      </c>
      <c r="Q311" s="8">
        <v>24333.137999999999</v>
      </c>
      <c r="R311" s="8">
        <v>19671.232</v>
      </c>
      <c r="S311" s="8">
        <v>23330.378000000001</v>
      </c>
      <c r="T311" s="8">
        <v>20572.137999999999</v>
      </c>
      <c r="U311" s="8">
        <v>21625.187999999998</v>
      </c>
      <c r="V311" s="8">
        <v>18999.531999999999</v>
      </c>
      <c r="W311" s="8">
        <v>12192.85</v>
      </c>
      <c r="X311" s="8">
        <v>13133.834000000001</v>
      </c>
      <c r="Y311" s="8">
        <v>8810.2990000000009</v>
      </c>
      <c r="Z311" s="8">
        <v>4107.7299999999996</v>
      </c>
      <c r="AA311" s="8">
        <v>1245.6300000000001</v>
      </c>
      <c r="AB311" s="8">
        <v>229.255</v>
      </c>
      <c r="AC311" s="8">
        <v>24.431999999999999</v>
      </c>
    </row>
    <row r="312" spans="1:29" ht="11.65" hidden="1" x14ac:dyDescent="0.35">
      <c r="A312" s="12">
        <v>295</v>
      </c>
      <c r="B312" s="10" t="s">
        <v>1015</v>
      </c>
      <c r="C312" s="36" t="s">
        <v>1052</v>
      </c>
      <c r="D312" s="9" t="s">
        <v>1053</v>
      </c>
      <c r="E312" s="9">
        <v>908</v>
      </c>
      <c r="F312" s="10" t="s">
        <v>921</v>
      </c>
      <c r="G312" s="9">
        <v>1840</v>
      </c>
      <c r="H312" s="9">
        <v>1995</v>
      </c>
      <c r="I312" s="8">
        <v>20215.473000000002</v>
      </c>
      <c r="J312" s="8">
        <v>23727.855</v>
      </c>
      <c r="K312" s="8">
        <v>24520.44</v>
      </c>
      <c r="L312" s="8">
        <v>24625.254000000001</v>
      </c>
      <c r="M312" s="8">
        <v>25397.760999999999</v>
      </c>
      <c r="N312" s="8">
        <v>26311.348999999998</v>
      </c>
      <c r="O312" s="8">
        <v>27901.882000000001</v>
      </c>
      <c r="P312" s="8">
        <v>27945.491999999998</v>
      </c>
      <c r="Q312" s="8">
        <v>26528.262999999999</v>
      </c>
      <c r="R312" s="8">
        <v>24103.214</v>
      </c>
      <c r="S312" s="8">
        <v>19391.579000000002</v>
      </c>
      <c r="T312" s="8">
        <v>22743.379000000001</v>
      </c>
      <c r="U312" s="8">
        <v>19783.626</v>
      </c>
      <c r="V312" s="8">
        <v>20208.668000000001</v>
      </c>
      <c r="W312" s="8">
        <v>16957.621999999999</v>
      </c>
      <c r="X312" s="8">
        <v>10103.805</v>
      </c>
      <c r="Y312" s="8">
        <v>9484.3520000000008</v>
      </c>
      <c r="Z312" s="8">
        <v>4971.2719999999999</v>
      </c>
      <c r="AA312" s="8">
        <v>1613.742</v>
      </c>
      <c r="AB312" s="8">
        <v>294.68299999999999</v>
      </c>
      <c r="AC312" s="8">
        <v>29.199000000000002</v>
      </c>
    </row>
    <row r="313" spans="1:29" ht="11.65" hidden="1" x14ac:dyDescent="0.35">
      <c r="A313" s="12">
        <v>296</v>
      </c>
      <c r="B313" s="10" t="s">
        <v>1015</v>
      </c>
      <c r="C313" s="36" t="s">
        <v>1052</v>
      </c>
      <c r="D313" s="9" t="s">
        <v>1053</v>
      </c>
      <c r="E313" s="9">
        <v>908</v>
      </c>
      <c r="F313" s="10" t="s">
        <v>921</v>
      </c>
      <c r="G313" s="9">
        <v>1840</v>
      </c>
      <c r="H313" s="9">
        <v>2000</v>
      </c>
      <c r="I313" s="8">
        <v>17918.269</v>
      </c>
      <c r="J313" s="8">
        <v>20303.541000000001</v>
      </c>
      <c r="K313" s="8">
        <v>23935.473000000002</v>
      </c>
      <c r="L313" s="8">
        <v>24696.811000000002</v>
      </c>
      <c r="M313" s="8">
        <v>24783.200000000001</v>
      </c>
      <c r="N313" s="8">
        <v>25549.826000000001</v>
      </c>
      <c r="O313" s="8">
        <v>26419.876</v>
      </c>
      <c r="P313" s="8">
        <v>27908.764999999999</v>
      </c>
      <c r="Q313" s="8">
        <v>27804.297999999999</v>
      </c>
      <c r="R313" s="8">
        <v>26236.526999999998</v>
      </c>
      <c r="S313" s="8">
        <v>23676.128000000001</v>
      </c>
      <c r="T313" s="8">
        <v>18949.669000000002</v>
      </c>
      <c r="U313" s="8">
        <v>21877.821</v>
      </c>
      <c r="V313" s="8">
        <v>18606.647000000001</v>
      </c>
      <c r="W313" s="8">
        <v>18128.830999999998</v>
      </c>
      <c r="X313" s="8">
        <v>14096.371999999999</v>
      </c>
      <c r="Y313" s="8">
        <v>7360.5159999999996</v>
      </c>
      <c r="Z313" s="8">
        <v>5458.768</v>
      </c>
      <c r="AA313" s="8">
        <v>1995.5909999999999</v>
      </c>
      <c r="AB313" s="8">
        <v>387.02800000000002</v>
      </c>
      <c r="AC313" s="8">
        <v>36.918999999999997</v>
      </c>
    </row>
    <row r="314" spans="1:29" ht="11.65" hidden="1" x14ac:dyDescent="0.35">
      <c r="A314" s="12">
        <v>297</v>
      </c>
      <c r="B314" s="10" t="s">
        <v>1015</v>
      </c>
      <c r="C314" s="36" t="s">
        <v>1052</v>
      </c>
      <c r="D314" s="9" t="s">
        <v>1053</v>
      </c>
      <c r="E314" s="9">
        <v>908</v>
      </c>
      <c r="F314" s="10" t="s">
        <v>921</v>
      </c>
      <c r="G314" s="9">
        <v>1840</v>
      </c>
      <c r="H314" s="9">
        <v>2005</v>
      </c>
      <c r="I314" s="8">
        <v>17876.856</v>
      </c>
      <c r="J314" s="8">
        <v>18113.456999999999</v>
      </c>
      <c r="K314" s="8">
        <v>20569.944</v>
      </c>
      <c r="L314" s="8">
        <v>24221.611000000001</v>
      </c>
      <c r="M314" s="8">
        <v>25258.655999999999</v>
      </c>
      <c r="N314" s="8">
        <v>25455.133000000002</v>
      </c>
      <c r="O314" s="8">
        <v>26035.136999999999</v>
      </c>
      <c r="P314" s="8">
        <v>26752.342000000001</v>
      </c>
      <c r="Q314" s="8">
        <v>28028.82</v>
      </c>
      <c r="R314" s="8">
        <v>27671.041000000001</v>
      </c>
      <c r="S314" s="8">
        <v>25926.128000000001</v>
      </c>
      <c r="T314" s="8">
        <v>23202.109</v>
      </c>
      <c r="U314" s="8">
        <v>18336.547999999999</v>
      </c>
      <c r="V314" s="8">
        <v>20704.297999999999</v>
      </c>
      <c r="W314" s="8">
        <v>16896.46</v>
      </c>
      <c r="X314" s="8">
        <v>15226.871999999999</v>
      </c>
      <c r="Y314" s="8">
        <v>10511.146000000001</v>
      </c>
      <c r="Z314" s="8">
        <v>4429.4979999999996</v>
      </c>
      <c r="AA314" s="8">
        <v>2294.4960000000001</v>
      </c>
      <c r="AB314" s="8">
        <v>503.262</v>
      </c>
      <c r="AC314" s="8">
        <v>50.612000000000002</v>
      </c>
    </row>
    <row r="315" spans="1:29" ht="11.65" hidden="1" x14ac:dyDescent="0.35">
      <c r="A315" s="12">
        <v>298</v>
      </c>
      <c r="B315" s="10" t="s">
        <v>1015</v>
      </c>
      <c r="C315" s="36" t="s">
        <v>1052</v>
      </c>
      <c r="D315" s="9" t="s">
        <v>1053</v>
      </c>
      <c r="E315" s="9">
        <v>908</v>
      </c>
      <c r="F315" s="10" t="s">
        <v>921</v>
      </c>
      <c r="G315" s="9">
        <v>1840</v>
      </c>
      <c r="H315" s="9">
        <v>2010</v>
      </c>
      <c r="I315" s="8">
        <v>19245.419999999998</v>
      </c>
      <c r="J315" s="8">
        <v>17952.856</v>
      </c>
      <c r="K315" s="8">
        <v>18344.659</v>
      </c>
      <c r="L315" s="8">
        <v>21110.182000000001</v>
      </c>
      <c r="M315" s="8">
        <v>24957.151999999998</v>
      </c>
      <c r="N315" s="8">
        <v>25796.960999999999</v>
      </c>
      <c r="O315" s="8">
        <v>25977.832999999999</v>
      </c>
      <c r="P315" s="8">
        <v>26240.223000000002</v>
      </c>
      <c r="Q315" s="8">
        <v>26558.091</v>
      </c>
      <c r="R315" s="8">
        <v>28093.197</v>
      </c>
      <c r="S315" s="8">
        <v>27373.058000000001</v>
      </c>
      <c r="T315" s="8">
        <v>25524.233</v>
      </c>
      <c r="U315" s="8">
        <v>22170.75</v>
      </c>
      <c r="V315" s="8">
        <v>17739.737000000001</v>
      </c>
      <c r="W315" s="8">
        <v>19020.625</v>
      </c>
      <c r="X315" s="8">
        <v>14630.118</v>
      </c>
      <c r="Y315" s="8">
        <v>11779.11</v>
      </c>
      <c r="Z315" s="8">
        <v>6576.8289999999997</v>
      </c>
      <c r="AA315" s="8">
        <v>2007.17</v>
      </c>
      <c r="AB315" s="8">
        <v>628.24</v>
      </c>
      <c r="AC315" s="8">
        <v>71.191000000000003</v>
      </c>
    </row>
    <row r="316" spans="1:29" ht="11.65" hidden="1" x14ac:dyDescent="0.35">
      <c r="A316" s="12">
        <v>299</v>
      </c>
      <c r="B316" s="10" t="s">
        <v>1015</v>
      </c>
      <c r="C316" s="36" t="s">
        <v>1052</v>
      </c>
      <c r="D316" s="9" t="s">
        <v>1053</v>
      </c>
      <c r="E316" s="9">
        <v>908</v>
      </c>
      <c r="F316" s="10" t="s">
        <v>921</v>
      </c>
      <c r="G316" s="9">
        <v>1840</v>
      </c>
      <c r="H316" s="9">
        <v>2015</v>
      </c>
      <c r="I316" s="8">
        <v>19567.990000000002</v>
      </c>
      <c r="J316" s="8">
        <v>19399.237000000001</v>
      </c>
      <c r="K316" s="8">
        <v>18172.246999999999</v>
      </c>
      <c r="L316" s="8">
        <v>18634.191999999999</v>
      </c>
      <c r="M316" s="8">
        <v>21537.905999999999</v>
      </c>
      <c r="N316" s="8">
        <v>25405.662</v>
      </c>
      <c r="O316" s="8">
        <v>26123.272000000001</v>
      </c>
      <c r="P316" s="8">
        <v>26170.082999999999</v>
      </c>
      <c r="Q316" s="8">
        <v>26275.387999999999</v>
      </c>
      <c r="R316" s="8">
        <v>26504.023000000001</v>
      </c>
      <c r="S316" s="8">
        <v>27835.48</v>
      </c>
      <c r="T316" s="8">
        <v>26894.773000000001</v>
      </c>
      <c r="U316" s="8">
        <v>24809.607</v>
      </c>
      <c r="V316" s="8">
        <v>21225.135999999999</v>
      </c>
      <c r="W316" s="8">
        <v>16598.268</v>
      </c>
      <c r="X316" s="8">
        <v>16693.978999999999</v>
      </c>
      <c r="Y316" s="8">
        <v>11607.179</v>
      </c>
      <c r="Z316" s="8">
        <v>7631.4790000000003</v>
      </c>
      <c r="AA316" s="8">
        <v>3112.2840000000001</v>
      </c>
      <c r="AB316" s="8">
        <v>584.76</v>
      </c>
      <c r="AC316" s="8">
        <v>93.533000000000001</v>
      </c>
    </row>
    <row r="317" spans="1:29" ht="11.65" hidden="1" x14ac:dyDescent="0.35">
      <c r="A317" s="12">
        <v>300</v>
      </c>
      <c r="B317" s="10" t="s">
        <v>1015</v>
      </c>
      <c r="C317" s="36" t="s">
        <v>1052</v>
      </c>
      <c r="D317" s="9" t="s">
        <v>1053</v>
      </c>
      <c r="E317" s="9">
        <v>908</v>
      </c>
      <c r="F317" s="10" t="s">
        <v>921</v>
      </c>
      <c r="G317" s="9">
        <v>1840</v>
      </c>
      <c r="H317" s="9">
        <v>2020</v>
      </c>
      <c r="I317" s="8">
        <v>19009.129000000001</v>
      </c>
      <c r="J317" s="8">
        <v>19814.776000000002</v>
      </c>
      <c r="K317" s="8">
        <v>19570.838</v>
      </c>
      <c r="L317" s="8">
        <v>18434.936000000002</v>
      </c>
      <c r="M317" s="8">
        <v>18999.21</v>
      </c>
      <c r="N317" s="8">
        <v>22021.518</v>
      </c>
      <c r="O317" s="8">
        <v>25823.486000000001</v>
      </c>
      <c r="P317" s="8">
        <v>26332.5</v>
      </c>
      <c r="Q317" s="8">
        <v>26251.263999999999</v>
      </c>
      <c r="R317" s="8">
        <v>26254.025000000001</v>
      </c>
      <c r="S317" s="8">
        <v>26299.716</v>
      </c>
      <c r="T317" s="8">
        <v>27451.322</v>
      </c>
      <c r="U317" s="8">
        <v>26160.696</v>
      </c>
      <c r="V317" s="8">
        <v>23788.031999999999</v>
      </c>
      <c r="W317" s="8">
        <v>19710.3</v>
      </c>
      <c r="X317" s="8">
        <v>14777.41</v>
      </c>
      <c r="Y317" s="8">
        <v>13228.222</v>
      </c>
      <c r="Z317" s="8">
        <v>7768.2070000000003</v>
      </c>
      <c r="AA317" s="8">
        <v>3789.7620000000002</v>
      </c>
      <c r="AB317" s="8">
        <v>987.66700000000003</v>
      </c>
      <c r="AC317" s="8">
        <v>102.056</v>
      </c>
    </row>
    <row r="318" spans="1:29" ht="11.65" hidden="1" x14ac:dyDescent="0.35">
      <c r="A318" s="12">
        <v>301</v>
      </c>
      <c r="B318" s="10" t="s">
        <v>1015</v>
      </c>
      <c r="C318" s="36" t="s">
        <v>1054</v>
      </c>
      <c r="D318" s="9" t="s">
        <v>1055</v>
      </c>
      <c r="E318" s="9">
        <v>904</v>
      </c>
      <c r="F318" s="10" t="s">
        <v>921</v>
      </c>
      <c r="G318" s="9">
        <v>1840</v>
      </c>
      <c r="H318" s="9">
        <v>1950</v>
      </c>
      <c r="I318" s="8">
        <v>13416.851000000001</v>
      </c>
      <c r="J318" s="8">
        <v>10832.085999999999</v>
      </c>
      <c r="K318" s="8">
        <v>9556.0329999999994</v>
      </c>
      <c r="L318" s="8">
        <v>8410.5580000000009</v>
      </c>
      <c r="M318" s="8">
        <v>7641.8630000000003</v>
      </c>
      <c r="N318" s="8">
        <v>6448.6450000000004</v>
      </c>
      <c r="O318" s="8">
        <v>5410.9120000000003</v>
      </c>
      <c r="P318" s="8">
        <v>4889.9489999999996</v>
      </c>
      <c r="Q318" s="8">
        <v>4128.6130000000003</v>
      </c>
      <c r="R318" s="8">
        <v>3475.7719999999999</v>
      </c>
      <c r="S318" s="8">
        <v>2926.076</v>
      </c>
      <c r="T318" s="8">
        <v>2281.578</v>
      </c>
      <c r="U318" s="8">
        <v>1812.0060000000001</v>
      </c>
      <c r="V318" s="8">
        <v>1311.8679999999999</v>
      </c>
      <c r="W318" s="8">
        <v>897.42399999999998</v>
      </c>
      <c r="X318" s="8">
        <v>533.76800000000003</v>
      </c>
      <c r="Y318" s="8">
        <v>247.08500000000001</v>
      </c>
      <c r="Z318" s="8">
        <v>118.63500000000001</v>
      </c>
      <c r="AA318" s="8">
        <v>49.942999999999998</v>
      </c>
      <c r="AB318" s="8">
        <v>20.172999999999998</v>
      </c>
      <c r="AC318" s="8">
        <v>8.1989999999999998</v>
      </c>
    </row>
    <row r="319" spans="1:29" ht="11.65" hidden="1" x14ac:dyDescent="0.35">
      <c r="A319" s="12">
        <v>302</v>
      </c>
      <c r="B319" s="10" t="s">
        <v>1015</v>
      </c>
      <c r="C319" s="36" t="s">
        <v>1054</v>
      </c>
      <c r="D319" s="9" t="s">
        <v>1055</v>
      </c>
      <c r="E319" s="9">
        <v>904</v>
      </c>
      <c r="F319" s="10" t="s">
        <v>921</v>
      </c>
      <c r="G319" s="9">
        <v>1840</v>
      </c>
      <c r="H319" s="9">
        <v>1955</v>
      </c>
      <c r="I319" s="8">
        <v>16108.782999999999</v>
      </c>
      <c r="J319" s="8">
        <v>12732.415000000001</v>
      </c>
      <c r="K319" s="8">
        <v>10659.63</v>
      </c>
      <c r="L319" s="8">
        <v>9401.3709999999992</v>
      </c>
      <c r="M319" s="8">
        <v>8225.598</v>
      </c>
      <c r="N319" s="8">
        <v>7427.9989999999998</v>
      </c>
      <c r="O319" s="8">
        <v>6252.2420000000002</v>
      </c>
      <c r="P319" s="8">
        <v>5253.26</v>
      </c>
      <c r="Q319" s="8">
        <v>4697.9120000000003</v>
      </c>
      <c r="R319" s="8">
        <v>3962.2139999999999</v>
      </c>
      <c r="S319" s="8">
        <v>3287.748</v>
      </c>
      <c r="T319" s="8">
        <v>2709.6289999999999</v>
      </c>
      <c r="U319" s="8">
        <v>2056.8870000000002</v>
      </c>
      <c r="V319" s="8">
        <v>1549.434</v>
      </c>
      <c r="W319" s="8">
        <v>1033.434</v>
      </c>
      <c r="X319" s="8">
        <v>617.72699999999998</v>
      </c>
      <c r="Y319" s="8">
        <v>297.82100000000003</v>
      </c>
      <c r="Z319" s="8">
        <v>97.814999999999998</v>
      </c>
      <c r="AA319" s="8">
        <v>32.003</v>
      </c>
      <c r="AB319" s="8">
        <v>8.4169999999999998</v>
      </c>
      <c r="AC319" s="8">
        <v>2.5960000000000001</v>
      </c>
    </row>
    <row r="320" spans="1:29" ht="11.65" hidden="1" x14ac:dyDescent="0.35">
      <c r="A320" s="12">
        <v>303</v>
      </c>
      <c r="B320" s="10" t="s">
        <v>1015</v>
      </c>
      <c r="C320" s="36" t="s">
        <v>1054</v>
      </c>
      <c r="D320" s="9" t="s">
        <v>1055</v>
      </c>
      <c r="E320" s="9">
        <v>904</v>
      </c>
      <c r="F320" s="10" t="s">
        <v>921</v>
      </c>
      <c r="G320" s="9">
        <v>1840</v>
      </c>
      <c r="H320" s="9">
        <v>1960</v>
      </c>
      <c r="I320" s="8">
        <v>18382.399000000001</v>
      </c>
      <c r="J320" s="8">
        <v>15402.793</v>
      </c>
      <c r="K320" s="8">
        <v>12553.119000000001</v>
      </c>
      <c r="L320" s="8">
        <v>10479.561</v>
      </c>
      <c r="M320" s="8">
        <v>9169.6380000000008</v>
      </c>
      <c r="N320" s="8">
        <v>7981.7030000000004</v>
      </c>
      <c r="O320" s="8">
        <v>7198.8940000000002</v>
      </c>
      <c r="P320" s="8">
        <v>6057.78</v>
      </c>
      <c r="Q320" s="8">
        <v>5050.5860000000002</v>
      </c>
      <c r="R320" s="8">
        <v>4509.4939999999997</v>
      </c>
      <c r="S320" s="8">
        <v>3749.0610000000001</v>
      </c>
      <c r="T320" s="8">
        <v>3060.1559999999999</v>
      </c>
      <c r="U320" s="8">
        <v>2455.2950000000001</v>
      </c>
      <c r="V320" s="8">
        <v>1777.8140000000001</v>
      </c>
      <c r="W320" s="8">
        <v>1242.4190000000001</v>
      </c>
      <c r="X320" s="8">
        <v>736.07399999999996</v>
      </c>
      <c r="Y320" s="8">
        <v>360.49799999999999</v>
      </c>
      <c r="Z320" s="8">
        <v>129.179</v>
      </c>
      <c r="AA320" s="8">
        <v>31.007999999999999</v>
      </c>
      <c r="AB320" s="8">
        <v>6.7649999999999997</v>
      </c>
      <c r="AC320" s="8">
        <v>1.3120000000000001</v>
      </c>
    </row>
    <row r="321" spans="1:29" ht="11.65" hidden="1" x14ac:dyDescent="0.35">
      <c r="A321" s="12">
        <v>304</v>
      </c>
      <c r="B321" s="10" t="s">
        <v>1015</v>
      </c>
      <c r="C321" s="36" t="s">
        <v>1054</v>
      </c>
      <c r="D321" s="9" t="s">
        <v>1055</v>
      </c>
      <c r="E321" s="9">
        <v>904</v>
      </c>
      <c r="F321" s="10" t="s">
        <v>921</v>
      </c>
      <c r="G321" s="9">
        <v>1840</v>
      </c>
      <c r="H321" s="9">
        <v>1965</v>
      </c>
      <c r="I321" s="8">
        <v>20856.455999999998</v>
      </c>
      <c r="J321" s="8">
        <v>17680.932000000001</v>
      </c>
      <c r="K321" s="8">
        <v>15179.156999999999</v>
      </c>
      <c r="L321" s="8">
        <v>12339.32</v>
      </c>
      <c r="M321" s="8">
        <v>10232.862999999999</v>
      </c>
      <c r="N321" s="8">
        <v>8911.74</v>
      </c>
      <c r="O321" s="8">
        <v>7750.24</v>
      </c>
      <c r="P321" s="8">
        <v>6989</v>
      </c>
      <c r="Q321" s="8">
        <v>5854.7030000000004</v>
      </c>
      <c r="R321" s="8">
        <v>4860.2449999999999</v>
      </c>
      <c r="S321" s="8">
        <v>4288.8059999999996</v>
      </c>
      <c r="T321" s="8">
        <v>3517.0390000000002</v>
      </c>
      <c r="U321" s="8">
        <v>2797.5920000000001</v>
      </c>
      <c r="V321" s="8">
        <v>2144.6750000000002</v>
      </c>
      <c r="W321" s="8">
        <v>1451.4839999999999</v>
      </c>
      <c r="X321" s="8">
        <v>902.92600000000004</v>
      </c>
      <c r="Y321" s="8">
        <v>442.87099999999998</v>
      </c>
      <c r="Z321" s="8">
        <v>160.726</v>
      </c>
      <c r="AA321" s="8">
        <v>40.798000000000002</v>
      </c>
      <c r="AB321" s="8">
        <v>6.8710000000000004</v>
      </c>
      <c r="AC321" s="8">
        <v>1.089</v>
      </c>
    </row>
    <row r="322" spans="1:29" ht="11.65" hidden="1" x14ac:dyDescent="0.35">
      <c r="A322" s="12">
        <v>305</v>
      </c>
      <c r="B322" s="10" t="s">
        <v>1015</v>
      </c>
      <c r="C322" s="36" t="s">
        <v>1054</v>
      </c>
      <c r="D322" s="9" t="s">
        <v>1055</v>
      </c>
      <c r="E322" s="9">
        <v>904</v>
      </c>
      <c r="F322" s="10" t="s">
        <v>921</v>
      </c>
      <c r="G322" s="9">
        <v>1840</v>
      </c>
      <c r="H322" s="9">
        <v>1970</v>
      </c>
      <c r="I322" s="8">
        <v>22460.386999999999</v>
      </c>
      <c r="J322" s="8">
        <v>20198.940999999999</v>
      </c>
      <c r="K322" s="8">
        <v>17453.95</v>
      </c>
      <c r="L322" s="8">
        <v>14928.325999999999</v>
      </c>
      <c r="M322" s="8">
        <v>12041.347</v>
      </c>
      <c r="N322" s="8">
        <v>9931.7849999999908</v>
      </c>
      <c r="O322" s="8">
        <v>8643.6830000000009</v>
      </c>
      <c r="P322" s="8">
        <v>7519.741</v>
      </c>
      <c r="Q322" s="8">
        <v>6769.0950000000003</v>
      </c>
      <c r="R322" s="8">
        <v>5642.4549999999999</v>
      </c>
      <c r="S322" s="8">
        <v>4637.8630000000003</v>
      </c>
      <c r="T322" s="8">
        <v>4036.7260000000001</v>
      </c>
      <c r="U322" s="8">
        <v>3233.123</v>
      </c>
      <c r="V322" s="8">
        <v>2469.886</v>
      </c>
      <c r="W322" s="8">
        <v>1764.471</v>
      </c>
      <c r="X322" s="8">
        <v>1067.4570000000001</v>
      </c>
      <c r="Y322" s="8">
        <v>556.43499999999995</v>
      </c>
      <c r="Z322" s="8">
        <v>202.71199999999999</v>
      </c>
      <c r="AA322" s="8">
        <v>52.871000000000002</v>
      </c>
      <c r="AB322" s="8">
        <v>9.0510000000000002</v>
      </c>
      <c r="AC322" s="8">
        <v>1.1579999999999999</v>
      </c>
    </row>
    <row r="323" spans="1:29" ht="11.65" hidden="1" x14ac:dyDescent="0.35">
      <c r="A323" s="12">
        <v>306</v>
      </c>
      <c r="B323" s="10" t="s">
        <v>1015</v>
      </c>
      <c r="C323" s="36" t="s">
        <v>1054</v>
      </c>
      <c r="D323" s="9" t="s">
        <v>1055</v>
      </c>
      <c r="E323" s="9">
        <v>904</v>
      </c>
      <c r="F323" s="10" t="s">
        <v>921</v>
      </c>
      <c r="G323" s="9">
        <v>1840</v>
      </c>
      <c r="H323" s="9">
        <v>1975</v>
      </c>
      <c r="I323" s="8">
        <v>23810.079000000002</v>
      </c>
      <c r="J323" s="8">
        <v>21884.206999999999</v>
      </c>
      <c r="K323" s="8">
        <v>19988.878000000001</v>
      </c>
      <c r="L323" s="8">
        <v>17216.813999999998</v>
      </c>
      <c r="M323" s="8">
        <v>14583.585999999999</v>
      </c>
      <c r="N323" s="8">
        <v>11691.339</v>
      </c>
      <c r="O323" s="8">
        <v>9646.1540000000005</v>
      </c>
      <c r="P323" s="8">
        <v>8430.2639999999992</v>
      </c>
      <c r="Q323" s="8">
        <v>7315.8620000000001</v>
      </c>
      <c r="R323" s="8">
        <v>6551.4939999999997</v>
      </c>
      <c r="S323" s="8">
        <v>5409.5370000000003</v>
      </c>
      <c r="T323" s="8">
        <v>4383.71</v>
      </c>
      <c r="U323" s="8">
        <v>3727.4870000000001</v>
      </c>
      <c r="V323" s="8">
        <v>2875.0050000000001</v>
      </c>
      <c r="W323" s="8">
        <v>2057.6590000000001</v>
      </c>
      <c r="X323" s="8">
        <v>1322.1880000000001</v>
      </c>
      <c r="Y323" s="8">
        <v>663.3</v>
      </c>
      <c r="Z323" s="8">
        <v>263.02699999999999</v>
      </c>
      <c r="AA323" s="8">
        <v>69.790999999999997</v>
      </c>
      <c r="AB323" s="8">
        <v>12.548</v>
      </c>
      <c r="AC323" s="8">
        <v>1.496</v>
      </c>
    </row>
    <row r="324" spans="1:29" ht="11.65" hidden="1" x14ac:dyDescent="0.35">
      <c r="A324" s="12">
        <v>307</v>
      </c>
      <c r="B324" s="10" t="s">
        <v>1015</v>
      </c>
      <c r="C324" s="36" t="s">
        <v>1054</v>
      </c>
      <c r="D324" s="9" t="s">
        <v>1055</v>
      </c>
      <c r="E324" s="9">
        <v>904</v>
      </c>
      <c r="F324" s="10" t="s">
        <v>921</v>
      </c>
      <c r="G324" s="9">
        <v>1840</v>
      </c>
      <c r="H324" s="9">
        <v>1980</v>
      </c>
      <c r="I324" s="8">
        <v>25583.866999999998</v>
      </c>
      <c r="J324" s="8">
        <v>23283.192999999999</v>
      </c>
      <c r="K324" s="8">
        <v>21588.841</v>
      </c>
      <c r="L324" s="8">
        <v>19619.953000000001</v>
      </c>
      <c r="M324" s="8">
        <v>16735.400000000001</v>
      </c>
      <c r="N324" s="8">
        <v>14175.552</v>
      </c>
      <c r="O324" s="8">
        <v>11406.73</v>
      </c>
      <c r="P324" s="8">
        <v>9430.39</v>
      </c>
      <c r="Q324" s="8">
        <v>8228.5830000000005</v>
      </c>
      <c r="R324" s="8">
        <v>7107.3019999999997</v>
      </c>
      <c r="S324" s="8">
        <v>6313.52</v>
      </c>
      <c r="T324" s="8">
        <v>5142.9979999999996</v>
      </c>
      <c r="U324" s="8">
        <v>4083.3310000000001</v>
      </c>
      <c r="V324" s="8">
        <v>3353.4720000000002</v>
      </c>
      <c r="W324" s="8">
        <v>2425.2420000000002</v>
      </c>
      <c r="X324" s="8">
        <v>1573.432</v>
      </c>
      <c r="Y324" s="8">
        <v>863.19600000000003</v>
      </c>
      <c r="Z324" s="8">
        <v>323.13499999999999</v>
      </c>
      <c r="AA324" s="8">
        <v>95.468000000000004</v>
      </c>
      <c r="AB324" s="8">
        <v>17.460999999999999</v>
      </c>
      <c r="AC324" s="8">
        <v>2.1850000000000001</v>
      </c>
    </row>
    <row r="325" spans="1:29" ht="11.65" hidden="1" x14ac:dyDescent="0.35">
      <c r="A325" s="12">
        <v>308</v>
      </c>
      <c r="B325" s="10" t="s">
        <v>1015</v>
      </c>
      <c r="C325" s="36" t="s">
        <v>1054</v>
      </c>
      <c r="D325" s="9" t="s">
        <v>1055</v>
      </c>
      <c r="E325" s="9">
        <v>904</v>
      </c>
      <c r="F325" s="10" t="s">
        <v>921</v>
      </c>
      <c r="G325" s="9">
        <v>1840</v>
      </c>
      <c r="H325" s="9">
        <v>1985</v>
      </c>
      <c r="I325" s="8">
        <v>26989.831999999999</v>
      </c>
      <c r="J325" s="8">
        <v>25118.315999999999</v>
      </c>
      <c r="K325" s="8">
        <v>23121.133999999998</v>
      </c>
      <c r="L325" s="8">
        <v>21296.59</v>
      </c>
      <c r="M325" s="8">
        <v>19254.571</v>
      </c>
      <c r="N325" s="8">
        <v>16397.474999999999</v>
      </c>
      <c r="O325" s="8">
        <v>13925.321</v>
      </c>
      <c r="P325" s="8">
        <v>11186.941999999999</v>
      </c>
      <c r="Q325" s="8">
        <v>9228.4480000000003</v>
      </c>
      <c r="R325" s="8">
        <v>8017.9870000000001</v>
      </c>
      <c r="S325" s="8">
        <v>6867.607</v>
      </c>
      <c r="T325" s="8">
        <v>6027.902</v>
      </c>
      <c r="U325" s="8">
        <v>4808.96</v>
      </c>
      <c r="V325" s="8">
        <v>3693.8789999999999</v>
      </c>
      <c r="W325" s="8">
        <v>2854.8069999999998</v>
      </c>
      <c r="X325" s="8">
        <v>1891.5940000000001</v>
      </c>
      <c r="Y325" s="8">
        <v>1052.7460000000001</v>
      </c>
      <c r="Z325" s="8">
        <v>442.798</v>
      </c>
      <c r="AA325" s="8">
        <v>122.871</v>
      </c>
      <c r="AB325" s="8">
        <v>25.405999999999999</v>
      </c>
      <c r="AC325" s="8">
        <v>3.24</v>
      </c>
    </row>
    <row r="326" spans="1:29" ht="11.65" hidden="1" x14ac:dyDescent="0.35">
      <c r="A326" s="12">
        <v>309</v>
      </c>
      <c r="B326" s="10" t="s">
        <v>1015</v>
      </c>
      <c r="C326" s="36" t="s">
        <v>1054</v>
      </c>
      <c r="D326" s="9" t="s">
        <v>1055</v>
      </c>
      <c r="E326" s="9">
        <v>904</v>
      </c>
      <c r="F326" s="10" t="s">
        <v>921</v>
      </c>
      <c r="G326" s="9">
        <v>1840</v>
      </c>
      <c r="H326" s="9">
        <v>1990</v>
      </c>
      <c r="I326" s="8">
        <v>27635.008000000002</v>
      </c>
      <c r="J326" s="8">
        <v>26600.584999999999</v>
      </c>
      <c r="K326" s="8">
        <v>24883.279999999999</v>
      </c>
      <c r="L326" s="8">
        <v>22793.161</v>
      </c>
      <c r="M326" s="8">
        <v>20830.550999999999</v>
      </c>
      <c r="N326" s="8">
        <v>18817.703000000001</v>
      </c>
      <c r="O326" s="8">
        <v>16043.17</v>
      </c>
      <c r="P326" s="8">
        <v>13681.727000000001</v>
      </c>
      <c r="Q326" s="8">
        <v>10992.598</v>
      </c>
      <c r="R326" s="8">
        <v>9024.7990000000009</v>
      </c>
      <c r="S326" s="8">
        <v>7774.848</v>
      </c>
      <c r="T326" s="8">
        <v>6580.9449999999997</v>
      </c>
      <c r="U326" s="8">
        <v>5662.9319999999998</v>
      </c>
      <c r="V326" s="8">
        <v>4378.7709999999997</v>
      </c>
      <c r="W326" s="8">
        <v>3181.7829999999999</v>
      </c>
      <c r="X326" s="8">
        <v>2265.2759999999998</v>
      </c>
      <c r="Y326" s="8">
        <v>1298.7850000000001</v>
      </c>
      <c r="Z326" s="8">
        <v>568.16600000000005</v>
      </c>
      <c r="AA326" s="8">
        <v>178.19499999999999</v>
      </c>
      <c r="AB326" s="8">
        <v>34.531999999999996</v>
      </c>
      <c r="AC326" s="8">
        <v>4.9720000000000004</v>
      </c>
    </row>
    <row r="327" spans="1:29" ht="11.65" hidden="1" x14ac:dyDescent="0.35">
      <c r="A327" s="12">
        <v>310</v>
      </c>
      <c r="B327" s="10" t="s">
        <v>1015</v>
      </c>
      <c r="C327" s="36" t="s">
        <v>1054</v>
      </c>
      <c r="D327" s="9" t="s">
        <v>1055</v>
      </c>
      <c r="E327" s="9">
        <v>904</v>
      </c>
      <c r="F327" s="10" t="s">
        <v>921</v>
      </c>
      <c r="G327" s="9">
        <v>1840</v>
      </c>
      <c r="H327" s="9">
        <v>1995</v>
      </c>
      <c r="I327" s="8">
        <v>27886.263999999999</v>
      </c>
      <c r="J327" s="8">
        <v>27350.960999999999</v>
      </c>
      <c r="K327" s="8">
        <v>26410.32</v>
      </c>
      <c r="L327" s="8">
        <v>24539.192999999999</v>
      </c>
      <c r="M327" s="8">
        <v>22147.089</v>
      </c>
      <c r="N327" s="8">
        <v>20435.053</v>
      </c>
      <c r="O327" s="8">
        <v>18573.261999999999</v>
      </c>
      <c r="P327" s="8">
        <v>15814.305</v>
      </c>
      <c r="Q327" s="8">
        <v>13459.913</v>
      </c>
      <c r="R327" s="8">
        <v>10770.032999999999</v>
      </c>
      <c r="S327" s="8">
        <v>8782.9040000000005</v>
      </c>
      <c r="T327" s="8">
        <v>7475.0219999999999</v>
      </c>
      <c r="U327" s="8">
        <v>6208.9290000000001</v>
      </c>
      <c r="V327" s="8">
        <v>5177.5219999999999</v>
      </c>
      <c r="W327" s="8">
        <v>3816.154</v>
      </c>
      <c r="X327" s="8">
        <v>2562.3130000000001</v>
      </c>
      <c r="Y327" s="8">
        <v>1599.9690000000001</v>
      </c>
      <c r="Z327" s="8">
        <v>731.4</v>
      </c>
      <c r="AA327" s="8">
        <v>237.79400000000001</v>
      </c>
      <c r="AB327" s="8">
        <v>50.609000000000002</v>
      </c>
      <c r="AC327" s="8">
        <v>6.72</v>
      </c>
    </row>
    <row r="328" spans="1:29" ht="11.65" hidden="1" x14ac:dyDescent="0.35">
      <c r="A328" s="12">
        <v>311</v>
      </c>
      <c r="B328" s="10" t="s">
        <v>1015</v>
      </c>
      <c r="C328" s="36" t="s">
        <v>1054</v>
      </c>
      <c r="D328" s="9" t="s">
        <v>1055</v>
      </c>
      <c r="E328" s="9">
        <v>904</v>
      </c>
      <c r="F328" s="10" t="s">
        <v>921</v>
      </c>
      <c r="G328" s="9">
        <v>1840</v>
      </c>
      <c r="H328" s="9">
        <v>2000</v>
      </c>
      <c r="I328" s="8">
        <v>27775.32</v>
      </c>
      <c r="J328" s="8">
        <v>27626.346000000001</v>
      </c>
      <c r="K328" s="8">
        <v>27057.831999999999</v>
      </c>
      <c r="L328" s="8">
        <v>26001.309000000001</v>
      </c>
      <c r="M328" s="8">
        <v>23987.379000000001</v>
      </c>
      <c r="N328" s="8">
        <v>21762.553</v>
      </c>
      <c r="O328" s="8">
        <v>20109.643</v>
      </c>
      <c r="P328" s="8">
        <v>18293.04</v>
      </c>
      <c r="Q328" s="8">
        <v>15557.981</v>
      </c>
      <c r="R328" s="8">
        <v>13191.431</v>
      </c>
      <c r="S328" s="8">
        <v>10497.806</v>
      </c>
      <c r="T328" s="8">
        <v>8462.643</v>
      </c>
      <c r="U328" s="8">
        <v>7086.9740000000002</v>
      </c>
      <c r="V328" s="8">
        <v>5732.0190000000002</v>
      </c>
      <c r="W328" s="8">
        <v>4576.3109999999997</v>
      </c>
      <c r="X328" s="8">
        <v>3132.623</v>
      </c>
      <c r="Y328" s="8">
        <v>1856.9570000000001</v>
      </c>
      <c r="Z328" s="8">
        <v>947.83699999999999</v>
      </c>
      <c r="AA328" s="8">
        <v>326.68</v>
      </c>
      <c r="AB328" s="8">
        <v>71.697999999999993</v>
      </c>
      <c r="AC328" s="8">
        <v>9.3160000000000007</v>
      </c>
    </row>
    <row r="329" spans="1:29" ht="11.65" hidden="1" x14ac:dyDescent="0.35">
      <c r="A329" s="12">
        <v>312</v>
      </c>
      <c r="B329" s="10" t="s">
        <v>1015</v>
      </c>
      <c r="C329" s="36" t="s">
        <v>1054</v>
      </c>
      <c r="D329" s="9" t="s">
        <v>1055</v>
      </c>
      <c r="E329" s="9">
        <v>904</v>
      </c>
      <c r="F329" s="10" t="s">
        <v>921</v>
      </c>
      <c r="G329" s="9">
        <v>1840</v>
      </c>
      <c r="H329" s="9">
        <v>2005</v>
      </c>
      <c r="I329" s="8">
        <v>27011.005000000001</v>
      </c>
      <c r="J329" s="8">
        <v>27519.521000000001</v>
      </c>
      <c r="K329" s="8">
        <v>27390.745999999999</v>
      </c>
      <c r="L329" s="8">
        <v>26584.983</v>
      </c>
      <c r="M329" s="8">
        <v>25459.598000000002</v>
      </c>
      <c r="N329" s="8">
        <v>23482.762999999999</v>
      </c>
      <c r="O329" s="8">
        <v>21441.627</v>
      </c>
      <c r="P329" s="8">
        <v>19831.755000000001</v>
      </c>
      <c r="Q329" s="8">
        <v>18003.037</v>
      </c>
      <c r="R329" s="8">
        <v>15254.743</v>
      </c>
      <c r="S329" s="8">
        <v>12874.635</v>
      </c>
      <c r="T329" s="8">
        <v>10120.929</v>
      </c>
      <c r="U329" s="8">
        <v>8046.01</v>
      </c>
      <c r="V329" s="8">
        <v>6569.665</v>
      </c>
      <c r="W329" s="8">
        <v>5102.2250000000004</v>
      </c>
      <c r="X329" s="8">
        <v>3818.8330000000001</v>
      </c>
      <c r="Y329" s="8">
        <v>2334.2139999999999</v>
      </c>
      <c r="Z329" s="8">
        <v>1143.4639999999999</v>
      </c>
      <c r="AA329" s="8">
        <v>446.89100000000002</v>
      </c>
      <c r="AB329" s="8">
        <v>105.104</v>
      </c>
      <c r="AC329" s="8">
        <v>14.241</v>
      </c>
    </row>
    <row r="330" spans="1:29" ht="11.65" hidden="1" x14ac:dyDescent="0.35">
      <c r="A330" s="12">
        <v>313</v>
      </c>
      <c r="B330" s="10" t="s">
        <v>1015</v>
      </c>
      <c r="C330" s="36" t="s">
        <v>1054</v>
      </c>
      <c r="D330" s="9" t="s">
        <v>1055</v>
      </c>
      <c r="E330" s="9">
        <v>904</v>
      </c>
      <c r="F330" s="10" t="s">
        <v>921</v>
      </c>
      <c r="G330" s="9">
        <v>1840</v>
      </c>
      <c r="H330" s="9">
        <v>2010</v>
      </c>
      <c r="I330" s="8">
        <v>26046.952000000001</v>
      </c>
      <c r="J330" s="8">
        <v>26815.145</v>
      </c>
      <c r="K330" s="8">
        <v>27347.008999999998</v>
      </c>
      <c r="L330" s="8">
        <v>27118.179</v>
      </c>
      <c r="M330" s="8">
        <v>26151.055</v>
      </c>
      <c r="N330" s="8">
        <v>25067.363000000001</v>
      </c>
      <c r="O330" s="8">
        <v>23149.580999999998</v>
      </c>
      <c r="P330" s="8">
        <v>21149.526999999998</v>
      </c>
      <c r="Q330" s="8">
        <v>19532.694</v>
      </c>
      <c r="R330" s="8">
        <v>17680.474999999999</v>
      </c>
      <c r="S330" s="8">
        <v>14915.083000000001</v>
      </c>
      <c r="T330" s="8">
        <v>12465.21</v>
      </c>
      <c r="U330" s="8">
        <v>9666.7549999999992</v>
      </c>
      <c r="V330" s="8">
        <v>7499.7460000000001</v>
      </c>
      <c r="W330" s="8">
        <v>5903.723</v>
      </c>
      <c r="X330" s="8">
        <v>4306.9070000000002</v>
      </c>
      <c r="Y330" s="8">
        <v>2899.317</v>
      </c>
      <c r="Z330" s="8">
        <v>1485.742</v>
      </c>
      <c r="AA330" s="8">
        <v>562.16099999999994</v>
      </c>
      <c r="AB330" s="8">
        <v>151.87700000000001</v>
      </c>
      <c r="AC330" s="8">
        <v>21.521999999999998</v>
      </c>
    </row>
    <row r="331" spans="1:29" ht="11.65" hidden="1" x14ac:dyDescent="0.35">
      <c r="A331" s="12">
        <v>314</v>
      </c>
      <c r="B331" s="10" t="s">
        <v>1015</v>
      </c>
      <c r="C331" s="36" t="s">
        <v>1054</v>
      </c>
      <c r="D331" s="9" t="s">
        <v>1055</v>
      </c>
      <c r="E331" s="9">
        <v>904</v>
      </c>
      <c r="F331" s="10" t="s">
        <v>921</v>
      </c>
      <c r="G331" s="9">
        <v>1840</v>
      </c>
      <c r="H331" s="9">
        <v>2015</v>
      </c>
      <c r="I331" s="8">
        <v>25742.312000000002</v>
      </c>
      <c r="J331" s="8">
        <v>25897.727999999999</v>
      </c>
      <c r="K331" s="8">
        <v>26673.758000000002</v>
      </c>
      <c r="L331" s="8">
        <v>27096.370999999999</v>
      </c>
      <c r="M331" s="8">
        <v>26808.003000000001</v>
      </c>
      <c r="N331" s="8">
        <v>25831.198</v>
      </c>
      <c r="O331" s="8">
        <v>24768.821</v>
      </c>
      <c r="P331" s="8">
        <v>22896.761999999999</v>
      </c>
      <c r="Q331" s="8">
        <v>20899.508000000002</v>
      </c>
      <c r="R331" s="8">
        <v>19241.924999999999</v>
      </c>
      <c r="S331" s="8">
        <v>17328.769</v>
      </c>
      <c r="T331" s="8">
        <v>14499.669</v>
      </c>
      <c r="U331" s="8">
        <v>11954.898999999999</v>
      </c>
      <c r="V331" s="8">
        <v>9068.7199999999993</v>
      </c>
      <c r="W331" s="8">
        <v>6796.6139999999996</v>
      </c>
      <c r="X331" s="8">
        <v>5044.01</v>
      </c>
      <c r="Y331" s="8">
        <v>3345.9929999999999</v>
      </c>
      <c r="Z331" s="8">
        <v>1903.191</v>
      </c>
      <c r="AA331" s="8">
        <v>763.34400000000005</v>
      </c>
      <c r="AB331" s="8">
        <v>202.30699999999999</v>
      </c>
      <c r="AC331" s="8">
        <v>33.534999999999997</v>
      </c>
    </row>
    <row r="332" spans="1:29" ht="11.65" hidden="1" x14ac:dyDescent="0.35">
      <c r="A332" s="12">
        <v>315</v>
      </c>
      <c r="B332" s="10" t="s">
        <v>1015</v>
      </c>
      <c r="C332" s="36" t="s">
        <v>1054</v>
      </c>
      <c r="D332" s="9" t="s">
        <v>1055</v>
      </c>
      <c r="E332" s="9">
        <v>904</v>
      </c>
      <c r="F332" s="10" t="s">
        <v>921</v>
      </c>
      <c r="G332" s="9">
        <v>1840</v>
      </c>
      <c r="H332" s="9">
        <v>2020</v>
      </c>
      <c r="I332" s="8">
        <v>25269.499</v>
      </c>
      <c r="J332" s="8">
        <v>25553.111000000001</v>
      </c>
      <c r="K332" s="8">
        <v>25684.076000000001</v>
      </c>
      <c r="L332" s="8">
        <v>26348.225999999999</v>
      </c>
      <c r="M332" s="8">
        <v>26807.437999999998</v>
      </c>
      <c r="N332" s="8">
        <v>26561.495999999999</v>
      </c>
      <c r="O332" s="8">
        <v>25636.010999999999</v>
      </c>
      <c r="P332" s="8">
        <v>24592.012999999999</v>
      </c>
      <c r="Q332" s="8">
        <v>22681.973000000002</v>
      </c>
      <c r="R332" s="8">
        <v>20600.731</v>
      </c>
      <c r="S332" s="8">
        <v>18876.804</v>
      </c>
      <c r="T332" s="8">
        <v>16865.417000000001</v>
      </c>
      <c r="U332" s="8">
        <v>13930.123</v>
      </c>
      <c r="V332" s="8">
        <v>11252.168</v>
      </c>
      <c r="W332" s="8">
        <v>8254.0519999999997</v>
      </c>
      <c r="X332" s="8">
        <v>5848.3689999999997</v>
      </c>
      <c r="Y332" s="8">
        <v>3955.0940000000001</v>
      </c>
      <c r="Z332" s="8">
        <v>2250.2199999999998</v>
      </c>
      <c r="AA332" s="8">
        <v>1024.0440000000001</v>
      </c>
      <c r="AB332" s="8">
        <v>293.495</v>
      </c>
      <c r="AC332" s="8">
        <v>49.218000000000004</v>
      </c>
    </row>
    <row r="333" spans="1:29" ht="11.65" hidden="1" x14ac:dyDescent="0.35">
      <c r="A333" s="12">
        <v>316</v>
      </c>
      <c r="B333" s="10" t="s">
        <v>1015</v>
      </c>
      <c r="C333" s="36" t="s">
        <v>1056</v>
      </c>
      <c r="D333" s="9" t="s">
        <v>1057</v>
      </c>
      <c r="E333" s="9">
        <v>905</v>
      </c>
      <c r="F333" s="10" t="s">
        <v>921</v>
      </c>
      <c r="G333" s="9">
        <v>1840</v>
      </c>
      <c r="H333" s="9">
        <v>1950</v>
      </c>
      <c r="I333" s="8">
        <v>9230.1820000000007</v>
      </c>
      <c r="J333" s="8">
        <v>7389.5140000000001</v>
      </c>
      <c r="K333" s="8">
        <v>6241.7690000000002</v>
      </c>
      <c r="L333" s="8">
        <v>6086.3739999999998</v>
      </c>
      <c r="M333" s="8">
        <v>6705.8450000000003</v>
      </c>
      <c r="N333" s="8">
        <v>7031.5929999999998</v>
      </c>
      <c r="O333" s="8">
        <v>6622.2740000000003</v>
      </c>
      <c r="P333" s="8">
        <v>6291.7340000000004</v>
      </c>
      <c r="Q333" s="8">
        <v>5767.1080000000002</v>
      </c>
      <c r="R333" s="8">
        <v>5109.1760000000004</v>
      </c>
      <c r="S333" s="8">
        <v>4668.7529999999997</v>
      </c>
      <c r="T333" s="8">
        <v>4130.1790000000001</v>
      </c>
      <c r="U333" s="8">
        <v>3621.24</v>
      </c>
      <c r="V333" s="8">
        <v>3069.5819999999999</v>
      </c>
      <c r="W333" s="8">
        <v>2015.0920000000001</v>
      </c>
      <c r="X333" s="8">
        <v>1285.4960000000001</v>
      </c>
      <c r="Y333" s="8">
        <v>616.14499999999998</v>
      </c>
      <c r="Z333" s="8">
        <v>325.59500000000003</v>
      </c>
      <c r="AA333" s="8">
        <v>126.905</v>
      </c>
      <c r="AB333" s="8">
        <v>32.749000000000002</v>
      </c>
      <c r="AC333" s="8">
        <v>5.202</v>
      </c>
    </row>
    <row r="334" spans="1:29" ht="11.65" hidden="1" x14ac:dyDescent="0.35">
      <c r="A334" s="12">
        <v>317</v>
      </c>
      <c r="B334" s="10" t="s">
        <v>1015</v>
      </c>
      <c r="C334" s="36" t="s">
        <v>1056</v>
      </c>
      <c r="D334" s="9" t="s">
        <v>1057</v>
      </c>
      <c r="E334" s="9">
        <v>905</v>
      </c>
      <c r="F334" s="10" t="s">
        <v>921</v>
      </c>
      <c r="G334" s="9">
        <v>1840</v>
      </c>
      <c r="H334" s="9">
        <v>1955</v>
      </c>
      <c r="I334" s="8">
        <v>10387.833000000001</v>
      </c>
      <c r="J334" s="8">
        <v>9251.2980000000007</v>
      </c>
      <c r="K334" s="8">
        <v>7474.7709999999997</v>
      </c>
      <c r="L334" s="8">
        <v>6246.2460000000001</v>
      </c>
      <c r="M334" s="8">
        <v>6123.84</v>
      </c>
      <c r="N334" s="8">
        <v>6728.1210000000001</v>
      </c>
      <c r="O334" s="8">
        <v>7063.4989999999998</v>
      </c>
      <c r="P334" s="8">
        <v>6621.348</v>
      </c>
      <c r="Q334" s="8">
        <v>6231.3040000000001</v>
      </c>
      <c r="R334" s="8">
        <v>5502.6980000000003</v>
      </c>
      <c r="S334" s="8">
        <v>5278.5280000000002</v>
      </c>
      <c r="T334" s="8">
        <v>4460.7299999999996</v>
      </c>
      <c r="U334" s="8">
        <v>3988.0610000000001</v>
      </c>
      <c r="V334" s="8">
        <v>3342.627</v>
      </c>
      <c r="W334" s="8">
        <v>2524.9430000000002</v>
      </c>
      <c r="X334" s="8">
        <v>1561.7570000000001</v>
      </c>
      <c r="Y334" s="8">
        <v>892.27300000000002</v>
      </c>
      <c r="Z334" s="8">
        <v>320.07299999999998</v>
      </c>
      <c r="AA334" s="8">
        <v>121.77</v>
      </c>
      <c r="AB334" s="8">
        <v>30.736999999999998</v>
      </c>
      <c r="AC334" s="8">
        <v>5.0979999999999999</v>
      </c>
    </row>
    <row r="335" spans="1:29" ht="11.65" hidden="1" x14ac:dyDescent="0.35">
      <c r="A335" s="12">
        <v>318</v>
      </c>
      <c r="B335" s="10" t="s">
        <v>1015</v>
      </c>
      <c r="C335" s="36" t="s">
        <v>1056</v>
      </c>
      <c r="D335" s="9" t="s">
        <v>1057</v>
      </c>
      <c r="E335" s="9">
        <v>905</v>
      </c>
      <c r="F335" s="10" t="s">
        <v>921</v>
      </c>
      <c r="G335" s="9">
        <v>1840</v>
      </c>
      <c r="H335" s="9">
        <v>1960</v>
      </c>
      <c r="I335" s="8">
        <v>11240.093999999999</v>
      </c>
      <c r="J335" s="8">
        <v>10442.306</v>
      </c>
      <c r="K335" s="8">
        <v>9321.8490000000002</v>
      </c>
      <c r="L335" s="8">
        <v>7444.049</v>
      </c>
      <c r="M335" s="8">
        <v>6381.0190000000002</v>
      </c>
      <c r="N335" s="8">
        <v>6249.2290000000003</v>
      </c>
      <c r="O335" s="8">
        <v>6833.5360000000001</v>
      </c>
      <c r="P335" s="8">
        <v>7093.1080000000002</v>
      </c>
      <c r="Q335" s="8">
        <v>6576.777</v>
      </c>
      <c r="R335" s="8">
        <v>6187.4809999999998</v>
      </c>
      <c r="S335" s="8">
        <v>5700.5230000000001</v>
      </c>
      <c r="T335" s="8">
        <v>5159.71</v>
      </c>
      <c r="U335" s="8">
        <v>4300.0129999999999</v>
      </c>
      <c r="V335" s="8">
        <v>3639.248</v>
      </c>
      <c r="W335" s="8">
        <v>2800.88</v>
      </c>
      <c r="X335" s="8">
        <v>2012.1610000000001</v>
      </c>
      <c r="Y335" s="8">
        <v>1069.9000000000001</v>
      </c>
      <c r="Z335" s="8">
        <v>469.072</v>
      </c>
      <c r="AA335" s="8">
        <v>119.69199999999999</v>
      </c>
      <c r="AB335" s="8">
        <v>29.193000000000001</v>
      </c>
      <c r="AC335" s="8">
        <v>4.5890000000000004</v>
      </c>
    </row>
    <row r="336" spans="1:29" ht="11.65" hidden="1" x14ac:dyDescent="0.35">
      <c r="A336" s="12">
        <v>319</v>
      </c>
      <c r="B336" s="10" t="s">
        <v>1015</v>
      </c>
      <c r="C336" s="36" t="s">
        <v>1056</v>
      </c>
      <c r="D336" s="9" t="s">
        <v>1057</v>
      </c>
      <c r="E336" s="9">
        <v>905</v>
      </c>
      <c r="F336" s="10" t="s">
        <v>921</v>
      </c>
      <c r="G336" s="9">
        <v>1840</v>
      </c>
      <c r="H336" s="9">
        <v>1965</v>
      </c>
      <c r="I336" s="8">
        <v>10776.436</v>
      </c>
      <c r="J336" s="8">
        <v>11308.192999999999</v>
      </c>
      <c r="K336" s="8">
        <v>10504.242</v>
      </c>
      <c r="L336" s="8">
        <v>9391.5889999999999</v>
      </c>
      <c r="M336" s="8">
        <v>7659.9459999999999</v>
      </c>
      <c r="N336" s="8">
        <v>6468.9709999999995</v>
      </c>
      <c r="O336" s="8">
        <v>6299.3130000000001</v>
      </c>
      <c r="P336" s="8">
        <v>6832.2820000000002</v>
      </c>
      <c r="Q336" s="8">
        <v>7049.9780000000001</v>
      </c>
      <c r="R336" s="8">
        <v>6488.2209999999995</v>
      </c>
      <c r="S336" s="8">
        <v>6010.2169999999996</v>
      </c>
      <c r="T336" s="8">
        <v>5602.3720000000003</v>
      </c>
      <c r="U336" s="8">
        <v>4807.0630000000001</v>
      </c>
      <c r="V336" s="8">
        <v>3946.3220000000001</v>
      </c>
      <c r="W336" s="8">
        <v>3211.7719999999999</v>
      </c>
      <c r="X336" s="8">
        <v>2271.779</v>
      </c>
      <c r="Y336" s="8">
        <v>1368.8869999999999</v>
      </c>
      <c r="Z336" s="8">
        <v>571.71100000000001</v>
      </c>
      <c r="AA336" s="8">
        <v>177.09299999999999</v>
      </c>
      <c r="AB336" s="8">
        <v>28.625</v>
      </c>
      <c r="AC336" s="8">
        <v>4.2050000000000001</v>
      </c>
    </row>
    <row r="337" spans="1:29" ht="11.65" hidden="1" x14ac:dyDescent="0.35">
      <c r="A337" s="12">
        <v>320</v>
      </c>
      <c r="B337" s="10" t="s">
        <v>1015</v>
      </c>
      <c r="C337" s="36" t="s">
        <v>1056</v>
      </c>
      <c r="D337" s="9" t="s">
        <v>1057</v>
      </c>
      <c r="E337" s="9">
        <v>905</v>
      </c>
      <c r="F337" s="10" t="s">
        <v>921</v>
      </c>
      <c r="G337" s="9">
        <v>1840</v>
      </c>
      <c r="H337" s="9">
        <v>1970</v>
      </c>
      <c r="I337" s="8">
        <v>9535.2819999999992</v>
      </c>
      <c r="J337" s="8">
        <v>10995.075999999999</v>
      </c>
      <c r="K337" s="8">
        <v>11378.03</v>
      </c>
      <c r="L337" s="8">
        <v>10592.402</v>
      </c>
      <c r="M337" s="8">
        <v>9526.6769999999997</v>
      </c>
      <c r="N337" s="8">
        <v>7719.1980000000003</v>
      </c>
      <c r="O337" s="8">
        <v>6565.2820000000002</v>
      </c>
      <c r="P337" s="8">
        <v>6329.5910000000003</v>
      </c>
      <c r="Q337" s="8">
        <v>6809.4489999999996</v>
      </c>
      <c r="R337" s="8">
        <v>6962.4290000000001</v>
      </c>
      <c r="S337" s="8">
        <v>6335.0230000000001</v>
      </c>
      <c r="T337" s="8">
        <v>5840.9459999999999</v>
      </c>
      <c r="U337" s="8">
        <v>5232.0039999999999</v>
      </c>
      <c r="V337" s="8">
        <v>4502.7330000000002</v>
      </c>
      <c r="W337" s="8">
        <v>3472.902</v>
      </c>
      <c r="X337" s="8">
        <v>2592.7579999999998</v>
      </c>
      <c r="Y337" s="8">
        <v>1618.5519999999999</v>
      </c>
      <c r="Z337" s="8">
        <v>757.08199999999999</v>
      </c>
      <c r="AA337" s="8">
        <v>224.97800000000001</v>
      </c>
      <c r="AB337" s="8">
        <v>44.164000000000001</v>
      </c>
      <c r="AC337" s="8">
        <v>4.3029999999999999</v>
      </c>
    </row>
    <row r="338" spans="1:29" ht="11.65" hidden="1" x14ac:dyDescent="0.35">
      <c r="A338" s="12">
        <v>321</v>
      </c>
      <c r="B338" s="10" t="s">
        <v>1015</v>
      </c>
      <c r="C338" s="36" t="s">
        <v>1056</v>
      </c>
      <c r="D338" s="9" t="s">
        <v>1057</v>
      </c>
      <c r="E338" s="9">
        <v>905</v>
      </c>
      <c r="F338" s="10" t="s">
        <v>921</v>
      </c>
      <c r="G338" s="9">
        <v>1840</v>
      </c>
      <c r="H338" s="9">
        <v>1975</v>
      </c>
      <c r="I338" s="8">
        <v>8937.8860000000004</v>
      </c>
      <c r="J338" s="8">
        <v>9674.3259999999991</v>
      </c>
      <c r="K338" s="8">
        <v>11142.36</v>
      </c>
      <c r="L338" s="8">
        <v>11538.628000000001</v>
      </c>
      <c r="M338" s="8">
        <v>10817.316999999999</v>
      </c>
      <c r="N338" s="8">
        <v>9713.2870000000003</v>
      </c>
      <c r="O338" s="8">
        <v>7929.3540000000003</v>
      </c>
      <c r="P338" s="8">
        <v>6583.6540000000005</v>
      </c>
      <c r="Q338" s="8">
        <v>6315.9229999999998</v>
      </c>
      <c r="R338" s="8">
        <v>6726.9809999999998</v>
      </c>
      <c r="S338" s="8">
        <v>6815.7330000000002</v>
      </c>
      <c r="T338" s="8">
        <v>6136.6970000000001</v>
      </c>
      <c r="U338" s="8">
        <v>5515.4589999999998</v>
      </c>
      <c r="V338" s="8">
        <v>4995.2790000000005</v>
      </c>
      <c r="W338" s="8">
        <v>3874.1239999999998</v>
      </c>
      <c r="X338" s="8">
        <v>2900.3890000000001</v>
      </c>
      <c r="Y338" s="8">
        <v>1971.48</v>
      </c>
      <c r="Z338" s="8">
        <v>940.71400000000006</v>
      </c>
      <c r="AA338" s="8">
        <v>319.24400000000003</v>
      </c>
      <c r="AB338" s="8">
        <v>60.892000000000003</v>
      </c>
      <c r="AC338" s="8">
        <v>6.9580000000000002</v>
      </c>
    </row>
    <row r="339" spans="1:29" ht="11.65" hidden="1" x14ac:dyDescent="0.35">
      <c r="A339" s="12">
        <v>322</v>
      </c>
      <c r="B339" s="10" t="s">
        <v>1015</v>
      </c>
      <c r="C339" s="36" t="s">
        <v>1056</v>
      </c>
      <c r="D339" s="9" t="s">
        <v>1057</v>
      </c>
      <c r="E339" s="9">
        <v>905</v>
      </c>
      <c r="F339" s="10" t="s">
        <v>921</v>
      </c>
      <c r="G339" s="9">
        <v>1840</v>
      </c>
      <c r="H339" s="9">
        <v>1980</v>
      </c>
      <c r="I339" s="8">
        <v>8905.4689999999991</v>
      </c>
      <c r="J339" s="8">
        <v>9032.7829999999994</v>
      </c>
      <c r="K339" s="8">
        <v>9882.1260000000002</v>
      </c>
      <c r="L339" s="8">
        <v>11387.333000000001</v>
      </c>
      <c r="M339" s="8">
        <v>11822.477000000001</v>
      </c>
      <c r="N339" s="8">
        <v>11015.593000000001</v>
      </c>
      <c r="O339" s="8">
        <v>9953.9639999999999</v>
      </c>
      <c r="P339" s="8">
        <v>7933.384</v>
      </c>
      <c r="Q339" s="8">
        <v>6638.4539999999997</v>
      </c>
      <c r="R339" s="8">
        <v>6312.5730000000003</v>
      </c>
      <c r="S339" s="8">
        <v>6693.52</v>
      </c>
      <c r="T339" s="8">
        <v>6721.3810000000003</v>
      </c>
      <c r="U339" s="8">
        <v>5946.1570000000002</v>
      </c>
      <c r="V339" s="8">
        <v>5315.41</v>
      </c>
      <c r="W339" s="8">
        <v>4469.6710000000003</v>
      </c>
      <c r="X339" s="8">
        <v>3383.422</v>
      </c>
      <c r="Y339" s="8">
        <v>2088.2620000000002</v>
      </c>
      <c r="Z339" s="8">
        <v>1222.248</v>
      </c>
      <c r="AA339" s="8">
        <v>435.20299999999997</v>
      </c>
      <c r="AB339" s="8">
        <v>97.531999999999996</v>
      </c>
      <c r="AC339" s="8">
        <v>11.069000000000001</v>
      </c>
    </row>
    <row r="340" spans="1:29" ht="11.65" hidden="1" x14ac:dyDescent="0.35">
      <c r="A340" s="12">
        <v>323</v>
      </c>
      <c r="B340" s="10" t="s">
        <v>1015</v>
      </c>
      <c r="C340" s="36" t="s">
        <v>1056</v>
      </c>
      <c r="D340" s="9" t="s">
        <v>1057</v>
      </c>
      <c r="E340" s="9">
        <v>905</v>
      </c>
      <c r="F340" s="10" t="s">
        <v>921</v>
      </c>
      <c r="G340" s="9">
        <v>1840</v>
      </c>
      <c r="H340" s="9">
        <v>1985</v>
      </c>
      <c r="I340" s="8">
        <v>9584.1730000000007</v>
      </c>
      <c r="J340" s="8">
        <v>9035.4419999999991</v>
      </c>
      <c r="K340" s="8">
        <v>9280.6110000000008</v>
      </c>
      <c r="L340" s="8">
        <v>10163.584000000001</v>
      </c>
      <c r="M340" s="8">
        <v>11628.743</v>
      </c>
      <c r="N340" s="8">
        <v>11999.706</v>
      </c>
      <c r="O340" s="8">
        <v>11253.762000000001</v>
      </c>
      <c r="P340" s="8">
        <v>9933.7389999999996</v>
      </c>
      <c r="Q340" s="8">
        <v>7972.8990000000003</v>
      </c>
      <c r="R340" s="8">
        <v>6590.2219999999998</v>
      </c>
      <c r="S340" s="8">
        <v>6249.8890000000001</v>
      </c>
      <c r="T340" s="8">
        <v>6537.64</v>
      </c>
      <c r="U340" s="8">
        <v>6432.2039999999997</v>
      </c>
      <c r="V340" s="8">
        <v>5676.8180000000002</v>
      </c>
      <c r="W340" s="8">
        <v>4746.8050000000003</v>
      </c>
      <c r="X340" s="8">
        <v>3829.922</v>
      </c>
      <c r="Y340" s="8">
        <v>2558.8870000000002</v>
      </c>
      <c r="Z340" s="8">
        <v>1326.5250000000001</v>
      </c>
      <c r="AA340" s="8">
        <v>586.11900000000003</v>
      </c>
      <c r="AB340" s="8">
        <v>138.994</v>
      </c>
      <c r="AC340" s="8">
        <v>18.622</v>
      </c>
    </row>
    <row r="341" spans="1:29" ht="11.65" hidden="1" x14ac:dyDescent="0.35">
      <c r="A341" s="12">
        <v>324</v>
      </c>
      <c r="B341" s="10" t="s">
        <v>1015</v>
      </c>
      <c r="C341" s="36" t="s">
        <v>1056</v>
      </c>
      <c r="D341" s="9" t="s">
        <v>1057</v>
      </c>
      <c r="E341" s="9">
        <v>905</v>
      </c>
      <c r="F341" s="10" t="s">
        <v>921</v>
      </c>
      <c r="G341" s="9">
        <v>1840</v>
      </c>
      <c r="H341" s="9">
        <v>1990</v>
      </c>
      <c r="I341" s="8">
        <v>10340.072</v>
      </c>
      <c r="J341" s="8">
        <v>9734.1370000000006</v>
      </c>
      <c r="K341" s="8">
        <v>9404.9750000000004</v>
      </c>
      <c r="L341" s="8">
        <v>9663.7459999999992</v>
      </c>
      <c r="M341" s="8">
        <v>10458.995000000001</v>
      </c>
      <c r="N341" s="8">
        <v>11736.316999999999</v>
      </c>
      <c r="O341" s="8">
        <v>12276.347</v>
      </c>
      <c r="P341" s="8">
        <v>11290.379000000001</v>
      </c>
      <c r="Q341" s="8">
        <v>10060.626</v>
      </c>
      <c r="R341" s="8">
        <v>7878.8410000000003</v>
      </c>
      <c r="S341" s="8">
        <v>6533.3180000000002</v>
      </c>
      <c r="T341" s="8">
        <v>6099.6859999999997</v>
      </c>
      <c r="U341" s="8">
        <v>6311.5649999999996</v>
      </c>
      <c r="V341" s="8">
        <v>6133.8109999999997</v>
      </c>
      <c r="W341" s="8">
        <v>5094.4260000000004</v>
      </c>
      <c r="X341" s="8">
        <v>4085.3159999999998</v>
      </c>
      <c r="Y341" s="8">
        <v>2914.0309999999999</v>
      </c>
      <c r="Z341" s="8">
        <v>1648.58</v>
      </c>
      <c r="AA341" s="8">
        <v>639.85400000000004</v>
      </c>
      <c r="AB341" s="8">
        <v>185.13</v>
      </c>
      <c r="AC341" s="8">
        <v>26.041</v>
      </c>
    </row>
    <row r="342" spans="1:29" ht="11.65" hidden="1" x14ac:dyDescent="0.35">
      <c r="A342" s="12">
        <v>325</v>
      </c>
      <c r="B342" s="10" t="s">
        <v>1015</v>
      </c>
      <c r="C342" s="36" t="s">
        <v>1056</v>
      </c>
      <c r="D342" s="9" t="s">
        <v>1057</v>
      </c>
      <c r="E342" s="9">
        <v>905</v>
      </c>
      <c r="F342" s="10" t="s">
        <v>921</v>
      </c>
      <c r="G342" s="9">
        <v>1840</v>
      </c>
      <c r="H342" s="9">
        <v>1995</v>
      </c>
      <c r="I342" s="8">
        <v>10725.841</v>
      </c>
      <c r="J342" s="8">
        <v>10507.436</v>
      </c>
      <c r="K342" s="8">
        <v>10192.697</v>
      </c>
      <c r="L342" s="8">
        <v>9850.0059999999994</v>
      </c>
      <c r="M342" s="8">
        <v>9928.4390000000003</v>
      </c>
      <c r="N342" s="8">
        <v>10732.406000000001</v>
      </c>
      <c r="O342" s="8">
        <v>12178.448</v>
      </c>
      <c r="P342" s="8">
        <v>12393.538</v>
      </c>
      <c r="Q342" s="8">
        <v>11312.365</v>
      </c>
      <c r="R342" s="8">
        <v>9879.1710000000003</v>
      </c>
      <c r="S342" s="8">
        <v>7823.7179999999998</v>
      </c>
      <c r="T342" s="8">
        <v>6395.9570000000003</v>
      </c>
      <c r="U342" s="8">
        <v>5899.1549999999997</v>
      </c>
      <c r="V342" s="8">
        <v>5970.73</v>
      </c>
      <c r="W342" s="8">
        <v>5487.5990000000002</v>
      </c>
      <c r="X342" s="8">
        <v>4366.4470000000001</v>
      </c>
      <c r="Y342" s="8">
        <v>3048.558</v>
      </c>
      <c r="Z342" s="8">
        <v>1917.037</v>
      </c>
      <c r="AA342" s="8">
        <v>819.78300000000002</v>
      </c>
      <c r="AB342" s="8">
        <v>207.76599999999999</v>
      </c>
      <c r="AC342" s="8">
        <v>35.875</v>
      </c>
    </row>
    <row r="343" spans="1:29" ht="11.65" hidden="1" x14ac:dyDescent="0.35">
      <c r="A343" s="12">
        <v>326</v>
      </c>
      <c r="B343" s="10" t="s">
        <v>1015</v>
      </c>
      <c r="C343" s="36" t="s">
        <v>1056</v>
      </c>
      <c r="D343" s="9" t="s">
        <v>1057</v>
      </c>
      <c r="E343" s="9">
        <v>905</v>
      </c>
      <c r="F343" s="10" t="s">
        <v>921</v>
      </c>
      <c r="G343" s="9">
        <v>1840</v>
      </c>
      <c r="H343" s="9">
        <v>2000</v>
      </c>
      <c r="I343" s="8">
        <v>10440.31</v>
      </c>
      <c r="J343" s="8">
        <v>11170.710999999999</v>
      </c>
      <c r="K343" s="8">
        <v>11122.422</v>
      </c>
      <c r="L343" s="8">
        <v>10729.127</v>
      </c>
      <c r="M343" s="8">
        <v>10340.941999999999</v>
      </c>
      <c r="N343" s="8">
        <v>10547.136</v>
      </c>
      <c r="O343" s="8">
        <v>11220.352999999999</v>
      </c>
      <c r="P343" s="8">
        <v>12455.75</v>
      </c>
      <c r="Q343" s="8">
        <v>12488.16</v>
      </c>
      <c r="R343" s="8">
        <v>11378.441000000001</v>
      </c>
      <c r="S343" s="8">
        <v>9980.7180000000008</v>
      </c>
      <c r="T343" s="8">
        <v>7729.7060000000001</v>
      </c>
      <c r="U343" s="8">
        <v>6286.5940000000001</v>
      </c>
      <c r="V343" s="8">
        <v>5664.51</v>
      </c>
      <c r="W343" s="8">
        <v>5448.6620000000003</v>
      </c>
      <c r="X343" s="8">
        <v>4795.3109999999997</v>
      </c>
      <c r="Y343" s="8">
        <v>3439.835</v>
      </c>
      <c r="Z343" s="8">
        <v>1991.6590000000001</v>
      </c>
      <c r="AA343" s="8">
        <v>928.33399999999995</v>
      </c>
      <c r="AB343" s="8">
        <v>252</v>
      </c>
      <c r="AC343" s="8">
        <v>37.533000000000001</v>
      </c>
    </row>
    <row r="344" spans="1:29" ht="11.65" hidden="1" x14ac:dyDescent="0.35">
      <c r="A344" s="12">
        <v>327</v>
      </c>
      <c r="B344" s="10" t="s">
        <v>1015</v>
      </c>
      <c r="C344" s="36" t="s">
        <v>1056</v>
      </c>
      <c r="D344" s="9" t="s">
        <v>1057</v>
      </c>
      <c r="E344" s="9">
        <v>905</v>
      </c>
      <c r="F344" s="10" t="s">
        <v>921</v>
      </c>
      <c r="G344" s="9">
        <v>1840</v>
      </c>
      <c r="H344" s="9">
        <v>2005</v>
      </c>
      <c r="I344" s="8">
        <v>10743.599</v>
      </c>
      <c r="J344" s="8">
        <v>10567.807000000001</v>
      </c>
      <c r="K344" s="8">
        <v>11550.344999999999</v>
      </c>
      <c r="L344" s="8">
        <v>11532.715</v>
      </c>
      <c r="M344" s="8">
        <v>11161.597</v>
      </c>
      <c r="N344" s="8">
        <v>10738.324000000001</v>
      </c>
      <c r="O344" s="8">
        <v>10885.737999999999</v>
      </c>
      <c r="P344" s="8">
        <v>11465.557000000001</v>
      </c>
      <c r="Q344" s="8">
        <v>12547.414000000001</v>
      </c>
      <c r="R344" s="8">
        <v>12475.553</v>
      </c>
      <c r="S344" s="8">
        <v>11337.119000000001</v>
      </c>
      <c r="T344" s="8">
        <v>9881.2970000000005</v>
      </c>
      <c r="U344" s="8">
        <v>7564.9539999999997</v>
      </c>
      <c r="V344" s="8">
        <v>6039.9110000000001</v>
      </c>
      <c r="W344" s="8">
        <v>5235.9369999999999</v>
      </c>
      <c r="X344" s="8">
        <v>4743.1270000000004</v>
      </c>
      <c r="Y344" s="8">
        <v>3693.2</v>
      </c>
      <c r="Z344" s="8">
        <v>2265.2489999999998</v>
      </c>
      <c r="AA344" s="8">
        <v>960.36</v>
      </c>
      <c r="AB344" s="8">
        <v>276.74599999999998</v>
      </c>
      <c r="AC344" s="8">
        <v>41.558999999999997</v>
      </c>
    </row>
    <row r="345" spans="1:29" ht="11.65" hidden="1" x14ac:dyDescent="0.35">
      <c r="A345" s="12">
        <v>328</v>
      </c>
      <c r="B345" s="10" t="s">
        <v>1015</v>
      </c>
      <c r="C345" s="36" t="s">
        <v>1056</v>
      </c>
      <c r="D345" s="9" t="s">
        <v>1057</v>
      </c>
      <c r="E345" s="9">
        <v>905</v>
      </c>
      <c r="F345" s="10" t="s">
        <v>921</v>
      </c>
      <c r="G345" s="9">
        <v>1840</v>
      </c>
      <c r="H345" s="9">
        <v>2010</v>
      </c>
      <c r="I345" s="8">
        <v>11130.901</v>
      </c>
      <c r="J345" s="8">
        <v>10973.33</v>
      </c>
      <c r="K345" s="8">
        <v>11147.503000000001</v>
      </c>
      <c r="L345" s="8">
        <v>11891.837</v>
      </c>
      <c r="M345" s="8">
        <v>11795.012000000001</v>
      </c>
      <c r="N345" s="8">
        <v>11487.022000000001</v>
      </c>
      <c r="O345" s="8">
        <v>11083.798000000001</v>
      </c>
      <c r="P345" s="8">
        <v>11159.606</v>
      </c>
      <c r="Q345" s="8">
        <v>11574.499</v>
      </c>
      <c r="R345" s="8">
        <v>12565.6</v>
      </c>
      <c r="S345" s="8">
        <v>12487.797</v>
      </c>
      <c r="T345" s="8">
        <v>11257.816000000001</v>
      </c>
      <c r="U345" s="8">
        <v>9682.0859999999993</v>
      </c>
      <c r="V345" s="8">
        <v>7295.8869999999997</v>
      </c>
      <c r="W345" s="8">
        <v>5599.5110000000004</v>
      </c>
      <c r="X345" s="8">
        <v>4596.7150000000001</v>
      </c>
      <c r="Y345" s="8">
        <v>3887.134</v>
      </c>
      <c r="Z345" s="8">
        <v>2540.6689999999999</v>
      </c>
      <c r="AA345" s="8">
        <v>1157.116</v>
      </c>
      <c r="AB345" s="8">
        <v>307.30099999999999</v>
      </c>
      <c r="AC345" s="8">
        <v>48.896999999999998</v>
      </c>
    </row>
    <row r="346" spans="1:29" ht="11.65" hidden="1" x14ac:dyDescent="0.35">
      <c r="A346" s="12">
        <v>329</v>
      </c>
      <c r="B346" s="10" t="s">
        <v>1015</v>
      </c>
      <c r="C346" s="36" t="s">
        <v>1056</v>
      </c>
      <c r="D346" s="9" t="s">
        <v>1057</v>
      </c>
      <c r="E346" s="9">
        <v>905</v>
      </c>
      <c r="F346" s="10" t="s">
        <v>921</v>
      </c>
      <c r="G346" s="9">
        <v>1840</v>
      </c>
      <c r="H346" s="9">
        <v>2015</v>
      </c>
      <c r="I346" s="8">
        <v>10696.522000000001</v>
      </c>
      <c r="J346" s="8">
        <v>11225.224</v>
      </c>
      <c r="K346" s="8">
        <v>11047.871999999999</v>
      </c>
      <c r="L346" s="8">
        <v>11515.547</v>
      </c>
      <c r="M346" s="8">
        <v>12516.214</v>
      </c>
      <c r="N346" s="8">
        <v>12304.782999999999</v>
      </c>
      <c r="O346" s="8">
        <v>11879.724</v>
      </c>
      <c r="P346" s="8">
        <v>11317.421</v>
      </c>
      <c r="Q346" s="8">
        <v>11276.584999999999</v>
      </c>
      <c r="R346" s="8">
        <v>11569.489</v>
      </c>
      <c r="S346" s="8">
        <v>12455.76</v>
      </c>
      <c r="T346" s="8">
        <v>12275.321</v>
      </c>
      <c r="U346" s="8">
        <v>10939.037</v>
      </c>
      <c r="V346" s="8">
        <v>9263.973</v>
      </c>
      <c r="W346" s="8">
        <v>6792.5619999999999</v>
      </c>
      <c r="X346" s="8">
        <v>4985.6819999999998</v>
      </c>
      <c r="Y346" s="8">
        <v>3769.7950000000001</v>
      </c>
      <c r="Z346" s="8">
        <v>2745.6190000000001</v>
      </c>
      <c r="AA346" s="8">
        <v>1360.6489999999999</v>
      </c>
      <c r="AB346" s="8">
        <v>394.50599999999997</v>
      </c>
      <c r="AC346" s="8">
        <v>59.27</v>
      </c>
    </row>
    <row r="347" spans="1:29" ht="11.65" hidden="1" x14ac:dyDescent="0.35">
      <c r="A347" s="12">
        <v>330</v>
      </c>
      <c r="B347" s="10" t="s">
        <v>1015</v>
      </c>
      <c r="C347" s="36" t="s">
        <v>1056</v>
      </c>
      <c r="D347" s="9" t="s">
        <v>1057</v>
      </c>
      <c r="E347" s="9">
        <v>905</v>
      </c>
      <c r="F347" s="10" t="s">
        <v>921</v>
      </c>
      <c r="G347" s="9">
        <v>1840</v>
      </c>
      <c r="H347" s="9">
        <v>2020</v>
      </c>
      <c r="I347" s="8">
        <v>10596.620999999999</v>
      </c>
      <c r="J347" s="8">
        <v>10768.118</v>
      </c>
      <c r="K347" s="8">
        <v>11284.431</v>
      </c>
      <c r="L347" s="8">
        <v>11383.442999999999</v>
      </c>
      <c r="M347" s="8">
        <v>12095.111000000001</v>
      </c>
      <c r="N347" s="8">
        <v>13038.538</v>
      </c>
      <c r="O347" s="8">
        <v>12664.445</v>
      </c>
      <c r="P347" s="8">
        <v>12091.084999999999</v>
      </c>
      <c r="Q347" s="8">
        <v>11418.459000000001</v>
      </c>
      <c r="R347" s="8">
        <v>11281.957</v>
      </c>
      <c r="S347" s="8">
        <v>11470.476000000001</v>
      </c>
      <c r="T347" s="8">
        <v>12223.601000000001</v>
      </c>
      <c r="U347" s="8">
        <v>11911.045</v>
      </c>
      <c r="V347" s="8">
        <v>10459.964</v>
      </c>
      <c r="W347" s="8">
        <v>8637.5380000000005</v>
      </c>
      <c r="X347" s="8">
        <v>6060.4319999999998</v>
      </c>
      <c r="Y347" s="8">
        <v>4115.6440000000002</v>
      </c>
      <c r="Z347" s="8">
        <v>2686.806</v>
      </c>
      <c r="AA347" s="8">
        <v>1517.575</v>
      </c>
      <c r="AB347" s="8">
        <v>500.41399999999999</v>
      </c>
      <c r="AC347" s="8">
        <v>83.418999999999997</v>
      </c>
    </row>
    <row r="348" spans="1:29" ht="11.65" hidden="1" x14ac:dyDescent="0.35">
      <c r="A348" s="12">
        <v>331</v>
      </c>
      <c r="B348" s="10" t="s">
        <v>1015</v>
      </c>
      <c r="C348" s="36" t="s">
        <v>1058</v>
      </c>
      <c r="D348" s="9" t="s">
        <v>1059</v>
      </c>
      <c r="E348" s="9">
        <v>909</v>
      </c>
      <c r="F348" s="10" t="s">
        <v>921</v>
      </c>
      <c r="G348" s="9">
        <v>1840</v>
      </c>
      <c r="H348" s="9">
        <v>1950</v>
      </c>
      <c r="I348" s="8">
        <v>770.48599999999999</v>
      </c>
      <c r="J348" s="8">
        <v>614.04499999999996</v>
      </c>
      <c r="K348" s="8">
        <v>518.56899999999996</v>
      </c>
      <c r="L348" s="8">
        <v>475.79399999999998</v>
      </c>
      <c r="M348" s="8">
        <v>501.47699999999998</v>
      </c>
      <c r="N348" s="8">
        <v>508.06200000000001</v>
      </c>
      <c r="O348" s="8">
        <v>464.45600000000002</v>
      </c>
      <c r="P348" s="8">
        <v>449.017</v>
      </c>
      <c r="Q348" s="8">
        <v>388.14400000000001</v>
      </c>
      <c r="R348" s="8">
        <v>337.863</v>
      </c>
      <c r="S348" s="8">
        <v>311.548</v>
      </c>
      <c r="T348" s="8">
        <v>281.40100000000001</v>
      </c>
      <c r="U348" s="8">
        <v>246.554</v>
      </c>
      <c r="V348" s="8">
        <v>196.233</v>
      </c>
      <c r="W348" s="8">
        <v>142.19999999999999</v>
      </c>
      <c r="X348" s="8">
        <v>87.302999999999997</v>
      </c>
      <c r="Y348" s="8">
        <v>47.704000000000001</v>
      </c>
      <c r="Z348" s="8">
        <v>20.329000000000001</v>
      </c>
      <c r="AA348" s="8">
        <v>6.1210000000000004</v>
      </c>
      <c r="AB348" s="8">
        <v>1.1399999999999999</v>
      </c>
      <c r="AC348" s="8">
        <v>0.12</v>
      </c>
    </row>
    <row r="349" spans="1:29" ht="11.65" hidden="1" x14ac:dyDescent="0.35">
      <c r="A349" s="12">
        <v>332</v>
      </c>
      <c r="B349" s="10" t="s">
        <v>1015</v>
      </c>
      <c r="C349" s="36" t="s">
        <v>1058</v>
      </c>
      <c r="D349" s="9" t="s">
        <v>1059</v>
      </c>
      <c r="E349" s="9">
        <v>909</v>
      </c>
      <c r="F349" s="10" t="s">
        <v>921</v>
      </c>
      <c r="G349" s="9">
        <v>1840</v>
      </c>
      <c r="H349" s="9">
        <v>1955</v>
      </c>
      <c r="I349" s="8">
        <v>867.23599999999999</v>
      </c>
      <c r="J349" s="8">
        <v>771.73</v>
      </c>
      <c r="K349" s="8">
        <v>620.49199999999996</v>
      </c>
      <c r="L349" s="8">
        <v>521.25300000000004</v>
      </c>
      <c r="M349" s="8">
        <v>480.39600000000002</v>
      </c>
      <c r="N349" s="8">
        <v>515.81700000000001</v>
      </c>
      <c r="O349" s="8">
        <v>522.36699999999996</v>
      </c>
      <c r="P349" s="8">
        <v>470.26400000000001</v>
      </c>
      <c r="Q349" s="8">
        <v>451.267</v>
      </c>
      <c r="R349" s="8">
        <v>383.291</v>
      </c>
      <c r="S349" s="8">
        <v>328.50599999999997</v>
      </c>
      <c r="T349" s="8">
        <v>296.048</v>
      </c>
      <c r="U349" s="8">
        <v>262.93799999999999</v>
      </c>
      <c r="V349" s="8">
        <v>221.15799999999999</v>
      </c>
      <c r="W349" s="8">
        <v>164.87200000000001</v>
      </c>
      <c r="X349" s="8">
        <v>106.126</v>
      </c>
      <c r="Y349" s="8">
        <v>58.597000000000001</v>
      </c>
      <c r="Z349" s="8">
        <v>21.783000000000001</v>
      </c>
      <c r="AA349" s="8">
        <v>6.3540000000000001</v>
      </c>
      <c r="AB349" s="8">
        <v>1.1080000000000001</v>
      </c>
      <c r="AC349" s="8">
        <v>0.112</v>
      </c>
    </row>
    <row r="350" spans="1:29" ht="11.65" hidden="1" x14ac:dyDescent="0.35">
      <c r="A350" s="12">
        <v>333</v>
      </c>
      <c r="B350" s="10" t="s">
        <v>1015</v>
      </c>
      <c r="C350" s="36" t="s">
        <v>1058</v>
      </c>
      <c r="D350" s="9" t="s">
        <v>1059</v>
      </c>
      <c r="E350" s="9">
        <v>909</v>
      </c>
      <c r="F350" s="10" t="s">
        <v>921</v>
      </c>
      <c r="G350" s="9">
        <v>1840</v>
      </c>
      <c r="H350" s="9">
        <v>1960</v>
      </c>
      <c r="I350" s="8">
        <v>961.05799999999999</v>
      </c>
      <c r="J350" s="8">
        <v>868.49400000000003</v>
      </c>
      <c r="K350" s="8">
        <v>785.57500000000005</v>
      </c>
      <c r="L350" s="8">
        <v>625.49199999999996</v>
      </c>
      <c r="M350" s="8">
        <v>539.21699999999998</v>
      </c>
      <c r="N350" s="8">
        <v>504.46100000000001</v>
      </c>
      <c r="O350" s="8">
        <v>532.22199999999998</v>
      </c>
      <c r="P350" s="8">
        <v>531.97799999999995</v>
      </c>
      <c r="Q350" s="8">
        <v>471.13099999999997</v>
      </c>
      <c r="R350" s="8">
        <v>446.31599999999997</v>
      </c>
      <c r="S350" s="8">
        <v>373.029</v>
      </c>
      <c r="T350" s="8">
        <v>314.03100000000001</v>
      </c>
      <c r="U350" s="8">
        <v>279.584</v>
      </c>
      <c r="V350" s="8">
        <v>239.08199999999999</v>
      </c>
      <c r="W350" s="8">
        <v>188.929</v>
      </c>
      <c r="X350" s="8">
        <v>125.55</v>
      </c>
      <c r="Y350" s="8">
        <v>71.751000000000005</v>
      </c>
      <c r="Z350" s="8">
        <v>27.231000000000002</v>
      </c>
      <c r="AA350" s="8">
        <v>7.242</v>
      </c>
      <c r="AB350" s="8">
        <v>1.2569999999999999</v>
      </c>
      <c r="AC350" s="8">
        <v>0.11799999999999999</v>
      </c>
    </row>
    <row r="351" spans="1:29" ht="11.65" hidden="1" x14ac:dyDescent="0.35">
      <c r="A351" s="12">
        <v>334</v>
      </c>
      <c r="B351" s="10" t="s">
        <v>1015</v>
      </c>
      <c r="C351" s="36" t="s">
        <v>1058</v>
      </c>
      <c r="D351" s="9" t="s">
        <v>1059</v>
      </c>
      <c r="E351" s="9">
        <v>909</v>
      </c>
      <c r="F351" s="10" t="s">
        <v>921</v>
      </c>
      <c r="G351" s="9">
        <v>1840</v>
      </c>
      <c r="H351" s="9">
        <v>1965</v>
      </c>
      <c r="I351" s="8">
        <v>1033.0239999999999</v>
      </c>
      <c r="J351" s="8">
        <v>968.79300000000001</v>
      </c>
      <c r="K351" s="8">
        <v>881.37400000000002</v>
      </c>
      <c r="L351" s="8">
        <v>796.798</v>
      </c>
      <c r="M351" s="8">
        <v>643.904</v>
      </c>
      <c r="N351" s="8">
        <v>564.44799999999998</v>
      </c>
      <c r="O351" s="8">
        <v>519.35699999999997</v>
      </c>
      <c r="P351" s="8">
        <v>542.14</v>
      </c>
      <c r="Q351" s="8">
        <v>534.49199999999996</v>
      </c>
      <c r="R351" s="8">
        <v>466.14600000000002</v>
      </c>
      <c r="S351" s="8">
        <v>435.33300000000003</v>
      </c>
      <c r="T351" s="8">
        <v>359.74900000000002</v>
      </c>
      <c r="U351" s="8">
        <v>297.44600000000003</v>
      </c>
      <c r="V351" s="8">
        <v>257.23700000000002</v>
      </c>
      <c r="W351" s="8">
        <v>207.51499999999999</v>
      </c>
      <c r="X351" s="8">
        <v>146.626</v>
      </c>
      <c r="Y351" s="8">
        <v>84.947999999999993</v>
      </c>
      <c r="Z351" s="8">
        <v>34.975999999999999</v>
      </c>
      <c r="AA351" s="8">
        <v>9.4890000000000008</v>
      </c>
      <c r="AB351" s="8">
        <v>1.508</v>
      </c>
      <c r="AC351" s="8">
        <v>0.14299999999999999</v>
      </c>
    </row>
    <row r="352" spans="1:29" ht="11.65" hidden="1" x14ac:dyDescent="0.35">
      <c r="A352" s="12">
        <v>335</v>
      </c>
      <c r="B352" s="10" t="s">
        <v>1015</v>
      </c>
      <c r="C352" s="36" t="s">
        <v>1058</v>
      </c>
      <c r="D352" s="9" t="s">
        <v>1059</v>
      </c>
      <c r="E352" s="9">
        <v>909</v>
      </c>
      <c r="F352" s="10" t="s">
        <v>921</v>
      </c>
      <c r="G352" s="9">
        <v>1840</v>
      </c>
      <c r="H352" s="9">
        <v>1970</v>
      </c>
      <c r="I352" s="8">
        <v>1102.2059999999999</v>
      </c>
      <c r="J352" s="8">
        <v>1063.9259999999999</v>
      </c>
      <c r="K352" s="8">
        <v>1016.829</v>
      </c>
      <c r="L352" s="8">
        <v>900.40099999999995</v>
      </c>
      <c r="M352" s="8">
        <v>844.93600000000004</v>
      </c>
      <c r="N352" s="8">
        <v>676.25199999999995</v>
      </c>
      <c r="O352" s="8">
        <v>589.54200000000003</v>
      </c>
      <c r="P352" s="8">
        <v>537.12099999999998</v>
      </c>
      <c r="Q352" s="8">
        <v>558.41499999999996</v>
      </c>
      <c r="R352" s="8">
        <v>541.56700000000001</v>
      </c>
      <c r="S352" s="8">
        <v>460.78</v>
      </c>
      <c r="T352" s="8">
        <v>421.64</v>
      </c>
      <c r="U352" s="8">
        <v>351.548</v>
      </c>
      <c r="V352" s="8">
        <v>274.31400000000002</v>
      </c>
      <c r="W352" s="8">
        <v>223.334</v>
      </c>
      <c r="X352" s="8">
        <v>158.708</v>
      </c>
      <c r="Y352" s="8">
        <v>94.837000000000003</v>
      </c>
      <c r="Z352" s="8">
        <v>41.985999999999997</v>
      </c>
      <c r="AA352" s="8">
        <v>12.317</v>
      </c>
      <c r="AB352" s="8">
        <v>1.9790000000000001</v>
      </c>
      <c r="AC352" s="8">
        <v>0.17100000000000001</v>
      </c>
    </row>
    <row r="353" spans="1:29" ht="11.65" hidden="1" x14ac:dyDescent="0.35">
      <c r="A353" s="12">
        <v>336</v>
      </c>
      <c r="B353" s="10" t="s">
        <v>1015</v>
      </c>
      <c r="C353" s="36" t="s">
        <v>1058</v>
      </c>
      <c r="D353" s="9" t="s">
        <v>1059</v>
      </c>
      <c r="E353" s="9">
        <v>909</v>
      </c>
      <c r="F353" s="10" t="s">
        <v>921</v>
      </c>
      <c r="G353" s="9">
        <v>1840</v>
      </c>
      <c r="H353" s="9">
        <v>1975</v>
      </c>
      <c r="I353" s="8">
        <v>1158.0239999999999</v>
      </c>
      <c r="J353" s="8">
        <v>1091.482</v>
      </c>
      <c r="K353" s="8">
        <v>1077.4459999999999</v>
      </c>
      <c r="L353" s="8">
        <v>1007.934</v>
      </c>
      <c r="M353" s="8">
        <v>916.02499999999998</v>
      </c>
      <c r="N353" s="8">
        <v>856.17</v>
      </c>
      <c r="O353" s="8">
        <v>691.14400000000001</v>
      </c>
      <c r="P353" s="8">
        <v>599.73299999999995</v>
      </c>
      <c r="Q353" s="8">
        <v>541.82100000000003</v>
      </c>
      <c r="R353" s="8">
        <v>545.95799999999997</v>
      </c>
      <c r="S353" s="8">
        <v>524.05499999999995</v>
      </c>
      <c r="T353" s="8">
        <v>443.33800000000002</v>
      </c>
      <c r="U353" s="8">
        <v>404.99200000000002</v>
      </c>
      <c r="V353" s="8">
        <v>321.42500000000001</v>
      </c>
      <c r="W353" s="8">
        <v>247.446</v>
      </c>
      <c r="X353" s="8">
        <v>176.56</v>
      </c>
      <c r="Y353" s="8">
        <v>115.413</v>
      </c>
      <c r="Z353" s="8">
        <v>48.841000000000001</v>
      </c>
      <c r="AA353" s="8">
        <v>15.52</v>
      </c>
      <c r="AB353" s="8">
        <v>2.75</v>
      </c>
      <c r="AC353" s="8">
        <v>0.23599999999999999</v>
      </c>
    </row>
    <row r="354" spans="1:29" ht="11.65" hidden="1" x14ac:dyDescent="0.35">
      <c r="A354" s="12">
        <v>337</v>
      </c>
      <c r="B354" s="10" t="s">
        <v>1015</v>
      </c>
      <c r="C354" s="36" t="s">
        <v>1058</v>
      </c>
      <c r="D354" s="9" t="s">
        <v>1059</v>
      </c>
      <c r="E354" s="9">
        <v>909</v>
      </c>
      <c r="F354" s="10" t="s">
        <v>921</v>
      </c>
      <c r="G354" s="9">
        <v>1840</v>
      </c>
      <c r="H354" s="9">
        <v>1980</v>
      </c>
      <c r="I354" s="8">
        <v>1112.1890000000001</v>
      </c>
      <c r="J354" s="8">
        <v>1152.973</v>
      </c>
      <c r="K354" s="8">
        <v>1100.2080000000001</v>
      </c>
      <c r="L354" s="8">
        <v>1080.5899999999999</v>
      </c>
      <c r="M354" s="8">
        <v>1002.001</v>
      </c>
      <c r="N354" s="8">
        <v>925.09900000000005</v>
      </c>
      <c r="O354" s="8">
        <v>863.02700000000004</v>
      </c>
      <c r="P354" s="8">
        <v>689.10799999999995</v>
      </c>
      <c r="Q354" s="8">
        <v>588.02499999999998</v>
      </c>
      <c r="R354" s="8">
        <v>527.26499999999999</v>
      </c>
      <c r="S354" s="8">
        <v>530.23800000000006</v>
      </c>
      <c r="T354" s="8">
        <v>502.77499999999998</v>
      </c>
      <c r="U354" s="8">
        <v>422.11700000000002</v>
      </c>
      <c r="V354" s="8">
        <v>374.673</v>
      </c>
      <c r="W354" s="8">
        <v>284.37099999999998</v>
      </c>
      <c r="X354" s="8">
        <v>198.87299999999999</v>
      </c>
      <c r="Y354" s="8">
        <v>127.441</v>
      </c>
      <c r="Z354" s="8">
        <v>64.338999999999999</v>
      </c>
      <c r="AA354" s="8">
        <v>19.934999999999999</v>
      </c>
      <c r="AB354" s="8">
        <v>3.99</v>
      </c>
      <c r="AC354" s="8">
        <v>0.38400000000000001</v>
      </c>
    </row>
    <row r="355" spans="1:29" ht="11.65" hidden="1" x14ac:dyDescent="0.35">
      <c r="A355" s="12">
        <v>338</v>
      </c>
      <c r="B355" s="10" t="s">
        <v>1015</v>
      </c>
      <c r="C355" s="36" t="s">
        <v>1058</v>
      </c>
      <c r="D355" s="9" t="s">
        <v>1059</v>
      </c>
      <c r="E355" s="9">
        <v>909</v>
      </c>
      <c r="F355" s="10" t="s">
        <v>921</v>
      </c>
      <c r="G355" s="9">
        <v>1840</v>
      </c>
      <c r="H355" s="9">
        <v>1985</v>
      </c>
      <c r="I355" s="8">
        <v>1183.4469999999999</v>
      </c>
      <c r="J355" s="8">
        <v>1120.43</v>
      </c>
      <c r="K355" s="8">
        <v>1169.9359999999999</v>
      </c>
      <c r="L355" s="8">
        <v>1109.4190000000001</v>
      </c>
      <c r="M355" s="8">
        <v>1083.433</v>
      </c>
      <c r="N355" s="8">
        <v>1023.646</v>
      </c>
      <c r="O355" s="8">
        <v>955.77599999999995</v>
      </c>
      <c r="P355" s="8">
        <v>875.76</v>
      </c>
      <c r="Q355" s="8">
        <v>691.67</v>
      </c>
      <c r="R355" s="8">
        <v>582.96600000000001</v>
      </c>
      <c r="S355" s="8">
        <v>517.35599999999999</v>
      </c>
      <c r="T355" s="8">
        <v>514.83699999999999</v>
      </c>
      <c r="U355" s="8">
        <v>486.39400000000001</v>
      </c>
      <c r="V355" s="8">
        <v>395.65699999999998</v>
      </c>
      <c r="W355" s="8">
        <v>337.61799999999999</v>
      </c>
      <c r="X355" s="8">
        <v>237.119</v>
      </c>
      <c r="Y355" s="8">
        <v>147.06800000000001</v>
      </c>
      <c r="Z355" s="8">
        <v>73.441999999999993</v>
      </c>
      <c r="AA355" s="8">
        <v>27.678000000000001</v>
      </c>
      <c r="AB355" s="8">
        <v>5.4089999999999998</v>
      </c>
      <c r="AC355" s="8">
        <v>0.60199999999999998</v>
      </c>
    </row>
    <row r="356" spans="1:29" ht="11.65" hidden="1" x14ac:dyDescent="0.35">
      <c r="A356" s="12">
        <v>339</v>
      </c>
      <c r="B356" s="10" t="s">
        <v>1015</v>
      </c>
      <c r="C356" s="36" t="s">
        <v>1058</v>
      </c>
      <c r="D356" s="9" t="s">
        <v>1059</v>
      </c>
      <c r="E356" s="9">
        <v>909</v>
      </c>
      <c r="F356" s="10" t="s">
        <v>921</v>
      </c>
      <c r="G356" s="9">
        <v>1840</v>
      </c>
      <c r="H356" s="9">
        <v>1990</v>
      </c>
      <c r="I356" s="8">
        <v>1252.838</v>
      </c>
      <c r="J356" s="8">
        <v>1197.8900000000001</v>
      </c>
      <c r="K356" s="8">
        <v>1140.5830000000001</v>
      </c>
      <c r="L356" s="8">
        <v>1186.1869999999999</v>
      </c>
      <c r="M356" s="8">
        <v>1120.318</v>
      </c>
      <c r="N356" s="8">
        <v>1118.2139999999999</v>
      </c>
      <c r="O356" s="8">
        <v>1066.393</v>
      </c>
      <c r="P356" s="8">
        <v>972.20899999999995</v>
      </c>
      <c r="Q356" s="8">
        <v>887.42899999999997</v>
      </c>
      <c r="R356" s="8">
        <v>689.66499999999996</v>
      </c>
      <c r="S356" s="8">
        <v>575.88300000000004</v>
      </c>
      <c r="T356" s="8">
        <v>512.52099999999996</v>
      </c>
      <c r="U356" s="8">
        <v>500.44200000000001</v>
      </c>
      <c r="V356" s="8">
        <v>459.87799999999999</v>
      </c>
      <c r="W356" s="8">
        <v>358.80599999999998</v>
      </c>
      <c r="X356" s="8">
        <v>284.89699999999999</v>
      </c>
      <c r="Y356" s="8">
        <v>179.73599999999999</v>
      </c>
      <c r="Z356" s="8">
        <v>86.507000000000005</v>
      </c>
      <c r="AA356" s="8">
        <v>31.821000000000002</v>
      </c>
      <c r="AB356" s="8">
        <v>7.415</v>
      </c>
      <c r="AC356" s="8">
        <v>0.80700000000000005</v>
      </c>
    </row>
    <row r="357" spans="1:29" ht="11.65" hidden="1" x14ac:dyDescent="0.35">
      <c r="A357" s="12">
        <v>340</v>
      </c>
      <c r="B357" s="10" t="s">
        <v>1015</v>
      </c>
      <c r="C357" s="36" t="s">
        <v>1058</v>
      </c>
      <c r="D357" s="9" t="s">
        <v>1059</v>
      </c>
      <c r="E357" s="9">
        <v>909</v>
      </c>
      <c r="F357" s="10" t="s">
        <v>921</v>
      </c>
      <c r="G357" s="9">
        <v>1840</v>
      </c>
      <c r="H357" s="9">
        <v>1995</v>
      </c>
      <c r="I357" s="8">
        <v>1320.873</v>
      </c>
      <c r="J357" s="8">
        <v>1257.527</v>
      </c>
      <c r="K357" s="8">
        <v>1212.3879999999999</v>
      </c>
      <c r="L357" s="8">
        <v>1156.0350000000001</v>
      </c>
      <c r="M357" s="8">
        <v>1190.547</v>
      </c>
      <c r="N357" s="8">
        <v>1134.7149999999999</v>
      </c>
      <c r="O357" s="8">
        <v>1147.373</v>
      </c>
      <c r="P357" s="8">
        <v>1081.5350000000001</v>
      </c>
      <c r="Q357" s="8">
        <v>983.81600000000003</v>
      </c>
      <c r="R357" s="8">
        <v>881.53099999999995</v>
      </c>
      <c r="S357" s="8">
        <v>679.822</v>
      </c>
      <c r="T357" s="8">
        <v>565.08799999999997</v>
      </c>
      <c r="U357" s="8">
        <v>497.15100000000001</v>
      </c>
      <c r="V357" s="8">
        <v>474.54500000000002</v>
      </c>
      <c r="W357" s="8">
        <v>421.53399999999999</v>
      </c>
      <c r="X357" s="8">
        <v>305.23099999999999</v>
      </c>
      <c r="Y357" s="8">
        <v>222.399</v>
      </c>
      <c r="Z357" s="8">
        <v>111.292</v>
      </c>
      <c r="AA357" s="8">
        <v>39.841000000000001</v>
      </c>
      <c r="AB357" s="8">
        <v>9.2569999999999997</v>
      </c>
      <c r="AC357" s="8">
        <v>1.1819999999999999</v>
      </c>
    </row>
    <row r="358" spans="1:29" ht="11.65" hidden="1" x14ac:dyDescent="0.35">
      <c r="A358" s="12">
        <v>341</v>
      </c>
      <c r="B358" s="10" t="s">
        <v>1015</v>
      </c>
      <c r="C358" s="36" t="s">
        <v>1058</v>
      </c>
      <c r="D358" s="9" t="s">
        <v>1059</v>
      </c>
      <c r="E358" s="9">
        <v>909</v>
      </c>
      <c r="F358" s="10" t="s">
        <v>921</v>
      </c>
      <c r="G358" s="9">
        <v>1840</v>
      </c>
      <c r="H358" s="9">
        <v>2000</v>
      </c>
      <c r="I358" s="8">
        <v>1353.7329999999999</v>
      </c>
      <c r="J358" s="8">
        <v>1326.1880000000001</v>
      </c>
      <c r="K358" s="8">
        <v>1266.028</v>
      </c>
      <c r="L358" s="8">
        <v>1215.027</v>
      </c>
      <c r="M358" s="8">
        <v>1139.7619999999999</v>
      </c>
      <c r="N358" s="8">
        <v>1203.521</v>
      </c>
      <c r="O358" s="8">
        <v>1151.7349999999999</v>
      </c>
      <c r="P358" s="8">
        <v>1169.0350000000001</v>
      </c>
      <c r="Q358" s="8">
        <v>1084.7529999999999</v>
      </c>
      <c r="R358" s="8">
        <v>976.65099999999995</v>
      </c>
      <c r="S358" s="8">
        <v>877.67600000000004</v>
      </c>
      <c r="T358" s="8">
        <v>662.11400000000003</v>
      </c>
      <c r="U358" s="8">
        <v>549.14499999999998</v>
      </c>
      <c r="V358" s="8">
        <v>469.53300000000002</v>
      </c>
      <c r="W358" s="8">
        <v>436.505</v>
      </c>
      <c r="X358" s="8">
        <v>368.37</v>
      </c>
      <c r="Y358" s="8">
        <v>238.80699999999999</v>
      </c>
      <c r="Z358" s="8">
        <v>142.11699999999999</v>
      </c>
      <c r="AA358" s="8">
        <v>52.363</v>
      </c>
      <c r="AB358" s="8">
        <v>11.534000000000001</v>
      </c>
      <c r="AC358" s="8">
        <v>1.4279999999999999</v>
      </c>
    </row>
    <row r="359" spans="1:29" ht="11.65" hidden="1" x14ac:dyDescent="0.35">
      <c r="A359" s="12">
        <v>342</v>
      </c>
      <c r="B359" s="10" t="s">
        <v>1015</v>
      </c>
      <c r="C359" s="36" t="s">
        <v>1058</v>
      </c>
      <c r="D359" s="9" t="s">
        <v>1059</v>
      </c>
      <c r="E359" s="9">
        <v>909</v>
      </c>
      <c r="F359" s="10" t="s">
        <v>921</v>
      </c>
      <c r="G359" s="9">
        <v>1840</v>
      </c>
      <c r="H359" s="9">
        <v>2005</v>
      </c>
      <c r="I359" s="8">
        <v>1381.211</v>
      </c>
      <c r="J359" s="8">
        <v>1355.817</v>
      </c>
      <c r="K359" s="8">
        <v>1335.14</v>
      </c>
      <c r="L359" s="8">
        <v>1284.665</v>
      </c>
      <c r="M359" s="8">
        <v>1257.654</v>
      </c>
      <c r="N359" s="8">
        <v>1167.932</v>
      </c>
      <c r="O359" s="8">
        <v>1242.049</v>
      </c>
      <c r="P359" s="8">
        <v>1174.9880000000001</v>
      </c>
      <c r="Q359" s="8">
        <v>1185.4100000000001</v>
      </c>
      <c r="R359" s="8">
        <v>1089.902</v>
      </c>
      <c r="S359" s="8">
        <v>959.33299999999997</v>
      </c>
      <c r="T359" s="8">
        <v>862.84799999999996</v>
      </c>
      <c r="U359" s="8">
        <v>644.49800000000005</v>
      </c>
      <c r="V359" s="8">
        <v>524.95000000000005</v>
      </c>
      <c r="W359" s="8">
        <v>433.108</v>
      </c>
      <c r="X359" s="8">
        <v>382.90100000000001</v>
      </c>
      <c r="Y359" s="8">
        <v>297.245</v>
      </c>
      <c r="Z359" s="8">
        <v>157.39099999999999</v>
      </c>
      <c r="AA359" s="8">
        <v>69.691999999999993</v>
      </c>
      <c r="AB359" s="8">
        <v>15.72</v>
      </c>
      <c r="AC359" s="8">
        <v>1.8149999999999999</v>
      </c>
    </row>
    <row r="360" spans="1:29" ht="11.65" hidden="1" x14ac:dyDescent="0.35">
      <c r="A360" s="12">
        <v>343</v>
      </c>
      <c r="B360" s="10" t="s">
        <v>1015</v>
      </c>
      <c r="C360" s="36" t="s">
        <v>1058</v>
      </c>
      <c r="D360" s="9" t="s">
        <v>1059</v>
      </c>
      <c r="E360" s="9">
        <v>909</v>
      </c>
      <c r="F360" s="10" t="s">
        <v>921</v>
      </c>
      <c r="G360" s="9">
        <v>1840</v>
      </c>
      <c r="H360" s="9">
        <v>2010</v>
      </c>
      <c r="I360" s="8">
        <v>1523.5260000000001</v>
      </c>
      <c r="J360" s="8">
        <v>1411.549</v>
      </c>
      <c r="K360" s="8">
        <v>1383.923</v>
      </c>
      <c r="L360" s="8">
        <v>1370.674</v>
      </c>
      <c r="M360" s="8">
        <v>1394.1420000000001</v>
      </c>
      <c r="N360" s="8">
        <v>1371.105</v>
      </c>
      <c r="O360" s="8">
        <v>1253.7860000000001</v>
      </c>
      <c r="P360" s="8">
        <v>1295.8610000000001</v>
      </c>
      <c r="Q360" s="8">
        <v>1203.807</v>
      </c>
      <c r="R360" s="8">
        <v>1194.335</v>
      </c>
      <c r="S360" s="8">
        <v>1079.1300000000001</v>
      </c>
      <c r="T360" s="8">
        <v>941.78599999999994</v>
      </c>
      <c r="U360" s="8">
        <v>834.85500000000002</v>
      </c>
      <c r="V360" s="8">
        <v>622.31600000000003</v>
      </c>
      <c r="W360" s="8">
        <v>489.62599999999998</v>
      </c>
      <c r="X360" s="8">
        <v>387.46499999999997</v>
      </c>
      <c r="Y360" s="8">
        <v>319.20100000000002</v>
      </c>
      <c r="Z360" s="8">
        <v>202.667</v>
      </c>
      <c r="AA360" s="8">
        <v>79.659000000000006</v>
      </c>
      <c r="AB360" s="8">
        <v>21.608000000000001</v>
      </c>
      <c r="AC360" s="8">
        <v>2.468</v>
      </c>
    </row>
    <row r="361" spans="1:29" ht="11.65" hidden="1" x14ac:dyDescent="0.35">
      <c r="A361" s="12">
        <v>344</v>
      </c>
      <c r="B361" s="10" t="s">
        <v>1015</v>
      </c>
      <c r="C361" s="36" t="s">
        <v>1058</v>
      </c>
      <c r="D361" s="9" t="s">
        <v>1059</v>
      </c>
      <c r="E361" s="9">
        <v>909</v>
      </c>
      <c r="F361" s="10" t="s">
        <v>921</v>
      </c>
      <c r="G361" s="9">
        <v>1840</v>
      </c>
      <c r="H361" s="9">
        <v>2015</v>
      </c>
      <c r="I361" s="8">
        <v>1601.2429999999999</v>
      </c>
      <c r="J361" s="8">
        <v>1551.1849999999999</v>
      </c>
      <c r="K361" s="8">
        <v>1439.751</v>
      </c>
      <c r="L361" s="8">
        <v>1435.184</v>
      </c>
      <c r="M361" s="8">
        <v>1465.963</v>
      </c>
      <c r="N361" s="8">
        <v>1484.1559999999999</v>
      </c>
      <c r="O361" s="8">
        <v>1441.326</v>
      </c>
      <c r="P361" s="8">
        <v>1300.211</v>
      </c>
      <c r="Q361" s="8">
        <v>1312.1679999999999</v>
      </c>
      <c r="R361" s="8">
        <v>1220.4369999999999</v>
      </c>
      <c r="S361" s="8">
        <v>1181.193</v>
      </c>
      <c r="T361" s="8">
        <v>1069.175</v>
      </c>
      <c r="U361" s="8">
        <v>918.68</v>
      </c>
      <c r="V361" s="8">
        <v>795.18700000000001</v>
      </c>
      <c r="W361" s="8">
        <v>579.03800000000001</v>
      </c>
      <c r="X361" s="8">
        <v>428.27100000000002</v>
      </c>
      <c r="Y361" s="8">
        <v>324.404</v>
      </c>
      <c r="Z361" s="8">
        <v>222.57400000000001</v>
      </c>
      <c r="AA361" s="8">
        <v>105.729</v>
      </c>
      <c r="AB361" s="8">
        <v>25.36</v>
      </c>
      <c r="AC361" s="8">
        <v>3.3769999999999998</v>
      </c>
    </row>
    <row r="362" spans="1:29" ht="11.65" hidden="1" x14ac:dyDescent="0.35">
      <c r="A362" s="12">
        <v>345</v>
      </c>
      <c r="B362" s="10" t="s">
        <v>1015</v>
      </c>
      <c r="C362" s="36" t="s">
        <v>1058</v>
      </c>
      <c r="D362" s="9" t="s">
        <v>1059</v>
      </c>
      <c r="E362" s="9">
        <v>909</v>
      </c>
      <c r="F362" s="10" t="s">
        <v>921</v>
      </c>
      <c r="G362" s="9">
        <v>1840</v>
      </c>
      <c r="H362" s="9">
        <v>2020</v>
      </c>
      <c r="I362" s="8">
        <v>1676.0029999999999</v>
      </c>
      <c r="J362" s="8">
        <v>1629.5150000000001</v>
      </c>
      <c r="K362" s="8">
        <v>1587.866</v>
      </c>
      <c r="L362" s="8">
        <v>1487.1780000000001</v>
      </c>
      <c r="M362" s="8">
        <v>1487.357</v>
      </c>
      <c r="N362" s="8">
        <v>1515.944</v>
      </c>
      <c r="O362" s="8">
        <v>1528.354</v>
      </c>
      <c r="P362" s="8">
        <v>1471.6130000000001</v>
      </c>
      <c r="Q362" s="8">
        <v>1313.441</v>
      </c>
      <c r="R362" s="8">
        <v>1313.4369999999999</v>
      </c>
      <c r="S362" s="8">
        <v>1208.7650000000001</v>
      </c>
      <c r="T362" s="8">
        <v>1161.0619999999999</v>
      </c>
      <c r="U362" s="8">
        <v>1041.3130000000001</v>
      </c>
      <c r="V362" s="8">
        <v>880.60199999999998</v>
      </c>
      <c r="W362" s="8">
        <v>744.37300000000005</v>
      </c>
      <c r="X362" s="8">
        <v>519.46400000000006</v>
      </c>
      <c r="Y362" s="8">
        <v>357.20100000000002</v>
      </c>
      <c r="Z362" s="8">
        <v>232.62</v>
      </c>
      <c r="AA362" s="8">
        <v>119.468</v>
      </c>
      <c r="AB362" s="8">
        <v>34.923999999999999</v>
      </c>
      <c r="AC362" s="8">
        <v>3.98</v>
      </c>
    </row>
    <row r="363" spans="1:29" ht="11.65" hidden="1" x14ac:dyDescent="0.35">
      <c r="A363" s="35">
        <v>346</v>
      </c>
      <c r="B363" s="33" t="s">
        <v>1015</v>
      </c>
      <c r="C363" s="34" t="s">
        <v>1060</v>
      </c>
      <c r="D363" s="32" t="s">
        <v>1061</v>
      </c>
      <c r="E363" s="32">
        <v>1828</v>
      </c>
      <c r="F363" s="33" t="s">
        <v>1020</v>
      </c>
      <c r="G363" s="32">
        <v>900</v>
      </c>
      <c r="H363" s="32">
        <v>1950</v>
      </c>
      <c r="I363" s="31" t="s">
        <v>1021</v>
      </c>
      <c r="J363" s="31" t="s">
        <v>1021</v>
      </c>
      <c r="K363" s="31" t="s">
        <v>1021</v>
      </c>
      <c r="L363" s="31" t="s">
        <v>1021</v>
      </c>
      <c r="M363" s="31" t="s">
        <v>1021</v>
      </c>
      <c r="N363" s="31" t="s">
        <v>1021</v>
      </c>
      <c r="O363" s="31" t="s">
        <v>1021</v>
      </c>
      <c r="P363" s="31" t="s">
        <v>1021</v>
      </c>
      <c r="Q363" s="31" t="s">
        <v>1021</v>
      </c>
      <c r="R363" s="31" t="s">
        <v>1021</v>
      </c>
      <c r="S363" s="31" t="s">
        <v>1021</v>
      </c>
      <c r="T363" s="31" t="s">
        <v>1021</v>
      </c>
      <c r="U363" s="31" t="s">
        <v>1021</v>
      </c>
      <c r="V363" s="31" t="s">
        <v>1021</v>
      </c>
      <c r="W363" s="31" t="s">
        <v>1021</v>
      </c>
      <c r="X363" s="31" t="s">
        <v>1021</v>
      </c>
      <c r="Y363" s="31" t="s">
        <v>1021</v>
      </c>
      <c r="Z363" s="31" t="s">
        <v>1021</v>
      </c>
      <c r="AA363" s="31" t="s">
        <v>1021</v>
      </c>
      <c r="AB363" s="31" t="s">
        <v>1021</v>
      </c>
      <c r="AC363" s="31" t="s">
        <v>1021</v>
      </c>
    </row>
    <row r="364" spans="1:29" ht="11.65" hidden="1" x14ac:dyDescent="0.35">
      <c r="A364" s="35">
        <v>347</v>
      </c>
      <c r="B364" s="33" t="s">
        <v>1015</v>
      </c>
      <c r="C364" s="34" t="s">
        <v>1060</v>
      </c>
      <c r="D364" s="32" t="s">
        <v>1061</v>
      </c>
      <c r="E364" s="32">
        <v>1828</v>
      </c>
      <c r="F364" s="33" t="s">
        <v>1020</v>
      </c>
      <c r="G364" s="32">
        <v>900</v>
      </c>
      <c r="H364" s="32">
        <v>1955</v>
      </c>
      <c r="I364" s="31" t="s">
        <v>1021</v>
      </c>
      <c r="J364" s="31" t="s">
        <v>1021</v>
      </c>
      <c r="K364" s="31" t="s">
        <v>1021</v>
      </c>
      <c r="L364" s="31" t="s">
        <v>1021</v>
      </c>
      <c r="M364" s="31" t="s">
        <v>1021</v>
      </c>
      <c r="N364" s="31" t="s">
        <v>1021</v>
      </c>
      <c r="O364" s="31" t="s">
        <v>1021</v>
      </c>
      <c r="P364" s="31" t="s">
        <v>1021</v>
      </c>
      <c r="Q364" s="31" t="s">
        <v>1021</v>
      </c>
      <c r="R364" s="31" t="s">
        <v>1021</v>
      </c>
      <c r="S364" s="31" t="s">
        <v>1021</v>
      </c>
      <c r="T364" s="31" t="s">
        <v>1021</v>
      </c>
      <c r="U364" s="31" t="s">
        <v>1021</v>
      </c>
      <c r="V364" s="31" t="s">
        <v>1021</v>
      </c>
      <c r="W364" s="31" t="s">
        <v>1021</v>
      </c>
      <c r="X364" s="31" t="s">
        <v>1021</v>
      </c>
      <c r="Y364" s="31" t="s">
        <v>1021</v>
      </c>
      <c r="Z364" s="31" t="s">
        <v>1021</v>
      </c>
      <c r="AA364" s="31" t="s">
        <v>1021</v>
      </c>
      <c r="AB364" s="31" t="s">
        <v>1021</v>
      </c>
      <c r="AC364" s="31" t="s">
        <v>1021</v>
      </c>
    </row>
    <row r="365" spans="1:29" ht="11.65" hidden="1" x14ac:dyDescent="0.35">
      <c r="A365" s="35">
        <v>348</v>
      </c>
      <c r="B365" s="33" t="s">
        <v>1015</v>
      </c>
      <c r="C365" s="34" t="s">
        <v>1060</v>
      </c>
      <c r="D365" s="32" t="s">
        <v>1061</v>
      </c>
      <c r="E365" s="32">
        <v>1828</v>
      </c>
      <c r="F365" s="33" t="s">
        <v>1020</v>
      </c>
      <c r="G365" s="32">
        <v>900</v>
      </c>
      <c r="H365" s="32">
        <v>1960</v>
      </c>
      <c r="I365" s="31" t="s">
        <v>1021</v>
      </c>
      <c r="J365" s="31" t="s">
        <v>1021</v>
      </c>
      <c r="K365" s="31" t="s">
        <v>1021</v>
      </c>
      <c r="L365" s="31" t="s">
        <v>1021</v>
      </c>
      <c r="M365" s="31" t="s">
        <v>1021</v>
      </c>
      <c r="N365" s="31" t="s">
        <v>1021</v>
      </c>
      <c r="O365" s="31" t="s">
        <v>1021</v>
      </c>
      <c r="P365" s="31" t="s">
        <v>1021</v>
      </c>
      <c r="Q365" s="31" t="s">
        <v>1021</v>
      </c>
      <c r="R365" s="31" t="s">
        <v>1021</v>
      </c>
      <c r="S365" s="31" t="s">
        <v>1021</v>
      </c>
      <c r="T365" s="31" t="s">
        <v>1021</v>
      </c>
      <c r="U365" s="31" t="s">
        <v>1021</v>
      </c>
      <c r="V365" s="31" t="s">
        <v>1021</v>
      </c>
      <c r="W365" s="31" t="s">
        <v>1021</v>
      </c>
      <c r="X365" s="31" t="s">
        <v>1021</v>
      </c>
      <c r="Y365" s="31" t="s">
        <v>1021</v>
      </c>
      <c r="Z365" s="31" t="s">
        <v>1021</v>
      </c>
      <c r="AA365" s="31" t="s">
        <v>1021</v>
      </c>
      <c r="AB365" s="31" t="s">
        <v>1021</v>
      </c>
      <c r="AC365" s="31" t="s">
        <v>1021</v>
      </c>
    </row>
    <row r="366" spans="1:29" ht="11.65" hidden="1" x14ac:dyDescent="0.35">
      <c r="A366" s="35">
        <v>349</v>
      </c>
      <c r="B366" s="33" t="s">
        <v>1015</v>
      </c>
      <c r="C366" s="34" t="s">
        <v>1060</v>
      </c>
      <c r="D366" s="32" t="s">
        <v>1061</v>
      </c>
      <c r="E366" s="32">
        <v>1828</v>
      </c>
      <c r="F366" s="33" t="s">
        <v>1020</v>
      </c>
      <c r="G366" s="32">
        <v>900</v>
      </c>
      <c r="H366" s="32">
        <v>1965</v>
      </c>
      <c r="I366" s="31" t="s">
        <v>1021</v>
      </c>
      <c r="J366" s="31" t="s">
        <v>1021</v>
      </c>
      <c r="K366" s="31" t="s">
        <v>1021</v>
      </c>
      <c r="L366" s="31" t="s">
        <v>1021</v>
      </c>
      <c r="M366" s="31" t="s">
        <v>1021</v>
      </c>
      <c r="N366" s="31" t="s">
        <v>1021</v>
      </c>
      <c r="O366" s="31" t="s">
        <v>1021</v>
      </c>
      <c r="P366" s="31" t="s">
        <v>1021</v>
      </c>
      <c r="Q366" s="31" t="s">
        <v>1021</v>
      </c>
      <c r="R366" s="31" t="s">
        <v>1021</v>
      </c>
      <c r="S366" s="31" t="s">
        <v>1021</v>
      </c>
      <c r="T366" s="31" t="s">
        <v>1021</v>
      </c>
      <c r="U366" s="31" t="s">
        <v>1021</v>
      </c>
      <c r="V366" s="31" t="s">
        <v>1021</v>
      </c>
      <c r="W366" s="31" t="s">
        <v>1021</v>
      </c>
      <c r="X366" s="31" t="s">
        <v>1021</v>
      </c>
      <c r="Y366" s="31" t="s">
        <v>1021</v>
      </c>
      <c r="Z366" s="31" t="s">
        <v>1021</v>
      </c>
      <c r="AA366" s="31" t="s">
        <v>1021</v>
      </c>
      <c r="AB366" s="31" t="s">
        <v>1021</v>
      </c>
      <c r="AC366" s="31" t="s">
        <v>1021</v>
      </c>
    </row>
    <row r="367" spans="1:29" ht="11.65" hidden="1" x14ac:dyDescent="0.35">
      <c r="A367" s="35">
        <v>350</v>
      </c>
      <c r="B367" s="33" t="s">
        <v>1015</v>
      </c>
      <c r="C367" s="34" t="s">
        <v>1060</v>
      </c>
      <c r="D367" s="32" t="s">
        <v>1061</v>
      </c>
      <c r="E367" s="32">
        <v>1828</v>
      </c>
      <c r="F367" s="33" t="s">
        <v>1020</v>
      </c>
      <c r="G367" s="32">
        <v>900</v>
      </c>
      <c r="H367" s="32">
        <v>1970</v>
      </c>
      <c r="I367" s="31" t="s">
        <v>1021</v>
      </c>
      <c r="J367" s="31" t="s">
        <v>1021</v>
      </c>
      <c r="K367" s="31" t="s">
        <v>1021</v>
      </c>
      <c r="L367" s="31" t="s">
        <v>1021</v>
      </c>
      <c r="M367" s="31" t="s">
        <v>1021</v>
      </c>
      <c r="N367" s="31" t="s">
        <v>1021</v>
      </c>
      <c r="O367" s="31" t="s">
        <v>1021</v>
      </c>
      <c r="P367" s="31" t="s">
        <v>1021</v>
      </c>
      <c r="Q367" s="31" t="s">
        <v>1021</v>
      </c>
      <c r="R367" s="31" t="s">
        <v>1021</v>
      </c>
      <c r="S367" s="31" t="s">
        <v>1021</v>
      </c>
      <c r="T367" s="31" t="s">
        <v>1021</v>
      </c>
      <c r="U367" s="31" t="s">
        <v>1021</v>
      </c>
      <c r="V367" s="31" t="s">
        <v>1021</v>
      </c>
      <c r="W367" s="31" t="s">
        <v>1021</v>
      </c>
      <c r="X367" s="31" t="s">
        <v>1021</v>
      </c>
      <c r="Y367" s="31" t="s">
        <v>1021</v>
      </c>
      <c r="Z367" s="31" t="s">
        <v>1021</v>
      </c>
      <c r="AA367" s="31" t="s">
        <v>1021</v>
      </c>
      <c r="AB367" s="31" t="s">
        <v>1021</v>
      </c>
      <c r="AC367" s="31" t="s">
        <v>1021</v>
      </c>
    </row>
    <row r="368" spans="1:29" ht="11.65" hidden="1" x14ac:dyDescent="0.35">
      <c r="A368" s="35">
        <v>351</v>
      </c>
      <c r="B368" s="33" t="s">
        <v>1015</v>
      </c>
      <c r="C368" s="34" t="s">
        <v>1060</v>
      </c>
      <c r="D368" s="32" t="s">
        <v>1061</v>
      </c>
      <c r="E368" s="32">
        <v>1828</v>
      </c>
      <c r="F368" s="33" t="s">
        <v>1020</v>
      </c>
      <c r="G368" s="32">
        <v>900</v>
      </c>
      <c r="H368" s="32">
        <v>1975</v>
      </c>
      <c r="I368" s="31" t="s">
        <v>1021</v>
      </c>
      <c r="J368" s="31" t="s">
        <v>1021</v>
      </c>
      <c r="K368" s="31" t="s">
        <v>1021</v>
      </c>
      <c r="L368" s="31" t="s">
        <v>1021</v>
      </c>
      <c r="M368" s="31" t="s">
        <v>1021</v>
      </c>
      <c r="N368" s="31" t="s">
        <v>1021</v>
      </c>
      <c r="O368" s="31" t="s">
        <v>1021</v>
      </c>
      <c r="P368" s="31" t="s">
        <v>1021</v>
      </c>
      <c r="Q368" s="31" t="s">
        <v>1021</v>
      </c>
      <c r="R368" s="31" t="s">
        <v>1021</v>
      </c>
      <c r="S368" s="31" t="s">
        <v>1021</v>
      </c>
      <c r="T368" s="31" t="s">
        <v>1021</v>
      </c>
      <c r="U368" s="31" t="s">
        <v>1021</v>
      </c>
      <c r="V368" s="31" t="s">
        <v>1021</v>
      </c>
      <c r="W368" s="31" t="s">
        <v>1021</v>
      </c>
      <c r="X368" s="31" t="s">
        <v>1021</v>
      </c>
      <c r="Y368" s="31" t="s">
        <v>1021</v>
      </c>
      <c r="Z368" s="31" t="s">
        <v>1021</v>
      </c>
      <c r="AA368" s="31" t="s">
        <v>1021</v>
      </c>
      <c r="AB368" s="31" t="s">
        <v>1021</v>
      </c>
      <c r="AC368" s="31" t="s">
        <v>1021</v>
      </c>
    </row>
    <row r="369" spans="1:29" ht="11.65" hidden="1" x14ac:dyDescent="0.35">
      <c r="A369" s="35">
        <v>352</v>
      </c>
      <c r="B369" s="33" t="s">
        <v>1015</v>
      </c>
      <c r="C369" s="34" t="s">
        <v>1060</v>
      </c>
      <c r="D369" s="32" t="s">
        <v>1061</v>
      </c>
      <c r="E369" s="32">
        <v>1828</v>
      </c>
      <c r="F369" s="33" t="s">
        <v>1020</v>
      </c>
      <c r="G369" s="32">
        <v>900</v>
      </c>
      <c r="H369" s="32">
        <v>1980</v>
      </c>
      <c r="I369" s="31" t="s">
        <v>1021</v>
      </c>
      <c r="J369" s="31" t="s">
        <v>1021</v>
      </c>
      <c r="K369" s="31" t="s">
        <v>1021</v>
      </c>
      <c r="L369" s="31" t="s">
        <v>1021</v>
      </c>
      <c r="M369" s="31" t="s">
        <v>1021</v>
      </c>
      <c r="N369" s="31" t="s">
        <v>1021</v>
      </c>
      <c r="O369" s="31" t="s">
        <v>1021</v>
      </c>
      <c r="P369" s="31" t="s">
        <v>1021</v>
      </c>
      <c r="Q369" s="31" t="s">
        <v>1021</v>
      </c>
      <c r="R369" s="31" t="s">
        <v>1021</v>
      </c>
      <c r="S369" s="31" t="s">
        <v>1021</v>
      </c>
      <c r="T369" s="31" t="s">
        <v>1021</v>
      </c>
      <c r="U369" s="31" t="s">
        <v>1021</v>
      </c>
      <c r="V369" s="31" t="s">
        <v>1021</v>
      </c>
      <c r="W369" s="31" t="s">
        <v>1021</v>
      </c>
      <c r="X369" s="31" t="s">
        <v>1021</v>
      </c>
      <c r="Y369" s="31" t="s">
        <v>1021</v>
      </c>
      <c r="Z369" s="31" t="s">
        <v>1021</v>
      </c>
      <c r="AA369" s="31" t="s">
        <v>1021</v>
      </c>
      <c r="AB369" s="31" t="s">
        <v>1021</v>
      </c>
      <c r="AC369" s="31" t="s">
        <v>1021</v>
      </c>
    </row>
    <row r="370" spans="1:29" ht="11.65" hidden="1" x14ac:dyDescent="0.35">
      <c r="A370" s="35">
        <v>353</v>
      </c>
      <c r="B370" s="33" t="s">
        <v>1015</v>
      </c>
      <c r="C370" s="34" t="s">
        <v>1060</v>
      </c>
      <c r="D370" s="32" t="s">
        <v>1061</v>
      </c>
      <c r="E370" s="32">
        <v>1828</v>
      </c>
      <c r="F370" s="33" t="s">
        <v>1020</v>
      </c>
      <c r="G370" s="32">
        <v>900</v>
      </c>
      <c r="H370" s="32">
        <v>1985</v>
      </c>
      <c r="I370" s="31" t="s">
        <v>1021</v>
      </c>
      <c r="J370" s="31" t="s">
        <v>1021</v>
      </c>
      <c r="K370" s="31" t="s">
        <v>1021</v>
      </c>
      <c r="L370" s="31" t="s">
        <v>1021</v>
      </c>
      <c r="M370" s="31" t="s">
        <v>1021</v>
      </c>
      <c r="N370" s="31" t="s">
        <v>1021</v>
      </c>
      <c r="O370" s="31" t="s">
        <v>1021</v>
      </c>
      <c r="P370" s="31" t="s">
        <v>1021</v>
      </c>
      <c r="Q370" s="31" t="s">
        <v>1021</v>
      </c>
      <c r="R370" s="31" t="s">
        <v>1021</v>
      </c>
      <c r="S370" s="31" t="s">
        <v>1021</v>
      </c>
      <c r="T370" s="31" t="s">
        <v>1021</v>
      </c>
      <c r="U370" s="31" t="s">
        <v>1021</v>
      </c>
      <c r="V370" s="31" t="s">
        <v>1021</v>
      </c>
      <c r="W370" s="31" t="s">
        <v>1021</v>
      </c>
      <c r="X370" s="31" t="s">
        <v>1021</v>
      </c>
      <c r="Y370" s="31" t="s">
        <v>1021</v>
      </c>
      <c r="Z370" s="31" t="s">
        <v>1021</v>
      </c>
      <c r="AA370" s="31" t="s">
        <v>1021</v>
      </c>
      <c r="AB370" s="31" t="s">
        <v>1021</v>
      </c>
      <c r="AC370" s="31" t="s">
        <v>1021</v>
      </c>
    </row>
    <row r="371" spans="1:29" ht="11.65" hidden="1" x14ac:dyDescent="0.35">
      <c r="A371" s="35">
        <v>354</v>
      </c>
      <c r="B371" s="33" t="s">
        <v>1015</v>
      </c>
      <c r="C371" s="34" t="s">
        <v>1060</v>
      </c>
      <c r="D371" s="32" t="s">
        <v>1061</v>
      </c>
      <c r="E371" s="32">
        <v>1828</v>
      </c>
      <c r="F371" s="33" t="s">
        <v>1020</v>
      </c>
      <c r="G371" s="32">
        <v>900</v>
      </c>
      <c r="H371" s="32">
        <v>1990</v>
      </c>
      <c r="I371" s="31" t="s">
        <v>1021</v>
      </c>
      <c r="J371" s="31" t="s">
        <v>1021</v>
      </c>
      <c r="K371" s="31" t="s">
        <v>1021</v>
      </c>
      <c r="L371" s="31" t="s">
        <v>1021</v>
      </c>
      <c r="M371" s="31" t="s">
        <v>1021</v>
      </c>
      <c r="N371" s="31" t="s">
        <v>1021</v>
      </c>
      <c r="O371" s="31" t="s">
        <v>1021</v>
      </c>
      <c r="P371" s="31" t="s">
        <v>1021</v>
      </c>
      <c r="Q371" s="31" t="s">
        <v>1021</v>
      </c>
      <c r="R371" s="31" t="s">
        <v>1021</v>
      </c>
      <c r="S371" s="31" t="s">
        <v>1021</v>
      </c>
      <c r="T371" s="31" t="s">
        <v>1021</v>
      </c>
      <c r="U371" s="31" t="s">
        <v>1021</v>
      </c>
      <c r="V371" s="31" t="s">
        <v>1021</v>
      </c>
      <c r="W371" s="31" t="s">
        <v>1021</v>
      </c>
      <c r="X371" s="31" t="s">
        <v>1021</v>
      </c>
      <c r="Y371" s="31" t="s">
        <v>1021</v>
      </c>
      <c r="Z371" s="31" t="s">
        <v>1021</v>
      </c>
      <c r="AA371" s="31" t="s">
        <v>1021</v>
      </c>
      <c r="AB371" s="31" t="s">
        <v>1021</v>
      </c>
      <c r="AC371" s="31" t="s">
        <v>1021</v>
      </c>
    </row>
    <row r="372" spans="1:29" ht="11.65" hidden="1" x14ac:dyDescent="0.35">
      <c r="A372" s="35">
        <v>355</v>
      </c>
      <c r="B372" s="33" t="s">
        <v>1015</v>
      </c>
      <c r="C372" s="34" t="s">
        <v>1060</v>
      </c>
      <c r="D372" s="32" t="s">
        <v>1061</v>
      </c>
      <c r="E372" s="32">
        <v>1828</v>
      </c>
      <c r="F372" s="33" t="s">
        <v>1020</v>
      </c>
      <c r="G372" s="32">
        <v>900</v>
      </c>
      <c r="H372" s="32">
        <v>1995</v>
      </c>
      <c r="I372" s="31" t="s">
        <v>1021</v>
      </c>
      <c r="J372" s="31" t="s">
        <v>1021</v>
      </c>
      <c r="K372" s="31" t="s">
        <v>1021</v>
      </c>
      <c r="L372" s="31" t="s">
        <v>1021</v>
      </c>
      <c r="M372" s="31" t="s">
        <v>1021</v>
      </c>
      <c r="N372" s="31" t="s">
        <v>1021</v>
      </c>
      <c r="O372" s="31" t="s">
        <v>1021</v>
      </c>
      <c r="P372" s="31" t="s">
        <v>1021</v>
      </c>
      <c r="Q372" s="31" t="s">
        <v>1021</v>
      </c>
      <c r="R372" s="31" t="s">
        <v>1021</v>
      </c>
      <c r="S372" s="31" t="s">
        <v>1021</v>
      </c>
      <c r="T372" s="31" t="s">
        <v>1021</v>
      </c>
      <c r="U372" s="31" t="s">
        <v>1021</v>
      </c>
      <c r="V372" s="31" t="s">
        <v>1021</v>
      </c>
      <c r="W372" s="31" t="s">
        <v>1021</v>
      </c>
      <c r="X372" s="31" t="s">
        <v>1021</v>
      </c>
      <c r="Y372" s="31" t="s">
        <v>1021</v>
      </c>
      <c r="Z372" s="31" t="s">
        <v>1021</v>
      </c>
      <c r="AA372" s="31" t="s">
        <v>1021</v>
      </c>
      <c r="AB372" s="31" t="s">
        <v>1021</v>
      </c>
      <c r="AC372" s="31" t="s">
        <v>1021</v>
      </c>
    </row>
    <row r="373" spans="1:29" ht="11.65" hidden="1" x14ac:dyDescent="0.35">
      <c r="A373" s="35">
        <v>356</v>
      </c>
      <c r="B373" s="33" t="s">
        <v>1015</v>
      </c>
      <c r="C373" s="34" t="s">
        <v>1060</v>
      </c>
      <c r="D373" s="32" t="s">
        <v>1061</v>
      </c>
      <c r="E373" s="32">
        <v>1828</v>
      </c>
      <c r="F373" s="33" t="s">
        <v>1020</v>
      </c>
      <c r="G373" s="32">
        <v>900</v>
      </c>
      <c r="H373" s="32">
        <v>2000</v>
      </c>
      <c r="I373" s="31" t="s">
        <v>1021</v>
      </c>
      <c r="J373" s="31" t="s">
        <v>1021</v>
      </c>
      <c r="K373" s="31" t="s">
        <v>1021</v>
      </c>
      <c r="L373" s="31" t="s">
        <v>1021</v>
      </c>
      <c r="M373" s="31" t="s">
        <v>1021</v>
      </c>
      <c r="N373" s="31" t="s">
        <v>1021</v>
      </c>
      <c r="O373" s="31" t="s">
        <v>1021</v>
      </c>
      <c r="P373" s="31" t="s">
        <v>1021</v>
      </c>
      <c r="Q373" s="31" t="s">
        <v>1021</v>
      </c>
      <c r="R373" s="31" t="s">
        <v>1021</v>
      </c>
      <c r="S373" s="31" t="s">
        <v>1021</v>
      </c>
      <c r="T373" s="31" t="s">
        <v>1021</v>
      </c>
      <c r="U373" s="31" t="s">
        <v>1021</v>
      </c>
      <c r="V373" s="31" t="s">
        <v>1021</v>
      </c>
      <c r="W373" s="31" t="s">
        <v>1021</v>
      </c>
      <c r="X373" s="31" t="s">
        <v>1021</v>
      </c>
      <c r="Y373" s="31" t="s">
        <v>1021</v>
      </c>
      <c r="Z373" s="31" t="s">
        <v>1021</v>
      </c>
      <c r="AA373" s="31" t="s">
        <v>1021</v>
      </c>
      <c r="AB373" s="31" t="s">
        <v>1021</v>
      </c>
      <c r="AC373" s="31" t="s">
        <v>1021</v>
      </c>
    </row>
    <row r="374" spans="1:29" ht="11.65" hidden="1" x14ac:dyDescent="0.35">
      <c r="A374" s="35">
        <v>357</v>
      </c>
      <c r="B374" s="33" t="s">
        <v>1015</v>
      </c>
      <c r="C374" s="34" t="s">
        <v>1060</v>
      </c>
      <c r="D374" s="32" t="s">
        <v>1061</v>
      </c>
      <c r="E374" s="32">
        <v>1828</v>
      </c>
      <c r="F374" s="33" t="s">
        <v>1020</v>
      </c>
      <c r="G374" s="32">
        <v>900</v>
      </c>
      <c r="H374" s="32">
        <v>2005</v>
      </c>
      <c r="I374" s="31" t="s">
        <v>1021</v>
      </c>
      <c r="J374" s="31" t="s">
        <v>1021</v>
      </c>
      <c r="K374" s="31" t="s">
        <v>1021</v>
      </c>
      <c r="L374" s="31" t="s">
        <v>1021</v>
      </c>
      <c r="M374" s="31" t="s">
        <v>1021</v>
      </c>
      <c r="N374" s="31" t="s">
        <v>1021</v>
      </c>
      <c r="O374" s="31" t="s">
        <v>1021</v>
      </c>
      <c r="P374" s="31" t="s">
        <v>1021</v>
      </c>
      <c r="Q374" s="31" t="s">
        <v>1021</v>
      </c>
      <c r="R374" s="31" t="s">
        <v>1021</v>
      </c>
      <c r="S374" s="31" t="s">
        <v>1021</v>
      </c>
      <c r="T374" s="31" t="s">
        <v>1021</v>
      </c>
      <c r="U374" s="31" t="s">
        <v>1021</v>
      </c>
      <c r="V374" s="31" t="s">
        <v>1021</v>
      </c>
      <c r="W374" s="31" t="s">
        <v>1021</v>
      </c>
      <c r="X374" s="31" t="s">
        <v>1021</v>
      </c>
      <c r="Y374" s="31" t="s">
        <v>1021</v>
      </c>
      <c r="Z374" s="31" t="s">
        <v>1021</v>
      </c>
      <c r="AA374" s="31" t="s">
        <v>1021</v>
      </c>
      <c r="AB374" s="31" t="s">
        <v>1021</v>
      </c>
      <c r="AC374" s="31" t="s">
        <v>1021</v>
      </c>
    </row>
    <row r="375" spans="1:29" ht="11.65" hidden="1" x14ac:dyDescent="0.35">
      <c r="A375" s="35">
        <v>358</v>
      </c>
      <c r="B375" s="33" t="s">
        <v>1015</v>
      </c>
      <c r="C375" s="34" t="s">
        <v>1060</v>
      </c>
      <c r="D375" s="32" t="s">
        <v>1061</v>
      </c>
      <c r="E375" s="32">
        <v>1828</v>
      </c>
      <c r="F375" s="33" t="s">
        <v>1020</v>
      </c>
      <c r="G375" s="32">
        <v>900</v>
      </c>
      <c r="H375" s="32">
        <v>2010</v>
      </c>
      <c r="I375" s="31" t="s">
        <v>1021</v>
      </c>
      <c r="J375" s="31" t="s">
        <v>1021</v>
      </c>
      <c r="K375" s="31" t="s">
        <v>1021</v>
      </c>
      <c r="L375" s="31" t="s">
        <v>1021</v>
      </c>
      <c r="M375" s="31" t="s">
        <v>1021</v>
      </c>
      <c r="N375" s="31" t="s">
        <v>1021</v>
      </c>
      <c r="O375" s="31" t="s">
        <v>1021</v>
      </c>
      <c r="P375" s="31" t="s">
        <v>1021</v>
      </c>
      <c r="Q375" s="31" t="s">
        <v>1021</v>
      </c>
      <c r="R375" s="31" t="s">
        <v>1021</v>
      </c>
      <c r="S375" s="31" t="s">
        <v>1021</v>
      </c>
      <c r="T375" s="31" t="s">
        <v>1021</v>
      </c>
      <c r="U375" s="31" t="s">
        <v>1021</v>
      </c>
      <c r="V375" s="31" t="s">
        <v>1021</v>
      </c>
      <c r="W375" s="31" t="s">
        <v>1021</v>
      </c>
      <c r="X375" s="31" t="s">
        <v>1021</v>
      </c>
      <c r="Y375" s="31" t="s">
        <v>1021</v>
      </c>
      <c r="Z375" s="31" t="s">
        <v>1021</v>
      </c>
      <c r="AA375" s="31" t="s">
        <v>1021</v>
      </c>
      <c r="AB375" s="31" t="s">
        <v>1021</v>
      </c>
      <c r="AC375" s="31" t="s">
        <v>1021</v>
      </c>
    </row>
    <row r="376" spans="1:29" ht="11.65" hidden="1" x14ac:dyDescent="0.35">
      <c r="A376" s="35">
        <v>359</v>
      </c>
      <c r="B376" s="33" t="s">
        <v>1015</v>
      </c>
      <c r="C376" s="34" t="s">
        <v>1060</v>
      </c>
      <c r="D376" s="32" t="s">
        <v>1061</v>
      </c>
      <c r="E376" s="32">
        <v>1828</v>
      </c>
      <c r="F376" s="33" t="s">
        <v>1020</v>
      </c>
      <c r="G376" s="32">
        <v>900</v>
      </c>
      <c r="H376" s="32">
        <v>2015</v>
      </c>
      <c r="I376" s="31" t="s">
        <v>1021</v>
      </c>
      <c r="J376" s="31" t="s">
        <v>1021</v>
      </c>
      <c r="K376" s="31" t="s">
        <v>1021</v>
      </c>
      <c r="L376" s="31" t="s">
        <v>1021</v>
      </c>
      <c r="M376" s="31" t="s">
        <v>1021</v>
      </c>
      <c r="N376" s="31" t="s">
        <v>1021</v>
      </c>
      <c r="O376" s="31" t="s">
        <v>1021</v>
      </c>
      <c r="P376" s="31" t="s">
        <v>1021</v>
      </c>
      <c r="Q376" s="31" t="s">
        <v>1021</v>
      </c>
      <c r="R376" s="31" t="s">
        <v>1021</v>
      </c>
      <c r="S376" s="31" t="s">
        <v>1021</v>
      </c>
      <c r="T376" s="31" t="s">
        <v>1021</v>
      </c>
      <c r="U376" s="31" t="s">
        <v>1021</v>
      </c>
      <c r="V376" s="31" t="s">
        <v>1021</v>
      </c>
      <c r="W376" s="31" t="s">
        <v>1021</v>
      </c>
      <c r="X376" s="31" t="s">
        <v>1021</v>
      </c>
      <c r="Y376" s="31" t="s">
        <v>1021</v>
      </c>
      <c r="Z376" s="31" t="s">
        <v>1021</v>
      </c>
      <c r="AA376" s="31" t="s">
        <v>1021</v>
      </c>
      <c r="AB376" s="31" t="s">
        <v>1021</v>
      </c>
      <c r="AC376" s="31" t="s">
        <v>1021</v>
      </c>
    </row>
    <row r="377" spans="1:29" ht="11.65" hidden="1" x14ac:dyDescent="0.35">
      <c r="A377" s="35">
        <v>360</v>
      </c>
      <c r="B377" s="33" t="s">
        <v>1015</v>
      </c>
      <c r="C377" s="34" t="s">
        <v>1060</v>
      </c>
      <c r="D377" s="32" t="s">
        <v>1061</v>
      </c>
      <c r="E377" s="32">
        <v>1828</v>
      </c>
      <c r="F377" s="33" t="s">
        <v>1020</v>
      </c>
      <c r="G377" s="32">
        <v>900</v>
      </c>
      <c r="H377" s="32">
        <v>2020</v>
      </c>
      <c r="I377" s="31" t="s">
        <v>1021</v>
      </c>
      <c r="J377" s="31" t="s">
        <v>1021</v>
      </c>
      <c r="K377" s="31" t="s">
        <v>1021</v>
      </c>
      <c r="L377" s="31" t="s">
        <v>1021</v>
      </c>
      <c r="M377" s="31" t="s">
        <v>1021</v>
      </c>
      <c r="N377" s="31" t="s">
        <v>1021</v>
      </c>
      <c r="O377" s="31" t="s">
        <v>1021</v>
      </c>
      <c r="P377" s="31" t="s">
        <v>1021</v>
      </c>
      <c r="Q377" s="31" t="s">
        <v>1021</v>
      </c>
      <c r="R377" s="31" t="s">
        <v>1021</v>
      </c>
      <c r="S377" s="31" t="s">
        <v>1021</v>
      </c>
      <c r="T377" s="31" t="s">
        <v>1021</v>
      </c>
      <c r="U377" s="31" t="s">
        <v>1021</v>
      </c>
      <c r="V377" s="31" t="s">
        <v>1021</v>
      </c>
      <c r="W377" s="31" t="s">
        <v>1021</v>
      </c>
      <c r="X377" s="31" t="s">
        <v>1021</v>
      </c>
      <c r="Y377" s="31" t="s">
        <v>1021</v>
      </c>
      <c r="Z377" s="31" t="s">
        <v>1021</v>
      </c>
      <c r="AA377" s="31" t="s">
        <v>1021</v>
      </c>
      <c r="AB377" s="31" t="s">
        <v>1021</v>
      </c>
      <c r="AC377" s="31" t="s">
        <v>1021</v>
      </c>
    </row>
    <row r="378" spans="1:29" ht="11.65" hidden="1" x14ac:dyDescent="0.35">
      <c r="A378" s="28">
        <v>361</v>
      </c>
      <c r="B378" s="26" t="s">
        <v>1015</v>
      </c>
      <c r="C378" s="27" t="s">
        <v>1062</v>
      </c>
      <c r="D378" s="25"/>
      <c r="E378" s="25">
        <v>947</v>
      </c>
      <c r="F378" s="26" t="s">
        <v>1063</v>
      </c>
      <c r="G378" s="25">
        <v>1828</v>
      </c>
      <c r="H378" s="25">
        <v>1950</v>
      </c>
      <c r="I378" s="24">
        <v>15129.106</v>
      </c>
      <c r="J378" s="24">
        <v>11925.200999999999</v>
      </c>
      <c r="K378" s="24">
        <v>10261.032999999999</v>
      </c>
      <c r="L378" s="24">
        <v>9028.7759999999998</v>
      </c>
      <c r="M378" s="24">
        <v>7861.482</v>
      </c>
      <c r="N378" s="24">
        <v>6789.5219999999999</v>
      </c>
      <c r="O378" s="24">
        <v>5856.1</v>
      </c>
      <c r="P378" s="24">
        <v>4972.78</v>
      </c>
      <c r="Q378" s="24">
        <v>4256.7820000000002</v>
      </c>
      <c r="R378" s="24">
        <v>3589.8870000000002</v>
      </c>
      <c r="S378" s="24">
        <v>3046.317</v>
      </c>
      <c r="T378" s="24">
        <v>2487.9969999999998</v>
      </c>
      <c r="U378" s="24">
        <v>1963.915</v>
      </c>
      <c r="V378" s="24">
        <v>1445.808</v>
      </c>
      <c r="W378" s="24">
        <v>950.73</v>
      </c>
      <c r="X378" s="24">
        <v>524.93200000000002</v>
      </c>
      <c r="Y378" s="24">
        <v>228.32599999999999</v>
      </c>
      <c r="Z378" s="24">
        <v>69.787000000000006</v>
      </c>
      <c r="AA378" s="24">
        <v>13.698</v>
      </c>
      <c r="AB378" s="24">
        <v>1.8029999999999999</v>
      </c>
      <c r="AC378" s="24">
        <v>0.157</v>
      </c>
    </row>
    <row r="379" spans="1:29" ht="11.65" hidden="1" x14ac:dyDescent="0.35">
      <c r="A379" s="28">
        <v>362</v>
      </c>
      <c r="B379" s="26" t="s">
        <v>1015</v>
      </c>
      <c r="C379" s="27" t="s">
        <v>1062</v>
      </c>
      <c r="D379" s="25"/>
      <c r="E379" s="25">
        <v>947</v>
      </c>
      <c r="F379" s="26" t="s">
        <v>1063</v>
      </c>
      <c r="G379" s="25">
        <v>1828</v>
      </c>
      <c r="H379" s="25">
        <v>1955</v>
      </c>
      <c r="I379" s="24">
        <v>17004.188999999998</v>
      </c>
      <c r="J379" s="24">
        <v>13228.433999999999</v>
      </c>
      <c r="K379" s="24">
        <v>11362.325999999999</v>
      </c>
      <c r="L379" s="24">
        <v>9892.7360000000008</v>
      </c>
      <c r="M379" s="24">
        <v>8643.3320000000003</v>
      </c>
      <c r="N379" s="24">
        <v>7474.31</v>
      </c>
      <c r="O379" s="24">
        <v>6419.7340000000004</v>
      </c>
      <c r="P379" s="24">
        <v>5507.8990000000003</v>
      </c>
      <c r="Q379" s="24">
        <v>4652.5540000000001</v>
      </c>
      <c r="R379" s="24">
        <v>3966.3090000000002</v>
      </c>
      <c r="S379" s="24">
        <v>3306.3969999999999</v>
      </c>
      <c r="T379" s="24">
        <v>2736.9009999999998</v>
      </c>
      <c r="U379" s="24">
        <v>2130.9140000000002</v>
      </c>
      <c r="V379" s="24">
        <v>1550.9780000000001</v>
      </c>
      <c r="W379" s="24">
        <v>1002.415</v>
      </c>
      <c r="X379" s="24">
        <v>538.5</v>
      </c>
      <c r="Y379" s="24">
        <v>220.09200000000001</v>
      </c>
      <c r="Z379" s="24">
        <v>63.587000000000003</v>
      </c>
      <c r="AA379" s="24">
        <v>12.018000000000001</v>
      </c>
      <c r="AB379" s="24">
        <v>1.3220000000000001</v>
      </c>
      <c r="AC379" s="24">
        <v>0.114</v>
      </c>
    </row>
    <row r="380" spans="1:29" ht="11.65" hidden="1" x14ac:dyDescent="0.35">
      <c r="A380" s="28">
        <v>363</v>
      </c>
      <c r="B380" s="26" t="s">
        <v>1015</v>
      </c>
      <c r="C380" s="27" t="s">
        <v>1062</v>
      </c>
      <c r="D380" s="25"/>
      <c r="E380" s="25">
        <v>947</v>
      </c>
      <c r="F380" s="26" t="s">
        <v>1063</v>
      </c>
      <c r="G380" s="25">
        <v>1828</v>
      </c>
      <c r="H380" s="25">
        <v>1960</v>
      </c>
      <c r="I380" s="24">
        <v>19235.613000000001</v>
      </c>
      <c r="J380" s="24">
        <v>15087.241</v>
      </c>
      <c r="K380" s="24">
        <v>12593.883</v>
      </c>
      <c r="L380" s="24">
        <v>10916.731</v>
      </c>
      <c r="M380" s="24">
        <v>9487.8520000000008</v>
      </c>
      <c r="N380" s="24">
        <v>8282.6710000000003</v>
      </c>
      <c r="O380" s="24">
        <v>7109.0450000000001</v>
      </c>
      <c r="P380" s="24">
        <v>6061.3440000000001</v>
      </c>
      <c r="Q380" s="24">
        <v>5170.527</v>
      </c>
      <c r="R380" s="24">
        <v>4346.6549999999997</v>
      </c>
      <c r="S380" s="24">
        <v>3662.5509999999999</v>
      </c>
      <c r="T380" s="24">
        <v>2981.0479999999998</v>
      </c>
      <c r="U380" s="24">
        <v>2360.203</v>
      </c>
      <c r="V380" s="24">
        <v>1699.1210000000001</v>
      </c>
      <c r="W380" s="24">
        <v>1094.9079999999999</v>
      </c>
      <c r="X380" s="24">
        <v>584.36800000000005</v>
      </c>
      <c r="Y380" s="24">
        <v>236.977</v>
      </c>
      <c r="Z380" s="24">
        <v>64.930999999999997</v>
      </c>
      <c r="AA380" s="24">
        <v>11.179</v>
      </c>
      <c r="AB380" s="24">
        <v>1.2030000000000001</v>
      </c>
      <c r="AC380" s="24">
        <v>8.7999999999999995E-2</v>
      </c>
    </row>
    <row r="381" spans="1:29" ht="11.65" hidden="1" x14ac:dyDescent="0.35">
      <c r="A381" s="28">
        <v>364</v>
      </c>
      <c r="B381" s="26" t="s">
        <v>1015</v>
      </c>
      <c r="C381" s="27" t="s">
        <v>1062</v>
      </c>
      <c r="D381" s="25"/>
      <c r="E381" s="25">
        <v>947</v>
      </c>
      <c r="F381" s="26" t="s">
        <v>1063</v>
      </c>
      <c r="G381" s="25">
        <v>1828</v>
      </c>
      <c r="H381" s="25">
        <v>1965</v>
      </c>
      <c r="I381" s="24">
        <v>21947.453000000001</v>
      </c>
      <c r="J381" s="24">
        <v>17279.917000000001</v>
      </c>
      <c r="K381" s="24">
        <v>14518.356</v>
      </c>
      <c r="L381" s="24">
        <v>12218.352999999999</v>
      </c>
      <c r="M381" s="24">
        <v>10516.008</v>
      </c>
      <c r="N381" s="24">
        <v>9082.2960000000003</v>
      </c>
      <c r="O381" s="24">
        <v>7893.3280000000004</v>
      </c>
      <c r="P381" s="24">
        <v>6742.9549999999999</v>
      </c>
      <c r="Q381" s="24">
        <v>5719.0110000000004</v>
      </c>
      <c r="R381" s="24">
        <v>4857.7460000000001</v>
      </c>
      <c r="S381" s="24">
        <v>4039.2040000000002</v>
      </c>
      <c r="T381" s="24">
        <v>3327.0529999999999</v>
      </c>
      <c r="U381" s="24">
        <v>2595.1669999999999</v>
      </c>
      <c r="V381" s="24">
        <v>1908.829</v>
      </c>
      <c r="W381" s="24">
        <v>1220.73</v>
      </c>
      <c r="X381" s="24">
        <v>656.02099999999996</v>
      </c>
      <c r="Y381" s="24">
        <v>265.96499999999997</v>
      </c>
      <c r="Z381" s="24">
        <v>72.911000000000001</v>
      </c>
      <c r="AA381" s="24">
        <v>11.853999999999999</v>
      </c>
      <c r="AB381" s="24">
        <v>1.169</v>
      </c>
      <c r="AC381" s="24">
        <v>8.3000000000000004E-2</v>
      </c>
    </row>
    <row r="382" spans="1:29" ht="11.65" hidden="1" x14ac:dyDescent="0.35">
      <c r="A382" s="28">
        <v>365</v>
      </c>
      <c r="B382" s="26" t="s">
        <v>1015</v>
      </c>
      <c r="C382" s="27" t="s">
        <v>1062</v>
      </c>
      <c r="D382" s="25"/>
      <c r="E382" s="25">
        <v>947</v>
      </c>
      <c r="F382" s="26" t="s">
        <v>1063</v>
      </c>
      <c r="G382" s="25">
        <v>1828</v>
      </c>
      <c r="H382" s="25">
        <v>1970</v>
      </c>
      <c r="I382" s="24">
        <v>25003.048999999999</v>
      </c>
      <c r="J382" s="24">
        <v>19936.045999999998</v>
      </c>
      <c r="K382" s="24">
        <v>16673.455999999998</v>
      </c>
      <c r="L382" s="24">
        <v>14063.652</v>
      </c>
      <c r="M382" s="24">
        <v>11865.757</v>
      </c>
      <c r="N382" s="24">
        <v>10161.717000000001</v>
      </c>
      <c r="O382" s="24">
        <v>8715.4359999999997</v>
      </c>
      <c r="P382" s="24">
        <v>7489.0159999999996</v>
      </c>
      <c r="Q382" s="24">
        <v>6368.866</v>
      </c>
      <c r="R382" s="24">
        <v>5363.2879999999996</v>
      </c>
      <c r="S382" s="24">
        <v>4514.5789999999997</v>
      </c>
      <c r="T382" s="24">
        <v>3664.8919999999998</v>
      </c>
      <c r="U382" s="24">
        <v>2908.7570000000001</v>
      </c>
      <c r="V382" s="24">
        <v>2108.538</v>
      </c>
      <c r="W382" s="24">
        <v>1386.9690000000001</v>
      </c>
      <c r="X382" s="24">
        <v>740.32299999999998</v>
      </c>
      <c r="Y382" s="24">
        <v>300.81</v>
      </c>
      <c r="Z382" s="24">
        <v>83.926000000000002</v>
      </c>
      <c r="AA382" s="24">
        <v>13.585000000000001</v>
      </c>
      <c r="AB382" s="24">
        <v>1.2709999999999999</v>
      </c>
      <c r="AC382" s="24">
        <v>8.8999999999999996E-2</v>
      </c>
    </row>
    <row r="383" spans="1:29" ht="11.65" hidden="1" x14ac:dyDescent="0.35">
      <c r="A383" s="28">
        <v>366</v>
      </c>
      <c r="B383" s="26" t="s">
        <v>1015</v>
      </c>
      <c r="C383" s="27" t="s">
        <v>1062</v>
      </c>
      <c r="D383" s="25"/>
      <c r="E383" s="25">
        <v>947</v>
      </c>
      <c r="F383" s="26" t="s">
        <v>1063</v>
      </c>
      <c r="G383" s="25">
        <v>1828</v>
      </c>
      <c r="H383" s="25">
        <v>1975</v>
      </c>
      <c r="I383" s="24">
        <v>29018.865000000002</v>
      </c>
      <c r="J383" s="24">
        <v>22930.149000000001</v>
      </c>
      <c r="K383" s="24">
        <v>19331.563999999998</v>
      </c>
      <c r="L383" s="24">
        <v>16270.226000000001</v>
      </c>
      <c r="M383" s="24">
        <v>13628.798000000001</v>
      </c>
      <c r="N383" s="24">
        <v>11424.065000000001</v>
      </c>
      <c r="O383" s="24">
        <v>9742.5550000000003</v>
      </c>
      <c r="P383" s="24">
        <v>8324.0409999999993</v>
      </c>
      <c r="Q383" s="24">
        <v>7120.1980000000003</v>
      </c>
      <c r="R383" s="24">
        <v>6025.8159999999998</v>
      </c>
      <c r="S383" s="24">
        <v>5023.8940000000002</v>
      </c>
      <c r="T383" s="24">
        <v>4143.8149999999996</v>
      </c>
      <c r="U383" s="24">
        <v>3237.4090000000001</v>
      </c>
      <c r="V383" s="24">
        <v>2403.857</v>
      </c>
      <c r="W383" s="24">
        <v>1562.0060000000001</v>
      </c>
      <c r="X383" s="24">
        <v>864.279</v>
      </c>
      <c r="Y383" s="24">
        <v>352.97</v>
      </c>
      <c r="Z383" s="24">
        <v>96.677000000000007</v>
      </c>
      <c r="AA383" s="24">
        <v>15.819000000000001</v>
      </c>
      <c r="AB383" s="24">
        <v>1.4770000000000001</v>
      </c>
      <c r="AC383" s="24">
        <v>9.9000000000000005E-2</v>
      </c>
    </row>
    <row r="384" spans="1:29" ht="11.65" hidden="1" x14ac:dyDescent="0.35">
      <c r="A384" s="28">
        <v>367</v>
      </c>
      <c r="B384" s="26" t="s">
        <v>1015</v>
      </c>
      <c r="C384" s="27" t="s">
        <v>1062</v>
      </c>
      <c r="D384" s="25"/>
      <c r="E384" s="25">
        <v>947</v>
      </c>
      <c r="F384" s="26" t="s">
        <v>1063</v>
      </c>
      <c r="G384" s="25">
        <v>1828</v>
      </c>
      <c r="H384" s="25">
        <v>1980</v>
      </c>
      <c r="I384" s="24">
        <v>33677.069000000003</v>
      </c>
      <c r="J384" s="24">
        <v>26795.455999999998</v>
      </c>
      <c r="K384" s="24">
        <v>22187.824000000001</v>
      </c>
      <c r="L384" s="24">
        <v>18798.194</v>
      </c>
      <c r="M384" s="24">
        <v>15831.319</v>
      </c>
      <c r="N384" s="24">
        <v>13213.790999999999</v>
      </c>
      <c r="O384" s="24">
        <v>11022.388000000001</v>
      </c>
      <c r="P384" s="24">
        <v>9355.2019999999993</v>
      </c>
      <c r="Q384" s="24">
        <v>7912.5460000000003</v>
      </c>
      <c r="R384" s="24">
        <v>6782.4740000000002</v>
      </c>
      <c r="S384" s="24">
        <v>5647.98</v>
      </c>
      <c r="T384" s="24">
        <v>4659.7269999999999</v>
      </c>
      <c r="U384" s="24">
        <v>3685.893</v>
      </c>
      <c r="V384" s="24">
        <v>2723.806</v>
      </c>
      <c r="W384" s="24">
        <v>1809.325</v>
      </c>
      <c r="X384" s="24">
        <v>1008.55</v>
      </c>
      <c r="Y384" s="24">
        <v>426.82299999999998</v>
      </c>
      <c r="Z384" s="24">
        <v>116.044</v>
      </c>
      <c r="AA384" s="24">
        <v>18.265999999999998</v>
      </c>
      <c r="AB384" s="24">
        <v>1.73</v>
      </c>
      <c r="AC384" s="24">
        <v>0.113</v>
      </c>
    </row>
    <row r="385" spans="1:29" ht="11.65" hidden="1" x14ac:dyDescent="0.35">
      <c r="A385" s="28">
        <v>368</v>
      </c>
      <c r="B385" s="26" t="s">
        <v>1015</v>
      </c>
      <c r="C385" s="27" t="s">
        <v>1062</v>
      </c>
      <c r="D385" s="25"/>
      <c r="E385" s="25">
        <v>947</v>
      </c>
      <c r="F385" s="26" t="s">
        <v>1063</v>
      </c>
      <c r="G385" s="25">
        <v>1828</v>
      </c>
      <c r="H385" s="25">
        <v>1985</v>
      </c>
      <c r="I385" s="24">
        <v>38717.557999999997</v>
      </c>
      <c r="J385" s="24">
        <v>31327.039000000001</v>
      </c>
      <c r="K385" s="24">
        <v>26099.87</v>
      </c>
      <c r="L385" s="24">
        <v>21721.982</v>
      </c>
      <c r="M385" s="24">
        <v>18280.324000000001</v>
      </c>
      <c r="N385" s="24">
        <v>15286.741</v>
      </c>
      <c r="O385" s="24">
        <v>12705.314</v>
      </c>
      <c r="P385" s="24">
        <v>10558.886</v>
      </c>
      <c r="Q385" s="24">
        <v>8925.8050000000003</v>
      </c>
      <c r="R385" s="24">
        <v>7523.0230000000001</v>
      </c>
      <c r="S385" s="24">
        <v>6384.576</v>
      </c>
      <c r="T385" s="24">
        <v>5226.2489999999998</v>
      </c>
      <c r="U385" s="24">
        <v>4163.8459999999995</v>
      </c>
      <c r="V385" s="24">
        <v>3101.3009999999999</v>
      </c>
      <c r="W385" s="24">
        <v>2068.5010000000002</v>
      </c>
      <c r="X385" s="24">
        <v>1166.9079999999999</v>
      </c>
      <c r="Y385" s="24">
        <v>499.88499999999999</v>
      </c>
      <c r="Z385" s="24">
        <v>142.85499999999999</v>
      </c>
      <c r="AA385" s="24">
        <v>22.53</v>
      </c>
      <c r="AB385" s="24">
        <v>2.0099999999999998</v>
      </c>
      <c r="AC385" s="24">
        <v>0.13800000000000001</v>
      </c>
    </row>
    <row r="386" spans="1:29" ht="11.65" hidden="1" x14ac:dyDescent="0.35">
      <c r="A386" s="28">
        <v>369</v>
      </c>
      <c r="B386" s="26" t="s">
        <v>1015</v>
      </c>
      <c r="C386" s="27" t="s">
        <v>1062</v>
      </c>
      <c r="D386" s="25"/>
      <c r="E386" s="25">
        <v>947</v>
      </c>
      <c r="F386" s="26" t="s">
        <v>1063</v>
      </c>
      <c r="G386" s="25">
        <v>1828</v>
      </c>
      <c r="H386" s="25">
        <v>1990</v>
      </c>
      <c r="I386" s="24">
        <v>43763.642</v>
      </c>
      <c r="J386" s="24">
        <v>36296.78</v>
      </c>
      <c r="K386" s="24">
        <v>30622.377</v>
      </c>
      <c r="L386" s="24">
        <v>25600.972000000002</v>
      </c>
      <c r="M386" s="24">
        <v>21203.963</v>
      </c>
      <c r="N386" s="24">
        <v>17695.632000000001</v>
      </c>
      <c r="O386" s="24">
        <v>14753.534</v>
      </c>
      <c r="P386" s="24">
        <v>12198.982</v>
      </c>
      <c r="Q386" s="24">
        <v>10129.535</v>
      </c>
      <c r="R386" s="24">
        <v>8496.1020000000008</v>
      </c>
      <c r="S386" s="24">
        <v>7094.8819999999996</v>
      </c>
      <c r="T386" s="24">
        <v>5919.3010000000004</v>
      </c>
      <c r="U386" s="24">
        <v>4696.7950000000001</v>
      </c>
      <c r="V386" s="24">
        <v>3536.6239999999998</v>
      </c>
      <c r="W386" s="24">
        <v>2389.047</v>
      </c>
      <c r="X386" s="24">
        <v>1358.104</v>
      </c>
      <c r="Y386" s="24">
        <v>594.22699999999998</v>
      </c>
      <c r="Z386" s="24">
        <v>171.876</v>
      </c>
      <c r="AA386" s="24">
        <v>28.68</v>
      </c>
      <c r="AB386" s="24">
        <v>2.6309999999999998</v>
      </c>
      <c r="AC386" s="24">
        <v>0.16500000000000001</v>
      </c>
    </row>
    <row r="387" spans="1:29" ht="11.65" hidden="1" x14ac:dyDescent="0.35">
      <c r="A387" s="28">
        <v>370</v>
      </c>
      <c r="B387" s="26" t="s">
        <v>1015</v>
      </c>
      <c r="C387" s="27" t="s">
        <v>1062</v>
      </c>
      <c r="D387" s="25"/>
      <c r="E387" s="25">
        <v>947</v>
      </c>
      <c r="F387" s="26" t="s">
        <v>1063</v>
      </c>
      <c r="G387" s="25">
        <v>1828</v>
      </c>
      <c r="H387" s="25">
        <v>1995</v>
      </c>
      <c r="I387" s="24">
        <v>48282.639000000003</v>
      </c>
      <c r="J387" s="24">
        <v>40978.934999999998</v>
      </c>
      <c r="K387" s="24">
        <v>35439.048000000003</v>
      </c>
      <c r="L387" s="24">
        <v>29876.77</v>
      </c>
      <c r="M387" s="24">
        <v>24867.460999999999</v>
      </c>
      <c r="N387" s="24">
        <v>20585.295999999998</v>
      </c>
      <c r="O387" s="24">
        <v>17114.921999999999</v>
      </c>
      <c r="P387" s="24">
        <v>14213.581</v>
      </c>
      <c r="Q387" s="24">
        <v>11658.949000000001</v>
      </c>
      <c r="R387" s="24">
        <v>9648.0409999999993</v>
      </c>
      <c r="S387" s="24">
        <v>8045.1189999999997</v>
      </c>
      <c r="T387" s="24">
        <v>6604.4690000000001</v>
      </c>
      <c r="U387" s="24">
        <v>5348.37</v>
      </c>
      <c r="V387" s="24">
        <v>4008.625</v>
      </c>
      <c r="W387" s="24">
        <v>2743.0729999999999</v>
      </c>
      <c r="X387" s="24">
        <v>1589.547</v>
      </c>
      <c r="Y387" s="24">
        <v>704.57799999999997</v>
      </c>
      <c r="Z387" s="24">
        <v>210.136</v>
      </c>
      <c r="AA387" s="24">
        <v>36.177</v>
      </c>
      <c r="AB387" s="24">
        <v>3.61</v>
      </c>
      <c r="AC387" s="24">
        <v>0.23200000000000001</v>
      </c>
    </row>
    <row r="388" spans="1:29" ht="11.65" hidden="1" x14ac:dyDescent="0.35">
      <c r="A388" s="28">
        <v>371</v>
      </c>
      <c r="B388" s="26" t="s">
        <v>1015</v>
      </c>
      <c r="C388" s="27" t="s">
        <v>1062</v>
      </c>
      <c r="D388" s="25"/>
      <c r="E388" s="25">
        <v>947</v>
      </c>
      <c r="F388" s="26" t="s">
        <v>1063</v>
      </c>
      <c r="G388" s="25">
        <v>1828</v>
      </c>
      <c r="H388" s="25">
        <v>2000</v>
      </c>
      <c r="I388" s="24">
        <v>54541.686999999998</v>
      </c>
      <c r="J388" s="24">
        <v>45789.724999999999</v>
      </c>
      <c r="K388" s="24">
        <v>40204.834000000003</v>
      </c>
      <c r="L388" s="24">
        <v>34846.474000000002</v>
      </c>
      <c r="M388" s="24">
        <v>29077.398000000001</v>
      </c>
      <c r="N388" s="24">
        <v>23967.058000000001</v>
      </c>
      <c r="O388" s="24">
        <v>19641.774000000001</v>
      </c>
      <c r="P388" s="24">
        <v>16259.142</v>
      </c>
      <c r="Q388" s="24">
        <v>13412.433999999999</v>
      </c>
      <c r="R388" s="24">
        <v>10971.296</v>
      </c>
      <c r="S388" s="24">
        <v>9014.1280000000006</v>
      </c>
      <c r="T388" s="24">
        <v>7416.1329999999998</v>
      </c>
      <c r="U388" s="24">
        <v>5907.0820000000003</v>
      </c>
      <c r="V388" s="24">
        <v>4546.4530000000004</v>
      </c>
      <c r="W388" s="24">
        <v>3090.5050000000001</v>
      </c>
      <c r="X388" s="24">
        <v>1843.3679999999999</v>
      </c>
      <c r="Y388" s="24">
        <v>833.33500000000004</v>
      </c>
      <c r="Z388" s="24">
        <v>248.32599999999999</v>
      </c>
      <c r="AA388" s="24">
        <v>44.2</v>
      </c>
      <c r="AB388" s="24">
        <v>4.7220000000000004</v>
      </c>
      <c r="AC388" s="24">
        <v>0.33200000000000002</v>
      </c>
    </row>
    <row r="389" spans="1:29" ht="11.65" hidden="1" x14ac:dyDescent="0.35">
      <c r="A389" s="28">
        <v>372</v>
      </c>
      <c r="B389" s="26" t="s">
        <v>1015</v>
      </c>
      <c r="C389" s="27" t="s">
        <v>1062</v>
      </c>
      <c r="D389" s="25"/>
      <c r="E389" s="25">
        <v>947</v>
      </c>
      <c r="F389" s="26" t="s">
        <v>1063</v>
      </c>
      <c r="G389" s="25">
        <v>1828</v>
      </c>
      <c r="H389" s="25">
        <v>2005</v>
      </c>
      <c r="I389" s="24">
        <v>61912.91</v>
      </c>
      <c r="J389" s="24">
        <v>52145.103999999999</v>
      </c>
      <c r="K389" s="24">
        <v>45004.925000000003</v>
      </c>
      <c r="L389" s="24">
        <v>39413.133999999998</v>
      </c>
      <c r="M389" s="24">
        <v>33809.184000000001</v>
      </c>
      <c r="N389" s="24">
        <v>27987.251</v>
      </c>
      <c r="O389" s="24">
        <v>22907.876</v>
      </c>
      <c r="P389" s="24">
        <v>18608.107</v>
      </c>
      <c r="Q389" s="24">
        <v>15297.433999999999</v>
      </c>
      <c r="R389" s="24">
        <v>12607.967000000001</v>
      </c>
      <c r="S389" s="24">
        <v>10247.198</v>
      </c>
      <c r="T389" s="24">
        <v>8305.9989999999998</v>
      </c>
      <c r="U389" s="24">
        <v>6634.2569999999996</v>
      </c>
      <c r="V389" s="24">
        <v>5004.0839999999998</v>
      </c>
      <c r="W389" s="24">
        <v>3516.5650000000001</v>
      </c>
      <c r="X389" s="24">
        <v>2057.623</v>
      </c>
      <c r="Y389" s="24">
        <v>967.21199999999999</v>
      </c>
      <c r="Z389" s="24">
        <v>299.64100000000002</v>
      </c>
      <c r="AA389" s="24">
        <v>54.429000000000002</v>
      </c>
      <c r="AB389" s="24">
        <v>6.1159999999999997</v>
      </c>
      <c r="AC389" s="24">
        <v>0.47599999999999998</v>
      </c>
    </row>
    <row r="390" spans="1:29" ht="11.65" hidden="1" x14ac:dyDescent="0.35">
      <c r="A390" s="28">
        <v>373</v>
      </c>
      <c r="B390" s="26" t="s">
        <v>1015</v>
      </c>
      <c r="C390" s="27" t="s">
        <v>1062</v>
      </c>
      <c r="D390" s="25"/>
      <c r="E390" s="25">
        <v>947</v>
      </c>
      <c r="F390" s="26" t="s">
        <v>1063</v>
      </c>
      <c r="G390" s="25">
        <v>1828</v>
      </c>
      <c r="H390" s="25">
        <v>2010</v>
      </c>
      <c r="I390" s="24">
        <v>70022.581999999995</v>
      </c>
      <c r="J390" s="24">
        <v>59740.442000000003</v>
      </c>
      <c r="K390" s="24">
        <v>51356.332000000002</v>
      </c>
      <c r="L390" s="24">
        <v>44336.216999999997</v>
      </c>
      <c r="M390" s="24">
        <v>38403.605000000003</v>
      </c>
      <c r="N390" s="24">
        <v>32717.764999999999</v>
      </c>
      <c r="O390" s="24">
        <v>26851.423999999999</v>
      </c>
      <c r="P390" s="24">
        <v>21860.787</v>
      </c>
      <c r="Q390" s="24">
        <v>17674.563999999998</v>
      </c>
      <c r="R390" s="24">
        <v>14528.63</v>
      </c>
      <c r="S390" s="24">
        <v>11887.491</v>
      </c>
      <c r="T390" s="24">
        <v>9520.2880000000005</v>
      </c>
      <c r="U390" s="24">
        <v>7507.3429999999998</v>
      </c>
      <c r="V390" s="24">
        <v>5685.7719999999999</v>
      </c>
      <c r="W390" s="24">
        <v>3926.6979999999999</v>
      </c>
      <c r="X390" s="24">
        <v>2396.076</v>
      </c>
      <c r="Y390" s="24">
        <v>1123.163</v>
      </c>
      <c r="Z390" s="24">
        <v>362.23200000000003</v>
      </c>
      <c r="AA390" s="24">
        <v>68.122</v>
      </c>
      <c r="AB390" s="24">
        <v>7.7809999999999997</v>
      </c>
      <c r="AC390" s="24">
        <v>0.63600000000000001</v>
      </c>
    </row>
    <row r="391" spans="1:29" ht="11.65" hidden="1" x14ac:dyDescent="0.35">
      <c r="A391" s="28">
        <v>374</v>
      </c>
      <c r="B391" s="26" t="s">
        <v>1015</v>
      </c>
      <c r="C391" s="27" t="s">
        <v>1062</v>
      </c>
      <c r="D391" s="25"/>
      <c r="E391" s="25">
        <v>947</v>
      </c>
      <c r="F391" s="26" t="s">
        <v>1063</v>
      </c>
      <c r="G391" s="25">
        <v>1828</v>
      </c>
      <c r="H391" s="25">
        <v>2015</v>
      </c>
      <c r="I391" s="24">
        <v>77604.226999999999</v>
      </c>
      <c r="J391" s="24">
        <v>68039.876000000004</v>
      </c>
      <c r="K391" s="24">
        <v>58907.945</v>
      </c>
      <c r="L391" s="24">
        <v>50673.978000000003</v>
      </c>
      <c r="M391" s="24">
        <v>43410.035000000003</v>
      </c>
      <c r="N391" s="24">
        <v>37315.053</v>
      </c>
      <c r="O391" s="24">
        <v>31632.239000000001</v>
      </c>
      <c r="P391" s="24">
        <v>25843.832999999999</v>
      </c>
      <c r="Q391" s="24">
        <v>20986.736000000001</v>
      </c>
      <c r="R391" s="24">
        <v>16937.064999999999</v>
      </c>
      <c r="S391" s="24">
        <v>13827.959000000001</v>
      </c>
      <c r="T391" s="24">
        <v>11164.71</v>
      </c>
      <c r="U391" s="24">
        <v>8708.9269999999997</v>
      </c>
      <c r="V391" s="24">
        <v>6537.7579999999998</v>
      </c>
      <c r="W391" s="24">
        <v>4545.83</v>
      </c>
      <c r="X391" s="24">
        <v>2731.06</v>
      </c>
      <c r="Y391" s="24">
        <v>1334.9459999999999</v>
      </c>
      <c r="Z391" s="24">
        <v>439.76499999999999</v>
      </c>
      <c r="AA391" s="24">
        <v>87.096999999999994</v>
      </c>
      <c r="AB391" s="24">
        <v>9.9239999999999995</v>
      </c>
      <c r="AC391" s="24">
        <v>0.83599999999999997</v>
      </c>
    </row>
    <row r="392" spans="1:29" ht="11.65" hidden="1" x14ac:dyDescent="0.35">
      <c r="A392" s="28">
        <v>375</v>
      </c>
      <c r="B392" s="26" t="s">
        <v>1015</v>
      </c>
      <c r="C392" s="27" t="s">
        <v>1062</v>
      </c>
      <c r="D392" s="25"/>
      <c r="E392" s="25">
        <v>947</v>
      </c>
      <c r="F392" s="26" t="s">
        <v>1063</v>
      </c>
      <c r="G392" s="25">
        <v>1828</v>
      </c>
      <c r="H392" s="25">
        <v>2020</v>
      </c>
      <c r="I392" s="24">
        <v>84213.778000000006</v>
      </c>
      <c r="J392" s="24">
        <v>75837.764999999999</v>
      </c>
      <c r="K392" s="24">
        <v>67248.899999999994</v>
      </c>
      <c r="L392" s="24">
        <v>58264.116000000002</v>
      </c>
      <c r="M392" s="24">
        <v>49854.394999999997</v>
      </c>
      <c r="N392" s="24">
        <v>42477.631000000001</v>
      </c>
      <c r="O392" s="24">
        <v>36391.089999999997</v>
      </c>
      <c r="P392" s="24">
        <v>30739.934000000001</v>
      </c>
      <c r="Q392" s="24">
        <v>25006.041000000001</v>
      </c>
      <c r="R392" s="24">
        <v>20227.038</v>
      </c>
      <c r="S392" s="24">
        <v>16198.798000000001</v>
      </c>
      <c r="T392" s="24">
        <v>13050.201999999999</v>
      </c>
      <c r="U392" s="24">
        <v>10279.868</v>
      </c>
      <c r="V392" s="24">
        <v>7654.4870000000001</v>
      </c>
      <c r="W392" s="24">
        <v>5302.7250000000004</v>
      </c>
      <c r="X392" s="24">
        <v>3226.0230000000001</v>
      </c>
      <c r="Y392" s="24">
        <v>1562.8820000000001</v>
      </c>
      <c r="Z392" s="24">
        <v>547.31600000000003</v>
      </c>
      <c r="AA392" s="24">
        <v>112.129</v>
      </c>
      <c r="AB392" s="24">
        <v>13.7</v>
      </c>
      <c r="AC392" s="24">
        <v>1.048</v>
      </c>
    </row>
    <row r="393" spans="1:29" ht="11.65" hidden="1" x14ac:dyDescent="0.35">
      <c r="A393" s="23">
        <v>376</v>
      </c>
      <c r="B393" s="21" t="s">
        <v>1015</v>
      </c>
      <c r="C393" s="29" t="s">
        <v>1064</v>
      </c>
      <c r="D393" s="20"/>
      <c r="E393" s="20">
        <v>910</v>
      </c>
      <c r="F393" s="21" t="s">
        <v>1065</v>
      </c>
      <c r="G393" s="20">
        <v>947</v>
      </c>
      <c r="H393" s="20">
        <v>1950</v>
      </c>
      <c r="I393" s="19">
        <v>5896.7929999999997</v>
      </c>
      <c r="J393" s="19">
        <v>4488.5</v>
      </c>
      <c r="K393" s="19">
        <v>3823.2869999999998</v>
      </c>
      <c r="L393" s="19">
        <v>3388.9960000000001</v>
      </c>
      <c r="M393" s="19">
        <v>2909.0160000000001</v>
      </c>
      <c r="N393" s="19">
        <v>2462.3980000000001</v>
      </c>
      <c r="O393" s="19">
        <v>2081.4810000000002</v>
      </c>
      <c r="P393" s="19">
        <v>1762.8040000000001</v>
      </c>
      <c r="Q393" s="19">
        <v>1514.7529999999999</v>
      </c>
      <c r="R393" s="19">
        <v>1289.904</v>
      </c>
      <c r="S393" s="19">
        <v>1057.2909999999999</v>
      </c>
      <c r="T393" s="19">
        <v>865.32500000000005</v>
      </c>
      <c r="U393" s="19">
        <v>690.67899999999997</v>
      </c>
      <c r="V393" s="19">
        <v>513.06200000000001</v>
      </c>
      <c r="W393" s="19">
        <v>331.81299999999999</v>
      </c>
      <c r="X393" s="19">
        <v>183.31200000000001</v>
      </c>
      <c r="Y393" s="19">
        <v>66.257999999999996</v>
      </c>
      <c r="Z393" s="19">
        <v>20.247</v>
      </c>
      <c r="AA393" s="19">
        <v>3.996</v>
      </c>
      <c r="AB393" s="19">
        <v>0.48299999999999998</v>
      </c>
      <c r="AC393" s="19">
        <v>3.9E-2</v>
      </c>
    </row>
    <row r="394" spans="1:29" ht="11.65" hidden="1" x14ac:dyDescent="0.35">
      <c r="A394" s="23">
        <v>377</v>
      </c>
      <c r="B394" s="21" t="s">
        <v>1015</v>
      </c>
      <c r="C394" s="29" t="s">
        <v>1064</v>
      </c>
      <c r="D394" s="20"/>
      <c r="E394" s="20">
        <v>910</v>
      </c>
      <c r="F394" s="21" t="s">
        <v>1065</v>
      </c>
      <c r="G394" s="20">
        <v>947</v>
      </c>
      <c r="H394" s="20">
        <v>1955</v>
      </c>
      <c r="I394" s="19">
        <v>6683.317</v>
      </c>
      <c r="J394" s="19">
        <v>5160.8490000000002</v>
      </c>
      <c r="K394" s="19">
        <v>4266.9740000000002</v>
      </c>
      <c r="L394" s="19">
        <v>3684.5419999999999</v>
      </c>
      <c r="M394" s="19">
        <v>3253.7779999999998</v>
      </c>
      <c r="N394" s="19">
        <v>2776.1979999999999</v>
      </c>
      <c r="O394" s="19">
        <v>2333.4650000000001</v>
      </c>
      <c r="P394" s="19">
        <v>1958.731</v>
      </c>
      <c r="Q394" s="19">
        <v>1647.702</v>
      </c>
      <c r="R394" s="19">
        <v>1408.3520000000001</v>
      </c>
      <c r="S394" s="19">
        <v>1187.076</v>
      </c>
      <c r="T394" s="19">
        <v>951.20899999999995</v>
      </c>
      <c r="U394" s="19">
        <v>746.91899999999998</v>
      </c>
      <c r="V394" s="19">
        <v>555.70699999999999</v>
      </c>
      <c r="W394" s="19">
        <v>367.88900000000001</v>
      </c>
      <c r="X394" s="19">
        <v>199.619</v>
      </c>
      <c r="Y394" s="19">
        <v>84.557000000000002</v>
      </c>
      <c r="Z394" s="19">
        <v>20.687000000000001</v>
      </c>
      <c r="AA394" s="19">
        <v>3.7080000000000002</v>
      </c>
      <c r="AB394" s="19">
        <v>0.39800000000000002</v>
      </c>
      <c r="AC394" s="19">
        <v>3.3000000000000002E-2</v>
      </c>
    </row>
    <row r="395" spans="1:29" ht="11.65" hidden="1" x14ac:dyDescent="0.35">
      <c r="A395" s="23">
        <v>378</v>
      </c>
      <c r="B395" s="21" t="s">
        <v>1015</v>
      </c>
      <c r="C395" s="29" t="s">
        <v>1064</v>
      </c>
      <c r="D395" s="20"/>
      <c r="E395" s="20">
        <v>910</v>
      </c>
      <c r="F395" s="21" t="s">
        <v>1065</v>
      </c>
      <c r="G395" s="20">
        <v>947</v>
      </c>
      <c r="H395" s="20">
        <v>1960</v>
      </c>
      <c r="I395" s="19">
        <v>7613.0730000000003</v>
      </c>
      <c r="J395" s="19">
        <v>5952.1009999999997</v>
      </c>
      <c r="K395" s="19">
        <v>4937.8760000000002</v>
      </c>
      <c r="L395" s="19">
        <v>4128.9549999999999</v>
      </c>
      <c r="M395" s="19">
        <v>3551.364</v>
      </c>
      <c r="N395" s="19">
        <v>3118.933</v>
      </c>
      <c r="O395" s="19">
        <v>2644.1860000000001</v>
      </c>
      <c r="P395" s="19">
        <v>2207.8090000000002</v>
      </c>
      <c r="Q395" s="19">
        <v>1841.5360000000001</v>
      </c>
      <c r="R395" s="19">
        <v>1540.6289999999999</v>
      </c>
      <c r="S395" s="19">
        <v>1303.0419999999999</v>
      </c>
      <c r="T395" s="19">
        <v>1074.4760000000001</v>
      </c>
      <c r="U395" s="19">
        <v>828.41899999999998</v>
      </c>
      <c r="V395" s="19">
        <v>608.26599999999996</v>
      </c>
      <c r="W395" s="19">
        <v>405.52</v>
      </c>
      <c r="X395" s="19">
        <v>226.46199999999999</v>
      </c>
      <c r="Y395" s="19">
        <v>94.617000000000004</v>
      </c>
      <c r="Z395" s="19">
        <v>26.975000000000001</v>
      </c>
      <c r="AA395" s="19">
        <v>3.867</v>
      </c>
      <c r="AB395" s="19">
        <v>0.38</v>
      </c>
      <c r="AC395" s="19">
        <v>2.9000000000000001E-2</v>
      </c>
    </row>
    <row r="396" spans="1:29" ht="11.65" hidden="1" x14ac:dyDescent="0.35">
      <c r="A396" s="23">
        <v>379</v>
      </c>
      <c r="B396" s="21" t="s">
        <v>1015</v>
      </c>
      <c r="C396" s="29" t="s">
        <v>1064</v>
      </c>
      <c r="D396" s="20"/>
      <c r="E396" s="20">
        <v>910</v>
      </c>
      <c r="F396" s="21" t="s">
        <v>1065</v>
      </c>
      <c r="G396" s="20">
        <v>947</v>
      </c>
      <c r="H396" s="20">
        <v>1965</v>
      </c>
      <c r="I396" s="19">
        <v>8832.5709999999999</v>
      </c>
      <c r="J396" s="19">
        <v>6892.94</v>
      </c>
      <c r="K396" s="19">
        <v>5739.1360000000004</v>
      </c>
      <c r="L396" s="19">
        <v>4795.7430000000004</v>
      </c>
      <c r="M396" s="19">
        <v>3982.68</v>
      </c>
      <c r="N396" s="19">
        <v>3405.0010000000002</v>
      </c>
      <c r="O396" s="19">
        <v>2977.0059999999999</v>
      </c>
      <c r="P396" s="19">
        <v>2511.0630000000001</v>
      </c>
      <c r="Q396" s="19">
        <v>2084.8150000000001</v>
      </c>
      <c r="R396" s="19">
        <v>1730.596</v>
      </c>
      <c r="S396" s="19">
        <v>1433.307</v>
      </c>
      <c r="T396" s="19">
        <v>1187.2909999999999</v>
      </c>
      <c r="U396" s="19">
        <v>944.33299999999997</v>
      </c>
      <c r="V396" s="19">
        <v>683.52700000000004</v>
      </c>
      <c r="W396" s="19">
        <v>451.63</v>
      </c>
      <c r="X396" s="19">
        <v>255.56700000000001</v>
      </c>
      <c r="Y396" s="19">
        <v>110.381</v>
      </c>
      <c r="Z396" s="19">
        <v>31.259</v>
      </c>
      <c r="AA396" s="19">
        <v>5.1539999999999999</v>
      </c>
      <c r="AB396" s="19">
        <v>0.41299999999999998</v>
      </c>
      <c r="AC396" s="19">
        <v>2.7E-2</v>
      </c>
    </row>
    <row r="397" spans="1:29" ht="11.65" hidden="1" x14ac:dyDescent="0.35">
      <c r="A397" s="23">
        <v>380</v>
      </c>
      <c r="B397" s="21" t="s">
        <v>1015</v>
      </c>
      <c r="C397" s="29" t="s">
        <v>1064</v>
      </c>
      <c r="D397" s="20"/>
      <c r="E397" s="20">
        <v>910</v>
      </c>
      <c r="F397" s="21" t="s">
        <v>1065</v>
      </c>
      <c r="G397" s="20">
        <v>947</v>
      </c>
      <c r="H397" s="20">
        <v>1970</v>
      </c>
      <c r="I397" s="19">
        <v>10188.4</v>
      </c>
      <c r="J397" s="19">
        <v>8079.2340000000004</v>
      </c>
      <c r="K397" s="19">
        <v>6678.8959999999997</v>
      </c>
      <c r="L397" s="19">
        <v>5599.6540000000005</v>
      </c>
      <c r="M397" s="19">
        <v>4650.9359999999997</v>
      </c>
      <c r="N397" s="19">
        <v>3841.973</v>
      </c>
      <c r="O397" s="19">
        <v>3269.3560000000002</v>
      </c>
      <c r="P397" s="19">
        <v>2843.89</v>
      </c>
      <c r="Q397" s="19">
        <v>2384.9299999999998</v>
      </c>
      <c r="R397" s="19">
        <v>1969.104</v>
      </c>
      <c r="S397" s="19">
        <v>1617.85</v>
      </c>
      <c r="T397" s="19">
        <v>1313.154</v>
      </c>
      <c r="U397" s="19">
        <v>1050.1880000000001</v>
      </c>
      <c r="V397" s="19">
        <v>785.45</v>
      </c>
      <c r="W397" s="19">
        <v>513.601</v>
      </c>
      <c r="X397" s="19">
        <v>289.10899999999998</v>
      </c>
      <c r="Y397" s="19">
        <v>126.85599999999999</v>
      </c>
      <c r="Z397" s="19">
        <v>37.08</v>
      </c>
      <c r="AA397" s="19">
        <v>6.1150000000000002</v>
      </c>
      <c r="AB397" s="19">
        <v>0.55100000000000005</v>
      </c>
      <c r="AC397" s="19">
        <v>3.5000000000000003E-2</v>
      </c>
    </row>
    <row r="398" spans="1:29" ht="11.65" hidden="1" x14ac:dyDescent="0.35">
      <c r="A398" s="23">
        <v>381</v>
      </c>
      <c r="B398" s="21" t="s">
        <v>1015</v>
      </c>
      <c r="C398" s="29" t="s">
        <v>1064</v>
      </c>
      <c r="D398" s="20"/>
      <c r="E398" s="20">
        <v>910</v>
      </c>
      <c r="F398" s="21" t="s">
        <v>1065</v>
      </c>
      <c r="G398" s="20">
        <v>947</v>
      </c>
      <c r="H398" s="20">
        <v>1975</v>
      </c>
      <c r="I398" s="19">
        <v>11840.602000000001</v>
      </c>
      <c r="J398" s="19">
        <v>9377.7209999999995</v>
      </c>
      <c r="K398" s="19">
        <v>7818.77</v>
      </c>
      <c r="L398" s="19">
        <v>6506.3410000000003</v>
      </c>
      <c r="M398" s="19">
        <v>5424.8770000000004</v>
      </c>
      <c r="N398" s="19">
        <v>4477.5069999999996</v>
      </c>
      <c r="O398" s="19">
        <v>3680.3710000000001</v>
      </c>
      <c r="P398" s="19">
        <v>3117.71</v>
      </c>
      <c r="Q398" s="19">
        <v>2697.8679999999999</v>
      </c>
      <c r="R398" s="19">
        <v>2248.5039999999999</v>
      </c>
      <c r="S398" s="19">
        <v>1839.202</v>
      </c>
      <c r="T398" s="19">
        <v>1483.5070000000001</v>
      </c>
      <c r="U398" s="19">
        <v>1163.9469999999999</v>
      </c>
      <c r="V398" s="19">
        <v>877.45899999999995</v>
      </c>
      <c r="W398" s="19">
        <v>594.57600000000002</v>
      </c>
      <c r="X398" s="19">
        <v>333.05799999999999</v>
      </c>
      <c r="Y398" s="19">
        <v>145.65199999999999</v>
      </c>
      <c r="Z398" s="19">
        <v>43.325000000000003</v>
      </c>
      <c r="AA398" s="19">
        <v>7.3659999999999997</v>
      </c>
      <c r="AB398" s="19">
        <v>0.69399999999999995</v>
      </c>
      <c r="AC398" s="19">
        <v>4.4999999999999998E-2</v>
      </c>
    </row>
    <row r="399" spans="1:29" ht="11.65" hidden="1" x14ac:dyDescent="0.35">
      <c r="A399" s="23">
        <v>382</v>
      </c>
      <c r="B399" s="21" t="s">
        <v>1015</v>
      </c>
      <c r="C399" s="29" t="s">
        <v>1064</v>
      </c>
      <c r="D399" s="20"/>
      <c r="E399" s="20">
        <v>910</v>
      </c>
      <c r="F399" s="21" t="s">
        <v>1065</v>
      </c>
      <c r="G399" s="20">
        <v>947</v>
      </c>
      <c r="H399" s="20">
        <v>1980</v>
      </c>
      <c r="I399" s="19">
        <v>13813.529</v>
      </c>
      <c r="J399" s="19">
        <v>10907.692999999999</v>
      </c>
      <c r="K399" s="19">
        <v>8967.9770000000008</v>
      </c>
      <c r="L399" s="19">
        <v>7505.9960000000001</v>
      </c>
      <c r="M399" s="19">
        <v>6321.433</v>
      </c>
      <c r="N399" s="19">
        <v>5279.3639999999996</v>
      </c>
      <c r="O399" s="19">
        <v>4334.6459999999997</v>
      </c>
      <c r="P399" s="19">
        <v>3542.0949999999998</v>
      </c>
      <c r="Q399" s="19">
        <v>2945.335</v>
      </c>
      <c r="R399" s="19">
        <v>2579.1840000000002</v>
      </c>
      <c r="S399" s="19">
        <v>2090.5070000000001</v>
      </c>
      <c r="T399" s="19">
        <v>1722.9570000000001</v>
      </c>
      <c r="U399" s="19">
        <v>1325.3969999999999</v>
      </c>
      <c r="V399" s="19">
        <v>1002.307</v>
      </c>
      <c r="W399" s="19">
        <v>674.29100000000005</v>
      </c>
      <c r="X399" s="19">
        <v>407.22399999999999</v>
      </c>
      <c r="Y399" s="19">
        <v>175.98500000000001</v>
      </c>
      <c r="Z399" s="19">
        <v>50.91</v>
      </c>
      <c r="AA399" s="19">
        <v>8.782</v>
      </c>
      <c r="AB399" s="19">
        <v>0.85399999999999998</v>
      </c>
      <c r="AC399" s="19">
        <v>5.7000000000000002E-2</v>
      </c>
    </row>
    <row r="400" spans="1:29" ht="11.65" hidden="1" x14ac:dyDescent="0.35">
      <c r="A400" s="23">
        <v>383</v>
      </c>
      <c r="B400" s="21" t="s">
        <v>1015</v>
      </c>
      <c r="C400" s="29" t="s">
        <v>1064</v>
      </c>
      <c r="D400" s="20"/>
      <c r="E400" s="20">
        <v>910</v>
      </c>
      <c r="F400" s="21" t="s">
        <v>1065</v>
      </c>
      <c r="G400" s="20">
        <v>947</v>
      </c>
      <c r="H400" s="20">
        <v>1985</v>
      </c>
      <c r="I400" s="19">
        <v>15855.964</v>
      </c>
      <c r="J400" s="19">
        <v>12853.646000000001</v>
      </c>
      <c r="K400" s="19">
        <v>10613.655000000001</v>
      </c>
      <c r="L400" s="19">
        <v>8786.0040000000008</v>
      </c>
      <c r="M400" s="19">
        <v>7315.2979999999998</v>
      </c>
      <c r="N400" s="19">
        <v>6114.107</v>
      </c>
      <c r="O400" s="19">
        <v>5079.0619999999999</v>
      </c>
      <c r="P400" s="19">
        <v>4149.8159999999998</v>
      </c>
      <c r="Q400" s="19">
        <v>3372.4859999999999</v>
      </c>
      <c r="R400" s="19">
        <v>2795.2020000000002</v>
      </c>
      <c r="S400" s="19">
        <v>2420.8220000000001</v>
      </c>
      <c r="T400" s="19">
        <v>1931.471</v>
      </c>
      <c r="U400" s="19">
        <v>1536.703</v>
      </c>
      <c r="V400" s="19">
        <v>1118.22</v>
      </c>
      <c r="W400" s="19">
        <v>766.952</v>
      </c>
      <c r="X400" s="19">
        <v>444.565</v>
      </c>
      <c r="Y400" s="19">
        <v>208.553</v>
      </c>
      <c r="Z400" s="19">
        <v>62.075000000000003</v>
      </c>
      <c r="AA400" s="19">
        <v>10.468999999999999</v>
      </c>
      <c r="AB400" s="19">
        <v>1.0489999999999999</v>
      </c>
      <c r="AC400" s="19">
        <v>7.4999999999999997E-2</v>
      </c>
    </row>
    <row r="401" spans="1:29" ht="11.65" hidden="1" x14ac:dyDescent="0.35">
      <c r="A401" s="23">
        <v>384</v>
      </c>
      <c r="B401" s="21" t="s">
        <v>1015</v>
      </c>
      <c r="C401" s="29" t="s">
        <v>1064</v>
      </c>
      <c r="D401" s="20"/>
      <c r="E401" s="20">
        <v>910</v>
      </c>
      <c r="F401" s="21" t="s">
        <v>1065</v>
      </c>
      <c r="G401" s="20">
        <v>947</v>
      </c>
      <c r="H401" s="20">
        <v>1990</v>
      </c>
      <c r="I401" s="19">
        <v>18156.302</v>
      </c>
      <c r="J401" s="19">
        <v>14904.478999999999</v>
      </c>
      <c r="K401" s="19">
        <v>12554.692999999999</v>
      </c>
      <c r="L401" s="19">
        <v>10404.07</v>
      </c>
      <c r="M401" s="19">
        <v>8606.1119999999992</v>
      </c>
      <c r="N401" s="19">
        <v>7094.3010000000004</v>
      </c>
      <c r="O401" s="19">
        <v>5920.0529999999999</v>
      </c>
      <c r="P401" s="19">
        <v>4870.6480000000001</v>
      </c>
      <c r="Q401" s="19">
        <v>3990.0520000000001</v>
      </c>
      <c r="R401" s="19">
        <v>3191.0309999999999</v>
      </c>
      <c r="S401" s="19">
        <v>2616.1849999999999</v>
      </c>
      <c r="T401" s="19">
        <v>2231.0500000000002</v>
      </c>
      <c r="U401" s="19">
        <v>1730.213</v>
      </c>
      <c r="V401" s="19">
        <v>1308.1300000000001</v>
      </c>
      <c r="W401" s="19">
        <v>870.81399999999996</v>
      </c>
      <c r="X401" s="19">
        <v>516.66600000000005</v>
      </c>
      <c r="Y401" s="19">
        <v>236.27500000000001</v>
      </c>
      <c r="Z401" s="19">
        <v>75.488</v>
      </c>
      <c r="AA401" s="19">
        <v>13.218999999999999</v>
      </c>
      <c r="AB401" s="19">
        <v>1.3140000000000001</v>
      </c>
      <c r="AC401" s="19">
        <v>9.5000000000000001E-2</v>
      </c>
    </row>
    <row r="402" spans="1:29" ht="11.65" hidden="1" x14ac:dyDescent="0.35">
      <c r="A402" s="23">
        <v>385</v>
      </c>
      <c r="B402" s="21" t="s">
        <v>1015</v>
      </c>
      <c r="C402" s="29" t="s">
        <v>1064</v>
      </c>
      <c r="D402" s="20"/>
      <c r="E402" s="20">
        <v>910</v>
      </c>
      <c r="F402" s="21" t="s">
        <v>1065</v>
      </c>
      <c r="G402" s="20">
        <v>947</v>
      </c>
      <c r="H402" s="20">
        <v>1995</v>
      </c>
      <c r="I402" s="19">
        <v>19872.758000000002</v>
      </c>
      <c r="J402" s="19">
        <v>16884.726999999999</v>
      </c>
      <c r="K402" s="19">
        <v>14444.064</v>
      </c>
      <c r="L402" s="19">
        <v>12077.618</v>
      </c>
      <c r="M402" s="19">
        <v>9962.7540000000008</v>
      </c>
      <c r="N402" s="19">
        <v>8269.9779999999992</v>
      </c>
      <c r="O402" s="19">
        <v>6776.1289999999999</v>
      </c>
      <c r="P402" s="19">
        <v>5620.7659999999996</v>
      </c>
      <c r="Q402" s="19">
        <v>4559.0749999999998</v>
      </c>
      <c r="R402" s="19">
        <v>3726.3380000000002</v>
      </c>
      <c r="S402" s="19">
        <v>2972.8629999999998</v>
      </c>
      <c r="T402" s="19">
        <v>2395.7669999999998</v>
      </c>
      <c r="U402" s="19">
        <v>1988.5419999999999</v>
      </c>
      <c r="V402" s="19">
        <v>1458.655</v>
      </c>
      <c r="W402" s="19">
        <v>1011.506</v>
      </c>
      <c r="X402" s="19">
        <v>589.07100000000003</v>
      </c>
      <c r="Y402" s="19">
        <v>277.47399999999999</v>
      </c>
      <c r="Z402" s="19">
        <v>88.006</v>
      </c>
      <c r="AA402" s="19">
        <v>17.137</v>
      </c>
      <c r="AB402" s="19">
        <v>1.857</v>
      </c>
      <c r="AC402" s="19">
        <v>0.13300000000000001</v>
      </c>
    </row>
    <row r="403" spans="1:29" ht="11.65" hidden="1" x14ac:dyDescent="0.35">
      <c r="A403" s="23">
        <v>386</v>
      </c>
      <c r="B403" s="21" t="s">
        <v>1015</v>
      </c>
      <c r="C403" s="29" t="s">
        <v>1064</v>
      </c>
      <c r="D403" s="20"/>
      <c r="E403" s="20">
        <v>910</v>
      </c>
      <c r="F403" s="21" t="s">
        <v>1065</v>
      </c>
      <c r="G403" s="20">
        <v>947</v>
      </c>
      <c r="H403" s="20">
        <v>2000</v>
      </c>
      <c r="I403" s="19">
        <v>22830.392</v>
      </c>
      <c r="J403" s="19">
        <v>19122.550999999999</v>
      </c>
      <c r="K403" s="19">
        <v>16659.541000000001</v>
      </c>
      <c r="L403" s="19">
        <v>14247.546</v>
      </c>
      <c r="M403" s="19">
        <v>11728.213</v>
      </c>
      <c r="N403" s="19">
        <v>9534.6970000000001</v>
      </c>
      <c r="O403" s="19">
        <v>7773.2839999999997</v>
      </c>
      <c r="P403" s="19">
        <v>6338.549</v>
      </c>
      <c r="Q403" s="19">
        <v>5207.9960000000001</v>
      </c>
      <c r="R403" s="19">
        <v>4218.0889999999999</v>
      </c>
      <c r="S403" s="19">
        <v>3433.3359999999998</v>
      </c>
      <c r="T403" s="19">
        <v>2719.8229999999999</v>
      </c>
      <c r="U403" s="19">
        <v>2133.23</v>
      </c>
      <c r="V403" s="19">
        <v>1707.0989999999999</v>
      </c>
      <c r="W403" s="19">
        <v>1141.6500000000001</v>
      </c>
      <c r="X403" s="19">
        <v>722.51099999999997</v>
      </c>
      <c r="Y403" s="19">
        <v>335.23399999999998</v>
      </c>
      <c r="Z403" s="19">
        <v>107.087</v>
      </c>
      <c r="AA403" s="19">
        <v>20.972000000000001</v>
      </c>
      <c r="AB403" s="19">
        <v>2.6080000000000001</v>
      </c>
      <c r="AC403" s="19">
        <v>0.20200000000000001</v>
      </c>
    </row>
    <row r="404" spans="1:29" ht="11.65" hidden="1" x14ac:dyDescent="0.35">
      <c r="A404" s="23">
        <v>387</v>
      </c>
      <c r="B404" s="21" t="s">
        <v>1015</v>
      </c>
      <c r="C404" s="29" t="s">
        <v>1064</v>
      </c>
      <c r="D404" s="20"/>
      <c r="E404" s="20">
        <v>910</v>
      </c>
      <c r="F404" s="21" t="s">
        <v>1065</v>
      </c>
      <c r="G404" s="20">
        <v>947</v>
      </c>
      <c r="H404" s="20">
        <v>2005</v>
      </c>
      <c r="I404" s="19">
        <v>25785.952000000001</v>
      </c>
      <c r="J404" s="19">
        <v>22085</v>
      </c>
      <c r="K404" s="19">
        <v>18876.501</v>
      </c>
      <c r="L404" s="19">
        <v>16283.278</v>
      </c>
      <c r="M404" s="19">
        <v>13763.657999999999</v>
      </c>
      <c r="N404" s="19">
        <v>11230.757</v>
      </c>
      <c r="O404" s="19">
        <v>9045.8860000000004</v>
      </c>
      <c r="P404" s="19">
        <v>7293.5860000000002</v>
      </c>
      <c r="Q404" s="19">
        <v>5893.9359999999997</v>
      </c>
      <c r="R404" s="19">
        <v>4844.05</v>
      </c>
      <c r="S404" s="19">
        <v>3903.5940000000001</v>
      </c>
      <c r="T404" s="19">
        <v>3148.5859999999998</v>
      </c>
      <c r="U404" s="19">
        <v>2438.23</v>
      </c>
      <c r="V404" s="19">
        <v>1830.511</v>
      </c>
      <c r="W404" s="19">
        <v>1354.1569999999999</v>
      </c>
      <c r="X404" s="19">
        <v>797.56899999999996</v>
      </c>
      <c r="Y404" s="19">
        <v>407.43900000000002</v>
      </c>
      <c r="Z404" s="19">
        <v>132.126</v>
      </c>
      <c r="AA404" s="19">
        <v>26.501999999999999</v>
      </c>
      <c r="AB404" s="19">
        <v>3.3519999999999999</v>
      </c>
      <c r="AC404" s="19">
        <v>0.31</v>
      </c>
    </row>
    <row r="405" spans="1:29" ht="11.65" hidden="1" x14ac:dyDescent="0.35">
      <c r="A405" s="23">
        <v>388</v>
      </c>
      <c r="B405" s="21" t="s">
        <v>1015</v>
      </c>
      <c r="C405" s="29" t="s">
        <v>1064</v>
      </c>
      <c r="D405" s="20"/>
      <c r="E405" s="20">
        <v>910</v>
      </c>
      <c r="F405" s="21" t="s">
        <v>1065</v>
      </c>
      <c r="G405" s="20">
        <v>947</v>
      </c>
      <c r="H405" s="20">
        <v>2010</v>
      </c>
      <c r="I405" s="19">
        <v>28652.858</v>
      </c>
      <c r="J405" s="19">
        <v>25113.681</v>
      </c>
      <c r="K405" s="19">
        <v>21845.055</v>
      </c>
      <c r="L405" s="19">
        <v>18626.971000000001</v>
      </c>
      <c r="M405" s="19">
        <v>15811.036</v>
      </c>
      <c r="N405" s="19">
        <v>13266.227999999999</v>
      </c>
      <c r="O405" s="19">
        <v>10702.004999999999</v>
      </c>
      <c r="P405" s="19">
        <v>8590.2860000000001</v>
      </c>
      <c r="Q405" s="19">
        <v>6881.9110000000001</v>
      </c>
      <c r="R405" s="19">
        <v>5576.9059999999999</v>
      </c>
      <c r="S405" s="19">
        <v>4552.6909999999998</v>
      </c>
      <c r="T405" s="19">
        <v>3628.8629999999998</v>
      </c>
      <c r="U405" s="19">
        <v>2868.808</v>
      </c>
      <c r="V405" s="19">
        <v>2123.3989999999999</v>
      </c>
      <c r="W405" s="19">
        <v>1476.2370000000001</v>
      </c>
      <c r="X405" s="19">
        <v>963.64200000000005</v>
      </c>
      <c r="Y405" s="19">
        <v>469.45699999999999</v>
      </c>
      <c r="Z405" s="19">
        <v>164.411</v>
      </c>
      <c r="AA405" s="19">
        <v>32.841999999999999</v>
      </c>
      <c r="AB405" s="19">
        <v>4.3280000000000003</v>
      </c>
      <c r="AC405" s="19">
        <v>0.41899999999999998</v>
      </c>
    </row>
    <row r="406" spans="1:29" ht="11.65" hidden="1" x14ac:dyDescent="0.35">
      <c r="A406" s="23">
        <v>389</v>
      </c>
      <c r="B406" s="21" t="s">
        <v>1015</v>
      </c>
      <c r="C406" s="29" t="s">
        <v>1064</v>
      </c>
      <c r="D406" s="20"/>
      <c r="E406" s="20">
        <v>910</v>
      </c>
      <c r="F406" s="21" t="s">
        <v>1065</v>
      </c>
      <c r="G406" s="20">
        <v>947</v>
      </c>
      <c r="H406" s="20">
        <v>2015</v>
      </c>
      <c r="I406" s="19">
        <v>31209.626</v>
      </c>
      <c r="J406" s="19">
        <v>28083.357</v>
      </c>
      <c r="K406" s="19">
        <v>24850.262999999999</v>
      </c>
      <c r="L406" s="19">
        <v>21604.496999999999</v>
      </c>
      <c r="M406" s="19">
        <v>18281.827000000001</v>
      </c>
      <c r="N406" s="19">
        <v>15380.143</v>
      </c>
      <c r="O406" s="19">
        <v>12852.638000000001</v>
      </c>
      <c r="P406" s="19">
        <v>10332.851000000001</v>
      </c>
      <c r="Q406" s="19">
        <v>8255.259</v>
      </c>
      <c r="R406" s="19">
        <v>6586.0550000000003</v>
      </c>
      <c r="S406" s="19">
        <v>5302.0349999999999</v>
      </c>
      <c r="T406" s="19">
        <v>4282.1099999999997</v>
      </c>
      <c r="U406" s="19">
        <v>3343.9259999999999</v>
      </c>
      <c r="V406" s="19">
        <v>2537.2640000000001</v>
      </c>
      <c r="W406" s="19">
        <v>1745.1880000000001</v>
      </c>
      <c r="X406" s="19">
        <v>1075.277</v>
      </c>
      <c r="Y406" s="19">
        <v>572.33299999999997</v>
      </c>
      <c r="Z406" s="19">
        <v>199.07300000000001</v>
      </c>
      <c r="AA406" s="19">
        <v>43.631</v>
      </c>
      <c r="AB406" s="19">
        <v>5.5229999999999997</v>
      </c>
      <c r="AC406" s="19">
        <v>0.56200000000000006</v>
      </c>
    </row>
    <row r="407" spans="1:29" ht="11.65" hidden="1" x14ac:dyDescent="0.35">
      <c r="A407" s="23">
        <v>390</v>
      </c>
      <c r="B407" s="21" t="s">
        <v>1015</v>
      </c>
      <c r="C407" s="29" t="s">
        <v>1064</v>
      </c>
      <c r="D407" s="20"/>
      <c r="E407" s="20">
        <v>910</v>
      </c>
      <c r="F407" s="21" t="s">
        <v>1065</v>
      </c>
      <c r="G407" s="20">
        <v>947</v>
      </c>
      <c r="H407" s="20">
        <v>2020</v>
      </c>
      <c r="I407" s="19">
        <v>33605.677000000003</v>
      </c>
      <c r="J407" s="19">
        <v>30742.736000000001</v>
      </c>
      <c r="K407" s="19">
        <v>27861.531999999999</v>
      </c>
      <c r="L407" s="19">
        <v>24644.941999999999</v>
      </c>
      <c r="M407" s="19">
        <v>21315.235000000001</v>
      </c>
      <c r="N407" s="19">
        <v>17917.545999999998</v>
      </c>
      <c r="O407" s="19">
        <v>15021.119000000001</v>
      </c>
      <c r="P407" s="19">
        <v>12511.294</v>
      </c>
      <c r="Q407" s="19">
        <v>10012.432000000001</v>
      </c>
      <c r="R407" s="19">
        <v>7973.0140000000001</v>
      </c>
      <c r="S407" s="19">
        <v>6320.52</v>
      </c>
      <c r="T407" s="19">
        <v>5035.6549999999997</v>
      </c>
      <c r="U407" s="19">
        <v>3988.3339999999998</v>
      </c>
      <c r="V407" s="19">
        <v>2997.0549999999998</v>
      </c>
      <c r="W407" s="19">
        <v>2125.4140000000002</v>
      </c>
      <c r="X407" s="19">
        <v>1305.0889999999999</v>
      </c>
      <c r="Y407" s="19">
        <v>663.84199999999998</v>
      </c>
      <c r="Z407" s="19">
        <v>257.94499999999999</v>
      </c>
      <c r="AA407" s="19">
        <v>57.389000000000003</v>
      </c>
      <c r="AB407" s="19">
        <v>8.18</v>
      </c>
      <c r="AC407" s="19">
        <v>0.69299999999999995</v>
      </c>
    </row>
    <row r="408" spans="1:29" ht="11.65" hidden="1" x14ac:dyDescent="0.35">
      <c r="A408" s="12">
        <v>391</v>
      </c>
      <c r="B408" s="10" t="s">
        <v>1015</v>
      </c>
      <c r="C408" s="11" t="s">
        <v>582</v>
      </c>
      <c r="D408" s="9"/>
      <c r="E408" s="9">
        <v>108</v>
      </c>
      <c r="F408" s="10" t="s">
        <v>1066</v>
      </c>
      <c r="G408" s="9">
        <v>910</v>
      </c>
      <c r="H408" s="9">
        <v>1950</v>
      </c>
      <c r="I408" s="8">
        <v>191.666</v>
      </c>
      <c r="J408" s="8">
        <v>154.91200000000001</v>
      </c>
      <c r="K408" s="8">
        <v>135.26599999999999</v>
      </c>
      <c r="L408" s="8">
        <v>120.414</v>
      </c>
      <c r="M408" s="8">
        <v>106.40900000000001</v>
      </c>
      <c r="N408" s="8">
        <v>93.813000000000002</v>
      </c>
      <c r="O408" s="8">
        <v>81.873999999999995</v>
      </c>
      <c r="P408" s="8">
        <v>70.125</v>
      </c>
      <c r="Q408" s="8">
        <v>59.69</v>
      </c>
      <c r="R408" s="8">
        <v>49.914000000000001</v>
      </c>
      <c r="S408" s="8">
        <v>41.076999999999998</v>
      </c>
      <c r="T408" s="8">
        <v>30.832000000000001</v>
      </c>
      <c r="U408" s="8">
        <v>25.004000000000001</v>
      </c>
      <c r="V408" s="8">
        <v>19.271000000000001</v>
      </c>
      <c r="W408" s="8">
        <v>12.596</v>
      </c>
      <c r="X408" s="8">
        <v>6.9550000000000001</v>
      </c>
      <c r="Y408" s="8">
        <v>2.4830000000000001</v>
      </c>
      <c r="Z408" s="8">
        <v>0.80700000000000005</v>
      </c>
      <c r="AA408" s="8">
        <v>0.16800000000000001</v>
      </c>
      <c r="AB408" s="8">
        <v>2.1000000000000001E-2</v>
      </c>
      <c r="AC408" s="8">
        <v>2E-3</v>
      </c>
    </row>
    <row r="409" spans="1:29" ht="11.65" hidden="1" x14ac:dyDescent="0.35">
      <c r="A409" s="12">
        <v>392</v>
      </c>
      <c r="B409" s="10" t="s">
        <v>1015</v>
      </c>
      <c r="C409" s="11" t="s">
        <v>582</v>
      </c>
      <c r="D409" s="9"/>
      <c r="E409" s="9">
        <v>108</v>
      </c>
      <c r="F409" s="10" t="s">
        <v>1066</v>
      </c>
      <c r="G409" s="9">
        <v>910</v>
      </c>
      <c r="H409" s="9">
        <v>1955</v>
      </c>
      <c r="I409" s="8">
        <v>235.04499999999999</v>
      </c>
      <c r="J409" s="8">
        <v>166.416</v>
      </c>
      <c r="K409" s="8">
        <v>143.90100000000001</v>
      </c>
      <c r="L409" s="8">
        <v>127.366</v>
      </c>
      <c r="M409" s="8">
        <v>112.996</v>
      </c>
      <c r="N409" s="8">
        <v>99.266999999999996</v>
      </c>
      <c r="O409" s="8">
        <v>86.921000000000006</v>
      </c>
      <c r="P409" s="8">
        <v>75.31</v>
      </c>
      <c r="Q409" s="8">
        <v>64.063999999999993</v>
      </c>
      <c r="R409" s="8">
        <v>54.247</v>
      </c>
      <c r="S409" s="8">
        <v>44.896000000000001</v>
      </c>
      <c r="T409" s="8">
        <v>36.125</v>
      </c>
      <c r="U409" s="8">
        <v>25.954999999999998</v>
      </c>
      <c r="V409" s="8">
        <v>19.606000000000002</v>
      </c>
      <c r="W409" s="8">
        <v>13.471</v>
      </c>
      <c r="X409" s="8">
        <v>7.4</v>
      </c>
      <c r="Y409" s="8">
        <v>3.1549999999999998</v>
      </c>
      <c r="Z409" s="8">
        <v>0.79100000000000004</v>
      </c>
      <c r="AA409" s="8">
        <v>0.16500000000000001</v>
      </c>
      <c r="AB409" s="8">
        <v>2.1000000000000001E-2</v>
      </c>
      <c r="AC409" s="8">
        <v>2E-3</v>
      </c>
    </row>
    <row r="410" spans="1:29" ht="11.65" hidden="1" x14ac:dyDescent="0.35">
      <c r="A410" s="12">
        <v>393</v>
      </c>
      <c r="B410" s="10" t="s">
        <v>1015</v>
      </c>
      <c r="C410" s="11" t="s">
        <v>582</v>
      </c>
      <c r="D410" s="9"/>
      <c r="E410" s="9">
        <v>108</v>
      </c>
      <c r="F410" s="10" t="s">
        <v>1066</v>
      </c>
      <c r="G410" s="9">
        <v>910</v>
      </c>
      <c r="H410" s="9">
        <v>1960</v>
      </c>
      <c r="I410" s="8">
        <v>255.85</v>
      </c>
      <c r="J410" s="8">
        <v>206.46</v>
      </c>
      <c r="K410" s="8">
        <v>155.34399999999999</v>
      </c>
      <c r="L410" s="8">
        <v>136.02199999999999</v>
      </c>
      <c r="M410" s="8">
        <v>120.03</v>
      </c>
      <c r="N410" s="8">
        <v>105.958</v>
      </c>
      <c r="O410" s="8">
        <v>92.495999999999995</v>
      </c>
      <c r="P410" s="8">
        <v>80.42</v>
      </c>
      <c r="Q410" s="8">
        <v>69.215999999999994</v>
      </c>
      <c r="R410" s="8">
        <v>58.554000000000002</v>
      </c>
      <c r="S410" s="8">
        <v>49.078000000000003</v>
      </c>
      <c r="T410" s="8">
        <v>39.713999999999999</v>
      </c>
      <c r="U410" s="8">
        <v>30.719000000000001</v>
      </c>
      <c r="V410" s="8">
        <v>20.588999999999999</v>
      </c>
      <c r="W410" s="8">
        <v>13.911</v>
      </c>
      <c r="X410" s="8">
        <v>8.0850000000000009</v>
      </c>
      <c r="Y410" s="8">
        <v>3.4550000000000001</v>
      </c>
      <c r="Z410" s="8">
        <v>1.0469999999999999</v>
      </c>
      <c r="AA410" s="8">
        <v>0.17100000000000001</v>
      </c>
      <c r="AB410" s="8">
        <v>2.1999999999999999E-2</v>
      </c>
      <c r="AC410" s="8">
        <v>2E-3</v>
      </c>
    </row>
    <row r="411" spans="1:29" ht="11.65" hidden="1" x14ac:dyDescent="0.35">
      <c r="A411" s="12">
        <v>394</v>
      </c>
      <c r="B411" s="10" t="s">
        <v>1015</v>
      </c>
      <c r="C411" s="11" t="s">
        <v>582</v>
      </c>
      <c r="D411" s="9"/>
      <c r="E411" s="9">
        <v>108</v>
      </c>
      <c r="F411" s="10" t="s">
        <v>1066</v>
      </c>
      <c r="G411" s="9">
        <v>910</v>
      </c>
      <c r="H411" s="9">
        <v>1965</v>
      </c>
      <c r="I411" s="8">
        <v>284.00700000000001</v>
      </c>
      <c r="J411" s="8">
        <v>225.53200000000001</v>
      </c>
      <c r="K411" s="8">
        <v>193.08</v>
      </c>
      <c r="L411" s="8">
        <v>146.61699999999999</v>
      </c>
      <c r="M411" s="8">
        <v>128</v>
      </c>
      <c r="N411" s="8">
        <v>112.467</v>
      </c>
      <c r="O411" s="8">
        <v>98.766000000000005</v>
      </c>
      <c r="P411" s="8">
        <v>85.656000000000006</v>
      </c>
      <c r="Q411" s="8">
        <v>73.974999999999994</v>
      </c>
      <c r="R411" s="8">
        <v>63.311</v>
      </c>
      <c r="S411" s="8">
        <v>53.006999999999998</v>
      </c>
      <c r="T411" s="8">
        <v>43.476999999999997</v>
      </c>
      <c r="U411" s="8">
        <v>33.847999999999999</v>
      </c>
      <c r="V411" s="8">
        <v>24.547000000000001</v>
      </c>
      <c r="W411" s="8">
        <v>14.755000000000001</v>
      </c>
      <c r="X411" s="8">
        <v>8.4740000000000002</v>
      </c>
      <c r="Y411" s="8">
        <v>3.859</v>
      </c>
      <c r="Z411" s="8">
        <v>1.1830000000000001</v>
      </c>
      <c r="AA411" s="8">
        <v>0.23599999999999999</v>
      </c>
      <c r="AB411" s="8">
        <v>2.4E-2</v>
      </c>
      <c r="AC411" s="8">
        <v>2E-3</v>
      </c>
    </row>
    <row r="412" spans="1:29" ht="11.65" hidden="1" x14ac:dyDescent="0.35">
      <c r="A412" s="12">
        <v>395</v>
      </c>
      <c r="B412" s="10" t="s">
        <v>1015</v>
      </c>
      <c r="C412" s="11" t="s">
        <v>582</v>
      </c>
      <c r="D412" s="9"/>
      <c r="E412" s="9">
        <v>108</v>
      </c>
      <c r="F412" s="10" t="s">
        <v>1066</v>
      </c>
      <c r="G412" s="9">
        <v>910</v>
      </c>
      <c r="H412" s="9">
        <v>1970</v>
      </c>
      <c r="I412" s="8">
        <v>318.322</v>
      </c>
      <c r="J412" s="8">
        <v>255.81100000000001</v>
      </c>
      <c r="K412" s="8">
        <v>220.273</v>
      </c>
      <c r="L412" s="8">
        <v>189.16300000000001</v>
      </c>
      <c r="M412" s="8">
        <v>139.58000000000001</v>
      </c>
      <c r="N412" s="8">
        <v>120.461</v>
      </c>
      <c r="O412" s="8">
        <v>104.86499999999999</v>
      </c>
      <c r="P412" s="8">
        <v>91.6</v>
      </c>
      <c r="Q412" s="8">
        <v>78.933999999999997</v>
      </c>
      <c r="R412" s="8">
        <v>67.766000000000005</v>
      </c>
      <c r="S412" s="8">
        <v>57.4</v>
      </c>
      <c r="T412" s="8">
        <v>47.045999999999999</v>
      </c>
      <c r="U412" s="8">
        <v>37.183999999999997</v>
      </c>
      <c r="V412" s="8">
        <v>27.18</v>
      </c>
      <c r="W412" s="8">
        <v>17.797000000000001</v>
      </c>
      <c r="X412" s="8">
        <v>9.1240000000000006</v>
      </c>
      <c r="Y412" s="8">
        <v>4.1280000000000001</v>
      </c>
      <c r="Z412" s="8">
        <v>1.3620000000000001</v>
      </c>
      <c r="AA412" s="8">
        <v>0.27800000000000002</v>
      </c>
      <c r="AB412" s="8">
        <v>3.4000000000000002E-2</v>
      </c>
      <c r="AC412" s="8">
        <v>2E-3</v>
      </c>
    </row>
    <row r="413" spans="1:29" ht="11.65" hidden="1" x14ac:dyDescent="0.35">
      <c r="A413" s="12">
        <v>396</v>
      </c>
      <c r="B413" s="10" t="s">
        <v>1015</v>
      </c>
      <c r="C413" s="11" t="s">
        <v>582</v>
      </c>
      <c r="D413" s="9"/>
      <c r="E413" s="9">
        <v>108</v>
      </c>
      <c r="F413" s="10" t="s">
        <v>1066</v>
      </c>
      <c r="G413" s="9">
        <v>910</v>
      </c>
      <c r="H413" s="9">
        <v>1975</v>
      </c>
      <c r="I413" s="8">
        <v>334.47899999999998</v>
      </c>
      <c r="J413" s="8">
        <v>269.14600000000002</v>
      </c>
      <c r="K413" s="8">
        <v>240.58199999999999</v>
      </c>
      <c r="L413" s="8">
        <v>211.19</v>
      </c>
      <c r="M413" s="8">
        <v>174.125</v>
      </c>
      <c r="N413" s="8">
        <v>122.23399999999999</v>
      </c>
      <c r="O413" s="8">
        <v>104.708</v>
      </c>
      <c r="P413" s="8">
        <v>90.807000000000002</v>
      </c>
      <c r="Q413" s="8">
        <v>78.972999999999999</v>
      </c>
      <c r="R413" s="8">
        <v>66.781000000000006</v>
      </c>
      <c r="S413" s="8">
        <v>57.825000000000003</v>
      </c>
      <c r="T413" s="8">
        <v>49.158000000000001</v>
      </c>
      <c r="U413" s="8">
        <v>38.49</v>
      </c>
      <c r="V413" s="8">
        <v>29.193999999999999</v>
      </c>
      <c r="W413" s="8">
        <v>19.63</v>
      </c>
      <c r="X413" s="8">
        <v>11.978999999999999</v>
      </c>
      <c r="Y413" s="8">
        <v>4.7910000000000004</v>
      </c>
      <c r="Z413" s="8">
        <v>1.4319999999999999</v>
      </c>
      <c r="AA413" s="8">
        <v>0.32500000000000001</v>
      </c>
      <c r="AB413" s="8">
        <v>0.04</v>
      </c>
      <c r="AC413" s="8">
        <v>3.0000000000000001E-3</v>
      </c>
    </row>
    <row r="414" spans="1:29" ht="11.65" hidden="1" x14ac:dyDescent="0.35">
      <c r="A414" s="12">
        <v>397</v>
      </c>
      <c r="B414" s="10" t="s">
        <v>1015</v>
      </c>
      <c r="C414" s="11" t="s">
        <v>582</v>
      </c>
      <c r="D414" s="9"/>
      <c r="E414" s="9">
        <v>108</v>
      </c>
      <c r="F414" s="10" t="s">
        <v>1066</v>
      </c>
      <c r="G414" s="9">
        <v>910</v>
      </c>
      <c r="H414" s="9">
        <v>1980</v>
      </c>
      <c r="I414" s="8">
        <v>392.67500000000001</v>
      </c>
      <c r="J414" s="8">
        <v>289.56099999999998</v>
      </c>
      <c r="K414" s="8">
        <v>251.36600000000001</v>
      </c>
      <c r="L414" s="8">
        <v>229.369</v>
      </c>
      <c r="M414" s="8">
        <v>208.334</v>
      </c>
      <c r="N414" s="8">
        <v>172.38800000000001</v>
      </c>
      <c r="O414" s="8">
        <v>117.087</v>
      </c>
      <c r="P414" s="8">
        <v>96.349000000000004</v>
      </c>
      <c r="Q414" s="8">
        <v>83.268000000000001</v>
      </c>
      <c r="R414" s="8">
        <v>72.463999999999999</v>
      </c>
      <c r="S414" s="8">
        <v>60.570999999999998</v>
      </c>
      <c r="T414" s="8">
        <v>51.292999999999999</v>
      </c>
      <c r="U414" s="8">
        <v>41.996000000000002</v>
      </c>
      <c r="V414" s="8">
        <v>31.475999999999999</v>
      </c>
      <c r="W414" s="8">
        <v>21.678000000000001</v>
      </c>
      <c r="X414" s="8">
        <v>12.441000000000001</v>
      </c>
      <c r="Y414" s="8">
        <v>5.98</v>
      </c>
      <c r="Z414" s="8">
        <v>1.724</v>
      </c>
      <c r="AA414" s="8">
        <v>0.33900000000000002</v>
      </c>
      <c r="AB414" s="8">
        <v>4.4999999999999998E-2</v>
      </c>
      <c r="AC414" s="8">
        <v>3.0000000000000001E-3</v>
      </c>
    </row>
    <row r="415" spans="1:29" ht="11.65" hidden="1" x14ac:dyDescent="0.35">
      <c r="A415" s="12">
        <v>398</v>
      </c>
      <c r="B415" s="10" t="s">
        <v>1015</v>
      </c>
      <c r="C415" s="11" t="s">
        <v>582</v>
      </c>
      <c r="D415" s="9"/>
      <c r="E415" s="9">
        <v>108</v>
      </c>
      <c r="F415" s="10" t="s">
        <v>1066</v>
      </c>
      <c r="G415" s="9">
        <v>910</v>
      </c>
      <c r="H415" s="9">
        <v>1985</v>
      </c>
      <c r="I415" s="8">
        <v>476.185</v>
      </c>
      <c r="J415" s="8">
        <v>353.2</v>
      </c>
      <c r="K415" s="8">
        <v>273.35599999999999</v>
      </c>
      <c r="L415" s="8">
        <v>242.15100000000001</v>
      </c>
      <c r="M415" s="8">
        <v>221.328</v>
      </c>
      <c r="N415" s="8">
        <v>197.57300000000001</v>
      </c>
      <c r="O415" s="8">
        <v>160.511</v>
      </c>
      <c r="P415" s="8">
        <v>107.339</v>
      </c>
      <c r="Q415" s="8">
        <v>88.061000000000007</v>
      </c>
      <c r="R415" s="8">
        <v>77.144000000000005</v>
      </c>
      <c r="S415" s="8">
        <v>66.501999999999995</v>
      </c>
      <c r="T415" s="8">
        <v>54.384999999999998</v>
      </c>
      <c r="U415" s="8">
        <v>44.375</v>
      </c>
      <c r="V415" s="8">
        <v>34.124000000000002</v>
      </c>
      <c r="W415" s="8">
        <v>23.626999999999999</v>
      </c>
      <c r="X415" s="8">
        <v>13.896000000000001</v>
      </c>
      <c r="Y415" s="8">
        <v>6.3010000000000002</v>
      </c>
      <c r="Z415" s="8">
        <v>2.1680000000000001</v>
      </c>
      <c r="AA415" s="8">
        <v>0.40600000000000003</v>
      </c>
      <c r="AB415" s="8">
        <v>4.9000000000000002E-2</v>
      </c>
      <c r="AC415" s="8">
        <v>4.0000000000000001E-3</v>
      </c>
    </row>
    <row r="416" spans="1:29" ht="11.65" hidden="1" x14ac:dyDescent="0.35">
      <c r="A416" s="12">
        <v>399</v>
      </c>
      <c r="B416" s="10" t="s">
        <v>1015</v>
      </c>
      <c r="C416" s="11" t="s">
        <v>582</v>
      </c>
      <c r="D416" s="9"/>
      <c r="E416" s="9">
        <v>108</v>
      </c>
      <c r="F416" s="10" t="s">
        <v>1066</v>
      </c>
      <c r="G416" s="9">
        <v>910</v>
      </c>
      <c r="H416" s="9">
        <v>1990</v>
      </c>
      <c r="I416" s="8">
        <v>545.577</v>
      </c>
      <c r="J416" s="8">
        <v>425.61900000000003</v>
      </c>
      <c r="K416" s="8">
        <v>330.12900000000002</v>
      </c>
      <c r="L416" s="8">
        <v>258.93400000000003</v>
      </c>
      <c r="M416" s="8">
        <v>233.48500000000001</v>
      </c>
      <c r="N416" s="8">
        <v>211.81100000000001</v>
      </c>
      <c r="O416" s="8">
        <v>186.50200000000001</v>
      </c>
      <c r="P416" s="8">
        <v>145.56</v>
      </c>
      <c r="Q416" s="8">
        <v>94.912999999999997</v>
      </c>
      <c r="R416" s="8">
        <v>78.549000000000007</v>
      </c>
      <c r="S416" s="8">
        <v>68.97</v>
      </c>
      <c r="T416" s="8">
        <v>59.923999999999999</v>
      </c>
      <c r="U416" s="8">
        <v>47.418999999999997</v>
      </c>
      <c r="V416" s="8">
        <v>36.671999999999997</v>
      </c>
      <c r="W416" s="8">
        <v>25.436</v>
      </c>
      <c r="X416" s="8">
        <v>15.023999999999999</v>
      </c>
      <c r="Y416" s="8">
        <v>6.9560000000000004</v>
      </c>
      <c r="Z416" s="8">
        <v>2.258</v>
      </c>
      <c r="AA416" s="8">
        <v>0.50600000000000001</v>
      </c>
      <c r="AB416" s="8">
        <v>5.8000000000000003E-2</v>
      </c>
      <c r="AC416" s="8">
        <v>4.0000000000000001E-3</v>
      </c>
    </row>
    <row r="417" spans="1:29" ht="11.65" hidden="1" x14ac:dyDescent="0.35">
      <c r="A417" s="12">
        <v>400</v>
      </c>
      <c r="B417" s="10" t="s">
        <v>1015</v>
      </c>
      <c r="C417" s="11" t="s">
        <v>582</v>
      </c>
      <c r="D417" s="9"/>
      <c r="E417" s="9">
        <v>108</v>
      </c>
      <c r="F417" s="10" t="s">
        <v>1066</v>
      </c>
      <c r="G417" s="9">
        <v>910</v>
      </c>
      <c r="H417" s="9">
        <v>1995</v>
      </c>
      <c r="I417" s="8">
        <v>580.77200000000005</v>
      </c>
      <c r="J417" s="8">
        <v>507.14800000000002</v>
      </c>
      <c r="K417" s="8">
        <v>412.24599999999998</v>
      </c>
      <c r="L417" s="8">
        <v>312.70400000000001</v>
      </c>
      <c r="M417" s="8">
        <v>228.62899999999999</v>
      </c>
      <c r="N417" s="8">
        <v>197.91200000000001</v>
      </c>
      <c r="O417" s="8">
        <v>180.709</v>
      </c>
      <c r="P417" s="8">
        <v>162.15</v>
      </c>
      <c r="Q417" s="8">
        <v>127.738</v>
      </c>
      <c r="R417" s="8">
        <v>82.837000000000003</v>
      </c>
      <c r="S417" s="8">
        <v>68.790999999999997</v>
      </c>
      <c r="T417" s="8">
        <v>59.9</v>
      </c>
      <c r="U417" s="8">
        <v>50.494999999999997</v>
      </c>
      <c r="V417" s="8">
        <v>37.664000000000001</v>
      </c>
      <c r="W417" s="8">
        <v>26.472000000000001</v>
      </c>
      <c r="X417" s="8">
        <v>15.615</v>
      </c>
      <c r="Y417" s="8">
        <v>7.141</v>
      </c>
      <c r="Z417" s="8">
        <v>2.3839999999999999</v>
      </c>
      <c r="AA417" s="8">
        <v>0.51700000000000002</v>
      </c>
      <c r="AB417" s="8">
        <v>6.7000000000000004E-2</v>
      </c>
      <c r="AC417" s="8">
        <v>5.0000000000000001E-3</v>
      </c>
    </row>
    <row r="418" spans="1:29" ht="11.65" hidden="1" x14ac:dyDescent="0.35">
      <c r="A418" s="12">
        <v>401</v>
      </c>
      <c r="B418" s="10" t="s">
        <v>1015</v>
      </c>
      <c r="C418" s="11" t="s">
        <v>582</v>
      </c>
      <c r="D418" s="9"/>
      <c r="E418" s="9">
        <v>108</v>
      </c>
      <c r="F418" s="10" t="s">
        <v>1066</v>
      </c>
      <c r="G418" s="9">
        <v>910</v>
      </c>
      <c r="H418" s="9">
        <v>2000</v>
      </c>
      <c r="I418" s="8">
        <v>577.00599999999997</v>
      </c>
      <c r="J418" s="8">
        <v>537.19600000000003</v>
      </c>
      <c r="K418" s="8">
        <v>484.54899999999998</v>
      </c>
      <c r="L418" s="8">
        <v>379.23099999999999</v>
      </c>
      <c r="M418" s="8">
        <v>265.42</v>
      </c>
      <c r="N418" s="8">
        <v>188.476</v>
      </c>
      <c r="O418" s="8">
        <v>168.08</v>
      </c>
      <c r="P418" s="8">
        <v>150.43700000000001</v>
      </c>
      <c r="Q418" s="8">
        <v>134.876</v>
      </c>
      <c r="R418" s="8">
        <v>102.937</v>
      </c>
      <c r="S418" s="8">
        <v>65.188000000000002</v>
      </c>
      <c r="T418" s="8">
        <v>54.258000000000003</v>
      </c>
      <c r="U418" s="8">
        <v>46.618000000000002</v>
      </c>
      <c r="V418" s="8">
        <v>38.246000000000002</v>
      </c>
      <c r="W418" s="8">
        <v>27.09</v>
      </c>
      <c r="X418" s="8">
        <v>16.942</v>
      </c>
      <c r="Y418" s="8">
        <v>7.3479999999999999</v>
      </c>
      <c r="Z418" s="8">
        <v>2.4260000000000002</v>
      </c>
      <c r="AA418" s="8">
        <v>0.54200000000000004</v>
      </c>
      <c r="AB418" s="8">
        <v>7.0999999999999994E-2</v>
      </c>
      <c r="AC418" s="8">
        <v>6.0000000000000001E-3</v>
      </c>
    </row>
    <row r="419" spans="1:29" ht="11.65" hidden="1" x14ac:dyDescent="0.35">
      <c r="A419" s="12">
        <v>402</v>
      </c>
      <c r="B419" s="10" t="s">
        <v>1015</v>
      </c>
      <c r="C419" s="11" t="s">
        <v>582</v>
      </c>
      <c r="D419" s="9"/>
      <c r="E419" s="9">
        <v>108</v>
      </c>
      <c r="F419" s="10" t="s">
        <v>1066</v>
      </c>
      <c r="G419" s="9">
        <v>910</v>
      </c>
      <c r="H419" s="9">
        <v>2005</v>
      </c>
      <c r="I419" s="8">
        <v>649.73</v>
      </c>
      <c r="J419" s="8">
        <v>550.54100000000005</v>
      </c>
      <c r="K419" s="8">
        <v>526.63199999999995</v>
      </c>
      <c r="L419" s="8">
        <v>474.29500000000002</v>
      </c>
      <c r="M419" s="8">
        <v>367.10599999999999</v>
      </c>
      <c r="N419" s="8">
        <v>254.50899999999999</v>
      </c>
      <c r="O419" s="8">
        <v>179.684</v>
      </c>
      <c r="P419" s="8">
        <v>159.90899999999999</v>
      </c>
      <c r="Q419" s="8">
        <v>143.196</v>
      </c>
      <c r="R419" s="8">
        <v>128.12700000000001</v>
      </c>
      <c r="S419" s="8">
        <v>96.516000000000005</v>
      </c>
      <c r="T419" s="8">
        <v>59.786000000000001</v>
      </c>
      <c r="U419" s="8">
        <v>47.944000000000003</v>
      </c>
      <c r="V419" s="8">
        <v>38.814999999999998</v>
      </c>
      <c r="W419" s="8">
        <v>29.007999999999999</v>
      </c>
      <c r="X419" s="8">
        <v>17.626000000000001</v>
      </c>
      <c r="Y419" s="8">
        <v>8.7309999999999999</v>
      </c>
      <c r="Z419" s="8">
        <v>2.7240000000000002</v>
      </c>
      <c r="AA419" s="8">
        <v>0.58699999999999997</v>
      </c>
      <c r="AB419" s="8">
        <v>7.8E-2</v>
      </c>
      <c r="AC419" s="8">
        <v>6.0000000000000001E-3</v>
      </c>
    </row>
    <row r="420" spans="1:29" ht="11.65" hidden="1" x14ac:dyDescent="0.35">
      <c r="A420" s="12">
        <v>403</v>
      </c>
      <c r="B420" s="10" t="s">
        <v>1015</v>
      </c>
      <c r="C420" s="11" t="s">
        <v>582</v>
      </c>
      <c r="D420" s="9"/>
      <c r="E420" s="9">
        <v>108</v>
      </c>
      <c r="F420" s="10" t="s">
        <v>1066</v>
      </c>
      <c r="G420" s="9">
        <v>910</v>
      </c>
      <c r="H420" s="9">
        <v>2010</v>
      </c>
      <c r="I420" s="8">
        <v>784.34100000000001</v>
      </c>
      <c r="J420" s="8">
        <v>626.91899999999998</v>
      </c>
      <c r="K420" s="8">
        <v>540.24300000000005</v>
      </c>
      <c r="L420" s="8">
        <v>519.70899999999995</v>
      </c>
      <c r="M420" s="8">
        <v>467.988</v>
      </c>
      <c r="N420" s="8">
        <v>360.23099999999999</v>
      </c>
      <c r="O420" s="8">
        <v>247.3</v>
      </c>
      <c r="P420" s="8">
        <v>173.119</v>
      </c>
      <c r="Q420" s="8">
        <v>153.50899999999999</v>
      </c>
      <c r="R420" s="8">
        <v>137.61600000000001</v>
      </c>
      <c r="S420" s="8">
        <v>122.39400000000001</v>
      </c>
      <c r="T420" s="8">
        <v>90.9</v>
      </c>
      <c r="U420" s="8">
        <v>54.877000000000002</v>
      </c>
      <c r="V420" s="8">
        <v>41.92</v>
      </c>
      <c r="W420" s="8">
        <v>31.285</v>
      </c>
      <c r="X420" s="8">
        <v>20.555</v>
      </c>
      <c r="Y420" s="8">
        <v>10.214</v>
      </c>
      <c r="Z420" s="8">
        <v>3.7440000000000002</v>
      </c>
      <c r="AA420" s="8">
        <v>0.77900000000000003</v>
      </c>
      <c r="AB420" s="8">
        <v>0.104</v>
      </c>
      <c r="AC420" s="8">
        <v>8.0000000000000002E-3</v>
      </c>
    </row>
    <row r="421" spans="1:29" ht="11.65" hidden="1" x14ac:dyDescent="0.35">
      <c r="A421" s="12">
        <v>404</v>
      </c>
      <c r="B421" s="10" t="s">
        <v>1015</v>
      </c>
      <c r="C421" s="11" t="s">
        <v>582</v>
      </c>
      <c r="D421" s="9"/>
      <c r="E421" s="9">
        <v>108</v>
      </c>
      <c r="F421" s="10" t="s">
        <v>1066</v>
      </c>
      <c r="G421" s="9">
        <v>910</v>
      </c>
      <c r="H421" s="9">
        <v>2015</v>
      </c>
      <c r="I421" s="8">
        <v>920.79700000000003</v>
      </c>
      <c r="J421" s="8">
        <v>762.99599999999998</v>
      </c>
      <c r="K421" s="8">
        <v>615.20899999999995</v>
      </c>
      <c r="L421" s="8">
        <v>530.43399999999997</v>
      </c>
      <c r="M421" s="8">
        <v>506.238</v>
      </c>
      <c r="N421" s="8">
        <v>452.25900000000001</v>
      </c>
      <c r="O421" s="8">
        <v>345.53800000000001</v>
      </c>
      <c r="P421" s="8">
        <v>235.321</v>
      </c>
      <c r="Q421" s="8">
        <v>164.071</v>
      </c>
      <c r="R421" s="8">
        <v>145.96100000000001</v>
      </c>
      <c r="S421" s="8">
        <v>130.56399999999999</v>
      </c>
      <c r="T421" s="8">
        <v>114.83</v>
      </c>
      <c r="U421" s="8">
        <v>83.238</v>
      </c>
      <c r="V421" s="8">
        <v>47.945999999999998</v>
      </c>
      <c r="W421" s="8">
        <v>33.881999999999998</v>
      </c>
      <c r="X421" s="8">
        <v>22.318999999999999</v>
      </c>
      <c r="Y421" s="8">
        <v>12.009</v>
      </c>
      <c r="Z421" s="8">
        <v>4.4409999999999998</v>
      </c>
      <c r="AA421" s="8">
        <v>1.0960000000000001</v>
      </c>
      <c r="AB421" s="8">
        <v>0.14000000000000001</v>
      </c>
      <c r="AC421" s="8">
        <v>0.01</v>
      </c>
    </row>
    <row r="422" spans="1:29" ht="11.65" hidden="1" x14ac:dyDescent="0.35">
      <c r="A422" s="12">
        <v>405</v>
      </c>
      <c r="B422" s="10" t="s">
        <v>1015</v>
      </c>
      <c r="C422" s="11" t="s">
        <v>582</v>
      </c>
      <c r="D422" s="9"/>
      <c r="E422" s="9">
        <v>108</v>
      </c>
      <c r="F422" s="10" t="s">
        <v>1066</v>
      </c>
      <c r="G422" s="9">
        <v>910</v>
      </c>
      <c r="H422" s="9">
        <v>2020</v>
      </c>
      <c r="I422" s="8">
        <v>1016.42</v>
      </c>
      <c r="J422" s="8">
        <v>902.50900000000001</v>
      </c>
      <c r="K422" s="8">
        <v>751.52499999999998</v>
      </c>
      <c r="L422" s="8">
        <v>607.97400000000005</v>
      </c>
      <c r="M422" s="8">
        <v>523.63800000000003</v>
      </c>
      <c r="N422" s="8">
        <v>497.97899999999998</v>
      </c>
      <c r="O422" s="8">
        <v>442.24599999999998</v>
      </c>
      <c r="P422" s="8">
        <v>335.47399999999999</v>
      </c>
      <c r="Q422" s="8">
        <v>227.38200000000001</v>
      </c>
      <c r="R422" s="8">
        <v>158.36099999999999</v>
      </c>
      <c r="S422" s="8">
        <v>140.09800000000001</v>
      </c>
      <c r="T422" s="8">
        <v>123.684</v>
      </c>
      <c r="U422" s="8">
        <v>106.164</v>
      </c>
      <c r="V422" s="8">
        <v>73.55</v>
      </c>
      <c r="W422" s="8">
        <v>39.244999999999997</v>
      </c>
      <c r="X422" s="8">
        <v>24.527000000000001</v>
      </c>
      <c r="Y422" s="8">
        <v>13.288</v>
      </c>
      <c r="Z422" s="8">
        <v>5.3209999999999997</v>
      </c>
      <c r="AA422" s="8">
        <v>1.319</v>
      </c>
      <c r="AB422" s="8">
        <v>0.19900000000000001</v>
      </c>
      <c r="AC422" s="8">
        <v>1.4E-2</v>
      </c>
    </row>
    <row r="423" spans="1:29" ht="11.65" hidden="1" x14ac:dyDescent="0.35">
      <c r="A423" s="12">
        <v>406</v>
      </c>
      <c r="B423" s="10" t="s">
        <v>1015</v>
      </c>
      <c r="C423" s="11" t="s">
        <v>1067</v>
      </c>
      <c r="D423" s="9"/>
      <c r="E423" s="9">
        <v>174</v>
      </c>
      <c r="F423" s="10" t="s">
        <v>1066</v>
      </c>
      <c r="G423" s="9">
        <v>910</v>
      </c>
      <c r="H423" s="9">
        <v>1950</v>
      </c>
      <c r="I423" s="8">
        <v>11.217000000000001</v>
      </c>
      <c r="J423" s="8">
        <v>9.7089999999999996</v>
      </c>
      <c r="K423" s="8">
        <v>8.8859999999999992</v>
      </c>
      <c r="L423" s="8">
        <v>8.0649999999999995</v>
      </c>
      <c r="M423" s="8">
        <v>7.2320000000000002</v>
      </c>
      <c r="N423" s="8">
        <v>6.4889999999999999</v>
      </c>
      <c r="O423" s="8">
        <v>5.8410000000000002</v>
      </c>
      <c r="P423" s="8">
        <v>5.0999999999999996</v>
      </c>
      <c r="Q423" s="8">
        <v>4.2640000000000002</v>
      </c>
      <c r="R423" s="8">
        <v>3.3719999999999999</v>
      </c>
      <c r="S423" s="8">
        <v>2.7189999999999999</v>
      </c>
      <c r="T423" s="8">
        <v>2.2309999999999999</v>
      </c>
      <c r="U423" s="8">
        <v>1.7749999999999999</v>
      </c>
      <c r="V423" s="8">
        <v>1.4119999999999999</v>
      </c>
      <c r="W423" s="8">
        <v>0.996</v>
      </c>
      <c r="X423" s="8">
        <v>0.56799999999999995</v>
      </c>
      <c r="Y423" s="8">
        <v>0.30399999999999999</v>
      </c>
      <c r="Z423" s="8">
        <v>2.1999999999999999E-2</v>
      </c>
      <c r="AA423" s="8">
        <v>0</v>
      </c>
      <c r="AB423" s="8">
        <v>0</v>
      </c>
      <c r="AC423" s="8">
        <v>0</v>
      </c>
    </row>
    <row r="424" spans="1:29" ht="11.65" hidden="1" x14ac:dyDescent="0.35">
      <c r="A424" s="12">
        <v>407</v>
      </c>
      <c r="B424" s="10" t="s">
        <v>1015</v>
      </c>
      <c r="C424" s="11" t="s">
        <v>1067</v>
      </c>
      <c r="D424" s="9"/>
      <c r="E424" s="9">
        <v>174</v>
      </c>
      <c r="F424" s="10" t="s">
        <v>1066</v>
      </c>
      <c r="G424" s="9">
        <v>910</v>
      </c>
      <c r="H424" s="9">
        <v>1955</v>
      </c>
      <c r="I424" s="8">
        <v>14.401999999999999</v>
      </c>
      <c r="J424" s="8">
        <v>10.182</v>
      </c>
      <c r="K424" s="8">
        <v>9.4450000000000003</v>
      </c>
      <c r="L424" s="8">
        <v>8.6210000000000004</v>
      </c>
      <c r="M424" s="8">
        <v>7.7469999999999999</v>
      </c>
      <c r="N424" s="8">
        <v>6.8940000000000001</v>
      </c>
      <c r="O424" s="8">
        <v>6.149</v>
      </c>
      <c r="P424" s="8">
        <v>5.4989999999999997</v>
      </c>
      <c r="Q424" s="8">
        <v>4.7709999999999999</v>
      </c>
      <c r="R424" s="8">
        <v>3.9660000000000002</v>
      </c>
      <c r="S424" s="8">
        <v>3.085</v>
      </c>
      <c r="T424" s="8">
        <v>2.4209999999999998</v>
      </c>
      <c r="U424" s="8">
        <v>1.893</v>
      </c>
      <c r="V424" s="8">
        <v>1.4</v>
      </c>
      <c r="W424" s="8">
        <v>1</v>
      </c>
      <c r="X424" s="8">
        <v>0.59099999999999997</v>
      </c>
      <c r="Y424" s="8">
        <v>0.26</v>
      </c>
      <c r="Z424" s="8">
        <v>9.8000000000000004E-2</v>
      </c>
      <c r="AA424" s="8">
        <v>0</v>
      </c>
      <c r="AB424" s="8">
        <v>0</v>
      </c>
      <c r="AC424" s="8">
        <v>0</v>
      </c>
    </row>
    <row r="425" spans="1:29" ht="11.65" hidden="1" x14ac:dyDescent="0.35">
      <c r="A425" s="12">
        <v>408</v>
      </c>
      <c r="B425" s="10" t="s">
        <v>1015</v>
      </c>
      <c r="C425" s="11" t="s">
        <v>1067</v>
      </c>
      <c r="D425" s="9"/>
      <c r="E425" s="9">
        <v>174</v>
      </c>
      <c r="F425" s="10" t="s">
        <v>1066</v>
      </c>
      <c r="G425" s="9">
        <v>910</v>
      </c>
      <c r="H425" s="9">
        <v>1960</v>
      </c>
      <c r="I425" s="8">
        <v>16.747</v>
      </c>
      <c r="J425" s="8">
        <v>12.754</v>
      </c>
      <c r="K425" s="8">
        <v>9.5790000000000006</v>
      </c>
      <c r="L425" s="8">
        <v>8.8840000000000003</v>
      </c>
      <c r="M425" s="8">
        <v>8.0329999999999995</v>
      </c>
      <c r="N425" s="8">
        <v>7.1669999999999998</v>
      </c>
      <c r="O425" s="8">
        <v>6.343</v>
      </c>
      <c r="P425" s="8">
        <v>5.6239999999999997</v>
      </c>
      <c r="Q425" s="8">
        <v>5.0010000000000003</v>
      </c>
      <c r="R425" s="8">
        <v>4.3109999999999999</v>
      </c>
      <c r="S425" s="8">
        <v>3.53</v>
      </c>
      <c r="T425" s="8">
        <v>2.6720000000000002</v>
      </c>
      <c r="U425" s="8">
        <v>2.004</v>
      </c>
      <c r="V425" s="8">
        <v>1.462</v>
      </c>
      <c r="W425" s="8">
        <v>0.97499999999999998</v>
      </c>
      <c r="X425" s="8">
        <v>0.58599999999999997</v>
      </c>
      <c r="Y425" s="8">
        <v>0.26900000000000002</v>
      </c>
      <c r="Z425" s="8">
        <v>8.3000000000000004E-2</v>
      </c>
      <c r="AA425" s="8">
        <v>2.1999999999999999E-2</v>
      </c>
      <c r="AB425" s="8">
        <v>0</v>
      </c>
      <c r="AC425" s="8">
        <v>0</v>
      </c>
    </row>
    <row r="426" spans="1:29" ht="11.65" hidden="1" x14ac:dyDescent="0.35">
      <c r="A426" s="12">
        <v>409</v>
      </c>
      <c r="B426" s="10" t="s">
        <v>1015</v>
      </c>
      <c r="C426" s="11" t="s">
        <v>1067</v>
      </c>
      <c r="D426" s="9"/>
      <c r="E426" s="9">
        <v>174</v>
      </c>
      <c r="F426" s="10" t="s">
        <v>1066</v>
      </c>
      <c r="G426" s="9">
        <v>910</v>
      </c>
      <c r="H426" s="9">
        <v>1965</v>
      </c>
      <c r="I426" s="8">
        <v>18.312999999999999</v>
      </c>
      <c r="J426" s="8">
        <v>14.82</v>
      </c>
      <c r="K426" s="8">
        <v>11.943</v>
      </c>
      <c r="L426" s="8">
        <v>8.9220000000000006</v>
      </c>
      <c r="M426" s="8">
        <v>8.2260000000000009</v>
      </c>
      <c r="N426" s="8">
        <v>7.391</v>
      </c>
      <c r="O426" s="8">
        <v>6.5609999999999999</v>
      </c>
      <c r="P426" s="8">
        <v>5.7720000000000002</v>
      </c>
      <c r="Q426" s="8">
        <v>5.09</v>
      </c>
      <c r="R426" s="8">
        <v>4.5</v>
      </c>
      <c r="S426" s="8">
        <v>3.8239999999999998</v>
      </c>
      <c r="T426" s="8">
        <v>3.0510000000000002</v>
      </c>
      <c r="U426" s="8">
        <v>2.2120000000000002</v>
      </c>
      <c r="V426" s="8">
        <v>1.55</v>
      </c>
      <c r="W426" s="8">
        <v>1.022</v>
      </c>
      <c r="X426" s="8">
        <v>0.57799999999999996</v>
      </c>
      <c r="Y426" s="8">
        <v>0.27300000000000002</v>
      </c>
      <c r="Z426" s="8">
        <v>8.6999999999999994E-2</v>
      </c>
      <c r="AA426" s="8">
        <v>1.6E-2</v>
      </c>
      <c r="AB426" s="8">
        <v>3.0000000000000001E-3</v>
      </c>
      <c r="AC426" s="8">
        <v>0</v>
      </c>
    </row>
    <row r="427" spans="1:29" ht="11.65" hidden="1" x14ac:dyDescent="0.35">
      <c r="A427" s="12">
        <v>410</v>
      </c>
      <c r="B427" s="10" t="s">
        <v>1015</v>
      </c>
      <c r="C427" s="11" t="s">
        <v>1067</v>
      </c>
      <c r="D427" s="9"/>
      <c r="E427" s="9">
        <v>174</v>
      </c>
      <c r="F427" s="10" t="s">
        <v>1066</v>
      </c>
      <c r="G427" s="9">
        <v>910</v>
      </c>
      <c r="H427" s="9">
        <v>1970</v>
      </c>
      <c r="I427" s="8">
        <v>20.109000000000002</v>
      </c>
      <c r="J427" s="8">
        <v>16.613</v>
      </c>
      <c r="K427" s="8">
        <v>14.148</v>
      </c>
      <c r="L427" s="8">
        <v>11.378</v>
      </c>
      <c r="M427" s="8">
        <v>8.4160000000000004</v>
      </c>
      <c r="N427" s="8">
        <v>7.7270000000000003</v>
      </c>
      <c r="O427" s="8">
        <v>6.91</v>
      </c>
      <c r="P427" s="8">
        <v>6.101</v>
      </c>
      <c r="Q427" s="8">
        <v>5.3390000000000004</v>
      </c>
      <c r="R427" s="8">
        <v>4.6790000000000003</v>
      </c>
      <c r="S427" s="8">
        <v>4.0780000000000003</v>
      </c>
      <c r="T427" s="8">
        <v>3.383</v>
      </c>
      <c r="U427" s="8">
        <v>2.5920000000000001</v>
      </c>
      <c r="V427" s="8">
        <v>1.76</v>
      </c>
      <c r="W427" s="8">
        <v>1.1200000000000001</v>
      </c>
      <c r="X427" s="8">
        <v>0.628</v>
      </c>
      <c r="Y427" s="8">
        <v>0.27800000000000002</v>
      </c>
      <c r="Z427" s="8">
        <v>9.4E-2</v>
      </c>
      <c r="AA427" s="8">
        <v>0.02</v>
      </c>
      <c r="AB427" s="8">
        <v>2E-3</v>
      </c>
      <c r="AC427" s="8">
        <v>0</v>
      </c>
    </row>
    <row r="428" spans="1:29" ht="11.65" hidden="1" x14ac:dyDescent="0.35">
      <c r="A428" s="12">
        <v>411</v>
      </c>
      <c r="B428" s="10" t="s">
        <v>1015</v>
      </c>
      <c r="C428" s="11" t="s">
        <v>1067</v>
      </c>
      <c r="D428" s="9"/>
      <c r="E428" s="9">
        <v>174</v>
      </c>
      <c r="F428" s="10" t="s">
        <v>1066</v>
      </c>
      <c r="G428" s="9">
        <v>910</v>
      </c>
      <c r="H428" s="9">
        <v>1975</v>
      </c>
      <c r="I428" s="8">
        <v>22.481000000000002</v>
      </c>
      <c r="J428" s="8">
        <v>18.454999999999998</v>
      </c>
      <c r="K428" s="8">
        <v>15.936</v>
      </c>
      <c r="L428" s="8">
        <v>13.548</v>
      </c>
      <c r="M428" s="8">
        <v>10.817</v>
      </c>
      <c r="N428" s="8">
        <v>7.944</v>
      </c>
      <c r="O428" s="8">
        <v>7.2750000000000004</v>
      </c>
      <c r="P428" s="8">
        <v>6.4749999999999996</v>
      </c>
      <c r="Q428" s="8">
        <v>5.6879999999999997</v>
      </c>
      <c r="R428" s="8">
        <v>4.9470000000000001</v>
      </c>
      <c r="S428" s="8">
        <v>4.2750000000000004</v>
      </c>
      <c r="T428" s="8">
        <v>3.6440000000000001</v>
      </c>
      <c r="U428" s="8">
        <v>2.91</v>
      </c>
      <c r="V428" s="8">
        <v>2.097</v>
      </c>
      <c r="W428" s="8">
        <v>1.2949999999999999</v>
      </c>
      <c r="X428" s="8">
        <v>0.70399999999999996</v>
      </c>
      <c r="Y428" s="8">
        <v>0.312</v>
      </c>
      <c r="Z428" s="8">
        <v>9.8000000000000004E-2</v>
      </c>
      <c r="AA428" s="8">
        <v>2.1000000000000001E-2</v>
      </c>
      <c r="AB428" s="8">
        <v>3.0000000000000001E-3</v>
      </c>
      <c r="AC428" s="8">
        <v>0</v>
      </c>
    </row>
    <row r="429" spans="1:29" ht="11.65" hidden="1" x14ac:dyDescent="0.35">
      <c r="A429" s="12">
        <v>412</v>
      </c>
      <c r="B429" s="10" t="s">
        <v>1015</v>
      </c>
      <c r="C429" s="11" t="s">
        <v>1067</v>
      </c>
      <c r="D429" s="9"/>
      <c r="E429" s="9">
        <v>174</v>
      </c>
      <c r="F429" s="10" t="s">
        <v>1066</v>
      </c>
      <c r="G429" s="9">
        <v>910</v>
      </c>
      <c r="H429" s="9">
        <v>1980</v>
      </c>
      <c r="I429" s="8">
        <v>27.387</v>
      </c>
      <c r="J429" s="8">
        <v>22.047000000000001</v>
      </c>
      <c r="K429" s="8">
        <v>18.809000000000001</v>
      </c>
      <c r="L429" s="8">
        <v>16.206</v>
      </c>
      <c r="M429" s="8">
        <v>13.680999999999999</v>
      </c>
      <c r="N429" s="8">
        <v>10.867000000000001</v>
      </c>
      <c r="O429" s="8">
        <v>7.9729999999999999</v>
      </c>
      <c r="P429" s="8">
        <v>7.2489999999999997</v>
      </c>
      <c r="Q429" s="8">
        <v>6.4240000000000004</v>
      </c>
      <c r="R429" s="8">
        <v>5.6070000000000002</v>
      </c>
      <c r="S429" s="8">
        <v>4.8140000000000001</v>
      </c>
      <c r="T429" s="8">
        <v>4.0720000000000001</v>
      </c>
      <c r="U429" s="8">
        <v>3.3450000000000002</v>
      </c>
      <c r="V429" s="8">
        <v>2.5190000000000001</v>
      </c>
      <c r="W429" s="8">
        <v>1.6559999999999999</v>
      </c>
      <c r="X429" s="8">
        <v>0.878</v>
      </c>
      <c r="Y429" s="8">
        <v>0.378</v>
      </c>
      <c r="Z429" s="8">
        <v>0.121</v>
      </c>
      <c r="AA429" s="8">
        <v>2.5000000000000001E-2</v>
      </c>
      <c r="AB429" s="8">
        <v>3.0000000000000001E-3</v>
      </c>
      <c r="AC429" s="8">
        <v>0</v>
      </c>
    </row>
    <row r="430" spans="1:29" ht="11.65" hidden="1" x14ac:dyDescent="0.35">
      <c r="A430" s="12">
        <v>413</v>
      </c>
      <c r="B430" s="10" t="s">
        <v>1015</v>
      </c>
      <c r="C430" s="11" t="s">
        <v>1067</v>
      </c>
      <c r="D430" s="9"/>
      <c r="E430" s="9">
        <v>174</v>
      </c>
      <c r="F430" s="10" t="s">
        <v>1066</v>
      </c>
      <c r="G430" s="9">
        <v>910</v>
      </c>
      <c r="H430" s="9">
        <v>1985</v>
      </c>
      <c r="I430" s="8">
        <v>32.558</v>
      </c>
      <c r="J430" s="8">
        <v>25.844000000000001</v>
      </c>
      <c r="K430" s="8">
        <v>21.446000000000002</v>
      </c>
      <c r="L430" s="8">
        <v>18.265000000000001</v>
      </c>
      <c r="M430" s="8">
        <v>15.641999999999999</v>
      </c>
      <c r="N430" s="8">
        <v>13.146000000000001</v>
      </c>
      <c r="O430" s="8">
        <v>10.406000000000001</v>
      </c>
      <c r="P430" s="8">
        <v>7.5970000000000004</v>
      </c>
      <c r="Q430" s="8">
        <v>6.883</v>
      </c>
      <c r="R430" s="8">
        <v>6.0609999999999999</v>
      </c>
      <c r="S430" s="8">
        <v>5.226</v>
      </c>
      <c r="T430" s="8">
        <v>4.3959999999999999</v>
      </c>
      <c r="U430" s="8">
        <v>3.5920000000000001</v>
      </c>
      <c r="V430" s="8">
        <v>2.7930000000000001</v>
      </c>
      <c r="W430" s="8">
        <v>1.9239999999999999</v>
      </c>
      <c r="X430" s="8">
        <v>1.0920000000000001</v>
      </c>
      <c r="Y430" s="8">
        <v>0.46</v>
      </c>
      <c r="Z430" s="8">
        <v>0.14299999999999999</v>
      </c>
      <c r="AA430" s="8">
        <v>2.9000000000000001E-2</v>
      </c>
      <c r="AB430" s="8">
        <v>4.0000000000000001E-3</v>
      </c>
      <c r="AC430" s="8">
        <v>0</v>
      </c>
    </row>
    <row r="431" spans="1:29" ht="11.65" hidden="1" x14ac:dyDescent="0.35">
      <c r="A431" s="12">
        <v>414</v>
      </c>
      <c r="B431" s="10" t="s">
        <v>1015</v>
      </c>
      <c r="C431" s="11" t="s">
        <v>1067</v>
      </c>
      <c r="D431" s="9"/>
      <c r="E431" s="9">
        <v>174</v>
      </c>
      <c r="F431" s="10" t="s">
        <v>1066</v>
      </c>
      <c r="G431" s="9">
        <v>910</v>
      </c>
      <c r="H431" s="9">
        <v>1990</v>
      </c>
      <c r="I431" s="8">
        <v>36.948999999999998</v>
      </c>
      <c r="J431" s="8">
        <v>31.068000000000001</v>
      </c>
      <c r="K431" s="8">
        <v>25.248000000000001</v>
      </c>
      <c r="L431" s="8">
        <v>20.92</v>
      </c>
      <c r="M431" s="8">
        <v>17.722999999999999</v>
      </c>
      <c r="N431" s="8">
        <v>15.121</v>
      </c>
      <c r="O431" s="8">
        <v>12.67</v>
      </c>
      <c r="P431" s="8">
        <v>9.9930000000000003</v>
      </c>
      <c r="Q431" s="8">
        <v>7.2569999999999997</v>
      </c>
      <c r="R431" s="8">
        <v>6.54</v>
      </c>
      <c r="S431" s="8">
        <v>5.69</v>
      </c>
      <c r="T431" s="8">
        <v>4.8120000000000003</v>
      </c>
      <c r="U431" s="8">
        <v>3.919</v>
      </c>
      <c r="V431" s="8">
        <v>3.0379999999999998</v>
      </c>
      <c r="W431" s="8">
        <v>2.165</v>
      </c>
      <c r="X431" s="8">
        <v>1.2929999999999999</v>
      </c>
      <c r="Y431" s="8">
        <v>0.58599999999999997</v>
      </c>
      <c r="Z431" s="8">
        <v>0.17899999999999999</v>
      </c>
      <c r="AA431" s="8">
        <v>3.5999999999999997E-2</v>
      </c>
      <c r="AB431" s="8">
        <v>5.0000000000000001E-3</v>
      </c>
      <c r="AC431" s="8">
        <v>0</v>
      </c>
    </row>
    <row r="432" spans="1:29" ht="11.65" hidden="1" x14ac:dyDescent="0.35">
      <c r="A432" s="12">
        <v>415</v>
      </c>
      <c r="B432" s="10" t="s">
        <v>1015</v>
      </c>
      <c r="C432" s="11" t="s">
        <v>1067</v>
      </c>
      <c r="D432" s="9"/>
      <c r="E432" s="9">
        <v>174</v>
      </c>
      <c r="F432" s="10" t="s">
        <v>1066</v>
      </c>
      <c r="G432" s="9">
        <v>910</v>
      </c>
      <c r="H432" s="9">
        <v>1995</v>
      </c>
      <c r="I432" s="8">
        <v>40.167999999999999</v>
      </c>
      <c r="J432" s="8">
        <v>35.671999999999997</v>
      </c>
      <c r="K432" s="8">
        <v>30.568000000000001</v>
      </c>
      <c r="L432" s="8">
        <v>24.805</v>
      </c>
      <c r="M432" s="8">
        <v>20.457999999999998</v>
      </c>
      <c r="N432" s="8">
        <v>17.273</v>
      </c>
      <c r="O432" s="8">
        <v>14.699</v>
      </c>
      <c r="P432" s="8">
        <v>12.276</v>
      </c>
      <c r="Q432" s="8">
        <v>9.641</v>
      </c>
      <c r="R432" s="8">
        <v>6.9539999999999997</v>
      </c>
      <c r="S432" s="8">
        <v>6.2</v>
      </c>
      <c r="T432" s="8">
        <v>5.2949999999999999</v>
      </c>
      <c r="U432" s="8">
        <v>4.3440000000000003</v>
      </c>
      <c r="V432" s="8">
        <v>3.3620000000000001</v>
      </c>
      <c r="W432" s="8">
        <v>2.395</v>
      </c>
      <c r="X432" s="8">
        <v>1.486</v>
      </c>
      <c r="Y432" s="8">
        <v>0.71199999999999997</v>
      </c>
      <c r="Z432" s="8">
        <v>0.23400000000000001</v>
      </c>
      <c r="AA432" s="8">
        <v>4.4999999999999998E-2</v>
      </c>
      <c r="AB432" s="8">
        <v>6.0000000000000001E-3</v>
      </c>
      <c r="AC432" s="8">
        <v>0</v>
      </c>
    </row>
    <row r="433" spans="1:29" ht="11.65" hidden="1" x14ac:dyDescent="0.35">
      <c r="A433" s="12">
        <v>416</v>
      </c>
      <c r="B433" s="10" t="s">
        <v>1015</v>
      </c>
      <c r="C433" s="11" t="s">
        <v>1067</v>
      </c>
      <c r="D433" s="9"/>
      <c r="E433" s="9">
        <v>174</v>
      </c>
      <c r="F433" s="10" t="s">
        <v>1066</v>
      </c>
      <c r="G433" s="9">
        <v>910</v>
      </c>
      <c r="H433" s="9">
        <v>2000</v>
      </c>
      <c r="I433" s="8">
        <v>43.570999999999998</v>
      </c>
      <c r="J433" s="8">
        <v>38.722999999999999</v>
      </c>
      <c r="K433" s="8">
        <v>34.963000000000001</v>
      </c>
      <c r="L433" s="8">
        <v>29.917999999999999</v>
      </c>
      <c r="M433" s="8">
        <v>24.170999999999999</v>
      </c>
      <c r="N433" s="8">
        <v>19.873000000000001</v>
      </c>
      <c r="O433" s="8">
        <v>16.738</v>
      </c>
      <c r="P433" s="8">
        <v>14.2</v>
      </c>
      <c r="Q433" s="8">
        <v>11.811</v>
      </c>
      <c r="R433" s="8">
        <v>9.218</v>
      </c>
      <c r="S433" s="8">
        <v>6.57</v>
      </c>
      <c r="T433" s="8">
        <v>5.7590000000000003</v>
      </c>
      <c r="U433" s="8">
        <v>4.7750000000000004</v>
      </c>
      <c r="V433" s="8">
        <v>3.7290000000000001</v>
      </c>
      <c r="W433" s="8">
        <v>2.6579999999999999</v>
      </c>
      <c r="X433" s="8">
        <v>1.6519999999999999</v>
      </c>
      <c r="Y433" s="8">
        <v>0.82299999999999995</v>
      </c>
      <c r="Z433" s="8">
        <v>0.28499999999999998</v>
      </c>
      <c r="AA433" s="8">
        <v>0.06</v>
      </c>
      <c r="AB433" s="8">
        <v>7.0000000000000001E-3</v>
      </c>
      <c r="AC433" s="8">
        <v>1E-3</v>
      </c>
    </row>
    <row r="434" spans="1:29" ht="11.65" hidden="1" x14ac:dyDescent="0.35">
      <c r="A434" s="12">
        <v>417</v>
      </c>
      <c r="B434" s="10" t="s">
        <v>1015</v>
      </c>
      <c r="C434" s="11" t="s">
        <v>1067</v>
      </c>
      <c r="D434" s="9"/>
      <c r="E434" s="9">
        <v>174</v>
      </c>
      <c r="F434" s="10" t="s">
        <v>1066</v>
      </c>
      <c r="G434" s="9">
        <v>910</v>
      </c>
      <c r="H434" s="9">
        <v>2005</v>
      </c>
      <c r="I434" s="8">
        <v>47.481000000000002</v>
      </c>
      <c r="J434" s="8">
        <v>41.808</v>
      </c>
      <c r="K434" s="8">
        <v>37.744999999999997</v>
      </c>
      <c r="L434" s="8">
        <v>34.045000000000002</v>
      </c>
      <c r="M434" s="8">
        <v>29.010999999999999</v>
      </c>
      <c r="N434" s="8">
        <v>23.358000000000001</v>
      </c>
      <c r="O434" s="8">
        <v>19.16</v>
      </c>
      <c r="P434" s="8">
        <v>16.088000000000001</v>
      </c>
      <c r="Q434" s="8">
        <v>13.596</v>
      </c>
      <c r="R434" s="8">
        <v>11.239000000000001</v>
      </c>
      <c r="S434" s="8">
        <v>8.6739999999999995</v>
      </c>
      <c r="T434" s="8">
        <v>6.0670000000000002</v>
      </c>
      <c r="U434" s="8">
        <v>5.1719999999999997</v>
      </c>
      <c r="V434" s="8">
        <v>4.0819999999999999</v>
      </c>
      <c r="W434" s="8">
        <v>2.9369999999999998</v>
      </c>
      <c r="X434" s="8">
        <v>1.825</v>
      </c>
      <c r="Y434" s="8">
        <v>0.91200000000000003</v>
      </c>
      <c r="Z434" s="8">
        <v>0.32900000000000001</v>
      </c>
      <c r="AA434" s="8">
        <v>7.3999999999999996E-2</v>
      </c>
      <c r="AB434" s="8">
        <v>8.9999999999999993E-3</v>
      </c>
      <c r="AC434" s="8">
        <v>1E-3</v>
      </c>
    </row>
    <row r="435" spans="1:29" ht="11.65" hidden="1" x14ac:dyDescent="0.35">
      <c r="A435" s="12">
        <v>418</v>
      </c>
      <c r="B435" s="10" t="s">
        <v>1015</v>
      </c>
      <c r="C435" s="11" t="s">
        <v>1067</v>
      </c>
      <c r="D435" s="9"/>
      <c r="E435" s="9">
        <v>174</v>
      </c>
      <c r="F435" s="10" t="s">
        <v>1066</v>
      </c>
      <c r="G435" s="9">
        <v>910</v>
      </c>
      <c r="H435" s="9">
        <v>2010</v>
      </c>
      <c r="I435" s="8">
        <v>52.396000000000001</v>
      </c>
      <c r="J435" s="8">
        <v>45.783000000000001</v>
      </c>
      <c r="K435" s="8">
        <v>40.866999999999997</v>
      </c>
      <c r="L435" s="8">
        <v>36.854999999999997</v>
      </c>
      <c r="M435" s="8">
        <v>33.122</v>
      </c>
      <c r="N435" s="8">
        <v>28.143000000000001</v>
      </c>
      <c r="O435" s="8">
        <v>22.600999999999999</v>
      </c>
      <c r="P435" s="8">
        <v>18.484000000000002</v>
      </c>
      <c r="Q435" s="8">
        <v>15.461</v>
      </c>
      <c r="R435" s="8">
        <v>12.984999999999999</v>
      </c>
      <c r="S435" s="8">
        <v>10.621</v>
      </c>
      <c r="T435" s="8">
        <v>8.0579999999999998</v>
      </c>
      <c r="U435" s="8">
        <v>5.4740000000000002</v>
      </c>
      <c r="V435" s="8">
        <v>4.4509999999999996</v>
      </c>
      <c r="W435" s="8">
        <v>3.242</v>
      </c>
      <c r="X435" s="8">
        <v>2.0369999999999999</v>
      </c>
      <c r="Y435" s="8">
        <v>1.02</v>
      </c>
      <c r="Z435" s="8">
        <v>0.37</v>
      </c>
      <c r="AA435" s="8">
        <v>8.5999999999999993E-2</v>
      </c>
      <c r="AB435" s="8">
        <v>1.2E-2</v>
      </c>
      <c r="AC435" s="8">
        <v>1E-3</v>
      </c>
    </row>
    <row r="436" spans="1:29" ht="11.65" hidden="1" x14ac:dyDescent="0.35">
      <c r="A436" s="12">
        <v>419</v>
      </c>
      <c r="B436" s="10" t="s">
        <v>1015</v>
      </c>
      <c r="C436" s="11" t="s">
        <v>1067</v>
      </c>
      <c r="D436" s="9"/>
      <c r="E436" s="9">
        <v>174</v>
      </c>
      <c r="F436" s="10" t="s">
        <v>1066</v>
      </c>
      <c r="G436" s="9">
        <v>910</v>
      </c>
      <c r="H436" s="9">
        <v>2015</v>
      </c>
      <c r="I436" s="8">
        <v>57.521999999999998</v>
      </c>
      <c r="J436" s="8">
        <v>50.838000000000001</v>
      </c>
      <c r="K436" s="8">
        <v>44.89</v>
      </c>
      <c r="L436" s="8">
        <v>40.027999999999999</v>
      </c>
      <c r="M436" s="8">
        <v>35.981000000000002</v>
      </c>
      <c r="N436" s="8">
        <v>32.262</v>
      </c>
      <c r="O436" s="8">
        <v>27.356000000000002</v>
      </c>
      <c r="P436" s="8">
        <v>21.904</v>
      </c>
      <c r="Q436" s="8">
        <v>17.844999999999999</v>
      </c>
      <c r="R436" s="8">
        <v>14.836</v>
      </c>
      <c r="S436" s="8">
        <v>12.332000000000001</v>
      </c>
      <c r="T436" s="8">
        <v>9.9250000000000007</v>
      </c>
      <c r="U436" s="8">
        <v>7.3310000000000004</v>
      </c>
      <c r="V436" s="8">
        <v>4.75</v>
      </c>
      <c r="W436" s="8">
        <v>3.5750000000000002</v>
      </c>
      <c r="X436" s="8">
        <v>2.2810000000000001</v>
      </c>
      <c r="Y436" s="8">
        <v>1.157</v>
      </c>
      <c r="Z436" s="8">
        <v>0.41899999999999998</v>
      </c>
      <c r="AA436" s="8">
        <v>9.8000000000000004E-2</v>
      </c>
      <c r="AB436" s="8">
        <v>1.4999999999999999E-2</v>
      </c>
      <c r="AC436" s="8">
        <v>1E-3</v>
      </c>
    </row>
    <row r="437" spans="1:29" ht="11.65" hidden="1" x14ac:dyDescent="0.35">
      <c r="A437" s="12">
        <v>420</v>
      </c>
      <c r="B437" s="10" t="s">
        <v>1015</v>
      </c>
      <c r="C437" s="11" t="s">
        <v>1067</v>
      </c>
      <c r="D437" s="9"/>
      <c r="E437" s="9">
        <v>174</v>
      </c>
      <c r="F437" s="10" t="s">
        <v>1066</v>
      </c>
      <c r="G437" s="9">
        <v>910</v>
      </c>
      <c r="H437" s="9">
        <v>2020</v>
      </c>
      <c r="I437" s="8">
        <v>60.594999999999999</v>
      </c>
      <c r="J437" s="8">
        <v>56.045999999999999</v>
      </c>
      <c r="K437" s="8">
        <v>49.963000000000001</v>
      </c>
      <c r="L437" s="8">
        <v>44.072000000000003</v>
      </c>
      <c r="M437" s="8">
        <v>39.180999999999997</v>
      </c>
      <c r="N437" s="8">
        <v>35.140999999999998</v>
      </c>
      <c r="O437" s="8">
        <v>31.456</v>
      </c>
      <c r="P437" s="8">
        <v>26.603999999999999</v>
      </c>
      <c r="Q437" s="8">
        <v>21.216999999999999</v>
      </c>
      <c r="R437" s="8">
        <v>17.181000000000001</v>
      </c>
      <c r="S437" s="8">
        <v>14.14</v>
      </c>
      <c r="T437" s="8">
        <v>11.571999999999999</v>
      </c>
      <c r="U437" s="8">
        <v>9.0730000000000004</v>
      </c>
      <c r="V437" s="8">
        <v>6.4050000000000002</v>
      </c>
      <c r="W437" s="8">
        <v>3.8380000000000001</v>
      </c>
      <c r="X437" s="8">
        <v>2.5390000000000001</v>
      </c>
      <c r="Y437" s="8">
        <v>1.31</v>
      </c>
      <c r="Z437" s="8">
        <v>0.48</v>
      </c>
      <c r="AA437" s="8">
        <v>0.113</v>
      </c>
      <c r="AB437" s="8">
        <v>1.4999999999999999E-2</v>
      </c>
      <c r="AC437" s="8">
        <v>1E-3</v>
      </c>
    </row>
    <row r="438" spans="1:29" ht="11.65" hidden="1" x14ac:dyDescent="0.35">
      <c r="A438" s="12">
        <v>421</v>
      </c>
      <c r="B438" s="10" t="s">
        <v>1015</v>
      </c>
      <c r="C438" s="11" t="s">
        <v>1068</v>
      </c>
      <c r="D438" s="9"/>
      <c r="E438" s="9">
        <v>262</v>
      </c>
      <c r="F438" s="10" t="s">
        <v>1066</v>
      </c>
      <c r="G438" s="9">
        <v>910</v>
      </c>
      <c r="H438" s="9">
        <v>1950</v>
      </c>
      <c r="I438" s="8">
        <v>6.0650000000000004</v>
      </c>
      <c r="J438" s="8">
        <v>4.5830000000000002</v>
      </c>
      <c r="K438" s="8">
        <v>3.819</v>
      </c>
      <c r="L438" s="8">
        <v>3.238</v>
      </c>
      <c r="M438" s="8">
        <v>2.7360000000000002</v>
      </c>
      <c r="N438" s="8">
        <v>2.2949999999999999</v>
      </c>
      <c r="O438" s="8">
        <v>1.911</v>
      </c>
      <c r="P438" s="8">
        <v>1.5740000000000001</v>
      </c>
      <c r="Q438" s="8">
        <v>1.2889999999999999</v>
      </c>
      <c r="R438" s="8">
        <v>1.046</v>
      </c>
      <c r="S438" s="8">
        <v>0.84099999999999997</v>
      </c>
      <c r="T438" s="8">
        <v>0.65500000000000003</v>
      </c>
      <c r="U438" s="8">
        <v>0.48699999999999999</v>
      </c>
      <c r="V438" s="8">
        <v>0.33400000000000002</v>
      </c>
      <c r="W438" s="8">
        <v>0.20200000000000001</v>
      </c>
      <c r="X438" s="8">
        <v>0.1</v>
      </c>
      <c r="Y438" s="8">
        <v>3.4000000000000002E-2</v>
      </c>
      <c r="Z438" s="8">
        <v>1.0999999999999999E-2</v>
      </c>
      <c r="AA438" s="8">
        <v>2E-3</v>
      </c>
      <c r="AB438" s="8">
        <v>0</v>
      </c>
      <c r="AC438" s="8">
        <v>0</v>
      </c>
    </row>
    <row r="439" spans="1:29" ht="11.65" hidden="1" x14ac:dyDescent="0.35">
      <c r="A439" s="12">
        <v>422</v>
      </c>
      <c r="B439" s="10" t="s">
        <v>1015</v>
      </c>
      <c r="C439" s="11" t="s">
        <v>1068</v>
      </c>
      <c r="D439" s="9"/>
      <c r="E439" s="9">
        <v>262</v>
      </c>
      <c r="F439" s="10" t="s">
        <v>1066</v>
      </c>
      <c r="G439" s="9">
        <v>910</v>
      </c>
      <c r="H439" s="9">
        <v>1955</v>
      </c>
      <c r="I439" s="8">
        <v>5.4829999999999997</v>
      </c>
      <c r="J439" s="8">
        <v>5.4889999999999999</v>
      </c>
      <c r="K439" s="8">
        <v>4.4720000000000004</v>
      </c>
      <c r="L439" s="8">
        <v>3.762</v>
      </c>
      <c r="M439" s="8">
        <v>3.1779999999999999</v>
      </c>
      <c r="N439" s="8">
        <v>2.669</v>
      </c>
      <c r="O439" s="8">
        <v>2.2250000000000001</v>
      </c>
      <c r="P439" s="8">
        <v>1.84</v>
      </c>
      <c r="Q439" s="8">
        <v>1.506</v>
      </c>
      <c r="R439" s="8">
        <v>1.2270000000000001</v>
      </c>
      <c r="S439" s="8">
        <v>0.98499999999999999</v>
      </c>
      <c r="T439" s="8">
        <v>0.77500000000000002</v>
      </c>
      <c r="U439" s="8">
        <v>0.58099999999999996</v>
      </c>
      <c r="V439" s="8">
        <v>0.40200000000000002</v>
      </c>
      <c r="W439" s="8">
        <v>0.248</v>
      </c>
      <c r="X439" s="8">
        <v>0.127</v>
      </c>
      <c r="Y439" s="8">
        <v>4.9000000000000002E-2</v>
      </c>
      <c r="Z439" s="8">
        <v>1.0999999999999999E-2</v>
      </c>
      <c r="AA439" s="8">
        <v>2E-3</v>
      </c>
      <c r="AB439" s="8">
        <v>0</v>
      </c>
      <c r="AC439" s="8">
        <v>0</v>
      </c>
    </row>
    <row r="440" spans="1:29" ht="11.65" hidden="1" x14ac:dyDescent="0.35">
      <c r="A440" s="12">
        <v>423</v>
      </c>
      <c r="B440" s="10" t="s">
        <v>1015</v>
      </c>
      <c r="C440" s="11" t="s">
        <v>1068</v>
      </c>
      <c r="D440" s="9"/>
      <c r="E440" s="9">
        <v>262</v>
      </c>
      <c r="F440" s="10" t="s">
        <v>1066</v>
      </c>
      <c r="G440" s="9">
        <v>910</v>
      </c>
      <c r="H440" s="9">
        <v>1960</v>
      </c>
      <c r="I440" s="8">
        <v>7.1</v>
      </c>
      <c r="J440" s="8">
        <v>5.3090000000000002</v>
      </c>
      <c r="K440" s="8">
        <v>5.6230000000000002</v>
      </c>
      <c r="L440" s="8">
        <v>4.625</v>
      </c>
      <c r="M440" s="8">
        <v>3.8730000000000002</v>
      </c>
      <c r="N440" s="8">
        <v>3.2519999999999998</v>
      </c>
      <c r="O440" s="8">
        <v>2.7170000000000001</v>
      </c>
      <c r="P440" s="8">
        <v>2.2490000000000001</v>
      </c>
      <c r="Q440" s="8">
        <v>1.849</v>
      </c>
      <c r="R440" s="8">
        <v>1.504</v>
      </c>
      <c r="S440" s="8">
        <v>1.2150000000000001</v>
      </c>
      <c r="T440" s="8">
        <v>0.95399999999999996</v>
      </c>
      <c r="U440" s="8">
        <v>0.72</v>
      </c>
      <c r="V440" s="8">
        <v>0.50600000000000001</v>
      </c>
      <c r="W440" s="8">
        <v>0.315</v>
      </c>
      <c r="X440" s="8">
        <v>0.16300000000000001</v>
      </c>
      <c r="Y440" s="8">
        <v>6.8000000000000005E-2</v>
      </c>
      <c r="Z440" s="8">
        <v>1.6E-2</v>
      </c>
      <c r="AA440" s="8">
        <v>3.0000000000000001E-3</v>
      </c>
      <c r="AB440" s="8">
        <v>0</v>
      </c>
      <c r="AC440" s="8">
        <v>0</v>
      </c>
    </row>
    <row r="441" spans="1:29" ht="11.65" hidden="1" x14ac:dyDescent="0.35">
      <c r="A441" s="12">
        <v>424</v>
      </c>
      <c r="B441" s="10" t="s">
        <v>1015</v>
      </c>
      <c r="C441" s="11" t="s">
        <v>1068</v>
      </c>
      <c r="D441" s="9"/>
      <c r="E441" s="9">
        <v>262</v>
      </c>
      <c r="F441" s="10" t="s">
        <v>1066</v>
      </c>
      <c r="G441" s="9">
        <v>910</v>
      </c>
      <c r="H441" s="9">
        <v>1965</v>
      </c>
      <c r="I441" s="8">
        <v>10.727</v>
      </c>
      <c r="J441" s="8">
        <v>7.7460000000000004</v>
      </c>
      <c r="K441" s="8">
        <v>6.2729999999999997</v>
      </c>
      <c r="L441" s="8">
        <v>6.4930000000000003</v>
      </c>
      <c r="M441" s="8">
        <v>5.3179999999999996</v>
      </c>
      <c r="N441" s="8">
        <v>4.423</v>
      </c>
      <c r="O441" s="8">
        <v>3.6920000000000002</v>
      </c>
      <c r="P441" s="8">
        <v>3.0630000000000002</v>
      </c>
      <c r="Q441" s="8">
        <v>2.5209999999999999</v>
      </c>
      <c r="R441" s="8">
        <v>2.0609999999999999</v>
      </c>
      <c r="S441" s="8">
        <v>1.661</v>
      </c>
      <c r="T441" s="8">
        <v>1.3089999999999999</v>
      </c>
      <c r="U441" s="8">
        <v>0.99</v>
      </c>
      <c r="V441" s="8">
        <v>0.7</v>
      </c>
      <c r="W441" s="8">
        <v>0.443</v>
      </c>
      <c r="X441" s="8">
        <v>0.23599999999999999</v>
      </c>
      <c r="Y441" s="8">
        <v>0.10100000000000001</v>
      </c>
      <c r="Z441" s="8">
        <v>2.4E-2</v>
      </c>
      <c r="AA441" s="8">
        <v>4.0000000000000001E-3</v>
      </c>
      <c r="AB441" s="8">
        <v>0</v>
      </c>
      <c r="AC441" s="8">
        <v>0</v>
      </c>
    </row>
    <row r="442" spans="1:29" ht="11.65" hidden="1" x14ac:dyDescent="0.35">
      <c r="A442" s="12">
        <v>425</v>
      </c>
      <c r="B442" s="10" t="s">
        <v>1015</v>
      </c>
      <c r="C442" s="11" t="s">
        <v>1068</v>
      </c>
      <c r="D442" s="9"/>
      <c r="E442" s="9">
        <v>262</v>
      </c>
      <c r="F442" s="10" t="s">
        <v>1066</v>
      </c>
      <c r="G442" s="9">
        <v>910</v>
      </c>
      <c r="H442" s="9">
        <v>1970</v>
      </c>
      <c r="I442" s="8">
        <v>15.28</v>
      </c>
      <c r="J442" s="8">
        <v>11.701000000000001</v>
      </c>
      <c r="K442" s="8">
        <v>9.0370000000000008</v>
      </c>
      <c r="L442" s="8">
        <v>7.4640000000000004</v>
      </c>
      <c r="M442" s="8">
        <v>7.49</v>
      </c>
      <c r="N442" s="8">
        <v>6.1070000000000002</v>
      </c>
      <c r="O442" s="8">
        <v>5.0460000000000003</v>
      </c>
      <c r="P442" s="8">
        <v>4.1849999999999996</v>
      </c>
      <c r="Q442" s="8">
        <v>3.452</v>
      </c>
      <c r="R442" s="8">
        <v>2.8239999999999998</v>
      </c>
      <c r="S442" s="8">
        <v>2.286</v>
      </c>
      <c r="T442" s="8">
        <v>1.8029999999999999</v>
      </c>
      <c r="U442" s="8">
        <v>1.37</v>
      </c>
      <c r="V442" s="8">
        <v>0.97199999999999998</v>
      </c>
      <c r="W442" s="8">
        <v>0.624</v>
      </c>
      <c r="X442" s="8">
        <v>0.34</v>
      </c>
      <c r="Y442" s="8">
        <v>0.14699999999999999</v>
      </c>
      <c r="Z442" s="8">
        <v>3.9E-2</v>
      </c>
      <c r="AA442" s="8">
        <v>5.0000000000000001E-3</v>
      </c>
      <c r="AB442" s="8">
        <v>0</v>
      </c>
      <c r="AC442" s="8">
        <v>0</v>
      </c>
    </row>
    <row r="443" spans="1:29" ht="11.65" hidden="1" x14ac:dyDescent="0.35">
      <c r="A443" s="12">
        <v>426</v>
      </c>
      <c r="B443" s="10" t="s">
        <v>1015</v>
      </c>
      <c r="C443" s="11" t="s">
        <v>1068</v>
      </c>
      <c r="D443" s="9"/>
      <c r="E443" s="9">
        <v>262</v>
      </c>
      <c r="F443" s="10" t="s">
        <v>1066</v>
      </c>
      <c r="G443" s="9">
        <v>910</v>
      </c>
      <c r="H443" s="9">
        <v>1975</v>
      </c>
      <c r="I443" s="8">
        <v>21.678999999999998</v>
      </c>
      <c r="J443" s="8">
        <v>16.946000000000002</v>
      </c>
      <c r="K443" s="8">
        <v>13.605</v>
      </c>
      <c r="L443" s="8">
        <v>10.664999999999999</v>
      </c>
      <c r="M443" s="8">
        <v>8.859</v>
      </c>
      <c r="N443" s="8">
        <v>8.6539999999999999</v>
      </c>
      <c r="O443" s="8">
        <v>7.0270000000000001</v>
      </c>
      <c r="P443" s="8">
        <v>5.7720000000000002</v>
      </c>
      <c r="Q443" s="8">
        <v>4.7569999999999997</v>
      </c>
      <c r="R443" s="8">
        <v>3.9</v>
      </c>
      <c r="S443" s="8">
        <v>3.1619999999999999</v>
      </c>
      <c r="T443" s="8">
        <v>2.5059999999999998</v>
      </c>
      <c r="U443" s="8">
        <v>1.911</v>
      </c>
      <c r="V443" s="8">
        <v>1.37</v>
      </c>
      <c r="W443" s="8">
        <v>0.88700000000000001</v>
      </c>
      <c r="X443" s="8">
        <v>0.49099999999999999</v>
      </c>
      <c r="Y443" s="8">
        <v>0.22</v>
      </c>
      <c r="Z443" s="8">
        <v>5.8999999999999997E-2</v>
      </c>
      <c r="AA443" s="8">
        <v>1.0999999999999999E-2</v>
      </c>
      <c r="AB443" s="8">
        <v>0</v>
      </c>
      <c r="AC443" s="8">
        <v>0</v>
      </c>
    </row>
    <row r="444" spans="1:29" ht="11.65" hidden="1" x14ac:dyDescent="0.35">
      <c r="A444" s="12">
        <v>427</v>
      </c>
      <c r="B444" s="10" t="s">
        <v>1015</v>
      </c>
      <c r="C444" s="11" t="s">
        <v>1068</v>
      </c>
      <c r="D444" s="9"/>
      <c r="E444" s="9">
        <v>262</v>
      </c>
      <c r="F444" s="10" t="s">
        <v>1066</v>
      </c>
      <c r="G444" s="9">
        <v>910</v>
      </c>
      <c r="H444" s="9">
        <v>1980</v>
      </c>
      <c r="I444" s="8">
        <v>33.488999999999997</v>
      </c>
      <c r="J444" s="8">
        <v>26.18</v>
      </c>
      <c r="K444" s="8">
        <v>22.463000000000001</v>
      </c>
      <c r="L444" s="8">
        <v>19.425000000000001</v>
      </c>
      <c r="M444" s="8">
        <v>15.417</v>
      </c>
      <c r="N444" s="8">
        <v>11.933999999999999</v>
      </c>
      <c r="O444" s="8">
        <v>10.896000000000001</v>
      </c>
      <c r="P444" s="8">
        <v>8.8209999999999997</v>
      </c>
      <c r="Q444" s="8">
        <v>7.194</v>
      </c>
      <c r="R444" s="8">
        <v>5.89</v>
      </c>
      <c r="S444" s="8">
        <v>4.7750000000000004</v>
      </c>
      <c r="T444" s="8">
        <v>3.7970000000000002</v>
      </c>
      <c r="U444" s="8">
        <v>2.91</v>
      </c>
      <c r="V444" s="8">
        <v>2.0920000000000001</v>
      </c>
      <c r="W444" s="8">
        <v>1.3640000000000001</v>
      </c>
      <c r="X444" s="8">
        <v>0.76200000000000001</v>
      </c>
      <c r="Y444" s="8">
        <v>0.35399999999999998</v>
      </c>
      <c r="Z444" s="8">
        <v>9.1999999999999998E-2</v>
      </c>
      <c r="AA444" s="8">
        <v>1.4999999999999999E-2</v>
      </c>
      <c r="AB444" s="8">
        <v>2E-3</v>
      </c>
      <c r="AC444" s="8">
        <v>0</v>
      </c>
    </row>
    <row r="445" spans="1:29" ht="11.65" hidden="1" x14ac:dyDescent="0.35">
      <c r="A445" s="12">
        <v>428</v>
      </c>
      <c r="B445" s="10" t="s">
        <v>1015</v>
      </c>
      <c r="C445" s="11" t="s">
        <v>1068</v>
      </c>
      <c r="D445" s="9"/>
      <c r="E445" s="9">
        <v>262</v>
      </c>
      <c r="F445" s="10" t="s">
        <v>1066</v>
      </c>
      <c r="G445" s="9">
        <v>910</v>
      </c>
      <c r="H445" s="9">
        <v>1985</v>
      </c>
      <c r="I445" s="8">
        <v>36.146999999999998</v>
      </c>
      <c r="J445" s="8">
        <v>32.566000000000003</v>
      </c>
      <c r="K445" s="8">
        <v>26.334</v>
      </c>
      <c r="L445" s="8">
        <v>22.664999999999999</v>
      </c>
      <c r="M445" s="8">
        <v>19.513999999999999</v>
      </c>
      <c r="N445" s="8">
        <v>15.445</v>
      </c>
      <c r="O445" s="8">
        <v>11.948</v>
      </c>
      <c r="P445" s="8">
        <v>10.853</v>
      </c>
      <c r="Q445" s="8">
        <v>8.7430000000000003</v>
      </c>
      <c r="R445" s="8">
        <v>7.0940000000000003</v>
      </c>
      <c r="S445" s="8">
        <v>5.7549999999999999</v>
      </c>
      <c r="T445" s="8">
        <v>4.593</v>
      </c>
      <c r="U445" s="8">
        <v>3.55</v>
      </c>
      <c r="V445" s="8">
        <v>2.5870000000000002</v>
      </c>
      <c r="W445" s="8">
        <v>1.7110000000000001</v>
      </c>
      <c r="X445" s="8">
        <v>0.97699999999999998</v>
      </c>
      <c r="Y445" s="8">
        <v>0.44600000000000001</v>
      </c>
      <c r="Z445" s="8">
        <v>0.15</v>
      </c>
      <c r="AA445" s="8">
        <v>2.5999999999999999E-2</v>
      </c>
      <c r="AB445" s="8">
        <v>3.0000000000000001E-3</v>
      </c>
      <c r="AC445" s="8">
        <v>0</v>
      </c>
    </row>
    <row r="446" spans="1:29" ht="11.65" hidden="1" x14ac:dyDescent="0.35">
      <c r="A446" s="12">
        <v>429</v>
      </c>
      <c r="B446" s="10" t="s">
        <v>1015</v>
      </c>
      <c r="C446" s="11" t="s">
        <v>1068</v>
      </c>
      <c r="D446" s="9"/>
      <c r="E446" s="9">
        <v>262</v>
      </c>
      <c r="F446" s="10" t="s">
        <v>1066</v>
      </c>
      <c r="G446" s="9">
        <v>910</v>
      </c>
      <c r="H446" s="9">
        <v>1990</v>
      </c>
      <c r="I446" s="8">
        <v>52.85</v>
      </c>
      <c r="J446" s="8">
        <v>41.042000000000002</v>
      </c>
      <c r="K446" s="8">
        <v>37.582999999999998</v>
      </c>
      <c r="L446" s="8">
        <v>30.817</v>
      </c>
      <c r="M446" s="8">
        <v>26.396000000000001</v>
      </c>
      <c r="N446" s="8">
        <v>22.5</v>
      </c>
      <c r="O446" s="8">
        <v>17.844000000000001</v>
      </c>
      <c r="P446" s="8">
        <v>13.978</v>
      </c>
      <c r="Q446" s="8">
        <v>12.513999999999999</v>
      </c>
      <c r="R446" s="8">
        <v>10.042</v>
      </c>
      <c r="S446" s="8">
        <v>8.0630000000000006</v>
      </c>
      <c r="T446" s="8">
        <v>6.4249999999999998</v>
      </c>
      <c r="U446" s="8">
        <v>4.976</v>
      </c>
      <c r="V446" s="8">
        <v>3.6480000000000001</v>
      </c>
      <c r="W446" s="8">
        <v>2.4390000000000001</v>
      </c>
      <c r="X446" s="8">
        <v>1.4059999999999999</v>
      </c>
      <c r="Y446" s="8">
        <v>0.67200000000000004</v>
      </c>
      <c r="Z446" s="8">
        <v>0.191</v>
      </c>
      <c r="AA446" s="8">
        <v>4.2999999999999997E-2</v>
      </c>
      <c r="AB446" s="8">
        <v>5.0000000000000001E-3</v>
      </c>
      <c r="AC446" s="8">
        <v>0</v>
      </c>
    </row>
    <row r="447" spans="1:29" ht="11.65" hidden="1" x14ac:dyDescent="0.35">
      <c r="A447" s="12">
        <v>430</v>
      </c>
      <c r="B447" s="10" t="s">
        <v>1015</v>
      </c>
      <c r="C447" s="11" t="s">
        <v>1068</v>
      </c>
      <c r="D447" s="9"/>
      <c r="E447" s="9">
        <v>262</v>
      </c>
      <c r="F447" s="10" t="s">
        <v>1066</v>
      </c>
      <c r="G447" s="9">
        <v>910</v>
      </c>
      <c r="H447" s="9">
        <v>1995</v>
      </c>
      <c r="I447" s="8">
        <v>49.223999999999997</v>
      </c>
      <c r="J447" s="8">
        <v>47.552999999999997</v>
      </c>
      <c r="K447" s="8">
        <v>37.658999999999999</v>
      </c>
      <c r="L447" s="8">
        <v>34.72</v>
      </c>
      <c r="M447" s="8">
        <v>28.251999999999999</v>
      </c>
      <c r="N447" s="8">
        <v>24.122</v>
      </c>
      <c r="O447" s="8">
        <v>20.542000000000002</v>
      </c>
      <c r="P447" s="8">
        <v>16.202000000000002</v>
      </c>
      <c r="Q447" s="8">
        <v>12.555</v>
      </c>
      <c r="R447" s="8">
        <v>11.231</v>
      </c>
      <c r="S447" s="8">
        <v>8.9339999999999993</v>
      </c>
      <c r="T447" s="8">
        <v>7.0810000000000004</v>
      </c>
      <c r="U447" s="8">
        <v>5.5129999999999999</v>
      </c>
      <c r="V447" s="8">
        <v>4.085</v>
      </c>
      <c r="W447" s="8">
        <v>2.7770000000000001</v>
      </c>
      <c r="X447" s="8">
        <v>1.643</v>
      </c>
      <c r="Y447" s="8">
        <v>0.76700000000000002</v>
      </c>
      <c r="Z447" s="8">
        <v>0.29299999999999998</v>
      </c>
      <c r="AA447" s="8">
        <v>5.5E-2</v>
      </c>
      <c r="AB447" s="8">
        <v>8.0000000000000002E-3</v>
      </c>
      <c r="AC447" s="8">
        <v>0</v>
      </c>
    </row>
    <row r="448" spans="1:29" ht="11.65" hidden="1" x14ac:dyDescent="0.35">
      <c r="A448" s="12">
        <v>431</v>
      </c>
      <c r="B448" s="10" t="s">
        <v>1015</v>
      </c>
      <c r="C448" s="11" t="s">
        <v>1068</v>
      </c>
      <c r="D448" s="9"/>
      <c r="E448" s="9">
        <v>262</v>
      </c>
      <c r="F448" s="10" t="s">
        <v>1066</v>
      </c>
      <c r="G448" s="9">
        <v>910</v>
      </c>
      <c r="H448" s="9">
        <v>2000</v>
      </c>
      <c r="I448" s="8">
        <v>50.554000000000002</v>
      </c>
      <c r="J448" s="8">
        <v>47.631999999999998</v>
      </c>
      <c r="K448" s="8">
        <v>47.006999999999998</v>
      </c>
      <c r="L448" s="8">
        <v>37.795999999999999</v>
      </c>
      <c r="M448" s="8">
        <v>35.183</v>
      </c>
      <c r="N448" s="8">
        <v>28.561</v>
      </c>
      <c r="O448" s="8">
        <v>24.122</v>
      </c>
      <c r="P448" s="8">
        <v>20.326000000000001</v>
      </c>
      <c r="Q448" s="8">
        <v>15.893000000000001</v>
      </c>
      <c r="R448" s="8">
        <v>12.231</v>
      </c>
      <c r="S448" s="8">
        <v>10.808</v>
      </c>
      <c r="T448" s="8">
        <v>8.4760000000000009</v>
      </c>
      <c r="U448" s="8">
        <v>6.5570000000000004</v>
      </c>
      <c r="V448" s="8">
        <v>4.8810000000000002</v>
      </c>
      <c r="W448" s="8">
        <v>3.351</v>
      </c>
      <c r="X448" s="8">
        <v>2.0169999999999999</v>
      </c>
      <c r="Y448" s="8">
        <v>0.98399999999999999</v>
      </c>
      <c r="Z448" s="8">
        <v>0.34</v>
      </c>
      <c r="AA448" s="8">
        <v>8.7999999999999995E-2</v>
      </c>
      <c r="AB448" s="8">
        <v>0.01</v>
      </c>
      <c r="AC448" s="8">
        <v>1E-3</v>
      </c>
    </row>
    <row r="449" spans="1:29" ht="11.65" hidden="1" x14ac:dyDescent="0.35">
      <c r="A449" s="12">
        <v>432</v>
      </c>
      <c r="B449" s="10" t="s">
        <v>1015</v>
      </c>
      <c r="C449" s="11" t="s">
        <v>1068</v>
      </c>
      <c r="D449" s="9"/>
      <c r="E449" s="9">
        <v>262</v>
      </c>
      <c r="F449" s="10" t="s">
        <v>1066</v>
      </c>
      <c r="G449" s="9">
        <v>910</v>
      </c>
      <c r="H449" s="9">
        <v>2005</v>
      </c>
      <c r="I449" s="8">
        <v>50.725999999999999</v>
      </c>
      <c r="J449" s="8">
        <v>48.786999999999999</v>
      </c>
      <c r="K449" s="8">
        <v>46.908000000000001</v>
      </c>
      <c r="L449" s="8">
        <v>45.963999999999999</v>
      </c>
      <c r="M449" s="8">
        <v>36.338999999999999</v>
      </c>
      <c r="N449" s="8">
        <v>33.567999999999998</v>
      </c>
      <c r="O449" s="8">
        <v>27.052</v>
      </c>
      <c r="P449" s="8">
        <v>22.786999999999999</v>
      </c>
      <c r="Q449" s="8">
        <v>19.195</v>
      </c>
      <c r="R449" s="8">
        <v>15.015000000000001</v>
      </c>
      <c r="S449" s="8">
        <v>11.505000000000001</v>
      </c>
      <c r="T449" s="8">
        <v>10.089</v>
      </c>
      <c r="U449" s="8">
        <v>7.7560000000000002</v>
      </c>
      <c r="V449" s="8">
        <v>5.7560000000000002</v>
      </c>
      <c r="W449" s="8">
        <v>3.984</v>
      </c>
      <c r="X449" s="8">
        <v>2.4249999999999998</v>
      </c>
      <c r="Y449" s="8">
        <v>1.206</v>
      </c>
      <c r="Z449" s="8">
        <v>0.442</v>
      </c>
      <c r="AA449" s="8">
        <v>0.10199999999999999</v>
      </c>
      <c r="AB449" s="8">
        <v>1.4999999999999999E-2</v>
      </c>
      <c r="AC449" s="8">
        <v>1E-3</v>
      </c>
    </row>
    <row r="450" spans="1:29" ht="11.65" hidden="1" x14ac:dyDescent="0.35">
      <c r="A450" s="12">
        <v>433</v>
      </c>
      <c r="B450" s="10" t="s">
        <v>1015</v>
      </c>
      <c r="C450" s="11" t="s">
        <v>1068</v>
      </c>
      <c r="D450" s="9"/>
      <c r="E450" s="9">
        <v>262</v>
      </c>
      <c r="F450" s="10" t="s">
        <v>1066</v>
      </c>
      <c r="G450" s="9">
        <v>910</v>
      </c>
      <c r="H450" s="9">
        <v>2010</v>
      </c>
      <c r="I450" s="8">
        <v>41.017000000000003</v>
      </c>
      <c r="J450" s="8">
        <v>41.332000000000001</v>
      </c>
      <c r="K450" s="8">
        <v>41.195</v>
      </c>
      <c r="L450" s="8">
        <v>40.052</v>
      </c>
      <c r="M450" s="8">
        <v>41.398000000000003</v>
      </c>
      <c r="N450" s="8">
        <v>37.93</v>
      </c>
      <c r="O450" s="8">
        <v>32.604999999999997</v>
      </c>
      <c r="P450" s="8">
        <v>26.081</v>
      </c>
      <c r="Q450" s="8">
        <v>21.867999999999999</v>
      </c>
      <c r="R450" s="8">
        <v>18.398</v>
      </c>
      <c r="S450" s="8">
        <v>14.317</v>
      </c>
      <c r="T450" s="8">
        <v>10.859</v>
      </c>
      <c r="U450" s="8">
        <v>9.327</v>
      </c>
      <c r="V450" s="8">
        <v>6.8769999999999998</v>
      </c>
      <c r="W450" s="8">
        <v>4.7489999999999997</v>
      </c>
      <c r="X450" s="8">
        <v>2.923</v>
      </c>
      <c r="Y450" s="8">
        <v>1.4710000000000001</v>
      </c>
      <c r="Z450" s="8">
        <v>0.54700000000000004</v>
      </c>
      <c r="AA450" s="8">
        <v>0.13500000000000001</v>
      </c>
      <c r="AB450" s="8">
        <v>1.9E-2</v>
      </c>
      <c r="AC450" s="8">
        <v>2E-3</v>
      </c>
    </row>
    <row r="451" spans="1:29" ht="11.65" hidden="1" x14ac:dyDescent="0.35">
      <c r="A451" s="12">
        <v>434</v>
      </c>
      <c r="B451" s="10" t="s">
        <v>1015</v>
      </c>
      <c r="C451" s="11" t="s">
        <v>1068</v>
      </c>
      <c r="D451" s="9"/>
      <c r="E451" s="9">
        <v>262</v>
      </c>
      <c r="F451" s="10" t="s">
        <v>1066</v>
      </c>
      <c r="G451" s="9">
        <v>910</v>
      </c>
      <c r="H451" s="9">
        <v>2015</v>
      </c>
      <c r="I451" s="8">
        <v>48.948999999999998</v>
      </c>
      <c r="J451" s="8">
        <v>40.128</v>
      </c>
      <c r="K451" s="8">
        <v>40.966000000000001</v>
      </c>
      <c r="L451" s="8">
        <v>41.133000000000003</v>
      </c>
      <c r="M451" s="8">
        <v>40.189</v>
      </c>
      <c r="N451" s="8">
        <v>41.334000000000003</v>
      </c>
      <c r="O451" s="8">
        <v>37.594000000000001</v>
      </c>
      <c r="P451" s="8">
        <v>32.040999999999997</v>
      </c>
      <c r="Q451" s="8">
        <v>25.433</v>
      </c>
      <c r="R451" s="8">
        <v>21.224</v>
      </c>
      <c r="S451" s="8">
        <v>17.731999999999999</v>
      </c>
      <c r="T451" s="8">
        <v>13.65</v>
      </c>
      <c r="U451" s="8">
        <v>10.141999999999999</v>
      </c>
      <c r="V451" s="8">
        <v>8.3650000000000002</v>
      </c>
      <c r="W451" s="8">
        <v>5.7560000000000002</v>
      </c>
      <c r="X451" s="8">
        <v>3.5470000000000002</v>
      </c>
      <c r="Y451" s="8">
        <v>1.8140000000000001</v>
      </c>
      <c r="Z451" s="8">
        <v>0.68400000000000005</v>
      </c>
      <c r="AA451" s="8">
        <v>0.17199999999999999</v>
      </c>
      <c r="AB451" s="8">
        <v>2.5999999999999999E-2</v>
      </c>
      <c r="AC451" s="8">
        <v>2E-3</v>
      </c>
    </row>
    <row r="452" spans="1:29" ht="11.65" hidden="1" x14ac:dyDescent="0.35">
      <c r="A452" s="12">
        <v>435</v>
      </c>
      <c r="B452" s="10" t="s">
        <v>1015</v>
      </c>
      <c r="C452" s="11" t="s">
        <v>1068</v>
      </c>
      <c r="D452" s="9"/>
      <c r="E452" s="9">
        <v>262</v>
      </c>
      <c r="F452" s="10" t="s">
        <v>1066</v>
      </c>
      <c r="G452" s="9">
        <v>910</v>
      </c>
      <c r="H452" s="9">
        <v>2020</v>
      </c>
      <c r="I452" s="8">
        <v>48.963999999999999</v>
      </c>
      <c r="J452" s="8">
        <v>48.405999999999999</v>
      </c>
      <c r="K452" s="8">
        <v>39.923999999999999</v>
      </c>
      <c r="L452" s="8">
        <v>40.994</v>
      </c>
      <c r="M452" s="8">
        <v>41.298000000000002</v>
      </c>
      <c r="N452" s="8">
        <v>40.237000000000002</v>
      </c>
      <c r="O452" s="8">
        <v>41.122999999999998</v>
      </c>
      <c r="P452" s="8">
        <v>37.15</v>
      </c>
      <c r="Q452" s="8">
        <v>31.456</v>
      </c>
      <c r="R452" s="8">
        <v>24.85</v>
      </c>
      <c r="S452" s="8">
        <v>20.599</v>
      </c>
      <c r="T452" s="8">
        <v>17.024000000000001</v>
      </c>
      <c r="U452" s="8">
        <v>12.855</v>
      </c>
      <c r="V452" s="8">
        <v>9.1999999999999993</v>
      </c>
      <c r="W452" s="8">
        <v>7.1109999999999998</v>
      </c>
      <c r="X452" s="8">
        <v>4.3959999999999999</v>
      </c>
      <c r="Y452" s="8">
        <v>2.2730000000000001</v>
      </c>
      <c r="Z452" s="8">
        <v>0.88300000000000001</v>
      </c>
      <c r="AA452" s="8">
        <v>0.22900000000000001</v>
      </c>
      <c r="AB452" s="8">
        <v>3.4000000000000002E-2</v>
      </c>
      <c r="AC452" s="8">
        <v>3.0000000000000001E-3</v>
      </c>
    </row>
    <row r="453" spans="1:29" ht="11.65" hidden="1" x14ac:dyDescent="0.35">
      <c r="A453" s="12">
        <v>436</v>
      </c>
      <c r="B453" s="10" t="s">
        <v>1015</v>
      </c>
      <c r="C453" s="11" t="s">
        <v>592</v>
      </c>
      <c r="D453" s="9"/>
      <c r="E453" s="9">
        <v>232</v>
      </c>
      <c r="F453" s="10" t="s">
        <v>1066</v>
      </c>
      <c r="G453" s="9">
        <v>910</v>
      </c>
      <c r="H453" s="9">
        <v>1950</v>
      </c>
      <c r="I453" s="8">
        <v>75.384</v>
      </c>
      <c r="J453" s="8">
        <v>58.465000000000003</v>
      </c>
      <c r="K453" s="8">
        <v>49.536000000000001</v>
      </c>
      <c r="L453" s="8">
        <v>42.767000000000003</v>
      </c>
      <c r="M453" s="8">
        <v>35.783999999999999</v>
      </c>
      <c r="N453" s="8">
        <v>30.096</v>
      </c>
      <c r="O453" s="8">
        <v>24.984000000000002</v>
      </c>
      <c r="P453" s="8">
        <v>20.664999999999999</v>
      </c>
      <c r="Q453" s="8">
        <v>16.920000000000002</v>
      </c>
      <c r="R453" s="8">
        <v>14.256</v>
      </c>
      <c r="S453" s="8">
        <v>12.169</v>
      </c>
      <c r="T453" s="8">
        <v>10.368</v>
      </c>
      <c r="U453" s="8">
        <v>8.7119999999999997</v>
      </c>
      <c r="V453" s="8">
        <v>6.6219999999999999</v>
      </c>
      <c r="W453" s="8">
        <v>4.5359999999999996</v>
      </c>
      <c r="X453" s="8">
        <v>2.52</v>
      </c>
      <c r="Y453" s="8">
        <v>0.86099999999999999</v>
      </c>
      <c r="Z453" s="8">
        <v>0.28399999999999997</v>
      </c>
      <c r="AA453" s="8">
        <v>6.5000000000000002E-2</v>
      </c>
      <c r="AB453" s="8">
        <v>0.01</v>
      </c>
      <c r="AC453" s="8">
        <v>1E-3</v>
      </c>
    </row>
    <row r="454" spans="1:29" ht="11.65" hidden="1" x14ac:dyDescent="0.35">
      <c r="A454" s="12">
        <v>437</v>
      </c>
      <c r="B454" s="10" t="s">
        <v>1015</v>
      </c>
      <c r="C454" s="11" t="s">
        <v>592</v>
      </c>
      <c r="D454" s="9"/>
      <c r="E454" s="9">
        <v>232</v>
      </c>
      <c r="F454" s="10" t="s">
        <v>1066</v>
      </c>
      <c r="G454" s="9">
        <v>910</v>
      </c>
      <c r="H454" s="9">
        <v>1955</v>
      </c>
      <c r="I454" s="8">
        <v>75.94</v>
      </c>
      <c r="J454" s="8">
        <v>64.507000000000005</v>
      </c>
      <c r="K454" s="8">
        <v>55.533999999999999</v>
      </c>
      <c r="L454" s="8">
        <v>47.747</v>
      </c>
      <c r="M454" s="8">
        <v>41.076999999999998</v>
      </c>
      <c r="N454" s="8">
        <v>34.140999999999998</v>
      </c>
      <c r="O454" s="8">
        <v>28.466000000000001</v>
      </c>
      <c r="P454" s="8">
        <v>23.401</v>
      </c>
      <c r="Q454" s="8">
        <v>19.196000000000002</v>
      </c>
      <c r="R454" s="8">
        <v>15.625</v>
      </c>
      <c r="S454" s="8">
        <v>13.010999999999999</v>
      </c>
      <c r="T454" s="8">
        <v>10.805</v>
      </c>
      <c r="U454" s="8">
        <v>8.7650000000000006</v>
      </c>
      <c r="V454" s="8">
        <v>6.7869999999999999</v>
      </c>
      <c r="W454" s="8">
        <v>4.5179999999999998</v>
      </c>
      <c r="X454" s="8">
        <v>2.5329999999999999</v>
      </c>
      <c r="Y454" s="8">
        <v>1.0580000000000001</v>
      </c>
      <c r="Z454" s="8">
        <v>0.24</v>
      </c>
      <c r="AA454" s="8">
        <v>4.9000000000000002E-2</v>
      </c>
      <c r="AB454" s="8">
        <v>7.0000000000000001E-3</v>
      </c>
      <c r="AC454" s="8">
        <v>1E-3</v>
      </c>
    </row>
    <row r="455" spans="1:29" ht="11.65" hidden="1" x14ac:dyDescent="0.35">
      <c r="A455" s="12">
        <v>438</v>
      </c>
      <c r="B455" s="10" t="s">
        <v>1015</v>
      </c>
      <c r="C455" s="11" t="s">
        <v>592</v>
      </c>
      <c r="D455" s="9"/>
      <c r="E455" s="9">
        <v>232</v>
      </c>
      <c r="F455" s="10" t="s">
        <v>1066</v>
      </c>
      <c r="G455" s="9">
        <v>910</v>
      </c>
      <c r="H455" s="9">
        <v>1960</v>
      </c>
      <c r="I455" s="8">
        <v>88.935000000000002</v>
      </c>
      <c r="J455" s="8">
        <v>66.159000000000006</v>
      </c>
      <c r="K455" s="8">
        <v>61.628</v>
      </c>
      <c r="L455" s="8">
        <v>53.832000000000001</v>
      </c>
      <c r="M455" s="8">
        <v>46.222000000000001</v>
      </c>
      <c r="N455" s="8">
        <v>39.534999999999997</v>
      </c>
      <c r="O455" s="8">
        <v>32.588000000000001</v>
      </c>
      <c r="P455" s="8">
        <v>26.913</v>
      </c>
      <c r="Q455" s="8">
        <v>21.943999999999999</v>
      </c>
      <c r="R455" s="8">
        <v>17.885999999999999</v>
      </c>
      <c r="S455" s="8">
        <v>14.39</v>
      </c>
      <c r="T455" s="8">
        <v>11.682</v>
      </c>
      <c r="U455" s="8">
        <v>9.2680000000000007</v>
      </c>
      <c r="V455" s="8">
        <v>6.968</v>
      </c>
      <c r="W455" s="8">
        <v>4.7670000000000003</v>
      </c>
      <c r="X455" s="8">
        <v>2.64</v>
      </c>
      <c r="Y455" s="8">
        <v>1.131</v>
      </c>
      <c r="Z455" s="8">
        <v>0.32100000000000001</v>
      </c>
      <c r="AA455" s="8">
        <v>4.5999999999999999E-2</v>
      </c>
      <c r="AB455" s="8">
        <v>7.0000000000000001E-3</v>
      </c>
      <c r="AC455" s="8">
        <v>1E-3</v>
      </c>
    </row>
    <row r="456" spans="1:29" ht="11.65" hidden="1" x14ac:dyDescent="0.35">
      <c r="A456" s="12">
        <v>439</v>
      </c>
      <c r="B456" s="10" t="s">
        <v>1015</v>
      </c>
      <c r="C456" s="11" t="s">
        <v>592</v>
      </c>
      <c r="D456" s="9"/>
      <c r="E456" s="9">
        <v>232</v>
      </c>
      <c r="F456" s="10" t="s">
        <v>1066</v>
      </c>
      <c r="G456" s="9">
        <v>910</v>
      </c>
      <c r="H456" s="9">
        <v>1965</v>
      </c>
      <c r="I456" s="8">
        <v>103.029</v>
      </c>
      <c r="J456" s="8">
        <v>79.126000000000005</v>
      </c>
      <c r="K456" s="8">
        <v>63.643999999999998</v>
      </c>
      <c r="L456" s="8">
        <v>60.203000000000003</v>
      </c>
      <c r="M456" s="8">
        <v>52.707000000000001</v>
      </c>
      <c r="N456" s="8">
        <v>45.05</v>
      </c>
      <c r="O456" s="8">
        <v>38.203000000000003</v>
      </c>
      <c r="P456" s="8">
        <v>31.196999999999999</v>
      </c>
      <c r="Q456" s="8">
        <v>25.544</v>
      </c>
      <c r="R456" s="8">
        <v>20.681000000000001</v>
      </c>
      <c r="S456" s="8">
        <v>16.664000000000001</v>
      </c>
      <c r="T456" s="8">
        <v>13.093999999999999</v>
      </c>
      <c r="U456" s="8">
        <v>10.196999999999999</v>
      </c>
      <c r="V456" s="8">
        <v>7.5449999999999999</v>
      </c>
      <c r="W456" s="8">
        <v>5.07</v>
      </c>
      <c r="X456" s="8">
        <v>2.927</v>
      </c>
      <c r="Y456" s="8">
        <v>1.266</v>
      </c>
      <c r="Z456" s="8">
        <v>0.378</v>
      </c>
      <c r="AA456" s="8">
        <v>6.9000000000000006E-2</v>
      </c>
      <c r="AB456" s="8">
        <v>6.0000000000000001E-3</v>
      </c>
      <c r="AC456" s="8">
        <v>1E-3</v>
      </c>
    </row>
    <row r="457" spans="1:29" ht="11.65" hidden="1" x14ac:dyDescent="0.35">
      <c r="A457" s="12">
        <v>440</v>
      </c>
      <c r="B457" s="10" t="s">
        <v>1015</v>
      </c>
      <c r="C457" s="11" t="s">
        <v>592</v>
      </c>
      <c r="D457" s="9"/>
      <c r="E457" s="9">
        <v>232</v>
      </c>
      <c r="F457" s="10" t="s">
        <v>1066</v>
      </c>
      <c r="G457" s="9">
        <v>910</v>
      </c>
      <c r="H457" s="9">
        <v>1970</v>
      </c>
      <c r="I457" s="8">
        <v>117.011</v>
      </c>
      <c r="J457" s="8">
        <v>92.614999999999995</v>
      </c>
      <c r="K457" s="8">
        <v>76.341999999999999</v>
      </c>
      <c r="L457" s="8">
        <v>62.182000000000002</v>
      </c>
      <c r="M457" s="8">
        <v>58.811999999999998</v>
      </c>
      <c r="N457" s="8">
        <v>51.261000000000003</v>
      </c>
      <c r="O457" s="8">
        <v>43.508000000000003</v>
      </c>
      <c r="P457" s="8">
        <v>36.606000000000002</v>
      </c>
      <c r="Q457" s="8">
        <v>29.673999999999999</v>
      </c>
      <c r="R457" s="8">
        <v>24.145</v>
      </c>
      <c r="S457" s="8">
        <v>19.34</v>
      </c>
      <c r="T457" s="8">
        <v>15.241</v>
      </c>
      <c r="U457" s="8">
        <v>11.521000000000001</v>
      </c>
      <c r="V457" s="8">
        <v>8.4049999999999994</v>
      </c>
      <c r="W457" s="8">
        <v>5.5869999999999997</v>
      </c>
      <c r="X457" s="8">
        <v>3.1970000000000001</v>
      </c>
      <c r="Y457" s="8">
        <v>1.4530000000000001</v>
      </c>
      <c r="Z457" s="8">
        <v>0.44400000000000001</v>
      </c>
      <c r="AA457" s="8">
        <v>8.5999999999999993E-2</v>
      </c>
      <c r="AB457" s="8">
        <v>8.9999999999999993E-3</v>
      </c>
      <c r="AC457" s="8">
        <v>1E-3</v>
      </c>
    </row>
    <row r="458" spans="1:29" ht="11.65" hidden="1" x14ac:dyDescent="0.35">
      <c r="A458" s="12">
        <v>441</v>
      </c>
      <c r="B458" s="10" t="s">
        <v>1015</v>
      </c>
      <c r="C458" s="11" t="s">
        <v>592</v>
      </c>
      <c r="D458" s="9"/>
      <c r="E458" s="9">
        <v>232</v>
      </c>
      <c r="F458" s="10" t="s">
        <v>1066</v>
      </c>
      <c r="G458" s="9">
        <v>910</v>
      </c>
      <c r="H458" s="9">
        <v>1975</v>
      </c>
      <c r="I458" s="8">
        <v>132.827</v>
      </c>
      <c r="J458" s="8">
        <v>108.03100000000001</v>
      </c>
      <c r="K458" s="8">
        <v>89.248000000000005</v>
      </c>
      <c r="L458" s="8">
        <v>74.834999999999994</v>
      </c>
      <c r="M458" s="8">
        <v>61.273000000000003</v>
      </c>
      <c r="N458" s="8">
        <v>57.673999999999999</v>
      </c>
      <c r="O458" s="8">
        <v>49.878</v>
      </c>
      <c r="P458" s="8">
        <v>41.969000000000001</v>
      </c>
      <c r="Q458" s="8">
        <v>35.017000000000003</v>
      </c>
      <c r="R458" s="8">
        <v>28.192</v>
      </c>
      <c r="S458" s="8">
        <v>22.689</v>
      </c>
      <c r="T458" s="8">
        <v>17.78</v>
      </c>
      <c r="U458" s="8">
        <v>13.491</v>
      </c>
      <c r="V458" s="8">
        <v>9.5670000000000002</v>
      </c>
      <c r="W458" s="8">
        <v>6.2889999999999997</v>
      </c>
      <c r="X458" s="8">
        <v>3.57</v>
      </c>
      <c r="Y458" s="8">
        <v>1.6220000000000001</v>
      </c>
      <c r="Z458" s="8">
        <v>0.52</v>
      </c>
      <c r="AA458" s="8">
        <v>0.10299999999999999</v>
      </c>
      <c r="AB458" s="8">
        <v>1.2E-2</v>
      </c>
      <c r="AC458" s="8">
        <v>1E-3</v>
      </c>
    </row>
    <row r="459" spans="1:29" ht="11.65" hidden="1" x14ac:dyDescent="0.35">
      <c r="A459" s="12">
        <v>442</v>
      </c>
      <c r="B459" s="10" t="s">
        <v>1015</v>
      </c>
      <c r="C459" s="11" t="s">
        <v>592</v>
      </c>
      <c r="D459" s="9"/>
      <c r="E459" s="9">
        <v>232</v>
      </c>
      <c r="F459" s="10" t="s">
        <v>1066</v>
      </c>
      <c r="G459" s="9">
        <v>910</v>
      </c>
      <c r="H459" s="9">
        <v>1980</v>
      </c>
      <c r="I459" s="8">
        <v>152.69499999999999</v>
      </c>
      <c r="J459" s="8">
        <v>123.91500000000001</v>
      </c>
      <c r="K459" s="8">
        <v>104.261</v>
      </c>
      <c r="L459" s="8">
        <v>87.498000000000005</v>
      </c>
      <c r="M459" s="8">
        <v>73.628</v>
      </c>
      <c r="N459" s="8">
        <v>60.122999999999998</v>
      </c>
      <c r="O459" s="8">
        <v>56.116</v>
      </c>
      <c r="P459" s="8">
        <v>48.131</v>
      </c>
      <c r="Q459" s="8">
        <v>40.177999999999997</v>
      </c>
      <c r="R459" s="8">
        <v>33.295999999999999</v>
      </c>
      <c r="S459" s="8">
        <v>26.524999999999999</v>
      </c>
      <c r="T459" s="8">
        <v>20.902999999999999</v>
      </c>
      <c r="U459" s="8">
        <v>15.789</v>
      </c>
      <c r="V459" s="8">
        <v>11.257999999999999</v>
      </c>
      <c r="W459" s="8">
        <v>7.2140000000000004</v>
      </c>
      <c r="X459" s="8">
        <v>4.0670000000000002</v>
      </c>
      <c r="Y459" s="8">
        <v>1.8380000000000001</v>
      </c>
      <c r="Z459" s="8">
        <v>0.59299999999999997</v>
      </c>
      <c r="AA459" s="8">
        <v>0.125</v>
      </c>
      <c r="AB459" s="8">
        <v>1.4999999999999999E-2</v>
      </c>
      <c r="AC459" s="8">
        <v>1E-3</v>
      </c>
    </row>
    <row r="460" spans="1:29" ht="11.65" hidden="1" x14ac:dyDescent="0.35">
      <c r="A460" s="12">
        <v>443</v>
      </c>
      <c r="B460" s="10" t="s">
        <v>1015</v>
      </c>
      <c r="C460" s="11" t="s">
        <v>592</v>
      </c>
      <c r="D460" s="9"/>
      <c r="E460" s="9">
        <v>232</v>
      </c>
      <c r="F460" s="10" t="s">
        <v>1066</v>
      </c>
      <c r="G460" s="9">
        <v>910</v>
      </c>
      <c r="H460" s="9">
        <v>1985</v>
      </c>
      <c r="I460" s="8">
        <v>178.60300000000001</v>
      </c>
      <c r="J460" s="8">
        <v>143.34100000000001</v>
      </c>
      <c r="K460" s="8">
        <v>119.73</v>
      </c>
      <c r="L460" s="8">
        <v>102.22199999999999</v>
      </c>
      <c r="M460" s="8">
        <v>85.995999999999995</v>
      </c>
      <c r="N460" s="8">
        <v>72.131</v>
      </c>
      <c r="O460" s="8">
        <v>58.536999999999999</v>
      </c>
      <c r="P460" s="8">
        <v>54.162999999999997</v>
      </c>
      <c r="Q460" s="8">
        <v>46.094000000000001</v>
      </c>
      <c r="R460" s="8">
        <v>38.229999999999997</v>
      </c>
      <c r="S460" s="8">
        <v>31.349</v>
      </c>
      <c r="T460" s="8">
        <v>24.463999999999999</v>
      </c>
      <c r="U460" s="8">
        <v>18.597999999999999</v>
      </c>
      <c r="V460" s="8">
        <v>13.215</v>
      </c>
      <c r="W460" s="8">
        <v>8.5289999999999999</v>
      </c>
      <c r="X460" s="8">
        <v>4.6970000000000001</v>
      </c>
      <c r="Y460" s="8">
        <v>2.113</v>
      </c>
      <c r="Z460" s="8">
        <v>0.68200000000000005</v>
      </c>
      <c r="AA460" s="8">
        <v>0.14399999999999999</v>
      </c>
      <c r="AB460" s="8">
        <v>1.7999999999999999E-2</v>
      </c>
      <c r="AC460" s="8">
        <v>1E-3</v>
      </c>
    </row>
    <row r="461" spans="1:29" ht="11.65" hidden="1" x14ac:dyDescent="0.35">
      <c r="A461" s="12">
        <v>444</v>
      </c>
      <c r="B461" s="10" t="s">
        <v>1015</v>
      </c>
      <c r="C461" s="11" t="s">
        <v>592</v>
      </c>
      <c r="D461" s="9"/>
      <c r="E461" s="9">
        <v>232</v>
      </c>
      <c r="F461" s="10" t="s">
        <v>1066</v>
      </c>
      <c r="G461" s="9">
        <v>910</v>
      </c>
      <c r="H461" s="9">
        <v>1990</v>
      </c>
      <c r="I461" s="8">
        <v>199.44399999999999</v>
      </c>
      <c r="J461" s="8">
        <v>167.90799999999999</v>
      </c>
      <c r="K461" s="8">
        <v>138.173</v>
      </c>
      <c r="L461" s="8">
        <v>114.79600000000001</v>
      </c>
      <c r="M461" s="8">
        <v>95.653000000000006</v>
      </c>
      <c r="N461" s="8">
        <v>79.622</v>
      </c>
      <c r="O461" s="8">
        <v>66.72</v>
      </c>
      <c r="P461" s="8">
        <v>54.158999999999999</v>
      </c>
      <c r="Q461" s="8">
        <v>50.296999999999997</v>
      </c>
      <c r="R461" s="8">
        <v>42.826000000000001</v>
      </c>
      <c r="S461" s="8">
        <v>35.322000000000003</v>
      </c>
      <c r="T461" s="8">
        <v>28.484999999999999</v>
      </c>
      <c r="U461" s="8">
        <v>21.507000000000001</v>
      </c>
      <c r="V461" s="8">
        <v>15.413</v>
      </c>
      <c r="W461" s="8">
        <v>9.9239999999999995</v>
      </c>
      <c r="X461" s="8">
        <v>5.5019999999999998</v>
      </c>
      <c r="Y461" s="8">
        <v>2.375</v>
      </c>
      <c r="Z461" s="8">
        <v>0.79300000000000004</v>
      </c>
      <c r="AA461" s="8">
        <v>0.16800000000000001</v>
      </c>
      <c r="AB461" s="8">
        <v>2.1999999999999999E-2</v>
      </c>
      <c r="AC461" s="8">
        <v>2E-3</v>
      </c>
    </row>
    <row r="462" spans="1:29" ht="11.65" hidden="1" x14ac:dyDescent="0.35">
      <c r="A462" s="12">
        <v>445</v>
      </c>
      <c r="B462" s="10" t="s">
        <v>1015</v>
      </c>
      <c r="C462" s="11" t="s">
        <v>592</v>
      </c>
      <c r="D462" s="9"/>
      <c r="E462" s="9">
        <v>232</v>
      </c>
      <c r="F462" s="10" t="s">
        <v>1066</v>
      </c>
      <c r="G462" s="9">
        <v>910</v>
      </c>
      <c r="H462" s="9">
        <v>1995</v>
      </c>
      <c r="I462" s="8">
        <v>182.93199999999999</v>
      </c>
      <c r="J462" s="8">
        <v>188.49799999999999</v>
      </c>
      <c r="K462" s="8">
        <v>162.11699999999999</v>
      </c>
      <c r="L462" s="8">
        <v>114.07599999999999</v>
      </c>
      <c r="M462" s="8">
        <v>76.912000000000006</v>
      </c>
      <c r="N462" s="8">
        <v>56.302999999999997</v>
      </c>
      <c r="O462" s="8">
        <v>49.209000000000003</v>
      </c>
      <c r="P462" s="8">
        <v>44.881</v>
      </c>
      <c r="Q462" s="8">
        <v>48.823999999999998</v>
      </c>
      <c r="R462" s="8">
        <v>46.225000000000001</v>
      </c>
      <c r="S462" s="8">
        <v>39.720999999999997</v>
      </c>
      <c r="T462" s="8">
        <v>32.225999999999999</v>
      </c>
      <c r="U462" s="8">
        <v>25.177</v>
      </c>
      <c r="V462" s="8">
        <v>17.948</v>
      </c>
      <c r="W462" s="8">
        <v>11.689</v>
      </c>
      <c r="X462" s="8">
        <v>6.4980000000000002</v>
      </c>
      <c r="Y462" s="8">
        <v>2.8530000000000002</v>
      </c>
      <c r="Z462" s="8">
        <v>0.91900000000000004</v>
      </c>
      <c r="AA462" s="8">
        <v>0.20499999999999999</v>
      </c>
      <c r="AB462" s="8">
        <v>2.8000000000000001E-2</v>
      </c>
      <c r="AC462" s="8">
        <v>2E-3</v>
      </c>
    </row>
    <row r="463" spans="1:29" ht="11.65" hidden="1" x14ac:dyDescent="0.35">
      <c r="A463" s="12">
        <v>446</v>
      </c>
      <c r="B463" s="10" t="s">
        <v>1015</v>
      </c>
      <c r="C463" s="11" t="s">
        <v>592</v>
      </c>
      <c r="D463" s="9"/>
      <c r="E463" s="9">
        <v>232</v>
      </c>
      <c r="F463" s="10" t="s">
        <v>1066</v>
      </c>
      <c r="G463" s="9">
        <v>910</v>
      </c>
      <c r="H463" s="9">
        <v>2000</v>
      </c>
      <c r="I463" s="8">
        <v>158.929</v>
      </c>
      <c r="J463" s="8">
        <v>176.17099999999999</v>
      </c>
      <c r="K463" s="8">
        <v>183.923</v>
      </c>
      <c r="L463" s="8">
        <v>149.411</v>
      </c>
      <c r="M463" s="8">
        <v>94.132999999999996</v>
      </c>
      <c r="N463" s="8">
        <v>62.527999999999999</v>
      </c>
      <c r="O463" s="8">
        <v>41.908999999999999</v>
      </c>
      <c r="P463" s="8">
        <v>43.655999999999999</v>
      </c>
      <c r="Q463" s="8">
        <v>40.457999999999998</v>
      </c>
      <c r="R463" s="8">
        <v>44.826000000000001</v>
      </c>
      <c r="S463" s="8">
        <v>42.965000000000003</v>
      </c>
      <c r="T463" s="8">
        <v>36.35</v>
      </c>
      <c r="U463" s="8">
        <v>28.600999999999999</v>
      </c>
      <c r="V463" s="8">
        <v>21.137</v>
      </c>
      <c r="W463" s="8">
        <v>13.731999999999999</v>
      </c>
      <c r="X463" s="8">
        <v>7.7530000000000001</v>
      </c>
      <c r="Y463" s="8">
        <v>3.444</v>
      </c>
      <c r="Z463" s="8">
        <v>1.133</v>
      </c>
      <c r="AA463" s="8">
        <v>0.246</v>
      </c>
      <c r="AB463" s="8">
        <v>3.6999999999999998E-2</v>
      </c>
      <c r="AC463" s="8">
        <v>3.0000000000000001E-3</v>
      </c>
    </row>
    <row r="464" spans="1:29" ht="11.65" hidden="1" x14ac:dyDescent="0.35">
      <c r="A464" s="12">
        <v>447</v>
      </c>
      <c r="B464" s="10" t="s">
        <v>1015</v>
      </c>
      <c r="C464" s="11" t="s">
        <v>592</v>
      </c>
      <c r="D464" s="9"/>
      <c r="E464" s="9">
        <v>232</v>
      </c>
      <c r="F464" s="10" t="s">
        <v>1066</v>
      </c>
      <c r="G464" s="9">
        <v>910</v>
      </c>
      <c r="H464" s="9">
        <v>2005</v>
      </c>
      <c r="I464" s="8">
        <v>204.279</v>
      </c>
      <c r="J464" s="8">
        <v>157.81399999999999</v>
      </c>
      <c r="K464" s="8">
        <v>175.68100000000001</v>
      </c>
      <c r="L464" s="8">
        <v>194.86699999999999</v>
      </c>
      <c r="M464" s="8">
        <v>163.01</v>
      </c>
      <c r="N464" s="8">
        <v>112.143</v>
      </c>
      <c r="O464" s="8">
        <v>81.436999999999998</v>
      </c>
      <c r="P464" s="8">
        <v>52.316000000000003</v>
      </c>
      <c r="Q464" s="8">
        <v>50.773000000000003</v>
      </c>
      <c r="R464" s="8">
        <v>44.356999999999999</v>
      </c>
      <c r="S464" s="8">
        <v>45.372</v>
      </c>
      <c r="T464" s="8">
        <v>41.872</v>
      </c>
      <c r="U464" s="8">
        <v>34.021000000000001</v>
      </c>
      <c r="V464" s="8">
        <v>25.222999999999999</v>
      </c>
      <c r="W464" s="8">
        <v>17.023</v>
      </c>
      <c r="X464" s="8">
        <v>9.6959999999999997</v>
      </c>
      <c r="Y464" s="8">
        <v>4.6680000000000001</v>
      </c>
      <c r="Z464" s="8">
        <v>1.4039999999999999</v>
      </c>
      <c r="AA464" s="8">
        <v>0.315</v>
      </c>
      <c r="AB464" s="8">
        <v>4.8000000000000001E-2</v>
      </c>
      <c r="AC464" s="8">
        <v>5.0000000000000001E-3</v>
      </c>
    </row>
    <row r="465" spans="1:29" ht="11.65" hidden="1" x14ac:dyDescent="0.35">
      <c r="A465" s="12">
        <v>448</v>
      </c>
      <c r="B465" s="10" t="s">
        <v>1015</v>
      </c>
      <c r="C465" s="11" t="s">
        <v>592</v>
      </c>
      <c r="D465" s="9"/>
      <c r="E465" s="9">
        <v>232</v>
      </c>
      <c r="F465" s="10" t="s">
        <v>1066</v>
      </c>
      <c r="G465" s="9">
        <v>910</v>
      </c>
      <c r="H465" s="9">
        <v>2010</v>
      </c>
      <c r="I465" s="8">
        <v>257.56200000000001</v>
      </c>
      <c r="J465" s="8">
        <v>200.464</v>
      </c>
      <c r="K465" s="8">
        <v>156.16800000000001</v>
      </c>
      <c r="L465" s="8">
        <v>173.20599999999999</v>
      </c>
      <c r="M465" s="8">
        <v>181.37799999999999</v>
      </c>
      <c r="N465" s="8">
        <v>148.21299999999999</v>
      </c>
      <c r="O465" s="8">
        <v>103.117</v>
      </c>
      <c r="P465" s="8">
        <v>77.215000000000003</v>
      </c>
      <c r="Q465" s="8">
        <v>50.137</v>
      </c>
      <c r="R465" s="8">
        <v>48.496000000000002</v>
      </c>
      <c r="S465" s="8">
        <v>41.874000000000002</v>
      </c>
      <c r="T465" s="8">
        <v>42.009</v>
      </c>
      <c r="U465" s="8">
        <v>37.56</v>
      </c>
      <c r="V465" s="8">
        <v>28.971</v>
      </c>
      <c r="W465" s="8">
        <v>19.795999999999999</v>
      </c>
      <c r="X465" s="8">
        <v>11.824999999999999</v>
      </c>
      <c r="Y465" s="8">
        <v>5.6609999999999996</v>
      </c>
      <c r="Z465" s="8">
        <v>2.16</v>
      </c>
      <c r="AA465" s="8">
        <v>0.47399999999999998</v>
      </c>
      <c r="AB465" s="8">
        <v>7.1999999999999995E-2</v>
      </c>
      <c r="AC465" s="8">
        <v>7.0000000000000001E-3</v>
      </c>
    </row>
    <row r="466" spans="1:29" ht="11.65" hidden="1" x14ac:dyDescent="0.35">
      <c r="A466" s="12">
        <v>449</v>
      </c>
      <c r="B466" s="10" t="s">
        <v>1015</v>
      </c>
      <c r="C466" s="11" t="s">
        <v>592</v>
      </c>
      <c r="D466" s="9"/>
      <c r="E466" s="9">
        <v>232</v>
      </c>
      <c r="F466" s="10" t="s">
        <v>1066</v>
      </c>
      <c r="G466" s="9">
        <v>910</v>
      </c>
      <c r="H466" s="9">
        <v>2015</v>
      </c>
      <c r="I466" s="8">
        <v>246.09</v>
      </c>
      <c r="J466" s="8">
        <v>250.422</v>
      </c>
      <c r="K466" s="8">
        <v>195.798</v>
      </c>
      <c r="L466" s="8">
        <v>151.75299999999999</v>
      </c>
      <c r="M466" s="8">
        <v>154.12</v>
      </c>
      <c r="N466" s="8">
        <v>149.58199999999999</v>
      </c>
      <c r="O466" s="8">
        <v>112.616</v>
      </c>
      <c r="P466" s="8">
        <v>82.753</v>
      </c>
      <c r="Q466" s="8">
        <v>74.171999999999997</v>
      </c>
      <c r="R466" s="8">
        <v>47.819000000000003</v>
      </c>
      <c r="S466" s="8">
        <v>45.912999999999997</v>
      </c>
      <c r="T466" s="8">
        <v>38.933</v>
      </c>
      <c r="U466" s="8">
        <v>37.909999999999997</v>
      </c>
      <c r="V466" s="8">
        <v>32.353000000000002</v>
      </c>
      <c r="W466" s="8">
        <v>23.207999999999998</v>
      </c>
      <c r="X466" s="8">
        <v>14.2</v>
      </c>
      <c r="Y466" s="8">
        <v>7.1790000000000003</v>
      </c>
      <c r="Z466" s="8">
        <v>2.75</v>
      </c>
      <c r="AA466" s="8">
        <v>0.78300000000000003</v>
      </c>
      <c r="AB466" s="8">
        <v>0.122</v>
      </c>
      <c r="AC466" s="8">
        <v>1.2E-2</v>
      </c>
    </row>
    <row r="467" spans="1:29" ht="11.65" hidden="1" x14ac:dyDescent="0.35">
      <c r="A467" s="12">
        <v>450</v>
      </c>
      <c r="B467" s="10" t="s">
        <v>1015</v>
      </c>
      <c r="C467" s="11" t="s">
        <v>592</v>
      </c>
      <c r="D467" s="9"/>
      <c r="E467" s="9">
        <v>232</v>
      </c>
      <c r="F467" s="10" t="s">
        <v>1066</v>
      </c>
      <c r="G467" s="9">
        <v>910</v>
      </c>
      <c r="H467" s="9">
        <v>2020</v>
      </c>
      <c r="I467" s="8">
        <v>242.285</v>
      </c>
      <c r="J467" s="8">
        <v>233.03399999999999</v>
      </c>
      <c r="K467" s="8">
        <v>238.26900000000001</v>
      </c>
      <c r="L467" s="8">
        <v>183.464</v>
      </c>
      <c r="M467" s="8">
        <v>141.929</v>
      </c>
      <c r="N467" s="8">
        <v>142.60599999999999</v>
      </c>
      <c r="O467" s="8">
        <v>134.00200000000001</v>
      </c>
      <c r="P467" s="8">
        <v>95.691999999999993</v>
      </c>
      <c r="Q467" s="8">
        <v>72.384</v>
      </c>
      <c r="R467" s="8">
        <v>71.52</v>
      </c>
      <c r="S467" s="8">
        <v>45.582999999999998</v>
      </c>
      <c r="T467" s="8">
        <v>43.034999999999997</v>
      </c>
      <c r="U467" s="8">
        <v>35.423000000000002</v>
      </c>
      <c r="V467" s="8">
        <v>32.944000000000003</v>
      </c>
      <c r="W467" s="8">
        <v>26.225000000000001</v>
      </c>
      <c r="X467" s="8">
        <v>16.89</v>
      </c>
      <c r="Y467" s="8">
        <v>8.7919999999999998</v>
      </c>
      <c r="Z467" s="8">
        <v>3.5579999999999998</v>
      </c>
      <c r="AA467" s="8">
        <v>1.018</v>
      </c>
      <c r="AB467" s="8">
        <v>0.20499999999999999</v>
      </c>
      <c r="AC467" s="8">
        <v>2.1000000000000001E-2</v>
      </c>
    </row>
    <row r="468" spans="1:29" ht="11.65" x14ac:dyDescent="0.35">
      <c r="A468" s="12">
        <v>451</v>
      </c>
      <c r="B468" s="10" t="s">
        <v>1015</v>
      </c>
      <c r="C468" s="11" t="s">
        <v>594</v>
      </c>
      <c r="D468" s="9"/>
      <c r="E468" s="9">
        <v>231</v>
      </c>
      <c r="F468" s="10" t="s">
        <v>1066</v>
      </c>
      <c r="G468" s="9">
        <v>910</v>
      </c>
      <c r="H468" s="9">
        <v>1950</v>
      </c>
      <c r="I468" s="8">
        <v>1643.796</v>
      </c>
      <c r="J468" s="8">
        <v>1255.876</v>
      </c>
      <c r="K468" s="8">
        <v>1059.8979999999999</v>
      </c>
      <c r="L468" s="8">
        <v>909.404</v>
      </c>
      <c r="M468" s="8">
        <v>781.745</v>
      </c>
      <c r="N468" s="8">
        <v>670.81399999999996</v>
      </c>
      <c r="O468" s="8">
        <v>569.19600000000003</v>
      </c>
      <c r="P468" s="8">
        <v>481.08699999999999</v>
      </c>
      <c r="Q468" s="8">
        <v>406.60899999999998</v>
      </c>
      <c r="R468" s="8">
        <v>345.22199999999998</v>
      </c>
      <c r="S468" s="8">
        <v>270.86099999999999</v>
      </c>
      <c r="T468" s="8">
        <v>228.59</v>
      </c>
      <c r="U468" s="8">
        <v>186.858</v>
      </c>
      <c r="V468" s="8">
        <v>146.03399999999999</v>
      </c>
      <c r="W468" s="8">
        <v>95.837000000000003</v>
      </c>
      <c r="X468" s="8">
        <v>53.029000000000003</v>
      </c>
      <c r="Y468" s="8">
        <v>18.79</v>
      </c>
      <c r="Z468" s="8">
        <v>5.2759999999999998</v>
      </c>
      <c r="AA468" s="8">
        <v>0.91500000000000004</v>
      </c>
      <c r="AB468" s="8">
        <v>9.4E-2</v>
      </c>
      <c r="AC468" s="8">
        <v>7.0000000000000001E-3</v>
      </c>
    </row>
    <row r="469" spans="1:29" ht="11.65" x14ac:dyDescent="0.35">
      <c r="A469" s="12">
        <v>452</v>
      </c>
      <c r="B469" s="10" t="s">
        <v>1015</v>
      </c>
      <c r="C469" s="11" t="s">
        <v>594</v>
      </c>
      <c r="D469" s="9"/>
      <c r="E469" s="9">
        <v>231</v>
      </c>
      <c r="F469" s="10" t="s">
        <v>1066</v>
      </c>
      <c r="G469" s="9">
        <v>910</v>
      </c>
      <c r="H469" s="9">
        <v>1955</v>
      </c>
      <c r="I469" s="8">
        <v>1750.1849999999999</v>
      </c>
      <c r="J469" s="8">
        <v>1404.857</v>
      </c>
      <c r="K469" s="8">
        <v>1191.5989999999999</v>
      </c>
      <c r="L469" s="8">
        <v>1019.463</v>
      </c>
      <c r="M469" s="8">
        <v>870.53899999999999</v>
      </c>
      <c r="N469" s="8">
        <v>743.19500000000005</v>
      </c>
      <c r="O469" s="8">
        <v>632.36599999999999</v>
      </c>
      <c r="P469" s="8">
        <v>531.62599999999998</v>
      </c>
      <c r="Q469" s="8">
        <v>445.83699999999999</v>
      </c>
      <c r="R469" s="8">
        <v>374.68</v>
      </c>
      <c r="S469" s="8">
        <v>314.50200000000001</v>
      </c>
      <c r="T469" s="8">
        <v>240.15299999999999</v>
      </c>
      <c r="U469" s="8">
        <v>192.92</v>
      </c>
      <c r="V469" s="8">
        <v>145.34100000000001</v>
      </c>
      <c r="W469" s="8">
        <v>99.441000000000003</v>
      </c>
      <c r="X469" s="8">
        <v>53.512999999999998</v>
      </c>
      <c r="Y469" s="8">
        <v>22.204000000000001</v>
      </c>
      <c r="Z469" s="8">
        <v>5.2729999999999997</v>
      </c>
      <c r="AA469" s="8">
        <v>0.91500000000000004</v>
      </c>
      <c r="AB469" s="8">
        <v>9.4E-2</v>
      </c>
      <c r="AC469" s="8">
        <v>7.0000000000000001E-3</v>
      </c>
    </row>
    <row r="470" spans="1:29" ht="11.65" x14ac:dyDescent="0.35">
      <c r="A470" s="12">
        <v>453</v>
      </c>
      <c r="B470" s="10" t="s">
        <v>1015</v>
      </c>
      <c r="C470" s="11" t="s">
        <v>594</v>
      </c>
      <c r="D470" s="9"/>
      <c r="E470" s="9">
        <v>231</v>
      </c>
      <c r="F470" s="10" t="s">
        <v>1066</v>
      </c>
      <c r="G470" s="9">
        <v>910</v>
      </c>
      <c r="H470" s="9">
        <v>1960</v>
      </c>
      <c r="I470" s="8">
        <v>1931.752</v>
      </c>
      <c r="J470" s="8">
        <v>1522.412</v>
      </c>
      <c r="K470" s="8">
        <v>1340.173</v>
      </c>
      <c r="L470" s="8">
        <v>1150.499</v>
      </c>
      <c r="M470" s="8">
        <v>979.86500000000001</v>
      </c>
      <c r="N470" s="8">
        <v>831.44500000000005</v>
      </c>
      <c r="O470" s="8">
        <v>704.43399999999997</v>
      </c>
      <c r="P470" s="8">
        <v>594.45399999999995</v>
      </c>
      <c r="Q470" s="8">
        <v>496.14</v>
      </c>
      <c r="R470" s="8">
        <v>413.78300000000002</v>
      </c>
      <c r="S470" s="8">
        <v>343.96800000000002</v>
      </c>
      <c r="T470" s="8">
        <v>281.57900000000001</v>
      </c>
      <c r="U470" s="8">
        <v>205.45699999999999</v>
      </c>
      <c r="V470" s="8">
        <v>153.01900000000001</v>
      </c>
      <c r="W470" s="8">
        <v>101.89100000000001</v>
      </c>
      <c r="X470" s="8">
        <v>57.948999999999998</v>
      </c>
      <c r="Y470" s="8">
        <v>23.795000000000002</v>
      </c>
      <c r="Z470" s="8">
        <v>6.76</v>
      </c>
      <c r="AA470" s="8">
        <v>1.008</v>
      </c>
      <c r="AB470" s="8">
        <v>0.104</v>
      </c>
      <c r="AC470" s="8">
        <v>7.0000000000000001E-3</v>
      </c>
    </row>
    <row r="471" spans="1:29" ht="11.65" x14ac:dyDescent="0.35">
      <c r="A471" s="12">
        <v>454</v>
      </c>
      <c r="B471" s="10" t="s">
        <v>1015</v>
      </c>
      <c r="C471" s="11" t="s">
        <v>594</v>
      </c>
      <c r="D471" s="9"/>
      <c r="E471" s="9">
        <v>231</v>
      </c>
      <c r="F471" s="10" t="s">
        <v>1066</v>
      </c>
      <c r="G471" s="9">
        <v>910</v>
      </c>
      <c r="H471" s="9">
        <v>1965</v>
      </c>
      <c r="I471" s="8">
        <v>2243.701</v>
      </c>
      <c r="J471" s="8">
        <v>1715.288</v>
      </c>
      <c r="K471" s="8">
        <v>1461.672</v>
      </c>
      <c r="L471" s="8">
        <v>1299.7950000000001</v>
      </c>
      <c r="M471" s="8">
        <v>1111.162</v>
      </c>
      <c r="N471" s="8">
        <v>941.02099999999996</v>
      </c>
      <c r="O471" s="8">
        <v>793.24300000000005</v>
      </c>
      <c r="P471" s="8">
        <v>667.30200000000002</v>
      </c>
      <c r="Q471" s="8">
        <v>559.41300000000001</v>
      </c>
      <c r="R471" s="8">
        <v>464.404</v>
      </c>
      <c r="S471" s="8">
        <v>383.36700000000002</v>
      </c>
      <c r="T471" s="8">
        <v>311.51299999999998</v>
      </c>
      <c r="U471" s="8">
        <v>244.81700000000001</v>
      </c>
      <c r="V471" s="8">
        <v>166.755</v>
      </c>
      <c r="W471" s="8">
        <v>110.97199999999999</v>
      </c>
      <c r="X471" s="8">
        <v>62.363999999999997</v>
      </c>
      <c r="Y471" s="8">
        <v>27.587</v>
      </c>
      <c r="Z471" s="8">
        <v>7.9349999999999996</v>
      </c>
      <c r="AA471" s="8">
        <v>1.446</v>
      </c>
      <c r="AB471" s="8">
        <v>0.129</v>
      </c>
      <c r="AC471" s="8">
        <v>8.0000000000000002E-3</v>
      </c>
    </row>
    <row r="472" spans="1:29" ht="11.65" x14ac:dyDescent="0.35">
      <c r="A472" s="12">
        <v>455</v>
      </c>
      <c r="B472" s="10" t="s">
        <v>1015</v>
      </c>
      <c r="C472" s="11" t="s">
        <v>594</v>
      </c>
      <c r="D472" s="9"/>
      <c r="E472" s="9">
        <v>231</v>
      </c>
      <c r="F472" s="10" t="s">
        <v>1066</v>
      </c>
      <c r="G472" s="9">
        <v>910</v>
      </c>
      <c r="H472" s="9">
        <v>1970</v>
      </c>
      <c r="I472" s="8">
        <v>2564.5309999999999</v>
      </c>
      <c r="J472" s="8">
        <v>2012.598</v>
      </c>
      <c r="K472" s="8">
        <v>1651.354</v>
      </c>
      <c r="L472" s="8">
        <v>1420.0129999999999</v>
      </c>
      <c r="M472" s="8">
        <v>1257.7170000000001</v>
      </c>
      <c r="N472" s="8">
        <v>1069.528</v>
      </c>
      <c r="O472" s="8">
        <v>900.29700000000003</v>
      </c>
      <c r="P472" s="8">
        <v>754.00099999999998</v>
      </c>
      <c r="Q472" s="8">
        <v>630.32500000000005</v>
      </c>
      <c r="R472" s="8">
        <v>525.66200000000003</v>
      </c>
      <c r="S472" s="8">
        <v>432.08199999999999</v>
      </c>
      <c r="T472" s="8">
        <v>349.09500000000003</v>
      </c>
      <c r="U472" s="8">
        <v>272.98200000000003</v>
      </c>
      <c r="V472" s="8">
        <v>201.006</v>
      </c>
      <c r="W472" s="8">
        <v>123.033</v>
      </c>
      <c r="X472" s="8">
        <v>69.638999999999996</v>
      </c>
      <c r="Y472" s="8">
        <v>30.722999999999999</v>
      </c>
      <c r="Z472" s="8">
        <v>9.641</v>
      </c>
      <c r="AA472" s="8">
        <v>1.7949999999999999</v>
      </c>
      <c r="AB472" s="8">
        <v>0.19600000000000001</v>
      </c>
      <c r="AC472" s="8">
        <v>1.0999999999999999E-2</v>
      </c>
    </row>
    <row r="473" spans="1:29" ht="11.65" x14ac:dyDescent="0.35">
      <c r="A473" s="12">
        <v>456</v>
      </c>
      <c r="B473" s="10" t="s">
        <v>1015</v>
      </c>
      <c r="C473" s="11" t="s">
        <v>594</v>
      </c>
      <c r="D473" s="9"/>
      <c r="E473" s="9">
        <v>231</v>
      </c>
      <c r="F473" s="10" t="s">
        <v>1066</v>
      </c>
      <c r="G473" s="9">
        <v>910</v>
      </c>
      <c r="H473" s="9">
        <v>1975</v>
      </c>
      <c r="I473" s="8">
        <v>3002.76</v>
      </c>
      <c r="J473" s="8">
        <v>2335.0610000000001</v>
      </c>
      <c r="K473" s="8">
        <v>1935.1420000000001</v>
      </c>
      <c r="L473" s="8">
        <v>1605.0540000000001</v>
      </c>
      <c r="M473" s="8">
        <v>1375.7739999999999</v>
      </c>
      <c r="N473" s="8">
        <v>1212.42</v>
      </c>
      <c r="O473" s="8">
        <v>1025.134</v>
      </c>
      <c r="P473" s="8">
        <v>857.70699999999999</v>
      </c>
      <c r="Q473" s="8">
        <v>713.99699999999996</v>
      </c>
      <c r="R473" s="8">
        <v>593.77300000000002</v>
      </c>
      <c r="S473" s="8">
        <v>490.43599999999998</v>
      </c>
      <c r="T473" s="8">
        <v>394.84199999999998</v>
      </c>
      <c r="U473" s="8">
        <v>307.51900000000001</v>
      </c>
      <c r="V473" s="8">
        <v>225.69300000000001</v>
      </c>
      <c r="W473" s="8">
        <v>149.98699999999999</v>
      </c>
      <c r="X473" s="8">
        <v>78.451999999999998</v>
      </c>
      <c r="Y473" s="8">
        <v>35.055999999999997</v>
      </c>
      <c r="Z473" s="8">
        <v>11.054</v>
      </c>
      <c r="AA473" s="8">
        <v>2.254</v>
      </c>
      <c r="AB473" s="8">
        <v>0.25600000000000001</v>
      </c>
      <c r="AC473" s="8">
        <v>1.7999999999999999E-2</v>
      </c>
    </row>
    <row r="474" spans="1:29" ht="11.65" x14ac:dyDescent="0.35">
      <c r="A474" s="12">
        <v>457</v>
      </c>
      <c r="B474" s="10" t="s">
        <v>1015</v>
      </c>
      <c r="C474" s="11" t="s">
        <v>594</v>
      </c>
      <c r="D474" s="9"/>
      <c r="E474" s="9">
        <v>231</v>
      </c>
      <c r="F474" s="10" t="s">
        <v>1066</v>
      </c>
      <c r="G474" s="9">
        <v>910</v>
      </c>
      <c r="H474" s="9">
        <v>1980</v>
      </c>
      <c r="I474" s="8">
        <v>3313.3290000000002</v>
      </c>
      <c r="J474" s="8">
        <v>2524.1460000000002</v>
      </c>
      <c r="K474" s="8">
        <v>2000.3330000000001</v>
      </c>
      <c r="L474" s="8">
        <v>1666.94</v>
      </c>
      <c r="M474" s="8">
        <v>1464.471</v>
      </c>
      <c r="N474" s="8">
        <v>1282.231</v>
      </c>
      <c r="O474" s="8">
        <v>1123.704</v>
      </c>
      <c r="P474" s="8">
        <v>947.16499999999996</v>
      </c>
      <c r="Q474" s="8">
        <v>755.45600000000002</v>
      </c>
      <c r="R474" s="8">
        <v>669.68799999999999</v>
      </c>
      <c r="S474" s="8">
        <v>510.86799999999999</v>
      </c>
      <c r="T474" s="8">
        <v>455.733</v>
      </c>
      <c r="U474" s="8">
        <v>333.84699999999998</v>
      </c>
      <c r="V474" s="8">
        <v>265.19400000000002</v>
      </c>
      <c r="W474" s="8">
        <v>165.749</v>
      </c>
      <c r="X474" s="8">
        <v>110.39700000000001</v>
      </c>
      <c r="Y474" s="8">
        <v>44.040999999999997</v>
      </c>
      <c r="Z474" s="8">
        <v>12.875999999999999</v>
      </c>
      <c r="AA474" s="8">
        <v>2.6520000000000001</v>
      </c>
      <c r="AB474" s="8">
        <v>0.33200000000000002</v>
      </c>
      <c r="AC474" s="8">
        <v>2.3E-2</v>
      </c>
    </row>
    <row r="475" spans="1:29" ht="11.65" x14ac:dyDescent="0.35">
      <c r="A475" s="12">
        <v>458</v>
      </c>
      <c r="B475" s="10" t="s">
        <v>1015</v>
      </c>
      <c r="C475" s="11" t="s">
        <v>594</v>
      </c>
      <c r="D475" s="9"/>
      <c r="E475" s="9">
        <v>231</v>
      </c>
      <c r="F475" s="10" t="s">
        <v>1066</v>
      </c>
      <c r="G475" s="9">
        <v>910</v>
      </c>
      <c r="H475" s="9">
        <v>1985</v>
      </c>
      <c r="I475" s="8">
        <v>3809.0659999999998</v>
      </c>
      <c r="J475" s="8">
        <v>3026.5160000000001</v>
      </c>
      <c r="K475" s="8">
        <v>2454.3539999999998</v>
      </c>
      <c r="L475" s="8">
        <v>1973.7059999999999</v>
      </c>
      <c r="M475" s="8">
        <v>1640.546</v>
      </c>
      <c r="N475" s="8">
        <v>1423.933</v>
      </c>
      <c r="O475" s="8">
        <v>1236.0509999999999</v>
      </c>
      <c r="P475" s="8">
        <v>1076.6590000000001</v>
      </c>
      <c r="Q475" s="8">
        <v>901.58600000000001</v>
      </c>
      <c r="R475" s="8">
        <v>718.70699999999999</v>
      </c>
      <c r="S475" s="8">
        <v>626.33199999999999</v>
      </c>
      <c r="T475" s="8">
        <v>472.04300000000001</v>
      </c>
      <c r="U475" s="8">
        <v>401.43599999999998</v>
      </c>
      <c r="V475" s="8">
        <v>277.91199999999998</v>
      </c>
      <c r="W475" s="8">
        <v>197.268</v>
      </c>
      <c r="X475" s="8">
        <v>106.14700000000001</v>
      </c>
      <c r="Y475" s="8">
        <v>54.152000000000001</v>
      </c>
      <c r="Z475" s="8">
        <v>15.821999999999999</v>
      </c>
      <c r="AA475" s="8">
        <v>3.0049999999999999</v>
      </c>
      <c r="AB475" s="8">
        <v>0.378</v>
      </c>
      <c r="AC475" s="8">
        <v>0.03</v>
      </c>
    </row>
    <row r="476" spans="1:29" ht="11.65" x14ac:dyDescent="0.35">
      <c r="A476" s="12">
        <v>459</v>
      </c>
      <c r="B476" s="10" t="s">
        <v>1015</v>
      </c>
      <c r="C476" s="11" t="s">
        <v>594</v>
      </c>
      <c r="D476" s="9"/>
      <c r="E476" s="9">
        <v>231</v>
      </c>
      <c r="F476" s="10" t="s">
        <v>1066</v>
      </c>
      <c r="G476" s="9">
        <v>910</v>
      </c>
      <c r="H476" s="9">
        <v>1990</v>
      </c>
      <c r="I476" s="8">
        <v>4486.2139999999999</v>
      </c>
      <c r="J476" s="8">
        <v>3579.7339999999999</v>
      </c>
      <c r="K476" s="8">
        <v>2940.4839999999999</v>
      </c>
      <c r="L476" s="8">
        <v>2399.4769999999999</v>
      </c>
      <c r="M476" s="8">
        <v>1988.1759999999999</v>
      </c>
      <c r="N476" s="8">
        <v>1626.587</v>
      </c>
      <c r="O476" s="8">
        <v>1414.9860000000001</v>
      </c>
      <c r="P476" s="8">
        <v>1196.3689999999999</v>
      </c>
      <c r="Q476" s="8">
        <v>1068.8430000000001</v>
      </c>
      <c r="R476" s="8">
        <v>858.94</v>
      </c>
      <c r="S476" s="8">
        <v>677.76099999999997</v>
      </c>
      <c r="T476" s="8">
        <v>580.10500000000002</v>
      </c>
      <c r="U476" s="8">
        <v>423.25099999999998</v>
      </c>
      <c r="V476" s="8">
        <v>340.34399999999999</v>
      </c>
      <c r="W476" s="8">
        <v>213.52500000000001</v>
      </c>
      <c r="X476" s="8">
        <v>130.97499999999999</v>
      </c>
      <c r="Y476" s="8">
        <v>56.665999999999997</v>
      </c>
      <c r="Z476" s="8">
        <v>20.599</v>
      </c>
      <c r="AA476" s="8">
        <v>3.952</v>
      </c>
      <c r="AB476" s="8">
        <v>0.46300000000000002</v>
      </c>
      <c r="AC476" s="8">
        <v>3.4000000000000002E-2</v>
      </c>
    </row>
    <row r="477" spans="1:29" ht="11.65" x14ac:dyDescent="0.35">
      <c r="A477" s="12">
        <v>460</v>
      </c>
      <c r="B477" s="10" t="s">
        <v>1015</v>
      </c>
      <c r="C477" s="11" t="s">
        <v>594</v>
      </c>
      <c r="D477" s="9"/>
      <c r="E477" s="9">
        <v>231</v>
      </c>
      <c r="F477" s="10" t="s">
        <v>1066</v>
      </c>
      <c r="G477" s="9">
        <v>910</v>
      </c>
      <c r="H477" s="9">
        <v>1995</v>
      </c>
      <c r="I477" s="8">
        <v>5213.7780000000002</v>
      </c>
      <c r="J477" s="8">
        <v>4287.3119999999999</v>
      </c>
      <c r="K477" s="8">
        <v>3655.5349999999999</v>
      </c>
      <c r="L477" s="8">
        <v>2919.6469999999999</v>
      </c>
      <c r="M477" s="8">
        <v>2372.8339999999998</v>
      </c>
      <c r="N477" s="8">
        <v>2004.32</v>
      </c>
      <c r="O477" s="8">
        <v>1632.2</v>
      </c>
      <c r="P477" s="8">
        <v>1436.7529999999999</v>
      </c>
      <c r="Q477" s="8">
        <v>1171.143</v>
      </c>
      <c r="R477" s="8">
        <v>1039.184</v>
      </c>
      <c r="S477" s="8">
        <v>825.81600000000003</v>
      </c>
      <c r="T477" s="8">
        <v>639.20600000000002</v>
      </c>
      <c r="U477" s="8">
        <v>531.38800000000003</v>
      </c>
      <c r="V477" s="8">
        <v>366.26900000000001</v>
      </c>
      <c r="W477" s="8">
        <v>267.00900000000001</v>
      </c>
      <c r="X477" s="8">
        <v>144.35300000000001</v>
      </c>
      <c r="Y477" s="8">
        <v>72.097999999999999</v>
      </c>
      <c r="Z477" s="8">
        <v>22.24</v>
      </c>
      <c r="AA477" s="8">
        <v>5.367</v>
      </c>
      <c r="AB477" s="8">
        <v>0.63300000000000001</v>
      </c>
      <c r="AC477" s="8">
        <v>4.2000000000000003E-2</v>
      </c>
    </row>
    <row r="478" spans="1:29" ht="11.65" x14ac:dyDescent="0.35">
      <c r="A478" s="12">
        <v>461</v>
      </c>
      <c r="B478" s="10" t="s">
        <v>1015</v>
      </c>
      <c r="C478" s="11" t="s">
        <v>594</v>
      </c>
      <c r="D478" s="9"/>
      <c r="E478" s="9">
        <v>231</v>
      </c>
      <c r="F478" s="10" t="s">
        <v>1066</v>
      </c>
      <c r="G478" s="9">
        <v>910</v>
      </c>
      <c r="H478" s="9">
        <v>2000</v>
      </c>
      <c r="I478" s="8">
        <v>6100.9660000000003</v>
      </c>
      <c r="J478" s="8">
        <v>4957.1030000000001</v>
      </c>
      <c r="K478" s="8">
        <v>4178.482</v>
      </c>
      <c r="L478" s="8">
        <v>3588.4479999999999</v>
      </c>
      <c r="M478" s="8">
        <v>2843.723</v>
      </c>
      <c r="N478" s="8">
        <v>2302.6509999999998</v>
      </c>
      <c r="O478" s="8">
        <v>1911.83</v>
      </c>
      <c r="P478" s="8">
        <v>1535.836</v>
      </c>
      <c r="Q478" s="8">
        <v>1347.7460000000001</v>
      </c>
      <c r="R478" s="8">
        <v>1087.694</v>
      </c>
      <c r="S478" s="8">
        <v>967.22500000000002</v>
      </c>
      <c r="T478" s="8">
        <v>760.673</v>
      </c>
      <c r="U478" s="8">
        <v>574.745</v>
      </c>
      <c r="V478" s="8">
        <v>456.08300000000003</v>
      </c>
      <c r="W478" s="8">
        <v>289.29899999999998</v>
      </c>
      <c r="X478" s="8">
        <v>184.81899999999999</v>
      </c>
      <c r="Y478" s="8">
        <v>81.096999999999994</v>
      </c>
      <c r="Z478" s="8">
        <v>29.849</v>
      </c>
      <c r="AA478" s="8">
        <v>6.1429999999999998</v>
      </c>
      <c r="AB478" s="8">
        <v>0.90900000000000003</v>
      </c>
      <c r="AC478" s="8">
        <v>6.0999999999999999E-2</v>
      </c>
    </row>
    <row r="479" spans="1:29" ht="11.65" x14ac:dyDescent="0.35">
      <c r="A479" s="12">
        <v>462</v>
      </c>
      <c r="B479" s="10" t="s">
        <v>1015</v>
      </c>
      <c r="C479" s="11" t="s">
        <v>594</v>
      </c>
      <c r="D479" s="9"/>
      <c r="E479" s="9">
        <v>231</v>
      </c>
      <c r="F479" s="10" t="s">
        <v>1066</v>
      </c>
      <c r="G479" s="9">
        <v>910</v>
      </c>
      <c r="H479" s="9">
        <v>2005</v>
      </c>
      <c r="I479" s="8">
        <v>6692.893</v>
      </c>
      <c r="J479" s="8">
        <v>5944.4129999999996</v>
      </c>
      <c r="K479" s="8">
        <v>4917.2550000000001</v>
      </c>
      <c r="L479" s="8">
        <v>3983.7570000000001</v>
      </c>
      <c r="M479" s="8">
        <v>3375.5210000000002</v>
      </c>
      <c r="N479" s="8">
        <v>2713.39</v>
      </c>
      <c r="O479" s="8">
        <v>2216.0100000000002</v>
      </c>
      <c r="P479" s="8">
        <v>1837.636</v>
      </c>
      <c r="Q479" s="8">
        <v>1455.616</v>
      </c>
      <c r="R479" s="8">
        <v>1277.808</v>
      </c>
      <c r="S479" s="8">
        <v>1024.616</v>
      </c>
      <c r="T479" s="8">
        <v>901.91300000000001</v>
      </c>
      <c r="U479" s="8">
        <v>694.62099999999998</v>
      </c>
      <c r="V479" s="8">
        <v>503.08600000000001</v>
      </c>
      <c r="W479" s="8">
        <v>369.99900000000002</v>
      </c>
      <c r="X479" s="8">
        <v>208.53299999999999</v>
      </c>
      <c r="Y479" s="8">
        <v>109.88</v>
      </c>
      <c r="Z479" s="8">
        <v>35.35</v>
      </c>
      <c r="AA479" s="8">
        <v>8.7409999999999997</v>
      </c>
      <c r="AB479" s="8">
        <v>1.1040000000000001</v>
      </c>
      <c r="AC479" s="8">
        <v>0.09</v>
      </c>
    </row>
    <row r="480" spans="1:29" ht="11.65" x14ac:dyDescent="0.35">
      <c r="A480" s="12">
        <v>463</v>
      </c>
      <c r="B480" s="10" t="s">
        <v>1015</v>
      </c>
      <c r="C480" s="11" t="s">
        <v>594</v>
      </c>
      <c r="D480" s="9"/>
      <c r="E480" s="9">
        <v>231</v>
      </c>
      <c r="F480" s="10" t="s">
        <v>1066</v>
      </c>
      <c r="G480" s="9">
        <v>910</v>
      </c>
      <c r="H480" s="9">
        <v>2010</v>
      </c>
      <c r="I480" s="8">
        <v>7027.2790000000005</v>
      </c>
      <c r="J480" s="8">
        <v>6535.9480000000003</v>
      </c>
      <c r="K480" s="8">
        <v>5892.2219999999998</v>
      </c>
      <c r="L480" s="8">
        <v>4863.6120000000001</v>
      </c>
      <c r="M480" s="8">
        <v>3822.6060000000002</v>
      </c>
      <c r="N480" s="8">
        <v>3272.6860000000001</v>
      </c>
      <c r="O480" s="8">
        <v>2593.3330000000001</v>
      </c>
      <c r="P480" s="8">
        <v>2142.703</v>
      </c>
      <c r="Q480" s="8">
        <v>1767.1089999999999</v>
      </c>
      <c r="R480" s="8">
        <v>1421.7059999999999</v>
      </c>
      <c r="S480" s="8">
        <v>1233.288</v>
      </c>
      <c r="T480" s="8">
        <v>978.36599999999999</v>
      </c>
      <c r="U480" s="8">
        <v>844.14300000000003</v>
      </c>
      <c r="V480" s="8">
        <v>620.30399999999997</v>
      </c>
      <c r="W480" s="8">
        <v>418.61200000000002</v>
      </c>
      <c r="X480" s="8">
        <v>275.08499999999998</v>
      </c>
      <c r="Y480" s="8">
        <v>140.172</v>
      </c>
      <c r="Z480" s="8">
        <v>50.534999999999997</v>
      </c>
      <c r="AA480" s="8">
        <v>10.991</v>
      </c>
      <c r="AB480" s="8">
        <v>1.667</v>
      </c>
      <c r="AC480" s="8">
        <v>0.11600000000000001</v>
      </c>
    </row>
    <row r="481" spans="1:29" ht="11.65" x14ac:dyDescent="0.35">
      <c r="A481" s="12">
        <v>464</v>
      </c>
      <c r="B481" s="10" t="s">
        <v>1015</v>
      </c>
      <c r="C481" s="11" t="s">
        <v>594</v>
      </c>
      <c r="D481" s="9"/>
      <c r="E481" s="9">
        <v>231</v>
      </c>
      <c r="F481" s="10" t="s">
        <v>1066</v>
      </c>
      <c r="G481" s="9">
        <v>910</v>
      </c>
      <c r="H481" s="9">
        <v>2015</v>
      </c>
      <c r="I481" s="8">
        <v>7628.451</v>
      </c>
      <c r="J481" s="8">
        <v>6906.5190000000002</v>
      </c>
      <c r="K481" s="8">
        <v>6473.2820000000002</v>
      </c>
      <c r="L481" s="8">
        <v>5852.9269999999997</v>
      </c>
      <c r="M481" s="8">
        <v>4840.5280000000002</v>
      </c>
      <c r="N481" s="8">
        <v>3800.2109999999998</v>
      </c>
      <c r="O481" s="8">
        <v>3238.0749999999998</v>
      </c>
      <c r="P481" s="8">
        <v>2547.5419999999999</v>
      </c>
      <c r="Q481" s="8">
        <v>2089.3710000000001</v>
      </c>
      <c r="R481" s="8">
        <v>1716.1130000000001</v>
      </c>
      <c r="S481" s="8">
        <v>1373.0229999999999</v>
      </c>
      <c r="T481" s="8">
        <v>1179.192</v>
      </c>
      <c r="U481" s="8">
        <v>917.67200000000003</v>
      </c>
      <c r="V481" s="8">
        <v>762.27300000000002</v>
      </c>
      <c r="W481" s="8">
        <v>524.39200000000005</v>
      </c>
      <c r="X481" s="8">
        <v>317.09899999999999</v>
      </c>
      <c r="Y481" s="8">
        <v>174.01499999999999</v>
      </c>
      <c r="Z481" s="8">
        <v>67.239999999999995</v>
      </c>
      <c r="AA481" s="8">
        <v>16.510000000000002</v>
      </c>
      <c r="AB481" s="8">
        <v>2.2410000000000001</v>
      </c>
      <c r="AC481" s="8">
        <v>0.188</v>
      </c>
    </row>
    <row r="482" spans="1:29" ht="11.65" x14ac:dyDescent="0.35">
      <c r="A482" s="12">
        <v>465</v>
      </c>
      <c r="B482" s="10" t="s">
        <v>1015</v>
      </c>
      <c r="C482" s="11" t="s">
        <v>594</v>
      </c>
      <c r="D482" s="9"/>
      <c r="E482" s="9">
        <v>231</v>
      </c>
      <c r="F482" s="10" t="s">
        <v>1066</v>
      </c>
      <c r="G482" s="9">
        <v>910</v>
      </c>
      <c r="H482" s="9">
        <v>2020</v>
      </c>
      <c r="I482" s="8">
        <v>8271.1779999999999</v>
      </c>
      <c r="J482" s="8">
        <v>7525.5559999999996</v>
      </c>
      <c r="K482" s="8">
        <v>6854.1260000000002</v>
      </c>
      <c r="L482" s="8">
        <v>6432.598</v>
      </c>
      <c r="M482" s="8">
        <v>5816.1729999999998</v>
      </c>
      <c r="N482" s="8">
        <v>4802.45</v>
      </c>
      <c r="O482" s="8">
        <v>3757.5439999999999</v>
      </c>
      <c r="P482" s="8">
        <v>3182.837</v>
      </c>
      <c r="Q482" s="8">
        <v>2488.422</v>
      </c>
      <c r="R482" s="8">
        <v>2033.2280000000001</v>
      </c>
      <c r="S482" s="8">
        <v>1660.9570000000001</v>
      </c>
      <c r="T482" s="8">
        <v>1316.318</v>
      </c>
      <c r="U482" s="8">
        <v>1109.67</v>
      </c>
      <c r="V482" s="8">
        <v>832.54300000000001</v>
      </c>
      <c r="W482" s="8">
        <v>648.56100000000004</v>
      </c>
      <c r="X482" s="8">
        <v>400.726</v>
      </c>
      <c r="Y482" s="8">
        <v>202.97399999999999</v>
      </c>
      <c r="Z482" s="8">
        <v>84.73</v>
      </c>
      <c r="AA482" s="8">
        <v>22.462</v>
      </c>
      <c r="AB482" s="8">
        <v>3.4319999999999999</v>
      </c>
      <c r="AC482" s="8">
        <v>0.26300000000000001</v>
      </c>
    </row>
    <row r="483" spans="1:29" ht="11.65" hidden="1" x14ac:dyDescent="0.35">
      <c r="A483" s="12">
        <v>466</v>
      </c>
      <c r="B483" s="10" t="s">
        <v>1015</v>
      </c>
      <c r="C483" s="11" t="s">
        <v>1069</v>
      </c>
      <c r="D483" s="9"/>
      <c r="E483" s="9">
        <v>404</v>
      </c>
      <c r="F483" s="10" t="s">
        <v>1066</v>
      </c>
      <c r="G483" s="9">
        <v>910</v>
      </c>
      <c r="H483" s="9">
        <v>1950</v>
      </c>
      <c r="I483" s="8">
        <v>526.12800000000004</v>
      </c>
      <c r="J483" s="8">
        <v>352.59500000000003</v>
      </c>
      <c r="K483" s="8">
        <v>326.79300000000001</v>
      </c>
      <c r="L483" s="8">
        <v>306.90800000000002</v>
      </c>
      <c r="M483" s="8">
        <v>254.81899999999999</v>
      </c>
      <c r="N483" s="8">
        <v>207.57900000000001</v>
      </c>
      <c r="O483" s="8">
        <v>178.965</v>
      </c>
      <c r="P483" s="8">
        <v>155.19999999999999</v>
      </c>
      <c r="Q483" s="8">
        <v>140.553</v>
      </c>
      <c r="R483" s="8">
        <v>130.56100000000001</v>
      </c>
      <c r="S483" s="8">
        <v>116.206</v>
      </c>
      <c r="T483" s="8">
        <v>97</v>
      </c>
      <c r="U483" s="8">
        <v>78.376000000000005</v>
      </c>
      <c r="V483" s="8">
        <v>60.14</v>
      </c>
      <c r="W483" s="8">
        <v>40.061</v>
      </c>
      <c r="X483" s="8">
        <v>26.19</v>
      </c>
      <c r="Y483" s="8">
        <v>9.9019999999999992</v>
      </c>
      <c r="Z483" s="8">
        <v>3.391</v>
      </c>
      <c r="AA483" s="8">
        <v>0.75700000000000001</v>
      </c>
      <c r="AB483" s="8">
        <v>0.10199999999999999</v>
      </c>
      <c r="AC483" s="8">
        <v>8.0000000000000002E-3</v>
      </c>
    </row>
    <row r="484" spans="1:29" ht="11.65" hidden="1" x14ac:dyDescent="0.35">
      <c r="A484" s="12">
        <v>467</v>
      </c>
      <c r="B484" s="10" t="s">
        <v>1015</v>
      </c>
      <c r="C484" s="11" t="s">
        <v>1069</v>
      </c>
      <c r="D484" s="9"/>
      <c r="E484" s="9">
        <v>404</v>
      </c>
      <c r="F484" s="10" t="s">
        <v>1066</v>
      </c>
      <c r="G484" s="9">
        <v>910</v>
      </c>
      <c r="H484" s="9">
        <v>1955</v>
      </c>
      <c r="I484" s="8">
        <v>678.548</v>
      </c>
      <c r="J484" s="8">
        <v>478.45</v>
      </c>
      <c r="K484" s="8">
        <v>339.952</v>
      </c>
      <c r="L484" s="8">
        <v>317.78699999999998</v>
      </c>
      <c r="M484" s="8">
        <v>297.32299999999998</v>
      </c>
      <c r="N484" s="8">
        <v>245.5</v>
      </c>
      <c r="O484" s="8">
        <v>198.82499999999999</v>
      </c>
      <c r="P484" s="8">
        <v>170.417</v>
      </c>
      <c r="Q484" s="8">
        <v>146.87799999999999</v>
      </c>
      <c r="R484" s="8">
        <v>132.35300000000001</v>
      </c>
      <c r="S484" s="8">
        <v>121.746</v>
      </c>
      <c r="T484" s="8">
        <v>106.303</v>
      </c>
      <c r="U484" s="8">
        <v>85.778999999999996</v>
      </c>
      <c r="V484" s="8">
        <v>65.23</v>
      </c>
      <c r="W484" s="8">
        <v>45.283999999999999</v>
      </c>
      <c r="X484" s="8">
        <v>25.728000000000002</v>
      </c>
      <c r="Y484" s="8">
        <v>12.983000000000001</v>
      </c>
      <c r="Z484" s="8">
        <v>3.2320000000000002</v>
      </c>
      <c r="AA484" s="8">
        <v>0.59599999999999997</v>
      </c>
      <c r="AB484" s="8">
        <v>6.4000000000000001E-2</v>
      </c>
      <c r="AC484" s="8">
        <v>6.0000000000000001E-3</v>
      </c>
    </row>
    <row r="485" spans="1:29" ht="11.65" hidden="1" x14ac:dyDescent="0.35">
      <c r="A485" s="12">
        <v>468</v>
      </c>
      <c r="B485" s="10" t="s">
        <v>1015</v>
      </c>
      <c r="C485" s="11" t="s">
        <v>1069</v>
      </c>
      <c r="D485" s="9"/>
      <c r="E485" s="9">
        <v>404</v>
      </c>
      <c r="F485" s="10" t="s">
        <v>1066</v>
      </c>
      <c r="G485" s="9">
        <v>910</v>
      </c>
      <c r="H485" s="9">
        <v>1960</v>
      </c>
      <c r="I485" s="8">
        <v>800.50300000000004</v>
      </c>
      <c r="J485" s="8">
        <v>625.42399999999998</v>
      </c>
      <c r="K485" s="8">
        <v>464.02</v>
      </c>
      <c r="L485" s="8">
        <v>331.92099999999999</v>
      </c>
      <c r="M485" s="8">
        <v>309.05700000000002</v>
      </c>
      <c r="N485" s="8">
        <v>287.62099999999998</v>
      </c>
      <c r="O485" s="8">
        <v>236.2</v>
      </c>
      <c r="P485" s="8">
        <v>190.23400000000001</v>
      </c>
      <c r="Q485" s="8">
        <v>162.05699999999999</v>
      </c>
      <c r="R485" s="8">
        <v>138.94300000000001</v>
      </c>
      <c r="S485" s="8">
        <v>123.979</v>
      </c>
      <c r="T485" s="8">
        <v>111.93899999999999</v>
      </c>
      <c r="U485" s="8">
        <v>94.581999999999994</v>
      </c>
      <c r="V485" s="8">
        <v>71.912000000000006</v>
      </c>
      <c r="W485" s="8">
        <v>49.512</v>
      </c>
      <c r="X485" s="8">
        <v>29.297999999999998</v>
      </c>
      <c r="Y485" s="8">
        <v>12.791</v>
      </c>
      <c r="Z485" s="8">
        <v>4.1959999999999997</v>
      </c>
      <c r="AA485" s="8">
        <v>0.54400000000000004</v>
      </c>
      <c r="AB485" s="8">
        <v>4.4999999999999998E-2</v>
      </c>
      <c r="AC485" s="8">
        <v>4.0000000000000001E-3</v>
      </c>
    </row>
    <row r="486" spans="1:29" ht="11.65" hidden="1" x14ac:dyDescent="0.35">
      <c r="A486" s="12">
        <v>469</v>
      </c>
      <c r="B486" s="10" t="s">
        <v>1015</v>
      </c>
      <c r="C486" s="11" t="s">
        <v>1069</v>
      </c>
      <c r="D486" s="9"/>
      <c r="E486" s="9">
        <v>404</v>
      </c>
      <c r="F486" s="10" t="s">
        <v>1066</v>
      </c>
      <c r="G486" s="9">
        <v>910</v>
      </c>
      <c r="H486" s="9">
        <v>1965</v>
      </c>
      <c r="I486" s="8">
        <v>951.90099999999995</v>
      </c>
      <c r="J486" s="8">
        <v>750.63900000000001</v>
      </c>
      <c r="K486" s="8">
        <v>610.71199999999999</v>
      </c>
      <c r="L486" s="8">
        <v>454.77800000000002</v>
      </c>
      <c r="M486" s="8">
        <v>323.12</v>
      </c>
      <c r="N486" s="8">
        <v>298.97699999999998</v>
      </c>
      <c r="O486" s="8">
        <v>277.012</v>
      </c>
      <c r="P486" s="8">
        <v>226.46600000000001</v>
      </c>
      <c r="Q486" s="8">
        <v>181.434</v>
      </c>
      <c r="R486" s="8">
        <v>153.845</v>
      </c>
      <c r="S486" s="8">
        <v>130.71299999999999</v>
      </c>
      <c r="T486" s="8">
        <v>114.639</v>
      </c>
      <c r="U486" s="8">
        <v>100.371</v>
      </c>
      <c r="V486" s="8">
        <v>80.097999999999999</v>
      </c>
      <c r="W486" s="8">
        <v>55.249000000000002</v>
      </c>
      <c r="X486" s="8">
        <v>32.44</v>
      </c>
      <c r="Y486" s="8">
        <v>14.683999999999999</v>
      </c>
      <c r="Z486" s="8">
        <v>4.0979999999999999</v>
      </c>
      <c r="AA486" s="8">
        <v>0.67</v>
      </c>
      <c r="AB486" s="8">
        <v>3.6999999999999998E-2</v>
      </c>
      <c r="AC486" s="8">
        <v>2E-3</v>
      </c>
    </row>
    <row r="487" spans="1:29" ht="11.65" hidden="1" x14ac:dyDescent="0.35">
      <c r="A487" s="12">
        <v>470</v>
      </c>
      <c r="B487" s="10" t="s">
        <v>1015</v>
      </c>
      <c r="C487" s="11" t="s">
        <v>1069</v>
      </c>
      <c r="D487" s="9"/>
      <c r="E487" s="9">
        <v>404</v>
      </c>
      <c r="F487" s="10" t="s">
        <v>1066</v>
      </c>
      <c r="G487" s="9">
        <v>910</v>
      </c>
      <c r="H487" s="9">
        <v>1970</v>
      </c>
      <c r="I487" s="8">
        <v>1138.8889999999999</v>
      </c>
      <c r="J487" s="8">
        <v>902.67200000000003</v>
      </c>
      <c r="K487" s="8">
        <v>736.11599999999999</v>
      </c>
      <c r="L487" s="8">
        <v>600.572</v>
      </c>
      <c r="M487" s="8">
        <v>444.61799999999999</v>
      </c>
      <c r="N487" s="8">
        <v>313.76499999999999</v>
      </c>
      <c r="O487" s="8">
        <v>289.12599999999998</v>
      </c>
      <c r="P487" s="8">
        <v>266.87</v>
      </c>
      <c r="Q487" s="8">
        <v>217.05099999999999</v>
      </c>
      <c r="R487" s="8">
        <v>173.035</v>
      </c>
      <c r="S487" s="8">
        <v>145.41</v>
      </c>
      <c r="T487" s="8">
        <v>121.511</v>
      </c>
      <c r="U487" s="8">
        <v>103.48099999999999</v>
      </c>
      <c r="V487" s="8">
        <v>85.733000000000004</v>
      </c>
      <c r="W487" s="8">
        <v>62.197000000000003</v>
      </c>
      <c r="X487" s="8">
        <v>36.642000000000003</v>
      </c>
      <c r="Y487" s="8">
        <v>16.440000000000001</v>
      </c>
      <c r="Z487" s="8">
        <v>4.7169999999999996</v>
      </c>
      <c r="AA487" s="8">
        <v>0.63800000000000001</v>
      </c>
      <c r="AB487" s="8">
        <v>0.04</v>
      </c>
      <c r="AC487" s="8">
        <v>2E-3</v>
      </c>
    </row>
    <row r="488" spans="1:29" ht="11.65" hidden="1" x14ac:dyDescent="0.35">
      <c r="A488" s="12">
        <v>471</v>
      </c>
      <c r="B488" s="10" t="s">
        <v>1015</v>
      </c>
      <c r="C488" s="11" t="s">
        <v>1069</v>
      </c>
      <c r="D488" s="9"/>
      <c r="E488" s="9">
        <v>404</v>
      </c>
      <c r="F488" s="10" t="s">
        <v>1066</v>
      </c>
      <c r="G488" s="9">
        <v>910</v>
      </c>
      <c r="H488" s="9">
        <v>1975</v>
      </c>
      <c r="I488" s="8">
        <v>1394.3009999999999</v>
      </c>
      <c r="J488" s="8">
        <v>1091.424</v>
      </c>
      <c r="K488" s="8">
        <v>888.49599999999998</v>
      </c>
      <c r="L488" s="8">
        <v>726.02300000000002</v>
      </c>
      <c r="M488" s="8">
        <v>589.40099999999995</v>
      </c>
      <c r="N488" s="8">
        <v>433.89800000000002</v>
      </c>
      <c r="O488" s="8">
        <v>304.75599999999997</v>
      </c>
      <c r="P488" s="8">
        <v>279.83499999999998</v>
      </c>
      <c r="Q488" s="8">
        <v>257.08800000000002</v>
      </c>
      <c r="R488" s="8">
        <v>208.06200000000001</v>
      </c>
      <c r="S488" s="8">
        <v>164.40799999999999</v>
      </c>
      <c r="T488" s="8">
        <v>135.994</v>
      </c>
      <c r="U488" s="8">
        <v>110.515</v>
      </c>
      <c r="V488" s="8">
        <v>89.266999999999996</v>
      </c>
      <c r="W488" s="8">
        <v>67.433999999999997</v>
      </c>
      <c r="X488" s="8">
        <v>41.908999999999999</v>
      </c>
      <c r="Y488" s="8">
        <v>18.890999999999998</v>
      </c>
      <c r="Z488" s="8">
        <v>5.3520000000000003</v>
      </c>
      <c r="AA488" s="8">
        <v>0.73</v>
      </c>
      <c r="AB488" s="8">
        <v>3.7999999999999999E-2</v>
      </c>
      <c r="AC488" s="8">
        <v>2E-3</v>
      </c>
    </row>
    <row r="489" spans="1:29" ht="11.65" hidden="1" x14ac:dyDescent="0.35">
      <c r="A489" s="12">
        <v>472</v>
      </c>
      <c r="B489" s="10" t="s">
        <v>1015</v>
      </c>
      <c r="C489" s="11" t="s">
        <v>1069</v>
      </c>
      <c r="D489" s="9"/>
      <c r="E489" s="9">
        <v>404</v>
      </c>
      <c r="F489" s="10" t="s">
        <v>1066</v>
      </c>
      <c r="G489" s="9">
        <v>910</v>
      </c>
      <c r="H489" s="9">
        <v>1980</v>
      </c>
      <c r="I489" s="8">
        <v>1677.8230000000001</v>
      </c>
      <c r="J489" s="8">
        <v>1346.829</v>
      </c>
      <c r="K489" s="8">
        <v>1077.318</v>
      </c>
      <c r="L489" s="8">
        <v>878.62300000000005</v>
      </c>
      <c r="M489" s="8">
        <v>715.35199999999998</v>
      </c>
      <c r="N489" s="8">
        <v>578.34500000000003</v>
      </c>
      <c r="O489" s="8">
        <v>424.13600000000002</v>
      </c>
      <c r="P489" s="8">
        <v>296.69</v>
      </c>
      <c r="Q489" s="8">
        <v>271.05</v>
      </c>
      <c r="R489" s="8">
        <v>247.74600000000001</v>
      </c>
      <c r="S489" s="8">
        <v>198.756</v>
      </c>
      <c r="T489" s="8">
        <v>154.68299999999999</v>
      </c>
      <c r="U489" s="8">
        <v>124.60299999999999</v>
      </c>
      <c r="V489" s="8">
        <v>96.26</v>
      </c>
      <c r="W489" s="8">
        <v>71.120999999999995</v>
      </c>
      <c r="X489" s="8">
        <v>46.204999999999998</v>
      </c>
      <c r="Y489" s="8">
        <v>22.053000000000001</v>
      </c>
      <c r="Z489" s="8">
        <v>6.2850000000000001</v>
      </c>
      <c r="AA489" s="8">
        <v>0.83699999999999997</v>
      </c>
      <c r="AB489" s="8">
        <v>0.04</v>
      </c>
      <c r="AC489" s="8">
        <v>2E-3</v>
      </c>
    </row>
    <row r="490" spans="1:29" ht="11.65" hidden="1" x14ac:dyDescent="0.35">
      <c r="A490" s="12">
        <v>473</v>
      </c>
      <c r="B490" s="10" t="s">
        <v>1015</v>
      </c>
      <c r="C490" s="11" t="s">
        <v>1069</v>
      </c>
      <c r="D490" s="9"/>
      <c r="E490" s="9">
        <v>404</v>
      </c>
      <c r="F490" s="10" t="s">
        <v>1066</v>
      </c>
      <c r="G490" s="9">
        <v>910</v>
      </c>
      <c r="H490" s="9">
        <v>1985</v>
      </c>
      <c r="I490" s="8">
        <v>1992.7149999999999</v>
      </c>
      <c r="J490" s="8">
        <v>1631.4639999999999</v>
      </c>
      <c r="K490" s="8">
        <v>1332.5719999999999</v>
      </c>
      <c r="L490" s="8">
        <v>1067.5150000000001</v>
      </c>
      <c r="M490" s="8">
        <v>868.02700000000004</v>
      </c>
      <c r="N490" s="8">
        <v>704.22799999999995</v>
      </c>
      <c r="O490" s="8">
        <v>567.375</v>
      </c>
      <c r="P490" s="8">
        <v>414.51299999999998</v>
      </c>
      <c r="Q490" s="8">
        <v>288.54000000000002</v>
      </c>
      <c r="R490" s="8">
        <v>262.26400000000001</v>
      </c>
      <c r="S490" s="8">
        <v>237.71</v>
      </c>
      <c r="T490" s="8">
        <v>188.00700000000001</v>
      </c>
      <c r="U490" s="8">
        <v>142.73599999999999</v>
      </c>
      <c r="V490" s="8">
        <v>109.626</v>
      </c>
      <c r="W490" s="8">
        <v>77.8</v>
      </c>
      <c r="X490" s="8">
        <v>49.720999999999997</v>
      </c>
      <c r="Y490" s="8">
        <v>24.978000000000002</v>
      </c>
      <c r="Z490" s="8">
        <v>7.5830000000000002</v>
      </c>
      <c r="AA490" s="8">
        <v>1.0129999999999999</v>
      </c>
      <c r="AB490" s="8">
        <v>4.9000000000000002E-2</v>
      </c>
      <c r="AC490" s="8">
        <v>2E-3</v>
      </c>
    </row>
    <row r="491" spans="1:29" ht="11.65" hidden="1" x14ac:dyDescent="0.35">
      <c r="A491" s="12">
        <v>474</v>
      </c>
      <c r="B491" s="10" t="s">
        <v>1015</v>
      </c>
      <c r="C491" s="11" t="s">
        <v>1069</v>
      </c>
      <c r="D491" s="9"/>
      <c r="E491" s="9">
        <v>404</v>
      </c>
      <c r="F491" s="10" t="s">
        <v>1066</v>
      </c>
      <c r="G491" s="9">
        <v>910</v>
      </c>
      <c r="H491" s="9">
        <v>1990</v>
      </c>
      <c r="I491" s="8">
        <v>2237.337</v>
      </c>
      <c r="J491" s="8">
        <v>1940.953</v>
      </c>
      <c r="K491" s="8">
        <v>1615.5360000000001</v>
      </c>
      <c r="L491" s="8">
        <v>1321.2439999999999</v>
      </c>
      <c r="M491" s="8">
        <v>1055.079</v>
      </c>
      <c r="N491" s="8">
        <v>854.32600000000002</v>
      </c>
      <c r="O491" s="8">
        <v>690.19899999999996</v>
      </c>
      <c r="P491" s="8">
        <v>553.59100000000001</v>
      </c>
      <c r="Q491" s="8">
        <v>402.33699999999999</v>
      </c>
      <c r="R491" s="8">
        <v>278.68299999999999</v>
      </c>
      <c r="S491" s="8">
        <v>251.215</v>
      </c>
      <c r="T491" s="8">
        <v>224.55600000000001</v>
      </c>
      <c r="U491" s="8">
        <v>173.36699999999999</v>
      </c>
      <c r="V491" s="8">
        <v>125.645</v>
      </c>
      <c r="W491" s="8">
        <v>88.807000000000002</v>
      </c>
      <c r="X491" s="8">
        <v>54.652999999999999</v>
      </c>
      <c r="Y491" s="8">
        <v>27.065999999999999</v>
      </c>
      <c r="Z491" s="8">
        <v>8.6379999999999999</v>
      </c>
      <c r="AA491" s="8">
        <v>1.2290000000000001</v>
      </c>
      <c r="AB491" s="8">
        <v>0.06</v>
      </c>
      <c r="AC491" s="8">
        <v>2E-3</v>
      </c>
    </row>
    <row r="492" spans="1:29" ht="11.65" hidden="1" x14ac:dyDescent="0.35">
      <c r="A492" s="12">
        <v>475</v>
      </c>
      <c r="B492" s="10" t="s">
        <v>1015</v>
      </c>
      <c r="C492" s="11" t="s">
        <v>1069</v>
      </c>
      <c r="D492" s="9"/>
      <c r="E492" s="9">
        <v>404</v>
      </c>
      <c r="F492" s="10" t="s">
        <v>1066</v>
      </c>
      <c r="G492" s="9">
        <v>910</v>
      </c>
      <c r="H492" s="9">
        <v>1995</v>
      </c>
      <c r="I492" s="8">
        <v>2353.848</v>
      </c>
      <c r="J492" s="8">
        <v>2183.0940000000001</v>
      </c>
      <c r="K492" s="8">
        <v>1924.5530000000001</v>
      </c>
      <c r="L492" s="8">
        <v>1608.7</v>
      </c>
      <c r="M492" s="8">
        <v>1320.759</v>
      </c>
      <c r="N492" s="8">
        <v>1054.078</v>
      </c>
      <c r="O492" s="8">
        <v>847.08799999999997</v>
      </c>
      <c r="P492" s="8">
        <v>677.15700000000004</v>
      </c>
      <c r="Q492" s="8">
        <v>537.63199999999995</v>
      </c>
      <c r="R492" s="8">
        <v>388.214</v>
      </c>
      <c r="S492" s="8">
        <v>266.464</v>
      </c>
      <c r="T492" s="8">
        <v>236.12899999999999</v>
      </c>
      <c r="U492" s="8">
        <v>205.55199999999999</v>
      </c>
      <c r="V492" s="8">
        <v>151.38499999999999</v>
      </c>
      <c r="W492" s="8">
        <v>100.953</v>
      </c>
      <c r="X492" s="8">
        <v>61.912999999999997</v>
      </c>
      <c r="Y492" s="8">
        <v>29.510999999999999</v>
      </c>
      <c r="Z492" s="8">
        <v>9.2110000000000003</v>
      </c>
      <c r="AA492" s="8">
        <v>1.387</v>
      </c>
      <c r="AB492" s="8">
        <v>7.6999999999999999E-2</v>
      </c>
      <c r="AC492" s="8">
        <v>3.0000000000000001E-3</v>
      </c>
    </row>
    <row r="493" spans="1:29" ht="11.65" hidden="1" x14ac:dyDescent="0.35">
      <c r="A493" s="12">
        <v>476</v>
      </c>
      <c r="B493" s="10" t="s">
        <v>1015</v>
      </c>
      <c r="C493" s="11" t="s">
        <v>1069</v>
      </c>
      <c r="D493" s="9"/>
      <c r="E493" s="9">
        <v>404</v>
      </c>
      <c r="F493" s="10" t="s">
        <v>1066</v>
      </c>
      <c r="G493" s="9">
        <v>910</v>
      </c>
      <c r="H493" s="9">
        <v>2000</v>
      </c>
      <c r="I493" s="8">
        <v>2744.68</v>
      </c>
      <c r="J493" s="8">
        <v>2290.3620000000001</v>
      </c>
      <c r="K493" s="8">
        <v>2159.6559999999999</v>
      </c>
      <c r="L493" s="8">
        <v>1904.5170000000001</v>
      </c>
      <c r="M493" s="8">
        <v>1580.1079999999999</v>
      </c>
      <c r="N493" s="8">
        <v>1278.6389999999999</v>
      </c>
      <c r="O493" s="8">
        <v>1003.39</v>
      </c>
      <c r="P493" s="8">
        <v>793.59900000000005</v>
      </c>
      <c r="Q493" s="8">
        <v>628.12400000000002</v>
      </c>
      <c r="R493" s="8">
        <v>497.30700000000002</v>
      </c>
      <c r="S493" s="8">
        <v>356.84699999999998</v>
      </c>
      <c r="T493" s="8">
        <v>242.233</v>
      </c>
      <c r="U493" s="8">
        <v>209.96299999999999</v>
      </c>
      <c r="V493" s="8">
        <v>174.976</v>
      </c>
      <c r="W493" s="8">
        <v>119.01600000000001</v>
      </c>
      <c r="X493" s="8">
        <v>69.313999999999993</v>
      </c>
      <c r="Y493" s="8">
        <v>33.232999999999997</v>
      </c>
      <c r="Z493" s="8">
        <v>10.11</v>
      </c>
      <c r="AA493" s="8">
        <v>1.5649999999999999</v>
      </c>
      <c r="AB493" s="8">
        <v>0.108</v>
      </c>
      <c r="AC493" s="8">
        <v>4.0000000000000001E-3</v>
      </c>
    </row>
    <row r="494" spans="1:29" ht="11.65" hidden="1" x14ac:dyDescent="0.35">
      <c r="A494" s="12">
        <v>477</v>
      </c>
      <c r="B494" s="10" t="s">
        <v>1015</v>
      </c>
      <c r="C494" s="11" t="s">
        <v>1069</v>
      </c>
      <c r="D494" s="9"/>
      <c r="E494" s="9">
        <v>404</v>
      </c>
      <c r="F494" s="10" t="s">
        <v>1066</v>
      </c>
      <c r="G494" s="9">
        <v>910</v>
      </c>
      <c r="H494" s="9">
        <v>2005</v>
      </c>
      <c r="I494" s="8">
        <v>3075.279</v>
      </c>
      <c r="J494" s="8">
        <v>2678.6390000000001</v>
      </c>
      <c r="K494" s="8">
        <v>2265.5639999999999</v>
      </c>
      <c r="L494" s="8">
        <v>2137.7130000000002</v>
      </c>
      <c r="M494" s="8">
        <v>1872.1189999999999</v>
      </c>
      <c r="N494" s="8">
        <v>1529.6469999999999</v>
      </c>
      <c r="O494" s="8">
        <v>1214.3209999999999</v>
      </c>
      <c r="P494" s="8">
        <v>935.38099999999997</v>
      </c>
      <c r="Q494" s="8">
        <v>731.42600000000004</v>
      </c>
      <c r="R494" s="8">
        <v>577.23500000000001</v>
      </c>
      <c r="S494" s="8">
        <v>454.13400000000001</v>
      </c>
      <c r="T494" s="8">
        <v>322.36399999999998</v>
      </c>
      <c r="U494" s="8">
        <v>214.01499999999999</v>
      </c>
      <c r="V494" s="8">
        <v>177.5</v>
      </c>
      <c r="W494" s="8">
        <v>136.50700000000001</v>
      </c>
      <c r="X494" s="8">
        <v>81.033000000000001</v>
      </c>
      <c r="Y494" s="8">
        <v>36.872999999999998</v>
      </c>
      <c r="Z494" s="8">
        <v>11.279</v>
      </c>
      <c r="AA494" s="8">
        <v>1.7130000000000001</v>
      </c>
      <c r="AB494" s="8">
        <v>0.123</v>
      </c>
      <c r="AC494" s="8">
        <v>6.0000000000000001E-3</v>
      </c>
    </row>
    <row r="495" spans="1:29" ht="11.65" hidden="1" x14ac:dyDescent="0.35">
      <c r="A495" s="12">
        <v>478</v>
      </c>
      <c r="B495" s="10" t="s">
        <v>1015</v>
      </c>
      <c r="C495" s="11" t="s">
        <v>1069</v>
      </c>
      <c r="D495" s="9"/>
      <c r="E495" s="9">
        <v>404</v>
      </c>
      <c r="F495" s="10" t="s">
        <v>1066</v>
      </c>
      <c r="G495" s="9">
        <v>910</v>
      </c>
      <c r="H495" s="9">
        <v>2010</v>
      </c>
      <c r="I495" s="8">
        <v>3390.8629999999998</v>
      </c>
      <c r="J495" s="8">
        <v>3018.3670000000002</v>
      </c>
      <c r="K495" s="8">
        <v>2654.402</v>
      </c>
      <c r="L495" s="8">
        <v>2242.0169999999998</v>
      </c>
      <c r="M495" s="8">
        <v>2097.8389999999999</v>
      </c>
      <c r="N495" s="8">
        <v>1818.0820000000001</v>
      </c>
      <c r="O495" s="8">
        <v>1472.3409999999999</v>
      </c>
      <c r="P495" s="8">
        <v>1159.8579999999999</v>
      </c>
      <c r="Q495" s="8">
        <v>887.47500000000002</v>
      </c>
      <c r="R495" s="8">
        <v>690.89400000000001</v>
      </c>
      <c r="S495" s="8">
        <v>541.01400000000001</v>
      </c>
      <c r="T495" s="8">
        <v>420.16199999999998</v>
      </c>
      <c r="U495" s="8">
        <v>291.30700000000002</v>
      </c>
      <c r="V495" s="8">
        <v>184.685</v>
      </c>
      <c r="W495" s="8">
        <v>141.065</v>
      </c>
      <c r="X495" s="8">
        <v>94.150999999999996</v>
      </c>
      <c r="Y495" s="8">
        <v>43.183</v>
      </c>
      <c r="Z495" s="8">
        <v>12.292999999999999</v>
      </c>
      <c r="AA495" s="8">
        <v>1.738</v>
      </c>
      <c r="AB495" s="8">
        <v>0.10100000000000001</v>
      </c>
      <c r="AC495" s="8">
        <v>5.0000000000000001E-3</v>
      </c>
    </row>
    <row r="496" spans="1:29" ht="11.65" hidden="1" x14ac:dyDescent="0.35">
      <c r="A496" s="12">
        <v>479</v>
      </c>
      <c r="B496" s="10" t="s">
        <v>1015</v>
      </c>
      <c r="C496" s="11" t="s">
        <v>1069</v>
      </c>
      <c r="D496" s="9"/>
      <c r="E496" s="9">
        <v>404</v>
      </c>
      <c r="F496" s="10" t="s">
        <v>1066</v>
      </c>
      <c r="G496" s="9">
        <v>910</v>
      </c>
      <c r="H496" s="9">
        <v>2015</v>
      </c>
      <c r="I496" s="8">
        <v>3491.221</v>
      </c>
      <c r="J496" s="8">
        <v>3353.1439999999998</v>
      </c>
      <c r="K496" s="8">
        <v>3001.846</v>
      </c>
      <c r="L496" s="8">
        <v>2638.4279999999999</v>
      </c>
      <c r="M496" s="8">
        <v>2218.2339999999999</v>
      </c>
      <c r="N496" s="8">
        <v>2063.39</v>
      </c>
      <c r="O496" s="8">
        <v>1778.5409999999999</v>
      </c>
      <c r="P496" s="8">
        <v>1432.489</v>
      </c>
      <c r="Q496" s="8">
        <v>1121.7439999999999</v>
      </c>
      <c r="R496" s="8">
        <v>853.59100000000001</v>
      </c>
      <c r="S496" s="8">
        <v>658.98800000000006</v>
      </c>
      <c r="T496" s="8">
        <v>509.68400000000003</v>
      </c>
      <c r="U496" s="8">
        <v>387.77100000000002</v>
      </c>
      <c r="V496" s="8">
        <v>258.214</v>
      </c>
      <c r="W496" s="8">
        <v>152.22</v>
      </c>
      <c r="X496" s="8">
        <v>102.624</v>
      </c>
      <c r="Y496" s="8">
        <v>54.579000000000001</v>
      </c>
      <c r="Z496" s="8">
        <v>16.556000000000001</v>
      </c>
      <c r="AA496" s="8">
        <v>2.335</v>
      </c>
      <c r="AB496" s="8">
        <v>0.127</v>
      </c>
      <c r="AC496" s="8">
        <v>4.0000000000000001E-3</v>
      </c>
    </row>
    <row r="497" spans="1:29" ht="11.65" hidden="1" x14ac:dyDescent="0.35">
      <c r="A497" s="12">
        <v>480</v>
      </c>
      <c r="B497" s="10" t="s">
        <v>1015</v>
      </c>
      <c r="C497" s="11" t="s">
        <v>1069</v>
      </c>
      <c r="D497" s="9"/>
      <c r="E497" s="9">
        <v>404</v>
      </c>
      <c r="F497" s="10" t="s">
        <v>1066</v>
      </c>
      <c r="G497" s="9">
        <v>910</v>
      </c>
      <c r="H497" s="9">
        <v>2020</v>
      </c>
      <c r="I497" s="8">
        <v>3486.0210000000002</v>
      </c>
      <c r="J497" s="8">
        <v>3461.279</v>
      </c>
      <c r="K497" s="8">
        <v>3340.913</v>
      </c>
      <c r="L497" s="8">
        <v>2988.7950000000001</v>
      </c>
      <c r="M497" s="8">
        <v>2617.3910000000001</v>
      </c>
      <c r="N497" s="8">
        <v>2190.5</v>
      </c>
      <c r="O497" s="8">
        <v>2030.0440000000001</v>
      </c>
      <c r="P497" s="8">
        <v>1743.029</v>
      </c>
      <c r="Q497" s="8">
        <v>1397.049</v>
      </c>
      <c r="R497" s="8">
        <v>1088.4290000000001</v>
      </c>
      <c r="S497" s="8">
        <v>821.97500000000002</v>
      </c>
      <c r="T497" s="8">
        <v>627.83900000000006</v>
      </c>
      <c r="U497" s="8">
        <v>477.35199999999998</v>
      </c>
      <c r="V497" s="8">
        <v>351.13</v>
      </c>
      <c r="W497" s="8">
        <v>220.03200000000001</v>
      </c>
      <c r="X497" s="8">
        <v>116.86799999999999</v>
      </c>
      <c r="Y497" s="8">
        <v>65.194999999999993</v>
      </c>
      <c r="Z497" s="8">
        <v>24.571000000000002</v>
      </c>
      <c r="AA497" s="8">
        <v>4.1059999999999999</v>
      </c>
      <c r="AB497" s="8">
        <v>0.248</v>
      </c>
      <c r="AC497" s="8">
        <v>7.0000000000000001E-3</v>
      </c>
    </row>
    <row r="498" spans="1:29" ht="11.65" hidden="1" x14ac:dyDescent="0.35">
      <c r="A498" s="12">
        <v>481</v>
      </c>
      <c r="B498" s="10" t="s">
        <v>1015</v>
      </c>
      <c r="C498" s="11" t="s">
        <v>1070</v>
      </c>
      <c r="D498" s="9"/>
      <c r="E498" s="9">
        <v>450</v>
      </c>
      <c r="F498" s="10" t="s">
        <v>1066</v>
      </c>
      <c r="G498" s="9">
        <v>910</v>
      </c>
      <c r="H498" s="9">
        <v>1950</v>
      </c>
      <c r="I498" s="8">
        <v>319.25400000000002</v>
      </c>
      <c r="J498" s="8">
        <v>248.607</v>
      </c>
      <c r="K498" s="8">
        <v>223.09200000000001</v>
      </c>
      <c r="L498" s="8">
        <v>201.90299999999999</v>
      </c>
      <c r="M498" s="8">
        <v>167.42500000000001</v>
      </c>
      <c r="N498" s="8">
        <v>137.19800000000001</v>
      </c>
      <c r="O498" s="8">
        <v>105.48099999999999</v>
      </c>
      <c r="P498" s="8">
        <v>103.023</v>
      </c>
      <c r="Q498" s="8">
        <v>117.46</v>
      </c>
      <c r="R498" s="8">
        <v>99.033000000000001</v>
      </c>
      <c r="S498" s="8">
        <v>79.088999999999999</v>
      </c>
      <c r="T498" s="8">
        <v>63.69</v>
      </c>
      <c r="U498" s="8">
        <v>48.29</v>
      </c>
      <c r="V498" s="8">
        <v>33.99</v>
      </c>
      <c r="W498" s="8">
        <v>20.79</v>
      </c>
      <c r="X498" s="8">
        <v>10.451000000000001</v>
      </c>
      <c r="Y498" s="8">
        <v>3.5289999999999999</v>
      </c>
      <c r="Z498" s="8">
        <v>1.042</v>
      </c>
      <c r="AA498" s="8">
        <v>0.193</v>
      </c>
      <c r="AB498" s="8">
        <v>2.1000000000000001E-2</v>
      </c>
      <c r="AC498" s="8">
        <v>1E-3</v>
      </c>
    </row>
    <row r="499" spans="1:29" ht="11.65" hidden="1" x14ac:dyDescent="0.35">
      <c r="A499" s="12">
        <v>482</v>
      </c>
      <c r="B499" s="10" t="s">
        <v>1015</v>
      </c>
      <c r="C499" s="11" t="s">
        <v>1070</v>
      </c>
      <c r="D499" s="9"/>
      <c r="E499" s="9">
        <v>450</v>
      </c>
      <c r="F499" s="10" t="s">
        <v>1066</v>
      </c>
      <c r="G499" s="9">
        <v>910</v>
      </c>
      <c r="H499" s="9">
        <v>1955</v>
      </c>
      <c r="I499" s="8">
        <v>410.87099999999998</v>
      </c>
      <c r="J499" s="8">
        <v>277.64299999999997</v>
      </c>
      <c r="K499" s="8">
        <v>234.273</v>
      </c>
      <c r="L499" s="8">
        <v>216.357</v>
      </c>
      <c r="M499" s="8">
        <v>194.19900000000001</v>
      </c>
      <c r="N499" s="8">
        <v>159.72399999999999</v>
      </c>
      <c r="O499" s="8">
        <v>129.86500000000001</v>
      </c>
      <c r="P499" s="8">
        <v>99.013999999999996</v>
      </c>
      <c r="Q499" s="8">
        <v>96.031000000000006</v>
      </c>
      <c r="R499" s="8">
        <v>108.794</v>
      </c>
      <c r="S499" s="8">
        <v>90.659000000000006</v>
      </c>
      <c r="T499" s="8">
        <v>70.578000000000003</v>
      </c>
      <c r="U499" s="8">
        <v>54.212000000000003</v>
      </c>
      <c r="V499" s="8">
        <v>37.973999999999997</v>
      </c>
      <c r="W499" s="8">
        <v>23.536999999999999</v>
      </c>
      <c r="X499" s="8">
        <v>11.846</v>
      </c>
      <c r="Y499" s="8">
        <v>4.5030000000000001</v>
      </c>
      <c r="Z499" s="8">
        <v>1.0449999999999999</v>
      </c>
      <c r="AA499" s="8">
        <v>0.19</v>
      </c>
      <c r="AB499" s="8">
        <v>2.1000000000000001E-2</v>
      </c>
      <c r="AC499" s="8">
        <v>1E-3</v>
      </c>
    </row>
    <row r="500" spans="1:29" ht="11.65" hidden="1" x14ac:dyDescent="0.35">
      <c r="A500" s="12">
        <v>483</v>
      </c>
      <c r="B500" s="10" t="s">
        <v>1015</v>
      </c>
      <c r="C500" s="11" t="s">
        <v>1070</v>
      </c>
      <c r="D500" s="9"/>
      <c r="E500" s="9">
        <v>450</v>
      </c>
      <c r="F500" s="10" t="s">
        <v>1066</v>
      </c>
      <c r="G500" s="9">
        <v>910</v>
      </c>
      <c r="H500" s="9">
        <v>1960</v>
      </c>
      <c r="I500" s="8">
        <v>468.61799999999999</v>
      </c>
      <c r="J500" s="8">
        <v>362.43299999999999</v>
      </c>
      <c r="K500" s="8">
        <v>263.38499999999999</v>
      </c>
      <c r="L500" s="8">
        <v>228.09299999999999</v>
      </c>
      <c r="M500" s="8">
        <v>208.988</v>
      </c>
      <c r="N500" s="8">
        <v>186.131</v>
      </c>
      <c r="O500" s="8">
        <v>151.982</v>
      </c>
      <c r="P500" s="8">
        <v>122.62</v>
      </c>
      <c r="Q500" s="8">
        <v>92.87</v>
      </c>
      <c r="R500" s="8">
        <v>89.432000000000002</v>
      </c>
      <c r="S500" s="8">
        <v>99.938999999999993</v>
      </c>
      <c r="T500" s="8">
        <v>81.191999999999993</v>
      </c>
      <c r="U500" s="8">
        <v>60.517000000000003</v>
      </c>
      <c r="V500" s="8">
        <v>43.122</v>
      </c>
      <c r="W500" s="8">
        <v>26.702999999999999</v>
      </c>
      <c r="X500" s="8">
        <v>13.694000000000001</v>
      </c>
      <c r="Y500" s="8">
        <v>5.2450000000000001</v>
      </c>
      <c r="Z500" s="8">
        <v>1.3779999999999999</v>
      </c>
      <c r="AA500" s="8">
        <v>0.2</v>
      </c>
      <c r="AB500" s="8">
        <v>2.1000000000000001E-2</v>
      </c>
      <c r="AC500" s="8">
        <v>1E-3</v>
      </c>
    </row>
    <row r="501" spans="1:29" ht="11.65" hidden="1" x14ac:dyDescent="0.35">
      <c r="A501" s="12">
        <v>484</v>
      </c>
      <c r="B501" s="10" t="s">
        <v>1015</v>
      </c>
      <c r="C501" s="11" t="s">
        <v>1070</v>
      </c>
      <c r="D501" s="9"/>
      <c r="E501" s="9">
        <v>450</v>
      </c>
      <c r="F501" s="10" t="s">
        <v>1066</v>
      </c>
      <c r="G501" s="9">
        <v>910</v>
      </c>
      <c r="H501" s="9">
        <v>1965</v>
      </c>
      <c r="I501" s="8">
        <v>532.41700000000003</v>
      </c>
      <c r="J501" s="8">
        <v>419.05700000000002</v>
      </c>
      <c r="K501" s="8">
        <v>346.06599999999997</v>
      </c>
      <c r="L501" s="8">
        <v>257.416</v>
      </c>
      <c r="M501" s="8">
        <v>221.24700000000001</v>
      </c>
      <c r="N501" s="8">
        <v>201.22900000000001</v>
      </c>
      <c r="O501" s="8">
        <v>178.03200000000001</v>
      </c>
      <c r="P501" s="8">
        <v>144.352</v>
      </c>
      <c r="Q501" s="8">
        <v>115.739</v>
      </c>
      <c r="R501" s="8">
        <v>86.97</v>
      </c>
      <c r="S501" s="8">
        <v>82.45</v>
      </c>
      <c r="T501" s="8">
        <v>89.84</v>
      </c>
      <c r="U501" s="8">
        <v>70.162000000000006</v>
      </c>
      <c r="V501" s="8">
        <v>48.725999999999999</v>
      </c>
      <c r="W501" s="8">
        <v>30.818000000000001</v>
      </c>
      <c r="X501" s="8">
        <v>15.885</v>
      </c>
      <c r="Y501" s="8">
        <v>6.2450000000000001</v>
      </c>
      <c r="Z501" s="8">
        <v>1.665</v>
      </c>
      <c r="AA501" s="8">
        <v>0.27500000000000002</v>
      </c>
      <c r="AB501" s="8">
        <v>2.3E-2</v>
      </c>
      <c r="AC501" s="8">
        <v>1E-3</v>
      </c>
    </row>
    <row r="502" spans="1:29" ht="11.65" hidden="1" x14ac:dyDescent="0.35">
      <c r="A502" s="12">
        <v>485</v>
      </c>
      <c r="B502" s="10" t="s">
        <v>1015</v>
      </c>
      <c r="C502" s="11" t="s">
        <v>1070</v>
      </c>
      <c r="D502" s="9"/>
      <c r="E502" s="9">
        <v>450</v>
      </c>
      <c r="F502" s="10" t="s">
        <v>1066</v>
      </c>
      <c r="G502" s="9">
        <v>910</v>
      </c>
      <c r="H502" s="9">
        <v>1970</v>
      </c>
      <c r="I502" s="8">
        <v>611.21600000000001</v>
      </c>
      <c r="J502" s="8">
        <v>481.69799999999998</v>
      </c>
      <c r="K502" s="8">
        <v>402.291</v>
      </c>
      <c r="L502" s="8">
        <v>339.06099999999998</v>
      </c>
      <c r="M502" s="8">
        <v>249.98599999999999</v>
      </c>
      <c r="N502" s="8">
        <v>213.15199999999999</v>
      </c>
      <c r="O502" s="8">
        <v>192.744</v>
      </c>
      <c r="P502" s="8">
        <v>169.55</v>
      </c>
      <c r="Q502" s="8">
        <v>136.74</v>
      </c>
      <c r="R502" s="8">
        <v>108.76</v>
      </c>
      <c r="S502" s="8">
        <v>80.337999999999994</v>
      </c>
      <c r="T502" s="8">
        <v>74.316000000000003</v>
      </c>
      <c r="U502" s="8">
        <v>78.162999999999997</v>
      </c>
      <c r="V502" s="8">
        <v>57.113999999999997</v>
      </c>
      <c r="W502" s="8">
        <v>35.344999999999999</v>
      </c>
      <c r="X502" s="8">
        <v>18.719000000000001</v>
      </c>
      <c r="Y502" s="8">
        <v>7.452</v>
      </c>
      <c r="Z502" s="8">
        <v>2.0529999999999999</v>
      </c>
      <c r="AA502" s="8">
        <v>0.34699999999999998</v>
      </c>
      <c r="AB502" s="8">
        <v>3.3000000000000002E-2</v>
      </c>
      <c r="AC502" s="8">
        <v>2E-3</v>
      </c>
    </row>
    <row r="503" spans="1:29" ht="11.65" hidden="1" x14ac:dyDescent="0.35">
      <c r="A503" s="12">
        <v>486</v>
      </c>
      <c r="B503" s="10" t="s">
        <v>1015</v>
      </c>
      <c r="C503" s="11" t="s">
        <v>1070</v>
      </c>
      <c r="D503" s="9"/>
      <c r="E503" s="9">
        <v>450</v>
      </c>
      <c r="F503" s="10" t="s">
        <v>1066</v>
      </c>
      <c r="G503" s="9">
        <v>910</v>
      </c>
      <c r="H503" s="9">
        <v>1975</v>
      </c>
      <c r="I503" s="8">
        <v>710.08299999999997</v>
      </c>
      <c r="J503" s="8">
        <v>559.24</v>
      </c>
      <c r="K503" s="8">
        <v>464.77199999999999</v>
      </c>
      <c r="L503" s="8">
        <v>395.01100000000002</v>
      </c>
      <c r="M503" s="8">
        <v>329.77300000000002</v>
      </c>
      <c r="N503" s="8">
        <v>240.86600000000001</v>
      </c>
      <c r="O503" s="8">
        <v>204.27</v>
      </c>
      <c r="P503" s="8">
        <v>183.93899999999999</v>
      </c>
      <c r="Q503" s="8">
        <v>161.166</v>
      </c>
      <c r="R503" s="8">
        <v>128.93600000000001</v>
      </c>
      <c r="S503" s="8">
        <v>100.684</v>
      </c>
      <c r="T503" s="8">
        <v>72.581999999999994</v>
      </c>
      <c r="U503" s="8">
        <v>65.084000000000003</v>
      </c>
      <c r="V503" s="8">
        <v>64.352000000000004</v>
      </c>
      <c r="W503" s="8">
        <v>42.082999999999998</v>
      </c>
      <c r="X503" s="8">
        <v>21.949000000000002</v>
      </c>
      <c r="Y503" s="8">
        <v>9.0449999999999999</v>
      </c>
      <c r="Z503" s="8">
        <v>2.5430000000000001</v>
      </c>
      <c r="AA503" s="8">
        <v>0.44600000000000001</v>
      </c>
      <c r="AB503" s="8">
        <v>4.4999999999999998E-2</v>
      </c>
      <c r="AC503" s="8">
        <v>2E-3</v>
      </c>
    </row>
    <row r="504" spans="1:29" ht="11.65" hidden="1" x14ac:dyDescent="0.35">
      <c r="A504" s="12">
        <v>487</v>
      </c>
      <c r="B504" s="10" t="s">
        <v>1015</v>
      </c>
      <c r="C504" s="11" t="s">
        <v>1070</v>
      </c>
      <c r="D504" s="9"/>
      <c r="E504" s="9">
        <v>450</v>
      </c>
      <c r="F504" s="10" t="s">
        <v>1066</v>
      </c>
      <c r="G504" s="9">
        <v>910</v>
      </c>
      <c r="H504" s="9">
        <v>1980</v>
      </c>
      <c r="I504" s="8">
        <v>815.601</v>
      </c>
      <c r="J504" s="8">
        <v>654.745</v>
      </c>
      <c r="K504" s="8">
        <v>541.12699999999995</v>
      </c>
      <c r="L504" s="8">
        <v>456.53300000000002</v>
      </c>
      <c r="M504" s="8">
        <v>384.62900000000002</v>
      </c>
      <c r="N504" s="8">
        <v>318.73099999999999</v>
      </c>
      <c r="O504" s="8">
        <v>231.46799999999999</v>
      </c>
      <c r="P504" s="8">
        <v>195.70500000000001</v>
      </c>
      <c r="Q504" s="8">
        <v>175.42400000000001</v>
      </c>
      <c r="R504" s="8">
        <v>152.27199999999999</v>
      </c>
      <c r="S504" s="8">
        <v>120.06699999999999</v>
      </c>
      <c r="T504" s="8">
        <v>91.843999999999994</v>
      </c>
      <c r="U504" s="8">
        <v>64.019000000000005</v>
      </c>
      <c r="V504" s="8">
        <v>53.987000000000002</v>
      </c>
      <c r="W504" s="8">
        <v>48.067</v>
      </c>
      <c r="X504" s="8">
        <v>26.715</v>
      </c>
      <c r="Y504" s="8">
        <v>10.972</v>
      </c>
      <c r="Z504" s="8">
        <v>3.2410000000000001</v>
      </c>
      <c r="AA504" s="8">
        <v>0.58799999999999997</v>
      </c>
      <c r="AB504" s="8">
        <v>6.0999999999999999E-2</v>
      </c>
      <c r="AC504" s="8">
        <v>3.0000000000000001E-3</v>
      </c>
    </row>
    <row r="505" spans="1:29" ht="11.65" hidden="1" x14ac:dyDescent="0.35">
      <c r="A505" s="12">
        <v>488</v>
      </c>
      <c r="B505" s="10" t="s">
        <v>1015</v>
      </c>
      <c r="C505" s="11" t="s">
        <v>1070</v>
      </c>
      <c r="D505" s="9"/>
      <c r="E505" s="9">
        <v>450</v>
      </c>
      <c r="F505" s="10" t="s">
        <v>1066</v>
      </c>
      <c r="G505" s="9">
        <v>910</v>
      </c>
      <c r="H505" s="9">
        <v>1985</v>
      </c>
      <c r="I505" s="8">
        <v>917.976</v>
      </c>
      <c r="J505" s="8">
        <v>759</v>
      </c>
      <c r="K505" s="8">
        <v>634.53800000000001</v>
      </c>
      <c r="L505" s="8">
        <v>530.48599999999999</v>
      </c>
      <c r="M505" s="8">
        <v>444.846</v>
      </c>
      <c r="N505" s="8">
        <v>372.76900000000001</v>
      </c>
      <c r="O505" s="8">
        <v>307.52699999999999</v>
      </c>
      <c r="P505" s="8">
        <v>222.255</v>
      </c>
      <c r="Q505" s="8">
        <v>187.07599999999999</v>
      </c>
      <c r="R505" s="8">
        <v>166.898</v>
      </c>
      <c r="S505" s="8">
        <v>143.60900000000001</v>
      </c>
      <c r="T505" s="8">
        <v>111.258</v>
      </c>
      <c r="U505" s="8">
        <v>82.415000000000006</v>
      </c>
      <c r="V505" s="8">
        <v>54.323999999999998</v>
      </c>
      <c r="W505" s="8">
        <v>41.814999999999998</v>
      </c>
      <c r="X505" s="8">
        <v>32.213000000000001</v>
      </c>
      <c r="Y505" s="8">
        <v>14.423999999999999</v>
      </c>
      <c r="Z505" s="8">
        <v>4.3609999999999998</v>
      </c>
      <c r="AA505" s="8">
        <v>0.85799999999999998</v>
      </c>
      <c r="AB505" s="8">
        <v>9.4E-2</v>
      </c>
      <c r="AC505" s="8">
        <v>6.0000000000000001E-3</v>
      </c>
    </row>
    <row r="506" spans="1:29" ht="11.65" hidden="1" x14ac:dyDescent="0.35">
      <c r="A506" s="12">
        <v>489</v>
      </c>
      <c r="B506" s="10" t="s">
        <v>1015</v>
      </c>
      <c r="C506" s="11" t="s">
        <v>1070</v>
      </c>
      <c r="D506" s="9"/>
      <c r="E506" s="9">
        <v>450</v>
      </c>
      <c r="F506" s="10" t="s">
        <v>1066</v>
      </c>
      <c r="G506" s="9">
        <v>910</v>
      </c>
      <c r="H506" s="9">
        <v>1990</v>
      </c>
      <c r="I506" s="8">
        <v>1043.5989999999999</v>
      </c>
      <c r="J506" s="8">
        <v>855.39099999999996</v>
      </c>
      <c r="K506" s="8">
        <v>735.99599999999998</v>
      </c>
      <c r="L506" s="8">
        <v>622.28599999999994</v>
      </c>
      <c r="M506" s="8">
        <v>517.19299999999998</v>
      </c>
      <c r="N506" s="8">
        <v>431.43599999999998</v>
      </c>
      <c r="O506" s="8">
        <v>359.95100000000002</v>
      </c>
      <c r="P506" s="8">
        <v>295.60700000000003</v>
      </c>
      <c r="Q506" s="8">
        <v>212.613</v>
      </c>
      <c r="R506" s="8">
        <v>178.084</v>
      </c>
      <c r="S506" s="8">
        <v>157.499</v>
      </c>
      <c r="T506" s="8">
        <v>133.17099999999999</v>
      </c>
      <c r="U506" s="8">
        <v>99.933000000000007</v>
      </c>
      <c r="V506" s="8">
        <v>70.025999999999996</v>
      </c>
      <c r="W506" s="8">
        <v>42.140999999999998</v>
      </c>
      <c r="X506" s="8">
        <v>28.082000000000001</v>
      </c>
      <c r="Y506" s="8">
        <v>17.448</v>
      </c>
      <c r="Z506" s="8">
        <v>5.7549999999999999</v>
      </c>
      <c r="AA506" s="8">
        <v>1.159</v>
      </c>
      <c r="AB506" s="8">
        <v>0.13800000000000001</v>
      </c>
      <c r="AC506" s="8">
        <v>8.9999999999999993E-3</v>
      </c>
    </row>
    <row r="507" spans="1:29" ht="11.65" hidden="1" x14ac:dyDescent="0.35">
      <c r="A507" s="12">
        <v>490</v>
      </c>
      <c r="B507" s="10" t="s">
        <v>1015</v>
      </c>
      <c r="C507" s="11" t="s">
        <v>1070</v>
      </c>
      <c r="D507" s="9"/>
      <c r="E507" s="9">
        <v>450</v>
      </c>
      <c r="F507" s="10" t="s">
        <v>1066</v>
      </c>
      <c r="G507" s="9">
        <v>910</v>
      </c>
      <c r="H507" s="9">
        <v>1995</v>
      </c>
      <c r="I507" s="8">
        <v>1216.8389999999999</v>
      </c>
      <c r="J507" s="8">
        <v>985.38400000000001</v>
      </c>
      <c r="K507" s="8">
        <v>834.36199999999997</v>
      </c>
      <c r="L507" s="8">
        <v>723.94600000000003</v>
      </c>
      <c r="M507" s="8">
        <v>608.92499999999995</v>
      </c>
      <c r="N507" s="8">
        <v>503.75099999999998</v>
      </c>
      <c r="O507" s="8">
        <v>418.65199999999999</v>
      </c>
      <c r="P507" s="8">
        <v>347.92500000000001</v>
      </c>
      <c r="Q507" s="8">
        <v>284.46899999999999</v>
      </c>
      <c r="R507" s="8">
        <v>203.529</v>
      </c>
      <c r="S507" s="8">
        <v>169.011</v>
      </c>
      <c r="T507" s="8">
        <v>147.05799999999999</v>
      </c>
      <c r="U507" s="8">
        <v>120.72799999999999</v>
      </c>
      <c r="V507" s="8">
        <v>86.001999999999995</v>
      </c>
      <c r="W507" s="8">
        <v>55.308</v>
      </c>
      <c r="X507" s="8">
        <v>29.001999999999999</v>
      </c>
      <c r="Y507" s="8">
        <v>15.701000000000001</v>
      </c>
      <c r="Z507" s="8">
        <v>7.2389999999999999</v>
      </c>
      <c r="AA507" s="8">
        <v>1.597</v>
      </c>
      <c r="AB507" s="8">
        <v>0.19400000000000001</v>
      </c>
      <c r="AC507" s="8">
        <v>1.2999999999999999E-2</v>
      </c>
    </row>
    <row r="508" spans="1:29" ht="11.65" hidden="1" x14ac:dyDescent="0.35">
      <c r="A508" s="12">
        <v>491</v>
      </c>
      <c r="B508" s="10" t="s">
        <v>1015</v>
      </c>
      <c r="C508" s="11" t="s">
        <v>1070</v>
      </c>
      <c r="D508" s="9"/>
      <c r="E508" s="9">
        <v>450</v>
      </c>
      <c r="F508" s="10" t="s">
        <v>1066</v>
      </c>
      <c r="G508" s="9">
        <v>910</v>
      </c>
      <c r="H508" s="9">
        <v>2000</v>
      </c>
      <c r="I508" s="8">
        <v>1417.2570000000001</v>
      </c>
      <c r="J508" s="8">
        <v>1169.9639999999999</v>
      </c>
      <c r="K508" s="8">
        <v>968.25300000000004</v>
      </c>
      <c r="L508" s="8">
        <v>823.69</v>
      </c>
      <c r="M508" s="8">
        <v>712.02499999999998</v>
      </c>
      <c r="N508" s="8">
        <v>597.18299999999999</v>
      </c>
      <c r="O508" s="8">
        <v>492.58199999999999</v>
      </c>
      <c r="P508" s="8">
        <v>408.09699999999998</v>
      </c>
      <c r="Q508" s="8">
        <v>336.79599999999999</v>
      </c>
      <c r="R508" s="8">
        <v>272.30599999999998</v>
      </c>
      <c r="S508" s="8">
        <v>192.86500000000001</v>
      </c>
      <c r="T508" s="8">
        <v>157.709</v>
      </c>
      <c r="U508" s="8">
        <v>132.995</v>
      </c>
      <c r="V508" s="8">
        <v>103.43</v>
      </c>
      <c r="W508" s="8">
        <v>67.5</v>
      </c>
      <c r="X508" s="8">
        <v>38.020000000000003</v>
      </c>
      <c r="Y508" s="8">
        <v>16.413</v>
      </c>
      <c r="Z508" s="8">
        <v>6.7539999999999996</v>
      </c>
      <c r="AA508" s="8">
        <v>2.1589999999999998</v>
      </c>
      <c r="AB508" s="8">
        <v>0.30099999999999999</v>
      </c>
      <c r="AC508" s="8">
        <v>2.1999999999999999E-2</v>
      </c>
    </row>
    <row r="509" spans="1:29" ht="11.65" hidden="1" x14ac:dyDescent="0.35">
      <c r="A509" s="12">
        <v>492</v>
      </c>
      <c r="B509" s="10" t="s">
        <v>1015</v>
      </c>
      <c r="C509" s="11" t="s">
        <v>1070</v>
      </c>
      <c r="D509" s="9"/>
      <c r="E509" s="9">
        <v>450</v>
      </c>
      <c r="F509" s="10" t="s">
        <v>1066</v>
      </c>
      <c r="G509" s="9">
        <v>910</v>
      </c>
      <c r="H509" s="9">
        <v>2005</v>
      </c>
      <c r="I509" s="8">
        <v>1555.9949999999999</v>
      </c>
      <c r="J509" s="8">
        <v>1379.8889999999999</v>
      </c>
      <c r="K509" s="8">
        <v>1154.8399999999999</v>
      </c>
      <c r="L509" s="8">
        <v>956.52300000000002</v>
      </c>
      <c r="M509" s="8">
        <v>810.47299999999996</v>
      </c>
      <c r="N509" s="8">
        <v>699.05200000000002</v>
      </c>
      <c r="O509" s="8">
        <v>584.39800000000002</v>
      </c>
      <c r="P509" s="8">
        <v>479.685</v>
      </c>
      <c r="Q509" s="8">
        <v>395.71800000000002</v>
      </c>
      <c r="R509" s="8">
        <v>324.98</v>
      </c>
      <c r="S509" s="8">
        <v>260.63600000000002</v>
      </c>
      <c r="T509" s="8">
        <v>181.94300000000001</v>
      </c>
      <c r="U509" s="8">
        <v>144.857</v>
      </c>
      <c r="V509" s="8">
        <v>115.997</v>
      </c>
      <c r="W509" s="8">
        <v>82.468999999999994</v>
      </c>
      <c r="X509" s="8">
        <v>47.207999999999998</v>
      </c>
      <c r="Y509" s="8">
        <v>21.917999999999999</v>
      </c>
      <c r="Z509" s="8">
        <v>7.1749999999999998</v>
      </c>
      <c r="AA509" s="8">
        <v>2.032</v>
      </c>
      <c r="AB509" s="8">
        <v>0.40699999999999997</v>
      </c>
      <c r="AC509" s="8">
        <v>3.4000000000000002E-2</v>
      </c>
    </row>
    <row r="510" spans="1:29" ht="11.65" hidden="1" x14ac:dyDescent="0.35">
      <c r="A510" s="12">
        <v>493</v>
      </c>
      <c r="B510" s="10" t="s">
        <v>1015</v>
      </c>
      <c r="C510" s="11" t="s">
        <v>1070</v>
      </c>
      <c r="D510" s="9"/>
      <c r="E510" s="9">
        <v>450</v>
      </c>
      <c r="F510" s="10" t="s">
        <v>1066</v>
      </c>
      <c r="G510" s="9">
        <v>910</v>
      </c>
      <c r="H510" s="9">
        <v>2010</v>
      </c>
      <c r="I510" s="8">
        <v>1689.5719999999999</v>
      </c>
      <c r="J510" s="8">
        <v>1526.2840000000001</v>
      </c>
      <c r="K510" s="8">
        <v>1365.9459999999999</v>
      </c>
      <c r="L510" s="8">
        <v>1141.7170000000001</v>
      </c>
      <c r="M510" s="8">
        <v>941.84199999999998</v>
      </c>
      <c r="N510" s="8">
        <v>796.46799999999996</v>
      </c>
      <c r="O510" s="8">
        <v>685.20799999999997</v>
      </c>
      <c r="P510" s="8">
        <v>570.53800000000001</v>
      </c>
      <c r="Q510" s="8">
        <v>466.53</v>
      </c>
      <c r="R510" s="8">
        <v>383.04300000000001</v>
      </c>
      <c r="S510" s="8">
        <v>312.14800000000002</v>
      </c>
      <c r="T510" s="8">
        <v>247.011</v>
      </c>
      <c r="U510" s="8">
        <v>168.24700000000001</v>
      </c>
      <c r="V510" s="8">
        <v>127.554</v>
      </c>
      <c r="W510" s="8">
        <v>93.688999999999993</v>
      </c>
      <c r="X510" s="8">
        <v>58.807000000000002</v>
      </c>
      <c r="Y510" s="8">
        <v>28.013999999999999</v>
      </c>
      <c r="Z510" s="8">
        <v>9.9870000000000001</v>
      </c>
      <c r="AA510" s="8">
        <v>2.2810000000000001</v>
      </c>
      <c r="AB510" s="8">
        <v>0.41</v>
      </c>
      <c r="AC510" s="8">
        <v>4.9000000000000002E-2</v>
      </c>
    </row>
    <row r="511" spans="1:29" ht="11.65" hidden="1" x14ac:dyDescent="0.35">
      <c r="A511" s="12">
        <v>494</v>
      </c>
      <c r="B511" s="10" t="s">
        <v>1015</v>
      </c>
      <c r="C511" s="11" t="s">
        <v>1070</v>
      </c>
      <c r="D511" s="9"/>
      <c r="E511" s="9">
        <v>450</v>
      </c>
      <c r="F511" s="10" t="s">
        <v>1066</v>
      </c>
      <c r="G511" s="9">
        <v>910</v>
      </c>
      <c r="H511" s="9">
        <v>2015</v>
      </c>
      <c r="I511" s="8">
        <v>1827.7370000000001</v>
      </c>
      <c r="J511" s="8">
        <v>1665.787</v>
      </c>
      <c r="K511" s="8">
        <v>1513.5540000000001</v>
      </c>
      <c r="L511" s="8">
        <v>1353.9259999999999</v>
      </c>
      <c r="M511" s="8">
        <v>1127.951</v>
      </c>
      <c r="N511" s="8">
        <v>928.87599999999998</v>
      </c>
      <c r="O511" s="8">
        <v>783.65899999999999</v>
      </c>
      <c r="P511" s="8">
        <v>671.67899999999997</v>
      </c>
      <c r="Q511" s="8">
        <v>557.13499999999999</v>
      </c>
      <c r="R511" s="8">
        <v>453.35899999999998</v>
      </c>
      <c r="S511" s="8">
        <v>369.36500000000001</v>
      </c>
      <c r="T511" s="8">
        <v>297.06599999999997</v>
      </c>
      <c r="U511" s="8">
        <v>229.54</v>
      </c>
      <c r="V511" s="8">
        <v>149.04900000000001</v>
      </c>
      <c r="W511" s="8">
        <v>103.962</v>
      </c>
      <c r="X511" s="8">
        <v>67.522999999999996</v>
      </c>
      <c r="Y511" s="8">
        <v>35.384999999999998</v>
      </c>
      <c r="Z511" s="8">
        <v>12.981999999999999</v>
      </c>
      <c r="AA511" s="8">
        <v>3.2330000000000001</v>
      </c>
      <c r="AB511" s="8">
        <v>0.46700000000000003</v>
      </c>
      <c r="AC511" s="8">
        <v>5.3999999999999999E-2</v>
      </c>
    </row>
    <row r="512" spans="1:29" ht="11.65" hidden="1" x14ac:dyDescent="0.35">
      <c r="A512" s="12">
        <v>495</v>
      </c>
      <c r="B512" s="10" t="s">
        <v>1015</v>
      </c>
      <c r="C512" s="11" t="s">
        <v>1070</v>
      </c>
      <c r="D512" s="9"/>
      <c r="E512" s="9">
        <v>450</v>
      </c>
      <c r="F512" s="10" t="s">
        <v>1066</v>
      </c>
      <c r="G512" s="9">
        <v>910</v>
      </c>
      <c r="H512" s="9">
        <v>2020</v>
      </c>
      <c r="I512" s="8">
        <v>2030.874</v>
      </c>
      <c r="J512" s="8">
        <v>1808.0889999999999</v>
      </c>
      <c r="K512" s="8">
        <v>1654.9690000000001</v>
      </c>
      <c r="L512" s="8">
        <v>1503.0509999999999</v>
      </c>
      <c r="M512" s="8">
        <v>1340.8920000000001</v>
      </c>
      <c r="N512" s="8">
        <v>1115.386</v>
      </c>
      <c r="O512" s="8">
        <v>916.56399999999996</v>
      </c>
      <c r="P512" s="8">
        <v>770.64599999999996</v>
      </c>
      <c r="Q512" s="8">
        <v>658.09</v>
      </c>
      <c r="R512" s="8">
        <v>543.23299999999995</v>
      </c>
      <c r="S512" s="8">
        <v>438.69</v>
      </c>
      <c r="T512" s="8">
        <v>352.84</v>
      </c>
      <c r="U512" s="8">
        <v>277.27</v>
      </c>
      <c r="V512" s="8">
        <v>204.536</v>
      </c>
      <c r="W512" s="8">
        <v>122.474</v>
      </c>
      <c r="X512" s="8">
        <v>75.763999999999996</v>
      </c>
      <c r="Y512" s="8">
        <v>41.244999999999997</v>
      </c>
      <c r="Z512" s="8">
        <v>16.728000000000002</v>
      </c>
      <c r="AA512" s="8">
        <v>4.3129999999999997</v>
      </c>
      <c r="AB512" s="8">
        <v>0.68200000000000005</v>
      </c>
      <c r="AC512" s="8">
        <v>6.4000000000000001E-2</v>
      </c>
    </row>
    <row r="513" spans="1:29" ht="11.65" hidden="1" x14ac:dyDescent="0.35">
      <c r="A513" s="12">
        <v>496</v>
      </c>
      <c r="B513" s="10" t="s">
        <v>1015</v>
      </c>
      <c r="C513" s="11" t="s">
        <v>879</v>
      </c>
      <c r="D513" s="9"/>
      <c r="E513" s="9">
        <v>454</v>
      </c>
      <c r="F513" s="10" t="s">
        <v>1066</v>
      </c>
      <c r="G513" s="9">
        <v>910</v>
      </c>
      <c r="H513" s="9">
        <v>1950</v>
      </c>
      <c r="I513" s="8">
        <v>292.62299999999999</v>
      </c>
      <c r="J513" s="8">
        <v>219.80199999999999</v>
      </c>
      <c r="K513" s="8">
        <v>182.928</v>
      </c>
      <c r="L513" s="8">
        <v>154.08799999999999</v>
      </c>
      <c r="M513" s="8">
        <v>131.119</v>
      </c>
      <c r="N513" s="8">
        <v>110.828</v>
      </c>
      <c r="O513" s="8">
        <v>100.21899999999999</v>
      </c>
      <c r="P513" s="8">
        <v>76.322999999999993</v>
      </c>
      <c r="Q513" s="8">
        <v>55.517000000000003</v>
      </c>
      <c r="R513" s="8">
        <v>52.426000000000002</v>
      </c>
      <c r="S513" s="8">
        <v>43.156999999999996</v>
      </c>
      <c r="T513" s="8">
        <v>36.874000000000002</v>
      </c>
      <c r="U513" s="8">
        <v>29.870999999999999</v>
      </c>
      <c r="V513" s="8">
        <v>22.969000000000001</v>
      </c>
      <c r="W513" s="8">
        <v>15.037000000000001</v>
      </c>
      <c r="X513" s="8">
        <v>8.1359999999999992</v>
      </c>
      <c r="Y513" s="8">
        <v>3.1970000000000001</v>
      </c>
      <c r="Z513" s="8">
        <v>0.72599999999999998</v>
      </c>
      <c r="AA513" s="8">
        <v>9.1999999999999998E-2</v>
      </c>
      <c r="AB513" s="8">
        <v>6.0000000000000001E-3</v>
      </c>
      <c r="AC513" s="8">
        <v>1E-3</v>
      </c>
    </row>
    <row r="514" spans="1:29" ht="11.65" hidden="1" x14ac:dyDescent="0.35">
      <c r="A514" s="12">
        <v>497</v>
      </c>
      <c r="B514" s="10" t="s">
        <v>1015</v>
      </c>
      <c r="C514" s="11" t="s">
        <v>879</v>
      </c>
      <c r="D514" s="9"/>
      <c r="E514" s="9">
        <v>454</v>
      </c>
      <c r="F514" s="10" t="s">
        <v>1066</v>
      </c>
      <c r="G514" s="9">
        <v>910</v>
      </c>
      <c r="H514" s="9">
        <v>1955</v>
      </c>
      <c r="I514" s="8">
        <v>288.70100000000002</v>
      </c>
      <c r="J514" s="8">
        <v>243.27500000000001</v>
      </c>
      <c r="K514" s="8">
        <v>203.32400000000001</v>
      </c>
      <c r="L514" s="8">
        <v>173.63300000000001</v>
      </c>
      <c r="M514" s="8">
        <v>146.822</v>
      </c>
      <c r="N514" s="8">
        <v>125.105</v>
      </c>
      <c r="O514" s="8">
        <v>105.607</v>
      </c>
      <c r="P514" s="8">
        <v>95.236000000000004</v>
      </c>
      <c r="Q514" s="8">
        <v>72.212999999999994</v>
      </c>
      <c r="R514" s="8">
        <v>52.308999999999997</v>
      </c>
      <c r="S514" s="8">
        <v>48.926000000000002</v>
      </c>
      <c r="T514" s="8">
        <v>39.44</v>
      </c>
      <c r="U514" s="8">
        <v>32.451000000000001</v>
      </c>
      <c r="V514" s="8">
        <v>24.629000000000001</v>
      </c>
      <c r="W514" s="8">
        <v>17.091000000000001</v>
      </c>
      <c r="X514" s="8">
        <v>9.5730000000000004</v>
      </c>
      <c r="Y514" s="8">
        <v>4.0819999999999999</v>
      </c>
      <c r="Z514" s="8">
        <v>1.123</v>
      </c>
      <c r="AA514" s="8">
        <v>0.155</v>
      </c>
      <c r="AB514" s="8">
        <v>1.0999999999999999E-2</v>
      </c>
      <c r="AC514" s="8">
        <v>1E-3</v>
      </c>
    </row>
    <row r="515" spans="1:29" ht="11.65" hidden="1" x14ac:dyDescent="0.35">
      <c r="A515" s="12">
        <v>498</v>
      </c>
      <c r="B515" s="10" t="s">
        <v>1015</v>
      </c>
      <c r="C515" s="11" t="s">
        <v>879</v>
      </c>
      <c r="D515" s="9"/>
      <c r="E515" s="9">
        <v>454</v>
      </c>
      <c r="F515" s="10" t="s">
        <v>1066</v>
      </c>
      <c r="G515" s="9">
        <v>910</v>
      </c>
      <c r="H515" s="9">
        <v>1960</v>
      </c>
      <c r="I515" s="8">
        <v>331.04500000000002</v>
      </c>
      <c r="J515" s="8">
        <v>242.76300000000001</v>
      </c>
      <c r="K515" s="8">
        <v>226.48400000000001</v>
      </c>
      <c r="L515" s="8">
        <v>193.72399999999999</v>
      </c>
      <c r="M515" s="8">
        <v>165.916</v>
      </c>
      <c r="N515" s="8">
        <v>140.41999999999999</v>
      </c>
      <c r="O515" s="8">
        <v>119.477</v>
      </c>
      <c r="P515" s="8">
        <v>100.575</v>
      </c>
      <c r="Q515" s="8">
        <v>90.292000000000002</v>
      </c>
      <c r="R515" s="8">
        <v>68.168000000000006</v>
      </c>
      <c r="S515" s="8">
        <v>48.908000000000001</v>
      </c>
      <c r="T515" s="8">
        <v>44.805999999999997</v>
      </c>
      <c r="U515" s="8">
        <v>34.801000000000002</v>
      </c>
      <c r="V515" s="8">
        <v>26.841999999999999</v>
      </c>
      <c r="W515" s="8">
        <v>18.388000000000002</v>
      </c>
      <c r="X515" s="8">
        <v>10.909000000000001</v>
      </c>
      <c r="Y515" s="8">
        <v>4.8029999999999999</v>
      </c>
      <c r="Z515" s="8">
        <v>1.4239999999999999</v>
      </c>
      <c r="AA515" s="8">
        <v>0.23599999999999999</v>
      </c>
      <c r="AB515" s="8">
        <v>1.7999999999999999E-2</v>
      </c>
      <c r="AC515" s="8">
        <v>1E-3</v>
      </c>
    </row>
    <row r="516" spans="1:29" ht="11.65" hidden="1" x14ac:dyDescent="0.35">
      <c r="A516" s="12">
        <v>499</v>
      </c>
      <c r="B516" s="10" t="s">
        <v>1015</v>
      </c>
      <c r="C516" s="11" t="s">
        <v>879</v>
      </c>
      <c r="D516" s="9"/>
      <c r="E516" s="9">
        <v>454</v>
      </c>
      <c r="F516" s="10" t="s">
        <v>1066</v>
      </c>
      <c r="G516" s="9">
        <v>910</v>
      </c>
      <c r="H516" s="9">
        <v>1965</v>
      </c>
      <c r="I516" s="8">
        <v>382.72</v>
      </c>
      <c r="J516" s="8">
        <v>282.16300000000001</v>
      </c>
      <c r="K516" s="8">
        <v>227.66</v>
      </c>
      <c r="L516" s="8">
        <v>216.732</v>
      </c>
      <c r="M516" s="8">
        <v>185.73099999999999</v>
      </c>
      <c r="N516" s="8">
        <v>159.125</v>
      </c>
      <c r="O516" s="8">
        <v>134.45699999999999</v>
      </c>
      <c r="P516" s="8">
        <v>114.074</v>
      </c>
      <c r="Q516" s="8">
        <v>95.587000000000003</v>
      </c>
      <c r="R516" s="8">
        <v>85.429000000000002</v>
      </c>
      <c r="S516" s="8">
        <v>63.877000000000002</v>
      </c>
      <c r="T516" s="8">
        <v>44.901000000000003</v>
      </c>
      <c r="U516" s="8">
        <v>39.658000000000001</v>
      </c>
      <c r="V516" s="8">
        <v>28.891999999999999</v>
      </c>
      <c r="W516" s="8">
        <v>20.117000000000001</v>
      </c>
      <c r="X516" s="8">
        <v>11.77</v>
      </c>
      <c r="Y516" s="8">
        <v>5.4690000000000003</v>
      </c>
      <c r="Z516" s="8">
        <v>1.659</v>
      </c>
      <c r="AA516" s="8">
        <v>0.28999999999999998</v>
      </c>
      <c r="AB516" s="8">
        <v>2.5000000000000001E-2</v>
      </c>
      <c r="AC516" s="8">
        <v>1E-3</v>
      </c>
    </row>
    <row r="517" spans="1:29" ht="11.65" hidden="1" x14ac:dyDescent="0.35">
      <c r="A517" s="12">
        <v>500</v>
      </c>
      <c r="B517" s="10" t="s">
        <v>1015</v>
      </c>
      <c r="C517" s="11" t="s">
        <v>879</v>
      </c>
      <c r="D517" s="9"/>
      <c r="E517" s="9">
        <v>454</v>
      </c>
      <c r="F517" s="10" t="s">
        <v>1066</v>
      </c>
      <c r="G517" s="9">
        <v>910</v>
      </c>
      <c r="H517" s="9">
        <v>1970</v>
      </c>
      <c r="I517" s="8">
        <v>442.26900000000001</v>
      </c>
      <c r="J517" s="8">
        <v>329.83499999999998</v>
      </c>
      <c r="K517" s="8">
        <v>266.13299999999998</v>
      </c>
      <c r="L517" s="8">
        <v>218.613</v>
      </c>
      <c r="M517" s="8">
        <v>208.35300000000001</v>
      </c>
      <c r="N517" s="8">
        <v>178.53800000000001</v>
      </c>
      <c r="O517" s="8">
        <v>152.69800000000001</v>
      </c>
      <c r="P517" s="8">
        <v>128.65</v>
      </c>
      <c r="Q517" s="8">
        <v>108.642</v>
      </c>
      <c r="R517" s="8">
        <v>90.611000000000004</v>
      </c>
      <c r="S517" s="8">
        <v>80.200999999999993</v>
      </c>
      <c r="T517" s="8">
        <v>58.771000000000001</v>
      </c>
      <c r="U517" s="8">
        <v>39.851999999999997</v>
      </c>
      <c r="V517" s="8">
        <v>33.033999999999999</v>
      </c>
      <c r="W517" s="8">
        <v>21.728999999999999</v>
      </c>
      <c r="X517" s="8">
        <v>12.911</v>
      </c>
      <c r="Y517" s="8">
        <v>5.8979999999999997</v>
      </c>
      <c r="Z517" s="8">
        <v>1.8740000000000001</v>
      </c>
      <c r="AA517" s="8">
        <v>0.33</v>
      </c>
      <c r="AB517" s="8">
        <v>0.03</v>
      </c>
      <c r="AC517" s="8">
        <v>2E-3</v>
      </c>
    </row>
    <row r="518" spans="1:29" ht="11.65" hidden="1" x14ac:dyDescent="0.35">
      <c r="A518" s="12">
        <v>501</v>
      </c>
      <c r="B518" s="10" t="s">
        <v>1015</v>
      </c>
      <c r="C518" s="11" t="s">
        <v>879</v>
      </c>
      <c r="D518" s="9"/>
      <c r="E518" s="9">
        <v>454</v>
      </c>
      <c r="F518" s="10" t="s">
        <v>1066</v>
      </c>
      <c r="G518" s="9">
        <v>910</v>
      </c>
      <c r="H518" s="9">
        <v>1975</v>
      </c>
      <c r="I518" s="8">
        <v>510.35</v>
      </c>
      <c r="J518" s="8">
        <v>388.61399999999998</v>
      </c>
      <c r="K518" s="8">
        <v>314.05399999999997</v>
      </c>
      <c r="L518" s="8">
        <v>256.721</v>
      </c>
      <c r="M518" s="8">
        <v>210.27</v>
      </c>
      <c r="N518" s="8">
        <v>200.00899999999999</v>
      </c>
      <c r="O518" s="8">
        <v>171.096</v>
      </c>
      <c r="P518" s="8">
        <v>146.03800000000001</v>
      </c>
      <c r="Q518" s="8">
        <v>122.572</v>
      </c>
      <c r="R518" s="8">
        <v>103.09099999999999</v>
      </c>
      <c r="S518" s="8">
        <v>85.21</v>
      </c>
      <c r="T518" s="8">
        <v>74.046000000000006</v>
      </c>
      <c r="U518" s="8">
        <v>52.45</v>
      </c>
      <c r="V518" s="8">
        <v>33.418999999999997</v>
      </c>
      <c r="W518" s="8">
        <v>25.029</v>
      </c>
      <c r="X518" s="8">
        <v>14.038</v>
      </c>
      <c r="Y518" s="8">
        <v>6.48</v>
      </c>
      <c r="Z518" s="8">
        <v>1.996</v>
      </c>
      <c r="AA518" s="8">
        <v>0.35599999999999998</v>
      </c>
      <c r="AB518" s="8">
        <v>0.03</v>
      </c>
      <c r="AC518" s="8">
        <v>2E-3</v>
      </c>
    </row>
    <row r="519" spans="1:29" ht="11.65" hidden="1" x14ac:dyDescent="0.35">
      <c r="A519" s="12">
        <v>502</v>
      </c>
      <c r="B519" s="10" t="s">
        <v>1015</v>
      </c>
      <c r="C519" s="11" t="s">
        <v>879</v>
      </c>
      <c r="D519" s="9"/>
      <c r="E519" s="9">
        <v>454</v>
      </c>
      <c r="F519" s="10" t="s">
        <v>1066</v>
      </c>
      <c r="G519" s="9">
        <v>910</v>
      </c>
      <c r="H519" s="9">
        <v>1980</v>
      </c>
      <c r="I519" s="8">
        <v>596.76599999999996</v>
      </c>
      <c r="J519" s="8">
        <v>456.233</v>
      </c>
      <c r="K519" s="8">
        <v>373.16</v>
      </c>
      <c r="L519" s="8">
        <v>305.26799999999997</v>
      </c>
      <c r="M519" s="8">
        <v>249.86799999999999</v>
      </c>
      <c r="N519" s="8">
        <v>204.75800000000001</v>
      </c>
      <c r="O519" s="8">
        <v>194.251</v>
      </c>
      <c r="P519" s="8">
        <v>165.53899999999999</v>
      </c>
      <c r="Q519" s="8">
        <v>140.50800000000001</v>
      </c>
      <c r="R519" s="8">
        <v>117.26900000000001</v>
      </c>
      <c r="S519" s="8">
        <v>97.638999999999996</v>
      </c>
      <c r="T519" s="8">
        <v>79.117999999999995</v>
      </c>
      <c r="U519" s="8">
        <v>66.427000000000007</v>
      </c>
      <c r="V519" s="8">
        <v>44.277999999999999</v>
      </c>
      <c r="W519" s="8">
        <v>25.521000000000001</v>
      </c>
      <c r="X519" s="8">
        <v>16.300999999999998</v>
      </c>
      <c r="Y519" s="8">
        <v>7.0810000000000004</v>
      </c>
      <c r="Z519" s="8">
        <v>2.181</v>
      </c>
      <c r="AA519" s="8">
        <v>0.36699999999999999</v>
      </c>
      <c r="AB519" s="8">
        <v>0.03</v>
      </c>
      <c r="AC519" s="8">
        <v>2E-3</v>
      </c>
    </row>
    <row r="520" spans="1:29" ht="11.65" hidden="1" x14ac:dyDescent="0.35">
      <c r="A520" s="12">
        <v>503</v>
      </c>
      <c r="B520" s="10" t="s">
        <v>1015</v>
      </c>
      <c r="C520" s="11" t="s">
        <v>879</v>
      </c>
      <c r="D520" s="9"/>
      <c r="E520" s="9">
        <v>454</v>
      </c>
      <c r="F520" s="10" t="s">
        <v>1066</v>
      </c>
      <c r="G520" s="9">
        <v>910</v>
      </c>
      <c r="H520" s="9">
        <v>1985</v>
      </c>
      <c r="I520" s="8">
        <v>692.91499999999996</v>
      </c>
      <c r="J520" s="8">
        <v>540.93899999999996</v>
      </c>
      <c r="K520" s="8">
        <v>440.798</v>
      </c>
      <c r="L520" s="8">
        <v>363.79500000000002</v>
      </c>
      <c r="M520" s="8">
        <v>297.12700000000001</v>
      </c>
      <c r="N520" s="8">
        <v>242.779</v>
      </c>
      <c r="O520" s="8">
        <v>198.501</v>
      </c>
      <c r="P520" s="8">
        <v>187.732</v>
      </c>
      <c r="Q520" s="8">
        <v>159.221</v>
      </c>
      <c r="R520" s="8">
        <v>134.46899999999999</v>
      </c>
      <c r="S520" s="8">
        <v>111.179</v>
      </c>
      <c r="T520" s="8">
        <v>90.894999999999996</v>
      </c>
      <c r="U520" s="8">
        <v>71.308000000000007</v>
      </c>
      <c r="V520" s="8">
        <v>56.436</v>
      </c>
      <c r="W520" s="8">
        <v>34.091000000000001</v>
      </c>
      <c r="X520" s="8">
        <v>16.774999999999999</v>
      </c>
      <c r="Y520" s="8">
        <v>8.2829999999999995</v>
      </c>
      <c r="Z520" s="8">
        <v>2.3809999999999998</v>
      </c>
      <c r="AA520" s="8">
        <v>0.39100000000000001</v>
      </c>
      <c r="AB520" s="8">
        <v>0.03</v>
      </c>
      <c r="AC520" s="8">
        <v>2E-3</v>
      </c>
    </row>
    <row r="521" spans="1:29" ht="11.65" hidden="1" x14ac:dyDescent="0.35">
      <c r="A521" s="12">
        <v>504</v>
      </c>
      <c r="B521" s="10" t="s">
        <v>1015</v>
      </c>
      <c r="C521" s="11" t="s">
        <v>879</v>
      </c>
      <c r="D521" s="9"/>
      <c r="E521" s="9">
        <v>454</v>
      </c>
      <c r="F521" s="10" t="s">
        <v>1066</v>
      </c>
      <c r="G521" s="9">
        <v>910</v>
      </c>
      <c r="H521" s="9">
        <v>1990</v>
      </c>
      <c r="I521" s="8">
        <v>861.41399999999999</v>
      </c>
      <c r="J521" s="8">
        <v>666.81100000000004</v>
      </c>
      <c r="K521" s="8">
        <v>571.70899999999995</v>
      </c>
      <c r="L521" s="8">
        <v>479.87200000000001</v>
      </c>
      <c r="M521" s="8">
        <v>405.91800000000001</v>
      </c>
      <c r="N521" s="8">
        <v>347.06599999999997</v>
      </c>
      <c r="O521" s="8">
        <v>295.55399999999997</v>
      </c>
      <c r="P521" s="8">
        <v>242.012</v>
      </c>
      <c r="Q521" s="8">
        <v>216.11199999999999</v>
      </c>
      <c r="R521" s="8">
        <v>170.93199999999999</v>
      </c>
      <c r="S521" s="8">
        <v>133.74100000000001</v>
      </c>
      <c r="T521" s="8">
        <v>106.857</v>
      </c>
      <c r="U521" s="8">
        <v>85.933000000000007</v>
      </c>
      <c r="V521" s="8">
        <v>66.480999999999995</v>
      </c>
      <c r="W521" s="8">
        <v>49.807000000000002</v>
      </c>
      <c r="X521" s="8">
        <v>27.315000000000001</v>
      </c>
      <c r="Y521" s="8">
        <v>10.962</v>
      </c>
      <c r="Z521" s="8">
        <v>3.1619999999999999</v>
      </c>
      <c r="AA521" s="8">
        <v>0.42499999999999999</v>
      </c>
      <c r="AB521" s="8">
        <v>3.2000000000000001E-2</v>
      </c>
      <c r="AC521" s="8">
        <v>2E-3</v>
      </c>
    </row>
    <row r="522" spans="1:29" ht="11.65" hidden="1" x14ac:dyDescent="0.35">
      <c r="A522" s="12">
        <v>505</v>
      </c>
      <c r="B522" s="10" t="s">
        <v>1015</v>
      </c>
      <c r="C522" s="11" t="s">
        <v>879</v>
      </c>
      <c r="D522" s="9"/>
      <c r="E522" s="9">
        <v>454</v>
      </c>
      <c r="F522" s="10" t="s">
        <v>1066</v>
      </c>
      <c r="G522" s="9">
        <v>910</v>
      </c>
      <c r="H522" s="9">
        <v>1995</v>
      </c>
      <c r="I522" s="8">
        <v>887.20500000000004</v>
      </c>
      <c r="J522" s="8">
        <v>742.33799999999997</v>
      </c>
      <c r="K522" s="8">
        <v>591.14499999999998</v>
      </c>
      <c r="L522" s="8">
        <v>509.59100000000001</v>
      </c>
      <c r="M522" s="8">
        <v>432.87</v>
      </c>
      <c r="N522" s="8">
        <v>363.43299999999999</v>
      </c>
      <c r="O522" s="8">
        <v>296.733</v>
      </c>
      <c r="P522" s="8">
        <v>240.85400000000001</v>
      </c>
      <c r="Q522" s="8">
        <v>192.73500000000001</v>
      </c>
      <c r="R522" s="8">
        <v>174.858</v>
      </c>
      <c r="S522" s="8">
        <v>143.91900000000001</v>
      </c>
      <c r="T522" s="8">
        <v>115.578</v>
      </c>
      <c r="U522" s="8">
        <v>90.179000000000002</v>
      </c>
      <c r="V522" s="8">
        <v>70.715000000000003</v>
      </c>
      <c r="W522" s="8">
        <v>52.640999999999998</v>
      </c>
      <c r="X522" s="8">
        <v>35.85</v>
      </c>
      <c r="Y522" s="8">
        <v>16.184999999999999</v>
      </c>
      <c r="Z522" s="8">
        <v>4.1559999999999997</v>
      </c>
      <c r="AA522" s="8">
        <v>0.58099999999999996</v>
      </c>
      <c r="AB522" s="8">
        <v>3.7999999999999999E-2</v>
      </c>
      <c r="AC522" s="8">
        <v>2E-3</v>
      </c>
    </row>
    <row r="523" spans="1:29" ht="11.65" hidden="1" x14ac:dyDescent="0.35">
      <c r="A523" s="12">
        <v>506</v>
      </c>
      <c r="B523" s="10" t="s">
        <v>1015</v>
      </c>
      <c r="C523" s="11" t="s">
        <v>879</v>
      </c>
      <c r="D523" s="9"/>
      <c r="E523" s="9">
        <v>454</v>
      </c>
      <c r="F523" s="10" t="s">
        <v>1066</v>
      </c>
      <c r="G523" s="9">
        <v>910</v>
      </c>
      <c r="H523" s="9">
        <v>2000</v>
      </c>
      <c r="I523" s="8">
        <v>1000.455</v>
      </c>
      <c r="J523" s="8">
        <v>840.58500000000004</v>
      </c>
      <c r="K523" s="8">
        <v>729.51700000000005</v>
      </c>
      <c r="L523" s="8">
        <v>581.08799999999997</v>
      </c>
      <c r="M523" s="8">
        <v>495.01900000000001</v>
      </c>
      <c r="N523" s="8">
        <v>411.77600000000001</v>
      </c>
      <c r="O523" s="8">
        <v>338.31400000000002</v>
      </c>
      <c r="P523" s="8">
        <v>271.13200000000001</v>
      </c>
      <c r="Q523" s="8">
        <v>218.22499999999999</v>
      </c>
      <c r="R523" s="8">
        <v>174.92099999999999</v>
      </c>
      <c r="S523" s="8">
        <v>158.386</v>
      </c>
      <c r="T523" s="8">
        <v>129.28800000000001</v>
      </c>
      <c r="U523" s="8">
        <v>101.712</v>
      </c>
      <c r="V523" s="8">
        <v>76.171000000000006</v>
      </c>
      <c r="W523" s="8">
        <v>55.44</v>
      </c>
      <c r="X523" s="8">
        <v>36.405000000000001</v>
      </c>
      <c r="Y523" s="8">
        <v>19.818000000000001</v>
      </c>
      <c r="Z523" s="8">
        <v>6.0019999999999998</v>
      </c>
      <c r="AA523" s="8">
        <v>0.85299999999999998</v>
      </c>
      <c r="AB523" s="8">
        <v>6.4000000000000001E-2</v>
      </c>
      <c r="AC523" s="8">
        <v>3.0000000000000001E-3</v>
      </c>
    </row>
    <row r="524" spans="1:29" ht="11.65" hidden="1" x14ac:dyDescent="0.35">
      <c r="A524" s="12">
        <v>507</v>
      </c>
      <c r="B524" s="10" t="s">
        <v>1015</v>
      </c>
      <c r="C524" s="11" t="s">
        <v>879</v>
      </c>
      <c r="D524" s="9"/>
      <c r="E524" s="9">
        <v>454</v>
      </c>
      <c r="F524" s="10" t="s">
        <v>1066</v>
      </c>
      <c r="G524" s="9">
        <v>910</v>
      </c>
      <c r="H524" s="9">
        <v>2005</v>
      </c>
      <c r="I524" s="8">
        <v>1137.53</v>
      </c>
      <c r="J524" s="8">
        <v>959.10500000000002</v>
      </c>
      <c r="K524" s="8">
        <v>827.81799999999998</v>
      </c>
      <c r="L524" s="8">
        <v>718.29399999999998</v>
      </c>
      <c r="M524" s="8">
        <v>564.71699999999998</v>
      </c>
      <c r="N524" s="8">
        <v>468.74700000000001</v>
      </c>
      <c r="O524" s="8">
        <v>378.22800000000001</v>
      </c>
      <c r="P524" s="8">
        <v>302.30700000000002</v>
      </c>
      <c r="Q524" s="8">
        <v>239.58099999999999</v>
      </c>
      <c r="R524" s="8">
        <v>193.79</v>
      </c>
      <c r="S524" s="8">
        <v>155.428</v>
      </c>
      <c r="T524" s="8">
        <v>140.226</v>
      </c>
      <c r="U524" s="8">
        <v>112.562</v>
      </c>
      <c r="V524" s="8">
        <v>85.382999999999996</v>
      </c>
      <c r="W524" s="8">
        <v>59.649000000000001</v>
      </c>
      <c r="X524" s="8">
        <v>38.579000000000001</v>
      </c>
      <c r="Y524" s="8">
        <v>20.449000000000002</v>
      </c>
      <c r="Z524" s="8">
        <v>7.556</v>
      </c>
      <c r="AA524" s="8">
        <v>1.3</v>
      </c>
      <c r="AB524" s="8">
        <v>0.104</v>
      </c>
      <c r="AC524" s="8">
        <v>6.0000000000000001E-3</v>
      </c>
    </row>
    <row r="525" spans="1:29" ht="11.65" hidden="1" x14ac:dyDescent="0.35">
      <c r="A525" s="12">
        <v>508</v>
      </c>
      <c r="B525" s="10" t="s">
        <v>1015</v>
      </c>
      <c r="C525" s="11" t="s">
        <v>879</v>
      </c>
      <c r="D525" s="9"/>
      <c r="E525" s="9">
        <v>454</v>
      </c>
      <c r="F525" s="10" t="s">
        <v>1066</v>
      </c>
      <c r="G525" s="9">
        <v>910</v>
      </c>
      <c r="H525" s="9">
        <v>2010</v>
      </c>
      <c r="I525" s="8">
        <v>1306.9649999999999</v>
      </c>
      <c r="J525" s="8">
        <v>1104.866</v>
      </c>
      <c r="K525" s="8">
        <v>947.14499999999998</v>
      </c>
      <c r="L525" s="8">
        <v>817.17700000000002</v>
      </c>
      <c r="M525" s="8">
        <v>702.09799999999996</v>
      </c>
      <c r="N525" s="8">
        <v>542.35400000000004</v>
      </c>
      <c r="O525" s="8">
        <v>442.298</v>
      </c>
      <c r="P525" s="8">
        <v>351.26</v>
      </c>
      <c r="Q525" s="8">
        <v>278.09399999999999</v>
      </c>
      <c r="R525" s="8">
        <v>219.90600000000001</v>
      </c>
      <c r="S525" s="8">
        <v>176.87100000000001</v>
      </c>
      <c r="T525" s="8">
        <v>140.38300000000001</v>
      </c>
      <c r="U525" s="8">
        <v>123.965</v>
      </c>
      <c r="V525" s="8">
        <v>95.281000000000006</v>
      </c>
      <c r="W525" s="8">
        <v>66.771000000000001</v>
      </c>
      <c r="X525" s="8">
        <v>40.783000000000001</v>
      </c>
      <c r="Y525" s="8">
        <v>20.695</v>
      </c>
      <c r="Z525" s="8">
        <v>7.0720000000000001</v>
      </c>
      <c r="AA525" s="8">
        <v>1.323</v>
      </c>
      <c r="AB525" s="8">
        <v>0.106</v>
      </c>
      <c r="AC525" s="8">
        <v>6.0000000000000001E-3</v>
      </c>
    </row>
    <row r="526" spans="1:29" ht="11.65" hidden="1" x14ac:dyDescent="0.35">
      <c r="A526" s="12">
        <v>509</v>
      </c>
      <c r="B526" s="10" t="s">
        <v>1015</v>
      </c>
      <c r="C526" s="11" t="s">
        <v>879</v>
      </c>
      <c r="D526" s="9"/>
      <c r="E526" s="9">
        <v>454</v>
      </c>
      <c r="F526" s="10" t="s">
        <v>1066</v>
      </c>
      <c r="G526" s="9">
        <v>910</v>
      </c>
      <c r="H526" s="9">
        <v>2015</v>
      </c>
      <c r="I526" s="8">
        <v>1374.5409999999999</v>
      </c>
      <c r="J526" s="8">
        <v>1282.7</v>
      </c>
      <c r="K526" s="8">
        <v>1095.508</v>
      </c>
      <c r="L526" s="8">
        <v>938.58399999999995</v>
      </c>
      <c r="M526" s="8">
        <v>801.98400000000004</v>
      </c>
      <c r="N526" s="8">
        <v>680.43700000000001</v>
      </c>
      <c r="O526" s="8">
        <v>523.63900000000001</v>
      </c>
      <c r="P526" s="8">
        <v>427.06700000000001</v>
      </c>
      <c r="Q526" s="8">
        <v>337.30399999999997</v>
      </c>
      <c r="R526" s="8">
        <v>265.767</v>
      </c>
      <c r="S526" s="8">
        <v>208.48</v>
      </c>
      <c r="T526" s="8">
        <v>165.55799999999999</v>
      </c>
      <c r="U526" s="8">
        <v>128.536</v>
      </c>
      <c r="V526" s="8">
        <v>108.721</v>
      </c>
      <c r="W526" s="8">
        <v>77.311000000000007</v>
      </c>
      <c r="X526" s="8">
        <v>47.420999999999999</v>
      </c>
      <c r="Y526" s="8">
        <v>22.777000000000001</v>
      </c>
      <c r="Z526" s="8">
        <v>7.5</v>
      </c>
      <c r="AA526" s="8">
        <v>1.2430000000000001</v>
      </c>
      <c r="AB526" s="8">
        <v>8.8999999999999996E-2</v>
      </c>
      <c r="AC526" s="8">
        <v>4.0000000000000001E-3</v>
      </c>
    </row>
    <row r="527" spans="1:29" ht="11.65" hidden="1" x14ac:dyDescent="0.35">
      <c r="A527" s="12">
        <v>510</v>
      </c>
      <c r="B527" s="10" t="s">
        <v>1015</v>
      </c>
      <c r="C527" s="11" t="s">
        <v>879</v>
      </c>
      <c r="D527" s="9"/>
      <c r="E527" s="9">
        <v>454</v>
      </c>
      <c r="F527" s="10" t="s">
        <v>1066</v>
      </c>
      <c r="G527" s="9">
        <v>910</v>
      </c>
      <c r="H527" s="9">
        <v>2020</v>
      </c>
      <c r="I527" s="8">
        <v>1446.93</v>
      </c>
      <c r="J527" s="8">
        <v>1356.9549999999999</v>
      </c>
      <c r="K527" s="8">
        <v>1275.213</v>
      </c>
      <c r="L527" s="8">
        <v>1088.192</v>
      </c>
      <c r="M527" s="8">
        <v>924.78</v>
      </c>
      <c r="N527" s="8">
        <v>782.14499999999998</v>
      </c>
      <c r="O527" s="8">
        <v>662.66899999999998</v>
      </c>
      <c r="P527" s="8">
        <v>510.02</v>
      </c>
      <c r="Q527" s="8">
        <v>414.08</v>
      </c>
      <c r="R527" s="8">
        <v>325.49</v>
      </c>
      <c r="S527" s="8">
        <v>254.52199999999999</v>
      </c>
      <c r="T527" s="8">
        <v>197.398</v>
      </c>
      <c r="U527" s="8">
        <v>153.834</v>
      </c>
      <c r="V527" s="8">
        <v>115.063</v>
      </c>
      <c r="W527" s="8">
        <v>91.018000000000001</v>
      </c>
      <c r="X527" s="8">
        <v>57.677999999999997</v>
      </c>
      <c r="Y527" s="8">
        <v>28.719000000000001</v>
      </c>
      <c r="Z527" s="8">
        <v>9.4649999999999999</v>
      </c>
      <c r="AA527" s="8">
        <v>1.6339999999999999</v>
      </c>
      <c r="AB527" s="8">
        <v>0.109</v>
      </c>
      <c r="AC527" s="8">
        <v>4.0000000000000001E-3</v>
      </c>
    </row>
    <row r="528" spans="1:29" ht="11.65" hidden="1" x14ac:dyDescent="0.35">
      <c r="A528" s="12">
        <v>511</v>
      </c>
      <c r="B528" s="10" t="s">
        <v>1015</v>
      </c>
      <c r="C528" s="11" t="s">
        <v>1071</v>
      </c>
      <c r="D528" s="9">
        <v>1</v>
      </c>
      <c r="E528" s="9">
        <v>480</v>
      </c>
      <c r="F528" s="10" t="s">
        <v>1066</v>
      </c>
      <c r="G528" s="9">
        <v>910</v>
      </c>
      <c r="H528" s="9">
        <v>1950</v>
      </c>
      <c r="I528" s="8">
        <v>44.225999999999999</v>
      </c>
      <c r="J528" s="8">
        <v>36.177999999999997</v>
      </c>
      <c r="K528" s="8">
        <v>30.384</v>
      </c>
      <c r="L528" s="8">
        <v>25.628</v>
      </c>
      <c r="M528" s="8">
        <v>21.492999999999999</v>
      </c>
      <c r="N528" s="8">
        <v>18.077000000000002</v>
      </c>
      <c r="O528" s="8">
        <v>15.079000000000001</v>
      </c>
      <c r="P528" s="8">
        <v>12.504</v>
      </c>
      <c r="Q528" s="8">
        <v>10.451000000000001</v>
      </c>
      <c r="R528" s="8">
        <v>8.5679999999999996</v>
      </c>
      <c r="S528" s="8">
        <v>7.0330000000000004</v>
      </c>
      <c r="T528" s="8">
        <v>5.6959999999999997</v>
      </c>
      <c r="U528" s="8">
        <v>4.4329999999999998</v>
      </c>
      <c r="V528" s="8">
        <v>3.32</v>
      </c>
      <c r="W528" s="8">
        <v>2.2789999999999999</v>
      </c>
      <c r="X528" s="8">
        <v>1.339</v>
      </c>
      <c r="Y528" s="8">
        <v>0.61899999999999999</v>
      </c>
      <c r="Z528" s="8">
        <v>0.24199999999999999</v>
      </c>
      <c r="AA528" s="8">
        <v>6.9000000000000006E-2</v>
      </c>
      <c r="AB528" s="8">
        <v>1.2E-2</v>
      </c>
      <c r="AC528" s="8">
        <v>1E-3</v>
      </c>
    </row>
    <row r="529" spans="1:29" ht="11.65" hidden="1" x14ac:dyDescent="0.35">
      <c r="A529" s="12">
        <v>512</v>
      </c>
      <c r="B529" s="10" t="s">
        <v>1015</v>
      </c>
      <c r="C529" s="11" t="s">
        <v>1071</v>
      </c>
      <c r="D529" s="9">
        <v>1</v>
      </c>
      <c r="E529" s="9">
        <v>480</v>
      </c>
      <c r="F529" s="10" t="s">
        <v>1066</v>
      </c>
      <c r="G529" s="9">
        <v>910</v>
      </c>
      <c r="H529" s="9">
        <v>1955</v>
      </c>
      <c r="I529" s="8">
        <v>52.142000000000003</v>
      </c>
      <c r="J529" s="8">
        <v>41.877000000000002</v>
      </c>
      <c r="K529" s="8">
        <v>35.546999999999997</v>
      </c>
      <c r="L529" s="8">
        <v>29.128</v>
      </c>
      <c r="M529" s="8">
        <v>24.8</v>
      </c>
      <c r="N529" s="8">
        <v>20.824000000000002</v>
      </c>
      <c r="O529" s="8">
        <v>17.385999999999999</v>
      </c>
      <c r="P529" s="8">
        <v>14.603999999999999</v>
      </c>
      <c r="Q529" s="8">
        <v>12.105</v>
      </c>
      <c r="R529" s="8">
        <v>9.9339999999999993</v>
      </c>
      <c r="S529" s="8">
        <v>8.0519999999999996</v>
      </c>
      <c r="T529" s="8">
        <v>6.4379999999999997</v>
      </c>
      <c r="U529" s="8">
        <v>5.0519999999999996</v>
      </c>
      <c r="V529" s="8">
        <v>3.7010000000000001</v>
      </c>
      <c r="W529" s="8">
        <v>2.5059999999999998</v>
      </c>
      <c r="X529" s="8">
        <v>1.464</v>
      </c>
      <c r="Y529" s="8">
        <v>0.64300000000000002</v>
      </c>
      <c r="Z529" s="8">
        <v>0.20100000000000001</v>
      </c>
      <c r="AA529" s="8">
        <v>4.3999999999999997E-2</v>
      </c>
      <c r="AB529" s="8">
        <v>7.0000000000000001E-3</v>
      </c>
      <c r="AC529" s="8">
        <v>1E-3</v>
      </c>
    </row>
    <row r="530" spans="1:29" ht="11.65" hidden="1" x14ac:dyDescent="0.35">
      <c r="A530" s="12">
        <v>513</v>
      </c>
      <c r="B530" s="10" t="s">
        <v>1015</v>
      </c>
      <c r="C530" s="11" t="s">
        <v>1071</v>
      </c>
      <c r="D530" s="9">
        <v>1</v>
      </c>
      <c r="E530" s="9">
        <v>480</v>
      </c>
      <c r="F530" s="10" t="s">
        <v>1066</v>
      </c>
      <c r="G530" s="9">
        <v>910</v>
      </c>
      <c r="H530" s="9">
        <v>1960</v>
      </c>
      <c r="I530" s="8">
        <v>60.079000000000001</v>
      </c>
      <c r="J530" s="8">
        <v>49.982999999999997</v>
      </c>
      <c r="K530" s="8">
        <v>40.825000000000003</v>
      </c>
      <c r="L530" s="8">
        <v>33.683999999999997</v>
      </c>
      <c r="M530" s="8">
        <v>27.965</v>
      </c>
      <c r="N530" s="8">
        <v>23.91</v>
      </c>
      <c r="O530" s="8">
        <v>19.943000000000001</v>
      </c>
      <c r="P530" s="8">
        <v>16.786999999999999</v>
      </c>
      <c r="Q530" s="8">
        <v>14.1</v>
      </c>
      <c r="R530" s="8">
        <v>11.47</v>
      </c>
      <c r="S530" s="8">
        <v>9.3279999999999994</v>
      </c>
      <c r="T530" s="8">
        <v>7.3819999999999997</v>
      </c>
      <c r="U530" s="8">
        <v>5.7519999999999998</v>
      </c>
      <c r="V530" s="8">
        <v>4.2789999999999999</v>
      </c>
      <c r="W530" s="8">
        <v>2.8610000000000002</v>
      </c>
      <c r="X530" s="8">
        <v>1.667</v>
      </c>
      <c r="Y530" s="8">
        <v>0.72799999999999998</v>
      </c>
      <c r="Z530" s="8">
        <v>0.153</v>
      </c>
      <c r="AA530" s="8">
        <v>2.1999999999999999E-2</v>
      </c>
      <c r="AB530" s="8">
        <v>3.0000000000000001E-3</v>
      </c>
      <c r="AC530" s="8">
        <v>0</v>
      </c>
    </row>
    <row r="531" spans="1:29" ht="11.65" hidden="1" x14ac:dyDescent="0.35">
      <c r="A531" s="12">
        <v>514</v>
      </c>
      <c r="B531" s="10" t="s">
        <v>1015</v>
      </c>
      <c r="C531" s="11" t="s">
        <v>1071</v>
      </c>
      <c r="D531" s="9">
        <v>1</v>
      </c>
      <c r="E531" s="9">
        <v>480</v>
      </c>
      <c r="F531" s="10" t="s">
        <v>1066</v>
      </c>
      <c r="G531" s="9">
        <v>910</v>
      </c>
      <c r="H531" s="9">
        <v>1965</v>
      </c>
      <c r="I531" s="8">
        <v>66.037999999999997</v>
      </c>
      <c r="J531" s="8">
        <v>56.997</v>
      </c>
      <c r="K531" s="8">
        <v>48.154000000000003</v>
      </c>
      <c r="L531" s="8">
        <v>38.604999999999997</v>
      </c>
      <c r="M531" s="8">
        <v>32.088999999999999</v>
      </c>
      <c r="N531" s="8">
        <v>26.684000000000001</v>
      </c>
      <c r="O531" s="8">
        <v>22.704000000000001</v>
      </c>
      <c r="P531" s="8">
        <v>19.027999999999999</v>
      </c>
      <c r="Q531" s="8">
        <v>15.997999999999999</v>
      </c>
      <c r="R531" s="8">
        <v>13.247</v>
      </c>
      <c r="S531" s="8">
        <v>10.67</v>
      </c>
      <c r="T531" s="8">
        <v>8.4939999999999998</v>
      </c>
      <c r="U531" s="8">
        <v>6.5510000000000002</v>
      </c>
      <c r="V531" s="8">
        <v>4.8490000000000002</v>
      </c>
      <c r="W531" s="8">
        <v>3.3</v>
      </c>
      <c r="X531" s="8">
        <v>1.9079999999999999</v>
      </c>
      <c r="Y531" s="8">
        <v>0.83</v>
      </c>
      <c r="Z531" s="8">
        <v>0.39400000000000002</v>
      </c>
      <c r="AA531" s="8">
        <v>0.06</v>
      </c>
      <c r="AB531" s="8">
        <v>5.0000000000000001E-3</v>
      </c>
      <c r="AC531" s="8">
        <v>0</v>
      </c>
    </row>
    <row r="532" spans="1:29" ht="11.65" hidden="1" x14ac:dyDescent="0.35">
      <c r="A532" s="12">
        <v>515</v>
      </c>
      <c r="B532" s="10" t="s">
        <v>1015</v>
      </c>
      <c r="C532" s="11" t="s">
        <v>1071</v>
      </c>
      <c r="D532" s="9">
        <v>1</v>
      </c>
      <c r="E532" s="9">
        <v>480</v>
      </c>
      <c r="F532" s="10" t="s">
        <v>1066</v>
      </c>
      <c r="G532" s="9">
        <v>910</v>
      </c>
      <c r="H532" s="9">
        <v>1970</v>
      </c>
      <c r="I532" s="8">
        <v>56.332999999999998</v>
      </c>
      <c r="J532" s="8">
        <v>64.647999999999996</v>
      </c>
      <c r="K532" s="8">
        <v>55.981000000000002</v>
      </c>
      <c r="L532" s="8">
        <v>43.857999999999997</v>
      </c>
      <c r="M532" s="8">
        <v>36.655999999999999</v>
      </c>
      <c r="N532" s="8">
        <v>30.991</v>
      </c>
      <c r="O532" s="8">
        <v>25.445</v>
      </c>
      <c r="P532" s="8">
        <v>22.199000000000002</v>
      </c>
      <c r="Q532" s="8">
        <v>18.690999999999999</v>
      </c>
      <c r="R532" s="8">
        <v>15.151999999999999</v>
      </c>
      <c r="S532" s="8">
        <v>12.510999999999999</v>
      </c>
      <c r="T532" s="8">
        <v>9.7720000000000002</v>
      </c>
      <c r="U532" s="8">
        <v>7.6470000000000002</v>
      </c>
      <c r="V532" s="8">
        <v>5.5990000000000002</v>
      </c>
      <c r="W532" s="8">
        <v>3.7869999999999999</v>
      </c>
      <c r="X532" s="8">
        <v>2.2160000000000002</v>
      </c>
      <c r="Y532" s="8">
        <v>0.94799999999999995</v>
      </c>
      <c r="Z532" s="8">
        <v>0.39</v>
      </c>
      <c r="AA532" s="8">
        <v>0.128</v>
      </c>
      <c r="AB532" s="8">
        <v>1.2E-2</v>
      </c>
      <c r="AC532" s="8">
        <v>1E-3</v>
      </c>
    </row>
    <row r="533" spans="1:29" ht="11.65" hidden="1" x14ac:dyDescent="0.35">
      <c r="A533" s="12">
        <v>516</v>
      </c>
      <c r="B533" s="10" t="s">
        <v>1015</v>
      </c>
      <c r="C533" s="11" t="s">
        <v>1071</v>
      </c>
      <c r="D533" s="9">
        <v>1</v>
      </c>
      <c r="E533" s="9">
        <v>480</v>
      </c>
      <c r="F533" s="10" t="s">
        <v>1066</v>
      </c>
      <c r="G533" s="9">
        <v>910</v>
      </c>
      <c r="H533" s="9">
        <v>1975</v>
      </c>
      <c r="I533" s="8">
        <v>50.125999999999998</v>
      </c>
      <c r="J533" s="8">
        <v>58.158000000000001</v>
      </c>
      <c r="K533" s="8">
        <v>66.120999999999995</v>
      </c>
      <c r="L533" s="8">
        <v>49.737000000000002</v>
      </c>
      <c r="M533" s="8">
        <v>42.243000000000002</v>
      </c>
      <c r="N533" s="8">
        <v>36.573</v>
      </c>
      <c r="O533" s="8">
        <v>30.297999999999998</v>
      </c>
      <c r="P533" s="8">
        <v>26.062000000000001</v>
      </c>
      <c r="Q533" s="8">
        <v>23.001000000000001</v>
      </c>
      <c r="R533" s="8">
        <v>18.228999999999999</v>
      </c>
      <c r="S533" s="8">
        <v>14.837999999999999</v>
      </c>
      <c r="T533" s="8">
        <v>11.768000000000001</v>
      </c>
      <c r="U533" s="8">
        <v>9.1159999999999997</v>
      </c>
      <c r="V533" s="8">
        <v>6.7729999999999997</v>
      </c>
      <c r="W533" s="8">
        <v>4.5220000000000002</v>
      </c>
      <c r="X533" s="8">
        <v>2.6070000000000002</v>
      </c>
      <c r="Y533" s="8">
        <v>1.1180000000000001</v>
      </c>
      <c r="Z533" s="8">
        <v>0.51300000000000001</v>
      </c>
      <c r="AA533" s="8">
        <v>0.155</v>
      </c>
      <c r="AB533" s="8">
        <v>3.3000000000000002E-2</v>
      </c>
      <c r="AC533" s="8">
        <v>2E-3</v>
      </c>
    </row>
    <row r="534" spans="1:29" ht="11.65" hidden="1" x14ac:dyDescent="0.35">
      <c r="A534" s="12">
        <v>517</v>
      </c>
      <c r="B534" s="10" t="s">
        <v>1015</v>
      </c>
      <c r="C534" s="11" t="s">
        <v>1071</v>
      </c>
      <c r="D534" s="9">
        <v>1</v>
      </c>
      <c r="E534" s="9">
        <v>480</v>
      </c>
      <c r="F534" s="10" t="s">
        <v>1066</v>
      </c>
      <c r="G534" s="9">
        <v>910</v>
      </c>
      <c r="H534" s="9">
        <v>1980</v>
      </c>
      <c r="I534" s="8">
        <v>53.945</v>
      </c>
      <c r="J534" s="8">
        <v>57.198</v>
      </c>
      <c r="K534" s="8">
        <v>59.557000000000002</v>
      </c>
      <c r="L534" s="8">
        <v>53.783999999999999</v>
      </c>
      <c r="M534" s="8">
        <v>48.502000000000002</v>
      </c>
      <c r="N534" s="8">
        <v>42.823999999999998</v>
      </c>
      <c r="O534" s="8">
        <v>36.396000000000001</v>
      </c>
      <c r="P534" s="8">
        <v>29.363</v>
      </c>
      <c r="Q534" s="8">
        <v>23.902999999999999</v>
      </c>
      <c r="R534" s="8">
        <v>20.048999999999999</v>
      </c>
      <c r="S534" s="8">
        <v>16.474</v>
      </c>
      <c r="T534" s="8">
        <v>14.744</v>
      </c>
      <c r="U534" s="8">
        <v>11.538</v>
      </c>
      <c r="V534" s="8">
        <v>8.8580000000000005</v>
      </c>
      <c r="W534" s="8">
        <v>6</v>
      </c>
      <c r="X534" s="8">
        <v>3.73</v>
      </c>
      <c r="Y534" s="8">
        <v>1.923</v>
      </c>
      <c r="Z534" s="8">
        <v>0.64400000000000002</v>
      </c>
      <c r="AA534" s="8">
        <v>0.223</v>
      </c>
      <c r="AB534" s="8">
        <v>4.2000000000000003E-2</v>
      </c>
      <c r="AC534" s="8">
        <v>5.0000000000000001E-3</v>
      </c>
    </row>
    <row r="535" spans="1:29" ht="11.65" hidden="1" x14ac:dyDescent="0.35">
      <c r="A535" s="12">
        <v>518</v>
      </c>
      <c r="B535" s="10" t="s">
        <v>1015</v>
      </c>
      <c r="C535" s="11" t="s">
        <v>1071</v>
      </c>
      <c r="D535" s="9">
        <v>1</v>
      </c>
      <c r="E535" s="9">
        <v>480</v>
      </c>
      <c r="F535" s="10" t="s">
        <v>1066</v>
      </c>
      <c r="G535" s="9">
        <v>910</v>
      </c>
      <c r="H535" s="9">
        <v>1985</v>
      </c>
      <c r="I535" s="8">
        <v>51.174999999999997</v>
      </c>
      <c r="J535" s="8">
        <v>52.902000000000001</v>
      </c>
      <c r="K535" s="8">
        <v>56.652999999999999</v>
      </c>
      <c r="L535" s="8">
        <v>58.23</v>
      </c>
      <c r="M535" s="8">
        <v>50.908999999999999</v>
      </c>
      <c r="N535" s="8">
        <v>44.975999999999999</v>
      </c>
      <c r="O535" s="8">
        <v>39.792999999999999</v>
      </c>
      <c r="P535" s="8">
        <v>34.146000000000001</v>
      </c>
      <c r="Q535" s="8">
        <v>27.683</v>
      </c>
      <c r="R535" s="8">
        <v>22.568000000000001</v>
      </c>
      <c r="S535" s="8">
        <v>18.84</v>
      </c>
      <c r="T535" s="8">
        <v>15.237</v>
      </c>
      <c r="U535" s="8">
        <v>13.324</v>
      </c>
      <c r="V535" s="8">
        <v>10.023999999999999</v>
      </c>
      <c r="W535" s="8">
        <v>7.2009999999999996</v>
      </c>
      <c r="X535" s="8">
        <v>4.4130000000000003</v>
      </c>
      <c r="Y535" s="8">
        <v>2.2189999999999999</v>
      </c>
      <c r="Z535" s="8">
        <v>1.006</v>
      </c>
      <c r="AA535" s="8">
        <v>0.24299999999999999</v>
      </c>
      <c r="AB535" s="8">
        <v>5.2999999999999999E-2</v>
      </c>
      <c r="AC535" s="8">
        <v>6.0000000000000001E-3</v>
      </c>
    </row>
    <row r="536" spans="1:29" ht="11.65" hidden="1" x14ac:dyDescent="0.35">
      <c r="A536" s="12">
        <v>519</v>
      </c>
      <c r="B536" s="10" t="s">
        <v>1015</v>
      </c>
      <c r="C536" s="11" t="s">
        <v>1071</v>
      </c>
      <c r="D536" s="9">
        <v>1</v>
      </c>
      <c r="E536" s="9">
        <v>480</v>
      </c>
      <c r="F536" s="10" t="s">
        <v>1066</v>
      </c>
      <c r="G536" s="9">
        <v>910</v>
      </c>
      <c r="H536" s="9">
        <v>1990</v>
      </c>
      <c r="I536" s="8">
        <v>48.442999999999998</v>
      </c>
      <c r="J536" s="8">
        <v>50.185000000000002</v>
      </c>
      <c r="K536" s="8">
        <v>52.369</v>
      </c>
      <c r="L536" s="8">
        <v>55.27</v>
      </c>
      <c r="M536" s="8">
        <v>55.154000000000003</v>
      </c>
      <c r="N536" s="8">
        <v>47.137</v>
      </c>
      <c r="O536" s="8">
        <v>41.762</v>
      </c>
      <c r="P536" s="8">
        <v>37.438000000000002</v>
      </c>
      <c r="Q536" s="8">
        <v>32.399000000000001</v>
      </c>
      <c r="R536" s="8">
        <v>26.32</v>
      </c>
      <c r="S536" s="8">
        <v>21.373000000000001</v>
      </c>
      <c r="T536" s="8">
        <v>17.613</v>
      </c>
      <c r="U536" s="8">
        <v>13.948</v>
      </c>
      <c r="V536" s="8">
        <v>11.805</v>
      </c>
      <c r="W536" s="8">
        <v>8.3629999999999995</v>
      </c>
      <c r="X536" s="8">
        <v>5.4939999999999998</v>
      </c>
      <c r="Y536" s="8">
        <v>2.75</v>
      </c>
      <c r="Z536" s="8">
        <v>1.093</v>
      </c>
      <c r="AA536" s="8">
        <v>0.34899999999999998</v>
      </c>
      <c r="AB536" s="8">
        <v>5.3999999999999999E-2</v>
      </c>
      <c r="AC536" s="8">
        <v>7.0000000000000001E-3</v>
      </c>
    </row>
    <row r="537" spans="1:29" ht="11.65" hidden="1" x14ac:dyDescent="0.35">
      <c r="A537" s="12">
        <v>520</v>
      </c>
      <c r="B537" s="10" t="s">
        <v>1015</v>
      </c>
      <c r="C537" s="11" t="s">
        <v>1071</v>
      </c>
      <c r="D537" s="9">
        <v>1</v>
      </c>
      <c r="E537" s="9">
        <v>480</v>
      </c>
      <c r="F537" s="10" t="s">
        <v>1066</v>
      </c>
      <c r="G537" s="9">
        <v>910</v>
      </c>
      <c r="H537" s="9">
        <v>1995</v>
      </c>
      <c r="I537" s="8">
        <v>54.576999999999998</v>
      </c>
      <c r="J537" s="8">
        <v>48.113999999999997</v>
      </c>
      <c r="K537" s="8">
        <v>50.005000000000003</v>
      </c>
      <c r="L537" s="8">
        <v>51.97</v>
      </c>
      <c r="M537" s="8">
        <v>54.438000000000002</v>
      </c>
      <c r="N537" s="8">
        <v>54.091999999999999</v>
      </c>
      <c r="O537" s="8">
        <v>46.183999999999997</v>
      </c>
      <c r="P537" s="8">
        <v>41.012999999999998</v>
      </c>
      <c r="Q537" s="8">
        <v>36.735999999999997</v>
      </c>
      <c r="R537" s="8">
        <v>31.684999999999999</v>
      </c>
      <c r="S537" s="8">
        <v>25.507999999999999</v>
      </c>
      <c r="T537" s="8">
        <v>20.378</v>
      </c>
      <c r="U537" s="8">
        <v>16.417000000000002</v>
      </c>
      <c r="V537" s="8">
        <v>12.574</v>
      </c>
      <c r="W537" s="8">
        <v>10.034000000000001</v>
      </c>
      <c r="X537" s="8">
        <v>6.5369999999999999</v>
      </c>
      <c r="Y537" s="8">
        <v>3.5259999999999998</v>
      </c>
      <c r="Z537" s="8">
        <v>1.6259999999999999</v>
      </c>
      <c r="AA537" s="8">
        <v>0.495</v>
      </c>
      <c r="AB537" s="8">
        <v>0.107</v>
      </c>
      <c r="AC537" s="8">
        <v>1.0999999999999999E-2</v>
      </c>
    </row>
    <row r="538" spans="1:29" ht="11.65" hidden="1" x14ac:dyDescent="0.35">
      <c r="A538" s="12">
        <v>521</v>
      </c>
      <c r="B538" s="10" t="s">
        <v>1015</v>
      </c>
      <c r="C538" s="11" t="s">
        <v>1071</v>
      </c>
      <c r="D538" s="9">
        <v>1</v>
      </c>
      <c r="E538" s="9">
        <v>480</v>
      </c>
      <c r="F538" s="10" t="s">
        <v>1066</v>
      </c>
      <c r="G538" s="9">
        <v>910</v>
      </c>
      <c r="H538" s="9">
        <v>2000</v>
      </c>
      <c r="I538" s="8">
        <v>48.567</v>
      </c>
      <c r="J538" s="8">
        <v>53.820999999999998</v>
      </c>
      <c r="K538" s="8">
        <v>48.308</v>
      </c>
      <c r="L538" s="8">
        <v>50.423000000000002</v>
      </c>
      <c r="M538" s="8">
        <v>55.796999999999997</v>
      </c>
      <c r="N538" s="8">
        <v>47.054000000000002</v>
      </c>
      <c r="O538" s="8">
        <v>49.554000000000002</v>
      </c>
      <c r="P538" s="8">
        <v>50.298000000000002</v>
      </c>
      <c r="Q538" s="8">
        <v>44.613</v>
      </c>
      <c r="R538" s="8">
        <v>38.817999999999998</v>
      </c>
      <c r="S538" s="8">
        <v>29.193000000000001</v>
      </c>
      <c r="T538" s="8">
        <v>21.209</v>
      </c>
      <c r="U538" s="8">
        <v>17.792999999999999</v>
      </c>
      <c r="V538" s="8">
        <v>14.012</v>
      </c>
      <c r="W538" s="8">
        <v>12.205</v>
      </c>
      <c r="X538" s="8">
        <v>8.8640000000000008</v>
      </c>
      <c r="Y538" s="8">
        <v>4.55</v>
      </c>
      <c r="Z538" s="8">
        <v>1.6990000000000001</v>
      </c>
      <c r="AA538" s="8">
        <v>0.54500000000000004</v>
      </c>
      <c r="AB538" s="8">
        <v>0.11600000000000001</v>
      </c>
      <c r="AC538" s="8">
        <v>1.4999999999999999E-2</v>
      </c>
    </row>
    <row r="539" spans="1:29" ht="11.65" hidden="1" x14ac:dyDescent="0.35">
      <c r="A539" s="12">
        <v>522</v>
      </c>
      <c r="B539" s="10" t="s">
        <v>1015</v>
      </c>
      <c r="C539" s="11" t="s">
        <v>1071</v>
      </c>
      <c r="D539" s="9">
        <v>1</v>
      </c>
      <c r="E539" s="9">
        <v>480</v>
      </c>
      <c r="F539" s="10" t="s">
        <v>1066</v>
      </c>
      <c r="G539" s="9">
        <v>910</v>
      </c>
      <c r="H539" s="9">
        <v>2005</v>
      </c>
      <c r="I539" s="8">
        <v>46.579000000000001</v>
      </c>
      <c r="J539" s="8">
        <v>48.463999999999999</v>
      </c>
      <c r="K539" s="8">
        <v>53.753999999999998</v>
      </c>
      <c r="L539" s="8">
        <v>47.506999999999998</v>
      </c>
      <c r="M539" s="8">
        <v>47.906999999999996</v>
      </c>
      <c r="N539" s="8">
        <v>53.404000000000003</v>
      </c>
      <c r="O539" s="8">
        <v>45.597000000000001</v>
      </c>
      <c r="P539" s="8">
        <v>46.844000000000001</v>
      </c>
      <c r="Q539" s="8">
        <v>49.417999999999999</v>
      </c>
      <c r="R539" s="8">
        <v>43.322000000000003</v>
      </c>
      <c r="S539" s="8">
        <v>37.335000000000001</v>
      </c>
      <c r="T539" s="8">
        <v>29.154</v>
      </c>
      <c r="U539" s="8">
        <v>20.094999999999999</v>
      </c>
      <c r="V539" s="8">
        <v>15.891</v>
      </c>
      <c r="W539" s="8">
        <v>12.147</v>
      </c>
      <c r="X539" s="8">
        <v>9.2140000000000004</v>
      </c>
      <c r="Y539" s="8">
        <v>6.08</v>
      </c>
      <c r="Z539" s="8">
        <v>2.702</v>
      </c>
      <c r="AA539" s="8">
        <v>0.77500000000000002</v>
      </c>
      <c r="AB539" s="8">
        <v>0.17699999999999999</v>
      </c>
      <c r="AC539" s="8">
        <v>2.4E-2</v>
      </c>
    </row>
    <row r="540" spans="1:29" ht="11.65" hidden="1" x14ac:dyDescent="0.35">
      <c r="A540" s="12">
        <v>523</v>
      </c>
      <c r="B540" s="10" t="s">
        <v>1015</v>
      </c>
      <c r="C540" s="11" t="s">
        <v>1071</v>
      </c>
      <c r="D540" s="9">
        <v>1</v>
      </c>
      <c r="E540" s="9">
        <v>480</v>
      </c>
      <c r="F540" s="10" t="s">
        <v>1066</v>
      </c>
      <c r="G540" s="9">
        <v>910</v>
      </c>
      <c r="H540" s="9">
        <v>2010</v>
      </c>
      <c r="I540" s="8">
        <v>39.616999999999997</v>
      </c>
      <c r="J540" s="8">
        <v>46.503999999999998</v>
      </c>
      <c r="K540" s="8">
        <v>48.414999999999999</v>
      </c>
      <c r="L540" s="8">
        <v>52.03</v>
      </c>
      <c r="M540" s="8">
        <v>46.716000000000001</v>
      </c>
      <c r="N540" s="8">
        <v>45.517000000000003</v>
      </c>
      <c r="O540" s="8">
        <v>51.116</v>
      </c>
      <c r="P540" s="8">
        <v>44.185000000000002</v>
      </c>
      <c r="Q540" s="8">
        <v>44.281999999999996</v>
      </c>
      <c r="R540" s="8">
        <v>48.548999999999999</v>
      </c>
      <c r="S540" s="8">
        <v>42.067999999999998</v>
      </c>
      <c r="T540" s="8">
        <v>35.905999999999999</v>
      </c>
      <c r="U540" s="8">
        <v>29.117000000000001</v>
      </c>
      <c r="V540" s="8">
        <v>19.042999999999999</v>
      </c>
      <c r="W540" s="8">
        <v>14.194000000000001</v>
      </c>
      <c r="X540" s="8">
        <v>10.505000000000001</v>
      </c>
      <c r="Y540" s="8">
        <v>6.7759999999999998</v>
      </c>
      <c r="Z540" s="8">
        <v>3.4319999999999999</v>
      </c>
      <c r="AA540" s="8">
        <v>1.1499999999999999</v>
      </c>
      <c r="AB540" s="8">
        <v>0.221</v>
      </c>
      <c r="AC540" s="8">
        <v>3.2000000000000001E-2</v>
      </c>
    </row>
    <row r="541" spans="1:29" ht="11.65" hidden="1" x14ac:dyDescent="0.35">
      <c r="A541" s="12">
        <v>524</v>
      </c>
      <c r="B541" s="10" t="s">
        <v>1015</v>
      </c>
      <c r="C541" s="11" t="s">
        <v>1071</v>
      </c>
      <c r="D541" s="9">
        <v>1</v>
      </c>
      <c r="E541" s="9">
        <v>480</v>
      </c>
      <c r="F541" s="10" t="s">
        <v>1066</v>
      </c>
      <c r="G541" s="9">
        <v>910</v>
      </c>
      <c r="H541" s="9">
        <v>2015</v>
      </c>
      <c r="I541" s="8">
        <v>33.81</v>
      </c>
      <c r="J541" s="8">
        <v>39.548000000000002</v>
      </c>
      <c r="K541" s="8">
        <v>46.465000000000003</v>
      </c>
      <c r="L541" s="8">
        <v>46.710999999999999</v>
      </c>
      <c r="M541" s="8">
        <v>51.244</v>
      </c>
      <c r="N541" s="8">
        <v>44.314</v>
      </c>
      <c r="O541" s="8">
        <v>43.238999999999997</v>
      </c>
      <c r="P541" s="8">
        <v>49.685000000000002</v>
      </c>
      <c r="Q541" s="8">
        <v>41.661999999999999</v>
      </c>
      <c r="R541" s="8">
        <v>43.49</v>
      </c>
      <c r="S541" s="8">
        <v>47.207000000000001</v>
      </c>
      <c r="T541" s="8">
        <v>40.627000000000002</v>
      </c>
      <c r="U541" s="8">
        <v>35.831000000000003</v>
      </c>
      <c r="V541" s="8">
        <v>27.661999999999999</v>
      </c>
      <c r="W541" s="8">
        <v>17.111999999999998</v>
      </c>
      <c r="X541" s="8">
        <v>12.446</v>
      </c>
      <c r="Y541" s="8">
        <v>8.2050000000000001</v>
      </c>
      <c r="Z541" s="8">
        <v>4.258</v>
      </c>
      <c r="AA541" s="8">
        <v>1.6859999999999999</v>
      </c>
      <c r="AB541" s="8">
        <v>0.40600000000000003</v>
      </c>
      <c r="AC541" s="8">
        <v>5.3999999999999999E-2</v>
      </c>
    </row>
    <row r="542" spans="1:29" ht="11.65" hidden="1" x14ac:dyDescent="0.35">
      <c r="A542" s="12">
        <v>525</v>
      </c>
      <c r="B542" s="10" t="s">
        <v>1015</v>
      </c>
      <c r="C542" s="11" t="s">
        <v>1071</v>
      </c>
      <c r="D542" s="9">
        <v>1</v>
      </c>
      <c r="E542" s="9">
        <v>480</v>
      </c>
      <c r="F542" s="10" t="s">
        <v>1066</v>
      </c>
      <c r="G542" s="9">
        <v>910</v>
      </c>
      <c r="H542" s="9">
        <v>2020</v>
      </c>
      <c r="I542" s="8">
        <v>31.398</v>
      </c>
      <c r="J542" s="8">
        <v>33.762</v>
      </c>
      <c r="K542" s="8">
        <v>39.518000000000001</v>
      </c>
      <c r="L542" s="8">
        <v>46.408000000000001</v>
      </c>
      <c r="M542" s="8">
        <v>46.613</v>
      </c>
      <c r="N542" s="8">
        <v>51.087000000000003</v>
      </c>
      <c r="O542" s="8">
        <v>44.146999999999998</v>
      </c>
      <c r="P542" s="8">
        <v>43.015000000000001</v>
      </c>
      <c r="Q542" s="8">
        <v>49.287999999999997</v>
      </c>
      <c r="R542" s="8">
        <v>41.146000000000001</v>
      </c>
      <c r="S542" s="8">
        <v>42.694000000000003</v>
      </c>
      <c r="T542" s="8">
        <v>45.939</v>
      </c>
      <c r="U542" s="8">
        <v>38.923999999999999</v>
      </c>
      <c r="V542" s="8">
        <v>33.485999999999997</v>
      </c>
      <c r="W542" s="8">
        <v>24.803000000000001</v>
      </c>
      <c r="X542" s="8">
        <v>14.420999999999999</v>
      </c>
      <c r="Y542" s="8">
        <v>9.4920000000000009</v>
      </c>
      <c r="Z542" s="8">
        <v>5.282</v>
      </c>
      <c r="AA542" s="8">
        <v>2.1480000000000001</v>
      </c>
      <c r="AB542" s="8">
        <v>0.61599999999999999</v>
      </c>
      <c r="AC542" s="8">
        <v>0.1</v>
      </c>
    </row>
    <row r="543" spans="1:29" ht="11.65" hidden="1" x14ac:dyDescent="0.35">
      <c r="A543" s="12">
        <v>526</v>
      </c>
      <c r="B543" s="10" t="s">
        <v>1015</v>
      </c>
      <c r="C543" s="11" t="s">
        <v>1072</v>
      </c>
      <c r="D543" s="9">
        <v>2</v>
      </c>
      <c r="E543" s="9">
        <v>175</v>
      </c>
      <c r="F543" s="10" t="s">
        <v>1066</v>
      </c>
      <c r="G543" s="9">
        <v>910</v>
      </c>
      <c r="H543" s="9">
        <v>1950</v>
      </c>
      <c r="I543" s="8">
        <v>0.95199999999999996</v>
      </c>
      <c r="J543" s="8">
        <v>0.76700000000000002</v>
      </c>
      <c r="K543" s="8">
        <v>0.55000000000000004</v>
      </c>
      <c r="L543" s="8">
        <v>0.495</v>
      </c>
      <c r="M543" s="8">
        <v>0.38100000000000001</v>
      </c>
      <c r="N543" s="8">
        <v>0.39</v>
      </c>
      <c r="O543" s="8">
        <v>0.34100000000000003</v>
      </c>
      <c r="P543" s="8">
        <v>0.39100000000000001</v>
      </c>
      <c r="Q543" s="8">
        <v>0.378</v>
      </c>
      <c r="R543" s="8">
        <v>0.40100000000000002</v>
      </c>
      <c r="S543" s="8">
        <v>0.39900000000000002</v>
      </c>
      <c r="T543" s="8">
        <v>0.4</v>
      </c>
      <c r="U543" s="8">
        <v>0.29899999999999999</v>
      </c>
      <c r="V543" s="8">
        <v>0.19900000000000001</v>
      </c>
      <c r="W543" s="8">
        <v>9.9000000000000005E-2</v>
      </c>
      <c r="X543" s="8">
        <v>0.05</v>
      </c>
      <c r="Y543" s="8">
        <v>0.28000000000000003</v>
      </c>
      <c r="Z543" s="8">
        <v>0.10100000000000001</v>
      </c>
      <c r="AA543" s="8">
        <v>1.6E-2</v>
      </c>
      <c r="AB543" s="8">
        <v>0</v>
      </c>
      <c r="AC543" s="8">
        <v>0</v>
      </c>
    </row>
    <row r="544" spans="1:29" ht="11.65" hidden="1" x14ac:dyDescent="0.35">
      <c r="A544" s="12">
        <v>527</v>
      </c>
      <c r="B544" s="10" t="s">
        <v>1015</v>
      </c>
      <c r="C544" s="11" t="s">
        <v>1072</v>
      </c>
      <c r="D544" s="9">
        <v>2</v>
      </c>
      <c r="E544" s="9">
        <v>175</v>
      </c>
      <c r="F544" s="10" t="s">
        <v>1066</v>
      </c>
      <c r="G544" s="9">
        <v>910</v>
      </c>
      <c r="H544" s="9">
        <v>1955</v>
      </c>
      <c r="I544" s="8">
        <v>1.532</v>
      </c>
      <c r="J544" s="8">
        <v>1.0589999999999999</v>
      </c>
      <c r="K544" s="8">
        <v>0.92</v>
      </c>
      <c r="L544" s="8">
        <v>0.68200000000000005</v>
      </c>
      <c r="M544" s="8">
        <v>0.59299999999999997</v>
      </c>
      <c r="N544" s="8">
        <v>0.45200000000000001</v>
      </c>
      <c r="O544" s="8">
        <v>0.44500000000000001</v>
      </c>
      <c r="P544" s="8">
        <v>0.38300000000000001</v>
      </c>
      <c r="Q544" s="8">
        <v>0.41899999999999998</v>
      </c>
      <c r="R544" s="8">
        <v>0.39400000000000002</v>
      </c>
      <c r="S544" s="8">
        <v>0.40300000000000002</v>
      </c>
      <c r="T544" s="8">
        <v>0.38900000000000001</v>
      </c>
      <c r="U544" s="8">
        <v>0.374</v>
      </c>
      <c r="V544" s="8">
        <v>0.26700000000000002</v>
      </c>
      <c r="W544" s="8">
        <v>0.16500000000000001</v>
      </c>
      <c r="X544" s="8">
        <v>7.2999999999999995E-2</v>
      </c>
      <c r="Y544" s="8">
        <v>3.1E-2</v>
      </c>
      <c r="Z544" s="8">
        <v>0.14000000000000001</v>
      </c>
      <c r="AA544" s="8">
        <v>3.3000000000000002E-2</v>
      </c>
      <c r="AB544" s="8">
        <v>3.0000000000000001E-3</v>
      </c>
      <c r="AC544" s="8">
        <v>0</v>
      </c>
    </row>
    <row r="545" spans="1:29" ht="11.65" hidden="1" x14ac:dyDescent="0.35">
      <c r="A545" s="12">
        <v>528</v>
      </c>
      <c r="B545" s="10" t="s">
        <v>1015</v>
      </c>
      <c r="C545" s="11" t="s">
        <v>1072</v>
      </c>
      <c r="D545" s="9">
        <v>2</v>
      </c>
      <c r="E545" s="9">
        <v>175</v>
      </c>
      <c r="F545" s="10" t="s">
        <v>1066</v>
      </c>
      <c r="G545" s="9">
        <v>910</v>
      </c>
      <c r="H545" s="9">
        <v>1960</v>
      </c>
      <c r="I545" s="8">
        <v>2.069</v>
      </c>
      <c r="J545" s="8">
        <v>1.6160000000000001</v>
      </c>
      <c r="K545" s="8">
        <v>1.2050000000000001</v>
      </c>
      <c r="L545" s="8">
        <v>1.05</v>
      </c>
      <c r="M545" s="8">
        <v>0.78</v>
      </c>
      <c r="N545" s="8">
        <v>0.66200000000000003</v>
      </c>
      <c r="O545" s="8">
        <v>0.50700000000000001</v>
      </c>
      <c r="P545" s="8">
        <v>0.48499999999999999</v>
      </c>
      <c r="Q545" s="8">
        <v>0.41099999999999998</v>
      </c>
      <c r="R545" s="8">
        <v>0.435</v>
      </c>
      <c r="S545" s="8">
        <v>0.39800000000000002</v>
      </c>
      <c r="T545" s="8">
        <v>0.39200000000000002</v>
      </c>
      <c r="U545" s="8">
        <v>0.36699999999999999</v>
      </c>
      <c r="V545" s="8">
        <v>0.33200000000000002</v>
      </c>
      <c r="W545" s="8">
        <v>0.219</v>
      </c>
      <c r="X545" s="8">
        <v>0.11799999999999999</v>
      </c>
      <c r="Y545" s="8">
        <v>4.3999999999999997E-2</v>
      </c>
      <c r="Z545" s="8">
        <v>1.4999999999999999E-2</v>
      </c>
      <c r="AA545" s="8">
        <v>4.4999999999999998E-2</v>
      </c>
      <c r="AB545" s="8">
        <v>5.0000000000000001E-3</v>
      </c>
      <c r="AC545" s="8">
        <v>0</v>
      </c>
    </row>
    <row r="546" spans="1:29" ht="11.65" hidden="1" x14ac:dyDescent="0.35">
      <c r="A546" s="12">
        <v>529</v>
      </c>
      <c r="B546" s="10" t="s">
        <v>1015</v>
      </c>
      <c r="C546" s="11" t="s">
        <v>1072</v>
      </c>
      <c r="D546" s="9">
        <v>2</v>
      </c>
      <c r="E546" s="9">
        <v>175</v>
      </c>
      <c r="F546" s="10" t="s">
        <v>1066</v>
      </c>
      <c r="G546" s="9">
        <v>910</v>
      </c>
      <c r="H546" s="9">
        <v>1965</v>
      </c>
      <c r="I546" s="8">
        <v>2.8</v>
      </c>
      <c r="J546" s="8">
        <v>2.1320000000000001</v>
      </c>
      <c r="K546" s="8">
        <v>1.7509999999999999</v>
      </c>
      <c r="L546" s="8">
        <v>1.333</v>
      </c>
      <c r="M546" s="8">
        <v>1.1419999999999999</v>
      </c>
      <c r="N546" s="8">
        <v>0.84699999999999998</v>
      </c>
      <c r="O546" s="8">
        <v>0.71699999999999997</v>
      </c>
      <c r="P546" s="8">
        <v>0.54900000000000004</v>
      </c>
      <c r="Q546" s="8">
        <v>0.51300000000000001</v>
      </c>
      <c r="R546" s="8">
        <v>0.42799999999999999</v>
      </c>
      <c r="S546" s="8">
        <v>0.439</v>
      </c>
      <c r="T546" s="8">
        <v>0.39200000000000002</v>
      </c>
      <c r="U546" s="8">
        <v>0.373</v>
      </c>
      <c r="V546" s="8">
        <v>0.33100000000000002</v>
      </c>
      <c r="W546" s="8">
        <v>0.27600000000000002</v>
      </c>
      <c r="X546" s="8">
        <v>0.159</v>
      </c>
      <c r="Y546" s="8">
        <v>7.0999999999999994E-2</v>
      </c>
      <c r="Z546" s="8">
        <v>2.1999999999999999E-2</v>
      </c>
      <c r="AA546" s="8">
        <v>5.0000000000000001E-3</v>
      </c>
      <c r="AB546" s="8">
        <v>8.9999999999999993E-3</v>
      </c>
      <c r="AC546" s="8">
        <v>0</v>
      </c>
    </row>
    <row r="547" spans="1:29" ht="11.65" hidden="1" x14ac:dyDescent="0.35">
      <c r="A547" s="12">
        <v>530</v>
      </c>
      <c r="B547" s="10" t="s">
        <v>1015</v>
      </c>
      <c r="C547" s="11" t="s">
        <v>1072</v>
      </c>
      <c r="D547" s="9">
        <v>2</v>
      </c>
      <c r="E547" s="9">
        <v>175</v>
      </c>
      <c r="F547" s="10" t="s">
        <v>1066</v>
      </c>
      <c r="G547" s="9">
        <v>910</v>
      </c>
      <c r="H547" s="9">
        <v>1970</v>
      </c>
      <c r="I547" s="8">
        <v>3.63</v>
      </c>
      <c r="J547" s="8">
        <v>2.7690000000000001</v>
      </c>
      <c r="K547" s="8">
        <v>2.1480000000000001</v>
      </c>
      <c r="L547" s="8">
        <v>1.768</v>
      </c>
      <c r="M547" s="8">
        <v>1.341</v>
      </c>
      <c r="N547" s="8">
        <v>1.145</v>
      </c>
      <c r="O547" s="8">
        <v>0.84699999999999998</v>
      </c>
      <c r="P547" s="8">
        <v>0.71499999999999997</v>
      </c>
      <c r="Q547" s="8">
        <v>0.54600000000000004</v>
      </c>
      <c r="R547" s="8">
        <v>0.50700000000000001</v>
      </c>
      <c r="S547" s="8">
        <v>0.41799999999999998</v>
      </c>
      <c r="T547" s="8">
        <v>0.42099999999999999</v>
      </c>
      <c r="U547" s="8">
        <v>0.36499999999999999</v>
      </c>
      <c r="V547" s="8">
        <v>0.33100000000000002</v>
      </c>
      <c r="W547" s="8">
        <v>0.27300000000000002</v>
      </c>
      <c r="X547" s="8">
        <v>0.20100000000000001</v>
      </c>
      <c r="Y547" s="8">
        <v>9.5000000000000001E-2</v>
      </c>
      <c r="Z547" s="8">
        <v>3.5999999999999997E-2</v>
      </c>
      <c r="AA547" s="8">
        <v>8.9999999999999993E-3</v>
      </c>
      <c r="AB547" s="8">
        <v>0</v>
      </c>
      <c r="AC547" s="8">
        <v>1E-3</v>
      </c>
    </row>
    <row r="548" spans="1:29" ht="11.65" hidden="1" x14ac:dyDescent="0.35">
      <c r="A548" s="12">
        <v>531</v>
      </c>
      <c r="B548" s="10" t="s">
        <v>1015</v>
      </c>
      <c r="C548" s="11" t="s">
        <v>1072</v>
      </c>
      <c r="D548" s="9">
        <v>2</v>
      </c>
      <c r="E548" s="9">
        <v>175</v>
      </c>
      <c r="F548" s="10" t="s">
        <v>1066</v>
      </c>
      <c r="G548" s="9">
        <v>910</v>
      </c>
      <c r="H548" s="9">
        <v>1975</v>
      </c>
      <c r="I548" s="8">
        <v>4.6379999999999999</v>
      </c>
      <c r="J548" s="8">
        <v>3.613</v>
      </c>
      <c r="K548" s="8">
        <v>2.7879999999999998</v>
      </c>
      <c r="L548" s="8">
        <v>2.165</v>
      </c>
      <c r="M548" s="8">
        <v>1.776</v>
      </c>
      <c r="N548" s="8">
        <v>1.3440000000000001</v>
      </c>
      <c r="O548" s="8">
        <v>1.1439999999999999</v>
      </c>
      <c r="P548" s="8">
        <v>0.84799999999999998</v>
      </c>
      <c r="Q548" s="8">
        <v>0.71299999999999997</v>
      </c>
      <c r="R548" s="8">
        <v>0.54100000000000004</v>
      </c>
      <c r="S548" s="8">
        <v>0.497</v>
      </c>
      <c r="T548" s="8">
        <v>0.40400000000000003</v>
      </c>
      <c r="U548" s="8">
        <v>0.39600000000000002</v>
      </c>
      <c r="V548" s="8">
        <v>0.33</v>
      </c>
      <c r="W548" s="8">
        <v>0.28000000000000003</v>
      </c>
      <c r="X548" s="8">
        <v>0.20300000000000001</v>
      </c>
      <c r="Y548" s="8">
        <v>0.124</v>
      </c>
      <c r="Z548" s="8">
        <v>4.9000000000000002E-2</v>
      </c>
      <c r="AA548" s="8">
        <v>1.2999999999999999E-2</v>
      </c>
      <c r="AB548" s="8">
        <v>2E-3</v>
      </c>
      <c r="AC548" s="8">
        <v>0</v>
      </c>
    </row>
    <row r="549" spans="1:29" ht="11.65" hidden="1" x14ac:dyDescent="0.35">
      <c r="A549" s="12">
        <v>532</v>
      </c>
      <c r="B549" s="10" t="s">
        <v>1015</v>
      </c>
      <c r="C549" s="11" t="s">
        <v>1072</v>
      </c>
      <c r="D549" s="9">
        <v>2</v>
      </c>
      <c r="E549" s="9">
        <v>175</v>
      </c>
      <c r="F549" s="10" t="s">
        <v>1066</v>
      </c>
      <c r="G549" s="9">
        <v>910</v>
      </c>
      <c r="H549" s="9">
        <v>1980</v>
      </c>
      <c r="I549" s="8">
        <v>5.5549999999999997</v>
      </c>
      <c r="J549" s="8">
        <v>4.2619999999999996</v>
      </c>
      <c r="K549" s="8">
        <v>3.633</v>
      </c>
      <c r="L549" s="8">
        <v>2.8079999999999998</v>
      </c>
      <c r="M549" s="8">
        <v>2.1779999999999999</v>
      </c>
      <c r="N549" s="8">
        <v>1.7809999999999999</v>
      </c>
      <c r="O549" s="8">
        <v>1.349</v>
      </c>
      <c r="P549" s="8">
        <v>1.1439999999999999</v>
      </c>
      <c r="Q549" s="8">
        <v>0.84699999999999998</v>
      </c>
      <c r="R549" s="8">
        <v>0.70799999999999996</v>
      </c>
      <c r="S549" s="8">
        <v>0.53200000000000003</v>
      </c>
      <c r="T549" s="8">
        <v>0.48299999999999998</v>
      </c>
      <c r="U549" s="8">
        <v>0.38500000000000001</v>
      </c>
      <c r="V549" s="8">
        <v>0.36099999999999999</v>
      </c>
      <c r="W549" s="8">
        <v>0.28399999999999997</v>
      </c>
      <c r="X549" s="8">
        <v>0.214</v>
      </c>
      <c r="Y549" s="8">
        <v>0.13</v>
      </c>
      <c r="Z549" s="8">
        <v>6.7000000000000004E-2</v>
      </c>
      <c r="AA549" s="8">
        <v>2.1000000000000001E-2</v>
      </c>
      <c r="AB549" s="8">
        <v>4.0000000000000001E-3</v>
      </c>
      <c r="AC549" s="8">
        <v>0</v>
      </c>
    </row>
    <row r="550" spans="1:29" ht="11.65" hidden="1" x14ac:dyDescent="0.35">
      <c r="A550" s="12">
        <v>533</v>
      </c>
      <c r="B550" s="10" t="s">
        <v>1015</v>
      </c>
      <c r="C550" s="11" t="s">
        <v>1072</v>
      </c>
      <c r="D550" s="9">
        <v>2</v>
      </c>
      <c r="E550" s="9">
        <v>175</v>
      </c>
      <c r="F550" s="10" t="s">
        <v>1066</v>
      </c>
      <c r="G550" s="9">
        <v>910</v>
      </c>
      <c r="H550" s="9">
        <v>1985</v>
      </c>
      <c r="I550" s="8">
        <v>7.1459999999999999</v>
      </c>
      <c r="J550" s="8">
        <v>5.617</v>
      </c>
      <c r="K550" s="8">
        <v>4.5259999999999998</v>
      </c>
      <c r="L550" s="8">
        <v>3.88</v>
      </c>
      <c r="M550" s="8">
        <v>3</v>
      </c>
      <c r="N550" s="8">
        <v>2.3220000000000001</v>
      </c>
      <c r="O550" s="8">
        <v>1.8959999999999999</v>
      </c>
      <c r="P550" s="8">
        <v>1.4390000000000001</v>
      </c>
      <c r="Q550" s="8">
        <v>1.214</v>
      </c>
      <c r="R550" s="8">
        <v>0.89600000000000002</v>
      </c>
      <c r="S550" s="8">
        <v>0.73899999999999999</v>
      </c>
      <c r="T550" s="8">
        <v>0.55500000000000005</v>
      </c>
      <c r="U550" s="8">
        <v>0.48599999999999999</v>
      </c>
      <c r="V550" s="8">
        <v>0.377</v>
      </c>
      <c r="W550" s="8">
        <v>0.33200000000000002</v>
      </c>
      <c r="X550" s="8">
        <v>0.23200000000000001</v>
      </c>
      <c r="Y550" s="8">
        <v>0.15</v>
      </c>
      <c r="Z550" s="8">
        <v>7.5999999999999998E-2</v>
      </c>
      <c r="AA550" s="8">
        <v>0.03</v>
      </c>
      <c r="AB550" s="8">
        <v>7.0000000000000001E-3</v>
      </c>
      <c r="AC550" s="8">
        <v>1E-3</v>
      </c>
    </row>
    <row r="551" spans="1:29" ht="11.65" hidden="1" x14ac:dyDescent="0.35">
      <c r="A551" s="12">
        <v>534</v>
      </c>
      <c r="B551" s="10" t="s">
        <v>1015</v>
      </c>
      <c r="C551" s="11" t="s">
        <v>1072</v>
      </c>
      <c r="D551" s="9">
        <v>2</v>
      </c>
      <c r="E551" s="9">
        <v>175</v>
      </c>
      <c r="F551" s="10" t="s">
        <v>1066</v>
      </c>
      <c r="G551" s="9">
        <v>910</v>
      </c>
      <c r="H551" s="9">
        <v>1990</v>
      </c>
      <c r="I551" s="8">
        <v>8.9600000000000009</v>
      </c>
      <c r="J551" s="8">
        <v>7.383</v>
      </c>
      <c r="K551" s="8">
        <v>6.1230000000000002</v>
      </c>
      <c r="L551" s="8">
        <v>5.0060000000000002</v>
      </c>
      <c r="M551" s="8">
        <v>4.2530000000000001</v>
      </c>
      <c r="N551" s="8">
        <v>3.28</v>
      </c>
      <c r="O551" s="8">
        <v>2.5470000000000002</v>
      </c>
      <c r="P551" s="8">
        <v>2.0750000000000002</v>
      </c>
      <c r="Q551" s="8">
        <v>1.577</v>
      </c>
      <c r="R551" s="8">
        <v>1.3129999999999999</v>
      </c>
      <c r="S551" s="8">
        <v>0.96799999999999997</v>
      </c>
      <c r="T551" s="8">
        <v>0.78900000000000003</v>
      </c>
      <c r="U551" s="8">
        <v>0.58399999999999996</v>
      </c>
      <c r="V551" s="8">
        <v>0.49399999999999999</v>
      </c>
      <c r="W551" s="8">
        <v>0.36599999999999999</v>
      </c>
      <c r="X551" s="8">
        <v>0.28899999999999998</v>
      </c>
      <c r="Y551" s="8">
        <v>0.17699999999999999</v>
      </c>
      <c r="Z551" s="8">
        <v>9.5000000000000001E-2</v>
      </c>
      <c r="AA551" s="8">
        <v>3.6999999999999998E-2</v>
      </c>
      <c r="AB551" s="8">
        <v>8.9999999999999993E-3</v>
      </c>
      <c r="AC551" s="8">
        <v>1E-3</v>
      </c>
    </row>
    <row r="552" spans="1:29" ht="11.65" hidden="1" x14ac:dyDescent="0.35">
      <c r="A552" s="12">
        <v>535</v>
      </c>
      <c r="B552" s="10" t="s">
        <v>1015</v>
      </c>
      <c r="C552" s="11" t="s">
        <v>1072</v>
      </c>
      <c r="D552" s="9">
        <v>2</v>
      </c>
      <c r="E552" s="9">
        <v>175</v>
      </c>
      <c r="F552" s="10" t="s">
        <v>1066</v>
      </c>
      <c r="G552" s="9">
        <v>910</v>
      </c>
      <c r="H552" s="9">
        <v>1995</v>
      </c>
      <c r="I552" s="8">
        <v>9.9149999999999991</v>
      </c>
      <c r="J552" s="8">
        <v>9.6739999999999995</v>
      </c>
      <c r="K552" s="8">
        <v>8.1750000000000007</v>
      </c>
      <c r="L552" s="8">
        <v>6.8769999999999998</v>
      </c>
      <c r="M552" s="8">
        <v>5.5910000000000002</v>
      </c>
      <c r="N552" s="8">
        <v>4.6970000000000001</v>
      </c>
      <c r="O552" s="8">
        <v>3.6360000000000001</v>
      </c>
      <c r="P552" s="8">
        <v>2.827</v>
      </c>
      <c r="Q552" s="8">
        <v>2.2869999999999999</v>
      </c>
      <c r="R552" s="8">
        <v>1.73</v>
      </c>
      <c r="S552" s="8">
        <v>1.425</v>
      </c>
      <c r="T552" s="8">
        <v>1.052</v>
      </c>
      <c r="U552" s="8">
        <v>0.84399999999999997</v>
      </c>
      <c r="V552" s="8">
        <v>0.61599999999999999</v>
      </c>
      <c r="W552" s="8">
        <v>0.502</v>
      </c>
      <c r="X552" s="8">
        <v>0.35299999999999998</v>
      </c>
      <c r="Y552" s="8">
        <v>0.25</v>
      </c>
      <c r="Z552" s="8">
        <v>0.124</v>
      </c>
      <c r="AA552" s="8">
        <v>4.5999999999999999E-2</v>
      </c>
      <c r="AB552" s="8">
        <v>1.2E-2</v>
      </c>
      <c r="AC552" s="8">
        <v>2E-3</v>
      </c>
    </row>
    <row r="553" spans="1:29" ht="11.65" hidden="1" x14ac:dyDescent="0.35">
      <c r="A553" s="12">
        <v>536</v>
      </c>
      <c r="B553" s="10" t="s">
        <v>1015</v>
      </c>
      <c r="C553" s="11" t="s">
        <v>1072</v>
      </c>
      <c r="D553" s="9">
        <v>2</v>
      </c>
      <c r="E553" s="9">
        <v>175</v>
      </c>
      <c r="F553" s="10" t="s">
        <v>1066</v>
      </c>
      <c r="G553" s="9">
        <v>910</v>
      </c>
      <c r="H553" s="9">
        <v>2000</v>
      </c>
      <c r="I553" s="8">
        <v>12.346</v>
      </c>
      <c r="J553" s="8">
        <v>10.332000000000001</v>
      </c>
      <c r="K553" s="8">
        <v>9.9489999999999998</v>
      </c>
      <c r="L553" s="8">
        <v>8.44</v>
      </c>
      <c r="M553" s="8">
        <v>7.0750000000000002</v>
      </c>
      <c r="N553" s="8">
        <v>5.742</v>
      </c>
      <c r="O553" s="8">
        <v>4.8120000000000003</v>
      </c>
      <c r="P553" s="8">
        <v>3.7189999999999999</v>
      </c>
      <c r="Q553" s="8">
        <v>2.887</v>
      </c>
      <c r="R553" s="8">
        <v>2.3220000000000001</v>
      </c>
      <c r="S553" s="8">
        <v>1.7509999999999999</v>
      </c>
      <c r="T553" s="8">
        <v>1.4350000000000001</v>
      </c>
      <c r="U553" s="8">
        <v>1.05</v>
      </c>
      <c r="V553" s="8">
        <v>0.82799999999999996</v>
      </c>
      <c r="W553" s="8">
        <v>0.58799999999999997</v>
      </c>
      <c r="X553" s="8">
        <v>0.45300000000000001</v>
      </c>
      <c r="Y553" s="8">
        <v>0.28899999999999998</v>
      </c>
      <c r="Z553" s="8">
        <v>0.16900000000000001</v>
      </c>
      <c r="AA553" s="8">
        <v>6.3E-2</v>
      </c>
      <c r="AB553" s="8">
        <v>1.7999999999999999E-2</v>
      </c>
      <c r="AC553" s="8">
        <v>3.0000000000000001E-3</v>
      </c>
    </row>
    <row r="554" spans="1:29" ht="11.65" hidden="1" x14ac:dyDescent="0.35">
      <c r="A554" s="12">
        <v>537</v>
      </c>
      <c r="B554" s="10" t="s">
        <v>1015</v>
      </c>
      <c r="C554" s="11" t="s">
        <v>1072</v>
      </c>
      <c r="D554" s="9">
        <v>2</v>
      </c>
      <c r="E554" s="9">
        <v>175</v>
      </c>
      <c r="F554" s="10" t="s">
        <v>1066</v>
      </c>
      <c r="G554" s="9">
        <v>910</v>
      </c>
      <c r="H554" s="9">
        <v>2005</v>
      </c>
      <c r="I554" s="8">
        <v>14.648999999999999</v>
      </c>
      <c r="J554" s="8">
        <v>12.335000000000001</v>
      </c>
      <c r="K554" s="8">
        <v>10.324</v>
      </c>
      <c r="L554" s="8">
        <v>10.191000000000001</v>
      </c>
      <c r="M554" s="8">
        <v>9.0250000000000004</v>
      </c>
      <c r="N554" s="8">
        <v>7.9109999999999996</v>
      </c>
      <c r="O554" s="8">
        <v>6.2229999999999999</v>
      </c>
      <c r="P554" s="8">
        <v>4.79</v>
      </c>
      <c r="Q554" s="8">
        <v>3.6920000000000002</v>
      </c>
      <c r="R554" s="8">
        <v>2.855</v>
      </c>
      <c r="S554" s="8">
        <v>2.2919999999999998</v>
      </c>
      <c r="T554" s="8">
        <v>1.7190000000000001</v>
      </c>
      <c r="U554" s="8">
        <v>1.387</v>
      </c>
      <c r="V554" s="8">
        <v>0.995</v>
      </c>
      <c r="W554" s="8">
        <v>0.76300000000000001</v>
      </c>
      <c r="X554" s="8">
        <v>0.51200000000000001</v>
      </c>
      <c r="Y554" s="8">
        <v>0.35299999999999998</v>
      </c>
      <c r="Z554" s="8">
        <v>0.192</v>
      </c>
      <c r="AA554" s="8">
        <v>0.09</v>
      </c>
      <c r="AB554" s="8">
        <v>2.4E-2</v>
      </c>
      <c r="AC554" s="8">
        <v>5.0000000000000001E-3</v>
      </c>
    </row>
    <row r="555" spans="1:29" ht="11.65" hidden="1" x14ac:dyDescent="0.35">
      <c r="A555" s="12">
        <v>538</v>
      </c>
      <c r="B555" s="10" t="s">
        <v>1015</v>
      </c>
      <c r="C555" s="11" t="s">
        <v>1072</v>
      </c>
      <c r="D555" s="9">
        <v>2</v>
      </c>
      <c r="E555" s="9">
        <v>175</v>
      </c>
      <c r="F555" s="10" t="s">
        <v>1066</v>
      </c>
      <c r="G555" s="9">
        <v>910</v>
      </c>
      <c r="H555" s="9">
        <v>2010</v>
      </c>
      <c r="I555" s="8">
        <v>17.241</v>
      </c>
      <c r="J555" s="8">
        <v>14.638</v>
      </c>
      <c r="K555" s="8">
        <v>12.327</v>
      </c>
      <c r="L555" s="8">
        <v>10.318</v>
      </c>
      <c r="M555" s="8">
        <v>10.177</v>
      </c>
      <c r="N555" s="8">
        <v>9.0079999999999991</v>
      </c>
      <c r="O555" s="8">
        <v>7.891</v>
      </c>
      <c r="P555" s="8">
        <v>6.1989999999999998</v>
      </c>
      <c r="Q555" s="8">
        <v>4.7610000000000001</v>
      </c>
      <c r="R555" s="8">
        <v>3.657</v>
      </c>
      <c r="S555" s="8">
        <v>2.823</v>
      </c>
      <c r="T555" s="8">
        <v>2.2549999999999999</v>
      </c>
      <c r="U555" s="8">
        <v>1.6679999999999999</v>
      </c>
      <c r="V555" s="8">
        <v>1.321</v>
      </c>
      <c r="W555" s="8">
        <v>0.92400000000000004</v>
      </c>
      <c r="X555" s="8">
        <v>0.67200000000000004</v>
      </c>
      <c r="Y555" s="8">
        <v>0.40899999999999997</v>
      </c>
      <c r="Z555" s="8">
        <v>0.24099999999999999</v>
      </c>
      <c r="AA555" s="8">
        <v>0.107</v>
      </c>
      <c r="AB555" s="8">
        <v>3.7999999999999999E-2</v>
      </c>
      <c r="AC555" s="8">
        <v>8.0000000000000002E-3</v>
      </c>
    </row>
    <row r="556" spans="1:29" ht="11.65" hidden="1" x14ac:dyDescent="0.35">
      <c r="A556" s="12">
        <v>539</v>
      </c>
      <c r="B556" s="10" t="s">
        <v>1015</v>
      </c>
      <c r="C556" s="11" t="s">
        <v>1072</v>
      </c>
      <c r="D556" s="9">
        <v>2</v>
      </c>
      <c r="E556" s="9">
        <v>175</v>
      </c>
      <c r="F556" s="10" t="s">
        <v>1066</v>
      </c>
      <c r="G556" s="9">
        <v>910</v>
      </c>
      <c r="H556" s="9">
        <v>2015</v>
      </c>
      <c r="I556" s="8">
        <v>17.454999999999998</v>
      </c>
      <c r="J556" s="8">
        <v>17.231999999999999</v>
      </c>
      <c r="K556" s="8">
        <v>14.632</v>
      </c>
      <c r="L556" s="8">
        <v>12.323</v>
      </c>
      <c r="M556" s="8">
        <v>9.8079999999999998</v>
      </c>
      <c r="N556" s="8">
        <v>9.6639999999999997</v>
      </c>
      <c r="O556" s="8">
        <v>8.9909999999999997</v>
      </c>
      <c r="P556" s="8">
        <v>7.8650000000000002</v>
      </c>
      <c r="Q556" s="8">
        <v>6.1669999999999998</v>
      </c>
      <c r="R556" s="8">
        <v>4.72</v>
      </c>
      <c r="S556" s="8">
        <v>3.6219999999999999</v>
      </c>
      <c r="T556" s="8">
        <v>2.7839999999999998</v>
      </c>
      <c r="U556" s="8">
        <v>2.1930000000000001</v>
      </c>
      <c r="V556" s="8">
        <v>1.5960000000000001</v>
      </c>
      <c r="W556" s="8">
        <v>1.234</v>
      </c>
      <c r="X556" s="8">
        <v>0.82199999999999995</v>
      </c>
      <c r="Y556" s="8">
        <v>0.54500000000000004</v>
      </c>
      <c r="Z556" s="8">
        <v>0.28399999999999997</v>
      </c>
      <c r="AA556" s="8">
        <v>0.14000000000000001</v>
      </c>
      <c r="AB556" s="8">
        <v>4.7E-2</v>
      </c>
      <c r="AC556" s="8">
        <v>1.2E-2</v>
      </c>
    </row>
    <row r="557" spans="1:29" ht="11.65" hidden="1" x14ac:dyDescent="0.35">
      <c r="A557" s="12">
        <v>540</v>
      </c>
      <c r="B557" s="10" t="s">
        <v>1015</v>
      </c>
      <c r="C557" s="11" t="s">
        <v>1072</v>
      </c>
      <c r="D557" s="9">
        <v>2</v>
      </c>
      <c r="E557" s="9">
        <v>175</v>
      </c>
      <c r="F557" s="10" t="s">
        <v>1066</v>
      </c>
      <c r="G557" s="9">
        <v>910</v>
      </c>
      <c r="H557" s="9">
        <v>2020</v>
      </c>
      <c r="I557" s="8">
        <v>17.78</v>
      </c>
      <c r="J557" s="8">
        <v>17.446000000000002</v>
      </c>
      <c r="K557" s="8">
        <v>17.225000000000001</v>
      </c>
      <c r="L557" s="8">
        <v>14.622999999999999</v>
      </c>
      <c r="M557" s="8">
        <v>12.308999999999999</v>
      </c>
      <c r="N557" s="8">
        <v>9.7940000000000005</v>
      </c>
      <c r="O557" s="8">
        <v>9.6440000000000001</v>
      </c>
      <c r="P557" s="8">
        <v>8.9629999999999992</v>
      </c>
      <c r="Q557" s="8">
        <v>7.8250000000000002</v>
      </c>
      <c r="R557" s="8">
        <v>6.1150000000000002</v>
      </c>
      <c r="S557" s="8">
        <v>4.6740000000000004</v>
      </c>
      <c r="T557" s="8">
        <v>3.569</v>
      </c>
      <c r="U557" s="8">
        <v>2.706</v>
      </c>
      <c r="V557" s="8">
        <v>2.0990000000000002</v>
      </c>
      <c r="W557" s="8">
        <v>1.49</v>
      </c>
      <c r="X557" s="8">
        <v>1.1000000000000001</v>
      </c>
      <c r="Y557" s="8">
        <v>0.66900000000000004</v>
      </c>
      <c r="Z557" s="8">
        <v>0.38</v>
      </c>
      <c r="AA557" s="8">
        <v>0.16500000000000001</v>
      </c>
      <c r="AB557" s="8">
        <v>6.2E-2</v>
      </c>
      <c r="AC557" s="8">
        <v>1.6E-2</v>
      </c>
    </row>
    <row r="558" spans="1:29" ht="11.65" hidden="1" x14ac:dyDescent="0.35">
      <c r="A558" s="12">
        <v>541</v>
      </c>
      <c r="B558" s="10" t="s">
        <v>1015</v>
      </c>
      <c r="C558" s="11" t="s">
        <v>596</v>
      </c>
      <c r="D558" s="9"/>
      <c r="E558" s="9">
        <v>508</v>
      </c>
      <c r="F558" s="10" t="s">
        <v>1066</v>
      </c>
      <c r="G558" s="9">
        <v>910</v>
      </c>
      <c r="H558" s="9">
        <v>1950</v>
      </c>
      <c r="I558" s="8">
        <v>512.09299999999996</v>
      </c>
      <c r="J558" s="8">
        <v>397.57900000000001</v>
      </c>
      <c r="K558" s="8">
        <v>344.02300000000002</v>
      </c>
      <c r="L558" s="8">
        <v>303.73700000000002</v>
      </c>
      <c r="M558" s="8">
        <v>266.815</v>
      </c>
      <c r="N558" s="8">
        <v>232.97200000000001</v>
      </c>
      <c r="O558" s="8">
        <v>201.72200000000001</v>
      </c>
      <c r="P558" s="8">
        <v>172.78200000000001</v>
      </c>
      <c r="Q558" s="8">
        <v>146.91900000000001</v>
      </c>
      <c r="R558" s="8">
        <v>124.033</v>
      </c>
      <c r="S558" s="8">
        <v>103.264</v>
      </c>
      <c r="T558" s="8">
        <v>83.841999999999999</v>
      </c>
      <c r="U558" s="8">
        <v>64.228999999999999</v>
      </c>
      <c r="V558" s="8">
        <v>45.094000000000001</v>
      </c>
      <c r="W558" s="8">
        <v>27.402000000000001</v>
      </c>
      <c r="X558" s="8">
        <v>13.653</v>
      </c>
      <c r="Y558" s="8">
        <v>4.9039999999999999</v>
      </c>
      <c r="Z558" s="8">
        <v>1.236</v>
      </c>
      <c r="AA558" s="8">
        <v>0.189</v>
      </c>
      <c r="AB558" s="8">
        <v>1.7000000000000001E-2</v>
      </c>
      <c r="AC558" s="8">
        <v>1E-3</v>
      </c>
    </row>
    <row r="559" spans="1:29" ht="11.65" hidden="1" x14ac:dyDescent="0.35">
      <c r="A559" s="12">
        <v>542</v>
      </c>
      <c r="B559" s="10" t="s">
        <v>1015</v>
      </c>
      <c r="C559" s="11" t="s">
        <v>596</v>
      </c>
      <c r="D559" s="9"/>
      <c r="E559" s="9">
        <v>508</v>
      </c>
      <c r="F559" s="10" t="s">
        <v>1066</v>
      </c>
      <c r="G559" s="9">
        <v>910</v>
      </c>
      <c r="H559" s="9">
        <v>1955</v>
      </c>
      <c r="I559" s="8">
        <v>553.68499999999995</v>
      </c>
      <c r="J559" s="8">
        <v>438.59800000000001</v>
      </c>
      <c r="K559" s="8">
        <v>372.21899999999999</v>
      </c>
      <c r="L559" s="8">
        <v>327.89100000000002</v>
      </c>
      <c r="M559" s="8">
        <v>288.476</v>
      </c>
      <c r="N559" s="8">
        <v>251.72499999999999</v>
      </c>
      <c r="O559" s="8">
        <v>218.35499999999999</v>
      </c>
      <c r="P559" s="8">
        <v>188.00800000000001</v>
      </c>
      <c r="Q559" s="8">
        <v>160.26900000000001</v>
      </c>
      <c r="R559" s="8">
        <v>135.911</v>
      </c>
      <c r="S559" s="8">
        <v>113.73</v>
      </c>
      <c r="T559" s="8">
        <v>92.721999999999994</v>
      </c>
      <c r="U559" s="8">
        <v>72.581999999999994</v>
      </c>
      <c r="V559" s="8">
        <v>52.313000000000002</v>
      </c>
      <c r="W559" s="8">
        <v>33.301000000000002</v>
      </c>
      <c r="X559" s="8">
        <v>17.391999999999999</v>
      </c>
      <c r="Y559" s="8">
        <v>6.8490000000000002</v>
      </c>
      <c r="Z559" s="8">
        <v>1.712</v>
      </c>
      <c r="AA559" s="8">
        <v>0.26200000000000001</v>
      </c>
      <c r="AB559" s="8">
        <v>2.4E-2</v>
      </c>
      <c r="AC559" s="8">
        <v>2E-3</v>
      </c>
    </row>
    <row r="560" spans="1:29" ht="11.65" hidden="1" x14ac:dyDescent="0.35">
      <c r="A560" s="12">
        <v>543</v>
      </c>
      <c r="B560" s="10" t="s">
        <v>1015</v>
      </c>
      <c r="C560" s="11" t="s">
        <v>596</v>
      </c>
      <c r="D560" s="9"/>
      <c r="E560" s="9">
        <v>508</v>
      </c>
      <c r="F560" s="10" t="s">
        <v>1066</v>
      </c>
      <c r="G560" s="9">
        <v>910</v>
      </c>
      <c r="H560" s="9">
        <v>1960</v>
      </c>
      <c r="I560" s="8">
        <v>614.18100000000004</v>
      </c>
      <c r="J560" s="8">
        <v>485.399</v>
      </c>
      <c r="K560" s="8">
        <v>415.714</v>
      </c>
      <c r="L560" s="8">
        <v>357.62900000000002</v>
      </c>
      <c r="M560" s="8">
        <v>313.71100000000001</v>
      </c>
      <c r="N560" s="8">
        <v>274.303</v>
      </c>
      <c r="O560" s="8">
        <v>237.99100000000001</v>
      </c>
      <c r="P560" s="8">
        <v>205.39099999999999</v>
      </c>
      <c r="Q560" s="8">
        <v>175.95500000000001</v>
      </c>
      <c r="R560" s="8">
        <v>149.453</v>
      </c>
      <c r="S560" s="8">
        <v>125.556</v>
      </c>
      <c r="T560" s="8">
        <v>102.911</v>
      </c>
      <c r="U560" s="8">
        <v>80.95</v>
      </c>
      <c r="V560" s="8">
        <v>59.622</v>
      </c>
      <c r="W560" s="8">
        <v>38.908000000000001</v>
      </c>
      <c r="X560" s="8">
        <v>21.196999999999999</v>
      </c>
      <c r="Y560" s="8">
        <v>8.6549999999999994</v>
      </c>
      <c r="Z560" s="8">
        <v>2.3199999999999998</v>
      </c>
      <c r="AA560" s="8">
        <v>0.33500000000000002</v>
      </c>
      <c r="AB560" s="8">
        <v>2.9000000000000001E-2</v>
      </c>
      <c r="AC560" s="8">
        <v>2E-3</v>
      </c>
    </row>
    <row r="561" spans="1:29" ht="11.65" hidden="1" x14ac:dyDescent="0.35">
      <c r="A561" s="12">
        <v>544</v>
      </c>
      <c r="B561" s="10" t="s">
        <v>1015</v>
      </c>
      <c r="C561" s="11" t="s">
        <v>596</v>
      </c>
      <c r="D561" s="9"/>
      <c r="E561" s="9">
        <v>508</v>
      </c>
      <c r="F561" s="10" t="s">
        <v>1066</v>
      </c>
      <c r="G561" s="9">
        <v>910</v>
      </c>
      <c r="H561" s="9">
        <v>1965</v>
      </c>
      <c r="I561" s="8">
        <v>707.17200000000003</v>
      </c>
      <c r="J561" s="8">
        <v>547.63800000000003</v>
      </c>
      <c r="K561" s="8">
        <v>464.02199999999999</v>
      </c>
      <c r="L561" s="8">
        <v>401.73</v>
      </c>
      <c r="M561" s="8">
        <v>344.04199999999997</v>
      </c>
      <c r="N561" s="8">
        <v>300.07799999999997</v>
      </c>
      <c r="O561" s="8">
        <v>261.06400000000002</v>
      </c>
      <c r="P561" s="8">
        <v>225.44800000000001</v>
      </c>
      <c r="Q561" s="8">
        <v>193.56700000000001</v>
      </c>
      <c r="R561" s="8">
        <v>165.14</v>
      </c>
      <c r="S561" s="8">
        <v>138.922</v>
      </c>
      <c r="T561" s="8">
        <v>114.36199999999999</v>
      </c>
      <c r="U561" s="8">
        <v>90.516000000000005</v>
      </c>
      <c r="V561" s="8">
        <v>67.02</v>
      </c>
      <c r="W561" s="8">
        <v>44.671999999999997</v>
      </c>
      <c r="X561" s="8">
        <v>24.885999999999999</v>
      </c>
      <c r="Y561" s="8">
        <v>10.523</v>
      </c>
      <c r="Z561" s="8">
        <v>2.8759999999999999</v>
      </c>
      <c r="AA561" s="8">
        <v>0.43099999999999999</v>
      </c>
      <c r="AB561" s="8">
        <v>3.2000000000000001E-2</v>
      </c>
      <c r="AC561" s="8">
        <v>2E-3</v>
      </c>
    </row>
    <row r="562" spans="1:29" ht="11.65" hidden="1" x14ac:dyDescent="0.35">
      <c r="A562" s="12">
        <v>545</v>
      </c>
      <c r="B562" s="10" t="s">
        <v>1015</v>
      </c>
      <c r="C562" s="11" t="s">
        <v>596</v>
      </c>
      <c r="D562" s="9"/>
      <c r="E562" s="9">
        <v>508</v>
      </c>
      <c r="F562" s="10" t="s">
        <v>1066</v>
      </c>
      <c r="G562" s="9">
        <v>910</v>
      </c>
      <c r="H562" s="9">
        <v>1970</v>
      </c>
      <c r="I562" s="8">
        <v>799.87300000000005</v>
      </c>
      <c r="J562" s="8">
        <v>631.13099999999997</v>
      </c>
      <c r="K562" s="8">
        <v>523.99800000000005</v>
      </c>
      <c r="L562" s="8">
        <v>448.80900000000003</v>
      </c>
      <c r="M562" s="8">
        <v>387.01799999999997</v>
      </c>
      <c r="N562" s="8">
        <v>329.79500000000002</v>
      </c>
      <c r="O562" s="8">
        <v>286.39299999999997</v>
      </c>
      <c r="P562" s="8">
        <v>248.107</v>
      </c>
      <c r="Q562" s="8">
        <v>213.18700000000001</v>
      </c>
      <c r="R562" s="8">
        <v>182.251</v>
      </c>
      <c r="S562" s="8">
        <v>153.98599999999999</v>
      </c>
      <c r="T562" s="8">
        <v>126.952</v>
      </c>
      <c r="U562" s="8">
        <v>100.93300000000001</v>
      </c>
      <c r="V562" s="8">
        <v>75.188000000000002</v>
      </c>
      <c r="W562" s="8">
        <v>50.369</v>
      </c>
      <c r="X562" s="8">
        <v>28.640999999999998</v>
      </c>
      <c r="Y562" s="8">
        <v>12.37</v>
      </c>
      <c r="Z562" s="8">
        <v>3.4950000000000001</v>
      </c>
      <c r="AA562" s="8">
        <v>0.53</v>
      </c>
      <c r="AB562" s="8">
        <v>0.04</v>
      </c>
      <c r="AC562" s="8">
        <v>2E-3</v>
      </c>
    </row>
    <row r="563" spans="1:29" ht="11.65" hidden="1" x14ac:dyDescent="0.35">
      <c r="A563" s="12">
        <v>546</v>
      </c>
      <c r="B563" s="10" t="s">
        <v>1015</v>
      </c>
      <c r="C563" s="11" t="s">
        <v>596</v>
      </c>
      <c r="D563" s="9"/>
      <c r="E563" s="9">
        <v>508</v>
      </c>
      <c r="F563" s="10" t="s">
        <v>1066</v>
      </c>
      <c r="G563" s="9">
        <v>910</v>
      </c>
      <c r="H563" s="9">
        <v>1975</v>
      </c>
      <c r="I563" s="8">
        <v>901.11699999999996</v>
      </c>
      <c r="J563" s="8">
        <v>716.01599999999996</v>
      </c>
      <c r="K563" s="8">
        <v>605.18299999999999</v>
      </c>
      <c r="L563" s="8">
        <v>507.70299999999997</v>
      </c>
      <c r="M563" s="8">
        <v>433.35199999999998</v>
      </c>
      <c r="N563" s="8">
        <v>372.19499999999999</v>
      </c>
      <c r="O563" s="8">
        <v>316.01499999999999</v>
      </c>
      <c r="P563" s="8">
        <v>273.42200000000003</v>
      </c>
      <c r="Q563" s="8">
        <v>235.73400000000001</v>
      </c>
      <c r="R563" s="8">
        <v>201.648</v>
      </c>
      <c r="S563" s="8">
        <v>170.72800000000001</v>
      </c>
      <c r="T563" s="8">
        <v>141.40899999999999</v>
      </c>
      <c r="U563" s="8">
        <v>112.645</v>
      </c>
      <c r="V563" s="8">
        <v>84.319000000000003</v>
      </c>
      <c r="W563" s="8">
        <v>56.835000000000001</v>
      </c>
      <c r="X563" s="8">
        <v>32.470999999999997</v>
      </c>
      <c r="Y563" s="8">
        <v>14.295</v>
      </c>
      <c r="Z563" s="8">
        <v>4.1139999999999999</v>
      </c>
      <c r="AA563" s="8">
        <v>0.63700000000000001</v>
      </c>
      <c r="AB563" s="8">
        <v>4.8000000000000001E-2</v>
      </c>
      <c r="AC563" s="8">
        <v>2E-3</v>
      </c>
    </row>
    <row r="564" spans="1:29" ht="11.65" hidden="1" x14ac:dyDescent="0.35">
      <c r="A564" s="12">
        <v>547</v>
      </c>
      <c r="B564" s="10" t="s">
        <v>1015</v>
      </c>
      <c r="C564" s="11" t="s">
        <v>596</v>
      </c>
      <c r="D564" s="9"/>
      <c r="E564" s="9">
        <v>508</v>
      </c>
      <c r="F564" s="10" t="s">
        <v>1066</v>
      </c>
      <c r="G564" s="9">
        <v>910</v>
      </c>
      <c r="H564" s="9">
        <v>1980</v>
      </c>
      <c r="I564" s="8">
        <v>1024.8420000000001</v>
      </c>
      <c r="J564" s="8">
        <v>812.69799999999998</v>
      </c>
      <c r="K564" s="8">
        <v>689.67399999999998</v>
      </c>
      <c r="L564" s="8">
        <v>594.30499999999995</v>
      </c>
      <c r="M564" s="8">
        <v>505.13</v>
      </c>
      <c r="N564" s="8">
        <v>432.84500000000003</v>
      </c>
      <c r="O564" s="8">
        <v>372.48399999999998</v>
      </c>
      <c r="P564" s="8">
        <v>311.666</v>
      </c>
      <c r="Q564" s="8">
        <v>263.452</v>
      </c>
      <c r="R564" s="8">
        <v>225.53200000000001</v>
      </c>
      <c r="S564" s="8">
        <v>190.78399999999999</v>
      </c>
      <c r="T564" s="8">
        <v>158.328</v>
      </c>
      <c r="U564" s="8">
        <v>126.71299999999999</v>
      </c>
      <c r="V564" s="8">
        <v>94.951999999999998</v>
      </c>
      <c r="W564" s="8">
        <v>64.272000000000006</v>
      </c>
      <c r="X564" s="8">
        <v>36.924999999999997</v>
      </c>
      <c r="Y564" s="8">
        <v>16.298999999999999</v>
      </c>
      <c r="Z564" s="8">
        <v>4.7549999999999999</v>
      </c>
      <c r="AA564" s="8">
        <v>0.73899999999999999</v>
      </c>
      <c r="AB564" s="8">
        <v>5.3999999999999999E-2</v>
      </c>
      <c r="AC564" s="8">
        <v>3.0000000000000001E-3</v>
      </c>
    </row>
    <row r="565" spans="1:29" ht="11.65" hidden="1" x14ac:dyDescent="0.35">
      <c r="A565" s="12">
        <v>548</v>
      </c>
      <c r="B565" s="10" t="s">
        <v>1015</v>
      </c>
      <c r="C565" s="11" t="s">
        <v>596</v>
      </c>
      <c r="D565" s="9"/>
      <c r="E565" s="9">
        <v>508</v>
      </c>
      <c r="F565" s="10" t="s">
        <v>1066</v>
      </c>
      <c r="G565" s="9">
        <v>910</v>
      </c>
      <c r="H565" s="9">
        <v>1985</v>
      </c>
      <c r="I565" s="8">
        <v>1128.6179999999999</v>
      </c>
      <c r="J565" s="8">
        <v>919.07799999999997</v>
      </c>
      <c r="K565" s="8">
        <v>779.17100000000005</v>
      </c>
      <c r="L565" s="8">
        <v>660.2</v>
      </c>
      <c r="M565" s="8">
        <v>552.59100000000001</v>
      </c>
      <c r="N565" s="8">
        <v>459.48500000000001</v>
      </c>
      <c r="O565" s="8">
        <v>393.24299999999999</v>
      </c>
      <c r="P565" s="8">
        <v>340.91399999999999</v>
      </c>
      <c r="Q565" s="8">
        <v>286.76600000000002</v>
      </c>
      <c r="R565" s="8">
        <v>243.42599999999999</v>
      </c>
      <c r="S565" s="8">
        <v>207.923</v>
      </c>
      <c r="T565" s="8">
        <v>173.512</v>
      </c>
      <c r="U565" s="8">
        <v>139.768</v>
      </c>
      <c r="V565" s="8">
        <v>105.51600000000001</v>
      </c>
      <c r="W565" s="8">
        <v>71.668999999999997</v>
      </c>
      <c r="X565" s="8">
        <v>41.363999999999997</v>
      </c>
      <c r="Y565" s="8">
        <v>18.265000000000001</v>
      </c>
      <c r="Z565" s="8">
        <v>5.359</v>
      </c>
      <c r="AA565" s="8">
        <v>0.84899999999999998</v>
      </c>
      <c r="AB565" s="8">
        <v>6.3E-2</v>
      </c>
      <c r="AC565" s="8">
        <v>3.0000000000000001E-3</v>
      </c>
    </row>
    <row r="566" spans="1:29" ht="11.65" hidden="1" x14ac:dyDescent="0.35">
      <c r="A566" s="12">
        <v>549</v>
      </c>
      <c r="B566" s="10" t="s">
        <v>1015</v>
      </c>
      <c r="C566" s="11" t="s">
        <v>596</v>
      </c>
      <c r="D566" s="9"/>
      <c r="E566" s="9">
        <v>508</v>
      </c>
      <c r="F566" s="10" t="s">
        <v>1066</v>
      </c>
      <c r="G566" s="9">
        <v>910</v>
      </c>
      <c r="H566" s="9">
        <v>1990</v>
      </c>
      <c r="I566" s="8">
        <v>1153.57</v>
      </c>
      <c r="J566" s="8">
        <v>1005.497</v>
      </c>
      <c r="K566" s="8">
        <v>875.32</v>
      </c>
      <c r="L566" s="8">
        <v>722.452</v>
      </c>
      <c r="M566" s="8">
        <v>559.13499999999999</v>
      </c>
      <c r="N566" s="8">
        <v>436.04399999999998</v>
      </c>
      <c r="O566" s="8">
        <v>361.31599999999997</v>
      </c>
      <c r="P566" s="8">
        <v>320.44</v>
      </c>
      <c r="Q566" s="8">
        <v>288.20999999999998</v>
      </c>
      <c r="R566" s="8">
        <v>248.642</v>
      </c>
      <c r="S566" s="8">
        <v>214.09899999999999</v>
      </c>
      <c r="T566" s="8">
        <v>182.77600000000001</v>
      </c>
      <c r="U566" s="8">
        <v>149.42599999999999</v>
      </c>
      <c r="V566" s="8">
        <v>114.33199999999999</v>
      </c>
      <c r="W566" s="8">
        <v>78.513000000000005</v>
      </c>
      <c r="X566" s="8">
        <v>45.512999999999998</v>
      </c>
      <c r="Y566" s="8">
        <v>20.126000000000001</v>
      </c>
      <c r="Z566" s="8">
        <v>5.9269999999999996</v>
      </c>
      <c r="AA566" s="8">
        <v>0.94499999999999995</v>
      </c>
      <c r="AB566" s="8">
        <v>7.0000000000000007E-2</v>
      </c>
      <c r="AC566" s="8">
        <v>3.0000000000000001E-3</v>
      </c>
    </row>
    <row r="567" spans="1:29" ht="11.65" hidden="1" x14ac:dyDescent="0.35">
      <c r="A567" s="12">
        <v>550</v>
      </c>
      <c r="B567" s="10" t="s">
        <v>1015</v>
      </c>
      <c r="C567" s="11" t="s">
        <v>596</v>
      </c>
      <c r="D567" s="9"/>
      <c r="E567" s="9">
        <v>508</v>
      </c>
      <c r="F567" s="10" t="s">
        <v>1066</v>
      </c>
      <c r="G567" s="9">
        <v>910</v>
      </c>
      <c r="H567" s="9">
        <v>1995</v>
      </c>
      <c r="I567" s="8">
        <v>1362.539</v>
      </c>
      <c r="J567" s="8">
        <v>1109.886</v>
      </c>
      <c r="K567" s="8">
        <v>978.16399999999999</v>
      </c>
      <c r="L567" s="8">
        <v>837.476</v>
      </c>
      <c r="M567" s="8">
        <v>720.00900000000001</v>
      </c>
      <c r="N567" s="8">
        <v>611.62</v>
      </c>
      <c r="O567" s="8">
        <v>496.74900000000002</v>
      </c>
      <c r="P567" s="8">
        <v>403.31200000000001</v>
      </c>
      <c r="Q567" s="8">
        <v>347.59899999999999</v>
      </c>
      <c r="R567" s="8">
        <v>300.83</v>
      </c>
      <c r="S567" s="8">
        <v>251.38300000000001</v>
      </c>
      <c r="T567" s="8">
        <v>210.38499999999999</v>
      </c>
      <c r="U567" s="8">
        <v>171.29599999999999</v>
      </c>
      <c r="V567" s="8">
        <v>129.136</v>
      </c>
      <c r="W567" s="8">
        <v>88.394000000000005</v>
      </c>
      <c r="X567" s="8">
        <v>52.03</v>
      </c>
      <c r="Y567" s="8">
        <v>23.329000000000001</v>
      </c>
      <c r="Z567" s="8">
        <v>6.7530000000000001</v>
      </c>
      <c r="AA567" s="8">
        <v>1.0389999999999999</v>
      </c>
      <c r="AB567" s="8">
        <v>7.5999999999999998E-2</v>
      </c>
      <c r="AC567" s="8">
        <v>4.0000000000000001E-3</v>
      </c>
    </row>
    <row r="568" spans="1:29" ht="11.65" hidden="1" x14ac:dyDescent="0.35">
      <c r="A568" s="12">
        <v>551</v>
      </c>
      <c r="B568" s="10" t="s">
        <v>1015</v>
      </c>
      <c r="C568" s="11" t="s">
        <v>596</v>
      </c>
      <c r="D568" s="9"/>
      <c r="E568" s="9">
        <v>508</v>
      </c>
      <c r="F568" s="10" t="s">
        <v>1066</v>
      </c>
      <c r="G568" s="9">
        <v>910</v>
      </c>
      <c r="H568" s="9">
        <v>2000</v>
      </c>
      <c r="I568" s="8">
        <v>1582.675</v>
      </c>
      <c r="J568" s="8">
        <v>1280.53</v>
      </c>
      <c r="K568" s="8">
        <v>1088.0029999999999</v>
      </c>
      <c r="L568" s="8">
        <v>961.71299999999997</v>
      </c>
      <c r="M568" s="8">
        <v>817.99199999999996</v>
      </c>
      <c r="N568" s="8">
        <v>696.74199999999996</v>
      </c>
      <c r="O568" s="8">
        <v>586.98299999999995</v>
      </c>
      <c r="P568" s="8">
        <v>473.36</v>
      </c>
      <c r="Q568" s="8">
        <v>381.98500000000001</v>
      </c>
      <c r="R568" s="8">
        <v>327.93799999999999</v>
      </c>
      <c r="S568" s="8">
        <v>281.66899999999998</v>
      </c>
      <c r="T568" s="8">
        <v>231.87899999999999</v>
      </c>
      <c r="U568" s="8">
        <v>188.727</v>
      </c>
      <c r="V568" s="8">
        <v>145.947</v>
      </c>
      <c r="W568" s="8">
        <v>100.682</v>
      </c>
      <c r="X568" s="8">
        <v>59.527999999999999</v>
      </c>
      <c r="Y568" s="8">
        <v>27.234999999999999</v>
      </c>
      <c r="Z568" s="8">
        <v>7.9290000000000003</v>
      </c>
      <c r="AA568" s="8">
        <v>1.181</v>
      </c>
      <c r="AB568" s="8">
        <v>8.4000000000000005E-2</v>
      </c>
      <c r="AC568" s="8">
        <v>4.0000000000000001E-3</v>
      </c>
    </row>
    <row r="569" spans="1:29" ht="11.65" hidden="1" x14ac:dyDescent="0.35">
      <c r="A569" s="12">
        <v>552</v>
      </c>
      <c r="B569" s="10" t="s">
        <v>1015</v>
      </c>
      <c r="C569" s="11" t="s">
        <v>596</v>
      </c>
      <c r="D569" s="9"/>
      <c r="E569" s="9">
        <v>508</v>
      </c>
      <c r="F569" s="10" t="s">
        <v>1066</v>
      </c>
      <c r="G569" s="9">
        <v>910</v>
      </c>
      <c r="H569" s="9">
        <v>2005</v>
      </c>
      <c r="I569" s="8">
        <v>1861.931</v>
      </c>
      <c r="J569" s="8">
        <v>1517.0719999999999</v>
      </c>
      <c r="K569" s="8">
        <v>1264.059</v>
      </c>
      <c r="L569" s="8">
        <v>1076.098</v>
      </c>
      <c r="M569" s="8">
        <v>946.654</v>
      </c>
      <c r="N569" s="8">
        <v>796.66899999999998</v>
      </c>
      <c r="O569" s="8">
        <v>668.94799999999998</v>
      </c>
      <c r="P569" s="8">
        <v>555.76400000000001</v>
      </c>
      <c r="Q569" s="8">
        <v>444.01299999999998</v>
      </c>
      <c r="R569" s="8">
        <v>356.98899999999998</v>
      </c>
      <c r="S569" s="8">
        <v>304.25700000000001</v>
      </c>
      <c r="T569" s="8">
        <v>257.95400000000001</v>
      </c>
      <c r="U569" s="8">
        <v>207.298</v>
      </c>
      <c r="V569" s="8">
        <v>161.149</v>
      </c>
      <c r="W569" s="8">
        <v>114.866</v>
      </c>
      <c r="X569" s="8">
        <v>69.137</v>
      </c>
      <c r="Y569" s="8">
        <v>32.042999999999999</v>
      </c>
      <c r="Z569" s="8">
        <v>9.4979999999999993</v>
      </c>
      <c r="AA569" s="8">
        <v>1.417</v>
      </c>
      <c r="AB569" s="8">
        <v>0.1</v>
      </c>
      <c r="AC569" s="8">
        <v>5.0000000000000001E-3</v>
      </c>
    </row>
    <row r="570" spans="1:29" ht="11.65" hidden="1" x14ac:dyDescent="0.35">
      <c r="A570" s="12">
        <v>553</v>
      </c>
      <c r="B570" s="10" t="s">
        <v>1015</v>
      </c>
      <c r="C570" s="11" t="s">
        <v>596</v>
      </c>
      <c r="D570" s="9"/>
      <c r="E570" s="9">
        <v>508</v>
      </c>
      <c r="F570" s="10" t="s">
        <v>1066</v>
      </c>
      <c r="G570" s="9">
        <v>910</v>
      </c>
      <c r="H570" s="9">
        <v>2010</v>
      </c>
      <c r="I570" s="8">
        <v>2082.5700000000002</v>
      </c>
      <c r="J570" s="8">
        <v>1805.817</v>
      </c>
      <c r="K570" s="8">
        <v>1500.9179999999999</v>
      </c>
      <c r="L570" s="8">
        <v>1250.7080000000001</v>
      </c>
      <c r="M570" s="8">
        <v>1055.9780000000001</v>
      </c>
      <c r="N570" s="8">
        <v>914.28700000000003</v>
      </c>
      <c r="O570" s="8">
        <v>755.50099999999998</v>
      </c>
      <c r="P570" s="8">
        <v>623.73199999999997</v>
      </c>
      <c r="Q570" s="8">
        <v>513.06600000000003</v>
      </c>
      <c r="R570" s="8">
        <v>409.09500000000003</v>
      </c>
      <c r="S570" s="8">
        <v>327.27800000000002</v>
      </c>
      <c r="T570" s="8">
        <v>276.29899999999998</v>
      </c>
      <c r="U570" s="8">
        <v>229.40299999999999</v>
      </c>
      <c r="V570" s="8">
        <v>176.876</v>
      </c>
      <c r="W570" s="8">
        <v>127.461</v>
      </c>
      <c r="X570" s="8">
        <v>79.867999999999995</v>
      </c>
      <c r="Y570" s="8">
        <v>38.03</v>
      </c>
      <c r="Z570" s="8">
        <v>11.494999999999999</v>
      </c>
      <c r="AA570" s="8">
        <v>1.7609999999999999</v>
      </c>
      <c r="AB570" s="8">
        <v>0.125</v>
      </c>
      <c r="AC570" s="8">
        <v>6.0000000000000001E-3</v>
      </c>
    </row>
    <row r="571" spans="1:29" ht="11.65" hidden="1" x14ac:dyDescent="0.35">
      <c r="A571" s="12">
        <v>554</v>
      </c>
      <c r="B571" s="10" t="s">
        <v>1015</v>
      </c>
      <c r="C571" s="11" t="s">
        <v>596</v>
      </c>
      <c r="D571" s="9"/>
      <c r="E571" s="9">
        <v>508</v>
      </c>
      <c r="F571" s="10" t="s">
        <v>1066</v>
      </c>
      <c r="G571" s="9">
        <v>910</v>
      </c>
      <c r="H571" s="9">
        <v>2015</v>
      </c>
      <c r="I571" s="8">
        <v>2307.7849999999999</v>
      </c>
      <c r="J571" s="8">
        <v>2039.2249999999999</v>
      </c>
      <c r="K571" s="8">
        <v>1791.569</v>
      </c>
      <c r="L571" s="8">
        <v>1488.72</v>
      </c>
      <c r="M571" s="8">
        <v>1232.2139999999999</v>
      </c>
      <c r="N571" s="8">
        <v>1026.7719999999999</v>
      </c>
      <c r="O571" s="8">
        <v>875.54399999999998</v>
      </c>
      <c r="P571" s="8">
        <v>712.87</v>
      </c>
      <c r="Q571" s="8">
        <v>582.67999999999995</v>
      </c>
      <c r="R571" s="8">
        <v>477.44400000000002</v>
      </c>
      <c r="S571" s="8">
        <v>378.173</v>
      </c>
      <c r="T571" s="8">
        <v>299.45400000000001</v>
      </c>
      <c r="U571" s="8">
        <v>247.749</v>
      </c>
      <c r="V571" s="8">
        <v>197.57400000000001</v>
      </c>
      <c r="W571" s="8">
        <v>141.47999999999999</v>
      </c>
      <c r="X571" s="8">
        <v>89.852999999999994</v>
      </c>
      <c r="Y571" s="8">
        <v>44.67</v>
      </c>
      <c r="Z571" s="8">
        <v>13.893000000000001</v>
      </c>
      <c r="AA571" s="8">
        <v>2.1379999999999999</v>
      </c>
      <c r="AB571" s="8">
        <v>0.14899999999999999</v>
      </c>
      <c r="AC571" s="8">
        <v>7.0000000000000001E-3</v>
      </c>
    </row>
    <row r="572" spans="1:29" ht="11.65" hidden="1" x14ac:dyDescent="0.35">
      <c r="A572" s="12">
        <v>555</v>
      </c>
      <c r="B572" s="10" t="s">
        <v>1015</v>
      </c>
      <c r="C572" s="11" t="s">
        <v>596</v>
      </c>
      <c r="D572" s="9"/>
      <c r="E572" s="9">
        <v>508</v>
      </c>
      <c r="F572" s="10" t="s">
        <v>1066</v>
      </c>
      <c r="G572" s="9">
        <v>910</v>
      </c>
      <c r="H572" s="9">
        <v>2020</v>
      </c>
      <c r="I572" s="8">
        <v>2565.7779999999998</v>
      </c>
      <c r="J572" s="8">
        <v>2273.2260000000001</v>
      </c>
      <c r="K572" s="8">
        <v>2027.942</v>
      </c>
      <c r="L572" s="8">
        <v>1780.9780000000001</v>
      </c>
      <c r="M572" s="8">
        <v>1473.2139999999999</v>
      </c>
      <c r="N572" s="8">
        <v>1210.8040000000001</v>
      </c>
      <c r="O572" s="8">
        <v>1001.847</v>
      </c>
      <c r="P572" s="8">
        <v>848.39400000000001</v>
      </c>
      <c r="Q572" s="8">
        <v>686.053</v>
      </c>
      <c r="R572" s="8">
        <v>557.61400000000003</v>
      </c>
      <c r="S572" s="8">
        <v>453.15899999999999</v>
      </c>
      <c r="T572" s="8">
        <v>354.68700000000001</v>
      </c>
      <c r="U572" s="8">
        <v>275.26600000000002</v>
      </c>
      <c r="V572" s="8">
        <v>218.98</v>
      </c>
      <c r="W572" s="8">
        <v>162.73400000000001</v>
      </c>
      <c r="X572" s="8">
        <v>103.29</v>
      </c>
      <c r="Y572" s="8">
        <v>52.682000000000002</v>
      </c>
      <c r="Z572" s="8">
        <v>17.562999999999999</v>
      </c>
      <c r="AA572" s="8">
        <v>2.8029999999999999</v>
      </c>
      <c r="AB572" s="8">
        <v>0.17899999999999999</v>
      </c>
      <c r="AC572" s="8">
        <v>7.0000000000000001E-3</v>
      </c>
    </row>
    <row r="573" spans="1:29" ht="11.65" hidden="1" x14ac:dyDescent="0.35">
      <c r="A573" s="12">
        <v>556</v>
      </c>
      <c r="B573" s="10" t="s">
        <v>1015</v>
      </c>
      <c r="C573" s="11" t="s">
        <v>1073</v>
      </c>
      <c r="D573" s="9">
        <v>2</v>
      </c>
      <c r="E573" s="9">
        <v>638</v>
      </c>
      <c r="F573" s="10" t="s">
        <v>1066</v>
      </c>
      <c r="G573" s="9">
        <v>910</v>
      </c>
      <c r="H573" s="9">
        <v>1950</v>
      </c>
      <c r="I573" s="8">
        <v>20.606999999999999</v>
      </c>
      <c r="J573" s="8">
        <v>15.606999999999999</v>
      </c>
      <c r="K573" s="8">
        <v>13.909000000000001</v>
      </c>
      <c r="L573" s="8">
        <v>12.521000000000001</v>
      </c>
      <c r="M573" s="8">
        <v>10.72</v>
      </c>
      <c r="N573" s="8">
        <v>10.337</v>
      </c>
      <c r="O573" s="8">
        <v>8.3840000000000003</v>
      </c>
      <c r="P573" s="8">
        <v>7.4039999999999999</v>
      </c>
      <c r="Q573" s="8">
        <v>6.2030000000000003</v>
      </c>
      <c r="R573" s="8">
        <v>5.2409999999999997</v>
      </c>
      <c r="S573" s="8">
        <v>4.194</v>
      </c>
      <c r="T573" s="8">
        <v>3.8279999999999998</v>
      </c>
      <c r="U573" s="8">
        <v>3.4089999999999998</v>
      </c>
      <c r="V573" s="8">
        <v>2.6360000000000001</v>
      </c>
      <c r="W573" s="8">
        <v>2.0590000000000002</v>
      </c>
      <c r="X573" s="8">
        <v>1.3029999999999999</v>
      </c>
      <c r="Y573" s="8">
        <v>0.57899999999999996</v>
      </c>
      <c r="Z573" s="8">
        <v>0.20699999999999999</v>
      </c>
      <c r="AA573" s="8">
        <v>3.3000000000000002E-2</v>
      </c>
      <c r="AB573" s="8">
        <v>2E-3</v>
      </c>
      <c r="AC573" s="8">
        <v>0</v>
      </c>
    </row>
    <row r="574" spans="1:29" ht="11.65" hidden="1" x14ac:dyDescent="0.35">
      <c r="A574" s="12">
        <v>557</v>
      </c>
      <c r="B574" s="10" t="s">
        <v>1015</v>
      </c>
      <c r="C574" s="11" t="s">
        <v>1073</v>
      </c>
      <c r="D574" s="9">
        <v>2</v>
      </c>
      <c r="E574" s="9">
        <v>638</v>
      </c>
      <c r="F574" s="10" t="s">
        <v>1066</v>
      </c>
      <c r="G574" s="9">
        <v>910</v>
      </c>
      <c r="H574" s="9">
        <v>1955</v>
      </c>
      <c r="I574" s="8">
        <v>27.507000000000001</v>
      </c>
      <c r="J574" s="8">
        <v>19.606999999999999</v>
      </c>
      <c r="K574" s="8">
        <v>15.705</v>
      </c>
      <c r="L574" s="8">
        <v>13.752000000000001</v>
      </c>
      <c r="M574" s="8">
        <v>12.295</v>
      </c>
      <c r="N574" s="8">
        <v>10.438000000000001</v>
      </c>
      <c r="O574" s="8">
        <v>10.026</v>
      </c>
      <c r="P574" s="8">
        <v>8.1669999999999998</v>
      </c>
      <c r="Q574" s="8">
        <v>7.1879999999999997</v>
      </c>
      <c r="R574" s="8">
        <v>5.9729999999999999</v>
      </c>
      <c r="S574" s="8">
        <v>5.0359999999999996</v>
      </c>
      <c r="T574" s="8">
        <v>3.944</v>
      </c>
      <c r="U574" s="8">
        <v>3.492</v>
      </c>
      <c r="V574" s="8">
        <v>2.9510000000000001</v>
      </c>
      <c r="W574" s="8">
        <v>2.0670000000000002</v>
      </c>
      <c r="X574" s="8">
        <v>1.391</v>
      </c>
      <c r="Y574" s="8">
        <v>0.69399999999999995</v>
      </c>
      <c r="Z574" s="8">
        <v>0.25600000000000001</v>
      </c>
      <c r="AA574" s="8">
        <v>6.9000000000000006E-2</v>
      </c>
      <c r="AB574" s="8">
        <v>6.0000000000000001E-3</v>
      </c>
      <c r="AC574" s="8">
        <v>0</v>
      </c>
    </row>
    <row r="575" spans="1:29" ht="11.65" hidden="1" x14ac:dyDescent="0.35">
      <c r="A575" s="12">
        <v>558</v>
      </c>
      <c r="B575" s="10" t="s">
        <v>1015</v>
      </c>
      <c r="C575" s="11" t="s">
        <v>1073</v>
      </c>
      <c r="D575" s="9">
        <v>2</v>
      </c>
      <c r="E575" s="9">
        <v>638</v>
      </c>
      <c r="F575" s="10" t="s">
        <v>1066</v>
      </c>
      <c r="G575" s="9">
        <v>910</v>
      </c>
      <c r="H575" s="9">
        <v>1960</v>
      </c>
      <c r="I575" s="8">
        <v>29.734999999999999</v>
      </c>
      <c r="J575" s="8">
        <v>25.658999999999999</v>
      </c>
      <c r="K575" s="8">
        <v>19.561</v>
      </c>
      <c r="L575" s="8">
        <v>15.497</v>
      </c>
      <c r="M575" s="8">
        <v>13.484</v>
      </c>
      <c r="N575" s="8">
        <v>12.015000000000001</v>
      </c>
      <c r="O575" s="8">
        <v>10.201000000000001</v>
      </c>
      <c r="P575" s="8">
        <v>9.7539999999999996</v>
      </c>
      <c r="Q575" s="8">
        <v>7.8739999999999997</v>
      </c>
      <c r="R575" s="8">
        <v>6.9089999999999998</v>
      </c>
      <c r="S575" s="8">
        <v>5.6779999999999999</v>
      </c>
      <c r="T575" s="8">
        <v>4.6539999999999999</v>
      </c>
      <c r="U575" s="8">
        <v>3.5270000000000001</v>
      </c>
      <c r="V575" s="8">
        <v>2.9790000000000001</v>
      </c>
      <c r="W575" s="8">
        <v>2.3330000000000002</v>
      </c>
      <c r="X575" s="8">
        <v>1.419</v>
      </c>
      <c r="Y575" s="8">
        <v>0.77800000000000002</v>
      </c>
      <c r="Z575" s="8">
        <v>0.32200000000000001</v>
      </c>
      <c r="AA575" s="8">
        <v>8.5000000000000006E-2</v>
      </c>
      <c r="AB575" s="8">
        <v>1.0999999999999999E-2</v>
      </c>
      <c r="AC575" s="8">
        <v>0</v>
      </c>
    </row>
    <row r="576" spans="1:29" ht="11.65" hidden="1" x14ac:dyDescent="0.35">
      <c r="A576" s="12">
        <v>559</v>
      </c>
      <c r="B576" s="10" t="s">
        <v>1015</v>
      </c>
      <c r="C576" s="11" t="s">
        <v>1073</v>
      </c>
      <c r="D576" s="9">
        <v>2</v>
      </c>
      <c r="E576" s="9">
        <v>638</v>
      </c>
      <c r="F576" s="10" t="s">
        <v>1066</v>
      </c>
      <c r="G576" s="9">
        <v>910</v>
      </c>
      <c r="H576" s="9">
        <v>1965</v>
      </c>
      <c r="I576" s="8">
        <v>33.982999999999997</v>
      </c>
      <c r="J576" s="8">
        <v>28.873000000000001</v>
      </c>
      <c r="K576" s="8">
        <v>26.798999999999999</v>
      </c>
      <c r="L576" s="8">
        <v>20.157</v>
      </c>
      <c r="M576" s="8">
        <v>15.343999999999999</v>
      </c>
      <c r="N576" s="8">
        <v>12.500999999999999</v>
      </c>
      <c r="O576" s="8">
        <v>11.554</v>
      </c>
      <c r="P576" s="8">
        <v>9.9280000000000008</v>
      </c>
      <c r="Q576" s="8">
        <v>9.2899999999999991</v>
      </c>
      <c r="R576" s="8">
        <v>7.4779999999999998</v>
      </c>
      <c r="S576" s="8">
        <v>6.4710000000000001</v>
      </c>
      <c r="T576" s="8">
        <v>5.2969999999999997</v>
      </c>
      <c r="U576" s="8">
        <v>4.3040000000000003</v>
      </c>
      <c r="V576" s="8">
        <v>3.0670000000000002</v>
      </c>
      <c r="W576" s="8">
        <v>2.35</v>
      </c>
      <c r="X576" s="8">
        <v>1.641</v>
      </c>
      <c r="Y576" s="8">
        <v>0.94699999999999995</v>
      </c>
      <c r="Z576" s="8">
        <v>0.436</v>
      </c>
      <c r="AA576" s="8">
        <v>0.113</v>
      </c>
      <c r="AB576" s="8">
        <v>1.4999999999999999E-2</v>
      </c>
      <c r="AC576" s="8">
        <v>1E-3</v>
      </c>
    </row>
    <row r="577" spans="1:29" ht="11.65" hidden="1" x14ac:dyDescent="0.35">
      <c r="A577" s="12">
        <v>560</v>
      </c>
      <c r="B577" s="10" t="s">
        <v>1015</v>
      </c>
      <c r="C577" s="11" t="s">
        <v>1073</v>
      </c>
      <c r="D577" s="9">
        <v>2</v>
      </c>
      <c r="E577" s="9">
        <v>638</v>
      </c>
      <c r="F577" s="10" t="s">
        <v>1066</v>
      </c>
      <c r="G577" s="9">
        <v>910</v>
      </c>
      <c r="H577" s="9">
        <v>1970</v>
      </c>
      <c r="I577" s="8">
        <v>37.389000000000003</v>
      </c>
      <c r="J577" s="8">
        <v>36.777999999999999</v>
      </c>
      <c r="K577" s="8">
        <v>31.939</v>
      </c>
      <c r="L577" s="8">
        <v>26.698</v>
      </c>
      <c r="M577" s="8">
        <v>17.030999999999999</v>
      </c>
      <c r="N577" s="8">
        <v>14.054</v>
      </c>
      <c r="O577" s="8">
        <v>13.8</v>
      </c>
      <c r="P577" s="8">
        <v>12.205</v>
      </c>
      <c r="Q577" s="8">
        <v>10.449</v>
      </c>
      <c r="R577" s="8">
        <v>9.7530000000000001</v>
      </c>
      <c r="S577" s="8">
        <v>7.391</v>
      </c>
      <c r="T577" s="8">
        <v>6.5289999999999999</v>
      </c>
      <c r="U577" s="8">
        <v>5.1230000000000002</v>
      </c>
      <c r="V577" s="8">
        <v>3.76</v>
      </c>
      <c r="W577" s="8">
        <v>2.6110000000000002</v>
      </c>
      <c r="X577" s="8">
        <v>1.9810000000000001</v>
      </c>
      <c r="Y577" s="8">
        <v>1.1850000000000001</v>
      </c>
      <c r="Z577" s="8">
        <v>0.53200000000000003</v>
      </c>
      <c r="AA577" s="8">
        <v>0.16300000000000001</v>
      </c>
      <c r="AB577" s="8">
        <v>2.4E-2</v>
      </c>
      <c r="AC577" s="8">
        <v>2E-3</v>
      </c>
    </row>
    <row r="578" spans="1:29" ht="11.65" hidden="1" x14ac:dyDescent="0.35">
      <c r="A578" s="12">
        <v>561</v>
      </c>
      <c r="B578" s="10" t="s">
        <v>1015</v>
      </c>
      <c r="C578" s="11" t="s">
        <v>1073</v>
      </c>
      <c r="D578" s="9">
        <v>2</v>
      </c>
      <c r="E578" s="9">
        <v>638</v>
      </c>
      <c r="F578" s="10" t="s">
        <v>1066</v>
      </c>
      <c r="G578" s="9">
        <v>910</v>
      </c>
      <c r="H578" s="9">
        <v>1975</v>
      </c>
      <c r="I578" s="8">
        <v>30.390999999999998</v>
      </c>
      <c r="J578" s="8">
        <v>36.311</v>
      </c>
      <c r="K578" s="8">
        <v>34.771000000000001</v>
      </c>
      <c r="L578" s="8">
        <v>29.513999999999999</v>
      </c>
      <c r="M578" s="8">
        <v>23.172999999999998</v>
      </c>
      <c r="N578" s="8">
        <v>14.757999999999999</v>
      </c>
      <c r="O578" s="8">
        <v>13.164</v>
      </c>
      <c r="P578" s="8">
        <v>12.965</v>
      </c>
      <c r="Q578" s="8">
        <v>11.411</v>
      </c>
      <c r="R578" s="8">
        <v>9.548</v>
      </c>
      <c r="S578" s="8">
        <v>9.0359999999999996</v>
      </c>
      <c r="T578" s="8">
        <v>6.8579999999999997</v>
      </c>
      <c r="U578" s="8">
        <v>5.7729999999999997</v>
      </c>
      <c r="V578" s="8">
        <v>4.4359999999999999</v>
      </c>
      <c r="W578" s="8">
        <v>3.1389999999999998</v>
      </c>
      <c r="X578" s="8">
        <v>2.0070000000000001</v>
      </c>
      <c r="Y578" s="8">
        <v>1.4370000000000001</v>
      </c>
      <c r="Z578" s="8">
        <v>0.72399999999999998</v>
      </c>
      <c r="AA578" s="8">
        <v>0.21199999999999999</v>
      </c>
      <c r="AB578" s="8">
        <v>3.7999999999999999E-2</v>
      </c>
      <c r="AC578" s="8">
        <v>3.0000000000000001E-3</v>
      </c>
    </row>
    <row r="579" spans="1:29" ht="11.65" hidden="1" x14ac:dyDescent="0.35">
      <c r="A579" s="12">
        <v>562</v>
      </c>
      <c r="B579" s="10" t="s">
        <v>1015</v>
      </c>
      <c r="C579" s="11" t="s">
        <v>1073</v>
      </c>
      <c r="D579" s="9">
        <v>2</v>
      </c>
      <c r="E579" s="9">
        <v>638</v>
      </c>
      <c r="F579" s="10" t="s">
        <v>1066</v>
      </c>
      <c r="G579" s="9">
        <v>910</v>
      </c>
      <c r="H579" s="9">
        <v>1980</v>
      </c>
      <c r="I579" s="8">
        <v>28.481000000000002</v>
      </c>
      <c r="J579" s="8">
        <v>31.213999999999999</v>
      </c>
      <c r="K579" s="8">
        <v>35.445999999999998</v>
      </c>
      <c r="L579" s="8">
        <v>32.886000000000003</v>
      </c>
      <c r="M579" s="8">
        <v>25.742999999999999</v>
      </c>
      <c r="N579" s="8">
        <v>19.247</v>
      </c>
      <c r="O579" s="8">
        <v>14.000999999999999</v>
      </c>
      <c r="P579" s="8">
        <v>13.018000000000001</v>
      </c>
      <c r="Q579" s="8">
        <v>12.124000000000001</v>
      </c>
      <c r="R579" s="8">
        <v>10.834</v>
      </c>
      <c r="S579" s="8">
        <v>9.1389999999999993</v>
      </c>
      <c r="T579" s="8">
        <v>8.2810000000000006</v>
      </c>
      <c r="U579" s="8">
        <v>6.2050000000000001</v>
      </c>
      <c r="V579" s="8">
        <v>5.0789999999999997</v>
      </c>
      <c r="W579" s="8">
        <v>3.6960000000000002</v>
      </c>
      <c r="X579" s="8">
        <v>2.4980000000000002</v>
      </c>
      <c r="Y579" s="8">
        <v>1.5269999999999999</v>
      </c>
      <c r="Z579" s="8">
        <v>0.88800000000000001</v>
      </c>
      <c r="AA579" s="8">
        <v>0.30599999999999999</v>
      </c>
      <c r="AB579" s="8">
        <v>5.3999999999999999E-2</v>
      </c>
      <c r="AC579" s="8">
        <v>6.0000000000000001E-3</v>
      </c>
    </row>
    <row r="580" spans="1:29" ht="11.65" hidden="1" x14ac:dyDescent="0.35">
      <c r="A580" s="12">
        <v>563</v>
      </c>
      <c r="B580" s="10" t="s">
        <v>1015</v>
      </c>
      <c r="C580" s="11" t="s">
        <v>1073</v>
      </c>
      <c r="D580" s="9">
        <v>2</v>
      </c>
      <c r="E580" s="9">
        <v>638</v>
      </c>
      <c r="F580" s="10" t="s">
        <v>1066</v>
      </c>
      <c r="G580" s="9">
        <v>910</v>
      </c>
      <c r="H580" s="9">
        <v>1985</v>
      </c>
      <c r="I580" s="8">
        <v>30.795999999999999</v>
      </c>
      <c r="J580" s="8">
        <v>29.965</v>
      </c>
      <c r="K580" s="8">
        <v>31.527999999999999</v>
      </c>
      <c r="L580" s="8">
        <v>33.704000000000001</v>
      </c>
      <c r="M580" s="8">
        <v>29.687999999999999</v>
      </c>
      <c r="N580" s="8">
        <v>24.312999999999999</v>
      </c>
      <c r="O580" s="8">
        <v>20.698</v>
      </c>
      <c r="P580" s="8">
        <v>15.023</v>
      </c>
      <c r="Q580" s="8">
        <v>12.997</v>
      </c>
      <c r="R580" s="8">
        <v>12.061999999999999</v>
      </c>
      <c r="S580" s="8">
        <v>10.622</v>
      </c>
      <c r="T580" s="8">
        <v>8.7520000000000007</v>
      </c>
      <c r="U580" s="8">
        <v>7.9710000000000001</v>
      </c>
      <c r="V580" s="8">
        <v>5.8129999999999997</v>
      </c>
      <c r="W580" s="8">
        <v>4.6870000000000003</v>
      </c>
      <c r="X580" s="8">
        <v>3.49</v>
      </c>
      <c r="Y580" s="8">
        <v>2.2930000000000001</v>
      </c>
      <c r="Z580" s="8">
        <v>1.0820000000000001</v>
      </c>
      <c r="AA580" s="8">
        <v>0.39600000000000002</v>
      </c>
      <c r="AB580" s="8">
        <v>8.7999999999999995E-2</v>
      </c>
      <c r="AC580" s="8">
        <v>8.9999999999999993E-3</v>
      </c>
    </row>
    <row r="581" spans="1:29" ht="11.65" hidden="1" x14ac:dyDescent="0.35">
      <c r="A581" s="12">
        <v>564</v>
      </c>
      <c r="B581" s="10" t="s">
        <v>1015</v>
      </c>
      <c r="C581" s="11" t="s">
        <v>1073</v>
      </c>
      <c r="D581" s="9">
        <v>2</v>
      </c>
      <c r="E581" s="9">
        <v>638</v>
      </c>
      <c r="F581" s="10" t="s">
        <v>1066</v>
      </c>
      <c r="G581" s="9">
        <v>910</v>
      </c>
      <c r="H581" s="9">
        <v>1990</v>
      </c>
      <c r="I581" s="8">
        <v>33.466000000000001</v>
      </c>
      <c r="J581" s="8">
        <v>30.155999999999999</v>
      </c>
      <c r="K581" s="8">
        <v>30.248000000000001</v>
      </c>
      <c r="L581" s="8">
        <v>32.002000000000002</v>
      </c>
      <c r="M581" s="8">
        <v>33.65</v>
      </c>
      <c r="N581" s="8">
        <v>29.141999999999999</v>
      </c>
      <c r="O581" s="8">
        <v>24.073</v>
      </c>
      <c r="P581" s="8">
        <v>20.452000000000002</v>
      </c>
      <c r="Q581" s="8">
        <v>14.781000000000001</v>
      </c>
      <c r="R581" s="8">
        <v>12.765000000000001</v>
      </c>
      <c r="S581" s="8">
        <v>11.826000000000001</v>
      </c>
      <c r="T581" s="8">
        <v>10.23</v>
      </c>
      <c r="U581" s="8">
        <v>8.2460000000000004</v>
      </c>
      <c r="V581" s="8">
        <v>7.3659999999999997</v>
      </c>
      <c r="W581" s="8">
        <v>5.1749999999999998</v>
      </c>
      <c r="X581" s="8">
        <v>3.8410000000000002</v>
      </c>
      <c r="Y581" s="8">
        <v>2.5</v>
      </c>
      <c r="Z581" s="8">
        <v>1.405</v>
      </c>
      <c r="AA581" s="8">
        <v>0.50600000000000001</v>
      </c>
      <c r="AB581" s="8">
        <v>0.123</v>
      </c>
      <c r="AC581" s="8">
        <v>1.7000000000000001E-2</v>
      </c>
    </row>
    <row r="582" spans="1:29" ht="11.65" hidden="1" x14ac:dyDescent="0.35">
      <c r="A582" s="12">
        <v>565</v>
      </c>
      <c r="B582" s="10" t="s">
        <v>1015</v>
      </c>
      <c r="C582" s="11" t="s">
        <v>1073</v>
      </c>
      <c r="D582" s="9">
        <v>2</v>
      </c>
      <c r="E582" s="9">
        <v>638</v>
      </c>
      <c r="F582" s="10" t="s">
        <v>1066</v>
      </c>
      <c r="G582" s="9">
        <v>910</v>
      </c>
      <c r="H582" s="9">
        <v>1995</v>
      </c>
      <c r="I582" s="8">
        <v>34.311</v>
      </c>
      <c r="J582" s="8">
        <v>33.712000000000003</v>
      </c>
      <c r="K582" s="8">
        <v>31.135999999999999</v>
      </c>
      <c r="L582" s="8">
        <v>30.847999999999999</v>
      </c>
      <c r="M582" s="8">
        <v>30.498999999999999</v>
      </c>
      <c r="N582" s="8">
        <v>32.628</v>
      </c>
      <c r="O582" s="8">
        <v>31.117000000000001</v>
      </c>
      <c r="P582" s="8">
        <v>25.704999999999998</v>
      </c>
      <c r="Q582" s="8">
        <v>20.616</v>
      </c>
      <c r="R582" s="8">
        <v>15.002000000000001</v>
      </c>
      <c r="S582" s="8">
        <v>12.864000000000001</v>
      </c>
      <c r="T582" s="8">
        <v>11.657999999999999</v>
      </c>
      <c r="U582" s="8">
        <v>9.8620000000000001</v>
      </c>
      <c r="V582" s="8">
        <v>7.8159999999999998</v>
      </c>
      <c r="W582" s="8">
        <v>6.7770000000000001</v>
      </c>
      <c r="X582" s="8">
        <v>4.5350000000000001</v>
      </c>
      <c r="Y582" s="8">
        <v>2.9780000000000002</v>
      </c>
      <c r="Z582" s="8">
        <v>1.583</v>
      </c>
      <c r="AA582" s="8">
        <v>0.69</v>
      </c>
      <c r="AB582" s="8">
        <v>0.17199999999999999</v>
      </c>
      <c r="AC582" s="8">
        <v>2.7E-2</v>
      </c>
    </row>
    <row r="583" spans="1:29" ht="11.65" hidden="1" x14ac:dyDescent="0.35">
      <c r="A583" s="12">
        <v>566</v>
      </c>
      <c r="B583" s="10" t="s">
        <v>1015</v>
      </c>
      <c r="C583" s="11" t="s">
        <v>1073</v>
      </c>
      <c r="D583" s="9">
        <v>2</v>
      </c>
      <c r="E583" s="9">
        <v>638</v>
      </c>
      <c r="F583" s="10" t="s">
        <v>1066</v>
      </c>
      <c r="G583" s="9">
        <v>910</v>
      </c>
      <c r="H583" s="9">
        <v>2000</v>
      </c>
      <c r="I583" s="8">
        <v>35.024000000000001</v>
      </c>
      <c r="J583" s="8">
        <v>34.725999999999999</v>
      </c>
      <c r="K583" s="8">
        <v>34.691000000000003</v>
      </c>
      <c r="L583" s="8">
        <v>31.741</v>
      </c>
      <c r="M583" s="8">
        <v>29.356000000000002</v>
      </c>
      <c r="N583" s="8">
        <v>29.492000000000001</v>
      </c>
      <c r="O583" s="8">
        <v>34.6</v>
      </c>
      <c r="P583" s="8">
        <v>32.723999999999997</v>
      </c>
      <c r="Q583" s="8">
        <v>25.838999999999999</v>
      </c>
      <c r="R583" s="8">
        <v>20.780999999999999</v>
      </c>
      <c r="S583" s="8">
        <v>15.089</v>
      </c>
      <c r="T583" s="8">
        <v>12.698</v>
      </c>
      <c r="U583" s="8">
        <v>11.266</v>
      </c>
      <c r="V583" s="8">
        <v>9.375</v>
      </c>
      <c r="W583" s="8">
        <v>7.23</v>
      </c>
      <c r="X583" s="8">
        <v>5.96</v>
      </c>
      <c r="Y583" s="8">
        <v>3.56</v>
      </c>
      <c r="Z583" s="8">
        <v>1.931</v>
      </c>
      <c r="AA583" s="8">
        <v>0.81200000000000006</v>
      </c>
      <c r="AB583" s="8">
        <v>0.252</v>
      </c>
      <c r="AC583" s="8">
        <v>4.2000000000000003E-2</v>
      </c>
    </row>
    <row r="584" spans="1:29" ht="11.65" hidden="1" x14ac:dyDescent="0.35">
      <c r="A584" s="12">
        <v>567</v>
      </c>
      <c r="B584" s="10" t="s">
        <v>1015</v>
      </c>
      <c r="C584" s="11" t="s">
        <v>1073</v>
      </c>
      <c r="D584" s="9">
        <v>2</v>
      </c>
      <c r="E584" s="9">
        <v>638</v>
      </c>
      <c r="F584" s="10" t="s">
        <v>1066</v>
      </c>
      <c r="G584" s="9">
        <v>910</v>
      </c>
      <c r="H584" s="9">
        <v>2005</v>
      </c>
      <c r="I584" s="8">
        <v>36.762999999999998</v>
      </c>
      <c r="J584" s="8">
        <v>33.561999999999998</v>
      </c>
      <c r="K584" s="8">
        <v>33.682000000000002</v>
      </c>
      <c r="L584" s="8">
        <v>35.875</v>
      </c>
      <c r="M584" s="8">
        <v>32.332999999999998</v>
      </c>
      <c r="N584" s="8">
        <v>28.344000000000001</v>
      </c>
      <c r="O584" s="8">
        <v>27.599</v>
      </c>
      <c r="P584" s="8">
        <v>33.218000000000004</v>
      </c>
      <c r="Q584" s="8">
        <v>32.347000000000001</v>
      </c>
      <c r="R584" s="8">
        <v>26.594000000000001</v>
      </c>
      <c r="S584" s="8">
        <v>21.85</v>
      </c>
      <c r="T584" s="8">
        <v>14.951000000000001</v>
      </c>
      <c r="U584" s="8">
        <v>12.061</v>
      </c>
      <c r="V584" s="8">
        <v>10.747</v>
      </c>
      <c r="W584" s="8">
        <v>8.5050000000000008</v>
      </c>
      <c r="X584" s="8">
        <v>6.08</v>
      </c>
      <c r="Y584" s="8">
        <v>4.7560000000000002</v>
      </c>
      <c r="Z584" s="8">
        <v>2.4569999999999999</v>
      </c>
      <c r="AA584" s="8">
        <v>1.0309999999999999</v>
      </c>
      <c r="AB584" s="8">
        <v>0.32</v>
      </c>
      <c r="AC584" s="8">
        <v>6.8000000000000005E-2</v>
      </c>
    </row>
    <row r="585" spans="1:29" ht="11.65" hidden="1" x14ac:dyDescent="0.35">
      <c r="A585" s="12">
        <v>568</v>
      </c>
      <c r="B585" s="10" t="s">
        <v>1015</v>
      </c>
      <c r="C585" s="11" t="s">
        <v>1073</v>
      </c>
      <c r="D585" s="9">
        <v>2</v>
      </c>
      <c r="E585" s="9">
        <v>638</v>
      </c>
      <c r="F585" s="10" t="s">
        <v>1066</v>
      </c>
      <c r="G585" s="9">
        <v>910</v>
      </c>
      <c r="H585" s="9">
        <v>2010</v>
      </c>
      <c r="I585" s="8">
        <v>34.970999999999997</v>
      </c>
      <c r="J585" s="8">
        <v>35.369999999999997</v>
      </c>
      <c r="K585" s="8">
        <v>32.984999999999999</v>
      </c>
      <c r="L585" s="8">
        <v>34.265000000000001</v>
      </c>
      <c r="M585" s="8">
        <v>33.01</v>
      </c>
      <c r="N585" s="8">
        <v>27.515000000000001</v>
      </c>
      <c r="O585" s="8">
        <v>27.46</v>
      </c>
      <c r="P585" s="8">
        <v>30.09</v>
      </c>
      <c r="Q585" s="8">
        <v>35.69</v>
      </c>
      <c r="R585" s="8">
        <v>32.991</v>
      </c>
      <c r="S585" s="8">
        <v>26.013000000000002</v>
      </c>
      <c r="T585" s="8">
        <v>21.521999999999998</v>
      </c>
      <c r="U585" s="8">
        <v>15.345000000000001</v>
      </c>
      <c r="V585" s="8">
        <v>12.523999999999999</v>
      </c>
      <c r="W585" s="8">
        <v>10.694000000000001</v>
      </c>
      <c r="X585" s="8">
        <v>7.7</v>
      </c>
      <c r="Y585" s="8">
        <v>5.0049999999999999</v>
      </c>
      <c r="Z585" s="8">
        <v>3.33</v>
      </c>
      <c r="AA585" s="8">
        <v>1.365</v>
      </c>
      <c r="AB585" s="8">
        <v>0.433</v>
      </c>
      <c r="AC585" s="8">
        <v>9.7000000000000003E-2</v>
      </c>
    </row>
    <row r="586" spans="1:29" ht="11.65" hidden="1" x14ac:dyDescent="0.35">
      <c r="A586" s="12">
        <v>569</v>
      </c>
      <c r="B586" s="10" t="s">
        <v>1015</v>
      </c>
      <c r="C586" s="11" t="s">
        <v>1073</v>
      </c>
      <c r="D586" s="9">
        <v>2</v>
      </c>
      <c r="E586" s="9">
        <v>638</v>
      </c>
      <c r="F586" s="10" t="s">
        <v>1066</v>
      </c>
      <c r="G586" s="9">
        <v>910</v>
      </c>
      <c r="H586" s="9">
        <v>2015</v>
      </c>
      <c r="I586" s="8">
        <v>33.988999999999997</v>
      </c>
      <c r="J586" s="8">
        <v>33.951000000000001</v>
      </c>
      <c r="K586" s="8">
        <v>35.148000000000003</v>
      </c>
      <c r="L586" s="8">
        <v>32.789000000000001</v>
      </c>
      <c r="M586" s="8">
        <v>29.635000000000002</v>
      </c>
      <c r="N586" s="8">
        <v>26.966999999999999</v>
      </c>
      <c r="O586" s="8">
        <v>26.821999999999999</v>
      </c>
      <c r="P586" s="8">
        <v>30.405000000000001</v>
      </c>
      <c r="Q586" s="8">
        <v>31.437999999999999</v>
      </c>
      <c r="R586" s="8">
        <v>34.156999999999996</v>
      </c>
      <c r="S586" s="8">
        <v>31.538</v>
      </c>
      <c r="T586" s="8">
        <v>26.018000000000001</v>
      </c>
      <c r="U586" s="8">
        <v>22.026</v>
      </c>
      <c r="V586" s="8">
        <v>15.670999999999999</v>
      </c>
      <c r="W586" s="8">
        <v>12.089</v>
      </c>
      <c r="X586" s="8">
        <v>9.6920000000000002</v>
      </c>
      <c r="Y586" s="8">
        <v>6.63</v>
      </c>
      <c r="Z586" s="8">
        <v>3.6429999999999998</v>
      </c>
      <c r="AA586" s="8">
        <v>1.9179999999999999</v>
      </c>
      <c r="AB586" s="8">
        <v>0.6</v>
      </c>
      <c r="AC586" s="8">
        <v>0.14000000000000001</v>
      </c>
    </row>
    <row r="587" spans="1:29" ht="11.65" hidden="1" x14ac:dyDescent="0.35">
      <c r="A587" s="12">
        <v>570</v>
      </c>
      <c r="B587" s="10" t="s">
        <v>1015</v>
      </c>
      <c r="C587" s="11" t="s">
        <v>1073</v>
      </c>
      <c r="D587" s="9">
        <v>2</v>
      </c>
      <c r="E587" s="9">
        <v>638</v>
      </c>
      <c r="F587" s="10" t="s">
        <v>1066</v>
      </c>
      <c r="G587" s="9">
        <v>910</v>
      </c>
      <c r="H587" s="9">
        <v>2020</v>
      </c>
      <c r="I587" s="8">
        <v>31.945</v>
      </c>
      <c r="J587" s="8">
        <v>33.212000000000003</v>
      </c>
      <c r="K587" s="8">
        <v>33.402999999999999</v>
      </c>
      <c r="L587" s="8">
        <v>34.762</v>
      </c>
      <c r="M587" s="8">
        <v>31.228999999999999</v>
      </c>
      <c r="N587" s="8">
        <v>27.6</v>
      </c>
      <c r="O587" s="8">
        <v>26.399000000000001</v>
      </c>
      <c r="P587" s="8">
        <v>27.606000000000002</v>
      </c>
      <c r="Q587" s="8">
        <v>30.97</v>
      </c>
      <c r="R587" s="8">
        <v>31.218</v>
      </c>
      <c r="S587" s="8">
        <v>33.744</v>
      </c>
      <c r="T587" s="8">
        <v>31.157</v>
      </c>
      <c r="U587" s="8">
        <v>25.643000000000001</v>
      </c>
      <c r="V587" s="8">
        <v>21.478000000000002</v>
      </c>
      <c r="W587" s="8">
        <v>14.73</v>
      </c>
      <c r="X587" s="8">
        <v>10.84</v>
      </c>
      <c r="Y587" s="8">
        <v>7.9039999999999999</v>
      </c>
      <c r="Z587" s="8">
        <v>4.7519999999999998</v>
      </c>
      <c r="AA587" s="8">
        <v>2.2930000000000001</v>
      </c>
      <c r="AB587" s="8">
        <v>1.01</v>
      </c>
      <c r="AC587" s="8">
        <v>0.112</v>
      </c>
    </row>
    <row r="588" spans="1:29" ht="11.65" hidden="1" x14ac:dyDescent="0.35">
      <c r="A588" s="12">
        <v>571</v>
      </c>
      <c r="B588" s="10" t="s">
        <v>1015</v>
      </c>
      <c r="C588" s="11" t="s">
        <v>600</v>
      </c>
      <c r="D588" s="9"/>
      <c r="E588" s="9">
        <v>646</v>
      </c>
      <c r="F588" s="10" t="s">
        <v>1066</v>
      </c>
      <c r="G588" s="9">
        <v>910</v>
      </c>
      <c r="H588" s="9">
        <v>1950</v>
      </c>
      <c r="I588" s="8">
        <v>209.952</v>
      </c>
      <c r="J588" s="8">
        <v>138.15799999999999</v>
      </c>
      <c r="K588" s="8">
        <v>121.43600000000001</v>
      </c>
      <c r="L588" s="8">
        <v>121.56</v>
      </c>
      <c r="M588" s="8">
        <v>108.295</v>
      </c>
      <c r="N588" s="8">
        <v>82.326999999999998</v>
      </c>
      <c r="O588" s="8">
        <v>59.417999999999999</v>
      </c>
      <c r="P588" s="8">
        <v>55.25</v>
      </c>
      <c r="Q588" s="8">
        <v>48.999000000000002</v>
      </c>
      <c r="R588" s="8">
        <v>40.151000000000003</v>
      </c>
      <c r="S588" s="8">
        <v>37.192</v>
      </c>
      <c r="T588" s="8">
        <v>30.547000000000001</v>
      </c>
      <c r="U588" s="8">
        <v>26.172000000000001</v>
      </c>
      <c r="V588" s="8">
        <v>15.872999999999999</v>
      </c>
      <c r="W588" s="8">
        <v>8.9670000000000005</v>
      </c>
      <c r="X588" s="8">
        <v>4.7930000000000001</v>
      </c>
      <c r="Y588" s="8">
        <v>1.982</v>
      </c>
      <c r="Z588" s="8">
        <v>0.57599999999999996</v>
      </c>
      <c r="AA588" s="8">
        <v>0.108</v>
      </c>
      <c r="AB588" s="8">
        <v>1.2999999999999999E-2</v>
      </c>
      <c r="AC588" s="8">
        <v>0</v>
      </c>
    </row>
    <row r="589" spans="1:29" ht="11.65" hidden="1" x14ac:dyDescent="0.35">
      <c r="A589" s="12">
        <v>572</v>
      </c>
      <c r="B589" s="10" t="s">
        <v>1015</v>
      </c>
      <c r="C589" s="11" t="s">
        <v>600</v>
      </c>
      <c r="D589" s="9"/>
      <c r="E589" s="9">
        <v>646</v>
      </c>
      <c r="F589" s="10" t="s">
        <v>1066</v>
      </c>
      <c r="G589" s="9">
        <v>910</v>
      </c>
      <c r="H589" s="9">
        <v>1955</v>
      </c>
      <c r="I589" s="8">
        <v>254.69300000000001</v>
      </c>
      <c r="J589" s="8">
        <v>187.70599999999999</v>
      </c>
      <c r="K589" s="8">
        <v>132.16499999999999</v>
      </c>
      <c r="L589" s="8">
        <v>117.47</v>
      </c>
      <c r="M589" s="8">
        <v>117.196</v>
      </c>
      <c r="N589" s="8">
        <v>103.81699999999999</v>
      </c>
      <c r="O589" s="8">
        <v>78.433999999999997</v>
      </c>
      <c r="P589" s="8">
        <v>56.261000000000003</v>
      </c>
      <c r="Q589" s="8">
        <v>51.997</v>
      </c>
      <c r="R589" s="8">
        <v>45.901000000000003</v>
      </c>
      <c r="S589" s="8">
        <v>37.250999999999998</v>
      </c>
      <c r="T589" s="8">
        <v>33.837000000000003</v>
      </c>
      <c r="U589" s="8">
        <v>26.838999999999999</v>
      </c>
      <c r="V589" s="8">
        <v>21.62</v>
      </c>
      <c r="W589" s="8">
        <v>11.859</v>
      </c>
      <c r="X589" s="8">
        <v>5.7229999999999999</v>
      </c>
      <c r="Y589" s="8">
        <v>2.3759999999999999</v>
      </c>
      <c r="Z589" s="8">
        <v>0.65900000000000003</v>
      </c>
      <c r="AA589" s="8">
        <v>0.107</v>
      </c>
      <c r="AB589" s="8">
        <v>0.01</v>
      </c>
      <c r="AC589" s="8">
        <v>1E-3</v>
      </c>
    </row>
    <row r="590" spans="1:29" ht="11.65" hidden="1" x14ac:dyDescent="0.35">
      <c r="A590" s="12">
        <v>573</v>
      </c>
      <c r="B590" s="10" t="s">
        <v>1015</v>
      </c>
      <c r="C590" s="11" t="s">
        <v>600</v>
      </c>
      <c r="D590" s="9"/>
      <c r="E590" s="9">
        <v>646</v>
      </c>
      <c r="F590" s="10" t="s">
        <v>1066</v>
      </c>
      <c r="G590" s="9">
        <v>910</v>
      </c>
      <c r="H590" s="9">
        <v>1960</v>
      </c>
      <c r="I590" s="8">
        <v>296.63900000000001</v>
      </c>
      <c r="J590" s="8">
        <v>230.04900000000001</v>
      </c>
      <c r="K590" s="8">
        <v>180.429</v>
      </c>
      <c r="L590" s="8">
        <v>128.26</v>
      </c>
      <c r="M590" s="8">
        <v>113.587</v>
      </c>
      <c r="N590" s="8">
        <v>112.68899999999999</v>
      </c>
      <c r="O590" s="8">
        <v>99.225999999999999</v>
      </c>
      <c r="P590" s="8">
        <v>74.519000000000005</v>
      </c>
      <c r="Q590" s="8">
        <v>53.125</v>
      </c>
      <c r="R590" s="8">
        <v>48.860999999999997</v>
      </c>
      <c r="S590" s="8">
        <v>42.716000000000001</v>
      </c>
      <c r="T590" s="8">
        <v>34.003</v>
      </c>
      <c r="U590" s="8">
        <v>29.844999999999999</v>
      </c>
      <c r="V590" s="8">
        <v>22.271000000000001</v>
      </c>
      <c r="W590" s="8">
        <v>16.23</v>
      </c>
      <c r="X590" s="8">
        <v>7.5990000000000002</v>
      </c>
      <c r="Y590" s="8">
        <v>2.8380000000000001</v>
      </c>
      <c r="Z590" s="8">
        <v>0.78100000000000003</v>
      </c>
      <c r="AA590" s="8">
        <v>0.11899999999999999</v>
      </c>
      <c r="AB590" s="8">
        <v>0.01</v>
      </c>
      <c r="AC590" s="8">
        <v>1E-3</v>
      </c>
    </row>
    <row r="591" spans="1:29" ht="11.65" hidden="1" x14ac:dyDescent="0.35">
      <c r="A591" s="12">
        <v>574</v>
      </c>
      <c r="B591" s="10" t="s">
        <v>1015</v>
      </c>
      <c r="C591" s="11" t="s">
        <v>600</v>
      </c>
      <c r="D591" s="9"/>
      <c r="E591" s="9">
        <v>646</v>
      </c>
      <c r="F591" s="10" t="s">
        <v>1066</v>
      </c>
      <c r="G591" s="9">
        <v>910</v>
      </c>
      <c r="H591" s="9">
        <v>1965</v>
      </c>
      <c r="I591" s="8">
        <v>315.64600000000002</v>
      </c>
      <c r="J591" s="8">
        <v>268.57299999999998</v>
      </c>
      <c r="K591" s="8">
        <v>220.52799999999999</v>
      </c>
      <c r="L591" s="8">
        <v>167.49100000000001</v>
      </c>
      <c r="M591" s="8">
        <v>110.246</v>
      </c>
      <c r="N591" s="8">
        <v>96.460999999999999</v>
      </c>
      <c r="O591" s="8">
        <v>98.504000000000005</v>
      </c>
      <c r="P591" s="8">
        <v>88.212000000000003</v>
      </c>
      <c r="Q591" s="8">
        <v>66.474999999999994</v>
      </c>
      <c r="R591" s="8">
        <v>47.442</v>
      </c>
      <c r="S591" s="8">
        <v>43.93</v>
      </c>
      <c r="T591" s="8">
        <v>38.052999999999997</v>
      </c>
      <c r="U591" s="8">
        <v>29.431000000000001</v>
      </c>
      <c r="V591" s="8">
        <v>24.446000000000002</v>
      </c>
      <c r="W591" s="8">
        <v>16.523</v>
      </c>
      <c r="X591" s="8">
        <v>10.266999999999999</v>
      </c>
      <c r="Y591" s="8">
        <v>3.661</v>
      </c>
      <c r="Z591" s="8">
        <v>0.92500000000000004</v>
      </c>
      <c r="AA591" s="8">
        <v>0.13700000000000001</v>
      </c>
      <c r="AB591" s="8">
        <v>0.01</v>
      </c>
      <c r="AC591" s="8">
        <v>1E-3</v>
      </c>
    </row>
    <row r="592" spans="1:29" ht="11.65" hidden="1" x14ac:dyDescent="0.35">
      <c r="A592" s="12">
        <v>575</v>
      </c>
      <c r="B592" s="10" t="s">
        <v>1015</v>
      </c>
      <c r="C592" s="11" t="s">
        <v>600</v>
      </c>
      <c r="D592" s="9"/>
      <c r="E592" s="9">
        <v>646</v>
      </c>
      <c r="F592" s="10" t="s">
        <v>1066</v>
      </c>
      <c r="G592" s="9">
        <v>910</v>
      </c>
      <c r="H592" s="9">
        <v>1970</v>
      </c>
      <c r="I592" s="8">
        <v>355.964</v>
      </c>
      <c r="J592" s="8">
        <v>289.90300000000002</v>
      </c>
      <c r="K592" s="8">
        <v>260.19200000000001</v>
      </c>
      <c r="L592" s="8">
        <v>216.18899999999999</v>
      </c>
      <c r="M592" s="8">
        <v>164.69499999999999</v>
      </c>
      <c r="N592" s="8">
        <v>108.367</v>
      </c>
      <c r="O592" s="8">
        <v>94.027000000000001</v>
      </c>
      <c r="P592" s="8">
        <v>95.006</v>
      </c>
      <c r="Q592" s="8">
        <v>84.335999999999999</v>
      </c>
      <c r="R592" s="8">
        <v>63.161000000000001</v>
      </c>
      <c r="S592" s="8">
        <v>44.61</v>
      </c>
      <c r="T592" s="8">
        <v>40.472000000000001</v>
      </c>
      <c r="U592" s="8">
        <v>33.878999999999998</v>
      </c>
      <c r="V592" s="8">
        <v>24.670999999999999</v>
      </c>
      <c r="W592" s="8">
        <v>18.542999999999999</v>
      </c>
      <c r="X592" s="8">
        <v>10.686</v>
      </c>
      <c r="Y592" s="8">
        <v>5.1139999999999999</v>
      </c>
      <c r="Z592" s="8">
        <v>1.1859999999999999</v>
      </c>
      <c r="AA592" s="8">
        <v>0.158</v>
      </c>
      <c r="AB592" s="8">
        <v>1.0999999999999999E-2</v>
      </c>
      <c r="AC592" s="8">
        <v>1E-3</v>
      </c>
    </row>
    <row r="593" spans="1:29" ht="11.65" hidden="1" x14ac:dyDescent="0.35">
      <c r="A593" s="12">
        <v>576</v>
      </c>
      <c r="B593" s="10" t="s">
        <v>1015</v>
      </c>
      <c r="C593" s="11" t="s">
        <v>600</v>
      </c>
      <c r="D593" s="9"/>
      <c r="E593" s="9">
        <v>646</v>
      </c>
      <c r="F593" s="10" t="s">
        <v>1066</v>
      </c>
      <c r="G593" s="9">
        <v>910</v>
      </c>
      <c r="H593" s="9">
        <v>1975</v>
      </c>
      <c r="I593" s="8">
        <v>430.18799999999999</v>
      </c>
      <c r="J593" s="8">
        <v>327.15899999999999</v>
      </c>
      <c r="K593" s="8">
        <v>280.697</v>
      </c>
      <c r="L593" s="8">
        <v>252.738</v>
      </c>
      <c r="M593" s="8">
        <v>208.12</v>
      </c>
      <c r="N593" s="8">
        <v>157.36699999999999</v>
      </c>
      <c r="O593" s="8">
        <v>102.83799999999999</v>
      </c>
      <c r="P593" s="8">
        <v>88.998999999999995</v>
      </c>
      <c r="Q593" s="8">
        <v>89.700999999999993</v>
      </c>
      <c r="R593" s="8">
        <v>79.358000000000004</v>
      </c>
      <c r="S593" s="8">
        <v>58.890999999999998</v>
      </c>
      <c r="T593" s="8">
        <v>40.835000000000001</v>
      </c>
      <c r="U593" s="8">
        <v>35.881999999999998</v>
      </c>
      <c r="V593" s="8">
        <v>28.312000000000001</v>
      </c>
      <c r="W593" s="8">
        <v>18.664999999999999</v>
      </c>
      <c r="X593" s="8">
        <v>11.958</v>
      </c>
      <c r="Y593" s="8">
        <v>5.2939999999999996</v>
      </c>
      <c r="Z593" s="8">
        <v>1.655</v>
      </c>
      <c r="AA593" s="8">
        <v>0.20100000000000001</v>
      </c>
      <c r="AB593" s="8">
        <v>1.2E-2</v>
      </c>
      <c r="AC593" s="8">
        <v>1E-3</v>
      </c>
    </row>
    <row r="594" spans="1:29" ht="11.65" hidden="1" x14ac:dyDescent="0.35">
      <c r="A594" s="12">
        <v>577</v>
      </c>
      <c r="B594" s="10" t="s">
        <v>1015</v>
      </c>
      <c r="C594" s="11" t="s">
        <v>600</v>
      </c>
      <c r="D594" s="9"/>
      <c r="E594" s="9">
        <v>646</v>
      </c>
      <c r="F594" s="10" t="s">
        <v>1066</v>
      </c>
      <c r="G594" s="9">
        <v>910</v>
      </c>
      <c r="H594" s="9">
        <v>1980</v>
      </c>
      <c r="I594" s="8">
        <v>531.75300000000004</v>
      </c>
      <c r="J594" s="8">
        <v>397.77100000000002</v>
      </c>
      <c r="K594" s="8">
        <v>317.59199999999998</v>
      </c>
      <c r="L594" s="8">
        <v>273.22199999999998</v>
      </c>
      <c r="M594" s="8">
        <v>244.05699999999999</v>
      </c>
      <c r="N594" s="8">
        <v>199.70400000000001</v>
      </c>
      <c r="O594" s="8">
        <v>150.24199999999999</v>
      </c>
      <c r="P594" s="8">
        <v>97.625</v>
      </c>
      <c r="Q594" s="8">
        <v>84.168000000000006</v>
      </c>
      <c r="R594" s="8">
        <v>84.597999999999999</v>
      </c>
      <c r="S594" s="8">
        <v>74.203000000000003</v>
      </c>
      <c r="T594" s="8">
        <v>54.081000000000003</v>
      </c>
      <c r="U594" s="8">
        <v>36.308</v>
      </c>
      <c r="V594" s="8">
        <v>30.091999999999999</v>
      </c>
      <c r="W594" s="8">
        <v>21.51</v>
      </c>
      <c r="X594" s="8">
        <v>12.083</v>
      </c>
      <c r="Y594" s="8">
        <v>5.9390000000000001</v>
      </c>
      <c r="Z594" s="8">
        <v>1.708</v>
      </c>
      <c r="AA594" s="8">
        <v>0.27600000000000002</v>
      </c>
      <c r="AB594" s="8">
        <v>1.4999999999999999E-2</v>
      </c>
      <c r="AC594" s="8">
        <v>1E-3</v>
      </c>
    </row>
    <row r="595" spans="1:29" ht="11.65" hidden="1" x14ac:dyDescent="0.35">
      <c r="A595" s="12">
        <v>578</v>
      </c>
      <c r="B595" s="10" t="s">
        <v>1015</v>
      </c>
      <c r="C595" s="11" t="s">
        <v>600</v>
      </c>
      <c r="D595" s="9"/>
      <c r="E595" s="9">
        <v>646</v>
      </c>
      <c r="F595" s="10" t="s">
        <v>1066</v>
      </c>
      <c r="G595" s="9">
        <v>910</v>
      </c>
      <c r="H595" s="9">
        <v>1985</v>
      </c>
      <c r="I595" s="8">
        <v>646.25</v>
      </c>
      <c r="J595" s="8">
        <v>500.786</v>
      </c>
      <c r="K595" s="8">
        <v>388.85500000000002</v>
      </c>
      <c r="L595" s="8">
        <v>309.25200000000001</v>
      </c>
      <c r="M595" s="8">
        <v>262.41500000000002</v>
      </c>
      <c r="N595" s="8">
        <v>233.029</v>
      </c>
      <c r="O595" s="8">
        <v>190.12899999999999</v>
      </c>
      <c r="P595" s="8">
        <v>142.57900000000001</v>
      </c>
      <c r="Q595" s="8">
        <v>92.094999999999999</v>
      </c>
      <c r="R595" s="8">
        <v>79.293000000000006</v>
      </c>
      <c r="S595" s="8">
        <v>79.278999999999996</v>
      </c>
      <c r="T595" s="8">
        <v>68.48</v>
      </c>
      <c r="U595" s="8">
        <v>48.445</v>
      </c>
      <c r="V595" s="8">
        <v>30.748000000000001</v>
      </c>
      <c r="W595" s="8">
        <v>23.167000000000002</v>
      </c>
      <c r="X595" s="8">
        <v>14.14</v>
      </c>
      <c r="Y595" s="8">
        <v>6.0670000000000002</v>
      </c>
      <c r="Z595" s="8">
        <v>1.915</v>
      </c>
      <c r="AA595" s="8">
        <v>0.27100000000000002</v>
      </c>
      <c r="AB595" s="8">
        <v>1.7999999999999999E-2</v>
      </c>
      <c r="AC595" s="8">
        <v>1E-3</v>
      </c>
    </row>
    <row r="596" spans="1:29" ht="11.65" hidden="1" x14ac:dyDescent="0.35">
      <c r="A596" s="12">
        <v>579</v>
      </c>
      <c r="B596" s="10" t="s">
        <v>1015</v>
      </c>
      <c r="C596" s="11" t="s">
        <v>600</v>
      </c>
      <c r="D596" s="9"/>
      <c r="E596" s="9">
        <v>646</v>
      </c>
      <c r="F596" s="10" t="s">
        <v>1066</v>
      </c>
      <c r="G596" s="9">
        <v>910</v>
      </c>
      <c r="H596" s="9">
        <v>1990</v>
      </c>
      <c r="I596" s="8">
        <v>715.21400000000006</v>
      </c>
      <c r="J596" s="8">
        <v>607.27</v>
      </c>
      <c r="K596" s="8">
        <v>490.08600000000001</v>
      </c>
      <c r="L596" s="8">
        <v>383.60399999999998</v>
      </c>
      <c r="M596" s="8">
        <v>305.31200000000001</v>
      </c>
      <c r="N596" s="8">
        <v>257.64999999999998</v>
      </c>
      <c r="O596" s="8">
        <v>226.88499999999999</v>
      </c>
      <c r="P596" s="8">
        <v>183.654</v>
      </c>
      <c r="Q596" s="8">
        <v>136.70699999999999</v>
      </c>
      <c r="R596" s="8">
        <v>87.85</v>
      </c>
      <c r="S596" s="8">
        <v>74.816000000000003</v>
      </c>
      <c r="T596" s="8">
        <v>73.411000000000001</v>
      </c>
      <c r="U596" s="8">
        <v>61.478999999999999</v>
      </c>
      <c r="V596" s="8">
        <v>41.140999999999998</v>
      </c>
      <c r="W596" s="8">
        <v>23.760999999999999</v>
      </c>
      <c r="X596" s="8">
        <v>15.335000000000001</v>
      </c>
      <c r="Y596" s="8">
        <v>7.2030000000000003</v>
      </c>
      <c r="Z596" s="8">
        <v>1.98</v>
      </c>
      <c r="AA596" s="8">
        <v>0.317</v>
      </c>
      <c r="AB596" s="8">
        <v>0.02</v>
      </c>
      <c r="AC596" s="8">
        <v>1E-3</v>
      </c>
    </row>
    <row r="597" spans="1:29" ht="11.65" hidden="1" x14ac:dyDescent="0.35">
      <c r="A597" s="12">
        <v>580</v>
      </c>
      <c r="B597" s="10" t="s">
        <v>1015</v>
      </c>
      <c r="C597" s="11" t="s">
        <v>600</v>
      </c>
      <c r="D597" s="9"/>
      <c r="E597" s="9">
        <v>646</v>
      </c>
      <c r="F597" s="10" t="s">
        <v>1066</v>
      </c>
      <c r="G597" s="9">
        <v>910</v>
      </c>
      <c r="H597" s="9">
        <v>1995</v>
      </c>
      <c r="I597" s="8">
        <v>400.13799999999998</v>
      </c>
      <c r="J597" s="8">
        <v>435.14600000000002</v>
      </c>
      <c r="K597" s="8">
        <v>417.81</v>
      </c>
      <c r="L597" s="8">
        <v>352.96600000000001</v>
      </c>
      <c r="M597" s="8">
        <v>283.90600000000001</v>
      </c>
      <c r="N597" s="8">
        <v>231.95599999999999</v>
      </c>
      <c r="O597" s="8">
        <v>198.88</v>
      </c>
      <c r="P597" s="8">
        <v>169.71199999999999</v>
      </c>
      <c r="Q597" s="8">
        <v>128.613</v>
      </c>
      <c r="R597" s="8">
        <v>103.21</v>
      </c>
      <c r="S597" s="8">
        <v>74.757999999999996</v>
      </c>
      <c r="T597" s="8">
        <v>53.222000000000001</v>
      </c>
      <c r="U597" s="8">
        <v>56.03</v>
      </c>
      <c r="V597" s="8">
        <v>41.225999999999999</v>
      </c>
      <c r="W597" s="8">
        <v>25.238</v>
      </c>
      <c r="X597" s="8">
        <v>15.196</v>
      </c>
      <c r="Y597" s="8">
        <v>6.4790000000000001</v>
      </c>
      <c r="Z597" s="8">
        <v>3.0390000000000001</v>
      </c>
      <c r="AA597" s="8">
        <v>0.61199999999999999</v>
      </c>
      <c r="AB597" s="8">
        <v>7.2999999999999995E-2</v>
      </c>
      <c r="AC597" s="8">
        <v>4.0000000000000001E-3</v>
      </c>
    </row>
    <row r="598" spans="1:29" ht="11.65" hidden="1" x14ac:dyDescent="0.35">
      <c r="A598" s="12">
        <v>581</v>
      </c>
      <c r="B598" s="10" t="s">
        <v>1015</v>
      </c>
      <c r="C598" s="11" t="s">
        <v>600</v>
      </c>
      <c r="D598" s="9"/>
      <c r="E598" s="9">
        <v>646</v>
      </c>
      <c r="F598" s="10" t="s">
        <v>1066</v>
      </c>
      <c r="G598" s="9">
        <v>910</v>
      </c>
      <c r="H598" s="9">
        <v>2000</v>
      </c>
      <c r="I598" s="8">
        <v>645.64599999999996</v>
      </c>
      <c r="J598" s="8">
        <v>572.95399999999995</v>
      </c>
      <c r="K598" s="8">
        <v>550.94399999999996</v>
      </c>
      <c r="L598" s="8">
        <v>497.21899999999999</v>
      </c>
      <c r="M598" s="8">
        <v>362.43400000000003</v>
      </c>
      <c r="N598" s="8">
        <v>284.48</v>
      </c>
      <c r="O598" s="8">
        <v>214.29300000000001</v>
      </c>
      <c r="P598" s="8">
        <v>227.649</v>
      </c>
      <c r="Q598" s="8">
        <v>172.625</v>
      </c>
      <c r="R598" s="8">
        <v>140.429</v>
      </c>
      <c r="S598" s="8">
        <v>102.024</v>
      </c>
      <c r="T598" s="8">
        <v>81.122</v>
      </c>
      <c r="U598" s="8">
        <v>49.886000000000003</v>
      </c>
      <c r="V598" s="8">
        <v>65.111999999999995</v>
      </c>
      <c r="W598" s="8">
        <v>27.960999999999999</v>
      </c>
      <c r="X598" s="8">
        <v>42.146000000000001</v>
      </c>
      <c r="Y598" s="8">
        <v>17.968</v>
      </c>
      <c r="Z598" s="8">
        <v>2.2160000000000002</v>
      </c>
      <c r="AA598" s="8">
        <v>0.56599999999999995</v>
      </c>
      <c r="AB598" s="8">
        <v>0.06</v>
      </c>
      <c r="AC598" s="8">
        <v>5.0000000000000001E-3</v>
      </c>
    </row>
    <row r="599" spans="1:29" ht="11.65" hidden="1" x14ac:dyDescent="0.35">
      <c r="A599" s="12">
        <v>582</v>
      </c>
      <c r="B599" s="10" t="s">
        <v>1015</v>
      </c>
      <c r="C599" s="11" t="s">
        <v>600</v>
      </c>
      <c r="D599" s="9"/>
      <c r="E599" s="9">
        <v>646</v>
      </c>
      <c r="F599" s="10" t="s">
        <v>1066</v>
      </c>
      <c r="G599" s="9">
        <v>910</v>
      </c>
      <c r="H599" s="9">
        <v>2005</v>
      </c>
      <c r="I599" s="8">
        <v>704.21</v>
      </c>
      <c r="J599" s="8">
        <v>616.87099999999998</v>
      </c>
      <c r="K599" s="8">
        <v>562.56600000000003</v>
      </c>
      <c r="L599" s="8">
        <v>538.58299999999997</v>
      </c>
      <c r="M599" s="8">
        <v>479.36399999999998</v>
      </c>
      <c r="N599" s="8">
        <v>343.87599999999998</v>
      </c>
      <c r="O599" s="8">
        <v>267.601</v>
      </c>
      <c r="P599" s="8">
        <v>199.58</v>
      </c>
      <c r="Q599" s="8">
        <v>211.30699999999999</v>
      </c>
      <c r="R599" s="8">
        <v>159.72200000000001</v>
      </c>
      <c r="S599" s="8">
        <v>129.024</v>
      </c>
      <c r="T599" s="8">
        <v>92.381</v>
      </c>
      <c r="U599" s="8">
        <v>71.515000000000001</v>
      </c>
      <c r="V599" s="8">
        <v>41.752000000000002</v>
      </c>
      <c r="W599" s="8">
        <v>49.918999999999997</v>
      </c>
      <c r="X599" s="8">
        <v>18.448</v>
      </c>
      <c r="Y599" s="8">
        <v>21.52</v>
      </c>
      <c r="Z599" s="8">
        <v>5.8689999999999998</v>
      </c>
      <c r="AA599" s="8">
        <v>0.36299999999999999</v>
      </c>
      <c r="AB599" s="8">
        <v>4.2999999999999997E-2</v>
      </c>
      <c r="AC599" s="8">
        <v>3.0000000000000001E-3</v>
      </c>
    </row>
    <row r="600" spans="1:29" ht="11.65" hidden="1" x14ac:dyDescent="0.35">
      <c r="A600" s="12">
        <v>583</v>
      </c>
      <c r="B600" s="10" t="s">
        <v>1015</v>
      </c>
      <c r="C600" s="11" t="s">
        <v>600</v>
      </c>
      <c r="D600" s="9"/>
      <c r="E600" s="9">
        <v>646</v>
      </c>
      <c r="F600" s="10" t="s">
        <v>1066</v>
      </c>
      <c r="G600" s="9">
        <v>910</v>
      </c>
      <c r="H600" s="9">
        <v>2010</v>
      </c>
      <c r="I600" s="8">
        <v>789.48</v>
      </c>
      <c r="J600" s="8">
        <v>688.96299999999997</v>
      </c>
      <c r="K600" s="8">
        <v>611.19799999999998</v>
      </c>
      <c r="L600" s="8">
        <v>553.89800000000002</v>
      </c>
      <c r="M600" s="8">
        <v>523.22900000000004</v>
      </c>
      <c r="N600" s="8">
        <v>462.13499999999999</v>
      </c>
      <c r="O600" s="8">
        <v>332.09300000000002</v>
      </c>
      <c r="P600" s="8">
        <v>257.46199999999999</v>
      </c>
      <c r="Q600" s="8">
        <v>191.113</v>
      </c>
      <c r="R600" s="8">
        <v>201.94499999999999</v>
      </c>
      <c r="S600" s="8">
        <v>151.43100000000001</v>
      </c>
      <c r="T600" s="8">
        <v>120.753</v>
      </c>
      <c r="U600" s="8">
        <v>84.48</v>
      </c>
      <c r="V600" s="8">
        <v>62.536000000000001</v>
      </c>
      <c r="W600" s="8">
        <v>33.671999999999997</v>
      </c>
      <c r="X600" s="8">
        <v>35.164000000000001</v>
      </c>
      <c r="Y600" s="8">
        <v>10.156000000000001</v>
      </c>
      <c r="Z600" s="8">
        <v>7.7069999999999999</v>
      </c>
      <c r="AA600" s="8">
        <v>1.0189999999999999</v>
      </c>
      <c r="AB600" s="8">
        <v>2.3E-2</v>
      </c>
      <c r="AC600" s="8">
        <v>2E-3</v>
      </c>
    </row>
    <row r="601" spans="1:29" ht="11.65" hidden="1" x14ac:dyDescent="0.35">
      <c r="A601" s="12">
        <v>584</v>
      </c>
      <c r="B601" s="10" t="s">
        <v>1015</v>
      </c>
      <c r="C601" s="11" t="s">
        <v>600</v>
      </c>
      <c r="D601" s="9"/>
      <c r="E601" s="9">
        <v>646</v>
      </c>
      <c r="F601" s="10" t="s">
        <v>1066</v>
      </c>
      <c r="G601" s="9">
        <v>910</v>
      </c>
      <c r="H601" s="9">
        <v>2015</v>
      </c>
      <c r="I601" s="8">
        <v>841.154</v>
      </c>
      <c r="J601" s="8">
        <v>780.37900000000002</v>
      </c>
      <c r="K601" s="8">
        <v>685.10199999999998</v>
      </c>
      <c r="L601" s="8">
        <v>603.96199999999999</v>
      </c>
      <c r="M601" s="8">
        <v>532.54700000000003</v>
      </c>
      <c r="N601" s="8">
        <v>501.55399999999997</v>
      </c>
      <c r="O601" s="8">
        <v>451.39400000000001</v>
      </c>
      <c r="P601" s="8">
        <v>323.42899999999997</v>
      </c>
      <c r="Q601" s="8">
        <v>249.91399999999999</v>
      </c>
      <c r="R601" s="8">
        <v>184.74700000000001</v>
      </c>
      <c r="S601" s="8">
        <v>194.173</v>
      </c>
      <c r="T601" s="8">
        <v>143.99299999999999</v>
      </c>
      <c r="U601" s="8">
        <v>112.717</v>
      </c>
      <c r="V601" s="8">
        <v>75.980999999999995</v>
      </c>
      <c r="W601" s="8">
        <v>52.615000000000002</v>
      </c>
      <c r="X601" s="8">
        <v>25.236999999999998</v>
      </c>
      <c r="Y601" s="8">
        <v>21.446000000000002</v>
      </c>
      <c r="Z601" s="8">
        <v>4.2779999999999996</v>
      </c>
      <c r="AA601" s="8">
        <v>1.706</v>
      </c>
      <c r="AB601" s="8">
        <v>8.8999999999999996E-2</v>
      </c>
      <c r="AC601" s="8">
        <v>1E-3</v>
      </c>
    </row>
    <row r="602" spans="1:29" ht="11.65" hidden="1" x14ac:dyDescent="0.35">
      <c r="A602" s="12">
        <v>585</v>
      </c>
      <c r="B602" s="10" t="s">
        <v>1015</v>
      </c>
      <c r="C602" s="11" t="s">
        <v>600</v>
      </c>
      <c r="D602" s="9"/>
      <c r="E602" s="9">
        <v>646</v>
      </c>
      <c r="F602" s="10" t="s">
        <v>1066</v>
      </c>
      <c r="G602" s="9">
        <v>910</v>
      </c>
      <c r="H602" s="9">
        <v>2020</v>
      </c>
      <c r="I602" s="8">
        <v>935.20699999999999</v>
      </c>
      <c r="J602" s="8">
        <v>834.76800000000003</v>
      </c>
      <c r="K602" s="8">
        <v>777.26099999999997</v>
      </c>
      <c r="L602" s="8">
        <v>680.68200000000002</v>
      </c>
      <c r="M602" s="8">
        <v>597.072</v>
      </c>
      <c r="N602" s="8">
        <v>524.87400000000002</v>
      </c>
      <c r="O602" s="8">
        <v>493.74599999999998</v>
      </c>
      <c r="P602" s="8">
        <v>443.63200000000001</v>
      </c>
      <c r="Q602" s="8">
        <v>316.68400000000003</v>
      </c>
      <c r="R602" s="8">
        <v>243.667</v>
      </c>
      <c r="S602" s="8">
        <v>178.89</v>
      </c>
      <c r="T602" s="8">
        <v>186.18700000000001</v>
      </c>
      <c r="U602" s="8">
        <v>135.76300000000001</v>
      </c>
      <c r="V602" s="8">
        <v>102.798</v>
      </c>
      <c r="W602" s="8">
        <v>65.268000000000001</v>
      </c>
      <c r="X602" s="8">
        <v>40.786000000000001</v>
      </c>
      <c r="Y602" s="8">
        <v>16.257000000000001</v>
      </c>
      <c r="Z602" s="8">
        <v>9.9369999999999994</v>
      </c>
      <c r="AA602" s="8">
        <v>1.1080000000000001</v>
      </c>
      <c r="AB602" s="8">
        <v>0.187</v>
      </c>
      <c r="AC602" s="8">
        <v>4.0000000000000001E-3</v>
      </c>
    </row>
    <row r="603" spans="1:29" ht="11.65" hidden="1" x14ac:dyDescent="0.35">
      <c r="A603" s="12">
        <v>586</v>
      </c>
      <c r="B603" s="10" t="s">
        <v>1015</v>
      </c>
      <c r="C603" s="11" t="s">
        <v>1074</v>
      </c>
      <c r="D603" s="9"/>
      <c r="E603" s="9">
        <v>690</v>
      </c>
      <c r="F603" s="10" t="s">
        <v>1066</v>
      </c>
      <c r="G603" s="9">
        <v>910</v>
      </c>
      <c r="H603" s="9">
        <v>1950</v>
      </c>
      <c r="I603" s="8">
        <v>2.1890000000000001</v>
      </c>
      <c r="J603" s="8">
        <v>1.754</v>
      </c>
      <c r="K603" s="8">
        <v>1.7849999999999999</v>
      </c>
      <c r="L603" s="8">
        <v>1.6180000000000001</v>
      </c>
      <c r="M603" s="8">
        <v>1.57</v>
      </c>
      <c r="N603" s="8">
        <v>1.5429999999999999</v>
      </c>
      <c r="O603" s="8">
        <v>1.2629999999999999</v>
      </c>
      <c r="P603" s="8">
        <v>1.2709999999999999</v>
      </c>
      <c r="Q603" s="8">
        <v>1.1639999999999999</v>
      </c>
      <c r="R603" s="8">
        <v>0.98599999999999999</v>
      </c>
      <c r="S603" s="8">
        <v>0.872</v>
      </c>
      <c r="T603" s="8">
        <v>0.78</v>
      </c>
      <c r="U603" s="8">
        <v>0.64400000000000002</v>
      </c>
      <c r="V603" s="8">
        <v>0.52700000000000002</v>
      </c>
      <c r="W603" s="8">
        <v>0.42599999999999999</v>
      </c>
      <c r="X603" s="8">
        <v>0.35399999999999998</v>
      </c>
      <c r="Y603" s="8">
        <v>0.16900000000000001</v>
      </c>
      <c r="Z603" s="8">
        <v>0.112</v>
      </c>
      <c r="AA603" s="8">
        <v>3.7999999999999999E-2</v>
      </c>
      <c r="AB603" s="8">
        <v>8.0000000000000002E-3</v>
      </c>
      <c r="AC603" s="8">
        <v>1E-3</v>
      </c>
    </row>
    <row r="604" spans="1:29" ht="11.65" hidden="1" x14ac:dyDescent="0.35">
      <c r="A604" s="12">
        <v>587</v>
      </c>
      <c r="B604" s="10" t="s">
        <v>1015</v>
      </c>
      <c r="C604" s="11" t="s">
        <v>1074</v>
      </c>
      <c r="D604" s="9"/>
      <c r="E604" s="9">
        <v>690</v>
      </c>
      <c r="F604" s="10" t="s">
        <v>1066</v>
      </c>
      <c r="G604" s="9">
        <v>910</v>
      </c>
      <c r="H604" s="9">
        <v>1955</v>
      </c>
      <c r="I604" s="8">
        <v>2.9910000000000001</v>
      </c>
      <c r="J604" s="8">
        <v>1.867</v>
      </c>
      <c r="K604" s="8">
        <v>1.821</v>
      </c>
      <c r="L604" s="8">
        <v>1.8029999999999999</v>
      </c>
      <c r="M604" s="8">
        <v>1.5629999999999999</v>
      </c>
      <c r="N604" s="8">
        <v>1.571</v>
      </c>
      <c r="O604" s="8">
        <v>1.4059999999999999</v>
      </c>
      <c r="P604" s="8">
        <v>1.1359999999999999</v>
      </c>
      <c r="Q604" s="8">
        <v>1.17</v>
      </c>
      <c r="R604" s="8">
        <v>0.98199999999999998</v>
      </c>
      <c r="S604" s="8">
        <v>0.85699999999999998</v>
      </c>
      <c r="T604" s="8">
        <v>0.76600000000000001</v>
      </c>
      <c r="U604" s="8">
        <v>0.64900000000000002</v>
      </c>
      <c r="V604" s="8">
        <v>0.51600000000000001</v>
      </c>
      <c r="W604" s="8">
        <v>0.40100000000000002</v>
      </c>
      <c r="X604" s="8">
        <v>0.29499999999999998</v>
      </c>
      <c r="Y604" s="8">
        <v>0.217</v>
      </c>
      <c r="Z604" s="8">
        <v>9.9000000000000005E-2</v>
      </c>
      <c r="AA604" s="8">
        <v>5.0999999999999997E-2</v>
      </c>
      <c r="AB604" s="8">
        <v>1.2999999999999999E-2</v>
      </c>
      <c r="AC604" s="8">
        <v>2E-3</v>
      </c>
    </row>
    <row r="605" spans="1:29" ht="11.65" hidden="1" x14ac:dyDescent="0.35">
      <c r="A605" s="12">
        <v>588</v>
      </c>
      <c r="B605" s="10" t="s">
        <v>1015</v>
      </c>
      <c r="C605" s="11" t="s">
        <v>1074</v>
      </c>
      <c r="D605" s="9"/>
      <c r="E605" s="9">
        <v>690</v>
      </c>
      <c r="F605" s="10" t="s">
        <v>1066</v>
      </c>
      <c r="G605" s="9">
        <v>910</v>
      </c>
      <c r="H605" s="9">
        <v>1960</v>
      </c>
      <c r="I605" s="8">
        <v>3.3109999999999999</v>
      </c>
      <c r="J605" s="8">
        <v>2.7930000000000001</v>
      </c>
      <c r="K605" s="8">
        <v>1.7450000000000001</v>
      </c>
      <c r="L605" s="8">
        <v>1.68</v>
      </c>
      <c r="M605" s="8">
        <v>1.7150000000000001</v>
      </c>
      <c r="N605" s="8">
        <v>1.5509999999999999</v>
      </c>
      <c r="O605" s="8">
        <v>1.4159999999999999</v>
      </c>
      <c r="P605" s="8">
        <v>1.2649999999999999</v>
      </c>
      <c r="Q605" s="8">
        <v>0.98599999999999999</v>
      </c>
      <c r="R605" s="8">
        <v>1.004</v>
      </c>
      <c r="S605" s="8">
        <v>0.89800000000000002</v>
      </c>
      <c r="T605" s="8">
        <v>0.73899999999999999</v>
      </c>
      <c r="U605" s="8">
        <v>0.622</v>
      </c>
      <c r="V605" s="8">
        <v>0.52500000000000002</v>
      </c>
      <c r="W605" s="8">
        <v>0.38900000000000001</v>
      </c>
      <c r="X605" s="8">
        <v>0.253</v>
      </c>
      <c r="Y605" s="8">
        <v>0.189</v>
      </c>
      <c r="Z605" s="8">
        <v>0.128</v>
      </c>
      <c r="AA605" s="8">
        <v>4.3999999999999997E-2</v>
      </c>
      <c r="AB605" s="8">
        <v>1.7999999999999999E-2</v>
      </c>
      <c r="AC605" s="8">
        <v>3.0000000000000001E-3</v>
      </c>
    </row>
    <row r="606" spans="1:29" ht="11.65" hidden="1" x14ac:dyDescent="0.35">
      <c r="A606" s="12">
        <v>589</v>
      </c>
      <c r="B606" s="10" t="s">
        <v>1015</v>
      </c>
      <c r="C606" s="11" t="s">
        <v>1074</v>
      </c>
      <c r="D606" s="9"/>
      <c r="E606" s="9">
        <v>690</v>
      </c>
      <c r="F606" s="10" t="s">
        <v>1066</v>
      </c>
      <c r="G606" s="9">
        <v>910</v>
      </c>
      <c r="H606" s="9">
        <v>1965</v>
      </c>
      <c r="I606" s="8">
        <v>3.6720000000000002</v>
      </c>
      <c r="J606" s="8">
        <v>3.125</v>
      </c>
      <c r="K606" s="8">
        <v>2.9089999999999998</v>
      </c>
      <c r="L606" s="8">
        <v>1.8080000000000001</v>
      </c>
      <c r="M606" s="8">
        <v>1.6140000000000001</v>
      </c>
      <c r="N606" s="8">
        <v>1.5669999999999999</v>
      </c>
      <c r="O606" s="8">
        <v>1.325</v>
      </c>
      <c r="P606" s="8">
        <v>1.323</v>
      </c>
      <c r="Q606" s="8">
        <v>1.1950000000000001</v>
      </c>
      <c r="R606" s="8">
        <v>0.94399999999999995</v>
      </c>
      <c r="S606" s="8">
        <v>0.996</v>
      </c>
      <c r="T606" s="8">
        <v>0.82099999999999995</v>
      </c>
      <c r="U606" s="8">
        <v>0.66100000000000003</v>
      </c>
      <c r="V606" s="8">
        <v>0.58799999999999997</v>
      </c>
      <c r="W606" s="8">
        <v>0.46899999999999997</v>
      </c>
      <c r="X606" s="8">
        <v>0.29199999999999998</v>
      </c>
      <c r="Y606" s="8">
        <v>0.17499999999999999</v>
      </c>
      <c r="Z606" s="8">
        <v>0.109</v>
      </c>
      <c r="AA606" s="8">
        <v>5.8000000000000003E-2</v>
      </c>
      <c r="AB606" s="8">
        <v>1.4999999999999999E-2</v>
      </c>
      <c r="AC606" s="8">
        <v>4.0000000000000001E-3</v>
      </c>
    </row>
    <row r="607" spans="1:29" ht="11.65" hidden="1" x14ac:dyDescent="0.35">
      <c r="A607" s="12">
        <v>590</v>
      </c>
      <c r="B607" s="10" t="s">
        <v>1015</v>
      </c>
      <c r="C607" s="11" t="s">
        <v>1074</v>
      </c>
      <c r="D607" s="9"/>
      <c r="E607" s="9">
        <v>690</v>
      </c>
      <c r="F607" s="10" t="s">
        <v>1066</v>
      </c>
      <c r="G607" s="9">
        <v>910</v>
      </c>
      <c r="H607" s="9">
        <v>1970</v>
      </c>
      <c r="I607" s="8">
        <v>4.0389999999999997</v>
      </c>
      <c r="J607" s="8">
        <v>3.742</v>
      </c>
      <c r="K607" s="8">
        <v>3.3610000000000002</v>
      </c>
      <c r="L607" s="8">
        <v>2.7370000000000001</v>
      </c>
      <c r="M607" s="8">
        <v>1.4039999999999999</v>
      </c>
      <c r="N607" s="8">
        <v>1.2769999999999999</v>
      </c>
      <c r="O607" s="8">
        <v>1.387</v>
      </c>
      <c r="P607" s="8">
        <v>1.335</v>
      </c>
      <c r="Q607" s="8">
        <v>1.2749999999999999</v>
      </c>
      <c r="R607" s="8">
        <v>1.1359999999999999</v>
      </c>
      <c r="S607" s="8">
        <v>0.90600000000000003</v>
      </c>
      <c r="T607" s="8">
        <v>0.92500000000000004</v>
      </c>
      <c r="U607" s="8">
        <v>0.748</v>
      </c>
      <c r="V607" s="8">
        <v>0.64200000000000002</v>
      </c>
      <c r="W607" s="8">
        <v>0.53100000000000003</v>
      </c>
      <c r="X607" s="8">
        <v>0.34</v>
      </c>
      <c r="Y607" s="8">
        <v>0.189</v>
      </c>
      <c r="Z607" s="8">
        <v>0.10100000000000001</v>
      </c>
      <c r="AA607" s="8">
        <v>4.8000000000000001E-2</v>
      </c>
      <c r="AB607" s="8">
        <v>1.7999999999999999E-2</v>
      </c>
      <c r="AC607" s="8">
        <v>4.0000000000000001E-3</v>
      </c>
    </row>
    <row r="608" spans="1:29" ht="11.65" hidden="1" x14ac:dyDescent="0.35">
      <c r="A608" s="12">
        <v>591</v>
      </c>
      <c r="B608" s="10" t="s">
        <v>1015</v>
      </c>
      <c r="C608" s="11" t="s">
        <v>1074</v>
      </c>
      <c r="D608" s="9"/>
      <c r="E608" s="9">
        <v>690</v>
      </c>
      <c r="F608" s="10" t="s">
        <v>1066</v>
      </c>
      <c r="G608" s="9">
        <v>910</v>
      </c>
      <c r="H608" s="9">
        <v>1975</v>
      </c>
      <c r="I608" s="8">
        <v>4.1210000000000004</v>
      </c>
      <c r="J608" s="8">
        <v>3.9249999999999998</v>
      </c>
      <c r="K608" s="8">
        <v>3.875</v>
      </c>
      <c r="L608" s="8">
        <v>3.2770000000000001</v>
      </c>
      <c r="M608" s="8">
        <v>2.5880000000000001</v>
      </c>
      <c r="N608" s="8">
        <v>1.321</v>
      </c>
      <c r="O608" s="8">
        <v>1.2889999999999999</v>
      </c>
      <c r="P608" s="8">
        <v>1.4410000000000001</v>
      </c>
      <c r="Q608" s="8">
        <v>1.2989999999999999</v>
      </c>
      <c r="R608" s="8">
        <v>1.2450000000000001</v>
      </c>
      <c r="S608" s="8">
        <v>1.129</v>
      </c>
      <c r="T608" s="8">
        <v>0.89800000000000002</v>
      </c>
      <c r="U608" s="8">
        <v>0.88800000000000001</v>
      </c>
      <c r="V608" s="8">
        <v>0.749</v>
      </c>
      <c r="W608" s="8">
        <v>0.59099999999999997</v>
      </c>
      <c r="X608" s="8">
        <v>0.39300000000000002</v>
      </c>
      <c r="Y608" s="8">
        <v>0.23100000000000001</v>
      </c>
      <c r="Z608" s="8">
        <v>0.108</v>
      </c>
      <c r="AA608" s="8">
        <v>4.2999999999999997E-2</v>
      </c>
      <c r="AB608" s="8">
        <v>1.4E-2</v>
      </c>
      <c r="AC608" s="8">
        <v>4.0000000000000001E-3</v>
      </c>
    </row>
    <row r="609" spans="1:29" ht="11.65" hidden="1" x14ac:dyDescent="0.35">
      <c r="A609" s="12">
        <v>592</v>
      </c>
      <c r="B609" s="10" t="s">
        <v>1015</v>
      </c>
      <c r="C609" s="11" t="s">
        <v>1074</v>
      </c>
      <c r="D609" s="9"/>
      <c r="E609" s="9">
        <v>690</v>
      </c>
      <c r="F609" s="10" t="s">
        <v>1066</v>
      </c>
      <c r="G609" s="9">
        <v>910</v>
      </c>
      <c r="H609" s="9">
        <v>1980</v>
      </c>
      <c r="I609" s="8">
        <v>4.2370000000000001</v>
      </c>
      <c r="J609" s="8">
        <v>4.085</v>
      </c>
      <c r="K609" s="8">
        <v>4.0590000000000002</v>
      </c>
      <c r="L609" s="8">
        <v>3.82</v>
      </c>
      <c r="M609" s="8">
        <v>3.05</v>
      </c>
      <c r="N609" s="8">
        <v>2.4180000000000001</v>
      </c>
      <c r="O609" s="8">
        <v>1.353</v>
      </c>
      <c r="P609" s="8">
        <v>1.3540000000000001</v>
      </c>
      <c r="Q609" s="8">
        <v>1.427</v>
      </c>
      <c r="R609" s="8">
        <v>1.2569999999999999</v>
      </c>
      <c r="S609" s="8">
        <v>1.2330000000000001</v>
      </c>
      <c r="T609" s="8">
        <v>1.119</v>
      </c>
      <c r="U609" s="8">
        <v>0.875</v>
      </c>
      <c r="V609" s="8">
        <v>0.87</v>
      </c>
      <c r="W609" s="8">
        <v>0.68700000000000006</v>
      </c>
      <c r="X609" s="8">
        <v>0.47499999999999998</v>
      </c>
      <c r="Y609" s="8">
        <v>0.30399999999999999</v>
      </c>
      <c r="Z609" s="8">
        <v>0.122</v>
      </c>
      <c r="AA609" s="8">
        <v>0.04</v>
      </c>
      <c r="AB609" s="8">
        <v>1.0999999999999999E-2</v>
      </c>
      <c r="AC609" s="8">
        <v>2E-3</v>
      </c>
    </row>
    <row r="610" spans="1:29" ht="11.65" hidden="1" x14ac:dyDescent="0.35">
      <c r="A610" s="12">
        <v>593</v>
      </c>
      <c r="B610" s="10" t="s">
        <v>1015</v>
      </c>
      <c r="C610" s="11" t="s">
        <v>1074</v>
      </c>
      <c r="D610" s="9"/>
      <c r="E610" s="9">
        <v>690</v>
      </c>
      <c r="F610" s="10" t="s">
        <v>1066</v>
      </c>
      <c r="G610" s="9">
        <v>910</v>
      </c>
      <c r="H610" s="9">
        <v>1985</v>
      </c>
      <c r="I610" s="8">
        <v>4.1420000000000003</v>
      </c>
      <c r="J610" s="8">
        <v>3.9409999999999998</v>
      </c>
      <c r="K610" s="8">
        <v>3.907</v>
      </c>
      <c r="L610" s="8">
        <v>3.762</v>
      </c>
      <c r="M610" s="8">
        <v>3.6190000000000002</v>
      </c>
      <c r="N610" s="8">
        <v>3.0920000000000001</v>
      </c>
      <c r="O610" s="8">
        <v>2.3620000000000001</v>
      </c>
      <c r="P610" s="8">
        <v>1.139</v>
      </c>
      <c r="Q610" s="8">
        <v>1.1040000000000001</v>
      </c>
      <c r="R610" s="8">
        <v>1.298</v>
      </c>
      <c r="S610" s="8">
        <v>1.24</v>
      </c>
      <c r="T610" s="8">
        <v>1.1859999999999999</v>
      </c>
      <c r="U610" s="8">
        <v>1.0569999999999999</v>
      </c>
      <c r="V610" s="8">
        <v>0.79700000000000004</v>
      </c>
      <c r="W610" s="8">
        <v>0.75700000000000001</v>
      </c>
      <c r="X610" s="8">
        <v>0.56499999999999995</v>
      </c>
      <c r="Y610" s="8">
        <v>0.36699999999999999</v>
      </c>
      <c r="Z610" s="8">
        <v>0.161</v>
      </c>
      <c r="AA610" s="8">
        <v>4.5999999999999999E-2</v>
      </c>
      <c r="AB610" s="8">
        <v>8.9999999999999993E-3</v>
      </c>
      <c r="AC610" s="8">
        <v>2E-3</v>
      </c>
    </row>
    <row r="611" spans="1:29" ht="11.65" hidden="1" x14ac:dyDescent="0.35">
      <c r="A611" s="12">
        <v>594</v>
      </c>
      <c r="B611" s="10" t="s">
        <v>1015</v>
      </c>
      <c r="C611" s="11" t="s">
        <v>1074</v>
      </c>
      <c r="D611" s="9"/>
      <c r="E611" s="9">
        <v>690</v>
      </c>
      <c r="F611" s="10" t="s">
        <v>1066</v>
      </c>
      <c r="G611" s="9">
        <v>910</v>
      </c>
      <c r="H611" s="9">
        <v>1990</v>
      </c>
      <c r="I611" s="8">
        <v>4.01</v>
      </c>
      <c r="J611" s="8">
        <v>4.2309999999999999</v>
      </c>
      <c r="K611" s="8">
        <v>4.1219999999999999</v>
      </c>
      <c r="L611" s="8">
        <v>3.6779999999999999</v>
      </c>
      <c r="M611" s="8">
        <v>3.2559999999999998</v>
      </c>
      <c r="N611" s="8">
        <v>3.161</v>
      </c>
      <c r="O611" s="8">
        <v>2.6859999999999999</v>
      </c>
      <c r="P611" s="8">
        <v>2.0009999999999999</v>
      </c>
      <c r="Q611" s="8">
        <v>0.91800000000000004</v>
      </c>
      <c r="R611" s="8">
        <v>1.0529999999999999</v>
      </c>
      <c r="S611" s="8">
        <v>1.284</v>
      </c>
      <c r="T611" s="8">
        <v>1.1140000000000001</v>
      </c>
      <c r="U611" s="8">
        <v>1.0620000000000001</v>
      </c>
      <c r="V611" s="8">
        <v>0.90300000000000002</v>
      </c>
      <c r="W611" s="8">
        <v>0.64800000000000002</v>
      </c>
      <c r="X611" s="8">
        <v>0.58399999999999996</v>
      </c>
      <c r="Y611" s="8">
        <v>0.38200000000000001</v>
      </c>
      <c r="Z611" s="8">
        <v>0.20100000000000001</v>
      </c>
      <c r="AA611" s="8">
        <v>6.0999999999999999E-2</v>
      </c>
      <c r="AB611" s="8">
        <v>0.01</v>
      </c>
      <c r="AC611" s="8">
        <v>1E-3</v>
      </c>
    </row>
    <row r="612" spans="1:29" ht="11.65" hidden="1" x14ac:dyDescent="0.35">
      <c r="A612" s="12">
        <v>595</v>
      </c>
      <c r="B612" s="10" t="s">
        <v>1015</v>
      </c>
      <c r="C612" s="11" t="s">
        <v>1074</v>
      </c>
      <c r="D612" s="9"/>
      <c r="E612" s="9">
        <v>690</v>
      </c>
      <c r="F612" s="10" t="s">
        <v>1066</v>
      </c>
      <c r="G612" s="9">
        <v>910</v>
      </c>
      <c r="H612" s="9">
        <v>1995</v>
      </c>
      <c r="I612" s="8">
        <v>3.8980000000000001</v>
      </c>
      <c r="J612" s="8">
        <v>3.9220000000000002</v>
      </c>
      <c r="K612" s="8">
        <v>3.9020000000000001</v>
      </c>
      <c r="L612" s="8">
        <v>3.802</v>
      </c>
      <c r="M612" s="8">
        <v>3.621</v>
      </c>
      <c r="N612" s="8">
        <v>3.3069999999999999</v>
      </c>
      <c r="O612" s="8">
        <v>3.2440000000000002</v>
      </c>
      <c r="P612" s="8">
        <v>2.819</v>
      </c>
      <c r="Q612" s="8">
        <v>2.109</v>
      </c>
      <c r="R612" s="8">
        <v>0.998</v>
      </c>
      <c r="S612" s="8">
        <v>1.0740000000000001</v>
      </c>
      <c r="T612" s="8">
        <v>1.2450000000000001</v>
      </c>
      <c r="U612" s="8">
        <v>1.1299999999999999</v>
      </c>
      <c r="V612" s="8">
        <v>1.0389999999999999</v>
      </c>
      <c r="W612" s="8">
        <v>0.84799999999999998</v>
      </c>
      <c r="X612" s="8">
        <v>0.56899999999999995</v>
      </c>
      <c r="Y612" s="8">
        <v>0.442</v>
      </c>
      <c r="Z612" s="8">
        <v>0.21</v>
      </c>
      <c r="AA612" s="8">
        <v>7.6999999999999999E-2</v>
      </c>
      <c r="AB612" s="8">
        <v>1.4E-2</v>
      </c>
      <c r="AC612" s="8">
        <v>1E-3</v>
      </c>
    </row>
    <row r="613" spans="1:29" ht="11.65" hidden="1" x14ac:dyDescent="0.35">
      <c r="A613" s="12">
        <v>596</v>
      </c>
      <c r="B613" s="10" t="s">
        <v>1015</v>
      </c>
      <c r="C613" s="11" t="s">
        <v>1074</v>
      </c>
      <c r="D613" s="9"/>
      <c r="E613" s="9">
        <v>690</v>
      </c>
      <c r="F613" s="10" t="s">
        <v>1066</v>
      </c>
      <c r="G613" s="9">
        <v>910</v>
      </c>
      <c r="H613" s="9">
        <v>2000</v>
      </c>
      <c r="I613" s="8">
        <v>3.573</v>
      </c>
      <c r="J613" s="8">
        <v>3.8119999999999998</v>
      </c>
      <c r="K613" s="8">
        <v>3.9119999999999999</v>
      </c>
      <c r="L613" s="8">
        <v>3.9860000000000002</v>
      </c>
      <c r="M613" s="8">
        <v>3.7130000000000001</v>
      </c>
      <c r="N613" s="8">
        <v>3.4820000000000002</v>
      </c>
      <c r="O613" s="8">
        <v>3.23</v>
      </c>
      <c r="P613" s="8">
        <v>3.1259999999999999</v>
      </c>
      <c r="Q613" s="8">
        <v>2.7829999999999999</v>
      </c>
      <c r="R613" s="8">
        <v>2.1469999999999998</v>
      </c>
      <c r="S613" s="8">
        <v>0.99199999999999999</v>
      </c>
      <c r="T613" s="8">
        <v>1.0069999999999999</v>
      </c>
      <c r="U613" s="8">
        <v>1.2170000000000001</v>
      </c>
      <c r="V613" s="8">
        <v>1.127</v>
      </c>
      <c r="W613" s="8">
        <v>0.96399999999999997</v>
      </c>
      <c r="X613" s="8">
        <v>0.71499999999999997</v>
      </c>
      <c r="Y613" s="8">
        <v>0.51300000000000001</v>
      </c>
      <c r="Z613" s="8">
        <v>0.24299999999999999</v>
      </c>
      <c r="AA613" s="8">
        <v>0.08</v>
      </c>
      <c r="AB613" s="8">
        <v>1.6E-2</v>
      </c>
      <c r="AC613" s="8">
        <v>2E-3</v>
      </c>
    </row>
    <row r="614" spans="1:29" ht="11.65" hidden="1" x14ac:dyDescent="0.35">
      <c r="A614" s="12">
        <v>597</v>
      </c>
      <c r="B614" s="10" t="s">
        <v>1015</v>
      </c>
      <c r="C614" s="11" t="s">
        <v>1074</v>
      </c>
      <c r="D614" s="9"/>
      <c r="E614" s="9">
        <v>690</v>
      </c>
      <c r="F614" s="10" t="s">
        <v>1066</v>
      </c>
      <c r="G614" s="9">
        <v>910</v>
      </c>
      <c r="H614" s="9">
        <v>2005</v>
      </c>
      <c r="I614" s="8">
        <v>3.8130000000000002</v>
      </c>
      <c r="J614" s="8">
        <v>3.3809999999999998</v>
      </c>
      <c r="K614" s="8">
        <v>3.5939999999999999</v>
      </c>
      <c r="L614" s="8">
        <v>3.6139999999999999</v>
      </c>
      <c r="M614" s="8">
        <v>3.9950000000000001</v>
      </c>
      <c r="N614" s="8">
        <v>4.0789999999999997</v>
      </c>
      <c r="O614" s="8">
        <v>3.9409999999999998</v>
      </c>
      <c r="P614" s="8">
        <v>3.7250000000000001</v>
      </c>
      <c r="Q614" s="8">
        <v>3.4489999999999998</v>
      </c>
      <c r="R614" s="8">
        <v>2.8570000000000002</v>
      </c>
      <c r="S614" s="8">
        <v>2.1269999999999998</v>
      </c>
      <c r="T614" s="8">
        <v>0.96099999999999997</v>
      </c>
      <c r="U614" s="8">
        <v>0.96</v>
      </c>
      <c r="V614" s="8">
        <v>1.135</v>
      </c>
      <c r="W614" s="8">
        <v>1.01</v>
      </c>
      <c r="X614" s="8">
        <v>0.81299999999999994</v>
      </c>
      <c r="Y614" s="8">
        <v>0.50900000000000001</v>
      </c>
      <c r="Z614" s="8">
        <v>0.28199999999999997</v>
      </c>
      <c r="AA614" s="8">
        <v>9.0999999999999998E-2</v>
      </c>
      <c r="AB614" s="8">
        <v>1.4999999999999999E-2</v>
      </c>
      <c r="AC614" s="8">
        <v>2E-3</v>
      </c>
    </row>
    <row r="615" spans="1:29" ht="11.65" hidden="1" x14ac:dyDescent="0.35">
      <c r="A615" s="12">
        <v>598</v>
      </c>
      <c r="B615" s="10" t="s">
        <v>1015</v>
      </c>
      <c r="C615" s="11" t="s">
        <v>1074</v>
      </c>
      <c r="D615" s="9"/>
      <c r="E615" s="9">
        <v>690</v>
      </c>
      <c r="F615" s="10" t="s">
        <v>1066</v>
      </c>
      <c r="G615" s="9">
        <v>910</v>
      </c>
      <c r="H615" s="9">
        <v>2010</v>
      </c>
      <c r="I615" s="8">
        <v>3.665</v>
      </c>
      <c r="J615" s="8">
        <v>3.2290000000000001</v>
      </c>
      <c r="K615" s="8">
        <v>3.2679999999999998</v>
      </c>
      <c r="L615" s="8">
        <v>3.5670000000000002</v>
      </c>
      <c r="M615" s="8">
        <v>3.42</v>
      </c>
      <c r="N615" s="8">
        <v>3.4489999999999998</v>
      </c>
      <c r="O615" s="8">
        <v>3.5640000000000001</v>
      </c>
      <c r="P615" s="8">
        <v>3.6619999999999999</v>
      </c>
      <c r="Q615" s="8">
        <v>3.4910000000000001</v>
      </c>
      <c r="R615" s="8">
        <v>3.302</v>
      </c>
      <c r="S615" s="8">
        <v>2.6440000000000001</v>
      </c>
      <c r="T615" s="8">
        <v>1.768</v>
      </c>
      <c r="U615" s="8">
        <v>1.03</v>
      </c>
      <c r="V615" s="8">
        <v>1.2</v>
      </c>
      <c r="W615" s="8">
        <v>1.032</v>
      </c>
      <c r="X615" s="8">
        <v>0.82599999999999996</v>
      </c>
      <c r="Y615" s="8">
        <v>0.64800000000000002</v>
      </c>
      <c r="Z615" s="8">
        <v>0.28299999999999997</v>
      </c>
      <c r="AA615" s="8">
        <v>0.109</v>
      </c>
      <c r="AB615" s="8">
        <v>2.1999999999999999E-2</v>
      </c>
      <c r="AC615" s="8">
        <v>2E-3</v>
      </c>
    </row>
    <row r="616" spans="1:29" ht="11.65" hidden="1" x14ac:dyDescent="0.35">
      <c r="A616" s="12">
        <v>599</v>
      </c>
      <c r="B616" s="10" t="s">
        <v>1015</v>
      </c>
      <c r="C616" s="11" t="s">
        <v>1074</v>
      </c>
      <c r="D616" s="9"/>
      <c r="E616" s="9">
        <v>690</v>
      </c>
      <c r="F616" s="10" t="s">
        <v>1066</v>
      </c>
      <c r="G616" s="9">
        <v>910</v>
      </c>
      <c r="H616" s="9">
        <v>2015</v>
      </c>
      <c r="I616" s="8">
        <v>3.8929999999999998</v>
      </c>
      <c r="J616" s="8">
        <v>3.6440000000000001</v>
      </c>
      <c r="K616" s="8">
        <v>3.2149999999999999</v>
      </c>
      <c r="L616" s="8">
        <v>3.2050000000000001</v>
      </c>
      <c r="M616" s="8">
        <v>3.4550000000000001</v>
      </c>
      <c r="N616" s="8">
        <v>3.3140000000000001</v>
      </c>
      <c r="O616" s="8">
        <v>3.3660000000000001</v>
      </c>
      <c r="P616" s="8">
        <v>3.4980000000000002</v>
      </c>
      <c r="Q616" s="8">
        <v>3.6019999999999999</v>
      </c>
      <c r="R616" s="8">
        <v>3.4279999999999999</v>
      </c>
      <c r="S616" s="8">
        <v>3.2250000000000001</v>
      </c>
      <c r="T616" s="8">
        <v>2.56</v>
      </c>
      <c r="U616" s="8">
        <v>1.6859999999999999</v>
      </c>
      <c r="V616" s="8">
        <v>0.96099999999999997</v>
      </c>
      <c r="W616" s="8">
        <v>1.079</v>
      </c>
      <c r="X616" s="8">
        <v>0.86</v>
      </c>
      <c r="Y616" s="8">
        <v>0.59699999999999998</v>
      </c>
      <c r="Z616" s="8">
        <v>0.371</v>
      </c>
      <c r="AA616" s="8">
        <v>0.115</v>
      </c>
      <c r="AB616" s="8">
        <v>2.7E-2</v>
      </c>
      <c r="AC616" s="8">
        <v>3.0000000000000001E-3</v>
      </c>
    </row>
    <row r="617" spans="1:29" ht="11.65" hidden="1" x14ac:dyDescent="0.35">
      <c r="A617" s="12">
        <v>600</v>
      </c>
      <c r="B617" s="10" t="s">
        <v>1015</v>
      </c>
      <c r="C617" s="11" t="s">
        <v>1074</v>
      </c>
      <c r="D617" s="9"/>
      <c r="E617" s="9">
        <v>690</v>
      </c>
      <c r="F617" s="10" t="s">
        <v>1066</v>
      </c>
      <c r="G617" s="9">
        <v>910</v>
      </c>
      <c r="H617" s="9">
        <v>2020</v>
      </c>
      <c r="I617" s="8">
        <v>3.87</v>
      </c>
      <c r="J617" s="8">
        <v>3.871</v>
      </c>
      <c r="K617" s="8">
        <v>3.629</v>
      </c>
      <c r="L617" s="8">
        <v>3.15</v>
      </c>
      <c r="M617" s="8">
        <v>3.0939999999999999</v>
      </c>
      <c r="N617" s="8">
        <v>3.351</v>
      </c>
      <c r="O617" s="8">
        <v>3.2330000000000001</v>
      </c>
      <c r="P617" s="8">
        <v>3.302</v>
      </c>
      <c r="Q617" s="8">
        <v>3.4420000000000002</v>
      </c>
      <c r="R617" s="8">
        <v>3.54</v>
      </c>
      <c r="S617" s="8">
        <v>3.35</v>
      </c>
      <c r="T617" s="8">
        <v>3.1259999999999999</v>
      </c>
      <c r="U617" s="8">
        <v>2.444</v>
      </c>
      <c r="V617" s="8">
        <v>1.577</v>
      </c>
      <c r="W617" s="8">
        <v>0.86499999999999999</v>
      </c>
      <c r="X617" s="8">
        <v>0.90200000000000002</v>
      </c>
      <c r="Y617" s="8">
        <v>0.624</v>
      </c>
      <c r="Z617" s="8">
        <v>0.34599999999999997</v>
      </c>
      <c r="AA617" s="8">
        <v>0.152</v>
      </c>
      <c r="AB617" s="8">
        <v>2.9000000000000001E-2</v>
      </c>
      <c r="AC617" s="8">
        <v>4.0000000000000001E-3</v>
      </c>
    </row>
    <row r="618" spans="1:29" ht="11.65" hidden="1" x14ac:dyDescent="0.35">
      <c r="A618" s="12">
        <v>601</v>
      </c>
      <c r="B618" s="10" t="s">
        <v>1015</v>
      </c>
      <c r="C618" s="11" t="s">
        <v>1075</v>
      </c>
      <c r="D618" s="9"/>
      <c r="E618" s="9">
        <v>706</v>
      </c>
      <c r="F618" s="10" t="s">
        <v>1066</v>
      </c>
      <c r="G618" s="9">
        <v>910</v>
      </c>
      <c r="H618" s="9">
        <v>1950</v>
      </c>
      <c r="I618" s="8">
        <v>193.50399999999999</v>
      </c>
      <c r="J618" s="8">
        <v>144.10300000000001</v>
      </c>
      <c r="K618" s="8">
        <v>130.464</v>
      </c>
      <c r="L618" s="8">
        <v>107.196</v>
      </c>
      <c r="M618" s="8">
        <v>96.227000000000004</v>
      </c>
      <c r="N618" s="8">
        <v>86.215000000000003</v>
      </c>
      <c r="O618" s="8">
        <v>76.2</v>
      </c>
      <c r="P618" s="8">
        <v>66.569000000000003</v>
      </c>
      <c r="Q618" s="8">
        <v>57.317</v>
      </c>
      <c r="R618" s="8">
        <v>48.829000000000001</v>
      </c>
      <c r="S618" s="8">
        <v>41.009</v>
      </c>
      <c r="T618" s="8">
        <v>33.378999999999998</v>
      </c>
      <c r="U618" s="8">
        <v>25.369</v>
      </c>
      <c r="V618" s="8">
        <v>17.547000000000001</v>
      </c>
      <c r="W618" s="8">
        <v>10.111000000000001</v>
      </c>
      <c r="X618" s="8">
        <v>4.577</v>
      </c>
      <c r="Y618" s="8">
        <v>1.2230000000000001</v>
      </c>
      <c r="Z618" s="8">
        <v>0.33300000000000002</v>
      </c>
      <c r="AA618" s="8">
        <v>5.7000000000000002E-2</v>
      </c>
      <c r="AB618" s="8">
        <v>6.0000000000000001E-3</v>
      </c>
      <c r="AC618" s="8">
        <v>0</v>
      </c>
    </row>
    <row r="619" spans="1:29" ht="11.65" hidden="1" x14ac:dyDescent="0.35">
      <c r="A619" s="12">
        <v>602</v>
      </c>
      <c r="B619" s="10" t="s">
        <v>1015</v>
      </c>
      <c r="C619" s="11" t="s">
        <v>1075</v>
      </c>
      <c r="D619" s="9"/>
      <c r="E619" s="9">
        <v>706</v>
      </c>
      <c r="F619" s="10" t="s">
        <v>1066</v>
      </c>
      <c r="G619" s="9">
        <v>910</v>
      </c>
      <c r="H619" s="9">
        <v>1955</v>
      </c>
      <c r="I619" s="8">
        <v>218.483</v>
      </c>
      <c r="J619" s="8">
        <v>165.67599999999999</v>
      </c>
      <c r="K619" s="8">
        <v>136.88800000000001</v>
      </c>
      <c r="L619" s="8">
        <v>125.63</v>
      </c>
      <c r="M619" s="8">
        <v>102.736</v>
      </c>
      <c r="N619" s="8">
        <v>91.591999999999999</v>
      </c>
      <c r="O619" s="8">
        <v>81.382000000000005</v>
      </c>
      <c r="P619" s="8">
        <v>71.262</v>
      </c>
      <c r="Q619" s="8">
        <v>61.767000000000003</v>
      </c>
      <c r="R619" s="8">
        <v>52.884</v>
      </c>
      <c r="S619" s="8">
        <v>44.54</v>
      </c>
      <c r="T619" s="8">
        <v>36.409999999999997</v>
      </c>
      <c r="U619" s="8">
        <v>28.219000000000001</v>
      </c>
      <c r="V619" s="8">
        <v>19.77</v>
      </c>
      <c r="W619" s="8">
        <v>11.976000000000001</v>
      </c>
      <c r="X619" s="8">
        <v>5.6580000000000004</v>
      </c>
      <c r="Y619" s="8">
        <v>1.9259999999999999</v>
      </c>
      <c r="Z619" s="8">
        <v>0.34300000000000003</v>
      </c>
      <c r="AA619" s="8">
        <v>5.7000000000000002E-2</v>
      </c>
      <c r="AB619" s="8">
        <v>6.0000000000000001E-3</v>
      </c>
      <c r="AC619" s="8">
        <v>0</v>
      </c>
    </row>
    <row r="620" spans="1:29" ht="11.65" hidden="1" x14ac:dyDescent="0.35">
      <c r="A620" s="12">
        <v>603</v>
      </c>
      <c r="B620" s="10" t="s">
        <v>1015</v>
      </c>
      <c r="C620" s="11" t="s">
        <v>1075</v>
      </c>
      <c r="D620" s="9"/>
      <c r="E620" s="9">
        <v>706</v>
      </c>
      <c r="F620" s="10" t="s">
        <v>1066</v>
      </c>
      <c r="G620" s="9">
        <v>910</v>
      </c>
      <c r="H620" s="9">
        <v>1960</v>
      </c>
      <c r="I620" s="8">
        <v>241.61099999999999</v>
      </c>
      <c r="J620" s="8">
        <v>189.53899999999999</v>
      </c>
      <c r="K620" s="8">
        <v>158.00700000000001</v>
      </c>
      <c r="L620" s="8">
        <v>132.136</v>
      </c>
      <c r="M620" s="8">
        <v>120.65600000000001</v>
      </c>
      <c r="N620" s="8">
        <v>97.992999999999995</v>
      </c>
      <c r="O620" s="8">
        <v>86.703000000000003</v>
      </c>
      <c r="P620" s="8">
        <v>76.397999999999996</v>
      </c>
      <c r="Q620" s="8">
        <v>66.427999999999997</v>
      </c>
      <c r="R620" s="8">
        <v>57.267000000000003</v>
      </c>
      <c r="S620" s="8">
        <v>48.5</v>
      </c>
      <c r="T620" s="8">
        <v>39.823999999999998</v>
      </c>
      <c r="U620" s="8">
        <v>31.091999999999999</v>
      </c>
      <c r="V620" s="8">
        <v>22.312999999999999</v>
      </c>
      <c r="W620" s="8">
        <v>13.788</v>
      </c>
      <c r="X620" s="8">
        <v>6.9240000000000004</v>
      </c>
      <c r="Y620" s="8">
        <v>2.4889999999999999</v>
      </c>
      <c r="Z620" s="8">
        <v>0.57699999999999996</v>
      </c>
      <c r="AA620" s="8">
        <v>6.4000000000000001E-2</v>
      </c>
      <c r="AB620" s="8">
        <v>6.0000000000000001E-3</v>
      </c>
      <c r="AC620" s="8">
        <v>0</v>
      </c>
    </row>
    <row r="621" spans="1:29" ht="11.65" hidden="1" x14ac:dyDescent="0.35">
      <c r="A621" s="12">
        <v>604</v>
      </c>
      <c r="B621" s="10" t="s">
        <v>1015</v>
      </c>
      <c r="C621" s="11" t="s">
        <v>1075</v>
      </c>
      <c r="D621" s="9"/>
      <c r="E621" s="9">
        <v>706</v>
      </c>
      <c r="F621" s="10" t="s">
        <v>1066</v>
      </c>
      <c r="G621" s="9">
        <v>910</v>
      </c>
      <c r="H621" s="9">
        <v>1965</v>
      </c>
      <c r="I621" s="8">
        <v>269.839</v>
      </c>
      <c r="J621" s="8">
        <v>212.17699999999999</v>
      </c>
      <c r="K621" s="8">
        <v>181.42500000000001</v>
      </c>
      <c r="L621" s="8">
        <v>152.93299999999999</v>
      </c>
      <c r="M621" s="8">
        <v>127.26300000000001</v>
      </c>
      <c r="N621" s="8">
        <v>115.465</v>
      </c>
      <c r="O621" s="8">
        <v>93.117000000000004</v>
      </c>
      <c r="P621" s="8">
        <v>81.757999999999996</v>
      </c>
      <c r="Q621" s="8">
        <v>71.563000000000002</v>
      </c>
      <c r="R621" s="8">
        <v>61.893999999999998</v>
      </c>
      <c r="S621" s="8">
        <v>52.801000000000002</v>
      </c>
      <c r="T621" s="8">
        <v>43.655000000000001</v>
      </c>
      <c r="U621" s="8">
        <v>34.323999999999998</v>
      </c>
      <c r="V621" s="8">
        <v>24.923999999999999</v>
      </c>
      <c r="W621" s="8">
        <v>15.872</v>
      </c>
      <c r="X621" s="8">
        <v>8.2119999999999997</v>
      </c>
      <c r="Y621" s="8">
        <v>3.169</v>
      </c>
      <c r="Z621" s="8">
        <v>0.78900000000000003</v>
      </c>
      <c r="AA621" s="8">
        <v>0.11600000000000001</v>
      </c>
      <c r="AB621" s="8">
        <v>8.9999999999999993E-3</v>
      </c>
      <c r="AC621" s="8">
        <v>1E-3</v>
      </c>
    </row>
    <row r="622" spans="1:29" ht="11.65" hidden="1" x14ac:dyDescent="0.35">
      <c r="A622" s="12">
        <v>605</v>
      </c>
      <c r="B622" s="10" t="s">
        <v>1015</v>
      </c>
      <c r="C622" s="11" t="s">
        <v>1075</v>
      </c>
      <c r="D622" s="9"/>
      <c r="E622" s="9">
        <v>706</v>
      </c>
      <c r="F622" s="10" t="s">
        <v>1066</v>
      </c>
      <c r="G622" s="9">
        <v>910</v>
      </c>
      <c r="H622" s="9">
        <v>1970</v>
      </c>
      <c r="I622" s="8">
        <v>304.733</v>
      </c>
      <c r="J622" s="8">
        <v>239.714</v>
      </c>
      <c r="K622" s="8">
        <v>203.863</v>
      </c>
      <c r="L622" s="8">
        <v>176.142</v>
      </c>
      <c r="M622" s="8">
        <v>147.958</v>
      </c>
      <c r="N622" s="8">
        <v>122.48399999999999</v>
      </c>
      <c r="O622" s="8">
        <v>110.383</v>
      </c>
      <c r="P622" s="8">
        <v>88.367000000000004</v>
      </c>
      <c r="Q622" s="8">
        <v>77.057000000000002</v>
      </c>
      <c r="R622" s="8">
        <v>67.070999999999998</v>
      </c>
      <c r="S622" s="8">
        <v>57.405000000000001</v>
      </c>
      <c r="T622" s="8">
        <v>47.86</v>
      </c>
      <c r="U622" s="8">
        <v>37.991999999999997</v>
      </c>
      <c r="V622" s="8">
        <v>27.866</v>
      </c>
      <c r="W622" s="8">
        <v>18.081</v>
      </c>
      <c r="X622" s="8">
        <v>9.7129999999999992</v>
      </c>
      <c r="Y622" s="8">
        <v>3.9079999999999999</v>
      </c>
      <c r="Z622" s="8">
        <v>1.0569999999999999</v>
      </c>
      <c r="AA622" s="8">
        <v>0.16800000000000001</v>
      </c>
      <c r="AB622" s="8">
        <v>1.4999999999999999E-2</v>
      </c>
      <c r="AC622" s="8">
        <v>1E-3</v>
      </c>
    </row>
    <row r="623" spans="1:29" ht="11.65" hidden="1" x14ac:dyDescent="0.35">
      <c r="A623" s="12">
        <v>606</v>
      </c>
      <c r="B623" s="10" t="s">
        <v>1015</v>
      </c>
      <c r="C623" s="11" t="s">
        <v>1075</v>
      </c>
      <c r="D623" s="9"/>
      <c r="E623" s="9">
        <v>706</v>
      </c>
      <c r="F623" s="10" t="s">
        <v>1066</v>
      </c>
      <c r="G623" s="9">
        <v>910</v>
      </c>
      <c r="H623" s="9">
        <v>1975</v>
      </c>
      <c r="I623" s="8">
        <v>341.233</v>
      </c>
      <c r="J623" s="8">
        <v>273.75099999999998</v>
      </c>
      <c r="K623" s="8">
        <v>230.96100000000001</v>
      </c>
      <c r="L623" s="8">
        <v>198.10400000000001</v>
      </c>
      <c r="M623" s="8">
        <v>170.63900000000001</v>
      </c>
      <c r="N623" s="8">
        <v>142.6</v>
      </c>
      <c r="O623" s="8">
        <v>117.327</v>
      </c>
      <c r="P623" s="8">
        <v>105.05</v>
      </c>
      <c r="Q623" s="8">
        <v>83.566999999999993</v>
      </c>
      <c r="R623" s="8">
        <v>72.48</v>
      </c>
      <c r="S623" s="8">
        <v>62.445</v>
      </c>
      <c r="T623" s="8">
        <v>52.305</v>
      </c>
      <c r="U623" s="8">
        <v>41.972999999999999</v>
      </c>
      <c r="V623" s="8">
        <v>31.241</v>
      </c>
      <c r="W623" s="8">
        <v>20.646000000000001</v>
      </c>
      <c r="X623" s="8">
        <v>11.358000000000001</v>
      </c>
      <c r="Y623" s="8">
        <v>4.8079999999999998</v>
      </c>
      <c r="Z623" s="8">
        <v>1.379</v>
      </c>
      <c r="AA623" s="8">
        <v>0.24</v>
      </c>
      <c r="AB623" s="8">
        <v>2.1000000000000001E-2</v>
      </c>
      <c r="AC623" s="8">
        <v>1E-3</v>
      </c>
    </row>
    <row r="624" spans="1:29" ht="11.65" hidden="1" x14ac:dyDescent="0.35">
      <c r="A624" s="12">
        <v>607</v>
      </c>
      <c r="B624" s="10" t="s">
        <v>1015</v>
      </c>
      <c r="C624" s="11" t="s">
        <v>1075</v>
      </c>
      <c r="D624" s="9"/>
      <c r="E624" s="9">
        <v>706</v>
      </c>
      <c r="F624" s="10" t="s">
        <v>1066</v>
      </c>
      <c r="G624" s="9">
        <v>910</v>
      </c>
      <c r="H624" s="9">
        <v>1980</v>
      </c>
      <c r="I624" s="8">
        <v>544.12099999999998</v>
      </c>
      <c r="J624" s="8">
        <v>449.82799999999997</v>
      </c>
      <c r="K624" s="8">
        <v>377.94499999999999</v>
      </c>
      <c r="L624" s="8">
        <v>311.87299999999999</v>
      </c>
      <c r="M624" s="8">
        <v>262.012</v>
      </c>
      <c r="N624" s="8">
        <v>223.792</v>
      </c>
      <c r="O624" s="8">
        <v>186.11600000000001</v>
      </c>
      <c r="P624" s="8">
        <v>152.797</v>
      </c>
      <c r="Q624" s="8">
        <v>132.69399999999999</v>
      </c>
      <c r="R624" s="8">
        <v>105.38</v>
      </c>
      <c r="S624" s="8">
        <v>91.028999999999996</v>
      </c>
      <c r="T624" s="8">
        <v>77.305000000000007</v>
      </c>
      <c r="U624" s="8">
        <v>61.942999999999998</v>
      </c>
      <c r="V624" s="8">
        <v>46.276000000000003</v>
      </c>
      <c r="W624" s="8">
        <v>30.812999999999999</v>
      </c>
      <c r="X624" s="8">
        <v>17.126999999999999</v>
      </c>
      <c r="Y624" s="8">
        <v>7.3520000000000003</v>
      </c>
      <c r="Z624" s="8">
        <v>2.0179999999999998</v>
      </c>
      <c r="AA624" s="8">
        <v>0.33</v>
      </c>
      <c r="AB624" s="8">
        <v>3.4000000000000002E-2</v>
      </c>
      <c r="AC624" s="8">
        <v>2E-3</v>
      </c>
    </row>
    <row r="625" spans="1:29" ht="11.65" hidden="1" x14ac:dyDescent="0.35">
      <c r="A625" s="12">
        <v>608</v>
      </c>
      <c r="B625" s="10" t="s">
        <v>1015</v>
      </c>
      <c r="C625" s="11" t="s">
        <v>1075</v>
      </c>
      <c r="D625" s="9"/>
      <c r="E625" s="9">
        <v>706</v>
      </c>
      <c r="F625" s="10" t="s">
        <v>1066</v>
      </c>
      <c r="G625" s="9">
        <v>910</v>
      </c>
      <c r="H625" s="9">
        <v>1985</v>
      </c>
      <c r="I625" s="8">
        <v>578.44600000000003</v>
      </c>
      <c r="J625" s="8">
        <v>463.66800000000001</v>
      </c>
      <c r="K625" s="8">
        <v>408.69200000000001</v>
      </c>
      <c r="L625" s="8">
        <v>347.83499999999998</v>
      </c>
      <c r="M625" s="8">
        <v>286.64999999999998</v>
      </c>
      <c r="N625" s="8">
        <v>239.62799999999999</v>
      </c>
      <c r="O625" s="8">
        <v>203.732</v>
      </c>
      <c r="P625" s="8">
        <v>168.43600000000001</v>
      </c>
      <c r="Q625" s="8">
        <v>136.989</v>
      </c>
      <c r="R625" s="8">
        <v>116.901</v>
      </c>
      <c r="S625" s="8">
        <v>90.355999999999995</v>
      </c>
      <c r="T625" s="8">
        <v>76.826999999999998</v>
      </c>
      <c r="U625" s="8">
        <v>62.707000000000001</v>
      </c>
      <c r="V625" s="8">
        <v>46.918999999999997</v>
      </c>
      <c r="W625" s="8">
        <v>31.815000000000001</v>
      </c>
      <c r="X625" s="8">
        <v>18.138000000000002</v>
      </c>
      <c r="Y625" s="8">
        <v>8.0670000000000002</v>
      </c>
      <c r="Z625" s="8">
        <v>2.6339999999999999</v>
      </c>
      <c r="AA625" s="8">
        <v>0.503</v>
      </c>
      <c r="AB625" s="8">
        <v>4.9000000000000002E-2</v>
      </c>
      <c r="AC625" s="8">
        <v>3.0000000000000001E-3</v>
      </c>
    </row>
    <row r="626" spans="1:29" ht="11.65" hidden="1" x14ac:dyDescent="0.35">
      <c r="A626" s="12">
        <v>609</v>
      </c>
      <c r="B626" s="10" t="s">
        <v>1015</v>
      </c>
      <c r="C626" s="11" t="s">
        <v>1075</v>
      </c>
      <c r="D626" s="9"/>
      <c r="E626" s="9">
        <v>706</v>
      </c>
      <c r="F626" s="10" t="s">
        <v>1066</v>
      </c>
      <c r="G626" s="9">
        <v>910</v>
      </c>
      <c r="H626" s="9">
        <v>1990</v>
      </c>
      <c r="I626" s="8">
        <v>667.21699999999998</v>
      </c>
      <c r="J626" s="8">
        <v>501.50599999999997</v>
      </c>
      <c r="K626" s="8">
        <v>425.32400000000001</v>
      </c>
      <c r="L626" s="8">
        <v>380.06599999999997</v>
      </c>
      <c r="M626" s="8">
        <v>324.17700000000002</v>
      </c>
      <c r="N626" s="8">
        <v>265.45</v>
      </c>
      <c r="O626" s="8">
        <v>220.04300000000001</v>
      </c>
      <c r="P626" s="8">
        <v>184.547</v>
      </c>
      <c r="Q626" s="8">
        <v>150.71700000000001</v>
      </c>
      <c r="R626" s="8">
        <v>120.91</v>
      </c>
      <c r="S626" s="8">
        <v>101.497</v>
      </c>
      <c r="T626" s="8">
        <v>76.537000000000006</v>
      </c>
      <c r="U626" s="8">
        <v>63.125999999999998</v>
      </c>
      <c r="V626" s="8">
        <v>48.646999999999998</v>
      </c>
      <c r="W626" s="8">
        <v>33.103000000000002</v>
      </c>
      <c r="X626" s="8">
        <v>19.271000000000001</v>
      </c>
      <c r="Y626" s="8">
        <v>8.827</v>
      </c>
      <c r="Z626" s="8">
        <v>2.9740000000000002</v>
      </c>
      <c r="AA626" s="8">
        <v>0.67300000000000004</v>
      </c>
      <c r="AB626" s="8">
        <v>7.6999999999999999E-2</v>
      </c>
      <c r="AC626" s="8">
        <v>4.0000000000000001E-3</v>
      </c>
    </row>
    <row r="627" spans="1:29" ht="11.65" hidden="1" x14ac:dyDescent="0.35">
      <c r="A627" s="12">
        <v>610</v>
      </c>
      <c r="B627" s="10" t="s">
        <v>1015</v>
      </c>
      <c r="C627" s="11" t="s">
        <v>1075</v>
      </c>
      <c r="D627" s="9"/>
      <c r="E627" s="9">
        <v>706</v>
      </c>
      <c r="F627" s="10" t="s">
        <v>1066</v>
      </c>
      <c r="G627" s="9">
        <v>910</v>
      </c>
      <c r="H627" s="9">
        <v>1995</v>
      </c>
      <c r="I627" s="8">
        <v>719.10900000000004</v>
      </c>
      <c r="J627" s="8">
        <v>543.798</v>
      </c>
      <c r="K627" s="8">
        <v>432.35599999999999</v>
      </c>
      <c r="L627" s="8">
        <v>370.44099999999997</v>
      </c>
      <c r="M627" s="8">
        <v>332.12400000000002</v>
      </c>
      <c r="N627" s="8">
        <v>281.976</v>
      </c>
      <c r="O627" s="8">
        <v>228.749</v>
      </c>
      <c r="P627" s="8">
        <v>188.233</v>
      </c>
      <c r="Q627" s="8">
        <v>157.071</v>
      </c>
      <c r="R627" s="8">
        <v>126.901</v>
      </c>
      <c r="S627" s="8">
        <v>100.02500000000001</v>
      </c>
      <c r="T627" s="8">
        <v>82.594999999999999</v>
      </c>
      <c r="U627" s="8">
        <v>59.619</v>
      </c>
      <c r="V627" s="8">
        <v>46.679000000000002</v>
      </c>
      <c r="W627" s="8">
        <v>32.865000000000002</v>
      </c>
      <c r="X627" s="8">
        <v>19.234999999999999</v>
      </c>
      <c r="Y627" s="8">
        <v>9.0350000000000001</v>
      </c>
      <c r="Z627" s="8">
        <v>3.1629999999999998</v>
      </c>
      <c r="AA627" s="8">
        <v>0.73899999999999999</v>
      </c>
      <c r="AB627" s="8">
        <v>9.9000000000000005E-2</v>
      </c>
      <c r="AC627" s="8">
        <v>6.0000000000000001E-3</v>
      </c>
    </row>
    <row r="628" spans="1:29" ht="11.65" hidden="1" x14ac:dyDescent="0.35">
      <c r="A628" s="12">
        <v>611</v>
      </c>
      <c r="B628" s="10" t="s">
        <v>1015</v>
      </c>
      <c r="C628" s="11" t="s">
        <v>1075</v>
      </c>
      <c r="D628" s="9"/>
      <c r="E628" s="9">
        <v>706</v>
      </c>
      <c r="F628" s="10" t="s">
        <v>1066</v>
      </c>
      <c r="G628" s="9">
        <v>910</v>
      </c>
      <c r="H628" s="9">
        <v>2000</v>
      </c>
      <c r="I628" s="8">
        <v>883.75900000000001</v>
      </c>
      <c r="J628" s="8">
        <v>672.64499999999998</v>
      </c>
      <c r="K628" s="8">
        <v>530.24699999999996</v>
      </c>
      <c r="L628" s="8">
        <v>423.88900000000001</v>
      </c>
      <c r="M628" s="8">
        <v>362.00900000000001</v>
      </c>
      <c r="N628" s="8">
        <v>322.851</v>
      </c>
      <c r="O628" s="8">
        <v>272.31200000000001</v>
      </c>
      <c r="P628" s="8">
        <v>219.626</v>
      </c>
      <c r="Q628" s="8">
        <v>179.89099999999999</v>
      </c>
      <c r="R628" s="8">
        <v>149.63800000000001</v>
      </c>
      <c r="S628" s="8">
        <v>119.861</v>
      </c>
      <c r="T628" s="8">
        <v>92.885999999999996</v>
      </c>
      <c r="U628" s="8">
        <v>74.442999999999998</v>
      </c>
      <c r="V628" s="8">
        <v>50.95</v>
      </c>
      <c r="W628" s="8">
        <v>36.58</v>
      </c>
      <c r="X628" s="8">
        <v>22.35</v>
      </c>
      <c r="Y628" s="8">
        <v>10.664</v>
      </c>
      <c r="Z628" s="8">
        <v>3.7120000000000002</v>
      </c>
      <c r="AA628" s="8">
        <v>0.86799999999999999</v>
      </c>
      <c r="AB628" s="8">
        <v>0.123</v>
      </c>
      <c r="AC628" s="8">
        <v>8.9999999999999993E-3</v>
      </c>
    </row>
    <row r="629" spans="1:29" ht="11.65" hidden="1" x14ac:dyDescent="0.35">
      <c r="A629" s="12">
        <v>612</v>
      </c>
      <c r="B629" s="10" t="s">
        <v>1015</v>
      </c>
      <c r="C629" s="11" t="s">
        <v>1075</v>
      </c>
      <c r="D629" s="9"/>
      <c r="E629" s="9">
        <v>706</v>
      </c>
      <c r="F629" s="10" t="s">
        <v>1066</v>
      </c>
      <c r="G629" s="9">
        <v>910</v>
      </c>
      <c r="H629" s="9">
        <v>2005</v>
      </c>
      <c r="I629" s="8">
        <v>1000.173</v>
      </c>
      <c r="J629" s="8">
        <v>833.54300000000001</v>
      </c>
      <c r="K629" s="8">
        <v>656.95399999999995</v>
      </c>
      <c r="L629" s="8">
        <v>520.68700000000001</v>
      </c>
      <c r="M629" s="8">
        <v>415.04300000000001</v>
      </c>
      <c r="N629" s="8">
        <v>352.64699999999999</v>
      </c>
      <c r="O629" s="8">
        <v>312.44099999999997</v>
      </c>
      <c r="P629" s="8">
        <v>261.81200000000001</v>
      </c>
      <c r="Q629" s="8">
        <v>210.089</v>
      </c>
      <c r="R629" s="8">
        <v>171.65299999999999</v>
      </c>
      <c r="S629" s="8">
        <v>141.71299999999999</v>
      </c>
      <c r="T629" s="8">
        <v>111.70699999999999</v>
      </c>
      <c r="U629" s="8">
        <v>84.111000000000004</v>
      </c>
      <c r="V629" s="8">
        <v>64.033000000000001</v>
      </c>
      <c r="W629" s="8">
        <v>40.307000000000002</v>
      </c>
      <c r="X629" s="8">
        <v>25.190999999999999</v>
      </c>
      <c r="Y629" s="8">
        <v>12.601000000000001</v>
      </c>
      <c r="Z629" s="8">
        <v>4.4770000000000003</v>
      </c>
      <c r="AA629" s="8">
        <v>1.044</v>
      </c>
      <c r="AB629" s="8">
        <v>0.14699999999999999</v>
      </c>
      <c r="AC629" s="8">
        <v>1.2E-2</v>
      </c>
    </row>
    <row r="630" spans="1:29" ht="11.65" hidden="1" x14ac:dyDescent="0.35">
      <c r="A630" s="12">
        <v>613</v>
      </c>
      <c r="B630" s="10" t="s">
        <v>1015</v>
      </c>
      <c r="C630" s="11" t="s">
        <v>1075</v>
      </c>
      <c r="D630" s="9"/>
      <c r="E630" s="9">
        <v>706</v>
      </c>
      <c r="F630" s="10" t="s">
        <v>1066</v>
      </c>
      <c r="G630" s="9">
        <v>910</v>
      </c>
      <c r="H630" s="9">
        <v>2010</v>
      </c>
      <c r="I630" s="8">
        <v>1125.028</v>
      </c>
      <c r="J630" s="8">
        <v>946.89300000000003</v>
      </c>
      <c r="K630" s="8">
        <v>813.26499999999999</v>
      </c>
      <c r="L630" s="8">
        <v>640.51599999999996</v>
      </c>
      <c r="M630" s="8">
        <v>496.76100000000002</v>
      </c>
      <c r="N630" s="8">
        <v>386.94400000000002</v>
      </c>
      <c r="O630" s="8">
        <v>328.255</v>
      </c>
      <c r="P630" s="8">
        <v>291.19</v>
      </c>
      <c r="Q630" s="8">
        <v>242.905</v>
      </c>
      <c r="R630" s="8">
        <v>195.09100000000001</v>
      </c>
      <c r="S630" s="8">
        <v>159.29599999999999</v>
      </c>
      <c r="T630" s="8">
        <v>130.09299999999999</v>
      </c>
      <c r="U630" s="8">
        <v>100.29</v>
      </c>
      <c r="V630" s="8">
        <v>71.930000000000007</v>
      </c>
      <c r="W630" s="8">
        <v>50.552</v>
      </c>
      <c r="X630" s="8">
        <v>27.771999999999998</v>
      </c>
      <c r="Y630" s="8">
        <v>14.236000000000001</v>
      </c>
      <c r="Z630" s="8">
        <v>5.3449999999999998</v>
      </c>
      <c r="AA630" s="8">
        <v>1.2849999999999999</v>
      </c>
      <c r="AB630" s="8">
        <v>0.18099999999999999</v>
      </c>
      <c r="AC630" s="8">
        <v>1.4999999999999999E-2</v>
      </c>
    </row>
    <row r="631" spans="1:29" ht="11.65" hidden="1" x14ac:dyDescent="0.35">
      <c r="A631" s="12">
        <v>614</v>
      </c>
      <c r="B631" s="10" t="s">
        <v>1015</v>
      </c>
      <c r="C631" s="11" t="s">
        <v>1075</v>
      </c>
      <c r="D631" s="9"/>
      <c r="E631" s="9">
        <v>706</v>
      </c>
      <c r="F631" s="10" t="s">
        <v>1066</v>
      </c>
      <c r="G631" s="9">
        <v>910</v>
      </c>
      <c r="H631" s="9">
        <v>2015</v>
      </c>
      <c r="I631" s="8">
        <v>1233.73</v>
      </c>
      <c r="J631" s="8">
        <v>1073.925</v>
      </c>
      <c r="K631" s="8">
        <v>925.48699999999997</v>
      </c>
      <c r="L631" s="8">
        <v>794.154</v>
      </c>
      <c r="M631" s="8">
        <v>614.03200000000004</v>
      </c>
      <c r="N631" s="8">
        <v>465.65300000000002</v>
      </c>
      <c r="O631" s="8">
        <v>360.87299999999999</v>
      </c>
      <c r="P631" s="8">
        <v>306.089</v>
      </c>
      <c r="Q631" s="8">
        <v>271.005</v>
      </c>
      <c r="R631" s="8">
        <v>225.48599999999999</v>
      </c>
      <c r="S631" s="8">
        <v>180.08600000000001</v>
      </c>
      <c r="T631" s="8">
        <v>145.85900000000001</v>
      </c>
      <c r="U631" s="8">
        <v>116.575</v>
      </c>
      <c r="V631" s="8">
        <v>85.881</v>
      </c>
      <c r="W631" s="8">
        <v>56.825000000000003</v>
      </c>
      <c r="X631" s="8">
        <v>35.064</v>
      </c>
      <c r="Y631" s="8">
        <v>15.741</v>
      </c>
      <c r="Z631" s="8">
        <v>6.0860000000000003</v>
      </c>
      <c r="AA631" s="8">
        <v>1.5509999999999999</v>
      </c>
      <c r="AB631" s="8">
        <v>0.22600000000000001</v>
      </c>
      <c r="AC631" s="8">
        <v>0.02</v>
      </c>
    </row>
    <row r="632" spans="1:29" ht="11.65" hidden="1" x14ac:dyDescent="0.35">
      <c r="A632" s="12">
        <v>615</v>
      </c>
      <c r="B632" s="10" t="s">
        <v>1015</v>
      </c>
      <c r="C632" s="11" t="s">
        <v>1075</v>
      </c>
      <c r="D632" s="9"/>
      <c r="E632" s="9">
        <v>706</v>
      </c>
      <c r="F632" s="10" t="s">
        <v>1066</v>
      </c>
      <c r="G632" s="9">
        <v>910</v>
      </c>
      <c r="H632" s="9">
        <v>2020</v>
      </c>
      <c r="I632" s="8">
        <v>1402.528</v>
      </c>
      <c r="J632" s="8">
        <v>1186.5640000000001</v>
      </c>
      <c r="K632" s="8">
        <v>1053.587</v>
      </c>
      <c r="L632" s="8">
        <v>905.60599999999999</v>
      </c>
      <c r="M632" s="8">
        <v>765.96799999999996</v>
      </c>
      <c r="N632" s="8">
        <v>582.56200000000001</v>
      </c>
      <c r="O632" s="8">
        <v>438.18</v>
      </c>
      <c r="P632" s="8">
        <v>338.66399999999999</v>
      </c>
      <c r="Q632" s="8">
        <v>287.95800000000003</v>
      </c>
      <c r="R632" s="8">
        <v>255.834</v>
      </c>
      <c r="S632" s="8">
        <v>212.24199999999999</v>
      </c>
      <c r="T632" s="8">
        <v>167.542</v>
      </c>
      <c r="U632" s="8">
        <v>132.49600000000001</v>
      </c>
      <c r="V632" s="8">
        <v>101.19499999999999</v>
      </c>
      <c r="W632" s="8">
        <v>68.858000000000004</v>
      </c>
      <c r="X632" s="8">
        <v>40.085999999999999</v>
      </c>
      <c r="Y632" s="8">
        <v>20.311</v>
      </c>
      <c r="Z632" s="8">
        <v>6.851</v>
      </c>
      <c r="AA632" s="8">
        <v>1.7989999999999999</v>
      </c>
      <c r="AB632" s="8">
        <v>0.27600000000000002</v>
      </c>
      <c r="AC632" s="8">
        <v>2.5000000000000001E-2</v>
      </c>
    </row>
    <row r="633" spans="1:29" ht="11.65" hidden="1" x14ac:dyDescent="0.35">
      <c r="A633" s="12">
        <v>616</v>
      </c>
      <c r="B633" s="10" t="s">
        <v>1015</v>
      </c>
      <c r="C633" s="11" t="s">
        <v>1076</v>
      </c>
      <c r="D633" s="9"/>
      <c r="E633" s="9">
        <v>728</v>
      </c>
      <c r="F633" s="10" t="s">
        <v>1066</v>
      </c>
      <c r="G633" s="9">
        <v>910</v>
      </c>
      <c r="H633" s="9">
        <v>1950</v>
      </c>
      <c r="I633" s="8">
        <v>214.398</v>
      </c>
      <c r="J633" s="8">
        <v>167.86500000000001</v>
      </c>
      <c r="K633" s="8">
        <v>141.93299999999999</v>
      </c>
      <c r="L633" s="8">
        <v>126.16</v>
      </c>
      <c r="M633" s="8">
        <v>107.744</v>
      </c>
      <c r="N633" s="8">
        <v>90.135999999999996</v>
      </c>
      <c r="O633" s="8">
        <v>75.775000000000006</v>
      </c>
      <c r="P633" s="8">
        <v>64.537000000000006</v>
      </c>
      <c r="Q633" s="8">
        <v>52.99</v>
      </c>
      <c r="R633" s="8">
        <v>43.484999999999999</v>
      </c>
      <c r="S633" s="8">
        <v>35.58</v>
      </c>
      <c r="T633" s="8">
        <v>30.21</v>
      </c>
      <c r="U633" s="8">
        <v>24.27</v>
      </c>
      <c r="V633" s="8">
        <v>18.28</v>
      </c>
      <c r="W633" s="8">
        <v>12.492000000000001</v>
      </c>
      <c r="X633" s="8">
        <v>6.8579999999999997</v>
      </c>
      <c r="Y633" s="8">
        <v>2.4350000000000001</v>
      </c>
      <c r="Z633" s="8">
        <v>0.80900000000000005</v>
      </c>
      <c r="AA633" s="8">
        <v>0.17399999999999999</v>
      </c>
      <c r="AB633" s="8">
        <v>2.1999999999999999E-2</v>
      </c>
      <c r="AC633" s="8">
        <v>2E-3</v>
      </c>
    </row>
    <row r="634" spans="1:29" ht="11.65" hidden="1" x14ac:dyDescent="0.35">
      <c r="A634" s="12">
        <v>617</v>
      </c>
      <c r="B634" s="10" t="s">
        <v>1015</v>
      </c>
      <c r="C634" s="11" t="s">
        <v>1076</v>
      </c>
      <c r="D634" s="9"/>
      <c r="E634" s="9">
        <v>728</v>
      </c>
      <c r="F634" s="10" t="s">
        <v>1066</v>
      </c>
      <c r="G634" s="9">
        <v>910</v>
      </c>
      <c r="H634" s="9">
        <v>1955</v>
      </c>
      <c r="I634" s="8">
        <v>211.946</v>
      </c>
      <c r="J634" s="8">
        <v>178.173</v>
      </c>
      <c r="K634" s="8">
        <v>156.16900000000001</v>
      </c>
      <c r="L634" s="8">
        <v>135.149</v>
      </c>
      <c r="M634" s="8">
        <v>119.65300000000001</v>
      </c>
      <c r="N634" s="8">
        <v>101.336</v>
      </c>
      <c r="O634" s="8">
        <v>83.870999999999995</v>
      </c>
      <c r="P634" s="8">
        <v>69.677999999999997</v>
      </c>
      <c r="Q634" s="8">
        <v>58.8</v>
      </c>
      <c r="R634" s="8">
        <v>47.981999999999999</v>
      </c>
      <c r="S634" s="8">
        <v>38.871000000000002</v>
      </c>
      <c r="T634" s="8">
        <v>30.792999999999999</v>
      </c>
      <c r="U634" s="8">
        <v>24.625</v>
      </c>
      <c r="V634" s="8">
        <v>17.942</v>
      </c>
      <c r="W634" s="8">
        <v>11.513</v>
      </c>
      <c r="X634" s="8">
        <v>6.1970000000000001</v>
      </c>
      <c r="Y634" s="8">
        <v>2.42</v>
      </c>
      <c r="Z634" s="8">
        <v>0.54100000000000004</v>
      </c>
      <c r="AA634" s="8">
        <v>0.107</v>
      </c>
      <c r="AB634" s="8">
        <v>1.4999999999999999E-2</v>
      </c>
      <c r="AC634" s="8">
        <v>0</v>
      </c>
    </row>
    <row r="635" spans="1:29" ht="11.65" hidden="1" x14ac:dyDescent="0.35">
      <c r="A635" s="12">
        <v>618</v>
      </c>
      <c r="B635" s="10" t="s">
        <v>1015</v>
      </c>
      <c r="C635" s="11" t="s">
        <v>1076</v>
      </c>
      <c r="D635" s="9"/>
      <c r="E635" s="9">
        <v>728</v>
      </c>
      <c r="F635" s="10" t="s">
        <v>1066</v>
      </c>
      <c r="G635" s="9">
        <v>910</v>
      </c>
      <c r="H635" s="9">
        <v>1960</v>
      </c>
      <c r="I635" s="8">
        <v>244.15199999999999</v>
      </c>
      <c r="J635" s="8">
        <v>179.75</v>
      </c>
      <c r="K635" s="8">
        <v>166.96600000000001</v>
      </c>
      <c r="L635" s="8">
        <v>149.393</v>
      </c>
      <c r="M635" s="8">
        <v>128.79300000000001</v>
      </c>
      <c r="N635" s="8">
        <v>113.151</v>
      </c>
      <c r="O635" s="8">
        <v>94.906999999999996</v>
      </c>
      <c r="P635" s="8">
        <v>77.72</v>
      </c>
      <c r="Q635" s="8">
        <v>64.019000000000005</v>
      </c>
      <c r="R635" s="8">
        <v>53.703000000000003</v>
      </c>
      <c r="S635" s="8">
        <v>43.29</v>
      </c>
      <c r="T635" s="8">
        <v>34.037999999999997</v>
      </c>
      <c r="U635" s="8">
        <v>25.524000000000001</v>
      </c>
      <c r="V635" s="8">
        <v>18.652999999999999</v>
      </c>
      <c r="W635" s="8">
        <v>11.731</v>
      </c>
      <c r="X635" s="8">
        <v>6.0469999999999997</v>
      </c>
      <c r="Y635" s="8">
        <v>2.3769999999999998</v>
      </c>
      <c r="Z635" s="8">
        <v>0.60199999999999998</v>
      </c>
      <c r="AA635" s="8">
        <v>8.1000000000000003E-2</v>
      </c>
      <c r="AB635" s="8">
        <v>8.9999999999999993E-3</v>
      </c>
      <c r="AC635" s="8">
        <v>1E-3</v>
      </c>
    </row>
    <row r="636" spans="1:29" ht="11.65" hidden="1" x14ac:dyDescent="0.35">
      <c r="A636" s="12">
        <v>619</v>
      </c>
      <c r="B636" s="10" t="s">
        <v>1015</v>
      </c>
      <c r="C636" s="11" t="s">
        <v>1076</v>
      </c>
      <c r="D636" s="9"/>
      <c r="E636" s="9">
        <v>728</v>
      </c>
      <c r="F636" s="10" t="s">
        <v>1066</v>
      </c>
      <c r="G636" s="9">
        <v>910</v>
      </c>
      <c r="H636" s="9">
        <v>1965</v>
      </c>
      <c r="I636" s="8">
        <v>278.30399999999997</v>
      </c>
      <c r="J636" s="8">
        <v>210.131</v>
      </c>
      <c r="K636" s="8">
        <v>169.34899999999999</v>
      </c>
      <c r="L636" s="8">
        <v>160.27199999999999</v>
      </c>
      <c r="M636" s="8">
        <v>142.87200000000001</v>
      </c>
      <c r="N636" s="8">
        <v>122.289</v>
      </c>
      <c r="O636" s="8">
        <v>106.485</v>
      </c>
      <c r="P636" s="8">
        <v>88.450999999999993</v>
      </c>
      <c r="Q636" s="8">
        <v>71.850999999999999</v>
      </c>
      <c r="R636" s="8">
        <v>58.843000000000004</v>
      </c>
      <c r="S636" s="8">
        <v>48.784999999999997</v>
      </c>
      <c r="T636" s="8">
        <v>38.24</v>
      </c>
      <c r="U636" s="8">
        <v>28.562000000000001</v>
      </c>
      <c r="V636" s="8">
        <v>19.681000000000001</v>
      </c>
      <c r="W636" s="8">
        <v>12.529</v>
      </c>
      <c r="X636" s="8">
        <v>6.415</v>
      </c>
      <c r="Y636" s="8">
        <v>2.4580000000000002</v>
      </c>
      <c r="Z636" s="8">
        <v>0.63900000000000001</v>
      </c>
      <c r="AA636" s="8">
        <v>9.8000000000000004E-2</v>
      </c>
      <c r="AB636" s="8">
        <v>8.9999999999999993E-3</v>
      </c>
      <c r="AC636" s="8">
        <v>1E-3</v>
      </c>
    </row>
    <row r="637" spans="1:29" ht="11.65" hidden="1" x14ac:dyDescent="0.35">
      <c r="A637" s="12">
        <v>620</v>
      </c>
      <c r="B637" s="10" t="s">
        <v>1015</v>
      </c>
      <c r="C637" s="11" t="s">
        <v>1076</v>
      </c>
      <c r="D637" s="9"/>
      <c r="E637" s="9">
        <v>728</v>
      </c>
      <c r="F637" s="10" t="s">
        <v>1066</v>
      </c>
      <c r="G637" s="9">
        <v>910</v>
      </c>
      <c r="H637" s="9">
        <v>1970</v>
      </c>
      <c r="I637" s="8">
        <v>316.488</v>
      </c>
      <c r="J637" s="8">
        <v>242.78899999999999</v>
      </c>
      <c r="K637" s="8">
        <v>198.96299999999999</v>
      </c>
      <c r="L637" s="8">
        <v>163.08199999999999</v>
      </c>
      <c r="M637" s="8">
        <v>153.785</v>
      </c>
      <c r="N637" s="8">
        <v>136.173</v>
      </c>
      <c r="O637" s="8">
        <v>115.61</v>
      </c>
      <c r="P637" s="8">
        <v>99.772999999999996</v>
      </c>
      <c r="Q637" s="8">
        <v>82.248000000000005</v>
      </c>
      <c r="R637" s="8">
        <v>66.436999999999998</v>
      </c>
      <c r="S637" s="8">
        <v>53.798000000000002</v>
      </c>
      <c r="T637" s="8">
        <v>43.441000000000003</v>
      </c>
      <c r="U637" s="8">
        <v>32.456000000000003</v>
      </c>
      <c r="V637" s="8">
        <v>22.39</v>
      </c>
      <c r="W637" s="8">
        <v>13.55</v>
      </c>
      <c r="X637" s="8">
        <v>7.1070000000000002</v>
      </c>
      <c r="Y637" s="8">
        <v>2.746</v>
      </c>
      <c r="Z637" s="8">
        <v>0.71</v>
      </c>
      <c r="AA637" s="8">
        <v>0.11600000000000001</v>
      </c>
      <c r="AB637" s="8">
        <v>1.0999999999999999E-2</v>
      </c>
      <c r="AC637" s="8">
        <v>1E-3</v>
      </c>
    </row>
    <row r="638" spans="1:29" ht="11.65" hidden="1" x14ac:dyDescent="0.35">
      <c r="A638" s="12">
        <v>621</v>
      </c>
      <c r="B638" s="10" t="s">
        <v>1015</v>
      </c>
      <c r="C638" s="11" t="s">
        <v>1076</v>
      </c>
      <c r="D638" s="9"/>
      <c r="E638" s="9">
        <v>728</v>
      </c>
      <c r="F638" s="10" t="s">
        <v>1066</v>
      </c>
      <c r="G638" s="9">
        <v>910</v>
      </c>
      <c r="H638" s="9">
        <v>1975</v>
      </c>
      <c r="I638" s="8">
        <v>355.18299999999999</v>
      </c>
      <c r="J638" s="8">
        <v>280.81200000000001</v>
      </c>
      <c r="K638" s="8">
        <v>232.41499999999999</v>
      </c>
      <c r="L638" s="8">
        <v>193.40199999999999</v>
      </c>
      <c r="M638" s="8">
        <v>158.00299999999999</v>
      </c>
      <c r="N638" s="8">
        <v>148.00399999999999</v>
      </c>
      <c r="O638" s="8">
        <v>130.06899999999999</v>
      </c>
      <c r="P638" s="8">
        <v>109.53100000000001</v>
      </c>
      <c r="Q638" s="8">
        <v>93.837000000000003</v>
      </c>
      <c r="R638" s="8">
        <v>76.930000000000007</v>
      </c>
      <c r="S638" s="8">
        <v>61.472000000000001</v>
      </c>
      <c r="T638" s="8">
        <v>48.548000000000002</v>
      </c>
      <c r="U638" s="8">
        <v>37.463000000000001</v>
      </c>
      <c r="V638" s="8">
        <v>25.951000000000001</v>
      </c>
      <c r="W638" s="8">
        <v>15.826000000000001</v>
      </c>
      <c r="X638" s="8">
        <v>7.9660000000000002</v>
      </c>
      <c r="Y638" s="8">
        <v>3.1880000000000002</v>
      </c>
      <c r="Z638" s="8">
        <v>0.84299999999999997</v>
      </c>
      <c r="AA638" s="8">
        <v>0.13700000000000001</v>
      </c>
      <c r="AB638" s="8">
        <v>1.2999999999999999E-2</v>
      </c>
      <c r="AC638" s="8">
        <v>1E-3</v>
      </c>
    </row>
    <row r="639" spans="1:29" ht="11.65" hidden="1" x14ac:dyDescent="0.35">
      <c r="A639" s="12">
        <v>622</v>
      </c>
      <c r="B639" s="10" t="s">
        <v>1015</v>
      </c>
      <c r="C639" s="11" t="s">
        <v>1076</v>
      </c>
      <c r="D639" s="9"/>
      <c r="E639" s="9">
        <v>728</v>
      </c>
      <c r="F639" s="10" t="s">
        <v>1066</v>
      </c>
      <c r="G639" s="9">
        <v>910</v>
      </c>
      <c r="H639" s="9">
        <v>1980</v>
      </c>
      <c r="I639" s="8">
        <v>403.6</v>
      </c>
      <c r="J639" s="8">
        <v>321.02199999999999</v>
      </c>
      <c r="K639" s="8">
        <v>271.94099999999997</v>
      </c>
      <c r="L639" s="8">
        <v>228.24199999999999</v>
      </c>
      <c r="M639" s="8">
        <v>189.27</v>
      </c>
      <c r="N639" s="8">
        <v>153.79300000000001</v>
      </c>
      <c r="O639" s="8">
        <v>142.952</v>
      </c>
      <c r="P639" s="8">
        <v>124.69799999999999</v>
      </c>
      <c r="Q639" s="8">
        <v>104.31</v>
      </c>
      <c r="R639" s="8">
        <v>88.863</v>
      </c>
      <c r="S639" s="8">
        <v>72.099000000000004</v>
      </c>
      <c r="T639" s="8">
        <v>56.268000000000001</v>
      </c>
      <c r="U639" s="8">
        <v>42.585999999999999</v>
      </c>
      <c r="V639" s="8">
        <v>30.59</v>
      </c>
      <c r="W639" s="8">
        <v>18.859000000000002</v>
      </c>
      <c r="X639" s="8">
        <v>9.6519999999999992</v>
      </c>
      <c r="Y639" s="8">
        <v>3.7519999999999998</v>
      </c>
      <c r="Z639" s="8">
        <v>1.042</v>
      </c>
      <c r="AA639" s="8">
        <v>0.17499999999999999</v>
      </c>
      <c r="AB639" s="8">
        <v>1.7000000000000001E-2</v>
      </c>
      <c r="AC639" s="8">
        <v>1E-3</v>
      </c>
    </row>
    <row r="640" spans="1:29" ht="11.65" hidden="1" x14ac:dyDescent="0.35">
      <c r="A640" s="12">
        <v>623</v>
      </c>
      <c r="B640" s="10" t="s">
        <v>1015</v>
      </c>
      <c r="C640" s="11" t="s">
        <v>1076</v>
      </c>
      <c r="D640" s="9"/>
      <c r="E640" s="9">
        <v>728</v>
      </c>
      <c r="F640" s="10" t="s">
        <v>1066</v>
      </c>
      <c r="G640" s="9">
        <v>910</v>
      </c>
      <c r="H640" s="9">
        <v>1985</v>
      </c>
      <c r="I640" s="8">
        <v>459.65699999999998</v>
      </c>
      <c r="J640" s="8">
        <v>372.28100000000001</v>
      </c>
      <c r="K640" s="8">
        <v>316.572</v>
      </c>
      <c r="L640" s="8">
        <v>271.76</v>
      </c>
      <c r="M640" s="8">
        <v>227.34100000000001</v>
      </c>
      <c r="N640" s="8">
        <v>187.43299999999999</v>
      </c>
      <c r="O640" s="8">
        <v>151.43799999999999</v>
      </c>
      <c r="P640" s="8">
        <v>139.50899999999999</v>
      </c>
      <c r="Q640" s="8">
        <v>120.904</v>
      </c>
      <c r="R640" s="8">
        <v>100.64100000000001</v>
      </c>
      <c r="S640" s="8">
        <v>84.811000000000007</v>
      </c>
      <c r="T640" s="8">
        <v>67.247</v>
      </c>
      <c r="U640" s="8">
        <v>50.347999999999999</v>
      </c>
      <c r="V640" s="8">
        <v>35.524000000000001</v>
      </c>
      <c r="W640" s="8">
        <v>22.744</v>
      </c>
      <c r="X640" s="8">
        <v>11.804</v>
      </c>
      <c r="Y640" s="8">
        <v>4.6820000000000004</v>
      </c>
      <c r="Z640" s="8">
        <v>1.2689999999999999</v>
      </c>
      <c r="AA640" s="8">
        <v>0.224</v>
      </c>
      <c r="AB640" s="8">
        <v>2.3E-2</v>
      </c>
      <c r="AC640" s="8">
        <v>1E-3</v>
      </c>
    </row>
    <row r="641" spans="1:29" ht="11.65" hidden="1" x14ac:dyDescent="0.35">
      <c r="A641" s="12">
        <v>624</v>
      </c>
      <c r="B641" s="10" t="s">
        <v>1015</v>
      </c>
      <c r="C641" s="11" t="s">
        <v>1076</v>
      </c>
      <c r="D641" s="9"/>
      <c r="E641" s="9">
        <v>728</v>
      </c>
      <c r="F641" s="10" t="s">
        <v>1066</v>
      </c>
      <c r="G641" s="9">
        <v>910</v>
      </c>
      <c r="H641" s="9">
        <v>1990</v>
      </c>
      <c r="I641" s="8">
        <v>495.08199999999999</v>
      </c>
      <c r="J641" s="8">
        <v>384.38499999999999</v>
      </c>
      <c r="K641" s="8">
        <v>330.79199999999997</v>
      </c>
      <c r="L641" s="8">
        <v>284.60599999999999</v>
      </c>
      <c r="M641" s="8">
        <v>243.589</v>
      </c>
      <c r="N641" s="8">
        <v>202.61099999999999</v>
      </c>
      <c r="O641" s="8">
        <v>166.023</v>
      </c>
      <c r="P641" s="8">
        <v>132.876</v>
      </c>
      <c r="Q641" s="8">
        <v>122.137</v>
      </c>
      <c r="R641" s="8">
        <v>105.23699999999999</v>
      </c>
      <c r="S641" s="8">
        <v>86.626999999999995</v>
      </c>
      <c r="T641" s="8">
        <v>71.516000000000005</v>
      </c>
      <c r="U641" s="8">
        <v>54.512999999999998</v>
      </c>
      <c r="V641" s="8">
        <v>38.188000000000002</v>
      </c>
      <c r="W641" s="8">
        <v>24.184000000000001</v>
      </c>
      <c r="X641" s="8">
        <v>13.162000000000001</v>
      </c>
      <c r="Y641" s="8">
        <v>5.35</v>
      </c>
      <c r="Z641" s="8">
        <v>1.4990000000000001</v>
      </c>
      <c r="AA641" s="8">
        <v>0.26200000000000001</v>
      </c>
      <c r="AB641" s="8">
        <v>2.9000000000000001E-2</v>
      </c>
      <c r="AC641" s="8">
        <v>2E-3</v>
      </c>
    </row>
    <row r="642" spans="1:29" ht="11.65" hidden="1" x14ac:dyDescent="0.35">
      <c r="A642" s="12">
        <v>625</v>
      </c>
      <c r="B642" s="10" t="s">
        <v>1015</v>
      </c>
      <c r="C642" s="11" t="s">
        <v>1076</v>
      </c>
      <c r="D642" s="9"/>
      <c r="E642" s="9">
        <v>728</v>
      </c>
      <c r="F642" s="10" t="s">
        <v>1066</v>
      </c>
      <c r="G642" s="9">
        <v>910</v>
      </c>
      <c r="H642" s="9">
        <v>1995</v>
      </c>
      <c r="I642" s="8">
        <v>459.49799999999999</v>
      </c>
      <c r="J642" s="8">
        <v>370.73</v>
      </c>
      <c r="K642" s="8">
        <v>300.96199999999999</v>
      </c>
      <c r="L642" s="8">
        <v>262.61</v>
      </c>
      <c r="M642" s="8">
        <v>225.06800000000001</v>
      </c>
      <c r="N642" s="8">
        <v>191.8</v>
      </c>
      <c r="O642" s="8">
        <v>158.44300000000001</v>
      </c>
      <c r="P642" s="8">
        <v>129.101</v>
      </c>
      <c r="Q642" s="8">
        <v>101.837</v>
      </c>
      <c r="R642" s="8">
        <v>94.31</v>
      </c>
      <c r="S642" s="8">
        <v>80.373999999999995</v>
      </c>
      <c r="T642" s="8">
        <v>64.685000000000002</v>
      </c>
      <c r="U642" s="8">
        <v>51.789000000000001</v>
      </c>
      <c r="V642" s="8">
        <v>37.11</v>
      </c>
      <c r="W642" s="8">
        <v>23.515000000000001</v>
      </c>
      <c r="X642" s="8">
        <v>12.807</v>
      </c>
      <c r="Y642" s="8">
        <v>5.569</v>
      </c>
      <c r="Z642" s="8">
        <v>1.6259999999999999</v>
      </c>
      <c r="AA642" s="8">
        <v>0.29899999999999999</v>
      </c>
      <c r="AB642" s="8">
        <v>3.3000000000000002E-2</v>
      </c>
      <c r="AC642" s="8">
        <v>2E-3</v>
      </c>
    </row>
    <row r="643" spans="1:29" ht="11.65" hidden="1" x14ac:dyDescent="0.35">
      <c r="A643" s="12">
        <v>626</v>
      </c>
      <c r="B643" s="10" t="s">
        <v>1015</v>
      </c>
      <c r="C643" s="11" t="s">
        <v>1076</v>
      </c>
      <c r="D643" s="9"/>
      <c r="E643" s="9">
        <v>728</v>
      </c>
      <c r="F643" s="10" t="s">
        <v>1066</v>
      </c>
      <c r="G643" s="9">
        <v>910</v>
      </c>
      <c r="H643" s="9">
        <v>2000</v>
      </c>
      <c r="I643" s="8">
        <v>546.31200000000001</v>
      </c>
      <c r="J643" s="8">
        <v>451.89400000000001</v>
      </c>
      <c r="K643" s="8">
        <v>379.774</v>
      </c>
      <c r="L643" s="8">
        <v>311.072</v>
      </c>
      <c r="M643" s="8">
        <v>270.13299999999998</v>
      </c>
      <c r="N643" s="8">
        <v>230.06399999999999</v>
      </c>
      <c r="O643" s="8">
        <v>194.684</v>
      </c>
      <c r="P643" s="8">
        <v>159.88900000000001</v>
      </c>
      <c r="Q643" s="8">
        <v>129.53800000000001</v>
      </c>
      <c r="R643" s="8">
        <v>101.98</v>
      </c>
      <c r="S643" s="8">
        <v>93.337999999999994</v>
      </c>
      <c r="T643" s="8">
        <v>78.28</v>
      </c>
      <c r="U643" s="8">
        <v>61.170999999999999</v>
      </c>
      <c r="V643" s="8">
        <v>46.323999999999998</v>
      </c>
      <c r="W643" s="8">
        <v>30.306999999999999</v>
      </c>
      <c r="X643" s="8">
        <v>16.664000000000001</v>
      </c>
      <c r="Y643" s="8">
        <v>7.3019999999999996</v>
      </c>
      <c r="Z643" s="8">
        <v>2.31</v>
      </c>
      <c r="AA643" s="8">
        <v>0.44800000000000001</v>
      </c>
      <c r="AB643" s="8">
        <v>0.05</v>
      </c>
      <c r="AC643" s="8">
        <v>3.0000000000000001E-3</v>
      </c>
    </row>
    <row r="644" spans="1:29" ht="11.65" hidden="1" x14ac:dyDescent="0.35">
      <c r="A644" s="12">
        <v>627</v>
      </c>
      <c r="B644" s="10" t="s">
        <v>1015</v>
      </c>
      <c r="C644" s="11" t="s">
        <v>1076</v>
      </c>
      <c r="D644" s="9"/>
      <c r="E644" s="9">
        <v>728</v>
      </c>
      <c r="F644" s="10" t="s">
        <v>1066</v>
      </c>
      <c r="G644" s="9">
        <v>910</v>
      </c>
      <c r="H644" s="9">
        <v>2005</v>
      </c>
      <c r="I644" s="8">
        <v>632.62099999999998</v>
      </c>
      <c r="J644" s="8">
        <v>549.03</v>
      </c>
      <c r="K644" s="8">
        <v>469.82400000000001</v>
      </c>
      <c r="L644" s="8">
        <v>397.16800000000001</v>
      </c>
      <c r="M644" s="8">
        <v>324.46300000000002</v>
      </c>
      <c r="N644" s="8">
        <v>278.97000000000003</v>
      </c>
      <c r="O644" s="8">
        <v>235.33099999999999</v>
      </c>
      <c r="P644" s="8">
        <v>197.524</v>
      </c>
      <c r="Q644" s="8">
        <v>161.38900000000001</v>
      </c>
      <c r="R644" s="8">
        <v>130.30099999999999</v>
      </c>
      <c r="S644" s="8">
        <v>102.10299999999999</v>
      </c>
      <c r="T644" s="8">
        <v>91.840999999999994</v>
      </c>
      <c r="U644" s="8">
        <v>75.033000000000001</v>
      </c>
      <c r="V644" s="8">
        <v>55.802</v>
      </c>
      <c r="W644" s="8">
        <v>38.734000000000002</v>
      </c>
      <c r="X644" s="8">
        <v>22.145</v>
      </c>
      <c r="Y644" s="8">
        <v>9.8719999999999999</v>
      </c>
      <c r="Z644" s="8">
        <v>3.1720000000000002</v>
      </c>
      <c r="AA644" s="8">
        <v>0.66700000000000004</v>
      </c>
      <c r="AB644" s="8">
        <v>7.9000000000000001E-2</v>
      </c>
      <c r="AC644" s="8">
        <v>5.0000000000000001E-3</v>
      </c>
    </row>
    <row r="645" spans="1:29" ht="11.65" hidden="1" x14ac:dyDescent="0.35">
      <c r="A645" s="12">
        <v>628</v>
      </c>
      <c r="B645" s="10" t="s">
        <v>1015</v>
      </c>
      <c r="C645" s="11" t="s">
        <v>1076</v>
      </c>
      <c r="D645" s="9"/>
      <c r="E645" s="9">
        <v>728</v>
      </c>
      <c r="F645" s="10" t="s">
        <v>1066</v>
      </c>
      <c r="G645" s="9">
        <v>910</v>
      </c>
      <c r="H645" s="9">
        <v>2010</v>
      </c>
      <c r="I645" s="8">
        <v>781.43299999999999</v>
      </c>
      <c r="J645" s="8">
        <v>670.45699999999999</v>
      </c>
      <c r="K645" s="8">
        <v>594.03899999999999</v>
      </c>
      <c r="L645" s="8">
        <v>511.03100000000001</v>
      </c>
      <c r="M645" s="8">
        <v>430.38</v>
      </c>
      <c r="N645" s="8">
        <v>349.03899999999999</v>
      </c>
      <c r="O645" s="8">
        <v>295.87700000000001</v>
      </c>
      <c r="P645" s="8">
        <v>247.08500000000001</v>
      </c>
      <c r="Q645" s="8">
        <v>206.09299999999999</v>
      </c>
      <c r="R645" s="8">
        <v>168.14699999999999</v>
      </c>
      <c r="S645" s="8">
        <v>134.995</v>
      </c>
      <c r="T645" s="8">
        <v>105.044</v>
      </c>
      <c r="U645" s="8">
        <v>91.748999999999995</v>
      </c>
      <c r="V645" s="8">
        <v>71.593000000000004</v>
      </c>
      <c r="W645" s="8">
        <v>49.180999999999997</v>
      </c>
      <c r="X645" s="8">
        <v>29.962</v>
      </c>
      <c r="Y645" s="8">
        <v>13.99</v>
      </c>
      <c r="Z645" s="8">
        <v>4.6260000000000003</v>
      </c>
      <c r="AA645" s="8">
        <v>1.0089999999999999</v>
      </c>
      <c r="AB645" s="8">
        <v>0.13400000000000001</v>
      </c>
      <c r="AC645" s="8">
        <v>8.9999999999999993E-3</v>
      </c>
    </row>
    <row r="646" spans="1:29" ht="11.65" hidden="1" x14ac:dyDescent="0.35">
      <c r="A646" s="12">
        <v>629</v>
      </c>
      <c r="B646" s="10" t="s">
        <v>1015</v>
      </c>
      <c r="C646" s="11" t="s">
        <v>1076</v>
      </c>
      <c r="D646" s="9"/>
      <c r="E646" s="9">
        <v>728</v>
      </c>
      <c r="F646" s="10" t="s">
        <v>1066</v>
      </c>
      <c r="G646" s="9">
        <v>910</v>
      </c>
      <c r="H646" s="9">
        <v>2015</v>
      </c>
      <c r="I646" s="8">
        <v>847.59100000000001</v>
      </c>
      <c r="J646" s="8">
        <v>749.23599999999999</v>
      </c>
      <c r="K646" s="8">
        <v>652.22</v>
      </c>
      <c r="L646" s="8">
        <v>580.005</v>
      </c>
      <c r="M646" s="8">
        <v>497.37900000000002</v>
      </c>
      <c r="N646" s="8">
        <v>415.74200000000002</v>
      </c>
      <c r="O646" s="8">
        <v>333.68799999999999</v>
      </c>
      <c r="P646" s="8">
        <v>280.048</v>
      </c>
      <c r="Q646" s="8">
        <v>232.35</v>
      </c>
      <c r="R646" s="8">
        <v>193.50800000000001</v>
      </c>
      <c r="S646" s="8">
        <v>157.15100000000001</v>
      </c>
      <c r="T646" s="8">
        <v>124.904</v>
      </c>
      <c r="U646" s="8">
        <v>94.981999999999999</v>
      </c>
      <c r="V646" s="8">
        <v>79.36</v>
      </c>
      <c r="W646" s="8">
        <v>57.329000000000001</v>
      </c>
      <c r="X646" s="8">
        <v>34.762999999999998</v>
      </c>
      <c r="Y646" s="8">
        <v>17.369</v>
      </c>
      <c r="Z646" s="8">
        <v>6.0209999999999999</v>
      </c>
      <c r="AA646" s="8">
        <v>1.3340000000000001</v>
      </c>
      <c r="AB646" s="8">
        <v>0.17799999999999999</v>
      </c>
      <c r="AC646" s="8">
        <v>1.2999999999999999E-2</v>
      </c>
    </row>
    <row r="647" spans="1:29" ht="11.65" hidden="1" x14ac:dyDescent="0.35">
      <c r="A647" s="12">
        <v>630</v>
      </c>
      <c r="B647" s="10" t="s">
        <v>1015</v>
      </c>
      <c r="C647" s="11" t="s">
        <v>1076</v>
      </c>
      <c r="D647" s="9"/>
      <c r="E647" s="9">
        <v>728</v>
      </c>
      <c r="F647" s="10" t="s">
        <v>1066</v>
      </c>
      <c r="G647" s="9">
        <v>910</v>
      </c>
      <c r="H647" s="9">
        <v>2020</v>
      </c>
      <c r="I647" s="8">
        <v>842.52800000000002</v>
      </c>
      <c r="J647" s="8">
        <v>759.62199999999996</v>
      </c>
      <c r="K647" s="8">
        <v>682.14</v>
      </c>
      <c r="L647" s="8">
        <v>594.88099999999997</v>
      </c>
      <c r="M647" s="8">
        <v>528.06500000000005</v>
      </c>
      <c r="N647" s="8">
        <v>449.613</v>
      </c>
      <c r="O647" s="8">
        <v>372.43299999999999</v>
      </c>
      <c r="P647" s="8">
        <v>295.63400000000001</v>
      </c>
      <c r="Q647" s="8">
        <v>246.898</v>
      </c>
      <c r="R647" s="8">
        <v>204.38200000000001</v>
      </c>
      <c r="S647" s="8">
        <v>169.47200000000001</v>
      </c>
      <c r="T647" s="8">
        <v>136.21100000000001</v>
      </c>
      <c r="U647" s="8">
        <v>105.902</v>
      </c>
      <c r="V647" s="8">
        <v>76.855000000000004</v>
      </c>
      <c r="W647" s="8">
        <v>59.835000000000001</v>
      </c>
      <c r="X647" s="8">
        <v>38.226999999999997</v>
      </c>
      <c r="Y647" s="8">
        <v>19.036999999999999</v>
      </c>
      <c r="Z647" s="8">
        <v>7.09</v>
      </c>
      <c r="AA647" s="8">
        <v>1.6479999999999999</v>
      </c>
      <c r="AB647" s="8">
        <v>0.22500000000000001</v>
      </c>
      <c r="AC647" s="8">
        <v>1.7000000000000001E-2</v>
      </c>
    </row>
    <row r="648" spans="1:29" ht="11.65" hidden="1" x14ac:dyDescent="0.35">
      <c r="A648" s="12">
        <v>631</v>
      </c>
      <c r="B648" s="10" t="s">
        <v>1015</v>
      </c>
      <c r="C648" s="11" t="s">
        <v>604</v>
      </c>
      <c r="D648" s="9"/>
      <c r="E648" s="9">
        <v>800</v>
      </c>
      <c r="F648" s="10" t="s">
        <v>1066</v>
      </c>
      <c r="G648" s="9">
        <v>910</v>
      </c>
      <c r="H648" s="9">
        <v>1950</v>
      </c>
      <c r="I648" s="8">
        <v>468.99400000000003</v>
      </c>
      <c r="J648" s="8">
        <v>358.40100000000001</v>
      </c>
      <c r="K648" s="8">
        <v>275.91000000000003</v>
      </c>
      <c r="L648" s="8">
        <v>280.44400000000002</v>
      </c>
      <c r="M648" s="8">
        <v>239.892</v>
      </c>
      <c r="N648" s="8">
        <v>203.01</v>
      </c>
      <c r="O648" s="8">
        <v>165.36199999999999</v>
      </c>
      <c r="P648" s="8">
        <v>134.21</v>
      </c>
      <c r="Q648" s="8">
        <v>110.492</v>
      </c>
      <c r="R648" s="8">
        <v>90.873000000000005</v>
      </c>
      <c r="S648" s="8">
        <v>72.606999999999999</v>
      </c>
      <c r="T648" s="8">
        <v>57.024000000000001</v>
      </c>
      <c r="U648" s="8">
        <v>46.661999999999999</v>
      </c>
      <c r="V648" s="8">
        <v>35.793999999999997</v>
      </c>
      <c r="W648" s="8">
        <v>24.759</v>
      </c>
      <c r="X648" s="8">
        <v>13.914999999999999</v>
      </c>
      <c r="Y648" s="8">
        <v>5.2569999999999997</v>
      </c>
      <c r="Z648" s="8">
        <v>1.708</v>
      </c>
      <c r="AA648" s="8">
        <v>0.35699999999999998</v>
      </c>
      <c r="AB648" s="8">
        <v>4.4999999999999998E-2</v>
      </c>
      <c r="AC648" s="8">
        <v>4.0000000000000001E-3</v>
      </c>
    </row>
    <row r="649" spans="1:29" ht="11.65" hidden="1" x14ac:dyDescent="0.35">
      <c r="A649" s="12">
        <v>632</v>
      </c>
      <c r="B649" s="10" t="s">
        <v>1015</v>
      </c>
      <c r="C649" s="11" t="s">
        <v>604</v>
      </c>
      <c r="D649" s="9"/>
      <c r="E649" s="9">
        <v>800</v>
      </c>
      <c r="F649" s="10" t="s">
        <v>1066</v>
      </c>
      <c r="G649" s="9">
        <v>910</v>
      </c>
      <c r="H649" s="9">
        <v>1955</v>
      </c>
      <c r="I649" s="8">
        <v>557.048</v>
      </c>
      <c r="J649" s="8">
        <v>419.35599999999999</v>
      </c>
      <c r="K649" s="8">
        <v>342.887</v>
      </c>
      <c r="L649" s="8">
        <v>266.92200000000003</v>
      </c>
      <c r="M649" s="8">
        <v>270.39600000000002</v>
      </c>
      <c r="N649" s="8">
        <v>229.995</v>
      </c>
      <c r="O649" s="8">
        <v>193.42400000000001</v>
      </c>
      <c r="P649" s="8">
        <v>156.59200000000001</v>
      </c>
      <c r="Q649" s="8">
        <v>126.318</v>
      </c>
      <c r="R649" s="8">
        <v>103.518</v>
      </c>
      <c r="S649" s="8">
        <v>84.320999999999998</v>
      </c>
      <c r="T649" s="8">
        <v>66.066999999999993</v>
      </c>
      <c r="U649" s="8">
        <v>50.11</v>
      </c>
      <c r="V649" s="8">
        <v>38.555999999999997</v>
      </c>
      <c r="W649" s="8">
        <v>26.751999999999999</v>
      </c>
      <c r="X649" s="8">
        <v>15.811</v>
      </c>
      <c r="Y649" s="8">
        <v>6.9050000000000002</v>
      </c>
      <c r="Z649" s="8">
        <v>1.7470000000000001</v>
      </c>
      <c r="AA649" s="8">
        <v>0.318</v>
      </c>
      <c r="AB649" s="8">
        <v>3.4000000000000002E-2</v>
      </c>
      <c r="AC649" s="8">
        <v>3.0000000000000001E-3</v>
      </c>
    </row>
    <row r="650" spans="1:29" ht="11.65" hidden="1" x14ac:dyDescent="0.35">
      <c r="A650" s="12">
        <v>633</v>
      </c>
      <c r="B650" s="10" t="s">
        <v>1015</v>
      </c>
      <c r="C650" s="11" t="s">
        <v>604</v>
      </c>
      <c r="D650" s="9"/>
      <c r="E650" s="9">
        <v>800</v>
      </c>
      <c r="F650" s="10" t="s">
        <v>1066</v>
      </c>
      <c r="G650" s="9">
        <v>910</v>
      </c>
      <c r="H650" s="9">
        <v>1960</v>
      </c>
      <c r="I650" s="8">
        <v>635.32100000000003</v>
      </c>
      <c r="J650" s="8">
        <v>506.66899999999998</v>
      </c>
      <c r="K650" s="8">
        <v>404.36</v>
      </c>
      <c r="L650" s="8">
        <v>333.46100000000001</v>
      </c>
      <c r="M650" s="8">
        <v>258.60599999999999</v>
      </c>
      <c r="N650" s="8">
        <v>260.52800000000002</v>
      </c>
      <c r="O650" s="8">
        <v>220.31200000000001</v>
      </c>
      <c r="P650" s="8">
        <v>184.202</v>
      </c>
      <c r="Q650" s="8">
        <v>148.208</v>
      </c>
      <c r="R650" s="8">
        <v>118.959</v>
      </c>
      <c r="S650" s="8">
        <v>96.54</v>
      </c>
      <c r="T650" s="8">
        <v>77.144999999999996</v>
      </c>
      <c r="U650" s="8">
        <v>58.432000000000002</v>
      </c>
      <c r="V650" s="8">
        <v>41.713999999999999</v>
      </c>
      <c r="W650" s="8">
        <v>29.04</v>
      </c>
      <c r="X650" s="8">
        <v>17.187999999999999</v>
      </c>
      <c r="Y650" s="8">
        <v>7.8410000000000002</v>
      </c>
      <c r="Z650" s="8">
        <v>2.2549999999999999</v>
      </c>
      <c r="AA650" s="8">
        <v>0.307</v>
      </c>
      <c r="AB650" s="8">
        <v>2.7E-2</v>
      </c>
      <c r="AC650" s="8">
        <v>2E-3</v>
      </c>
    </row>
    <row r="651" spans="1:29" ht="11.65" hidden="1" x14ac:dyDescent="0.35">
      <c r="A651" s="12">
        <v>634</v>
      </c>
      <c r="B651" s="10" t="s">
        <v>1015</v>
      </c>
      <c r="C651" s="11" t="s">
        <v>604</v>
      </c>
      <c r="D651" s="9"/>
      <c r="E651" s="9">
        <v>800</v>
      </c>
      <c r="F651" s="10" t="s">
        <v>1066</v>
      </c>
      <c r="G651" s="9">
        <v>910</v>
      </c>
      <c r="H651" s="9">
        <v>1965</v>
      </c>
      <c r="I651" s="8">
        <v>757.56299999999999</v>
      </c>
      <c r="J651" s="8">
        <v>596.30499999999995</v>
      </c>
      <c r="K651" s="8">
        <v>499.49400000000003</v>
      </c>
      <c r="L651" s="8">
        <v>401.279</v>
      </c>
      <c r="M651" s="8">
        <v>329.51</v>
      </c>
      <c r="N651" s="8">
        <v>254.71700000000001</v>
      </c>
      <c r="O651" s="8">
        <v>254.88399999999999</v>
      </c>
      <c r="P651" s="8">
        <v>214.352</v>
      </c>
      <c r="Q651" s="8">
        <v>178.078</v>
      </c>
      <c r="R651" s="8">
        <v>142.53200000000001</v>
      </c>
      <c r="S651" s="8">
        <v>113.301</v>
      </c>
      <c r="T651" s="8">
        <v>90.256</v>
      </c>
      <c r="U651" s="8">
        <v>69.792000000000002</v>
      </c>
      <c r="V651" s="8">
        <v>49.813000000000002</v>
      </c>
      <c r="W651" s="8">
        <v>32.216000000000001</v>
      </c>
      <c r="X651" s="8">
        <v>19.114999999999998</v>
      </c>
      <c r="Y651" s="8">
        <v>8.6880000000000006</v>
      </c>
      <c r="Z651" s="8">
        <v>2.5299999999999998</v>
      </c>
      <c r="AA651" s="8">
        <v>0.378</v>
      </c>
      <c r="AB651" s="8">
        <v>2.4E-2</v>
      </c>
      <c r="AC651" s="8">
        <v>1E-3</v>
      </c>
    </row>
    <row r="652" spans="1:29" ht="11.65" hidden="1" x14ac:dyDescent="0.35">
      <c r="A652" s="12">
        <v>635</v>
      </c>
      <c r="B652" s="10" t="s">
        <v>1015</v>
      </c>
      <c r="C652" s="11" t="s">
        <v>604</v>
      </c>
      <c r="D652" s="9"/>
      <c r="E652" s="9">
        <v>800</v>
      </c>
      <c r="F652" s="10" t="s">
        <v>1066</v>
      </c>
      <c r="G652" s="9">
        <v>910</v>
      </c>
      <c r="H652" s="9">
        <v>1970</v>
      </c>
      <c r="I652" s="8">
        <v>896.79499999999996</v>
      </c>
      <c r="J652" s="8">
        <v>712.846</v>
      </c>
      <c r="K652" s="8">
        <v>585.072</v>
      </c>
      <c r="L652" s="8">
        <v>492.399</v>
      </c>
      <c r="M652" s="8">
        <v>394.01499999999999</v>
      </c>
      <c r="N652" s="8">
        <v>321.87400000000002</v>
      </c>
      <c r="O652" s="8">
        <v>247.73</v>
      </c>
      <c r="P652" s="8">
        <v>246.49100000000001</v>
      </c>
      <c r="Q652" s="8">
        <v>206.04599999999999</v>
      </c>
      <c r="R652" s="8">
        <v>170.24299999999999</v>
      </c>
      <c r="S652" s="8">
        <v>134.94200000000001</v>
      </c>
      <c r="T652" s="8">
        <v>105.37</v>
      </c>
      <c r="U652" s="8">
        <v>81.344999999999999</v>
      </c>
      <c r="V652" s="8">
        <v>59.371000000000002</v>
      </c>
      <c r="W652" s="8">
        <v>38.427999999999997</v>
      </c>
      <c r="X652" s="8">
        <v>21.193999999999999</v>
      </c>
      <c r="Y652" s="8">
        <v>9.6270000000000007</v>
      </c>
      <c r="Z652" s="8">
        <v>2.7890000000000001</v>
      </c>
      <c r="AA652" s="8">
        <v>0.40799999999999997</v>
      </c>
      <c r="AB652" s="8">
        <v>2.5000000000000001E-2</v>
      </c>
      <c r="AC652" s="8">
        <v>1E-3</v>
      </c>
    </row>
    <row r="653" spans="1:29" ht="11.65" hidden="1" x14ac:dyDescent="0.35">
      <c r="A653" s="12">
        <v>636</v>
      </c>
      <c r="B653" s="10" t="s">
        <v>1015</v>
      </c>
      <c r="C653" s="11" t="s">
        <v>604</v>
      </c>
      <c r="D653" s="9"/>
      <c r="E653" s="9">
        <v>800</v>
      </c>
      <c r="F653" s="10" t="s">
        <v>1066</v>
      </c>
      <c r="G653" s="9">
        <v>910</v>
      </c>
      <c r="H653" s="9">
        <v>1975</v>
      </c>
      <c r="I653" s="8">
        <v>1009.314</v>
      </c>
      <c r="J653" s="8">
        <v>821.97699999999998</v>
      </c>
      <c r="K653" s="8">
        <v>679.61699999999996</v>
      </c>
      <c r="L653" s="8">
        <v>560.06399999999996</v>
      </c>
      <c r="M653" s="8">
        <v>469.77100000000002</v>
      </c>
      <c r="N653" s="8">
        <v>373.92899999999997</v>
      </c>
      <c r="O653" s="8">
        <v>304.11500000000001</v>
      </c>
      <c r="P653" s="8">
        <v>232.11600000000001</v>
      </c>
      <c r="Q653" s="8">
        <v>230.095</v>
      </c>
      <c r="R653" s="8">
        <v>191.304</v>
      </c>
      <c r="S653" s="8">
        <v>156.59899999999999</v>
      </c>
      <c r="T653" s="8">
        <v>121.955</v>
      </c>
      <c r="U653" s="8">
        <v>92.316000000000003</v>
      </c>
      <c r="V653" s="8">
        <v>67.322000000000003</v>
      </c>
      <c r="W653" s="8">
        <v>44.6</v>
      </c>
      <c r="X653" s="8">
        <v>24.617000000000001</v>
      </c>
      <c r="Y653" s="8">
        <v>10.364000000000001</v>
      </c>
      <c r="Z653" s="8">
        <v>3.0910000000000002</v>
      </c>
      <c r="AA653" s="8">
        <v>0.44400000000000001</v>
      </c>
      <c r="AB653" s="8">
        <v>2.9000000000000001E-2</v>
      </c>
      <c r="AC653" s="8">
        <v>1E-3</v>
      </c>
    </row>
    <row r="654" spans="1:29" ht="11.65" hidden="1" x14ac:dyDescent="0.35">
      <c r="A654" s="12">
        <v>637</v>
      </c>
      <c r="B654" s="10" t="s">
        <v>1015</v>
      </c>
      <c r="C654" s="11" t="s">
        <v>604</v>
      </c>
      <c r="D654" s="9"/>
      <c r="E654" s="9">
        <v>800</v>
      </c>
      <c r="F654" s="10" t="s">
        <v>1066</v>
      </c>
      <c r="G654" s="9">
        <v>910</v>
      </c>
      <c r="H654" s="9">
        <v>1980</v>
      </c>
      <c r="I654" s="8">
        <v>1185.3330000000001</v>
      </c>
      <c r="J654" s="8">
        <v>936.06</v>
      </c>
      <c r="K654" s="8">
        <v>792.67499999999995</v>
      </c>
      <c r="L654" s="8">
        <v>658.20699999999999</v>
      </c>
      <c r="M654" s="8">
        <v>540.12699999999995</v>
      </c>
      <c r="N654" s="8">
        <v>450.923</v>
      </c>
      <c r="O654" s="8">
        <v>357.07799999999997</v>
      </c>
      <c r="P654" s="8">
        <v>289.00099999999998</v>
      </c>
      <c r="Q654" s="8">
        <v>218.852</v>
      </c>
      <c r="R654" s="8">
        <v>216.048</v>
      </c>
      <c r="S654" s="8">
        <v>177.91300000000001</v>
      </c>
      <c r="T654" s="8">
        <v>143.149</v>
      </c>
      <c r="U654" s="8">
        <v>108.12</v>
      </c>
      <c r="V654" s="8">
        <v>77.332999999999998</v>
      </c>
      <c r="W654" s="8">
        <v>51.203000000000003</v>
      </c>
      <c r="X654" s="8">
        <v>28.954000000000001</v>
      </c>
      <c r="Y654" s="8">
        <v>12.22</v>
      </c>
      <c r="Z654" s="8">
        <v>3.3359999999999999</v>
      </c>
      <c r="AA654" s="8">
        <v>0.49299999999999999</v>
      </c>
      <c r="AB654" s="8">
        <v>0.03</v>
      </c>
      <c r="AC654" s="8">
        <v>1E-3</v>
      </c>
    </row>
    <row r="655" spans="1:29" ht="11.65" hidden="1" x14ac:dyDescent="0.35">
      <c r="A655" s="12">
        <v>638</v>
      </c>
      <c r="B655" s="10" t="s">
        <v>1015</v>
      </c>
      <c r="C655" s="11" t="s">
        <v>604</v>
      </c>
      <c r="D655" s="9"/>
      <c r="E655" s="9">
        <v>800</v>
      </c>
      <c r="F655" s="10" t="s">
        <v>1066</v>
      </c>
      <c r="G655" s="9">
        <v>910</v>
      </c>
      <c r="H655" s="9">
        <v>1985</v>
      </c>
      <c r="I655" s="8">
        <v>1404.74</v>
      </c>
      <c r="J655" s="8">
        <v>1108.567</v>
      </c>
      <c r="K655" s="8">
        <v>909.93</v>
      </c>
      <c r="L655" s="8">
        <v>773.48800000000006</v>
      </c>
      <c r="M655" s="8">
        <v>639.46600000000001</v>
      </c>
      <c r="N655" s="8">
        <v>521.49599999999998</v>
      </c>
      <c r="O655" s="8">
        <v>432.80200000000002</v>
      </c>
      <c r="P655" s="8">
        <v>340.63600000000002</v>
      </c>
      <c r="Q655" s="8">
        <v>274.03800000000001</v>
      </c>
      <c r="R655" s="8">
        <v>206.24700000000001</v>
      </c>
      <c r="S655" s="8">
        <v>201.917</v>
      </c>
      <c r="T655" s="8">
        <v>163.55799999999999</v>
      </c>
      <c r="U655" s="8">
        <v>127.837</v>
      </c>
      <c r="V655" s="8">
        <v>91.488</v>
      </c>
      <c r="W655" s="8">
        <v>59.637</v>
      </c>
      <c r="X655" s="8">
        <v>33.886000000000003</v>
      </c>
      <c r="Y655" s="8">
        <v>14.750999999999999</v>
      </c>
      <c r="Z655" s="8">
        <v>4.0309999999999997</v>
      </c>
      <c r="AA655" s="8">
        <v>0.55100000000000005</v>
      </c>
      <c r="AB655" s="8">
        <v>3.5000000000000003E-2</v>
      </c>
      <c r="AC655" s="8">
        <v>1E-3</v>
      </c>
    </row>
    <row r="656" spans="1:29" ht="11.65" hidden="1" x14ac:dyDescent="0.35">
      <c r="A656" s="12">
        <v>639</v>
      </c>
      <c r="B656" s="10" t="s">
        <v>1015</v>
      </c>
      <c r="C656" s="11" t="s">
        <v>604</v>
      </c>
      <c r="D656" s="9"/>
      <c r="E656" s="9">
        <v>800</v>
      </c>
      <c r="F656" s="10" t="s">
        <v>1066</v>
      </c>
      <c r="G656" s="9">
        <v>910</v>
      </c>
      <c r="H656" s="9">
        <v>1990</v>
      </c>
      <c r="I656" s="8">
        <v>1705.52</v>
      </c>
      <c r="J656" s="8">
        <v>1342.722</v>
      </c>
      <c r="K656" s="8">
        <v>1101.606</v>
      </c>
      <c r="L656" s="8">
        <v>906.83299999999997</v>
      </c>
      <c r="M656" s="8">
        <v>766.19100000000003</v>
      </c>
      <c r="N656" s="8">
        <v>627.24599999999998</v>
      </c>
      <c r="O656" s="8">
        <v>506.3</v>
      </c>
      <c r="P656" s="8">
        <v>416.04399999999998</v>
      </c>
      <c r="Q656" s="8">
        <v>325.10399999999998</v>
      </c>
      <c r="R656" s="8">
        <v>260.46300000000002</v>
      </c>
      <c r="S656" s="8">
        <v>194.81899999999999</v>
      </c>
      <c r="T656" s="8">
        <v>187.767</v>
      </c>
      <c r="U656" s="8">
        <v>148.07400000000001</v>
      </c>
      <c r="V656" s="8">
        <v>110.10599999999999</v>
      </c>
      <c r="W656" s="8">
        <v>72.281000000000006</v>
      </c>
      <c r="X656" s="8">
        <v>40.847000000000001</v>
      </c>
      <c r="Y656" s="8">
        <v>18.111000000000001</v>
      </c>
      <c r="Z656" s="8">
        <v>5.0599999999999996</v>
      </c>
      <c r="AA656" s="8">
        <v>0.71399999999999997</v>
      </c>
      <c r="AB656" s="8">
        <v>4.3999999999999997E-2</v>
      </c>
      <c r="AC656" s="8">
        <v>2E-3</v>
      </c>
    </row>
    <row r="657" spans="1:29" ht="11.65" hidden="1" x14ac:dyDescent="0.35">
      <c r="A657" s="12">
        <v>640</v>
      </c>
      <c r="B657" s="10" t="s">
        <v>1015</v>
      </c>
      <c r="C657" s="11" t="s">
        <v>604</v>
      </c>
      <c r="D657" s="9"/>
      <c r="E657" s="9">
        <v>800</v>
      </c>
      <c r="F657" s="10" t="s">
        <v>1066</v>
      </c>
      <c r="G657" s="9">
        <v>910</v>
      </c>
      <c r="H657" s="9">
        <v>1995</v>
      </c>
      <c r="I657" s="8">
        <v>2033.28</v>
      </c>
      <c r="J657" s="8">
        <v>1626.568</v>
      </c>
      <c r="K657" s="8">
        <v>1326.3340000000001</v>
      </c>
      <c r="L657" s="8">
        <v>1090.4090000000001</v>
      </c>
      <c r="M657" s="8">
        <v>890.42700000000002</v>
      </c>
      <c r="N657" s="8">
        <v>740.15700000000004</v>
      </c>
      <c r="O657" s="8">
        <v>594.59</v>
      </c>
      <c r="P657" s="8">
        <v>471.84100000000001</v>
      </c>
      <c r="Q657" s="8">
        <v>383.95499999999998</v>
      </c>
      <c r="R657" s="8">
        <v>299.62299999999999</v>
      </c>
      <c r="S657" s="8">
        <v>238.7</v>
      </c>
      <c r="T657" s="8">
        <v>176.59200000000001</v>
      </c>
      <c r="U657" s="8">
        <v>166.05600000000001</v>
      </c>
      <c r="V657" s="8">
        <v>125.08499999999999</v>
      </c>
      <c r="W657" s="8">
        <v>85.769000000000005</v>
      </c>
      <c r="X657" s="8">
        <v>49.24</v>
      </c>
      <c r="Y657" s="8">
        <v>22.001000000000001</v>
      </c>
      <c r="Z657" s="8">
        <v>6.4210000000000003</v>
      </c>
      <c r="AA657" s="8">
        <v>0.97399999999999998</v>
      </c>
      <c r="AB657" s="8">
        <v>7.0000000000000007E-2</v>
      </c>
      <c r="AC657" s="8">
        <v>3.0000000000000001E-3</v>
      </c>
    </row>
    <row r="658" spans="1:29" ht="11.65" hidden="1" x14ac:dyDescent="0.35">
      <c r="A658" s="12">
        <v>641</v>
      </c>
      <c r="B658" s="10" t="s">
        <v>1015</v>
      </c>
      <c r="C658" s="11" t="s">
        <v>604</v>
      </c>
      <c r="D658" s="9"/>
      <c r="E658" s="9">
        <v>800</v>
      </c>
      <c r="F658" s="10" t="s">
        <v>1066</v>
      </c>
      <c r="G658" s="9">
        <v>910</v>
      </c>
      <c r="H658" s="9">
        <v>2000</v>
      </c>
      <c r="I658" s="8">
        <v>2347.4070000000002</v>
      </c>
      <c r="J658" s="8">
        <v>1926.37</v>
      </c>
      <c r="K658" s="8">
        <v>1587.0239999999999</v>
      </c>
      <c r="L658" s="8">
        <v>1295.97</v>
      </c>
      <c r="M658" s="8">
        <v>1055.5260000000001</v>
      </c>
      <c r="N658" s="8">
        <v>845.08</v>
      </c>
      <c r="O658" s="8">
        <v>686.16</v>
      </c>
      <c r="P658" s="8">
        <v>539.40499999999997</v>
      </c>
      <c r="Q658" s="8">
        <v>423.21499999999997</v>
      </c>
      <c r="R658" s="8">
        <v>344.39</v>
      </c>
      <c r="S658" s="8">
        <v>267.56200000000001</v>
      </c>
      <c r="T658" s="8">
        <v>211.06800000000001</v>
      </c>
      <c r="U658" s="8">
        <v>152.47399999999999</v>
      </c>
      <c r="V658" s="8">
        <v>137.279</v>
      </c>
      <c r="W658" s="8">
        <v>95.546000000000006</v>
      </c>
      <c r="X658" s="8">
        <v>57.469000000000001</v>
      </c>
      <c r="Y658" s="8">
        <v>26.184000000000001</v>
      </c>
      <c r="Z658" s="8">
        <v>7.8490000000000002</v>
      </c>
      <c r="AA658" s="8">
        <v>1.262</v>
      </c>
      <c r="AB658" s="8">
        <v>0.104</v>
      </c>
      <c r="AC658" s="8">
        <v>5.0000000000000001E-3</v>
      </c>
    </row>
    <row r="659" spans="1:29" ht="11.65" hidden="1" x14ac:dyDescent="0.35">
      <c r="A659" s="12">
        <v>642</v>
      </c>
      <c r="B659" s="10" t="s">
        <v>1015</v>
      </c>
      <c r="C659" s="11" t="s">
        <v>604</v>
      </c>
      <c r="D659" s="9"/>
      <c r="E659" s="9">
        <v>800</v>
      </c>
      <c r="F659" s="10" t="s">
        <v>1066</v>
      </c>
      <c r="G659" s="9">
        <v>910</v>
      </c>
      <c r="H659" s="9">
        <v>2005</v>
      </c>
      <c r="I659" s="8">
        <v>2718.5059999999999</v>
      </c>
      <c r="J659" s="8">
        <v>2247.1849999999999</v>
      </c>
      <c r="K659" s="8">
        <v>1883.35</v>
      </c>
      <c r="L659" s="8">
        <v>1553.095</v>
      </c>
      <c r="M659" s="8">
        <v>1258.2180000000001</v>
      </c>
      <c r="N659" s="8">
        <v>1008.9450000000001</v>
      </c>
      <c r="O659" s="8">
        <v>793.33799999999997</v>
      </c>
      <c r="P659" s="8">
        <v>633.57100000000003</v>
      </c>
      <c r="Q659" s="8">
        <v>492.87900000000002</v>
      </c>
      <c r="R659" s="8">
        <v>385.43700000000001</v>
      </c>
      <c r="S659" s="8">
        <v>311.53699999999998</v>
      </c>
      <c r="T659" s="8">
        <v>239.08</v>
      </c>
      <c r="U659" s="8">
        <v>184.12899999999999</v>
      </c>
      <c r="V659" s="8">
        <v>126.831</v>
      </c>
      <c r="W659" s="8">
        <v>105.217</v>
      </c>
      <c r="X659" s="8">
        <v>63.781999999999996</v>
      </c>
      <c r="Y659" s="8">
        <v>30.033000000000001</v>
      </c>
      <c r="Z659" s="8">
        <v>8.9320000000000004</v>
      </c>
      <c r="AA659" s="8">
        <v>1.377</v>
      </c>
      <c r="AB659" s="8">
        <v>0.106</v>
      </c>
      <c r="AC659" s="8">
        <v>6.0000000000000001E-3</v>
      </c>
    </row>
    <row r="660" spans="1:29" ht="11.65" hidden="1" x14ac:dyDescent="0.35">
      <c r="A660" s="12">
        <v>643</v>
      </c>
      <c r="B660" s="10" t="s">
        <v>1015</v>
      </c>
      <c r="C660" s="11" t="s">
        <v>604</v>
      </c>
      <c r="D660" s="9"/>
      <c r="E660" s="9">
        <v>800</v>
      </c>
      <c r="F660" s="10" t="s">
        <v>1066</v>
      </c>
      <c r="G660" s="9">
        <v>910</v>
      </c>
      <c r="H660" s="9">
        <v>2010</v>
      </c>
      <c r="I660" s="8">
        <v>3102.375</v>
      </c>
      <c r="J660" s="8">
        <v>2616.0210000000002</v>
      </c>
      <c r="K660" s="8">
        <v>2208.922</v>
      </c>
      <c r="L660" s="8">
        <v>1852.69</v>
      </c>
      <c r="M660" s="8">
        <v>1518.7260000000001</v>
      </c>
      <c r="N660" s="8">
        <v>1217.6669999999999</v>
      </c>
      <c r="O660" s="8">
        <v>965.50699999999995</v>
      </c>
      <c r="P660" s="8">
        <v>751.02700000000004</v>
      </c>
      <c r="Q660" s="8">
        <v>594.69899999999996</v>
      </c>
      <c r="R660" s="8">
        <v>460.15600000000001</v>
      </c>
      <c r="S660" s="8">
        <v>356.685</v>
      </c>
      <c r="T660" s="8">
        <v>284.375</v>
      </c>
      <c r="U660" s="8">
        <v>212.875</v>
      </c>
      <c r="V660" s="8">
        <v>156.30600000000001</v>
      </c>
      <c r="W660" s="8">
        <v>98.837999999999994</v>
      </c>
      <c r="X660" s="8">
        <v>71.257000000000005</v>
      </c>
      <c r="Y660" s="8">
        <v>33.545000000000002</v>
      </c>
      <c r="Z660" s="8">
        <v>10.114000000000001</v>
      </c>
      <c r="AA660" s="8">
        <v>1.4610000000000001</v>
      </c>
      <c r="AB660" s="8">
        <v>9.4E-2</v>
      </c>
      <c r="AC660" s="8">
        <v>5.0000000000000001E-3</v>
      </c>
    </row>
    <row r="661" spans="1:29" ht="11.65" hidden="1" x14ac:dyDescent="0.35">
      <c r="A661" s="12">
        <v>644</v>
      </c>
      <c r="B661" s="10" t="s">
        <v>1015</v>
      </c>
      <c r="C661" s="11" t="s">
        <v>604</v>
      </c>
      <c r="D661" s="9"/>
      <c r="E661" s="9">
        <v>800</v>
      </c>
      <c r="F661" s="10" t="s">
        <v>1066</v>
      </c>
      <c r="G661" s="9">
        <v>910</v>
      </c>
      <c r="H661" s="9">
        <v>2015</v>
      </c>
      <c r="I661" s="8">
        <v>3477.2449999999999</v>
      </c>
      <c r="J661" s="8">
        <v>3031.913</v>
      </c>
      <c r="K661" s="8">
        <v>2587.7220000000002</v>
      </c>
      <c r="L661" s="8">
        <v>2185.2269999999999</v>
      </c>
      <c r="M661" s="8">
        <v>1824.68</v>
      </c>
      <c r="N661" s="8">
        <v>1485.3209999999999</v>
      </c>
      <c r="O661" s="8">
        <v>1182.2650000000001</v>
      </c>
      <c r="P661" s="8">
        <v>930.66</v>
      </c>
      <c r="Q661" s="8">
        <v>718.74</v>
      </c>
      <c r="R661" s="8">
        <v>565.77300000000002</v>
      </c>
      <c r="S661" s="8">
        <v>433.83100000000002</v>
      </c>
      <c r="T661" s="8">
        <v>331.83100000000002</v>
      </c>
      <c r="U661" s="8">
        <v>258.75299999999999</v>
      </c>
      <c r="V661" s="8">
        <v>185.48099999999999</v>
      </c>
      <c r="W661" s="8">
        <v>126.072</v>
      </c>
      <c r="X661" s="8">
        <v>69.947000000000003</v>
      </c>
      <c r="Y661" s="8">
        <v>39.933999999999997</v>
      </c>
      <c r="Z661" s="8">
        <v>12.375999999999999</v>
      </c>
      <c r="AA661" s="8">
        <v>1.855</v>
      </c>
      <c r="AB661" s="8">
        <v>0.109</v>
      </c>
      <c r="AC661" s="8">
        <v>4.0000000000000001E-3</v>
      </c>
    </row>
    <row r="662" spans="1:29" ht="11.65" hidden="1" x14ac:dyDescent="0.35">
      <c r="A662" s="12">
        <v>645</v>
      </c>
      <c r="B662" s="10" t="s">
        <v>1015</v>
      </c>
      <c r="C662" s="11" t="s">
        <v>604</v>
      </c>
      <c r="D662" s="9"/>
      <c r="E662" s="9">
        <v>800</v>
      </c>
      <c r="F662" s="10" t="s">
        <v>1066</v>
      </c>
      <c r="G662" s="9">
        <v>910</v>
      </c>
      <c r="H662" s="9">
        <v>2020</v>
      </c>
      <c r="I662" s="8">
        <v>3857.5880000000002</v>
      </c>
      <c r="J662" s="8">
        <v>3498.8789999999999</v>
      </c>
      <c r="K662" s="8">
        <v>3072.37</v>
      </c>
      <c r="L662" s="8">
        <v>2620.8359999999998</v>
      </c>
      <c r="M662" s="8">
        <v>2204.5070000000001</v>
      </c>
      <c r="N662" s="8">
        <v>1831.057</v>
      </c>
      <c r="O662" s="8">
        <v>1483.16</v>
      </c>
      <c r="P662" s="8">
        <v>1174.826</v>
      </c>
      <c r="Q662" s="8">
        <v>919.35199999999998</v>
      </c>
      <c r="R662" s="8">
        <v>705.745</v>
      </c>
      <c r="S662" s="8">
        <v>550.34100000000001</v>
      </c>
      <c r="T662" s="8">
        <v>416.791</v>
      </c>
      <c r="U662" s="8">
        <v>312.64400000000001</v>
      </c>
      <c r="V662" s="8">
        <v>234.34399999999999</v>
      </c>
      <c r="W662" s="8">
        <v>156.61600000000001</v>
      </c>
      <c r="X662" s="8">
        <v>94.367000000000004</v>
      </c>
      <c r="Y662" s="8">
        <v>42.317</v>
      </c>
      <c r="Z662" s="8">
        <v>15.961</v>
      </c>
      <c r="AA662" s="8">
        <v>2.5510000000000002</v>
      </c>
      <c r="AB662" s="8">
        <v>0.154</v>
      </c>
      <c r="AC662" s="8">
        <v>5.0000000000000001E-3</v>
      </c>
    </row>
    <row r="663" spans="1:29" ht="11.65" hidden="1" x14ac:dyDescent="0.35">
      <c r="A663" s="12">
        <v>646</v>
      </c>
      <c r="B663" s="10" t="s">
        <v>1015</v>
      </c>
      <c r="C663" s="11" t="s">
        <v>605</v>
      </c>
      <c r="D663" s="9">
        <v>3</v>
      </c>
      <c r="E663" s="9">
        <v>834</v>
      </c>
      <c r="F663" s="10" t="s">
        <v>1066</v>
      </c>
      <c r="G663" s="9">
        <v>910</v>
      </c>
      <c r="H663" s="9">
        <v>1950</v>
      </c>
      <c r="I663" s="8">
        <v>738.60900000000004</v>
      </c>
      <c r="J663" s="8">
        <v>567.76800000000003</v>
      </c>
      <c r="K663" s="8">
        <v>475.68799999999999</v>
      </c>
      <c r="L663" s="8">
        <v>404.76400000000001</v>
      </c>
      <c r="M663" s="8">
        <v>343.24700000000001</v>
      </c>
      <c r="N663" s="8">
        <v>289.17399999999998</v>
      </c>
      <c r="O663" s="8">
        <v>242.154</v>
      </c>
      <c r="P663" s="8">
        <v>200.619</v>
      </c>
      <c r="Q663" s="8">
        <v>165.35400000000001</v>
      </c>
      <c r="R663" s="8">
        <v>135.18299999999999</v>
      </c>
      <c r="S663" s="8">
        <v>109.321</v>
      </c>
      <c r="T663" s="8">
        <v>86.204999999999998</v>
      </c>
      <c r="U663" s="8">
        <v>65.045000000000002</v>
      </c>
      <c r="V663" s="8">
        <v>45.454000000000001</v>
      </c>
      <c r="W663" s="8">
        <v>28.213000000000001</v>
      </c>
      <c r="X663" s="8">
        <v>14.499000000000001</v>
      </c>
      <c r="Y663" s="8">
        <v>4.9960000000000004</v>
      </c>
      <c r="Z663" s="8">
        <v>1.6539999999999999</v>
      </c>
      <c r="AA663" s="8">
        <v>0.35499999999999998</v>
      </c>
      <c r="AB663" s="8">
        <v>4.4999999999999998E-2</v>
      </c>
      <c r="AC663" s="8">
        <v>4.0000000000000001E-3</v>
      </c>
    </row>
    <row r="664" spans="1:29" ht="11.65" hidden="1" x14ac:dyDescent="0.35">
      <c r="A664" s="12">
        <v>647</v>
      </c>
      <c r="B664" s="10" t="s">
        <v>1015</v>
      </c>
      <c r="C664" s="11" t="s">
        <v>605</v>
      </c>
      <c r="D664" s="9">
        <v>3</v>
      </c>
      <c r="E664" s="9">
        <v>834</v>
      </c>
      <c r="F664" s="10" t="s">
        <v>1066</v>
      </c>
      <c r="G664" s="9">
        <v>910</v>
      </c>
      <c r="H664" s="9">
        <v>1955</v>
      </c>
      <c r="I664" s="8">
        <v>794.87300000000005</v>
      </c>
      <c r="J664" s="8">
        <v>661.72699999999998</v>
      </c>
      <c r="K664" s="8">
        <v>544.30100000000004</v>
      </c>
      <c r="L664" s="8">
        <v>461.08</v>
      </c>
      <c r="M664" s="8">
        <v>391.15800000000002</v>
      </c>
      <c r="N664" s="8">
        <v>330.09800000000001</v>
      </c>
      <c r="O664" s="8">
        <v>276.59300000000002</v>
      </c>
      <c r="P664" s="8">
        <v>230.34200000000001</v>
      </c>
      <c r="Q664" s="8">
        <v>189.70699999999999</v>
      </c>
      <c r="R664" s="8">
        <v>155.61799999999999</v>
      </c>
      <c r="S664" s="8">
        <v>125.996</v>
      </c>
      <c r="T664" s="8">
        <v>99.915999999999997</v>
      </c>
      <c r="U664" s="8">
        <v>76.094999999999999</v>
      </c>
      <c r="V664" s="8">
        <v>53.987000000000002</v>
      </c>
      <c r="W664" s="8">
        <v>34.116</v>
      </c>
      <c r="X664" s="8">
        <v>18.076000000000001</v>
      </c>
      <c r="Y664" s="8">
        <v>7.2080000000000002</v>
      </c>
      <c r="Z664" s="8">
        <v>1.6579999999999999</v>
      </c>
      <c r="AA664" s="8">
        <v>0.30599999999999999</v>
      </c>
      <c r="AB664" s="8">
        <v>3.3000000000000002E-2</v>
      </c>
      <c r="AC664" s="8">
        <v>3.0000000000000001E-3</v>
      </c>
    </row>
    <row r="665" spans="1:29" ht="11.65" hidden="1" x14ac:dyDescent="0.35">
      <c r="A665" s="12">
        <v>648</v>
      </c>
      <c r="B665" s="10" t="s">
        <v>1015</v>
      </c>
      <c r="C665" s="11" t="s">
        <v>605</v>
      </c>
      <c r="D665" s="9">
        <v>3</v>
      </c>
      <c r="E665" s="9">
        <v>834</v>
      </c>
      <c r="F665" s="10" t="s">
        <v>1066</v>
      </c>
      <c r="G665" s="9">
        <v>910</v>
      </c>
      <c r="H665" s="9">
        <v>1960</v>
      </c>
      <c r="I665" s="8">
        <v>931.09699999999998</v>
      </c>
      <c r="J665" s="8">
        <v>720.99800000000005</v>
      </c>
      <c r="K665" s="8">
        <v>637.87300000000005</v>
      </c>
      <c r="L665" s="8">
        <v>529.49199999999996</v>
      </c>
      <c r="M665" s="8">
        <v>447.024</v>
      </c>
      <c r="N665" s="8">
        <v>377.38099999999997</v>
      </c>
      <c r="O665" s="8">
        <v>316.80399999999997</v>
      </c>
      <c r="P665" s="8">
        <v>264.02100000000002</v>
      </c>
      <c r="Q665" s="8">
        <v>218.56399999999999</v>
      </c>
      <c r="R665" s="8">
        <v>179.11099999999999</v>
      </c>
      <c r="S665" s="8">
        <v>145.49600000000001</v>
      </c>
      <c r="T665" s="8">
        <v>115.557</v>
      </c>
      <c r="U665" s="8">
        <v>88.572000000000003</v>
      </c>
      <c r="V665" s="8">
        <v>63.473999999999997</v>
      </c>
      <c r="W665" s="8">
        <v>40.731999999999999</v>
      </c>
      <c r="X665" s="8">
        <v>21.95</v>
      </c>
      <c r="Y665" s="8">
        <v>8.9830000000000005</v>
      </c>
      <c r="Z665" s="8">
        <v>2.3610000000000002</v>
      </c>
      <c r="AA665" s="8">
        <v>0.29399999999999998</v>
      </c>
      <c r="AB665" s="8">
        <v>2.5999999999999999E-2</v>
      </c>
      <c r="AC665" s="8">
        <v>2E-3</v>
      </c>
    </row>
    <row r="666" spans="1:29" ht="11.65" hidden="1" x14ac:dyDescent="0.35">
      <c r="A666" s="12">
        <v>649</v>
      </c>
      <c r="B666" s="10" t="s">
        <v>1015</v>
      </c>
      <c r="C666" s="11" t="s">
        <v>605</v>
      </c>
      <c r="D666" s="9">
        <v>3</v>
      </c>
      <c r="E666" s="9">
        <v>834</v>
      </c>
      <c r="F666" s="10" t="s">
        <v>1066</v>
      </c>
      <c r="G666" s="9">
        <v>910</v>
      </c>
      <c r="H666" s="9">
        <v>1965</v>
      </c>
      <c r="I666" s="8">
        <v>1084.298</v>
      </c>
      <c r="J666" s="8">
        <v>852.67700000000002</v>
      </c>
      <c r="K666" s="8">
        <v>698.44299999999998</v>
      </c>
      <c r="L666" s="8">
        <v>622.74900000000002</v>
      </c>
      <c r="M666" s="8">
        <v>515.11199999999997</v>
      </c>
      <c r="N666" s="8">
        <v>432.76900000000001</v>
      </c>
      <c r="O666" s="8">
        <v>363.47300000000001</v>
      </c>
      <c r="P666" s="8">
        <v>303.51499999999999</v>
      </c>
      <c r="Q666" s="8">
        <v>251.43899999999999</v>
      </c>
      <c r="R666" s="8">
        <v>207.07900000000001</v>
      </c>
      <c r="S666" s="8">
        <v>168.04400000000001</v>
      </c>
      <c r="T666" s="8">
        <v>133.94200000000001</v>
      </c>
      <c r="U666" s="8">
        <v>102.884</v>
      </c>
      <c r="V666" s="8">
        <v>74.25</v>
      </c>
      <c r="W666" s="8">
        <v>48.146000000000001</v>
      </c>
      <c r="X666" s="8">
        <v>26.337</v>
      </c>
      <c r="Y666" s="8">
        <v>10.929</v>
      </c>
      <c r="Z666" s="8">
        <v>2.923</v>
      </c>
      <c r="AA666" s="8">
        <v>0.40799999999999997</v>
      </c>
      <c r="AB666" s="8">
        <v>2.4E-2</v>
      </c>
      <c r="AC666" s="8">
        <v>1E-3</v>
      </c>
    </row>
    <row r="667" spans="1:29" ht="11.65" hidden="1" x14ac:dyDescent="0.35">
      <c r="A667" s="12">
        <v>650</v>
      </c>
      <c r="B667" s="10" t="s">
        <v>1015</v>
      </c>
      <c r="C667" s="11" t="s">
        <v>605</v>
      </c>
      <c r="D667" s="9">
        <v>3</v>
      </c>
      <c r="E667" s="9">
        <v>834</v>
      </c>
      <c r="F667" s="10" t="s">
        <v>1066</v>
      </c>
      <c r="G667" s="9">
        <v>910</v>
      </c>
      <c r="H667" s="9">
        <v>1970</v>
      </c>
      <c r="I667" s="8">
        <v>1263.5150000000001</v>
      </c>
      <c r="J667" s="8">
        <v>1001.3920000000001</v>
      </c>
      <c r="K667" s="8">
        <v>829.26</v>
      </c>
      <c r="L667" s="8">
        <v>683.94799999999998</v>
      </c>
      <c r="M667" s="8">
        <v>607.52</v>
      </c>
      <c r="N667" s="8">
        <v>500.14699999999999</v>
      </c>
      <c r="O667" s="8">
        <v>418.14699999999999</v>
      </c>
      <c r="P667" s="8">
        <v>349.40600000000001</v>
      </c>
      <c r="Q667" s="8">
        <v>290.04599999999999</v>
      </c>
      <c r="R667" s="8">
        <v>239.02199999999999</v>
      </c>
      <c r="S667" s="8">
        <v>194.935</v>
      </c>
      <c r="T667" s="8">
        <v>155.27500000000001</v>
      </c>
      <c r="U667" s="8">
        <v>119.78</v>
      </c>
      <c r="V667" s="8">
        <v>86.698999999999998</v>
      </c>
      <c r="W667" s="8">
        <v>56.652000000000001</v>
      </c>
      <c r="X667" s="8">
        <v>31.312999999999999</v>
      </c>
      <c r="Y667" s="8">
        <v>13.161</v>
      </c>
      <c r="Z667" s="8">
        <v>3.5430000000000001</v>
      </c>
      <c r="AA667" s="8">
        <v>0.495</v>
      </c>
      <c r="AB667" s="8">
        <v>3.2000000000000001E-2</v>
      </c>
      <c r="AC667" s="8">
        <v>1E-3</v>
      </c>
    </row>
    <row r="668" spans="1:29" ht="11.65" hidden="1" x14ac:dyDescent="0.35">
      <c r="A668" s="12">
        <v>651</v>
      </c>
      <c r="B668" s="10" t="s">
        <v>1015</v>
      </c>
      <c r="C668" s="11" t="s">
        <v>605</v>
      </c>
      <c r="D668" s="9">
        <v>3</v>
      </c>
      <c r="E668" s="9">
        <v>834</v>
      </c>
      <c r="F668" s="10" t="s">
        <v>1066</v>
      </c>
      <c r="G668" s="9">
        <v>910</v>
      </c>
      <c r="H668" s="9">
        <v>1975</v>
      </c>
      <c r="I668" s="8">
        <v>1479.0239999999999</v>
      </c>
      <c r="J668" s="8">
        <v>1184.548</v>
      </c>
      <c r="K668" s="8">
        <v>982.73599999999999</v>
      </c>
      <c r="L668" s="8">
        <v>818.346</v>
      </c>
      <c r="M668" s="8">
        <v>672.48800000000006</v>
      </c>
      <c r="N668" s="8">
        <v>594.26400000000001</v>
      </c>
      <c r="O668" s="8">
        <v>486.95</v>
      </c>
      <c r="P668" s="8">
        <v>405.096</v>
      </c>
      <c r="Q668" s="8">
        <v>336.512</v>
      </c>
      <c r="R668" s="8">
        <v>277.85000000000002</v>
      </c>
      <c r="S668" s="8">
        <v>226.75399999999999</v>
      </c>
      <c r="T668" s="8">
        <v>181.601</v>
      </c>
      <c r="U668" s="8">
        <v>140.12</v>
      </c>
      <c r="V668" s="8">
        <v>101.96899999999999</v>
      </c>
      <c r="W668" s="8">
        <v>66.891999999999996</v>
      </c>
      <c r="X668" s="8">
        <v>37.26</v>
      </c>
      <c r="Y668" s="8">
        <v>15.782999999999999</v>
      </c>
      <c r="Z668" s="8">
        <v>4.2450000000000001</v>
      </c>
      <c r="AA668" s="8">
        <v>0.57999999999999996</v>
      </c>
      <c r="AB668" s="8">
        <v>3.5999999999999997E-2</v>
      </c>
      <c r="AC668" s="8">
        <v>2E-3</v>
      </c>
    </row>
    <row r="669" spans="1:29" ht="11.65" hidden="1" x14ac:dyDescent="0.35">
      <c r="A669" s="12">
        <v>652</v>
      </c>
      <c r="B669" s="10" t="s">
        <v>1015</v>
      </c>
      <c r="C669" s="11" t="s">
        <v>605</v>
      </c>
      <c r="D669" s="9">
        <v>3</v>
      </c>
      <c r="E669" s="9">
        <v>834</v>
      </c>
      <c r="F669" s="10" t="s">
        <v>1066</v>
      </c>
      <c r="G669" s="9">
        <v>910</v>
      </c>
      <c r="H669" s="9">
        <v>1980</v>
      </c>
      <c r="I669" s="8">
        <v>1715.5630000000001</v>
      </c>
      <c r="J669" s="8">
        <v>1386.94</v>
      </c>
      <c r="K669" s="8">
        <v>1156.326</v>
      </c>
      <c r="L669" s="8">
        <v>963.65</v>
      </c>
      <c r="M669" s="8">
        <v>799.45699999999999</v>
      </c>
      <c r="N669" s="8">
        <v>653.99400000000003</v>
      </c>
      <c r="O669" s="8">
        <v>575.40300000000002</v>
      </c>
      <c r="P669" s="8">
        <v>469.27600000000001</v>
      </c>
      <c r="Q669" s="8">
        <v>388.15499999999997</v>
      </c>
      <c r="R669" s="8">
        <v>320.70100000000002</v>
      </c>
      <c r="S669" s="8">
        <v>262.27</v>
      </c>
      <c r="T669" s="8">
        <v>210.315</v>
      </c>
      <c r="U669" s="8">
        <v>163.33799999999999</v>
      </c>
      <c r="V669" s="8">
        <v>119.06399999999999</v>
      </c>
      <c r="W669" s="8">
        <v>78.644999999999996</v>
      </c>
      <c r="X669" s="8">
        <v>44.018999999999998</v>
      </c>
      <c r="Y669" s="8">
        <v>18.768999999999998</v>
      </c>
      <c r="Z669" s="8">
        <v>5.0940000000000003</v>
      </c>
      <c r="AA669" s="8">
        <v>0.68200000000000005</v>
      </c>
      <c r="AB669" s="8">
        <v>3.9E-2</v>
      </c>
      <c r="AC669" s="8">
        <v>2E-3</v>
      </c>
    </row>
    <row r="670" spans="1:29" ht="11.65" hidden="1" x14ac:dyDescent="0.35">
      <c r="A670" s="12">
        <v>653</v>
      </c>
      <c r="B670" s="10" t="s">
        <v>1015</v>
      </c>
      <c r="C670" s="11" t="s">
        <v>605</v>
      </c>
      <c r="D670" s="9">
        <v>3</v>
      </c>
      <c r="E670" s="9">
        <v>834</v>
      </c>
      <c r="F670" s="10" t="s">
        <v>1066</v>
      </c>
      <c r="G670" s="9">
        <v>910</v>
      </c>
      <c r="H670" s="9">
        <v>1985</v>
      </c>
      <c r="I670" s="8">
        <v>1962.886</v>
      </c>
      <c r="J670" s="8">
        <v>1619.57</v>
      </c>
      <c r="K670" s="8">
        <v>1360.0650000000001</v>
      </c>
      <c r="L670" s="8">
        <v>1138.498</v>
      </c>
      <c r="M670" s="8">
        <v>945.16200000000003</v>
      </c>
      <c r="N670" s="8">
        <v>780.45799999999997</v>
      </c>
      <c r="O670" s="8">
        <v>635.553</v>
      </c>
      <c r="P670" s="8">
        <v>556.44200000000001</v>
      </c>
      <c r="Q670" s="8">
        <v>451.21600000000001</v>
      </c>
      <c r="R670" s="8">
        <v>371.22</v>
      </c>
      <c r="S670" s="8">
        <v>303.81700000000001</v>
      </c>
      <c r="T670" s="8">
        <v>244.22200000000001</v>
      </c>
      <c r="U670" s="8">
        <v>190.02600000000001</v>
      </c>
      <c r="V670" s="8">
        <v>139.55199999999999</v>
      </c>
      <c r="W670" s="8">
        <v>92.438000000000002</v>
      </c>
      <c r="X670" s="8">
        <v>52.161999999999999</v>
      </c>
      <c r="Y670" s="8">
        <v>22.359000000000002</v>
      </c>
      <c r="Z670" s="8">
        <v>6.0810000000000004</v>
      </c>
      <c r="AA670" s="8">
        <v>0.81599999999999995</v>
      </c>
      <c r="AB670" s="8">
        <v>4.5999999999999999E-2</v>
      </c>
      <c r="AC670" s="8">
        <v>2E-3</v>
      </c>
    </row>
    <row r="671" spans="1:29" ht="11.65" hidden="1" x14ac:dyDescent="0.35">
      <c r="A671" s="12">
        <v>654</v>
      </c>
      <c r="B671" s="10" t="s">
        <v>1015</v>
      </c>
      <c r="C671" s="11" t="s">
        <v>605</v>
      </c>
      <c r="D671" s="9">
        <v>3</v>
      </c>
      <c r="E671" s="9">
        <v>834</v>
      </c>
      <c r="F671" s="10" t="s">
        <v>1066</v>
      </c>
      <c r="G671" s="9">
        <v>910</v>
      </c>
      <c r="H671" s="9">
        <v>1990</v>
      </c>
      <c r="I671" s="8">
        <v>2256.2530000000002</v>
      </c>
      <c r="J671" s="8">
        <v>1864.2360000000001</v>
      </c>
      <c r="K671" s="8">
        <v>1593.7429999999999</v>
      </c>
      <c r="L671" s="8">
        <v>1342.7429999999999</v>
      </c>
      <c r="M671" s="8">
        <v>1119.152</v>
      </c>
      <c r="N671" s="8">
        <v>923.798</v>
      </c>
      <c r="O671" s="8">
        <v>758.48800000000006</v>
      </c>
      <c r="P671" s="8">
        <v>614.19899999999996</v>
      </c>
      <c r="Q671" s="8">
        <v>534.40300000000002</v>
      </c>
      <c r="R671" s="8">
        <v>431.11900000000003</v>
      </c>
      <c r="S671" s="8">
        <v>351.46</v>
      </c>
      <c r="T671" s="8">
        <v>282.95</v>
      </c>
      <c r="U671" s="8">
        <v>220.958</v>
      </c>
      <c r="V671" s="8">
        <v>162.91</v>
      </c>
      <c r="W671" s="8">
        <v>109.03400000000001</v>
      </c>
      <c r="X671" s="8">
        <v>61.939</v>
      </c>
      <c r="Y671" s="8">
        <v>26.858000000000001</v>
      </c>
      <c r="Z671" s="8">
        <v>7.3330000000000002</v>
      </c>
      <c r="AA671" s="8">
        <v>0.98299999999999998</v>
      </c>
      <c r="AB671" s="8">
        <v>5.5E-2</v>
      </c>
      <c r="AC671" s="8">
        <v>2E-3</v>
      </c>
    </row>
    <row r="672" spans="1:29" ht="11.65" hidden="1" x14ac:dyDescent="0.35">
      <c r="A672" s="12">
        <v>655</v>
      </c>
      <c r="B672" s="10" t="s">
        <v>1015</v>
      </c>
      <c r="C672" s="11" t="s">
        <v>605</v>
      </c>
      <c r="D672" s="9">
        <v>3</v>
      </c>
      <c r="E672" s="9">
        <v>834</v>
      </c>
      <c r="F672" s="10" t="s">
        <v>1066</v>
      </c>
      <c r="G672" s="9">
        <v>910</v>
      </c>
      <c r="H672" s="9">
        <v>1995</v>
      </c>
      <c r="I672" s="8">
        <v>2598.2460000000001</v>
      </c>
      <c r="J672" s="8">
        <v>2186.7939999999999</v>
      </c>
      <c r="K672" s="8">
        <v>1869.663</v>
      </c>
      <c r="L672" s="8">
        <v>1601.9960000000001</v>
      </c>
      <c r="M672" s="8">
        <v>1341.9369999999999</v>
      </c>
      <c r="N672" s="8">
        <v>1108.6300000000001</v>
      </c>
      <c r="O672" s="8">
        <v>906.78599999999994</v>
      </c>
      <c r="P672" s="8">
        <v>738.13699999999994</v>
      </c>
      <c r="Q672" s="8">
        <v>593.61099999999999</v>
      </c>
      <c r="R672" s="8">
        <v>513.58199999999999</v>
      </c>
      <c r="S672" s="8">
        <v>410.89499999999998</v>
      </c>
      <c r="T672" s="8">
        <v>329.88799999999998</v>
      </c>
      <c r="U672" s="8">
        <v>258.36799999999999</v>
      </c>
      <c r="V672" s="8">
        <v>191.68</v>
      </c>
      <c r="W672" s="8">
        <v>129.30199999999999</v>
      </c>
      <c r="X672" s="8">
        <v>74.662999999999997</v>
      </c>
      <c r="Y672" s="8">
        <v>32.826999999999998</v>
      </c>
      <c r="Z672" s="8">
        <v>8.9649999999999999</v>
      </c>
      <c r="AA672" s="8">
        <v>1.2290000000000001</v>
      </c>
      <c r="AB672" s="8">
        <v>7.2999999999999995E-2</v>
      </c>
      <c r="AC672" s="8">
        <v>3.0000000000000001E-3</v>
      </c>
    </row>
    <row r="673" spans="1:29" ht="11.65" hidden="1" x14ac:dyDescent="0.35">
      <c r="A673" s="12">
        <v>656</v>
      </c>
      <c r="B673" s="10" t="s">
        <v>1015</v>
      </c>
      <c r="C673" s="11" t="s">
        <v>605</v>
      </c>
      <c r="D673" s="9">
        <v>3</v>
      </c>
      <c r="E673" s="9">
        <v>834</v>
      </c>
      <c r="F673" s="10" t="s">
        <v>1066</v>
      </c>
      <c r="G673" s="9">
        <v>910</v>
      </c>
      <c r="H673" s="9">
        <v>2000</v>
      </c>
      <c r="I673" s="8">
        <v>2847.1109999999999</v>
      </c>
      <c r="J673" s="8">
        <v>2458.5720000000001</v>
      </c>
      <c r="K673" s="8">
        <v>2127.989</v>
      </c>
      <c r="L673" s="8">
        <v>1822.509</v>
      </c>
      <c r="M673" s="8">
        <v>1551.296</v>
      </c>
      <c r="N673" s="8">
        <v>1283.6300000000001</v>
      </c>
      <c r="O673" s="8">
        <v>1045.8789999999999</v>
      </c>
      <c r="P673" s="8">
        <v>844.48699999999997</v>
      </c>
      <c r="Q673" s="8">
        <v>681.35199999999998</v>
      </c>
      <c r="R673" s="8">
        <v>545.83000000000004</v>
      </c>
      <c r="S673" s="8">
        <v>469.02300000000002</v>
      </c>
      <c r="T673" s="8">
        <v>370.113</v>
      </c>
      <c r="U673" s="8">
        <v>289.60399999999998</v>
      </c>
      <c r="V673" s="8">
        <v>216.07900000000001</v>
      </c>
      <c r="W673" s="8">
        <v>147.17599999999999</v>
      </c>
      <c r="X673" s="8">
        <v>86.078000000000003</v>
      </c>
      <c r="Y673" s="8">
        <v>38.645000000000003</v>
      </c>
      <c r="Z673" s="8">
        <v>11.015000000000001</v>
      </c>
      <c r="AA673" s="8">
        <v>1.5189999999999999</v>
      </c>
      <c r="AB673" s="8">
        <v>9.5000000000000001E-2</v>
      </c>
      <c r="AC673" s="8">
        <v>4.0000000000000001E-3</v>
      </c>
    </row>
    <row r="674" spans="1:29" ht="11.65" hidden="1" x14ac:dyDescent="0.35">
      <c r="A674" s="12">
        <v>657</v>
      </c>
      <c r="B674" s="10" t="s">
        <v>1015</v>
      </c>
      <c r="C674" s="11" t="s">
        <v>605</v>
      </c>
      <c r="D674" s="9">
        <v>3</v>
      </c>
      <c r="E674" s="9">
        <v>834</v>
      </c>
      <c r="F674" s="10" t="s">
        <v>1066</v>
      </c>
      <c r="G674" s="9">
        <v>910</v>
      </c>
      <c r="H674" s="9">
        <v>2005</v>
      </c>
      <c r="I674" s="8">
        <v>3370.8490000000002</v>
      </c>
      <c r="J674" s="8">
        <v>2746.114</v>
      </c>
      <c r="K674" s="8">
        <v>2411.9140000000002</v>
      </c>
      <c r="L674" s="8">
        <v>2088.9769999999999</v>
      </c>
      <c r="M674" s="8">
        <v>1776.9480000000001</v>
      </c>
      <c r="N674" s="8">
        <v>1492.886</v>
      </c>
      <c r="O674" s="8">
        <v>1216.587</v>
      </c>
      <c r="P674" s="8">
        <v>976.87699999999995</v>
      </c>
      <c r="Q674" s="8">
        <v>781.02</v>
      </c>
      <c r="R674" s="8">
        <v>627.76700000000005</v>
      </c>
      <c r="S674" s="8">
        <v>499.21600000000001</v>
      </c>
      <c r="T674" s="8">
        <v>423.92599999999999</v>
      </c>
      <c r="U674" s="8">
        <v>326.74900000000002</v>
      </c>
      <c r="V674" s="8">
        <v>244.30699999999999</v>
      </c>
      <c r="W674" s="8">
        <v>167.965</v>
      </c>
      <c r="X674" s="8">
        <v>99.619</v>
      </c>
      <c r="Y674" s="8">
        <v>45.41</v>
      </c>
      <c r="Z674" s="8">
        <v>13.09</v>
      </c>
      <c r="AA674" s="8">
        <v>1.8460000000000001</v>
      </c>
      <c r="AB674" s="8">
        <v>0.114</v>
      </c>
      <c r="AC674" s="8">
        <v>5.0000000000000001E-3</v>
      </c>
    </row>
    <row r="675" spans="1:29" ht="11.65" hidden="1" x14ac:dyDescent="0.35">
      <c r="A675" s="12">
        <v>658</v>
      </c>
      <c r="B675" s="10" t="s">
        <v>1015</v>
      </c>
      <c r="C675" s="11" t="s">
        <v>605</v>
      </c>
      <c r="D675" s="9">
        <v>3</v>
      </c>
      <c r="E675" s="9">
        <v>834</v>
      </c>
      <c r="F675" s="10" t="s">
        <v>1066</v>
      </c>
      <c r="G675" s="9">
        <v>910</v>
      </c>
      <c r="H675" s="9">
        <v>2010</v>
      </c>
      <c r="I675" s="8">
        <v>3902.6280000000002</v>
      </c>
      <c r="J675" s="8">
        <v>3263.5160000000001</v>
      </c>
      <c r="K675" s="8">
        <v>2687.8310000000001</v>
      </c>
      <c r="L675" s="8">
        <v>2362.1460000000002</v>
      </c>
      <c r="M675" s="8">
        <v>2033.972</v>
      </c>
      <c r="N675" s="8">
        <v>1712.5630000000001</v>
      </c>
      <c r="O675" s="8">
        <v>1422.8510000000001</v>
      </c>
      <c r="P675" s="8">
        <v>1146.992</v>
      </c>
      <c r="Q675" s="8">
        <v>912.87199999999996</v>
      </c>
      <c r="R675" s="8">
        <v>725.93100000000004</v>
      </c>
      <c r="S675" s="8">
        <v>578.40899999999999</v>
      </c>
      <c r="T675" s="8">
        <v>453.55</v>
      </c>
      <c r="U675" s="8">
        <v>376.00700000000001</v>
      </c>
      <c r="V675" s="8">
        <v>276.35000000000002</v>
      </c>
      <c r="W675" s="8">
        <v>189.78700000000001</v>
      </c>
      <c r="X675" s="8">
        <v>112.96</v>
      </c>
      <c r="Y675" s="8">
        <v>51.671999999999997</v>
      </c>
      <c r="Z675" s="8">
        <v>14.891999999999999</v>
      </c>
      <c r="AA675" s="8">
        <v>2.0190000000000001</v>
      </c>
      <c r="AB675" s="8">
        <v>0.115</v>
      </c>
      <c r="AC675" s="8">
        <v>5.0000000000000001E-3</v>
      </c>
    </row>
    <row r="676" spans="1:29" ht="11.65" hidden="1" x14ac:dyDescent="0.35">
      <c r="A676" s="12">
        <v>659</v>
      </c>
      <c r="B676" s="10" t="s">
        <v>1015</v>
      </c>
      <c r="C676" s="11" t="s">
        <v>605</v>
      </c>
      <c r="D676" s="9">
        <v>3</v>
      </c>
      <c r="E676" s="9">
        <v>834</v>
      </c>
      <c r="F676" s="10" t="s">
        <v>1066</v>
      </c>
      <c r="G676" s="9">
        <v>910</v>
      </c>
      <c r="H676" s="9">
        <v>2015</v>
      </c>
      <c r="I676" s="8">
        <v>4331.835</v>
      </c>
      <c r="J676" s="8">
        <v>3821.66</v>
      </c>
      <c r="K676" s="8">
        <v>3222.5940000000001</v>
      </c>
      <c r="L676" s="8">
        <v>2654.5970000000002</v>
      </c>
      <c r="M676" s="8">
        <v>2324.2060000000001</v>
      </c>
      <c r="N676" s="8">
        <v>1991.3879999999999</v>
      </c>
      <c r="O676" s="8">
        <v>1668.7719999999999</v>
      </c>
      <c r="P676" s="8">
        <v>1379.704</v>
      </c>
      <c r="Q676" s="8">
        <v>1105.6949999999999</v>
      </c>
      <c r="R676" s="8">
        <v>874.91399999999999</v>
      </c>
      <c r="S676" s="8">
        <v>689.43299999999999</v>
      </c>
      <c r="T676" s="8">
        <v>541.54999999999995</v>
      </c>
      <c r="U676" s="8">
        <v>414.58800000000002</v>
      </c>
      <c r="V676" s="8">
        <v>328.30700000000002</v>
      </c>
      <c r="W676" s="8">
        <v>222.27799999999999</v>
      </c>
      <c r="X676" s="8">
        <v>132.72800000000001</v>
      </c>
      <c r="Y676" s="8">
        <v>61.540999999999997</v>
      </c>
      <c r="Z676" s="8">
        <v>18.117999999999999</v>
      </c>
      <c r="AA676" s="8">
        <v>2.4670000000000001</v>
      </c>
      <c r="AB676" s="8">
        <v>0.12</v>
      </c>
      <c r="AC676" s="8">
        <v>5.0000000000000001E-3</v>
      </c>
    </row>
    <row r="677" spans="1:29" ht="11.65" hidden="1" x14ac:dyDescent="0.35">
      <c r="A677" s="12">
        <v>660</v>
      </c>
      <c r="B677" s="10" t="s">
        <v>1015</v>
      </c>
      <c r="C677" s="11" t="s">
        <v>605</v>
      </c>
      <c r="D677" s="9">
        <v>3</v>
      </c>
      <c r="E677" s="9">
        <v>834</v>
      </c>
      <c r="F677" s="10" t="s">
        <v>1066</v>
      </c>
      <c r="G677" s="9">
        <v>910</v>
      </c>
      <c r="H677" s="9">
        <v>2020</v>
      </c>
      <c r="I677" s="8">
        <v>4813.9319999999998</v>
      </c>
      <c r="J677" s="8">
        <v>4262.107</v>
      </c>
      <c r="K677" s="8">
        <v>3785.386</v>
      </c>
      <c r="L677" s="8">
        <v>3192.431</v>
      </c>
      <c r="M677" s="8">
        <v>2622.0509999999999</v>
      </c>
      <c r="N677" s="8">
        <v>2289.0140000000001</v>
      </c>
      <c r="O677" s="8">
        <v>1956.2860000000001</v>
      </c>
      <c r="P677" s="8">
        <v>1634.5730000000001</v>
      </c>
      <c r="Q677" s="8">
        <v>1345.482</v>
      </c>
      <c r="R677" s="8">
        <v>1072.6980000000001</v>
      </c>
      <c r="S677" s="8">
        <v>841.84799999999996</v>
      </c>
      <c r="T677" s="8">
        <v>654.83600000000001</v>
      </c>
      <c r="U677" s="8">
        <v>503.45699999999999</v>
      </c>
      <c r="V677" s="8">
        <v>369.649</v>
      </c>
      <c r="W677" s="8">
        <v>271.82600000000002</v>
      </c>
      <c r="X677" s="8">
        <v>162.15</v>
      </c>
      <c r="Y677" s="8">
        <v>77.358000000000004</v>
      </c>
      <c r="Z677" s="8">
        <v>24.225999999999999</v>
      </c>
      <c r="AA677" s="8">
        <v>3.6080000000000001</v>
      </c>
      <c r="AB677" s="8">
        <v>0.182</v>
      </c>
      <c r="AC677" s="8">
        <v>5.0000000000000001E-3</v>
      </c>
    </row>
    <row r="678" spans="1:29" ht="11.65" hidden="1" x14ac:dyDescent="0.35">
      <c r="A678" s="12">
        <v>661</v>
      </c>
      <c r="B678" s="10" t="s">
        <v>1015</v>
      </c>
      <c r="C678" s="11" t="s">
        <v>606</v>
      </c>
      <c r="D678" s="9"/>
      <c r="E678" s="9">
        <v>894</v>
      </c>
      <c r="F678" s="10" t="s">
        <v>1066</v>
      </c>
      <c r="G678" s="9">
        <v>910</v>
      </c>
      <c r="H678" s="9">
        <v>1950</v>
      </c>
      <c r="I678" s="8">
        <v>207.559</v>
      </c>
      <c r="J678" s="8">
        <v>163.791</v>
      </c>
      <c r="K678" s="8">
        <v>138.886</v>
      </c>
      <c r="L678" s="8">
        <v>120.389</v>
      </c>
      <c r="M678" s="8">
        <v>103.023</v>
      </c>
      <c r="N678" s="8">
        <v>88.724999999999994</v>
      </c>
      <c r="O678" s="8">
        <v>73.204999999999998</v>
      </c>
      <c r="P678" s="8">
        <v>61.393999999999998</v>
      </c>
      <c r="Q678" s="8">
        <v>50.7</v>
      </c>
      <c r="R678" s="8">
        <v>42.369</v>
      </c>
      <c r="S678" s="8">
        <v>33.276000000000003</v>
      </c>
      <c r="T678" s="8">
        <v>24.276</v>
      </c>
      <c r="U678" s="8">
        <v>19.405000000000001</v>
      </c>
      <c r="V678" s="8">
        <v>14.98</v>
      </c>
      <c r="W678" s="8">
        <v>9.8940000000000001</v>
      </c>
      <c r="X678" s="8">
        <v>5.6139999999999999</v>
      </c>
      <c r="Y678" s="8">
        <v>1.9179999999999999</v>
      </c>
      <c r="Z678" s="8">
        <v>0.66900000000000004</v>
      </c>
      <c r="AA678" s="8">
        <v>0.15</v>
      </c>
      <c r="AB678" s="8">
        <v>2.1000000000000001E-2</v>
      </c>
      <c r="AC678" s="8">
        <v>2E-3</v>
      </c>
    </row>
    <row r="679" spans="1:29" ht="11.65" hidden="1" x14ac:dyDescent="0.35">
      <c r="A679" s="12">
        <v>662</v>
      </c>
      <c r="B679" s="10" t="s">
        <v>1015</v>
      </c>
      <c r="C679" s="11" t="s">
        <v>606</v>
      </c>
      <c r="D679" s="9"/>
      <c r="E679" s="9">
        <v>894</v>
      </c>
      <c r="F679" s="10" t="s">
        <v>1066</v>
      </c>
      <c r="G679" s="9">
        <v>910</v>
      </c>
      <c r="H679" s="9">
        <v>1955</v>
      </c>
      <c r="I679" s="8">
        <v>241.87700000000001</v>
      </c>
      <c r="J679" s="8">
        <v>189.364</v>
      </c>
      <c r="K679" s="8">
        <v>158.089</v>
      </c>
      <c r="L679" s="8">
        <v>135.13499999999999</v>
      </c>
      <c r="M679" s="8">
        <v>116.652</v>
      </c>
      <c r="N679" s="8">
        <v>99.212000000000003</v>
      </c>
      <c r="O679" s="8">
        <v>84.896000000000001</v>
      </c>
      <c r="P679" s="8">
        <v>69.605000000000004</v>
      </c>
      <c r="Q679" s="8">
        <v>58.003</v>
      </c>
      <c r="R679" s="8">
        <v>47.662999999999997</v>
      </c>
      <c r="S679" s="8">
        <v>39.442999999999998</v>
      </c>
      <c r="T679" s="8">
        <v>30.393999999999998</v>
      </c>
      <c r="U679" s="8">
        <v>21.437999999999999</v>
      </c>
      <c r="V679" s="8">
        <v>16.134</v>
      </c>
      <c r="W679" s="8">
        <v>11.273</v>
      </c>
      <c r="X679" s="8">
        <v>6.3529999999999998</v>
      </c>
      <c r="Y679" s="8">
        <v>2.7810000000000001</v>
      </c>
      <c r="Z679" s="8">
        <v>0.625</v>
      </c>
      <c r="AA679" s="8">
        <v>0.11799999999999999</v>
      </c>
      <c r="AB679" s="8">
        <v>1.2999999999999999E-2</v>
      </c>
      <c r="AC679" s="8">
        <v>1E-3</v>
      </c>
    </row>
    <row r="680" spans="1:29" ht="11.65" hidden="1" x14ac:dyDescent="0.35">
      <c r="A680" s="12">
        <v>663</v>
      </c>
      <c r="B680" s="10" t="s">
        <v>1015</v>
      </c>
      <c r="C680" s="11" t="s">
        <v>606</v>
      </c>
      <c r="D680" s="9"/>
      <c r="E680" s="9">
        <v>894</v>
      </c>
      <c r="F680" s="10" t="s">
        <v>1066</v>
      </c>
      <c r="G680" s="9">
        <v>910</v>
      </c>
      <c r="H680" s="9">
        <v>1960</v>
      </c>
      <c r="I680" s="8">
        <v>290.63099999999997</v>
      </c>
      <c r="J680" s="8">
        <v>223.55600000000001</v>
      </c>
      <c r="K680" s="8">
        <v>183.78299999999999</v>
      </c>
      <c r="L680" s="8">
        <v>154.404</v>
      </c>
      <c r="M680" s="8">
        <v>131.41200000000001</v>
      </c>
      <c r="N680" s="8">
        <v>112.755</v>
      </c>
      <c r="O680" s="8">
        <v>95.311000000000007</v>
      </c>
      <c r="P680" s="8">
        <v>81.063999999999993</v>
      </c>
      <c r="Q680" s="8">
        <v>66.039000000000001</v>
      </c>
      <c r="R680" s="8">
        <v>54.743000000000002</v>
      </c>
      <c r="S680" s="8">
        <v>44.543999999999997</v>
      </c>
      <c r="T680" s="8">
        <v>36.183</v>
      </c>
      <c r="U680" s="8">
        <v>26.981000000000002</v>
      </c>
      <c r="V680" s="8">
        <v>17.936</v>
      </c>
      <c r="W680" s="8">
        <v>12.223000000000001</v>
      </c>
      <c r="X680" s="8">
        <v>7.2809999999999997</v>
      </c>
      <c r="Y680" s="8">
        <v>3.1520000000000001</v>
      </c>
      <c r="Z680" s="8">
        <v>0.89400000000000002</v>
      </c>
      <c r="AA680" s="8">
        <v>0.104</v>
      </c>
      <c r="AB680" s="8">
        <v>8.9999999999999993E-3</v>
      </c>
      <c r="AC680" s="8">
        <v>1E-3</v>
      </c>
    </row>
    <row r="681" spans="1:29" ht="11.65" hidden="1" x14ac:dyDescent="0.35">
      <c r="A681" s="12">
        <v>664</v>
      </c>
      <c r="B681" s="10" t="s">
        <v>1015</v>
      </c>
      <c r="C681" s="11" t="s">
        <v>606</v>
      </c>
      <c r="D681" s="9"/>
      <c r="E681" s="9">
        <v>894</v>
      </c>
      <c r="F681" s="10" t="s">
        <v>1066</v>
      </c>
      <c r="G681" s="9">
        <v>910</v>
      </c>
      <c r="H681" s="9">
        <v>1965</v>
      </c>
      <c r="I681" s="8">
        <v>348.95</v>
      </c>
      <c r="J681" s="8">
        <v>270.82100000000003</v>
      </c>
      <c r="K681" s="8">
        <v>217.49</v>
      </c>
      <c r="L681" s="8">
        <v>178.33199999999999</v>
      </c>
      <c r="M681" s="8">
        <v>147.43799999999999</v>
      </c>
      <c r="N681" s="8">
        <v>124.88200000000001</v>
      </c>
      <c r="O681" s="8">
        <v>107.286</v>
      </c>
      <c r="P681" s="8">
        <v>90.367000000000004</v>
      </c>
      <c r="Q681" s="8">
        <v>76.414000000000001</v>
      </c>
      <c r="R681" s="8">
        <v>61.935000000000002</v>
      </c>
      <c r="S681" s="8">
        <v>50.884</v>
      </c>
      <c r="T681" s="8">
        <v>40.700000000000003</v>
      </c>
      <c r="U681" s="8">
        <v>32.055999999999997</v>
      </c>
      <c r="V681" s="8">
        <v>22.561</v>
      </c>
      <c r="W681" s="8">
        <v>13.586</v>
      </c>
      <c r="X681" s="8">
        <v>7.89</v>
      </c>
      <c r="Y681" s="8">
        <v>3.5920000000000001</v>
      </c>
      <c r="Z681" s="8">
        <v>0.99399999999999999</v>
      </c>
      <c r="AA681" s="8">
        <v>0.14199999999999999</v>
      </c>
      <c r="AB681" s="8">
        <v>6.0000000000000001E-3</v>
      </c>
      <c r="AC681" s="8">
        <v>0</v>
      </c>
    </row>
    <row r="682" spans="1:29" ht="11.65" hidden="1" x14ac:dyDescent="0.35">
      <c r="A682" s="12">
        <v>665</v>
      </c>
      <c r="B682" s="10" t="s">
        <v>1015</v>
      </c>
      <c r="C682" s="11" t="s">
        <v>606</v>
      </c>
      <c r="D682" s="9"/>
      <c r="E682" s="9">
        <v>894</v>
      </c>
      <c r="F682" s="10" t="s">
        <v>1066</v>
      </c>
      <c r="G682" s="9">
        <v>910</v>
      </c>
      <c r="H682" s="9">
        <v>1970</v>
      </c>
      <c r="I682" s="8">
        <v>404.48899999999998</v>
      </c>
      <c r="J682" s="8">
        <v>327.27499999999998</v>
      </c>
      <c r="K682" s="8">
        <v>264.30799999999999</v>
      </c>
      <c r="L682" s="8">
        <v>212.35</v>
      </c>
      <c r="M682" s="8">
        <v>172.27799999999999</v>
      </c>
      <c r="N682" s="8">
        <v>141.69300000000001</v>
      </c>
      <c r="O682" s="8">
        <v>119.825</v>
      </c>
      <c r="P682" s="8">
        <v>102.524</v>
      </c>
      <c r="Q682" s="8">
        <v>85.846000000000004</v>
      </c>
      <c r="R682" s="8">
        <v>72.221999999999994</v>
      </c>
      <c r="S682" s="8">
        <v>57.988999999999997</v>
      </c>
      <c r="T682" s="8">
        <v>46.826999999999998</v>
      </c>
      <c r="U682" s="8">
        <v>36.323999999999998</v>
      </c>
      <c r="V682" s="8">
        <v>27.023</v>
      </c>
      <c r="W682" s="8">
        <v>17.25</v>
      </c>
      <c r="X682" s="8">
        <v>8.8520000000000003</v>
      </c>
      <c r="Y682" s="8">
        <v>3.9260000000000002</v>
      </c>
      <c r="Z682" s="8">
        <v>1.1379999999999999</v>
      </c>
      <c r="AA682" s="8">
        <v>0.156</v>
      </c>
      <c r="AB682" s="8">
        <v>8.9999999999999993E-3</v>
      </c>
      <c r="AC682" s="8">
        <v>0</v>
      </c>
    </row>
    <row r="683" spans="1:29" ht="11.65" hidden="1" x14ac:dyDescent="0.35">
      <c r="A683" s="12">
        <v>666</v>
      </c>
      <c r="B683" s="10" t="s">
        <v>1015</v>
      </c>
      <c r="C683" s="11" t="s">
        <v>606</v>
      </c>
      <c r="D683" s="9"/>
      <c r="E683" s="9">
        <v>894</v>
      </c>
      <c r="F683" s="10" t="s">
        <v>1066</v>
      </c>
      <c r="G683" s="9">
        <v>910</v>
      </c>
      <c r="H683" s="9">
        <v>1975</v>
      </c>
      <c r="I683" s="8">
        <v>486.06799999999998</v>
      </c>
      <c r="J683" s="8">
        <v>382.87900000000002</v>
      </c>
      <c r="K683" s="8">
        <v>320.59199999999998</v>
      </c>
      <c r="L683" s="8">
        <v>259.048</v>
      </c>
      <c r="M683" s="8">
        <v>206.25299999999999</v>
      </c>
      <c r="N683" s="8">
        <v>166.48099999999999</v>
      </c>
      <c r="O683" s="8">
        <v>136.62700000000001</v>
      </c>
      <c r="P683" s="8">
        <v>115.068</v>
      </c>
      <c r="Q683" s="8">
        <v>97.893000000000001</v>
      </c>
      <c r="R683" s="8">
        <v>81.537999999999997</v>
      </c>
      <c r="S683" s="8">
        <v>67.972999999999999</v>
      </c>
      <c r="T683" s="8">
        <v>53.664000000000001</v>
      </c>
      <c r="U683" s="8">
        <v>42.069000000000003</v>
      </c>
      <c r="V683" s="8">
        <v>30.864999999999998</v>
      </c>
      <c r="W683" s="8">
        <v>20.863</v>
      </c>
      <c r="X683" s="8">
        <v>11.363</v>
      </c>
      <c r="Y683" s="8">
        <v>4.4470000000000001</v>
      </c>
      <c r="Z683" s="8">
        <v>1.248</v>
      </c>
      <c r="AA683" s="8">
        <v>0.17599999999999999</v>
      </c>
      <c r="AB683" s="8">
        <v>8.9999999999999993E-3</v>
      </c>
      <c r="AC683" s="8">
        <v>0</v>
      </c>
    </row>
    <row r="684" spans="1:29" ht="11.65" hidden="1" x14ac:dyDescent="0.35">
      <c r="A684" s="12">
        <v>667</v>
      </c>
      <c r="B684" s="10" t="s">
        <v>1015</v>
      </c>
      <c r="C684" s="11" t="s">
        <v>606</v>
      </c>
      <c r="D684" s="9"/>
      <c r="E684" s="9">
        <v>894</v>
      </c>
      <c r="F684" s="10" t="s">
        <v>1066</v>
      </c>
      <c r="G684" s="9">
        <v>910</v>
      </c>
      <c r="H684" s="9">
        <v>1980</v>
      </c>
      <c r="I684" s="8">
        <v>570.95399999999995</v>
      </c>
      <c r="J684" s="8">
        <v>462.82600000000002</v>
      </c>
      <c r="K684" s="8">
        <v>375.81</v>
      </c>
      <c r="L684" s="8">
        <v>314.64800000000002</v>
      </c>
      <c r="M684" s="8">
        <v>251.94499999999999</v>
      </c>
      <c r="N684" s="8">
        <v>199.56800000000001</v>
      </c>
      <c r="O684" s="8">
        <v>160.75399999999999</v>
      </c>
      <c r="P684" s="8">
        <v>131.39599999999999</v>
      </c>
      <c r="Q684" s="8">
        <v>110.033</v>
      </c>
      <c r="R684" s="8">
        <v>93.128</v>
      </c>
      <c r="S684" s="8">
        <v>76.870999999999995</v>
      </c>
      <c r="T684" s="8">
        <v>63.048999999999999</v>
      </c>
      <c r="U684" s="8">
        <v>48.354999999999997</v>
      </c>
      <c r="V684" s="8">
        <v>35.896000000000001</v>
      </c>
      <c r="W684" s="8">
        <v>23.957000000000001</v>
      </c>
      <c r="X684" s="8">
        <v>13.833</v>
      </c>
      <c r="Y684" s="8">
        <v>5.7460000000000004</v>
      </c>
      <c r="Z684" s="8">
        <v>1.4159999999999999</v>
      </c>
      <c r="AA684" s="8">
        <v>0.19</v>
      </c>
      <c r="AB684" s="8">
        <v>0.01</v>
      </c>
      <c r="AC684" s="8">
        <v>0</v>
      </c>
    </row>
    <row r="685" spans="1:29" ht="11.65" hidden="1" x14ac:dyDescent="0.35">
      <c r="A685" s="12">
        <v>668</v>
      </c>
      <c r="B685" s="10" t="s">
        <v>1015</v>
      </c>
      <c r="C685" s="11" t="s">
        <v>606</v>
      </c>
      <c r="D685" s="9"/>
      <c r="E685" s="9">
        <v>894</v>
      </c>
      <c r="F685" s="10" t="s">
        <v>1066</v>
      </c>
      <c r="G685" s="9">
        <v>910</v>
      </c>
      <c r="H685" s="9">
        <v>1985</v>
      </c>
      <c r="I685" s="8">
        <v>651.24699999999996</v>
      </c>
      <c r="J685" s="8">
        <v>543.404</v>
      </c>
      <c r="K685" s="8">
        <v>454.77199999999999</v>
      </c>
      <c r="L685" s="8">
        <v>370.803</v>
      </c>
      <c r="M685" s="8">
        <v>309.75099999999998</v>
      </c>
      <c r="N685" s="8">
        <v>246.87299999999999</v>
      </c>
      <c r="O685" s="8">
        <v>194.495</v>
      </c>
      <c r="P685" s="8">
        <v>155.88200000000001</v>
      </c>
      <c r="Q685" s="8">
        <v>126.68600000000001</v>
      </c>
      <c r="R685" s="8">
        <v>105.515</v>
      </c>
      <c r="S685" s="8">
        <v>88.462000000000003</v>
      </c>
      <c r="T685" s="8">
        <v>71.81</v>
      </c>
      <c r="U685" s="8">
        <v>57.207999999999998</v>
      </c>
      <c r="V685" s="8">
        <v>41.558999999999997</v>
      </c>
      <c r="W685" s="8">
        <v>28.093</v>
      </c>
      <c r="X685" s="8">
        <v>16.05</v>
      </c>
      <c r="Y685" s="8">
        <v>7.101</v>
      </c>
      <c r="Z685" s="8">
        <v>1.873</v>
      </c>
      <c r="AA685" s="8">
        <v>0.224</v>
      </c>
      <c r="AB685" s="8">
        <v>1.2E-2</v>
      </c>
      <c r="AC685" s="8">
        <v>0</v>
      </c>
    </row>
    <row r="686" spans="1:29" ht="11.65" hidden="1" x14ac:dyDescent="0.35">
      <c r="A686" s="12">
        <v>669</v>
      </c>
      <c r="B686" s="10" t="s">
        <v>1015</v>
      </c>
      <c r="C686" s="11" t="s">
        <v>606</v>
      </c>
      <c r="D686" s="9"/>
      <c r="E686" s="9">
        <v>894</v>
      </c>
      <c r="F686" s="10" t="s">
        <v>1066</v>
      </c>
      <c r="G686" s="9">
        <v>910</v>
      </c>
      <c r="H686" s="9">
        <v>1990</v>
      </c>
      <c r="I686" s="8">
        <v>736.71199999999999</v>
      </c>
      <c r="J686" s="8">
        <v>615.17200000000003</v>
      </c>
      <c r="K686" s="8">
        <v>533.03</v>
      </c>
      <c r="L686" s="8">
        <v>444.596</v>
      </c>
      <c r="M686" s="8">
        <v>357.279</v>
      </c>
      <c r="N686" s="8">
        <v>297.03300000000002</v>
      </c>
      <c r="O686" s="8">
        <v>236.773</v>
      </c>
      <c r="P686" s="8">
        <v>185.83199999999999</v>
      </c>
      <c r="Q686" s="8">
        <v>148.07400000000001</v>
      </c>
      <c r="R686" s="8">
        <v>119.783</v>
      </c>
      <c r="S686" s="8">
        <v>99.001000000000005</v>
      </c>
      <c r="T686" s="8">
        <v>81.813000000000002</v>
      </c>
      <c r="U686" s="8">
        <v>64.662000000000006</v>
      </c>
      <c r="V686" s="8">
        <v>48.951000000000001</v>
      </c>
      <c r="W686" s="8">
        <v>32.508000000000003</v>
      </c>
      <c r="X686" s="8">
        <v>18.914999999999999</v>
      </c>
      <c r="Y686" s="8">
        <v>8.3320000000000007</v>
      </c>
      <c r="Z686" s="8">
        <v>2.359</v>
      </c>
      <c r="AA686" s="8">
        <v>0.30499999999999999</v>
      </c>
      <c r="AB686" s="8">
        <v>1.4999999999999999E-2</v>
      </c>
      <c r="AC686" s="8">
        <v>1E-3</v>
      </c>
    </row>
    <row r="687" spans="1:29" ht="11.65" hidden="1" x14ac:dyDescent="0.35">
      <c r="A687" s="12">
        <v>670</v>
      </c>
      <c r="B687" s="10" t="s">
        <v>1015</v>
      </c>
      <c r="C687" s="11" t="s">
        <v>606</v>
      </c>
      <c r="D687" s="9"/>
      <c r="E687" s="9">
        <v>894</v>
      </c>
      <c r="F687" s="10" t="s">
        <v>1066</v>
      </c>
      <c r="G687" s="9">
        <v>910</v>
      </c>
      <c r="H687" s="9">
        <v>1995</v>
      </c>
      <c r="I687" s="8">
        <v>823.33199999999999</v>
      </c>
      <c r="J687" s="8">
        <v>693.22799999999995</v>
      </c>
      <c r="K687" s="8">
        <v>602.62900000000002</v>
      </c>
      <c r="L687" s="8">
        <v>517.59900000000005</v>
      </c>
      <c r="M687" s="8">
        <v>421.02600000000001</v>
      </c>
      <c r="N687" s="8">
        <v>333.12799999999999</v>
      </c>
      <c r="O687" s="8">
        <v>274.97300000000001</v>
      </c>
      <c r="P687" s="8">
        <v>216.3</v>
      </c>
      <c r="Q687" s="8">
        <v>168.13</v>
      </c>
      <c r="R687" s="8">
        <v>133.78800000000001</v>
      </c>
      <c r="S687" s="8">
        <v>107.77500000000001</v>
      </c>
      <c r="T687" s="8">
        <v>88.224999999999994</v>
      </c>
      <c r="U687" s="8">
        <v>71.335999999999999</v>
      </c>
      <c r="V687" s="8">
        <v>53.96</v>
      </c>
      <c r="W687" s="8">
        <v>37.737000000000002</v>
      </c>
      <c r="X687" s="8">
        <v>21.925999999999998</v>
      </c>
      <c r="Y687" s="8">
        <v>10.074</v>
      </c>
      <c r="Z687" s="8">
        <v>2.9260000000000002</v>
      </c>
      <c r="AA687" s="8">
        <v>0.443</v>
      </c>
      <c r="AB687" s="8">
        <v>0.03</v>
      </c>
      <c r="AC687" s="8">
        <v>1E-3</v>
      </c>
    </row>
    <row r="688" spans="1:29" ht="11.65" hidden="1" x14ac:dyDescent="0.35">
      <c r="A688" s="12">
        <v>671</v>
      </c>
      <c r="B688" s="10" t="s">
        <v>1015</v>
      </c>
      <c r="C688" s="11" t="s">
        <v>606</v>
      </c>
      <c r="D688" s="9"/>
      <c r="E688" s="9">
        <v>894</v>
      </c>
      <c r="F688" s="10" t="s">
        <v>1066</v>
      </c>
      <c r="G688" s="9">
        <v>910</v>
      </c>
      <c r="H688" s="9">
        <v>2000</v>
      </c>
      <c r="I688" s="8">
        <v>946.91800000000001</v>
      </c>
      <c r="J688" s="8">
        <v>781.80399999999997</v>
      </c>
      <c r="K688" s="8">
        <v>682.72199999999998</v>
      </c>
      <c r="L688" s="8">
        <v>595.00300000000004</v>
      </c>
      <c r="M688" s="8">
        <v>506.92200000000003</v>
      </c>
      <c r="N688" s="8">
        <v>402.48</v>
      </c>
      <c r="O688" s="8">
        <v>308.23</v>
      </c>
      <c r="P688" s="8">
        <v>246.958</v>
      </c>
      <c r="Q688" s="8">
        <v>192.017</v>
      </c>
      <c r="R688" s="8">
        <v>150.06200000000001</v>
      </c>
      <c r="S688" s="8">
        <v>119.49</v>
      </c>
      <c r="T688" s="8">
        <v>95.83</v>
      </c>
      <c r="U688" s="8">
        <v>77.091999999999999</v>
      </c>
      <c r="V688" s="8">
        <v>60.112000000000002</v>
      </c>
      <c r="W688" s="8">
        <v>42.481999999999999</v>
      </c>
      <c r="X688" s="8">
        <v>26.501000000000001</v>
      </c>
      <c r="Y688" s="8">
        <v>12.545</v>
      </c>
      <c r="Z688" s="8">
        <v>3.988</v>
      </c>
      <c r="AA688" s="8">
        <v>0.68600000000000005</v>
      </c>
      <c r="AB688" s="8">
        <v>6.3E-2</v>
      </c>
      <c r="AC688" s="8">
        <v>3.0000000000000001E-3</v>
      </c>
    </row>
    <row r="689" spans="1:29" ht="11.65" hidden="1" x14ac:dyDescent="0.35">
      <c r="A689" s="12">
        <v>672</v>
      </c>
      <c r="B689" s="10" t="s">
        <v>1015</v>
      </c>
      <c r="C689" s="11" t="s">
        <v>606</v>
      </c>
      <c r="D689" s="9"/>
      <c r="E689" s="9">
        <v>894</v>
      </c>
      <c r="F689" s="10" t="s">
        <v>1066</v>
      </c>
      <c r="G689" s="9">
        <v>910</v>
      </c>
      <c r="H689" s="9">
        <v>2005</v>
      </c>
      <c r="I689" s="8">
        <v>1101.2329999999999</v>
      </c>
      <c r="J689" s="8">
        <v>908.67499999999995</v>
      </c>
      <c r="K689" s="8">
        <v>770.12599999999998</v>
      </c>
      <c r="L689" s="8">
        <v>667.15</v>
      </c>
      <c r="M689" s="8">
        <v>568.70799999999997</v>
      </c>
      <c r="N689" s="8">
        <v>473.78</v>
      </c>
      <c r="O689" s="8">
        <v>367.02600000000001</v>
      </c>
      <c r="P689" s="8">
        <v>273.21600000000001</v>
      </c>
      <c r="Q689" s="8">
        <v>216.09899999999999</v>
      </c>
      <c r="R689" s="8">
        <v>168.684</v>
      </c>
      <c r="S689" s="8">
        <v>131.90799999999999</v>
      </c>
      <c r="T689" s="8">
        <v>104.73699999999999</v>
      </c>
      <c r="U689" s="8">
        <v>82.74</v>
      </c>
      <c r="V689" s="8">
        <v>64.313000000000002</v>
      </c>
      <c r="W689" s="8">
        <v>46.875</v>
      </c>
      <c r="X689" s="8">
        <v>29.484000000000002</v>
      </c>
      <c r="Y689" s="8">
        <v>14.856999999999999</v>
      </c>
      <c r="Z689" s="8">
        <v>4.7619999999999996</v>
      </c>
      <c r="AA689" s="8">
        <v>0.85599999999999998</v>
      </c>
      <c r="AB689" s="8">
        <v>8.4000000000000005E-2</v>
      </c>
      <c r="AC689" s="8">
        <v>6.0000000000000001E-3</v>
      </c>
    </row>
    <row r="690" spans="1:29" ht="11.65" hidden="1" x14ac:dyDescent="0.35">
      <c r="A690" s="12">
        <v>673</v>
      </c>
      <c r="B690" s="10" t="s">
        <v>1015</v>
      </c>
      <c r="C690" s="11" t="s">
        <v>606</v>
      </c>
      <c r="D690" s="9"/>
      <c r="E690" s="9">
        <v>894</v>
      </c>
      <c r="F690" s="10" t="s">
        <v>1066</v>
      </c>
      <c r="G690" s="9">
        <v>910</v>
      </c>
      <c r="H690" s="9">
        <v>2010</v>
      </c>
      <c r="I690" s="8">
        <v>1230.3520000000001</v>
      </c>
      <c r="J690" s="8">
        <v>1072.4259999999999</v>
      </c>
      <c r="K690" s="8">
        <v>898.25300000000004</v>
      </c>
      <c r="L690" s="8">
        <v>754.50300000000004</v>
      </c>
      <c r="M690" s="8">
        <v>640.25099999999998</v>
      </c>
      <c r="N690" s="8">
        <v>537.38300000000004</v>
      </c>
      <c r="O690" s="8">
        <v>441.79599999999999</v>
      </c>
      <c r="P690" s="8">
        <v>335.88</v>
      </c>
      <c r="Q690" s="8">
        <v>246.77099999999999</v>
      </c>
      <c r="R690" s="8">
        <v>194.74600000000001</v>
      </c>
      <c r="S690" s="8">
        <v>151.29300000000001</v>
      </c>
      <c r="T690" s="8">
        <v>117.40300000000001</v>
      </c>
      <c r="U690" s="8">
        <v>91.567999999999998</v>
      </c>
      <c r="V690" s="8">
        <v>69.623999999999995</v>
      </c>
      <c r="W690" s="8">
        <v>50.335999999999999</v>
      </c>
      <c r="X690" s="8">
        <v>32.383000000000003</v>
      </c>
      <c r="Y690" s="8">
        <v>16.183</v>
      </c>
      <c r="Z690" s="8">
        <v>5.3470000000000004</v>
      </c>
      <c r="AA690" s="8">
        <v>0.89200000000000002</v>
      </c>
      <c r="AB690" s="8">
        <v>7.8E-2</v>
      </c>
      <c r="AC690" s="8">
        <v>6.0000000000000001E-3</v>
      </c>
    </row>
    <row r="691" spans="1:29" ht="11.65" hidden="1" x14ac:dyDescent="0.35">
      <c r="A691" s="12">
        <v>674</v>
      </c>
      <c r="B691" s="10" t="s">
        <v>1015</v>
      </c>
      <c r="C691" s="11" t="s">
        <v>606</v>
      </c>
      <c r="D691" s="9"/>
      <c r="E691" s="9">
        <v>894</v>
      </c>
      <c r="F691" s="10" t="s">
        <v>1066</v>
      </c>
      <c r="G691" s="9">
        <v>910</v>
      </c>
      <c r="H691" s="9">
        <v>2015</v>
      </c>
      <c r="I691" s="8">
        <v>1361.9939999999999</v>
      </c>
      <c r="J691" s="8">
        <v>1211.079</v>
      </c>
      <c r="K691" s="8">
        <v>1065.788</v>
      </c>
      <c r="L691" s="8">
        <v>890.49699999999996</v>
      </c>
      <c r="M691" s="8">
        <v>742.00099999999998</v>
      </c>
      <c r="N691" s="8">
        <v>624.505</v>
      </c>
      <c r="O691" s="8">
        <v>520.21799999999996</v>
      </c>
      <c r="P691" s="8">
        <v>423.863</v>
      </c>
      <c r="Q691" s="8">
        <v>319.55099999999999</v>
      </c>
      <c r="R691" s="8">
        <v>233.41200000000001</v>
      </c>
      <c r="S691" s="8">
        <v>182.73400000000001</v>
      </c>
      <c r="T691" s="8">
        <v>140.369</v>
      </c>
      <c r="U691" s="8">
        <v>106.825</v>
      </c>
      <c r="V691" s="8">
        <v>80.158000000000001</v>
      </c>
      <c r="W691" s="8">
        <v>56.792000000000002</v>
      </c>
      <c r="X691" s="8">
        <v>36.366999999999997</v>
      </c>
      <c r="Y691" s="8">
        <v>18.72</v>
      </c>
      <c r="Z691" s="8">
        <v>6.2050000000000001</v>
      </c>
      <c r="AA691" s="8">
        <v>1.0429999999999999</v>
      </c>
      <c r="AB691" s="8">
        <v>7.3999999999999996E-2</v>
      </c>
      <c r="AC691" s="8">
        <v>4.0000000000000001E-3</v>
      </c>
    </row>
    <row r="692" spans="1:29" ht="11.65" hidden="1" x14ac:dyDescent="0.35">
      <c r="A692" s="12">
        <v>675</v>
      </c>
      <c r="B692" s="10" t="s">
        <v>1015</v>
      </c>
      <c r="C692" s="11" t="s">
        <v>606</v>
      </c>
      <c r="D692" s="9"/>
      <c r="E692" s="9">
        <v>894</v>
      </c>
      <c r="F692" s="10" t="s">
        <v>1066</v>
      </c>
      <c r="G692" s="9">
        <v>910</v>
      </c>
      <c r="H692" s="9">
        <v>2020</v>
      </c>
      <c r="I692" s="8">
        <v>1456.9649999999999</v>
      </c>
      <c r="J692" s="8">
        <v>1346.2070000000001</v>
      </c>
      <c r="K692" s="8">
        <v>1205.808</v>
      </c>
      <c r="L692" s="8">
        <v>1059.2560000000001</v>
      </c>
      <c r="M692" s="8">
        <v>880.14400000000001</v>
      </c>
      <c r="N692" s="8">
        <v>729.75199999999995</v>
      </c>
      <c r="O692" s="8">
        <v>611.82799999999997</v>
      </c>
      <c r="P692" s="8">
        <v>507.13200000000001</v>
      </c>
      <c r="Q692" s="8">
        <v>410.78800000000001</v>
      </c>
      <c r="R692" s="8">
        <v>307.99200000000002</v>
      </c>
      <c r="S692" s="8">
        <v>223.19900000000001</v>
      </c>
      <c r="T692" s="8">
        <v>172.863</v>
      </c>
      <c r="U692" s="8">
        <v>130.471</v>
      </c>
      <c r="V692" s="8">
        <v>95.899000000000001</v>
      </c>
      <c r="W692" s="8">
        <v>67.563000000000002</v>
      </c>
      <c r="X692" s="8">
        <v>42.945</v>
      </c>
      <c r="Y692" s="8">
        <v>22.541</v>
      </c>
      <c r="Z692" s="8">
        <v>8.0579999999999998</v>
      </c>
      <c r="AA692" s="8">
        <v>1.4330000000000001</v>
      </c>
      <c r="AB692" s="8">
        <v>0.10199999999999999</v>
      </c>
      <c r="AC692" s="8">
        <v>4.0000000000000001E-3</v>
      </c>
    </row>
    <row r="693" spans="1:29" ht="11.65" hidden="1" x14ac:dyDescent="0.35">
      <c r="A693" s="12">
        <v>676</v>
      </c>
      <c r="B693" s="10" t="s">
        <v>1015</v>
      </c>
      <c r="C693" s="11" t="s">
        <v>607</v>
      </c>
      <c r="D693" s="9"/>
      <c r="E693" s="9">
        <v>716</v>
      </c>
      <c r="F693" s="10" t="s">
        <v>1066</v>
      </c>
      <c r="G693" s="9">
        <v>910</v>
      </c>
      <c r="H693" s="9">
        <v>1950</v>
      </c>
      <c r="I693" s="8">
        <v>217.577</v>
      </c>
      <c r="J693" s="8">
        <v>191.98</v>
      </c>
      <c r="K693" s="8">
        <v>158.101</v>
      </c>
      <c r="L693" s="8">
        <v>137.697</v>
      </c>
      <c r="M693" s="8">
        <v>122.34</v>
      </c>
      <c r="N693" s="8">
        <v>100.38</v>
      </c>
      <c r="O693" s="8">
        <v>94.106999999999999</v>
      </c>
      <c r="P693" s="8">
        <v>72.775999999999996</v>
      </c>
      <c r="Q693" s="8">
        <v>61.484000000000002</v>
      </c>
      <c r="R693" s="8">
        <v>53.954999999999998</v>
      </c>
      <c r="S693" s="8">
        <v>46.424999999999997</v>
      </c>
      <c r="T693" s="8">
        <v>38.898000000000003</v>
      </c>
      <c r="U693" s="8">
        <v>31.369</v>
      </c>
      <c r="V693" s="8">
        <v>22.585999999999999</v>
      </c>
      <c r="W693" s="8">
        <v>15.057</v>
      </c>
      <c r="X693" s="8">
        <v>8.4079999999999995</v>
      </c>
      <c r="Y693" s="8">
        <v>2.7959999999999998</v>
      </c>
      <c r="Z693" s="8">
        <v>1.0409999999999999</v>
      </c>
      <c r="AA693" s="8">
        <v>0.25800000000000001</v>
      </c>
      <c r="AB693" s="8">
        <v>3.7999999999999999E-2</v>
      </c>
      <c r="AC693" s="8">
        <v>4.0000000000000001E-3</v>
      </c>
    </row>
    <row r="694" spans="1:29" ht="11.65" hidden="1" x14ac:dyDescent="0.35">
      <c r="A694" s="12">
        <v>677</v>
      </c>
      <c r="B694" s="10" t="s">
        <v>1015</v>
      </c>
      <c r="C694" s="11" t="s">
        <v>607</v>
      </c>
      <c r="D694" s="9"/>
      <c r="E694" s="9">
        <v>716</v>
      </c>
      <c r="F694" s="10" t="s">
        <v>1066</v>
      </c>
      <c r="G694" s="9">
        <v>910</v>
      </c>
      <c r="H694" s="9">
        <v>1955</v>
      </c>
      <c r="I694" s="8">
        <v>307.36500000000001</v>
      </c>
      <c r="J694" s="8">
        <v>205.02</v>
      </c>
      <c r="K694" s="8">
        <v>187.76300000000001</v>
      </c>
      <c r="L694" s="8">
        <v>155.16399999999999</v>
      </c>
      <c r="M694" s="8">
        <v>134.37899999999999</v>
      </c>
      <c r="N694" s="8">
        <v>118.643</v>
      </c>
      <c r="O694" s="8">
        <v>96.822999999999993</v>
      </c>
      <c r="P694" s="8">
        <v>90.35</v>
      </c>
      <c r="Q694" s="8">
        <v>69.462999999999994</v>
      </c>
      <c r="R694" s="8">
        <v>58.390999999999998</v>
      </c>
      <c r="S694" s="8">
        <v>50.765999999999998</v>
      </c>
      <c r="T694" s="8">
        <v>42.933</v>
      </c>
      <c r="U694" s="8">
        <v>34.887999999999998</v>
      </c>
      <c r="V694" s="8">
        <v>26.581</v>
      </c>
      <c r="W694" s="8">
        <v>17.37</v>
      </c>
      <c r="X694" s="8">
        <v>9.875</v>
      </c>
      <c r="Y694" s="8">
        <v>4.2130000000000001</v>
      </c>
      <c r="Z694" s="8">
        <v>0.89300000000000002</v>
      </c>
      <c r="AA694" s="8">
        <v>0.16400000000000001</v>
      </c>
      <c r="AB694" s="8">
        <v>1.6E-2</v>
      </c>
      <c r="AC694" s="8">
        <v>2E-3</v>
      </c>
    </row>
    <row r="695" spans="1:29" ht="11.65" hidden="1" x14ac:dyDescent="0.35">
      <c r="A695" s="12">
        <v>678</v>
      </c>
      <c r="B695" s="10" t="s">
        <v>1015</v>
      </c>
      <c r="C695" s="11" t="s">
        <v>607</v>
      </c>
      <c r="D695" s="9"/>
      <c r="E695" s="9">
        <v>716</v>
      </c>
      <c r="F695" s="10" t="s">
        <v>1066</v>
      </c>
      <c r="G695" s="9">
        <v>910</v>
      </c>
      <c r="H695" s="9">
        <v>1960</v>
      </c>
      <c r="I695" s="8">
        <v>363.697</v>
      </c>
      <c r="J695" s="8">
        <v>292.37599999999998</v>
      </c>
      <c r="K695" s="8">
        <v>201.172</v>
      </c>
      <c r="L695" s="8">
        <v>184.66900000000001</v>
      </c>
      <c r="M695" s="8">
        <v>151.64699999999999</v>
      </c>
      <c r="N695" s="8">
        <v>130.46600000000001</v>
      </c>
      <c r="O695" s="8">
        <v>114.628</v>
      </c>
      <c r="P695" s="8">
        <v>93.114000000000004</v>
      </c>
      <c r="Q695" s="8">
        <v>86.457999999999998</v>
      </c>
      <c r="R695" s="8">
        <v>66.132999999999996</v>
      </c>
      <c r="S695" s="8">
        <v>55.091000000000001</v>
      </c>
      <c r="T695" s="8">
        <v>47.11</v>
      </c>
      <c r="U695" s="8">
        <v>38.686999999999998</v>
      </c>
      <c r="V695" s="8">
        <v>29.748000000000001</v>
      </c>
      <c r="W695" s="8">
        <v>20.603999999999999</v>
      </c>
      <c r="X695" s="8">
        <v>11.494999999999999</v>
      </c>
      <c r="Y695" s="8">
        <v>4.9859999999999998</v>
      </c>
      <c r="Z695" s="8">
        <v>1.3420000000000001</v>
      </c>
      <c r="AA695" s="8">
        <v>0.13700000000000001</v>
      </c>
      <c r="AB695" s="8">
        <v>0.01</v>
      </c>
      <c r="AC695" s="8">
        <v>1E-3</v>
      </c>
    </row>
    <row r="696" spans="1:29" ht="11.65" hidden="1" x14ac:dyDescent="0.35">
      <c r="A696" s="12">
        <v>679</v>
      </c>
      <c r="B696" s="10" t="s">
        <v>1015</v>
      </c>
      <c r="C696" s="11" t="s">
        <v>607</v>
      </c>
      <c r="D696" s="9"/>
      <c r="E696" s="9">
        <v>716</v>
      </c>
      <c r="F696" s="10" t="s">
        <v>1066</v>
      </c>
      <c r="G696" s="9">
        <v>910</v>
      </c>
      <c r="H696" s="9">
        <v>1965</v>
      </c>
      <c r="I696" s="8">
        <v>437.49099999999999</v>
      </c>
      <c r="J696" s="8">
        <v>349.12</v>
      </c>
      <c r="K696" s="8">
        <v>287.72199999999998</v>
      </c>
      <c r="L696" s="8">
        <v>198.09800000000001</v>
      </c>
      <c r="M696" s="8">
        <v>180.49700000000001</v>
      </c>
      <c r="N696" s="8">
        <v>147.05799999999999</v>
      </c>
      <c r="O696" s="8">
        <v>125.92700000000001</v>
      </c>
      <c r="P696" s="8">
        <v>110.25</v>
      </c>
      <c r="Q696" s="8">
        <v>89.129000000000005</v>
      </c>
      <c r="R696" s="8">
        <v>82.433000000000007</v>
      </c>
      <c r="S696" s="8">
        <v>62.500999999999998</v>
      </c>
      <c r="T696" s="8">
        <v>51.255000000000003</v>
      </c>
      <c r="U696" s="8">
        <v>42.624000000000002</v>
      </c>
      <c r="V696" s="8">
        <v>33.183999999999997</v>
      </c>
      <c r="W696" s="8">
        <v>23.245000000000001</v>
      </c>
      <c r="X696" s="8">
        <v>13.771000000000001</v>
      </c>
      <c r="Y696" s="8">
        <v>5.8540000000000001</v>
      </c>
      <c r="Z696" s="8">
        <v>1.593</v>
      </c>
      <c r="AA696" s="8">
        <v>0.20200000000000001</v>
      </c>
      <c r="AB696" s="8">
        <v>8.0000000000000002E-3</v>
      </c>
      <c r="AC696" s="8">
        <v>0</v>
      </c>
    </row>
    <row r="697" spans="1:29" ht="11.65" hidden="1" x14ac:dyDescent="0.35">
      <c r="A697" s="12">
        <v>680</v>
      </c>
      <c r="B697" s="10" t="s">
        <v>1015</v>
      </c>
      <c r="C697" s="11" t="s">
        <v>607</v>
      </c>
      <c r="D697" s="9"/>
      <c r="E697" s="9">
        <v>716</v>
      </c>
      <c r="F697" s="10" t="s">
        <v>1066</v>
      </c>
      <c r="G697" s="9">
        <v>910</v>
      </c>
      <c r="H697" s="9">
        <v>1970</v>
      </c>
      <c r="I697" s="8">
        <v>517.52499999999998</v>
      </c>
      <c r="J697" s="8">
        <v>422.70400000000001</v>
      </c>
      <c r="K697" s="8">
        <v>344.11700000000002</v>
      </c>
      <c r="L697" s="8">
        <v>283.22800000000001</v>
      </c>
      <c r="M697" s="8">
        <v>192.26300000000001</v>
      </c>
      <c r="N697" s="8">
        <v>173.434</v>
      </c>
      <c r="O697" s="8">
        <v>140.56800000000001</v>
      </c>
      <c r="P697" s="8">
        <v>120.199</v>
      </c>
      <c r="Q697" s="8">
        <v>105.04600000000001</v>
      </c>
      <c r="R697" s="8">
        <v>84.667000000000002</v>
      </c>
      <c r="S697" s="8">
        <v>77.823999999999998</v>
      </c>
      <c r="T697" s="8">
        <v>58.143999999999998</v>
      </c>
      <c r="U697" s="8">
        <v>46.451000000000001</v>
      </c>
      <c r="V697" s="8">
        <v>36.706000000000003</v>
      </c>
      <c r="W697" s="8">
        <v>26.094000000000001</v>
      </c>
      <c r="X697" s="8">
        <v>15.664999999999999</v>
      </c>
      <c r="Y697" s="8">
        <v>7.0679999999999996</v>
      </c>
      <c r="Z697" s="8">
        <v>1.879</v>
      </c>
      <c r="AA697" s="8">
        <v>0.23699999999999999</v>
      </c>
      <c r="AB697" s="8">
        <v>0.01</v>
      </c>
      <c r="AC697" s="8">
        <v>0</v>
      </c>
    </row>
    <row r="698" spans="1:29" ht="11.65" hidden="1" x14ac:dyDescent="0.35">
      <c r="A698" s="12">
        <v>681</v>
      </c>
      <c r="B698" s="10" t="s">
        <v>1015</v>
      </c>
      <c r="C698" s="11" t="s">
        <v>607</v>
      </c>
      <c r="D698" s="9"/>
      <c r="E698" s="9">
        <v>716</v>
      </c>
      <c r="F698" s="10" t="s">
        <v>1066</v>
      </c>
      <c r="G698" s="9">
        <v>910</v>
      </c>
      <c r="H698" s="9">
        <v>1975</v>
      </c>
      <c r="I698" s="8">
        <v>620.23900000000003</v>
      </c>
      <c r="J698" s="8">
        <v>501.65499999999997</v>
      </c>
      <c r="K698" s="8">
        <v>417.17899999999997</v>
      </c>
      <c r="L698" s="8">
        <v>339.19600000000003</v>
      </c>
      <c r="M698" s="8">
        <v>276.17899999999997</v>
      </c>
      <c r="N698" s="8">
        <v>184.97200000000001</v>
      </c>
      <c r="O698" s="8">
        <v>166.39099999999999</v>
      </c>
      <c r="P698" s="8">
        <v>134.57</v>
      </c>
      <c r="Q698" s="8">
        <v>114.84699999999999</v>
      </c>
      <c r="R698" s="8">
        <v>100.151</v>
      </c>
      <c r="S698" s="8">
        <v>80.150999999999996</v>
      </c>
      <c r="T698" s="8">
        <v>72.709999999999994</v>
      </c>
      <c r="U698" s="8">
        <v>52.936</v>
      </c>
      <c r="V698" s="8">
        <v>40.232999999999997</v>
      </c>
      <c r="W698" s="8">
        <v>29.082999999999998</v>
      </c>
      <c r="X698" s="8">
        <v>17.763000000000002</v>
      </c>
      <c r="Y698" s="8">
        <v>8.1460000000000008</v>
      </c>
      <c r="Z698" s="8">
        <v>2.302</v>
      </c>
      <c r="AA698" s="8">
        <v>0.28199999999999997</v>
      </c>
      <c r="AB698" s="8">
        <v>1.4999999999999999E-2</v>
      </c>
      <c r="AC698" s="8">
        <v>0</v>
      </c>
    </row>
    <row r="699" spans="1:29" ht="11.65" hidden="1" x14ac:dyDescent="0.35">
      <c r="A699" s="12">
        <v>682</v>
      </c>
      <c r="B699" s="10" t="s">
        <v>1015</v>
      </c>
      <c r="C699" s="11" t="s">
        <v>607</v>
      </c>
      <c r="D699" s="9"/>
      <c r="E699" s="9">
        <v>716</v>
      </c>
      <c r="F699" s="10" t="s">
        <v>1066</v>
      </c>
      <c r="G699" s="9">
        <v>910</v>
      </c>
      <c r="H699" s="9">
        <v>1980</v>
      </c>
      <c r="I699" s="8">
        <v>735.38</v>
      </c>
      <c r="J699" s="8">
        <v>600.13300000000004</v>
      </c>
      <c r="K699" s="8">
        <v>494.48200000000003</v>
      </c>
      <c r="L699" s="8">
        <v>408.68900000000002</v>
      </c>
      <c r="M699" s="8">
        <v>324.58199999999999</v>
      </c>
      <c r="N699" s="8">
        <v>259.09800000000001</v>
      </c>
      <c r="O699" s="8">
        <v>170.887</v>
      </c>
      <c r="P699" s="8">
        <v>155.108</v>
      </c>
      <c r="Q699" s="8">
        <v>125.86799999999999</v>
      </c>
      <c r="R699" s="8">
        <v>107.854</v>
      </c>
      <c r="S699" s="8">
        <v>93.944999999999993</v>
      </c>
      <c r="T699" s="8">
        <v>74.391999999999996</v>
      </c>
      <c r="U699" s="8">
        <v>66.094999999999999</v>
      </c>
      <c r="V699" s="8">
        <v>45.872</v>
      </c>
      <c r="W699" s="8">
        <v>31.995000000000001</v>
      </c>
      <c r="X699" s="8">
        <v>19.948</v>
      </c>
      <c r="Y699" s="8">
        <v>9.327</v>
      </c>
      <c r="Z699" s="8">
        <v>2.7069999999999999</v>
      </c>
      <c r="AA699" s="8">
        <v>0.35899999999999999</v>
      </c>
      <c r="AB699" s="8">
        <v>1.6E-2</v>
      </c>
      <c r="AC699" s="8">
        <v>0</v>
      </c>
    </row>
    <row r="700" spans="1:29" ht="11.65" hidden="1" x14ac:dyDescent="0.35">
      <c r="A700" s="12">
        <v>683</v>
      </c>
      <c r="B700" s="10" t="s">
        <v>1015</v>
      </c>
      <c r="C700" s="11" t="s">
        <v>607</v>
      </c>
      <c r="D700" s="9"/>
      <c r="E700" s="9">
        <v>716</v>
      </c>
      <c r="F700" s="10" t="s">
        <v>1066</v>
      </c>
      <c r="G700" s="9">
        <v>910</v>
      </c>
      <c r="H700" s="9">
        <v>1985</v>
      </c>
      <c r="I700" s="8">
        <v>794.69600000000003</v>
      </c>
      <c r="J700" s="8">
        <v>720.99699999999996</v>
      </c>
      <c r="K700" s="8">
        <v>595.85599999999999</v>
      </c>
      <c r="L700" s="8">
        <v>493.78699999999998</v>
      </c>
      <c r="M700" s="8">
        <v>411.68</v>
      </c>
      <c r="N700" s="8">
        <v>328.99799999999999</v>
      </c>
      <c r="O700" s="8">
        <v>262.065</v>
      </c>
      <c r="P700" s="8">
        <v>172.56</v>
      </c>
      <c r="Q700" s="8">
        <v>154.59</v>
      </c>
      <c r="R700" s="8">
        <v>124.268</v>
      </c>
      <c r="S700" s="8">
        <v>105.154</v>
      </c>
      <c r="T700" s="8">
        <v>90.043999999999997</v>
      </c>
      <c r="U700" s="8">
        <v>69.516000000000005</v>
      </c>
      <c r="V700" s="8">
        <v>58.886000000000003</v>
      </c>
      <c r="W700" s="8">
        <v>37.646999999999998</v>
      </c>
      <c r="X700" s="8">
        <v>22.803000000000001</v>
      </c>
      <c r="Y700" s="8">
        <v>11.074999999999999</v>
      </c>
      <c r="Z700" s="8">
        <v>3.298</v>
      </c>
      <c r="AA700" s="8">
        <v>0.44400000000000001</v>
      </c>
      <c r="AB700" s="8">
        <v>2.1000000000000001E-2</v>
      </c>
      <c r="AC700" s="8">
        <v>1E-3</v>
      </c>
    </row>
    <row r="701" spans="1:29" ht="11.65" hidden="1" x14ac:dyDescent="0.35">
      <c r="A701" s="12">
        <v>684</v>
      </c>
      <c r="B701" s="10" t="s">
        <v>1015</v>
      </c>
      <c r="C701" s="11" t="s">
        <v>607</v>
      </c>
      <c r="D701" s="9"/>
      <c r="E701" s="9">
        <v>716</v>
      </c>
      <c r="F701" s="10" t="s">
        <v>1066</v>
      </c>
      <c r="G701" s="9">
        <v>910</v>
      </c>
      <c r="H701" s="9">
        <v>1990</v>
      </c>
      <c r="I701" s="8">
        <v>868.471</v>
      </c>
      <c r="J701" s="8">
        <v>783.21</v>
      </c>
      <c r="K701" s="8">
        <v>717.072</v>
      </c>
      <c r="L701" s="8">
        <v>594.86800000000005</v>
      </c>
      <c r="M701" s="8">
        <v>495.34100000000001</v>
      </c>
      <c r="N701" s="8">
        <v>413.28</v>
      </c>
      <c r="O701" s="8">
        <v>328.73099999999999</v>
      </c>
      <c r="P701" s="8">
        <v>259.82100000000003</v>
      </c>
      <c r="Q701" s="8">
        <v>170.13900000000001</v>
      </c>
      <c r="R701" s="8">
        <v>150.97999999999999</v>
      </c>
      <c r="S701" s="8">
        <v>120.154</v>
      </c>
      <c r="T701" s="8">
        <v>100.199</v>
      </c>
      <c r="U701" s="8">
        <v>83.83</v>
      </c>
      <c r="V701" s="8">
        <v>62.02</v>
      </c>
      <c r="W701" s="8">
        <v>48.634</v>
      </c>
      <c r="X701" s="8">
        <v>27.225999999999999</v>
      </c>
      <c r="Y701" s="8">
        <v>12.928000000000001</v>
      </c>
      <c r="Z701" s="8">
        <v>3.9870000000000001</v>
      </c>
      <c r="AA701" s="8">
        <v>0.54900000000000004</v>
      </c>
      <c r="AB701" s="8">
        <v>2.5000000000000001E-2</v>
      </c>
      <c r="AC701" s="8">
        <v>1E-3</v>
      </c>
    </row>
    <row r="702" spans="1:29" ht="11.65" hidden="1" x14ac:dyDescent="0.35">
      <c r="A702" s="12">
        <v>685</v>
      </c>
      <c r="B702" s="10" t="s">
        <v>1015</v>
      </c>
      <c r="C702" s="11" t="s">
        <v>607</v>
      </c>
      <c r="D702" s="9"/>
      <c r="E702" s="9">
        <v>716</v>
      </c>
      <c r="F702" s="10" t="s">
        <v>1066</v>
      </c>
      <c r="G702" s="9">
        <v>910</v>
      </c>
      <c r="H702" s="9">
        <v>1995</v>
      </c>
      <c r="I702" s="8">
        <v>849.149</v>
      </c>
      <c r="J702" s="8">
        <v>846.15599999999995</v>
      </c>
      <c r="K702" s="8">
        <v>774.74300000000005</v>
      </c>
      <c r="L702" s="8">
        <v>702.43499999999995</v>
      </c>
      <c r="M702" s="8">
        <v>564.46900000000005</v>
      </c>
      <c r="N702" s="8">
        <v>454.79500000000002</v>
      </c>
      <c r="O702" s="8">
        <v>372.94600000000003</v>
      </c>
      <c r="P702" s="8">
        <v>293.56799999999998</v>
      </c>
      <c r="Q702" s="8">
        <v>231.774</v>
      </c>
      <c r="R702" s="8">
        <v>151.64699999999999</v>
      </c>
      <c r="S702" s="8">
        <v>139.226</v>
      </c>
      <c r="T702" s="8">
        <v>113.369</v>
      </c>
      <c r="U702" s="8">
        <v>92.418999999999997</v>
      </c>
      <c r="V702" s="8">
        <v>74.304000000000002</v>
      </c>
      <c r="W702" s="8">
        <v>51.280999999999999</v>
      </c>
      <c r="X702" s="8">
        <v>35.619999999999997</v>
      </c>
      <c r="Y702" s="8">
        <v>15.996</v>
      </c>
      <c r="Z702" s="8">
        <v>4.8940000000000001</v>
      </c>
      <c r="AA702" s="8">
        <v>0.74</v>
      </c>
      <c r="AB702" s="8">
        <v>4.7E-2</v>
      </c>
      <c r="AC702" s="8">
        <v>2E-3</v>
      </c>
    </row>
    <row r="703" spans="1:29" ht="11.65" hidden="1" x14ac:dyDescent="0.35">
      <c r="A703" s="12">
        <v>686</v>
      </c>
      <c r="B703" s="10" t="s">
        <v>1015</v>
      </c>
      <c r="C703" s="11" t="s">
        <v>607</v>
      </c>
      <c r="D703" s="9"/>
      <c r="E703" s="9">
        <v>716</v>
      </c>
      <c r="F703" s="10" t="s">
        <v>1066</v>
      </c>
      <c r="G703" s="9">
        <v>910</v>
      </c>
      <c r="H703" s="9">
        <v>2000</v>
      </c>
      <c r="I703" s="8">
        <v>837.63599999999997</v>
      </c>
      <c r="J703" s="8">
        <v>817.35500000000002</v>
      </c>
      <c r="K703" s="8">
        <v>829.62800000000004</v>
      </c>
      <c r="L703" s="8">
        <v>751.48199999999997</v>
      </c>
      <c r="M703" s="8">
        <v>656.178</v>
      </c>
      <c r="N703" s="8">
        <v>493.91300000000001</v>
      </c>
      <c r="O703" s="8">
        <v>375.58199999999999</v>
      </c>
      <c r="P703" s="8">
        <v>300.02499999999998</v>
      </c>
      <c r="Q703" s="8">
        <v>237.322</v>
      </c>
      <c r="R703" s="8">
        <v>192.31399999999999</v>
      </c>
      <c r="S703" s="8">
        <v>132.49</v>
      </c>
      <c r="T703" s="8">
        <v>127.55</v>
      </c>
      <c r="U703" s="8">
        <v>102.541</v>
      </c>
      <c r="V703" s="8">
        <v>81.301000000000002</v>
      </c>
      <c r="W703" s="8">
        <v>61.843000000000004</v>
      </c>
      <c r="X703" s="8">
        <v>38.860999999999997</v>
      </c>
      <c r="Y703" s="8">
        <v>22.619</v>
      </c>
      <c r="Z703" s="8">
        <v>7.1269999999999998</v>
      </c>
      <c r="AA703" s="8">
        <v>1.286</v>
      </c>
      <c r="AB703" s="8">
        <v>0.12</v>
      </c>
      <c r="AC703" s="8">
        <v>6.0000000000000001E-3</v>
      </c>
    </row>
    <row r="704" spans="1:29" ht="11.65" hidden="1" x14ac:dyDescent="0.35">
      <c r="A704" s="12">
        <v>687</v>
      </c>
      <c r="B704" s="10" t="s">
        <v>1015</v>
      </c>
      <c r="C704" s="11" t="s">
        <v>607</v>
      </c>
      <c r="D704" s="9"/>
      <c r="E704" s="9">
        <v>716</v>
      </c>
      <c r="F704" s="10" t="s">
        <v>1066</v>
      </c>
      <c r="G704" s="9">
        <v>910</v>
      </c>
      <c r="H704" s="9">
        <v>2005</v>
      </c>
      <c r="I704" s="8">
        <v>880.71199999999999</v>
      </c>
      <c r="J704" s="8">
        <v>807.77200000000005</v>
      </c>
      <c r="K704" s="8">
        <v>803.91099999999994</v>
      </c>
      <c r="L704" s="8">
        <v>798.875</v>
      </c>
      <c r="M704" s="8">
        <v>682.70399999999995</v>
      </c>
      <c r="N704" s="8">
        <v>554.83199999999999</v>
      </c>
      <c r="O704" s="8">
        <v>400.964</v>
      </c>
      <c r="P704" s="8">
        <v>300.55599999999998</v>
      </c>
      <c r="Q704" s="8">
        <v>239.13300000000001</v>
      </c>
      <c r="R704" s="8">
        <v>195.31800000000001</v>
      </c>
      <c r="S704" s="8">
        <v>163.351</v>
      </c>
      <c r="T704" s="8">
        <v>115.91500000000001</v>
      </c>
      <c r="U704" s="8">
        <v>111.20399999999999</v>
      </c>
      <c r="V704" s="8">
        <v>87.713999999999999</v>
      </c>
      <c r="W704" s="8">
        <v>66.272999999999996</v>
      </c>
      <c r="X704" s="8">
        <v>46.219000000000001</v>
      </c>
      <c r="Y704" s="8">
        <v>24.768000000000001</v>
      </c>
      <c r="Z704" s="8">
        <v>10.433999999999999</v>
      </c>
      <c r="AA704" s="8">
        <v>2.081</v>
      </c>
      <c r="AB704" s="8">
        <v>0.255</v>
      </c>
      <c r="AC704" s="8">
        <v>0.02</v>
      </c>
    </row>
    <row r="705" spans="1:29" ht="11.65" hidden="1" x14ac:dyDescent="0.35">
      <c r="A705" s="12">
        <v>688</v>
      </c>
      <c r="B705" s="10" t="s">
        <v>1015</v>
      </c>
      <c r="C705" s="11" t="s">
        <v>607</v>
      </c>
      <c r="D705" s="9"/>
      <c r="E705" s="9">
        <v>716</v>
      </c>
      <c r="F705" s="10" t="s">
        <v>1066</v>
      </c>
      <c r="G705" s="9">
        <v>910</v>
      </c>
      <c r="H705" s="9">
        <v>2010</v>
      </c>
      <c r="I705" s="8">
        <v>993.50300000000004</v>
      </c>
      <c r="J705" s="8">
        <v>849.88400000000001</v>
      </c>
      <c r="K705" s="8">
        <v>795.44600000000003</v>
      </c>
      <c r="L705" s="8">
        <v>766.95399999999995</v>
      </c>
      <c r="M705" s="8">
        <v>730.14499999999998</v>
      </c>
      <c r="N705" s="8">
        <v>596.61400000000003</v>
      </c>
      <c r="O705" s="8">
        <v>471.291</v>
      </c>
      <c r="P705" s="8">
        <v>333.524</v>
      </c>
      <c r="Q705" s="8">
        <v>245.98500000000001</v>
      </c>
      <c r="R705" s="8">
        <v>200.25200000000001</v>
      </c>
      <c r="S705" s="8">
        <v>167.22900000000001</v>
      </c>
      <c r="T705" s="8">
        <v>142.14699999999999</v>
      </c>
      <c r="U705" s="8">
        <v>100.376</v>
      </c>
      <c r="V705" s="8">
        <v>94.052999999999997</v>
      </c>
      <c r="W705" s="8">
        <v>70.356999999999999</v>
      </c>
      <c r="X705" s="8">
        <v>48.406999999999996</v>
      </c>
      <c r="Y705" s="8">
        <v>28.376999999999999</v>
      </c>
      <c r="Z705" s="8">
        <v>10.891</v>
      </c>
      <c r="AA705" s="8">
        <v>2.8580000000000001</v>
      </c>
      <c r="AB705" s="8">
        <v>0.373</v>
      </c>
      <c r="AC705" s="8">
        <v>3.7999999999999999E-2</v>
      </c>
    </row>
    <row r="706" spans="1:29" ht="11.65" hidden="1" x14ac:dyDescent="0.35">
      <c r="A706" s="12">
        <v>689</v>
      </c>
      <c r="B706" s="10" t="s">
        <v>1015</v>
      </c>
      <c r="C706" s="11" t="s">
        <v>607</v>
      </c>
      <c r="D706" s="9"/>
      <c r="E706" s="9">
        <v>716</v>
      </c>
      <c r="F706" s="10" t="s">
        <v>1066</v>
      </c>
      <c r="G706" s="9">
        <v>910</v>
      </c>
      <c r="H706" s="9">
        <v>2015</v>
      </c>
      <c r="I706" s="8">
        <v>1123.837</v>
      </c>
      <c r="J706" s="8">
        <v>969.03099999999995</v>
      </c>
      <c r="K706" s="8">
        <v>839.26800000000003</v>
      </c>
      <c r="L706" s="8">
        <v>765.09400000000005</v>
      </c>
      <c r="M706" s="8">
        <v>695.40099999999995</v>
      </c>
      <c r="N706" s="8">
        <v>636.59799999999996</v>
      </c>
      <c r="O706" s="8">
        <v>530.44799999999998</v>
      </c>
      <c r="P706" s="8">
        <v>433.93900000000002</v>
      </c>
      <c r="Q706" s="8">
        <v>305.38</v>
      </c>
      <c r="R706" s="8">
        <v>226.30600000000001</v>
      </c>
      <c r="S706" s="8">
        <v>184.465</v>
      </c>
      <c r="T706" s="8">
        <v>153.32300000000001</v>
      </c>
      <c r="U706" s="8">
        <v>127.861</v>
      </c>
      <c r="V706" s="8">
        <v>86.960999999999999</v>
      </c>
      <c r="W706" s="8">
        <v>75.977000000000004</v>
      </c>
      <c r="X706" s="8">
        <v>50.484000000000002</v>
      </c>
      <c r="Y706" s="8">
        <v>28.02</v>
      </c>
      <c r="Z706" s="8">
        <v>10.968</v>
      </c>
      <c r="AA706" s="8">
        <v>2.2080000000000002</v>
      </c>
      <c r="AB706" s="8">
        <v>0.27100000000000002</v>
      </c>
      <c r="AC706" s="8">
        <v>2.4E-2</v>
      </c>
    </row>
    <row r="707" spans="1:29" ht="11.65" hidden="1" x14ac:dyDescent="0.35">
      <c r="A707" s="12">
        <v>690</v>
      </c>
      <c r="B707" s="10" t="s">
        <v>1015</v>
      </c>
      <c r="C707" s="11" t="s">
        <v>607</v>
      </c>
      <c r="D707" s="9"/>
      <c r="E707" s="9">
        <v>716</v>
      </c>
      <c r="F707" s="10" t="s">
        <v>1066</v>
      </c>
      <c r="G707" s="9">
        <v>910</v>
      </c>
      <c r="H707" s="9">
        <v>2020</v>
      </c>
      <c r="I707" s="8">
        <v>1042.8910000000001</v>
      </c>
      <c r="J707" s="8">
        <v>1101.1980000000001</v>
      </c>
      <c r="K707" s="8">
        <v>958.36099999999999</v>
      </c>
      <c r="L707" s="8">
        <v>822.18899999999996</v>
      </c>
      <c r="M707" s="8">
        <v>705.68700000000001</v>
      </c>
      <c r="N707" s="8">
        <v>601.59400000000005</v>
      </c>
      <c r="O707" s="8">
        <v>564.56799999999998</v>
      </c>
      <c r="P707" s="8">
        <v>484.101</v>
      </c>
      <c r="Q707" s="8">
        <v>397.61200000000002</v>
      </c>
      <c r="R707" s="8">
        <v>280.77100000000002</v>
      </c>
      <c r="S707" s="8">
        <v>210.34299999999999</v>
      </c>
      <c r="T707" s="8">
        <v>173.03700000000001</v>
      </c>
      <c r="U707" s="8">
        <v>140.977</v>
      </c>
      <c r="V707" s="8">
        <v>113.324</v>
      </c>
      <c r="W707" s="8">
        <v>72.322000000000003</v>
      </c>
      <c r="X707" s="8">
        <v>56.587000000000003</v>
      </c>
      <c r="Y707" s="8">
        <v>30.853999999999999</v>
      </c>
      <c r="Z707" s="8">
        <v>11.763</v>
      </c>
      <c r="AA707" s="8">
        <v>2.4870000000000001</v>
      </c>
      <c r="AB707" s="8">
        <v>0.23400000000000001</v>
      </c>
      <c r="AC707" s="8">
        <v>1.7000000000000001E-2</v>
      </c>
    </row>
    <row r="708" spans="1:29" ht="11.65" hidden="1" x14ac:dyDescent="0.35">
      <c r="A708" s="23">
        <v>691</v>
      </c>
      <c r="B708" s="21" t="s">
        <v>1015</v>
      </c>
      <c r="C708" s="29" t="s">
        <v>1077</v>
      </c>
      <c r="D708" s="20"/>
      <c r="E708" s="20">
        <v>911</v>
      </c>
      <c r="F708" s="21" t="s">
        <v>1065</v>
      </c>
      <c r="G708" s="20">
        <v>947</v>
      </c>
      <c r="H708" s="20">
        <v>1950</v>
      </c>
      <c r="I708" s="19">
        <v>2200.1640000000002</v>
      </c>
      <c r="J708" s="19">
        <v>1751.884</v>
      </c>
      <c r="K708" s="19">
        <v>1531.5440000000001</v>
      </c>
      <c r="L708" s="19">
        <v>1355.1389999999999</v>
      </c>
      <c r="M708" s="19">
        <v>1202.308</v>
      </c>
      <c r="N708" s="19">
        <v>1050.027</v>
      </c>
      <c r="O708" s="19">
        <v>909.19899999999996</v>
      </c>
      <c r="P708" s="19">
        <v>780.83100000000002</v>
      </c>
      <c r="Q708" s="19">
        <v>662.55600000000004</v>
      </c>
      <c r="R708" s="19">
        <v>563.476</v>
      </c>
      <c r="S708" s="19">
        <v>477.94799999999998</v>
      </c>
      <c r="T708" s="19">
        <v>392.00099999999998</v>
      </c>
      <c r="U708" s="19">
        <v>305.04300000000001</v>
      </c>
      <c r="V708" s="19">
        <v>232.374</v>
      </c>
      <c r="W708" s="19">
        <v>163.785</v>
      </c>
      <c r="X708" s="19">
        <v>101.73099999999999</v>
      </c>
      <c r="Y708" s="19">
        <v>53.984000000000002</v>
      </c>
      <c r="Z708" s="19">
        <v>18.140999999999998</v>
      </c>
      <c r="AA708" s="19">
        <v>3.7160000000000002</v>
      </c>
      <c r="AB708" s="19">
        <v>0.45500000000000002</v>
      </c>
      <c r="AC708" s="19">
        <v>3.3000000000000002E-2</v>
      </c>
    </row>
    <row r="709" spans="1:29" ht="11.65" hidden="1" x14ac:dyDescent="0.35">
      <c r="A709" s="23">
        <v>692</v>
      </c>
      <c r="B709" s="21" t="s">
        <v>1015</v>
      </c>
      <c r="C709" s="29" t="s">
        <v>1077</v>
      </c>
      <c r="D709" s="20"/>
      <c r="E709" s="20">
        <v>911</v>
      </c>
      <c r="F709" s="21" t="s">
        <v>1065</v>
      </c>
      <c r="G709" s="20">
        <v>947</v>
      </c>
      <c r="H709" s="20">
        <v>1955</v>
      </c>
      <c r="I709" s="19">
        <v>2449.9769999999999</v>
      </c>
      <c r="J709" s="19">
        <v>1936.1759999999999</v>
      </c>
      <c r="K709" s="19">
        <v>1671.827</v>
      </c>
      <c r="L709" s="19">
        <v>1478.9190000000001</v>
      </c>
      <c r="M709" s="19">
        <v>1304.027</v>
      </c>
      <c r="N709" s="19">
        <v>1148.7049999999999</v>
      </c>
      <c r="O709" s="19">
        <v>996.01800000000003</v>
      </c>
      <c r="P709" s="19">
        <v>856.66600000000005</v>
      </c>
      <c r="Q709" s="19">
        <v>731.24199999999996</v>
      </c>
      <c r="R709" s="19">
        <v>617.71699999999998</v>
      </c>
      <c r="S709" s="19">
        <v>520.06100000000004</v>
      </c>
      <c r="T709" s="19">
        <v>431.291</v>
      </c>
      <c r="U709" s="19">
        <v>339.66500000000002</v>
      </c>
      <c r="V709" s="19">
        <v>246.96899999999999</v>
      </c>
      <c r="W709" s="19">
        <v>168.55600000000001</v>
      </c>
      <c r="X709" s="19">
        <v>100.461</v>
      </c>
      <c r="Y709" s="19">
        <v>48.573999999999998</v>
      </c>
      <c r="Z709" s="19">
        <v>17.863</v>
      </c>
      <c r="AA709" s="19">
        <v>3.81</v>
      </c>
      <c r="AB709" s="19">
        <v>0.46100000000000002</v>
      </c>
      <c r="AC709" s="19">
        <v>3.5000000000000003E-2</v>
      </c>
    </row>
    <row r="710" spans="1:29" ht="11.65" hidden="1" x14ac:dyDescent="0.35">
      <c r="A710" s="23">
        <v>693</v>
      </c>
      <c r="B710" s="21" t="s">
        <v>1015</v>
      </c>
      <c r="C710" s="29" t="s">
        <v>1077</v>
      </c>
      <c r="D710" s="20"/>
      <c r="E710" s="20">
        <v>911</v>
      </c>
      <c r="F710" s="21" t="s">
        <v>1065</v>
      </c>
      <c r="G710" s="20">
        <v>947</v>
      </c>
      <c r="H710" s="20">
        <v>1960</v>
      </c>
      <c r="I710" s="19">
        <v>2769.3820000000001</v>
      </c>
      <c r="J710" s="19">
        <v>2183.0419999999999</v>
      </c>
      <c r="K710" s="19">
        <v>1779.508</v>
      </c>
      <c r="L710" s="19">
        <v>1542.9860000000001</v>
      </c>
      <c r="M710" s="19">
        <v>1410.6089999999999</v>
      </c>
      <c r="N710" s="19">
        <v>1283.3789999999999</v>
      </c>
      <c r="O710" s="19">
        <v>1105.999</v>
      </c>
      <c r="P710" s="19">
        <v>939.64400000000001</v>
      </c>
      <c r="Q710" s="19">
        <v>799.69500000000005</v>
      </c>
      <c r="R710" s="19">
        <v>676.94100000000003</v>
      </c>
      <c r="S710" s="19">
        <v>563.76300000000003</v>
      </c>
      <c r="T710" s="19">
        <v>464.79700000000003</v>
      </c>
      <c r="U710" s="19">
        <v>371.3</v>
      </c>
      <c r="V710" s="19">
        <v>273.06700000000001</v>
      </c>
      <c r="W710" s="19">
        <v>178.566</v>
      </c>
      <c r="X710" s="19">
        <v>103.377</v>
      </c>
      <c r="Y710" s="19">
        <v>48.548999999999999</v>
      </c>
      <c r="Z710" s="19">
        <v>16.477</v>
      </c>
      <c r="AA710" s="19">
        <v>3.8359999999999999</v>
      </c>
      <c r="AB710" s="19">
        <v>0.48899999999999999</v>
      </c>
      <c r="AC710" s="19">
        <v>3.5999999999999997E-2</v>
      </c>
    </row>
    <row r="711" spans="1:29" ht="11.65" hidden="1" x14ac:dyDescent="0.35">
      <c r="A711" s="23">
        <v>694</v>
      </c>
      <c r="B711" s="21" t="s">
        <v>1015</v>
      </c>
      <c r="C711" s="29" t="s">
        <v>1077</v>
      </c>
      <c r="D711" s="20"/>
      <c r="E711" s="20">
        <v>911</v>
      </c>
      <c r="F711" s="21" t="s">
        <v>1065</v>
      </c>
      <c r="G711" s="20">
        <v>947</v>
      </c>
      <c r="H711" s="20">
        <v>1965</v>
      </c>
      <c r="I711" s="19">
        <v>3111.0450000000001</v>
      </c>
      <c r="J711" s="19">
        <v>2468.4270000000001</v>
      </c>
      <c r="K711" s="19">
        <v>2086.3069999999998</v>
      </c>
      <c r="L711" s="19">
        <v>1719.2280000000001</v>
      </c>
      <c r="M711" s="19">
        <v>1488.5070000000001</v>
      </c>
      <c r="N711" s="19">
        <v>1351.8610000000001</v>
      </c>
      <c r="O711" s="19">
        <v>1221.3389999999999</v>
      </c>
      <c r="P711" s="19">
        <v>1045.2139999999999</v>
      </c>
      <c r="Q711" s="19">
        <v>881.64300000000003</v>
      </c>
      <c r="R711" s="19">
        <v>746.64800000000002</v>
      </c>
      <c r="S711" s="19">
        <v>625.71699999999998</v>
      </c>
      <c r="T711" s="19">
        <v>510.18900000000002</v>
      </c>
      <c r="U711" s="19">
        <v>404.63600000000002</v>
      </c>
      <c r="V711" s="19">
        <v>302.98500000000001</v>
      </c>
      <c r="W711" s="19">
        <v>200.483</v>
      </c>
      <c r="X711" s="19">
        <v>111.506</v>
      </c>
      <c r="Y711" s="19">
        <v>50.42</v>
      </c>
      <c r="Z711" s="19">
        <v>16.645</v>
      </c>
      <c r="AA711" s="19">
        <v>3.5459999999999998</v>
      </c>
      <c r="AB711" s="19">
        <v>0.498</v>
      </c>
      <c r="AC711" s="19">
        <v>0.04</v>
      </c>
    </row>
    <row r="712" spans="1:29" ht="11.65" hidden="1" x14ac:dyDescent="0.35">
      <c r="A712" s="23">
        <v>695</v>
      </c>
      <c r="B712" s="21" t="s">
        <v>1015</v>
      </c>
      <c r="C712" s="29" t="s">
        <v>1077</v>
      </c>
      <c r="D712" s="20"/>
      <c r="E712" s="20">
        <v>911</v>
      </c>
      <c r="F712" s="21" t="s">
        <v>1065</v>
      </c>
      <c r="G712" s="20">
        <v>947</v>
      </c>
      <c r="H712" s="20">
        <v>1970</v>
      </c>
      <c r="I712" s="19">
        <v>3527.181</v>
      </c>
      <c r="J712" s="19">
        <v>2808.8519999999999</v>
      </c>
      <c r="K712" s="19">
        <v>2330.607</v>
      </c>
      <c r="L712" s="19">
        <v>1944.7819999999999</v>
      </c>
      <c r="M712" s="19">
        <v>1711.078</v>
      </c>
      <c r="N712" s="19">
        <v>1488.7829999999999</v>
      </c>
      <c r="O712" s="19">
        <v>1322.4259999999999</v>
      </c>
      <c r="P712" s="19">
        <v>1132.6959999999999</v>
      </c>
      <c r="Q712" s="19">
        <v>965.46299999999997</v>
      </c>
      <c r="R712" s="19">
        <v>795.97500000000002</v>
      </c>
      <c r="S712" s="19">
        <v>674.01199999999994</v>
      </c>
      <c r="T712" s="19">
        <v>544.81399999999996</v>
      </c>
      <c r="U712" s="19">
        <v>436.59</v>
      </c>
      <c r="V712" s="19">
        <v>319.28199999999998</v>
      </c>
      <c r="W712" s="19">
        <v>218.31700000000001</v>
      </c>
      <c r="X712" s="19">
        <v>121.371</v>
      </c>
      <c r="Y712" s="19">
        <v>49.368000000000002</v>
      </c>
      <c r="Z712" s="19">
        <v>17.457999999999998</v>
      </c>
      <c r="AA712" s="19">
        <v>3.6019999999999999</v>
      </c>
      <c r="AB712" s="19">
        <v>0.46</v>
      </c>
      <c r="AC712" s="19">
        <v>4.1000000000000002E-2</v>
      </c>
    </row>
    <row r="713" spans="1:29" ht="11.65" hidden="1" x14ac:dyDescent="0.35">
      <c r="A713" s="23">
        <v>696</v>
      </c>
      <c r="B713" s="21" t="s">
        <v>1015</v>
      </c>
      <c r="C713" s="29" t="s">
        <v>1077</v>
      </c>
      <c r="D713" s="20"/>
      <c r="E713" s="20">
        <v>911</v>
      </c>
      <c r="F713" s="21" t="s">
        <v>1065</v>
      </c>
      <c r="G713" s="20">
        <v>947</v>
      </c>
      <c r="H713" s="20">
        <v>1975</v>
      </c>
      <c r="I713" s="19">
        <v>4154.7539999999999</v>
      </c>
      <c r="J713" s="19">
        <v>3237.1</v>
      </c>
      <c r="K713" s="19">
        <v>2728.6930000000002</v>
      </c>
      <c r="L713" s="19">
        <v>2278.9650000000001</v>
      </c>
      <c r="M713" s="19">
        <v>1889.922</v>
      </c>
      <c r="N713" s="19">
        <v>1652.0229999999999</v>
      </c>
      <c r="O713" s="19">
        <v>1429.845</v>
      </c>
      <c r="P713" s="19">
        <v>1263.8789999999999</v>
      </c>
      <c r="Q713" s="19">
        <v>1077.1980000000001</v>
      </c>
      <c r="R713" s="19">
        <v>913.60799999999995</v>
      </c>
      <c r="S713" s="19">
        <v>746.15700000000004</v>
      </c>
      <c r="T713" s="19">
        <v>619.42100000000005</v>
      </c>
      <c r="U713" s="19">
        <v>483.28500000000003</v>
      </c>
      <c r="V713" s="19">
        <v>364.30700000000002</v>
      </c>
      <c r="W713" s="19">
        <v>240.83699999999999</v>
      </c>
      <c r="X713" s="19">
        <v>140.54599999999999</v>
      </c>
      <c r="Y713" s="19">
        <v>61.271000000000001</v>
      </c>
      <c r="Z713" s="19">
        <v>17.273</v>
      </c>
      <c r="AA713" s="19">
        <v>3.7869999999999999</v>
      </c>
      <c r="AB713" s="19">
        <v>0.46600000000000003</v>
      </c>
      <c r="AC713" s="19">
        <v>3.9E-2</v>
      </c>
    </row>
    <row r="714" spans="1:29" ht="11.65" hidden="1" x14ac:dyDescent="0.35">
      <c r="A714" s="23">
        <v>697</v>
      </c>
      <c r="B714" s="21" t="s">
        <v>1015</v>
      </c>
      <c r="C714" s="29" t="s">
        <v>1077</v>
      </c>
      <c r="D714" s="20"/>
      <c r="E714" s="20">
        <v>911</v>
      </c>
      <c r="F714" s="21" t="s">
        <v>1065</v>
      </c>
      <c r="G714" s="20">
        <v>947</v>
      </c>
      <c r="H714" s="20">
        <v>1980</v>
      </c>
      <c r="I714" s="19">
        <v>4820.5540000000001</v>
      </c>
      <c r="J714" s="19">
        <v>3838.3159999999998</v>
      </c>
      <c r="K714" s="19">
        <v>3151.221</v>
      </c>
      <c r="L714" s="19">
        <v>2673.2249999999999</v>
      </c>
      <c r="M714" s="19">
        <v>2221.3679999999999</v>
      </c>
      <c r="N714" s="19">
        <v>1832.425</v>
      </c>
      <c r="O714" s="19">
        <v>1593.894</v>
      </c>
      <c r="P714" s="19">
        <v>1372.8710000000001</v>
      </c>
      <c r="Q714" s="19">
        <v>1206.8779999999999</v>
      </c>
      <c r="R714" s="19">
        <v>1023.045</v>
      </c>
      <c r="S714" s="19">
        <v>859.19899999999996</v>
      </c>
      <c r="T714" s="19">
        <v>688.29200000000003</v>
      </c>
      <c r="U714" s="19">
        <v>551.85799999999995</v>
      </c>
      <c r="V714" s="19">
        <v>405.73700000000002</v>
      </c>
      <c r="W714" s="19">
        <v>276.94</v>
      </c>
      <c r="X714" s="19">
        <v>156.97300000000001</v>
      </c>
      <c r="Y714" s="19">
        <v>72.171000000000006</v>
      </c>
      <c r="Z714" s="19">
        <v>21.754999999999999</v>
      </c>
      <c r="AA714" s="19">
        <v>3.6179999999999999</v>
      </c>
      <c r="AB714" s="19">
        <v>0.49099999999999999</v>
      </c>
      <c r="AC714" s="19">
        <v>0.04</v>
      </c>
    </row>
    <row r="715" spans="1:29" ht="11.65" hidden="1" x14ac:dyDescent="0.35">
      <c r="A715" s="23">
        <v>698</v>
      </c>
      <c r="B715" s="21" t="s">
        <v>1015</v>
      </c>
      <c r="C715" s="29" t="s">
        <v>1077</v>
      </c>
      <c r="D715" s="20"/>
      <c r="E715" s="20">
        <v>911</v>
      </c>
      <c r="F715" s="21" t="s">
        <v>1065</v>
      </c>
      <c r="G715" s="20">
        <v>947</v>
      </c>
      <c r="H715" s="20">
        <v>1985</v>
      </c>
      <c r="I715" s="19">
        <v>5620.55</v>
      </c>
      <c r="J715" s="19">
        <v>4455.6580000000004</v>
      </c>
      <c r="K715" s="19">
        <v>3718.7539999999999</v>
      </c>
      <c r="L715" s="19">
        <v>3070.31</v>
      </c>
      <c r="M715" s="19">
        <v>2594.8879999999999</v>
      </c>
      <c r="N715" s="19">
        <v>2147.009</v>
      </c>
      <c r="O715" s="19">
        <v>1762.0119999999999</v>
      </c>
      <c r="P715" s="19">
        <v>1523.9480000000001</v>
      </c>
      <c r="Q715" s="19">
        <v>1305.2260000000001</v>
      </c>
      <c r="R715" s="19">
        <v>1141.5999999999999</v>
      </c>
      <c r="S715" s="19">
        <v>958.63599999999997</v>
      </c>
      <c r="T715" s="19">
        <v>790.26800000000003</v>
      </c>
      <c r="U715" s="19">
        <v>612.62800000000004</v>
      </c>
      <c r="V715" s="19">
        <v>463.49900000000002</v>
      </c>
      <c r="W715" s="19">
        <v>309.51100000000002</v>
      </c>
      <c r="X715" s="19">
        <v>181.51</v>
      </c>
      <c r="Y715" s="19">
        <v>81.239999999999995</v>
      </c>
      <c r="Z715" s="19">
        <v>25.896000000000001</v>
      </c>
      <c r="AA715" s="19">
        <v>4.806</v>
      </c>
      <c r="AB715" s="19">
        <v>0.46100000000000002</v>
      </c>
      <c r="AC715" s="19">
        <v>4.2999999999999997E-2</v>
      </c>
    </row>
    <row r="716" spans="1:29" ht="11.65" hidden="1" x14ac:dyDescent="0.35">
      <c r="A716" s="23">
        <v>699</v>
      </c>
      <c r="B716" s="21" t="s">
        <v>1015</v>
      </c>
      <c r="C716" s="29" t="s">
        <v>1077</v>
      </c>
      <c r="D716" s="20"/>
      <c r="E716" s="20">
        <v>911</v>
      </c>
      <c r="F716" s="21" t="s">
        <v>1065</v>
      </c>
      <c r="G716" s="20">
        <v>947</v>
      </c>
      <c r="H716" s="20">
        <v>1990</v>
      </c>
      <c r="I716" s="19">
        <v>6553.8280000000004</v>
      </c>
      <c r="J716" s="19">
        <v>5268.1189999999997</v>
      </c>
      <c r="K716" s="19">
        <v>4363.5550000000003</v>
      </c>
      <c r="L716" s="19">
        <v>3657.259</v>
      </c>
      <c r="M716" s="19">
        <v>3002.6669999999999</v>
      </c>
      <c r="N716" s="19">
        <v>2522.7339999999999</v>
      </c>
      <c r="O716" s="19">
        <v>2077.3270000000002</v>
      </c>
      <c r="P716" s="19">
        <v>1697.866</v>
      </c>
      <c r="Q716" s="19">
        <v>1461.424</v>
      </c>
      <c r="R716" s="19">
        <v>1245.94</v>
      </c>
      <c r="S716" s="19">
        <v>1079.8530000000001</v>
      </c>
      <c r="T716" s="19">
        <v>890.72900000000004</v>
      </c>
      <c r="U716" s="19">
        <v>711.27200000000005</v>
      </c>
      <c r="V716" s="19">
        <v>521.37099999999998</v>
      </c>
      <c r="W716" s="19">
        <v>358.74700000000001</v>
      </c>
      <c r="X716" s="19">
        <v>206.54599999999999</v>
      </c>
      <c r="Y716" s="19">
        <v>95.882000000000005</v>
      </c>
      <c r="Z716" s="19">
        <v>29.907</v>
      </c>
      <c r="AA716" s="19">
        <v>5.92</v>
      </c>
      <c r="AB716" s="19">
        <v>0.65700000000000003</v>
      </c>
      <c r="AC716" s="19">
        <v>4.1000000000000002E-2</v>
      </c>
    </row>
    <row r="717" spans="1:29" ht="11.65" hidden="1" x14ac:dyDescent="0.35">
      <c r="A717" s="23">
        <v>700</v>
      </c>
      <c r="B717" s="21" t="s">
        <v>1015</v>
      </c>
      <c r="C717" s="29" t="s">
        <v>1077</v>
      </c>
      <c r="D717" s="20"/>
      <c r="E717" s="20">
        <v>911</v>
      </c>
      <c r="F717" s="21" t="s">
        <v>1065</v>
      </c>
      <c r="G717" s="20">
        <v>947</v>
      </c>
      <c r="H717" s="20">
        <v>1995</v>
      </c>
      <c r="I717" s="19">
        <v>7690.098</v>
      </c>
      <c r="J717" s="19">
        <v>6249.4989999999998</v>
      </c>
      <c r="K717" s="19">
        <v>5239.0600000000004</v>
      </c>
      <c r="L717" s="19">
        <v>4360.5259999999998</v>
      </c>
      <c r="M717" s="19">
        <v>3640.9989999999998</v>
      </c>
      <c r="N717" s="19">
        <v>2976.6959999999999</v>
      </c>
      <c r="O717" s="19">
        <v>2487.69</v>
      </c>
      <c r="P717" s="19">
        <v>2038.0419999999999</v>
      </c>
      <c r="Q717" s="19">
        <v>1657.124</v>
      </c>
      <c r="R717" s="19">
        <v>1418.7619999999999</v>
      </c>
      <c r="S717" s="19">
        <v>1198.3520000000001</v>
      </c>
      <c r="T717" s="19">
        <v>1019.293</v>
      </c>
      <c r="U717" s="19">
        <v>814.55399999999997</v>
      </c>
      <c r="V717" s="19">
        <v>615.1</v>
      </c>
      <c r="W717" s="19">
        <v>411.25799999999998</v>
      </c>
      <c r="X717" s="19">
        <v>244.23099999999999</v>
      </c>
      <c r="Y717" s="19">
        <v>111.764</v>
      </c>
      <c r="Z717" s="19">
        <v>36.380000000000003</v>
      </c>
      <c r="AA717" s="19">
        <v>7.1</v>
      </c>
      <c r="AB717" s="19">
        <v>0.85399999999999998</v>
      </c>
      <c r="AC717" s="19">
        <v>6.0999999999999999E-2</v>
      </c>
    </row>
    <row r="718" spans="1:29" ht="11.65" hidden="1" x14ac:dyDescent="0.35">
      <c r="A718" s="23">
        <v>701</v>
      </c>
      <c r="B718" s="21" t="s">
        <v>1015</v>
      </c>
      <c r="C718" s="29" t="s">
        <v>1077</v>
      </c>
      <c r="D718" s="20"/>
      <c r="E718" s="20">
        <v>911</v>
      </c>
      <c r="F718" s="21" t="s">
        <v>1065</v>
      </c>
      <c r="G718" s="20">
        <v>947</v>
      </c>
      <c r="H718" s="20">
        <v>2000</v>
      </c>
      <c r="I718" s="19">
        <v>8715.83</v>
      </c>
      <c r="J718" s="19">
        <v>7133.4030000000002</v>
      </c>
      <c r="K718" s="19">
        <v>6055.5290000000005</v>
      </c>
      <c r="L718" s="19">
        <v>5099.97</v>
      </c>
      <c r="M718" s="19">
        <v>4228.7979999999998</v>
      </c>
      <c r="N718" s="19">
        <v>3510.12</v>
      </c>
      <c r="O718" s="19">
        <v>2851.6779999999999</v>
      </c>
      <c r="P718" s="19">
        <v>2367.9839999999999</v>
      </c>
      <c r="Q718" s="19">
        <v>1928.462</v>
      </c>
      <c r="R718" s="19">
        <v>1560.0319999999999</v>
      </c>
      <c r="S718" s="19">
        <v>1323.787</v>
      </c>
      <c r="T718" s="19">
        <v>1098.385</v>
      </c>
      <c r="U718" s="19">
        <v>905.39400000000001</v>
      </c>
      <c r="V718" s="19">
        <v>684.34</v>
      </c>
      <c r="W718" s="19">
        <v>471.02</v>
      </c>
      <c r="X718" s="19">
        <v>272.41000000000003</v>
      </c>
      <c r="Y718" s="19">
        <v>128.71100000000001</v>
      </c>
      <c r="Z718" s="19">
        <v>41.417000000000002</v>
      </c>
      <c r="AA718" s="19">
        <v>8.4860000000000007</v>
      </c>
      <c r="AB718" s="19">
        <v>0.998</v>
      </c>
      <c r="AC718" s="19">
        <v>7.5999999999999998E-2</v>
      </c>
    </row>
    <row r="719" spans="1:29" ht="11.65" hidden="1" x14ac:dyDescent="0.35">
      <c r="A719" s="23">
        <v>702</v>
      </c>
      <c r="B719" s="21" t="s">
        <v>1015</v>
      </c>
      <c r="C719" s="29" t="s">
        <v>1077</v>
      </c>
      <c r="D719" s="20"/>
      <c r="E719" s="20">
        <v>911</v>
      </c>
      <c r="F719" s="21" t="s">
        <v>1065</v>
      </c>
      <c r="G719" s="20">
        <v>947</v>
      </c>
      <c r="H719" s="20">
        <v>2005</v>
      </c>
      <c r="I719" s="19">
        <v>10226.574000000001</v>
      </c>
      <c r="J719" s="19">
        <v>8254.1849999999995</v>
      </c>
      <c r="K719" s="19">
        <v>7001.72</v>
      </c>
      <c r="L719" s="19">
        <v>5964.1639999999998</v>
      </c>
      <c r="M719" s="19">
        <v>5002.0209999999997</v>
      </c>
      <c r="N719" s="19">
        <v>4120.0410000000002</v>
      </c>
      <c r="O719" s="19">
        <v>3394.2660000000001</v>
      </c>
      <c r="P719" s="19">
        <v>2738.8150000000001</v>
      </c>
      <c r="Q719" s="19">
        <v>2261.6750000000002</v>
      </c>
      <c r="R719" s="19">
        <v>1833.0989999999999</v>
      </c>
      <c r="S719" s="19">
        <v>1470.24</v>
      </c>
      <c r="T719" s="19">
        <v>1227.5360000000001</v>
      </c>
      <c r="U719" s="19">
        <v>988.58</v>
      </c>
      <c r="V719" s="19">
        <v>772.24699999999996</v>
      </c>
      <c r="W719" s="19">
        <v>533.63400000000001</v>
      </c>
      <c r="X719" s="19">
        <v>318.75099999999998</v>
      </c>
      <c r="Y719" s="19">
        <v>147.49</v>
      </c>
      <c r="Z719" s="19">
        <v>49.25</v>
      </c>
      <c r="AA719" s="19">
        <v>10.037000000000001</v>
      </c>
      <c r="AB719" s="19">
        <v>1.2529999999999999</v>
      </c>
      <c r="AC719" s="19">
        <v>9.1999999999999998E-2</v>
      </c>
    </row>
    <row r="720" spans="1:29" ht="11.65" hidden="1" x14ac:dyDescent="0.35">
      <c r="A720" s="23">
        <v>703</v>
      </c>
      <c r="B720" s="21" t="s">
        <v>1015</v>
      </c>
      <c r="C720" s="29" t="s">
        <v>1077</v>
      </c>
      <c r="D720" s="20"/>
      <c r="E720" s="20">
        <v>911</v>
      </c>
      <c r="F720" s="21" t="s">
        <v>1065</v>
      </c>
      <c r="G720" s="20">
        <v>947</v>
      </c>
      <c r="H720" s="20">
        <v>2010</v>
      </c>
      <c r="I720" s="19">
        <v>12039.038</v>
      </c>
      <c r="J720" s="19">
        <v>9813.2260000000006</v>
      </c>
      <c r="K720" s="19">
        <v>8135.9679999999998</v>
      </c>
      <c r="L720" s="19">
        <v>6917.192</v>
      </c>
      <c r="M720" s="19">
        <v>5875.5780000000004</v>
      </c>
      <c r="N720" s="19">
        <v>4900.7730000000001</v>
      </c>
      <c r="O720" s="19">
        <v>4010.4810000000002</v>
      </c>
      <c r="P720" s="19">
        <v>3286.0419999999999</v>
      </c>
      <c r="Q720" s="19">
        <v>2638.9059999999999</v>
      </c>
      <c r="R720" s="19">
        <v>2166.9870000000001</v>
      </c>
      <c r="S720" s="19">
        <v>1740.239</v>
      </c>
      <c r="T720" s="19">
        <v>1373.1310000000001</v>
      </c>
      <c r="U720" s="19">
        <v>1115.008</v>
      </c>
      <c r="V720" s="19">
        <v>853.33299999999997</v>
      </c>
      <c r="W720" s="19">
        <v>610.92700000000002</v>
      </c>
      <c r="X720" s="19">
        <v>367.55</v>
      </c>
      <c r="Y720" s="19">
        <v>176.125</v>
      </c>
      <c r="Z720" s="19">
        <v>57.802999999999997</v>
      </c>
      <c r="AA720" s="19">
        <v>12.275</v>
      </c>
      <c r="AB720" s="19">
        <v>1.5269999999999999</v>
      </c>
      <c r="AC720" s="19">
        <v>0.11799999999999999</v>
      </c>
    </row>
    <row r="721" spans="1:29" ht="11.65" hidden="1" x14ac:dyDescent="0.35">
      <c r="A721" s="23">
        <v>704</v>
      </c>
      <c r="B721" s="21" t="s">
        <v>1015</v>
      </c>
      <c r="C721" s="29" t="s">
        <v>1077</v>
      </c>
      <c r="D721" s="20"/>
      <c r="E721" s="20">
        <v>911</v>
      </c>
      <c r="F721" s="21" t="s">
        <v>1065</v>
      </c>
      <c r="G721" s="20">
        <v>947</v>
      </c>
      <c r="H721" s="20">
        <v>2015</v>
      </c>
      <c r="I721" s="19">
        <v>13753.124</v>
      </c>
      <c r="J721" s="19">
        <v>11640.42</v>
      </c>
      <c r="K721" s="19">
        <v>9689.4380000000001</v>
      </c>
      <c r="L721" s="19">
        <v>8036.8879999999999</v>
      </c>
      <c r="M721" s="19">
        <v>6800.8770000000004</v>
      </c>
      <c r="N721" s="19">
        <v>5743.7659999999996</v>
      </c>
      <c r="O721" s="19">
        <v>4762.7669999999998</v>
      </c>
      <c r="P721" s="19">
        <v>3876.89</v>
      </c>
      <c r="Q721" s="19">
        <v>3164.1979999999999</v>
      </c>
      <c r="R721" s="19">
        <v>2530.0329999999999</v>
      </c>
      <c r="S721" s="19">
        <v>2061.337</v>
      </c>
      <c r="T721" s="19">
        <v>1631.6969999999999</v>
      </c>
      <c r="U721" s="19">
        <v>1254.3969999999999</v>
      </c>
      <c r="V721" s="19">
        <v>970.76099999999997</v>
      </c>
      <c r="W721" s="19">
        <v>683.73299999999995</v>
      </c>
      <c r="X721" s="19">
        <v>427.49700000000001</v>
      </c>
      <c r="Y721" s="19">
        <v>206.97900000000001</v>
      </c>
      <c r="Z721" s="19">
        <v>70.933999999999997</v>
      </c>
      <c r="AA721" s="19">
        <v>14.871</v>
      </c>
      <c r="AB721" s="19">
        <v>1.929</v>
      </c>
      <c r="AC721" s="19">
        <v>0.14799999999999999</v>
      </c>
    </row>
    <row r="722" spans="1:29" ht="11.65" hidden="1" x14ac:dyDescent="0.35">
      <c r="A722" s="23">
        <v>705</v>
      </c>
      <c r="B722" s="21" t="s">
        <v>1015</v>
      </c>
      <c r="C722" s="29" t="s">
        <v>1077</v>
      </c>
      <c r="D722" s="20"/>
      <c r="E722" s="20">
        <v>911</v>
      </c>
      <c r="F722" s="21" t="s">
        <v>1065</v>
      </c>
      <c r="G722" s="20">
        <v>947</v>
      </c>
      <c r="H722" s="20">
        <v>2020</v>
      </c>
      <c r="I722" s="19">
        <v>15245.526</v>
      </c>
      <c r="J722" s="19">
        <v>13379.594999999999</v>
      </c>
      <c r="K722" s="19">
        <v>11513.141</v>
      </c>
      <c r="L722" s="19">
        <v>9590.1810000000005</v>
      </c>
      <c r="M722" s="19">
        <v>7925.3909999999996</v>
      </c>
      <c r="N722" s="19">
        <v>6675.0140000000001</v>
      </c>
      <c r="O722" s="19">
        <v>5614.4780000000001</v>
      </c>
      <c r="P722" s="19">
        <v>4630.723</v>
      </c>
      <c r="Q722" s="19">
        <v>3752.73</v>
      </c>
      <c r="R722" s="19">
        <v>3049.143</v>
      </c>
      <c r="S722" s="19">
        <v>2419.1849999999999</v>
      </c>
      <c r="T722" s="19">
        <v>1943.5609999999999</v>
      </c>
      <c r="U722" s="19">
        <v>1500.7370000000001</v>
      </c>
      <c r="V722" s="19">
        <v>1101.7239999999999</v>
      </c>
      <c r="W722" s="19">
        <v>788.12900000000002</v>
      </c>
      <c r="X722" s="19">
        <v>487.98700000000002</v>
      </c>
      <c r="Y722" s="19">
        <v>247.38399999999999</v>
      </c>
      <c r="Z722" s="19">
        <v>86.745000000000005</v>
      </c>
      <c r="AA722" s="19">
        <v>19.2</v>
      </c>
      <c r="AB722" s="19">
        <v>2.4420000000000002</v>
      </c>
      <c r="AC722" s="19">
        <v>0.193</v>
      </c>
    </row>
    <row r="723" spans="1:29" ht="11.65" hidden="1" x14ac:dyDescent="0.35">
      <c r="A723" s="12">
        <v>706</v>
      </c>
      <c r="B723" s="10" t="s">
        <v>1015</v>
      </c>
      <c r="C723" s="11" t="s">
        <v>1078</v>
      </c>
      <c r="D723" s="9"/>
      <c r="E723" s="9">
        <v>24</v>
      </c>
      <c r="F723" s="10" t="s">
        <v>1066</v>
      </c>
      <c r="G723" s="9">
        <v>911</v>
      </c>
      <c r="H723" s="9">
        <v>1950</v>
      </c>
      <c r="I723" s="8">
        <v>370.76</v>
      </c>
      <c r="J723" s="8">
        <v>287.39699999999999</v>
      </c>
      <c r="K723" s="8">
        <v>259.00799999999998</v>
      </c>
      <c r="L723" s="8">
        <v>236.571</v>
      </c>
      <c r="M723" s="8">
        <v>218.173</v>
      </c>
      <c r="N723" s="8">
        <v>191.61699999999999</v>
      </c>
      <c r="O723" s="8">
        <v>166.53399999999999</v>
      </c>
      <c r="P723" s="8">
        <v>139.947</v>
      </c>
      <c r="Q723" s="8">
        <v>113.836</v>
      </c>
      <c r="R723" s="8">
        <v>94.134</v>
      </c>
      <c r="S723" s="8">
        <v>78.941000000000003</v>
      </c>
      <c r="T723" s="8">
        <v>64.090999999999994</v>
      </c>
      <c r="U723" s="8">
        <v>44.853999999999999</v>
      </c>
      <c r="V723" s="8">
        <v>33.901000000000003</v>
      </c>
      <c r="W723" s="8">
        <v>22.876999999999999</v>
      </c>
      <c r="X723" s="8">
        <v>11.808</v>
      </c>
      <c r="Y723" s="8">
        <v>4.83</v>
      </c>
      <c r="Z723" s="8">
        <v>1.802</v>
      </c>
      <c r="AA723" s="8">
        <v>0.27300000000000002</v>
      </c>
      <c r="AB723" s="8">
        <v>2.4E-2</v>
      </c>
      <c r="AC723" s="8">
        <v>1E-3</v>
      </c>
    </row>
    <row r="724" spans="1:29" ht="11.65" hidden="1" x14ac:dyDescent="0.35">
      <c r="A724" s="12">
        <v>707</v>
      </c>
      <c r="B724" s="10" t="s">
        <v>1015</v>
      </c>
      <c r="C724" s="11" t="s">
        <v>1078</v>
      </c>
      <c r="D724" s="9"/>
      <c r="E724" s="9">
        <v>24</v>
      </c>
      <c r="F724" s="10" t="s">
        <v>1066</v>
      </c>
      <c r="G724" s="9">
        <v>911</v>
      </c>
      <c r="H724" s="9">
        <v>1955</v>
      </c>
      <c r="I724" s="8">
        <v>439.28199999999998</v>
      </c>
      <c r="J724" s="8">
        <v>324.97500000000002</v>
      </c>
      <c r="K724" s="8">
        <v>274.64999999999998</v>
      </c>
      <c r="L724" s="8">
        <v>249.26599999999999</v>
      </c>
      <c r="M724" s="8">
        <v>225.52099999999999</v>
      </c>
      <c r="N724" s="8">
        <v>206.5</v>
      </c>
      <c r="O724" s="8">
        <v>180.46600000000001</v>
      </c>
      <c r="P724" s="8">
        <v>156.14400000000001</v>
      </c>
      <c r="Q724" s="8">
        <v>130.70099999999999</v>
      </c>
      <c r="R724" s="8">
        <v>105.997</v>
      </c>
      <c r="S724" s="8">
        <v>86.789000000000001</v>
      </c>
      <c r="T724" s="8">
        <v>71.168000000000006</v>
      </c>
      <c r="U724" s="8">
        <v>55.363999999999997</v>
      </c>
      <c r="V724" s="8">
        <v>36.191000000000003</v>
      </c>
      <c r="W724" s="8">
        <v>24.538</v>
      </c>
      <c r="X724" s="8">
        <v>14.089</v>
      </c>
      <c r="Y724" s="8">
        <v>5.8470000000000004</v>
      </c>
      <c r="Z724" s="8">
        <v>1.7849999999999999</v>
      </c>
      <c r="AA724" s="8">
        <v>0.46200000000000002</v>
      </c>
      <c r="AB724" s="8">
        <v>4.3999999999999997E-2</v>
      </c>
      <c r="AC724" s="8">
        <v>2E-3</v>
      </c>
    </row>
    <row r="725" spans="1:29" ht="11.65" hidden="1" x14ac:dyDescent="0.35">
      <c r="A725" s="12">
        <v>708</v>
      </c>
      <c r="B725" s="10" t="s">
        <v>1015</v>
      </c>
      <c r="C725" s="11" t="s">
        <v>1078</v>
      </c>
      <c r="D725" s="9"/>
      <c r="E725" s="9">
        <v>24</v>
      </c>
      <c r="F725" s="10" t="s">
        <v>1066</v>
      </c>
      <c r="G725" s="9">
        <v>911</v>
      </c>
      <c r="H725" s="9">
        <v>1960</v>
      </c>
      <c r="I725" s="8">
        <v>500.54300000000001</v>
      </c>
      <c r="J725" s="8">
        <v>388.02800000000002</v>
      </c>
      <c r="K725" s="8">
        <v>230.81899999999999</v>
      </c>
      <c r="L725" s="8">
        <v>184.667</v>
      </c>
      <c r="M725" s="8">
        <v>218.006</v>
      </c>
      <c r="N725" s="8">
        <v>244.46299999999999</v>
      </c>
      <c r="O725" s="8">
        <v>205.00800000000001</v>
      </c>
      <c r="P725" s="8">
        <v>165.17400000000001</v>
      </c>
      <c r="Q725" s="8">
        <v>138.77699999999999</v>
      </c>
      <c r="R725" s="8">
        <v>113.182</v>
      </c>
      <c r="S725" s="8">
        <v>88.234999999999999</v>
      </c>
      <c r="T725" s="8">
        <v>70.905000000000001</v>
      </c>
      <c r="U725" s="8">
        <v>56.451000000000001</v>
      </c>
      <c r="V725" s="8">
        <v>40.366</v>
      </c>
      <c r="W725" s="8">
        <v>23.672999999999998</v>
      </c>
      <c r="X725" s="8">
        <v>13.602</v>
      </c>
      <c r="Y725" s="8">
        <v>6.6289999999999996</v>
      </c>
      <c r="Z725" s="8">
        <v>2.165</v>
      </c>
      <c r="AA725" s="8">
        <v>0.45700000000000002</v>
      </c>
      <c r="AB725" s="8">
        <v>7.3999999999999996E-2</v>
      </c>
      <c r="AC725" s="8">
        <v>4.0000000000000001E-3</v>
      </c>
    </row>
    <row r="726" spans="1:29" ht="11.65" hidden="1" x14ac:dyDescent="0.35">
      <c r="A726" s="12">
        <v>709</v>
      </c>
      <c r="B726" s="10" t="s">
        <v>1015</v>
      </c>
      <c r="C726" s="11" t="s">
        <v>1078</v>
      </c>
      <c r="D726" s="9"/>
      <c r="E726" s="9">
        <v>24</v>
      </c>
      <c r="F726" s="10" t="s">
        <v>1066</v>
      </c>
      <c r="G726" s="9">
        <v>911</v>
      </c>
      <c r="H726" s="9">
        <v>1965</v>
      </c>
      <c r="I726" s="8">
        <v>506.69499999999999</v>
      </c>
      <c r="J726" s="8">
        <v>422.21899999999999</v>
      </c>
      <c r="K726" s="8">
        <v>352.19299999999998</v>
      </c>
      <c r="L726" s="8">
        <v>206.857</v>
      </c>
      <c r="M726" s="8">
        <v>164.60499999999999</v>
      </c>
      <c r="N726" s="8">
        <v>196.536</v>
      </c>
      <c r="O726" s="8">
        <v>221.74799999999999</v>
      </c>
      <c r="P726" s="8">
        <v>184.52199999999999</v>
      </c>
      <c r="Q726" s="8">
        <v>147.374</v>
      </c>
      <c r="R726" s="8">
        <v>123.248</v>
      </c>
      <c r="S726" s="8">
        <v>99.331999999999994</v>
      </c>
      <c r="T726" s="8">
        <v>75.605000000000004</v>
      </c>
      <c r="U726" s="8">
        <v>58.366</v>
      </c>
      <c r="V726" s="8">
        <v>43.572000000000003</v>
      </c>
      <c r="W726" s="8">
        <v>28.016999999999999</v>
      </c>
      <c r="X726" s="8">
        <v>14</v>
      </c>
      <c r="Y726" s="8">
        <v>6.44</v>
      </c>
      <c r="Z726" s="8">
        <v>2.4609999999999999</v>
      </c>
      <c r="AA726" s="8">
        <v>0.55400000000000005</v>
      </c>
      <c r="AB726" s="8">
        <v>7.2999999999999995E-2</v>
      </c>
      <c r="AC726" s="8">
        <v>7.0000000000000001E-3</v>
      </c>
    </row>
    <row r="727" spans="1:29" ht="11.65" hidden="1" x14ac:dyDescent="0.35">
      <c r="A727" s="12">
        <v>710</v>
      </c>
      <c r="B727" s="10" t="s">
        <v>1015</v>
      </c>
      <c r="C727" s="11" t="s">
        <v>1078</v>
      </c>
      <c r="D727" s="9"/>
      <c r="E727" s="9">
        <v>24</v>
      </c>
      <c r="F727" s="10" t="s">
        <v>1066</v>
      </c>
      <c r="G727" s="9">
        <v>911</v>
      </c>
      <c r="H727" s="9">
        <v>1970</v>
      </c>
      <c r="I727" s="8">
        <v>515.23500000000001</v>
      </c>
      <c r="J727" s="8">
        <v>433.13600000000002</v>
      </c>
      <c r="K727" s="8">
        <v>342.09300000000002</v>
      </c>
      <c r="L727" s="8">
        <v>243.607</v>
      </c>
      <c r="M727" s="8">
        <v>232.47800000000001</v>
      </c>
      <c r="N727" s="8">
        <v>200.58</v>
      </c>
      <c r="O727" s="8">
        <v>205.459</v>
      </c>
      <c r="P727" s="8">
        <v>171.28700000000001</v>
      </c>
      <c r="Q727" s="8">
        <v>142.066</v>
      </c>
      <c r="R727" s="8">
        <v>97.468999999999994</v>
      </c>
      <c r="S727" s="8">
        <v>87.125</v>
      </c>
      <c r="T727" s="8">
        <v>60.707999999999998</v>
      </c>
      <c r="U727" s="8">
        <v>51.363999999999997</v>
      </c>
      <c r="V727" s="8">
        <v>30.841000000000001</v>
      </c>
      <c r="W727" s="8">
        <v>23.41</v>
      </c>
      <c r="X727" s="8">
        <v>10.976000000000001</v>
      </c>
      <c r="Y727" s="8">
        <v>0.6</v>
      </c>
      <c r="Z727" s="8">
        <v>2.399</v>
      </c>
      <c r="AA727" s="8">
        <v>0.63100000000000001</v>
      </c>
      <c r="AB727" s="8">
        <v>8.8999999999999996E-2</v>
      </c>
      <c r="AC727" s="8">
        <v>7.0000000000000001E-3</v>
      </c>
    </row>
    <row r="728" spans="1:29" ht="11.65" hidden="1" x14ac:dyDescent="0.35">
      <c r="A728" s="12">
        <v>711</v>
      </c>
      <c r="B728" s="10" t="s">
        <v>1015</v>
      </c>
      <c r="C728" s="11" t="s">
        <v>1078</v>
      </c>
      <c r="D728" s="9"/>
      <c r="E728" s="9">
        <v>24</v>
      </c>
      <c r="F728" s="10" t="s">
        <v>1066</v>
      </c>
      <c r="G728" s="9">
        <v>911</v>
      </c>
      <c r="H728" s="9">
        <v>1975</v>
      </c>
      <c r="I728" s="8">
        <v>682.69399999999996</v>
      </c>
      <c r="J728" s="8">
        <v>484.70800000000003</v>
      </c>
      <c r="K728" s="8">
        <v>432.06900000000002</v>
      </c>
      <c r="L728" s="8">
        <v>343.47300000000001</v>
      </c>
      <c r="M728" s="8">
        <v>243.53700000000001</v>
      </c>
      <c r="N728" s="8">
        <v>229.47900000000001</v>
      </c>
      <c r="O728" s="8">
        <v>197.18799999999999</v>
      </c>
      <c r="P728" s="8">
        <v>200.31899999999999</v>
      </c>
      <c r="Q728" s="8">
        <v>166.423</v>
      </c>
      <c r="R728" s="8">
        <v>137.524</v>
      </c>
      <c r="S728" s="8">
        <v>93.947999999999993</v>
      </c>
      <c r="T728" s="8">
        <v>81.988</v>
      </c>
      <c r="U728" s="8">
        <v>55.137</v>
      </c>
      <c r="V728" s="8">
        <v>43.515999999999998</v>
      </c>
      <c r="W728" s="8">
        <v>23.545999999999999</v>
      </c>
      <c r="X728" s="8">
        <v>15.103999999999999</v>
      </c>
      <c r="Y728" s="8">
        <v>5.7279999999999998</v>
      </c>
      <c r="Z728" s="8">
        <v>0.311</v>
      </c>
      <c r="AA728" s="8">
        <v>0.61799999999999999</v>
      </c>
      <c r="AB728" s="8">
        <v>0.10100000000000001</v>
      </c>
      <c r="AC728" s="8">
        <v>8.9999999999999993E-3</v>
      </c>
    </row>
    <row r="729" spans="1:29" ht="11.65" hidden="1" x14ac:dyDescent="0.35">
      <c r="A729" s="12">
        <v>712</v>
      </c>
      <c r="B729" s="10" t="s">
        <v>1015</v>
      </c>
      <c r="C729" s="11" t="s">
        <v>1078</v>
      </c>
      <c r="D729" s="9"/>
      <c r="E729" s="9">
        <v>24</v>
      </c>
      <c r="F729" s="10" t="s">
        <v>1066</v>
      </c>
      <c r="G729" s="9">
        <v>911</v>
      </c>
      <c r="H729" s="9">
        <v>1980</v>
      </c>
      <c r="I729" s="8">
        <v>801.16200000000003</v>
      </c>
      <c r="J729" s="8">
        <v>643.26400000000001</v>
      </c>
      <c r="K729" s="8">
        <v>483.483</v>
      </c>
      <c r="L729" s="8">
        <v>432.01499999999999</v>
      </c>
      <c r="M729" s="8">
        <v>340.93299999999999</v>
      </c>
      <c r="N729" s="8">
        <v>240.87899999999999</v>
      </c>
      <c r="O729" s="8">
        <v>225.56200000000001</v>
      </c>
      <c r="P729" s="8">
        <v>193.113</v>
      </c>
      <c r="Q729" s="8">
        <v>194.512</v>
      </c>
      <c r="R729" s="8">
        <v>160.90299999999999</v>
      </c>
      <c r="S729" s="8">
        <v>131.58799999999999</v>
      </c>
      <c r="T729" s="8">
        <v>88.459000000000003</v>
      </c>
      <c r="U729" s="8">
        <v>74.031999999999996</v>
      </c>
      <c r="V729" s="8">
        <v>46.82</v>
      </c>
      <c r="W729" s="8">
        <v>33.073999999999998</v>
      </c>
      <c r="X729" s="8">
        <v>15.278</v>
      </c>
      <c r="Y729" s="8">
        <v>7.851</v>
      </c>
      <c r="Z729" s="8">
        <v>2.1539999999999999</v>
      </c>
      <c r="AA729" s="8">
        <v>0</v>
      </c>
      <c r="AB729" s="8">
        <v>9.9000000000000005E-2</v>
      </c>
      <c r="AC729" s="8">
        <v>0.01</v>
      </c>
    </row>
    <row r="730" spans="1:29" ht="11.65" hidden="1" x14ac:dyDescent="0.35">
      <c r="A730" s="12">
        <v>713</v>
      </c>
      <c r="B730" s="10" t="s">
        <v>1015</v>
      </c>
      <c r="C730" s="11" t="s">
        <v>1078</v>
      </c>
      <c r="D730" s="9"/>
      <c r="E730" s="9">
        <v>24</v>
      </c>
      <c r="F730" s="10" t="s">
        <v>1066</v>
      </c>
      <c r="G730" s="9">
        <v>911</v>
      </c>
      <c r="H730" s="9">
        <v>1985</v>
      </c>
      <c r="I730" s="8">
        <v>970.33</v>
      </c>
      <c r="J730" s="8">
        <v>760.36300000000006</v>
      </c>
      <c r="K730" s="8">
        <v>640.81700000000001</v>
      </c>
      <c r="L730" s="8">
        <v>484.23899999999998</v>
      </c>
      <c r="M730" s="8">
        <v>429.39</v>
      </c>
      <c r="N730" s="8">
        <v>337.82400000000001</v>
      </c>
      <c r="O730" s="8">
        <v>238.23099999999999</v>
      </c>
      <c r="P730" s="8">
        <v>220.751</v>
      </c>
      <c r="Q730" s="8">
        <v>188.10499999999999</v>
      </c>
      <c r="R730" s="8">
        <v>187.86199999999999</v>
      </c>
      <c r="S730" s="8">
        <v>153.88300000000001</v>
      </c>
      <c r="T730" s="8">
        <v>123.358</v>
      </c>
      <c r="U730" s="8">
        <v>80.173000000000002</v>
      </c>
      <c r="V730" s="8">
        <v>62.820999999999998</v>
      </c>
      <c r="W730" s="8">
        <v>35.895000000000003</v>
      </c>
      <c r="X730" s="8">
        <v>21.533000000000001</v>
      </c>
      <c r="Y730" s="8">
        <v>8.0660000000000007</v>
      </c>
      <c r="Z730" s="8">
        <v>2.9620000000000002</v>
      </c>
      <c r="AA730" s="8">
        <v>0.55600000000000005</v>
      </c>
      <c r="AB730" s="8">
        <v>0</v>
      </c>
      <c r="AC730" s="8">
        <v>0.01</v>
      </c>
    </row>
    <row r="731" spans="1:29" ht="11.65" hidden="1" x14ac:dyDescent="0.35">
      <c r="A731" s="12">
        <v>714</v>
      </c>
      <c r="B731" s="10" t="s">
        <v>1015</v>
      </c>
      <c r="C731" s="11" t="s">
        <v>1078</v>
      </c>
      <c r="D731" s="9"/>
      <c r="E731" s="9">
        <v>24</v>
      </c>
      <c r="F731" s="10" t="s">
        <v>1066</v>
      </c>
      <c r="G731" s="9">
        <v>911</v>
      </c>
      <c r="H731" s="9">
        <v>1990</v>
      </c>
      <c r="I731" s="8">
        <v>1161.3489999999999</v>
      </c>
      <c r="J731" s="8">
        <v>916.6</v>
      </c>
      <c r="K731" s="8">
        <v>752.99400000000003</v>
      </c>
      <c r="L731" s="8">
        <v>636.23099999999999</v>
      </c>
      <c r="M731" s="8">
        <v>478.54199999999997</v>
      </c>
      <c r="N731" s="8">
        <v>421.85500000000002</v>
      </c>
      <c r="O731" s="8">
        <v>330.55900000000003</v>
      </c>
      <c r="P731" s="8">
        <v>232.46199999999999</v>
      </c>
      <c r="Q731" s="8">
        <v>213.83699999999999</v>
      </c>
      <c r="R731" s="8">
        <v>181.084</v>
      </c>
      <c r="S731" s="8">
        <v>178.471</v>
      </c>
      <c r="T731" s="8">
        <v>143.26599999999999</v>
      </c>
      <c r="U731" s="8">
        <v>110.574</v>
      </c>
      <c r="V731" s="8">
        <v>67.676000000000002</v>
      </c>
      <c r="W731" s="8">
        <v>47.720999999999997</v>
      </c>
      <c r="X731" s="8">
        <v>23.286000000000001</v>
      </c>
      <c r="Y731" s="8">
        <v>11.226000000000001</v>
      </c>
      <c r="Z731" s="8">
        <v>3.0489999999999999</v>
      </c>
      <c r="AA731" s="8">
        <v>0.76500000000000001</v>
      </c>
      <c r="AB731" s="8">
        <v>0.09</v>
      </c>
      <c r="AC731" s="8">
        <v>1E-3</v>
      </c>
    </row>
    <row r="732" spans="1:29" ht="11.65" hidden="1" x14ac:dyDescent="0.35">
      <c r="A732" s="12">
        <v>715</v>
      </c>
      <c r="B732" s="10" t="s">
        <v>1015</v>
      </c>
      <c r="C732" s="11" t="s">
        <v>1078</v>
      </c>
      <c r="D732" s="9"/>
      <c r="E732" s="9">
        <v>24</v>
      </c>
      <c r="F732" s="10" t="s">
        <v>1066</v>
      </c>
      <c r="G732" s="9">
        <v>911</v>
      </c>
      <c r="H732" s="9">
        <v>1995</v>
      </c>
      <c r="I732" s="8">
        <v>1340.277</v>
      </c>
      <c r="J732" s="8">
        <v>1091.1579999999999</v>
      </c>
      <c r="K732" s="8">
        <v>902.75099999999998</v>
      </c>
      <c r="L732" s="8">
        <v>743.74699999999996</v>
      </c>
      <c r="M732" s="8">
        <v>624.21500000000003</v>
      </c>
      <c r="N732" s="8">
        <v>467.57799999999997</v>
      </c>
      <c r="O732" s="8">
        <v>410.233</v>
      </c>
      <c r="P732" s="8">
        <v>320.21699999999998</v>
      </c>
      <c r="Q732" s="8">
        <v>224.20500000000001</v>
      </c>
      <c r="R732" s="8">
        <v>204.56100000000001</v>
      </c>
      <c r="S732" s="8">
        <v>171.33</v>
      </c>
      <c r="T732" s="8">
        <v>165.15899999999999</v>
      </c>
      <c r="U732" s="8">
        <v>127.655</v>
      </c>
      <c r="V732" s="8">
        <v>92.528000000000006</v>
      </c>
      <c r="W732" s="8">
        <v>51.155999999999999</v>
      </c>
      <c r="X732" s="8">
        <v>30.727</v>
      </c>
      <c r="Y732" s="8">
        <v>12.074999999999999</v>
      </c>
      <c r="Z732" s="8">
        <v>4.2460000000000004</v>
      </c>
      <c r="AA732" s="8">
        <v>0.78900000000000003</v>
      </c>
      <c r="AB732" s="8">
        <v>0.123</v>
      </c>
      <c r="AC732" s="8">
        <v>8.0000000000000002E-3</v>
      </c>
    </row>
    <row r="733" spans="1:29" ht="11.65" hidden="1" x14ac:dyDescent="0.35">
      <c r="A733" s="12">
        <v>716</v>
      </c>
      <c r="B733" s="10" t="s">
        <v>1015</v>
      </c>
      <c r="C733" s="11" t="s">
        <v>1078</v>
      </c>
      <c r="D733" s="9"/>
      <c r="E733" s="9">
        <v>24</v>
      </c>
      <c r="F733" s="10" t="s">
        <v>1066</v>
      </c>
      <c r="G733" s="9">
        <v>911</v>
      </c>
      <c r="H733" s="9">
        <v>2000</v>
      </c>
      <c r="I733" s="8">
        <v>1546.98</v>
      </c>
      <c r="J733" s="8">
        <v>1264.836</v>
      </c>
      <c r="K733" s="8">
        <v>1077.2850000000001</v>
      </c>
      <c r="L733" s="8">
        <v>893.95299999999997</v>
      </c>
      <c r="M733" s="8">
        <v>731.54399999999998</v>
      </c>
      <c r="N733" s="8">
        <v>610.30200000000002</v>
      </c>
      <c r="O733" s="8">
        <v>456.065</v>
      </c>
      <c r="P733" s="8">
        <v>398.35599999999999</v>
      </c>
      <c r="Q733" s="8">
        <v>309.78800000000001</v>
      </c>
      <c r="R733" s="8">
        <v>216.36799999999999</v>
      </c>
      <c r="S733" s="8">
        <v>194.958</v>
      </c>
      <c r="T733" s="8">
        <v>159.89500000000001</v>
      </c>
      <c r="U733" s="8">
        <v>147.95500000000001</v>
      </c>
      <c r="V733" s="8">
        <v>107.336</v>
      </c>
      <c r="W733" s="8">
        <v>70.052000000000007</v>
      </c>
      <c r="X733" s="8">
        <v>33.054000000000002</v>
      </c>
      <c r="Y733" s="8">
        <v>15.914999999999999</v>
      </c>
      <c r="Z733" s="8">
        <v>4.5759999999999996</v>
      </c>
      <c r="AA733" s="8">
        <v>1.1000000000000001</v>
      </c>
      <c r="AB733" s="8">
        <v>0.128</v>
      </c>
      <c r="AC733" s="8">
        <v>1.2E-2</v>
      </c>
    </row>
    <row r="734" spans="1:29" ht="11.65" hidden="1" x14ac:dyDescent="0.35">
      <c r="A734" s="12">
        <v>717</v>
      </c>
      <c r="B734" s="10" t="s">
        <v>1015</v>
      </c>
      <c r="C734" s="11" t="s">
        <v>1078</v>
      </c>
      <c r="D734" s="9"/>
      <c r="E734" s="9">
        <v>24</v>
      </c>
      <c r="F734" s="10" t="s">
        <v>1066</v>
      </c>
      <c r="G734" s="9">
        <v>911</v>
      </c>
      <c r="H734" s="9">
        <v>2005</v>
      </c>
      <c r="I734" s="8">
        <v>1842.6579999999999</v>
      </c>
      <c r="J734" s="8">
        <v>1478.9169999999999</v>
      </c>
      <c r="K734" s="8">
        <v>1255.1690000000001</v>
      </c>
      <c r="L734" s="8">
        <v>1071.06</v>
      </c>
      <c r="M734" s="8">
        <v>883.18</v>
      </c>
      <c r="N734" s="8">
        <v>718.87699999999995</v>
      </c>
      <c r="O734" s="8">
        <v>597.73599999999999</v>
      </c>
      <c r="P734" s="8">
        <v>445.71499999999997</v>
      </c>
      <c r="Q734" s="8">
        <v>387.26100000000002</v>
      </c>
      <c r="R734" s="8">
        <v>299.79700000000003</v>
      </c>
      <c r="S734" s="8">
        <v>207.76</v>
      </c>
      <c r="T734" s="8">
        <v>183.14</v>
      </c>
      <c r="U734" s="8">
        <v>144.69999999999999</v>
      </c>
      <c r="V734" s="8">
        <v>125.502</v>
      </c>
      <c r="W734" s="8">
        <v>82.119</v>
      </c>
      <c r="X734" s="8">
        <v>45.722999999999999</v>
      </c>
      <c r="Y734" s="8">
        <v>17.347999999999999</v>
      </c>
      <c r="Z734" s="8">
        <v>6.0880000000000001</v>
      </c>
      <c r="AA734" s="8">
        <v>1.194</v>
      </c>
      <c r="AB734" s="8">
        <v>0.17799999999999999</v>
      </c>
      <c r="AC734" s="8">
        <v>1.2E-2</v>
      </c>
    </row>
    <row r="735" spans="1:29" ht="11.65" hidden="1" x14ac:dyDescent="0.35">
      <c r="A735" s="12">
        <v>718</v>
      </c>
      <c r="B735" s="10" t="s">
        <v>1015</v>
      </c>
      <c r="C735" s="11" t="s">
        <v>1078</v>
      </c>
      <c r="D735" s="9"/>
      <c r="E735" s="9">
        <v>24</v>
      </c>
      <c r="F735" s="10" t="s">
        <v>1066</v>
      </c>
      <c r="G735" s="9">
        <v>911</v>
      </c>
      <c r="H735" s="9">
        <v>2010</v>
      </c>
      <c r="I735" s="8">
        <v>2239.0349999999999</v>
      </c>
      <c r="J735" s="8">
        <v>1800.01</v>
      </c>
      <c r="K735" s="8">
        <v>1478.2239999999999</v>
      </c>
      <c r="L735" s="8">
        <v>1255.663</v>
      </c>
      <c r="M735" s="8">
        <v>1068.258</v>
      </c>
      <c r="N735" s="8">
        <v>877.07</v>
      </c>
      <c r="O735" s="8">
        <v>712.31899999999996</v>
      </c>
      <c r="P735" s="8">
        <v>590.5</v>
      </c>
      <c r="Q735" s="8">
        <v>439.35500000000002</v>
      </c>
      <c r="R735" s="8">
        <v>379.16199999999998</v>
      </c>
      <c r="S735" s="8">
        <v>290.79399999999998</v>
      </c>
      <c r="T735" s="8">
        <v>197.52199999999999</v>
      </c>
      <c r="U735" s="8">
        <v>167.91499999999999</v>
      </c>
      <c r="V735" s="8">
        <v>125.093</v>
      </c>
      <c r="W735" s="8">
        <v>97.98</v>
      </c>
      <c r="X735" s="8">
        <v>54.901000000000003</v>
      </c>
      <c r="Y735" s="8">
        <v>24.553000000000001</v>
      </c>
      <c r="Z735" s="8">
        <v>6.7880000000000003</v>
      </c>
      <c r="AA735" s="8">
        <v>1.615</v>
      </c>
      <c r="AB735" s="8">
        <v>0.19600000000000001</v>
      </c>
      <c r="AC735" s="8">
        <v>1.7000000000000001E-2</v>
      </c>
    </row>
    <row r="736" spans="1:29" ht="11.65" hidden="1" x14ac:dyDescent="0.35">
      <c r="A736" s="12">
        <v>719</v>
      </c>
      <c r="B736" s="10" t="s">
        <v>1015</v>
      </c>
      <c r="C736" s="11" t="s">
        <v>1078</v>
      </c>
      <c r="D736" s="9"/>
      <c r="E736" s="9">
        <v>24</v>
      </c>
      <c r="F736" s="10" t="s">
        <v>1066</v>
      </c>
      <c r="G736" s="9">
        <v>911</v>
      </c>
      <c r="H736" s="9">
        <v>2015</v>
      </c>
      <c r="I736" s="8">
        <v>2576.5740000000001</v>
      </c>
      <c r="J736" s="8">
        <v>2197.12</v>
      </c>
      <c r="K736" s="8">
        <v>1793.2670000000001</v>
      </c>
      <c r="L736" s="8">
        <v>1473.079</v>
      </c>
      <c r="M736" s="8">
        <v>1246.606</v>
      </c>
      <c r="N736" s="8">
        <v>1057.068</v>
      </c>
      <c r="O736" s="8">
        <v>865.79300000000001</v>
      </c>
      <c r="P736" s="8">
        <v>700.89499999999998</v>
      </c>
      <c r="Q736" s="8">
        <v>578.25400000000002</v>
      </c>
      <c r="R736" s="8">
        <v>427.73399999999998</v>
      </c>
      <c r="S736" s="8">
        <v>365.04</v>
      </c>
      <c r="T736" s="8">
        <v>275.214</v>
      </c>
      <c r="U736" s="8">
        <v>181.512</v>
      </c>
      <c r="V736" s="8">
        <v>146.191</v>
      </c>
      <c r="W736" s="8">
        <v>99.366</v>
      </c>
      <c r="X736" s="8">
        <v>67.063000000000002</v>
      </c>
      <c r="Y736" s="8">
        <v>30.266999999999999</v>
      </c>
      <c r="Z736" s="8">
        <v>9.9459999999999997</v>
      </c>
      <c r="AA736" s="8">
        <v>1.855</v>
      </c>
      <c r="AB736" s="8">
        <v>0.27300000000000002</v>
      </c>
      <c r="AC736" s="8">
        <v>1.9E-2</v>
      </c>
    </row>
    <row r="737" spans="1:29" ht="11.65" hidden="1" x14ac:dyDescent="0.35">
      <c r="A737" s="12">
        <v>720</v>
      </c>
      <c r="B737" s="10" t="s">
        <v>1015</v>
      </c>
      <c r="C737" s="11" t="s">
        <v>1078</v>
      </c>
      <c r="D737" s="9"/>
      <c r="E737" s="9">
        <v>24</v>
      </c>
      <c r="F737" s="10" t="s">
        <v>1066</v>
      </c>
      <c r="G737" s="9">
        <v>911</v>
      </c>
      <c r="H737" s="9">
        <v>2020</v>
      </c>
      <c r="I737" s="8">
        <v>2871.49</v>
      </c>
      <c r="J737" s="8">
        <v>2535.92</v>
      </c>
      <c r="K737" s="8">
        <v>2182.6660000000002</v>
      </c>
      <c r="L737" s="8">
        <v>1780.69</v>
      </c>
      <c r="M737" s="8">
        <v>1458.325</v>
      </c>
      <c r="N737" s="8">
        <v>1231.078</v>
      </c>
      <c r="O737" s="8">
        <v>1041.425</v>
      </c>
      <c r="P737" s="8">
        <v>850.12099999999998</v>
      </c>
      <c r="Q737" s="8">
        <v>684.93200000000002</v>
      </c>
      <c r="R737" s="8">
        <v>561.29</v>
      </c>
      <c r="S737" s="8">
        <v>410.84800000000001</v>
      </c>
      <c r="T737" s="8">
        <v>344.80200000000002</v>
      </c>
      <c r="U737" s="8">
        <v>252.68299999999999</v>
      </c>
      <c r="V737" s="8">
        <v>158.69200000000001</v>
      </c>
      <c r="W737" s="8">
        <v>117.389</v>
      </c>
      <c r="X737" s="8">
        <v>69.350999999999999</v>
      </c>
      <c r="Y737" s="8">
        <v>37.896999999999998</v>
      </c>
      <c r="Z737" s="8">
        <v>12.651999999999999</v>
      </c>
      <c r="AA737" s="8">
        <v>2.8010000000000002</v>
      </c>
      <c r="AB737" s="8">
        <v>0.31900000000000001</v>
      </c>
      <c r="AC737" s="8">
        <v>2.7E-2</v>
      </c>
    </row>
    <row r="738" spans="1:29" ht="11.65" hidden="1" x14ac:dyDescent="0.35">
      <c r="A738" s="12">
        <v>721</v>
      </c>
      <c r="B738" s="10" t="s">
        <v>1015</v>
      </c>
      <c r="C738" s="11" t="s">
        <v>1079</v>
      </c>
      <c r="D738" s="9"/>
      <c r="E738" s="9">
        <v>120</v>
      </c>
      <c r="F738" s="10" t="s">
        <v>1066</v>
      </c>
      <c r="G738" s="9">
        <v>911</v>
      </c>
      <c r="H738" s="9">
        <v>1950</v>
      </c>
      <c r="I738" s="8">
        <v>337.5</v>
      </c>
      <c r="J738" s="8">
        <v>271.08</v>
      </c>
      <c r="K738" s="8">
        <v>242.548</v>
      </c>
      <c r="L738" s="8">
        <v>216.03899999999999</v>
      </c>
      <c r="M738" s="8">
        <v>191.74199999999999</v>
      </c>
      <c r="N738" s="8">
        <v>169.21</v>
      </c>
      <c r="O738" s="8">
        <v>148.22399999999999</v>
      </c>
      <c r="P738" s="8">
        <v>128.786</v>
      </c>
      <c r="Q738" s="8">
        <v>111.113</v>
      </c>
      <c r="R738" s="8">
        <v>95.429000000000002</v>
      </c>
      <c r="S738" s="8">
        <v>80.849000000000004</v>
      </c>
      <c r="T738" s="8">
        <v>66.712000000000003</v>
      </c>
      <c r="U738" s="8">
        <v>52.795999999999999</v>
      </c>
      <c r="V738" s="8">
        <v>38.656999999999996</v>
      </c>
      <c r="W738" s="8">
        <v>24.962</v>
      </c>
      <c r="X738" s="8">
        <v>13.695</v>
      </c>
      <c r="Y738" s="8">
        <v>4.8550000000000004</v>
      </c>
      <c r="Z738" s="8">
        <v>1.637</v>
      </c>
      <c r="AA738" s="8">
        <v>0.318</v>
      </c>
      <c r="AB738" s="8">
        <v>3.3000000000000002E-2</v>
      </c>
      <c r="AC738" s="8">
        <v>2E-3</v>
      </c>
    </row>
    <row r="739" spans="1:29" ht="11.65" hidden="1" x14ac:dyDescent="0.35">
      <c r="A739" s="12">
        <v>722</v>
      </c>
      <c r="B739" s="10" t="s">
        <v>1015</v>
      </c>
      <c r="C739" s="11" t="s">
        <v>1079</v>
      </c>
      <c r="D739" s="9"/>
      <c r="E739" s="9">
        <v>120</v>
      </c>
      <c r="F739" s="10" t="s">
        <v>1066</v>
      </c>
      <c r="G739" s="9">
        <v>911</v>
      </c>
      <c r="H739" s="9">
        <v>1955</v>
      </c>
      <c r="I739" s="8">
        <v>373.95</v>
      </c>
      <c r="J739" s="8">
        <v>297.89699999999999</v>
      </c>
      <c r="K739" s="8">
        <v>257.74299999999999</v>
      </c>
      <c r="L739" s="8">
        <v>233.69499999999999</v>
      </c>
      <c r="M739" s="8">
        <v>207.54900000000001</v>
      </c>
      <c r="N739" s="8">
        <v>183.166</v>
      </c>
      <c r="O739" s="8">
        <v>160.6</v>
      </c>
      <c r="P739" s="8">
        <v>139.804</v>
      </c>
      <c r="Q739" s="8">
        <v>120.74299999999999</v>
      </c>
      <c r="R739" s="8">
        <v>103.733</v>
      </c>
      <c r="S739" s="8">
        <v>88.253</v>
      </c>
      <c r="T739" s="8">
        <v>73.301000000000002</v>
      </c>
      <c r="U739" s="8">
        <v>58.377000000000002</v>
      </c>
      <c r="V739" s="8">
        <v>43.418999999999997</v>
      </c>
      <c r="W739" s="8">
        <v>28.762</v>
      </c>
      <c r="X739" s="8">
        <v>15.895</v>
      </c>
      <c r="Y739" s="8">
        <v>6.8109999999999999</v>
      </c>
      <c r="Z739" s="8">
        <v>1.6379999999999999</v>
      </c>
      <c r="AA739" s="8">
        <v>0.31900000000000001</v>
      </c>
      <c r="AB739" s="8">
        <v>3.3000000000000002E-2</v>
      </c>
      <c r="AC739" s="8">
        <v>2E-3</v>
      </c>
    </row>
    <row r="740" spans="1:29" ht="11.65" hidden="1" x14ac:dyDescent="0.35">
      <c r="A740" s="12">
        <v>723</v>
      </c>
      <c r="B740" s="10" t="s">
        <v>1015</v>
      </c>
      <c r="C740" s="11" t="s">
        <v>1079</v>
      </c>
      <c r="D740" s="9"/>
      <c r="E740" s="9">
        <v>120</v>
      </c>
      <c r="F740" s="10" t="s">
        <v>1066</v>
      </c>
      <c r="G740" s="9">
        <v>911</v>
      </c>
      <c r="H740" s="9">
        <v>1960</v>
      </c>
      <c r="I740" s="8">
        <v>413.95</v>
      </c>
      <c r="J740" s="8">
        <v>334.81599999999997</v>
      </c>
      <c r="K740" s="8">
        <v>285.18200000000002</v>
      </c>
      <c r="L740" s="8">
        <v>249.45</v>
      </c>
      <c r="M740" s="8">
        <v>225.40799999999999</v>
      </c>
      <c r="N740" s="8">
        <v>199.06299999999999</v>
      </c>
      <c r="O740" s="8">
        <v>174.59100000000001</v>
      </c>
      <c r="P740" s="8">
        <v>152.15</v>
      </c>
      <c r="Q740" s="8">
        <v>131.63900000000001</v>
      </c>
      <c r="R740" s="8">
        <v>113.16500000000001</v>
      </c>
      <c r="S740" s="8">
        <v>96.292000000000002</v>
      </c>
      <c r="T740" s="8">
        <v>80.334999999999994</v>
      </c>
      <c r="U740" s="8">
        <v>64.442999999999998</v>
      </c>
      <c r="V740" s="8">
        <v>48.262</v>
      </c>
      <c r="W740" s="8">
        <v>32.47</v>
      </c>
      <c r="X740" s="8">
        <v>18.375</v>
      </c>
      <c r="Y740" s="8">
        <v>7.8860000000000001</v>
      </c>
      <c r="Z740" s="8">
        <v>2.2589999999999999</v>
      </c>
      <c r="AA740" s="8">
        <v>0.30299999999999999</v>
      </c>
      <c r="AB740" s="8">
        <v>0.03</v>
      </c>
      <c r="AC740" s="8">
        <v>2E-3</v>
      </c>
    </row>
    <row r="741" spans="1:29" ht="11.65" hidden="1" x14ac:dyDescent="0.35">
      <c r="A741" s="12">
        <v>724</v>
      </c>
      <c r="B741" s="10" t="s">
        <v>1015</v>
      </c>
      <c r="C741" s="11" t="s">
        <v>1079</v>
      </c>
      <c r="D741" s="9"/>
      <c r="E741" s="9">
        <v>120</v>
      </c>
      <c r="F741" s="10" t="s">
        <v>1066</v>
      </c>
      <c r="G741" s="9">
        <v>911</v>
      </c>
      <c r="H741" s="9">
        <v>1965</v>
      </c>
      <c r="I741" s="8">
        <v>480.46699999999998</v>
      </c>
      <c r="J741" s="8">
        <v>376.07799999999997</v>
      </c>
      <c r="K741" s="8">
        <v>322.67599999999999</v>
      </c>
      <c r="L741" s="8">
        <v>277.24599999999998</v>
      </c>
      <c r="M741" s="8">
        <v>241.59700000000001</v>
      </c>
      <c r="N741" s="8">
        <v>217.10599999999999</v>
      </c>
      <c r="O741" s="8">
        <v>190.61</v>
      </c>
      <c r="P741" s="8">
        <v>166.19900000000001</v>
      </c>
      <c r="Q741" s="8">
        <v>143.946</v>
      </c>
      <c r="R741" s="8">
        <v>123.923</v>
      </c>
      <c r="S741" s="8">
        <v>105.497</v>
      </c>
      <c r="T741" s="8">
        <v>88.061999999999998</v>
      </c>
      <c r="U741" s="8">
        <v>71.019000000000005</v>
      </c>
      <c r="V741" s="8">
        <v>53.616</v>
      </c>
      <c r="W741" s="8">
        <v>36.329000000000001</v>
      </c>
      <c r="X741" s="8">
        <v>20.85</v>
      </c>
      <c r="Y741" s="8">
        <v>9.1120000000000001</v>
      </c>
      <c r="Z741" s="8">
        <v>2.5779999999999998</v>
      </c>
      <c r="AA741" s="8">
        <v>0.39900000000000002</v>
      </c>
      <c r="AB741" s="8">
        <v>2.5999999999999999E-2</v>
      </c>
      <c r="AC741" s="8">
        <v>2E-3</v>
      </c>
    </row>
    <row r="742" spans="1:29" ht="11.65" hidden="1" x14ac:dyDescent="0.35">
      <c r="A742" s="12">
        <v>725</v>
      </c>
      <c r="B742" s="10" t="s">
        <v>1015</v>
      </c>
      <c r="C742" s="11" t="s">
        <v>1079</v>
      </c>
      <c r="D742" s="9"/>
      <c r="E742" s="9">
        <v>120</v>
      </c>
      <c r="F742" s="10" t="s">
        <v>1066</v>
      </c>
      <c r="G742" s="9">
        <v>911</v>
      </c>
      <c r="H742" s="9">
        <v>1970</v>
      </c>
      <c r="I742" s="8">
        <v>561.41</v>
      </c>
      <c r="J742" s="8">
        <v>441.94200000000001</v>
      </c>
      <c r="K742" s="8">
        <v>364.40800000000002</v>
      </c>
      <c r="L742" s="8">
        <v>314.83300000000003</v>
      </c>
      <c r="M742" s="8">
        <v>269.39600000000002</v>
      </c>
      <c r="N742" s="8">
        <v>233.47900000000001</v>
      </c>
      <c r="O742" s="8">
        <v>208.65899999999999</v>
      </c>
      <c r="P742" s="8">
        <v>182.18700000000001</v>
      </c>
      <c r="Q742" s="8">
        <v>157.893</v>
      </c>
      <c r="R742" s="8">
        <v>136.04900000000001</v>
      </c>
      <c r="S742" s="8">
        <v>115.98699999999999</v>
      </c>
      <c r="T742" s="8">
        <v>96.911000000000001</v>
      </c>
      <c r="U742" s="8">
        <v>78.269000000000005</v>
      </c>
      <c r="V742" s="8">
        <v>59.466000000000001</v>
      </c>
      <c r="W742" s="8">
        <v>40.639000000000003</v>
      </c>
      <c r="X742" s="8">
        <v>23.472999999999999</v>
      </c>
      <c r="Y742" s="8">
        <v>10.358000000000001</v>
      </c>
      <c r="Z742" s="8">
        <v>2.948</v>
      </c>
      <c r="AA742" s="8">
        <v>0.437</v>
      </c>
      <c r="AB742" s="8">
        <v>3.3000000000000002E-2</v>
      </c>
      <c r="AC742" s="8">
        <v>1E-3</v>
      </c>
    </row>
    <row r="743" spans="1:29" ht="11.65" hidden="1" x14ac:dyDescent="0.35">
      <c r="A743" s="12">
        <v>726</v>
      </c>
      <c r="B743" s="10" t="s">
        <v>1015</v>
      </c>
      <c r="C743" s="11" t="s">
        <v>1079</v>
      </c>
      <c r="D743" s="9"/>
      <c r="E743" s="9">
        <v>120</v>
      </c>
      <c r="F743" s="10" t="s">
        <v>1066</v>
      </c>
      <c r="G743" s="9">
        <v>911</v>
      </c>
      <c r="H743" s="9">
        <v>1975</v>
      </c>
      <c r="I743" s="8">
        <v>659.77</v>
      </c>
      <c r="J743" s="8">
        <v>523.65899999999999</v>
      </c>
      <c r="K743" s="8">
        <v>430.7</v>
      </c>
      <c r="L743" s="8">
        <v>356.94099999999997</v>
      </c>
      <c r="M743" s="8">
        <v>307.02499999999998</v>
      </c>
      <c r="N743" s="8">
        <v>261.29599999999999</v>
      </c>
      <c r="O743" s="8">
        <v>225.30600000000001</v>
      </c>
      <c r="P743" s="8">
        <v>200.33500000000001</v>
      </c>
      <c r="Q743" s="8">
        <v>173.892</v>
      </c>
      <c r="R743" s="8">
        <v>149.91499999999999</v>
      </c>
      <c r="S743" s="8">
        <v>127.934</v>
      </c>
      <c r="T743" s="8">
        <v>107.122</v>
      </c>
      <c r="U743" s="8">
        <v>86.712999999999994</v>
      </c>
      <c r="V743" s="8">
        <v>66.081999999999994</v>
      </c>
      <c r="W743" s="8">
        <v>45.51</v>
      </c>
      <c r="X743" s="8">
        <v>26.515000000000001</v>
      </c>
      <c r="Y743" s="8">
        <v>11.731</v>
      </c>
      <c r="Z743" s="8">
        <v>3.3279999999999998</v>
      </c>
      <c r="AA743" s="8">
        <v>0.47899999999999998</v>
      </c>
      <c r="AB743" s="8">
        <v>3.1E-2</v>
      </c>
      <c r="AC743" s="8">
        <v>2E-3</v>
      </c>
    </row>
    <row r="744" spans="1:29" ht="11.65" hidden="1" x14ac:dyDescent="0.35">
      <c r="A744" s="12">
        <v>727</v>
      </c>
      <c r="B744" s="10" t="s">
        <v>1015</v>
      </c>
      <c r="C744" s="11" t="s">
        <v>1079</v>
      </c>
      <c r="D744" s="9"/>
      <c r="E744" s="9">
        <v>120</v>
      </c>
      <c r="F744" s="10" t="s">
        <v>1066</v>
      </c>
      <c r="G744" s="9">
        <v>911</v>
      </c>
      <c r="H744" s="9">
        <v>1980</v>
      </c>
      <c r="I744" s="8">
        <v>782.971</v>
      </c>
      <c r="J744" s="8">
        <v>622.65</v>
      </c>
      <c r="K744" s="8">
        <v>512.673</v>
      </c>
      <c r="L744" s="8">
        <v>423.33499999999998</v>
      </c>
      <c r="M744" s="8">
        <v>349.44</v>
      </c>
      <c r="N744" s="8">
        <v>299.10000000000002</v>
      </c>
      <c r="O744" s="8">
        <v>253.333</v>
      </c>
      <c r="P744" s="8">
        <v>217.35300000000001</v>
      </c>
      <c r="Q744" s="8">
        <v>192.12700000000001</v>
      </c>
      <c r="R744" s="8">
        <v>165.858</v>
      </c>
      <c r="S744" s="8">
        <v>141.62100000000001</v>
      </c>
      <c r="T744" s="8">
        <v>118.773</v>
      </c>
      <c r="U744" s="8">
        <v>96.47</v>
      </c>
      <c r="V744" s="8">
        <v>73.807000000000002</v>
      </c>
      <c r="W744" s="8">
        <v>51.072000000000003</v>
      </c>
      <c r="X744" s="8">
        <v>30.015999999999998</v>
      </c>
      <c r="Y744" s="8">
        <v>13.368</v>
      </c>
      <c r="Z744" s="8">
        <v>3.7650000000000001</v>
      </c>
      <c r="AA744" s="8">
        <v>0.52600000000000002</v>
      </c>
      <c r="AB744" s="8">
        <v>3.2000000000000001E-2</v>
      </c>
      <c r="AC744" s="8">
        <v>1E-3</v>
      </c>
    </row>
    <row r="745" spans="1:29" ht="11.65" hidden="1" x14ac:dyDescent="0.35">
      <c r="A745" s="12">
        <v>728</v>
      </c>
      <c r="B745" s="10" t="s">
        <v>1015</v>
      </c>
      <c r="C745" s="11" t="s">
        <v>1079</v>
      </c>
      <c r="D745" s="9"/>
      <c r="E745" s="9">
        <v>120</v>
      </c>
      <c r="F745" s="10" t="s">
        <v>1066</v>
      </c>
      <c r="G745" s="9">
        <v>911</v>
      </c>
      <c r="H745" s="9">
        <v>1985</v>
      </c>
      <c r="I745" s="8">
        <v>941.12400000000002</v>
      </c>
      <c r="J745" s="8">
        <v>744.42600000000004</v>
      </c>
      <c r="K745" s="8">
        <v>611.16300000000001</v>
      </c>
      <c r="L745" s="8">
        <v>504.416</v>
      </c>
      <c r="M745" s="8">
        <v>414.06599999999997</v>
      </c>
      <c r="N745" s="8">
        <v>339.68</v>
      </c>
      <c r="O745" s="8">
        <v>289.471</v>
      </c>
      <c r="P745" s="8">
        <v>244.20400000000001</v>
      </c>
      <c r="Q745" s="8">
        <v>208.49799999999999</v>
      </c>
      <c r="R745" s="8">
        <v>183.44</v>
      </c>
      <c r="S745" s="8">
        <v>156.958</v>
      </c>
      <c r="T745" s="8">
        <v>131.83799999999999</v>
      </c>
      <c r="U745" s="8">
        <v>107.4</v>
      </c>
      <c r="V745" s="8">
        <v>82.588999999999999</v>
      </c>
      <c r="W745" s="8">
        <v>57.482999999999997</v>
      </c>
      <c r="X745" s="8">
        <v>33.996000000000002</v>
      </c>
      <c r="Y745" s="8">
        <v>15.268000000000001</v>
      </c>
      <c r="Z745" s="8">
        <v>4.306</v>
      </c>
      <c r="AA745" s="8">
        <v>0.58499999999999996</v>
      </c>
      <c r="AB745" s="8">
        <v>3.3000000000000002E-2</v>
      </c>
      <c r="AC745" s="8">
        <v>1E-3</v>
      </c>
    </row>
    <row r="746" spans="1:29" ht="11.65" hidden="1" x14ac:dyDescent="0.35">
      <c r="A746" s="12">
        <v>729</v>
      </c>
      <c r="B746" s="10" t="s">
        <v>1015</v>
      </c>
      <c r="C746" s="11" t="s">
        <v>1079</v>
      </c>
      <c r="D746" s="9"/>
      <c r="E746" s="9">
        <v>120</v>
      </c>
      <c r="F746" s="10" t="s">
        <v>1066</v>
      </c>
      <c r="G746" s="9">
        <v>911</v>
      </c>
      <c r="H746" s="9">
        <v>1990</v>
      </c>
      <c r="I746" s="8">
        <v>1089.452</v>
      </c>
      <c r="J746" s="8">
        <v>898.49800000000005</v>
      </c>
      <c r="K746" s="8">
        <v>732.02700000000004</v>
      </c>
      <c r="L746" s="8">
        <v>602.18399999999997</v>
      </c>
      <c r="M746" s="8">
        <v>494.2</v>
      </c>
      <c r="N746" s="8">
        <v>403.327</v>
      </c>
      <c r="O746" s="8">
        <v>329.49799999999999</v>
      </c>
      <c r="P746" s="8">
        <v>279.79399999999998</v>
      </c>
      <c r="Q746" s="8">
        <v>234.94800000000001</v>
      </c>
      <c r="R746" s="8">
        <v>199.679</v>
      </c>
      <c r="S746" s="8">
        <v>174.19</v>
      </c>
      <c r="T746" s="8">
        <v>146.71</v>
      </c>
      <c r="U746" s="8">
        <v>119.825</v>
      </c>
      <c r="V746" s="8">
        <v>92.566999999999993</v>
      </c>
      <c r="W746" s="8">
        <v>64.894000000000005</v>
      </c>
      <c r="X746" s="8">
        <v>38.700000000000003</v>
      </c>
      <c r="Y746" s="8">
        <v>17.532</v>
      </c>
      <c r="Z746" s="8">
        <v>4.992</v>
      </c>
      <c r="AA746" s="8">
        <v>0.67500000000000004</v>
      </c>
      <c r="AB746" s="8">
        <v>3.5999999999999997E-2</v>
      </c>
      <c r="AC746" s="8">
        <v>1E-3</v>
      </c>
    </row>
    <row r="747" spans="1:29" ht="11.65" hidden="1" x14ac:dyDescent="0.35">
      <c r="A747" s="12">
        <v>730</v>
      </c>
      <c r="B747" s="10" t="s">
        <v>1015</v>
      </c>
      <c r="C747" s="11" t="s">
        <v>1079</v>
      </c>
      <c r="D747" s="9"/>
      <c r="E747" s="9">
        <v>120</v>
      </c>
      <c r="F747" s="10" t="s">
        <v>1066</v>
      </c>
      <c r="G747" s="9">
        <v>911</v>
      </c>
      <c r="H747" s="9">
        <v>1995</v>
      </c>
      <c r="I747" s="8">
        <v>1203.0909999999999</v>
      </c>
      <c r="J747" s="8">
        <v>1036.5820000000001</v>
      </c>
      <c r="K747" s="8">
        <v>882.63599999999997</v>
      </c>
      <c r="L747" s="8">
        <v>720.00699999999995</v>
      </c>
      <c r="M747" s="8">
        <v>587.49800000000005</v>
      </c>
      <c r="N747" s="8">
        <v>478.202</v>
      </c>
      <c r="O747" s="8">
        <v>388.28100000000001</v>
      </c>
      <c r="P747" s="8">
        <v>316.02800000000002</v>
      </c>
      <c r="Q747" s="8">
        <v>267.30399999999997</v>
      </c>
      <c r="R747" s="8">
        <v>223.61699999999999</v>
      </c>
      <c r="S747" s="8">
        <v>188.55</v>
      </c>
      <c r="T747" s="8">
        <v>161.989</v>
      </c>
      <c r="U747" s="8">
        <v>132.68600000000001</v>
      </c>
      <c r="V747" s="8">
        <v>102.77800000000001</v>
      </c>
      <c r="W747" s="8">
        <v>72.396000000000001</v>
      </c>
      <c r="X747" s="8">
        <v>43.51</v>
      </c>
      <c r="Y747" s="8">
        <v>19.893000000000001</v>
      </c>
      <c r="Z747" s="8">
        <v>5.7190000000000003</v>
      </c>
      <c r="AA747" s="8">
        <v>0.78700000000000003</v>
      </c>
      <c r="AB747" s="8">
        <v>4.3999999999999997E-2</v>
      </c>
      <c r="AC747" s="8">
        <v>2E-3</v>
      </c>
    </row>
    <row r="748" spans="1:29" ht="11.65" hidden="1" x14ac:dyDescent="0.35">
      <c r="A748" s="12">
        <v>731</v>
      </c>
      <c r="B748" s="10" t="s">
        <v>1015</v>
      </c>
      <c r="C748" s="11" t="s">
        <v>1079</v>
      </c>
      <c r="D748" s="9"/>
      <c r="E748" s="9">
        <v>120</v>
      </c>
      <c r="F748" s="10" t="s">
        <v>1066</v>
      </c>
      <c r="G748" s="9">
        <v>911</v>
      </c>
      <c r="H748" s="9">
        <v>2000</v>
      </c>
      <c r="I748" s="8">
        <v>1311.87</v>
      </c>
      <c r="J748" s="8">
        <v>1141.6849999999999</v>
      </c>
      <c r="K748" s="8">
        <v>1017.748</v>
      </c>
      <c r="L748" s="8">
        <v>867.94299999999998</v>
      </c>
      <c r="M748" s="8">
        <v>702.21199999999999</v>
      </c>
      <c r="N748" s="8">
        <v>567.55799999999999</v>
      </c>
      <c r="O748" s="8">
        <v>458.71199999999999</v>
      </c>
      <c r="P748" s="8">
        <v>370.38499999999999</v>
      </c>
      <c r="Q748" s="8">
        <v>299.90499999999997</v>
      </c>
      <c r="R748" s="8">
        <v>252.738</v>
      </c>
      <c r="S748" s="8">
        <v>209.75899999999999</v>
      </c>
      <c r="T748" s="8">
        <v>174.185</v>
      </c>
      <c r="U748" s="8">
        <v>145.54900000000001</v>
      </c>
      <c r="V748" s="8">
        <v>113.127</v>
      </c>
      <c r="W748" s="8">
        <v>79.988</v>
      </c>
      <c r="X748" s="8">
        <v>48.415999999999997</v>
      </c>
      <c r="Y748" s="8">
        <v>22.39</v>
      </c>
      <c r="Z748" s="8">
        <v>6.5250000000000004</v>
      </c>
      <c r="AA748" s="8">
        <v>0.92500000000000004</v>
      </c>
      <c r="AB748" s="8">
        <v>5.5E-2</v>
      </c>
      <c r="AC748" s="8">
        <v>2E-3</v>
      </c>
    </row>
    <row r="749" spans="1:29" ht="11.65" hidden="1" x14ac:dyDescent="0.35">
      <c r="A749" s="12">
        <v>732</v>
      </c>
      <c r="B749" s="10" t="s">
        <v>1015</v>
      </c>
      <c r="C749" s="11" t="s">
        <v>1079</v>
      </c>
      <c r="D749" s="9"/>
      <c r="E749" s="9">
        <v>120</v>
      </c>
      <c r="F749" s="10" t="s">
        <v>1066</v>
      </c>
      <c r="G749" s="9">
        <v>911</v>
      </c>
      <c r="H749" s="9">
        <v>2005</v>
      </c>
      <c r="I749" s="8">
        <v>1504.9459999999999</v>
      </c>
      <c r="J749" s="8">
        <v>1258.078</v>
      </c>
      <c r="K749" s="8">
        <v>1124.125</v>
      </c>
      <c r="L749" s="8">
        <v>1002.534</v>
      </c>
      <c r="M749" s="8">
        <v>847.15200000000004</v>
      </c>
      <c r="N749" s="8">
        <v>676.79899999999998</v>
      </c>
      <c r="O749" s="8">
        <v>541.04100000000005</v>
      </c>
      <c r="P749" s="8">
        <v>433.32</v>
      </c>
      <c r="Q749" s="8">
        <v>347.505</v>
      </c>
      <c r="R749" s="8">
        <v>280.38</v>
      </c>
      <c r="S749" s="8">
        <v>234.53399999999999</v>
      </c>
      <c r="T749" s="8">
        <v>191.929</v>
      </c>
      <c r="U749" s="8">
        <v>155.262</v>
      </c>
      <c r="V749" s="8">
        <v>123.43899999999999</v>
      </c>
      <c r="W749" s="8">
        <v>87.888000000000005</v>
      </c>
      <c r="X749" s="8">
        <v>53.67</v>
      </c>
      <c r="Y749" s="8">
        <v>25.106999999999999</v>
      </c>
      <c r="Z749" s="8">
        <v>7.3879999999999999</v>
      </c>
      <c r="AA749" s="8">
        <v>1.0620000000000001</v>
      </c>
      <c r="AB749" s="8">
        <v>6.7000000000000004E-2</v>
      </c>
      <c r="AC749" s="8">
        <v>3.0000000000000001E-3</v>
      </c>
    </row>
    <row r="750" spans="1:29" ht="11.65" hidden="1" x14ac:dyDescent="0.35">
      <c r="A750" s="12">
        <v>733</v>
      </c>
      <c r="B750" s="10" t="s">
        <v>1015</v>
      </c>
      <c r="C750" s="11" t="s">
        <v>1079</v>
      </c>
      <c r="D750" s="9"/>
      <c r="E750" s="9">
        <v>120</v>
      </c>
      <c r="F750" s="10" t="s">
        <v>1066</v>
      </c>
      <c r="G750" s="9">
        <v>911</v>
      </c>
      <c r="H750" s="9">
        <v>2010</v>
      </c>
      <c r="I750" s="8">
        <v>1714.6890000000001</v>
      </c>
      <c r="J750" s="8">
        <v>1453.6669999999999</v>
      </c>
      <c r="K750" s="8">
        <v>1240.6559999999999</v>
      </c>
      <c r="L750" s="8">
        <v>1108.7370000000001</v>
      </c>
      <c r="M750" s="8">
        <v>980.577</v>
      </c>
      <c r="N750" s="8">
        <v>819.49900000000002</v>
      </c>
      <c r="O750" s="8">
        <v>648.29999999999995</v>
      </c>
      <c r="P750" s="8">
        <v>513.94100000000003</v>
      </c>
      <c r="Q750" s="8">
        <v>408.79</v>
      </c>
      <c r="R750" s="8">
        <v>326.40600000000001</v>
      </c>
      <c r="S750" s="8">
        <v>261.19299999999998</v>
      </c>
      <c r="T750" s="8">
        <v>215.33099999999999</v>
      </c>
      <c r="U750" s="8">
        <v>171.62299999999999</v>
      </c>
      <c r="V750" s="8">
        <v>132.02000000000001</v>
      </c>
      <c r="W750" s="8">
        <v>96.046000000000006</v>
      </c>
      <c r="X750" s="8">
        <v>58.921999999999997</v>
      </c>
      <c r="Y750" s="8">
        <v>27.670999999999999</v>
      </c>
      <c r="Z750" s="8">
        <v>8.1519999999999992</v>
      </c>
      <c r="AA750" s="8">
        <v>1.151</v>
      </c>
      <c r="AB750" s="8">
        <v>7.0000000000000007E-2</v>
      </c>
      <c r="AC750" s="8">
        <v>3.0000000000000001E-3</v>
      </c>
    </row>
    <row r="751" spans="1:29" ht="11.65" hidden="1" x14ac:dyDescent="0.35">
      <c r="A751" s="12">
        <v>734</v>
      </c>
      <c r="B751" s="10" t="s">
        <v>1015</v>
      </c>
      <c r="C751" s="11" t="s">
        <v>1079</v>
      </c>
      <c r="D751" s="9"/>
      <c r="E751" s="9">
        <v>120</v>
      </c>
      <c r="F751" s="10" t="s">
        <v>1066</v>
      </c>
      <c r="G751" s="9">
        <v>911</v>
      </c>
      <c r="H751" s="9">
        <v>2015</v>
      </c>
      <c r="I751" s="8">
        <v>1892.0730000000001</v>
      </c>
      <c r="J751" s="8">
        <v>1665.4359999999999</v>
      </c>
      <c r="K751" s="8">
        <v>1435.3810000000001</v>
      </c>
      <c r="L751" s="8">
        <v>1225.5730000000001</v>
      </c>
      <c r="M751" s="8">
        <v>1088.251</v>
      </c>
      <c r="N751" s="8">
        <v>955.16399999999999</v>
      </c>
      <c r="O751" s="8">
        <v>793.11</v>
      </c>
      <c r="P751" s="8">
        <v>623.60599999999999</v>
      </c>
      <c r="Q751" s="8">
        <v>491.22500000000002</v>
      </c>
      <c r="R751" s="8">
        <v>388.57799999999997</v>
      </c>
      <c r="S751" s="8">
        <v>307.38299999999998</v>
      </c>
      <c r="T751" s="8">
        <v>242.13200000000001</v>
      </c>
      <c r="U751" s="8">
        <v>194.26499999999999</v>
      </c>
      <c r="V751" s="8">
        <v>147.02000000000001</v>
      </c>
      <c r="W751" s="8">
        <v>103.27200000000001</v>
      </c>
      <c r="X751" s="8">
        <v>64.510999999999996</v>
      </c>
      <c r="Y751" s="8">
        <v>30.297000000000001</v>
      </c>
      <c r="Z751" s="8">
        <v>8.9179999999999993</v>
      </c>
      <c r="AA751" s="8">
        <v>1.2310000000000001</v>
      </c>
      <c r="AB751" s="8">
        <v>6.7000000000000004E-2</v>
      </c>
      <c r="AC751" s="8">
        <v>3.0000000000000001E-3</v>
      </c>
    </row>
    <row r="752" spans="1:29" ht="11.65" hidden="1" x14ac:dyDescent="0.35">
      <c r="A752" s="12">
        <v>735</v>
      </c>
      <c r="B752" s="10" t="s">
        <v>1015</v>
      </c>
      <c r="C752" s="11" t="s">
        <v>1079</v>
      </c>
      <c r="D752" s="9"/>
      <c r="E752" s="9">
        <v>120</v>
      </c>
      <c r="F752" s="10" t="s">
        <v>1066</v>
      </c>
      <c r="G752" s="9">
        <v>911</v>
      </c>
      <c r="H752" s="9">
        <v>2020</v>
      </c>
      <c r="I752" s="8">
        <v>2037.8810000000001</v>
      </c>
      <c r="J752" s="8">
        <v>1848.4880000000001</v>
      </c>
      <c r="K752" s="8">
        <v>1647.5419999999999</v>
      </c>
      <c r="L752" s="8">
        <v>1420.203</v>
      </c>
      <c r="M752" s="8">
        <v>1206.1189999999999</v>
      </c>
      <c r="N752" s="8">
        <v>1064.78</v>
      </c>
      <c r="O752" s="8">
        <v>930.20799999999997</v>
      </c>
      <c r="P752" s="8">
        <v>768.73199999999997</v>
      </c>
      <c r="Q752" s="8">
        <v>600.74599999999998</v>
      </c>
      <c r="R752" s="8">
        <v>470.25200000000001</v>
      </c>
      <c r="S752" s="8">
        <v>368.25900000000001</v>
      </c>
      <c r="T752" s="8">
        <v>286.649</v>
      </c>
      <c r="U752" s="8">
        <v>219.79499999999999</v>
      </c>
      <c r="V752" s="8">
        <v>167.53299999999999</v>
      </c>
      <c r="W752" s="8">
        <v>115.95</v>
      </c>
      <c r="X752" s="8">
        <v>70.168999999999997</v>
      </c>
      <c r="Y752" s="8">
        <v>33.831000000000003</v>
      </c>
      <c r="Z752" s="8">
        <v>10.148999999999999</v>
      </c>
      <c r="AA752" s="8">
        <v>1.4259999999999999</v>
      </c>
      <c r="AB752" s="8">
        <v>7.3999999999999996E-2</v>
      </c>
      <c r="AC752" s="8">
        <v>3.0000000000000001E-3</v>
      </c>
    </row>
    <row r="753" spans="1:29" ht="11.65" hidden="1" x14ac:dyDescent="0.35">
      <c r="A753" s="12">
        <v>736</v>
      </c>
      <c r="B753" s="10" t="s">
        <v>1015</v>
      </c>
      <c r="C753" s="11" t="s">
        <v>584</v>
      </c>
      <c r="D753" s="9"/>
      <c r="E753" s="9">
        <v>140</v>
      </c>
      <c r="F753" s="10" t="s">
        <v>1066</v>
      </c>
      <c r="G753" s="9">
        <v>911</v>
      </c>
      <c r="H753" s="9">
        <v>1950</v>
      </c>
      <c r="I753" s="8">
        <v>94.853999999999999</v>
      </c>
      <c r="J753" s="8">
        <v>77.040000000000006</v>
      </c>
      <c r="K753" s="8">
        <v>68.959000000000003</v>
      </c>
      <c r="L753" s="8">
        <v>63.073</v>
      </c>
      <c r="M753" s="8">
        <v>57.53</v>
      </c>
      <c r="N753" s="8">
        <v>51.084000000000003</v>
      </c>
      <c r="O753" s="8">
        <v>44.064</v>
      </c>
      <c r="P753" s="8">
        <v>40.164999999999999</v>
      </c>
      <c r="Q753" s="8">
        <v>35.965000000000003</v>
      </c>
      <c r="R753" s="8">
        <v>31.704999999999998</v>
      </c>
      <c r="S753" s="8">
        <v>28.372</v>
      </c>
      <c r="T753" s="8">
        <v>22.876000000000001</v>
      </c>
      <c r="U753" s="8">
        <v>19.699000000000002</v>
      </c>
      <c r="V753" s="8">
        <v>16.295000000000002</v>
      </c>
      <c r="W753" s="8">
        <v>11.259</v>
      </c>
      <c r="X753" s="8">
        <v>6.3380000000000001</v>
      </c>
      <c r="Y753" s="8">
        <v>2.556</v>
      </c>
      <c r="Z753" s="8">
        <v>0.70599999999999996</v>
      </c>
      <c r="AA753" s="8">
        <v>0.12</v>
      </c>
      <c r="AB753" s="8">
        <v>1.2E-2</v>
      </c>
      <c r="AC753" s="8">
        <v>1E-3</v>
      </c>
    </row>
    <row r="754" spans="1:29" ht="11.65" hidden="1" x14ac:dyDescent="0.35">
      <c r="A754" s="12">
        <v>737</v>
      </c>
      <c r="B754" s="10" t="s">
        <v>1015</v>
      </c>
      <c r="C754" s="11" t="s">
        <v>584</v>
      </c>
      <c r="D754" s="9"/>
      <c r="E754" s="9">
        <v>140</v>
      </c>
      <c r="F754" s="10" t="s">
        <v>1066</v>
      </c>
      <c r="G754" s="9">
        <v>911</v>
      </c>
      <c r="H754" s="9">
        <v>1955</v>
      </c>
      <c r="I754" s="8">
        <v>107.07899999999999</v>
      </c>
      <c r="J754" s="8">
        <v>79.878</v>
      </c>
      <c r="K754" s="8">
        <v>71.468000000000004</v>
      </c>
      <c r="L754" s="8">
        <v>65.424000000000007</v>
      </c>
      <c r="M754" s="8">
        <v>59.816000000000003</v>
      </c>
      <c r="N754" s="8">
        <v>54.283000000000001</v>
      </c>
      <c r="O754" s="8">
        <v>47.868000000000002</v>
      </c>
      <c r="P754" s="8">
        <v>41.023000000000003</v>
      </c>
      <c r="Q754" s="8">
        <v>37.195999999999998</v>
      </c>
      <c r="R754" s="8">
        <v>33.215000000000003</v>
      </c>
      <c r="S754" s="8">
        <v>29.030999999999999</v>
      </c>
      <c r="T754" s="8">
        <v>25.457000000000001</v>
      </c>
      <c r="U754" s="8">
        <v>19.78</v>
      </c>
      <c r="V754" s="8">
        <v>15.994999999999999</v>
      </c>
      <c r="W754" s="8">
        <v>11.993</v>
      </c>
      <c r="X754" s="8">
        <v>7.1379999999999999</v>
      </c>
      <c r="Y754" s="8">
        <v>3.1960000000000002</v>
      </c>
      <c r="Z754" s="8">
        <v>0.91100000000000003</v>
      </c>
      <c r="AA754" s="8">
        <v>0.157</v>
      </c>
      <c r="AB754" s="8">
        <v>1.4999999999999999E-2</v>
      </c>
      <c r="AC754" s="8">
        <v>1E-3</v>
      </c>
    </row>
    <row r="755" spans="1:29" ht="11.65" hidden="1" x14ac:dyDescent="0.35">
      <c r="A755" s="12">
        <v>738</v>
      </c>
      <c r="B755" s="10" t="s">
        <v>1015</v>
      </c>
      <c r="C755" s="11" t="s">
        <v>584</v>
      </c>
      <c r="D755" s="9"/>
      <c r="E755" s="9">
        <v>140</v>
      </c>
      <c r="F755" s="10" t="s">
        <v>1066</v>
      </c>
      <c r="G755" s="9">
        <v>911</v>
      </c>
      <c r="H755" s="9">
        <v>1960</v>
      </c>
      <c r="I755" s="8">
        <v>119.499</v>
      </c>
      <c r="J755" s="8">
        <v>92.209000000000003</v>
      </c>
      <c r="K755" s="8">
        <v>75.001000000000005</v>
      </c>
      <c r="L755" s="8">
        <v>68.313999999999993</v>
      </c>
      <c r="M755" s="8">
        <v>62.424999999999997</v>
      </c>
      <c r="N755" s="8">
        <v>56.765000000000001</v>
      </c>
      <c r="O755" s="8">
        <v>51.164999999999999</v>
      </c>
      <c r="P755" s="8">
        <v>44.83</v>
      </c>
      <c r="Q755" s="8">
        <v>38.201999999999998</v>
      </c>
      <c r="R755" s="8">
        <v>34.515000000000001</v>
      </c>
      <c r="S755" s="8">
        <v>30.545999999999999</v>
      </c>
      <c r="T755" s="8">
        <v>26.164000000000001</v>
      </c>
      <c r="U755" s="8">
        <v>22.123999999999999</v>
      </c>
      <c r="V755" s="8">
        <v>16.148</v>
      </c>
      <c r="W755" s="8">
        <v>11.823</v>
      </c>
      <c r="X755" s="8">
        <v>7.6130000000000004</v>
      </c>
      <c r="Y755" s="8">
        <v>3.5720000000000001</v>
      </c>
      <c r="Z755" s="8">
        <v>1.109</v>
      </c>
      <c r="AA755" s="8">
        <v>0.19</v>
      </c>
      <c r="AB755" s="8">
        <v>1.9E-2</v>
      </c>
      <c r="AC755" s="8">
        <v>1E-3</v>
      </c>
    </row>
    <row r="756" spans="1:29" ht="11.65" hidden="1" x14ac:dyDescent="0.35">
      <c r="A756" s="12">
        <v>739</v>
      </c>
      <c r="B756" s="10" t="s">
        <v>1015</v>
      </c>
      <c r="C756" s="11" t="s">
        <v>584</v>
      </c>
      <c r="D756" s="9"/>
      <c r="E756" s="9">
        <v>140</v>
      </c>
      <c r="F756" s="10" t="s">
        <v>1066</v>
      </c>
      <c r="G756" s="9">
        <v>911</v>
      </c>
      <c r="H756" s="9">
        <v>1965</v>
      </c>
      <c r="I756" s="8">
        <v>132.62</v>
      </c>
      <c r="J756" s="8">
        <v>105.149</v>
      </c>
      <c r="K756" s="8">
        <v>87.576999999999998</v>
      </c>
      <c r="L756" s="8">
        <v>72.546999999999997</v>
      </c>
      <c r="M756" s="8">
        <v>66.460999999999999</v>
      </c>
      <c r="N756" s="8">
        <v>60.673000000000002</v>
      </c>
      <c r="O756" s="8">
        <v>54.725999999999999</v>
      </c>
      <c r="P756" s="8">
        <v>48.835000000000001</v>
      </c>
      <c r="Q756" s="8">
        <v>42.395000000000003</v>
      </c>
      <c r="R756" s="8">
        <v>35.89</v>
      </c>
      <c r="S756" s="8">
        <v>32.052999999999997</v>
      </c>
      <c r="T756" s="8">
        <v>27.763999999999999</v>
      </c>
      <c r="U756" s="8">
        <v>22.927</v>
      </c>
      <c r="V756" s="8">
        <v>18.204000000000001</v>
      </c>
      <c r="W756" s="8">
        <v>12.02</v>
      </c>
      <c r="X756" s="8">
        <v>7.5350000000000001</v>
      </c>
      <c r="Y756" s="8">
        <v>3.798</v>
      </c>
      <c r="Z756" s="8">
        <v>1.216</v>
      </c>
      <c r="AA756" s="8">
        <v>0.22</v>
      </c>
      <c r="AB756" s="8">
        <v>2.1000000000000001E-2</v>
      </c>
      <c r="AC756" s="8">
        <v>1E-3</v>
      </c>
    </row>
    <row r="757" spans="1:29" ht="11.65" hidden="1" x14ac:dyDescent="0.35">
      <c r="A757" s="12">
        <v>740</v>
      </c>
      <c r="B757" s="10" t="s">
        <v>1015</v>
      </c>
      <c r="C757" s="11" t="s">
        <v>584</v>
      </c>
      <c r="D757" s="9"/>
      <c r="E757" s="9">
        <v>140</v>
      </c>
      <c r="F757" s="10" t="s">
        <v>1066</v>
      </c>
      <c r="G757" s="9">
        <v>911</v>
      </c>
      <c r="H757" s="9">
        <v>1970</v>
      </c>
      <c r="I757" s="8">
        <v>147.77000000000001</v>
      </c>
      <c r="J757" s="8">
        <v>119.122</v>
      </c>
      <c r="K757" s="8">
        <v>100.864</v>
      </c>
      <c r="L757" s="8">
        <v>85.234999999999999</v>
      </c>
      <c r="M757" s="8">
        <v>71.021000000000001</v>
      </c>
      <c r="N757" s="8">
        <v>65.009</v>
      </c>
      <c r="O757" s="8">
        <v>58.881</v>
      </c>
      <c r="P757" s="8">
        <v>52.585999999999999</v>
      </c>
      <c r="Q757" s="8">
        <v>46.472000000000001</v>
      </c>
      <c r="R757" s="8">
        <v>40.049999999999997</v>
      </c>
      <c r="S757" s="8">
        <v>33.518000000000001</v>
      </c>
      <c r="T757" s="8">
        <v>29.306999999999999</v>
      </c>
      <c r="U757" s="8">
        <v>24.495999999999999</v>
      </c>
      <c r="V757" s="8">
        <v>19.009</v>
      </c>
      <c r="W757" s="8">
        <v>13.648999999999999</v>
      </c>
      <c r="X757" s="8">
        <v>7.7</v>
      </c>
      <c r="Y757" s="8">
        <v>3.7490000000000001</v>
      </c>
      <c r="Z757" s="8">
        <v>1.264</v>
      </c>
      <c r="AA757" s="8">
        <v>0.22700000000000001</v>
      </c>
      <c r="AB757" s="8">
        <v>2.1000000000000001E-2</v>
      </c>
      <c r="AC757" s="8">
        <v>1E-3</v>
      </c>
    </row>
    <row r="758" spans="1:29" ht="11.65" hidden="1" x14ac:dyDescent="0.35">
      <c r="A758" s="12">
        <v>741</v>
      </c>
      <c r="B758" s="10" t="s">
        <v>1015</v>
      </c>
      <c r="C758" s="11" t="s">
        <v>584</v>
      </c>
      <c r="D758" s="9"/>
      <c r="E758" s="9">
        <v>140</v>
      </c>
      <c r="F758" s="10" t="s">
        <v>1066</v>
      </c>
      <c r="G758" s="9">
        <v>911</v>
      </c>
      <c r="H758" s="9">
        <v>1975</v>
      </c>
      <c r="I758" s="8">
        <v>162.26499999999999</v>
      </c>
      <c r="J758" s="8">
        <v>134.66300000000001</v>
      </c>
      <c r="K758" s="8">
        <v>114.75</v>
      </c>
      <c r="L758" s="8">
        <v>96.662000000000006</v>
      </c>
      <c r="M758" s="8">
        <v>78.885999999999996</v>
      </c>
      <c r="N758" s="8">
        <v>63.866</v>
      </c>
      <c r="O758" s="8">
        <v>58.531999999999996</v>
      </c>
      <c r="P758" s="8">
        <v>53.503999999999998</v>
      </c>
      <c r="Q758" s="8">
        <v>48.125999999999998</v>
      </c>
      <c r="R758" s="8">
        <v>42.743000000000002</v>
      </c>
      <c r="S758" s="8">
        <v>36.731999999999999</v>
      </c>
      <c r="T758" s="8">
        <v>30.31</v>
      </c>
      <c r="U758" s="8">
        <v>25.742999999999999</v>
      </c>
      <c r="V758" s="8">
        <v>20.315999999999999</v>
      </c>
      <c r="W758" s="8">
        <v>14.289</v>
      </c>
      <c r="X758" s="8">
        <v>8.7479999999999993</v>
      </c>
      <c r="Y758" s="8">
        <v>3.79</v>
      </c>
      <c r="Z758" s="8">
        <v>1.2</v>
      </c>
      <c r="AA758" s="8">
        <v>0.21299999999999999</v>
      </c>
      <c r="AB758" s="8">
        <v>1.7999999999999999E-2</v>
      </c>
      <c r="AC758" s="8">
        <v>1E-3</v>
      </c>
    </row>
    <row r="759" spans="1:29" ht="11.65" hidden="1" x14ac:dyDescent="0.35">
      <c r="A759" s="12">
        <v>742</v>
      </c>
      <c r="B759" s="10" t="s">
        <v>1015</v>
      </c>
      <c r="C759" s="11" t="s">
        <v>584</v>
      </c>
      <c r="D759" s="9"/>
      <c r="E759" s="9">
        <v>140</v>
      </c>
      <c r="F759" s="10" t="s">
        <v>1066</v>
      </c>
      <c r="G759" s="9">
        <v>911</v>
      </c>
      <c r="H759" s="9">
        <v>1980</v>
      </c>
      <c r="I759" s="8">
        <v>182.55</v>
      </c>
      <c r="J759" s="8">
        <v>151.91300000000001</v>
      </c>
      <c r="K759" s="8">
        <v>131.429</v>
      </c>
      <c r="L759" s="8">
        <v>112.509</v>
      </c>
      <c r="M759" s="8">
        <v>94.343999999999994</v>
      </c>
      <c r="N759" s="8">
        <v>76.572000000000003</v>
      </c>
      <c r="O759" s="8">
        <v>61.677999999999997</v>
      </c>
      <c r="P759" s="8">
        <v>56.25</v>
      </c>
      <c r="Q759" s="8">
        <v>51.124000000000002</v>
      </c>
      <c r="R759" s="8">
        <v>45.747</v>
      </c>
      <c r="S759" s="8">
        <v>40.24</v>
      </c>
      <c r="T759" s="8">
        <v>33.972999999999999</v>
      </c>
      <c r="U759" s="8">
        <v>27.17</v>
      </c>
      <c r="V759" s="8">
        <v>21.785</v>
      </c>
      <c r="W759" s="8">
        <v>15.592000000000001</v>
      </c>
      <c r="X759" s="8">
        <v>9.3520000000000003</v>
      </c>
      <c r="Y759" s="8">
        <v>4.383</v>
      </c>
      <c r="Z759" s="8">
        <v>1.2170000000000001</v>
      </c>
      <c r="AA759" s="8">
        <v>0.192</v>
      </c>
      <c r="AB759" s="8">
        <v>1.4999999999999999E-2</v>
      </c>
      <c r="AC759" s="8">
        <v>1E-3</v>
      </c>
    </row>
    <row r="760" spans="1:29" ht="11.65" hidden="1" x14ac:dyDescent="0.35">
      <c r="A760" s="12">
        <v>743</v>
      </c>
      <c r="B760" s="10" t="s">
        <v>1015</v>
      </c>
      <c r="C760" s="11" t="s">
        <v>584</v>
      </c>
      <c r="D760" s="9"/>
      <c r="E760" s="9">
        <v>140</v>
      </c>
      <c r="F760" s="10" t="s">
        <v>1066</v>
      </c>
      <c r="G760" s="9">
        <v>911</v>
      </c>
      <c r="H760" s="9">
        <v>1985</v>
      </c>
      <c r="I760" s="8">
        <v>215.51900000000001</v>
      </c>
      <c r="J760" s="8">
        <v>172.92</v>
      </c>
      <c r="K760" s="8">
        <v>149.16399999999999</v>
      </c>
      <c r="L760" s="8">
        <v>130.53299999999999</v>
      </c>
      <c r="M760" s="8">
        <v>113.285</v>
      </c>
      <c r="N760" s="8">
        <v>95.75</v>
      </c>
      <c r="O760" s="8">
        <v>77.433999999999997</v>
      </c>
      <c r="P760" s="8">
        <v>61.753999999999998</v>
      </c>
      <c r="Q760" s="8">
        <v>55.436999999999998</v>
      </c>
      <c r="R760" s="8">
        <v>49.728999999999999</v>
      </c>
      <c r="S760" s="8">
        <v>43.838000000000001</v>
      </c>
      <c r="T760" s="8">
        <v>37.758000000000003</v>
      </c>
      <c r="U760" s="8">
        <v>30.849</v>
      </c>
      <c r="V760" s="8">
        <v>23.285</v>
      </c>
      <c r="W760" s="8">
        <v>16.934000000000001</v>
      </c>
      <c r="X760" s="8">
        <v>10.340999999999999</v>
      </c>
      <c r="Y760" s="8">
        <v>4.7469999999999999</v>
      </c>
      <c r="Z760" s="8">
        <v>1.4219999999999999</v>
      </c>
      <c r="AA760" s="8">
        <v>0.19700000000000001</v>
      </c>
      <c r="AB760" s="8">
        <v>1.2999999999999999E-2</v>
      </c>
      <c r="AC760" s="8">
        <v>1E-3</v>
      </c>
    </row>
    <row r="761" spans="1:29" ht="11.65" hidden="1" x14ac:dyDescent="0.35">
      <c r="A761" s="12">
        <v>744</v>
      </c>
      <c r="B761" s="10" t="s">
        <v>1015</v>
      </c>
      <c r="C761" s="11" t="s">
        <v>584</v>
      </c>
      <c r="D761" s="9"/>
      <c r="E761" s="9">
        <v>140</v>
      </c>
      <c r="F761" s="10" t="s">
        <v>1066</v>
      </c>
      <c r="G761" s="9">
        <v>911</v>
      </c>
      <c r="H761" s="9">
        <v>1990</v>
      </c>
      <c r="I761" s="8">
        <v>241.96299999999999</v>
      </c>
      <c r="J761" s="8">
        <v>201.75299999999999</v>
      </c>
      <c r="K761" s="8">
        <v>168.38900000000001</v>
      </c>
      <c r="L761" s="8">
        <v>143.89699999999999</v>
      </c>
      <c r="M761" s="8">
        <v>121.485</v>
      </c>
      <c r="N761" s="8">
        <v>102.626</v>
      </c>
      <c r="O761" s="8">
        <v>86.363</v>
      </c>
      <c r="P761" s="8">
        <v>70.111000000000004</v>
      </c>
      <c r="Q761" s="8">
        <v>56.173999999999999</v>
      </c>
      <c r="R761" s="8">
        <v>50.89</v>
      </c>
      <c r="S761" s="8">
        <v>45.694000000000003</v>
      </c>
      <c r="T761" s="8">
        <v>39.875999999999998</v>
      </c>
      <c r="U761" s="8">
        <v>33.484000000000002</v>
      </c>
      <c r="V761" s="8">
        <v>25.946000000000002</v>
      </c>
      <c r="W761" s="8">
        <v>17.826000000000001</v>
      </c>
      <c r="X761" s="8">
        <v>11.086</v>
      </c>
      <c r="Y761" s="8">
        <v>5.1769999999999996</v>
      </c>
      <c r="Z761" s="8">
        <v>1.508</v>
      </c>
      <c r="AA761" s="8">
        <v>0.222</v>
      </c>
      <c r="AB761" s="8">
        <v>1.2999999999999999E-2</v>
      </c>
      <c r="AC761" s="8">
        <v>1E-3</v>
      </c>
    </row>
    <row r="762" spans="1:29" ht="11.65" hidden="1" x14ac:dyDescent="0.35">
      <c r="A762" s="12">
        <v>745</v>
      </c>
      <c r="B762" s="10" t="s">
        <v>1015</v>
      </c>
      <c r="C762" s="11" t="s">
        <v>584</v>
      </c>
      <c r="D762" s="9"/>
      <c r="E762" s="9">
        <v>140</v>
      </c>
      <c r="F762" s="10" t="s">
        <v>1066</v>
      </c>
      <c r="G762" s="9">
        <v>911</v>
      </c>
      <c r="H762" s="9">
        <v>1995</v>
      </c>
      <c r="I762" s="8">
        <v>268.39</v>
      </c>
      <c r="J762" s="8">
        <v>229.93100000000001</v>
      </c>
      <c r="K762" s="8">
        <v>198.49100000000001</v>
      </c>
      <c r="L762" s="8">
        <v>167.36699999999999</v>
      </c>
      <c r="M762" s="8">
        <v>144.63300000000001</v>
      </c>
      <c r="N762" s="8">
        <v>122.38200000000001</v>
      </c>
      <c r="O762" s="8">
        <v>102.25</v>
      </c>
      <c r="P762" s="8">
        <v>84.685000000000002</v>
      </c>
      <c r="Q762" s="8">
        <v>67.813000000000002</v>
      </c>
      <c r="R762" s="8">
        <v>53.814999999999998</v>
      </c>
      <c r="S762" s="8">
        <v>48.04</v>
      </c>
      <c r="T762" s="8">
        <v>42.280999999999999</v>
      </c>
      <c r="U762" s="8">
        <v>35.771999999999998</v>
      </c>
      <c r="V762" s="8">
        <v>28.460999999999999</v>
      </c>
      <c r="W762" s="8">
        <v>20.138999999999999</v>
      </c>
      <c r="X762" s="8">
        <v>11.933</v>
      </c>
      <c r="Y762" s="8">
        <v>5.7539999999999996</v>
      </c>
      <c r="Z762" s="8">
        <v>1.736</v>
      </c>
      <c r="AA762" s="8">
        <v>0.26</v>
      </c>
      <c r="AB762" s="8">
        <v>1.7999999999999999E-2</v>
      </c>
      <c r="AC762" s="8">
        <v>1E-3</v>
      </c>
    </row>
    <row r="763" spans="1:29" ht="11.65" hidden="1" x14ac:dyDescent="0.35">
      <c r="A763" s="12">
        <v>746</v>
      </c>
      <c r="B763" s="10" t="s">
        <v>1015</v>
      </c>
      <c r="C763" s="11" t="s">
        <v>584</v>
      </c>
      <c r="D763" s="9"/>
      <c r="E763" s="9">
        <v>140</v>
      </c>
      <c r="F763" s="10" t="s">
        <v>1066</v>
      </c>
      <c r="G763" s="9">
        <v>911</v>
      </c>
      <c r="H763" s="9">
        <v>2000</v>
      </c>
      <c r="I763" s="8">
        <v>303.87900000000002</v>
      </c>
      <c r="J763" s="8">
        <v>254.12299999999999</v>
      </c>
      <c r="K763" s="8">
        <v>225.845</v>
      </c>
      <c r="L763" s="8">
        <v>196.15</v>
      </c>
      <c r="M763" s="8">
        <v>165.48400000000001</v>
      </c>
      <c r="N763" s="8">
        <v>141.41900000000001</v>
      </c>
      <c r="O763" s="8">
        <v>117.27200000000001</v>
      </c>
      <c r="P763" s="8">
        <v>95.947000000000003</v>
      </c>
      <c r="Q763" s="8">
        <v>78.424000000000007</v>
      </c>
      <c r="R763" s="8">
        <v>62.567999999999998</v>
      </c>
      <c r="S763" s="8">
        <v>49.287999999999997</v>
      </c>
      <c r="T763" s="8">
        <v>43.375</v>
      </c>
      <c r="U763" s="8">
        <v>37.189</v>
      </c>
      <c r="V763" s="8">
        <v>30.007000000000001</v>
      </c>
      <c r="W763" s="8">
        <v>21.995000000000001</v>
      </c>
      <c r="X763" s="8">
        <v>13.611000000000001</v>
      </c>
      <c r="Y763" s="8">
        <v>6.3929999999999998</v>
      </c>
      <c r="Z763" s="8">
        <v>2.0579999999999998</v>
      </c>
      <c r="AA763" s="8">
        <v>0.34399999999999997</v>
      </c>
      <c r="AB763" s="8">
        <v>2.5999999999999999E-2</v>
      </c>
      <c r="AC763" s="8">
        <v>1E-3</v>
      </c>
    </row>
    <row r="764" spans="1:29" ht="11.65" hidden="1" x14ac:dyDescent="0.35">
      <c r="A764" s="12">
        <v>747</v>
      </c>
      <c r="B764" s="10" t="s">
        <v>1015</v>
      </c>
      <c r="C764" s="11" t="s">
        <v>584</v>
      </c>
      <c r="D764" s="9"/>
      <c r="E764" s="9">
        <v>140</v>
      </c>
      <c r="F764" s="10" t="s">
        <v>1066</v>
      </c>
      <c r="G764" s="9">
        <v>911</v>
      </c>
      <c r="H764" s="9">
        <v>2005</v>
      </c>
      <c r="I764" s="8">
        <v>339.04899999999998</v>
      </c>
      <c r="J764" s="8">
        <v>286.71699999999998</v>
      </c>
      <c r="K764" s="8">
        <v>248.64599999999999</v>
      </c>
      <c r="L764" s="8">
        <v>220.88300000000001</v>
      </c>
      <c r="M764" s="8">
        <v>188.71</v>
      </c>
      <c r="N764" s="8">
        <v>155.05799999999999</v>
      </c>
      <c r="O764" s="8">
        <v>129.12200000000001</v>
      </c>
      <c r="P764" s="8">
        <v>104.809</v>
      </c>
      <c r="Q764" s="8">
        <v>85.006</v>
      </c>
      <c r="R764" s="8">
        <v>69.724999999999994</v>
      </c>
      <c r="S764" s="8">
        <v>55.54</v>
      </c>
      <c r="T764" s="8">
        <v>43.392000000000003</v>
      </c>
      <c r="U764" s="8">
        <v>37.380000000000003</v>
      </c>
      <c r="V764" s="8">
        <v>30.693999999999999</v>
      </c>
      <c r="W764" s="8">
        <v>22.911000000000001</v>
      </c>
      <c r="X764" s="8">
        <v>14.768000000000001</v>
      </c>
      <c r="Y764" s="8">
        <v>7.3019999999999996</v>
      </c>
      <c r="Z764" s="8">
        <v>2.3210000000000002</v>
      </c>
      <c r="AA764" s="8">
        <v>0.42699999999999999</v>
      </c>
      <c r="AB764" s="8">
        <v>0.04</v>
      </c>
      <c r="AC764" s="8">
        <v>2E-3</v>
      </c>
    </row>
    <row r="765" spans="1:29" ht="11.65" hidden="1" x14ac:dyDescent="0.35">
      <c r="A765" s="12">
        <v>748</v>
      </c>
      <c r="B765" s="10" t="s">
        <v>1015</v>
      </c>
      <c r="C765" s="11" t="s">
        <v>584</v>
      </c>
      <c r="D765" s="9"/>
      <c r="E765" s="9">
        <v>140</v>
      </c>
      <c r="F765" s="10" t="s">
        <v>1066</v>
      </c>
      <c r="G765" s="9">
        <v>911</v>
      </c>
      <c r="H765" s="9">
        <v>2010</v>
      </c>
      <c r="I765" s="8">
        <v>362.92399999999998</v>
      </c>
      <c r="J765" s="8">
        <v>319.13400000000001</v>
      </c>
      <c r="K765" s="8">
        <v>279.49099999999999</v>
      </c>
      <c r="L765" s="8">
        <v>239.92400000000001</v>
      </c>
      <c r="M765" s="8">
        <v>205.18899999999999</v>
      </c>
      <c r="N765" s="8">
        <v>168.69200000000001</v>
      </c>
      <c r="O765" s="8">
        <v>135.74299999999999</v>
      </c>
      <c r="P765" s="8">
        <v>112.256</v>
      </c>
      <c r="Q765" s="8">
        <v>91.191000000000003</v>
      </c>
      <c r="R765" s="8">
        <v>74.551000000000002</v>
      </c>
      <c r="S765" s="8">
        <v>61.277000000000001</v>
      </c>
      <c r="T765" s="8">
        <v>48.466999999999999</v>
      </c>
      <c r="U765" s="8">
        <v>37.051000000000002</v>
      </c>
      <c r="V765" s="8">
        <v>30.545999999999999</v>
      </c>
      <c r="W765" s="8">
        <v>23.106999999999999</v>
      </c>
      <c r="X765" s="8">
        <v>15.026999999999999</v>
      </c>
      <c r="Y765" s="8">
        <v>7.609</v>
      </c>
      <c r="Z765" s="8">
        <v>2.4769999999999999</v>
      </c>
      <c r="AA765" s="8">
        <v>0.42399999999999999</v>
      </c>
      <c r="AB765" s="8">
        <v>4.1000000000000002E-2</v>
      </c>
      <c r="AC765" s="8">
        <v>3.0000000000000001E-3</v>
      </c>
    </row>
    <row r="766" spans="1:29" ht="11.65" hidden="1" x14ac:dyDescent="0.35">
      <c r="A766" s="12">
        <v>749</v>
      </c>
      <c r="B766" s="10" t="s">
        <v>1015</v>
      </c>
      <c r="C766" s="11" t="s">
        <v>584</v>
      </c>
      <c r="D766" s="9"/>
      <c r="E766" s="9">
        <v>140</v>
      </c>
      <c r="F766" s="10" t="s">
        <v>1066</v>
      </c>
      <c r="G766" s="9">
        <v>911</v>
      </c>
      <c r="H766" s="9">
        <v>2015</v>
      </c>
      <c r="I766" s="8">
        <v>362.55500000000001</v>
      </c>
      <c r="J766" s="8">
        <v>338.91</v>
      </c>
      <c r="K766" s="8">
        <v>308.68099999999998</v>
      </c>
      <c r="L766" s="8">
        <v>261.42</v>
      </c>
      <c r="M766" s="8">
        <v>203.173</v>
      </c>
      <c r="N766" s="8">
        <v>160.11000000000001</v>
      </c>
      <c r="O766" s="8">
        <v>129.321</v>
      </c>
      <c r="P766" s="8">
        <v>105.727</v>
      </c>
      <c r="Q766" s="8">
        <v>90.15</v>
      </c>
      <c r="R766" s="8">
        <v>75.256</v>
      </c>
      <c r="S766" s="8">
        <v>62.581000000000003</v>
      </c>
      <c r="T766" s="8">
        <v>51.686</v>
      </c>
      <c r="U766" s="8">
        <v>40.276000000000003</v>
      </c>
      <c r="V766" s="8">
        <v>29.475000000000001</v>
      </c>
      <c r="W766" s="8">
        <v>22.417000000000002</v>
      </c>
      <c r="X766" s="8">
        <v>14.686</v>
      </c>
      <c r="Y766" s="8">
        <v>7.3769999999999998</v>
      </c>
      <c r="Z766" s="8">
        <v>2.3839999999999999</v>
      </c>
      <c r="AA766" s="8">
        <v>0.38700000000000001</v>
      </c>
      <c r="AB766" s="8">
        <v>3.2000000000000001E-2</v>
      </c>
      <c r="AC766" s="8">
        <v>2E-3</v>
      </c>
    </row>
    <row r="767" spans="1:29" ht="11.65" hidden="1" x14ac:dyDescent="0.35">
      <c r="A767" s="12">
        <v>750</v>
      </c>
      <c r="B767" s="10" t="s">
        <v>1015</v>
      </c>
      <c r="C767" s="11" t="s">
        <v>584</v>
      </c>
      <c r="D767" s="9"/>
      <c r="E767" s="9">
        <v>140</v>
      </c>
      <c r="F767" s="10" t="s">
        <v>1066</v>
      </c>
      <c r="G767" s="9">
        <v>911</v>
      </c>
      <c r="H767" s="9">
        <v>2020</v>
      </c>
      <c r="I767" s="8">
        <v>366.17700000000002</v>
      </c>
      <c r="J767" s="8">
        <v>346.74799999999999</v>
      </c>
      <c r="K767" s="8">
        <v>332.45100000000002</v>
      </c>
      <c r="L767" s="8">
        <v>298.23500000000001</v>
      </c>
      <c r="M767" s="8">
        <v>241.01300000000001</v>
      </c>
      <c r="N767" s="8">
        <v>178.505</v>
      </c>
      <c r="O767" s="8">
        <v>138.40600000000001</v>
      </c>
      <c r="P767" s="8">
        <v>112.31100000000001</v>
      </c>
      <c r="Q767" s="8">
        <v>92.72</v>
      </c>
      <c r="R767" s="8">
        <v>80.031999999999996</v>
      </c>
      <c r="S767" s="8">
        <v>67.028999999999996</v>
      </c>
      <c r="T767" s="8">
        <v>55.436999999999998</v>
      </c>
      <c r="U767" s="8">
        <v>44.939</v>
      </c>
      <c r="V767" s="8">
        <v>33.49</v>
      </c>
      <c r="W767" s="8">
        <v>22.568000000000001</v>
      </c>
      <c r="X767" s="8">
        <v>14.971</v>
      </c>
      <c r="Y767" s="8">
        <v>7.7</v>
      </c>
      <c r="Z767" s="8">
        <v>2.5379999999999998</v>
      </c>
      <c r="AA767" s="8">
        <v>0.42</v>
      </c>
      <c r="AB767" s="8">
        <v>0.03</v>
      </c>
      <c r="AC767" s="8">
        <v>2E-3</v>
      </c>
    </row>
    <row r="768" spans="1:29" ht="11.65" hidden="1" x14ac:dyDescent="0.35">
      <c r="A768" s="12">
        <v>751</v>
      </c>
      <c r="B768" s="10" t="s">
        <v>1015</v>
      </c>
      <c r="C768" s="11" t="s">
        <v>1080</v>
      </c>
      <c r="D768" s="9"/>
      <c r="E768" s="9">
        <v>148</v>
      </c>
      <c r="F768" s="10" t="s">
        <v>1066</v>
      </c>
      <c r="G768" s="9">
        <v>911</v>
      </c>
      <c r="H768" s="9">
        <v>1950</v>
      </c>
      <c r="I768" s="8">
        <v>184.91399999999999</v>
      </c>
      <c r="J768" s="8">
        <v>149.68199999999999</v>
      </c>
      <c r="K768" s="8">
        <v>132.798</v>
      </c>
      <c r="L768" s="8">
        <v>120.319</v>
      </c>
      <c r="M768" s="8">
        <v>108.538</v>
      </c>
      <c r="N768" s="8">
        <v>98.391000000000005</v>
      </c>
      <c r="O768" s="8">
        <v>86.096000000000004</v>
      </c>
      <c r="P768" s="8">
        <v>75.760999999999996</v>
      </c>
      <c r="Q768" s="8">
        <v>67.265000000000001</v>
      </c>
      <c r="R768" s="8">
        <v>58.024000000000001</v>
      </c>
      <c r="S768" s="8">
        <v>52.154000000000003</v>
      </c>
      <c r="T768" s="8">
        <v>40.106999999999999</v>
      </c>
      <c r="U768" s="8">
        <v>34.481000000000002</v>
      </c>
      <c r="V768" s="8">
        <v>26.274000000000001</v>
      </c>
      <c r="W768" s="8">
        <v>17.661000000000001</v>
      </c>
      <c r="X768" s="8">
        <v>9.9760000000000009</v>
      </c>
      <c r="Y768" s="8">
        <v>3.5179999999999998</v>
      </c>
      <c r="Z768" s="8">
        <v>1.0940000000000001</v>
      </c>
      <c r="AA768" s="8">
        <v>0.215</v>
      </c>
      <c r="AB768" s="8">
        <v>2.7E-2</v>
      </c>
      <c r="AC768" s="8">
        <v>2E-3</v>
      </c>
    </row>
    <row r="769" spans="1:29" ht="11.65" hidden="1" x14ac:dyDescent="0.35">
      <c r="A769" s="12">
        <v>752</v>
      </c>
      <c r="B769" s="10" t="s">
        <v>1015</v>
      </c>
      <c r="C769" s="11" t="s">
        <v>1080</v>
      </c>
      <c r="D769" s="9"/>
      <c r="E769" s="9">
        <v>148</v>
      </c>
      <c r="F769" s="10" t="s">
        <v>1066</v>
      </c>
      <c r="G769" s="9">
        <v>911</v>
      </c>
      <c r="H769" s="9">
        <v>1955</v>
      </c>
      <c r="I769" s="8">
        <v>235.13300000000001</v>
      </c>
      <c r="J769" s="8">
        <v>163.67500000000001</v>
      </c>
      <c r="K769" s="8">
        <v>142.55000000000001</v>
      </c>
      <c r="L769" s="8">
        <v>128.358</v>
      </c>
      <c r="M769" s="8">
        <v>115.877</v>
      </c>
      <c r="N769" s="8">
        <v>103.893</v>
      </c>
      <c r="O769" s="8">
        <v>93.495999999999995</v>
      </c>
      <c r="P769" s="8">
        <v>81.153000000000006</v>
      </c>
      <c r="Q769" s="8">
        <v>70.912999999999997</v>
      </c>
      <c r="R769" s="8">
        <v>62.612000000000002</v>
      </c>
      <c r="S769" s="8">
        <v>53.435000000000002</v>
      </c>
      <c r="T769" s="8">
        <v>46.865000000000002</v>
      </c>
      <c r="U769" s="8">
        <v>34.481999999999999</v>
      </c>
      <c r="V769" s="8">
        <v>27.524000000000001</v>
      </c>
      <c r="W769" s="8">
        <v>18.597000000000001</v>
      </c>
      <c r="X769" s="8">
        <v>10.419</v>
      </c>
      <c r="Y769" s="8">
        <v>4.5220000000000002</v>
      </c>
      <c r="Z769" s="8">
        <v>1.095</v>
      </c>
      <c r="AA769" s="8">
        <v>0.215</v>
      </c>
      <c r="AB769" s="8">
        <v>2.7E-2</v>
      </c>
      <c r="AC769" s="8">
        <v>2E-3</v>
      </c>
    </row>
    <row r="770" spans="1:29" ht="11.65" hidden="1" x14ac:dyDescent="0.35">
      <c r="A770" s="12">
        <v>753</v>
      </c>
      <c r="B770" s="10" t="s">
        <v>1015</v>
      </c>
      <c r="C770" s="11" t="s">
        <v>1080</v>
      </c>
      <c r="D770" s="9"/>
      <c r="E770" s="9">
        <v>148</v>
      </c>
      <c r="F770" s="10" t="s">
        <v>1066</v>
      </c>
      <c r="G770" s="9">
        <v>911</v>
      </c>
      <c r="H770" s="9">
        <v>1960</v>
      </c>
      <c r="I770" s="8">
        <v>257.29000000000002</v>
      </c>
      <c r="J770" s="8">
        <v>208.87799999999999</v>
      </c>
      <c r="K770" s="8">
        <v>155.99100000000001</v>
      </c>
      <c r="L770" s="8">
        <v>137.80600000000001</v>
      </c>
      <c r="M770" s="8">
        <v>123.657</v>
      </c>
      <c r="N770" s="8">
        <v>110.95699999999999</v>
      </c>
      <c r="O770" s="8">
        <v>98.79</v>
      </c>
      <c r="P770" s="8">
        <v>88.210999999999999</v>
      </c>
      <c r="Q770" s="8">
        <v>76.040000000000006</v>
      </c>
      <c r="R770" s="8">
        <v>66.081000000000003</v>
      </c>
      <c r="S770" s="8">
        <v>57.734000000000002</v>
      </c>
      <c r="T770" s="8">
        <v>48.103000000000002</v>
      </c>
      <c r="U770" s="8">
        <v>40.408000000000001</v>
      </c>
      <c r="V770" s="8">
        <v>27.66</v>
      </c>
      <c r="W770" s="8">
        <v>19.606999999999999</v>
      </c>
      <c r="X770" s="8">
        <v>11.103999999999999</v>
      </c>
      <c r="Y770" s="8">
        <v>4.7939999999999996</v>
      </c>
      <c r="Z770" s="8">
        <v>1.4359999999999999</v>
      </c>
      <c r="AA770" s="8">
        <v>0.221</v>
      </c>
      <c r="AB770" s="8">
        <v>2.7E-2</v>
      </c>
      <c r="AC770" s="8">
        <v>2E-3</v>
      </c>
    </row>
    <row r="771" spans="1:29" ht="11.65" hidden="1" x14ac:dyDescent="0.35">
      <c r="A771" s="12">
        <v>754</v>
      </c>
      <c r="B771" s="10" t="s">
        <v>1015</v>
      </c>
      <c r="C771" s="11" t="s">
        <v>1080</v>
      </c>
      <c r="D771" s="9"/>
      <c r="E771" s="9">
        <v>148</v>
      </c>
      <c r="F771" s="10" t="s">
        <v>1066</v>
      </c>
      <c r="G771" s="9">
        <v>911</v>
      </c>
      <c r="H771" s="9">
        <v>1965</v>
      </c>
      <c r="I771" s="8">
        <v>282.428</v>
      </c>
      <c r="J771" s="8">
        <v>229.43</v>
      </c>
      <c r="K771" s="8">
        <v>199.29</v>
      </c>
      <c r="L771" s="8">
        <v>150.852</v>
      </c>
      <c r="M771" s="8">
        <v>132.81700000000001</v>
      </c>
      <c r="N771" s="8">
        <v>118.489</v>
      </c>
      <c r="O771" s="8">
        <v>105.58499999999999</v>
      </c>
      <c r="P771" s="8">
        <v>93.308000000000007</v>
      </c>
      <c r="Q771" s="8">
        <v>82.759</v>
      </c>
      <c r="R771" s="8">
        <v>70.953000000000003</v>
      </c>
      <c r="S771" s="8">
        <v>61.021999999999998</v>
      </c>
      <c r="T771" s="8">
        <v>52.078000000000003</v>
      </c>
      <c r="U771" s="8">
        <v>41.603000000000002</v>
      </c>
      <c r="V771" s="8">
        <v>32.572000000000003</v>
      </c>
      <c r="W771" s="8">
        <v>19.861999999999998</v>
      </c>
      <c r="X771" s="8">
        <v>11.833</v>
      </c>
      <c r="Y771" s="8">
        <v>5.1849999999999996</v>
      </c>
      <c r="Z771" s="8">
        <v>1.556</v>
      </c>
      <c r="AA771" s="8">
        <v>0.29499999999999998</v>
      </c>
      <c r="AB771" s="8">
        <v>2.9000000000000001E-2</v>
      </c>
      <c r="AC771" s="8">
        <v>2E-3</v>
      </c>
    </row>
    <row r="772" spans="1:29" ht="11.65" hidden="1" x14ac:dyDescent="0.35">
      <c r="A772" s="12">
        <v>755</v>
      </c>
      <c r="B772" s="10" t="s">
        <v>1015</v>
      </c>
      <c r="C772" s="11" t="s">
        <v>1080</v>
      </c>
      <c r="D772" s="9"/>
      <c r="E772" s="9">
        <v>148</v>
      </c>
      <c r="F772" s="10" t="s">
        <v>1066</v>
      </c>
      <c r="G772" s="9">
        <v>911</v>
      </c>
      <c r="H772" s="9">
        <v>1970</v>
      </c>
      <c r="I772" s="8">
        <v>314.42599999999999</v>
      </c>
      <c r="J772" s="8">
        <v>250.44300000000001</v>
      </c>
      <c r="K772" s="8">
        <v>217.04300000000001</v>
      </c>
      <c r="L772" s="8">
        <v>191.07</v>
      </c>
      <c r="M772" s="8">
        <v>144.00800000000001</v>
      </c>
      <c r="N772" s="8">
        <v>126.13500000000001</v>
      </c>
      <c r="O772" s="8">
        <v>111.788</v>
      </c>
      <c r="P772" s="8">
        <v>98.918000000000006</v>
      </c>
      <c r="Q772" s="8">
        <v>86.819000000000003</v>
      </c>
      <c r="R772" s="8">
        <v>76.611000000000004</v>
      </c>
      <c r="S772" s="8">
        <v>65.001999999999995</v>
      </c>
      <c r="T772" s="8">
        <v>54.640999999999998</v>
      </c>
      <c r="U772" s="8">
        <v>44.78</v>
      </c>
      <c r="V772" s="8">
        <v>33.365000000000002</v>
      </c>
      <c r="W772" s="8">
        <v>23.356000000000002</v>
      </c>
      <c r="X772" s="8">
        <v>12.005000000000001</v>
      </c>
      <c r="Y772" s="8">
        <v>5.5720000000000001</v>
      </c>
      <c r="Z772" s="8">
        <v>1.704</v>
      </c>
      <c r="AA772" s="8">
        <v>0.32800000000000001</v>
      </c>
      <c r="AB772" s="8">
        <v>3.7999999999999999E-2</v>
      </c>
      <c r="AC772" s="8">
        <v>2E-3</v>
      </c>
    </row>
    <row r="773" spans="1:29" ht="11.65" hidden="1" x14ac:dyDescent="0.35">
      <c r="A773" s="12">
        <v>756</v>
      </c>
      <c r="B773" s="10" t="s">
        <v>1015</v>
      </c>
      <c r="C773" s="11" t="s">
        <v>1080</v>
      </c>
      <c r="D773" s="9"/>
      <c r="E773" s="9">
        <v>148</v>
      </c>
      <c r="F773" s="10" t="s">
        <v>1066</v>
      </c>
      <c r="G773" s="9">
        <v>911</v>
      </c>
      <c r="H773" s="9">
        <v>1975</v>
      </c>
      <c r="I773" s="8">
        <v>373.596</v>
      </c>
      <c r="J773" s="8">
        <v>281.81900000000002</v>
      </c>
      <c r="K773" s="8">
        <v>237.68299999999999</v>
      </c>
      <c r="L773" s="8">
        <v>208.39099999999999</v>
      </c>
      <c r="M773" s="8">
        <v>182.93</v>
      </c>
      <c r="N773" s="8">
        <v>137.011</v>
      </c>
      <c r="O773" s="8">
        <v>119.351</v>
      </c>
      <c r="P773" s="8">
        <v>105.104</v>
      </c>
      <c r="Q773" s="8">
        <v>92.424999999999997</v>
      </c>
      <c r="R773" s="8">
        <v>80.695999999999998</v>
      </c>
      <c r="S773" s="8">
        <v>70.516000000000005</v>
      </c>
      <c r="T773" s="8">
        <v>58.555999999999997</v>
      </c>
      <c r="U773" s="8">
        <v>47.377000000000002</v>
      </c>
      <c r="V773" s="8">
        <v>36.392000000000003</v>
      </c>
      <c r="W773" s="8">
        <v>24.373999999999999</v>
      </c>
      <c r="X773" s="8">
        <v>14.529</v>
      </c>
      <c r="Y773" s="8">
        <v>5.8639999999999999</v>
      </c>
      <c r="Z773" s="8">
        <v>1.931</v>
      </c>
      <c r="AA773" s="8">
        <v>0.38200000000000001</v>
      </c>
      <c r="AB773" s="8">
        <v>4.4999999999999998E-2</v>
      </c>
      <c r="AC773" s="8">
        <v>3.0000000000000001E-3</v>
      </c>
    </row>
    <row r="774" spans="1:29" ht="11.65" hidden="1" x14ac:dyDescent="0.35">
      <c r="A774" s="12">
        <v>757</v>
      </c>
      <c r="B774" s="10" t="s">
        <v>1015</v>
      </c>
      <c r="C774" s="11" t="s">
        <v>1080</v>
      </c>
      <c r="D774" s="9"/>
      <c r="E774" s="9">
        <v>148</v>
      </c>
      <c r="F774" s="10" t="s">
        <v>1066</v>
      </c>
      <c r="G774" s="9">
        <v>911</v>
      </c>
      <c r="H774" s="9">
        <v>1980</v>
      </c>
      <c r="I774" s="8">
        <v>426.46199999999999</v>
      </c>
      <c r="J774" s="8">
        <v>327.81799999999998</v>
      </c>
      <c r="K774" s="8">
        <v>260.36099999999999</v>
      </c>
      <c r="L774" s="8">
        <v>222.09</v>
      </c>
      <c r="M774" s="8">
        <v>194.142</v>
      </c>
      <c r="N774" s="8">
        <v>169.798</v>
      </c>
      <c r="O774" s="8">
        <v>126.03400000000001</v>
      </c>
      <c r="P774" s="8">
        <v>109.31399999999999</v>
      </c>
      <c r="Q774" s="8">
        <v>95.697000000000003</v>
      </c>
      <c r="R774" s="8">
        <v>83.724000000000004</v>
      </c>
      <c r="S774" s="8">
        <v>72.385000000000005</v>
      </c>
      <c r="T774" s="8">
        <v>61.981000000000002</v>
      </c>
      <c r="U774" s="8">
        <v>49.581000000000003</v>
      </c>
      <c r="V774" s="8">
        <v>37.664000000000001</v>
      </c>
      <c r="W774" s="8">
        <v>26.1</v>
      </c>
      <c r="X774" s="8">
        <v>14.925000000000001</v>
      </c>
      <c r="Y774" s="8">
        <v>7.0419999999999998</v>
      </c>
      <c r="Z774" s="8">
        <v>2.0209999999999999</v>
      </c>
      <c r="AA774" s="8">
        <v>0.433</v>
      </c>
      <c r="AB774" s="8">
        <v>5.1999999999999998E-2</v>
      </c>
      <c r="AC774" s="8">
        <v>4.0000000000000001E-3</v>
      </c>
    </row>
    <row r="775" spans="1:29" ht="11.65" hidden="1" x14ac:dyDescent="0.35">
      <c r="A775" s="12">
        <v>758</v>
      </c>
      <c r="B775" s="10" t="s">
        <v>1015</v>
      </c>
      <c r="C775" s="11" t="s">
        <v>1080</v>
      </c>
      <c r="D775" s="9"/>
      <c r="E775" s="9">
        <v>148</v>
      </c>
      <c r="F775" s="10" t="s">
        <v>1066</v>
      </c>
      <c r="G775" s="9">
        <v>911</v>
      </c>
      <c r="H775" s="9">
        <v>1985</v>
      </c>
      <c r="I775" s="8">
        <v>490.363</v>
      </c>
      <c r="J775" s="8">
        <v>381.54300000000001</v>
      </c>
      <c r="K775" s="8">
        <v>307.99400000000003</v>
      </c>
      <c r="L775" s="8">
        <v>246.95</v>
      </c>
      <c r="M775" s="8">
        <v>210.024</v>
      </c>
      <c r="N775" s="8">
        <v>182.708</v>
      </c>
      <c r="O775" s="8">
        <v>159.09299999999999</v>
      </c>
      <c r="P775" s="8">
        <v>117.163</v>
      </c>
      <c r="Q775" s="8">
        <v>101.166</v>
      </c>
      <c r="R775" s="8">
        <v>88.126000000000005</v>
      </c>
      <c r="S775" s="8">
        <v>76.381</v>
      </c>
      <c r="T775" s="8">
        <v>64.730999999999995</v>
      </c>
      <c r="U775" s="8">
        <v>53.521999999999998</v>
      </c>
      <c r="V775" s="8">
        <v>40.280999999999999</v>
      </c>
      <c r="W775" s="8">
        <v>27.7</v>
      </c>
      <c r="X775" s="8">
        <v>16.492000000000001</v>
      </c>
      <c r="Y775" s="8">
        <v>7.4969999999999999</v>
      </c>
      <c r="Z775" s="8">
        <v>2.5459999999999998</v>
      </c>
      <c r="AA775" s="8">
        <v>0.47699999999999998</v>
      </c>
      <c r="AB775" s="8">
        <v>6.4000000000000001E-2</v>
      </c>
      <c r="AC775" s="8">
        <v>5.0000000000000001E-3</v>
      </c>
    </row>
    <row r="776" spans="1:29" ht="11.65" hidden="1" x14ac:dyDescent="0.35">
      <c r="A776" s="12">
        <v>759</v>
      </c>
      <c r="B776" s="10" t="s">
        <v>1015</v>
      </c>
      <c r="C776" s="11" t="s">
        <v>1080</v>
      </c>
      <c r="D776" s="9"/>
      <c r="E776" s="9">
        <v>148</v>
      </c>
      <c r="F776" s="10" t="s">
        <v>1066</v>
      </c>
      <c r="G776" s="9">
        <v>911</v>
      </c>
      <c r="H776" s="9">
        <v>1990</v>
      </c>
      <c r="I776" s="8">
        <v>584.58600000000001</v>
      </c>
      <c r="J776" s="8">
        <v>454.00700000000001</v>
      </c>
      <c r="K776" s="8">
        <v>369.40499999999997</v>
      </c>
      <c r="L776" s="8">
        <v>300.91199999999998</v>
      </c>
      <c r="M776" s="8">
        <v>240.39599999999999</v>
      </c>
      <c r="N776" s="8">
        <v>203.251</v>
      </c>
      <c r="O776" s="8">
        <v>175.79</v>
      </c>
      <c r="P776" s="8">
        <v>152.29400000000001</v>
      </c>
      <c r="Q776" s="8">
        <v>111.631</v>
      </c>
      <c r="R776" s="8">
        <v>95.953999999999994</v>
      </c>
      <c r="S776" s="8">
        <v>82.837000000000003</v>
      </c>
      <c r="T776" s="8">
        <v>70.447000000000003</v>
      </c>
      <c r="U776" s="8">
        <v>57.731999999999999</v>
      </c>
      <c r="V776" s="8">
        <v>45.015000000000001</v>
      </c>
      <c r="W776" s="8">
        <v>30.765000000000001</v>
      </c>
      <c r="X776" s="8">
        <v>18.248000000000001</v>
      </c>
      <c r="Y776" s="8">
        <v>8.6989999999999998</v>
      </c>
      <c r="Z776" s="8">
        <v>2.863</v>
      </c>
      <c r="AA776" s="8">
        <v>0.64</v>
      </c>
      <c r="AB776" s="8">
        <v>7.3999999999999996E-2</v>
      </c>
      <c r="AC776" s="8">
        <v>6.0000000000000001E-3</v>
      </c>
    </row>
    <row r="777" spans="1:29" ht="11.65" hidden="1" x14ac:dyDescent="0.35">
      <c r="A777" s="12">
        <v>760</v>
      </c>
      <c r="B777" s="10" t="s">
        <v>1015</v>
      </c>
      <c r="C777" s="11" t="s">
        <v>1080</v>
      </c>
      <c r="D777" s="9"/>
      <c r="E777" s="9">
        <v>148</v>
      </c>
      <c r="F777" s="10" t="s">
        <v>1066</v>
      </c>
      <c r="G777" s="9">
        <v>911</v>
      </c>
      <c r="H777" s="9">
        <v>1995</v>
      </c>
      <c r="I777" s="8">
        <v>700.48299999999995</v>
      </c>
      <c r="J777" s="8">
        <v>542.34400000000005</v>
      </c>
      <c r="K777" s="8">
        <v>439.565</v>
      </c>
      <c r="L777" s="8">
        <v>360.65</v>
      </c>
      <c r="M777" s="8">
        <v>292.61099999999999</v>
      </c>
      <c r="N777" s="8">
        <v>231.91200000000001</v>
      </c>
      <c r="O777" s="8">
        <v>194.499</v>
      </c>
      <c r="P777" s="8">
        <v>167.36500000000001</v>
      </c>
      <c r="Q777" s="8">
        <v>144.59</v>
      </c>
      <c r="R777" s="8">
        <v>105.729</v>
      </c>
      <c r="S777" s="8">
        <v>90.135000000000005</v>
      </c>
      <c r="T777" s="8">
        <v>76.433999999999997</v>
      </c>
      <c r="U777" s="8">
        <v>62.945</v>
      </c>
      <c r="V777" s="8">
        <v>48.723999999999997</v>
      </c>
      <c r="W777" s="8">
        <v>34.575000000000003</v>
      </c>
      <c r="X777" s="8">
        <v>20.445</v>
      </c>
      <c r="Y777" s="8">
        <v>9.7289999999999992</v>
      </c>
      <c r="Z777" s="8">
        <v>3.3650000000000002</v>
      </c>
      <c r="AA777" s="8">
        <v>0.73199999999999998</v>
      </c>
      <c r="AB777" s="8">
        <v>0.10100000000000001</v>
      </c>
      <c r="AC777" s="8">
        <v>7.0000000000000001E-3</v>
      </c>
    </row>
    <row r="778" spans="1:29" ht="11.65" hidden="1" x14ac:dyDescent="0.35">
      <c r="A778" s="12">
        <v>761</v>
      </c>
      <c r="B778" s="10" t="s">
        <v>1015</v>
      </c>
      <c r="C778" s="11" t="s">
        <v>1080</v>
      </c>
      <c r="D778" s="9"/>
      <c r="E778" s="9">
        <v>148</v>
      </c>
      <c r="F778" s="10" t="s">
        <v>1066</v>
      </c>
      <c r="G778" s="9">
        <v>911</v>
      </c>
      <c r="H778" s="9">
        <v>2000</v>
      </c>
      <c r="I778" s="8">
        <v>838.803</v>
      </c>
      <c r="J778" s="8">
        <v>659.67200000000003</v>
      </c>
      <c r="K778" s="8">
        <v>531.80799999999999</v>
      </c>
      <c r="L778" s="8">
        <v>434.3</v>
      </c>
      <c r="M778" s="8">
        <v>354.72800000000001</v>
      </c>
      <c r="N778" s="8">
        <v>284.774</v>
      </c>
      <c r="O778" s="8">
        <v>223.05600000000001</v>
      </c>
      <c r="P778" s="8">
        <v>185.84700000000001</v>
      </c>
      <c r="Q778" s="8">
        <v>159.827</v>
      </c>
      <c r="R778" s="8">
        <v>138.203</v>
      </c>
      <c r="S778" s="8">
        <v>100.47199999999999</v>
      </c>
      <c r="T778" s="8">
        <v>84.218000000000004</v>
      </c>
      <c r="U778" s="8">
        <v>69.271000000000001</v>
      </c>
      <c r="V778" s="8">
        <v>53.988999999999997</v>
      </c>
      <c r="W778" s="8">
        <v>38.155999999999999</v>
      </c>
      <c r="X778" s="8">
        <v>23.510999999999999</v>
      </c>
      <c r="Y778" s="8">
        <v>11.191000000000001</v>
      </c>
      <c r="Z778" s="8">
        <v>3.8820000000000001</v>
      </c>
      <c r="AA778" s="8">
        <v>0.88900000000000001</v>
      </c>
      <c r="AB778" s="8">
        <v>0.11799999999999999</v>
      </c>
      <c r="AC778" s="8">
        <v>8.9999999999999993E-3</v>
      </c>
    </row>
    <row r="779" spans="1:29" ht="11.65" hidden="1" x14ac:dyDescent="0.35">
      <c r="A779" s="12">
        <v>762</v>
      </c>
      <c r="B779" s="10" t="s">
        <v>1015</v>
      </c>
      <c r="C779" s="11" t="s">
        <v>1080</v>
      </c>
      <c r="D779" s="9"/>
      <c r="E779" s="9">
        <v>148</v>
      </c>
      <c r="F779" s="10" t="s">
        <v>1066</v>
      </c>
      <c r="G779" s="9">
        <v>911</v>
      </c>
      <c r="H779" s="9">
        <v>2005</v>
      </c>
      <c r="I779" s="8">
        <v>1006.428</v>
      </c>
      <c r="J779" s="8">
        <v>805.69200000000001</v>
      </c>
      <c r="K779" s="8">
        <v>656.90499999999997</v>
      </c>
      <c r="L779" s="8">
        <v>533.45799999999997</v>
      </c>
      <c r="M779" s="8">
        <v>433.68700000000001</v>
      </c>
      <c r="N779" s="8">
        <v>349.51100000000002</v>
      </c>
      <c r="O779" s="8">
        <v>275.81200000000001</v>
      </c>
      <c r="P779" s="8">
        <v>215.244</v>
      </c>
      <c r="Q779" s="8">
        <v>179.54300000000001</v>
      </c>
      <c r="R779" s="8">
        <v>154.238</v>
      </c>
      <c r="S779" s="8">
        <v>132.75299999999999</v>
      </c>
      <c r="T779" s="8">
        <v>95.391000000000005</v>
      </c>
      <c r="U779" s="8">
        <v>77.543999999999997</v>
      </c>
      <c r="V779" s="8">
        <v>60.442999999999998</v>
      </c>
      <c r="W779" s="8">
        <v>43.076000000000001</v>
      </c>
      <c r="X779" s="8">
        <v>26.472999999999999</v>
      </c>
      <c r="Y779" s="8">
        <v>13.153</v>
      </c>
      <c r="Z779" s="8">
        <v>4.5720000000000001</v>
      </c>
      <c r="AA779" s="8">
        <v>1.052</v>
      </c>
      <c r="AB779" s="8">
        <v>0.14799999999999999</v>
      </c>
      <c r="AC779" s="8">
        <v>1.0999999999999999E-2</v>
      </c>
    </row>
    <row r="780" spans="1:29" ht="11.65" hidden="1" x14ac:dyDescent="0.35">
      <c r="A780" s="12">
        <v>763</v>
      </c>
      <c r="B780" s="10" t="s">
        <v>1015</v>
      </c>
      <c r="C780" s="11" t="s">
        <v>1080</v>
      </c>
      <c r="D780" s="9"/>
      <c r="E780" s="9">
        <v>148</v>
      </c>
      <c r="F780" s="10" t="s">
        <v>1066</v>
      </c>
      <c r="G780" s="9">
        <v>911</v>
      </c>
      <c r="H780" s="9">
        <v>2010</v>
      </c>
      <c r="I780" s="8">
        <v>1156.0429999999999</v>
      </c>
      <c r="J780" s="8">
        <v>956.47699999999998</v>
      </c>
      <c r="K780" s="8">
        <v>789.51</v>
      </c>
      <c r="L780" s="8">
        <v>648.11599999999999</v>
      </c>
      <c r="M780" s="8">
        <v>524.45000000000005</v>
      </c>
      <c r="N780" s="8">
        <v>421.505</v>
      </c>
      <c r="O780" s="8">
        <v>334.392</v>
      </c>
      <c r="P780" s="8">
        <v>262.27100000000002</v>
      </c>
      <c r="Q780" s="8">
        <v>204.572</v>
      </c>
      <c r="R780" s="8">
        <v>170.459</v>
      </c>
      <c r="S780" s="8">
        <v>146.02799999999999</v>
      </c>
      <c r="T780" s="8">
        <v>124.105</v>
      </c>
      <c r="U780" s="8">
        <v>86.680999999999997</v>
      </c>
      <c r="V780" s="8">
        <v>66.822000000000003</v>
      </c>
      <c r="W780" s="8">
        <v>47.680999999999997</v>
      </c>
      <c r="X780" s="8">
        <v>29.603000000000002</v>
      </c>
      <c r="Y780" s="8">
        <v>14.721</v>
      </c>
      <c r="Z780" s="8">
        <v>5.367</v>
      </c>
      <c r="AA780" s="8">
        <v>1.246</v>
      </c>
      <c r="AB780" s="8">
        <v>0.17799999999999999</v>
      </c>
      <c r="AC780" s="8">
        <v>1.4E-2</v>
      </c>
    </row>
    <row r="781" spans="1:29" ht="11.65" hidden="1" x14ac:dyDescent="0.35">
      <c r="A781" s="12">
        <v>764</v>
      </c>
      <c r="B781" s="10" t="s">
        <v>1015</v>
      </c>
      <c r="C781" s="11" t="s">
        <v>1080</v>
      </c>
      <c r="D781" s="9"/>
      <c r="E781" s="9">
        <v>148</v>
      </c>
      <c r="F781" s="10" t="s">
        <v>1066</v>
      </c>
      <c r="G781" s="9">
        <v>911</v>
      </c>
      <c r="H781" s="9">
        <v>2015</v>
      </c>
      <c r="I781" s="8">
        <v>1308.69</v>
      </c>
      <c r="J781" s="8">
        <v>1112.319</v>
      </c>
      <c r="K781" s="8">
        <v>941.66700000000003</v>
      </c>
      <c r="L781" s="8">
        <v>780.79399999999998</v>
      </c>
      <c r="M781" s="8">
        <v>639.33699999999999</v>
      </c>
      <c r="N781" s="8">
        <v>513.36300000000006</v>
      </c>
      <c r="O781" s="8">
        <v>407.74799999999999</v>
      </c>
      <c r="P781" s="8">
        <v>320.54000000000002</v>
      </c>
      <c r="Q781" s="8">
        <v>250.386</v>
      </c>
      <c r="R781" s="8">
        <v>195.08799999999999</v>
      </c>
      <c r="S781" s="8">
        <v>162.08799999999999</v>
      </c>
      <c r="T781" s="8">
        <v>137.286</v>
      </c>
      <c r="U781" s="8">
        <v>113.461</v>
      </c>
      <c r="V781" s="8">
        <v>75.349999999999994</v>
      </c>
      <c r="W781" s="8">
        <v>53.293999999999997</v>
      </c>
      <c r="X781" s="8">
        <v>33.24</v>
      </c>
      <c r="Y781" s="8">
        <v>16.748999999999999</v>
      </c>
      <c r="Z781" s="8">
        <v>6.1219999999999999</v>
      </c>
      <c r="AA781" s="8">
        <v>1.4870000000000001</v>
      </c>
      <c r="AB781" s="8">
        <v>0.21099999999999999</v>
      </c>
      <c r="AC781" s="8">
        <v>1.7000000000000001E-2</v>
      </c>
    </row>
    <row r="782" spans="1:29" ht="11.65" hidden="1" x14ac:dyDescent="0.35">
      <c r="A782" s="12">
        <v>765</v>
      </c>
      <c r="B782" s="10" t="s">
        <v>1015</v>
      </c>
      <c r="C782" s="11" t="s">
        <v>1080</v>
      </c>
      <c r="D782" s="9"/>
      <c r="E782" s="9">
        <v>148</v>
      </c>
      <c r="F782" s="10" t="s">
        <v>1066</v>
      </c>
      <c r="G782" s="9">
        <v>911</v>
      </c>
      <c r="H782" s="9">
        <v>2020</v>
      </c>
      <c r="I782" s="8">
        <v>1454.9280000000001</v>
      </c>
      <c r="J782" s="8">
        <v>1256.6780000000001</v>
      </c>
      <c r="K782" s="8">
        <v>1089.596</v>
      </c>
      <c r="L782" s="8">
        <v>925.95399999999995</v>
      </c>
      <c r="M782" s="8">
        <v>765.77599999999995</v>
      </c>
      <c r="N782" s="8">
        <v>622.40200000000004</v>
      </c>
      <c r="O782" s="8">
        <v>494.22399999999999</v>
      </c>
      <c r="P782" s="8">
        <v>388.79300000000001</v>
      </c>
      <c r="Q782" s="8">
        <v>304.12099999999998</v>
      </c>
      <c r="R782" s="8">
        <v>237.352</v>
      </c>
      <c r="S782" s="8">
        <v>184.64099999999999</v>
      </c>
      <c r="T782" s="8">
        <v>151.875</v>
      </c>
      <c r="U782" s="8">
        <v>125.262</v>
      </c>
      <c r="V782" s="8">
        <v>98.555999999999997</v>
      </c>
      <c r="W782" s="8">
        <v>60.228000000000002</v>
      </c>
      <c r="X782" s="8">
        <v>37.340000000000003</v>
      </c>
      <c r="Y782" s="8">
        <v>18.952999999999999</v>
      </c>
      <c r="Z782" s="8">
        <v>7.0289999999999999</v>
      </c>
      <c r="AA782" s="8">
        <v>1.708</v>
      </c>
      <c r="AB782" s="8">
        <v>0.253</v>
      </c>
      <c r="AC782" s="8">
        <v>0.02</v>
      </c>
    </row>
    <row r="783" spans="1:29" ht="11.65" hidden="1" x14ac:dyDescent="0.35">
      <c r="A783" s="12">
        <v>766</v>
      </c>
      <c r="B783" s="10" t="s">
        <v>1015</v>
      </c>
      <c r="C783" s="11" t="s">
        <v>586</v>
      </c>
      <c r="D783" s="9"/>
      <c r="E783" s="9">
        <v>178</v>
      </c>
      <c r="F783" s="10" t="s">
        <v>1066</v>
      </c>
      <c r="G783" s="9">
        <v>911</v>
      </c>
      <c r="H783" s="9">
        <v>1950</v>
      </c>
      <c r="I783" s="8">
        <v>66.078999999999994</v>
      </c>
      <c r="J783" s="8">
        <v>53.319000000000003</v>
      </c>
      <c r="K783" s="8">
        <v>46.537999999999997</v>
      </c>
      <c r="L783" s="8">
        <v>41.23</v>
      </c>
      <c r="M783" s="8">
        <v>36.401000000000003</v>
      </c>
      <c r="N783" s="8">
        <v>31.963000000000001</v>
      </c>
      <c r="O783" s="8">
        <v>27.882000000000001</v>
      </c>
      <c r="P783" s="8">
        <v>24.143999999999998</v>
      </c>
      <c r="Q783" s="8">
        <v>20.756</v>
      </c>
      <c r="R783" s="8">
        <v>17.745000000000001</v>
      </c>
      <c r="S783" s="8">
        <v>15.005000000000001</v>
      </c>
      <c r="T783" s="8">
        <v>12.135</v>
      </c>
      <c r="U783" s="8">
        <v>9.61</v>
      </c>
      <c r="V783" s="8">
        <v>7.0810000000000004</v>
      </c>
      <c r="W783" s="8">
        <v>4.6269999999999998</v>
      </c>
      <c r="X783" s="8">
        <v>2.573</v>
      </c>
      <c r="Y783" s="8">
        <v>0.94499999999999995</v>
      </c>
      <c r="Z783" s="8">
        <v>0.32200000000000001</v>
      </c>
      <c r="AA783" s="8">
        <v>7.1999999999999995E-2</v>
      </c>
      <c r="AB783" s="8">
        <v>0.01</v>
      </c>
      <c r="AC783" s="8">
        <v>1E-3</v>
      </c>
    </row>
    <row r="784" spans="1:29" ht="11.65" hidden="1" x14ac:dyDescent="0.35">
      <c r="A784" s="12">
        <v>767</v>
      </c>
      <c r="B784" s="10" t="s">
        <v>1015</v>
      </c>
      <c r="C784" s="11" t="s">
        <v>586</v>
      </c>
      <c r="D784" s="9"/>
      <c r="E784" s="9">
        <v>178</v>
      </c>
      <c r="F784" s="10" t="s">
        <v>1066</v>
      </c>
      <c r="G784" s="9">
        <v>911</v>
      </c>
      <c r="H784" s="9">
        <v>1955</v>
      </c>
      <c r="I784" s="8">
        <v>74.31</v>
      </c>
      <c r="J784" s="8">
        <v>59.927</v>
      </c>
      <c r="K784" s="8">
        <v>51.28</v>
      </c>
      <c r="L784" s="8">
        <v>45.152999999999999</v>
      </c>
      <c r="M784" s="8">
        <v>39.802999999999997</v>
      </c>
      <c r="N784" s="8">
        <v>34.854999999999997</v>
      </c>
      <c r="O784" s="8">
        <v>30.344000000000001</v>
      </c>
      <c r="P784" s="8">
        <v>26.262</v>
      </c>
      <c r="Q784" s="8">
        <v>22.585999999999999</v>
      </c>
      <c r="R784" s="8">
        <v>19.331</v>
      </c>
      <c r="S784" s="8">
        <v>16.37</v>
      </c>
      <c r="T784" s="8">
        <v>13.584</v>
      </c>
      <c r="U784" s="8">
        <v>10.618</v>
      </c>
      <c r="V784" s="8">
        <v>7.9180000000000001</v>
      </c>
      <c r="W784" s="8">
        <v>5.2830000000000004</v>
      </c>
      <c r="X784" s="8">
        <v>2.9550000000000001</v>
      </c>
      <c r="Y784" s="8">
        <v>1.2749999999999999</v>
      </c>
      <c r="Z784" s="8">
        <v>0.312</v>
      </c>
      <c r="AA784" s="8">
        <v>5.8000000000000003E-2</v>
      </c>
      <c r="AB784" s="8">
        <v>7.0000000000000001E-3</v>
      </c>
      <c r="AC784" s="8">
        <v>1E-3</v>
      </c>
    </row>
    <row r="785" spans="1:29" ht="11.65" hidden="1" x14ac:dyDescent="0.35">
      <c r="A785" s="12">
        <v>768</v>
      </c>
      <c r="B785" s="10" t="s">
        <v>1015</v>
      </c>
      <c r="C785" s="11" t="s">
        <v>586</v>
      </c>
      <c r="D785" s="9"/>
      <c r="E785" s="9">
        <v>178</v>
      </c>
      <c r="F785" s="10" t="s">
        <v>1066</v>
      </c>
      <c r="G785" s="9">
        <v>911</v>
      </c>
      <c r="H785" s="9">
        <v>1960</v>
      </c>
      <c r="I785" s="8">
        <v>85.284000000000006</v>
      </c>
      <c r="J785" s="8">
        <v>68.855000000000004</v>
      </c>
      <c r="K785" s="8">
        <v>58.171999999999997</v>
      </c>
      <c r="L785" s="8">
        <v>50.070999999999998</v>
      </c>
      <c r="M785" s="8">
        <v>43.860999999999997</v>
      </c>
      <c r="N785" s="8">
        <v>38.366</v>
      </c>
      <c r="O785" s="8">
        <v>33.332999999999998</v>
      </c>
      <c r="P785" s="8">
        <v>28.802</v>
      </c>
      <c r="Q785" s="8">
        <v>24.754000000000001</v>
      </c>
      <c r="R785" s="8">
        <v>21.181000000000001</v>
      </c>
      <c r="S785" s="8">
        <v>17.952000000000002</v>
      </c>
      <c r="T785" s="8">
        <v>14.925000000000001</v>
      </c>
      <c r="U785" s="8">
        <v>11.984999999999999</v>
      </c>
      <c r="V785" s="8">
        <v>8.8309999999999995</v>
      </c>
      <c r="W785" s="8">
        <v>5.9669999999999996</v>
      </c>
      <c r="X785" s="8">
        <v>3.4</v>
      </c>
      <c r="Y785" s="8">
        <v>1.462</v>
      </c>
      <c r="Z785" s="8">
        <v>0.41</v>
      </c>
      <c r="AA785" s="8">
        <v>5.0999999999999997E-2</v>
      </c>
      <c r="AB785" s="8">
        <v>5.0000000000000001E-3</v>
      </c>
      <c r="AC785" s="8">
        <v>0</v>
      </c>
    </row>
    <row r="786" spans="1:29" ht="11.65" hidden="1" x14ac:dyDescent="0.35">
      <c r="A786" s="12">
        <v>769</v>
      </c>
      <c r="B786" s="10" t="s">
        <v>1015</v>
      </c>
      <c r="C786" s="11" t="s">
        <v>586</v>
      </c>
      <c r="D786" s="9"/>
      <c r="E786" s="9">
        <v>178</v>
      </c>
      <c r="F786" s="10" t="s">
        <v>1066</v>
      </c>
      <c r="G786" s="9">
        <v>911</v>
      </c>
      <c r="H786" s="9">
        <v>1965</v>
      </c>
      <c r="I786" s="8">
        <v>100.242</v>
      </c>
      <c r="J786" s="8">
        <v>80.325000000000003</v>
      </c>
      <c r="K786" s="8">
        <v>67.272000000000006</v>
      </c>
      <c r="L786" s="8">
        <v>57.064</v>
      </c>
      <c r="M786" s="8">
        <v>48.865000000000002</v>
      </c>
      <c r="N786" s="8">
        <v>42.491</v>
      </c>
      <c r="O786" s="8">
        <v>36.896000000000001</v>
      </c>
      <c r="P786" s="8">
        <v>31.829000000000001</v>
      </c>
      <c r="Q786" s="8">
        <v>27.312000000000001</v>
      </c>
      <c r="R786" s="8">
        <v>23.344999999999999</v>
      </c>
      <c r="S786" s="8">
        <v>19.779</v>
      </c>
      <c r="T786" s="8">
        <v>16.468</v>
      </c>
      <c r="U786" s="8">
        <v>13.268000000000001</v>
      </c>
      <c r="V786" s="8">
        <v>10.058999999999999</v>
      </c>
      <c r="W786" s="8">
        <v>6.7229999999999999</v>
      </c>
      <c r="X786" s="8">
        <v>3.8740000000000001</v>
      </c>
      <c r="Y786" s="8">
        <v>1.6870000000000001</v>
      </c>
      <c r="Z786" s="8">
        <v>0.46100000000000002</v>
      </c>
      <c r="AA786" s="8">
        <v>6.5000000000000002E-2</v>
      </c>
      <c r="AB786" s="8">
        <v>4.0000000000000001E-3</v>
      </c>
      <c r="AC786" s="8">
        <v>0</v>
      </c>
    </row>
    <row r="787" spans="1:29" ht="11.65" hidden="1" x14ac:dyDescent="0.35">
      <c r="A787" s="12">
        <v>770</v>
      </c>
      <c r="B787" s="10" t="s">
        <v>1015</v>
      </c>
      <c r="C787" s="11" t="s">
        <v>586</v>
      </c>
      <c r="D787" s="9"/>
      <c r="E787" s="9">
        <v>178</v>
      </c>
      <c r="F787" s="10" t="s">
        <v>1066</v>
      </c>
      <c r="G787" s="9">
        <v>911</v>
      </c>
      <c r="H787" s="9">
        <v>1970</v>
      </c>
      <c r="I787" s="8">
        <v>118.52</v>
      </c>
      <c r="J787" s="8">
        <v>95.507999999999996</v>
      </c>
      <c r="K787" s="8">
        <v>78.799000000000007</v>
      </c>
      <c r="L787" s="8">
        <v>66.191999999999993</v>
      </c>
      <c r="M787" s="8">
        <v>55.862000000000002</v>
      </c>
      <c r="N787" s="8">
        <v>47.500999999999998</v>
      </c>
      <c r="O787" s="8">
        <v>41.018000000000001</v>
      </c>
      <c r="P787" s="8">
        <v>35.372999999999998</v>
      </c>
      <c r="Q787" s="8">
        <v>30.305</v>
      </c>
      <c r="R787" s="8">
        <v>25.859000000000002</v>
      </c>
      <c r="S787" s="8">
        <v>21.888000000000002</v>
      </c>
      <c r="T787" s="8">
        <v>18.225000000000001</v>
      </c>
      <c r="U787" s="8">
        <v>14.723000000000001</v>
      </c>
      <c r="V787" s="8">
        <v>11.212999999999999</v>
      </c>
      <c r="W787" s="8">
        <v>7.72</v>
      </c>
      <c r="X787" s="8">
        <v>4.4000000000000004</v>
      </c>
      <c r="Y787" s="8">
        <v>1.9330000000000001</v>
      </c>
      <c r="Z787" s="8">
        <v>0.52800000000000002</v>
      </c>
      <c r="AA787" s="8">
        <v>7.0000000000000007E-2</v>
      </c>
      <c r="AB787" s="8">
        <v>4.0000000000000001E-3</v>
      </c>
      <c r="AC787" s="8">
        <v>0</v>
      </c>
    </row>
    <row r="788" spans="1:29" ht="11.65" hidden="1" x14ac:dyDescent="0.35">
      <c r="A788" s="12">
        <v>771</v>
      </c>
      <c r="B788" s="10" t="s">
        <v>1015</v>
      </c>
      <c r="C788" s="11" t="s">
        <v>586</v>
      </c>
      <c r="D788" s="9"/>
      <c r="E788" s="9">
        <v>178</v>
      </c>
      <c r="F788" s="10" t="s">
        <v>1066</v>
      </c>
      <c r="G788" s="9">
        <v>911</v>
      </c>
      <c r="H788" s="9">
        <v>1975</v>
      </c>
      <c r="I788" s="8">
        <v>139.22499999999999</v>
      </c>
      <c r="J788" s="8">
        <v>113.854</v>
      </c>
      <c r="K788" s="8">
        <v>93.948999999999998</v>
      </c>
      <c r="L788" s="8">
        <v>77.691000000000003</v>
      </c>
      <c r="M788" s="8">
        <v>64.936999999999998</v>
      </c>
      <c r="N788" s="8">
        <v>54.433999999999997</v>
      </c>
      <c r="O788" s="8">
        <v>45.975000000000001</v>
      </c>
      <c r="P788" s="8">
        <v>39.436999999999998</v>
      </c>
      <c r="Q788" s="8">
        <v>33.777000000000001</v>
      </c>
      <c r="R788" s="8">
        <v>28.773</v>
      </c>
      <c r="S788" s="8">
        <v>24.312999999999999</v>
      </c>
      <c r="T788" s="8">
        <v>20.234999999999999</v>
      </c>
      <c r="U788" s="8">
        <v>16.361000000000001</v>
      </c>
      <c r="V788" s="8">
        <v>12.510999999999999</v>
      </c>
      <c r="W788" s="8">
        <v>8.6620000000000008</v>
      </c>
      <c r="X788" s="8">
        <v>5.0910000000000002</v>
      </c>
      <c r="Y788" s="8">
        <v>2.206</v>
      </c>
      <c r="Z788" s="8">
        <v>0.60499999999999998</v>
      </c>
      <c r="AA788" s="8">
        <v>7.8E-2</v>
      </c>
      <c r="AB788" s="8">
        <v>4.0000000000000001E-3</v>
      </c>
      <c r="AC788" s="8">
        <v>0</v>
      </c>
    </row>
    <row r="789" spans="1:29" ht="11.65" hidden="1" x14ac:dyDescent="0.35">
      <c r="A789" s="12">
        <v>772</v>
      </c>
      <c r="B789" s="10" t="s">
        <v>1015</v>
      </c>
      <c r="C789" s="11" t="s">
        <v>586</v>
      </c>
      <c r="D789" s="9"/>
      <c r="E789" s="9">
        <v>178</v>
      </c>
      <c r="F789" s="10" t="s">
        <v>1066</v>
      </c>
      <c r="G789" s="9">
        <v>911</v>
      </c>
      <c r="H789" s="9">
        <v>1980</v>
      </c>
      <c r="I789" s="8">
        <v>160.80000000000001</v>
      </c>
      <c r="J789" s="8">
        <v>134.494</v>
      </c>
      <c r="K789" s="8">
        <v>112.146</v>
      </c>
      <c r="L789" s="8">
        <v>92.522999999999996</v>
      </c>
      <c r="M789" s="8">
        <v>75.768000000000001</v>
      </c>
      <c r="N789" s="8">
        <v>62.686</v>
      </c>
      <c r="O789" s="8">
        <v>52.204999999999998</v>
      </c>
      <c r="P789" s="8">
        <v>43.887</v>
      </c>
      <c r="Q789" s="8">
        <v>37.470999999999997</v>
      </c>
      <c r="R789" s="8">
        <v>31.965</v>
      </c>
      <c r="S789" s="8">
        <v>27.004000000000001</v>
      </c>
      <c r="T789" s="8">
        <v>22.47</v>
      </c>
      <c r="U789" s="8">
        <v>18.186</v>
      </c>
      <c r="V789" s="8">
        <v>13.943</v>
      </c>
      <c r="W789" s="8">
        <v>9.7080000000000002</v>
      </c>
      <c r="X789" s="8">
        <v>5.742</v>
      </c>
      <c r="Y789" s="8">
        <v>2.5619999999999998</v>
      </c>
      <c r="Z789" s="8">
        <v>0.68799999999999994</v>
      </c>
      <c r="AA789" s="8">
        <v>8.6999999999999994E-2</v>
      </c>
      <c r="AB789" s="8">
        <v>4.0000000000000001E-3</v>
      </c>
      <c r="AC789" s="8">
        <v>0</v>
      </c>
    </row>
    <row r="790" spans="1:29" ht="11.65" hidden="1" x14ac:dyDescent="0.35">
      <c r="A790" s="12">
        <v>773</v>
      </c>
      <c r="B790" s="10" t="s">
        <v>1015</v>
      </c>
      <c r="C790" s="11" t="s">
        <v>586</v>
      </c>
      <c r="D790" s="9"/>
      <c r="E790" s="9">
        <v>178</v>
      </c>
      <c r="F790" s="10" t="s">
        <v>1066</v>
      </c>
      <c r="G790" s="9">
        <v>911</v>
      </c>
      <c r="H790" s="9">
        <v>1985</v>
      </c>
      <c r="I790" s="8">
        <v>176.935</v>
      </c>
      <c r="J790" s="8">
        <v>156.50399999999999</v>
      </c>
      <c r="K790" s="8">
        <v>132.83600000000001</v>
      </c>
      <c r="L790" s="8">
        <v>110.962</v>
      </c>
      <c r="M790" s="8">
        <v>91.21</v>
      </c>
      <c r="N790" s="8">
        <v>74.256</v>
      </c>
      <c r="O790" s="8">
        <v>61.021000000000001</v>
      </c>
      <c r="P790" s="8">
        <v>50.457999999999998</v>
      </c>
      <c r="Q790" s="8">
        <v>42.103999999999999</v>
      </c>
      <c r="R790" s="8">
        <v>35.725000000000001</v>
      </c>
      <c r="S790" s="8">
        <v>30.173999999999999</v>
      </c>
      <c r="T790" s="8">
        <v>25.082000000000001</v>
      </c>
      <c r="U790" s="8">
        <v>20.295999999999999</v>
      </c>
      <c r="V790" s="8">
        <v>15.582000000000001</v>
      </c>
      <c r="W790" s="8">
        <v>10.888</v>
      </c>
      <c r="X790" s="8">
        <v>6.4859999999999998</v>
      </c>
      <c r="Y790" s="8">
        <v>2.9129999999999998</v>
      </c>
      <c r="Z790" s="8">
        <v>0.79900000000000004</v>
      </c>
      <c r="AA790" s="8">
        <v>9.7000000000000003E-2</v>
      </c>
      <c r="AB790" s="8">
        <v>5.0000000000000001E-3</v>
      </c>
      <c r="AC790" s="8">
        <v>0</v>
      </c>
    </row>
    <row r="791" spans="1:29" ht="11.65" hidden="1" x14ac:dyDescent="0.35">
      <c r="A791" s="12">
        <v>774</v>
      </c>
      <c r="B791" s="10" t="s">
        <v>1015</v>
      </c>
      <c r="C791" s="11" t="s">
        <v>586</v>
      </c>
      <c r="D791" s="9"/>
      <c r="E791" s="9">
        <v>178</v>
      </c>
      <c r="F791" s="10" t="s">
        <v>1066</v>
      </c>
      <c r="G791" s="9">
        <v>911</v>
      </c>
      <c r="H791" s="9">
        <v>1990</v>
      </c>
      <c r="I791" s="8">
        <v>195.06700000000001</v>
      </c>
      <c r="J791" s="8">
        <v>172.77</v>
      </c>
      <c r="K791" s="8">
        <v>154.74299999999999</v>
      </c>
      <c r="L791" s="8">
        <v>131.536</v>
      </c>
      <c r="M791" s="8">
        <v>109.434</v>
      </c>
      <c r="N791" s="8">
        <v>89.347999999999999</v>
      </c>
      <c r="O791" s="8">
        <v>72.192999999999998</v>
      </c>
      <c r="P791" s="8">
        <v>58.871000000000002</v>
      </c>
      <c r="Q791" s="8">
        <v>48.313000000000002</v>
      </c>
      <c r="R791" s="8">
        <v>40.070999999999998</v>
      </c>
      <c r="S791" s="8">
        <v>33.671999999999997</v>
      </c>
      <c r="T791" s="8">
        <v>27.998999999999999</v>
      </c>
      <c r="U791" s="8">
        <v>22.652999999999999</v>
      </c>
      <c r="V791" s="8">
        <v>17.41</v>
      </c>
      <c r="W791" s="8">
        <v>12.205</v>
      </c>
      <c r="X791" s="8">
        <v>7.3120000000000003</v>
      </c>
      <c r="Y791" s="8">
        <v>3.3109999999999999</v>
      </c>
      <c r="Z791" s="8">
        <v>0.91400000000000003</v>
      </c>
      <c r="AA791" s="8">
        <v>0.114</v>
      </c>
      <c r="AB791" s="8">
        <v>5.0000000000000001E-3</v>
      </c>
      <c r="AC791" s="8">
        <v>0</v>
      </c>
    </row>
    <row r="792" spans="1:29" ht="11.65" hidden="1" x14ac:dyDescent="0.35">
      <c r="A792" s="12">
        <v>775</v>
      </c>
      <c r="B792" s="10" t="s">
        <v>1015</v>
      </c>
      <c r="C792" s="11" t="s">
        <v>586</v>
      </c>
      <c r="D792" s="9"/>
      <c r="E792" s="9">
        <v>178</v>
      </c>
      <c r="F792" s="10" t="s">
        <v>1066</v>
      </c>
      <c r="G792" s="9">
        <v>911</v>
      </c>
      <c r="H792" s="9">
        <v>1995</v>
      </c>
      <c r="I792" s="8">
        <v>219.22499999999999</v>
      </c>
      <c r="J792" s="8">
        <v>190.47499999999999</v>
      </c>
      <c r="K792" s="8">
        <v>170.95</v>
      </c>
      <c r="L792" s="8">
        <v>153.613</v>
      </c>
      <c r="M792" s="8">
        <v>131.08600000000001</v>
      </c>
      <c r="N792" s="8">
        <v>109.04600000000001</v>
      </c>
      <c r="O792" s="8">
        <v>88.3</v>
      </c>
      <c r="P792" s="8">
        <v>70.438000000000002</v>
      </c>
      <c r="Q792" s="8">
        <v>56.476999999999997</v>
      </c>
      <c r="R792" s="8">
        <v>45.813000000000002</v>
      </c>
      <c r="S792" s="8">
        <v>37.594000000000001</v>
      </c>
      <c r="T792" s="8">
        <v>31.085999999999999</v>
      </c>
      <c r="U792" s="8">
        <v>25.155999999999999</v>
      </c>
      <c r="V792" s="8">
        <v>19.347000000000001</v>
      </c>
      <c r="W792" s="8">
        <v>13.603999999999999</v>
      </c>
      <c r="X792" s="8">
        <v>8.2089999999999996</v>
      </c>
      <c r="Y792" s="8">
        <v>3.7690000000000001</v>
      </c>
      <c r="Z792" s="8">
        <v>1.056</v>
      </c>
      <c r="AA792" s="8">
        <v>0.13400000000000001</v>
      </c>
      <c r="AB792" s="8">
        <v>6.0000000000000001E-3</v>
      </c>
      <c r="AC792" s="8">
        <v>0</v>
      </c>
    </row>
    <row r="793" spans="1:29" ht="11.65" hidden="1" x14ac:dyDescent="0.35">
      <c r="A793" s="12">
        <v>776</v>
      </c>
      <c r="B793" s="10" t="s">
        <v>1015</v>
      </c>
      <c r="C793" s="11" t="s">
        <v>586</v>
      </c>
      <c r="D793" s="9"/>
      <c r="E793" s="9">
        <v>178</v>
      </c>
      <c r="F793" s="10" t="s">
        <v>1066</v>
      </c>
      <c r="G793" s="9">
        <v>911</v>
      </c>
      <c r="H793" s="9">
        <v>2000</v>
      </c>
      <c r="I793" s="8">
        <v>253.32599999999999</v>
      </c>
      <c r="J793" s="8">
        <v>213.35900000000001</v>
      </c>
      <c r="K793" s="8">
        <v>188.45500000000001</v>
      </c>
      <c r="L793" s="8">
        <v>170.126</v>
      </c>
      <c r="M793" s="8">
        <v>154.50200000000001</v>
      </c>
      <c r="N793" s="8">
        <v>132.27799999999999</v>
      </c>
      <c r="O793" s="8">
        <v>108.756</v>
      </c>
      <c r="P793" s="8">
        <v>86.430999999999997</v>
      </c>
      <c r="Q793" s="8">
        <v>67.349999999999994</v>
      </c>
      <c r="R793" s="8">
        <v>53.213999999999999</v>
      </c>
      <c r="S793" s="8">
        <v>42.695999999999998</v>
      </c>
      <c r="T793" s="8">
        <v>34.482999999999997</v>
      </c>
      <c r="U793" s="8">
        <v>27.75</v>
      </c>
      <c r="V793" s="8">
        <v>21.373000000000001</v>
      </c>
      <c r="W793" s="8">
        <v>15.079000000000001</v>
      </c>
      <c r="X793" s="8">
        <v>9.1829999999999998</v>
      </c>
      <c r="Y793" s="8">
        <v>4.3019999999999996</v>
      </c>
      <c r="Z793" s="8">
        <v>1.248</v>
      </c>
      <c r="AA793" s="8">
        <v>0.17100000000000001</v>
      </c>
      <c r="AB793" s="8">
        <v>8.9999999999999993E-3</v>
      </c>
      <c r="AC793" s="8">
        <v>0</v>
      </c>
    </row>
    <row r="794" spans="1:29" ht="11.65" hidden="1" x14ac:dyDescent="0.35">
      <c r="A794" s="12">
        <v>777</v>
      </c>
      <c r="B794" s="10" t="s">
        <v>1015</v>
      </c>
      <c r="C794" s="11" t="s">
        <v>586</v>
      </c>
      <c r="D794" s="9"/>
      <c r="E794" s="9">
        <v>178</v>
      </c>
      <c r="F794" s="10" t="s">
        <v>1066</v>
      </c>
      <c r="G794" s="9">
        <v>911</v>
      </c>
      <c r="H794" s="9">
        <v>2005</v>
      </c>
      <c r="I794" s="8">
        <v>294.93599999999998</v>
      </c>
      <c r="J794" s="8">
        <v>246.959</v>
      </c>
      <c r="K794" s="8">
        <v>211.25399999999999</v>
      </c>
      <c r="L794" s="8">
        <v>187.56899999999999</v>
      </c>
      <c r="M794" s="8">
        <v>171.36</v>
      </c>
      <c r="N794" s="8">
        <v>156.23599999999999</v>
      </c>
      <c r="O794" s="8">
        <v>131.67599999999999</v>
      </c>
      <c r="P794" s="8">
        <v>105.79900000000001</v>
      </c>
      <c r="Q794" s="8">
        <v>82.340999999999994</v>
      </c>
      <c r="R794" s="8">
        <v>63.168999999999997</v>
      </c>
      <c r="S794" s="8">
        <v>49.253999999999998</v>
      </c>
      <c r="T794" s="8">
        <v>38.976999999999997</v>
      </c>
      <c r="U794" s="8">
        <v>30.701000000000001</v>
      </c>
      <c r="V794" s="8">
        <v>23.561</v>
      </c>
      <c r="W794" s="8">
        <v>16.681999999999999</v>
      </c>
      <c r="X794" s="8">
        <v>10.215999999999999</v>
      </c>
      <c r="Y794" s="8">
        <v>4.8310000000000004</v>
      </c>
      <c r="Z794" s="8">
        <v>1.4339999999999999</v>
      </c>
      <c r="AA794" s="8">
        <v>0.20300000000000001</v>
      </c>
      <c r="AB794" s="8">
        <v>1.2E-2</v>
      </c>
      <c r="AC794" s="8">
        <v>0</v>
      </c>
    </row>
    <row r="795" spans="1:29" ht="11.65" hidden="1" x14ac:dyDescent="0.35">
      <c r="A795" s="12">
        <v>778</v>
      </c>
      <c r="B795" s="10" t="s">
        <v>1015</v>
      </c>
      <c r="C795" s="11" t="s">
        <v>586</v>
      </c>
      <c r="D795" s="9"/>
      <c r="E795" s="9">
        <v>178</v>
      </c>
      <c r="F795" s="10" t="s">
        <v>1066</v>
      </c>
      <c r="G795" s="9">
        <v>911</v>
      </c>
      <c r="H795" s="9">
        <v>2010</v>
      </c>
      <c r="I795" s="8">
        <v>348.22300000000001</v>
      </c>
      <c r="J795" s="8">
        <v>290.29399999999998</v>
      </c>
      <c r="K795" s="8">
        <v>245.107</v>
      </c>
      <c r="L795" s="8">
        <v>210.60300000000001</v>
      </c>
      <c r="M795" s="8">
        <v>190.93600000000001</v>
      </c>
      <c r="N795" s="8">
        <v>177.64400000000001</v>
      </c>
      <c r="O795" s="8">
        <v>160.517</v>
      </c>
      <c r="P795" s="8">
        <v>133.34899999999999</v>
      </c>
      <c r="Q795" s="8">
        <v>105.776</v>
      </c>
      <c r="R795" s="8">
        <v>80.465999999999994</v>
      </c>
      <c r="S795" s="8">
        <v>59.798999999999999</v>
      </c>
      <c r="T795" s="8">
        <v>45.701999999999998</v>
      </c>
      <c r="U795" s="8">
        <v>35.253999999999998</v>
      </c>
      <c r="V795" s="8">
        <v>26.459</v>
      </c>
      <c r="W795" s="8">
        <v>18.634</v>
      </c>
      <c r="X795" s="8">
        <v>11.401</v>
      </c>
      <c r="Y795" s="8">
        <v>5.3659999999999997</v>
      </c>
      <c r="Z795" s="8">
        <v>1.5720000000000001</v>
      </c>
      <c r="AA795" s="8">
        <v>0.214</v>
      </c>
      <c r="AB795" s="8">
        <v>1.2E-2</v>
      </c>
      <c r="AC795" s="8">
        <v>0</v>
      </c>
    </row>
    <row r="796" spans="1:29" ht="11.65" hidden="1" x14ac:dyDescent="0.35">
      <c r="A796" s="12">
        <v>779</v>
      </c>
      <c r="B796" s="10" t="s">
        <v>1015</v>
      </c>
      <c r="C796" s="11" t="s">
        <v>586</v>
      </c>
      <c r="D796" s="9"/>
      <c r="E796" s="9">
        <v>178</v>
      </c>
      <c r="F796" s="10" t="s">
        <v>1066</v>
      </c>
      <c r="G796" s="9">
        <v>911</v>
      </c>
      <c r="H796" s="9">
        <v>2015</v>
      </c>
      <c r="I796" s="8">
        <v>386.04300000000001</v>
      </c>
      <c r="J796" s="8">
        <v>342.1</v>
      </c>
      <c r="K796" s="8">
        <v>287.29199999999997</v>
      </c>
      <c r="L796" s="8">
        <v>241.191</v>
      </c>
      <c r="M796" s="8">
        <v>203.387</v>
      </c>
      <c r="N796" s="8">
        <v>181.76</v>
      </c>
      <c r="O796" s="8">
        <v>168.614</v>
      </c>
      <c r="P796" s="8">
        <v>152.33600000000001</v>
      </c>
      <c r="Q796" s="8">
        <v>126.26900000000001</v>
      </c>
      <c r="R796" s="8">
        <v>99.899000000000001</v>
      </c>
      <c r="S796" s="8">
        <v>75.47</v>
      </c>
      <c r="T796" s="8">
        <v>55.378999999999998</v>
      </c>
      <c r="U796" s="8">
        <v>41.374000000000002</v>
      </c>
      <c r="V796" s="8">
        <v>30.49</v>
      </c>
      <c r="W796" s="8">
        <v>21.048999999999999</v>
      </c>
      <c r="X796" s="8">
        <v>12.827</v>
      </c>
      <c r="Y796" s="8">
        <v>6.0229999999999997</v>
      </c>
      <c r="Z796" s="8">
        <v>1.772</v>
      </c>
      <c r="AA796" s="8">
        <v>0.23699999999999999</v>
      </c>
      <c r="AB796" s="8">
        <v>0.01</v>
      </c>
      <c r="AC796" s="8">
        <v>0</v>
      </c>
    </row>
    <row r="797" spans="1:29" ht="11.65" hidden="1" x14ac:dyDescent="0.35">
      <c r="A797" s="12">
        <v>780</v>
      </c>
      <c r="B797" s="10" t="s">
        <v>1015</v>
      </c>
      <c r="C797" s="11" t="s">
        <v>586</v>
      </c>
      <c r="D797" s="9"/>
      <c r="E797" s="9">
        <v>178</v>
      </c>
      <c r="F797" s="10" t="s">
        <v>1066</v>
      </c>
      <c r="G797" s="9">
        <v>911</v>
      </c>
      <c r="H797" s="9">
        <v>2020</v>
      </c>
      <c r="I797" s="8">
        <v>406.577</v>
      </c>
      <c r="J797" s="8">
        <v>381.733</v>
      </c>
      <c r="K797" s="8">
        <v>340.00700000000001</v>
      </c>
      <c r="L797" s="8">
        <v>285.00700000000001</v>
      </c>
      <c r="M797" s="8">
        <v>237.398</v>
      </c>
      <c r="N797" s="8">
        <v>198.54499999999999</v>
      </c>
      <c r="O797" s="8">
        <v>176.626</v>
      </c>
      <c r="P797" s="8">
        <v>163.316</v>
      </c>
      <c r="Q797" s="8">
        <v>146.923</v>
      </c>
      <c r="R797" s="8">
        <v>121.21899999999999</v>
      </c>
      <c r="S797" s="8">
        <v>95.15</v>
      </c>
      <c r="T797" s="8">
        <v>71.006</v>
      </c>
      <c r="U797" s="8">
        <v>51.034999999999997</v>
      </c>
      <c r="V797" s="8">
        <v>36.604999999999997</v>
      </c>
      <c r="W797" s="8">
        <v>25.056999999999999</v>
      </c>
      <c r="X797" s="8">
        <v>15.231999999999999</v>
      </c>
      <c r="Y797" s="8">
        <v>7.3609999999999998</v>
      </c>
      <c r="Z797" s="8">
        <v>2.2719999999999998</v>
      </c>
      <c r="AA797" s="8">
        <v>0.32900000000000001</v>
      </c>
      <c r="AB797" s="8">
        <v>1.6E-2</v>
      </c>
      <c r="AC797" s="8">
        <v>0</v>
      </c>
    </row>
    <row r="798" spans="1:29" ht="11.65" hidden="1" x14ac:dyDescent="0.35">
      <c r="A798" s="12">
        <v>781</v>
      </c>
      <c r="B798" s="10" t="s">
        <v>1015</v>
      </c>
      <c r="C798" s="11" t="s">
        <v>1081</v>
      </c>
      <c r="D798" s="9"/>
      <c r="E798" s="9">
        <v>180</v>
      </c>
      <c r="F798" s="10" t="s">
        <v>1066</v>
      </c>
      <c r="G798" s="9">
        <v>911</v>
      </c>
      <c r="H798" s="9">
        <v>1950</v>
      </c>
      <c r="I798" s="8">
        <v>1099.3389999999999</v>
      </c>
      <c r="J798" s="8">
        <v>876.09</v>
      </c>
      <c r="K798" s="8">
        <v>747.97199999999998</v>
      </c>
      <c r="L798" s="8">
        <v>646.00599999999997</v>
      </c>
      <c r="M798" s="8">
        <v>558.38699999999994</v>
      </c>
      <c r="N798" s="8">
        <v>477.99700000000001</v>
      </c>
      <c r="O798" s="8">
        <v>409.07299999999998</v>
      </c>
      <c r="P798" s="8">
        <v>347.15100000000001</v>
      </c>
      <c r="Q798" s="8">
        <v>290.91199999999998</v>
      </c>
      <c r="R798" s="8">
        <v>245.68</v>
      </c>
      <c r="S798" s="8">
        <v>203.762</v>
      </c>
      <c r="T798" s="8">
        <v>169.26400000000001</v>
      </c>
      <c r="U798" s="8">
        <v>129.251</v>
      </c>
      <c r="V798" s="8">
        <v>98.811999999999998</v>
      </c>
      <c r="W798" s="8">
        <v>74.36</v>
      </c>
      <c r="X798" s="8">
        <v>52.564</v>
      </c>
      <c r="Y798" s="8">
        <v>35.095999999999997</v>
      </c>
      <c r="Z798" s="8">
        <v>11.907999999999999</v>
      </c>
      <c r="AA798" s="8">
        <v>2.5870000000000002</v>
      </c>
      <c r="AB798" s="8">
        <v>0.33400000000000002</v>
      </c>
      <c r="AC798" s="8">
        <v>2.5999999999999999E-2</v>
      </c>
    </row>
    <row r="799" spans="1:29" ht="11.65" hidden="1" x14ac:dyDescent="0.35">
      <c r="A799" s="12">
        <v>782</v>
      </c>
      <c r="B799" s="10" t="s">
        <v>1015</v>
      </c>
      <c r="C799" s="11" t="s">
        <v>1081</v>
      </c>
      <c r="D799" s="9"/>
      <c r="E799" s="9">
        <v>180</v>
      </c>
      <c r="F799" s="10" t="s">
        <v>1066</v>
      </c>
      <c r="G799" s="9">
        <v>911</v>
      </c>
      <c r="H799" s="9">
        <v>1955</v>
      </c>
      <c r="I799" s="8">
        <v>1168.5820000000001</v>
      </c>
      <c r="J799" s="8">
        <v>970.39700000000005</v>
      </c>
      <c r="K799" s="8">
        <v>840.048</v>
      </c>
      <c r="L799" s="8">
        <v>724.94899999999996</v>
      </c>
      <c r="M799" s="8">
        <v>623.43499999999995</v>
      </c>
      <c r="N799" s="8">
        <v>535.71699999999998</v>
      </c>
      <c r="O799" s="8">
        <v>455.43099999999998</v>
      </c>
      <c r="P799" s="8">
        <v>386.84800000000001</v>
      </c>
      <c r="Q799" s="8">
        <v>326.05700000000002</v>
      </c>
      <c r="R799" s="8">
        <v>271.76600000000002</v>
      </c>
      <c r="S799" s="8">
        <v>227.12</v>
      </c>
      <c r="T799" s="8">
        <v>183.989</v>
      </c>
      <c r="U799" s="8">
        <v>146.50399999999999</v>
      </c>
      <c r="V799" s="8">
        <v>104.20099999999999</v>
      </c>
      <c r="W799" s="8">
        <v>70.930000000000007</v>
      </c>
      <c r="X799" s="8">
        <v>44.828000000000003</v>
      </c>
      <c r="Y799" s="8">
        <v>24.506</v>
      </c>
      <c r="Z799" s="8">
        <v>11.364000000000001</v>
      </c>
      <c r="AA799" s="8">
        <v>2.4569999999999999</v>
      </c>
      <c r="AB799" s="8">
        <v>0.31900000000000001</v>
      </c>
      <c r="AC799" s="8">
        <v>2.5999999999999999E-2</v>
      </c>
    </row>
    <row r="800" spans="1:29" ht="11.65" hidden="1" x14ac:dyDescent="0.35">
      <c r="A800" s="12">
        <v>783</v>
      </c>
      <c r="B800" s="10" t="s">
        <v>1015</v>
      </c>
      <c r="C800" s="11" t="s">
        <v>1081</v>
      </c>
      <c r="D800" s="9"/>
      <c r="E800" s="9">
        <v>180</v>
      </c>
      <c r="F800" s="10" t="s">
        <v>1066</v>
      </c>
      <c r="G800" s="9">
        <v>911</v>
      </c>
      <c r="H800" s="9">
        <v>1960</v>
      </c>
      <c r="I800" s="8">
        <v>1337.5409999999999</v>
      </c>
      <c r="J800" s="8">
        <v>1045.6089999999999</v>
      </c>
      <c r="K800" s="8">
        <v>937.72699999999998</v>
      </c>
      <c r="L800" s="8">
        <v>819.92600000000004</v>
      </c>
      <c r="M800" s="8">
        <v>704.64700000000005</v>
      </c>
      <c r="N800" s="8">
        <v>602.58699999999999</v>
      </c>
      <c r="O800" s="8">
        <v>514.44200000000001</v>
      </c>
      <c r="P800" s="8">
        <v>434.28899999999999</v>
      </c>
      <c r="Q800" s="8">
        <v>366.47199999999998</v>
      </c>
      <c r="R800" s="8">
        <v>307.23899999999998</v>
      </c>
      <c r="S800" s="8">
        <v>253.48699999999999</v>
      </c>
      <c r="T800" s="8">
        <v>207.11</v>
      </c>
      <c r="U800" s="8">
        <v>161.12899999999999</v>
      </c>
      <c r="V800" s="8">
        <v>119.825</v>
      </c>
      <c r="W800" s="8">
        <v>76.225999999999999</v>
      </c>
      <c r="X800" s="8">
        <v>43.841999999999999</v>
      </c>
      <c r="Y800" s="8">
        <v>21.587</v>
      </c>
      <c r="Z800" s="8">
        <v>8.2750000000000004</v>
      </c>
      <c r="AA800" s="8">
        <v>2.4620000000000002</v>
      </c>
      <c r="AB800" s="8">
        <v>0.31900000000000001</v>
      </c>
      <c r="AC800" s="8">
        <v>2.5999999999999999E-2</v>
      </c>
    </row>
    <row r="801" spans="1:29" ht="11.65" hidden="1" x14ac:dyDescent="0.35">
      <c r="A801" s="12">
        <v>784</v>
      </c>
      <c r="B801" s="10" t="s">
        <v>1015</v>
      </c>
      <c r="C801" s="11" t="s">
        <v>1081</v>
      </c>
      <c r="D801" s="9"/>
      <c r="E801" s="9">
        <v>180</v>
      </c>
      <c r="F801" s="10" t="s">
        <v>1066</v>
      </c>
      <c r="G801" s="9">
        <v>911</v>
      </c>
      <c r="H801" s="9">
        <v>1965</v>
      </c>
      <c r="I801" s="8">
        <v>1546.5139999999999</v>
      </c>
      <c r="J801" s="8">
        <v>1206.3610000000001</v>
      </c>
      <c r="K801" s="8">
        <v>1014.744</v>
      </c>
      <c r="L801" s="8">
        <v>918.47699999999998</v>
      </c>
      <c r="M801" s="8">
        <v>799.86099999999999</v>
      </c>
      <c r="N801" s="8">
        <v>683.70899999999995</v>
      </c>
      <c r="O801" s="8">
        <v>581.06299999999999</v>
      </c>
      <c r="P801" s="8">
        <v>492.74599999999998</v>
      </c>
      <c r="Q801" s="8">
        <v>413.33300000000003</v>
      </c>
      <c r="R801" s="8">
        <v>346.95299999999997</v>
      </c>
      <c r="S801" s="8">
        <v>287.97000000000003</v>
      </c>
      <c r="T801" s="8">
        <v>232.446</v>
      </c>
      <c r="U801" s="8">
        <v>182.61099999999999</v>
      </c>
      <c r="V801" s="8">
        <v>132.95500000000001</v>
      </c>
      <c r="W801" s="8">
        <v>88.677000000000007</v>
      </c>
      <c r="X801" s="8">
        <v>47.87</v>
      </c>
      <c r="Y801" s="8">
        <v>21.56</v>
      </c>
      <c r="Z801" s="8">
        <v>7.4880000000000004</v>
      </c>
      <c r="AA801" s="8">
        <v>1.853</v>
      </c>
      <c r="AB801" s="8">
        <v>0.33</v>
      </c>
      <c r="AC801" s="8">
        <v>2.7E-2</v>
      </c>
    </row>
    <row r="802" spans="1:29" ht="11.65" hidden="1" x14ac:dyDescent="0.35">
      <c r="A802" s="12">
        <v>785</v>
      </c>
      <c r="B802" s="10" t="s">
        <v>1015</v>
      </c>
      <c r="C802" s="11" t="s">
        <v>1081</v>
      </c>
      <c r="D802" s="9"/>
      <c r="E802" s="9">
        <v>180</v>
      </c>
      <c r="F802" s="10" t="s">
        <v>1066</v>
      </c>
      <c r="G802" s="9">
        <v>911</v>
      </c>
      <c r="H802" s="9">
        <v>1970</v>
      </c>
      <c r="I802" s="8">
        <v>1796.742</v>
      </c>
      <c r="J802" s="8">
        <v>1412.2380000000001</v>
      </c>
      <c r="K802" s="8">
        <v>1179.6969999999999</v>
      </c>
      <c r="L802" s="8">
        <v>1001.197</v>
      </c>
      <c r="M802" s="8">
        <v>902.32799999999997</v>
      </c>
      <c r="N802" s="8">
        <v>781.798</v>
      </c>
      <c r="O802" s="8">
        <v>664.39599999999996</v>
      </c>
      <c r="P802" s="8">
        <v>561.11099999999999</v>
      </c>
      <c r="Q802" s="8">
        <v>472.88099999999997</v>
      </c>
      <c r="R802" s="8">
        <v>394.63099999999997</v>
      </c>
      <c r="S802" s="8">
        <v>328.01299999999998</v>
      </c>
      <c r="T802" s="8">
        <v>266.55799999999999</v>
      </c>
      <c r="U802" s="8">
        <v>207.227</v>
      </c>
      <c r="V802" s="8">
        <v>152.679</v>
      </c>
      <c r="W802" s="8">
        <v>100.08199999999999</v>
      </c>
      <c r="X802" s="8">
        <v>56.899000000000001</v>
      </c>
      <c r="Y802" s="8">
        <v>24.202999999999999</v>
      </c>
      <c r="Z802" s="8">
        <v>7.7439999999999998</v>
      </c>
      <c r="AA802" s="8">
        <v>1.746</v>
      </c>
      <c r="AB802" s="8">
        <v>0.25900000000000001</v>
      </c>
      <c r="AC802" s="8">
        <v>2.9000000000000001E-2</v>
      </c>
    </row>
    <row r="803" spans="1:29" ht="11.65" hidden="1" x14ac:dyDescent="0.35">
      <c r="A803" s="12">
        <v>786</v>
      </c>
      <c r="B803" s="10" t="s">
        <v>1015</v>
      </c>
      <c r="C803" s="11" t="s">
        <v>1081</v>
      </c>
      <c r="D803" s="9"/>
      <c r="E803" s="9">
        <v>180</v>
      </c>
      <c r="F803" s="10" t="s">
        <v>1066</v>
      </c>
      <c r="G803" s="9">
        <v>911</v>
      </c>
      <c r="H803" s="9">
        <v>1975</v>
      </c>
      <c r="I803" s="8">
        <v>2062.415</v>
      </c>
      <c r="J803" s="8">
        <v>1635.57</v>
      </c>
      <c r="K803" s="8">
        <v>1368.5920000000001</v>
      </c>
      <c r="L803" s="8">
        <v>1152.326</v>
      </c>
      <c r="M803" s="8">
        <v>974.24199999999996</v>
      </c>
      <c r="N803" s="8">
        <v>873.71600000000001</v>
      </c>
      <c r="O803" s="8">
        <v>752.91099999999994</v>
      </c>
      <c r="P803" s="8">
        <v>636.15700000000004</v>
      </c>
      <c r="Q803" s="8">
        <v>534.101</v>
      </c>
      <c r="R803" s="8">
        <v>447.82400000000001</v>
      </c>
      <c r="S803" s="8">
        <v>370.178</v>
      </c>
      <c r="T803" s="8">
        <v>301.55500000000001</v>
      </c>
      <c r="U803" s="8">
        <v>236.47300000000001</v>
      </c>
      <c r="V803" s="8">
        <v>172.92</v>
      </c>
      <c r="W803" s="8">
        <v>115.211</v>
      </c>
      <c r="X803" s="8">
        <v>64.792000000000002</v>
      </c>
      <c r="Y803" s="8">
        <v>29.247</v>
      </c>
      <c r="Z803" s="8">
        <v>8.9239999999999995</v>
      </c>
      <c r="AA803" s="8">
        <v>1.87</v>
      </c>
      <c r="AB803" s="8">
        <v>0.254</v>
      </c>
      <c r="AC803" s="8">
        <v>2.4E-2</v>
      </c>
    </row>
    <row r="804" spans="1:29" ht="11.65" hidden="1" x14ac:dyDescent="0.35">
      <c r="A804" s="12">
        <v>787</v>
      </c>
      <c r="B804" s="10" t="s">
        <v>1015</v>
      </c>
      <c r="C804" s="11" t="s">
        <v>1081</v>
      </c>
      <c r="D804" s="9"/>
      <c r="E804" s="9">
        <v>180</v>
      </c>
      <c r="F804" s="10" t="s">
        <v>1066</v>
      </c>
      <c r="G804" s="9">
        <v>911</v>
      </c>
      <c r="H804" s="9">
        <v>1980</v>
      </c>
      <c r="I804" s="8">
        <v>2380.614</v>
      </c>
      <c r="J804" s="8">
        <v>1890.2159999999999</v>
      </c>
      <c r="K804" s="8">
        <v>1591.53</v>
      </c>
      <c r="L804" s="8">
        <v>1341.809</v>
      </c>
      <c r="M804" s="8">
        <v>1125.539</v>
      </c>
      <c r="N804" s="8">
        <v>947.12199999999996</v>
      </c>
      <c r="O804" s="8">
        <v>844.87400000000002</v>
      </c>
      <c r="P804" s="8">
        <v>724.04</v>
      </c>
      <c r="Q804" s="8">
        <v>608.25300000000004</v>
      </c>
      <c r="R804" s="8">
        <v>508.096</v>
      </c>
      <c r="S804" s="8">
        <v>422.02800000000002</v>
      </c>
      <c r="T804" s="8">
        <v>342.06900000000002</v>
      </c>
      <c r="U804" s="8">
        <v>269.142</v>
      </c>
      <c r="V804" s="8">
        <v>198.78299999999999</v>
      </c>
      <c r="W804" s="8">
        <v>131.73099999999999</v>
      </c>
      <c r="X804" s="8">
        <v>75.522000000000006</v>
      </c>
      <c r="Y804" s="8">
        <v>33.853999999999999</v>
      </c>
      <c r="Z804" s="8">
        <v>11.012</v>
      </c>
      <c r="AA804" s="8">
        <v>2.21</v>
      </c>
      <c r="AB804" s="8">
        <v>0.27900000000000003</v>
      </c>
      <c r="AC804" s="8">
        <v>2.4E-2</v>
      </c>
    </row>
    <row r="805" spans="1:29" ht="11.65" hidden="1" x14ac:dyDescent="0.35">
      <c r="A805" s="12">
        <v>788</v>
      </c>
      <c r="B805" s="10" t="s">
        <v>1015</v>
      </c>
      <c r="C805" s="11" t="s">
        <v>1081</v>
      </c>
      <c r="D805" s="9"/>
      <c r="E805" s="9">
        <v>180</v>
      </c>
      <c r="F805" s="10" t="s">
        <v>1066</v>
      </c>
      <c r="G805" s="9">
        <v>911</v>
      </c>
      <c r="H805" s="9">
        <v>1985</v>
      </c>
      <c r="I805" s="8">
        <v>2718.19</v>
      </c>
      <c r="J805" s="8">
        <v>2153.6489999999999</v>
      </c>
      <c r="K805" s="8">
        <v>1806.5709999999999</v>
      </c>
      <c r="L805" s="8">
        <v>1531.4469999999999</v>
      </c>
      <c r="M805" s="8">
        <v>1286.319</v>
      </c>
      <c r="N805" s="8">
        <v>1074.0640000000001</v>
      </c>
      <c r="O805" s="8">
        <v>899.25099999999998</v>
      </c>
      <c r="P805" s="8">
        <v>798.33</v>
      </c>
      <c r="Q805" s="8">
        <v>680.27599999999995</v>
      </c>
      <c r="R805" s="8">
        <v>568.60199999999998</v>
      </c>
      <c r="S805" s="8">
        <v>470.613</v>
      </c>
      <c r="T805" s="8">
        <v>383.59800000000001</v>
      </c>
      <c r="U805" s="8">
        <v>300.738</v>
      </c>
      <c r="V805" s="8">
        <v>223.30699999999999</v>
      </c>
      <c r="W805" s="8">
        <v>149.92599999999999</v>
      </c>
      <c r="X805" s="8">
        <v>85.825999999999993</v>
      </c>
      <c r="Y805" s="8">
        <v>39.411999999999999</v>
      </c>
      <c r="Z805" s="8">
        <v>12.801</v>
      </c>
      <c r="AA805" s="8">
        <v>2.7509999999999999</v>
      </c>
      <c r="AB805" s="8">
        <v>0.33300000000000002</v>
      </c>
      <c r="AC805" s="8">
        <v>2.5999999999999999E-2</v>
      </c>
    </row>
    <row r="806" spans="1:29" ht="11.65" hidden="1" x14ac:dyDescent="0.35">
      <c r="A806" s="12">
        <v>789</v>
      </c>
      <c r="B806" s="10" t="s">
        <v>1015</v>
      </c>
      <c r="C806" s="11" t="s">
        <v>1081</v>
      </c>
      <c r="D806" s="9"/>
      <c r="E806" s="9">
        <v>180</v>
      </c>
      <c r="F806" s="10" t="s">
        <v>1066</v>
      </c>
      <c r="G806" s="9">
        <v>911</v>
      </c>
      <c r="H806" s="9">
        <v>1990</v>
      </c>
      <c r="I806" s="8">
        <v>3158.2820000000002</v>
      </c>
      <c r="J806" s="8">
        <v>2518.1779999999999</v>
      </c>
      <c r="K806" s="8">
        <v>2100.1260000000002</v>
      </c>
      <c r="L806" s="8">
        <v>1772.4970000000001</v>
      </c>
      <c r="M806" s="8">
        <v>1496.999</v>
      </c>
      <c r="N806" s="8">
        <v>1251.8689999999999</v>
      </c>
      <c r="O806" s="8">
        <v>1040.5119999999999</v>
      </c>
      <c r="P806" s="8">
        <v>866.85799999999995</v>
      </c>
      <c r="Q806" s="8">
        <v>765.36699999999996</v>
      </c>
      <c r="R806" s="8">
        <v>648.97</v>
      </c>
      <c r="S806" s="8">
        <v>537.54100000000005</v>
      </c>
      <c r="T806" s="8">
        <v>436.83300000000003</v>
      </c>
      <c r="U806" s="8">
        <v>344.78100000000001</v>
      </c>
      <c r="V806" s="8">
        <v>255.43199999999999</v>
      </c>
      <c r="W806" s="8">
        <v>172.76599999999999</v>
      </c>
      <c r="X806" s="8">
        <v>100.465</v>
      </c>
      <c r="Y806" s="8">
        <v>46.201000000000001</v>
      </c>
      <c r="Z806" s="8">
        <v>15.423999999999999</v>
      </c>
      <c r="AA806" s="8">
        <v>3.3149999999999999</v>
      </c>
      <c r="AB806" s="8">
        <v>0.43099999999999999</v>
      </c>
      <c r="AC806" s="8">
        <v>3.2000000000000001E-2</v>
      </c>
    </row>
    <row r="807" spans="1:29" ht="11.65" hidden="1" x14ac:dyDescent="0.35">
      <c r="A807" s="12">
        <v>790</v>
      </c>
      <c r="B807" s="10" t="s">
        <v>1015</v>
      </c>
      <c r="C807" s="11" t="s">
        <v>1081</v>
      </c>
      <c r="D807" s="9"/>
      <c r="E807" s="9">
        <v>180</v>
      </c>
      <c r="F807" s="10" t="s">
        <v>1066</v>
      </c>
      <c r="G807" s="9">
        <v>911</v>
      </c>
      <c r="H807" s="9">
        <v>1995</v>
      </c>
      <c r="I807" s="8">
        <v>3821.0149999999999</v>
      </c>
      <c r="J807" s="8">
        <v>3039.7759999999998</v>
      </c>
      <c r="K807" s="8">
        <v>2539.8020000000001</v>
      </c>
      <c r="L807" s="8">
        <v>2129.8339999999998</v>
      </c>
      <c r="M807" s="8">
        <v>1790.9490000000001</v>
      </c>
      <c r="N807" s="8">
        <v>1506.0740000000001</v>
      </c>
      <c r="O807" s="8">
        <v>1254.087</v>
      </c>
      <c r="P807" s="8">
        <v>1037.559</v>
      </c>
      <c r="Q807" s="8">
        <v>860.16300000000001</v>
      </c>
      <c r="R807" s="8">
        <v>755.02599999999995</v>
      </c>
      <c r="S807" s="8">
        <v>634.61300000000006</v>
      </c>
      <c r="T807" s="8">
        <v>516.44200000000001</v>
      </c>
      <c r="U807" s="8">
        <v>406.82299999999998</v>
      </c>
      <c r="V807" s="8">
        <v>303.83300000000003</v>
      </c>
      <c r="W807" s="8">
        <v>205.499</v>
      </c>
      <c r="X807" s="8">
        <v>120.706</v>
      </c>
      <c r="Y807" s="8">
        <v>56.555999999999997</v>
      </c>
      <c r="Z807" s="8">
        <v>18.975000000000001</v>
      </c>
      <c r="AA807" s="8">
        <v>4.202</v>
      </c>
      <c r="AB807" s="8">
        <v>0.54700000000000004</v>
      </c>
      <c r="AC807" s="8">
        <v>4.2999999999999997E-2</v>
      </c>
    </row>
    <row r="808" spans="1:29" ht="11.65" hidden="1" x14ac:dyDescent="0.35">
      <c r="A808" s="12">
        <v>791</v>
      </c>
      <c r="B808" s="10" t="s">
        <v>1015</v>
      </c>
      <c r="C808" s="11" t="s">
        <v>1081</v>
      </c>
      <c r="D808" s="9"/>
      <c r="E808" s="9">
        <v>180</v>
      </c>
      <c r="F808" s="10" t="s">
        <v>1066</v>
      </c>
      <c r="G808" s="9">
        <v>911</v>
      </c>
      <c r="H808" s="9">
        <v>2000</v>
      </c>
      <c r="I808" s="8">
        <v>4308.4849999999997</v>
      </c>
      <c r="J808" s="8">
        <v>3466.9349999999999</v>
      </c>
      <c r="K808" s="8">
        <v>2896.6529999999998</v>
      </c>
      <c r="L808" s="8">
        <v>2434.2849999999999</v>
      </c>
      <c r="M808" s="8">
        <v>2033.7370000000001</v>
      </c>
      <c r="N808" s="8">
        <v>1702.816</v>
      </c>
      <c r="O808" s="8">
        <v>1425.6859999999999</v>
      </c>
      <c r="P808" s="8">
        <v>1181.386</v>
      </c>
      <c r="Q808" s="8">
        <v>972.13800000000003</v>
      </c>
      <c r="R808" s="8">
        <v>801.73800000000006</v>
      </c>
      <c r="S808" s="8">
        <v>697.81299999999999</v>
      </c>
      <c r="T808" s="8">
        <v>575.95899999999995</v>
      </c>
      <c r="U808" s="8">
        <v>454.07100000000003</v>
      </c>
      <c r="V808" s="8">
        <v>338.25</v>
      </c>
      <c r="W808" s="8">
        <v>230.38</v>
      </c>
      <c r="X808" s="8">
        <v>135.142</v>
      </c>
      <c r="Y808" s="8">
        <v>63.872999999999998</v>
      </c>
      <c r="Z808" s="8">
        <v>21.795999999999999</v>
      </c>
      <c r="AA808" s="8">
        <v>4.8460000000000001</v>
      </c>
      <c r="AB808" s="8">
        <v>0.64900000000000002</v>
      </c>
      <c r="AC808" s="8">
        <v>5.0999999999999997E-2</v>
      </c>
    </row>
    <row r="809" spans="1:29" ht="11.65" hidden="1" x14ac:dyDescent="0.35">
      <c r="A809" s="12">
        <v>792</v>
      </c>
      <c r="B809" s="10" t="s">
        <v>1015</v>
      </c>
      <c r="C809" s="11" t="s">
        <v>1081</v>
      </c>
      <c r="D809" s="9"/>
      <c r="E809" s="9">
        <v>180</v>
      </c>
      <c r="F809" s="10" t="s">
        <v>1066</v>
      </c>
      <c r="G809" s="9">
        <v>911</v>
      </c>
      <c r="H809" s="9">
        <v>2005</v>
      </c>
      <c r="I809" s="8">
        <v>5065.8789999999999</v>
      </c>
      <c r="J809" s="8">
        <v>4029.4409999999998</v>
      </c>
      <c r="K809" s="8">
        <v>3374.5390000000002</v>
      </c>
      <c r="L809" s="8">
        <v>2831.8380000000002</v>
      </c>
      <c r="M809" s="8">
        <v>2371.3939999999998</v>
      </c>
      <c r="N809" s="8">
        <v>1973.384</v>
      </c>
      <c r="O809" s="8">
        <v>1645.884</v>
      </c>
      <c r="P809" s="8">
        <v>1372.2460000000001</v>
      </c>
      <c r="Q809" s="8">
        <v>1131.2760000000001</v>
      </c>
      <c r="R809" s="8">
        <v>926.18200000000002</v>
      </c>
      <c r="S809" s="8">
        <v>757.04499999999996</v>
      </c>
      <c r="T809" s="8">
        <v>647.88199999999995</v>
      </c>
      <c r="U809" s="8">
        <v>519.16</v>
      </c>
      <c r="V809" s="8">
        <v>388.21300000000002</v>
      </c>
      <c r="W809" s="8">
        <v>264.91800000000001</v>
      </c>
      <c r="X809" s="8">
        <v>157.39500000000001</v>
      </c>
      <c r="Y809" s="8">
        <v>74.754999999999995</v>
      </c>
      <c r="Z809" s="8">
        <v>25.908000000000001</v>
      </c>
      <c r="AA809" s="8">
        <v>5.8869999999999996</v>
      </c>
      <c r="AB809" s="8">
        <v>0.79200000000000004</v>
      </c>
      <c r="AC809" s="8">
        <v>6.3E-2</v>
      </c>
    </row>
    <row r="810" spans="1:29" ht="11.65" hidden="1" x14ac:dyDescent="0.35">
      <c r="A810" s="12">
        <v>793</v>
      </c>
      <c r="B810" s="10" t="s">
        <v>1015</v>
      </c>
      <c r="C810" s="11" t="s">
        <v>1081</v>
      </c>
      <c r="D810" s="9"/>
      <c r="E810" s="9">
        <v>180</v>
      </c>
      <c r="F810" s="10" t="s">
        <v>1066</v>
      </c>
      <c r="G810" s="9">
        <v>911</v>
      </c>
      <c r="H810" s="9">
        <v>2010</v>
      </c>
      <c r="I810" s="8">
        <v>6014.1329999999998</v>
      </c>
      <c r="J810" s="8">
        <v>4824.808</v>
      </c>
      <c r="K810" s="8">
        <v>3956.2919999999999</v>
      </c>
      <c r="L810" s="8">
        <v>3323.1390000000001</v>
      </c>
      <c r="M810" s="8">
        <v>2779.5079999999998</v>
      </c>
      <c r="N810" s="8">
        <v>2319.4940000000001</v>
      </c>
      <c r="O810" s="8">
        <v>1923.979</v>
      </c>
      <c r="P810" s="8">
        <v>1599.105</v>
      </c>
      <c r="Q810" s="8">
        <v>1326.8710000000001</v>
      </c>
      <c r="R810" s="8">
        <v>1088.3040000000001</v>
      </c>
      <c r="S810" s="8">
        <v>883.346</v>
      </c>
      <c r="T810" s="8">
        <v>710.79200000000003</v>
      </c>
      <c r="U810" s="8">
        <v>592.13099999999997</v>
      </c>
      <c r="V810" s="8">
        <v>451.77699999999999</v>
      </c>
      <c r="W810" s="8">
        <v>311.23200000000003</v>
      </c>
      <c r="X810" s="8">
        <v>186.59100000000001</v>
      </c>
      <c r="Y810" s="8">
        <v>90.488</v>
      </c>
      <c r="Z810" s="8">
        <v>31.774999999999999</v>
      </c>
      <c r="AA810" s="8">
        <v>7.3769999999999998</v>
      </c>
      <c r="AB810" s="8">
        <v>1.014</v>
      </c>
      <c r="AC810" s="8">
        <v>0.08</v>
      </c>
    </row>
    <row r="811" spans="1:29" ht="11.65" hidden="1" x14ac:dyDescent="0.35">
      <c r="A811" s="12">
        <v>794</v>
      </c>
      <c r="B811" s="10" t="s">
        <v>1015</v>
      </c>
      <c r="C811" s="11" t="s">
        <v>1081</v>
      </c>
      <c r="D811" s="9"/>
      <c r="E811" s="9">
        <v>180</v>
      </c>
      <c r="F811" s="10" t="s">
        <v>1066</v>
      </c>
      <c r="G811" s="9">
        <v>911</v>
      </c>
      <c r="H811" s="9">
        <v>2015</v>
      </c>
      <c r="I811" s="8">
        <v>6985.259</v>
      </c>
      <c r="J811" s="8">
        <v>5784.0649999999996</v>
      </c>
      <c r="K811" s="8">
        <v>4755.8739999999998</v>
      </c>
      <c r="L811" s="8">
        <v>3908.12</v>
      </c>
      <c r="M811" s="8">
        <v>3272.502</v>
      </c>
      <c r="N811" s="8">
        <v>2728.5360000000001</v>
      </c>
      <c r="O811" s="8">
        <v>2270.645</v>
      </c>
      <c r="P811" s="8">
        <v>1877.8630000000001</v>
      </c>
      <c r="Q811" s="8">
        <v>1553.7370000000001</v>
      </c>
      <c r="R811" s="8">
        <v>1282.722</v>
      </c>
      <c r="S811" s="8">
        <v>1043.31</v>
      </c>
      <c r="T811" s="8">
        <v>834.45600000000002</v>
      </c>
      <c r="U811" s="8">
        <v>654.83100000000002</v>
      </c>
      <c r="V811" s="8">
        <v>520.83699999999999</v>
      </c>
      <c r="W811" s="8">
        <v>367.60300000000001</v>
      </c>
      <c r="X811" s="8">
        <v>223.643</v>
      </c>
      <c r="Y811" s="8">
        <v>110.074</v>
      </c>
      <c r="Z811" s="8">
        <v>39.701000000000001</v>
      </c>
      <c r="AA811" s="8">
        <v>9.3719999999999999</v>
      </c>
      <c r="AB811" s="8">
        <v>1.3160000000000001</v>
      </c>
      <c r="AC811" s="8">
        <v>0.106</v>
      </c>
    </row>
    <row r="812" spans="1:29" ht="11.65" hidden="1" x14ac:dyDescent="0.35">
      <c r="A812" s="12">
        <v>795</v>
      </c>
      <c r="B812" s="10" t="s">
        <v>1015</v>
      </c>
      <c r="C812" s="11" t="s">
        <v>1081</v>
      </c>
      <c r="D812" s="9"/>
      <c r="E812" s="9">
        <v>180</v>
      </c>
      <c r="F812" s="10" t="s">
        <v>1066</v>
      </c>
      <c r="G812" s="9">
        <v>911</v>
      </c>
      <c r="H812" s="9">
        <v>2020</v>
      </c>
      <c r="I812" s="8">
        <v>7835.5439999999999</v>
      </c>
      <c r="J812" s="8">
        <v>6771.48</v>
      </c>
      <c r="K812" s="8">
        <v>5721.6729999999998</v>
      </c>
      <c r="L812" s="8">
        <v>4711.8149999999996</v>
      </c>
      <c r="M812" s="8">
        <v>3860.5929999999998</v>
      </c>
      <c r="N812" s="8">
        <v>3223.3989999999999</v>
      </c>
      <c r="O812" s="8">
        <v>2681.1219999999998</v>
      </c>
      <c r="P812" s="8">
        <v>2225.4560000000001</v>
      </c>
      <c r="Q812" s="8">
        <v>1832.633</v>
      </c>
      <c r="R812" s="8">
        <v>1508.7819999999999</v>
      </c>
      <c r="S812" s="8">
        <v>1235.4949999999999</v>
      </c>
      <c r="T812" s="8">
        <v>991.04499999999996</v>
      </c>
      <c r="U812" s="8">
        <v>774.24599999999998</v>
      </c>
      <c r="V812" s="8">
        <v>581.46600000000001</v>
      </c>
      <c r="W812" s="8">
        <v>429.31400000000002</v>
      </c>
      <c r="X812" s="8">
        <v>268.745</v>
      </c>
      <c r="Y812" s="8">
        <v>134.88900000000001</v>
      </c>
      <c r="Z812" s="8">
        <v>49.61</v>
      </c>
      <c r="AA812" s="8">
        <v>12.061999999999999</v>
      </c>
      <c r="AB812" s="8">
        <v>1.7230000000000001</v>
      </c>
      <c r="AC812" s="8">
        <v>0.14000000000000001</v>
      </c>
    </row>
    <row r="813" spans="1:29" ht="11.65" hidden="1" x14ac:dyDescent="0.35">
      <c r="A813" s="12">
        <v>796</v>
      </c>
      <c r="B813" s="10" t="s">
        <v>1015</v>
      </c>
      <c r="C813" s="11" t="s">
        <v>1082</v>
      </c>
      <c r="D813" s="9"/>
      <c r="E813" s="9">
        <v>226</v>
      </c>
      <c r="F813" s="10" t="s">
        <v>1066</v>
      </c>
      <c r="G813" s="9">
        <v>911</v>
      </c>
      <c r="H813" s="9">
        <v>1950</v>
      </c>
      <c r="I813" s="8">
        <v>15.282999999999999</v>
      </c>
      <c r="J813" s="8">
        <v>12.598000000000001</v>
      </c>
      <c r="K813" s="8">
        <v>11.242000000000001</v>
      </c>
      <c r="L813" s="8">
        <v>10.54</v>
      </c>
      <c r="M813" s="8">
        <v>9.657</v>
      </c>
      <c r="N813" s="8">
        <v>8.7919999999999998</v>
      </c>
      <c r="O813" s="8">
        <v>7.9329999999999998</v>
      </c>
      <c r="P813" s="8">
        <v>6.9749999999999996</v>
      </c>
      <c r="Q813" s="8">
        <v>6.2309999999999999</v>
      </c>
      <c r="R813" s="8">
        <v>5.5389999999999997</v>
      </c>
      <c r="S813" s="8">
        <v>4.9489999999999998</v>
      </c>
      <c r="T813" s="8">
        <v>4.4349999999999996</v>
      </c>
      <c r="U813" s="8">
        <v>3.8109999999999999</v>
      </c>
      <c r="V813" s="8">
        <v>2.9380000000000002</v>
      </c>
      <c r="W813" s="8">
        <v>2.0019999999999998</v>
      </c>
      <c r="X813" s="8">
        <v>1.129</v>
      </c>
      <c r="Y813" s="8">
        <v>0.44600000000000001</v>
      </c>
      <c r="Z813" s="8">
        <v>0.127</v>
      </c>
      <c r="AA813" s="8">
        <v>2.4E-2</v>
      </c>
      <c r="AB813" s="8">
        <v>2E-3</v>
      </c>
      <c r="AC813" s="8">
        <v>0</v>
      </c>
    </row>
    <row r="814" spans="1:29" ht="11.65" hidden="1" x14ac:dyDescent="0.35">
      <c r="A814" s="12">
        <v>797</v>
      </c>
      <c r="B814" s="10" t="s">
        <v>1015</v>
      </c>
      <c r="C814" s="11" t="s">
        <v>1082</v>
      </c>
      <c r="D814" s="9"/>
      <c r="E814" s="9">
        <v>226</v>
      </c>
      <c r="F814" s="10" t="s">
        <v>1066</v>
      </c>
      <c r="G814" s="9">
        <v>911</v>
      </c>
      <c r="H814" s="9">
        <v>1955</v>
      </c>
      <c r="I814" s="8">
        <v>18.808</v>
      </c>
      <c r="J814" s="8">
        <v>13.022</v>
      </c>
      <c r="K814" s="8">
        <v>11.763</v>
      </c>
      <c r="L814" s="8">
        <v>10.708</v>
      </c>
      <c r="M814" s="8">
        <v>10.026999999999999</v>
      </c>
      <c r="N814" s="8">
        <v>9.1379999999999999</v>
      </c>
      <c r="O814" s="8">
        <v>8.2639999999999993</v>
      </c>
      <c r="P814" s="8">
        <v>7.4080000000000004</v>
      </c>
      <c r="Q814" s="8">
        <v>6.4779999999999998</v>
      </c>
      <c r="R814" s="8">
        <v>5.7690000000000001</v>
      </c>
      <c r="S814" s="8">
        <v>5.0839999999999996</v>
      </c>
      <c r="T814" s="8">
        <v>4.4509999999999996</v>
      </c>
      <c r="U814" s="8">
        <v>3.8460000000000001</v>
      </c>
      <c r="V814" s="8">
        <v>3.1040000000000001</v>
      </c>
      <c r="W814" s="8">
        <v>2.1669999999999998</v>
      </c>
      <c r="X814" s="8">
        <v>1.27</v>
      </c>
      <c r="Y814" s="8">
        <v>0.56699999999999995</v>
      </c>
      <c r="Z814" s="8">
        <v>0.157</v>
      </c>
      <c r="AA814" s="8">
        <v>2.9000000000000001E-2</v>
      </c>
      <c r="AB814" s="8">
        <v>3.0000000000000001E-3</v>
      </c>
      <c r="AC814" s="8">
        <v>0</v>
      </c>
    </row>
    <row r="815" spans="1:29" ht="11.65" hidden="1" x14ac:dyDescent="0.35">
      <c r="A815" s="12">
        <v>798</v>
      </c>
      <c r="B815" s="10" t="s">
        <v>1015</v>
      </c>
      <c r="C815" s="11" t="s">
        <v>1082</v>
      </c>
      <c r="D815" s="9"/>
      <c r="E815" s="9">
        <v>226</v>
      </c>
      <c r="F815" s="10" t="s">
        <v>1066</v>
      </c>
      <c r="G815" s="9">
        <v>911</v>
      </c>
      <c r="H815" s="9">
        <v>1960</v>
      </c>
      <c r="I815" s="8">
        <v>19.751999999999999</v>
      </c>
      <c r="J815" s="8">
        <v>16.268000000000001</v>
      </c>
      <c r="K815" s="8">
        <v>12.255000000000001</v>
      </c>
      <c r="L815" s="8">
        <v>11.26</v>
      </c>
      <c r="M815" s="8">
        <v>10.231999999999999</v>
      </c>
      <c r="N815" s="8">
        <v>9.5280000000000005</v>
      </c>
      <c r="O815" s="8">
        <v>8.625</v>
      </c>
      <c r="P815" s="8">
        <v>7.7489999999999997</v>
      </c>
      <c r="Q815" s="8">
        <v>6.9080000000000004</v>
      </c>
      <c r="R815" s="8">
        <v>6.0179999999999998</v>
      </c>
      <c r="S815" s="8">
        <v>5.3120000000000003</v>
      </c>
      <c r="T815" s="8">
        <v>4.5860000000000003</v>
      </c>
      <c r="U815" s="8">
        <v>3.8730000000000002</v>
      </c>
      <c r="V815" s="8">
        <v>3.1440000000000001</v>
      </c>
      <c r="W815" s="8">
        <v>2.2970000000000002</v>
      </c>
      <c r="X815" s="8">
        <v>1.3759999999999999</v>
      </c>
      <c r="Y815" s="8">
        <v>0.63400000000000001</v>
      </c>
      <c r="Z815" s="8">
        <v>0.19500000000000001</v>
      </c>
      <c r="AA815" s="8">
        <v>3.2000000000000001E-2</v>
      </c>
      <c r="AB815" s="8">
        <v>3.0000000000000001E-3</v>
      </c>
      <c r="AC815" s="8">
        <v>0</v>
      </c>
    </row>
    <row r="816" spans="1:29" ht="11.65" hidden="1" x14ac:dyDescent="0.35">
      <c r="A816" s="12">
        <v>799</v>
      </c>
      <c r="B816" s="10" t="s">
        <v>1015</v>
      </c>
      <c r="C816" s="11" t="s">
        <v>1082</v>
      </c>
      <c r="D816" s="9"/>
      <c r="E816" s="9">
        <v>226</v>
      </c>
      <c r="F816" s="10" t="s">
        <v>1066</v>
      </c>
      <c r="G816" s="9">
        <v>911</v>
      </c>
      <c r="H816" s="9">
        <v>1965</v>
      </c>
      <c r="I816" s="8">
        <v>21.100999999999999</v>
      </c>
      <c r="J816" s="8">
        <v>17.335000000000001</v>
      </c>
      <c r="K816" s="8">
        <v>15.430999999999999</v>
      </c>
      <c r="L816" s="8">
        <v>11.87</v>
      </c>
      <c r="M816" s="8">
        <v>10.962999999999999</v>
      </c>
      <c r="N816" s="8">
        <v>9.9090000000000007</v>
      </c>
      <c r="O816" s="8">
        <v>9.1259999999999994</v>
      </c>
      <c r="P816" s="8">
        <v>8.1869999999999994</v>
      </c>
      <c r="Q816" s="8">
        <v>7.2939999999999996</v>
      </c>
      <c r="R816" s="8">
        <v>6.4649999999999999</v>
      </c>
      <c r="S816" s="8">
        <v>5.5730000000000004</v>
      </c>
      <c r="T816" s="8">
        <v>4.8179999999999996</v>
      </c>
      <c r="U816" s="8">
        <v>4.0119999999999996</v>
      </c>
      <c r="V816" s="8">
        <v>3.1840000000000002</v>
      </c>
      <c r="W816" s="8">
        <v>2.3370000000000002</v>
      </c>
      <c r="X816" s="8">
        <v>1.462</v>
      </c>
      <c r="Y816" s="8">
        <v>0.68600000000000005</v>
      </c>
      <c r="Z816" s="8">
        <v>0.216</v>
      </c>
      <c r="AA816" s="8">
        <v>3.9E-2</v>
      </c>
      <c r="AB816" s="8">
        <v>3.0000000000000001E-3</v>
      </c>
      <c r="AC816" s="8">
        <v>0</v>
      </c>
    </row>
    <row r="817" spans="1:29" ht="11.65" hidden="1" x14ac:dyDescent="0.35">
      <c r="A817" s="12">
        <v>800</v>
      </c>
      <c r="B817" s="10" t="s">
        <v>1015</v>
      </c>
      <c r="C817" s="11" t="s">
        <v>1082</v>
      </c>
      <c r="D817" s="9"/>
      <c r="E817" s="9">
        <v>226</v>
      </c>
      <c r="F817" s="10" t="s">
        <v>1066</v>
      </c>
      <c r="G817" s="9">
        <v>911</v>
      </c>
      <c r="H817" s="9">
        <v>1970</v>
      </c>
      <c r="I817" s="8">
        <v>23.629000000000001</v>
      </c>
      <c r="J817" s="8">
        <v>18.757000000000001</v>
      </c>
      <c r="K817" s="8">
        <v>16.550999999999998</v>
      </c>
      <c r="L817" s="8">
        <v>15.037000000000001</v>
      </c>
      <c r="M817" s="8">
        <v>11.696999999999999</v>
      </c>
      <c r="N817" s="8">
        <v>10.746</v>
      </c>
      <c r="O817" s="8">
        <v>9.5909999999999993</v>
      </c>
      <c r="P817" s="8">
        <v>8.7349999999999994</v>
      </c>
      <c r="Q817" s="8">
        <v>7.76</v>
      </c>
      <c r="R817" s="8">
        <v>6.867</v>
      </c>
      <c r="S817" s="8">
        <v>6.0170000000000003</v>
      </c>
      <c r="T817" s="8">
        <v>5.0789999999999997</v>
      </c>
      <c r="U817" s="8">
        <v>4.2350000000000003</v>
      </c>
      <c r="V817" s="8">
        <v>3.3130000000000002</v>
      </c>
      <c r="W817" s="8">
        <v>2.3769999999999998</v>
      </c>
      <c r="X817" s="8">
        <v>1.492</v>
      </c>
      <c r="Y817" s="8">
        <v>0.73</v>
      </c>
      <c r="Z817" s="8">
        <v>0.23</v>
      </c>
      <c r="AA817" s="8">
        <v>4.1000000000000002E-2</v>
      </c>
      <c r="AB817" s="8">
        <v>4.0000000000000001E-3</v>
      </c>
      <c r="AC817" s="8">
        <v>0</v>
      </c>
    </row>
    <row r="818" spans="1:29" ht="11.65" hidden="1" x14ac:dyDescent="0.35">
      <c r="A818" s="12">
        <v>801</v>
      </c>
      <c r="B818" s="10" t="s">
        <v>1015</v>
      </c>
      <c r="C818" s="11" t="s">
        <v>1082</v>
      </c>
      <c r="D818" s="9"/>
      <c r="E818" s="9">
        <v>226</v>
      </c>
      <c r="F818" s="10" t="s">
        <v>1066</v>
      </c>
      <c r="G818" s="9">
        <v>911</v>
      </c>
      <c r="H818" s="9">
        <v>1975</v>
      </c>
      <c r="I818" s="8">
        <v>17.984999999999999</v>
      </c>
      <c r="J818" s="8">
        <v>16.91</v>
      </c>
      <c r="K818" s="8">
        <v>14.196</v>
      </c>
      <c r="L818" s="8">
        <v>12.598000000000001</v>
      </c>
      <c r="M818" s="8">
        <v>11.718</v>
      </c>
      <c r="N818" s="8">
        <v>8.6519999999999992</v>
      </c>
      <c r="O818" s="8">
        <v>7.9749999999999996</v>
      </c>
      <c r="P818" s="8">
        <v>7.032</v>
      </c>
      <c r="Q818" s="8">
        <v>6.4210000000000003</v>
      </c>
      <c r="R818" s="8">
        <v>5.681</v>
      </c>
      <c r="S818" s="8">
        <v>4.9820000000000002</v>
      </c>
      <c r="T818" s="8">
        <v>4.3150000000000004</v>
      </c>
      <c r="U818" s="8">
        <v>3.5110000000000001</v>
      </c>
      <c r="V818" s="8">
        <v>2.7730000000000001</v>
      </c>
      <c r="W818" s="8">
        <v>1.978</v>
      </c>
      <c r="X818" s="8">
        <v>1.224</v>
      </c>
      <c r="Y818" s="8">
        <v>0.60599999999999998</v>
      </c>
      <c r="Z818" s="8">
        <v>0.24099999999999999</v>
      </c>
      <c r="AA818" s="8">
        <v>4.2999999999999997E-2</v>
      </c>
      <c r="AB818" s="8">
        <v>4.0000000000000001E-3</v>
      </c>
      <c r="AC818" s="8">
        <v>0</v>
      </c>
    </row>
    <row r="819" spans="1:29" ht="11.65" hidden="1" x14ac:dyDescent="0.35">
      <c r="A819" s="12">
        <v>802</v>
      </c>
      <c r="B819" s="10" t="s">
        <v>1015</v>
      </c>
      <c r="C819" s="11" t="s">
        <v>1082</v>
      </c>
      <c r="D819" s="9"/>
      <c r="E819" s="9">
        <v>226</v>
      </c>
      <c r="F819" s="10" t="s">
        <v>1066</v>
      </c>
      <c r="G819" s="9">
        <v>911</v>
      </c>
      <c r="H819" s="9">
        <v>1980</v>
      </c>
      <c r="I819" s="8">
        <v>19.599</v>
      </c>
      <c r="J819" s="8">
        <v>14.461</v>
      </c>
      <c r="K819" s="8">
        <v>14.66</v>
      </c>
      <c r="L819" s="8">
        <v>12.321999999999999</v>
      </c>
      <c r="M819" s="8">
        <v>10.997</v>
      </c>
      <c r="N819" s="8">
        <v>10.177</v>
      </c>
      <c r="O819" s="8">
        <v>7.3029999999999999</v>
      </c>
      <c r="P819" s="8">
        <v>6.7</v>
      </c>
      <c r="Q819" s="8">
        <v>5.8730000000000002</v>
      </c>
      <c r="R819" s="8">
        <v>5.3570000000000002</v>
      </c>
      <c r="S819" s="8">
        <v>4.6950000000000003</v>
      </c>
      <c r="T819" s="8">
        <v>4.0529999999999999</v>
      </c>
      <c r="U819" s="8">
        <v>3.3980000000000001</v>
      </c>
      <c r="V819" s="8">
        <v>2.605</v>
      </c>
      <c r="W819" s="8">
        <v>1.87</v>
      </c>
      <c r="X819" s="8">
        <v>1.141</v>
      </c>
      <c r="Y819" s="8">
        <v>0.55100000000000005</v>
      </c>
      <c r="Z819" s="8">
        <v>0.19900000000000001</v>
      </c>
      <c r="AA819" s="8">
        <v>4.2999999999999997E-2</v>
      </c>
      <c r="AB819" s="8">
        <v>4.0000000000000001E-3</v>
      </c>
      <c r="AC819" s="8">
        <v>0</v>
      </c>
    </row>
    <row r="820" spans="1:29" ht="11.65" hidden="1" x14ac:dyDescent="0.35">
      <c r="A820" s="12">
        <v>803</v>
      </c>
      <c r="B820" s="10" t="s">
        <v>1015</v>
      </c>
      <c r="C820" s="11" t="s">
        <v>1082</v>
      </c>
      <c r="D820" s="9"/>
      <c r="E820" s="9">
        <v>226</v>
      </c>
      <c r="F820" s="10" t="s">
        <v>1066</v>
      </c>
      <c r="G820" s="9">
        <v>911</v>
      </c>
      <c r="H820" s="9">
        <v>1985</v>
      </c>
      <c r="I820" s="8">
        <v>32.124000000000002</v>
      </c>
      <c r="J820" s="8">
        <v>22.109000000000002</v>
      </c>
      <c r="K820" s="8">
        <v>17.550999999999998</v>
      </c>
      <c r="L820" s="8">
        <v>17.515000000000001</v>
      </c>
      <c r="M820" s="8">
        <v>14.589</v>
      </c>
      <c r="N820" s="8">
        <v>13.037000000000001</v>
      </c>
      <c r="O820" s="8">
        <v>11.913</v>
      </c>
      <c r="P820" s="8">
        <v>8.9060000000000006</v>
      </c>
      <c r="Q820" s="8">
        <v>8.0589999999999993</v>
      </c>
      <c r="R820" s="8">
        <v>7.0430000000000001</v>
      </c>
      <c r="S820" s="8">
        <v>6.32</v>
      </c>
      <c r="T820" s="8">
        <v>5.4050000000000002</v>
      </c>
      <c r="U820" s="8">
        <v>4.5030000000000001</v>
      </c>
      <c r="V820" s="8">
        <v>3.5350000000000001</v>
      </c>
      <c r="W820" s="8">
        <v>2.4489999999999998</v>
      </c>
      <c r="X820" s="8">
        <v>1.488</v>
      </c>
      <c r="Y820" s="8">
        <v>0.69199999999999995</v>
      </c>
      <c r="Z820" s="8">
        <v>0.17799999999999999</v>
      </c>
      <c r="AA820" s="8">
        <v>3.4000000000000002E-2</v>
      </c>
      <c r="AB820" s="8">
        <v>3.0000000000000001E-3</v>
      </c>
      <c r="AC820" s="8">
        <v>0</v>
      </c>
    </row>
    <row r="821" spans="1:29" ht="11.65" hidden="1" x14ac:dyDescent="0.35">
      <c r="A821" s="12">
        <v>804</v>
      </c>
      <c r="B821" s="10" t="s">
        <v>1015</v>
      </c>
      <c r="C821" s="11" t="s">
        <v>1082</v>
      </c>
      <c r="D821" s="9"/>
      <c r="E821" s="9">
        <v>226</v>
      </c>
      <c r="F821" s="10" t="s">
        <v>1066</v>
      </c>
      <c r="G821" s="9">
        <v>911</v>
      </c>
      <c r="H821" s="9">
        <v>1990</v>
      </c>
      <c r="I821" s="8">
        <v>36.097999999999999</v>
      </c>
      <c r="J821" s="8">
        <v>31.184999999999999</v>
      </c>
      <c r="K821" s="8">
        <v>22.632000000000001</v>
      </c>
      <c r="L821" s="8">
        <v>18.178999999999998</v>
      </c>
      <c r="M821" s="8">
        <v>17.891999999999999</v>
      </c>
      <c r="N821" s="8">
        <v>14.897</v>
      </c>
      <c r="O821" s="8">
        <v>13.24</v>
      </c>
      <c r="P821" s="8">
        <v>12.029</v>
      </c>
      <c r="Q821" s="8">
        <v>9.016</v>
      </c>
      <c r="R821" s="8">
        <v>8.1080000000000005</v>
      </c>
      <c r="S821" s="8">
        <v>7.0220000000000002</v>
      </c>
      <c r="T821" s="8">
        <v>6.1680000000000001</v>
      </c>
      <c r="U821" s="8">
        <v>5.1120000000000001</v>
      </c>
      <c r="V821" s="8">
        <v>4.0110000000000001</v>
      </c>
      <c r="W821" s="8">
        <v>2.8530000000000002</v>
      </c>
      <c r="X821" s="8">
        <v>1.6859999999999999</v>
      </c>
      <c r="Y821" s="8">
        <v>0.78500000000000003</v>
      </c>
      <c r="Z821" s="8">
        <v>0.223</v>
      </c>
      <c r="AA821" s="8">
        <v>0.03</v>
      </c>
      <c r="AB821" s="8">
        <v>2E-3</v>
      </c>
      <c r="AC821" s="8">
        <v>0</v>
      </c>
    </row>
    <row r="822" spans="1:29" ht="11.65" hidden="1" x14ac:dyDescent="0.35">
      <c r="A822" s="12">
        <v>805</v>
      </c>
      <c r="B822" s="10" t="s">
        <v>1015</v>
      </c>
      <c r="C822" s="11" t="s">
        <v>1082</v>
      </c>
      <c r="D822" s="9"/>
      <c r="E822" s="9">
        <v>226</v>
      </c>
      <c r="F822" s="10" t="s">
        <v>1066</v>
      </c>
      <c r="G822" s="9">
        <v>911</v>
      </c>
      <c r="H822" s="9">
        <v>1995</v>
      </c>
      <c r="I822" s="8">
        <v>40.841000000000001</v>
      </c>
      <c r="J822" s="8">
        <v>34.152999999999999</v>
      </c>
      <c r="K822" s="8">
        <v>30.643999999999998</v>
      </c>
      <c r="L822" s="8">
        <v>22.826000000000001</v>
      </c>
      <c r="M822" s="8">
        <v>18.904</v>
      </c>
      <c r="N822" s="8">
        <v>18.452999999999999</v>
      </c>
      <c r="O822" s="8">
        <v>15.108000000000001</v>
      </c>
      <c r="P822" s="8">
        <v>13.207000000000001</v>
      </c>
      <c r="Q822" s="8">
        <v>11.81</v>
      </c>
      <c r="R822" s="8">
        <v>8.7780000000000005</v>
      </c>
      <c r="S822" s="8">
        <v>7.77</v>
      </c>
      <c r="T822" s="8">
        <v>6.59</v>
      </c>
      <c r="U822" s="8">
        <v>5.601</v>
      </c>
      <c r="V822" s="8">
        <v>4.383</v>
      </c>
      <c r="W822" s="8">
        <v>3.1269999999999998</v>
      </c>
      <c r="X822" s="8">
        <v>1.901</v>
      </c>
      <c r="Y822" s="8">
        <v>0.86399999999999999</v>
      </c>
      <c r="Z822" s="8">
        <v>0.255</v>
      </c>
      <c r="AA822" s="8">
        <v>3.5999999999999997E-2</v>
      </c>
      <c r="AB822" s="8">
        <v>2E-3</v>
      </c>
      <c r="AC822" s="8">
        <v>0</v>
      </c>
    </row>
    <row r="823" spans="1:29" ht="11.65" hidden="1" x14ac:dyDescent="0.35">
      <c r="A823" s="12">
        <v>806</v>
      </c>
      <c r="B823" s="10" t="s">
        <v>1015</v>
      </c>
      <c r="C823" s="11" t="s">
        <v>1082</v>
      </c>
      <c r="D823" s="9"/>
      <c r="E823" s="9">
        <v>226</v>
      </c>
      <c r="F823" s="10" t="s">
        <v>1066</v>
      </c>
      <c r="G823" s="9">
        <v>911</v>
      </c>
      <c r="H823" s="9">
        <v>2000</v>
      </c>
      <c r="I823" s="8">
        <v>49.64</v>
      </c>
      <c r="J823" s="8">
        <v>38.936</v>
      </c>
      <c r="K823" s="8">
        <v>33.625</v>
      </c>
      <c r="L823" s="8">
        <v>30.626000000000001</v>
      </c>
      <c r="M823" s="8">
        <v>25.38</v>
      </c>
      <c r="N823" s="8">
        <v>21.225999999999999</v>
      </c>
      <c r="O823" s="8">
        <v>19.742000000000001</v>
      </c>
      <c r="P823" s="8">
        <v>14.994999999999999</v>
      </c>
      <c r="Q823" s="8">
        <v>12.94</v>
      </c>
      <c r="R823" s="8">
        <v>11.361000000000001</v>
      </c>
      <c r="S823" s="8">
        <v>8.35</v>
      </c>
      <c r="T823" s="8">
        <v>7.2629999999999999</v>
      </c>
      <c r="U823" s="8">
        <v>5.9880000000000004</v>
      </c>
      <c r="V823" s="8">
        <v>4.8230000000000004</v>
      </c>
      <c r="W823" s="8">
        <v>3.4420000000000002</v>
      </c>
      <c r="X823" s="8">
        <v>2.1070000000000002</v>
      </c>
      <c r="Y823" s="8">
        <v>0.98699999999999999</v>
      </c>
      <c r="Z823" s="8">
        <v>0.28299999999999997</v>
      </c>
      <c r="AA823" s="8">
        <v>4.1000000000000002E-2</v>
      </c>
      <c r="AB823" s="8">
        <v>2E-3</v>
      </c>
      <c r="AC823" s="8">
        <v>0</v>
      </c>
    </row>
    <row r="824" spans="1:29" ht="11.65" hidden="1" x14ac:dyDescent="0.35">
      <c r="A824" s="12">
        <v>807</v>
      </c>
      <c r="B824" s="10" t="s">
        <v>1015</v>
      </c>
      <c r="C824" s="11" t="s">
        <v>1082</v>
      </c>
      <c r="D824" s="9"/>
      <c r="E824" s="9">
        <v>226</v>
      </c>
      <c r="F824" s="10" t="s">
        <v>1066</v>
      </c>
      <c r="G824" s="9">
        <v>911</v>
      </c>
      <c r="H824" s="9">
        <v>2005</v>
      </c>
      <c r="I824" s="8">
        <v>60.563000000000002</v>
      </c>
      <c r="J824" s="8">
        <v>47.709000000000003</v>
      </c>
      <c r="K824" s="8">
        <v>38.441000000000003</v>
      </c>
      <c r="L824" s="8">
        <v>33.798999999999999</v>
      </c>
      <c r="M824" s="8">
        <v>34.353000000000002</v>
      </c>
      <c r="N824" s="8">
        <v>28.756</v>
      </c>
      <c r="O824" s="8">
        <v>23.216999999999999</v>
      </c>
      <c r="P824" s="8">
        <v>19.634</v>
      </c>
      <c r="Q824" s="8">
        <v>14.756</v>
      </c>
      <c r="R824" s="8">
        <v>12.467000000000001</v>
      </c>
      <c r="S824" s="8">
        <v>10.805999999999999</v>
      </c>
      <c r="T824" s="8">
        <v>7.8159999999999998</v>
      </c>
      <c r="U824" s="8">
        <v>6.6120000000000001</v>
      </c>
      <c r="V824" s="8">
        <v>5.1740000000000004</v>
      </c>
      <c r="W824" s="8">
        <v>3.81</v>
      </c>
      <c r="X824" s="8">
        <v>2.339</v>
      </c>
      <c r="Y824" s="8">
        <v>1.1040000000000001</v>
      </c>
      <c r="Z824" s="8">
        <v>0.32500000000000001</v>
      </c>
      <c r="AA824" s="8">
        <v>4.5999999999999999E-2</v>
      </c>
      <c r="AB824" s="8">
        <v>3.0000000000000001E-3</v>
      </c>
      <c r="AC824" s="8">
        <v>0</v>
      </c>
    </row>
    <row r="825" spans="1:29" ht="11.65" hidden="1" x14ac:dyDescent="0.35">
      <c r="A825" s="12">
        <v>808</v>
      </c>
      <c r="B825" s="10" t="s">
        <v>1015</v>
      </c>
      <c r="C825" s="11" t="s">
        <v>1082</v>
      </c>
      <c r="D825" s="9"/>
      <c r="E825" s="9">
        <v>226</v>
      </c>
      <c r="F825" s="10" t="s">
        <v>1066</v>
      </c>
      <c r="G825" s="9">
        <v>911</v>
      </c>
      <c r="H825" s="9">
        <v>2010</v>
      </c>
      <c r="I825" s="8">
        <v>73.608000000000004</v>
      </c>
      <c r="J825" s="8">
        <v>58.570999999999998</v>
      </c>
      <c r="K825" s="8">
        <v>47.167000000000002</v>
      </c>
      <c r="L825" s="8">
        <v>38.927999999999997</v>
      </c>
      <c r="M825" s="8">
        <v>40.023000000000003</v>
      </c>
      <c r="N825" s="8">
        <v>39.884999999999998</v>
      </c>
      <c r="O825" s="8">
        <v>32.064999999999998</v>
      </c>
      <c r="P825" s="8">
        <v>23.302</v>
      </c>
      <c r="Q825" s="8">
        <v>19.393999999999998</v>
      </c>
      <c r="R825" s="8">
        <v>14.242000000000001</v>
      </c>
      <c r="S825" s="8">
        <v>11.859</v>
      </c>
      <c r="T825" s="8">
        <v>10.099</v>
      </c>
      <c r="U825" s="8">
        <v>7.1120000000000001</v>
      </c>
      <c r="V825" s="8">
        <v>5.7050000000000001</v>
      </c>
      <c r="W825" s="8">
        <v>4.077</v>
      </c>
      <c r="X825" s="8">
        <v>2.5779999999999998</v>
      </c>
      <c r="Y825" s="8">
        <v>1.2150000000000001</v>
      </c>
      <c r="Z825" s="8">
        <v>0.35699999999999998</v>
      </c>
      <c r="AA825" s="8">
        <v>4.9000000000000002E-2</v>
      </c>
      <c r="AB825" s="8">
        <v>3.0000000000000001E-3</v>
      </c>
      <c r="AC825" s="8">
        <v>0</v>
      </c>
    </row>
    <row r="826" spans="1:29" ht="11.65" hidden="1" x14ac:dyDescent="0.35">
      <c r="A826" s="12">
        <v>809</v>
      </c>
      <c r="B826" s="10" t="s">
        <v>1015</v>
      </c>
      <c r="C826" s="11" t="s">
        <v>1082</v>
      </c>
      <c r="D826" s="9"/>
      <c r="E826" s="9">
        <v>226</v>
      </c>
      <c r="F826" s="10" t="s">
        <v>1066</v>
      </c>
      <c r="G826" s="9">
        <v>911</v>
      </c>
      <c r="H826" s="9">
        <v>2015</v>
      </c>
      <c r="I826" s="8">
        <v>86.7</v>
      </c>
      <c r="J826" s="8">
        <v>71.582999999999998</v>
      </c>
      <c r="K826" s="8">
        <v>57.948</v>
      </c>
      <c r="L826" s="8">
        <v>47.656999999999996</v>
      </c>
      <c r="M826" s="8">
        <v>46.862000000000002</v>
      </c>
      <c r="N826" s="8">
        <v>47.136000000000003</v>
      </c>
      <c r="O826" s="8">
        <v>44.055999999999997</v>
      </c>
      <c r="P826" s="8">
        <v>31.122</v>
      </c>
      <c r="Q826" s="8">
        <v>22.425999999999998</v>
      </c>
      <c r="R826" s="8">
        <v>18.468</v>
      </c>
      <c r="S826" s="8">
        <v>13.407</v>
      </c>
      <c r="T826" s="8">
        <v>11.007999999999999</v>
      </c>
      <c r="U826" s="8">
        <v>9.1419999999999995</v>
      </c>
      <c r="V826" s="8">
        <v>6.1079999999999997</v>
      </c>
      <c r="W826" s="8">
        <v>4.47</v>
      </c>
      <c r="X826" s="8">
        <v>2.7360000000000002</v>
      </c>
      <c r="Y826" s="8">
        <v>1.3180000000000001</v>
      </c>
      <c r="Z826" s="8">
        <v>0.38700000000000001</v>
      </c>
      <c r="AA826" s="8">
        <v>5.1999999999999998E-2</v>
      </c>
      <c r="AB826" s="8">
        <v>3.0000000000000001E-3</v>
      </c>
      <c r="AC826" s="8">
        <v>0</v>
      </c>
    </row>
    <row r="827" spans="1:29" ht="11.65" hidden="1" x14ac:dyDescent="0.35">
      <c r="A827" s="12">
        <v>810</v>
      </c>
      <c r="B827" s="10" t="s">
        <v>1015</v>
      </c>
      <c r="C827" s="11" t="s">
        <v>1082</v>
      </c>
      <c r="D827" s="9"/>
      <c r="E827" s="9">
        <v>226</v>
      </c>
      <c r="F827" s="10" t="s">
        <v>1066</v>
      </c>
      <c r="G827" s="9">
        <v>911</v>
      </c>
      <c r="H827" s="9">
        <v>2020</v>
      </c>
      <c r="I827" s="8">
        <v>98.745000000000005</v>
      </c>
      <c r="J827" s="8">
        <v>84.828000000000003</v>
      </c>
      <c r="K827" s="8">
        <v>70.989000000000004</v>
      </c>
      <c r="L827" s="8">
        <v>59.776000000000003</v>
      </c>
      <c r="M827" s="8">
        <v>57.823</v>
      </c>
      <c r="N827" s="8">
        <v>56.029000000000003</v>
      </c>
      <c r="O827" s="8">
        <v>52.576999999999998</v>
      </c>
      <c r="P827" s="8">
        <v>39.408000000000001</v>
      </c>
      <c r="Q827" s="8">
        <v>26.858000000000001</v>
      </c>
      <c r="R827" s="8">
        <v>19.568000000000001</v>
      </c>
      <c r="S827" s="8">
        <v>16.753</v>
      </c>
      <c r="T827" s="8">
        <v>12.065</v>
      </c>
      <c r="U827" s="8">
        <v>9.7569999999999997</v>
      </c>
      <c r="V827" s="8">
        <v>7.7469999999999999</v>
      </c>
      <c r="W827" s="8">
        <v>4.74</v>
      </c>
      <c r="X827" s="8">
        <v>3.004</v>
      </c>
      <c r="Y827" s="8">
        <v>1.4179999999999999</v>
      </c>
      <c r="Z827" s="8">
        <v>0.45300000000000001</v>
      </c>
      <c r="AA827" s="8">
        <v>6.4000000000000001E-2</v>
      </c>
      <c r="AB827" s="8">
        <v>3.0000000000000001E-3</v>
      </c>
      <c r="AC827" s="8">
        <v>0</v>
      </c>
    </row>
    <row r="828" spans="1:29" ht="11.65" hidden="1" x14ac:dyDescent="0.35">
      <c r="A828" s="12">
        <v>811</v>
      </c>
      <c r="B828" s="10" t="s">
        <v>1015</v>
      </c>
      <c r="C828" s="11" t="s">
        <v>1083</v>
      </c>
      <c r="D828" s="9"/>
      <c r="E828" s="9">
        <v>266</v>
      </c>
      <c r="F828" s="10" t="s">
        <v>1066</v>
      </c>
      <c r="G828" s="9">
        <v>911</v>
      </c>
      <c r="H828" s="9">
        <v>1950</v>
      </c>
      <c r="I828" s="8">
        <v>26.635999999999999</v>
      </c>
      <c r="J828" s="8">
        <v>21.602</v>
      </c>
      <c r="K828" s="8">
        <v>20.603000000000002</v>
      </c>
      <c r="L828" s="8">
        <v>19.847999999999999</v>
      </c>
      <c r="M828" s="8">
        <v>19.065999999999999</v>
      </c>
      <c r="N828" s="8">
        <v>18.207000000000001</v>
      </c>
      <c r="O828" s="8">
        <v>17.260999999999999</v>
      </c>
      <c r="P828" s="8">
        <v>16.238</v>
      </c>
      <c r="Q828" s="8">
        <v>15.169</v>
      </c>
      <c r="R828" s="8">
        <v>14.093999999999999</v>
      </c>
      <c r="S828" s="8">
        <v>12.958</v>
      </c>
      <c r="T828" s="8">
        <v>11.627000000000001</v>
      </c>
      <c r="U828" s="8">
        <v>9.9930000000000003</v>
      </c>
      <c r="V828" s="8">
        <v>7.9850000000000003</v>
      </c>
      <c r="W828" s="8">
        <v>5.6669999999999998</v>
      </c>
      <c r="X828" s="8">
        <v>3.3759999999999999</v>
      </c>
      <c r="Y828" s="8">
        <v>1.5389999999999999</v>
      </c>
      <c r="Z828" s="8">
        <v>0.48599999999999999</v>
      </c>
      <c r="AA828" s="8">
        <v>9.7000000000000003E-2</v>
      </c>
      <c r="AB828" s="8">
        <v>1.2999999999999999E-2</v>
      </c>
      <c r="AC828" s="8">
        <v>0</v>
      </c>
    </row>
    <row r="829" spans="1:29" ht="11.65" hidden="1" x14ac:dyDescent="0.35">
      <c r="A829" s="12">
        <v>812</v>
      </c>
      <c r="B829" s="10" t="s">
        <v>1015</v>
      </c>
      <c r="C829" s="11" t="s">
        <v>1083</v>
      </c>
      <c r="D829" s="9"/>
      <c r="E829" s="9">
        <v>266</v>
      </c>
      <c r="F829" s="10" t="s">
        <v>1066</v>
      </c>
      <c r="G829" s="9">
        <v>911</v>
      </c>
      <c r="H829" s="9">
        <v>1955</v>
      </c>
      <c r="I829" s="8">
        <v>28.175999999999998</v>
      </c>
      <c r="J829" s="8">
        <v>23.317</v>
      </c>
      <c r="K829" s="8">
        <v>20.463999999999999</v>
      </c>
      <c r="L829" s="8">
        <v>19.885000000000002</v>
      </c>
      <c r="M829" s="8">
        <v>19.244</v>
      </c>
      <c r="N829" s="8">
        <v>18.445</v>
      </c>
      <c r="O829" s="8">
        <v>17.462</v>
      </c>
      <c r="P829" s="8">
        <v>16.393000000000001</v>
      </c>
      <c r="Q829" s="8">
        <v>15.284000000000001</v>
      </c>
      <c r="R829" s="8">
        <v>14.19</v>
      </c>
      <c r="S829" s="8">
        <v>13.042999999999999</v>
      </c>
      <c r="T829" s="8">
        <v>11.743</v>
      </c>
      <c r="U829" s="8">
        <v>10.161</v>
      </c>
      <c r="V829" s="8">
        <v>8.2010000000000005</v>
      </c>
      <c r="W829" s="8">
        <v>5.9279999999999999</v>
      </c>
      <c r="X829" s="8">
        <v>3.6070000000000002</v>
      </c>
      <c r="Y829" s="8">
        <v>1.6850000000000001</v>
      </c>
      <c r="Z829" s="8">
        <v>0.52500000000000002</v>
      </c>
      <c r="AA829" s="8">
        <v>9.8000000000000004E-2</v>
      </c>
      <c r="AB829" s="8">
        <v>1.0999999999999999E-2</v>
      </c>
      <c r="AC829" s="8">
        <v>1E-3</v>
      </c>
    </row>
    <row r="830" spans="1:29" ht="11.65" hidden="1" x14ac:dyDescent="0.35">
      <c r="A830" s="12">
        <v>813</v>
      </c>
      <c r="B830" s="10" t="s">
        <v>1015</v>
      </c>
      <c r="C830" s="11" t="s">
        <v>1083</v>
      </c>
      <c r="D830" s="9"/>
      <c r="E830" s="9">
        <v>266</v>
      </c>
      <c r="F830" s="10" t="s">
        <v>1066</v>
      </c>
      <c r="G830" s="9">
        <v>911</v>
      </c>
      <c r="H830" s="9">
        <v>1960</v>
      </c>
      <c r="I830" s="8">
        <v>30.44</v>
      </c>
      <c r="J830" s="8">
        <v>25.067</v>
      </c>
      <c r="K830" s="8">
        <v>22.263000000000002</v>
      </c>
      <c r="L830" s="8">
        <v>19.853999999999999</v>
      </c>
      <c r="M830" s="8">
        <v>19.367999999999999</v>
      </c>
      <c r="N830" s="8">
        <v>18.696999999999999</v>
      </c>
      <c r="O830" s="8">
        <v>17.768999999999998</v>
      </c>
      <c r="P830" s="8">
        <v>16.66</v>
      </c>
      <c r="Q830" s="8">
        <v>15.500999999999999</v>
      </c>
      <c r="R830" s="8">
        <v>14.358000000000001</v>
      </c>
      <c r="S830" s="8">
        <v>13.186</v>
      </c>
      <c r="T830" s="8">
        <v>11.872</v>
      </c>
      <c r="U830" s="8">
        <v>10.31</v>
      </c>
      <c r="V830" s="8">
        <v>8.3819999999999997</v>
      </c>
      <c r="W830" s="8">
        <v>6.1189999999999998</v>
      </c>
      <c r="X830" s="8">
        <v>3.7850000000000001</v>
      </c>
      <c r="Y830" s="8">
        <v>1.794</v>
      </c>
      <c r="Z830" s="8">
        <v>0.56399999999999995</v>
      </c>
      <c r="AA830" s="8">
        <v>0.1</v>
      </c>
      <c r="AB830" s="8">
        <v>0.01</v>
      </c>
      <c r="AC830" s="8">
        <v>1E-3</v>
      </c>
    </row>
    <row r="831" spans="1:29" ht="11.65" hidden="1" x14ac:dyDescent="0.35">
      <c r="A831" s="12">
        <v>814</v>
      </c>
      <c r="B831" s="10" t="s">
        <v>1015</v>
      </c>
      <c r="C831" s="11" t="s">
        <v>1083</v>
      </c>
      <c r="D831" s="9"/>
      <c r="E831" s="9">
        <v>266</v>
      </c>
      <c r="F831" s="10" t="s">
        <v>1066</v>
      </c>
      <c r="G831" s="9">
        <v>911</v>
      </c>
      <c r="H831" s="9">
        <v>1965</v>
      </c>
      <c r="I831" s="8">
        <v>35.090000000000003</v>
      </c>
      <c r="J831" s="8">
        <v>27.373999999999999</v>
      </c>
      <c r="K831" s="8">
        <v>24.059000000000001</v>
      </c>
      <c r="L831" s="8">
        <v>21.664999999999999</v>
      </c>
      <c r="M831" s="8">
        <v>20.361999999999998</v>
      </c>
      <c r="N831" s="8">
        <v>20.364999999999998</v>
      </c>
      <c r="O831" s="8">
        <v>19.698</v>
      </c>
      <c r="P831" s="8">
        <v>18.044</v>
      </c>
      <c r="Q831" s="8">
        <v>15.807</v>
      </c>
      <c r="R831" s="8">
        <v>14.606999999999999</v>
      </c>
      <c r="S831" s="8">
        <v>13.381</v>
      </c>
      <c r="T831" s="8">
        <v>12.038</v>
      </c>
      <c r="U831" s="8">
        <v>10.462999999999999</v>
      </c>
      <c r="V831" s="8">
        <v>8.5419999999999998</v>
      </c>
      <c r="W831" s="8">
        <v>6.28</v>
      </c>
      <c r="X831" s="8">
        <v>3.9140000000000001</v>
      </c>
      <c r="Y831" s="8">
        <v>1.879</v>
      </c>
      <c r="Z831" s="8">
        <v>0.59399999999999997</v>
      </c>
      <c r="AA831" s="8">
        <v>0.104</v>
      </c>
      <c r="AB831" s="8">
        <v>8.9999999999999993E-3</v>
      </c>
      <c r="AC831" s="8">
        <v>1E-3</v>
      </c>
    </row>
    <row r="832" spans="1:29" ht="11.65" hidden="1" x14ac:dyDescent="0.35">
      <c r="A832" s="12">
        <v>815</v>
      </c>
      <c r="B832" s="10" t="s">
        <v>1015</v>
      </c>
      <c r="C832" s="11" t="s">
        <v>1083</v>
      </c>
      <c r="D832" s="9"/>
      <c r="E832" s="9">
        <v>266</v>
      </c>
      <c r="F832" s="10" t="s">
        <v>1066</v>
      </c>
      <c r="G832" s="9">
        <v>911</v>
      </c>
      <c r="H832" s="9">
        <v>1970</v>
      </c>
      <c r="I832" s="8">
        <v>42.055999999999997</v>
      </c>
      <c r="J832" s="8">
        <v>32.348999999999997</v>
      </c>
      <c r="K832" s="8">
        <v>26.564</v>
      </c>
      <c r="L832" s="8">
        <v>23.581</v>
      </c>
      <c r="M832" s="8">
        <v>21.295000000000002</v>
      </c>
      <c r="N832" s="8">
        <v>21.302</v>
      </c>
      <c r="O832" s="8">
        <v>21.11</v>
      </c>
      <c r="P832" s="8">
        <v>21.187999999999999</v>
      </c>
      <c r="Q832" s="8">
        <v>19.818000000000001</v>
      </c>
      <c r="R832" s="8">
        <v>17.100000000000001</v>
      </c>
      <c r="S832" s="8">
        <v>15.234</v>
      </c>
      <c r="T832" s="8">
        <v>12.324</v>
      </c>
      <c r="U832" s="8">
        <v>10.72</v>
      </c>
      <c r="V832" s="8">
        <v>8.7739999999999991</v>
      </c>
      <c r="W832" s="8">
        <v>6.484</v>
      </c>
      <c r="X832" s="8">
        <v>4.0629999999999997</v>
      </c>
      <c r="Y832" s="8">
        <v>1.948</v>
      </c>
      <c r="Z832" s="8">
        <v>0.60899999999999999</v>
      </c>
      <c r="AA832" s="8">
        <v>0.10100000000000001</v>
      </c>
      <c r="AB832" s="8">
        <v>8.9999999999999993E-3</v>
      </c>
      <c r="AC832" s="8">
        <v>1E-3</v>
      </c>
    </row>
    <row r="833" spans="1:29" ht="11.65" hidden="1" x14ac:dyDescent="0.35">
      <c r="A833" s="12">
        <v>816</v>
      </c>
      <c r="B833" s="10" t="s">
        <v>1015</v>
      </c>
      <c r="C833" s="11" t="s">
        <v>1083</v>
      </c>
      <c r="D833" s="9"/>
      <c r="E833" s="9">
        <v>266</v>
      </c>
      <c r="F833" s="10" t="s">
        <v>1066</v>
      </c>
      <c r="G833" s="9">
        <v>911</v>
      </c>
      <c r="H833" s="9">
        <v>1975</v>
      </c>
      <c r="I833" s="8">
        <v>48.677</v>
      </c>
      <c r="J833" s="8">
        <v>39.548000000000002</v>
      </c>
      <c r="K833" s="8">
        <v>31.645</v>
      </c>
      <c r="L833" s="8">
        <v>26.177</v>
      </c>
      <c r="M833" s="8">
        <v>23.288</v>
      </c>
      <c r="N833" s="8">
        <v>20.998000000000001</v>
      </c>
      <c r="O833" s="8">
        <v>20.855</v>
      </c>
      <c r="P833" s="8">
        <v>20.492999999999999</v>
      </c>
      <c r="Q833" s="8">
        <v>20.388999999999999</v>
      </c>
      <c r="R833" s="8">
        <v>18.937000000000001</v>
      </c>
      <c r="S833" s="8">
        <v>16.167000000000002</v>
      </c>
      <c r="T833" s="8">
        <v>14.138</v>
      </c>
      <c r="U833" s="8">
        <v>11.082000000000001</v>
      </c>
      <c r="V833" s="8">
        <v>9.1</v>
      </c>
      <c r="W833" s="8">
        <v>6.7560000000000002</v>
      </c>
      <c r="X833" s="8">
        <v>4.2590000000000003</v>
      </c>
      <c r="Y833" s="8">
        <v>2.0409999999999999</v>
      </c>
      <c r="Z833" s="8">
        <v>0.625</v>
      </c>
      <c r="AA833" s="8">
        <v>9.6000000000000002E-2</v>
      </c>
      <c r="AB833" s="8">
        <v>6.0000000000000001E-3</v>
      </c>
      <c r="AC833" s="8">
        <v>0</v>
      </c>
    </row>
    <row r="834" spans="1:29" ht="11.65" hidden="1" x14ac:dyDescent="0.35">
      <c r="A834" s="12">
        <v>817</v>
      </c>
      <c r="B834" s="10" t="s">
        <v>1015</v>
      </c>
      <c r="C834" s="11" t="s">
        <v>1083</v>
      </c>
      <c r="D834" s="9"/>
      <c r="E834" s="9">
        <v>266</v>
      </c>
      <c r="F834" s="10" t="s">
        <v>1066</v>
      </c>
      <c r="G834" s="9">
        <v>911</v>
      </c>
      <c r="H834" s="9">
        <v>1980</v>
      </c>
      <c r="I834" s="8">
        <v>56.826000000000001</v>
      </c>
      <c r="J834" s="8">
        <v>46.552</v>
      </c>
      <c r="K834" s="8">
        <v>38.933</v>
      </c>
      <c r="L834" s="8">
        <v>31.366</v>
      </c>
      <c r="M834" s="8">
        <v>26.097999999999999</v>
      </c>
      <c r="N834" s="8">
        <v>23.245000000000001</v>
      </c>
      <c r="O834" s="8">
        <v>20.835000000000001</v>
      </c>
      <c r="P834" s="8">
        <v>20.481000000000002</v>
      </c>
      <c r="Q834" s="8">
        <v>19.925000000000001</v>
      </c>
      <c r="R834" s="8">
        <v>19.651</v>
      </c>
      <c r="S834" s="8">
        <v>18.048999999999999</v>
      </c>
      <c r="T834" s="8">
        <v>15.14</v>
      </c>
      <c r="U834" s="8">
        <v>12.852</v>
      </c>
      <c r="V834" s="8">
        <v>9.5389999999999997</v>
      </c>
      <c r="W834" s="8">
        <v>7.1280000000000001</v>
      </c>
      <c r="X834" s="8">
        <v>4.5250000000000004</v>
      </c>
      <c r="Y834" s="8">
        <v>2.1819999999999999</v>
      </c>
      <c r="Z834" s="8">
        <v>0.66100000000000003</v>
      </c>
      <c r="AA834" s="8">
        <v>9.6000000000000002E-2</v>
      </c>
      <c r="AB834" s="8">
        <v>6.0000000000000001E-3</v>
      </c>
      <c r="AC834" s="8">
        <v>0</v>
      </c>
    </row>
    <row r="835" spans="1:29" ht="11.65" hidden="1" x14ac:dyDescent="0.35">
      <c r="A835" s="12">
        <v>818</v>
      </c>
      <c r="B835" s="10" t="s">
        <v>1015</v>
      </c>
      <c r="C835" s="11" t="s">
        <v>1083</v>
      </c>
      <c r="D835" s="9"/>
      <c r="E835" s="9">
        <v>266</v>
      </c>
      <c r="F835" s="10" t="s">
        <v>1066</v>
      </c>
      <c r="G835" s="9">
        <v>911</v>
      </c>
      <c r="H835" s="9">
        <v>1985</v>
      </c>
      <c r="I835" s="8">
        <v>66.724000000000004</v>
      </c>
      <c r="J835" s="8">
        <v>55.036000000000001</v>
      </c>
      <c r="K835" s="8">
        <v>46.02</v>
      </c>
      <c r="L835" s="8">
        <v>38.68</v>
      </c>
      <c r="M835" s="8">
        <v>31.312000000000001</v>
      </c>
      <c r="N835" s="8">
        <v>26.105</v>
      </c>
      <c r="O835" s="8">
        <v>23.137</v>
      </c>
      <c r="P835" s="8">
        <v>20.577999999999999</v>
      </c>
      <c r="Q835" s="8">
        <v>20.036000000000001</v>
      </c>
      <c r="R835" s="8">
        <v>19.329999999999998</v>
      </c>
      <c r="S835" s="8">
        <v>18.858000000000001</v>
      </c>
      <c r="T835" s="8">
        <v>17.039000000000001</v>
      </c>
      <c r="U835" s="8">
        <v>13.912000000000001</v>
      </c>
      <c r="V835" s="8">
        <v>11.222</v>
      </c>
      <c r="W835" s="8">
        <v>7.6180000000000003</v>
      </c>
      <c r="X835" s="8">
        <v>4.8970000000000002</v>
      </c>
      <c r="Y835" s="8">
        <v>2.3879999999999999</v>
      </c>
      <c r="Z835" s="8">
        <v>0.72799999999999998</v>
      </c>
      <c r="AA835" s="8">
        <v>0.104</v>
      </c>
      <c r="AB835" s="8">
        <v>6.0000000000000001E-3</v>
      </c>
      <c r="AC835" s="8">
        <v>0</v>
      </c>
    </row>
    <row r="836" spans="1:29" ht="11.65" hidden="1" x14ac:dyDescent="0.35">
      <c r="A836" s="12">
        <v>819</v>
      </c>
      <c r="B836" s="10" t="s">
        <v>1015</v>
      </c>
      <c r="C836" s="11" t="s">
        <v>1083</v>
      </c>
      <c r="D836" s="9"/>
      <c r="E836" s="9">
        <v>266</v>
      </c>
      <c r="F836" s="10" t="s">
        <v>1066</v>
      </c>
      <c r="G836" s="9">
        <v>911</v>
      </c>
      <c r="H836" s="9">
        <v>1990</v>
      </c>
      <c r="I836" s="8">
        <v>76.924000000000007</v>
      </c>
      <c r="J836" s="8">
        <v>65.210999999999999</v>
      </c>
      <c r="K836" s="8">
        <v>54.558999999999997</v>
      </c>
      <c r="L836" s="8">
        <v>45.796999999999997</v>
      </c>
      <c r="M836" s="8">
        <v>38.627000000000002</v>
      </c>
      <c r="N836" s="8">
        <v>31.323</v>
      </c>
      <c r="O836" s="8">
        <v>26.029</v>
      </c>
      <c r="P836" s="8">
        <v>22.914999999999999</v>
      </c>
      <c r="Q836" s="8">
        <v>20.22</v>
      </c>
      <c r="R836" s="8">
        <v>19.530999999999999</v>
      </c>
      <c r="S836" s="8">
        <v>18.652000000000001</v>
      </c>
      <c r="T836" s="8">
        <v>17.922999999999998</v>
      </c>
      <c r="U836" s="8">
        <v>15.795999999999999</v>
      </c>
      <c r="V836" s="8">
        <v>12.301</v>
      </c>
      <c r="W836" s="8">
        <v>9.1259999999999994</v>
      </c>
      <c r="X836" s="8">
        <v>5.367</v>
      </c>
      <c r="Y836" s="8">
        <v>2.673</v>
      </c>
      <c r="Z836" s="8">
        <v>0.82899999999999996</v>
      </c>
      <c r="AA836" s="8">
        <v>0.11700000000000001</v>
      </c>
      <c r="AB836" s="8">
        <v>6.0000000000000001E-3</v>
      </c>
      <c r="AC836" s="8">
        <v>0</v>
      </c>
    </row>
    <row r="837" spans="1:29" ht="11.65" hidden="1" x14ac:dyDescent="0.35">
      <c r="A837" s="12">
        <v>820</v>
      </c>
      <c r="B837" s="10" t="s">
        <v>1015</v>
      </c>
      <c r="C837" s="11" t="s">
        <v>1083</v>
      </c>
      <c r="D837" s="9"/>
      <c r="E837" s="9">
        <v>266</v>
      </c>
      <c r="F837" s="10" t="s">
        <v>1066</v>
      </c>
      <c r="G837" s="9">
        <v>911</v>
      </c>
      <c r="H837" s="9">
        <v>1995</v>
      </c>
      <c r="I837" s="8">
        <v>85.700999999999993</v>
      </c>
      <c r="J837" s="8">
        <v>75.292000000000002</v>
      </c>
      <c r="K837" s="8">
        <v>64.658000000000001</v>
      </c>
      <c r="L837" s="8">
        <v>54.274999999999999</v>
      </c>
      <c r="M837" s="8">
        <v>45.658999999999999</v>
      </c>
      <c r="N837" s="8">
        <v>38.502000000000002</v>
      </c>
      <c r="O837" s="8">
        <v>31.111999999999998</v>
      </c>
      <c r="P837" s="8">
        <v>25.696999999999999</v>
      </c>
      <c r="Q837" s="8">
        <v>22.446999999999999</v>
      </c>
      <c r="R837" s="8">
        <v>19.666</v>
      </c>
      <c r="S837" s="8">
        <v>18.800999999999998</v>
      </c>
      <c r="T837" s="8">
        <v>17.684000000000001</v>
      </c>
      <c r="U837" s="8">
        <v>16.568999999999999</v>
      </c>
      <c r="V837" s="8">
        <v>13.928000000000001</v>
      </c>
      <c r="W837" s="8">
        <v>9.9730000000000008</v>
      </c>
      <c r="X837" s="8">
        <v>6.4050000000000002</v>
      </c>
      <c r="Y837" s="8">
        <v>2.911</v>
      </c>
      <c r="Z837" s="8">
        <v>0.91600000000000004</v>
      </c>
      <c r="AA837" s="8">
        <v>0.13100000000000001</v>
      </c>
      <c r="AB837" s="8">
        <v>6.0000000000000001E-3</v>
      </c>
      <c r="AC837" s="8">
        <v>0</v>
      </c>
    </row>
    <row r="838" spans="1:29" ht="11.65" hidden="1" x14ac:dyDescent="0.35">
      <c r="A838" s="12">
        <v>821</v>
      </c>
      <c r="B838" s="10" t="s">
        <v>1015</v>
      </c>
      <c r="C838" s="11" t="s">
        <v>1083</v>
      </c>
      <c r="D838" s="9"/>
      <c r="E838" s="9">
        <v>266</v>
      </c>
      <c r="F838" s="10" t="s">
        <v>1066</v>
      </c>
      <c r="G838" s="9">
        <v>911</v>
      </c>
      <c r="H838" s="9">
        <v>2000</v>
      </c>
      <c r="I838" s="8">
        <v>91.424999999999997</v>
      </c>
      <c r="J838" s="8">
        <v>83.781000000000006</v>
      </c>
      <c r="K838" s="8">
        <v>74.305999999999997</v>
      </c>
      <c r="L838" s="8">
        <v>63.793999999999997</v>
      </c>
      <c r="M838" s="8">
        <v>53.603999999999999</v>
      </c>
      <c r="N838" s="8">
        <v>45.006999999999998</v>
      </c>
      <c r="O838" s="8">
        <v>38.241999999999997</v>
      </c>
      <c r="P838" s="8">
        <v>31.11</v>
      </c>
      <c r="Q838" s="8">
        <v>25.254000000000001</v>
      </c>
      <c r="R838" s="8">
        <v>21.748999999999999</v>
      </c>
      <c r="S838" s="8">
        <v>18.835000000000001</v>
      </c>
      <c r="T838" s="8">
        <v>17.704000000000001</v>
      </c>
      <c r="U838" s="8">
        <v>16.213999999999999</v>
      </c>
      <c r="V838" s="8">
        <v>14.467000000000001</v>
      </c>
      <c r="W838" s="8">
        <v>11.157</v>
      </c>
      <c r="X838" s="8">
        <v>6.8979999999999997</v>
      </c>
      <c r="Y838" s="8">
        <v>3.403</v>
      </c>
      <c r="Z838" s="8">
        <v>0.96199999999999997</v>
      </c>
      <c r="AA838" s="8">
        <v>0.13800000000000001</v>
      </c>
      <c r="AB838" s="8">
        <v>6.0000000000000001E-3</v>
      </c>
      <c r="AC838" s="8">
        <v>0</v>
      </c>
    </row>
    <row r="839" spans="1:29" ht="11.65" hidden="1" x14ac:dyDescent="0.35">
      <c r="A839" s="12">
        <v>822</v>
      </c>
      <c r="B839" s="10" t="s">
        <v>1015</v>
      </c>
      <c r="C839" s="11" t="s">
        <v>1083</v>
      </c>
      <c r="D839" s="9"/>
      <c r="E839" s="9">
        <v>266</v>
      </c>
      <c r="F839" s="10" t="s">
        <v>1066</v>
      </c>
      <c r="G839" s="9">
        <v>911</v>
      </c>
      <c r="H839" s="9">
        <v>2005</v>
      </c>
      <c r="I839" s="8">
        <v>98.578000000000003</v>
      </c>
      <c r="J839" s="8">
        <v>89.512</v>
      </c>
      <c r="K839" s="8">
        <v>83.007999999999996</v>
      </c>
      <c r="L839" s="8">
        <v>73.866</v>
      </c>
      <c r="M839" s="8">
        <v>64.224000000000004</v>
      </c>
      <c r="N839" s="8">
        <v>54.593000000000004</v>
      </c>
      <c r="O839" s="8">
        <v>45.609000000000002</v>
      </c>
      <c r="P839" s="8">
        <v>38.308999999999997</v>
      </c>
      <c r="Q839" s="8">
        <v>30.753</v>
      </c>
      <c r="R839" s="8">
        <v>24.518999999999998</v>
      </c>
      <c r="S839" s="8">
        <v>20.623000000000001</v>
      </c>
      <c r="T839" s="8">
        <v>17.533000000000001</v>
      </c>
      <c r="U839" s="8">
        <v>16.056000000000001</v>
      </c>
      <c r="V839" s="8">
        <v>14.007</v>
      </c>
      <c r="W839" s="8">
        <v>11.462</v>
      </c>
      <c r="X839" s="8">
        <v>7.633</v>
      </c>
      <c r="Y839" s="8">
        <v>3.617</v>
      </c>
      <c r="Z839" s="8">
        <v>1.105</v>
      </c>
      <c r="AA839" s="8">
        <v>0.14099999999999999</v>
      </c>
      <c r="AB839" s="8">
        <v>8.0000000000000002E-3</v>
      </c>
      <c r="AC839" s="8">
        <v>0</v>
      </c>
    </row>
    <row r="840" spans="1:29" ht="11.65" hidden="1" x14ac:dyDescent="0.35">
      <c r="A840" s="12">
        <v>823</v>
      </c>
      <c r="B840" s="10" t="s">
        <v>1015</v>
      </c>
      <c r="C840" s="11" t="s">
        <v>1083</v>
      </c>
      <c r="D840" s="9"/>
      <c r="E840" s="9">
        <v>266</v>
      </c>
      <c r="F840" s="10" t="s">
        <v>1066</v>
      </c>
      <c r="G840" s="9">
        <v>911</v>
      </c>
      <c r="H840" s="9">
        <v>2010</v>
      </c>
      <c r="I840" s="8">
        <v>115.66</v>
      </c>
      <c r="J840" s="8">
        <v>96.951999999999998</v>
      </c>
      <c r="K840" s="8">
        <v>88.789000000000001</v>
      </c>
      <c r="L840" s="8">
        <v>83.078000000000003</v>
      </c>
      <c r="M840" s="8">
        <v>78.293999999999997</v>
      </c>
      <c r="N840" s="8">
        <v>69.784000000000006</v>
      </c>
      <c r="O840" s="8">
        <v>56.914000000000001</v>
      </c>
      <c r="P840" s="8">
        <v>46.953000000000003</v>
      </c>
      <c r="Q840" s="8">
        <v>38.807000000000002</v>
      </c>
      <c r="R840" s="8">
        <v>30.166</v>
      </c>
      <c r="S840" s="8">
        <v>23.315999999999999</v>
      </c>
      <c r="T840" s="8">
        <v>19.277000000000001</v>
      </c>
      <c r="U840" s="8">
        <v>15.981999999999999</v>
      </c>
      <c r="V840" s="8">
        <v>13.948</v>
      </c>
      <c r="W840" s="8">
        <v>11.177</v>
      </c>
      <c r="X840" s="8">
        <v>7.9109999999999996</v>
      </c>
      <c r="Y840" s="8">
        <v>4.0540000000000003</v>
      </c>
      <c r="Z840" s="8">
        <v>1.194</v>
      </c>
      <c r="AA840" s="8">
        <v>0.16600000000000001</v>
      </c>
      <c r="AB840" s="8">
        <v>8.0000000000000002E-3</v>
      </c>
      <c r="AC840" s="8">
        <v>0</v>
      </c>
    </row>
    <row r="841" spans="1:29" ht="11.65" hidden="1" x14ac:dyDescent="0.35">
      <c r="A841" s="12">
        <v>824</v>
      </c>
      <c r="B841" s="10" t="s">
        <v>1015</v>
      </c>
      <c r="C841" s="11" t="s">
        <v>1083</v>
      </c>
      <c r="D841" s="9"/>
      <c r="E841" s="9">
        <v>266</v>
      </c>
      <c r="F841" s="10" t="s">
        <v>1066</v>
      </c>
      <c r="G841" s="9">
        <v>911</v>
      </c>
      <c r="H841" s="9">
        <v>2015</v>
      </c>
      <c r="I841" s="8">
        <v>139.88300000000001</v>
      </c>
      <c r="J841" s="8">
        <v>114.352</v>
      </c>
      <c r="K841" s="8">
        <v>96.435000000000002</v>
      </c>
      <c r="L841" s="8">
        <v>88.944000000000003</v>
      </c>
      <c r="M841" s="8">
        <v>92.552000000000007</v>
      </c>
      <c r="N841" s="8">
        <v>93.036000000000001</v>
      </c>
      <c r="O841" s="8">
        <v>76.843999999999994</v>
      </c>
      <c r="P841" s="8">
        <v>58.95</v>
      </c>
      <c r="Q841" s="8">
        <v>47.664000000000001</v>
      </c>
      <c r="R841" s="8">
        <v>38.354999999999997</v>
      </c>
      <c r="S841" s="8">
        <v>29.006</v>
      </c>
      <c r="T841" s="8">
        <v>22.071999999999999</v>
      </c>
      <c r="U841" s="8">
        <v>17.847999999999999</v>
      </c>
      <c r="V841" s="8">
        <v>14.176</v>
      </c>
      <c r="W841" s="8">
        <v>11.464</v>
      </c>
      <c r="X841" s="8">
        <v>8.0589999999999993</v>
      </c>
      <c r="Y841" s="8">
        <v>4.5</v>
      </c>
      <c r="Z841" s="8">
        <v>1.4970000000000001</v>
      </c>
      <c r="AA841" s="8">
        <v>0.21199999999999999</v>
      </c>
      <c r="AB841" s="8">
        <v>0.01</v>
      </c>
      <c r="AC841" s="8">
        <v>0</v>
      </c>
    </row>
    <row r="842" spans="1:29" ht="11.65" hidden="1" x14ac:dyDescent="0.35">
      <c r="A842" s="12">
        <v>825</v>
      </c>
      <c r="B842" s="10" t="s">
        <v>1015</v>
      </c>
      <c r="C842" s="11" t="s">
        <v>1083</v>
      </c>
      <c r="D842" s="9"/>
      <c r="E842" s="9">
        <v>266</v>
      </c>
      <c r="F842" s="10" t="s">
        <v>1066</v>
      </c>
      <c r="G842" s="9">
        <v>911</v>
      </c>
      <c r="H842" s="9">
        <v>2020</v>
      </c>
      <c r="I842" s="8">
        <v>158.494</v>
      </c>
      <c r="J842" s="8">
        <v>138.55500000000001</v>
      </c>
      <c r="K842" s="8">
        <v>113.80800000000001</v>
      </c>
      <c r="L842" s="8">
        <v>96.129000000000005</v>
      </c>
      <c r="M842" s="8">
        <v>89.117000000000004</v>
      </c>
      <c r="N842" s="8">
        <v>92.891000000000005</v>
      </c>
      <c r="O842" s="8">
        <v>92.909000000000006</v>
      </c>
      <c r="P842" s="8">
        <v>76.381</v>
      </c>
      <c r="Q842" s="8">
        <v>58.259</v>
      </c>
      <c r="R842" s="8">
        <v>46.786000000000001</v>
      </c>
      <c r="S842" s="8">
        <v>37.274000000000001</v>
      </c>
      <c r="T842" s="8">
        <v>27.803999999999998</v>
      </c>
      <c r="U842" s="8">
        <v>20.734000000000002</v>
      </c>
      <c r="V842" s="8">
        <v>16.123999999999999</v>
      </c>
      <c r="W842" s="8">
        <v>11.946999999999999</v>
      </c>
      <c r="X842" s="8">
        <v>8.5779999999999994</v>
      </c>
      <c r="Y842" s="8">
        <v>4.8789999999999996</v>
      </c>
      <c r="Z842" s="8">
        <v>1.865</v>
      </c>
      <c r="AA842" s="8">
        <v>0.32300000000000001</v>
      </c>
      <c r="AB842" s="8">
        <v>1.7000000000000001E-2</v>
      </c>
      <c r="AC842" s="8">
        <v>0</v>
      </c>
    </row>
    <row r="843" spans="1:29" ht="11.65" hidden="1" x14ac:dyDescent="0.35">
      <c r="A843" s="12">
        <v>826</v>
      </c>
      <c r="B843" s="10" t="s">
        <v>1015</v>
      </c>
      <c r="C843" s="11" t="s">
        <v>1084</v>
      </c>
      <c r="D843" s="9"/>
      <c r="E843" s="9">
        <v>678</v>
      </c>
      <c r="F843" s="10" t="s">
        <v>1066</v>
      </c>
      <c r="G843" s="9">
        <v>911</v>
      </c>
      <c r="H843" s="9">
        <v>1950</v>
      </c>
      <c r="I843" s="8">
        <v>4.7990000000000004</v>
      </c>
      <c r="J843" s="8">
        <v>3.0760000000000001</v>
      </c>
      <c r="K843" s="8">
        <v>1.8759999999999999</v>
      </c>
      <c r="L843" s="8">
        <v>1.5129999999999999</v>
      </c>
      <c r="M843" s="8">
        <v>2.8140000000000001</v>
      </c>
      <c r="N843" s="8">
        <v>2.766</v>
      </c>
      <c r="O843" s="8">
        <v>2.1320000000000001</v>
      </c>
      <c r="P843" s="8">
        <v>1.6639999999999999</v>
      </c>
      <c r="Q843" s="8">
        <v>1.3089999999999999</v>
      </c>
      <c r="R843" s="8">
        <v>1.1259999999999999</v>
      </c>
      <c r="S843" s="8">
        <v>0.95799999999999996</v>
      </c>
      <c r="T843" s="8">
        <v>0.754</v>
      </c>
      <c r="U843" s="8">
        <v>0.54800000000000004</v>
      </c>
      <c r="V843" s="8">
        <v>0.43099999999999999</v>
      </c>
      <c r="W843" s="8">
        <v>0.37</v>
      </c>
      <c r="X843" s="8">
        <v>0.27200000000000002</v>
      </c>
      <c r="Y843" s="8">
        <v>0.19900000000000001</v>
      </c>
      <c r="Z843" s="8">
        <v>5.8999999999999997E-2</v>
      </c>
      <c r="AA843" s="8">
        <v>0.01</v>
      </c>
      <c r="AB843" s="8">
        <v>0</v>
      </c>
      <c r="AC843" s="8">
        <v>0</v>
      </c>
    </row>
    <row r="844" spans="1:29" ht="11.65" hidden="1" x14ac:dyDescent="0.35">
      <c r="A844" s="12">
        <v>827</v>
      </c>
      <c r="B844" s="10" t="s">
        <v>1015</v>
      </c>
      <c r="C844" s="11" t="s">
        <v>1084</v>
      </c>
      <c r="D844" s="9"/>
      <c r="E844" s="9">
        <v>678</v>
      </c>
      <c r="F844" s="10" t="s">
        <v>1066</v>
      </c>
      <c r="G844" s="9">
        <v>911</v>
      </c>
      <c r="H844" s="9">
        <v>1955</v>
      </c>
      <c r="I844" s="8">
        <v>4.657</v>
      </c>
      <c r="J844" s="8">
        <v>3.0880000000000001</v>
      </c>
      <c r="K844" s="8">
        <v>1.861</v>
      </c>
      <c r="L844" s="8">
        <v>1.4810000000000001</v>
      </c>
      <c r="M844" s="8">
        <v>2.7549999999999999</v>
      </c>
      <c r="N844" s="8">
        <v>2.7080000000000002</v>
      </c>
      <c r="O844" s="8">
        <v>2.0870000000000002</v>
      </c>
      <c r="P844" s="8">
        <v>1.631</v>
      </c>
      <c r="Q844" s="8">
        <v>1.284</v>
      </c>
      <c r="R844" s="8">
        <v>1.1040000000000001</v>
      </c>
      <c r="S844" s="8">
        <v>0.93600000000000005</v>
      </c>
      <c r="T844" s="8">
        <v>0.73299999999999998</v>
      </c>
      <c r="U844" s="8">
        <v>0.53300000000000003</v>
      </c>
      <c r="V844" s="8">
        <v>0.41599999999999998</v>
      </c>
      <c r="W844" s="8">
        <v>0.35799999999999998</v>
      </c>
      <c r="X844" s="8">
        <v>0.26</v>
      </c>
      <c r="Y844" s="8">
        <v>0.16500000000000001</v>
      </c>
      <c r="Z844" s="8">
        <v>7.5999999999999998E-2</v>
      </c>
      <c r="AA844" s="8">
        <v>1.4999999999999999E-2</v>
      </c>
      <c r="AB844" s="8">
        <v>2E-3</v>
      </c>
      <c r="AC844" s="8">
        <v>0</v>
      </c>
    </row>
    <row r="845" spans="1:29" ht="11.65" hidden="1" x14ac:dyDescent="0.35">
      <c r="A845" s="12">
        <v>828</v>
      </c>
      <c r="B845" s="10" t="s">
        <v>1015</v>
      </c>
      <c r="C845" s="11" t="s">
        <v>1084</v>
      </c>
      <c r="D845" s="9"/>
      <c r="E845" s="9">
        <v>678</v>
      </c>
      <c r="F845" s="10" t="s">
        <v>1066</v>
      </c>
      <c r="G845" s="9">
        <v>911</v>
      </c>
      <c r="H845" s="9">
        <v>1960</v>
      </c>
      <c r="I845" s="8">
        <v>5.0830000000000002</v>
      </c>
      <c r="J845" s="8">
        <v>3.3119999999999998</v>
      </c>
      <c r="K845" s="8">
        <v>2.0979999999999999</v>
      </c>
      <c r="L845" s="8">
        <v>1.6379999999999999</v>
      </c>
      <c r="M845" s="8">
        <v>3.0049999999999999</v>
      </c>
      <c r="N845" s="8">
        <v>2.9529999999999998</v>
      </c>
      <c r="O845" s="8">
        <v>2.2759999999999998</v>
      </c>
      <c r="P845" s="8">
        <v>1.7789999999999999</v>
      </c>
      <c r="Q845" s="8">
        <v>1.4019999999999999</v>
      </c>
      <c r="R845" s="8">
        <v>1.202</v>
      </c>
      <c r="S845" s="8">
        <v>1.0189999999999999</v>
      </c>
      <c r="T845" s="8">
        <v>0.79700000000000004</v>
      </c>
      <c r="U845" s="8">
        <v>0.57699999999999996</v>
      </c>
      <c r="V845" s="8">
        <v>0.44900000000000001</v>
      </c>
      <c r="W845" s="8">
        <v>0.38400000000000001</v>
      </c>
      <c r="X845" s="8">
        <v>0.28000000000000003</v>
      </c>
      <c r="Y845" s="8">
        <v>0.191</v>
      </c>
      <c r="Z845" s="8">
        <v>6.4000000000000001E-2</v>
      </c>
      <c r="AA845" s="8">
        <v>0.02</v>
      </c>
      <c r="AB845" s="8">
        <v>2E-3</v>
      </c>
      <c r="AC845" s="8">
        <v>0</v>
      </c>
    </row>
    <row r="846" spans="1:29" ht="11.65" hidden="1" x14ac:dyDescent="0.35">
      <c r="A846" s="12">
        <v>829</v>
      </c>
      <c r="B846" s="10" t="s">
        <v>1015</v>
      </c>
      <c r="C846" s="11" t="s">
        <v>1084</v>
      </c>
      <c r="D846" s="9"/>
      <c r="E846" s="9">
        <v>678</v>
      </c>
      <c r="F846" s="10" t="s">
        <v>1066</v>
      </c>
      <c r="G846" s="9">
        <v>911</v>
      </c>
      <c r="H846" s="9">
        <v>1965</v>
      </c>
      <c r="I846" s="8">
        <v>5.8879999999999999</v>
      </c>
      <c r="J846" s="8">
        <v>4.1559999999999997</v>
      </c>
      <c r="K846" s="8">
        <v>3.0649999999999999</v>
      </c>
      <c r="L846" s="8">
        <v>2.65</v>
      </c>
      <c r="M846" s="8">
        <v>2.976</v>
      </c>
      <c r="N846" s="8">
        <v>2.5830000000000002</v>
      </c>
      <c r="O846" s="8">
        <v>1.887</v>
      </c>
      <c r="P846" s="8">
        <v>1.544</v>
      </c>
      <c r="Q846" s="8">
        <v>1.423</v>
      </c>
      <c r="R846" s="8">
        <v>1.264</v>
      </c>
      <c r="S846" s="8">
        <v>1.1100000000000001</v>
      </c>
      <c r="T846" s="8">
        <v>0.91</v>
      </c>
      <c r="U846" s="8">
        <v>0.36699999999999999</v>
      </c>
      <c r="V846" s="8">
        <v>0.28100000000000003</v>
      </c>
      <c r="W846" s="8">
        <v>0.23799999999999999</v>
      </c>
      <c r="X846" s="8">
        <v>0.16800000000000001</v>
      </c>
      <c r="Y846" s="8">
        <v>7.2999999999999995E-2</v>
      </c>
      <c r="Z846" s="8">
        <v>7.4999999999999997E-2</v>
      </c>
      <c r="AA846" s="8">
        <v>1.7000000000000001E-2</v>
      </c>
      <c r="AB846" s="8">
        <v>3.0000000000000001E-3</v>
      </c>
      <c r="AC846" s="8">
        <v>0</v>
      </c>
    </row>
    <row r="847" spans="1:29" ht="11.65" hidden="1" x14ac:dyDescent="0.35">
      <c r="A847" s="12">
        <v>830</v>
      </c>
      <c r="B847" s="10" t="s">
        <v>1015</v>
      </c>
      <c r="C847" s="11" t="s">
        <v>1084</v>
      </c>
      <c r="D847" s="9"/>
      <c r="E847" s="9">
        <v>678</v>
      </c>
      <c r="F847" s="10" t="s">
        <v>1066</v>
      </c>
      <c r="G847" s="9">
        <v>911</v>
      </c>
      <c r="H847" s="9">
        <v>1970</v>
      </c>
      <c r="I847" s="8">
        <v>7.3929999999999998</v>
      </c>
      <c r="J847" s="8">
        <v>5.3570000000000002</v>
      </c>
      <c r="K847" s="8">
        <v>4.5880000000000001</v>
      </c>
      <c r="L847" s="8">
        <v>4.03</v>
      </c>
      <c r="M847" s="8">
        <v>2.9929999999999999</v>
      </c>
      <c r="N847" s="8">
        <v>2.2330000000000001</v>
      </c>
      <c r="O847" s="8">
        <v>1.524</v>
      </c>
      <c r="P847" s="8">
        <v>1.3109999999999999</v>
      </c>
      <c r="Q847" s="8">
        <v>1.4490000000000001</v>
      </c>
      <c r="R847" s="8">
        <v>1.339</v>
      </c>
      <c r="S847" s="8">
        <v>1.228</v>
      </c>
      <c r="T847" s="8">
        <v>1.0609999999999999</v>
      </c>
      <c r="U847" s="8">
        <v>0.77600000000000002</v>
      </c>
      <c r="V847" s="8">
        <v>0.622</v>
      </c>
      <c r="W847" s="8">
        <v>0.6</v>
      </c>
      <c r="X847" s="8">
        <v>0.36299999999999999</v>
      </c>
      <c r="Y847" s="8">
        <v>0.27500000000000002</v>
      </c>
      <c r="Z847" s="8">
        <v>3.2000000000000001E-2</v>
      </c>
      <c r="AA847" s="8">
        <v>2.1000000000000001E-2</v>
      </c>
      <c r="AB847" s="8">
        <v>3.0000000000000001E-3</v>
      </c>
      <c r="AC847" s="8">
        <v>0</v>
      </c>
    </row>
    <row r="848" spans="1:29" ht="11.65" hidden="1" x14ac:dyDescent="0.35">
      <c r="A848" s="12">
        <v>831</v>
      </c>
      <c r="B848" s="10" t="s">
        <v>1015</v>
      </c>
      <c r="C848" s="11" t="s">
        <v>1084</v>
      </c>
      <c r="D848" s="9"/>
      <c r="E848" s="9">
        <v>678</v>
      </c>
      <c r="F848" s="10" t="s">
        <v>1066</v>
      </c>
      <c r="G848" s="9">
        <v>911</v>
      </c>
      <c r="H848" s="9">
        <v>1975</v>
      </c>
      <c r="I848" s="8">
        <v>8.1270000000000007</v>
      </c>
      <c r="J848" s="8">
        <v>6.3689999999999998</v>
      </c>
      <c r="K848" s="8">
        <v>5.109</v>
      </c>
      <c r="L848" s="8">
        <v>4.7060000000000004</v>
      </c>
      <c r="M848" s="8">
        <v>3.359</v>
      </c>
      <c r="N848" s="8">
        <v>2.5710000000000002</v>
      </c>
      <c r="O848" s="8">
        <v>1.752</v>
      </c>
      <c r="P848" s="8">
        <v>1.498</v>
      </c>
      <c r="Q848" s="8">
        <v>1.6439999999999999</v>
      </c>
      <c r="R848" s="8">
        <v>1.5149999999999999</v>
      </c>
      <c r="S848" s="8">
        <v>1.387</v>
      </c>
      <c r="T848" s="8">
        <v>1.202</v>
      </c>
      <c r="U848" s="8">
        <v>0.88800000000000001</v>
      </c>
      <c r="V848" s="8">
        <v>0.69699999999999995</v>
      </c>
      <c r="W848" s="8">
        <v>0.51100000000000001</v>
      </c>
      <c r="X848" s="8">
        <v>0.28399999999999997</v>
      </c>
      <c r="Y848" s="8">
        <v>5.8000000000000003E-2</v>
      </c>
      <c r="Z848" s="8">
        <v>0.108</v>
      </c>
      <c r="AA848" s="8">
        <v>8.0000000000000002E-3</v>
      </c>
      <c r="AB848" s="8">
        <v>3.0000000000000001E-3</v>
      </c>
      <c r="AC848" s="8">
        <v>0</v>
      </c>
    </row>
    <row r="849" spans="1:29" ht="11.65" hidden="1" x14ac:dyDescent="0.35">
      <c r="A849" s="12">
        <v>832</v>
      </c>
      <c r="B849" s="10" t="s">
        <v>1015</v>
      </c>
      <c r="C849" s="11" t="s">
        <v>1084</v>
      </c>
      <c r="D849" s="9"/>
      <c r="E849" s="9">
        <v>678</v>
      </c>
      <c r="F849" s="10" t="s">
        <v>1066</v>
      </c>
      <c r="G849" s="9">
        <v>911</v>
      </c>
      <c r="H849" s="9">
        <v>1980</v>
      </c>
      <c r="I849" s="8">
        <v>9.57</v>
      </c>
      <c r="J849" s="8">
        <v>6.9480000000000004</v>
      </c>
      <c r="K849" s="8">
        <v>6.0060000000000002</v>
      </c>
      <c r="L849" s="8">
        <v>5.2560000000000002</v>
      </c>
      <c r="M849" s="8">
        <v>4.1070000000000002</v>
      </c>
      <c r="N849" s="8">
        <v>2.8460000000000001</v>
      </c>
      <c r="O849" s="8">
        <v>2.0699999999999998</v>
      </c>
      <c r="P849" s="8">
        <v>1.7330000000000001</v>
      </c>
      <c r="Q849" s="8">
        <v>1.8959999999999999</v>
      </c>
      <c r="R849" s="8">
        <v>1.744</v>
      </c>
      <c r="S849" s="8">
        <v>1.589</v>
      </c>
      <c r="T849" s="8">
        <v>1.3740000000000001</v>
      </c>
      <c r="U849" s="8">
        <v>1.0269999999999999</v>
      </c>
      <c r="V849" s="8">
        <v>0.79100000000000004</v>
      </c>
      <c r="W849" s="8">
        <v>0.66500000000000004</v>
      </c>
      <c r="X849" s="8">
        <v>0.47199999999999998</v>
      </c>
      <c r="Y849" s="8">
        <v>0.378</v>
      </c>
      <c r="Z849" s="8">
        <v>3.7999999999999999E-2</v>
      </c>
      <c r="AA849" s="8">
        <v>3.1E-2</v>
      </c>
      <c r="AB849" s="8">
        <v>0</v>
      </c>
      <c r="AC849" s="8">
        <v>0</v>
      </c>
    </row>
    <row r="850" spans="1:29" ht="11.65" hidden="1" x14ac:dyDescent="0.35">
      <c r="A850" s="12">
        <v>833</v>
      </c>
      <c r="B850" s="10" t="s">
        <v>1015</v>
      </c>
      <c r="C850" s="11" t="s">
        <v>1084</v>
      </c>
      <c r="D850" s="9"/>
      <c r="E850" s="9">
        <v>678</v>
      </c>
      <c r="F850" s="10" t="s">
        <v>1066</v>
      </c>
      <c r="G850" s="9">
        <v>911</v>
      </c>
      <c r="H850" s="9">
        <v>1985</v>
      </c>
      <c r="I850" s="8">
        <v>9.2409999999999997</v>
      </c>
      <c r="J850" s="8">
        <v>9.1080000000000005</v>
      </c>
      <c r="K850" s="8">
        <v>6.6379999999999999</v>
      </c>
      <c r="L850" s="8">
        <v>5.5679999999999996</v>
      </c>
      <c r="M850" s="8">
        <v>4.6929999999999996</v>
      </c>
      <c r="N850" s="8">
        <v>3.585</v>
      </c>
      <c r="O850" s="8">
        <v>2.4609999999999999</v>
      </c>
      <c r="P850" s="8">
        <v>1.804</v>
      </c>
      <c r="Q850" s="8">
        <v>1.5449999999999999</v>
      </c>
      <c r="R850" s="8">
        <v>1.7430000000000001</v>
      </c>
      <c r="S850" s="8">
        <v>1.611</v>
      </c>
      <c r="T850" s="8">
        <v>1.4590000000000001</v>
      </c>
      <c r="U850" s="8">
        <v>1.2350000000000001</v>
      </c>
      <c r="V850" s="8">
        <v>0.877</v>
      </c>
      <c r="W850" s="8">
        <v>0.61799999999999999</v>
      </c>
      <c r="X850" s="8">
        <v>0.45100000000000001</v>
      </c>
      <c r="Y850" s="8">
        <v>0.25700000000000001</v>
      </c>
      <c r="Z850" s="8">
        <v>0.154</v>
      </c>
      <c r="AA850" s="8">
        <v>5.0000000000000001E-3</v>
      </c>
      <c r="AB850" s="8">
        <v>4.0000000000000001E-3</v>
      </c>
      <c r="AC850" s="8">
        <v>0</v>
      </c>
    </row>
    <row r="851" spans="1:29" ht="11.65" hidden="1" x14ac:dyDescent="0.35">
      <c r="A851" s="12">
        <v>834</v>
      </c>
      <c r="B851" s="10" t="s">
        <v>1015</v>
      </c>
      <c r="C851" s="11" t="s">
        <v>1084</v>
      </c>
      <c r="D851" s="9"/>
      <c r="E851" s="9">
        <v>678</v>
      </c>
      <c r="F851" s="10" t="s">
        <v>1066</v>
      </c>
      <c r="G851" s="9">
        <v>911</v>
      </c>
      <c r="H851" s="9">
        <v>1990</v>
      </c>
      <c r="I851" s="8">
        <v>10.106999999999999</v>
      </c>
      <c r="J851" s="8">
        <v>9.9169999999999998</v>
      </c>
      <c r="K851" s="8">
        <v>8.68</v>
      </c>
      <c r="L851" s="8">
        <v>6.0259999999999998</v>
      </c>
      <c r="M851" s="8">
        <v>5.0919999999999996</v>
      </c>
      <c r="N851" s="8">
        <v>4.2380000000000004</v>
      </c>
      <c r="O851" s="8">
        <v>3.1429999999999998</v>
      </c>
      <c r="P851" s="8">
        <v>2.532</v>
      </c>
      <c r="Q851" s="8">
        <v>1.9179999999999999</v>
      </c>
      <c r="R851" s="8">
        <v>1.653</v>
      </c>
      <c r="S851" s="8">
        <v>1.774</v>
      </c>
      <c r="T851" s="8">
        <v>1.5069999999999999</v>
      </c>
      <c r="U851" s="8">
        <v>1.3149999999999999</v>
      </c>
      <c r="V851" s="8">
        <v>1.0129999999999999</v>
      </c>
      <c r="W851" s="8">
        <v>0.59099999999999997</v>
      </c>
      <c r="X851" s="8">
        <v>0.39600000000000002</v>
      </c>
      <c r="Y851" s="8">
        <v>0.27800000000000002</v>
      </c>
      <c r="Z851" s="8">
        <v>0.105</v>
      </c>
      <c r="AA851" s="8">
        <v>4.2000000000000003E-2</v>
      </c>
      <c r="AB851" s="8">
        <v>0</v>
      </c>
      <c r="AC851" s="8">
        <v>0</v>
      </c>
    </row>
    <row r="852" spans="1:29" ht="11.65" hidden="1" x14ac:dyDescent="0.35">
      <c r="A852" s="12">
        <v>835</v>
      </c>
      <c r="B852" s="10" t="s">
        <v>1015</v>
      </c>
      <c r="C852" s="11" t="s">
        <v>1084</v>
      </c>
      <c r="D852" s="9"/>
      <c r="E852" s="9">
        <v>678</v>
      </c>
      <c r="F852" s="10" t="s">
        <v>1066</v>
      </c>
      <c r="G852" s="9">
        <v>911</v>
      </c>
      <c r="H852" s="9">
        <v>1995</v>
      </c>
      <c r="I852" s="8">
        <v>11.074999999999999</v>
      </c>
      <c r="J852" s="8">
        <v>9.7880000000000003</v>
      </c>
      <c r="K852" s="8">
        <v>9.5630000000000006</v>
      </c>
      <c r="L852" s="8">
        <v>8.2070000000000007</v>
      </c>
      <c r="M852" s="8">
        <v>5.444</v>
      </c>
      <c r="N852" s="8">
        <v>4.5469999999999997</v>
      </c>
      <c r="O852" s="8">
        <v>3.82</v>
      </c>
      <c r="P852" s="8">
        <v>2.8460000000000001</v>
      </c>
      <c r="Q852" s="8">
        <v>2.3149999999999999</v>
      </c>
      <c r="R852" s="8">
        <v>1.7569999999999999</v>
      </c>
      <c r="S852" s="8">
        <v>1.5189999999999999</v>
      </c>
      <c r="T852" s="8">
        <v>1.6279999999999999</v>
      </c>
      <c r="U852" s="8">
        <v>1.347</v>
      </c>
      <c r="V852" s="8">
        <v>1.1180000000000001</v>
      </c>
      <c r="W852" s="8">
        <v>0.78900000000000003</v>
      </c>
      <c r="X852" s="8">
        <v>0.39500000000000002</v>
      </c>
      <c r="Y852" s="8">
        <v>0.21299999999999999</v>
      </c>
      <c r="Z852" s="8">
        <v>0.112</v>
      </c>
      <c r="AA852" s="8">
        <v>2.9000000000000001E-2</v>
      </c>
      <c r="AB852" s="8">
        <v>7.0000000000000001E-3</v>
      </c>
      <c r="AC852" s="8">
        <v>0</v>
      </c>
    </row>
    <row r="853" spans="1:29" ht="11.65" hidden="1" x14ac:dyDescent="0.35">
      <c r="A853" s="12">
        <v>836</v>
      </c>
      <c r="B853" s="10" t="s">
        <v>1015</v>
      </c>
      <c r="C853" s="11" t="s">
        <v>1084</v>
      </c>
      <c r="D853" s="9"/>
      <c r="E853" s="9">
        <v>678</v>
      </c>
      <c r="F853" s="10" t="s">
        <v>1066</v>
      </c>
      <c r="G853" s="9">
        <v>911</v>
      </c>
      <c r="H853" s="9">
        <v>2000</v>
      </c>
      <c r="I853" s="8">
        <v>11.422000000000001</v>
      </c>
      <c r="J853" s="8">
        <v>10.076000000000001</v>
      </c>
      <c r="K853" s="8">
        <v>9.8040000000000003</v>
      </c>
      <c r="L853" s="8">
        <v>8.7929999999999993</v>
      </c>
      <c r="M853" s="8">
        <v>7.6070000000000002</v>
      </c>
      <c r="N853" s="8">
        <v>4.74</v>
      </c>
      <c r="O853" s="8">
        <v>4.1470000000000002</v>
      </c>
      <c r="P853" s="8">
        <v>3.5270000000000001</v>
      </c>
      <c r="Q853" s="8">
        <v>2.8359999999999999</v>
      </c>
      <c r="R853" s="8">
        <v>2.093</v>
      </c>
      <c r="S853" s="8">
        <v>1.6160000000000001</v>
      </c>
      <c r="T853" s="8">
        <v>1.3029999999999999</v>
      </c>
      <c r="U853" s="8">
        <v>1.407</v>
      </c>
      <c r="V853" s="8">
        <v>0.96799999999999997</v>
      </c>
      <c r="W853" s="8">
        <v>0.77100000000000002</v>
      </c>
      <c r="X853" s="8">
        <v>0.48799999999999999</v>
      </c>
      <c r="Y853" s="8">
        <v>0.25700000000000001</v>
      </c>
      <c r="Z853" s="8">
        <v>8.6999999999999994E-2</v>
      </c>
      <c r="AA853" s="8">
        <v>3.2000000000000001E-2</v>
      </c>
      <c r="AB853" s="8">
        <v>5.0000000000000001E-3</v>
      </c>
      <c r="AC853" s="8">
        <v>1E-3</v>
      </c>
    </row>
    <row r="854" spans="1:29" ht="11.65" hidden="1" x14ac:dyDescent="0.35">
      <c r="A854" s="12">
        <v>837</v>
      </c>
      <c r="B854" s="10" t="s">
        <v>1015</v>
      </c>
      <c r="C854" s="11" t="s">
        <v>1084</v>
      </c>
      <c r="D854" s="9"/>
      <c r="E854" s="9">
        <v>678</v>
      </c>
      <c r="F854" s="10" t="s">
        <v>1066</v>
      </c>
      <c r="G854" s="9">
        <v>911</v>
      </c>
      <c r="H854" s="9">
        <v>2005</v>
      </c>
      <c r="I854" s="8">
        <v>13.537000000000001</v>
      </c>
      <c r="J854" s="8">
        <v>11.16</v>
      </c>
      <c r="K854" s="8">
        <v>9.6329999999999991</v>
      </c>
      <c r="L854" s="8">
        <v>9.157</v>
      </c>
      <c r="M854" s="8">
        <v>7.9610000000000003</v>
      </c>
      <c r="N854" s="8">
        <v>6.827</v>
      </c>
      <c r="O854" s="8">
        <v>4.1689999999999996</v>
      </c>
      <c r="P854" s="8">
        <v>3.7389999999999999</v>
      </c>
      <c r="Q854" s="8">
        <v>3.234</v>
      </c>
      <c r="R854" s="8">
        <v>2.6219999999999999</v>
      </c>
      <c r="S854" s="8">
        <v>1.925</v>
      </c>
      <c r="T854" s="8">
        <v>1.476</v>
      </c>
      <c r="U854" s="8">
        <v>1.165</v>
      </c>
      <c r="V854" s="8">
        <v>1.214</v>
      </c>
      <c r="W854" s="8">
        <v>0.76800000000000002</v>
      </c>
      <c r="X854" s="8">
        <v>0.53400000000000003</v>
      </c>
      <c r="Y854" s="8">
        <v>0.27300000000000002</v>
      </c>
      <c r="Z854" s="8">
        <v>0.109</v>
      </c>
      <c r="AA854" s="8">
        <v>2.5000000000000001E-2</v>
      </c>
      <c r="AB854" s="8">
        <v>5.0000000000000001E-3</v>
      </c>
      <c r="AC854" s="8">
        <v>1E-3</v>
      </c>
    </row>
    <row r="855" spans="1:29" ht="11.65" hidden="1" x14ac:dyDescent="0.35">
      <c r="A855" s="12">
        <v>838</v>
      </c>
      <c r="B855" s="10" t="s">
        <v>1015</v>
      </c>
      <c r="C855" s="11" t="s">
        <v>1084</v>
      </c>
      <c r="D855" s="9"/>
      <c r="E855" s="9">
        <v>678</v>
      </c>
      <c r="F855" s="10" t="s">
        <v>1066</v>
      </c>
      <c r="G855" s="9">
        <v>911</v>
      </c>
      <c r="H855" s="9">
        <v>2010</v>
      </c>
      <c r="I855" s="8">
        <v>14.723000000000001</v>
      </c>
      <c r="J855" s="8">
        <v>13.313000000000001</v>
      </c>
      <c r="K855" s="8">
        <v>10.731999999999999</v>
      </c>
      <c r="L855" s="8">
        <v>9.0039999999999996</v>
      </c>
      <c r="M855" s="8">
        <v>8.343</v>
      </c>
      <c r="N855" s="8">
        <v>7.2</v>
      </c>
      <c r="O855" s="8">
        <v>6.2519999999999998</v>
      </c>
      <c r="P855" s="8">
        <v>4.3650000000000002</v>
      </c>
      <c r="Q855" s="8">
        <v>4.1500000000000004</v>
      </c>
      <c r="R855" s="8">
        <v>3.2309999999999999</v>
      </c>
      <c r="S855" s="8">
        <v>2.6269999999999998</v>
      </c>
      <c r="T855" s="8">
        <v>1.8360000000000001</v>
      </c>
      <c r="U855" s="8">
        <v>1.2589999999999999</v>
      </c>
      <c r="V855" s="8">
        <v>0.96299999999999997</v>
      </c>
      <c r="W855" s="8">
        <v>0.99299999999999999</v>
      </c>
      <c r="X855" s="8">
        <v>0.61599999999999999</v>
      </c>
      <c r="Y855" s="8">
        <v>0.44800000000000001</v>
      </c>
      <c r="Z855" s="8">
        <v>0.121</v>
      </c>
      <c r="AA855" s="8">
        <v>3.3000000000000002E-2</v>
      </c>
      <c r="AB855" s="8">
        <v>5.0000000000000001E-3</v>
      </c>
      <c r="AC855" s="8">
        <v>1E-3</v>
      </c>
    </row>
    <row r="856" spans="1:29" ht="11.65" hidden="1" x14ac:dyDescent="0.35">
      <c r="A856" s="12">
        <v>839</v>
      </c>
      <c r="B856" s="10" t="s">
        <v>1015</v>
      </c>
      <c r="C856" s="11" t="s">
        <v>1084</v>
      </c>
      <c r="D856" s="9"/>
      <c r="E856" s="9">
        <v>678</v>
      </c>
      <c r="F856" s="10" t="s">
        <v>1066</v>
      </c>
      <c r="G856" s="9">
        <v>911</v>
      </c>
      <c r="H856" s="9">
        <v>2015</v>
      </c>
      <c r="I856" s="8">
        <v>15.347</v>
      </c>
      <c r="J856" s="8">
        <v>14.535</v>
      </c>
      <c r="K856" s="8">
        <v>12.893000000000001</v>
      </c>
      <c r="L856" s="8">
        <v>10.11</v>
      </c>
      <c r="M856" s="8">
        <v>8.2070000000000007</v>
      </c>
      <c r="N856" s="8">
        <v>7.593</v>
      </c>
      <c r="O856" s="8">
        <v>6.6360000000000001</v>
      </c>
      <c r="P856" s="8">
        <v>5.851</v>
      </c>
      <c r="Q856" s="8">
        <v>4.0869999999999997</v>
      </c>
      <c r="R856" s="8">
        <v>3.9329999999999998</v>
      </c>
      <c r="S856" s="8">
        <v>3.052</v>
      </c>
      <c r="T856" s="8">
        <v>2.464</v>
      </c>
      <c r="U856" s="8">
        <v>1.6879999999999999</v>
      </c>
      <c r="V856" s="8">
        <v>1.1140000000000001</v>
      </c>
      <c r="W856" s="8">
        <v>0.79800000000000004</v>
      </c>
      <c r="X856" s="8">
        <v>0.73199999999999998</v>
      </c>
      <c r="Y856" s="8">
        <v>0.374</v>
      </c>
      <c r="Z856" s="8">
        <v>0.20699999999999999</v>
      </c>
      <c r="AA856" s="8">
        <v>3.7999999999999999E-2</v>
      </c>
      <c r="AB856" s="8">
        <v>7.0000000000000001E-3</v>
      </c>
      <c r="AC856" s="8">
        <v>1E-3</v>
      </c>
    </row>
    <row r="857" spans="1:29" ht="11.65" hidden="1" x14ac:dyDescent="0.35">
      <c r="A857" s="12">
        <v>840</v>
      </c>
      <c r="B857" s="10" t="s">
        <v>1015</v>
      </c>
      <c r="C857" s="11" t="s">
        <v>1084</v>
      </c>
      <c r="D857" s="9"/>
      <c r="E857" s="9">
        <v>678</v>
      </c>
      <c r="F857" s="10" t="s">
        <v>1066</v>
      </c>
      <c r="G857" s="9">
        <v>911</v>
      </c>
      <c r="H857" s="9">
        <v>2020</v>
      </c>
      <c r="I857" s="8">
        <v>15.69</v>
      </c>
      <c r="J857" s="8">
        <v>15.164999999999999</v>
      </c>
      <c r="K857" s="8">
        <v>14.409000000000001</v>
      </c>
      <c r="L857" s="8">
        <v>12.372</v>
      </c>
      <c r="M857" s="8">
        <v>9.2270000000000003</v>
      </c>
      <c r="N857" s="8">
        <v>7.3849999999999998</v>
      </c>
      <c r="O857" s="8">
        <v>6.9809999999999999</v>
      </c>
      <c r="P857" s="8">
        <v>6.2050000000000001</v>
      </c>
      <c r="Q857" s="8">
        <v>5.5380000000000003</v>
      </c>
      <c r="R857" s="8">
        <v>3.8620000000000001</v>
      </c>
      <c r="S857" s="8">
        <v>3.7360000000000002</v>
      </c>
      <c r="T857" s="8">
        <v>2.8780000000000001</v>
      </c>
      <c r="U857" s="8">
        <v>2.286</v>
      </c>
      <c r="V857" s="8">
        <v>1.5109999999999999</v>
      </c>
      <c r="W857" s="8">
        <v>0.93600000000000005</v>
      </c>
      <c r="X857" s="8">
        <v>0.59699999999999998</v>
      </c>
      <c r="Y857" s="8">
        <v>0.45600000000000002</v>
      </c>
      <c r="Z857" s="8">
        <v>0.17699999999999999</v>
      </c>
      <c r="AA857" s="8">
        <v>6.7000000000000004E-2</v>
      </c>
      <c r="AB857" s="8">
        <v>7.0000000000000001E-3</v>
      </c>
      <c r="AC857" s="8">
        <v>1E-3</v>
      </c>
    </row>
    <row r="858" spans="1:29" ht="11.65" hidden="1" x14ac:dyDescent="0.35">
      <c r="A858" s="23">
        <v>841</v>
      </c>
      <c r="B858" s="21" t="s">
        <v>1015</v>
      </c>
      <c r="C858" s="29" t="s">
        <v>1085</v>
      </c>
      <c r="D858" s="20"/>
      <c r="E858" s="20">
        <v>913</v>
      </c>
      <c r="F858" s="21" t="s">
        <v>1065</v>
      </c>
      <c r="G858" s="20">
        <v>947</v>
      </c>
      <c r="H858" s="20">
        <v>1950</v>
      </c>
      <c r="I858" s="19">
        <v>1165.377</v>
      </c>
      <c r="J858" s="19">
        <v>976.65300000000002</v>
      </c>
      <c r="K858" s="19">
        <v>852.95699999999999</v>
      </c>
      <c r="L858" s="19">
        <v>747.95500000000004</v>
      </c>
      <c r="M858" s="19">
        <v>665.31399999999996</v>
      </c>
      <c r="N858" s="19">
        <v>585.46600000000001</v>
      </c>
      <c r="O858" s="19">
        <v>534.26</v>
      </c>
      <c r="P858" s="19">
        <v>448.45600000000002</v>
      </c>
      <c r="Q858" s="19">
        <v>396.79199999999997</v>
      </c>
      <c r="R858" s="19">
        <v>316.97399999999999</v>
      </c>
      <c r="S858" s="19">
        <v>285.90100000000001</v>
      </c>
      <c r="T858" s="19">
        <v>232.018</v>
      </c>
      <c r="U858" s="19">
        <v>204.50299999999999</v>
      </c>
      <c r="V858" s="19">
        <v>148.25</v>
      </c>
      <c r="W858" s="19">
        <v>99.436000000000007</v>
      </c>
      <c r="X858" s="19">
        <v>48.439</v>
      </c>
      <c r="Y858" s="19">
        <v>32.454000000000001</v>
      </c>
      <c r="Z858" s="19">
        <v>16.940000000000001</v>
      </c>
      <c r="AA858" s="19">
        <v>4.3499999999999996</v>
      </c>
      <c r="AB858" s="19">
        <v>0.73199999999999998</v>
      </c>
      <c r="AC858" s="19">
        <v>7.6999999999999999E-2</v>
      </c>
    </row>
    <row r="859" spans="1:29" ht="11.65" hidden="1" x14ac:dyDescent="0.35">
      <c r="A859" s="23">
        <v>842</v>
      </c>
      <c r="B859" s="21" t="s">
        <v>1015</v>
      </c>
      <c r="C859" s="29" t="s">
        <v>1085</v>
      </c>
      <c r="D859" s="20"/>
      <c r="E859" s="20">
        <v>913</v>
      </c>
      <c r="F859" s="21" t="s">
        <v>1065</v>
      </c>
      <c r="G859" s="20">
        <v>947</v>
      </c>
      <c r="H859" s="20">
        <v>1955</v>
      </c>
      <c r="I859" s="19">
        <v>1433.3520000000001</v>
      </c>
      <c r="J859" s="19">
        <v>1073.106</v>
      </c>
      <c r="K859" s="19">
        <v>947.16399999999999</v>
      </c>
      <c r="L859" s="19">
        <v>833.06500000000005</v>
      </c>
      <c r="M859" s="19">
        <v>727.71400000000006</v>
      </c>
      <c r="N859" s="19">
        <v>643.90599999999995</v>
      </c>
      <c r="O859" s="19">
        <v>564.00099999999998</v>
      </c>
      <c r="P859" s="19">
        <v>512.43200000000002</v>
      </c>
      <c r="Q859" s="19">
        <v>427.69799999999998</v>
      </c>
      <c r="R859" s="19">
        <v>376.666</v>
      </c>
      <c r="S859" s="19">
        <v>298.19799999999998</v>
      </c>
      <c r="T859" s="19">
        <v>264.20999999999998</v>
      </c>
      <c r="U859" s="19">
        <v>207.63300000000001</v>
      </c>
      <c r="V859" s="19">
        <v>172.48500000000001</v>
      </c>
      <c r="W859" s="19">
        <v>113.276</v>
      </c>
      <c r="X859" s="19">
        <v>64.802000000000007</v>
      </c>
      <c r="Y859" s="19">
        <v>24.265999999999998</v>
      </c>
      <c r="Z859" s="19">
        <v>10.569000000000001</v>
      </c>
      <c r="AA859" s="19">
        <v>2.8570000000000002</v>
      </c>
      <c r="AB859" s="19">
        <v>0.33</v>
      </c>
      <c r="AC859" s="19">
        <v>3.7999999999999999E-2</v>
      </c>
    </row>
    <row r="860" spans="1:29" ht="11.65" hidden="1" x14ac:dyDescent="0.35">
      <c r="A860" s="23">
        <v>843</v>
      </c>
      <c r="B860" s="21" t="s">
        <v>1015</v>
      </c>
      <c r="C860" s="29" t="s">
        <v>1085</v>
      </c>
      <c r="D860" s="20"/>
      <c r="E860" s="20">
        <v>913</v>
      </c>
      <c r="F860" s="21" t="s">
        <v>1065</v>
      </c>
      <c r="G860" s="20">
        <v>947</v>
      </c>
      <c r="H860" s="20">
        <v>1960</v>
      </c>
      <c r="I860" s="19">
        <v>1615.759</v>
      </c>
      <c r="J860" s="19">
        <v>1337.4380000000001</v>
      </c>
      <c r="K860" s="19">
        <v>1044.518</v>
      </c>
      <c r="L860" s="19">
        <v>927.73199999999997</v>
      </c>
      <c r="M860" s="19">
        <v>812.75900000000001</v>
      </c>
      <c r="N860" s="19">
        <v>705.14400000000001</v>
      </c>
      <c r="O860" s="19">
        <v>620.62099999999998</v>
      </c>
      <c r="P860" s="19">
        <v>541.24</v>
      </c>
      <c r="Q860" s="19">
        <v>488.98700000000002</v>
      </c>
      <c r="R860" s="19">
        <v>406.37599999999998</v>
      </c>
      <c r="S860" s="19">
        <v>355.14100000000002</v>
      </c>
      <c r="T860" s="19">
        <v>276.26499999999999</v>
      </c>
      <c r="U860" s="19">
        <v>237.33199999999999</v>
      </c>
      <c r="V860" s="19">
        <v>176.066</v>
      </c>
      <c r="W860" s="19">
        <v>132.66399999999999</v>
      </c>
      <c r="X860" s="19">
        <v>74.323999999999998</v>
      </c>
      <c r="Y860" s="19">
        <v>32.569000000000003</v>
      </c>
      <c r="Z860" s="19">
        <v>7.83</v>
      </c>
      <c r="AA860" s="19">
        <v>1.7070000000000001</v>
      </c>
      <c r="AB860" s="19">
        <v>0.19800000000000001</v>
      </c>
      <c r="AC860" s="19">
        <v>1.6E-2</v>
      </c>
    </row>
    <row r="861" spans="1:29" ht="11.65" hidden="1" x14ac:dyDescent="0.35">
      <c r="A861" s="23">
        <v>844</v>
      </c>
      <c r="B861" s="21" t="s">
        <v>1015</v>
      </c>
      <c r="C861" s="29" t="s">
        <v>1085</v>
      </c>
      <c r="D861" s="20"/>
      <c r="E861" s="20">
        <v>913</v>
      </c>
      <c r="F861" s="21" t="s">
        <v>1065</v>
      </c>
      <c r="G861" s="20">
        <v>947</v>
      </c>
      <c r="H861" s="20">
        <v>1965</v>
      </c>
      <c r="I861" s="19">
        <v>1811.9349999999999</v>
      </c>
      <c r="J861" s="19">
        <v>1522.4549999999999</v>
      </c>
      <c r="K861" s="19">
        <v>1307.556</v>
      </c>
      <c r="L861" s="19">
        <v>1026.704</v>
      </c>
      <c r="M861" s="19">
        <v>912.29499999999996</v>
      </c>
      <c r="N861" s="19">
        <v>797.55700000000002</v>
      </c>
      <c r="O861" s="19">
        <v>688.66499999999996</v>
      </c>
      <c r="P861" s="19">
        <v>602.81700000000001</v>
      </c>
      <c r="Q861" s="19">
        <v>521.51</v>
      </c>
      <c r="R861" s="19">
        <v>468.14</v>
      </c>
      <c r="S861" s="19">
        <v>385.55599999999998</v>
      </c>
      <c r="T861" s="19">
        <v>330.964</v>
      </c>
      <c r="U861" s="19">
        <v>249.68299999999999</v>
      </c>
      <c r="V861" s="19">
        <v>202.64699999999999</v>
      </c>
      <c r="W861" s="19">
        <v>136.49799999999999</v>
      </c>
      <c r="X861" s="19">
        <v>87.787999999999997</v>
      </c>
      <c r="Y861" s="19">
        <v>37.667999999999999</v>
      </c>
      <c r="Z861" s="19">
        <v>10.512</v>
      </c>
      <c r="AA861" s="19">
        <v>1.242</v>
      </c>
      <c r="AB861" s="19">
        <v>0.111</v>
      </c>
      <c r="AC861" s="19">
        <v>8.9999999999999993E-3</v>
      </c>
    </row>
    <row r="862" spans="1:29" ht="11.65" hidden="1" x14ac:dyDescent="0.35">
      <c r="A862" s="23">
        <v>845</v>
      </c>
      <c r="B862" s="21" t="s">
        <v>1015</v>
      </c>
      <c r="C862" s="29" t="s">
        <v>1085</v>
      </c>
      <c r="D862" s="20"/>
      <c r="E862" s="20">
        <v>913</v>
      </c>
      <c r="F862" s="21" t="s">
        <v>1065</v>
      </c>
      <c r="G862" s="20">
        <v>947</v>
      </c>
      <c r="H862" s="20">
        <v>1970</v>
      </c>
      <c r="I862" s="19">
        <v>2021.162</v>
      </c>
      <c r="J862" s="19">
        <v>1723.15</v>
      </c>
      <c r="K862" s="19">
        <v>1494.1189999999999</v>
      </c>
      <c r="L862" s="19">
        <v>1288.655</v>
      </c>
      <c r="M862" s="19">
        <v>1015.1849999999999</v>
      </c>
      <c r="N862" s="19">
        <v>902.601</v>
      </c>
      <c r="O862" s="19">
        <v>784.02099999999996</v>
      </c>
      <c r="P862" s="19">
        <v>674.14300000000003</v>
      </c>
      <c r="Q862" s="19">
        <v>586.01199999999994</v>
      </c>
      <c r="R862" s="19">
        <v>502.28300000000002</v>
      </c>
      <c r="S862" s="19">
        <v>445.899</v>
      </c>
      <c r="T862" s="19">
        <v>360.92599999999999</v>
      </c>
      <c r="U862" s="19">
        <v>300.69900000000001</v>
      </c>
      <c r="V862" s="19">
        <v>214.61500000000001</v>
      </c>
      <c r="W862" s="19">
        <v>158.297</v>
      </c>
      <c r="X862" s="19">
        <v>91.135999999999996</v>
      </c>
      <c r="Y862" s="19">
        <v>44.83</v>
      </c>
      <c r="Z862" s="19">
        <v>12.177</v>
      </c>
      <c r="AA862" s="19">
        <v>1.639</v>
      </c>
      <c r="AB862" s="19">
        <v>7.4999999999999997E-2</v>
      </c>
      <c r="AC862" s="19">
        <v>5.0000000000000001E-3</v>
      </c>
    </row>
    <row r="863" spans="1:29" ht="11.65" hidden="1" x14ac:dyDescent="0.35">
      <c r="A863" s="23">
        <v>846</v>
      </c>
      <c r="B863" s="21" t="s">
        <v>1015</v>
      </c>
      <c r="C863" s="29" t="s">
        <v>1085</v>
      </c>
      <c r="D863" s="20"/>
      <c r="E863" s="20">
        <v>913</v>
      </c>
      <c r="F863" s="21" t="s">
        <v>1065</v>
      </c>
      <c r="G863" s="20">
        <v>947</v>
      </c>
      <c r="H863" s="20">
        <v>1975</v>
      </c>
      <c r="I863" s="19">
        <v>2295.7460000000001</v>
      </c>
      <c r="J863" s="19">
        <v>1946.7950000000001</v>
      </c>
      <c r="K863" s="19">
        <v>1700.6010000000001</v>
      </c>
      <c r="L863" s="19">
        <v>1478.6510000000001</v>
      </c>
      <c r="M863" s="19">
        <v>1274.5509999999999</v>
      </c>
      <c r="N863" s="19">
        <v>1004.373</v>
      </c>
      <c r="O863" s="19">
        <v>891.10199999999998</v>
      </c>
      <c r="P863" s="19">
        <v>769.94500000000005</v>
      </c>
      <c r="Q863" s="19">
        <v>656.54399999999998</v>
      </c>
      <c r="R863" s="19">
        <v>566.38300000000004</v>
      </c>
      <c r="S863" s="19">
        <v>480.73399999999998</v>
      </c>
      <c r="T863" s="19">
        <v>419.20800000000003</v>
      </c>
      <c r="U863" s="19">
        <v>329.53</v>
      </c>
      <c r="V863" s="19">
        <v>260.49099999999999</v>
      </c>
      <c r="W863" s="19">
        <v>169.43</v>
      </c>
      <c r="X863" s="19">
        <v>106.837</v>
      </c>
      <c r="Y863" s="19">
        <v>47.045000000000002</v>
      </c>
      <c r="Z863" s="19">
        <v>14.54</v>
      </c>
      <c r="AA863" s="19">
        <v>1.8620000000000001</v>
      </c>
      <c r="AB863" s="19">
        <v>9.4E-2</v>
      </c>
      <c r="AC863" s="19">
        <v>3.0000000000000001E-3</v>
      </c>
    </row>
    <row r="864" spans="1:29" ht="11.65" hidden="1" x14ac:dyDescent="0.35">
      <c r="A864" s="23">
        <v>847</v>
      </c>
      <c r="B864" s="21" t="s">
        <v>1015</v>
      </c>
      <c r="C864" s="29" t="s">
        <v>1085</v>
      </c>
      <c r="D864" s="20"/>
      <c r="E864" s="20">
        <v>913</v>
      </c>
      <c r="F864" s="21" t="s">
        <v>1065</v>
      </c>
      <c r="G864" s="20">
        <v>947</v>
      </c>
      <c r="H864" s="20">
        <v>1980</v>
      </c>
      <c r="I864" s="19">
        <v>2553.598</v>
      </c>
      <c r="J864" s="19">
        <v>2234.7150000000001</v>
      </c>
      <c r="K864" s="19">
        <v>1927.376</v>
      </c>
      <c r="L864" s="19">
        <v>1684.6969999999999</v>
      </c>
      <c r="M864" s="19">
        <v>1458.51</v>
      </c>
      <c r="N864" s="19">
        <v>1251.057</v>
      </c>
      <c r="O864" s="19">
        <v>983.65800000000002</v>
      </c>
      <c r="P864" s="19">
        <v>869.05100000000004</v>
      </c>
      <c r="Q864" s="19">
        <v>744.12599999999998</v>
      </c>
      <c r="R864" s="19">
        <v>630.79700000000003</v>
      </c>
      <c r="S864" s="19">
        <v>540.84299999999996</v>
      </c>
      <c r="T864" s="19">
        <v>452.16</v>
      </c>
      <c r="U864" s="19">
        <v>383.738</v>
      </c>
      <c r="V864" s="19">
        <v>287.52499999999998</v>
      </c>
      <c r="W864" s="19">
        <v>207.49199999999999</v>
      </c>
      <c r="X864" s="19">
        <v>115.529</v>
      </c>
      <c r="Y864" s="19">
        <v>55.756999999999998</v>
      </c>
      <c r="Z864" s="19">
        <v>15.345000000000001</v>
      </c>
      <c r="AA864" s="19">
        <v>2.1760000000000002</v>
      </c>
      <c r="AB864" s="19">
        <v>9.9000000000000005E-2</v>
      </c>
      <c r="AC864" s="19">
        <v>3.0000000000000001E-3</v>
      </c>
    </row>
    <row r="865" spans="1:29" ht="11.65" hidden="1" x14ac:dyDescent="0.35">
      <c r="A865" s="23">
        <v>848</v>
      </c>
      <c r="B865" s="21" t="s">
        <v>1015</v>
      </c>
      <c r="C865" s="29" t="s">
        <v>1085</v>
      </c>
      <c r="D865" s="20"/>
      <c r="E865" s="20">
        <v>913</v>
      </c>
      <c r="F865" s="21" t="s">
        <v>1065</v>
      </c>
      <c r="G865" s="20">
        <v>947</v>
      </c>
      <c r="H865" s="20">
        <v>1985</v>
      </c>
      <c r="I865" s="19">
        <v>2948.3870000000002</v>
      </c>
      <c r="J865" s="19">
        <v>2503.0909999999999</v>
      </c>
      <c r="K865" s="19">
        <v>2214.0700000000002</v>
      </c>
      <c r="L865" s="19">
        <v>1912.672</v>
      </c>
      <c r="M865" s="19">
        <v>1669.059</v>
      </c>
      <c r="N865" s="19">
        <v>1441.0250000000001</v>
      </c>
      <c r="O865" s="19">
        <v>1232.011</v>
      </c>
      <c r="P865" s="19">
        <v>964.18399999999997</v>
      </c>
      <c r="Q865" s="19">
        <v>845.58</v>
      </c>
      <c r="R865" s="19">
        <v>719.97900000000004</v>
      </c>
      <c r="S865" s="19">
        <v>605.30700000000002</v>
      </c>
      <c r="T865" s="19">
        <v>510.87</v>
      </c>
      <c r="U865" s="19">
        <v>416.03300000000002</v>
      </c>
      <c r="V865" s="19">
        <v>336.387</v>
      </c>
      <c r="W865" s="19">
        <v>230.94499999999999</v>
      </c>
      <c r="X865" s="19">
        <v>143.386</v>
      </c>
      <c r="Y865" s="19">
        <v>61.250999999999998</v>
      </c>
      <c r="Z865" s="19">
        <v>18.411999999999999</v>
      </c>
      <c r="AA865" s="19">
        <v>2.286</v>
      </c>
      <c r="AB865" s="19">
        <v>0.111</v>
      </c>
      <c r="AC865" s="19">
        <v>3.0000000000000001E-3</v>
      </c>
    </row>
    <row r="866" spans="1:29" ht="11.65" hidden="1" x14ac:dyDescent="0.35">
      <c r="A866" s="23">
        <v>849</v>
      </c>
      <c r="B866" s="21" t="s">
        <v>1015</v>
      </c>
      <c r="C866" s="29" t="s">
        <v>1085</v>
      </c>
      <c r="D866" s="20"/>
      <c r="E866" s="20">
        <v>913</v>
      </c>
      <c r="F866" s="21" t="s">
        <v>1065</v>
      </c>
      <c r="G866" s="20">
        <v>947</v>
      </c>
      <c r="H866" s="20">
        <v>1990</v>
      </c>
      <c r="I866" s="19">
        <v>3119.3850000000002</v>
      </c>
      <c r="J866" s="19">
        <v>2901.038</v>
      </c>
      <c r="K866" s="19">
        <v>2483.5990000000002</v>
      </c>
      <c r="L866" s="19">
        <v>2200.9479999999999</v>
      </c>
      <c r="M866" s="19">
        <v>1894.1020000000001</v>
      </c>
      <c r="N866" s="19">
        <v>1642.2940000000001</v>
      </c>
      <c r="O866" s="19">
        <v>1413.239</v>
      </c>
      <c r="P866" s="19">
        <v>1205.249</v>
      </c>
      <c r="Q866" s="19">
        <v>938.91399999999999</v>
      </c>
      <c r="R866" s="19">
        <v>821.476</v>
      </c>
      <c r="S866" s="19">
        <v>696.51800000000003</v>
      </c>
      <c r="T866" s="19">
        <v>577.572</v>
      </c>
      <c r="U866" s="19">
        <v>476.37099999999998</v>
      </c>
      <c r="V866" s="19">
        <v>372.22699999999998</v>
      </c>
      <c r="W866" s="19">
        <v>276.87200000000001</v>
      </c>
      <c r="X866" s="19">
        <v>164.39099999999999</v>
      </c>
      <c r="Y866" s="19">
        <v>79.393000000000001</v>
      </c>
      <c r="Z866" s="19">
        <v>21.507999999999999</v>
      </c>
      <c r="AA866" s="19">
        <v>2.9510000000000001</v>
      </c>
      <c r="AB866" s="19">
        <v>0.122</v>
      </c>
      <c r="AC866" s="19">
        <v>4.0000000000000001E-3</v>
      </c>
    </row>
    <row r="867" spans="1:29" ht="11.65" hidden="1" x14ac:dyDescent="0.35">
      <c r="A867" s="23">
        <v>850</v>
      </c>
      <c r="B867" s="21" t="s">
        <v>1015</v>
      </c>
      <c r="C867" s="29" t="s">
        <v>1085</v>
      </c>
      <c r="D867" s="20"/>
      <c r="E867" s="20">
        <v>913</v>
      </c>
      <c r="F867" s="21" t="s">
        <v>1065</v>
      </c>
      <c r="G867" s="20">
        <v>947</v>
      </c>
      <c r="H867" s="20">
        <v>1995</v>
      </c>
      <c r="I867" s="19">
        <v>2978.306</v>
      </c>
      <c r="J867" s="19">
        <v>3077.0859999999998</v>
      </c>
      <c r="K867" s="19">
        <v>2883.39</v>
      </c>
      <c r="L867" s="19">
        <v>2477.9050000000002</v>
      </c>
      <c r="M867" s="19">
        <v>2217.2130000000002</v>
      </c>
      <c r="N867" s="19">
        <v>1928.338</v>
      </c>
      <c r="O867" s="19">
        <v>1678.049</v>
      </c>
      <c r="P867" s="19">
        <v>1442.422</v>
      </c>
      <c r="Q867" s="19">
        <v>1220.3530000000001</v>
      </c>
      <c r="R867" s="19">
        <v>946.47400000000005</v>
      </c>
      <c r="S867" s="19">
        <v>823.58900000000006</v>
      </c>
      <c r="T867" s="19">
        <v>691.09799999999996</v>
      </c>
      <c r="U867" s="19">
        <v>566.40499999999997</v>
      </c>
      <c r="V867" s="19">
        <v>450.52499999999998</v>
      </c>
      <c r="W867" s="19">
        <v>323.88600000000002</v>
      </c>
      <c r="X867" s="19">
        <v>209.44300000000001</v>
      </c>
      <c r="Y867" s="19">
        <v>97.861999999999995</v>
      </c>
      <c r="Z867" s="19">
        <v>30.128</v>
      </c>
      <c r="AA867" s="19">
        <v>3.7610000000000001</v>
      </c>
      <c r="AB867" s="19">
        <v>0.182</v>
      </c>
      <c r="AC867" s="19">
        <v>4.0000000000000001E-3</v>
      </c>
    </row>
    <row r="868" spans="1:29" ht="11.65" hidden="1" x14ac:dyDescent="0.35">
      <c r="A868" s="23">
        <v>851</v>
      </c>
      <c r="B868" s="21" t="s">
        <v>1015</v>
      </c>
      <c r="C868" s="29" t="s">
        <v>1085</v>
      </c>
      <c r="D868" s="20"/>
      <c r="E868" s="20">
        <v>913</v>
      </c>
      <c r="F868" s="21" t="s">
        <v>1065</v>
      </c>
      <c r="G868" s="20">
        <v>947</v>
      </c>
      <c r="H868" s="20">
        <v>2000</v>
      </c>
      <c r="I868" s="19">
        <v>2852.4050000000002</v>
      </c>
      <c r="J868" s="19">
        <v>2941.4229999999998</v>
      </c>
      <c r="K868" s="19">
        <v>3065.4989999999998</v>
      </c>
      <c r="L868" s="19">
        <v>2883.585</v>
      </c>
      <c r="M868" s="19">
        <v>2482.02</v>
      </c>
      <c r="N868" s="19">
        <v>2206.2330000000002</v>
      </c>
      <c r="O868" s="19">
        <v>1902.82</v>
      </c>
      <c r="P868" s="19">
        <v>1640.5260000000001</v>
      </c>
      <c r="Q868" s="19">
        <v>1395.5440000000001</v>
      </c>
      <c r="R868" s="19">
        <v>1174.6569999999999</v>
      </c>
      <c r="S868" s="19">
        <v>902.99300000000005</v>
      </c>
      <c r="T868" s="19">
        <v>775.96299999999997</v>
      </c>
      <c r="U868" s="19">
        <v>642.43299999999999</v>
      </c>
      <c r="V868" s="19">
        <v>508.84199999999998</v>
      </c>
      <c r="W868" s="19">
        <v>377.03100000000001</v>
      </c>
      <c r="X868" s="19">
        <v>238.197</v>
      </c>
      <c r="Y868" s="19">
        <v>121.045</v>
      </c>
      <c r="Z868" s="19">
        <v>35.051000000000002</v>
      </c>
      <c r="AA868" s="19">
        <v>4.8559999999999999</v>
      </c>
      <c r="AB868" s="19">
        <v>0.23200000000000001</v>
      </c>
      <c r="AC868" s="19">
        <v>7.0000000000000001E-3</v>
      </c>
    </row>
    <row r="869" spans="1:29" ht="11.65" hidden="1" x14ac:dyDescent="0.35">
      <c r="A869" s="23">
        <v>852</v>
      </c>
      <c r="B869" s="21" t="s">
        <v>1015</v>
      </c>
      <c r="C869" s="29" t="s">
        <v>1085</v>
      </c>
      <c r="D869" s="20"/>
      <c r="E869" s="20">
        <v>913</v>
      </c>
      <c r="F869" s="21" t="s">
        <v>1065</v>
      </c>
      <c r="G869" s="20">
        <v>947</v>
      </c>
      <c r="H869" s="20">
        <v>2005</v>
      </c>
      <c r="I869" s="19">
        <v>2884.886</v>
      </c>
      <c r="J869" s="19">
        <v>2798.6460000000002</v>
      </c>
      <c r="K869" s="19">
        <v>2931.5949999999998</v>
      </c>
      <c r="L869" s="19">
        <v>3055.4679999999998</v>
      </c>
      <c r="M869" s="19">
        <v>2849.8159999999998</v>
      </c>
      <c r="N869" s="19">
        <v>2435.375</v>
      </c>
      <c r="O869" s="19">
        <v>2135.7469999999998</v>
      </c>
      <c r="P869" s="19">
        <v>1787.4</v>
      </c>
      <c r="Q869" s="19">
        <v>1514.2909999999999</v>
      </c>
      <c r="R869" s="19">
        <v>1297.8399999999999</v>
      </c>
      <c r="S869" s="19">
        <v>1094.989</v>
      </c>
      <c r="T869" s="19">
        <v>837.24300000000005</v>
      </c>
      <c r="U869" s="19">
        <v>705.21</v>
      </c>
      <c r="V869" s="19">
        <v>562.17100000000005</v>
      </c>
      <c r="W869" s="19">
        <v>417.87099999999998</v>
      </c>
      <c r="X869" s="19">
        <v>274.05599999999998</v>
      </c>
      <c r="Y869" s="19">
        <v>138.81399999999999</v>
      </c>
      <c r="Z869" s="19">
        <v>45.456000000000003</v>
      </c>
      <c r="AA869" s="19">
        <v>6.5750000000000002</v>
      </c>
      <c r="AB869" s="19">
        <v>0.44500000000000001</v>
      </c>
      <c r="AC869" s="19">
        <v>1.6E-2</v>
      </c>
    </row>
    <row r="870" spans="1:29" ht="11.65" hidden="1" x14ac:dyDescent="0.35">
      <c r="A870" s="23">
        <v>853</v>
      </c>
      <c r="B870" s="21" t="s">
        <v>1015</v>
      </c>
      <c r="C870" s="29" t="s">
        <v>1085</v>
      </c>
      <c r="D870" s="20"/>
      <c r="E870" s="20">
        <v>913</v>
      </c>
      <c r="F870" s="21" t="s">
        <v>1065</v>
      </c>
      <c r="G870" s="20">
        <v>947</v>
      </c>
      <c r="H870" s="20">
        <v>2010</v>
      </c>
      <c r="I870" s="19">
        <v>3195.0639999999999</v>
      </c>
      <c r="J870" s="19">
        <v>2841.4789999999998</v>
      </c>
      <c r="K870" s="19">
        <v>2791.8530000000001</v>
      </c>
      <c r="L870" s="19">
        <v>2929.759</v>
      </c>
      <c r="M870" s="19">
        <v>3047.2139999999999</v>
      </c>
      <c r="N870" s="19">
        <v>2810.0889999999999</v>
      </c>
      <c r="O870" s="19">
        <v>2335.9969999999998</v>
      </c>
      <c r="P870" s="19">
        <v>1992.1869999999999</v>
      </c>
      <c r="Q870" s="19">
        <v>1658.3710000000001</v>
      </c>
      <c r="R870" s="19">
        <v>1417.5889999999999</v>
      </c>
      <c r="S870" s="19">
        <v>1218.0250000000001</v>
      </c>
      <c r="T870" s="19">
        <v>1016.188</v>
      </c>
      <c r="U870" s="19">
        <v>760.76900000000001</v>
      </c>
      <c r="V870" s="19">
        <v>618.54499999999996</v>
      </c>
      <c r="W870" s="19">
        <v>464.97899999999998</v>
      </c>
      <c r="X870" s="19">
        <v>312.375</v>
      </c>
      <c r="Y870" s="19">
        <v>168.06700000000001</v>
      </c>
      <c r="Z870" s="19">
        <v>56.802999999999997</v>
      </c>
      <c r="AA870" s="19">
        <v>9.7669999999999995</v>
      </c>
      <c r="AB870" s="19">
        <v>0.74099999999999999</v>
      </c>
      <c r="AC870" s="19">
        <v>3.7999999999999999E-2</v>
      </c>
    </row>
    <row r="871" spans="1:29" ht="11.65" hidden="1" x14ac:dyDescent="0.35">
      <c r="A871" s="23">
        <v>854</v>
      </c>
      <c r="B871" s="21" t="s">
        <v>1015</v>
      </c>
      <c r="C871" s="29" t="s">
        <v>1085</v>
      </c>
      <c r="D871" s="20"/>
      <c r="E871" s="20">
        <v>913</v>
      </c>
      <c r="F871" s="21" t="s">
        <v>1065</v>
      </c>
      <c r="G871" s="20">
        <v>947</v>
      </c>
      <c r="H871" s="20">
        <v>2015</v>
      </c>
      <c r="I871" s="19">
        <v>3366.6120000000001</v>
      </c>
      <c r="J871" s="19">
        <v>3169.241</v>
      </c>
      <c r="K871" s="19">
        <v>2841.9659999999999</v>
      </c>
      <c r="L871" s="19">
        <v>2806.3809999999999</v>
      </c>
      <c r="M871" s="19">
        <v>2937.59</v>
      </c>
      <c r="N871" s="19">
        <v>3010.556</v>
      </c>
      <c r="O871" s="19">
        <v>2714.404</v>
      </c>
      <c r="P871" s="19">
        <v>2211.8429999999998</v>
      </c>
      <c r="Q871" s="19">
        <v>1903.2139999999999</v>
      </c>
      <c r="R871" s="19">
        <v>1610.9739999999999</v>
      </c>
      <c r="S871" s="19">
        <v>1379.09</v>
      </c>
      <c r="T871" s="19">
        <v>1177.579</v>
      </c>
      <c r="U871" s="19">
        <v>961.92700000000002</v>
      </c>
      <c r="V871" s="19">
        <v>698.226</v>
      </c>
      <c r="W871" s="19">
        <v>531.61400000000003</v>
      </c>
      <c r="X871" s="19">
        <v>357.83600000000001</v>
      </c>
      <c r="Y871" s="19">
        <v>197.18700000000001</v>
      </c>
      <c r="Z871" s="19">
        <v>72.018000000000001</v>
      </c>
      <c r="AA871" s="19">
        <v>12.863</v>
      </c>
      <c r="AB871" s="19">
        <v>1.0329999999999999</v>
      </c>
      <c r="AC871" s="19">
        <v>5.1999999999999998E-2</v>
      </c>
    </row>
    <row r="872" spans="1:29" ht="11.65" hidden="1" x14ac:dyDescent="0.35">
      <c r="A872" s="23">
        <v>855</v>
      </c>
      <c r="B872" s="21" t="s">
        <v>1015</v>
      </c>
      <c r="C872" s="29" t="s">
        <v>1085</v>
      </c>
      <c r="D872" s="20"/>
      <c r="E872" s="20">
        <v>913</v>
      </c>
      <c r="F872" s="21" t="s">
        <v>1065</v>
      </c>
      <c r="G872" s="20">
        <v>947</v>
      </c>
      <c r="H872" s="20">
        <v>2020</v>
      </c>
      <c r="I872" s="19">
        <v>3344.9650000000001</v>
      </c>
      <c r="J872" s="19">
        <v>3352.3429999999998</v>
      </c>
      <c r="K872" s="19">
        <v>3164.4409999999998</v>
      </c>
      <c r="L872" s="19">
        <v>2847.6680000000001</v>
      </c>
      <c r="M872" s="19">
        <v>2827.0880000000002</v>
      </c>
      <c r="N872" s="19">
        <v>2948.181</v>
      </c>
      <c r="O872" s="19">
        <v>2991.2249999999999</v>
      </c>
      <c r="P872" s="19">
        <v>2670.837</v>
      </c>
      <c r="Q872" s="19">
        <v>2155.1010000000001</v>
      </c>
      <c r="R872" s="19">
        <v>1838.5740000000001</v>
      </c>
      <c r="S872" s="19">
        <v>1542.4480000000001</v>
      </c>
      <c r="T872" s="19">
        <v>1307.4780000000001</v>
      </c>
      <c r="U872" s="19">
        <v>1098.4090000000001</v>
      </c>
      <c r="V872" s="19">
        <v>868.60900000000004</v>
      </c>
      <c r="W872" s="19">
        <v>594.61199999999997</v>
      </c>
      <c r="X872" s="19">
        <v>408.30399999999997</v>
      </c>
      <c r="Y872" s="19">
        <v>225.98</v>
      </c>
      <c r="Z872" s="19">
        <v>85.537000000000006</v>
      </c>
      <c r="AA872" s="19">
        <v>16.52</v>
      </c>
      <c r="AB872" s="19">
        <v>1.288</v>
      </c>
      <c r="AC872" s="19">
        <v>5.8999999999999997E-2</v>
      </c>
    </row>
    <row r="873" spans="1:29" ht="11.65" hidden="1" x14ac:dyDescent="0.35">
      <c r="A873" s="12">
        <v>856</v>
      </c>
      <c r="B873" s="10" t="s">
        <v>1015</v>
      </c>
      <c r="C873" s="11" t="s">
        <v>580</v>
      </c>
      <c r="D873" s="9"/>
      <c r="E873" s="9">
        <v>72</v>
      </c>
      <c r="F873" s="10" t="s">
        <v>1066</v>
      </c>
      <c r="G873" s="9">
        <v>913</v>
      </c>
      <c r="H873" s="9">
        <v>1950</v>
      </c>
      <c r="I873" s="8">
        <v>30.913</v>
      </c>
      <c r="J873" s="8">
        <v>27.277999999999999</v>
      </c>
      <c r="K873" s="8">
        <v>25.742000000000001</v>
      </c>
      <c r="L873" s="8">
        <v>22.556999999999999</v>
      </c>
      <c r="M873" s="8">
        <v>18.228999999999999</v>
      </c>
      <c r="N873" s="8">
        <v>16.934000000000001</v>
      </c>
      <c r="O873" s="8">
        <v>12.58</v>
      </c>
      <c r="P873" s="8">
        <v>9.2449999999999992</v>
      </c>
      <c r="Q873" s="8">
        <v>8.6080000000000005</v>
      </c>
      <c r="R873" s="8">
        <v>8.8680000000000003</v>
      </c>
      <c r="S873" s="8">
        <v>7.1070000000000002</v>
      </c>
      <c r="T873" s="8">
        <v>7.181</v>
      </c>
      <c r="U873" s="8">
        <v>6.4359999999999999</v>
      </c>
      <c r="V873" s="8">
        <v>4.8949999999999996</v>
      </c>
      <c r="W873" s="8">
        <v>3.4529999999999998</v>
      </c>
      <c r="X873" s="8">
        <v>1.744</v>
      </c>
      <c r="Y873" s="8">
        <v>0.73</v>
      </c>
      <c r="Z873" s="8">
        <v>0.26200000000000001</v>
      </c>
      <c r="AA873" s="8">
        <v>6.2E-2</v>
      </c>
      <c r="AB873" s="8">
        <v>8.9999999999999993E-3</v>
      </c>
      <c r="AC873" s="8">
        <v>1E-3</v>
      </c>
    </row>
    <row r="874" spans="1:29" ht="11.65" hidden="1" x14ac:dyDescent="0.35">
      <c r="A874" s="12">
        <v>857</v>
      </c>
      <c r="B874" s="10" t="s">
        <v>1015</v>
      </c>
      <c r="C874" s="11" t="s">
        <v>580</v>
      </c>
      <c r="D874" s="9"/>
      <c r="E874" s="9">
        <v>72</v>
      </c>
      <c r="F874" s="10" t="s">
        <v>1066</v>
      </c>
      <c r="G874" s="9">
        <v>913</v>
      </c>
      <c r="H874" s="9">
        <v>1955</v>
      </c>
      <c r="I874" s="8">
        <v>42.668999999999997</v>
      </c>
      <c r="J874" s="8">
        <v>27.867999999999999</v>
      </c>
      <c r="K874" s="8">
        <v>25.853000000000002</v>
      </c>
      <c r="L874" s="8">
        <v>24.922000000000001</v>
      </c>
      <c r="M874" s="8">
        <v>21.823</v>
      </c>
      <c r="N874" s="8">
        <v>17.257999999999999</v>
      </c>
      <c r="O874" s="8">
        <v>15.906000000000001</v>
      </c>
      <c r="P874" s="8">
        <v>11.772</v>
      </c>
      <c r="Q874" s="8">
        <v>8.5530000000000008</v>
      </c>
      <c r="R874" s="8">
        <v>8.0169999999999995</v>
      </c>
      <c r="S874" s="8">
        <v>8.3170000000000002</v>
      </c>
      <c r="T874" s="8">
        <v>6.5439999999999996</v>
      </c>
      <c r="U874" s="8">
        <v>6.399</v>
      </c>
      <c r="V874" s="8">
        <v>5.407</v>
      </c>
      <c r="W874" s="8">
        <v>3.7229999999999999</v>
      </c>
      <c r="X874" s="8">
        <v>2.2410000000000001</v>
      </c>
      <c r="Y874" s="8">
        <v>0.86799999999999999</v>
      </c>
      <c r="Z874" s="8">
        <v>0.23499999999999999</v>
      </c>
      <c r="AA874" s="8">
        <v>4.3999999999999997E-2</v>
      </c>
      <c r="AB874" s="8">
        <v>5.0000000000000001E-3</v>
      </c>
      <c r="AC874" s="8">
        <v>0</v>
      </c>
    </row>
    <row r="875" spans="1:29" ht="11.65" hidden="1" x14ac:dyDescent="0.35">
      <c r="A875" s="12">
        <v>858</v>
      </c>
      <c r="B875" s="10" t="s">
        <v>1015</v>
      </c>
      <c r="C875" s="11" t="s">
        <v>580</v>
      </c>
      <c r="D875" s="9"/>
      <c r="E875" s="9">
        <v>72</v>
      </c>
      <c r="F875" s="10" t="s">
        <v>1066</v>
      </c>
      <c r="G875" s="9">
        <v>913</v>
      </c>
      <c r="H875" s="9">
        <v>1960</v>
      </c>
      <c r="I875" s="8">
        <v>47.567</v>
      </c>
      <c r="J875" s="8">
        <v>37.197000000000003</v>
      </c>
      <c r="K875" s="8">
        <v>24.655999999999999</v>
      </c>
      <c r="L875" s="8">
        <v>24.417000000000002</v>
      </c>
      <c r="M875" s="8">
        <v>23.815999999999999</v>
      </c>
      <c r="N875" s="8">
        <v>19.625</v>
      </c>
      <c r="O875" s="8">
        <v>15.048999999999999</v>
      </c>
      <c r="P875" s="8">
        <v>14.16</v>
      </c>
      <c r="Q875" s="8">
        <v>10.236000000000001</v>
      </c>
      <c r="R875" s="8">
        <v>7.5750000000000002</v>
      </c>
      <c r="S875" s="8">
        <v>7.5410000000000004</v>
      </c>
      <c r="T875" s="8">
        <v>7.6829999999999998</v>
      </c>
      <c r="U875" s="8">
        <v>5.86</v>
      </c>
      <c r="V875" s="8">
        <v>5.4119999999999999</v>
      </c>
      <c r="W875" s="8">
        <v>4.1479999999999997</v>
      </c>
      <c r="X875" s="8">
        <v>2.4350000000000001</v>
      </c>
      <c r="Y875" s="8">
        <v>1.1200000000000001</v>
      </c>
      <c r="Z875" s="8">
        <v>0.27700000000000002</v>
      </c>
      <c r="AA875" s="8">
        <v>3.5999999999999997E-2</v>
      </c>
      <c r="AB875" s="8">
        <v>3.0000000000000001E-3</v>
      </c>
      <c r="AC875" s="8">
        <v>0</v>
      </c>
    </row>
    <row r="876" spans="1:29" ht="11.65" hidden="1" x14ac:dyDescent="0.35">
      <c r="A876" s="12">
        <v>859</v>
      </c>
      <c r="B876" s="10" t="s">
        <v>1015</v>
      </c>
      <c r="C876" s="11" t="s">
        <v>580</v>
      </c>
      <c r="D876" s="9"/>
      <c r="E876" s="9">
        <v>72</v>
      </c>
      <c r="F876" s="10" t="s">
        <v>1066</v>
      </c>
      <c r="G876" s="9">
        <v>913</v>
      </c>
      <c r="H876" s="9">
        <v>1965</v>
      </c>
      <c r="I876" s="8">
        <v>52.822000000000003</v>
      </c>
      <c r="J876" s="8">
        <v>43.095999999999997</v>
      </c>
      <c r="K876" s="8">
        <v>34.573999999999998</v>
      </c>
      <c r="L876" s="8">
        <v>23.553999999999998</v>
      </c>
      <c r="M876" s="8">
        <v>23.53</v>
      </c>
      <c r="N876" s="8">
        <v>22.021000000000001</v>
      </c>
      <c r="O876" s="8">
        <v>17.795999999999999</v>
      </c>
      <c r="P876" s="8">
        <v>13.659000000000001</v>
      </c>
      <c r="Q876" s="8">
        <v>12.804</v>
      </c>
      <c r="R876" s="8">
        <v>9.3279999999999994</v>
      </c>
      <c r="S876" s="8">
        <v>7.2389999999999999</v>
      </c>
      <c r="T876" s="8">
        <v>7.085</v>
      </c>
      <c r="U876" s="8">
        <v>6.9130000000000003</v>
      </c>
      <c r="V876" s="8">
        <v>4.9889999999999999</v>
      </c>
      <c r="W876" s="8">
        <v>4.1849999999999996</v>
      </c>
      <c r="X876" s="8">
        <v>2.7389999999999999</v>
      </c>
      <c r="Y876" s="8">
        <v>1.2270000000000001</v>
      </c>
      <c r="Z876" s="8">
        <v>0.35399999999999998</v>
      </c>
      <c r="AA876" s="8">
        <v>4.2000000000000003E-2</v>
      </c>
      <c r="AB876" s="8">
        <v>2E-3</v>
      </c>
      <c r="AC876" s="8">
        <v>0</v>
      </c>
    </row>
    <row r="877" spans="1:29" ht="11.65" hidden="1" x14ac:dyDescent="0.35">
      <c r="A877" s="12">
        <v>860</v>
      </c>
      <c r="B877" s="10" t="s">
        <v>1015</v>
      </c>
      <c r="C877" s="11" t="s">
        <v>580</v>
      </c>
      <c r="D877" s="9"/>
      <c r="E877" s="9">
        <v>72</v>
      </c>
      <c r="F877" s="10" t="s">
        <v>1066</v>
      </c>
      <c r="G877" s="9">
        <v>913</v>
      </c>
      <c r="H877" s="9">
        <v>1970</v>
      </c>
      <c r="I877" s="8">
        <v>59.305</v>
      </c>
      <c r="J877" s="8">
        <v>49.273000000000003</v>
      </c>
      <c r="K877" s="8">
        <v>40.959000000000003</v>
      </c>
      <c r="L877" s="8">
        <v>32.792000000000002</v>
      </c>
      <c r="M877" s="8">
        <v>22.681000000000001</v>
      </c>
      <c r="N877" s="8">
        <v>22.942</v>
      </c>
      <c r="O877" s="8">
        <v>20.706</v>
      </c>
      <c r="P877" s="8">
        <v>16.271000000000001</v>
      </c>
      <c r="Q877" s="8">
        <v>12.613</v>
      </c>
      <c r="R877" s="8">
        <v>11.93</v>
      </c>
      <c r="S877" s="8">
        <v>8.5980000000000008</v>
      </c>
      <c r="T877" s="8">
        <v>6.694</v>
      </c>
      <c r="U877" s="8">
        <v>6.4059999999999997</v>
      </c>
      <c r="V877" s="8">
        <v>5.923</v>
      </c>
      <c r="W877" s="8">
        <v>3.891</v>
      </c>
      <c r="X877" s="8">
        <v>2.7909999999999999</v>
      </c>
      <c r="Y877" s="8">
        <v>1.391</v>
      </c>
      <c r="Z877" s="8">
        <v>0.38800000000000001</v>
      </c>
      <c r="AA877" s="8">
        <v>5.3999999999999999E-2</v>
      </c>
      <c r="AB877" s="8">
        <v>2E-3</v>
      </c>
      <c r="AC877" s="8">
        <v>0</v>
      </c>
    </row>
    <row r="878" spans="1:29" ht="11.65" hidden="1" x14ac:dyDescent="0.35">
      <c r="A878" s="12">
        <v>861</v>
      </c>
      <c r="B878" s="10" t="s">
        <v>1015</v>
      </c>
      <c r="C878" s="11" t="s">
        <v>580</v>
      </c>
      <c r="D878" s="9"/>
      <c r="E878" s="9">
        <v>72</v>
      </c>
      <c r="F878" s="10" t="s">
        <v>1066</v>
      </c>
      <c r="G878" s="9">
        <v>913</v>
      </c>
      <c r="H878" s="9">
        <v>1975</v>
      </c>
      <c r="I878" s="8">
        <v>69.507000000000005</v>
      </c>
      <c r="J878" s="8">
        <v>58.287999999999997</v>
      </c>
      <c r="K878" s="8">
        <v>49.281999999999996</v>
      </c>
      <c r="L878" s="8">
        <v>40.878999999999998</v>
      </c>
      <c r="M878" s="8">
        <v>32.546999999999997</v>
      </c>
      <c r="N878" s="8">
        <v>22.472000000000001</v>
      </c>
      <c r="O878" s="8">
        <v>22.936</v>
      </c>
      <c r="P878" s="8">
        <v>20.61</v>
      </c>
      <c r="Q878" s="8">
        <v>15.641</v>
      </c>
      <c r="R878" s="8">
        <v>11.893000000000001</v>
      </c>
      <c r="S878" s="8">
        <v>11.385</v>
      </c>
      <c r="T878" s="8">
        <v>8.1590000000000007</v>
      </c>
      <c r="U878" s="8">
        <v>6.202</v>
      </c>
      <c r="V878" s="8">
        <v>5.774</v>
      </c>
      <c r="W878" s="8">
        <v>4.7880000000000003</v>
      </c>
      <c r="X878" s="8">
        <v>2.6219999999999999</v>
      </c>
      <c r="Y878" s="8">
        <v>1.431</v>
      </c>
      <c r="Z878" s="8">
        <v>0.441</v>
      </c>
      <c r="AA878" s="8">
        <v>5.7000000000000002E-2</v>
      </c>
      <c r="AB878" s="8">
        <v>3.0000000000000001E-3</v>
      </c>
      <c r="AC878" s="8">
        <v>0</v>
      </c>
    </row>
    <row r="879" spans="1:29" ht="11.65" hidden="1" x14ac:dyDescent="0.35">
      <c r="A879" s="12">
        <v>862</v>
      </c>
      <c r="B879" s="10" t="s">
        <v>1015</v>
      </c>
      <c r="C879" s="11" t="s">
        <v>580</v>
      </c>
      <c r="D879" s="9"/>
      <c r="E879" s="9">
        <v>72</v>
      </c>
      <c r="F879" s="10" t="s">
        <v>1066</v>
      </c>
      <c r="G879" s="9">
        <v>913</v>
      </c>
      <c r="H879" s="9">
        <v>1980</v>
      </c>
      <c r="I879" s="8">
        <v>85.534999999999997</v>
      </c>
      <c r="J879" s="8">
        <v>71.180000000000007</v>
      </c>
      <c r="K879" s="8">
        <v>60.500999999999998</v>
      </c>
      <c r="L879" s="8">
        <v>50.494</v>
      </c>
      <c r="M879" s="8">
        <v>41.493000000000002</v>
      </c>
      <c r="N879" s="8">
        <v>33.134</v>
      </c>
      <c r="O879" s="8">
        <v>24.603999999999999</v>
      </c>
      <c r="P879" s="8">
        <v>24.777000000000001</v>
      </c>
      <c r="Q879" s="8">
        <v>19.838000000000001</v>
      </c>
      <c r="R879" s="8">
        <v>14.231999999999999</v>
      </c>
      <c r="S879" s="8">
        <v>11.654999999999999</v>
      </c>
      <c r="T879" s="8">
        <v>11.281000000000001</v>
      </c>
      <c r="U879" s="8">
        <v>8.02</v>
      </c>
      <c r="V879" s="8">
        <v>6.5250000000000004</v>
      </c>
      <c r="W879" s="8">
        <v>5.1820000000000004</v>
      </c>
      <c r="X879" s="8">
        <v>3.2770000000000001</v>
      </c>
      <c r="Y879" s="8">
        <v>1.369</v>
      </c>
      <c r="Z879" s="8">
        <v>0.46200000000000002</v>
      </c>
      <c r="AA879" s="8">
        <v>6.4000000000000001E-2</v>
      </c>
      <c r="AB879" s="8">
        <v>3.0000000000000001E-3</v>
      </c>
      <c r="AC879" s="8">
        <v>0</v>
      </c>
    </row>
    <row r="880" spans="1:29" ht="11.65" hidden="1" x14ac:dyDescent="0.35">
      <c r="A880" s="12">
        <v>863</v>
      </c>
      <c r="B880" s="10" t="s">
        <v>1015</v>
      </c>
      <c r="C880" s="11" t="s">
        <v>580</v>
      </c>
      <c r="D880" s="9"/>
      <c r="E880" s="9">
        <v>72</v>
      </c>
      <c r="F880" s="10" t="s">
        <v>1066</v>
      </c>
      <c r="G880" s="9">
        <v>913</v>
      </c>
      <c r="H880" s="9">
        <v>1985</v>
      </c>
      <c r="I880" s="8">
        <v>99.07</v>
      </c>
      <c r="J880" s="8">
        <v>84.218000000000004</v>
      </c>
      <c r="K880" s="8">
        <v>70.900999999999996</v>
      </c>
      <c r="L880" s="8">
        <v>60.673999999999999</v>
      </c>
      <c r="M880" s="8">
        <v>50.284999999999997</v>
      </c>
      <c r="N880" s="8">
        <v>41.033999999999999</v>
      </c>
      <c r="O880" s="8">
        <v>32.722000000000001</v>
      </c>
      <c r="P880" s="8">
        <v>24.21</v>
      </c>
      <c r="Q880" s="8">
        <v>24.167000000000002</v>
      </c>
      <c r="R880" s="8">
        <v>19.158999999999999</v>
      </c>
      <c r="S880" s="8">
        <v>13.599</v>
      </c>
      <c r="T880" s="8">
        <v>11.045999999999999</v>
      </c>
      <c r="U880" s="8">
        <v>10.532999999999999</v>
      </c>
      <c r="V880" s="8">
        <v>7.2169999999999996</v>
      </c>
      <c r="W880" s="8">
        <v>5.33</v>
      </c>
      <c r="X880" s="8">
        <v>3.5990000000000002</v>
      </c>
      <c r="Y880" s="8">
        <v>1.7410000000000001</v>
      </c>
      <c r="Z880" s="8">
        <v>0.45100000000000001</v>
      </c>
      <c r="AA880" s="8">
        <v>6.7000000000000004E-2</v>
      </c>
      <c r="AB880" s="8">
        <v>3.0000000000000001E-3</v>
      </c>
      <c r="AC880" s="8">
        <v>0</v>
      </c>
    </row>
    <row r="881" spans="1:29" ht="11.65" hidden="1" x14ac:dyDescent="0.35">
      <c r="A881" s="12">
        <v>864</v>
      </c>
      <c r="B881" s="10" t="s">
        <v>1015</v>
      </c>
      <c r="C881" s="11" t="s">
        <v>580</v>
      </c>
      <c r="D881" s="9"/>
      <c r="E881" s="9">
        <v>72</v>
      </c>
      <c r="F881" s="10" t="s">
        <v>1066</v>
      </c>
      <c r="G881" s="9">
        <v>913</v>
      </c>
      <c r="H881" s="9">
        <v>1990</v>
      </c>
      <c r="I881" s="8">
        <v>103.47499999999999</v>
      </c>
      <c r="J881" s="8">
        <v>97.858999999999995</v>
      </c>
      <c r="K881" s="8">
        <v>86.513999999999996</v>
      </c>
      <c r="L881" s="8">
        <v>76.203000000000003</v>
      </c>
      <c r="M881" s="8">
        <v>63.365000000000002</v>
      </c>
      <c r="N881" s="8">
        <v>51.42</v>
      </c>
      <c r="O881" s="8">
        <v>42.692</v>
      </c>
      <c r="P881" s="8">
        <v>34.015000000000001</v>
      </c>
      <c r="Q881" s="8">
        <v>24.88</v>
      </c>
      <c r="R881" s="8">
        <v>23.65</v>
      </c>
      <c r="S881" s="8">
        <v>18.331</v>
      </c>
      <c r="T881" s="8">
        <v>13.443</v>
      </c>
      <c r="U881" s="8">
        <v>11.656000000000001</v>
      </c>
      <c r="V881" s="8">
        <v>10.989000000000001</v>
      </c>
      <c r="W881" s="8">
        <v>6.5979999999999999</v>
      </c>
      <c r="X881" s="8">
        <v>3.76</v>
      </c>
      <c r="Y881" s="8">
        <v>1.9570000000000001</v>
      </c>
      <c r="Z881" s="8">
        <v>0.58899999999999997</v>
      </c>
      <c r="AA881" s="8">
        <v>6.9000000000000006E-2</v>
      </c>
      <c r="AB881" s="8">
        <v>3.0000000000000001E-3</v>
      </c>
      <c r="AC881" s="8">
        <v>0</v>
      </c>
    </row>
    <row r="882" spans="1:29" ht="11.65" hidden="1" x14ac:dyDescent="0.35">
      <c r="A882" s="12">
        <v>865</v>
      </c>
      <c r="B882" s="10" t="s">
        <v>1015</v>
      </c>
      <c r="C882" s="11" t="s">
        <v>580</v>
      </c>
      <c r="D882" s="9"/>
      <c r="E882" s="9">
        <v>72</v>
      </c>
      <c r="F882" s="10" t="s">
        <v>1066</v>
      </c>
      <c r="G882" s="9">
        <v>913</v>
      </c>
      <c r="H882" s="9">
        <v>1995</v>
      </c>
      <c r="I882" s="8">
        <v>107.209</v>
      </c>
      <c r="J882" s="8">
        <v>102.105</v>
      </c>
      <c r="K882" s="8">
        <v>97.757000000000005</v>
      </c>
      <c r="L882" s="8">
        <v>87.718000000000004</v>
      </c>
      <c r="M882" s="8">
        <v>77.215000000000003</v>
      </c>
      <c r="N882" s="8">
        <v>62.853000000000002</v>
      </c>
      <c r="O882" s="8">
        <v>49.530999999999999</v>
      </c>
      <c r="P882" s="8">
        <v>41.146000000000001</v>
      </c>
      <c r="Q882" s="8">
        <v>33.533000000000001</v>
      </c>
      <c r="R882" s="8">
        <v>24.771000000000001</v>
      </c>
      <c r="S882" s="8">
        <v>23.074999999999999</v>
      </c>
      <c r="T882" s="8">
        <v>16.763000000000002</v>
      </c>
      <c r="U882" s="8">
        <v>11.618</v>
      </c>
      <c r="V882" s="8">
        <v>10.683999999999999</v>
      </c>
      <c r="W882" s="8">
        <v>9.3989999999999991</v>
      </c>
      <c r="X882" s="8">
        <v>4.657</v>
      </c>
      <c r="Y882" s="8">
        <v>2.069</v>
      </c>
      <c r="Z882" s="8">
        <v>0.67300000000000004</v>
      </c>
      <c r="AA882" s="8">
        <v>9.4E-2</v>
      </c>
      <c r="AB882" s="8">
        <v>4.0000000000000001E-3</v>
      </c>
      <c r="AC882" s="8">
        <v>0</v>
      </c>
    </row>
    <row r="883" spans="1:29" ht="11.65" hidden="1" x14ac:dyDescent="0.35">
      <c r="A883" s="12">
        <v>866</v>
      </c>
      <c r="B883" s="10" t="s">
        <v>1015</v>
      </c>
      <c r="C883" s="11" t="s">
        <v>580</v>
      </c>
      <c r="D883" s="9"/>
      <c r="E883" s="9">
        <v>72</v>
      </c>
      <c r="F883" s="10" t="s">
        <v>1066</v>
      </c>
      <c r="G883" s="9">
        <v>913</v>
      </c>
      <c r="H883" s="9">
        <v>2000</v>
      </c>
      <c r="I883" s="8">
        <v>107.18</v>
      </c>
      <c r="J883" s="8">
        <v>105.41800000000001</v>
      </c>
      <c r="K883" s="8">
        <v>102.334</v>
      </c>
      <c r="L883" s="8">
        <v>99.832999999999998</v>
      </c>
      <c r="M883" s="8">
        <v>89.478999999999999</v>
      </c>
      <c r="N883" s="8">
        <v>76.221999999999994</v>
      </c>
      <c r="O883" s="8">
        <v>59.22</v>
      </c>
      <c r="P883" s="8">
        <v>46.247</v>
      </c>
      <c r="Q883" s="8">
        <v>39.427</v>
      </c>
      <c r="R883" s="8">
        <v>32.548000000000002</v>
      </c>
      <c r="S883" s="8">
        <v>23.981999999999999</v>
      </c>
      <c r="T883" s="8">
        <v>20.666</v>
      </c>
      <c r="U883" s="8">
        <v>14.194000000000001</v>
      </c>
      <c r="V883" s="8">
        <v>10.928000000000001</v>
      </c>
      <c r="W883" s="8">
        <v>9.5709999999999997</v>
      </c>
      <c r="X883" s="8">
        <v>6.9059999999999997</v>
      </c>
      <c r="Y883" s="8">
        <v>2.7749999999999999</v>
      </c>
      <c r="Z883" s="8">
        <v>0.82</v>
      </c>
      <c r="AA883" s="8">
        <v>0.14099999999999999</v>
      </c>
      <c r="AB883" s="8">
        <v>8.9999999999999993E-3</v>
      </c>
      <c r="AC883" s="8">
        <v>0</v>
      </c>
    </row>
    <row r="884" spans="1:29" ht="11.65" hidden="1" x14ac:dyDescent="0.35">
      <c r="A884" s="12">
        <v>867</v>
      </c>
      <c r="B884" s="10" t="s">
        <v>1015</v>
      </c>
      <c r="C884" s="11" t="s">
        <v>580</v>
      </c>
      <c r="D884" s="9"/>
      <c r="E884" s="9">
        <v>72</v>
      </c>
      <c r="F884" s="10" t="s">
        <v>1066</v>
      </c>
      <c r="G884" s="9">
        <v>913</v>
      </c>
      <c r="H884" s="9">
        <v>2005</v>
      </c>
      <c r="I884" s="8">
        <v>115.425</v>
      </c>
      <c r="J884" s="8">
        <v>105.29600000000001</v>
      </c>
      <c r="K884" s="8">
        <v>104.798</v>
      </c>
      <c r="L884" s="8">
        <v>101.69</v>
      </c>
      <c r="M884" s="8">
        <v>98.852999999999994</v>
      </c>
      <c r="N884" s="8">
        <v>89.024000000000001</v>
      </c>
      <c r="O884" s="8">
        <v>73.349000000000004</v>
      </c>
      <c r="P884" s="8">
        <v>52.612000000000002</v>
      </c>
      <c r="Q884" s="8">
        <v>39.948999999999998</v>
      </c>
      <c r="R884" s="8">
        <v>36.159999999999997</v>
      </c>
      <c r="S884" s="8">
        <v>31.268000000000001</v>
      </c>
      <c r="T884" s="8">
        <v>22.917999999999999</v>
      </c>
      <c r="U884" s="8">
        <v>18.853000000000002</v>
      </c>
      <c r="V884" s="8">
        <v>12.297000000000001</v>
      </c>
      <c r="W884" s="8">
        <v>8.9589999999999996</v>
      </c>
      <c r="X884" s="8">
        <v>7.1159999999999997</v>
      </c>
      <c r="Y884" s="8">
        <v>4.2430000000000003</v>
      </c>
      <c r="Z884" s="8">
        <v>1.1759999999999999</v>
      </c>
      <c r="AA884" s="8">
        <v>0.2</v>
      </c>
      <c r="AB884" s="8">
        <v>0.02</v>
      </c>
      <c r="AC884" s="8">
        <v>1E-3</v>
      </c>
    </row>
    <row r="885" spans="1:29" ht="11.65" hidden="1" x14ac:dyDescent="0.35">
      <c r="A885" s="12">
        <v>868</v>
      </c>
      <c r="B885" s="10" t="s">
        <v>1015</v>
      </c>
      <c r="C885" s="11" t="s">
        <v>580</v>
      </c>
      <c r="D885" s="9"/>
      <c r="E885" s="9">
        <v>72</v>
      </c>
      <c r="F885" s="10" t="s">
        <v>1066</v>
      </c>
      <c r="G885" s="9">
        <v>913</v>
      </c>
      <c r="H885" s="9">
        <v>2010</v>
      </c>
      <c r="I885" s="8">
        <v>125.101</v>
      </c>
      <c r="J885" s="8">
        <v>114.062</v>
      </c>
      <c r="K885" s="8">
        <v>104.80500000000001</v>
      </c>
      <c r="L885" s="8">
        <v>104.26</v>
      </c>
      <c r="M885" s="8">
        <v>100.977</v>
      </c>
      <c r="N885" s="8">
        <v>99.102000000000004</v>
      </c>
      <c r="O885" s="8">
        <v>87.433000000000007</v>
      </c>
      <c r="P885" s="8">
        <v>68.007999999999996</v>
      </c>
      <c r="Q885" s="8">
        <v>47.607999999999997</v>
      </c>
      <c r="R885" s="8">
        <v>37.863999999999997</v>
      </c>
      <c r="S885" s="8">
        <v>35.396000000000001</v>
      </c>
      <c r="T885" s="8">
        <v>29.99</v>
      </c>
      <c r="U885" s="8">
        <v>21.148</v>
      </c>
      <c r="V885" s="8">
        <v>16.474</v>
      </c>
      <c r="W885" s="8">
        <v>10.111000000000001</v>
      </c>
      <c r="X885" s="8">
        <v>6.6210000000000004</v>
      </c>
      <c r="Y885" s="8">
        <v>4.2850000000000001</v>
      </c>
      <c r="Z885" s="8">
        <v>1.72</v>
      </c>
      <c r="AA885" s="8">
        <v>0.255</v>
      </c>
      <c r="AB885" s="8">
        <v>2.1000000000000001E-2</v>
      </c>
      <c r="AC885" s="8">
        <v>1E-3</v>
      </c>
    </row>
    <row r="886" spans="1:29" ht="11.65" hidden="1" x14ac:dyDescent="0.35">
      <c r="A886" s="12">
        <v>869</v>
      </c>
      <c r="B886" s="10" t="s">
        <v>1015</v>
      </c>
      <c r="C886" s="11" t="s">
        <v>580</v>
      </c>
      <c r="D886" s="9"/>
      <c r="E886" s="9">
        <v>72</v>
      </c>
      <c r="F886" s="10" t="s">
        <v>1066</v>
      </c>
      <c r="G886" s="9">
        <v>913</v>
      </c>
      <c r="H886" s="9">
        <v>2015</v>
      </c>
      <c r="I886" s="8">
        <v>132.666</v>
      </c>
      <c r="J886" s="8">
        <v>122.006</v>
      </c>
      <c r="K886" s="8">
        <v>111.327</v>
      </c>
      <c r="L886" s="8">
        <v>100.56399999999999</v>
      </c>
      <c r="M886" s="8">
        <v>99.876999999999995</v>
      </c>
      <c r="N886" s="8">
        <v>97.826999999999998</v>
      </c>
      <c r="O886" s="8">
        <v>95.739000000000004</v>
      </c>
      <c r="P886" s="8">
        <v>81.3</v>
      </c>
      <c r="Q886" s="8">
        <v>60.95</v>
      </c>
      <c r="R886" s="8">
        <v>43.968000000000004</v>
      </c>
      <c r="S886" s="8">
        <v>39.347000000000001</v>
      </c>
      <c r="T886" s="8">
        <v>37.195999999999998</v>
      </c>
      <c r="U886" s="8">
        <v>28.635000000000002</v>
      </c>
      <c r="V886" s="8">
        <v>19.254000000000001</v>
      </c>
      <c r="W886" s="8">
        <v>14.173</v>
      </c>
      <c r="X886" s="8">
        <v>7.9189999999999996</v>
      </c>
      <c r="Y886" s="8">
        <v>4.3230000000000004</v>
      </c>
      <c r="Z886" s="8">
        <v>1.9650000000000001</v>
      </c>
      <c r="AA886" s="8">
        <v>0.433</v>
      </c>
      <c r="AB886" s="8">
        <v>0.03</v>
      </c>
      <c r="AC886" s="8">
        <v>1E-3</v>
      </c>
    </row>
    <row r="887" spans="1:29" ht="11.65" hidden="1" x14ac:dyDescent="0.35">
      <c r="A887" s="12">
        <v>870</v>
      </c>
      <c r="B887" s="10" t="s">
        <v>1015</v>
      </c>
      <c r="C887" s="11" t="s">
        <v>580</v>
      </c>
      <c r="D887" s="9"/>
      <c r="E887" s="9">
        <v>72</v>
      </c>
      <c r="F887" s="10" t="s">
        <v>1066</v>
      </c>
      <c r="G887" s="9">
        <v>913</v>
      </c>
      <c r="H887" s="9">
        <v>2020</v>
      </c>
      <c r="I887" s="8">
        <v>134.22900000000001</v>
      </c>
      <c r="J887" s="8">
        <v>132.15</v>
      </c>
      <c r="K887" s="8">
        <v>121.893</v>
      </c>
      <c r="L887" s="8">
        <v>111.435</v>
      </c>
      <c r="M887" s="8">
        <v>100.947</v>
      </c>
      <c r="N887" s="8">
        <v>100.07899999999999</v>
      </c>
      <c r="O887" s="8">
        <v>97.483999999999995</v>
      </c>
      <c r="P887" s="8">
        <v>94.763999999999996</v>
      </c>
      <c r="Q887" s="8">
        <v>80.001999999999995</v>
      </c>
      <c r="R887" s="8">
        <v>59.7</v>
      </c>
      <c r="S887" s="8">
        <v>42.805</v>
      </c>
      <c r="T887" s="8">
        <v>37.981000000000002</v>
      </c>
      <c r="U887" s="8">
        <v>35.433999999999997</v>
      </c>
      <c r="V887" s="8">
        <v>26.599</v>
      </c>
      <c r="W887" s="8">
        <v>17.068000000000001</v>
      </c>
      <c r="X887" s="8">
        <v>11.563000000000001</v>
      </c>
      <c r="Y887" s="8">
        <v>5.5149999999999997</v>
      </c>
      <c r="Z887" s="8">
        <v>2.2229999999999999</v>
      </c>
      <c r="AA887" s="8">
        <v>0.59099999999999997</v>
      </c>
      <c r="AB887" s="8">
        <v>6.2E-2</v>
      </c>
      <c r="AC887" s="8">
        <v>2E-3</v>
      </c>
    </row>
    <row r="888" spans="1:29" ht="11.65" hidden="1" x14ac:dyDescent="0.35">
      <c r="A888" s="12">
        <v>871</v>
      </c>
      <c r="B888" s="10" t="s">
        <v>1015</v>
      </c>
      <c r="C888" s="11" t="s">
        <v>603</v>
      </c>
      <c r="D888" s="9"/>
      <c r="E888" s="9">
        <v>748</v>
      </c>
      <c r="F888" s="10" t="s">
        <v>1066</v>
      </c>
      <c r="G888" s="9">
        <v>913</v>
      </c>
      <c r="H888" s="9">
        <v>1950</v>
      </c>
      <c r="I888" s="8">
        <v>24.603000000000002</v>
      </c>
      <c r="J888" s="8">
        <v>18.748999999999999</v>
      </c>
      <c r="K888" s="8">
        <v>16.169</v>
      </c>
      <c r="L888" s="8">
        <v>14.186</v>
      </c>
      <c r="M888" s="8">
        <v>12.301</v>
      </c>
      <c r="N888" s="8">
        <v>10.615</v>
      </c>
      <c r="O888" s="8">
        <v>9.1259999999999994</v>
      </c>
      <c r="P888" s="8">
        <v>7.7370000000000001</v>
      </c>
      <c r="Q888" s="8">
        <v>6.4470000000000001</v>
      </c>
      <c r="R888" s="8">
        <v>5.3559999999999999</v>
      </c>
      <c r="S888" s="8">
        <v>4.2649999999999997</v>
      </c>
      <c r="T888" s="8">
        <v>3.5720000000000001</v>
      </c>
      <c r="U888" s="8">
        <v>2.8769999999999998</v>
      </c>
      <c r="V888" s="8">
        <v>2.0840000000000001</v>
      </c>
      <c r="W888" s="8">
        <v>1.29</v>
      </c>
      <c r="X888" s="8">
        <v>0.59499999999999997</v>
      </c>
      <c r="Y888" s="8">
        <v>0.21099999999999999</v>
      </c>
      <c r="Z888" s="8">
        <v>7.0000000000000007E-2</v>
      </c>
      <c r="AA888" s="8">
        <v>1.4999999999999999E-2</v>
      </c>
      <c r="AB888" s="8">
        <v>2E-3</v>
      </c>
      <c r="AC888" s="8">
        <v>0</v>
      </c>
    </row>
    <row r="889" spans="1:29" ht="11.65" hidden="1" x14ac:dyDescent="0.35">
      <c r="A889" s="12">
        <v>872</v>
      </c>
      <c r="B889" s="10" t="s">
        <v>1015</v>
      </c>
      <c r="C889" s="11" t="s">
        <v>603</v>
      </c>
      <c r="D889" s="9"/>
      <c r="E889" s="9">
        <v>748</v>
      </c>
      <c r="F889" s="10" t="s">
        <v>1066</v>
      </c>
      <c r="G889" s="9">
        <v>913</v>
      </c>
      <c r="H889" s="9">
        <v>1955</v>
      </c>
      <c r="I889" s="8">
        <v>27.922000000000001</v>
      </c>
      <c r="J889" s="8">
        <v>22.175000000000001</v>
      </c>
      <c r="K889" s="8">
        <v>17.981000000000002</v>
      </c>
      <c r="L889" s="8">
        <v>15.693</v>
      </c>
      <c r="M889" s="8">
        <v>13.651</v>
      </c>
      <c r="N889" s="8">
        <v>11.606999999999999</v>
      </c>
      <c r="O889" s="8">
        <v>9.827</v>
      </c>
      <c r="P889" s="8">
        <v>8.2539999999999996</v>
      </c>
      <c r="Q889" s="8">
        <v>6.8369999999999997</v>
      </c>
      <c r="R889" s="8">
        <v>5.6050000000000004</v>
      </c>
      <c r="S889" s="8">
        <v>4.6340000000000003</v>
      </c>
      <c r="T889" s="8">
        <v>3.73</v>
      </c>
      <c r="U889" s="8">
        <v>3.0840000000000001</v>
      </c>
      <c r="V889" s="8">
        <v>2.3050000000000002</v>
      </c>
      <c r="W889" s="8">
        <v>1.52</v>
      </c>
      <c r="X889" s="8">
        <v>0.82399999999999995</v>
      </c>
      <c r="Y889" s="8">
        <v>0.29499999999999998</v>
      </c>
      <c r="Z889" s="8">
        <v>7.0999999999999994E-2</v>
      </c>
      <c r="AA889" s="8">
        <v>1.2999999999999999E-2</v>
      </c>
      <c r="AB889" s="8">
        <v>0</v>
      </c>
      <c r="AC889" s="8">
        <v>0</v>
      </c>
    </row>
    <row r="890" spans="1:29" ht="11.65" hidden="1" x14ac:dyDescent="0.35">
      <c r="A890" s="12">
        <v>873</v>
      </c>
      <c r="B890" s="10" t="s">
        <v>1015</v>
      </c>
      <c r="C890" s="11" t="s">
        <v>603</v>
      </c>
      <c r="D890" s="9"/>
      <c r="E890" s="9">
        <v>748</v>
      </c>
      <c r="F890" s="10" t="s">
        <v>1066</v>
      </c>
      <c r="G890" s="9">
        <v>913</v>
      </c>
      <c r="H890" s="9">
        <v>1960</v>
      </c>
      <c r="I890" s="8">
        <v>31.102</v>
      </c>
      <c r="J890" s="8">
        <v>25.468</v>
      </c>
      <c r="K890" s="8">
        <v>21.38</v>
      </c>
      <c r="L890" s="8">
        <v>17.379000000000001</v>
      </c>
      <c r="M890" s="8">
        <v>14.916</v>
      </c>
      <c r="N890" s="8">
        <v>12.727</v>
      </c>
      <c r="O890" s="8">
        <v>10.613</v>
      </c>
      <c r="P890" s="8">
        <v>8.782</v>
      </c>
      <c r="Q890" s="8">
        <v>7.226</v>
      </c>
      <c r="R890" s="8">
        <v>5.9329999999999998</v>
      </c>
      <c r="S890" s="8">
        <v>4.8719999999999999</v>
      </c>
      <c r="T890" s="8">
        <v>4.0819999999999999</v>
      </c>
      <c r="U890" s="8">
        <v>3.2639999999999998</v>
      </c>
      <c r="V890" s="8">
        <v>2.524</v>
      </c>
      <c r="W890" s="8">
        <v>1.71</v>
      </c>
      <c r="X890" s="8">
        <v>0.97599999999999998</v>
      </c>
      <c r="Y890" s="8">
        <v>0.40799999999999997</v>
      </c>
      <c r="Z890" s="8">
        <v>9.6000000000000002E-2</v>
      </c>
      <c r="AA890" s="8">
        <v>1.2E-2</v>
      </c>
      <c r="AB890" s="8">
        <v>0</v>
      </c>
      <c r="AC890" s="8">
        <v>0</v>
      </c>
    </row>
    <row r="891" spans="1:29" ht="11.65" hidden="1" x14ac:dyDescent="0.35">
      <c r="A891" s="12">
        <v>874</v>
      </c>
      <c r="B891" s="10" t="s">
        <v>1015</v>
      </c>
      <c r="C891" s="11" t="s">
        <v>603</v>
      </c>
      <c r="D891" s="9"/>
      <c r="E891" s="9">
        <v>748</v>
      </c>
      <c r="F891" s="10" t="s">
        <v>1066</v>
      </c>
      <c r="G891" s="9">
        <v>913</v>
      </c>
      <c r="H891" s="9">
        <v>1965</v>
      </c>
      <c r="I891" s="8">
        <v>35.246000000000002</v>
      </c>
      <c r="J891" s="8">
        <v>28.65</v>
      </c>
      <c r="K891" s="8">
        <v>24.654</v>
      </c>
      <c r="L891" s="8">
        <v>20.504999999999999</v>
      </c>
      <c r="M891" s="8">
        <v>16.143999999999998</v>
      </c>
      <c r="N891" s="8">
        <v>13.57</v>
      </c>
      <c r="O891" s="8">
        <v>11.347</v>
      </c>
      <c r="P891" s="8">
        <v>9.2439999999999998</v>
      </c>
      <c r="Q891" s="8">
        <v>7.4930000000000003</v>
      </c>
      <c r="R891" s="8">
        <v>6.16</v>
      </c>
      <c r="S891" s="8">
        <v>5.1260000000000003</v>
      </c>
      <c r="T891" s="8">
        <v>4.2939999999999996</v>
      </c>
      <c r="U891" s="8">
        <v>3.617</v>
      </c>
      <c r="V891" s="8">
        <v>2.7320000000000002</v>
      </c>
      <c r="W891" s="8">
        <v>1.901</v>
      </c>
      <c r="X891" s="8">
        <v>1.103</v>
      </c>
      <c r="Y891" s="8">
        <v>0.48399999999999999</v>
      </c>
      <c r="Z891" s="8">
        <v>0.13100000000000001</v>
      </c>
      <c r="AA891" s="8">
        <v>1.6E-2</v>
      </c>
      <c r="AB891" s="8">
        <v>0</v>
      </c>
      <c r="AC891" s="8">
        <v>0</v>
      </c>
    </row>
    <row r="892" spans="1:29" ht="11.65" hidden="1" x14ac:dyDescent="0.35">
      <c r="A892" s="12">
        <v>875</v>
      </c>
      <c r="B892" s="10" t="s">
        <v>1015</v>
      </c>
      <c r="C892" s="11" t="s">
        <v>603</v>
      </c>
      <c r="D892" s="9"/>
      <c r="E892" s="9">
        <v>748</v>
      </c>
      <c r="F892" s="10" t="s">
        <v>1066</v>
      </c>
      <c r="G892" s="9">
        <v>913</v>
      </c>
      <c r="H892" s="9">
        <v>1970</v>
      </c>
      <c r="I892" s="8">
        <v>41.59</v>
      </c>
      <c r="J892" s="8">
        <v>32.875999999999998</v>
      </c>
      <c r="K892" s="8">
        <v>27.888000000000002</v>
      </c>
      <c r="L892" s="8">
        <v>24.173999999999999</v>
      </c>
      <c r="M892" s="8">
        <v>20.045000000000002</v>
      </c>
      <c r="N892" s="8">
        <v>15.632</v>
      </c>
      <c r="O892" s="8">
        <v>12.967000000000001</v>
      </c>
      <c r="P892" s="8">
        <v>10.702</v>
      </c>
      <c r="Q892" s="8">
        <v>8.6430000000000007</v>
      </c>
      <c r="R892" s="8">
        <v>7.03</v>
      </c>
      <c r="S892" s="8">
        <v>5.7789999999999999</v>
      </c>
      <c r="T892" s="8">
        <v>4.7560000000000002</v>
      </c>
      <c r="U892" s="8">
        <v>3.8769999999999998</v>
      </c>
      <c r="V892" s="8">
        <v>3.0489999999999999</v>
      </c>
      <c r="W892" s="8">
        <v>2.073</v>
      </c>
      <c r="X892" s="8">
        <v>1.232</v>
      </c>
      <c r="Y892" s="8">
        <v>0.54800000000000004</v>
      </c>
      <c r="Z892" s="8">
        <v>0.154</v>
      </c>
      <c r="AA892" s="8">
        <v>2.1000000000000001E-2</v>
      </c>
      <c r="AB892" s="8">
        <v>0</v>
      </c>
      <c r="AC892" s="8">
        <v>0</v>
      </c>
    </row>
    <row r="893" spans="1:29" ht="11.65" hidden="1" x14ac:dyDescent="0.35">
      <c r="A893" s="12">
        <v>876</v>
      </c>
      <c r="B893" s="10" t="s">
        <v>1015</v>
      </c>
      <c r="C893" s="11" t="s">
        <v>603</v>
      </c>
      <c r="D893" s="9"/>
      <c r="E893" s="9">
        <v>748</v>
      </c>
      <c r="F893" s="10" t="s">
        <v>1066</v>
      </c>
      <c r="G893" s="9">
        <v>913</v>
      </c>
      <c r="H893" s="9">
        <v>1975</v>
      </c>
      <c r="I893" s="8">
        <v>50.783000000000001</v>
      </c>
      <c r="J893" s="8">
        <v>39.259</v>
      </c>
      <c r="K893" s="8">
        <v>32.128</v>
      </c>
      <c r="L893" s="8">
        <v>27.347999999999999</v>
      </c>
      <c r="M893" s="8">
        <v>23.6</v>
      </c>
      <c r="N893" s="8">
        <v>19.36</v>
      </c>
      <c r="O893" s="8">
        <v>14.842000000000001</v>
      </c>
      <c r="P893" s="8">
        <v>12.178000000000001</v>
      </c>
      <c r="Q893" s="8">
        <v>9.9920000000000009</v>
      </c>
      <c r="R893" s="8">
        <v>8.0510000000000002</v>
      </c>
      <c r="S893" s="8">
        <v>6.4969999999999999</v>
      </c>
      <c r="T893" s="8">
        <v>5.2489999999999997</v>
      </c>
      <c r="U893" s="8">
        <v>4.2060000000000004</v>
      </c>
      <c r="V893" s="8">
        <v>3.2890000000000001</v>
      </c>
      <c r="W893" s="8">
        <v>2.363</v>
      </c>
      <c r="X893" s="8">
        <v>1.3580000000000001</v>
      </c>
      <c r="Y893" s="8">
        <v>0.61599999999999999</v>
      </c>
      <c r="Z893" s="8">
        <v>0.17199999999999999</v>
      </c>
      <c r="AA893" s="8">
        <v>2.4E-2</v>
      </c>
      <c r="AB893" s="8">
        <v>0</v>
      </c>
      <c r="AC893" s="8">
        <v>0</v>
      </c>
    </row>
    <row r="894" spans="1:29" ht="11.65" hidden="1" x14ac:dyDescent="0.35">
      <c r="A894" s="12">
        <v>877</v>
      </c>
      <c r="B894" s="10" t="s">
        <v>1015</v>
      </c>
      <c r="C894" s="11" t="s">
        <v>603</v>
      </c>
      <c r="D894" s="9"/>
      <c r="E894" s="9">
        <v>748</v>
      </c>
      <c r="F894" s="10" t="s">
        <v>1066</v>
      </c>
      <c r="G894" s="9">
        <v>913</v>
      </c>
      <c r="H894" s="9">
        <v>1980</v>
      </c>
      <c r="I894" s="8">
        <v>59.725000000000001</v>
      </c>
      <c r="J894" s="8">
        <v>48.715000000000003</v>
      </c>
      <c r="K894" s="8">
        <v>38.590000000000003</v>
      </c>
      <c r="L894" s="8">
        <v>31.547999999999998</v>
      </c>
      <c r="M894" s="8">
        <v>26.31</v>
      </c>
      <c r="N894" s="8">
        <v>22.231000000000002</v>
      </c>
      <c r="O894" s="8">
        <v>18.268000000000001</v>
      </c>
      <c r="P894" s="8">
        <v>14.090999999999999</v>
      </c>
      <c r="Q894" s="8">
        <v>11.526999999999999</v>
      </c>
      <c r="R894" s="8">
        <v>9.43</v>
      </c>
      <c r="S894" s="8">
        <v>7.5439999999999996</v>
      </c>
      <c r="T894" s="8">
        <v>5.9969999999999999</v>
      </c>
      <c r="U894" s="8">
        <v>4.7130000000000001</v>
      </c>
      <c r="V894" s="8">
        <v>3.581</v>
      </c>
      <c r="W894" s="8">
        <v>2.5539999999999998</v>
      </c>
      <c r="X894" s="8">
        <v>1.571</v>
      </c>
      <c r="Y894" s="8">
        <v>0.68700000000000006</v>
      </c>
      <c r="Z894" s="8">
        <v>0.19600000000000001</v>
      </c>
      <c r="AA894" s="8">
        <v>2.5000000000000001E-2</v>
      </c>
      <c r="AB894" s="8">
        <v>0</v>
      </c>
      <c r="AC894" s="8">
        <v>0</v>
      </c>
    </row>
    <row r="895" spans="1:29" ht="11.65" hidden="1" x14ac:dyDescent="0.35">
      <c r="A895" s="12">
        <v>878</v>
      </c>
      <c r="B895" s="10" t="s">
        <v>1015</v>
      </c>
      <c r="C895" s="11" t="s">
        <v>603</v>
      </c>
      <c r="D895" s="9"/>
      <c r="E895" s="9">
        <v>748</v>
      </c>
      <c r="F895" s="10" t="s">
        <v>1066</v>
      </c>
      <c r="G895" s="9">
        <v>913</v>
      </c>
      <c r="H895" s="9">
        <v>1985</v>
      </c>
      <c r="I895" s="8">
        <v>70.436000000000007</v>
      </c>
      <c r="J895" s="8">
        <v>58.057000000000002</v>
      </c>
      <c r="K895" s="8">
        <v>48.103000000000002</v>
      </c>
      <c r="L895" s="8">
        <v>38.332000000000001</v>
      </c>
      <c r="M895" s="8">
        <v>31.577000000000002</v>
      </c>
      <c r="N895" s="8">
        <v>26.266999999999999</v>
      </c>
      <c r="O895" s="8">
        <v>21.994</v>
      </c>
      <c r="P895" s="8">
        <v>17.760999999999999</v>
      </c>
      <c r="Q895" s="8">
        <v>13.394</v>
      </c>
      <c r="R895" s="8">
        <v>10.89</v>
      </c>
      <c r="S895" s="8">
        <v>8.8140000000000001</v>
      </c>
      <c r="T895" s="8">
        <v>6.9290000000000003</v>
      </c>
      <c r="U895" s="8">
        <v>5.3449999999999998</v>
      </c>
      <c r="V895" s="8">
        <v>3.996</v>
      </c>
      <c r="W895" s="8">
        <v>2.8069999999999999</v>
      </c>
      <c r="X895" s="8">
        <v>1.7350000000000001</v>
      </c>
      <c r="Y895" s="8">
        <v>0.81499999999999995</v>
      </c>
      <c r="Z895" s="8">
        <v>0.221</v>
      </c>
      <c r="AA895" s="8">
        <v>2.8000000000000001E-2</v>
      </c>
      <c r="AB895" s="8">
        <v>0</v>
      </c>
      <c r="AC895" s="8">
        <v>0</v>
      </c>
    </row>
    <row r="896" spans="1:29" ht="11.65" hidden="1" x14ac:dyDescent="0.35">
      <c r="A896" s="12">
        <v>879</v>
      </c>
      <c r="B896" s="10" t="s">
        <v>1015</v>
      </c>
      <c r="C896" s="11" t="s">
        <v>603</v>
      </c>
      <c r="D896" s="9"/>
      <c r="E896" s="9">
        <v>748</v>
      </c>
      <c r="F896" s="10" t="s">
        <v>1066</v>
      </c>
      <c r="G896" s="9">
        <v>913</v>
      </c>
      <c r="H896" s="9">
        <v>1990</v>
      </c>
      <c r="I896" s="8">
        <v>72.754000000000005</v>
      </c>
      <c r="J896" s="8">
        <v>69.040999999999997</v>
      </c>
      <c r="K896" s="8">
        <v>57.515000000000001</v>
      </c>
      <c r="L896" s="8">
        <v>47.338999999999999</v>
      </c>
      <c r="M896" s="8">
        <v>37.670999999999999</v>
      </c>
      <c r="N896" s="8">
        <v>31.495999999999999</v>
      </c>
      <c r="O896" s="8">
        <v>26.361000000000001</v>
      </c>
      <c r="P896" s="8">
        <v>22.366</v>
      </c>
      <c r="Q896" s="8">
        <v>18.231999999999999</v>
      </c>
      <c r="R896" s="8">
        <v>13.565</v>
      </c>
      <c r="S896" s="8">
        <v>10.696999999999999</v>
      </c>
      <c r="T896" s="8">
        <v>8.4009999999999998</v>
      </c>
      <c r="U896" s="8">
        <v>6.415</v>
      </c>
      <c r="V896" s="8">
        <v>4.7489999999999997</v>
      </c>
      <c r="W896" s="8">
        <v>3.2509999999999999</v>
      </c>
      <c r="X896" s="8">
        <v>1.9570000000000001</v>
      </c>
      <c r="Y896" s="8">
        <v>0.92900000000000005</v>
      </c>
      <c r="Z896" s="8">
        <v>0.27200000000000002</v>
      </c>
      <c r="AA896" s="8">
        <v>3.4000000000000002E-2</v>
      </c>
      <c r="AB896" s="8">
        <v>0</v>
      </c>
      <c r="AC896" s="8">
        <v>0</v>
      </c>
    </row>
    <row r="897" spans="1:29" ht="11.65" hidden="1" x14ac:dyDescent="0.35">
      <c r="A897" s="12">
        <v>880</v>
      </c>
      <c r="B897" s="10" t="s">
        <v>1015</v>
      </c>
      <c r="C897" s="11" t="s">
        <v>603</v>
      </c>
      <c r="D897" s="9"/>
      <c r="E897" s="9">
        <v>748</v>
      </c>
      <c r="F897" s="10" t="s">
        <v>1066</v>
      </c>
      <c r="G897" s="9">
        <v>913</v>
      </c>
      <c r="H897" s="9">
        <v>1995</v>
      </c>
      <c r="I897" s="8">
        <v>74.789000000000001</v>
      </c>
      <c r="J897" s="8">
        <v>70.394000000000005</v>
      </c>
      <c r="K897" s="8">
        <v>68.108999999999995</v>
      </c>
      <c r="L897" s="8">
        <v>56.076000000000001</v>
      </c>
      <c r="M897" s="8">
        <v>45.664000000000001</v>
      </c>
      <c r="N897" s="8">
        <v>35.716999999999999</v>
      </c>
      <c r="O897" s="8">
        <v>29.417000000000002</v>
      </c>
      <c r="P897" s="8">
        <v>24.608000000000001</v>
      </c>
      <c r="Q897" s="8">
        <v>19.981999999999999</v>
      </c>
      <c r="R897" s="8">
        <v>15.589</v>
      </c>
      <c r="S897" s="8">
        <v>12.221</v>
      </c>
      <c r="T897" s="8">
        <v>10.465</v>
      </c>
      <c r="U897" s="8">
        <v>8.0990000000000002</v>
      </c>
      <c r="V897" s="8">
        <v>5.84</v>
      </c>
      <c r="W897" s="8">
        <v>3.8769999999999998</v>
      </c>
      <c r="X897" s="8">
        <v>2.3140000000000001</v>
      </c>
      <c r="Y897" s="8">
        <v>1.083</v>
      </c>
      <c r="Z897" s="8">
        <v>0.32300000000000001</v>
      </c>
      <c r="AA897" s="8">
        <v>4.3999999999999997E-2</v>
      </c>
      <c r="AB897" s="8">
        <v>2E-3</v>
      </c>
      <c r="AC897" s="8">
        <v>0</v>
      </c>
    </row>
    <row r="898" spans="1:29" ht="11.65" hidden="1" x14ac:dyDescent="0.35">
      <c r="A898" s="12">
        <v>881</v>
      </c>
      <c r="B898" s="10" t="s">
        <v>1015</v>
      </c>
      <c r="C898" s="11" t="s">
        <v>603</v>
      </c>
      <c r="D898" s="9"/>
      <c r="E898" s="9">
        <v>748</v>
      </c>
      <c r="F898" s="10" t="s">
        <v>1066</v>
      </c>
      <c r="G898" s="9">
        <v>913</v>
      </c>
      <c r="H898" s="9">
        <v>2000</v>
      </c>
      <c r="I898" s="8">
        <v>72.668000000000006</v>
      </c>
      <c r="J898" s="8">
        <v>72.712000000000003</v>
      </c>
      <c r="K898" s="8">
        <v>69.756</v>
      </c>
      <c r="L898" s="8">
        <v>65.956999999999994</v>
      </c>
      <c r="M898" s="8">
        <v>50.515999999999998</v>
      </c>
      <c r="N898" s="8">
        <v>38.417000000000002</v>
      </c>
      <c r="O898" s="8">
        <v>31.19</v>
      </c>
      <c r="P898" s="8">
        <v>27.510999999999999</v>
      </c>
      <c r="Q898" s="8">
        <v>22.850999999999999</v>
      </c>
      <c r="R898" s="8">
        <v>18.347999999999999</v>
      </c>
      <c r="S898" s="8">
        <v>14.215</v>
      </c>
      <c r="T898" s="8">
        <v>11.199</v>
      </c>
      <c r="U898" s="8">
        <v>9.6539999999999999</v>
      </c>
      <c r="V898" s="8">
        <v>7.4089999999999998</v>
      </c>
      <c r="W898" s="8">
        <v>4.931</v>
      </c>
      <c r="X898" s="8">
        <v>2.8039999999999998</v>
      </c>
      <c r="Y898" s="8">
        <v>1.3360000000000001</v>
      </c>
      <c r="Z898" s="8">
        <v>0.40799999999999997</v>
      </c>
      <c r="AA898" s="8">
        <v>6.3E-2</v>
      </c>
      <c r="AB898" s="8">
        <v>4.0000000000000001E-3</v>
      </c>
      <c r="AC898" s="8">
        <v>0</v>
      </c>
    </row>
    <row r="899" spans="1:29" ht="11.65" hidden="1" x14ac:dyDescent="0.35">
      <c r="A899" s="12">
        <v>882</v>
      </c>
      <c r="B899" s="10" t="s">
        <v>1015</v>
      </c>
      <c r="C899" s="11" t="s">
        <v>603</v>
      </c>
      <c r="D899" s="9"/>
      <c r="E899" s="9">
        <v>748</v>
      </c>
      <c r="F899" s="10" t="s">
        <v>1066</v>
      </c>
      <c r="G899" s="9">
        <v>913</v>
      </c>
      <c r="H899" s="9">
        <v>2005</v>
      </c>
      <c r="I899" s="8">
        <v>71.369</v>
      </c>
      <c r="J899" s="8">
        <v>69.471999999999994</v>
      </c>
      <c r="K899" s="8">
        <v>71.638000000000005</v>
      </c>
      <c r="L899" s="8">
        <v>65.507999999999996</v>
      </c>
      <c r="M899" s="8">
        <v>58.866999999999997</v>
      </c>
      <c r="N899" s="8">
        <v>44.381999999999998</v>
      </c>
      <c r="O899" s="8">
        <v>33.963999999999999</v>
      </c>
      <c r="P899" s="8">
        <v>27.396000000000001</v>
      </c>
      <c r="Q899" s="8">
        <v>22.779</v>
      </c>
      <c r="R899" s="8">
        <v>18.236999999999998</v>
      </c>
      <c r="S899" s="8">
        <v>14.404999999999999</v>
      </c>
      <c r="T899" s="8">
        <v>11.933999999999999</v>
      </c>
      <c r="U899" s="8">
        <v>10.208</v>
      </c>
      <c r="V899" s="8">
        <v>8.6419999999999995</v>
      </c>
      <c r="W899" s="8">
        <v>6.2119999999999997</v>
      </c>
      <c r="X899" s="8">
        <v>3.7429999999999999</v>
      </c>
      <c r="Y899" s="8">
        <v>1.8140000000000001</v>
      </c>
      <c r="Z899" s="8">
        <v>0.63300000000000001</v>
      </c>
      <c r="AA899" s="8">
        <v>0.127</v>
      </c>
      <c r="AB899" s="8">
        <v>1.2999999999999999E-2</v>
      </c>
      <c r="AC899" s="8">
        <v>1E-3</v>
      </c>
    </row>
    <row r="900" spans="1:29" ht="11.65" hidden="1" x14ac:dyDescent="0.35">
      <c r="A900" s="12">
        <v>883</v>
      </c>
      <c r="B900" s="10" t="s">
        <v>1015</v>
      </c>
      <c r="C900" s="11" t="s">
        <v>603</v>
      </c>
      <c r="D900" s="9"/>
      <c r="E900" s="9">
        <v>748</v>
      </c>
      <c r="F900" s="10" t="s">
        <v>1066</v>
      </c>
      <c r="G900" s="9">
        <v>913</v>
      </c>
      <c r="H900" s="9">
        <v>2010</v>
      </c>
      <c r="I900" s="8">
        <v>75.284999999999997</v>
      </c>
      <c r="J900" s="8">
        <v>69.313000000000002</v>
      </c>
      <c r="K900" s="8">
        <v>68.885000000000005</v>
      </c>
      <c r="L900" s="8">
        <v>67.947000000000003</v>
      </c>
      <c r="M900" s="8">
        <v>59.651000000000003</v>
      </c>
      <c r="N900" s="8">
        <v>51.305</v>
      </c>
      <c r="O900" s="8">
        <v>38.939</v>
      </c>
      <c r="P900" s="8">
        <v>31.92</v>
      </c>
      <c r="Q900" s="8">
        <v>22.786999999999999</v>
      </c>
      <c r="R900" s="8">
        <v>16.591999999999999</v>
      </c>
      <c r="S900" s="8">
        <v>12.625999999999999</v>
      </c>
      <c r="T900" s="8">
        <v>11.369</v>
      </c>
      <c r="U900" s="8">
        <v>11.01</v>
      </c>
      <c r="V900" s="8">
        <v>9.2899999999999991</v>
      </c>
      <c r="W900" s="8">
        <v>7.327</v>
      </c>
      <c r="X900" s="8">
        <v>4.7789999999999999</v>
      </c>
      <c r="Y900" s="8">
        <v>2.4830000000000001</v>
      </c>
      <c r="Z900" s="8">
        <v>0.90200000000000002</v>
      </c>
      <c r="AA900" s="8">
        <v>0.21199999999999999</v>
      </c>
      <c r="AB900" s="8">
        <v>0.03</v>
      </c>
      <c r="AC900" s="8">
        <v>3.0000000000000001E-3</v>
      </c>
    </row>
    <row r="901" spans="1:29" ht="11.65" hidden="1" x14ac:dyDescent="0.35">
      <c r="A901" s="12">
        <v>884</v>
      </c>
      <c r="B901" s="10" t="s">
        <v>1015</v>
      </c>
      <c r="C901" s="11" t="s">
        <v>603</v>
      </c>
      <c r="D901" s="9"/>
      <c r="E901" s="9">
        <v>748</v>
      </c>
      <c r="F901" s="10" t="s">
        <v>1066</v>
      </c>
      <c r="G901" s="9">
        <v>913</v>
      </c>
      <c r="H901" s="9">
        <v>2015</v>
      </c>
      <c r="I901" s="8">
        <v>71.927000000000007</v>
      </c>
      <c r="J901" s="8">
        <v>74.033000000000001</v>
      </c>
      <c r="K901" s="8">
        <v>68.930999999999997</v>
      </c>
      <c r="L901" s="8">
        <v>63.768000000000001</v>
      </c>
      <c r="M901" s="8">
        <v>57.981999999999999</v>
      </c>
      <c r="N901" s="8">
        <v>49.045999999999999</v>
      </c>
      <c r="O901" s="8">
        <v>44.732999999999997</v>
      </c>
      <c r="P901" s="8">
        <v>36.460999999999999</v>
      </c>
      <c r="Q901" s="8">
        <v>27.17</v>
      </c>
      <c r="R901" s="8">
        <v>16.945</v>
      </c>
      <c r="S901" s="8">
        <v>11.88</v>
      </c>
      <c r="T901" s="8">
        <v>10.27</v>
      </c>
      <c r="U901" s="8">
        <v>10.367000000000001</v>
      </c>
      <c r="V901" s="8">
        <v>9.8680000000000003</v>
      </c>
      <c r="W901" s="8">
        <v>7.9109999999999996</v>
      </c>
      <c r="X901" s="8">
        <v>5.74</v>
      </c>
      <c r="Y901" s="8">
        <v>3.214</v>
      </c>
      <c r="Z901" s="8">
        <v>1.2330000000000001</v>
      </c>
      <c r="AA901" s="8">
        <v>0.28299999999999997</v>
      </c>
      <c r="AB901" s="8">
        <v>4.1000000000000002E-2</v>
      </c>
      <c r="AC901" s="8">
        <v>5.0000000000000001E-3</v>
      </c>
    </row>
    <row r="902" spans="1:29" ht="11.65" hidden="1" x14ac:dyDescent="0.35">
      <c r="A902" s="12">
        <v>885</v>
      </c>
      <c r="B902" s="10" t="s">
        <v>1015</v>
      </c>
      <c r="C902" s="11" t="s">
        <v>603</v>
      </c>
      <c r="D902" s="9"/>
      <c r="E902" s="9">
        <v>748</v>
      </c>
      <c r="F902" s="10" t="s">
        <v>1066</v>
      </c>
      <c r="G902" s="9">
        <v>913</v>
      </c>
      <c r="H902" s="9">
        <v>2020</v>
      </c>
      <c r="I902" s="8">
        <v>71.155000000000001</v>
      </c>
      <c r="J902" s="8">
        <v>70.983999999999995</v>
      </c>
      <c r="K902" s="8">
        <v>73.683000000000007</v>
      </c>
      <c r="L902" s="8">
        <v>63.872999999999998</v>
      </c>
      <c r="M902" s="8">
        <v>54.058999999999997</v>
      </c>
      <c r="N902" s="8">
        <v>48.32</v>
      </c>
      <c r="O902" s="8">
        <v>44.470999999999997</v>
      </c>
      <c r="P902" s="8">
        <v>44.737000000000002</v>
      </c>
      <c r="Q902" s="8">
        <v>33.948999999999998</v>
      </c>
      <c r="R902" s="8">
        <v>22.423999999999999</v>
      </c>
      <c r="S902" s="8">
        <v>12.971</v>
      </c>
      <c r="T902" s="8">
        <v>9.9969999999999999</v>
      </c>
      <c r="U902" s="8">
        <v>9.6630000000000003</v>
      </c>
      <c r="V902" s="8">
        <v>9.4779999999999998</v>
      </c>
      <c r="W902" s="8">
        <v>8.4670000000000005</v>
      </c>
      <c r="X902" s="8">
        <v>6.1449999999999996</v>
      </c>
      <c r="Y902" s="8">
        <v>3.726</v>
      </c>
      <c r="Z902" s="8">
        <v>1.4710000000000001</v>
      </c>
      <c r="AA902" s="8">
        <v>0.316</v>
      </c>
      <c r="AB902" s="8">
        <v>3.5999999999999997E-2</v>
      </c>
      <c r="AC902" s="8">
        <v>3.0000000000000001E-3</v>
      </c>
    </row>
    <row r="903" spans="1:29" ht="11.65" hidden="1" x14ac:dyDescent="0.35">
      <c r="A903" s="12">
        <v>886</v>
      </c>
      <c r="B903" s="10" t="s">
        <v>1015</v>
      </c>
      <c r="C903" s="11" t="s">
        <v>1086</v>
      </c>
      <c r="D903" s="9"/>
      <c r="E903" s="9">
        <v>426</v>
      </c>
      <c r="F903" s="10" t="s">
        <v>1066</v>
      </c>
      <c r="G903" s="9">
        <v>913</v>
      </c>
      <c r="H903" s="9">
        <v>1950</v>
      </c>
      <c r="I903" s="8">
        <v>60.664000000000001</v>
      </c>
      <c r="J903" s="8">
        <v>48.948999999999998</v>
      </c>
      <c r="K903" s="8">
        <v>42.317999999999998</v>
      </c>
      <c r="L903" s="8">
        <v>36.905999999999999</v>
      </c>
      <c r="M903" s="8">
        <v>31.696000000000002</v>
      </c>
      <c r="N903" s="8">
        <v>28.056000000000001</v>
      </c>
      <c r="O903" s="8">
        <v>24.710999999999999</v>
      </c>
      <c r="P903" s="8">
        <v>21.065000000000001</v>
      </c>
      <c r="Q903" s="8">
        <v>18.629000000000001</v>
      </c>
      <c r="R903" s="8">
        <v>16.048999999999999</v>
      </c>
      <c r="S903" s="8">
        <v>14.972</v>
      </c>
      <c r="T903" s="8">
        <v>13.445</v>
      </c>
      <c r="U903" s="8">
        <v>11.238</v>
      </c>
      <c r="V903" s="8">
        <v>9.0579999999999998</v>
      </c>
      <c r="W903" s="8">
        <v>6.2530000000000001</v>
      </c>
      <c r="X903" s="8">
        <v>3.661</v>
      </c>
      <c r="Y903" s="8">
        <v>1.4390000000000001</v>
      </c>
      <c r="Z903" s="8">
        <v>0.48099999999999998</v>
      </c>
      <c r="AA903" s="8">
        <v>0.106</v>
      </c>
      <c r="AB903" s="8">
        <v>1.4999999999999999E-2</v>
      </c>
      <c r="AC903" s="8">
        <v>1E-3</v>
      </c>
    </row>
    <row r="904" spans="1:29" ht="11.65" hidden="1" x14ac:dyDescent="0.35">
      <c r="A904" s="12">
        <v>887</v>
      </c>
      <c r="B904" s="10" t="s">
        <v>1015</v>
      </c>
      <c r="C904" s="11" t="s">
        <v>1086</v>
      </c>
      <c r="D904" s="9"/>
      <c r="E904" s="9">
        <v>426</v>
      </c>
      <c r="F904" s="10" t="s">
        <v>1066</v>
      </c>
      <c r="G904" s="9">
        <v>913</v>
      </c>
      <c r="H904" s="9">
        <v>1955</v>
      </c>
      <c r="I904" s="8">
        <v>65.334000000000003</v>
      </c>
      <c r="J904" s="8">
        <v>55.968000000000004</v>
      </c>
      <c r="K904" s="8">
        <v>47.511000000000003</v>
      </c>
      <c r="L904" s="8">
        <v>41.023000000000003</v>
      </c>
      <c r="M904" s="8">
        <v>34.960999999999999</v>
      </c>
      <c r="N904" s="8">
        <v>29.460999999999999</v>
      </c>
      <c r="O904" s="8">
        <v>26.032</v>
      </c>
      <c r="P904" s="8">
        <v>23.097000000000001</v>
      </c>
      <c r="Q904" s="8">
        <v>19.805</v>
      </c>
      <c r="R904" s="8">
        <v>17.649000000000001</v>
      </c>
      <c r="S904" s="8">
        <v>15.212</v>
      </c>
      <c r="T904" s="8">
        <v>13.941000000000001</v>
      </c>
      <c r="U904" s="8">
        <v>12.132999999999999</v>
      </c>
      <c r="V904" s="8">
        <v>9.5739999999999998</v>
      </c>
      <c r="W904" s="8">
        <v>7</v>
      </c>
      <c r="X904" s="8">
        <v>4.125</v>
      </c>
      <c r="Y904" s="8">
        <v>1.855</v>
      </c>
      <c r="Z904" s="8">
        <v>0.47399999999999998</v>
      </c>
      <c r="AA904" s="8">
        <v>8.1000000000000003E-2</v>
      </c>
      <c r="AB904" s="8">
        <v>8.9999999999999993E-3</v>
      </c>
      <c r="AC904" s="8">
        <v>1E-3</v>
      </c>
    </row>
    <row r="905" spans="1:29" ht="11.65" hidden="1" x14ac:dyDescent="0.35">
      <c r="A905" s="12">
        <v>888</v>
      </c>
      <c r="B905" s="10" t="s">
        <v>1015</v>
      </c>
      <c r="C905" s="11" t="s">
        <v>1086</v>
      </c>
      <c r="D905" s="9"/>
      <c r="E905" s="9">
        <v>426</v>
      </c>
      <c r="F905" s="10" t="s">
        <v>1066</v>
      </c>
      <c r="G905" s="9">
        <v>913</v>
      </c>
      <c r="H905" s="9">
        <v>1960</v>
      </c>
      <c r="I905" s="8">
        <v>72.822000000000003</v>
      </c>
      <c r="J905" s="8">
        <v>60.896000000000001</v>
      </c>
      <c r="K905" s="8">
        <v>54.521999999999998</v>
      </c>
      <c r="L905" s="8">
        <v>46.110999999999997</v>
      </c>
      <c r="M905" s="8">
        <v>38.756999999999998</v>
      </c>
      <c r="N905" s="8">
        <v>32.290999999999997</v>
      </c>
      <c r="O905" s="8">
        <v>27.093</v>
      </c>
      <c r="P905" s="8">
        <v>24.184999999999999</v>
      </c>
      <c r="Q905" s="8">
        <v>21.664000000000001</v>
      </c>
      <c r="R905" s="8">
        <v>18.759</v>
      </c>
      <c r="S905" s="8">
        <v>16.760999999999999</v>
      </c>
      <c r="T905" s="8">
        <v>14.201000000000001</v>
      </c>
      <c r="U905" s="8">
        <v>12.625999999999999</v>
      </c>
      <c r="V905" s="8">
        <v>10.391</v>
      </c>
      <c r="W905" s="8">
        <v>7.45</v>
      </c>
      <c r="X905" s="8">
        <v>4.6550000000000002</v>
      </c>
      <c r="Y905" s="8">
        <v>2.1040000000000001</v>
      </c>
      <c r="Z905" s="8">
        <v>0.60899999999999999</v>
      </c>
      <c r="AA905" s="8">
        <v>7.6999999999999999E-2</v>
      </c>
      <c r="AB905" s="8">
        <v>6.0000000000000001E-3</v>
      </c>
      <c r="AC905" s="8">
        <v>0</v>
      </c>
    </row>
    <row r="906" spans="1:29" ht="11.65" hidden="1" x14ac:dyDescent="0.35">
      <c r="A906" s="12">
        <v>889</v>
      </c>
      <c r="B906" s="10" t="s">
        <v>1015</v>
      </c>
      <c r="C906" s="11" t="s">
        <v>1086</v>
      </c>
      <c r="D906" s="9"/>
      <c r="E906" s="9">
        <v>426</v>
      </c>
      <c r="F906" s="10" t="s">
        <v>1066</v>
      </c>
      <c r="G906" s="9">
        <v>913</v>
      </c>
      <c r="H906" s="9">
        <v>1965</v>
      </c>
      <c r="I906" s="8">
        <v>80.5</v>
      </c>
      <c r="J906" s="8">
        <v>68.227999999999994</v>
      </c>
      <c r="K906" s="8">
        <v>59.463000000000001</v>
      </c>
      <c r="L906" s="8">
        <v>53.097000000000001</v>
      </c>
      <c r="M906" s="8">
        <v>43.862000000000002</v>
      </c>
      <c r="N906" s="8">
        <v>36.131</v>
      </c>
      <c r="O906" s="8">
        <v>29.971</v>
      </c>
      <c r="P906" s="8">
        <v>25.314</v>
      </c>
      <c r="Q906" s="8">
        <v>22.797999999999998</v>
      </c>
      <c r="R906" s="8">
        <v>20.605</v>
      </c>
      <c r="S906" s="8">
        <v>17.867000000000001</v>
      </c>
      <c r="T906" s="8">
        <v>15.7</v>
      </c>
      <c r="U906" s="8">
        <v>12.917999999999999</v>
      </c>
      <c r="V906" s="8">
        <v>10.872999999999999</v>
      </c>
      <c r="W906" s="8">
        <v>8.141</v>
      </c>
      <c r="X906" s="8">
        <v>4.9969999999999999</v>
      </c>
      <c r="Y906" s="8">
        <v>2.4</v>
      </c>
      <c r="Z906" s="8">
        <v>0.69899999999999995</v>
      </c>
      <c r="AA906" s="8">
        <v>9.9000000000000005E-2</v>
      </c>
      <c r="AB906" s="8">
        <v>5.0000000000000001E-3</v>
      </c>
      <c r="AC906" s="8">
        <v>0</v>
      </c>
    </row>
    <row r="907" spans="1:29" ht="11.65" hidden="1" x14ac:dyDescent="0.35">
      <c r="A907" s="12">
        <v>890</v>
      </c>
      <c r="B907" s="10" t="s">
        <v>1015</v>
      </c>
      <c r="C907" s="11" t="s">
        <v>1086</v>
      </c>
      <c r="D907" s="9"/>
      <c r="E907" s="9">
        <v>426</v>
      </c>
      <c r="F907" s="10" t="s">
        <v>1066</v>
      </c>
      <c r="G907" s="9">
        <v>913</v>
      </c>
      <c r="H907" s="9">
        <v>1970</v>
      </c>
      <c r="I907" s="8">
        <v>90.989000000000004</v>
      </c>
      <c r="J907" s="8">
        <v>75.671000000000006</v>
      </c>
      <c r="K907" s="8">
        <v>66.754999999999995</v>
      </c>
      <c r="L907" s="8">
        <v>58.073999999999998</v>
      </c>
      <c r="M907" s="8">
        <v>50.926000000000002</v>
      </c>
      <c r="N907" s="8">
        <v>41.384999999999998</v>
      </c>
      <c r="O907" s="8">
        <v>33.950000000000003</v>
      </c>
      <c r="P907" s="8">
        <v>28.292999999999999</v>
      </c>
      <c r="Q907" s="8">
        <v>24.021000000000001</v>
      </c>
      <c r="R907" s="8">
        <v>21.785</v>
      </c>
      <c r="S907" s="8">
        <v>19.695</v>
      </c>
      <c r="T907" s="8">
        <v>16.805</v>
      </c>
      <c r="U907" s="8">
        <v>14.353999999999999</v>
      </c>
      <c r="V907" s="8">
        <v>11.194000000000001</v>
      </c>
      <c r="W907" s="8">
        <v>8.5920000000000005</v>
      </c>
      <c r="X907" s="8">
        <v>5.52</v>
      </c>
      <c r="Y907" s="8">
        <v>2.6139999999999999</v>
      </c>
      <c r="Z907" s="8">
        <v>0.81100000000000005</v>
      </c>
      <c r="AA907" s="8">
        <v>0.11600000000000001</v>
      </c>
      <c r="AB907" s="8">
        <v>6.0000000000000001E-3</v>
      </c>
      <c r="AC907" s="8">
        <v>0</v>
      </c>
    </row>
    <row r="908" spans="1:29" ht="11.65" hidden="1" x14ac:dyDescent="0.35">
      <c r="A908" s="12">
        <v>891</v>
      </c>
      <c r="B908" s="10" t="s">
        <v>1015</v>
      </c>
      <c r="C908" s="11" t="s">
        <v>1086</v>
      </c>
      <c r="D908" s="9"/>
      <c r="E908" s="9">
        <v>426</v>
      </c>
      <c r="F908" s="10" t="s">
        <v>1066</v>
      </c>
      <c r="G908" s="9">
        <v>913</v>
      </c>
      <c r="H908" s="9">
        <v>1975</v>
      </c>
      <c r="I908" s="8">
        <v>104.881</v>
      </c>
      <c r="J908" s="8">
        <v>86.51</v>
      </c>
      <c r="K908" s="8">
        <v>74.268000000000001</v>
      </c>
      <c r="L908" s="8">
        <v>65.296000000000006</v>
      </c>
      <c r="M908" s="8">
        <v>56.085999999999999</v>
      </c>
      <c r="N908" s="8">
        <v>48.48</v>
      </c>
      <c r="O908" s="8">
        <v>39.280999999999999</v>
      </c>
      <c r="P908" s="8">
        <v>32.335999999999999</v>
      </c>
      <c r="Q908" s="8">
        <v>27.010999999999999</v>
      </c>
      <c r="R908" s="8">
        <v>23.26</v>
      </c>
      <c r="S908" s="8">
        <v>21.41</v>
      </c>
      <c r="T908" s="8">
        <v>18.95</v>
      </c>
      <c r="U908" s="8">
        <v>15.587</v>
      </c>
      <c r="V908" s="8">
        <v>12.752000000000001</v>
      </c>
      <c r="W908" s="8">
        <v>9.0649999999999995</v>
      </c>
      <c r="X908" s="8">
        <v>5.9050000000000002</v>
      </c>
      <c r="Y908" s="8">
        <v>2.9590000000000001</v>
      </c>
      <c r="Z908" s="8">
        <v>0.91</v>
      </c>
      <c r="AA908" s="8">
        <v>0.13800000000000001</v>
      </c>
      <c r="AB908" s="8">
        <v>8.0000000000000002E-3</v>
      </c>
      <c r="AC908" s="8">
        <v>0</v>
      </c>
    </row>
    <row r="909" spans="1:29" ht="11.65" hidden="1" x14ac:dyDescent="0.35">
      <c r="A909" s="12">
        <v>892</v>
      </c>
      <c r="B909" s="10" t="s">
        <v>1015</v>
      </c>
      <c r="C909" s="11" t="s">
        <v>1086</v>
      </c>
      <c r="D909" s="9"/>
      <c r="E909" s="9">
        <v>426</v>
      </c>
      <c r="F909" s="10" t="s">
        <v>1066</v>
      </c>
      <c r="G909" s="9">
        <v>913</v>
      </c>
      <c r="H909" s="9">
        <v>1980</v>
      </c>
      <c r="I909" s="8">
        <v>119.746</v>
      </c>
      <c r="J909" s="8">
        <v>101.27</v>
      </c>
      <c r="K909" s="8">
        <v>85.802000000000007</v>
      </c>
      <c r="L909" s="8">
        <v>73.578000000000003</v>
      </c>
      <c r="M909" s="8">
        <v>64.165000000000006</v>
      </c>
      <c r="N909" s="8">
        <v>53.899000000000001</v>
      </c>
      <c r="O909" s="8">
        <v>46.225999999999999</v>
      </c>
      <c r="P909" s="8">
        <v>37.459000000000003</v>
      </c>
      <c r="Q909" s="8">
        <v>30.609000000000002</v>
      </c>
      <c r="R909" s="8">
        <v>26.082999999999998</v>
      </c>
      <c r="S909" s="8">
        <v>22.984000000000002</v>
      </c>
      <c r="T909" s="8">
        <v>20.652999999999999</v>
      </c>
      <c r="U909" s="8">
        <v>17.622</v>
      </c>
      <c r="V909" s="8">
        <v>13.929</v>
      </c>
      <c r="W909" s="8">
        <v>10.412000000000001</v>
      </c>
      <c r="X909" s="8">
        <v>6.3390000000000004</v>
      </c>
      <c r="Y909" s="8">
        <v>3.2549999999999999</v>
      </c>
      <c r="Z909" s="8">
        <v>1.0580000000000001</v>
      </c>
      <c r="AA909" s="8">
        <v>0.156</v>
      </c>
      <c r="AB909" s="8">
        <v>8.9999999999999993E-3</v>
      </c>
      <c r="AC909" s="8">
        <v>0</v>
      </c>
    </row>
    <row r="910" spans="1:29" ht="11.65" hidden="1" x14ac:dyDescent="0.35">
      <c r="A910" s="12">
        <v>893</v>
      </c>
      <c r="B910" s="10" t="s">
        <v>1015</v>
      </c>
      <c r="C910" s="11" t="s">
        <v>1086</v>
      </c>
      <c r="D910" s="9"/>
      <c r="E910" s="9">
        <v>426</v>
      </c>
      <c r="F910" s="10" t="s">
        <v>1066</v>
      </c>
      <c r="G910" s="9">
        <v>913</v>
      </c>
      <c r="H910" s="9">
        <v>1985</v>
      </c>
      <c r="I910" s="8">
        <v>132.566</v>
      </c>
      <c r="J910" s="8">
        <v>116.702</v>
      </c>
      <c r="K910" s="8">
        <v>100.45699999999999</v>
      </c>
      <c r="L910" s="8">
        <v>84.665999999999997</v>
      </c>
      <c r="M910" s="8">
        <v>71.64</v>
      </c>
      <c r="N910" s="8">
        <v>60.92</v>
      </c>
      <c r="O910" s="8">
        <v>50.832999999999998</v>
      </c>
      <c r="P910" s="8">
        <v>43.837000000000003</v>
      </c>
      <c r="Q910" s="8">
        <v>35.427999999999997</v>
      </c>
      <c r="R910" s="8">
        <v>29.698</v>
      </c>
      <c r="S910" s="8">
        <v>26.129000000000001</v>
      </c>
      <c r="T910" s="8">
        <v>22.484999999999999</v>
      </c>
      <c r="U910" s="8">
        <v>19.420000000000002</v>
      </c>
      <c r="V910" s="8">
        <v>16.024000000000001</v>
      </c>
      <c r="W910" s="8">
        <v>11.615</v>
      </c>
      <c r="X910" s="8">
        <v>7.4279999999999999</v>
      </c>
      <c r="Y910" s="8">
        <v>3.593</v>
      </c>
      <c r="Z910" s="8">
        <v>1.2030000000000001</v>
      </c>
      <c r="AA910" s="8">
        <v>0.185</v>
      </c>
      <c r="AB910" s="8">
        <v>8.9999999999999993E-3</v>
      </c>
      <c r="AC910" s="8">
        <v>0</v>
      </c>
    </row>
    <row r="911" spans="1:29" ht="11.65" hidden="1" x14ac:dyDescent="0.35">
      <c r="A911" s="12">
        <v>894</v>
      </c>
      <c r="B911" s="10" t="s">
        <v>1015</v>
      </c>
      <c r="C911" s="11" t="s">
        <v>1086</v>
      </c>
      <c r="D911" s="9"/>
      <c r="E911" s="9">
        <v>426</v>
      </c>
      <c r="F911" s="10" t="s">
        <v>1066</v>
      </c>
      <c r="G911" s="9">
        <v>913</v>
      </c>
      <c r="H911" s="9">
        <v>1990</v>
      </c>
      <c r="I911" s="8">
        <v>137.15600000000001</v>
      </c>
      <c r="J911" s="8">
        <v>130.76</v>
      </c>
      <c r="K911" s="8">
        <v>116.85</v>
      </c>
      <c r="L911" s="8">
        <v>99.111999999999995</v>
      </c>
      <c r="M911" s="8">
        <v>81.129000000000005</v>
      </c>
      <c r="N911" s="8">
        <v>63.62</v>
      </c>
      <c r="O911" s="8">
        <v>53.058999999999997</v>
      </c>
      <c r="P911" s="8">
        <v>45.037999999999997</v>
      </c>
      <c r="Q911" s="8">
        <v>38.826999999999998</v>
      </c>
      <c r="R911" s="8">
        <v>34.11</v>
      </c>
      <c r="S911" s="8">
        <v>31.716000000000001</v>
      </c>
      <c r="T911" s="8">
        <v>26.751000000000001</v>
      </c>
      <c r="U911" s="8">
        <v>21.550999999999998</v>
      </c>
      <c r="V911" s="8">
        <v>18.404</v>
      </c>
      <c r="W911" s="8">
        <v>13.778</v>
      </c>
      <c r="X911" s="8">
        <v>8.343</v>
      </c>
      <c r="Y911" s="8">
        <v>4.3819999999999997</v>
      </c>
      <c r="Z911" s="8">
        <v>1.4</v>
      </c>
      <c r="AA911" s="8">
        <v>0.21199999999999999</v>
      </c>
      <c r="AB911" s="8">
        <v>1.2E-2</v>
      </c>
      <c r="AC911" s="8">
        <v>0</v>
      </c>
    </row>
    <row r="912" spans="1:29" ht="11.65" hidden="1" x14ac:dyDescent="0.35">
      <c r="A912" s="12">
        <v>895</v>
      </c>
      <c r="B912" s="10" t="s">
        <v>1015</v>
      </c>
      <c r="C912" s="11" t="s">
        <v>1086</v>
      </c>
      <c r="D912" s="9"/>
      <c r="E912" s="9">
        <v>426</v>
      </c>
      <c r="F912" s="10" t="s">
        <v>1066</v>
      </c>
      <c r="G912" s="9">
        <v>913</v>
      </c>
      <c r="H912" s="9">
        <v>1995</v>
      </c>
      <c r="I912" s="8">
        <v>136.11199999999999</v>
      </c>
      <c r="J912" s="8">
        <v>135.251</v>
      </c>
      <c r="K912" s="8">
        <v>130.66</v>
      </c>
      <c r="L912" s="8">
        <v>113.217</v>
      </c>
      <c r="M912" s="8">
        <v>90.867000000000004</v>
      </c>
      <c r="N912" s="8">
        <v>70.727000000000004</v>
      </c>
      <c r="O912" s="8">
        <v>55.445999999999998</v>
      </c>
      <c r="P912" s="8">
        <v>47.279000000000003</v>
      </c>
      <c r="Q912" s="8">
        <v>40.109000000000002</v>
      </c>
      <c r="R912" s="8">
        <v>32.680999999999997</v>
      </c>
      <c r="S912" s="8">
        <v>26.913</v>
      </c>
      <c r="T912" s="8">
        <v>23.105</v>
      </c>
      <c r="U912" s="8">
        <v>21.335000000000001</v>
      </c>
      <c r="V912" s="8">
        <v>20.103000000000002</v>
      </c>
      <c r="W912" s="8">
        <v>15.602</v>
      </c>
      <c r="X912" s="8">
        <v>9.8320000000000007</v>
      </c>
      <c r="Y912" s="8">
        <v>4.8280000000000003</v>
      </c>
      <c r="Z912" s="8">
        <v>1.6359999999999999</v>
      </c>
      <c r="AA912" s="8">
        <v>0.23499999999999999</v>
      </c>
      <c r="AB912" s="8">
        <v>1.4999999999999999E-2</v>
      </c>
      <c r="AC912" s="8">
        <v>0</v>
      </c>
    </row>
    <row r="913" spans="1:29" ht="11.65" hidden="1" x14ac:dyDescent="0.35">
      <c r="A913" s="12">
        <v>896</v>
      </c>
      <c r="B913" s="10" t="s">
        <v>1015</v>
      </c>
      <c r="C913" s="11" t="s">
        <v>1086</v>
      </c>
      <c r="D913" s="9"/>
      <c r="E913" s="9">
        <v>426</v>
      </c>
      <c r="F913" s="10" t="s">
        <v>1066</v>
      </c>
      <c r="G913" s="9">
        <v>913</v>
      </c>
      <c r="H913" s="9">
        <v>2000</v>
      </c>
      <c r="I913" s="8">
        <v>137.33699999999999</v>
      </c>
      <c r="J913" s="8">
        <v>133.13999999999999</v>
      </c>
      <c r="K913" s="8">
        <v>134.44800000000001</v>
      </c>
      <c r="L913" s="8">
        <v>129.07</v>
      </c>
      <c r="M913" s="8">
        <v>110.04900000000001</v>
      </c>
      <c r="N913" s="8">
        <v>85.063999999999993</v>
      </c>
      <c r="O913" s="8">
        <v>64.603999999999999</v>
      </c>
      <c r="P913" s="8">
        <v>50.098999999999997</v>
      </c>
      <c r="Q913" s="8">
        <v>42.470999999999997</v>
      </c>
      <c r="R913" s="8">
        <v>37.270000000000003</v>
      </c>
      <c r="S913" s="8">
        <v>31.63</v>
      </c>
      <c r="T913" s="8">
        <v>25.538</v>
      </c>
      <c r="U913" s="8">
        <v>21.100999999999999</v>
      </c>
      <c r="V913" s="8">
        <v>18.992999999999999</v>
      </c>
      <c r="W913" s="8">
        <v>16.478000000000002</v>
      </c>
      <c r="X913" s="8">
        <v>11.095000000000001</v>
      </c>
      <c r="Y913" s="8">
        <v>5.6210000000000004</v>
      </c>
      <c r="Z913" s="8">
        <v>1.7929999999999999</v>
      </c>
      <c r="AA913" s="8">
        <v>0.29899999999999999</v>
      </c>
      <c r="AB913" s="8">
        <v>0.02</v>
      </c>
      <c r="AC913" s="8">
        <v>1E-3</v>
      </c>
    </row>
    <row r="914" spans="1:29" ht="11.65" hidden="1" x14ac:dyDescent="0.35">
      <c r="A914" s="12">
        <v>897</v>
      </c>
      <c r="B914" s="10" t="s">
        <v>1015</v>
      </c>
      <c r="C914" s="11" t="s">
        <v>1086</v>
      </c>
      <c r="D914" s="9"/>
      <c r="E914" s="9">
        <v>426</v>
      </c>
      <c r="F914" s="10" t="s">
        <v>1066</v>
      </c>
      <c r="G914" s="9">
        <v>913</v>
      </c>
      <c r="H914" s="9">
        <v>2005</v>
      </c>
      <c r="I914" s="8">
        <v>130.82300000000001</v>
      </c>
      <c r="J914" s="8">
        <v>118.063</v>
      </c>
      <c r="K914" s="8">
        <v>120.616</v>
      </c>
      <c r="L914" s="8">
        <v>122.624</v>
      </c>
      <c r="M914" s="8">
        <v>114.81699999999999</v>
      </c>
      <c r="N914" s="8">
        <v>91.167000000000002</v>
      </c>
      <c r="O914" s="8">
        <v>65.481999999999999</v>
      </c>
      <c r="P914" s="8">
        <v>49.621000000000002</v>
      </c>
      <c r="Q914" s="8">
        <v>41.112000000000002</v>
      </c>
      <c r="R914" s="8">
        <v>37.075000000000003</v>
      </c>
      <c r="S914" s="8">
        <v>33.140999999999998</v>
      </c>
      <c r="T914" s="8">
        <v>27.891999999999999</v>
      </c>
      <c r="U914" s="8">
        <v>21.815000000000001</v>
      </c>
      <c r="V914" s="8">
        <v>17.867999999999999</v>
      </c>
      <c r="W914" s="8">
        <v>16.803000000000001</v>
      </c>
      <c r="X914" s="8">
        <v>13.087999999999999</v>
      </c>
      <c r="Y914" s="8">
        <v>6.86</v>
      </c>
      <c r="Z914" s="8">
        <v>2.4969999999999999</v>
      </c>
      <c r="AA914" s="8">
        <v>0.49099999999999999</v>
      </c>
      <c r="AB914" s="8">
        <v>5.2999999999999999E-2</v>
      </c>
      <c r="AC914" s="8">
        <v>3.0000000000000001E-3</v>
      </c>
    </row>
    <row r="915" spans="1:29" ht="11.65" hidden="1" x14ac:dyDescent="0.35">
      <c r="A915" s="12">
        <v>898</v>
      </c>
      <c r="B915" s="10" t="s">
        <v>1015</v>
      </c>
      <c r="C915" s="11" t="s">
        <v>1086</v>
      </c>
      <c r="D915" s="9"/>
      <c r="E915" s="9">
        <v>426</v>
      </c>
      <c r="F915" s="10" t="s">
        <v>1066</v>
      </c>
      <c r="G915" s="9">
        <v>913</v>
      </c>
      <c r="H915" s="9">
        <v>2010</v>
      </c>
      <c r="I915" s="8">
        <v>123.98699999999999</v>
      </c>
      <c r="J915" s="8">
        <v>114.012</v>
      </c>
      <c r="K915" s="8">
        <v>109.81</v>
      </c>
      <c r="L915" s="8">
        <v>113.50700000000001</v>
      </c>
      <c r="M915" s="8">
        <v>112.435</v>
      </c>
      <c r="N915" s="8">
        <v>98.38</v>
      </c>
      <c r="O915" s="8">
        <v>71.930999999999997</v>
      </c>
      <c r="P915" s="8">
        <v>49.722000000000001</v>
      </c>
      <c r="Q915" s="8">
        <v>40.078000000000003</v>
      </c>
      <c r="R915" s="8">
        <v>36.826999999999998</v>
      </c>
      <c r="S915" s="8">
        <v>35.465000000000003</v>
      </c>
      <c r="T915" s="8">
        <v>32.073999999999998</v>
      </c>
      <c r="U915" s="8">
        <v>26.001999999999999</v>
      </c>
      <c r="V915" s="8">
        <v>19.539000000000001</v>
      </c>
      <c r="W915" s="8">
        <v>15.382999999999999</v>
      </c>
      <c r="X915" s="8">
        <v>13.343</v>
      </c>
      <c r="Y915" s="8">
        <v>8.9499999999999993</v>
      </c>
      <c r="Z915" s="8">
        <v>3.3660000000000001</v>
      </c>
      <c r="AA915" s="8">
        <v>0.752</v>
      </c>
      <c r="AB915" s="8">
        <v>0.10199999999999999</v>
      </c>
      <c r="AC915" s="8">
        <v>8.9999999999999993E-3</v>
      </c>
    </row>
    <row r="916" spans="1:29" ht="11.65" hidden="1" x14ac:dyDescent="0.35">
      <c r="A916" s="12">
        <v>899</v>
      </c>
      <c r="B916" s="10" t="s">
        <v>1015</v>
      </c>
      <c r="C916" s="11" t="s">
        <v>1086</v>
      </c>
      <c r="D916" s="9"/>
      <c r="E916" s="9">
        <v>426</v>
      </c>
      <c r="F916" s="10" t="s">
        <v>1066</v>
      </c>
      <c r="G916" s="9">
        <v>913</v>
      </c>
      <c r="H916" s="9">
        <v>2015</v>
      </c>
      <c r="I916" s="8">
        <v>121.312</v>
      </c>
      <c r="J916" s="8">
        <v>110.354</v>
      </c>
      <c r="K916" s="8">
        <v>112.241</v>
      </c>
      <c r="L916" s="8">
        <v>107.08199999999999</v>
      </c>
      <c r="M916" s="8">
        <v>103.616</v>
      </c>
      <c r="N916" s="8">
        <v>94.058999999999997</v>
      </c>
      <c r="O916" s="8">
        <v>79.554000000000002</v>
      </c>
      <c r="P916" s="8">
        <v>60.841000000000001</v>
      </c>
      <c r="Q916" s="8">
        <v>47.603000000000002</v>
      </c>
      <c r="R916" s="8">
        <v>41.981000000000002</v>
      </c>
      <c r="S916" s="8">
        <v>39.563000000000002</v>
      </c>
      <c r="T916" s="8">
        <v>35.999000000000002</v>
      </c>
      <c r="U916" s="8">
        <v>29.134</v>
      </c>
      <c r="V916" s="8">
        <v>21.776</v>
      </c>
      <c r="W916" s="8">
        <v>16.015000000000001</v>
      </c>
      <c r="X916" s="8">
        <v>12.148</v>
      </c>
      <c r="Y916" s="8">
        <v>8.7970000000000006</v>
      </c>
      <c r="Z916" s="8">
        <v>4.016</v>
      </c>
      <c r="AA916" s="8">
        <v>0.86499999999999999</v>
      </c>
      <c r="AB916" s="8">
        <v>0.114</v>
      </c>
      <c r="AC916" s="8">
        <v>1.2E-2</v>
      </c>
    </row>
    <row r="917" spans="1:29" ht="11.65" hidden="1" x14ac:dyDescent="0.35">
      <c r="A917" s="12">
        <v>900</v>
      </c>
      <c r="B917" s="10" t="s">
        <v>1015</v>
      </c>
      <c r="C917" s="11" t="s">
        <v>1086</v>
      </c>
      <c r="D917" s="9"/>
      <c r="E917" s="9">
        <v>426</v>
      </c>
      <c r="F917" s="10" t="s">
        <v>1066</v>
      </c>
      <c r="G917" s="9">
        <v>913</v>
      </c>
      <c r="H917" s="9">
        <v>2020</v>
      </c>
      <c r="I917" s="8">
        <v>125.892</v>
      </c>
      <c r="J917" s="8">
        <v>112.6</v>
      </c>
      <c r="K917" s="8">
        <v>106.477</v>
      </c>
      <c r="L917" s="8">
        <v>108.465</v>
      </c>
      <c r="M917" s="8">
        <v>101.14100000000001</v>
      </c>
      <c r="N917" s="8">
        <v>94.492999999999995</v>
      </c>
      <c r="O917" s="8">
        <v>84.138999999999996</v>
      </c>
      <c r="P917" s="8">
        <v>71.768000000000001</v>
      </c>
      <c r="Q917" s="8">
        <v>56.426000000000002</v>
      </c>
      <c r="R917" s="8">
        <v>45.393000000000001</v>
      </c>
      <c r="S917" s="8">
        <v>40.383000000000003</v>
      </c>
      <c r="T917" s="8">
        <v>37.365000000000002</v>
      </c>
      <c r="U917" s="8">
        <v>32.676000000000002</v>
      </c>
      <c r="V917" s="8">
        <v>25.361999999999998</v>
      </c>
      <c r="W917" s="8">
        <v>18.198</v>
      </c>
      <c r="X917" s="8">
        <v>12.193</v>
      </c>
      <c r="Y917" s="8">
        <v>7.5439999999999996</v>
      </c>
      <c r="Z917" s="8">
        <v>3.7290000000000001</v>
      </c>
      <c r="AA917" s="8">
        <v>0.94299999999999995</v>
      </c>
      <c r="AB917" s="8">
        <v>0.105</v>
      </c>
      <c r="AC917" s="8">
        <v>0.01</v>
      </c>
    </row>
    <row r="918" spans="1:29" ht="11.65" hidden="1" x14ac:dyDescent="0.35">
      <c r="A918" s="12">
        <v>901</v>
      </c>
      <c r="B918" s="10" t="s">
        <v>1015</v>
      </c>
      <c r="C918" s="11" t="s">
        <v>598</v>
      </c>
      <c r="D918" s="9"/>
      <c r="E918" s="9">
        <v>516</v>
      </c>
      <c r="F918" s="10" t="s">
        <v>1066</v>
      </c>
      <c r="G918" s="9">
        <v>913</v>
      </c>
      <c r="H918" s="9">
        <v>1950</v>
      </c>
      <c r="I918" s="8">
        <v>39.597999999999999</v>
      </c>
      <c r="J918" s="8">
        <v>31.678000000000001</v>
      </c>
      <c r="K918" s="8">
        <v>26.728999999999999</v>
      </c>
      <c r="L918" s="8">
        <v>24.305</v>
      </c>
      <c r="M918" s="8">
        <v>23.088000000000001</v>
      </c>
      <c r="N918" s="8">
        <v>19.861000000000001</v>
      </c>
      <c r="O918" s="8">
        <v>17.843</v>
      </c>
      <c r="P918" s="8">
        <v>15.409000000000001</v>
      </c>
      <c r="Q918" s="8">
        <v>13.108000000000001</v>
      </c>
      <c r="R918" s="8">
        <v>11.701000000000001</v>
      </c>
      <c r="S918" s="8">
        <v>9.5570000000000004</v>
      </c>
      <c r="T918" s="8">
        <v>7.819</v>
      </c>
      <c r="U918" s="8">
        <v>6.952</v>
      </c>
      <c r="V918" s="8">
        <v>5.2130000000000001</v>
      </c>
      <c r="W918" s="8">
        <v>3.476</v>
      </c>
      <c r="X918" s="8">
        <v>1.7370000000000001</v>
      </c>
      <c r="Y918" s="8">
        <v>0.61099999999999999</v>
      </c>
      <c r="Z918" s="8">
        <v>0.20100000000000001</v>
      </c>
      <c r="AA918" s="8">
        <v>4.4999999999999998E-2</v>
      </c>
      <c r="AB918" s="8">
        <v>6.0000000000000001E-3</v>
      </c>
      <c r="AC918" s="8">
        <v>0</v>
      </c>
    </row>
    <row r="919" spans="1:29" ht="11.65" hidden="1" x14ac:dyDescent="0.35">
      <c r="A919" s="12">
        <v>902</v>
      </c>
      <c r="B919" s="10" t="s">
        <v>1015</v>
      </c>
      <c r="C919" s="11" t="s">
        <v>598</v>
      </c>
      <c r="D919" s="9"/>
      <c r="E919" s="9">
        <v>516</v>
      </c>
      <c r="F919" s="10" t="s">
        <v>1066</v>
      </c>
      <c r="G919" s="9">
        <v>913</v>
      </c>
      <c r="H919" s="9">
        <v>1955</v>
      </c>
      <c r="I919" s="8">
        <v>47.73</v>
      </c>
      <c r="J919" s="8">
        <v>35.92</v>
      </c>
      <c r="K919" s="8">
        <v>30.486000000000001</v>
      </c>
      <c r="L919" s="8">
        <v>25.952000000000002</v>
      </c>
      <c r="M919" s="8">
        <v>23.492999999999999</v>
      </c>
      <c r="N919" s="8">
        <v>22.161000000000001</v>
      </c>
      <c r="O919" s="8">
        <v>18.922999999999998</v>
      </c>
      <c r="P919" s="8">
        <v>16.88</v>
      </c>
      <c r="Q919" s="8">
        <v>14.484</v>
      </c>
      <c r="R919" s="8">
        <v>12.262</v>
      </c>
      <c r="S919" s="8">
        <v>10.842000000000001</v>
      </c>
      <c r="T919" s="8">
        <v>8.6869999999999994</v>
      </c>
      <c r="U919" s="8">
        <v>6.8710000000000004</v>
      </c>
      <c r="V919" s="8">
        <v>5.7480000000000002</v>
      </c>
      <c r="W919" s="8">
        <v>3.9049999999999998</v>
      </c>
      <c r="X919" s="8">
        <v>2.2229999999999999</v>
      </c>
      <c r="Y919" s="8">
        <v>0.86099999999999999</v>
      </c>
      <c r="Z919" s="8">
        <v>0.20100000000000001</v>
      </c>
      <c r="AA919" s="8">
        <v>3.5000000000000003E-2</v>
      </c>
      <c r="AB919" s="8">
        <v>4.0000000000000001E-3</v>
      </c>
      <c r="AC919" s="8">
        <v>0</v>
      </c>
    </row>
    <row r="920" spans="1:29" ht="11.65" hidden="1" x14ac:dyDescent="0.35">
      <c r="A920" s="12">
        <v>903</v>
      </c>
      <c r="B920" s="10" t="s">
        <v>1015</v>
      </c>
      <c r="C920" s="11" t="s">
        <v>598</v>
      </c>
      <c r="D920" s="9"/>
      <c r="E920" s="9">
        <v>516</v>
      </c>
      <c r="F920" s="10" t="s">
        <v>1066</v>
      </c>
      <c r="G920" s="9">
        <v>913</v>
      </c>
      <c r="H920" s="9">
        <v>1960</v>
      </c>
      <c r="I920" s="8">
        <v>53.54</v>
      </c>
      <c r="J920" s="8">
        <v>44.161000000000001</v>
      </c>
      <c r="K920" s="8">
        <v>34.868000000000002</v>
      </c>
      <c r="L920" s="8">
        <v>29.776</v>
      </c>
      <c r="M920" s="8">
        <v>25.231999999999999</v>
      </c>
      <c r="N920" s="8">
        <v>22.695</v>
      </c>
      <c r="O920" s="8">
        <v>21.268999999999998</v>
      </c>
      <c r="P920" s="8">
        <v>18.044</v>
      </c>
      <c r="Q920" s="8">
        <v>15.992000000000001</v>
      </c>
      <c r="R920" s="8">
        <v>13.647</v>
      </c>
      <c r="S920" s="8">
        <v>11.443</v>
      </c>
      <c r="T920" s="8">
        <v>9.9309999999999992</v>
      </c>
      <c r="U920" s="8">
        <v>7.7</v>
      </c>
      <c r="V920" s="8">
        <v>5.74</v>
      </c>
      <c r="W920" s="8">
        <v>4.3490000000000002</v>
      </c>
      <c r="X920" s="8">
        <v>2.5169999999999999</v>
      </c>
      <c r="Y920" s="8">
        <v>1.101</v>
      </c>
      <c r="Z920" s="8">
        <v>0.27600000000000002</v>
      </c>
      <c r="AA920" s="8">
        <v>3.3000000000000002E-2</v>
      </c>
      <c r="AB920" s="8">
        <v>3.0000000000000001E-3</v>
      </c>
      <c r="AC920" s="8">
        <v>0</v>
      </c>
    </row>
    <row r="921" spans="1:29" ht="11.65" hidden="1" x14ac:dyDescent="0.35">
      <c r="A921" s="12">
        <v>904</v>
      </c>
      <c r="B921" s="10" t="s">
        <v>1015</v>
      </c>
      <c r="C921" s="11" t="s">
        <v>598</v>
      </c>
      <c r="D921" s="9"/>
      <c r="E921" s="9">
        <v>516</v>
      </c>
      <c r="F921" s="10" t="s">
        <v>1066</v>
      </c>
      <c r="G921" s="9">
        <v>913</v>
      </c>
      <c r="H921" s="9">
        <v>1965</v>
      </c>
      <c r="I921" s="8">
        <v>61.088000000000001</v>
      </c>
      <c r="J921" s="8">
        <v>50.426000000000002</v>
      </c>
      <c r="K921" s="8">
        <v>43.168999999999997</v>
      </c>
      <c r="L921" s="8">
        <v>34.225999999999999</v>
      </c>
      <c r="M921" s="8">
        <v>29.091000000000001</v>
      </c>
      <c r="N921" s="8">
        <v>24.501999999999999</v>
      </c>
      <c r="O921" s="8">
        <v>21.902999999999999</v>
      </c>
      <c r="P921" s="8">
        <v>20.401</v>
      </c>
      <c r="Q921" s="8">
        <v>17.195</v>
      </c>
      <c r="R921" s="8">
        <v>15.157</v>
      </c>
      <c r="S921" s="8">
        <v>12.81</v>
      </c>
      <c r="T921" s="8">
        <v>10.55</v>
      </c>
      <c r="U921" s="8">
        <v>8.875</v>
      </c>
      <c r="V921" s="8">
        <v>6.4989999999999997</v>
      </c>
      <c r="W921" s="8">
        <v>4.3929999999999998</v>
      </c>
      <c r="X921" s="8">
        <v>2.839</v>
      </c>
      <c r="Y921" s="8">
        <v>1.256</v>
      </c>
      <c r="Z921" s="8">
        <v>0.35099999999999998</v>
      </c>
      <c r="AA921" s="8">
        <v>4.3999999999999997E-2</v>
      </c>
      <c r="AB921" s="8">
        <v>2E-3</v>
      </c>
      <c r="AC921" s="8">
        <v>0</v>
      </c>
    </row>
    <row r="922" spans="1:29" ht="11.65" hidden="1" x14ac:dyDescent="0.35">
      <c r="A922" s="12">
        <v>905</v>
      </c>
      <c r="B922" s="10" t="s">
        <v>1015</v>
      </c>
      <c r="C922" s="11" t="s">
        <v>598</v>
      </c>
      <c r="D922" s="9"/>
      <c r="E922" s="9">
        <v>516</v>
      </c>
      <c r="F922" s="10" t="s">
        <v>1066</v>
      </c>
      <c r="G922" s="9">
        <v>913</v>
      </c>
      <c r="H922" s="9">
        <v>1970</v>
      </c>
      <c r="I922" s="8">
        <v>70.831999999999994</v>
      </c>
      <c r="J922" s="8">
        <v>58.247</v>
      </c>
      <c r="K922" s="8">
        <v>49.503999999999998</v>
      </c>
      <c r="L922" s="8">
        <v>42.488</v>
      </c>
      <c r="M922" s="8">
        <v>33.496000000000002</v>
      </c>
      <c r="N922" s="8">
        <v>28.282</v>
      </c>
      <c r="O922" s="8">
        <v>23.681999999999999</v>
      </c>
      <c r="P922" s="8">
        <v>21.06</v>
      </c>
      <c r="Q922" s="8">
        <v>19.501000000000001</v>
      </c>
      <c r="R922" s="8">
        <v>16.352</v>
      </c>
      <c r="S922" s="8">
        <v>14.279</v>
      </c>
      <c r="T922" s="8">
        <v>11.865</v>
      </c>
      <c r="U922" s="8">
        <v>9.4860000000000007</v>
      </c>
      <c r="V922" s="8">
        <v>7.55</v>
      </c>
      <c r="W922" s="8">
        <v>5.0250000000000004</v>
      </c>
      <c r="X922" s="8">
        <v>2.899</v>
      </c>
      <c r="Y922" s="8">
        <v>1.4279999999999999</v>
      </c>
      <c r="Z922" s="8">
        <v>0.39700000000000002</v>
      </c>
      <c r="AA922" s="8">
        <v>5.3999999999999999E-2</v>
      </c>
      <c r="AB922" s="8">
        <v>3.0000000000000001E-3</v>
      </c>
      <c r="AC922" s="8">
        <v>0</v>
      </c>
    </row>
    <row r="923" spans="1:29" ht="11.65" hidden="1" x14ac:dyDescent="0.35">
      <c r="A923" s="12">
        <v>906</v>
      </c>
      <c r="B923" s="10" t="s">
        <v>1015</v>
      </c>
      <c r="C923" s="11" t="s">
        <v>598</v>
      </c>
      <c r="D923" s="9"/>
      <c r="E923" s="9">
        <v>516</v>
      </c>
      <c r="F923" s="10" t="s">
        <v>1066</v>
      </c>
      <c r="G923" s="9">
        <v>913</v>
      </c>
      <c r="H923" s="9">
        <v>1975</v>
      </c>
      <c r="I923" s="8">
        <v>87.075999999999993</v>
      </c>
      <c r="J923" s="8">
        <v>68.200999999999993</v>
      </c>
      <c r="K923" s="8">
        <v>57.371000000000002</v>
      </c>
      <c r="L923" s="8">
        <v>48.817</v>
      </c>
      <c r="M923" s="8">
        <v>41.628999999999998</v>
      </c>
      <c r="N923" s="8">
        <v>32.582999999999998</v>
      </c>
      <c r="O923" s="8">
        <v>27.373000000000001</v>
      </c>
      <c r="P923" s="8">
        <v>22.82</v>
      </c>
      <c r="Q923" s="8">
        <v>20.196000000000002</v>
      </c>
      <c r="R923" s="8">
        <v>18.616</v>
      </c>
      <c r="S923" s="8">
        <v>15.47</v>
      </c>
      <c r="T923" s="8">
        <v>13.298</v>
      </c>
      <c r="U923" s="8">
        <v>10.744999999999999</v>
      </c>
      <c r="V923" s="8">
        <v>8.1449999999999996</v>
      </c>
      <c r="W923" s="8">
        <v>5.9080000000000004</v>
      </c>
      <c r="X923" s="8">
        <v>3.3650000000000002</v>
      </c>
      <c r="Y923" s="8">
        <v>1.478</v>
      </c>
      <c r="Z923" s="8">
        <v>0.45500000000000002</v>
      </c>
      <c r="AA923" s="8">
        <v>0.06</v>
      </c>
      <c r="AB923" s="8">
        <v>3.0000000000000001E-3</v>
      </c>
      <c r="AC923" s="8">
        <v>0</v>
      </c>
    </row>
    <row r="924" spans="1:29" ht="11.65" hidden="1" x14ac:dyDescent="0.35">
      <c r="A924" s="12">
        <v>907</v>
      </c>
      <c r="B924" s="10" t="s">
        <v>1015</v>
      </c>
      <c r="C924" s="11" t="s">
        <v>598</v>
      </c>
      <c r="D924" s="9"/>
      <c r="E924" s="9">
        <v>516</v>
      </c>
      <c r="F924" s="10" t="s">
        <v>1066</v>
      </c>
      <c r="G924" s="9">
        <v>913</v>
      </c>
      <c r="H924" s="9">
        <v>1980</v>
      </c>
      <c r="I924" s="8">
        <v>97.052999999999997</v>
      </c>
      <c r="J924" s="8">
        <v>83.906999999999996</v>
      </c>
      <c r="K924" s="8">
        <v>67.037000000000006</v>
      </c>
      <c r="L924" s="8">
        <v>55.737000000000002</v>
      </c>
      <c r="M924" s="8">
        <v>45.738</v>
      </c>
      <c r="N924" s="8">
        <v>37.948999999999998</v>
      </c>
      <c r="O924" s="8">
        <v>29.44</v>
      </c>
      <c r="P924" s="8">
        <v>24.954000000000001</v>
      </c>
      <c r="Q924" s="8">
        <v>20.986999999999998</v>
      </c>
      <c r="R924" s="8">
        <v>18.742999999999999</v>
      </c>
      <c r="S924" s="8">
        <v>17.327000000000002</v>
      </c>
      <c r="T924" s="8">
        <v>14.27</v>
      </c>
      <c r="U924" s="8">
        <v>12.010999999999999</v>
      </c>
      <c r="V924" s="8">
        <v>9.2579999999999991</v>
      </c>
      <c r="W924" s="8">
        <v>6.4329999999999998</v>
      </c>
      <c r="X924" s="8">
        <v>4.016</v>
      </c>
      <c r="Y924" s="8">
        <v>1.7490000000000001</v>
      </c>
      <c r="Z924" s="8">
        <v>0.48499999999999999</v>
      </c>
      <c r="AA924" s="8">
        <v>7.0000000000000007E-2</v>
      </c>
      <c r="AB924" s="8">
        <v>3.0000000000000001E-3</v>
      </c>
      <c r="AC924" s="8">
        <v>0</v>
      </c>
    </row>
    <row r="925" spans="1:29" ht="11.65" hidden="1" x14ac:dyDescent="0.35">
      <c r="A925" s="12">
        <v>908</v>
      </c>
      <c r="B925" s="10" t="s">
        <v>1015</v>
      </c>
      <c r="C925" s="11" t="s">
        <v>598</v>
      </c>
      <c r="D925" s="9"/>
      <c r="E925" s="9">
        <v>516</v>
      </c>
      <c r="F925" s="10" t="s">
        <v>1066</v>
      </c>
      <c r="G925" s="9">
        <v>913</v>
      </c>
      <c r="H925" s="9">
        <v>1985</v>
      </c>
      <c r="I925" s="8">
        <v>106.072</v>
      </c>
      <c r="J925" s="8">
        <v>94.213999999999999</v>
      </c>
      <c r="K925" s="8">
        <v>82.796000000000006</v>
      </c>
      <c r="L925" s="8">
        <v>65.738</v>
      </c>
      <c r="M925" s="8">
        <v>53.463999999999999</v>
      </c>
      <c r="N925" s="8">
        <v>43.061999999999998</v>
      </c>
      <c r="O925" s="8">
        <v>35.593000000000004</v>
      </c>
      <c r="P925" s="8">
        <v>27.614999999999998</v>
      </c>
      <c r="Q925" s="8">
        <v>23.498999999999999</v>
      </c>
      <c r="R925" s="8">
        <v>19.805</v>
      </c>
      <c r="S925" s="8">
        <v>17.657</v>
      </c>
      <c r="T925" s="8">
        <v>16.172000000000001</v>
      </c>
      <c r="U925" s="8">
        <v>13.022</v>
      </c>
      <c r="V925" s="8">
        <v>10.465999999999999</v>
      </c>
      <c r="W925" s="8">
        <v>7.4109999999999996</v>
      </c>
      <c r="X925" s="8">
        <v>4.4450000000000003</v>
      </c>
      <c r="Y925" s="8">
        <v>2.1339999999999999</v>
      </c>
      <c r="Z925" s="8">
        <v>0.58699999999999997</v>
      </c>
      <c r="AA925" s="8">
        <v>7.4999999999999997E-2</v>
      </c>
      <c r="AB925" s="8">
        <v>4.0000000000000001E-3</v>
      </c>
      <c r="AC925" s="8">
        <v>0</v>
      </c>
    </row>
    <row r="926" spans="1:29" ht="11.65" hidden="1" x14ac:dyDescent="0.35">
      <c r="A926" s="12">
        <v>909</v>
      </c>
      <c r="B926" s="10" t="s">
        <v>1015</v>
      </c>
      <c r="C926" s="11" t="s">
        <v>598</v>
      </c>
      <c r="D926" s="9"/>
      <c r="E926" s="9">
        <v>516</v>
      </c>
      <c r="F926" s="10" t="s">
        <v>1066</v>
      </c>
      <c r="G926" s="9">
        <v>913</v>
      </c>
      <c r="H926" s="9">
        <v>1990</v>
      </c>
      <c r="I926" s="8">
        <v>120.956</v>
      </c>
      <c r="J926" s="8">
        <v>104.886</v>
      </c>
      <c r="K926" s="8">
        <v>93.885000000000005</v>
      </c>
      <c r="L926" s="8">
        <v>83.483999999999995</v>
      </c>
      <c r="M926" s="8">
        <v>68.055000000000007</v>
      </c>
      <c r="N926" s="8">
        <v>56.375999999999998</v>
      </c>
      <c r="O926" s="8">
        <v>45.347000000000001</v>
      </c>
      <c r="P926" s="8">
        <v>36.972000000000001</v>
      </c>
      <c r="Q926" s="8">
        <v>28.305</v>
      </c>
      <c r="R926" s="8">
        <v>23.68</v>
      </c>
      <c r="S926" s="8">
        <v>19.617999999999999</v>
      </c>
      <c r="T926" s="8">
        <v>17.114999999999998</v>
      </c>
      <c r="U926" s="8">
        <v>15.22</v>
      </c>
      <c r="V926" s="8">
        <v>11.680999999999999</v>
      </c>
      <c r="W926" s="8">
        <v>8.6340000000000003</v>
      </c>
      <c r="X926" s="8">
        <v>5.3090000000000002</v>
      </c>
      <c r="Y926" s="8">
        <v>2.476</v>
      </c>
      <c r="Z926" s="8">
        <v>0.752</v>
      </c>
      <c r="AA926" s="8">
        <v>9.5000000000000001E-2</v>
      </c>
      <c r="AB926" s="8">
        <v>4.0000000000000001E-3</v>
      </c>
      <c r="AC926" s="8">
        <v>0</v>
      </c>
    </row>
    <row r="927" spans="1:29" ht="11.65" hidden="1" x14ac:dyDescent="0.35">
      <c r="A927" s="12">
        <v>910</v>
      </c>
      <c r="B927" s="10" t="s">
        <v>1015</v>
      </c>
      <c r="C927" s="11" t="s">
        <v>598</v>
      </c>
      <c r="D927" s="9"/>
      <c r="E927" s="9">
        <v>516</v>
      </c>
      <c r="F927" s="10" t="s">
        <v>1066</v>
      </c>
      <c r="G927" s="9">
        <v>913</v>
      </c>
      <c r="H927" s="9">
        <v>1995</v>
      </c>
      <c r="I927" s="8">
        <v>130.97200000000001</v>
      </c>
      <c r="J927" s="8">
        <v>118.661</v>
      </c>
      <c r="K927" s="8">
        <v>103.938</v>
      </c>
      <c r="L927" s="8">
        <v>92.703000000000003</v>
      </c>
      <c r="M927" s="8">
        <v>81.366</v>
      </c>
      <c r="N927" s="8">
        <v>65.498999999999995</v>
      </c>
      <c r="O927" s="8">
        <v>54.005000000000003</v>
      </c>
      <c r="P927" s="8">
        <v>43.365000000000002</v>
      </c>
      <c r="Q927" s="8">
        <v>35.311999999999998</v>
      </c>
      <c r="R927" s="8">
        <v>26.977</v>
      </c>
      <c r="S927" s="8">
        <v>22.471</v>
      </c>
      <c r="T927" s="8">
        <v>18.428000000000001</v>
      </c>
      <c r="U927" s="8">
        <v>15.76</v>
      </c>
      <c r="V927" s="8">
        <v>13.448</v>
      </c>
      <c r="W927" s="8">
        <v>9.5489999999999995</v>
      </c>
      <c r="X927" s="8">
        <v>6.1609999999999996</v>
      </c>
      <c r="Y927" s="8">
        <v>2.9489999999999998</v>
      </c>
      <c r="Z927" s="8">
        <v>0.874</v>
      </c>
      <c r="AA927" s="8">
        <v>0.122</v>
      </c>
      <c r="AB927" s="8">
        <v>5.0000000000000001E-3</v>
      </c>
      <c r="AC927" s="8">
        <v>0</v>
      </c>
    </row>
    <row r="928" spans="1:29" ht="11.65" hidden="1" x14ac:dyDescent="0.35">
      <c r="A928" s="12">
        <v>911</v>
      </c>
      <c r="B928" s="10" t="s">
        <v>1015</v>
      </c>
      <c r="C928" s="11" t="s">
        <v>598</v>
      </c>
      <c r="D928" s="9"/>
      <c r="E928" s="9">
        <v>516</v>
      </c>
      <c r="F928" s="10" t="s">
        <v>1066</v>
      </c>
      <c r="G928" s="9">
        <v>913</v>
      </c>
      <c r="H928" s="9">
        <v>2000</v>
      </c>
      <c r="I928" s="8">
        <v>132.84200000000001</v>
      </c>
      <c r="J928" s="8">
        <v>128.30600000000001</v>
      </c>
      <c r="K928" s="8">
        <v>117.48399999999999</v>
      </c>
      <c r="L928" s="8">
        <v>102.881</v>
      </c>
      <c r="M928" s="8">
        <v>90.551000000000002</v>
      </c>
      <c r="N928" s="8">
        <v>77.308999999999997</v>
      </c>
      <c r="O928" s="8">
        <v>61.119</v>
      </c>
      <c r="P928" s="8">
        <v>50.04</v>
      </c>
      <c r="Q928" s="8">
        <v>39.716999999999999</v>
      </c>
      <c r="R928" s="8">
        <v>32.335999999999999</v>
      </c>
      <c r="S928" s="8">
        <v>24.661999999999999</v>
      </c>
      <c r="T928" s="8">
        <v>20.382999999999999</v>
      </c>
      <c r="U928" s="8">
        <v>16.402999999999999</v>
      </c>
      <c r="V928" s="8">
        <v>13.477</v>
      </c>
      <c r="W928" s="8">
        <v>10.657999999999999</v>
      </c>
      <c r="X928" s="8">
        <v>6.6239999999999997</v>
      </c>
      <c r="Y928" s="8">
        <v>3.3340000000000001</v>
      </c>
      <c r="Z928" s="8">
        <v>1.0069999999999999</v>
      </c>
      <c r="AA928" s="8">
        <v>0.14299999999999999</v>
      </c>
      <c r="AB928" s="8">
        <v>8.9999999999999993E-3</v>
      </c>
      <c r="AC928" s="8">
        <v>0</v>
      </c>
    </row>
    <row r="929" spans="1:29" ht="11.65" hidden="1" x14ac:dyDescent="0.35">
      <c r="A929" s="12">
        <v>912</v>
      </c>
      <c r="B929" s="10" t="s">
        <v>1015</v>
      </c>
      <c r="C929" s="11" t="s">
        <v>598</v>
      </c>
      <c r="D929" s="9"/>
      <c r="E929" s="9">
        <v>516</v>
      </c>
      <c r="F929" s="10" t="s">
        <v>1066</v>
      </c>
      <c r="G929" s="9">
        <v>913</v>
      </c>
      <c r="H929" s="9">
        <v>2005</v>
      </c>
      <c r="I929" s="8">
        <v>127.727</v>
      </c>
      <c r="J929" s="8">
        <v>129.67400000000001</v>
      </c>
      <c r="K929" s="8">
        <v>126.514</v>
      </c>
      <c r="L929" s="8">
        <v>115.087</v>
      </c>
      <c r="M929" s="8">
        <v>98.307000000000002</v>
      </c>
      <c r="N929" s="8">
        <v>83.572000000000003</v>
      </c>
      <c r="O929" s="8">
        <v>69.462999999999994</v>
      </c>
      <c r="P929" s="8">
        <v>54.356000000000002</v>
      </c>
      <c r="Q929" s="8">
        <v>45.326000000000001</v>
      </c>
      <c r="R929" s="8">
        <v>37.369</v>
      </c>
      <c r="S929" s="8">
        <v>30.669</v>
      </c>
      <c r="T929" s="8">
        <v>22.544</v>
      </c>
      <c r="U929" s="8">
        <v>18.597000000000001</v>
      </c>
      <c r="V929" s="8">
        <v>15.492000000000001</v>
      </c>
      <c r="W929" s="8">
        <v>12.294</v>
      </c>
      <c r="X929" s="8">
        <v>8.9239999999999995</v>
      </c>
      <c r="Y929" s="8">
        <v>5.4320000000000004</v>
      </c>
      <c r="Z929" s="8">
        <v>1.7390000000000001</v>
      </c>
      <c r="AA929" s="8">
        <v>0.21</v>
      </c>
      <c r="AB929" s="8">
        <v>1.4999999999999999E-2</v>
      </c>
      <c r="AC929" s="8">
        <v>1E-3</v>
      </c>
    </row>
    <row r="930" spans="1:29" ht="11.65" hidden="1" x14ac:dyDescent="0.35">
      <c r="A930" s="12">
        <v>913</v>
      </c>
      <c r="B930" s="10" t="s">
        <v>1015</v>
      </c>
      <c r="C930" s="11" t="s">
        <v>598</v>
      </c>
      <c r="D930" s="9"/>
      <c r="E930" s="9">
        <v>516</v>
      </c>
      <c r="F930" s="10" t="s">
        <v>1066</v>
      </c>
      <c r="G930" s="9">
        <v>913</v>
      </c>
      <c r="H930" s="9">
        <v>2010</v>
      </c>
      <c r="I930" s="8">
        <v>143.96100000000001</v>
      </c>
      <c r="J930" s="8">
        <v>125.271</v>
      </c>
      <c r="K930" s="8">
        <v>128.196</v>
      </c>
      <c r="L930" s="8">
        <v>124.18899999999999</v>
      </c>
      <c r="M930" s="8">
        <v>110.294</v>
      </c>
      <c r="N930" s="8">
        <v>90.938999999999993</v>
      </c>
      <c r="O930" s="8">
        <v>75.721999999999994</v>
      </c>
      <c r="P930" s="8">
        <v>63.396999999999998</v>
      </c>
      <c r="Q930" s="8">
        <v>51.293999999999997</v>
      </c>
      <c r="R930" s="8">
        <v>44.27</v>
      </c>
      <c r="S930" s="8">
        <v>35.901000000000003</v>
      </c>
      <c r="T930" s="8">
        <v>27.91</v>
      </c>
      <c r="U930" s="8">
        <v>20.62</v>
      </c>
      <c r="V930" s="8">
        <v>17.588999999999999</v>
      </c>
      <c r="W930" s="8">
        <v>14.234999999999999</v>
      </c>
      <c r="X930" s="8">
        <v>10.506</v>
      </c>
      <c r="Y930" s="8">
        <v>7.1879999999999997</v>
      </c>
      <c r="Z930" s="8">
        <v>2.8980000000000001</v>
      </c>
      <c r="AA930" s="8">
        <v>0.44900000000000001</v>
      </c>
      <c r="AB930" s="8">
        <v>3.1E-2</v>
      </c>
      <c r="AC930" s="8">
        <v>2E-3</v>
      </c>
    </row>
    <row r="931" spans="1:29" ht="11.65" hidden="1" x14ac:dyDescent="0.35">
      <c r="A931" s="12">
        <v>914</v>
      </c>
      <c r="B931" s="10" t="s">
        <v>1015</v>
      </c>
      <c r="C931" s="11" t="s">
        <v>598</v>
      </c>
      <c r="D931" s="9"/>
      <c r="E931" s="9">
        <v>516</v>
      </c>
      <c r="F931" s="10" t="s">
        <v>1066</v>
      </c>
      <c r="G931" s="9">
        <v>913</v>
      </c>
      <c r="H931" s="9">
        <v>2015</v>
      </c>
      <c r="I931" s="8">
        <v>161.15700000000001</v>
      </c>
      <c r="J931" s="8">
        <v>141.92400000000001</v>
      </c>
      <c r="K931" s="8">
        <v>124.402</v>
      </c>
      <c r="L931" s="8">
        <v>126.462</v>
      </c>
      <c r="M931" s="8">
        <v>120.35299999999999</v>
      </c>
      <c r="N931" s="8">
        <v>104.94</v>
      </c>
      <c r="O931" s="8">
        <v>85.462000000000003</v>
      </c>
      <c r="P931" s="8">
        <v>70.611999999999995</v>
      </c>
      <c r="Q931" s="8">
        <v>58.863</v>
      </c>
      <c r="R931" s="8">
        <v>47.552</v>
      </c>
      <c r="S931" s="8">
        <v>40.917999999999999</v>
      </c>
      <c r="T931" s="8">
        <v>32.988999999999997</v>
      </c>
      <c r="U931" s="8">
        <v>25.283999999999999</v>
      </c>
      <c r="V931" s="8">
        <v>18.100999999999999</v>
      </c>
      <c r="W931" s="8">
        <v>14.558</v>
      </c>
      <c r="X931" s="8">
        <v>10.629</v>
      </c>
      <c r="Y931" s="8">
        <v>6.4530000000000003</v>
      </c>
      <c r="Z931" s="8">
        <v>3.0649999999999999</v>
      </c>
      <c r="AA931" s="8">
        <v>0.67600000000000005</v>
      </c>
      <c r="AB931" s="8">
        <v>4.9000000000000002E-2</v>
      </c>
      <c r="AC931" s="8">
        <v>2E-3</v>
      </c>
    </row>
    <row r="932" spans="1:29" ht="11.65" hidden="1" x14ac:dyDescent="0.35">
      <c r="A932" s="12">
        <v>915</v>
      </c>
      <c r="B932" s="10" t="s">
        <v>1015</v>
      </c>
      <c r="C932" s="11" t="s">
        <v>598</v>
      </c>
      <c r="D932" s="9"/>
      <c r="E932" s="9">
        <v>516</v>
      </c>
      <c r="F932" s="10" t="s">
        <v>1066</v>
      </c>
      <c r="G932" s="9">
        <v>913</v>
      </c>
      <c r="H932" s="9">
        <v>2020</v>
      </c>
      <c r="I932" s="8">
        <v>167.73699999999999</v>
      </c>
      <c r="J932" s="8">
        <v>159.30099999999999</v>
      </c>
      <c r="K932" s="8">
        <v>141.04599999999999</v>
      </c>
      <c r="L932" s="8">
        <v>123.06399999999999</v>
      </c>
      <c r="M932" s="8">
        <v>123.67100000000001</v>
      </c>
      <c r="N932" s="8">
        <v>116.527</v>
      </c>
      <c r="O932" s="8">
        <v>101.05200000000001</v>
      </c>
      <c r="P932" s="8">
        <v>81.954999999999998</v>
      </c>
      <c r="Q932" s="8">
        <v>67.456000000000003</v>
      </c>
      <c r="R932" s="8">
        <v>56.036000000000001</v>
      </c>
      <c r="S932" s="8">
        <v>44.963000000000001</v>
      </c>
      <c r="T932" s="8">
        <v>38.301000000000002</v>
      </c>
      <c r="U932" s="8">
        <v>30.326000000000001</v>
      </c>
      <c r="V932" s="8">
        <v>22.4</v>
      </c>
      <c r="W932" s="8">
        <v>14.984</v>
      </c>
      <c r="X932" s="8">
        <v>10.738</v>
      </c>
      <c r="Y932" s="8">
        <v>6.3460000000000001</v>
      </c>
      <c r="Z932" s="8">
        <v>2.6219999999999999</v>
      </c>
      <c r="AA932" s="8">
        <v>0.64700000000000002</v>
      </c>
      <c r="AB932" s="8">
        <v>5.8999999999999997E-2</v>
      </c>
      <c r="AC932" s="8">
        <v>2E-3</v>
      </c>
    </row>
    <row r="933" spans="1:29" ht="11.65" hidden="1" x14ac:dyDescent="0.35">
      <c r="A933" s="12">
        <v>916</v>
      </c>
      <c r="B933" s="10" t="s">
        <v>1015</v>
      </c>
      <c r="C933" s="11" t="s">
        <v>602</v>
      </c>
      <c r="D933" s="9"/>
      <c r="E933" s="9">
        <v>710</v>
      </c>
      <c r="F933" s="10" t="s">
        <v>1066</v>
      </c>
      <c r="G933" s="9">
        <v>913</v>
      </c>
      <c r="H933" s="9">
        <v>1950</v>
      </c>
      <c r="I933" s="8">
        <v>1009.599</v>
      </c>
      <c r="J933" s="8">
        <v>849.99900000000002</v>
      </c>
      <c r="K933" s="8">
        <v>741.99900000000002</v>
      </c>
      <c r="L933" s="8">
        <v>650.00099999999998</v>
      </c>
      <c r="M933" s="8">
        <v>580</v>
      </c>
      <c r="N933" s="8">
        <v>510</v>
      </c>
      <c r="O933" s="8">
        <v>470</v>
      </c>
      <c r="P933" s="8">
        <v>395</v>
      </c>
      <c r="Q933" s="8">
        <v>350</v>
      </c>
      <c r="R933" s="8">
        <v>275</v>
      </c>
      <c r="S933" s="8">
        <v>250</v>
      </c>
      <c r="T933" s="8">
        <v>200.001</v>
      </c>
      <c r="U933" s="8">
        <v>177</v>
      </c>
      <c r="V933" s="8">
        <v>127</v>
      </c>
      <c r="W933" s="8">
        <v>84.963999999999999</v>
      </c>
      <c r="X933" s="8">
        <v>40.701999999999998</v>
      </c>
      <c r="Y933" s="8">
        <v>29.463000000000001</v>
      </c>
      <c r="Z933" s="8">
        <v>15.926</v>
      </c>
      <c r="AA933" s="8">
        <v>4.1219999999999999</v>
      </c>
      <c r="AB933" s="8">
        <v>0.7</v>
      </c>
      <c r="AC933" s="8">
        <v>7.4999999999999997E-2</v>
      </c>
    </row>
    <row r="934" spans="1:29" ht="11.65" hidden="1" x14ac:dyDescent="0.35">
      <c r="A934" s="12">
        <v>917</v>
      </c>
      <c r="B934" s="10" t="s">
        <v>1015</v>
      </c>
      <c r="C934" s="11" t="s">
        <v>602</v>
      </c>
      <c r="D934" s="9"/>
      <c r="E934" s="9">
        <v>710</v>
      </c>
      <c r="F934" s="10" t="s">
        <v>1066</v>
      </c>
      <c r="G934" s="9">
        <v>913</v>
      </c>
      <c r="H934" s="9">
        <v>1955</v>
      </c>
      <c r="I934" s="8">
        <v>1249.6969999999999</v>
      </c>
      <c r="J934" s="8">
        <v>931.17499999999995</v>
      </c>
      <c r="K934" s="8">
        <v>825.33299999999997</v>
      </c>
      <c r="L934" s="8">
        <v>725.47500000000002</v>
      </c>
      <c r="M934" s="8">
        <v>633.78599999999994</v>
      </c>
      <c r="N934" s="8">
        <v>563.41899999999998</v>
      </c>
      <c r="O934" s="8">
        <v>493.31299999999999</v>
      </c>
      <c r="P934" s="8">
        <v>452.42899999999997</v>
      </c>
      <c r="Q934" s="8">
        <v>378.01900000000001</v>
      </c>
      <c r="R934" s="8">
        <v>333.13299999999998</v>
      </c>
      <c r="S934" s="8">
        <v>259.19299999999998</v>
      </c>
      <c r="T934" s="8">
        <v>231.30799999999999</v>
      </c>
      <c r="U934" s="8">
        <v>179.14599999999999</v>
      </c>
      <c r="V934" s="8">
        <v>149.45099999999999</v>
      </c>
      <c r="W934" s="8">
        <v>97.128</v>
      </c>
      <c r="X934" s="8">
        <v>55.389000000000003</v>
      </c>
      <c r="Y934" s="8">
        <v>20.387</v>
      </c>
      <c r="Z934" s="8">
        <v>9.5879999999999992</v>
      </c>
      <c r="AA934" s="8">
        <v>2.6840000000000002</v>
      </c>
      <c r="AB934" s="8">
        <v>0.312</v>
      </c>
      <c r="AC934" s="8">
        <v>3.6999999999999998E-2</v>
      </c>
    </row>
    <row r="935" spans="1:29" ht="11.65" hidden="1" x14ac:dyDescent="0.35">
      <c r="A935" s="12">
        <v>918</v>
      </c>
      <c r="B935" s="10" t="s">
        <v>1015</v>
      </c>
      <c r="C935" s="11" t="s">
        <v>602</v>
      </c>
      <c r="D935" s="9"/>
      <c r="E935" s="9">
        <v>710</v>
      </c>
      <c r="F935" s="10" t="s">
        <v>1066</v>
      </c>
      <c r="G935" s="9">
        <v>913</v>
      </c>
      <c r="H935" s="9">
        <v>1960</v>
      </c>
      <c r="I935" s="8">
        <v>1410.7280000000001</v>
      </c>
      <c r="J935" s="8">
        <v>1169.7159999999999</v>
      </c>
      <c r="K935" s="8">
        <v>909.09199999999998</v>
      </c>
      <c r="L935" s="8">
        <v>810.04899999999998</v>
      </c>
      <c r="M935" s="8">
        <v>710.03800000000001</v>
      </c>
      <c r="N935" s="8">
        <v>617.80600000000004</v>
      </c>
      <c r="O935" s="8">
        <v>546.59699999999998</v>
      </c>
      <c r="P935" s="8">
        <v>476.06900000000002</v>
      </c>
      <c r="Q935" s="8">
        <v>433.86900000000003</v>
      </c>
      <c r="R935" s="8">
        <v>360.46199999999999</v>
      </c>
      <c r="S935" s="8">
        <v>314.524</v>
      </c>
      <c r="T935" s="8">
        <v>240.36799999999999</v>
      </c>
      <c r="U935" s="8">
        <v>207.88200000000001</v>
      </c>
      <c r="V935" s="8">
        <v>151.999</v>
      </c>
      <c r="W935" s="8">
        <v>115.00700000000001</v>
      </c>
      <c r="X935" s="8">
        <v>63.741</v>
      </c>
      <c r="Y935" s="8">
        <v>27.835999999999999</v>
      </c>
      <c r="Z935" s="8">
        <v>6.5720000000000001</v>
      </c>
      <c r="AA935" s="8">
        <v>1.5489999999999999</v>
      </c>
      <c r="AB935" s="8">
        <v>0.186</v>
      </c>
      <c r="AC935" s="8">
        <v>1.6E-2</v>
      </c>
    </row>
    <row r="936" spans="1:29" ht="11.65" hidden="1" x14ac:dyDescent="0.35">
      <c r="A936" s="12">
        <v>919</v>
      </c>
      <c r="B936" s="10" t="s">
        <v>1015</v>
      </c>
      <c r="C936" s="11" t="s">
        <v>602</v>
      </c>
      <c r="D936" s="9"/>
      <c r="E936" s="9">
        <v>710</v>
      </c>
      <c r="F936" s="10" t="s">
        <v>1066</v>
      </c>
      <c r="G936" s="9">
        <v>913</v>
      </c>
      <c r="H936" s="9">
        <v>1965</v>
      </c>
      <c r="I936" s="8">
        <v>1582.279</v>
      </c>
      <c r="J936" s="8">
        <v>1332.0550000000001</v>
      </c>
      <c r="K936" s="8">
        <v>1145.6959999999999</v>
      </c>
      <c r="L936" s="8">
        <v>895.322</v>
      </c>
      <c r="M936" s="8">
        <v>799.66800000000001</v>
      </c>
      <c r="N936" s="8">
        <v>701.33299999999997</v>
      </c>
      <c r="O936" s="8">
        <v>607.64800000000002</v>
      </c>
      <c r="P936" s="8">
        <v>534.19899999999996</v>
      </c>
      <c r="Q936" s="8">
        <v>461.22</v>
      </c>
      <c r="R936" s="8">
        <v>416.89</v>
      </c>
      <c r="S936" s="8">
        <v>342.51400000000001</v>
      </c>
      <c r="T936" s="8">
        <v>293.33499999999998</v>
      </c>
      <c r="U936" s="8">
        <v>217.36</v>
      </c>
      <c r="V936" s="8">
        <v>177.554</v>
      </c>
      <c r="W936" s="8">
        <v>117.878</v>
      </c>
      <c r="X936" s="8">
        <v>76.11</v>
      </c>
      <c r="Y936" s="8">
        <v>32.301000000000002</v>
      </c>
      <c r="Z936" s="8">
        <v>8.9770000000000003</v>
      </c>
      <c r="AA936" s="8">
        <v>1.0409999999999999</v>
      </c>
      <c r="AB936" s="8">
        <v>0.10199999999999999</v>
      </c>
      <c r="AC936" s="8">
        <v>8.9999999999999993E-3</v>
      </c>
    </row>
    <row r="937" spans="1:29" ht="11.65" hidden="1" x14ac:dyDescent="0.35">
      <c r="A937" s="12">
        <v>920</v>
      </c>
      <c r="B937" s="10" t="s">
        <v>1015</v>
      </c>
      <c r="C937" s="11" t="s">
        <v>602</v>
      </c>
      <c r="D937" s="9"/>
      <c r="E937" s="9">
        <v>710</v>
      </c>
      <c r="F937" s="10" t="s">
        <v>1066</v>
      </c>
      <c r="G937" s="9">
        <v>913</v>
      </c>
      <c r="H937" s="9">
        <v>1970</v>
      </c>
      <c r="I937" s="8">
        <v>1758.4459999999999</v>
      </c>
      <c r="J937" s="8">
        <v>1507.0830000000001</v>
      </c>
      <c r="K937" s="8">
        <v>1309.0129999999999</v>
      </c>
      <c r="L937" s="8">
        <v>1131.127</v>
      </c>
      <c r="M937" s="8">
        <v>888.03700000000003</v>
      </c>
      <c r="N937" s="8">
        <v>794.36</v>
      </c>
      <c r="O937" s="8">
        <v>692.71600000000001</v>
      </c>
      <c r="P937" s="8">
        <v>597.81700000000001</v>
      </c>
      <c r="Q937" s="8">
        <v>521.23400000000004</v>
      </c>
      <c r="R937" s="8">
        <v>445.18599999999998</v>
      </c>
      <c r="S937" s="8">
        <v>397.548</v>
      </c>
      <c r="T937" s="8">
        <v>320.80599999999998</v>
      </c>
      <c r="U937" s="8">
        <v>266.57600000000002</v>
      </c>
      <c r="V937" s="8">
        <v>186.899</v>
      </c>
      <c r="W937" s="8">
        <v>138.71600000000001</v>
      </c>
      <c r="X937" s="8">
        <v>78.694000000000003</v>
      </c>
      <c r="Y937" s="8">
        <v>38.848999999999997</v>
      </c>
      <c r="Z937" s="8">
        <v>10.427</v>
      </c>
      <c r="AA937" s="8">
        <v>1.3939999999999999</v>
      </c>
      <c r="AB937" s="8">
        <v>6.4000000000000001E-2</v>
      </c>
      <c r="AC937" s="8">
        <v>5.0000000000000001E-3</v>
      </c>
    </row>
    <row r="938" spans="1:29" ht="11.65" hidden="1" x14ac:dyDescent="0.35">
      <c r="A938" s="12">
        <v>921</v>
      </c>
      <c r="B938" s="10" t="s">
        <v>1015</v>
      </c>
      <c r="C938" s="11" t="s">
        <v>602</v>
      </c>
      <c r="D938" s="9"/>
      <c r="E938" s="9">
        <v>710</v>
      </c>
      <c r="F938" s="10" t="s">
        <v>1066</v>
      </c>
      <c r="G938" s="9">
        <v>913</v>
      </c>
      <c r="H938" s="9">
        <v>1975</v>
      </c>
      <c r="I938" s="8">
        <v>1983.499</v>
      </c>
      <c r="J938" s="8">
        <v>1694.537</v>
      </c>
      <c r="K938" s="8">
        <v>1487.5519999999999</v>
      </c>
      <c r="L938" s="8">
        <v>1296.3109999999999</v>
      </c>
      <c r="M938" s="8">
        <v>1120.6890000000001</v>
      </c>
      <c r="N938" s="8">
        <v>881.47799999999995</v>
      </c>
      <c r="O938" s="8">
        <v>786.67</v>
      </c>
      <c r="P938" s="8">
        <v>682.00099999999998</v>
      </c>
      <c r="Q938" s="8">
        <v>583.70399999999995</v>
      </c>
      <c r="R938" s="8">
        <v>504.56299999999999</v>
      </c>
      <c r="S938" s="8">
        <v>425.97199999999998</v>
      </c>
      <c r="T938" s="8">
        <v>373.55200000000002</v>
      </c>
      <c r="U938" s="8">
        <v>292.79000000000002</v>
      </c>
      <c r="V938" s="8">
        <v>230.53100000000001</v>
      </c>
      <c r="W938" s="8">
        <v>147.30600000000001</v>
      </c>
      <c r="X938" s="8">
        <v>93.587000000000003</v>
      </c>
      <c r="Y938" s="8">
        <v>40.561</v>
      </c>
      <c r="Z938" s="8">
        <v>12.561999999999999</v>
      </c>
      <c r="AA938" s="8">
        <v>1.583</v>
      </c>
      <c r="AB938" s="8">
        <v>0.08</v>
      </c>
      <c r="AC938" s="8">
        <v>3.0000000000000001E-3</v>
      </c>
    </row>
    <row r="939" spans="1:29" ht="11.65" hidden="1" x14ac:dyDescent="0.35">
      <c r="A939" s="12">
        <v>922</v>
      </c>
      <c r="B939" s="10" t="s">
        <v>1015</v>
      </c>
      <c r="C939" s="11" t="s">
        <v>602</v>
      </c>
      <c r="D939" s="9"/>
      <c r="E939" s="9">
        <v>710</v>
      </c>
      <c r="F939" s="10" t="s">
        <v>1066</v>
      </c>
      <c r="G939" s="9">
        <v>913</v>
      </c>
      <c r="H939" s="9">
        <v>1980</v>
      </c>
      <c r="I939" s="8">
        <v>2191.5390000000002</v>
      </c>
      <c r="J939" s="8">
        <v>1929.643</v>
      </c>
      <c r="K939" s="8">
        <v>1675.4459999999999</v>
      </c>
      <c r="L939" s="8">
        <v>1473.34</v>
      </c>
      <c r="M939" s="8">
        <v>1280.8040000000001</v>
      </c>
      <c r="N939" s="8">
        <v>1103.8440000000001</v>
      </c>
      <c r="O939" s="8">
        <v>865.12</v>
      </c>
      <c r="P939" s="8">
        <v>767.77</v>
      </c>
      <c r="Q939" s="8">
        <v>661.16499999999996</v>
      </c>
      <c r="R939" s="8">
        <v>562.30899999999997</v>
      </c>
      <c r="S939" s="8">
        <v>481.33300000000003</v>
      </c>
      <c r="T939" s="8">
        <v>399.959</v>
      </c>
      <c r="U939" s="8">
        <v>341.37200000000001</v>
      </c>
      <c r="V939" s="8">
        <v>254.232</v>
      </c>
      <c r="W939" s="8">
        <v>182.911</v>
      </c>
      <c r="X939" s="8">
        <v>100.32599999999999</v>
      </c>
      <c r="Y939" s="8">
        <v>48.697000000000003</v>
      </c>
      <c r="Z939" s="8">
        <v>13.144</v>
      </c>
      <c r="AA939" s="8">
        <v>1.861</v>
      </c>
      <c r="AB939" s="8">
        <v>8.4000000000000005E-2</v>
      </c>
      <c r="AC939" s="8">
        <v>3.0000000000000001E-3</v>
      </c>
    </row>
    <row r="940" spans="1:29" ht="11.65" hidden="1" x14ac:dyDescent="0.35">
      <c r="A940" s="12">
        <v>923</v>
      </c>
      <c r="B940" s="10" t="s">
        <v>1015</v>
      </c>
      <c r="C940" s="11" t="s">
        <v>602</v>
      </c>
      <c r="D940" s="9"/>
      <c r="E940" s="9">
        <v>710</v>
      </c>
      <c r="F940" s="10" t="s">
        <v>1066</v>
      </c>
      <c r="G940" s="9">
        <v>913</v>
      </c>
      <c r="H940" s="9">
        <v>1985</v>
      </c>
      <c r="I940" s="8">
        <v>2540.2429999999999</v>
      </c>
      <c r="J940" s="8">
        <v>2149.9</v>
      </c>
      <c r="K940" s="8">
        <v>1911.8130000000001</v>
      </c>
      <c r="L940" s="8">
        <v>1663.2619999999999</v>
      </c>
      <c r="M940" s="8">
        <v>1462.0930000000001</v>
      </c>
      <c r="N940" s="8">
        <v>1269.742</v>
      </c>
      <c r="O940" s="8">
        <v>1090.8689999999999</v>
      </c>
      <c r="P940" s="8">
        <v>850.76099999999997</v>
      </c>
      <c r="Q940" s="8">
        <v>749.09199999999998</v>
      </c>
      <c r="R940" s="8">
        <v>640.42700000000002</v>
      </c>
      <c r="S940" s="8">
        <v>539.10799999999995</v>
      </c>
      <c r="T940" s="8">
        <v>454.238</v>
      </c>
      <c r="U940" s="8">
        <v>367.71300000000002</v>
      </c>
      <c r="V940" s="8">
        <v>298.68400000000003</v>
      </c>
      <c r="W940" s="8">
        <v>203.78200000000001</v>
      </c>
      <c r="X940" s="8">
        <v>126.179</v>
      </c>
      <c r="Y940" s="8">
        <v>52.968000000000004</v>
      </c>
      <c r="Z940" s="8">
        <v>15.95</v>
      </c>
      <c r="AA940" s="8">
        <v>1.931</v>
      </c>
      <c r="AB940" s="8">
        <v>9.5000000000000001E-2</v>
      </c>
      <c r="AC940" s="8">
        <v>3.0000000000000001E-3</v>
      </c>
    </row>
    <row r="941" spans="1:29" ht="11.65" hidden="1" x14ac:dyDescent="0.35">
      <c r="A941" s="12">
        <v>924</v>
      </c>
      <c r="B941" s="10" t="s">
        <v>1015</v>
      </c>
      <c r="C941" s="11" t="s">
        <v>602</v>
      </c>
      <c r="D941" s="9"/>
      <c r="E941" s="9">
        <v>710</v>
      </c>
      <c r="F941" s="10" t="s">
        <v>1066</v>
      </c>
      <c r="G941" s="9">
        <v>913</v>
      </c>
      <c r="H941" s="9">
        <v>1990</v>
      </c>
      <c r="I941" s="8">
        <v>2685.0439999999999</v>
      </c>
      <c r="J941" s="8">
        <v>2498.4920000000002</v>
      </c>
      <c r="K941" s="8">
        <v>2128.835</v>
      </c>
      <c r="L941" s="8">
        <v>1894.81</v>
      </c>
      <c r="M941" s="8">
        <v>1643.8820000000001</v>
      </c>
      <c r="N941" s="8">
        <v>1439.3820000000001</v>
      </c>
      <c r="O941" s="8">
        <v>1245.78</v>
      </c>
      <c r="P941" s="8">
        <v>1066.8579999999999</v>
      </c>
      <c r="Q941" s="8">
        <v>828.67</v>
      </c>
      <c r="R941" s="8">
        <v>726.471</v>
      </c>
      <c r="S941" s="8">
        <v>616.15599999999995</v>
      </c>
      <c r="T941" s="8">
        <v>511.86200000000002</v>
      </c>
      <c r="U941" s="8">
        <v>421.529</v>
      </c>
      <c r="V941" s="8">
        <v>326.404</v>
      </c>
      <c r="W941" s="8">
        <v>244.61099999999999</v>
      </c>
      <c r="X941" s="8">
        <v>145.02199999999999</v>
      </c>
      <c r="Y941" s="8">
        <v>69.649000000000001</v>
      </c>
      <c r="Z941" s="8">
        <v>18.495000000000001</v>
      </c>
      <c r="AA941" s="8">
        <v>2.5409999999999999</v>
      </c>
      <c r="AB941" s="8">
        <v>0.10299999999999999</v>
      </c>
      <c r="AC941" s="8">
        <v>4.0000000000000001E-3</v>
      </c>
    </row>
    <row r="942" spans="1:29" ht="11.65" hidden="1" x14ac:dyDescent="0.35">
      <c r="A942" s="12">
        <v>925</v>
      </c>
      <c r="B942" s="10" t="s">
        <v>1015</v>
      </c>
      <c r="C942" s="11" t="s">
        <v>602</v>
      </c>
      <c r="D942" s="9"/>
      <c r="E942" s="9">
        <v>710</v>
      </c>
      <c r="F942" s="10" t="s">
        <v>1066</v>
      </c>
      <c r="G942" s="9">
        <v>913</v>
      </c>
      <c r="H942" s="9">
        <v>1995</v>
      </c>
      <c r="I942" s="8">
        <v>2529.2240000000002</v>
      </c>
      <c r="J942" s="8">
        <v>2650.6750000000002</v>
      </c>
      <c r="K942" s="8">
        <v>2482.9259999999999</v>
      </c>
      <c r="L942" s="8">
        <v>2128.1909999999998</v>
      </c>
      <c r="M942" s="8">
        <v>1922.1010000000001</v>
      </c>
      <c r="N942" s="8">
        <v>1693.5419999999999</v>
      </c>
      <c r="O942" s="8">
        <v>1489.65</v>
      </c>
      <c r="P942" s="8">
        <v>1286.0239999999999</v>
      </c>
      <c r="Q942" s="8">
        <v>1091.4169999999999</v>
      </c>
      <c r="R942" s="8">
        <v>846.45600000000002</v>
      </c>
      <c r="S942" s="8">
        <v>738.90899999999999</v>
      </c>
      <c r="T942" s="8">
        <v>622.33699999999999</v>
      </c>
      <c r="U942" s="8">
        <v>509.59300000000002</v>
      </c>
      <c r="V942" s="8">
        <v>400.45</v>
      </c>
      <c r="W942" s="8">
        <v>285.459</v>
      </c>
      <c r="X942" s="8">
        <v>186.47900000000001</v>
      </c>
      <c r="Y942" s="8">
        <v>86.933000000000007</v>
      </c>
      <c r="Z942" s="8">
        <v>26.622</v>
      </c>
      <c r="AA942" s="8">
        <v>3.266</v>
      </c>
      <c r="AB942" s="8">
        <v>0.156</v>
      </c>
      <c r="AC942" s="8">
        <v>4.0000000000000001E-3</v>
      </c>
    </row>
    <row r="943" spans="1:29" ht="11.65" hidden="1" x14ac:dyDescent="0.35">
      <c r="A943" s="12">
        <v>926</v>
      </c>
      <c r="B943" s="10" t="s">
        <v>1015</v>
      </c>
      <c r="C943" s="11" t="s">
        <v>602</v>
      </c>
      <c r="D943" s="9"/>
      <c r="E943" s="9">
        <v>710</v>
      </c>
      <c r="F943" s="10" t="s">
        <v>1066</v>
      </c>
      <c r="G943" s="9">
        <v>913</v>
      </c>
      <c r="H943" s="9">
        <v>2000</v>
      </c>
      <c r="I943" s="8">
        <v>2402.3780000000002</v>
      </c>
      <c r="J943" s="8">
        <v>2501.8470000000002</v>
      </c>
      <c r="K943" s="8">
        <v>2641.4769999999999</v>
      </c>
      <c r="L943" s="8">
        <v>2485.8440000000001</v>
      </c>
      <c r="M943" s="8">
        <v>2141.4250000000002</v>
      </c>
      <c r="N943" s="8">
        <v>1929.221</v>
      </c>
      <c r="O943" s="8">
        <v>1686.6869999999999</v>
      </c>
      <c r="P943" s="8">
        <v>1466.6289999999999</v>
      </c>
      <c r="Q943" s="8">
        <v>1251.078</v>
      </c>
      <c r="R943" s="8">
        <v>1054.155</v>
      </c>
      <c r="S943" s="8">
        <v>808.50400000000002</v>
      </c>
      <c r="T943" s="8">
        <v>698.17700000000002</v>
      </c>
      <c r="U943" s="8">
        <v>581.08100000000002</v>
      </c>
      <c r="V943" s="8">
        <v>458.03500000000003</v>
      </c>
      <c r="W943" s="8">
        <v>335.39299999999997</v>
      </c>
      <c r="X943" s="8">
        <v>210.768</v>
      </c>
      <c r="Y943" s="8">
        <v>107.979</v>
      </c>
      <c r="Z943" s="8">
        <v>31.023</v>
      </c>
      <c r="AA943" s="8">
        <v>4.21</v>
      </c>
      <c r="AB943" s="8">
        <v>0.19</v>
      </c>
      <c r="AC943" s="8">
        <v>6.0000000000000001E-3</v>
      </c>
    </row>
    <row r="944" spans="1:29" ht="11.65" hidden="1" x14ac:dyDescent="0.35">
      <c r="A944" s="12">
        <v>927</v>
      </c>
      <c r="B944" s="10" t="s">
        <v>1015</v>
      </c>
      <c r="C944" s="11" t="s">
        <v>602</v>
      </c>
      <c r="D944" s="9"/>
      <c r="E944" s="9">
        <v>710</v>
      </c>
      <c r="F944" s="10" t="s">
        <v>1066</v>
      </c>
      <c r="G944" s="9">
        <v>913</v>
      </c>
      <c r="H944" s="9">
        <v>2005</v>
      </c>
      <c r="I944" s="8">
        <v>2439.5419999999999</v>
      </c>
      <c r="J944" s="8">
        <v>2376.1410000000001</v>
      </c>
      <c r="K944" s="8">
        <v>2508.029</v>
      </c>
      <c r="L944" s="8">
        <v>2650.5590000000002</v>
      </c>
      <c r="M944" s="8">
        <v>2478.9720000000002</v>
      </c>
      <c r="N944" s="8">
        <v>2127.23</v>
      </c>
      <c r="O944" s="8">
        <v>1893.489</v>
      </c>
      <c r="P944" s="8">
        <v>1603.415</v>
      </c>
      <c r="Q944" s="8">
        <v>1365.125</v>
      </c>
      <c r="R944" s="8">
        <v>1168.999</v>
      </c>
      <c r="S944" s="8">
        <v>985.50599999999997</v>
      </c>
      <c r="T944" s="8">
        <v>751.95500000000004</v>
      </c>
      <c r="U944" s="8">
        <v>635.73699999999997</v>
      </c>
      <c r="V944" s="8">
        <v>507.87200000000001</v>
      </c>
      <c r="W944" s="8">
        <v>373.60300000000001</v>
      </c>
      <c r="X944" s="8">
        <v>241.185</v>
      </c>
      <c r="Y944" s="8">
        <v>120.465</v>
      </c>
      <c r="Z944" s="8">
        <v>39.411000000000001</v>
      </c>
      <c r="AA944" s="8">
        <v>5.5469999999999997</v>
      </c>
      <c r="AB944" s="8">
        <v>0.34399999999999997</v>
      </c>
      <c r="AC944" s="8">
        <v>0.01</v>
      </c>
    </row>
    <row r="945" spans="1:29" ht="11.65" hidden="1" x14ac:dyDescent="0.35">
      <c r="A945" s="12">
        <v>928</v>
      </c>
      <c r="B945" s="10" t="s">
        <v>1015</v>
      </c>
      <c r="C945" s="11" t="s">
        <v>602</v>
      </c>
      <c r="D945" s="9"/>
      <c r="E945" s="9">
        <v>710</v>
      </c>
      <c r="F945" s="10" t="s">
        <v>1066</v>
      </c>
      <c r="G945" s="9">
        <v>913</v>
      </c>
      <c r="H945" s="9">
        <v>2010</v>
      </c>
      <c r="I945" s="8">
        <v>2726.73</v>
      </c>
      <c r="J945" s="8">
        <v>2418.8209999999999</v>
      </c>
      <c r="K945" s="8">
        <v>2380.1570000000002</v>
      </c>
      <c r="L945" s="8">
        <v>2519.8560000000002</v>
      </c>
      <c r="M945" s="8">
        <v>2663.857</v>
      </c>
      <c r="N945" s="8">
        <v>2470.3629999999998</v>
      </c>
      <c r="O945" s="8">
        <v>2061.9720000000002</v>
      </c>
      <c r="P945" s="8">
        <v>1779.14</v>
      </c>
      <c r="Q945" s="8">
        <v>1496.604</v>
      </c>
      <c r="R945" s="8">
        <v>1282.0360000000001</v>
      </c>
      <c r="S945" s="8">
        <v>1098.6369999999999</v>
      </c>
      <c r="T945" s="8">
        <v>914.84500000000003</v>
      </c>
      <c r="U945" s="8">
        <v>681.98900000000003</v>
      </c>
      <c r="V945" s="8">
        <v>555.65300000000002</v>
      </c>
      <c r="W945" s="8">
        <v>417.923</v>
      </c>
      <c r="X945" s="8">
        <v>277.12599999999998</v>
      </c>
      <c r="Y945" s="8">
        <v>145.161</v>
      </c>
      <c r="Z945" s="8">
        <v>47.917000000000002</v>
      </c>
      <c r="AA945" s="8">
        <v>8.0990000000000002</v>
      </c>
      <c r="AB945" s="8">
        <v>0.55700000000000005</v>
      </c>
      <c r="AC945" s="8">
        <v>2.3E-2</v>
      </c>
    </row>
    <row r="946" spans="1:29" ht="11.65" hidden="1" x14ac:dyDescent="0.35">
      <c r="A946" s="12">
        <v>929</v>
      </c>
      <c r="B946" s="10" t="s">
        <v>1015</v>
      </c>
      <c r="C946" s="11" t="s">
        <v>602</v>
      </c>
      <c r="D946" s="9"/>
      <c r="E946" s="9">
        <v>710</v>
      </c>
      <c r="F946" s="10" t="s">
        <v>1066</v>
      </c>
      <c r="G946" s="9">
        <v>913</v>
      </c>
      <c r="H946" s="9">
        <v>2015</v>
      </c>
      <c r="I946" s="8">
        <v>2879.55</v>
      </c>
      <c r="J946" s="8">
        <v>2720.924</v>
      </c>
      <c r="K946" s="8">
        <v>2425.0650000000001</v>
      </c>
      <c r="L946" s="8">
        <v>2408.5050000000001</v>
      </c>
      <c r="M946" s="8">
        <v>2555.7620000000002</v>
      </c>
      <c r="N946" s="8">
        <v>2664.6840000000002</v>
      </c>
      <c r="O946" s="8">
        <v>2408.9160000000002</v>
      </c>
      <c r="P946" s="8">
        <v>1962.6289999999999</v>
      </c>
      <c r="Q946" s="8">
        <v>1708.6279999999999</v>
      </c>
      <c r="R946" s="8">
        <v>1460.528</v>
      </c>
      <c r="S946" s="8">
        <v>1247.3820000000001</v>
      </c>
      <c r="T946" s="8">
        <v>1061.125</v>
      </c>
      <c r="U946" s="8">
        <v>868.50699999999995</v>
      </c>
      <c r="V946" s="8">
        <v>629.22699999999998</v>
      </c>
      <c r="W946" s="8">
        <v>478.95699999999999</v>
      </c>
      <c r="X946" s="8">
        <v>321.39999999999998</v>
      </c>
      <c r="Y946" s="8">
        <v>174.4</v>
      </c>
      <c r="Z946" s="8">
        <v>61.738999999999997</v>
      </c>
      <c r="AA946" s="8">
        <v>10.606</v>
      </c>
      <c r="AB946" s="8">
        <v>0.79900000000000004</v>
      </c>
      <c r="AC946" s="8">
        <v>3.2000000000000001E-2</v>
      </c>
    </row>
    <row r="947" spans="1:29" ht="11.65" hidden="1" x14ac:dyDescent="0.35">
      <c r="A947" s="12">
        <v>930</v>
      </c>
      <c r="B947" s="10" t="s">
        <v>1015</v>
      </c>
      <c r="C947" s="11" t="s">
        <v>602</v>
      </c>
      <c r="D947" s="9"/>
      <c r="E947" s="9">
        <v>710</v>
      </c>
      <c r="F947" s="10" t="s">
        <v>1066</v>
      </c>
      <c r="G947" s="9">
        <v>913</v>
      </c>
      <c r="H947" s="9">
        <v>2020</v>
      </c>
      <c r="I947" s="8">
        <v>2845.9520000000002</v>
      </c>
      <c r="J947" s="8">
        <v>2877.308</v>
      </c>
      <c r="K947" s="8">
        <v>2721.3420000000001</v>
      </c>
      <c r="L947" s="8">
        <v>2440.8310000000001</v>
      </c>
      <c r="M947" s="8">
        <v>2447.27</v>
      </c>
      <c r="N947" s="8">
        <v>2588.7620000000002</v>
      </c>
      <c r="O947" s="8">
        <v>2664.0790000000002</v>
      </c>
      <c r="P947" s="8">
        <v>2377.6129999999998</v>
      </c>
      <c r="Q947" s="8">
        <v>1917.268</v>
      </c>
      <c r="R947" s="8">
        <v>1655.021</v>
      </c>
      <c r="S947" s="8">
        <v>1401.326</v>
      </c>
      <c r="T947" s="8">
        <v>1183.8340000000001</v>
      </c>
      <c r="U947" s="8">
        <v>990.31</v>
      </c>
      <c r="V947" s="8">
        <v>784.77</v>
      </c>
      <c r="W947" s="8">
        <v>535.89499999999998</v>
      </c>
      <c r="X947" s="8">
        <v>367.66500000000002</v>
      </c>
      <c r="Y947" s="8">
        <v>202.84899999999999</v>
      </c>
      <c r="Z947" s="8">
        <v>75.492000000000004</v>
      </c>
      <c r="AA947" s="8">
        <v>14.023</v>
      </c>
      <c r="AB947" s="8">
        <v>1.026</v>
      </c>
      <c r="AC947" s="8">
        <v>4.2000000000000003E-2</v>
      </c>
    </row>
    <row r="948" spans="1:29" ht="11.65" hidden="1" x14ac:dyDescent="0.35">
      <c r="A948" s="23">
        <v>931</v>
      </c>
      <c r="B948" s="21" t="s">
        <v>1015</v>
      </c>
      <c r="C948" s="29" t="s">
        <v>1087</v>
      </c>
      <c r="D948" s="20"/>
      <c r="E948" s="20">
        <v>914</v>
      </c>
      <c r="F948" s="21" t="s">
        <v>1065</v>
      </c>
      <c r="G948" s="20">
        <v>947</v>
      </c>
      <c r="H948" s="20">
        <v>1950</v>
      </c>
      <c r="I948" s="19">
        <v>5866.7719999999999</v>
      </c>
      <c r="J948" s="19">
        <v>4708.1639999999998</v>
      </c>
      <c r="K948" s="19">
        <v>4053.2449999999999</v>
      </c>
      <c r="L948" s="19">
        <v>3536.6860000000001</v>
      </c>
      <c r="M948" s="19">
        <v>3084.8440000000001</v>
      </c>
      <c r="N948" s="19">
        <v>2691.6309999999999</v>
      </c>
      <c r="O948" s="19">
        <v>2331.16</v>
      </c>
      <c r="P948" s="19">
        <v>1980.6890000000001</v>
      </c>
      <c r="Q948" s="19">
        <v>1682.681</v>
      </c>
      <c r="R948" s="19">
        <v>1419.5329999999999</v>
      </c>
      <c r="S948" s="19">
        <v>1225.1769999999999</v>
      </c>
      <c r="T948" s="19">
        <v>998.65300000000002</v>
      </c>
      <c r="U948" s="19">
        <v>763.69</v>
      </c>
      <c r="V948" s="19">
        <v>552.12199999999996</v>
      </c>
      <c r="W948" s="19">
        <v>355.69600000000003</v>
      </c>
      <c r="X948" s="19">
        <v>191.45</v>
      </c>
      <c r="Y948" s="19">
        <v>75.63</v>
      </c>
      <c r="Z948" s="19">
        <v>14.459</v>
      </c>
      <c r="AA948" s="19">
        <v>1.6359999999999999</v>
      </c>
      <c r="AB948" s="19">
        <v>0.13300000000000001</v>
      </c>
      <c r="AC948" s="19">
        <v>8.0000000000000002E-3</v>
      </c>
    </row>
    <row r="949" spans="1:29" ht="11.65" hidden="1" x14ac:dyDescent="0.35">
      <c r="A949" s="23">
        <v>932</v>
      </c>
      <c r="B949" s="21" t="s">
        <v>1015</v>
      </c>
      <c r="C949" s="29" t="s">
        <v>1087</v>
      </c>
      <c r="D949" s="20"/>
      <c r="E949" s="20">
        <v>914</v>
      </c>
      <c r="F949" s="21" t="s">
        <v>1065</v>
      </c>
      <c r="G949" s="20">
        <v>947</v>
      </c>
      <c r="H949" s="20">
        <v>1955</v>
      </c>
      <c r="I949" s="19">
        <v>6437.5429999999997</v>
      </c>
      <c r="J949" s="19">
        <v>5058.3029999999999</v>
      </c>
      <c r="K949" s="19">
        <v>4476.3609999999999</v>
      </c>
      <c r="L949" s="19">
        <v>3896.21</v>
      </c>
      <c r="M949" s="19">
        <v>3357.8130000000001</v>
      </c>
      <c r="N949" s="19">
        <v>2905.5010000000002</v>
      </c>
      <c r="O949" s="19">
        <v>2526.25</v>
      </c>
      <c r="P949" s="19">
        <v>2180.0700000000002</v>
      </c>
      <c r="Q949" s="19">
        <v>1845.912</v>
      </c>
      <c r="R949" s="19">
        <v>1563.5740000000001</v>
      </c>
      <c r="S949" s="19">
        <v>1301.0619999999999</v>
      </c>
      <c r="T949" s="19">
        <v>1090.191</v>
      </c>
      <c r="U949" s="19">
        <v>836.697</v>
      </c>
      <c r="V949" s="19">
        <v>575.81700000000001</v>
      </c>
      <c r="W949" s="19">
        <v>352.69400000000002</v>
      </c>
      <c r="X949" s="19">
        <v>173.61799999999999</v>
      </c>
      <c r="Y949" s="19">
        <v>62.695</v>
      </c>
      <c r="Z949" s="19">
        <v>14.468</v>
      </c>
      <c r="AA949" s="19">
        <v>1.643</v>
      </c>
      <c r="AB949" s="19">
        <v>0.13300000000000001</v>
      </c>
      <c r="AC949" s="19">
        <v>8.0000000000000002E-3</v>
      </c>
    </row>
    <row r="950" spans="1:29" ht="11.65" hidden="1" x14ac:dyDescent="0.35">
      <c r="A950" s="23">
        <v>933</v>
      </c>
      <c r="B950" s="21" t="s">
        <v>1015</v>
      </c>
      <c r="C950" s="29" t="s">
        <v>1087</v>
      </c>
      <c r="D950" s="20"/>
      <c r="E950" s="20">
        <v>914</v>
      </c>
      <c r="F950" s="21" t="s">
        <v>1065</v>
      </c>
      <c r="G950" s="20">
        <v>947</v>
      </c>
      <c r="H950" s="20">
        <v>1960</v>
      </c>
      <c r="I950" s="19">
        <v>7237.3990000000003</v>
      </c>
      <c r="J950" s="19">
        <v>5614.66</v>
      </c>
      <c r="K950" s="19">
        <v>4831.9809999999998</v>
      </c>
      <c r="L950" s="19">
        <v>4317.058</v>
      </c>
      <c r="M950" s="19">
        <v>3713.12</v>
      </c>
      <c r="N950" s="19">
        <v>3175.2150000000001</v>
      </c>
      <c r="O950" s="19">
        <v>2738.239</v>
      </c>
      <c r="P950" s="19">
        <v>2372.6509999999998</v>
      </c>
      <c r="Q950" s="19">
        <v>2040.309</v>
      </c>
      <c r="R950" s="19">
        <v>1722.7090000000001</v>
      </c>
      <c r="S950" s="19">
        <v>1440.605</v>
      </c>
      <c r="T950" s="19">
        <v>1165.51</v>
      </c>
      <c r="U950" s="19">
        <v>923.15200000000004</v>
      </c>
      <c r="V950" s="19">
        <v>641.72199999999998</v>
      </c>
      <c r="W950" s="19">
        <v>378.15800000000002</v>
      </c>
      <c r="X950" s="19">
        <v>180.20500000000001</v>
      </c>
      <c r="Y950" s="19">
        <v>61.241999999999997</v>
      </c>
      <c r="Z950" s="19">
        <v>13.648999999999999</v>
      </c>
      <c r="AA950" s="19">
        <v>1.7689999999999999</v>
      </c>
      <c r="AB950" s="19">
        <v>0.13600000000000001</v>
      </c>
      <c r="AC950" s="19">
        <v>7.0000000000000001E-3</v>
      </c>
    </row>
    <row r="951" spans="1:29" ht="11.65" hidden="1" x14ac:dyDescent="0.35">
      <c r="A951" s="23">
        <v>934</v>
      </c>
      <c r="B951" s="21" t="s">
        <v>1015</v>
      </c>
      <c r="C951" s="29" t="s">
        <v>1087</v>
      </c>
      <c r="D951" s="20"/>
      <c r="E951" s="20">
        <v>914</v>
      </c>
      <c r="F951" s="21" t="s">
        <v>1065</v>
      </c>
      <c r="G951" s="20">
        <v>947</v>
      </c>
      <c r="H951" s="20">
        <v>1965</v>
      </c>
      <c r="I951" s="19">
        <v>8191.902</v>
      </c>
      <c r="J951" s="19">
        <v>6396.0950000000003</v>
      </c>
      <c r="K951" s="19">
        <v>5385.357</v>
      </c>
      <c r="L951" s="19">
        <v>4676.6779999999999</v>
      </c>
      <c r="M951" s="19">
        <v>4132.5259999999998</v>
      </c>
      <c r="N951" s="19">
        <v>3527.877</v>
      </c>
      <c r="O951" s="19">
        <v>3006.3180000000002</v>
      </c>
      <c r="P951" s="19">
        <v>2583.8609999999999</v>
      </c>
      <c r="Q951" s="19">
        <v>2231.0430000000001</v>
      </c>
      <c r="R951" s="19">
        <v>1912.3620000000001</v>
      </c>
      <c r="S951" s="19">
        <v>1594.624</v>
      </c>
      <c r="T951" s="19">
        <v>1298.6089999999999</v>
      </c>
      <c r="U951" s="19">
        <v>996.51499999999999</v>
      </c>
      <c r="V951" s="19">
        <v>719.67</v>
      </c>
      <c r="W951" s="19">
        <v>432.11900000000003</v>
      </c>
      <c r="X951" s="19">
        <v>201.16</v>
      </c>
      <c r="Y951" s="19">
        <v>67.495999999999995</v>
      </c>
      <c r="Z951" s="19">
        <v>14.494999999999999</v>
      </c>
      <c r="AA951" s="19">
        <v>1.9119999999999999</v>
      </c>
      <c r="AB951" s="19">
        <v>0.14699999999999999</v>
      </c>
      <c r="AC951" s="19">
        <v>7.0000000000000001E-3</v>
      </c>
    </row>
    <row r="952" spans="1:29" ht="11.65" hidden="1" x14ac:dyDescent="0.35">
      <c r="A952" s="23">
        <v>935</v>
      </c>
      <c r="B952" s="21" t="s">
        <v>1015</v>
      </c>
      <c r="C952" s="29" t="s">
        <v>1087</v>
      </c>
      <c r="D952" s="20"/>
      <c r="E952" s="20">
        <v>914</v>
      </c>
      <c r="F952" s="21" t="s">
        <v>1065</v>
      </c>
      <c r="G952" s="20">
        <v>947</v>
      </c>
      <c r="H952" s="20">
        <v>1970</v>
      </c>
      <c r="I952" s="19">
        <v>9266.3060000000005</v>
      </c>
      <c r="J952" s="19">
        <v>7324.81</v>
      </c>
      <c r="K952" s="19">
        <v>6169.8339999999998</v>
      </c>
      <c r="L952" s="19">
        <v>5230.5609999999997</v>
      </c>
      <c r="M952" s="19">
        <v>4488.558</v>
      </c>
      <c r="N952" s="19">
        <v>3928.36</v>
      </c>
      <c r="O952" s="19">
        <v>3339.6329999999998</v>
      </c>
      <c r="P952" s="19">
        <v>2838.2869999999998</v>
      </c>
      <c r="Q952" s="19">
        <v>2432.4609999999998</v>
      </c>
      <c r="R952" s="19">
        <v>2095.9259999999999</v>
      </c>
      <c r="S952" s="19">
        <v>1776.818</v>
      </c>
      <c r="T952" s="19">
        <v>1445.998</v>
      </c>
      <c r="U952" s="19">
        <v>1121.28</v>
      </c>
      <c r="V952" s="19">
        <v>789.19100000000003</v>
      </c>
      <c r="W952" s="19">
        <v>496.75400000000002</v>
      </c>
      <c r="X952" s="19">
        <v>238.70699999999999</v>
      </c>
      <c r="Y952" s="19">
        <v>79.756</v>
      </c>
      <c r="Z952" s="19">
        <v>17.210999999999999</v>
      </c>
      <c r="AA952" s="19">
        <v>2.2290000000000001</v>
      </c>
      <c r="AB952" s="19">
        <v>0.185</v>
      </c>
      <c r="AC952" s="19">
        <v>8.0000000000000002E-3</v>
      </c>
    </row>
    <row r="953" spans="1:29" ht="11.65" hidden="1" x14ac:dyDescent="0.35">
      <c r="A953" s="23">
        <v>936</v>
      </c>
      <c r="B953" s="21" t="s">
        <v>1015</v>
      </c>
      <c r="C953" s="29" t="s">
        <v>1087</v>
      </c>
      <c r="D953" s="20"/>
      <c r="E953" s="20">
        <v>914</v>
      </c>
      <c r="F953" s="21" t="s">
        <v>1065</v>
      </c>
      <c r="G953" s="20">
        <v>947</v>
      </c>
      <c r="H953" s="20">
        <v>1975</v>
      </c>
      <c r="I953" s="19">
        <v>10727.763000000001</v>
      </c>
      <c r="J953" s="19">
        <v>8368.5329999999994</v>
      </c>
      <c r="K953" s="19">
        <v>7083.5</v>
      </c>
      <c r="L953" s="19">
        <v>6006.2690000000002</v>
      </c>
      <c r="M953" s="19">
        <v>5039.4480000000003</v>
      </c>
      <c r="N953" s="19">
        <v>4290.1620000000003</v>
      </c>
      <c r="O953" s="19">
        <v>3741.2370000000001</v>
      </c>
      <c r="P953" s="19">
        <v>3172.5070000000001</v>
      </c>
      <c r="Q953" s="19">
        <v>2688.5880000000002</v>
      </c>
      <c r="R953" s="19">
        <v>2297.3209999999999</v>
      </c>
      <c r="S953" s="19">
        <v>1957.8009999999999</v>
      </c>
      <c r="T953" s="19">
        <v>1621.6790000000001</v>
      </c>
      <c r="U953" s="19">
        <v>1260.6469999999999</v>
      </c>
      <c r="V953" s="19">
        <v>901.6</v>
      </c>
      <c r="W953" s="19">
        <v>557.16300000000001</v>
      </c>
      <c r="X953" s="19">
        <v>283.83800000000002</v>
      </c>
      <c r="Y953" s="19">
        <v>99.001999999999995</v>
      </c>
      <c r="Z953" s="19">
        <v>21.539000000000001</v>
      </c>
      <c r="AA953" s="19">
        <v>2.8039999999999998</v>
      </c>
      <c r="AB953" s="19">
        <v>0.223</v>
      </c>
      <c r="AC953" s="19">
        <v>1.2E-2</v>
      </c>
    </row>
    <row r="954" spans="1:29" ht="11.65" hidden="1" x14ac:dyDescent="0.35">
      <c r="A954" s="23">
        <v>937</v>
      </c>
      <c r="B954" s="21" t="s">
        <v>1015</v>
      </c>
      <c r="C954" s="29" t="s">
        <v>1087</v>
      </c>
      <c r="D954" s="20"/>
      <c r="E954" s="20">
        <v>914</v>
      </c>
      <c r="F954" s="21" t="s">
        <v>1065</v>
      </c>
      <c r="G954" s="20">
        <v>947</v>
      </c>
      <c r="H954" s="20">
        <v>1980</v>
      </c>
      <c r="I954" s="19">
        <v>12489.388000000001</v>
      </c>
      <c r="J954" s="19">
        <v>9814.732</v>
      </c>
      <c r="K954" s="19">
        <v>8141.25</v>
      </c>
      <c r="L954" s="19">
        <v>6934.2759999999998</v>
      </c>
      <c r="M954" s="19">
        <v>5830.0079999999998</v>
      </c>
      <c r="N954" s="19">
        <v>4850.9449999999997</v>
      </c>
      <c r="O954" s="19">
        <v>4110.1899999999996</v>
      </c>
      <c r="P954" s="19">
        <v>3571.1849999999999</v>
      </c>
      <c r="Q954" s="19">
        <v>3016.2069999999999</v>
      </c>
      <c r="R954" s="19">
        <v>2549.4479999999999</v>
      </c>
      <c r="S954" s="19">
        <v>2157.431</v>
      </c>
      <c r="T954" s="19">
        <v>1796.318</v>
      </c>
      <c r="U954" s="19">
        <v>1424.9</v>
      </c>
      <c r="V954" s="19">
        <v>1028.2370000000001</v>
      </c>
      <c r="W954" s="19">
        <v>650.60199999999998</v>
      </c>
      <c r="X954" s="19">
        <v>328.82400000000001</v>
      </c>
      <c r="Y954" s="19">
        <v>122.91</v>
      </c>
      <c r="Z954" s="19">
        <v>28.033999999999999</v>
      </c>
      <c r="AA954" s="19">
        <v>3.69</v>
      </c>
      <c r="AB954" s="19">
        <v>0.28599999999999998</v>
      </c>
      <c r="AC954" s="19">
        <v>1.2999999999999999E-2</v>
      </c>
    </row>
    <row r="955" spans="1:29" ht="11.65" hidden="1" x14ac:dyDescent="0.35">
      <c r="A955" s="23">
        <v>938</v>
      </c>
      <c r="B955" s="21" t="s">
        <v>1015</v>
      </c>
      <c r="C955" s="29" t="s">
        <v>1087</v>
      </c>
      <c r="D955" s="20"/>
      <c r="E955" s="20">
        <v>914</v>
      </c>
      <c r="F955" s="21" t="s">
        <v>1065</v>
      </c>
      <c r="G955" s="20">
        <v>947</v>
      </c>
      <c r="H955" s="20">
        <v>1985</v>
      </c>
      <c r="I955" s="19">
        <v>14292.656999999999</v>
      </c>
      <c r="J955" s="19">
        <v>11514.644</v>
      </c>
      <c r="K955" s="19">
        <v>9553.3909999999996</v>
      </c>
      <c r="L955" s="19">
        <v>7952.9960000000001</v>
      </c>
      <c r="M955" s="19">
        <v>6701.0789999999997</v>
      </c>
      <c r="N955" s="19">
        <v>5584.6</v>
      </c>
      <c r="O955" s="19">
        <v>4632.2290000000003</v>
      </c>
      <c r="P955" s="19">
        <v>3920.9380000000001</v>
      </c>
      <c r="Q955" s="19">
        <v>3402.5129999999999</v>
      </c>
      <c r="R955" s="19">
        <v>2866.2420000000002</v>
      </c>
      <c r="S955" s="19">
        <v>2399.8110000000001</v>
      </c>
      <c r="T955" s="19">
        <v>1993.64</v>
      </c>
      <c r="U955" s="19">
        <v>1598.482</v>
      </c>
      <c r="V955" s="19">
        <v>1183.1949999999999</v>
      </c>
      <c r="W955" s="19">
        <v>761.09299999999996</v>
      </c>
      <c r="X955" s="19">
        <v>397.447</v>
      </c>
      <c r="Y955" s="19">
        <v>148.84100000000001</v>
      </c>
      <c r="Z955" s="19">
        <v>36.472000000000001</v>
      </c>
      <c r="AA955" s="19">
        <v>4.9690000000000003</v>
      </c>
      <c r="AB955" s="19">
        <v>0.38900000000000001</v>
      </c>
      <c r="AC955" s="19">
        <v>1.7000000000000001E-2</v>
      </c>
    </row>
    <row r="956" spans="1:29" ht="11.65" hidden="1" x14ac:dyDescent="0.35">
      <c r="A956" s="23">
        <v>939</v>
      </c>
      <c r="B956" s="21" t="s">
        <v>1015</v>
      </c>
      <c r="C956" s="29" t="s">
        <v>1087</v>
      </c>
      <c r="D956" s="20"/>
      <c r="E956" s="20">
        <v>914</v>
      </c>
      <c r="F956" s="21" t="s">
        <v>1065</v>
      </c>
      <c r="G956" s="20">
        <v>947</v>
      </c>
      <c r="H956" s="20">
        <v>1990</v>
      </c>
      <c r="I956" s="19">
        <v>15934.127</v>
      </c>
      <c r="J956" s="19">
        <v>13223.144</v>
      </c>
      <c r="K956" s="19">
        <v>11220.53</v>
      </c>
      <c r="L956" s="19">
        <v>9338.6949999999997</v>
      </c>
      <c r="M956" s="19">
        <v>7701.0820000000003</v>
      </c>
      <c r="N956" s="19">
        <v>6436.3029999999999</v>
      </c>
      <c r="O956" s="19">
        <v>5342.915</v>
      </c>
      <c r="P956" s="19">
        <v>4425.2190000000001</v>
      </c>
      <c r="Q956" s="19">
        <v>3739.145</v>
      </c>
      <c r="R956" s="19">
        <v>3237.6550000000002</v>
      </c>
      <c r="S956" s="19">
        <v>2702.326</v>
      </c>
      <c r="T956" s="19">
        <v>2219.9499999999998</v>
      </c>
      <c r="U956" s="19">
        <v>1778.9390000000001</v>
      </c>
      <c r="V956" s="19">
        <v>1334.896</v>
      </c>
      <c r="W956" s="19">
        <v>882.61400000000003</v>
      </c>
      <c r="X956" s="19">
        <v>470.50099999999998</v>
      </c>
      <c r="Y956" s="19">
        <v>182.67699999999999</v>
      </c>
      <c r="Z956" s="19">
        <v>44.972999999999999</v>
      </c>
      <c r="AA956" s="19">
        <v>6.59</v>
      </c>
      <c r="AB956" s="19">
        <v>0.53800000000000003</v>
      </c>
      <c r="AC956" s="19">
        <v>2.5000000000000001E-2</v>
      </c>
    </row>
    <row r="957" spans="1:29" ht="11.65" hidden="1" x14ac:dyDescent="0.35">
      <c r="A957" s="23">
        <v>940</v>
      </c>
      <c r="B957" s="21" t="s">
        <v>1015</v>
      </c>
      <c r="C957" s="29" t="s">
        <v>1087</v>
      </c>
      <c r="D957" s="20"/>
      <c r="E957" s="20">
        <v>914</v>
      </c>
      <c r="F957" s="21" t="s">
        <v>1065</v>
      </c>
      <c r="G957" s="20">
        <v>947</v>
      </c>
      <c r="H957" s="20">
        <v>1995</v>
      </c>
      <c r="I957" s="19">
        <v>17741.476999999999</v>
      </c>
      <c r="J957" s="19">
        <v>14767.623</v>
      </c>
      <c r="K957" s="19">
        <v>12872.534</v>
      </c>
      <c r="L957" s="19">
        <v>10960.721</v>
      </c>
      <c r="M957" s="19">
        <v>9046.4950000000008</v>
      </c>
      <c r="N957" s="19">
        <v>7410.2839999999997</v>
      </c>
      <c r="O957" s="19">
        <v>6173.0540000000001</v>
      </c>
      <c r="P957" s="19">
        <v>5112.3509999999997</v>
      </c>
      <c r="Q957" s="19">
        <v>4222.3969999999999</v>
      </c>
      <c r="R957" s="19">
        <v>3556.4670000000001</v>
      </c>
      <c r="S957" s="19">
        <v>3050.3150000000001</v>
      </c>
      <c r="T957" s="19">
        <v>2498.3110000000001</v>
      </c>
      <c r="U957" s="19">
        <v>1978.8689999999999</v>
      </c>
      <c r="V957" s="19">
        <v>1484.345</v>
      </c>
      <c r="W957" s="19">
        <v>996.423</v>
      </c>
      <c r="X957" s="19">
        <v>546.80200000000002</v>
      </c>
      <c r="Y957" s="19">
        <v>217.47800000000001</v>
      </c>
      <c r="Z957" s="19">
        <v>55.622</v>
      </c>
      <c r="AA957" s="19">
        <v>8.1790000000000003</v>
      </c>
      <c r="AB957" s="19">
        <v>0.71699999999999997</v>
      </c>
      <c r="AC957" s="19">
        <v>3.4000000000000002E-2</v>
      </c>
    </row>
    <row r="958" spans="1:29" ht="11.65" hidden="1" x14ac:dyDescent="0.35">
      <c r="A958" s="23">
        <v>941</v>
      </c>
      <c r="B958" s="21" t="s">
        <v>1015</v>
      </c>
      <c r="C958" s="29" t="s">
        <v>1087</v>
      </c>
      <c r="D958" s="20"/>
      <c r="E958" s="20">
        <v>914</v>
      </c>
      <c r="F958" s="21" t="s">
        <v>1065</v>
      </c>
      <c r="G958" s="20">
        <v>947</v>
      </c>
      <c r="H958" s="20">
        <v>2000</v>
      </c>
      <c r="I958" s="19">
        <v>20143.060000000001</v>
      </c>
      <c r="J958" s="19">
        <v>16592.348000000002</v>
      </c>
      <c r="K958" s="19">
        <v>14424.264999999999</v>
      </c>
      <c r="L958" s="19">
        <v>12615.373</v>
      </c>
      <c r="M958" s="19">
        <v>10638.367</v>
      </c>
      <c r="N958" s="19">
        <v>8716.0079999999998</v>
      </c>
      <c r="O958" s="19">
        <v>7113.9920000000002</v>
      </c>
      <c r="P958" s="19">
        <v>5912.0829999999996</v>
      </c>
      <c r="Q958" s="19">
        <v>4880.4319999999998</v>
      </c>
      <c r="R958" s="19">
        <v>4018.518</v>
      </c>
      <c r="S958" s="19">
        <v>3354.0120000000002</v>
      </c>
      <c r="T958" s="19">
        <v>2821.962</v>
      </c>
      <c r="U958" s="19">
        <v>2226.0250000000001</v>
      </c>
      <c r="V958" s="19">
        <v>1646.172</v>
      </c>
      <c r="W958" s="19">
        <v>1100.8040000000001</v>
      </c>
      <c r="X958" s="19">
        <v>610.25</v>
      </c>
      <c r="Y958" s="19">
        <v>248.345</v>
      </c>
      <c r="Z958" s="19">
        <v>64.771000000000001</v>
      </c>
      <c r="AA958" s="19">
        <v>9.8859999999999992</v>
      </c>
      <c r="AB958" s="19">
        <v>0.88400000000000001</v>
      </c>
      <c r="AC958" s="19">
        <v>4.7E-2</v>
      </c>
    </row>
    <row r="959" spans="1:29" ht="11.65" hidden="1" x14ac:dyDescent="0.35">
      <c r="A959" s="23">
        <v>942</v>
      </c>
      <c r="B959" s="21" t="s">
        <v>1015</v>
      </c>
      <c r="C959" s="29" t="s">
        <v>1087</v>
      </c>
      <c r="D959" s="20"/>
      <c r="E959" s="20">
        <v>914</v>
      </c>
      <c r="F959" s="21" t="s">
        <v>1065</v>
      </c>
      <c r="G959" s="20">
        <v>947</v>
      </c>
      <c r="H959" s="20">
        <v>2005</v>
      </c>
      <c r="I959" s="19">
        <v>23015.498</v>
      </c>
      <c r="J959" s="19">
        <v>19007.273000000001</v>
      </c>
      <c r="K959" s="19">
        <v>16195.109</v>
      </c>
      <c r="L959" s="19">
        <v>14110.224</v>
      </c>
      <c r="M959" s="19">
        <v>12193.689</v>
      </c>
      <c r="N959" s="19">
        <v>10201.078</v>
      </c>
      <c r="O959" s="19">
        <v>8331.9770000000008</v>
      </c>
      <c r="P959" s="19">
        <v>6788.3059999999996</v>
      </c>
      <c r="Q959" s="19">
        <v>5627.5320000000002</v>
      </c>
      <c r="R959" s="19">
        <v>4632.9780000000001</v>
      </c>
      <c r="S959" s="19">
        <v>3778.375</v>
      </c>
      <c r="T959" s="19">
        <v>3092.634</v>
      </c>
      <c r="U959" s="19">
        <v>2502.2370000000001</v>
      </c>
      <c r="V959" s="19">
        <v>1839.155</v>
      </c>
      <c r="W959" s="19">
        <v>1210.903</v>
      </c>
      <c r="X959" s="19">
        <v>667.24699999999996</v>
      </c>
      <c r="Y959" s="19">
        <v>273.46899999999999</v>
      </c>
      <c r="Z959" s="19">
        <v>72.808999999999997</v>
      </c>
      <c r="AA959" s="19">
        <v>11.315</v>
      </c>
      <c r="AB959" s="19">
        <v>1.0660000000000001</v>
      </c>
      <c r="AC959" s="19">
        <v>5.8000000000000003E-2</v>
      </c>
    </row>
    <row r="960" spans="1:29" ht="11.65" hidden="1" x14ac:dyDescent="0.35">
      <c r="A960" s="23">
        <v>943</v>
      </c>
      <c r="B960" s="21" t="s">
        <v>1015</v>
      </c>
      <c r="C960" s="29" t="s">
        <v>1087</v>
      </c>
      <c r="D960" s="20"/>
      <c r="E960" s="20">
        <v>914</v>
      </c>
      <c r="F960" s="21" t="s">
        <v>1065</v>
      </c>
      <c r="G960" s="20">
        <v>947</v>
      </c>
      <c r="H960" s="20">
        <v>2010</v>
      </c>
      <c r="I960" s="19">
        <v>26135.621999999999</v>
      </c>
      <c r="J960" s="19">
        <v>21972.056</v>
      </c>
      <c r="K960" s="19">
        <v>18583.455999999998</v>
      </c>
      <c r="L960" s="19">
        <v>15862.295</v>
      </c>
      <c r="M960" s="19">
        <v>13669.777</v>
      </c>
      <c r="N960" s="19">
        <v>11740.674999999999</v>
      </c>
      <c r="O960" s="19">
        <v>9802.9410000000007</v>
      </c>
      <c r="P960" s="19">
        <v>7992.2719999999999</v>
      </c>
      <c r="Q960" s="19">
        <v>6495.3760000000002</v>
      </c>
      <c r="R960" s="19">
        <v>5367.1480000000001</v>
      </c>
      <c r="S960" s="19">
        <v>4376.5360000000001</v>
      </c>
      <c r="T960" s="19">
        <v>3502.1060000000002</v>
      </c>
      <c r="U960" s="19">
        <v>2762.7579999999998</v>
      </c>
      <c r="V960" s="19">
        <v>2090.4949999999999</v>
      </c>
      <c r="W960" s="19">
        <v>1374.5550000000001</v>
      </c>
      <c r="X960" s="19">
        <v>752.50900000000001</v>
      </c>
      <c r="Y960" s="19">
        <v>309.51400000000001</v>
      </c>
      <c r="Z960" s="19">
        <v>83.215000000000003</v>
      </c>
      <c r="AA960" s="19">
        <v>13.238</v>
      </c>
      <c r="AB960" s="19">
        <v>1.1850000000000001</v>
      </c>
      <c r="AC960" s="19">
        <v>6.0999999999999999E-2</v>
      </c>
    </row>
    <row r="961" spans="1:29" ht="11.65" hidden="1" x14ac:dyDescent="0.35">
      <c r="A961" s="23">
        <v>944</v>
      </c>
      <c r="B961" s="21" t="s">
        <v>1015</v>
      </c>
      <c r="C961" s="29" t="s">
        <v>1087</v>
      </c>
      <c r="D961" s="20"/>
      <c r="E961" s="20">
        <v>914</v>
      </c>
      <c r="F961" s="21" t="s">
        <v>1065</v>
      </c>
      <c r="G961" s="20">
        <v>947</v>
      </c>
      <c r="H961" s="20">
        <v>2015</v>
      </c>
      <c r="I961" s="19">
        <v>29274.865000000002</v>
      </c>
      <c r="J961" s="19">
        <v>25146.858</v>
      </c>
      <c r="K961" s="19">
        <v>21526.277999999998</v>
      </c>
      <c r="L961" s="19">
        <v>18226.212</v>
      </c>
      <c r="M961" s="19">
        <v>15389.741</v>
      </c>
      <c r="N961" s="19">
        <v>13180.588</v>
      </c>
      <c r="O961" s="19">
        <v>11302.43</v>
      </c>
      <c r="P961" s="19">
        <v>9422.2489999999998</v>
      </c>
      <c r="Q961" s="19">
        <v>7664.0649999999996</v>
      </c>
      <c r="R961" s="19">
        <v>6210.0029999999997</v>
      </c>
      <c r="S961" s="19">
        <v>5085.4970000000003</v>
      </c>
      <c r="T961" s="19">
        <v>4073.3240000000001</v>
      </c>
      <c r="U961" s="19">
        <v>3148.6770000000001</v>
      </c>
      <c r="V961" s="19">
        <v>2331.5070000000001</v>
      </c>
      <c r="W961" s="19">
        <v>1585.2950000000001</v>
      </c>
      <c r="X961" s="19">
        <v>870.45</v>
      </c>
      <c r="Y961" s="19">
        <v>358.447</v>
      </c>
      <c r="Z961" s="19">
        <v>97.74</v>
      </c>
      <c r="AA961" s="19">
        <v>15.731999999999999</v>
      </c>
      <c r="AB961" s="19">
        <v>1.4390000000000001</v>
      </c>
      <c r="AC961" s="19">
        <v>7.3999999999999996E-2</v>
      </c>
    </row>
    <row r="962" spans="1:29" ht="11.65" hidden="1" x14ac:dyDescent="0.35">
      <c r="A962" s="23">
        <v>945</v>
      </c>
      <c r="B962" s="21" t="s">
        <v>1015</v>
      </c>
      <c r="C962" s="29" t="s">
        <v>1087</v>
      </c>
      <c r="D962" s="20"/>
      <c r="E962" s="20">
        <v>914</v>
      </c>
      <c r="F962" s="21" t="s">
        <v>1065</v>
      </c>
      <c r="G962" s="20">
        <v>947</v>
      </c>
      <c r="H962" s="20">
        <v>2020</v>
      </c>
      <c r="I962" s="19">
        <v>32017.61</v>
      </c>
      <c r="J962" s="19">
        <v>28363.091</v>
      </c>
      <c r="K962" s="19">
        <v>24709.786</v>
      </c>
      <c r="L962" s="19">
        <v>21181.325000000001</v>
      </c>
      <c r="M962" s="19">
        <v>17786.681</v>
      </c>
      <c r="N962" s="19">
        <v>14936.89</v>
      </c>
      <c r="O962" s="19">
        <v>12764.268</v>
      </c>
      <c r="P962" s="19">
        <v>10927.08</v>
      </c>
      <c r="Q962" s="19">
        <v>9085.7780000000002</v>
      </c>
      <c r="R962" s="19">
        <v>7366.3069999999998</v>
      </c>
      <c r="S962" s="19">
        <v>5916.6450000000004</v>
      </c>
      <c r="T962" s="19">
        <v>4763.5079999999998</v>
      </c>
      <c r="U962" s="19">
        <v>3692.3879999999999</v>
      </c>
      <c r="V962" s="19">
        <v>2687.0990000000002</v>
      </c>
      <c r="W962" s="19">
        <v>1794.57</v>
      </c>
      <c r="X962" s="19">
        <v>1024.643</v>
      </c>
      <c r="Y962" s="19">
        <v>425.67599999999999</v>
      </c>
      <c r="Z962" s="19">
        <v>117.089</v>
      </c>
      <c r="AA962" s="19">
        <v>19.02</v>
      </c>
      <c r="AB962" s="19">
        <v>1.79</v>
      </c>
      <c r="AC962" s="19">
        <v>0.10299999999999999</v>
      </c>
    </row>
    <row r="963" spans="1:29" ht="11.65" hidden="1" x14ac:dyDescent="0.35">
      <c r="A963" s="12">
        <v>946</v>
      </c>
      <c r="B963" s="10" t="s">
        <v>1015</v>
      </c>
      <c r="C963" s="11" t="s">
        <v>1088</v>
      </c>
      <c r="D963" s="9"/>
      <c r="E963" s="9">
        <v>204</v>
      </c>
      <c r="F963" s="10" t="s">
        <v>1066</v>
      </c>
      <c r="G963" s="9">
        <v>914</v>
      </c>
      <c r="H963" s="9">
        <v>1950</v>
      </c>
      <c r="I963" s="8">
        <v>164.99299999999999</v>
      </c>
      <c r="J963" s="8">
        <v>140.15</v>
      </c>
      <c r="K963" s="8">
        <v>117.694</v>
      </c>
      <c r="L963" s="8">
        <v>102.678</v>
      </c>
      <c r="M963" s="8">
        <v>89.68</v>
      </c>
      <c r="N963" s="8">
        <v>81.066999999999993</v>
      </c>
      <c r="O963" s="8">
        <v>74.456999999999994</v>
      </c>
      <c r="P963" s="8">
        <v>67.67</v>
      </c>
      <c r="Q963" s="8">
        <v>63.101999999999997</v>
      </c>
      <c r="R963" s="8">
        <v>58.51</v>
      </c>
      <c r="S963" s="8">
        <v>55.66</v>
      </c>
      <c r="T963" s="8">
        <v>48.537999999999997</v>
      </c>
      <c r="U963" s="8">
        <v>41.619</v>
      </c>
      <c r="V963" s="8">
        <v>34.494</v>
      </c>
      <c r="W963" s="8">
        <v>28.805</v>
      </c>
      <c r="X963" s="8">
        <v>23.805</v>
      </c>
      <c r="Y963" s="8">
        <v>9.8290000000000006</v>
      </c>
      <c r="Z963" s="8">
        <v>1.605</v>
      </c>
      <c r="AA963" s="8">
        <v>0.13300000000000001</v>
      </c>
      <c r="AB963" s="8">
        <v>6.0000000000000001E-3</v>
      </c>
      <c r="AC963" s="8">
        <v>0</v>
      </c>
    </row>
    <row r="964" spans="1:29" ht="11.65" hidden="1" x14ac:dyDescent="0.35">
      <c r="A964" s="12">
        <v>947</v>
      </c>
      <c r="B964" s="10" t="s">
        <v>1015</v>
      </c>
      <c r="C964" s="11" t="s">
        <v>1088</v>
      </c>
      <c r="D964" s="9"/>
      <c r="E964" s="9">
        <v>204</v>
      </c>
      <c r="F964" s="10" t="s">
        <v>1066</v>
      </c>
      <c r="G964" s="9">
        <v>914</v>
      </c>
      <c r="H964" s="9">
        <v>1955</v>
      </c>
      <c r="I964" s="8">
        <v>170.202</v>
      </c>
      <c r="J964" s="8">
        <v>142.542</v>
      </c>
      <c r="K964" s="8">
        <v>133.06899999999999</v>
      </c>
      <c r="L964" s="8">
        <v>112.51</v>
      </c>
      <c r="M964" s="8">
        <v>95.942999999999998</v>
      </c>
      <c r="N964" s="8">
        <v>82.653000000000006</v>
      </c>
      <c r="O964" s="8">
        <v>74.569000000000003</v>
      </c>
      <c r="P964" s="8">
        <v>68.516999999999996</v>
      </c>
      <c r="Q964" s="8">
        <v>62.287999999999997</v>
      </c>
      <c r="R964" s="8">
        <v>58.084000000000003</v>
      </c>
      <c r="S964" s="8">
        <v>53.173999999999999</v>
      </c>
      <c r="T964" s="8">
        <v>49.061</v>
      </c>
      <c r="U964" s="8">
        <v>40.103000000000002</v>
      </c>
      <c r="V964" s="8">
        <v>30.65</v>
      </c>
      <c r="W964" s="8">
        <v>21.195</v>
      </c>
      <c r="X964" s="8">
        <v>13.151999999999999</v>
      </c>
      <c r="Y964" s="8">
        <v>6.9580000000000002</v>
      </c>
      <c r="Z964" s="8">
        <v>1.603</v>
      </c>
      <c r="AA964" s="8">
        <v>0.13200000000000001</v>
      </c>
      <c r="AB964" s="8">
        <v>6.0000000000000001E-3</v>
      </c>
      <c r="AC964" s="8">
        <v>0</v>
      </c>
    </row>
    <row r="965" spans="1:29" ht="11.65" hidden="1" x14ac:dyDescent="0.35">
      <c r="A965" s="12">
        <v>948</v>
      </c>
      <c r="B965" s="10" t="s">
        <v>1015</v>
      </c>
      <c r="C965" s="11" t="s">
        <v>1088</v>
      </c>
      <c r="D965" s="9"/>
      <c r="E965" s="9">
        <v>204</v>
      </c>
      <c r="F965" s="10" t="s">
        <v>1066</v>
      </c>
      <c r="G965" s="9">
        <v>914</v>
      </c>
      <c r="H965" s="9">
        <v>1960</v>
      </c>
      <c r="I965" s="8">
        <v>191.977</v>
      </c>
      <c r="J965" s="8">
        <v>149.36799999999999</v>
      </c>
      <c r="K965" s="8">
        <v>136.09700000000001</v>
      </c>
      <c r="L965" s="8">
        <v>127.81699999999999</v>
      </c>
      <c r="M965" s="8">
        <v>105.855</v>
      </c>
      <c r="N965" s="8">
        <v>89.111000000000004</v>
      </c>
      <c r="O965" s="8">
        <v>76.576999999999998</v>
      </c>
      <c r="P965" s="8">
        <v>69.114000000000004</v>
      </c>
      <c r="Q965" s="8">
        <v>63.524000000000001</v>
      </c>
      <c r="R965" s="8">
        <v>57.73</v>
      </c>
      <c r="S965" s="8">
        <v>53.206000000000003</v>
      </c>
      <c r="T965" s="8">
        <v>47.360999999999997</v>
      </c>
      <c r="U965" s="8">
        <v>41.204000000000001</v>
      </c>
      <c r="V965" s="8">
        <v>30.329000000000001</v>
      </c>
      <c r="W965" s="8">
        <v>19.635999999999999</v>
      </c>
      <c r="X965" s="8">
        <v>10.343999999999999</v>
      </c>
      <c r="Y965" s="8">
        <v>4.2549999999999999</v>
      </c>
      <c r="Z965" s="8">
        <v>1.2989999999999999</v>
      </c>
      <c r="AA965" s="8">
        <v>0.156</v>
      </c>
      <c r="AB965" s="8">
        <v>6.0000000000000001E-3</v>
      </c>
      <c r="AC965" s="8">
        <v>0</v>
      </c>
    </row>
    <row r="966" spans="1:29" ht="11.65" hidden="1" x14ac:dyDescent="0.35">
      <c r="A966" s="12">
        <v>949</v>
      </c>
      <c r="B966" s="10" t="s">
        <v>1015</v>
      </c>
      <c r="C966" s="11" t="s">
        <v>1088</v>
      </c>
      <c r="D966" s="9"/>
      <c r="E966" s="9">
        <v>204</v>
      </c>
      <c r="F966" s="10" t="s">
        <v>1066</v>
      </c>
      <c r="G966" s="9">
        <v>914</v>
      </c>
      <c r="H966" s="9">
        <v>1965</v>
      </c>
      <c r="I966" s="8">
        <v>221.38800000000001</v>
      </c>
      <c r="J966" s="8">
        <v>170.821</v>
      </c>
      <c r="K966" s="8">
        <v>143.261</v>
      </c>
      <c r="L966" s="8">
        <v>131.161</v>
      </c>
      <c r="M966" s="8">
        <v>120.916</v>
      </c>
      <c r="N966" s="8">
        <v>98.912000000000006</v>
      </c>
      <c r="O966" s="8">
        <v>83.05</v>
      </c>
      <c r="P966" s="8">
        <v>71.361000000000004</v>
      </c>
      <c r="Q966" s="8">
        <v>64.423000000000002</v>
      </c>
      <c r="R966" s="8">
        <v>59.195999999999998</v>
      </c>
      <c r="S966" s="8">
        <v>53.207999999999998</v>
      </c>
      <c r="T966" s="8">
        <v>47.786999999999999</v>
      </c>
      <c r="U966" s="8">
        <v>40.295000000000002</v>
      </c>
      <c r="V966" s="8">
        <v>31.829000000000001</v>
      </c>
      <c r="W966" s="8">
        <v>20.079999999999998</v>
      </c>
      <c r="X966" s="8">
        <v>10.087999999999999</v>
      </c>
      <c r="Y966" s="8">
        <v>3.6120000000000001</v>
      </c>
      <c r="Z966" s="8">
        <v>0.879</v>
      </c>
      <c r="AA966" s="8">
        <v>0.14299999999999999</v>
      </c>
      <c r="AB966" s="8">
        <v>8.9999999999999993E-3</v>
      </c>
      <c r="AC966" s="8">
        <v>0</v>
      </c>
    </row>
    <row r="967" spans="1:29" ht="11.65" hidden="1" x14ac:dyDescent="0.35">
      <c r="A967" s="12">
        <v>950</v>
      </c>
      <c r="B967" s="10" t="s">
        <v>1015</v>
      </c>
      <c r="C967" s="11" t="s">
        <v>1088</v>
      </c>
      <c r="D967" s="9"/>
      <c r="E967" s="9">
        <v>204</v>
      </c>
      <c r="F967" s="10" t="s">
        <v>1066</v>
      </c>
      <c r="G967" s="9">
        <v>914</v>
      </c>
      <c r="H967" s="9">
        <v>1970</v>
      </c>
      <c r="I967" s="8">
        <v>252.72900000000001</v>
      </c>
      <c r="J967" s="8">
        <v>198.09800000000001</v>
      </c>
      <c r="K967" s="8">
        <v>163.709</v>
      </c>
      <c r="L967" s="8">
        <v>138.57300000000001</v>
      </c>
      <c r="M967" s="8">
        <v>125.688</v>
      </c>
      <c r="N967" s="8">
        <v>114.85899999999999</v>
      </c>
      <c r="O967" s="8">
        <v>93.35</v>
      </c>
      <c r="P967" s="8">
        <v>78.025999999999996</v>
      </c>
      <c r="Q967" s="8">
        <v>66.793000000000006</v>
      </c>
      <c r="R967" s="8">
        <v>60.133000000000003</v>
      </c>
      <c r="S967" s="8">
        <v>54.811999999999998</v>
      </c>
      <c r="T967" s="8">
        <v>48.262</v>
      </c>
      <c r="U967" s="8">
        <v>41.710999999999999</v>
      </c>
      <c r="V967" s="8">
        <v>32.923999999999999</v>
      </c>
      <c r="W967" s="8">
        <v>23.331</v>
      </c>
      <c r="X967" s="8">
        <v>12.484</v>
      </c>
      <c r="Y967" s="8">
        <v>4.9039999999999999</v>
      </c>
      <c r="Z967" s="8">
        <v>1.242</v>
      </c>
      <c r="AA967" s="8">
        <v>0.19400000000000001</v>
      </c>
      <c r="AB967" s="8">
        <v>1.9E-2</v>
      </c>
      <c r="AC967" s="8">
        <v>1E-3</v>
      </c>
    </row>
    <row r="968" spans="1:29" ht="11.65" hidden="1" x14ac:dyDescent="0.35">
      <c r="A968" s="12">
        <v>951</v>
      </c>
      <c r="B968" s="10" t="s">
        <v>1015</v>
      </c>
      <c r="C968" s="11" t="s">
        <v>1088</v>
      </c>
      <c r="D968" s="9"/>
      <c r="E968" s="9">
        <v>204</v>
      </c>
      <c r="F968" s="10" t="s">
        <v>1066</v>
      </c>
      <c r="G968" s="9">
        <v>914</v>
      </c>
      <c r="H968" s="9">
        <v>1975</v>
      </c>
      <c r="I968" s="8">
        <v>289.57600000000002</v>
      </c>
      <c r="J968" s="8">
        <v>229.18899999999999</v>
      </c>
      <c r="K968" s="8">
        <v>191.44300000000001</v>
      </c>
      <c r="L968" s="8">
        <v>159.24799999999999</v>
      </c>
      <c r="M968" s="8">
        <v>133.548</v>
      </c>
      <c r="N968" s="8">
        <v>120.14400000000001</v>
      </c>
      <c r="O968" s="8">
        <v>109.374</v>
      </c>
      <c r="P968" s="8">
        <v>88.561999999999998</v>
      </c>
      <c r="Q968" s="8">
        <v>73.769000000000005</v>
      </c>
      <c r="R968" s="8">
        <v>62.962000000000003</v>
      </c>
      <c r="S968" s="8">
        <v>56.265000000000001</v>
      </c>
      <c r="T968" s="8">
        <v>50.375999999999998</v>
      </c>
      <c r="U968" s="8">
        <v>42.91</v>
      </c>
      <c r="V968" s="8">
        <v>34.982999999999997</v>
      </c>
      <c r="W968" s="8">
        <v>25.074000000000002</v>
      </c>
      <c r="X968" s="8">
        <v>15.324</v>
      </c>
      <c r="Y968" s="8">
        <v>6.5460000000000003</v>
      </c>
      <c r="Z968" s="8">
        <v>1.865</v>
      </c>
      <c r="AA968" s="8">
        <v>0.312</v>
      </c>
      <c r="AB968" s="8">
        <v>0.03</v>
      </c>
      <c r="AC968" s="8">
        <v>2E-3</v>
      </c>
    </row>
    <row r="969" spans="1:29" ht="11.65" hidden="1" x14ac:dyDescent="0.35">
      <c r="A969" s="12">
        <v>952</v>
      </c>
      <c r="B969" s="10" t="s">
        <v>1015</v>
      </c>
      <c r="C969" s="11" t="s">
        <v>1088</v>
      </c>
      <c r="D969" s="9"/>
      <c r="E969" s="9">
        <v>204</v>
      </c>
      <c r="F969" s="10" t="s">
        <v>1066</v>
      </c>
      <c r="G969" s="9">
        <v>914</v>
      </c>
      <c r="H969" s="9">
        <v>1980</v>
      </c>
      <c r="I969" s="8">
        <v>337.51400000000001</v>
      </c>
      <c r="J969" s="8">
        <v>266.46100000000001</v>
      </c>
      <c r="K969" s="8">
        <v>223.06299999999999</v>
      </c>
      <c r="L969" s="8">
        <v>187.22300000000001</v>
      </c>
      <c r="M969" s="8">
        <v>154.60400000000001</v>
      </c>
      <c r="N969" s="8">
        <v>128.71600000000001</v>
      </c>
      <c r="O969" s="8">
        <v>115.40300000000001</v>
      </c>
      <c r="P969" s="8">
        <v>104.804</v>
      </c>
      <c r="Q969" s="8">
        <v>84.525000000000006</v>
      </c>
      <c r="R969" s="8">
        <v>70.146000000000001</v>
      </c>
      <c r="S969" s="8">
        <v>59.404000000000003</v>
      </c>
      <c r="T969" s="8">
        <v>52.215000000000003</v>
      </c>
      <c r="U969" s="8">
        <v>45.377000000000002</v>
      </c>
      <c r="V969" s="8">
        <v>36.622999999999998</v>
      </c>
      <c r="W969" s="8">
        <v>27.300999999999998</v>
      </c>
      <c r="X969" s="8">
        <v>17.024000000000001</v>
      </c>
      <c r="Y969" s="8">
        <v>8.3949999999999996</v>
      </c>
      <c r="Z969" s="8">
        <v>2.6280000000000001</v>
      </c>
      <c r="AA969" s="8">
        <v>0.498</v>
      </c>
      <c r="AB969" s="8">
        <v>0.05</v>
      </c>
      <c r="AC969" s="8">
        <v>3.0000000000000001E-3</v>
      </c>
    </row>
    <row r="970" spans="1:29" ht="11.65" hidden="1" x14ac:dyDescent="0.35">
      <c r="A970" s="12">
        <v>953</v>
      </c>
      <c r="B970" s="10" t="s">
        <v>1015</v>
      </c>
      <c r="C970" s="11" t="s">
        <v>1088</v>
      </c>
      <c r="D970" s="9"/>
      <c r="E970" s="9">
        <v>204</v>
      </c>
      <c r="F970" s="10" t="s">
        <v>1066</v>
      </c>
      <c r="G970" s="9">
        <v>914</v>
      </c>
      <c r="H970" s="9">
        <v>1985</v>
      </c>
      <c r="I970" s="8">
        <v>392.32499999999999</v>
      </c>
      <c r="J970" s="8">
        <v>313.80399999999997</v>
      </c>
      <c r="K970" s="8">
        <v>260.34899999999999</v>
      </c>
      <c r="L970" s="8">
        <v>218.92400000000001</v>
      </c>
      <c r="M970" s="8">
        <v>182.834</v>
      </c>
      <c r="N970" s="8">
        <v>150.16800000000001</v>
      </c>
      <c r="O970" s="8">
        <v>124.56</v>
      </c>
      <c r="P970" s="8">
        <v>111.343</v>
      </c>
      <c r="Q970" s="8">
        <v>100.70699999999999</v>
      </c>
      <c r="R970" s="8">
        <v>80.855000000000004</v>
      </c>
      <c r="S970" s="8">
        <v>66.545000000000002</v>
      </c>
      <c r="T970" s="8">
        <v>55.447000000000003</v>
      </c>
      <c r="U970" s="8">
        <v>47.363999999999997</v>
      </c>
      <c r="V970" s="8">
        <v>39.088000000000001</v>
      </c>
      <c r="W970" s="8">
        <v>28.945</v>
      </c>
      <c r="X970" s="8">
        <v>18.856999999999999</v>
      </c>
      <c r="Y970" s="8">
        <v>9.5380000000000003</v>
      </c>
      <c r="Z970" s="8">
        <v>3.4620000000000002</v>
      </c>
      <c r="AA970" s="8">
        <v>0.72299999999999998</v>
      </c>
      <c r="AB970" s="8">
        <v>8.2000000000000003E-2</v>
      </c>
      <c r="AC970" s="8">
        <v>5.0000000000000001E-3</v>
      </c>
    </row>
    <row r="971" spans="1:29" ht="11.65" hidden="1" x14ac:dyDescent="0.35">
      <c r="A971" s="12">
        <v>954</v>
      </c>
      <c r="B971" s="10" t="s">
        <v>1015</v>
      </c>
      <c r="C971" s="11" t="s">
        <v>1088</v>
      </c>
      <c r="D971" s="9"/>
      <c r="E971" s="9">
        <v>204</v>
      </c>
      <c r="F971" s="10" t="s">
        <v>1066</v>
      </c>
      <c r="G971" s="9">
        <v>914</v>
      </c>
      <c r="H971" s="9">
        <v>1990</v>
      </c>
      <c r="I971" s="8">
        <v>455.04399999999998</v>
      </c>
      <c r="J971" s="8">
        <v>368.52199999999999</v>
      </c>
      <c r="K971" s="8">
        <v>308.37900000000002</v>
      </c>
      <c r="L971" s="8">
        <v>256.572</v>
      </c>
      <c r="M971" s="8">
        <v>214.86</v>
      </c>
      <c r="N971" s="8">
        <v>178.666</v>
      </c>
      <c r="O971" s="8">
        <v>146.30500000000001</v>
      </c>
      <c r="P971" s="8">
        <v>121.026</v>
      </c>
      <c r="Q971" s="8">
        <v>107.76300000000001</v>
      </c>
      <c r="R971" s="8">
        <v>97.031000000000006</v>
      </c>
      <c r="S971" s="8">
        <v>77.27</v>
      </c>
      <c r="T971" s="8">
        <v>62.658000000000001</v>
      </c>
      <c r="U971" s="8">
        <v>50.884999999999998</v>
      </c>
      <c r="V971" s="8">
        <v>41.460999999999999</v>
      </c>
      <c r="W971" s="8">
        <v>31.605</v>
      </c>
      <c r="X971" s="8">
        <v>20.623000000000001</v>
      </c>
      <c r="Y971" s="8">
        <v>11</v>
      </c>
      <c r="Z971" s="8">
        <v>4.1369999999999996</v>
      </c>
      <c r="AA971" s="8">
        <v>1.0069999999999999</v>
      </c>
      <c r="AB971" s="8">
        <v>0.127</v>
      </c>
      <c r="AC971" s="8">
        <v>8.0000000000000002E-3</v>
      </c>
    </row>
    <row r="972" spans="1:29" ht="11.65" hidden="1" x14ac:dyDescent="0.35">
      <c r="A972" s="12">
        <v>955</v>
      </c>
      <c r="B972" s="10" t="s">
        <v>1015</v>
      </c>
      <c r="C972" s="11" t="s">
        <v>1088</v>
      </c>
      <c r="D972" s="9"/>
      <c r="E972" s="9">
        <v>204</v>
      </c>
      <c r="F972" s="10" t="s">
        <v>1066</v>
      </c>
      <c r="G972" s="9">
        <v>914</v>
      </c>
      <c r="H972" s="9">
        <v>1995</v>
      </c>
      <c r="I972" s="8">
        <v>529.52800000000002</v>
      </c>
      <c r="J972" s="8">
        <v>432.91399999999999</v>
      </c>
      <c r="K972" s="8">
        <v>364.10500000000002</v>
      </c>
      <c r="L972" s="8">
        <v>307.10700000000003</v>
      </c>
      <c r="M972" s="8">
        <v>258.28699999999998</v>
      </c>
      <c r="N972" s="8">
        <v>217.71100000000001</v>
      </c>
      <c r="O972" s="8">
        <v>180.57499999999999</v>
      </c>
      <c r="P972" s="8">
        <v>146.84</v>
      </c>
      <c r="Q972" s="8">
        <v>120.30500000000001</v>
      </c>
      <c r="R972" s="8">
        <v>105.96899999999999</v>
      </c>
      <c r="S972" s="8">
        <v>94.221000000000004</v>
      </c>
      <c r="T972" s="8">
        <v>73.813999999999993</v>
      </c>
      <c r="U972" s="8">
        <v>58.323999999999998</v>
      </c>
      <c r="V972" s="8">
        <v>45.222000000000001</v>
      </c>
      <c r="W972" s="8">
        <v>34.125</v>
      </c>
      <c r="X972" s="8">
        <v>23.016999999999999</v>
      </c>
      <c r="Y972" s="8">
        <v>12.368</v>
      </c>
      <c r="Z972" s="8">
        <v>4.9210000000000003</v>
      </c>
      <c r="AA972" s="8">
        <v>1.244</v>
      </c>
      <c r="AB972" s="8">
        <v>0.184</v>
      </c>
      <c r="AC972" s="8">
        <v>1.2999999999999999E-2</v>
      </c>
    </row>
    <row r="973" spans="1:29" ht="11.65" hidden="1" x14ac:dyDescent="0.35">
      <c r="A973" s="12">
        <v>956</v>
      </c>
      <c r="B973" s="10" t="s">
        <v>1015</v>
      </c>
      <c r="C973" s="11" t="s">
        <v>1088</v>
      </c>
      <c r="D973" s="9"/>
      <c r="E973" s="9">
        <v>204</v>
      </c>
      <c r="F973" s="10" t="s">
        <v>1066</v>
      </c>
      <c r="G973" s="9">
        <v>914</v>
      </c>
      <c r="H973" s="9">
        <v>2000</v>
      </c>
      <c r="I973" s="8">
        <v>601.596</v>
      </c>
      <c r="J973" s="8">
        <v>504.02600000000001</v>
      </c>
      <c r="K973" s="8">
        <v>425.62900000000002</v>
      </c>
      <c r="L973" s="8">
        <v>359.14699999999999</v>
      </c>
      <c r="M973" s="8">
        <v>301.96800000000002</v>
      </c>
      <c r="N973" s="8">
        <v>253.07599999999999</v>
      </c>
      <c r="O973" s="8">
        <v>212.697</v>
      </c>
      <c r="P973" s="8">
        <v>175.88200000000001</v>
      </c>
      <c r="Q973" s="8">
        <v>142.38</v>
      </c>
      <c r="R973" s="8">
        <v>116.07299999999999</v>
      </c>
      <c r="S973" s="8">
        <v>101.393</v>
      </c>
      <c r="T973" s="8">
        <v>88.813000000000002</v>
      </c>
      <c r="U973" s="8">
        <v>67.816000000000003</v>
      </c>
      <c r="V973" s="8">
        <v>51.113999999999997</v>
      </c>
      <c r="W973" s="8">
        <v>36.615000000000002</v>
      </c>
      <c r="X973" s="8">
        <v>24.355</v>
      </c>
      <c r="Y973" s="8">
        <v>13.456</v>
      </c>
      <c r="Z973" s="8">
        <v>5.3769999999999998</v>
      </c>
      <c r="AA973" s="8">
        <v>1.4359999999999999</v>
      </c>
      <c r="AB973" s="8">
        <v>0.221</v>
      </c>
      <c r="AC973" s="8">
        <v>1.7999999999999999E-2</v>
      </c>
    </row>
    <row r="974" spans="1:29" ht="11.65" hidden="1" x14ac:dyDescent="0.35">
      <c r="A974" s="12">
        <v>957</v>
      </c>
      <c r="B974" s="10" t="s">
        <v>1015</v>
      </c>
      <c r="C974" s="11" t="s">
        <v>1088</v>
      </c>
      <c r="D974" s="9"/>
      <c r="E974" s="9">
        <v>204</v>
      </c>
      <c r="F974" s="10" t="s">
        <v>1066</v>
      </c>
      <c r="G974" s="9">
        <v>914</v>
      </c>
      <c r="H974" s="9">
        <v>2005</v>
      </c>
      <c r="I974" s="8">
        <v>678.22</v>
      </c>
      <c r="J974" s="8">
        <v>576.31500000000005</v>
      </c>
      <c r="K974" s="8">
        <v>495.72</v>
      </c>
      <c r="L974" s="8">
        <v>420.49299999999999</v>
      </c>
      <c r="M974" s="8">
        <v>354.63900000000001</v>
      </c>
      <c r="N974" s="8">
        <v>297.71800000000002</v>
      </c>
      <c r="O974" s="8">
        <v>248.767</v>
      </c>
      <c r="P974" s="8">
        <v>208.22499999999999</v>
      </c>
      <c r="Q974" s="8">
        <v>171.23099999999999</v>
      </c>
      <c r="R974" s="8">
        <v>137.809</v>
      </c>
      <c r="S974" s="8">
        <v>111.328</v>
      </c>
      <c r="T974" s="8">
        <v>95.734999999999999</v>
      </c>
      <c r="U974" s="8">
        <v>81.683999999999997</v>
      </c>
      <c r="V974" s="8">
        <v>59.475999999999999</v>
      </c>
      <c r="W974" s="8">
        <v>41.401000000000003</v>
      </c>
      <c r="X974" s="8">
        <v>26.135000000000002</v>
      </c>
      <c r="Y974" s="8">
        <v>14.237</v>
      </c>
      <c r="Z974" s="8">
        <v>5.8460000000000001</v>
      </c>
      <c r="AA974" s="8">
        <v>1.5669999999999999</v>
      </c>
      <c r="AB974" s="8">
        <v>0.254</v>
      </c>
      <c r="AC974" s="8">
        <v>2.1000000000000001E-2</v>
      </c>
    </row>
    <row r="975" spans="1:29" ht="11.65" hidden="1" x14ac:dyDescent="0.35">
      <c r="A975" s="12">
        <v>958</v>
      </c>
      <c r="B975" s="10" t="s">
        <v>1015</v>
      </c>
      <c r="C975" s="11" t="s">
        <v>1088</v>
      </c>
      <c r="D975" s="9"/>
      <c r="E975" s="9">
        <v>204</v>
      </c>
      <c r="F975" s="10" t="s">
        <v>1066</v>
      </c>
      <c r="G975" s="9">
        <v>914</v>
      </c>
      <c r="H975" s="9">
        <v>2010</v>
      </c>
      <c r="I975" s="8">
        <v>767.59</v>
      </c>
      <c r="J975" s="8">
        <v>653.24900000000002</v>
      </c>
      <c r="K975" s="8">
        <v>567.61</v>
      </c>
      <c r="L975" s="8">
        <v>488.75099999999998</v>
      </c>
      <c r="M975" s="8">
        <v>411.73899999999998</v>
      </c>
      <c r="N975" s="8">
        <v>345.21</v>
      </c>
      <c r="O975" s="8">
        <v>289.07499999999999</v>
      </c>
      <c r="P975" s="8">
        <v>241.233</v>
      </c>
      <c r="Q975" s="8">
        <v>201.363</v>
      </c>
      <c r="R975" s="8">
        <v>164.976</v>
      </c>
      <c r="S975" s="8">
        <v>131.81399999999999</v>
      </c>
      <c r="T975" s="8">
        <v>105.059</v>
      </c>
      <c r="U975" s="8">
        <v>88.245999999999995</v>
      </c>
      <c r="V975" s="8">
        <v>72.013000000000005</v>
      </c>
      <c r="W975" s="8">
        <v>48.603000000000002</v>
      </c>
      <c r="X975" s="8">
        <v>29.945</v>
      </c>
      <c r="Y975" s="8">
        <v>15.55</v>
      </c>
      <c r="Z975" s="8">
        <v>6.3319999999999999</v>
      </c>
      <c r="AA975" s="8">
        <v>1.7509999999999999</v>
      </c>
      <c r="AB975" s="8">
        <v>0.28599999999999998</v>
      </c>
      <c r="AC975" s="8">
        <v>2.5000000000000001E-2</v>
      </c>
    </row>
    <row r="976" spans="1:29" ht="11.65" hidden="1" x14ac:dyDescent="0.35">
      <c r="A976" s="12">
        <v>959</v>
      </c>
      <c r="B976" s="10" t="s">
        <v>1015</v>
      </c>
      <c r="C976" s="11" t="s">
        <v>1088</v>
      </c>
      <c r="D976" s="9"/>
      <c r="E976" s="9">
        <v>204</v>
      </c>
      <c r="F976" s="10" t="s">
        <v>1066</v>
      </c>
      <c r="G976" s="9">
        <v>914</v>
      </c>
      <c r="H976" s="9">
        <v>2015</v>
      </c>
      <c r="I976" s="8">
        <v>856.15</v>
      </c>
      <c r="J976" s="8">
        <v>742.60500000000002</v>
      </c>
      <c r="K976" s="8">
        <v>644.11</v>
      </c>
      <c r="L976" s="8">
        <v>559.98099999999999</v>
      </c>
      <c r="M976" s="8">
        <v>478.75799999999998</v>
      </c>
      <c r="N976" s="8">
        <v>400.89600000000002</v>
      </c>
      <c r="O976" s="8">
        <v>335.33499999999998</v>
      </c>
      <c r="P976" s="8">
        <v>280.53199999999998</v>
      </c>
      <c r="Q976" s="8">
        <v>233.51400000000001</v>
      </c>
      <c r="R976" s="8">
        <v>194.245</v>
      </c>
      <c r="S976" s="8">
        <v>158.03299999999999</v>
      </c>
      <c r="T976" s="8">
        <v>124.626</v>
      </c>
      <c r="U976" s="8">
        <v>97.082999999999998</v>
      </c>
      <c r="V976" s="8">
        <v>78.085999999999999</v>
      </c>
      <c r="W976" s="8">
        <v>59.179000000000002</v>
      </c>
      <c r="X976" s="8">
        <v>35.423999999999999</v>
      </c>
      <c r="Y976" s="8">
        <v>17.994</v>
      </c>
      <c r="Z976" s="8">
        <v>7.0010000000000003</v>
      </c>
      <c r="AA976" s="8">
        <v>1.9239999999999999</v>
      </c>
      <c r="AB976" s="8">
        <v>0.32500000000000001</v>
      </c>
      <c r="AC976" s="8">
        <v>2.9000000000000001E-2</v>
      </c>
    </row>
    <row r="977" spans="1:29" ht="11.65" hidden="1" x14ac:dyDescent="0.35">
      <c r="A977" s="12">
        <v>960</v>
      </c>
      <c r="B977" s="10" t="s">
        <v>1015</v>
      </c>
      <c r="C977" s="11" t="s">
        <v>1088</v>
      </c>
      <c r="D977" s="9"/>
      <c r="E977" s="9">
        <v>204</v>
      </c>
      <c r="F977" s="10" t="s">
        <v>1066</v>
      </c>
      <c r="G977" s="9">
        <v>914</v>
      </c>
      <c r="H977" s="9">
        <v>2020</v>
      </c>
      <c r="I977" s="8">
        <v>939.80899999999997</v>
      </c>
      <c r="J977" s="8">
        <v>832.226</v>
      </c>
      <c r="K977" s="8">
        <v>733.76499999999999</v>
      </c>
      <c r="L977" s="8">
        <v>637.59799999999996</v>
      </c>
      <c r="M977" s="8">
        <v>552.572</v>
      </c>
      <c r="N977" s="8">
        <v>470.96600000000001</v>
      </c>
      <c r="O977" s="8">
        <v>393.47899999999998</v>
      </c>
      <c r="P977" s="8">
        <v>328.38900000000001</v>
      </c>
      <c r="Q977" s="8">
        <v>273.66000000000003</v>
      </c>
      <c r="R977" s="8">
        <v>226.733</v>
      </c>
      <c r="S977" s="8">
        <v>187.13900000000001</v>
      </c>
      <c r="T977" s="8">
        <v>150.21199999999999</v>
      </c>
      <c r="U977" s="8">
        <v>115.771</v>
      </c>
      <c r="V977" s="8">
        <v>86.381</v>
      </c>
      <c r="W977" s="8">
        <v>64.576999999999998</v>
      </c>
      <c r="X977" s="8">
        <v>43.465000000000003</v>
      </c>
      <c r="Y977" s="8">
        <v>21.486999999999998</v>
      </c>
      <c r="Z977" s="8">
        <v>8.1839999999999993</v>
      </c>
      <c r="AA977" s="8">
        <v>2.1480000000000001</v>
      </c>
      <c r="AB977" s="8">
        <v>0.35599999999999998</v>
      </c>
      <c r="AC977" s="8">
        <v>3.3000000000000002E-2</v>
      </c>
    </row>
    <row r="978" spans="1:29" ht="11.65" hidden="1" x14ac:dyDescent="0.35">
      <c r="A978" s="12">
        <v>961</v>
      </c>
      <c r="B978" s="10" t="s">
        <v>1015</v>
      </c>
      <c r="C978" s="11" t="s">
        <v>1089</v>
      </c>
      <c r="D978" s="9"/>
      <c r="E978" s="9">
        <v>854</v>
      </c>
      <c r="F978" s="10" t="s">
        <v>1066</v>
      </c>
      <c r="G978" s="9">
        <v>914</v>
      </c>
      <c r="H978" s="9">
        <v>1950</v>
      </c>
      <c r="I978" s="8">
        <v>336.89400000000001</v>
      </c>
      <c r="J978" s="8">
        <v>271.81799999999998</v>
      </c>
      <c r="K978" s="8">
        <v>238.67699999999999</v>
      </c>
      <c r="L978" s="8">
        <v>212.07499999999999</v>
      </c>
      <c r="M978" s="8">
        <v>188.83799999999999</v>
      </c>
      <c r="N978" s="8">
        <v>165.96</v>
      </c>
      <c r="O978" s="8">
        <v>143.55199999999999</v>
      </c>
      <c r="P978" s="8">
        <v>121.95699999999999</v>
      </c>
      <c r="Q978" s="8">
        <v>99.76</v>
      </c>
      <c r="R978" s="8">
        <v>80.81</v>
      </c>
      <c r="S978" s="8">
        <v>62.283000000000001</v>
      </c>
      <c r="T978" s="8">
        <v>47.054000000000002</v>
      </c>
      <c r="U978" s="8">
        <v>32.643999999999998</v>
      </c>
      <c r="V978" s="8">
        <v>20.933</v>
      </c>
      <c r="W978" s="8">
        <v>10.339</v>
      </c>
      <c r="X978" s="8">
        <v>0.995</v>
      </c>
      <c r="Y978" s="8">
        <v>1.952</v>
      </c>
      <c r="Z978" s="8">
        <v>0.32500000000000001</v>
      </c>
      <c r="AA978" s="8">
        <v>2.7E-2</v>
      </c>
      <c r="AB978" s="8">
        <v>0</v>
      </c>
      <c r="AC978" s="8">
        <v>0</v>
      </c>
    </row>
    <row r="979" spans="1:29" ht="11.65" hidden="1" x14ac:dyDescent="0.35">
      <c r="A979" s="12">
        <v>962</v>
      </c>
      <c r="B979" s="10" t="s">
        <v>1015</v>
      </c>
      <c r="C979" s="11" t="s">
        <v>1089</v>
      </c>
      <c r="D979" s="9"/>
      <c r="E979" s="9">
        <v>854</v>
      </c>
      <c r="F979" s="10" t="s">
        <v>1066</v>
      </c>
      <c r="G979" s="9">
        <v>914</v>
      </c>
      <c r="H979" s="9">
        <v>1955</v>
      </c>
      <c r="I979" s="8">
        <v>362.16399999999999</v>
      </c>
      <c r="J979" s="8">
        <v>284.81099999999998</v>
      </c>
      <c r="K979" s="8">
        <v>257.745</v>
      </c>
      <c r="L979" s="8">
        <v>226.905</v>
      </c>
      <c r="M979" s="8">
        <v>195.35400000000001</v>
      </c>
      <c r="N979" s="8">
        <v>170.672</v>
      </c>
      <c r="O979" s="8">
        <v>149.81899999999999</v>
      </c>
      <c r="P979" s="8">
        <v>130.02699999999999</v>
      </c>
      <c r="Q979" s="8">
        <v>110.837</v>
      </c>
      <c r="R979" s="8">
        <v>90.849000000000004</v>
      </c>
      <c r="S979" s="8">
        <v>72.793999999999997</v>
      </c>
      <c r="T979" s="8">
        <v>54.48</v>
      </c>
      <c r="U979" s="8">
        <v>38.634999999999998</v>
      </c>
      <c r="V979" s="8">
        <v>23.914000000000001</v>
      </c>
      <c r="W979" s="8">
        <v>12.802</v>
      </c>
      <c r="X979" s="8">
        <v>4.6840000000000002</v>
      </c>
      <c r="Y979" s="8">
        <v>0.33900000000000002</v>
      </c>
      <c r="Z979" s="8">
        <v>0.31900000000000001</v>
      </c>
      <c r="AA979" s="8">
        <v>2.7E-2</v>
      </c>
      <c r="AB979" s="8">
        <v>0</v>
      </c>
      <c r="AC979" s="8">
        <v>0</v>
      </c>
    </row>
    <row r="980" spans="1:29" ht="11.65" hidden="1" x14ac:dyDescent="0.35">
      <c r="A980" s="12">
        <v>963</v>
      </c>
      <c r="B980" s="10" t="s">
        <v>1015</v>
      </c>
      <c r="C980" s="11" t="s">
        <v>1089</v>
      </c>
      <c r="D980" s="9"/>
      <c r="E980" s="9">
        <v>854</v>
      </c>
      <c r="F980" s="10" t="s">
        <v>1066</v>
      </c>
      <c r="G980" s="9">
        <v>914</v>
      </c>
      <c r="H980" s="9">
        <v>1960</v>
      </c>
      <c r="I980" s="8">
        <v>397.46199999999999</v>
      </c>
      <c r="J980" s="8">
        <v>310.65600000000001</v>
      </c>
      <c r="K980" s="8">
        <v>271.46800000000002</v>
      </c>
      <c r="L980" s="8">
        <v>246.17099999999999</v>
      </c>
      <c r="M980" s="8">
        <v>210.494</v>
      </c>
      <c r="N980" s="8">
        <v>177.852</v>
      </c>
      <c r="O980" s="8">
        <v>155.19300000000001</v>
      </c>
      <c r="P980" s="8">
        <v>136.75</v>
      </c>
      <c r="Q980" s="8">
        <v>119.105</v>
      </c>
      <c r="R980" s="8">
        <v>101.754</v>
      </c>
      <c r="S980" s="8">
        <v>82.555000000000007</v>
      </c>
      <c r="T980" s="8">
        <v>64.39</v>
      </c>
      <c r="U980" s="8">
        <v>45.457999999999998</v>
      </c>
      <c r="V980" s="8">
        <v>29.032</v>
      </c>
      <c r="W980" s="8">
        <v>15.206</v>
      </c>
      <c r="X980" s="8">
        <v>6.181</v>
      </c>
      <c r="Y980" s="8">
        <v>1.4770000000000001</v>
      </c>
      <c r="Z980" s="8">
        <v>6.9000000000000006E-2</v>
      </c>
      <c r="AA980" s="8">
        <v>3.1E-2</v>
      </c>
      <c r="AB980" s="8">
        <v>2E-3</v>
      </c>
      <c r="AC980" s="8">
        <v>0</v>
      </c>
    </row>
    <row r="981" spans="1:29" ht="11.65" hidden="1" x14ac:dyDescent="0.35">
      <c r="A981" s="12">
        <v>964</v>
      </c>
      <c r="B981" s="10" t="s">
        <v>1015</v>
      </c>
      <c r="C981" s="11" t="s">
        <v>1089</v>
      </c>
      <c r="D981" s="9"/>
      <c r="E981" s="9">
        <v>854</v>
      </c>
      <c r="F981" s="10" t="s">
        <v>1066</v>
      </c>
      <c r="G981" s="9">
        <v>914</v>
      </c>
      <c r="H981" s="9">
        <v>1965</v>
      </c>
      <c r="I981" s="8">
        <v>434.31299999999999</v>
      </c>
      <c r="J981" s="8">
        <v>345.06700000000001</v>
      </c>
      <c r="K981" s="8">
        <v>297.15100000000001</v>
      </c>
      <c r="L981" s="8">
        <v>259.28800000000001</v>
      </c>
      <c r="M981" s="8">
        <v>227.60599999999999</v>
      </c>
      <c r="N981" s="8">
        <v>190.399</v>
      </c>
      <c r="O981" s="8">
        <v>160.56</v>
      </c>
      <c r="P981" s="8">
        <v>141.00299999999999</v>
      </c>
      <c r="Q981" s="8">
        <v>125.056</v>
      </c>
      <c r="R981" s="8">
        <v>109.398</v>
      </c>
      <c r="S981" s="8">
        <v>92.751000000000005</v>
      </c>
      <c r="T981" s="8">
        <v>73.462999999999994</v>
      </c>
      <c r="U981" s="8">
        <v>54.341000000000001</v>
      </c>
      <c r="V981" s="8">
        <v>34.831000000000003</v>
      </c>
      <c r="W981" s="8">
        <v>19.048999999999999</v>
      </c>
      <c r="X981" s="8">
        <v>7.7110000000000003</v>
      </c>
      <c r="Y981" s="8">
        <v>2.101</v>
      </c>
      <c r="Z981" s="8">
        <v>0.29699999999999999</v>
      </c>
      <c r="AA981" s="8">
        <v>5.0000000000000001E-3</v>
      </c>
      <c r="AB981" s="8">
        <v>2E-3</v>
      </c>
      <c r="AC981" s="8">
        <v>0</v>
      </c>
    </row>
    <row r="982" spans="1:29" ht="11.65" hidden="1" x14ac:dyDescent="0.35">
      <c r="A982" s="12">
        <v>965</v>
      </c>
      <c r="B982" s="10" t="s">
        <v>1015</v>
      </c>
      <c r="C982" s="11" t="s">
        <v>1089</v>
      </c>
      <c r="D982" s="9"/>
      <c r="E982" s="9">
        <v>854</v>
      </c>
      <c r="F982" s="10" t="s">
        <v>1066</v>
      </c>
      <c r="G982" s="9">
        <v>914</v>
      </c>
      <c r="H982" s="9">
        <v>1970</v>
      </c>
      <c r="I982" s="8">
        <v>486.536</v>
      </c>
      <c r="J982" s="8">
        <v>382.00099999999998</v>
      </c>
      <c r="K982" s="8">
        <v>331.49099999999999</v>
      </c>
      <c r="L982" s="8">
        <v>285.00099999999998</v>
      </c>
      <c r="M982" s="8">
        <v>241.12899999999999</v>
      </c>
      <c r="N982" s="8">
        <v>207.61199999999999</v>
      </c>
      <c r="O982" s="8">
        <v>173.28</v>
      </c>
      <c r="P982" s="8">
        <v>146.80699999999999</v>
      </c>
      <c r="Q982" s="8">
        <v>129.708</v>
      </c>
      <c r="R982" s="8">
        <v>115.545</v>
      </c>
      <c r="S982" s="8">
        <v>100.38500000000001</v>
      </c>
      <c r="T982" s="8">
        <v>83.257999999999996</v>
      </c>
      <c r="U982" s="8">
        <v>62.783999999999999</v>
      </c>
      <c r="V982" s="8">
        <v>42.468000000000004</v>
      </c>
      <c r="W982" s="8">
        <v>23.542000000000002</v>
      </c>
      <c r="X982" s="8">
        <v>10.117000000000001</v>
      </c>
      <c r="Y982" s="8">
        <v>2.8090000000000002</v>
      </c>
      <c r="Z982" s="8">
        <v>0.46300000000000002</v>
      </c>
      <c r="AA982" s="8">
        <v>3.5999999999999997E-2</v>
      </c>
      <c r="AB982" s="8">
        <v>0</v>
      </c>
      <c r="AC982" s="8">
        <v>0</v>
      </c>
    </row>
    <row r="983" spans="1:29" ht="11.65" hidden="1" x14ac:dyDescent="0.35">
      <c r="A983" s="12">
        <v>966</v>
      </c>
      <c r="B983" s="10" t="s">
        <v>1015</v>
      </c>
      <c r="C983" s="11" t="s">
        <v>1089</v>
      </c>
      <c r="D983" s="9"/>
      <c r="E983" s="9">
        <v>854</v>
      </c>
      <c r="F983" s="10" t="s">
        <v>1066</v>
      </c>
      <c r="G983" s="9">
        <v>914</v>
      </c>
      <c r="H983" s="9">
        <v>1975</v>
      </c>
      <c r="I983" s="8">
        <v>542.01599999999996</v>
      </c>
      <c r="J983" s="8">
        <v>430.98500000000001</v>
      </c>
      <c r="K983" s="8">
        <v>368.42599999999999</v>
      </c>
      <c r="L983" s="8">
        <v>318.75200000000001</v>
      </c>
      <c r="M983" s="8">
        <v>265.59699999999998</v>
      </c>
      <c r="N983" s="8">
        <v>219.93899999999999</v>
      </c>
      <c r="O983" s="8">
        <v>189.25700000000001</v>
      </c>
      <c r="P983" s="8">
        <v>158.761</v>
      </c>
      <c r="Q983" s="8">
        <v>135.285</v>
      </c>
      <c r="R983" s="8">
        <v>120.148</v>
      </c>
      <c r="S983" s="8">
        <v>106.482</v>
      </c>
      <c r="T983" s="8">
        <v>90.736999999999995</v>
      </c>
      <c r="U983" s="8">
        <v>71.991</v>
      </c>
      <c r="V983" s="8">
        <v>50.008000000000003</v>
      </c>
      <c r="W983" s="8">
        <v>29.562000000000001</v>
      </c>
      <c r="X983" s="8">
        <v>13.074999999999999</v>
      </c>
      <c r="Y983" s="8">
        <v>3.9409999999999998</v>
      </c>
      <c r="Z983" s="8">
        <v>0.67500000000000004</v>
      </c>
      <c r="AA983" s="8">
        <v>6.3E-2</v>
      </c>
      <c r="AB983" s="8">
        <v>3.0000000000000001E-3</v>
      </c>
      <c r="AC983" s="8">
        <v>0</v>
      </c>
    </row>
    <row r="984" spans="1:29" ht="11.65" hidden="1" x14ac:dyDescent="0.35">
      <c r="A984" s="12">
        <v>967</v>
      </c>
      <c r="B984" s="10" t="s">
        <v>1015</v>
      </c>
      <c r="C984" s="11" t="s">
        <v>1089</v>
      </c>
      <c r="D984" s="9"/>
      <c r="E984" s="9">
        <v>854</v>
      </c>
      <c r="F984" s="10" t="s">
        <v>1066</v>
      </c>
      <c r="G984" s="9">
        <v>914</v>
      </c>
      <c r="H984" s="9">
        <v>1980</v>
      </c>
      <c r="I984" s="8">
        <v>629.50199999999995</v>
      </c>
      <c r="J984" s="8">
        <v>485.11200000000002</v>
      </c>
      <c r="K984" s="8">
        <v>417.78199999999998</v>
      </c>
      <c r="L984" s="8">
        <v>355.024</v>
      </c>
      <c r="M984" s="8">
        <v>297.18</v>
      </c>
      <c r="N984" s="8">
        <v>241.791</v>
      </c>
      <c r="O984" s="8">
        <v>199.76300000000001</v>
      </c>
      <c r="P984" s="8">
        <v>173.357</v>
      </c>
      <c r="Q984" s="8">
        <v>146.453</v>
      </c>
      <c r="R984" s="8">
        <v>125.49299999999999</v>
      </c>
      <c r="S984" s="8">
        <v>111.143</v>
      </c>
      <c r="T984" s="8">
        <v>96.965000000000003</v>
      </c>
      <c r="U984" s="8">
        <v>79.522999999999996</v>
      </c>
      <c r="V984" s="8">
        <v>58.673999999999999</v>
      </c>
      <c r="W984" s="8">
        <v>36.036999999999999</v>
      </c>
      <c r="X984" s="8">
        <v>17.295999999999999</v>
      </c>
      <c r="Y984" s="8">
        <v>5.4870000000000001</v>
      </c>
      <c r="Z984" s="8">
        <v>1.042</v>
      </c>
      <c r="AA984" s="8">
        <v>0.10299999999999999</v>
      </c>
      <c r="AB984" s="8">
        <v>5.0000000000000001E-3</v>
      </c>
      <c r="AC984" s="8">
        <v>0</v>
      </c>
    </row>
    <row r="985" spans="1:29" ht="11.65" hidden="1" x14ac:dyDescent="0.35">
      <c r="A985" s="12">
        <v>968</v>
      </c>
      <c r="B985" s="10" t="s">
        <v>1015</v>
      </c>
      <c r="C985" s="11" t="s">
        <v>1089</v>
      </c>
      <c r="D985" s="9"/>
      <c r="E985" s="9">
        <v>854</v>
      </c>
      <c r="F985" s="10" t="s">
        <v>1066</v>
      </c>
      <c r="G985" s="9">
        <v>914</v>
      </c>
      <c r="H985" s="9">
        <v>1985</v>
      </c>
      <c r="I985" s="8">
        <v>726.34199999999998</v>
      </c>
      <c r="J985" s="8">
        <v>574.74699999999996</v>
      </c>
      <c r="K985" s="8">
        <v>474.553</v>
      </c>
      <c r="L985" s="8">
        <v>406.04700000000003</v>
      </c>
      <c r="M985" s="8">
        <v>335.47800000000001</v>
      </c>
      <c r="N985" s="8">
        <v>275.15699999999998</v>
      </c>
      <c r="O985" s="8">
        <v>223.20500000000001</v>
      </c>
      <c r="P985" s="8">
        <v>185.477</v>
      </c>
      <c r="Q985" s="8">
        <v>162.167</v>
      </c>
      <c r="R985" s="8">
        <v>137.55000000000001</v>
      </c>
      <c r="S985" s="8">
        <v>117.512</v>
      </c>
      <c r="T985" s="8">
        <v>102.76600000000001</v>
      </c>
      <c r="U985" s="8">
        <v>86.94</v>
      </c>
      <c r="V985" s="8">
        <v>67.132000000000005</v>
      </c>
      <c r="W985" s="8">
        <v>44.542999999999999</v>
      </c>
      <c r="X985" s="8">
        <v>22.738</v>
      </c>
      <c r="Y985" s="8">
        <v>8.0630000000000006</v>
      </c>
      <c r="Z985" s="8">
        <v>1.653</v>
      </c>
      <c r="AA985" s="8">
        <v>0.18099999999999999</v>
      </c>
      <c r="AB985" s="8">
        <v>8.9999999999999993E-3</v>
      </c>
      <c r="AC985" s="8">
        <v>0</v>
      </c>
    </row>
    <row r="986" spans="1:29" ht="11.65" hidden="1" x14ac:dyDescent="0.35">
      <c r="A986" s="12">
        <v>969</v>
      </c>
      <c r="B986" s="10" t="s">
        <v>1015</v>
      </c>
      <c r="C986" s="11" t="s">
        <v>1089</v>
      </c>
      <c r="D986" s="9"/>
      <c r="E986" s="9">
        <v>854</v>
      </c>
      <c r="F986" s="10" t="s">
        <v>1066</v>
      </c>
      <c r="G986" s="9">
        <v>914</v>
      </c>
      <c r="H986" s="9">
        <v>1990</v>
      </c>
      <c r="I986" s="8">
        <v>817.98800000000006</v>
      </c>
      <c r="J986" s="8">
        <v>668.36699999999996</v>
      </c>
      <c r="K986" s="8">
        <v>562.82399999999996</v>
      </c>
      <c r="L986" s="8">
        <v>462.71600000000001</v>
      </c>
      <c r="M986" s="8">
        <v>387.18599999999998</v>
      </c>
      <c r="N986" s="8">
        <v>314.66500000000002</v>
      </c>
      <c r="O986" s="8">
        <v>257.46899999999999</v>
      </c>
      <c r="P986" s="8">
        <v>209.499</v>
      </c>
      <c r="Q986" s="8">
        <v>174.72399999999999</v>
      </c>
      <c r="R986" s="8">
        <v>153.22300000000001</v>
      </c>
      <c r="S986" s="8">
        <v>129.35300000000001</v>
      </c>
      <c r="T986" s="8">
        <v>108.938</v>
      </c>
      <c r="U986" s="8">
        <v>92.311000000000007</v>
      </c>
      <c r="V986" s="8">
        <v>73.503</v>
      </c>
      <c r="W986" s="8">
        <v>51.036999999999999</v>
      </c>
      <c r="X986" s="8">
        <v>28.158999999999999</v>
      </c>
      <c r="Y986" s="8">
        <v>10.638999999999999</v>
      </c>
      <c r="Z986" s="8">
        <v>2.4380000000000002</v>
      </c>
      <c r="AA986" s="8">
        <v>0.28699999999999998</v>
      </c>
      <c r="AB986" s="8">
        <v>1.7000000000000001E-2</v>
      </c>
      <c r="AC986" s="8">
        <v>0</v>
      </c>
    </row>
    <row r="987" spans="1:29" ht="11.65" hidden="1" x14ac:dyDescent="0.35">
      <c r="A987" s="12">
        <v>970</v>
      </c>
      <c r="B987" s="10" t="s">
        <v>1015</v>
      </c>
      <c r="C987" s="11" t="s">
        <v>1089</v>
      </c>
      <c r="D987" s="9"/>
      <c r="E987" s="9">
        <v>854</v>
      </c>
      <c r="F987" s="10" t="s">
        <v>1066</v>
      </c>
      <c r="G987" s="9">
        <v>914</v>
      </c>
      <c r="H987" s="9">
        <v>1995</v>
      </c>
      <c r="I987" s="8">
        <v>929.96900000000005</v>
      </c>
      <c r="J987" s="8">
        <v>755.01099999999997</v>
      </c>
      <c r="K987" s="8">
        <v>654.06100000000004</v>
      </c>
      <c r="L987" s="8">
        <v>549.76099999999997</v>
      </c>
      <c r="M987" s="8">
        <v>443.71100000000001</v>
      </c>
      <c r="N987" s="8">
        <v>366.57499999999999</v>
      </c>
      <c r="O987" s="8">
        <v>297.15699999999998</v>
      </c>
      <c r="P987" s="8">
        <v>243.56</v>
      </c>
      <c r="Q987" s="8">
        <v>198.42099999999999</v>
      </c>
      <c r="R987" s="8">
        <v>165.55699999999999</v>
      </c>
      <c r="S987" s="8">
        <v>144.352</v>
      </c>
      <c r="T987" s="8">
        <v>119.928</v>
      </c>
      <c r="U987" s="8">
        <v>97.638999999999996</v>
      </c>
      <c r="V987" s="8">
        <v>77.664000000000001</v>
      </c>
      <c r="W987" s="8">
        <v>55.435000000000002</v>
      </c>
      <c r="X987" s="8">
        <v>31.881</v>
      </c>
      <c r="Y987" s="8">
        <v>12.97</v>
      </c>
      <c r="Z987" s="8">
        <v>3.1509999999999998</v>
      </c>
      <c r="AA987" s="8">
        <v>0.41</v>
      </c>
      <c r="AB987" s="8">
        <v>2.5000000000000001E-2</v>
      </c>
      <c r="AC987" s="8">
        <v>1E-3</v>
      </c>
    </row>
    <row r="988" spans="1:29" ht="11.65" hidden="1" x14ac:dyDescent="0.35">
      <c r="A988" s="12">
        <v>971</v>
      </c>
      <c r="B988" s="10" t="s">
        <v>1015</v>
      </c>
      <c r="C988" s="11" t="s">
        <v>1089</v>
      </c>
      <c r="D988" s="9"/>
      <c r="E988" s="9">
        <v>854</v>
      </c>
      <c r="F988" s="10" t="s">
        <v>1066</v>
      </c>
      <c r="G988" s="9">
        <v>914</v>
      </c>
      <c r="H988" s="9">
        <v>2000</v>
      </c>
      <c r="I988" s="8">
        <v>1068.1130000000001</v>
      </c>
      <c r="J988" s="8">
        <v>864.46699999999998</v>
      </c>
      <c r="K988" s="8">
        <v>739.10199999999998</v>
      </c>
      <c r="L988" s="8">
        <v>639.76</v>
      </c>
      <c r="M988" s="8">
        <v>529.37</v>
      </c>
      <c r="N988" s="8">
        <v>422.34</v>
      </c>
      <c r="O988" s="8">
        <v>348.19900000000001</v>
      </c>
      <c r="P988" s="8">
        <v>282.45800000000003</v>
      </c>
      <c r="Q988" s="8">
        <v>231.6</v>
      </c>
      <c r="R988" s="8">
        <v>188.53200000000001</v>
      </c>
      <c r="S988" s="8">
        <v>156.21600000000001</v>
      </c>
      <c r="T988" s="8">
        <v>134.02099999999999</v>
      </c>
      <c r="U988" s="8">
        <v>107.589</v>
      </c>
      <c r="V988" s="8">
        <v>82.185000000000002</v>
      </c>
      <c r="W988" s="8">
        <v>58.591000000000001</v>
      </c>
      <c r="X988" s="8">
        <v>34.639000000000003</v>
      </c>
      <c r="Y988" s="8">
        <v>14.694000000000001</v>
      </c>
      <c r="Z988" s="8">
        <v>3.843</v>
      </c>
      <c r="AA988" s="8">
        <v>0.53100000000000003</v>
      </c>
      <c r="AB988" s="8">
        <v>3.7999999999999999E-2</v>
      </c>
      <c r="AC988" s="8">
        <v>1E-3</v>
      </c>
    </row>
    <row r="989" spans="1:29" ht="11.65" hidden="1" x14ac:dyDescent="0.35">
      <c r="A989" s="12">
        <v>972</v>
      </c>
      <c r="B989" s="10" t="s">
        <v>1015</v>
      </c>
      <c r="C989" s="11" t="s">
        <v>1089</v>
      </c>
      <c r="D989" s="9"/>
      <c r="E989" s="9">
        <v>854</v>
      </c>
      <c r="F989" s="10" t="s">
        <v>1066</v>
      </c>
      <c r="G989" s="9">
        <v>914</v>
      </c>
      <c r="H989" s="9">
        <v>2005</v>
      </c>
      <c r="I989" s="8">
        <v>1221.76</v>
      </c>
      <c r="J989" s="8">
        <v>1000.153</v>
      </c>
      <c r="K989" s="8">
        <v>847.03800000000001</v>
      </c>
      <c r="L989" s="8">
        <v>724.04399999999998</v>
      </c>
      <c r="M989" s="8">
        <v>618.32899999999995</v>
      </c>
      <c r="N989" s="8">
        <v>506.82</v>
      </c>
      <c r="O989" s="8">
        <v>403.30599999999998</v>
      </c>
      <c r="P989" s="8">
        <v>332.62299999999999</v>
      </c>
      <c r="Q989" s="8">
        <v>269.67</v>
      </c>
      <c r="R989" s="8">
        <v>220.798</v>
      </c>
      <c r="S989" s="8">
        <v>178.36799999999999</v>
      </c>
      <c r="T989" s="8">
        <v>145.345</v>
      </c>
      <c r="U989" s="8">
        <v>120.541</v>
      </c>
      <c r="V989" s="8">
        <v>90.853999999999999</v>
      </c>
      <c r="W989" s="8">
        <v>62.262999999999998</v>
      </c>
      <c r="X989" s="8">
        <v>36.825000000000003</v>
      </c>
      <c r="Y989" s="8">
        <v>16.094000000000001</v>
      </c>
      <c r="Z989" s="8">
        <v>4.3970000000000002</v>
      </c>
      <c r="AA989" s="8">
        <v>0.65300000000000002</v>
      </c>
      <c r="AB989" s="8">
        <v>4.9000000000000002E-2</v>
      </c>
      <c r="AC989" s="8">
        <v>2E-3</v>
      </c>
    </row>
    <row r="990" spans="1:29" ht="11.65" hidden="1" x14ac:dyDescent="0.35">
      <c r="A990" s="12">
        <v>973</v>
      </c>
      <c r="B990" s="10" t="s">
        <v>1015</v>
      </c>
      <c r="C990" s="11" t="s">
        <v>1089</v>
      </c>
      <c r="D990" s="9"/>
      <c r="E990" s="9">
        <v>854</v>
      </c>
      <c r="F990" s="10" t="s">
        <v>1066</v>
      </c>
      <c r="G990" s="9">
        <v>914</v>
      </c>
      <c r="H990" s="9">
        <v>2010</v>
      </c>
      <c r="I990" s="8">
        <v>1398.3209999999999</v>
      </c>
      <c r="J990" s="8">
        <v>1164.1669999999999</v>
      </c>
      <c r="K990" s="8">
        <v>982.17200000000003</v>
      </c>
      <c r="L990" s="8">
        <v>831.63499999999999</v>
      </c>
      <c r="M990" s="8">
        <v>702.21299999999997</v>
      </c>
      <c r="N990" s="8">
        <v>594.86099999999999</v>
      </c>
      <c r="O990" s="8">
        <v>486.59899999999999</v>
      </c>
      <c r="P990" s="8">
        <v>387.04399999999998</v>
      </c>
      <c r="Q990" s="8">
        <v>318.95800000000003</v>
      </c>
      <c r="R990" s="8">
        <v>258.07799999999997</v>
      </c>
      <c r="S990" s="8">
        <v>209.71</v>
      </c>
      <c r="T990" s="8">
        <v>166.68299999999999</v>
      </c>
      <c r="U990" s="8">
        <v>131.495</v>
      </c>
      <c r="V990" s="8">
        <v>102.708</v>
      </c>
      <c r="W990" s="8">
        <v>69.736000000000004</v>
      </c>
      <c r="X990" s="8">
        <v>39.866</v>
      </c>
      <c r="Y990" s="8">
        <v>17.545999999999999</v>
      </c>
      <c r="Z990" s="8">
        <v>4.968</v>
      </c>
      <c r="AA990" s="8">
        <v>0.77400000000000002</v>
      </c>
      <c r="AB990" s="8">
        <v>5.7000000000000002E-2</v>
      </c>
      <c r="AC990" s="8">
        <v>1E-3</v>
      </c>
    </row>
    <row r="991" spans="1:29" ht="11.65" hidden="1" x14ac:dyDescent="0.35">
      <c r="A991" s="12">
        <v>974</v>
      </c>
      <c r="B991" s="10" t="s">
        <v>1015</v>
      </c>
      <c r="C991" s="11" t="s">
        <v>1089</v>
      </c>
      <c r="D991" s="9"/>
      <c r="E991" s="9">
        <v>854</v>
      </c>
      <c r="F991" s="10" t="s">
        <v>1066</v>
      </c>
      <c r="G991" s="9">
        <v>914</v>
      </c>
      <c r="H991" s="9">
        <v>2015</v>
      </c>
      <c r="I991" s="8">
        <v>1553.498</v>
      </c>
      <c r="J991" s="8">
        <v>1353.9190000000001</v>
      </c>
      <c r="K991" s="8">
        <v>1146.164</v>
      </c>
      <c r="L991" s="8">
        <v>966.70600000000002</v>
      </c>
      <c r="M991" s="8">
        <v>809.65700000000004</v>
      </c>
      <c r="N991" s="8">
        <v>678.68600000000004</v>
      </c>
      <c r="O991" s="8">
        <v>574.07000000000005</v>
      </c>
      <c r="P991" s="8">
        <v>469.447</v>
      </c>
      <c r="Q991" s="8">
        <v>372.83600000000001</v>
      </c>
      <c r="R991" s="8">
        <v>306.56400000000002</v>
      </c>
      <c r="S991" s="8">
        <v>246.185</v>
      </c>
      <c r="T991" s="8">
        <v>196.99700000000001</v>
      </c>
      <c r="U991" s="8">
        <v>151.89699999999999</v>
      </c>
      <c r="V991" s="8">
        <v>113.255</v>
      </c>
      <c r="W991" s="8">
        <v>80.093000000000004</v>
      </c>
      <c r="X991" s="8">
        <v>45.673999999999999</v>
      </c>
      <c r="Y991" s="8">
        <v>19.587</v>
      </c>
      <c r="Z991" s="8">
        <v>5.6260000000000003</v>
      </c>
      <c r="AA991" s="8">
        <v>0.91100000000000003</v>
      </c>
      <c r="AB991" s="8">
        <v>7.0999999999999994E-2</v>
      </c>
      <c r="AC991" s="8">
        <v>1E-3</v>
      </c>
    </row>
    <row r="992" spans="1:29" ht="11.65" hidden="1" x14ac:dyDescent="0.35">
      <c r="A992" s="12">
        <v>975</v>
      </c>
      <c r="B992" s="10" t="s">
        <v>1015</v>
      </c>
      <c r="C992" s="11" t="s">
        <v>1089</v>
      </c>
      <c r="D992" s="9"/>
      <c r="E992" s="9">
        <v>854</v>
      </c>
      <c r="F992" s="10" t="s">
        <v>1066</v>
      </c>
      <c r="G992" s="9">
        <v>914</v>
      </c>
      <c r="H992" s="9">
        <v>2020</v>
      </c>
      <c r="I992" s="8">
        <v>1705.6020000000001</v>
      </c>
      <c r="J992" s="8">
        <v>1512.7750000000001</v>
      </c>
      <c r="K992" s="8">
        <v>1336.4670000000001</v>
      </c>
      <c r="L992" s="8">
        <v>1130.961</v>
      </c>
      <c r="M992" s="8">
        <v>944.92399999999998</v>
      </c>
      <c r="N992" s="8">
        <v>786.3</v>
      </c>
      <c r="O992" s="8">
        <v>658.05200000000002</v>
      </c>
      <c r="P992" s="8">
        <v>556.51300000000003</v>
      </c>
      <c r="Q992" s="8">
        <v>454.452</v>
      </c>
      <c r="R992" s="8">
        <v>359.96199999999999</v>
      </c>
      <c r="S992" s="8">
        <v>293.82799999999997</v>
      </c>
      <c r="T992" s="8">
        <v>232.524</v>
      </c>
      <c r="U992" s="8">
        <v>180.74799999999999</v>
      </c>
      <c r="V992" s="8">
        <v>132.06899999999999</v>
      </c>
      <c r="W992" s="8">
        <v>89.430999999999997</v>
      </c>
      <c r="X992" s="8">
        <v>53.375999999999998</v>
      </c>
      <c r="Y992" s="8">
        <v>22.988</v>
      </c>
      <c r="Z992" s="8">
        <v>6.4429999999999996</v>
      </c>
      <c r="AA992" s="8">
        <v>1.0620000000000001</v>
      </c>
      <c r="AB992" s="8">
        <v>8.6999999999999994E-2</v>
      </c>
      <c r="AC992" s="8">
        <v>1E-3</v>
      </c>
    </row>
    <row r="993" spans="1:29" ht="11.65" hidden="1" x14ac:dyDescent="0.35">
      <c r="A993" s="12">
        <v>976</v>
      </c>
      <c r="B993" s="10" t="s">
        <v>1015</v>
      </c>
      <c r="C993" s="11" t="s">
        <v>1090</v>
      </c>
      <c r="D993" s="9"/>
      <c r="E993" s="9">
        <v>132</v>
      </c>
      <c r="F993" s="10" t="s">
        <v>1066</v>
      </c>
      <c r="G993" s="9">
        <v>914</v>
      </c>
      <c r="H993" s="9">
        <v>1950</v>
      </c>
      <c r="I993" s="8">
        <v>9.7129999999999992</v>
      </c>
      <c r="J993" s="8">
        <v>8.7240000000000002</v>
      </c>
      <c r="K993" s="8">
        <v>11.2</v>
      </c>
      <c r="L993" s="8">
        <v>10.82</v>
      </c>
      <c r="M993" s="8">
        <v>9.2919999999999998</v>
      </c>
      <c r="N993" s="8">
        <v>5.5250000000000004</v>
      </c>
      <c r="O993" s="8">
        <v>5.2720000000000002</v>
      </c>
      <c r="P993" s="8">
        <v>5.8019999999999996</v>
      </c>
      <c r="Q993" s="8">
        <v>6.4</v>
      </c>
      <c r="R993" s="8">
        <v>4.157</v>
      </c>
      <c r="S993" s="8">
        <v>3.7040000000000002</v>
      </c>
      <c r="T993" s="8">
        <v>2.4780000000000002</v>
      </c>
      <c r="U993" s="8">
        <v>2.8929999999999998</v>
      </c>
      <c r="V993" s="8">
        <v>2.742</v>
      </c>
      <c r="W993" s="8">
        <v>2.3180000000000001</v>
      </c>
      <c r="X993" s="8">
        <v>1.7450000000000001</v>
      </c>
      <c r="Y993" s="8">
        <v>0.86599999999999999</v>
      </c>
      <c r="Z993" s="8">
        <v>0.33100000000000002</v>
      </c>
      <c r="AA993" s="8">
        <v>8.5000000000000006E-2</v>
      </c>
      <c r="AB993" s="8">
        <v>1.4E-2</v>
      </c>
      <c r="AC993" s="8">
        <v>1E-3</v>
      </c>
    </row>
    <row r="994" spans="1:29" ht="11.65" hidden="1" x14ac:dyDescent="0.35">
      <c r="A994" s="12">
        <v>977</v>
      </c>
      <c r="B994" s="10" t="s">
        <v>1015</v>
      </c>
      <c r="C994" s="11" t="s">
        <v>1090</v>
      </c>
      <c r="D994" s="9"/>
      <c r="E994" s="9">
        <v>132</v>
      </c>
      <c r="F994" s="10" t="s">
        <v>1066</v>
      </c>
      <c r="G994" s="9">
        <v>914</v>
      </c>
      <c r="H994" s="9">
        <v>1955</v>
      </c>
      <c r="I994" s="8">
        <v>19.068999999999999</v>
      </c>
      <c r="J994" s="8">
        <v>8.9060000000000006</v>
      </c>
      <c r="K994" s="8">
        <v>8.17</v>
      </c>
      <c r="L994" s="8">
        <v>10.582000000000001</v>
      </c>
      <c r="M994" s="8">
        <v>9.92</v>
      </c>
      <c r="N994" s="8">
        <v>8.2530000000000001</v>
      </c>
      <c r="O994" s="8">
        <v>4.9950000000000001</v>
      </c>
      <c r="P994" s="8">
        <v>5.0519999999999996</v>
      </c>
      <c r="Q994" s="8">
        <v>5.53</v>
      </c>
      <c r="R994" s="8">
        <v>6.0670000000000002</v>
      </c>
      <c r="S994" s="8">
        <v>3.8969999999999998</v>
      </c>
      <c r="T994" s="8">
        <v>3.3980000000000001</v>
      </c>
      <c r="U994" s="8">
        <v>2.1920000000000002</v>
      </c>
      <c r="V994" s="8">
        <v>2.403</v>
      </c>
      <c r="W994" s="8">
        <v>2.0590000000000002</v>
      </c>
      <c r="X994" s="8">
        <v>1.486</v>
      </c>
      <c r="Y994" s="8">
        <v>0.89600000000000002</v>
      </c>
      <c r="Z994" s="8">
        <v>0.33100000000000002</v>
      </c>
      <c r="AA994" s="8">
        <v>8.5000000000000006E-2</v>
      </c>
      <c r="AB994" s="8">
        <v>1.4E-2</v>
      </c>
      <c r="AC994" s="8">
        <v>1E-3</v>
      </c>
    </row>
    <row r="995" spans="1:29" ht="11.65" hidden="1" x14ac:dyDescent="0.35">
      <c r="A995" s="12">
        <v>978</v>
      </c>
      <c r="B995" s="10" t="s">
        <v>1015</v>
      </c>
      <c r="C995" s="11" t="s">
        <v>1090</v>
      </c>
      <c r="D995" s="9"/>
      <c r="E995" s="9">
        <v>132</v>
      </c>
      <c r="F995" s="10" t="s">
        <v>1066</v>
      </c>
      <c r="G995" s="9">
        <v>914</v>
      </c>
      <c r="H995" s="9">
        <v>1960</v>
      </c>
      <c r="I995" s="8">
        <v>18.585999999999999</v>
      </c>
      <c r="J995" s="8">
        <v>15.907</v>
      </c>
      <c r="K995" s="8">
        <v>8.0649999999999995</v>
      </c>
      <c r="L995" s="8">
        <v>7.5060000000000002</v>
      </c>
      <c r="M995" s="8">
        <v>9.3019999999999996</v>
      </c>
      <c r="N995" s="8">
        <v>8.625</v>
      </c>
      <c r="O995" s="8">
        <v>7.4649999999999999</v>
      </c>
      <c r="P995" s="8">
        <v>4.3029999999999999</v>
      </c>
      <c r="Q995" s="8">
        <v>4.3339999999999996</v>
      </c>
      <c r="R995" s="8">
        <v>4.8609999999999998</v>
      </c>
      <c r="S995" s="8">
        <v>5.4509999999999996</v>
      </c>
      <c r="T995" s="8">
        <v>3.4870000000000001</v>
      </c>
      <c r="U995" s="8">
        <v>3.0070000000000001</v>
      </c>
      <c r="V995" s="8">
        <v>1.8220000000000001</v>
      </c>
      <c r="W995" s="8">
        <v>1.806</v>
      </c>
      <c r="X995" s="8">
        <v>1.323</v>
      </c>
      <c r="Y995" s="8">
        <v>0.76600000000000001</v>
      </c>
      <c r="Z995" s="8">
        <v>0.34100000000000003</v>
      </c>
      <c r="AA995" s="8">
        <v>8.5999999999999993E-2</v>
      </c>
      <c r="AB995" s="8">
        <v>1.4E-2</v>
      </c>
      <c r="AC995" s="8">
        <v>1E-3</v>
      </c>
    </row>
    <row r="996" spans="1:29" ht="11.65" hidden="1" x14ac:dyDescent="0.35">
      <c r="A996" s="12">
        <v>979</v>
      </c>
      <c r="B996" s="10" t="s">
        <v>1015</v>
      </c>
      <c r="C996" s="11" t="s">
        <v>1090</v>
      </c>
      <c r="D996" s="9"/>
      <c r="E996" s="9">
        <v>132</v>
      </c>
      <c r="F996" s="10" t="s">
        <v>1066</v>
      </c>
      <c r="G996" s="9">
        <v>914</v>
      </c>
      <c r="H996" s="9">
        <v>1965</v>
      </c>
      <c r="I996" s="8">
        <v>22.009</v>
      </c>
      <c r="J996" s="8">
        <v>17.779</v>
      </c>
      <c r="K996" s="8">
        <v>15.313000000000001</v>
      </c>
      <c r="L996" s="8">
        <v>7.8559999999999999</v>
      </c>
      <c r="M996" s="8">
        <v>7.2</v>
      </c>
      <c r="N996" s="8">
        <v>8.8800000000000008</v>
      </c>
      <c r="O996" s="8">
        <v>8.2089999999999996</v>
      </c>
      <c r="P996" s="8">
        <v>7.0890000000000004</v>
      </c>
      <c r="Q996" s="8">
        <v>4.0549999999999997</v>
      </c>
      <c r="R996" s="8">
        <v>4.0789999999999997</v>
      </c>
      <c r="S996" s="8">
        <v>4.5410000000000004</v>
      </c>
      <c r="T996" s="8">
        <v>5.0010000000000003</v>
      </c>
      <c r="U996" s="8">
        <v>3.0840000000000001</v>
      </c>
      <c r="V996" s="8">
        <v>2.5030000000000001</v>
      </c>
      <c r="W996" s="8">
        <v>1.371</v>
      </c>
      <c r="X996" s="8">
        <v>1.163</v>
      </c>
      <c r="Y996" s="8">
        <v>0.68300000000000005</v>
      </c>
      <c r="Z996" s="8">
        <v>0.29299999999999998</v>
      </c>
      <c r="AA996" s="8">
        <v>8.8999999999999996E-2</v>
      </c>
      <c r="AB996" s="8">
        <v>1.4E-2</v>
      </c>
      <c r="AC996" s="8">
        <v>1E-3</v>
      </c>
    </row>
    <row r="997" spans="1:29" ht="11.65" hidden="1" x14ac:dyDescent="0.35">
      <c r="A997" s="12">
        <v>980</v>
      </c>
      <c r="B997" s="10" t="s">
        <v>1015</v>
      </c>
      <c r="C997" s="11" t="s">
        <v>1090</v>
      </c>
      <c r="D997" s="9"/>
      <c r="E997" s="9">
        <v>132</v>
      </c>
      <c r="F997" s="10" t="s">
        <v>1066</v>
      </c>
      <c r="G997" s="9">
        <v>914</v>
      </c>
      <c r="H997" s="9">
        <v>1970</v>
      </c>
      <c r="I997" s="8">
        <v>24.324000000000002</v>
      </c>
      <c r="J997" s="8">
        <v>23.242000000000001</v>
      </c>
      <c r="K997" s="8">
        <v>18.687999999999999</v>
      </c>
      <c r="L997" s="8">
        <v>14.996</v>
      </c>
      <c r="M997" s="8">
        <v>7.4829999999999997</v>
      </c>
      <c r="N997" s="8">
        <v>6.5279999999999996</v>
      </c>
      <c r="O997" s="8">
        <v>8.2189999999999994</v>
      </c>
      <c r="P997" s="8">
        <v>7.8179999999999996</v>
      </c>
      <c r="Q997" s="8">
        <v>6.7350000000000003</v>
      </c>
      <c r="R997" s="8">
        <v>3.8210000000000002</v>
      </c>
      <c r="S997" s="8">
        <v>3.8180000000000001</v>
      </c>
      <c r="T997" s="8">
        <v>4.1820000000000004</v>
      </c>
      <c r="U997" s="8">
        <v>4.4530000000000003</v>
      </c>
      <c r="V997" s="8">
        <v>2.5880000000000001</v>
      </c>
      <c r="W997" s="8">
        <v>1.907</v>
      </c>
      <c r="X997" s="8">
        <v>0.89500000000000002</v>
      </c>
      <c r="Y997" s="8">
        <v>0.61</v>
      </c>
      <c r="Z997" s="8">
        <v>0.26400000000000001</v>
      </c>
      <c r="AA997" s="8">
        <v>7.6999999999999999E-2</v>
      </c>
      <c r="AB997" s="8">
        <v>1.4999999999999999E-2</v>
      </c>
      <c r="AC997" s="8">
        <v>1E-3</v>
      </c>
    </row>
    <row r="998" spans="1:29" ht="11.65" hidden="1" x14ac:dyDescent="0.35">
      <c r="A998" s="12">
        <v>981</v>
      </c>
      <c r="B998" s="10" t="s">
        <v>1015</v>
      </c>
      <c r="C998" s="11" t="s">
        <v>1090</v>
      </c>
      <c r="D998" s="9"/>
      <c r="E998" s="9">
        <v>132</v>
      </c>
      <c r="F998" s="10" t="s">
        <v>1066</v>
      </c>
      <c r="G998" s="9">
        <v>914</v>
      </c>
      <c r="H998" s="9">
        <v>1975</v>
      </c>
      <c r="I998" s="8">
        <v>22.88</v>
      </c>
      <c r="J998" s="8">
        <v>21.37</v>
      </c>
      <c r="K998" s="8">
        <v>21.978999999999999</v>
      </c>
      <c r="L998" s="8">
        <v>16.832999999999998</v>
      </c>
      <c r="M998" s="8">
        <v>12.31</v>
      </c>
      <c r="N998" s="8">
        <v>5.4939999999999998</v>
      </c>
      <c r="O998" s="8">
        <v>4.7960000000000003</v>
      </c>
      <c r="P998" s="8">
        <v>6.84</v>
      </c>
      <c r="Q998" s="8">
        <v>6.7729999999999997</v>
      </c>
      <c r="R998" s="8">
        <v>5.9429999999999996</v>
      </c>
      <c r="S998" s="8">
        <v>3.282</v>
      </c>
      <c r="T998" s="8">
        <v>3.3290000000000002</v>
      </c>
      <c r="U998" s="8">
        <v>3.6179999999999999</v>
      </c>
      <c r="V998" s="8">
        <v>3.698</v>
      </c>
      <c r="W998" s="8">
        <v>1.9450000000000001</v>
      </c>
      <c r="X998" s="8">
        <v>1.2330000000000001</v>
      </c>
      <c r="Y998" s="8">
        <v>0.45700000000000002</v>
      </c>
      <c r="Z998" s="8">
        <v>0.23499999999999999</v>
      </c>
      <c r="AA998" s="8">
        <v>7.0000000000000007E-2</v>
      </c>
      <c r="AB998" s="8">
        <v>1.2999999999999999E-2</v>
      </c>
      <c r="AC998" s="8">
        <v>1E-3</v>
      </c>
    </row>
    <row r="999" spans="1:29" ht="11.65" hidden="1" x14ac:dyDescent="0.35">
      <c r="A999" s="12">
        <v>982</v>
      </c>
      <c r="B999" s="10" t="s">
        <v>1015</v>
      </c>
      <c r="C999" s="11" t="s">
        <v>1090</v>
      </c>
      <c r="D999" s="9"/>
      <c r="E999" s="9">
        <v>132</v>
      </c>
      <c r="F999" s="10" t="s">
        <v>1066</v>
      </c>
      <c r="G999" s="9">
        <v>914</v>
      </c>
      <c r="H999" s="9">
        <v>1980</v>
      </c>
      <c r="I999" s="8">
        <v>24.341999999999999</v>
      </c>
      <c r="J999" s="8">
        <v>21.228999999999999</v>
      </c>
      <c r="K999" s="8">
        <v>21.183</v>
      </c>
      <c r="L999" s="8">
        <v>21.689</v>
      </c>
      <c r="M999" s="8">
        <v>14.885999999999999</v>
      </c>
      <c r="N999" s="8">
        <v>9.9090000000000007</v>
      </c>
      <c r="O999" s="8">
        <v>4.4089999999999998</v>
      </c>
      <c r="P999" s="8">
        <v>3.7330000000000001</v>
      </c>
      <c r="Q999" s="8">
        <v>5.88</v>
      </c>
      <c r="R999" s="8">
        <v>6.0350000000000001</v>
      </c>
      <c r="S999" s="8">
        <v>5.3449999999999998</v>
      </c>
      <c r="T999" s="8">
        <v>2.8639999999999999</v>
      </c>
      <c r="U999" s="8">
        <v>2.895</v>
      </c>
      <c r="V999" s="8">
        <v>3.0470000000000002</v>
      </c>
      <c r="W999" s="8">
        <v>2.879</v>
      </c>
      <c r="X999" s="8">
        <v>1.302</v>
      </c>
      <c r="Y999" s="8">
        <v>0.66300000000000003</v>
      </c>
      <c r="Z999" s="8">
        <v>0.184</v>
      </c>
      <c r="AA999" s="8">
        <v>6.4000000000000001E-2</v>
      </c>
      <c r="AB999" s="8">
        <v>1.2E-2</v>
      </c>
      <c r="AC999" s="8">
        <v>1E-3</v>
      </c>
    </row>
    <row r="1000" spans="1:29" ht="11.65" hidden="1" x14ac:dyDescent="0.35">
      <c r="A1000" s="12">
        <v>983</v>
      </c>
      <c r="B1000" s="10" t="s">
        <v>1015</v>
      </c>
      <c r="C1000" s="11" t="s">
        <v>1090</v>
      </c>
      <c r="D1000" s="9"/>
      <c r="E1000" s="9">
        <v>132</v>
      </c>
      <c r="F1000" s="10" t="s">
        <v>1066</v>
      </c>
      <c r="G1000" s="9">
        <v>914</v>
      </c>
      <c r="H1000" s="9">
        <v>1985</v>
      </c>
      <c r="I1000" s="8">
        <v>27.995999999999999</v>
      </c>
      <c r="J1000" s="8">
        <v>22.42</v>
      </c>
      <c r="K1000" s="8">
        <v>19.687000000000001</v>
      </c>
      <c r="L1000" s="8">
        <v>19.524000000000001</v>
      </c>
      <c r="M1000" s="8">
        <v>19.571000000000002</v>
      </c>
      <c r="N1000" s="8">
        <v>12.914</v>
      </c>
      <c r="O1000" s="8">
        <v>8.8460000000000001</v>
      </c>
      <c r="P1000" s="8">
        <v>4.0209999999999999</v>
      </c>
      <c r="Q1000" s="8">
        <v>3.5209999999999999</v>
      </c>
      <c r="R1000" s="8">
        <v>5.5789999999999997</v>
      </c>
      <c r="S1000" s="8">
        <v>5.7089999999999996</v>
      </c>
      <c r="T1000" s="8">
        <v>5.0270000000000001</v>
      </c>
      <c r="U1000" s="8">
        <v>2.726</v>
      </c>
      <c r="V1000" s="8">
        <v>2.6549999999999998</v>
      </c>
      <c r="W1000" s="8">
        <v>2.4940000000000002</v>
      </c>
      <c r="X1000" s="8">
        <v>2.0070000000000001</v>
      </c>
      <c r="Y1000" s="8">
        <v>0.73399999999999999</v>
      </c>
      <c r="Z1000" s="8">
        <v>0.27700000000000002</v>
      </c>
      <c r="AA1000" s="8">
        <v>5.0999999999999997E-2</v>
      </c>
      <c r="AB1000" s="8">
        <v>1.0999999999999999E-2</v>
      </c>
      <c r="AC1000" s="8">
        <v>1E-3</v>
      </c>
    </row>
    <row r="1001" spans="1:29" ht="11.65" hidden="1" x14ac:dyDescent="0.35">
      <c r="A1001" s="12">
        <v>984</v>
      </c>
      <c r="B1001" s="10" t="s">
        <v>1015</v>
      </c>
      <c r="C1001" s="11" t="s">
        <v>1090</v>
      </c>
      <c r="D1001" s="9"/>
      <c r="E1001" s="9">
        <v>132</v>
      </c>
      <c r="F1001" s="10" t="s">
        <v>1066</v>
      </c>
      <c r="G1001" s="9">
        <v>914</v>
      </c>
      <c r="H1001" s="9">
        <v>1990</v>
      </c>
      <c r="I1001" s="8">
        <v>30.956</v>
      </c>
      <c r="J1001" s="8">
        <v>25.759</v>
      </c>
      <c r="K1001" s="8">
        <v>20.510999999999999</v>
      </c>
      <c r="L1001" s="8">
        <v>17.465</v>
      </c>
      <c r="M1001" s="8">
        <v>16.289000000000001</v>
      </c>
      <c r="N1001" s="8">
        <v>15.435</v>
      </c>
      <c r="O1001" s="8">
        <v>10.565</v>
      </c>
      <c r="P1001" s="8">
        <v>8.3030000000000008</v>
      </c>
      <c r="Q1001" s="8">
        <v>4.1669999999999998</v>
      </c>
      <c r="R1001" s="8">
        <v>4.4139999999999997</v>
      </c>
      <c r="S1001" s="8">
        <v>5.82</v>
      </c>
      <c r="T1001" s="8">
        <v>5.3280000000000003</v>
      </c>
      <c r="U1001" s="8">
        <v>4.62</v>
      </c>
      <c r="V1001" s="8">
        <v>2.4940000000000002</v>
      </c>
      <c r="W1001" s="8">
        <v>2.274</v>
      </c>
      <c r="X1001" s="8">
        <v>1.8069999999999999</v>
      </c>
      <c r="Y1001" s="8">
        <v>1.1519999999999999</v>
      </c>
      <c r="Z1001" s="8">
        <v>0.313</v>
      </c>
      <c r="AA1001" s="8">
        <v>0.08</v>
      </c>
      <c r="AB1001" s="8">
        <v>8.9999999999999993E-3</v>
      </c>
      <c r="AC1001" s="8">
        <v>1E-3</v>
      </c>
    </row>
    <row r="1002" spans="1:29" ht="11.65" hidden="1" x14ac:dyDescent="0.35">
      <c r="A1002" s="12">
        <v>985</v>
      </c>
      <c r="B1002" s="10" t="s">
        <v>1015</v>
      </c>
      <c r="C1002" s="11" t="s">
        <v>1090</v>
      </c>
      <c r="D1002" s="9"/>
      <c r="E1002" s="9">
        <v>132</v>
      </c>
      <c r="F1002" s="10" t="s">
        <v>1066</v>
      </c>
      <c r="G1002" s="9">
        <v>914</v>
      </c>
      <c r="H1002" s="9">
        <v>1995</v>
      </c>
      <c r="I1002" s="8">
        <v>31.876999999999999</v>
      </c>
      <c r="J1002" s="8">
        <v>30.09</v>
      </c>
      <c r="K1002" s="8">
        <v>25.494</v>
      </c>
      <c r="L1002" s="8">
        <v>19.670000000000002</v>
      </c>
      <c r="M1002" s="8">
        <v>16.196999999999999</v>
      </c>
      <c r="N1002" s="8">
        <v>15.335000000000001</v>
      </c>
      <c r="O1002" s="8">
        <v>14.866</v>
      </c>
      <c r="P1002" s="8">
        <v>10.276999999999999</v>
      </c>
      <c r="Q1002" s="8">
        <v>8.1549999999999994</v>
      </c>
      <c r="R1002" s="8">
        <v>4.0659999999999998</v>
      </c>
      <c r="S1002" s="8">
        <v>4.2640000000000002</v>
      </c>
      <c r="T1002" s="8">
        <v>5.6139999999999999</v>
      </c>
      <c r="U1002" s="8">
        <v>5.077</v>
      </c>
      <c r="V1002" s="8">
        <v>4.26</v>
      </c>
      <c r="W1002" s="8">
        <v>2.1989999999999998</v>
      </c>
      <c r="X1002" s="8">
        <v>1.681</v>
      </c>
      <c r="Y1002" s="8">
        <v>1.0580000000000001</v>
      </c>
      <c r="Z1002" s="8">
        <v>0.5</v>
      </c>
      <c r="AA1002" s="8">
        <v>9.0999999999999998E-2</v>
      </c>
      <c r="AB1002" s="8">
        <v>1.4999999999999999E-2</v>
      </c>
      <c r="AC1002" s="8">
        <v>1E-3</v>
      </c>
    </row>
    <row r="1003" spans="1:29" ht="11.65" hidden="1" x14ac:dyDescent="0.35">
      <c r="A1003" s="12">
        <v>986</v>
      </c>
      <c r="B1003" s="10" t="s">
        <v>1015</v>
      </c>
      <c r="C1003" s="11" t="s">
        <v>1090</v>
      </c>
      <c r="D1003" s="9"/>
      <c r="E1003" s="9">
        <v>132</v>
      </c>
      <c r="F1003" s="10" t="s">
        <v>1066</v>
      </c>
      <c r="G1003" s="9">
        <v>914</v>
      </c>
      <c r="H1003" s="9">
        <v>2000</v>
      </c>
      <c r="I1003" s="8">
        <v>29.004000000000001</v>
      </c>
      <c r="J1003" s="8">
        <v>31.835000000000001</v>
      </c>
      <c r="K1003" s="8">
        <v>30.23</v>
      </c>
      <c r="L1003" s="8">
        <v>25.108000000000001</v>
      </c>
      <c r="M1003" s="8">
        <v>18.568000000000001</v>
      </c>
      <c r="N1003" s="8">
        <v>14.715</v>
      </c>
      <c r="O1003" s="8">
        <v>14.045</v>
      </c>
      <c r="P1003" s="8">
        <v>14.455</v>
      </c>
      <c r="Q1003" s="8">
        <v>10.118</v>
      </c>
      <c r="R1003" s="8">
        <v>7.5880000000000001</v>
      </c>
      <c r="S1003" s="8">
        <v>3.7490000000000001</v>
      </c>
      <c r="T1003" s="8">
        <v>4.4320000000000004</v>
      </c>
      <c r="U1003" s="8">
        <v>5.92</v>
      </c>
      <c r="V1003" s="8">
        <v>5.0720000000000001</v>
      </c>
      <c r="W1003" s="8">
        <v>3.8639999999999999</v>
      </c>
      <c r="X1003" s="8">
        <v>1.7629999999999999</v>
      </c>
      <c r="Y1003" s="8">
        <v>1.056</v>
      </c>
      <c r="Z1003" s="8">
        <v>0.47699999999999998</v>
      </c>
      <c r="AA1003" s="8">
        <v>0.152</v>
      </c>
      <c r="AB1003" s="8">
        <v>1.7000000000000001E-2</v>
      </c>
      <c r="AC1003" s="8">
        <v>1E-3</v>
      </c>
    </row>
    <row r="1004" spans="1:29" ht="11.65" hidden="1" x14ac:dyDescent="0.35">
      <c r="A1004" s="12">
        <v>987</v>
      </c>
      <c r="B1004" s="10" t="s">
        <v>1015</v>
      </c>
      <c r="C1004" s="11" t="s">
        <v>1090</v>
      </c>
      <c r="D1004" s="9"/>
      <c r="E1004" s="9">
        <v>132</v>
      </c>
      <c r="F1004" s="10" t="s">
        <v>1066</v>
      </c>
      <c r="G1004" s="9">
        <v>914</v>
      </c>
      <c r="H1004" s="9">
        <v>2005</v>
      </c>
      <c r="I1004" s="8">
        <v>27.277999999999999</v>
      </c>
      <c r="J1004" s="8">
        <v>27.97</v>
      </c>
      <c r="K1004" s="8">
        <v>31.132999999999999</v>
      </c>
      <c r="L1004" s="8">
        <v>29.437999999999999</v>
      </c>
      <c r="M1004" s="8">
        <v>23.634</v>
      </c>
      <c r="N1004" s="8">
        <v>16.879000000000001</v>
      </c>
      <c r="O1004" s="8">
        <v>13.56</v>
      </c>
      <c r="P1004" s="8">
        <v>13.444000000000001</v>
      </c>
      <c r="Q1004" s="8">
        <v>13.935</v>
      </c>
      <c r="R1004" s="8">
        <v>9.7550000000000008</v>
      </c>
      <c r="S1004" s="8">
        <v>7.2690000000000001</v>
      </c>
      <c r="T1004" s="8">
        <v>3.5659999999999998</v>
      </c>
      <c r="U1004" s="8">
        <v>4.4279999999999999</v>
      </c>
      <c r="V1004" s="8">
        <v>5.6769999999999996</v>
      </c>
      <c r="W1004" s="8">
        <v>4.7729999999999997</v>
      </c>
      <c r="X1004" s="8">
        <v>3.1880000000000002</v>
      </c>
      <c r="Y1004" s="8">
        <v>1.123</v>
      </c>
      <c r="Z1004" s="8">
        <v>0.50900000000000001</v>
      </c>
      <c r="AA1004" s="8">
        <v>0.156</v>
      </c>
      <c r="AB1004" s="8">
        <v>2.9000000000000001E-2</v>
      </c>
      <c r="AC1004" s="8">
        <v>2E-3</v>
      </c>
    </row>
    <row r="1005" spans="1:29" ht="11.65" hidden="1" x14ac:dyDescent="0.35">
      <c r="A1005" s="12">
        <v>988</v>
      </c>
      <c r="B1005" s="10" t="s">
        <v>1015</v>
      </c>
      <c r="C1005" s="11" t="s">
        <v>1090</v>
      </c>
      <c r="D1005" s="9"/>
      <c r="E1005" s="9">
        <v>132</v>
      </c>
      <c r="F1005" s="10" t="s">
        <v>1066</v>
      </c>
      <c r="G1005" s="9">
        <v>914</v>
      </c>
      <c r="H1005" s="9">
        <v>2010</v>
      </c>
      <c r="I1005" s="8">
        <v>25.832999999999998</v>
      </c>
      <c r="J1005" s="8">
        <v>26.138999999999999</v>
      </c>
      <c r="K1005" s="8">
        <v>27.3</v>
      </c>
      <c r="L1005" s="8">
        <v>29.805</v>
      </c>
      <c r="M1005" s="8">
        <v>25.952999999999999</v>
      </c>
      <c r="N1005" s="8">
        <v>20.748000000000001</v>
      </c>
      <c r="O1005" s="8">
        <v>15.871</v>
      </c>
      <c r="P1005" s="8">
        <v>13.058999999999999</v>
      </c>
      <c r="Q1005" s="8">
        <v>13.032</v>
      </c>
      <c r="R1005" s="8">
        <v>12.701000000000001</v>
      </c>
      <c r="S1005" s="8">
        <v>9.1760000000000002</v>
      </c>
      <c r="T1005" s="8">
        <v>7.0030000000000001</v>
      </c>
      <c r="U1005" s="8">
        <v>3.645</v>
      </c>
      <c r="V1005" s="8">
        <v>4.077</v>
      </c>
      <c r="W1005" s="8">
        <v>4.827</v>
      </c>
      <c r="X1005" s="8">
        <v>4.327</v>
      </c>
      <c r="Y1005" s="8">
        <v>2.331</v>
      </c>
      <c r="Z1005" s="8">
        <v>0.54900000000000004</v>
      </c>
      <c r="AA1005" s="8">
        <v>0.16900000000000001</v>
      </c>
      <c r="AB1005" s="8">
        <v>0.03</v>
      </c>
      <c r="AC1005" s="8">
        <v>3.0000000000000001E-3</v>
      </c>
    </row>
    <row r="1006" spans="1:29" ht="11.65" hidden="1" x14ac:dyDescent="0.35">
      <c r="A1006" s="12">
        <v>989</v>
      </c>
      <c r="B1006" s="10" t="s">
        <v>1015</v>
      </c>
      <c r="C1006" s="11" t="s">
        <v>1090</v>
      </c>
      <c r="D1006" s="9"/>
      <c r="E1006" s="9">
        <v>132</v>
      </c>
      <c r="F1006" s="10" t="s">
        <v>1066</v>
      </c>
      <c r="G1006" s="9">
        <v>914</v>
      </c>
      <c r="H1006" s="9">
        <v>2015</v>
      </c>
      <c r="I1006" s="8">
        <v>26.462</v>
      </c>
      <c r="J1006" s="8">
        <v>25.471</v>
      </c>
      <c r="K1006" s="8">
        <v>25.902000000000001</v>
      </c>
      <c r="L1006" s="8">
        <v>25.12</v>
      </c>
      <c r="M1006" s="8">
        <v>26.251000000000001</v>
      </c>
      <c r="N1006" s="8">
        <v>24.56</v>
      </c>
      <c r="O1006" s="8">
        <v>21.102</v>
      </c>
      <c r="P1006" s="8">
        <v>16.552</v>
      </c>
      <c r="Q1006" s="8">
        <v>13.461</v>
      </c>
      <c r="R1006" s="8">
        <v>12.879</v>
      </c>
      <c r="S1006" s="8">
        <v>12.467000000000001</v>
      </c>
      <c r="T1006" s="8">
        <v>9.0890000000000004</v>
      </c>
      <c r="U1006" s="8">
        <v>6.9740000000000002</v>
      </c>
      <c r="V1006" s="8">
        <v>3.5830000000000002</v>
      </c>
      <c r="W1006" s="8">
        <v>3.734</v>
      </c>
      <c r="X1006" s="8">
        <v>3.85</v>
      </c>
      <c r="Y1006" s="8">
        <v>2.8290000000000002</v>
      </c>
      <c r="Z1006" s="8">
        <v>1.159</v>
      </c>
      <c r="AA1006" s="8">
        <v>0.186</v>
      </c>
      <c r="AB1006" s="8">
        <v>3.5000000000000003E-2</v>
      </c>
      <c r="AC1006" s="8">
        <v>4.0000000000000001E-3</v>
      </c>
    </row>
    <row r="1007" spans="1:29" ht="11.65" hidden="1" x14ac:dyDescent="0.35">
      <c r="A1007" s="12">
        <v>990</v>
      </c>
      <c r="B1007" s="10" t="s">
        <v>1015</v>
      </c>
      <c r="C1007" s="11" t="s">
        <v>1090</v>
      </c>
      <c r="D1007" s="9"/>
      <c r="E1007" s="9">
        <v>132</v>
      </c>
      <c r="F1007" s="10" t="s">
        <v>1066</v>
      </c>
      <c r="G1007" s="9">
        <v>914</v>
      </c>
      <c r="H1007" s="9">
        <v>2020</v>
      </c>
      <c r="I1007" s="8">
        <v>25.617000000000001</v>
      </c>
      <c r="J1007" s="8">
        <v>26.187999999999999</v>
      </c>
      <c r="K1007" s="8">
        <v>25.29</v>
      </c>
      <c r="L1007" s="8">
        <v>24.378</v>
      </c>
      <c r="M1007" s="8">
        <v>22.584</v>
      </c>
      <c r="N1007" s="8">
        <v>25.209</v>
      </c>
      <c r="O1007" s="8">
        <v>24.8</v>
      </c>
      <c r="P1007" s="8">
        <v>21.57</v>
      </c>
      <c r="Q1007" s="8">
        <v>16.901</v>
      </c>
      <c r="R1007" s="8">
        <v>13.500999999999999</v>
      </c>
      <c r="S1007" s="8">
        <v>12.805</v>
      </c>
      <c r="T1007" s="8">
        <v>12.223000000000001</v>
      </c>
      <c r="U1007" s="8">
        <v>8.7349999999999994</v>
      </c>
      <c r="V1007" s="8">
        <v>6.4779999999999998</v>
      </c>
      <c r="W1007" s="8">
        <v>3.149</v>
      </c>
      <c r="X1007" s="8">
        <v>2.9670000000000001</v>
      </c>
      <c r="Y1007" s="8">
        <v>2.577</v>
      </c>
      <c r="Z1007" s="8">
        <v>1.45</v>
      </c>
      <c r="AA1007" s="8">
        <v>0.40600000000000003</v>
      </c>
      <c r="AB1007" s="8">
        <v>3.9E-2</v>
      </c>
      <c r="AC1007" s="8">
        <v>4.0000000000000001E-3</v>
      </c>
    </row>
    <row r="1008" spans="1:29" ht="11.65" hidden="1" x14ac:dyDescent="0.35">
      <c r="A1008" s="12">
        <v>991</v>
      </c>
      <c r="B1008" s="10" t="s">
        <v>1015</v>
      </c>
      <c r="C1008" s="11" t="s">
        <v>588</v>
      </c>
      <c r="D1008" s="9"/>
      <c r="E1008" s="9">
        <v>384</v>
      </c>
      <c r="F1008" s="10" t="s">
        <v>1066</v>
      </c>
      <c r="G1008" s="9">
        <v>914</v>
      </c>
      <c r="H1008" s="9">
        <v>1950</v>
      </c>
      <c r="I1008" s="8">
        <v>221.732</v>
      </c>
      <c r="J1008" s="8">
        <v>177.756</v>
      </c>
      <c r="K1008" s="8">
        <v>154.93199999999999</v>
      </c>
      <c r="L1008" s="8">
        <v>134.98699999999999</v>
      </c>
      <c r="M1008" s="8">
        <v>116.339</v>
      </c>
      <c r="N1008" s="8">
        <v>99.266999999999996</v>
      </c>
      <c r="O1008" s="8">
        <v>84.147000000000006</v>
      </c>
      <c r="P1008" s="8">
        <v>70.786000000000001</v>
      </c>
      <c r="Q1008" s="8">
        <v>59.097000000000001</v>
      </c>
      <c r="R1008" s="8">
        <v>48.984999999999999</v>
      </c>
      <c r="S1008" s="8">
        <v>39.893000000000001</v>
      </c>
      <c r="T1008" s="8">
        <v>31.542999999999999</v>
      </c>
      <c r="U1008" s="8">
        <v>23.565000000000001</v>
      </c>
      <c r="V1008" s="8">
        <v>16.234999999999999</v>
      </c>
      <c r="W1008" s="8">
        <v>10.02</v>
      </c>
      <c r="X1008" s="8">
        <v>5.1950000000000003</v>
      </c>
      <c r="Y1008" s="8">
        <v>1.7050000000000001</v>
      </c>
      <c r="Z1008" s="8">
        <v>0.626</v>
      </c>
      <c r="AA1008" s="8">
        <v>0.14799999999999999</v>
      </c>
      <c r="AB1008" s="8">
        <v>2.1999999999999999E-2</v>
      </c>
      <c r="AC1008" s="8">
        <v>3.0000000000000001E-3</v>
      </c>
    </row>
    <row r="1009" spans="1:29" ht="11.65" hidden="1" x14ac:dyDescent="0.35">
      <c r="A1009" s="12">
        <v>992</v>
      </c>
      <c r="B1009" s="10" t="s">
        <v>1015</v>
      </c>
      <c r="C1009" s="11" t="s">
        <v>588</v>
      </c>
      <c r="D1009" s="9"/>
      <c r="E1009" s="9">
        <v>384</v>
      </c>
      <c r="F1009" s="10" t="s">
        <v>1066</v>
      </c>
      <c r="G1009" s="9">
        <v>914</v>
      </c>
      <c r="H1009" s="9">
        <v>1955</v>
      </c>
      <c r="I1009" s="8">
        <v>285.733</v>
      </c>
      <c r="J1009" s="8">
        <v>176.048</v>
      </c>
      <c r="K1009" s="8">
        <v>160.24700000000001</v>
      </c>
      <c r="L1009" s="8">
        <v>147.511</v>
      </c>
      <c r="M1009" s="8">
        <v>132.108</v>
      </c>
      <c r="N1009" s="8">
        <v>114.599</v>
      </c>
      <c r="O1009" s="8">
        <v>97.176000000000002</v>
      </c>
      <c r="P1009" s="8">
        <v>81.591999999999999</v>
      </c>
      <c r="Q1009" s="8">
        <v>67.953999999999994</v>
      </c>
      <c r="R1009" s="8">
        <v>56.262999999999998</v>
      </c>
      <c r="S1009" s="8">
        <v>46.04</v>
      </c>
      <c r="T1009" s="8">
        <v>36.598999999999997</v>
      </c>
      <c r="U1009" s="8">
        <v>27.783000000000001</v>
      </c>
      <c r="V1009" s="8">
        <v>19.416</v>
      </c>
      <c r="W1009" s="8">
        <v>12.089</v>
      </c>
      <c r="X1009" s="8">
        <v>6.4260000000000002</v>
      </c>
      <c r="Y1009" s="8">
        <v>2.6779999999999999</v>
      </c>
      <c r="Z1009" s="8">
        <v>0.64200000000000002</v>
      </c>
      <c r="AA1009" s="8">
        <v>0.155</v>
      </c>
      <c r="AB1009" s="8">
        <v>2.1999999999999999E-2</v>
      </c>
      <c r="AC1009" s="8">
        <v>3.0000000000000001E-3</v>
      </c>
    </row>
    <row r="1010" spans="1:29" ht="11.65" hidden="1" x14ac:dyDescent="0.35">
      <c r="A1010" s="12">
        <v>993</v>
      </c>
      <c r="B1010" s="10" t="s">
        <v>1015</v>
      </c>
      <c r="C1010" s="11" t="s">
        <v>588</v>
      </c>
      <c r="D1010" s="9"/>
      <c r="E1010" s="9">
        <v>384</v>
      </c>
      <c r="F1010" s="10" t="s">
        <v>1066</v>
      </c>
      <c r="G1010" s="9">
        <v>914</v>
      </c>
      <c r="H1010" s="9">
        <v>1960</v>
      </c>
      <c r="I1010" s="8">
        <v>336.72199999999998</v>
      </c>
      <c r="J1010" s="8">
        <v>238.137</v>
      </c>
      <c r="K1010" s="8">
        <v>163.33099999999999</v>
      </c>
      <c r="L1010" s="8">
        <v>156.00200000000001</v>
      </c>
      <c r="M1010" s="8">
        <v>147.46</v>
      </c>
      <c r="N1010" s="8">
        <v>132.31200000000001</v>
      </c>
      <c r="O1010" s="8">
        <v>113.607</v>
      </c>
      <c r="P1010" s="8">
        <v>95.149000000000001</v>
      </c>
      <c r="Q1010" s="8">
        <v>78.915999999999997</v>
      </c>
      <c r="R1010" s="8">
        <v>65.070999999999998</v>
      </c>
      <c r="S1010" s="8">
        <v>53.125</v>
      </c>
      <c r="T1010" s="8">
        <v>42.426000000000002</v>
      </c>
      <c r="U1010" s="8">
        <v>32.405000000000001</v>
      </c>
      <c r="V1010" s="8">
        <v>23.027999999999999</v>
      </c>
      <c r="W1010" s="8">
        <v>14.538</v>
      </c>
      <c r="X1010" s="8">
        <v>7.7729999999999997</v>
      </c>
      <c r="Y1010" s="8">
        <v>3.2850000000000001</v>
      </c>
      <c r="Z1010" s="8">
        <v>0.97199999999999998</v>
      </c>
      <c r="AA1010" s="8">
        <v>0.14799999999999999</v>
      </c>
      <c r="AB1010" s="8">
        <v>1.9E-2</v>
      </c>
      <c r="AC1010" s="8">
        <v>2E-3</v>
      </c>
    </row>
    <row r="1011" spans="1:29" ht="11.65" hidden="1" x14ac:dyDescent="0.35">
      <c r="A1011" s="12">
        <v>994</v>
      </c>
      <c r="B1011" s="10" t="s">
        <v>1015</v>
      </c>
      <c r="C1011" s="11" t="s">
        <v>588</v>
      </c>
      <c r="D1011" s="9"/>
      <c r="E1011" s="9">
        <v>384</v>
      </c>
      <c r="F1011" s="10" t="s">
        <v>1066</v>
      </c>
      <c r="G1011" s="9">
        <v>914</v>
      </c>
      <c r="H1011" s="9">
        <v>1965</v>
      </c>
      <c r="I1011" s="8">
        <v>403.32799999999997</v>
      </c>
      <c r="J1011" s="8">
        <v>295.73099999999999</v>
      </c>
      <c r="K1011" s="8">
        <v>226.994</v>
      </c>
      <c r="L1011" s="8">
        <v>165.29</v>
      </c>
      <c r="M1011" s="8">
        <v>164.16900000000001</v>
      </c>
      <c r="N1011" s="8">
        <v>154.42599999999999</v>
      </c>
      <c r="O1011" s="8">
        <v>135.762</v>
      </c>
      <c r="P1011" s="8">
        <v>114.19499999999999</v>
      </c>
      <c r="Q1011" s="8">
        <v>93.912000000000006</v>
      </c>
      <c r="R1011" s="8">
        <v>76.765000000000001</v>
      </c>
      <c r="S1011" s="8">
        <v>62.206000000000003</v>
      </c>
      <c r="T1011" s="8">
        <v>49.491999999999997</v>
      </c>
      <c r="U1011" s="8">
        <v>37.981999999999999</v>
      </c>
      <c r="V1011" s="8">
        <v>27.184000000000001</v>
      </c>
      <c r="W1011" s="8">
        <v>17.454000000000001</v>
      </c>
      <c r="X1011" s="8">
        <v>9.4450000000000003</v>
      </c>
      <c r="Y1011" s="8">
        <v>3.9830000000000001</v>
      </c>
      <c r="Z1011" s="8">
        <v>1.161</v>
      </c>
      <c r="AA1011" s="8">
        <v>0.20399999999999999</v>
      </c>
      <c r="AB1011" s="8">
        <v>1.4999999999999999E-2</v>
      </c>
      <c r="AC1011" s="8">
        <v>2E-3</v>
      </c>
    </row>
    <row r="1012" spans="1:29" ht="11.65" hidden="1" x14ac:dyDescent="0.35">
      <c r="A1012" s="12">
        <v>995</v>
      </c>
      <c r="B1012" s="10" t="s">
        <v>1015</v>
      </c>
      <c r="C1012" s="11" t="s">
        <v>588</v>
      </c>
      <c r="D1012" s="9"/>
      <c r="E1012" s="9">
        <v>384</v>
      </c>
      <c r="F1012" s="10" t="s">
        <v>1066</v>
      </c>
      <c r="G1012" s="9">
        <v>914</v>
      </c>
      <c r="H1012" s="9">
        <v>1970</v>
      </c>
      <c r="I1012" s="8">
        <v>488.33</v>
      </c>
      <c r="J1012" s="8">
        <v>366.03300000000002</v>
      </c>
      <c r="K1012" s="8">
        <v>285.76</v>
      </c>
      <c r="L1012" s="8">
        <v>228.51499999999999</v>
      </c>
      <c r="M1012" s="8">
        <v>174.17699999999999</v>
      </c>
      <c r="N1012" s="8">
        <v>171.13800000000001</v>
      </c>
      <c r="O1012" s="8">
        <v>157.27500000000001</v>
      </c>
      <c r="P1012" s="8">
        <v>135.441</v>
      </c>
      <c r="Q1012" s="8">
        <v>111.996</v>
      </c>
      <c r="R1012" s="8">
        <v>90.908000000000001</v>
      </c>
      <c r="S1012" s="8">
        <v>73.125</v>
      </c>
      <c r="T1012" s="8">
        <v>57.85</v>
      </c>
      <c r="U1012" s="8">
        <v>44.328000000000003</v>
      </c>
      <c r="V1012" s="8">
        <v>31.943000000000001</v>
      </c>
      <c r="W1012" s="8">
        <v>20.677</v>
      </c>
      <c r="X1012" s="8">
        <v>11.356</v>
      </c>
      <c r="Y1012" s="8">
        <v>4.7949999999999999</v>
      </c>
      <c r="Z1012" s="8">
        <v>1.3560000000000001</v>
      </c>
      <c r="AA1012" s="8">
        <v>0.22500000000000001</v>
      </c>
      <c r="AB1012" s="8">
        <v>1.9E-2</v>
      </c>
      <c r="AC1012" s="8">
        <v>1E-3</v>
      </c>
    </row>
    <row r="1013" spans="1:29" ht="11.65" hidden="1" x14ac:dyDescent="0.35">
      <c r="A1013" s="12">
        <v>996</v>
      </c>
      <c r="B1013" s="10" t="s">
        <v>1015</v>
      </c>
      <c r="C1013" s="11" t="s">
        <v>588</v>
      </c>
      <c r="D1013" s="9"/>
      <c r="E1013" s="9">
        <v>384</v>
      </c>
      <c r="F1013" s="10" t="s">
        <v>1066</v>
      </c>
      <c r="G1013" s="9">
        <v>914</v>
      </c>
      <c r="H1013" s="9">
        <v>1975</v>
      </c>
      <c r="I1013" s="8">
        <v>617.57299999999998</v>
      </c>
      <c r="J1013" s="8">
        <v>456.67700000000002</v>
      </c>
      <c r="K1013" s="8">
        <v>358.98399999999998</v>
      </c>
      <c r="L1013" s="8">
        <v>295.70100000000002</v>
      </c>
      <c r="M1013" s="8">
        <v>250.78899999999999</v>
      </c>
      <c r="N1013" s="8">
        <v>194.88200000000001</v>
      </c>
      <c r="O1013" s="8">
        <v>184.006</v>
      </c>
      <c r="P1013" s="8">
        <v>163.50899999999999</v>
      </c>
      <c r="Q1013" s="8">
        <v>137.29499999999999</v>
      </c>
      <c r="R1013" s="8">
        <v>111.41800000000001</v>
      </c>
      <c r="S1013" s="8">
        <v>88.677999999999997</v>
      </c>
      <c r="T1013" s="8">
        <v>69.516999999999996</v>
      </c>
      <c r="U1013" s="8">
        <v>52.970999999999997</v>
      </c>
      <c r="V1013" s="8">
        <v>38.152000000000001</v>
      </c>
      <c r="W1013" s="8">
        <v>24.888000000000002</v>
      </c>
      <c r="X1013" s="8">
        <v>13.776999999999999</v>
      </c>
      <c r="Y1013" s="8">
        <v>5.8769999999999998</v>
      </c>
      <c r="Z1013" s="8">
        <v>1.6359999999999999</v>
      </c>
      <c r="AA1013" s="8">
        <v>0.253</v>
      </c>
      <c r="AB1013" s="8">
        <v>1.7000000000000001E-2</v>
      </c>
      <c r="AC1013" s="8">
        <v>1E-3</v>
      </c>
    </row>
    <row r="1014" spans="1:29" ht="11.65" hidden="1" x14ac:dyDescent="0.35">
      <c r="A1014" s="12">
        <v>997</v>
      </c>
      <c r="B1014" s="10" t="s">
        <v>1015</v>
      </c>
      <c r="C1014" s="11" t="s">
        <v>588</v>
      </c>
      <c r="D1014" s="9"/>
      <c r="E1014" s="9">
        <v>384</v>
      </c>
      <c r="F1014" s="10" t="s">
        <v>1066</v>
      </c>
      <c r="G1014" s="9">
        <v>914</v>
      </c>
      <c r="H1014" s="9">
        <v>1980</v>
      </c>
      <c r="I1014" s="8">
        <v>780.32500000000005</v>
      </c>
      <c r="J1014" s="8">
        <v>585.97699999999998</v>
      </c>
      <c r="K1014" s="8">
        <v>450.036</v>
      </c>
      <c r="L1014" s="8">
        <v>369.334</v>
      </c>
      <c r="M1014" s="8">
        <v>318.28199999999998</v>
      </c>
      <c r="N1014" s="8">
        <v>270.97899999999998</v>
      </c>
      <c r="O1014" s="8">
        <v>208.37799999999999</v>
      </c>
      <c r="P1014" s="8">
        <v>190.459</v>
      </c>
      <c r="Q1014" s="8">
        <v>165.15799999999999</v>
      </c>
      <c r="R1014" s="8">
        <v>136.273</v>
      </c>
      <c r="S1014" s="8">
        <v>108.628</v>
      </c>
      <c r="T1014" s="8">
        <v>84.453999999999994</v>
      </c>
      <c r="U1014" s="8">
        <v>63.942</v>
      </c>
      <c r="V1014" s="8">
        <v>45.921999999999997</v>
      </c>
      <c r="W1014" s="8">
        <v>30.01</v>
      </c>
      <c r="X1014" s="8">
        <v>16.747</v>
      </c>
      <c r="Y1014" s="8">
        <v>7.1619999999999999</v>
      </c>
      <c r="Z1014" s="8">
        <v>1.9810000000000001</v>
      </c>
      <c r="AA1014" s="8">
        <v>0.28999999999999998</v>
      </c>
      <c r="AB1014" s="8">
        <v>1.7000000000000001E-2</v>
      </c>
      <c r="AC1014" s="8">
        <v>1E-3</v>
      </c>
    </row>
    <row r="1015" spans="1:29" ht="11.65" hidden="1" x14ac:dyDescent="0.35">
      <c r="A1015" s="12">
        <v>998</v>
      </c>
      <c r="B1015" s="10" t="s">
        <v>1015</v>
      </c>
      <c r="C1015" s="11" t="s">
        <v>588</v>
      </c>
      <c r="D1015" s="9"/>
      <c r="E1015" s="9">
        <v>384</v>
      </c>
      <c r="F1015" s="10" t="s">
        <v>1066</v>
      </c>
      <c r="G1015" s="9">
        <v>914</v>
      </c>
      <c r="H1015" s="9">
        <v>1985</v>
      </c>
      <c r="I1015" s="8">
        <v>921.44200000000001</v>
      </c>
      <c r="J1015" s="8">
        <v>746.89400000000001</v>
      </c>
      <c r="K1015" s="8">
        <v>578.91700000000003</v>
      </c>
      <c r="L1015" s="8">
        <v>461.01600000000002</v>
      </c>
      <c r="M1015" s="8">
        <v>393.108</v>
      </c>
      <c r="N1015" s="8">
        <v>339.26</v>
      </c>
      <c r="O1015" s="8">
        <v>284.17</v>
      </c>
      <c r="P1015" s="8">
        <v>215.46100000000001</v>
      </c>
      <c r="Q1015" s="8">
        <v>192.185</v>
      </c>
      <c r="R1015" s="8">
        <v>163.75800000000001</v>
      </c>
      <c r="S1015" s="8">
        <v>132.82499999999999</v>
      </c>
      <c r="T1015" s="8">
        <v>103.589</v>
      </c>
      <c r="U1015" s="8">
        <v>77.950999999999993</v>
      </c>
      <c r="V1015" s="8">
        <v>55.765999999999998</v>
      </c>
      <c r="W1015" s="8">
        <v>36.433</v>
      </c>
      <c r="X1015" s="8">
        <v>20.408000000000001</v>
      </c>
      <c r="Y1015" s="8">
        <v>8.7880000000000003</v>
      </c>
      <c r="Z1015" s="8">
        <v>2.419</v>
      </c>
      <c r="AA1015" s="8">
        <v>0.34100000000000003</v>
      </c>
      <c r="AB1015" s="8">
        <v>1.7999999999999999E-2</v>
      </c>
      <c r="AC1015" s="8">
        <v>1E-3</v>
      </c>
    </row>
    <row r="1016" spans="1:29" ht="11.65" hidden="1" x14ac:dyDescent="0.35">
      <c r="A1016" s="12">
        <v>999</v>
      </c>
      <c r="B1016" s="10" t="s">
        <v>1015</v>
      </c>
      <c r="C1016" s="11" t="s">
        <v>588</v>
      </c>
      <c r="D1016" s="9"/>
      <c r="E1016" s="9">
        <v>384</v>
      </c>
      <c r="F1016" s="10" t="s">
        <v>1066</v>
      </c>
      <c r="G1016" s="9">
        <v>914</v>
      </c>
      <c r="H1016" s="9">
        <v>1990</v>
      </c>
      <c r="I1016" s="8">
        <v>1062.5809999999999</v>
      </c>
      <c r="J1016" s="8">
        <v>884.63699999999994</v>
      </c>
      <c r="K1016" s="8">
        <v>737.91300000000001</v>
      </c>
      <c r="L1016" s="8">
        <v>584.58000000000004</v>
      </c>
      <c r="M1016" s="8">
        <v>476.14100000000002</v>
      </c>
      <c r="N1016" s="8">
        <v>405.76799999999997</v>
      </c>
      <c r="O1016" s="8">
        <v>345.76100000000002</v>
      </c>
      <c r="P1016" s="8">
        <v>285.62700000000001</v>
      </c>
      <c r="Q1016" s="8">
        <v>214.22800000000001</v>
      </c>
      <c r="R1016" s="8">
        <v>188.43199999999999</v>
      </c>
      <c r="S1016" s="8">
        <v>158.24199999999999</v>
      </c>
      <c r="T1016" s="8">
        <v>125.899</v>
      </c>
      <c r="U1016" s="8">
        <v>95.298000000000002</v>
      </c>
      <c r="V1016" s="8">
        <v>67.984999999999999</v>
      </c>
      <c r="W1016" s="8">
        <v>44.404000000000003</v>
      </c>
      <c r="X1016" s="8">
        <v>24.952000000000002</v>
      </c>
      <c r="Y1016" s="8">
        <v>10.792999999999999</v>
      </c>
      <c r="Z1016" s="8">
        <v>2.9769999999999999</v>
      </c>
      <c r="AA1016" s="8">
        <v>0.40699999999999997</v>
      </c>
      <c r="AB1016" s="8">
        <v>2.1000000000000001E-2</v>
      </c>
      <c r="AC1016" s="8">
        <v>1E-3</v>
      </c>
    </row>
    <row r="1017" spans="1:29" ht="11.65" hidden="1" x14ac:dyDescent="0.35">
      <c r="A1017" s="12">
        <v>1000</v>
      </c>
      <c r="B1017" s="10" t="s">
        <v>1015</v>
      </c>
      <c r="C1017" s="11" t="s">
        <v>588</v>
      </c>
      <c r="D1017" s="9"/>
      <c r="E1017" s="9">
        <v>384</v>
      </c>
      <c r="F1017" s="10" t="s">
        <v>1066</v>
      </c>
      <c r="G1017" s="9">
        <v>914</v>
      </c>
      <c r="H1017" s="9">
        <v>1995</v>
      </c>
      <c r="I1017" s="8">
        <v>1222.3399999999999</v>
      </c>
      <c r="J1017" s="8">
        <v>1022.0650000000001</v>
      </c>
      <c r="K1017" s="8">
        <v>875.03200000000004</v>
      </c>
      <c r="L1017" s="8">
        <v>744.34699999999998</v>
      </c>
      <c r="M1017" s="8">
        <v>601.577</v>
      </c>
      <c r="N1017" s="8">
        <v>489.66399999999999</v>
      </c>
      <c r="O1017" s="8">
        <v>411.35700000000003</v>
      </c>
      <c r="P1017" s="8">
        <v>344.827</v>
      </c>
      <c r="Q1017" s="8">
        <v>280.875</v>
      </c>
      <c r="R1017" s="8">
        <v>208.79499999999999</v>
      </c>
      <c r="S1017" s="8">
        <v>180.91300000000001</v>
      </c>
      <c r="T1017" s="8">
        <v>149.05600000000001</v>
      </c>
      <c r="U1017" s="8">
        <v>115.202</v>
      </c>
      <c r="V1017" s="8">
        <v>82.843999999999994</v>
      </c>
      <c r="W1017" s="8">
        <v>54.128999999999998</v>
      </c>
      <c r="X1017" s="8">
        <v>30.552</v>
      </c>
      <c r="Y1017" s="8">
        <v>13.323</v>
      </c>
      <c r="Z1017" s="8">
        <v>3.694</v>
      </c>
      <c r="AA1017" s="8">
        <v>0.51100000000000001</v>
      </c>
      <c r="AB1017" s="8">
        <v>2.5000000000000001E-2</v>
      </c>
      <c r="AC1017" s="8">
        <v>1E-3</v>
      </c>
    </row>
    <row r="1018" spans="1:29" ht="11.65" hidden="1" x14ac:dyDescent="0.35">
      <c r="A1018" s="12">
        <v>1001</v>
      </c>
      <c r="B1018" s="10" t="s">
        <v>1015</v>
      </c>
      <c r="C1018" s="11" t="s">
        <v>588</v>
      </c>
      <c r="D1018" s="9"/>
      <c r="E1018" s="9">
        <v>384</v>
      </c>
      <c r="F1018" s="10" t="s">
        <v>1066</v>
      </c>
      <c r="G1018" s="9">
        <v>914</v>
      </c>
      <c r="H1018" s="9">
        <v>2000</v>
      </c>
      <c r="I1018" s="8">
        <v>1401.569</v>
      </c>
      <c r="J1018" s="8">
        <v>1173.289</v>
      </c>
      <c r="K1018" s="8">
        <v>1008.575</v>
      </c>
      <c r="L1018" s="8">
        <v>871.13699999999994</v>
      </c>
      <c r="M1018" s="8">
        <v>742.99599999999998</v>
      </c>
      <c r="N1018" s="8">
        <v>595.43299999999999</v>
      </c>
      <c r="O1018" s="8">
        <v>477.81400000000002</v>
      </c>
      <c r="P1018" s="8">
        <v>395.38799999999998</v>
      </c>
      <c r="Q1018" s="8">
        <v>327.60700000000003</v>
      </c>
      <c r="R1018" s="8">
        <v>265.14299999999997</v>
      </c>
      <c r="S1018" s="8">
        <v>195.34200000000001</v>
      </c>
      <c r="T1018" s="8">
        <v>166.58600000000001</v>
      </c>
      <c r="U1018" s="8">
        <v>133.61199999999999</v>
      </c>
      <c r="V1018" s="8">
        <v>98.320999999999998</v>
      </c>
      <c r="W1018" s="8">
        <v>64.915000000000006</v>
      </c>
      <c r="X1018" s="8">
        <v>36.79</v>
      </c>
      <c r="Y1018" s="8">
        <v>16.170000000000002</v>
      </c>
      <c r="Z1018" s="8">
        <v>4.532</v>
      </c>
      <c r="AA1018" s="8">
        <v>0.63700000000000001</v>
      </c>
      <c r="AB1018" s="8">
        <v>3.9E-2</v>
      </c>
      <c r="AC1018" s="8">
        <v>1E-3</v>
      </c>
    </row>
    <row r="1019" spans="1:29" ht="11.65" hidden="1" x14ac:dyDescent="0.35">
      <c r="A1019" s="12">
        <v>1002</v>
      </c>
      <c r="B1019" s="10" t="s">
        <v>1015</v>
      </c>
      <c r="C1019" s="11" t="s">
        <v>588</v>
      </c>
      <c r="D1019" s="9"/>
      <c r="E1019" s="9">
        <v>384</v>
      </c>
      <c r="F1019" s="10" t="s">
        <v>1066</v>
      </c>
      <c r="G1019" s="9">
        <v>914</v>
      </c>
      <c r="H1019" s="9">
        <v>2005</v>
      </c>
      <c r="I1019" s="8">
        <v>1547.559</v>
      </c>
      <c r="J1019" s="8">
        <v>1344.8</v>
      </c>
      <c r="K1019" s="8">
        <v>1152.3620000000001</v>
      </c>
      <c r="L1019" s="8">
        <v>977.36500000000001</v>
      </c>
      <c r="M1019" s="8">
        <v>822.37800000000004</v>
      </c>
      <c r="N1019" s="8">
        <v>688.57299999999998</v>
      </c>
      <c r="O1019" s="8">
        <v>544.21400000000006</v>
      </c>
      <c r="P1019" s="8">
        <v>432.41800000000001</v>
      </c>
      <c r="Q1019" s="8">
        <v>356.60599999999999</v>
      </c>
      <c r="R1019" s="8">
        <v>296.17</v>
      </c>
      <c r="S1019" s="8">
        <v>238.952</v>
      </c>
      <c r="T1019" s="8">
        <v>174.10599999999999</v>
      </c>
      <c r="U1019" s="8">
        <v>145.23500000000001</v>
      </c>
      <c r="V1019" s="8">
        <v>111.224</v>
      </c>
      <c r="W1019" s="8">
        <v>75.23</v>
      </c>
      <c r="X1019" s="8">
        <v>43.09</v>
      </c>
      <c r="Y1019" s="8">
        <v>18.96</v>
      </c>
      <c r="Z1019" s="8">
        <v>5.3280000000000003</v>
      </c>
      <c r="AA1019" s="8">
        <v>0.748</v>
      </c>
      <c r="AB1019" s="8">
        <v>5.2999999999999999E-2</v>
      </c>
      <c r="AC1019" s="8">
        <v>2E-3</v>
      </c>
    </row>
    <row r="1020" spans="1:29" ht="11.65" hidden="1" x14ac:dyDescent="0.35">
      <c r="A1020" s="12">
        <v>1003</v>
      </c>
      <c r="B1020" s="10" t="s">
        <v>1015</v>
      </c>
      <c r="C1020" s="11" t="s">
        <v>588</v>
      </c>
      <c r="D1020" s="9"/>
      <c r="E1020" s="9">
        <v>384</v>
      </c>
      <c r="F1020" s="10" t="s">
        <v>1066</v>
      </c>
      <c r="G1020" s="9">
        <v>914</v>
      </c>
      <c r="H1020" s="9">
        <v>2010</v>
      </c>
      <c r="I1020" s="8">
        <v>1658.6759999999999</v>
      </c>
      <c r="J1020" s="8">
        <v>1492.4059999999999</v>
      </c>
      <c r="K1020" s="8">
        <v>1321.1079999999999</v>
      </c>
      <c r="L1020" s="8">
        <v>1124.0630000000001</v>
      </c>
      <c r="M1020" s="8">
        <v>936.34799999999996</v>
      </c>
      <c r="N1020" s="8">
        <v>776.95500000000004</v>
      </c>
      <c r="O1020" s="8">
        <v>644.43399999999997</v>
      </c>
      <c r="P1020" s="8">
        <v>505.041</v>
      </c>
      <c r="Q1020" s="8">
        <v>398.88600000000002</v>
      </c>
      <c r="R1020" s="8">
        <v>328.22800000000001</v>
      </c>
      <c r="S1020" s="8">
        <v>270.71199999999999</v>
      </c>
      <c r="T1020" s="8">
        <v>215.285</v>
      </c>
      <c r="U1020" s="8">
        <v>152.52500000000001</v>
      </c>
      <c r="V1020" s="8">
        <v>120.72</v>
      </c>
      <c r="W1020" s="8">
        <v>84.236999999999995</v>
      </c>
      <c r="X1020" s="8">
        <v>48.798999999999999</v>
      </c>
      <c r="Y1020" s="8">
        <v>21.318000000000001</v>
      </c>
      <c r="Z1020" s="8">
        <v>5.8529999999999998</v>
      </c>
      <c r="AA1020" s="8">
        <v>0.78500000000000003</v>
      </c>
      <c r="AB1020" s="8">
        <v>4.9000000000000002E-2</v>
      </c>
      <c r="AC1020" s="8">
        <v>2E-3</v>
      </c>
    </row>
    <row r="1021" spans="1:29" ht="11.65" hidden="1" x14ac:dyDescent="0.35">
      <c r="A1021" s="12">
        <v>1004</v>
      </c>
      <c r="B1021" s="10" t="s">
        <v>1015</v>
      </c>
      <c r="C1021" s="11" t="s">
        <v>588</v>
      </c>
      <c r="D1021" s="9"/>
      <c r="E1021" s="9">
        <v>384</v>
      </c>
      <c r="F1021" s="10" t="s">
        <v>1066</v>
      </c>
      <c r="G1021" s="9">
        <v>914</v>
      </c>
      <c r="H1021" s="9">
        <v>2015</v>
      </c>
      <c r="I1021" s="8">
        <v>1842.1859999999999</v>
      </c>
      <c r="J1021" s="8">
        <v>1612.3889999999999</v>
      </c>
      <c r="K1021" s="8">
        <v>1471.086</v>
      </c>
      <c r="L1021" s="8">
        <v>1299.624</v>
      </c>
      <c r="M1021" s="8">
        <v>1094.9459999999999</v>
      </c>
      <c r="N1021" s="8">
        <v>903.13499999999999</v>
      </c>
      <c r="O1021" s="8">
        <v>743.32799999999997</v>
      </c>
      <c r="P1021" s="8">
        <v>611.97699999999998</v>
      </c>
      <c r="Q1021" s="8">
        <v>476.04199999999997</v>
      </c>
      <c r="R1021" s="8">
        <v>373.85599999999999</v>
      </c>
      <c r="S1021" s="8">
        <v>304.65499999999997</v>
      </c>
      <c r="T1021" s="8">
        <v>247.19</v>
      </c>
      <c r="U1021" s="8">
        <v>191.036</v>
      </c>
      <c r="V1021" s="8">
        <v>128.178</v>
      </c>
      <c r="W1021" s="8">
        <v>92.32</v>
      </c>
      <c r="X1021" s="8">
        <v>55.081000000000003</v>
      </c>
      <c r="Y1021" s="8">
        <v>24.294</v>
      </c>
      <c r="Z1021" s="8">
        <v>6.6070000000000002</v>
      </c>
      <c r="AA1021" s="8">
        <v>0.85099999999999998</v>
      </c>
      <c r="AB1021" s="8">
        <v>4.5999999999999999E-2</v>
      </c>
      <c r="AC1021" s="8">
        <v>2E-3</v>
      </c>
    </row>
    <row r="1022" spans="1:29" ht="11.65" hidden="1" x14ac:dyDescent="0.35">
      <c r="A1022" s="12">
        <v>1005</v>
      </c>
      <c r="B1022" s="10" t="s">
        <v>1015</v>
      </c>
      <c r="C1022" s="11" t="s">
        <v>588</v>
      </c>
      <c r="D1022" s="9"/>
      <c r="E1022" s="9">
        <v>384</v>
      </c>
      <c r="F1022" s="10" t="s">
        <v>1066</v>
      </c>
      <c r="G1022" s="9">
        <v>914</v>
      </c>
      <c r="H1022" s="9">
        <v>2020</v>
      </c>
      <c r="I1022" s="8">
        <v>2052.8249999999998</v>
      </c>
      <c r="J1022" s="8">
        <v>1800.9010000000001</v>
      </c>
      <c r="K1022" s="8">
        <v>1593.6030000000001</v>
      </c>
      <c r="L1022" s="8">
        <v>1452.4269999999999</v>
      </c>
      <c r="M1022" s="8">
        <v>1274.258</v>
      </c>
      <c r="N1022" s="8">
        <v>1065.934</v>
      </c>
      <c r="O1022" s="8">
        <v>873.971</v>
      </c>
      <c r="P1022" s="8">
        <v>715.05799999999999</v>
      </c>
      <c r="Q1022" s="8">
        <v>584.495</v>
      </c>
      <c r="R1022" s="8">
        <v>451.41800000000001</v>
      </c>
      <c r="S1022" s="8">
        <v>350.58</v>
      </c>
      <c r="T1022" s="8">
        <v>280.80399999999997</v>
      </c>
      <c r="U1022" s="8">
        <v>221.465</v>
      </c>
      <c r="V1022" s="8">
        <v>162.23099999999999</v>
      </c>
      <c r="W1022" s="8">
        <v>99.247</v>
      </c>
      <c r="X1022" s="8">
        <v>61.412999999999997</v>
      </c>
      <c r="Y1022" s="8">
        <v>28.218</v>
      </c>
      <c r="Z1022" s="8">
        <v>7.9480000000000004</v>
      </c>
      <c r="AA1022" s="8">
        <v>1.0429999999999999</v>
      </c>
      <c r="AB1022" s="8">
        <v>5.3999999999999999E-2</v>
      </c>
      <c r="AC1022" s="8">
        <v>2E-3</v>
      </c>
    </row>
    <row r="1023" spans="1:29" ht="11.65" hidden="1" x14ac:dyDescent="0.35">
      <c r="A1023" s="12">
        <v>1006</v>
      </c>
      <c r="B1023" s="10" t="s">
        <v>1015</v>
      </c>
      <c r="C1023" s="11" t="s">
        <v>1091</v>
      </c>
      <c r="D1023" s="9"/>
      <c r="E1023" s="9">
        <v>270</v>
      </c>
      <c r="F1023" s="10" t="s">
        <v>1066</v>
      </c>
      <c r="G1023" s="9">
        <v>914</v>
      </c>
      <c r="H1023" s="9">
        <v>1950</v>
      </c>
      <c r="I1023" s="8">
        <v>27.826000000000001</v>
      </c>
      <c r="J1023" s="8">
        <v>21.712</v>
      </c>
      <c r="K1023" s="8">
        <v>17.768000000000001</v>
      </c>
      <c r="L1023" s="8">
        <v>15.773999999999999</v>
      </c>
      <c r="M1023" s="8">
        <v>13.961</v>
      </c>
      <c r="N1023" s="8">
        <v>12.262</v>
      </c>
      <c r="O1023" s="8">
        <v>9.3320000000000007</v>
      </c>
      <c r="P1023" s="8">
        <v>8.0269999999999992</v>
      </c>
      <c r="Q1023" s="8">
        <v>6.8479999999999999</v>
      </c>
      <c r="R1023" s="8">
        <v>5.8049999999999997</v>
      </c>
      <c r="S1023" s="8">
        <v>4.8630000000000004</v>
      </c>
      <c r="T1023" s="8">
        <v>3.9510000000000001</v>
      </c>
      <c r="U1023" s="8">
        <v>3.0379999999999998</v>
      </c>
      <c r="V1023" s="8">
        <v>2.129</v>
      </c>
      <c r="W1023" s="8">
        <v>1.2889999999999999</v>
      </c>
      <c r="X1023" s="8">
        <v>0.626</v>
      </c>
      <c r="Y1023" s="8">
        <v>0.24</v>
      </c>
      <c r="Z1023" s="8">
        <v>3.5000000000000003E-2</v>
      </c>
      <c r="AA1023" s="8">
        <v>3.0000000000000001E-3</v>
      </c>
      <c r="AB1023" s="8">
        <v>0</v>
      </c>
      <c r="AC1023" s="8">
        <v>0</v>
      </c>
    </row>
    <row r="1024" spans="1:29" ht="11.65" hidden="1" x14ac:dyDescent="0.35">
      <c r="A1024" s="12">
        <v>1007</v>
      </c>
      <c r="B1024" s="10" t="s">
        <v>1015</v>
      </c>
      <c r="C1024" s="11" t="s">
        <v>1091</v>
      </c>
      <c r="D1024" s="9"/>
      <c r="E1024" s="9">
        <v>270</v>
      </c>
      <c r="F1024" s="10" t="s">
        <v>1066</v>
      </c>
      <c r="G1024" s="9">
        <v>914</v>
      </c>
      <c r="H1024" s="9">
        <v>1955</v>
      </c>
      <c r="I1024" s="8">
        <v>28.954999999999998</v>
      </c>
      <c r="J1024" s="8">
        <v>22.805</v>
      </c>
      <c r="K1024" s="8">
        <v>20.555</v>
      </c>
      <c r="L1024" s="8">
        <v>17.012</v>
      </c>
      <c r="M1024" s="8">
        <v>14.862</v>
      </c>
      <c r="N1024" s="8">
        <v>13.032999999999999</v>
      </c>
      <c r="O1024" s="8">
        <v>11.406000000000001</v>
      </c>
      <c r="P1024" s="8">
        <v>8.6479999999999997</v>
      </c>
      <c r="Q1024" s="8">
        <v>7.4169999999999998</v>
      </c>
      <c r="R1024" s="8">
        <v>6.3090000000000002</v>
      </c>
      <c r="S1024" s="8">
        <v>5.266</v>
      </c>
      <c r="T1024" s="8">
        <v>4.2649999999999997</v>
      </c>
      <c r="U1024" s="8">
        <v>3.23</v>
      </c>
      <c r="V1024" s="8">
        <v>2.194</v>
      </c>
      <c r="W1024" s="8">
        <v>1.2669999999999999</v>
      </c>
      <c r="X1024" s="8">
        <v>0.55800000000000005</v>
      </c>
      <c r="Y1024" s="8">
        <v>0.16800000000000001</v>
      </c>
      <c r="Z1024" s="8">
        <v>3.4000000000000002E-2</v>
      </c>
      <c r="AA1024" s="8">
        <v>3.0000000000000001E-3</v>
      </c>
      <c r="AB1024" s="8">
        <v>0</v>
      </c>
      <c r="AC1024" s="8">
        <v>0</v>
      </c>
    </row>
    <row r="1025" spans="1:29" ht="11.65" hidden="1" x14ac:dyDescent="0.35">
      <c r="A1025" s="12">
        <v>1008</v>
      </c>
      <c r="B1025" s="10" t="s">
        <v>1015</v>
      </c>
      <c r="C1025" s="11" t="s">
        <v>1091</v>
      </c>
      <c r="D1025" s="9"/>
      <c r="E1025" s="9">
        <v>270</v>
      </c>
      <c r="F1025" s="10" t="s">
        <v>1066</v>
      </c>
      <c r="G1025" s="9">
        <v>914</v>
      </c>
      <c r="H1025" s="9">
        <v>1960</v>
      </c>
      <c r="I1025" s="8">
        <v>31.975999999999999</v>
      </c>
      <c r="J1025" s="8">
        <v>24.023</v>
      </c>
      <c r="K1025" s="8">
        <v>21.652000000000001</v>
      </c>
      <c r="L1025" s="8">
        <v>19.722999999999999</v>
      </c>
      <c r="M1025" s="8">
        <v>16.076000000000001</v>
      </c>
      <c r="N1025" s="8">
        <v>13.922000000000001</v>
      </c>
      <c r="O1025" s="8">
        <v>12.164999999999999</v>
      </c>
      <c r="P1025" s="8">
        <v>10.608000000000001</v>
      </c>
      <c r="Q1025" s="8">
        <v>8.0180000000000007</v>
      </c>
      <c r="R1025" s="8">
        <v>6.8579999999999997</v>
      </c>
      <c r="S1025" s="8">
        <v>5.7450000000000001</v>
      </c>
      <c r="T1025" s="8">
        <v>4.6420000000000003</v>
      </c>
      <c r="U1025" s="8">
        <v>3.5150000000000001</v>
      </c>
      <c r="V1025" s="8">
        <v>2.3650000000000002</v>
      </c>
      <c r="W1025" s="8">
        <v>1.3360000000000001</v>
      </c>
      <c r="X1025" s="8">
        <v>0.56899999999999995</v>
      </c>
      <c r="Y1025" s="8">
        <v>0.159</v>
      </c>
      <c r="Z1025" s="8">
        <v>2.5999999999999999E-2</v>
      </c>
      <c r="AA1025" s="8">
        <v>3.0000000000000001E-3</v>
      </c>
      <c r="AB1025" s="8">
        <v>0</v>
      </c>
      <c r="AC1025" s="8">
        <v>0</v>
      </c>
    </row>
    <row r="1026" spans="1:29" ht="11.65" hidden="1" x14ac:dyDescent="0.35">
      <c r="A1026" s="12">
        <v>1009</v>
      </c>
      <c r="B1026" s="10" t="s">
        <v>1015</v>
      </c>
      <c r="C1026" s="11" t="s">
        <v>1091</v>
      </c>
      <c r="D1026" s="9"/>
      <c r="E1026" s="9">
        <v>270</v>
      </c>
      <c r="F1026" s="10" t="s">
        <v>1066</v>
      </c>
      <c r="G1026" s="9">
        <v>914</v>
      </c>
      <c r="H1026" s="9">
        <v>1965</v>
      </c>
      <c r="I1026" s="8">
        <v>35.171999999999997</v>
      </c>
      <c r="J1026" s="8">
        <v>26.831</v>
      </c>
      <c r="K1026" s="8">
        <v>22.87</v>
      </c>
      <c r="L1026" s="8">
        <v>20.817</v>
      </c>
      <c r="M1026" s="8">
        <v>18.690999999999999</v>
      </c>
      <c r="N1026" s="8">
        <v>15.106999999999999</v>
      </c>
      <c r="O1026" s="8">
        <v>13.036</v>
      </c>
      <c r="P1026" s="8">
        <v>11.353</v>
      </c>
      <c r="Q1026" s="8">
        <v>9.8689999999999998</v>
      </c>
      <c r="R1026" s="8">
        <v>7.4379999999999997</v>
      </c>
      <c r="S1026" s="8">
        <v>6.27</v>
      </c>
      <c r="T1026" s="8">
        <v>5.0910000000000002</v>
      </c>
      <c r="U1026" s="8">
        <v>3.8570000000000002</v>
      </c>
      <c r="V1026" s="8">
        <v>2.6080000000000001</v>
      </c>
      <c r="W1026" s="8">
        <v>1.47</v>
      </c>
      <c r="X1026" s="8">
        <v>0.61899999999999999</v>
      </c>
      <c r="Y1026" s="8">
        <v>0.17</v>
      </c>
      <c r="Z1026" s="8">
        <v>2.5999999999999999E-2</v>
      </c>
      <c r="AA1026" s="8">
        <v>2E-3</v>
      </c>
      <c r="AB1026" s="8">
        <v>0</v>
      </c>
      <c r="AC1026" s="8">
        <v>0</v>
      </c>
    </row>
    <row r="1027" spans="1:29" ht="11.65" hidden="1" x14ac:dyDescent="0.35">
      <c r="A1027" s="12">
        <v>1010</v>
      </c>
      <c r="B1027" s="10" t="s">
        <v>1015</v>
      </c>
      <c r="C1027" s="11" t="s">
        <v>1091</v>
      </c>
      <c r="D1027" s="9"/>
      <c r="E1027" s="9">
        <v>270</v>
      </c>
      <c r="F1027" s="10" t="s">
        <v>1066</v>
      </c>
      <c r="G1027" s="9">
        <v>914</v>
      </c>
      <c r="H1027" s="9">
        <v>1970</v>
      </c>
      <c r="I1027" s="8">
        <v>41.39</v>
      </c>
      <c r="J1027" s="8">
        <v>30.945</v>
      </c>
      <c r="K1027" s="8">
        <v>25.866</v>
      </c>
      <c r="L1027" s="8">
        <v>22.713999999999999</v>
      </c>
      <c r="M1027" s="8">
        <v>21.044</v>
      </c>
      <c r="N1027" s="8">
        <v>18.571000000000002</v>
      </c>
      <c r="O1027" s="8">
        <v>14.744999999999999</v>
      </c>
      <c r="P1027" s="8">
        <v>12.509</v>
      </c>
      <c r="Q1027" s="8">
        <v>10.712999999999999</v>
      </c>
      <c r="R1027" s="8">
        <v>9.2609999999999992</v>
      </c>
      <c r="S1027" s="8">
        <v>6.8780000000000001</v>
      </c>
      <c r="T1027" s="8">
        <v>5.62</v>
      </c>
      <c r="U1027" s="8">
        <v>4.2930000000000001</v>
      </c>
      <c r="V1027" s="8">
        <v>2.9180000000000001</v>
      </c>
      <c r="W1027" s="8">
        <v>1.6639999999999999</v>
      </c>
      <c r="X1027" s="8">
        <v>0.71299999999999997</v>
      </c>
      <c r="Y1027" s="8">
        <v>0.19900000000000001</v>
      </c>
      <c r="Z1027" s="8">
        <v>0.03</v>
      </c>
      <c r="AA1027" s="8">
        <v>3.0000000000000001E-3</v>
      </c>
      <c r="AB1027" s="8">
        <v>0</v>
      </c>
      <c r="AC1027" s="8">
        <v>0</v>
      </c>
    </row>
    <row r="1028" spans="1:29" ht="11.65" hidden="1" x14ac:dyDescent="0.35">
      <c r="A1028" s="12">
        <v>1011</v>
      </c>
      <c r="B1028" s="10" t="s">
        <v>1015</v>
      </c>
      <c r="C1028" s="11" t="s">
        <v>1091</v>
      </c>
      <c r="D1028" s="9"/>
      <c r="E1028" s="9">
        <v>270</v>
      </c>
      <c r="F1028" s="10" t="s">
        <v>1066</v>
      </c>
      <c r="G1028" s="9">
        <v>914</v>
      </c>
      <c r="H1028" s="9">
        <v>1975</v>
      </c>
      <c r="I1028" s="8">
        <v>48.506</v>
      </c>
      <c r="J1028" s="8">
        <v>37.264000000000003</v>
      </c>
      <c r="K1028" s="8">
        <v>30.06</v>
      </c>
      <c r="L1028" s="8">
        <v>25.768999999999998</v>
      </c>
      <c r="M1028" s="8">
        <v>23.547000000000001</v>
      </c>
      <c r="N1028" s="8">
        <v>21.48</v>
      </c>
      <c r="O1028" s="8">
        <v>18.199000000000002</v>
      </c>
      <c r="P1028" s="8">
        <v>14.268000000000001</v>
      </c>
      <c r="Q1028" s="8">
        <v>11.925000000000001</v>
      </c>
      <c r="R1028" s="8">
        <v>10.157</v>
      </c>
      <c r="S1028" s="8">
        <v>8.6590000000000007</v>
      </c>
      <c r="T1028" s="8">
        <v>6.2629999999999999</v>
      </c>
      <c r="U1028" s="8">
        <v>4.859</v>
      </c>
      <c r="V1028" s="8">
        <v>3.3809999999999998</v>
      </c>
      <c r="W1028" s="8">
        <v>1.984</v>
      </c>
      <c r="X1028" s="8">
        <v>0.89200000000000002</v>
      </c>
      <c r="Y1028" s="8">
        <v>0.26400000000000001</v>
      </c>
      <c r="Z1028" s="8">
        <v>4.4999999999999998E-2</v>
      </c>
      <c r="AA1028" s="8">
        <v>4.0000000000000001E-3</v>
      </c>
      <c r="AB1028" s="8">
        <v>0</v>
      </c>
      <c r="AC1028" s="8">
        <v>0</v>
      </c>
    </row>
    <row r="1029" spans="1:29" ht="11.65" hidden="1" x14ac:dyDescent="0.35">
      <c r="A1029" s="12">
        <v>1012</v>
      </c>
      <c r="B1029" s="10" t="s">
        <v>1015</v>
      </c>
      <c r="C1029" s="11" t="s">
        <v>1091</v>
      </c>
      <c r="D1029" s="9"/>
      <c r="E1029" s="9">
        <v>270</v>
      </c>
      <c r="F1029" s="10" t="s">
        <v>1066</v>
      </c>
      <c r="G1029" s="9">
        <v>914</v>
      </c>
      <c r="H1029" s="9">
        <v>1980</v>
      </c>
      <c r="I1029" s="8">
        <v>58.447000000000003</v>
      </c>
      <c r="J1029" s="8">
        <v>43.920999999999999</v>
      </c>
      <c r="K1029" s="8">
        <v>36.183999999999997</v>
      </c>
      <c r="L1029" s="8">
        <v>30.460999999999999</v>
      </c>
      <c r="M1029" s="8">
        <v>27.797999999999998</v>
      </c>
      <c r="N1029" s="8">
        <v>24.367999999999999</v>
      </c>
      <c r="O1029" s="8">
        <v>20.603000000000002</v>
      </c>
      <c r="P1029" s="8">
        <v>17.414000000000001</v>
      </c>
      <c r="Q1029" s="8">
        <v>13.611000000000001</v>
      </c>
      <c r="R1029" s="8">
        <v>11.336</v>
      </c>
      <c r="S1029" s="8">
        <v>9.5500000000000007</v>
      </c>
      <c r="T1029" s="8">
        <v>7.9610000000000003</v>
      </c>
      <c r="U1029" s="8">
        <v>5.5110000000000001</v>
      </c>
      <c r="V1029" s="8">
        <v>3.95</v>
      </c>
      <c r="W1029" s="8">
        <v>2.419</v>
      </c>
      <c r="X1029" s="8">
        <v>1.1459999999999999</v>
      </c>
      <c r="Y1029" s="8">
        <v>0.36799999999999999</v>
      </c>
      <c r="Z1029" s="8">
        <v>6.8000000000000005E-2</v>
      </c>
      <c r="AA1029" s="8">
        <v>6.0000000000000001E-3</v>
      </c>
      <c r="AB1029" s="8">
        <v>0</v>
      </c>
      <c r="AC1029" s="8">
        <v>0</v>
      </c>
    </row>
    <row r="1030" spans="1:29" ht="11.65" hidden="1" x14ac:dyDescent="0.35">
      <c r="A1030" s="12">
        <v>1013</v>
      </c>
      <c r="B1030" s="10" t="s">
        <v>1015</v>
      </c>
      <c r="C1030" s="11" t="s">
        <v>1091</v>
      </c>
      <c r="D1030" s="9"/>
      <c r="E1030" s="9">
        <v>270</v>
      </c>
      <c r="F1030" s="10" t="s">
        <v>1066</v>
      </c>
      <c r="G1030" s="9">
        <v>914</v>
      </c>
      <c r="H1030" s="9">
        <v>1985</v>
      </c>
      <c r="I1030" s="8">
        <v>68.950999999999993</v>
      </c>
      <c r="J1030" s="8">
        <v>53.948999999999998</v>
      </c>
      <c r="K1030" s="8">
        <v>42.917999999999999</v>
      </c>
      <c r="L1030" s="8">
        <v>36.603000000000002</v>
      </c>
      <c r="M1030" s="8">
        <v>32.53</v>
      </c>
      <c r="N1030" s="8">
        <v>29.286000000000001</v>
      </c>
      <c r="O1030" s="8">
        <v>24.151</v>
      </c>
      <c r="P1030" s="8">
        <v>19.864999999999998</v>
      </c>
      <c r="Q1030" s="8">
        <v>16.736000000000001</v>
      </c>
      <c r="R1030" s="8">
        <v>13.032999999999999</v>
      </c>
      <c r="S1030" s="8">
        <v>10.744</v>
      </c>
      <c r="T1030" s="8">
        <v>8.8729999999999993</v>
      </c>
      <c r="U1030" s="8">
        <v>7.1180000000000003</v>
      </c>
      <c r="V1030" s="8">
        <v>4.5960000000000001</v>
      </c>
      <c r="W1030" s="8">
        <v>2.9319999999999999</v>
      </c>
      <c r="X1030" s="8">
        <v>1.472</v>
      </c>
      <c r="Y1030" s="8">
        <v>0.51100000000000001</v>
      </c>
      <c r="Z1030" s="8">
        <v>0.104</v>
      </c>
      <c r="AA1030" s="8">
        <v>1.0999999999999999E-2</v>
      </c>
      <c r="AB1030" s="8">
        <v>0</v>
      </c>
      <c r="AC1030" s="8">
        <v>0</v>
      </c>
    </row>
    <row r="1031" spans="1:29" ht="11.65" hidden="1" x14ac:dyDescent="0.35">
      <c r="A1031" s="12">
        <v>1014</v>
      </c>
      <c r="B1031" s="10" t="s">
        <v>1015</v>
      </c>
      <c r="C1031" s="11" t="s">
        <v>1091</v>
      </c>
      <c r="D1031" s="9"/>
      <c r="E1031" s="9">
        <v>270</v>
      </c>
      <c r="F1031" s="10" t="s">
        <v>1066</v>
      </c>
      <c r="G1031" s="9">
        <v>914</v>
      </c>
      <c r="H1031" s="9">
        <v>1990</v>
      </c>
      <c r="I1031" s="8">
        <v>88.465000000000003</v>
      </c>
      <c r="J1031" s="8">
        <v>65.968000000000004</v>
      </c>
      <c r="K1031" s="8">
        <v>53.863</v>
      </c>
      <c r="L1031" s="8">
        <v>46.938000000000002</v>
      </c>
      <c r="M1031" s="8">
        <v>49.2</v>
      </c>
      <c r="N1031" s="8">
        <v>42.517000000000003</v>
      </c>
      <c r="O1031" s="8">
        <v>30.388000000000002</v>
      </c>
      <c r="P1031" s="8">
        <v>23.407</v>
      </c>
      <c r="Q1031" s="8">
        <v>19.192</v>
      </c>
      <c r="R1031" s="8">
        <v>16.105</v>
      </c>
      <c r="S1031" s="8">
        <v>12.423</v>
      </c>
      <c r="T1031" s="8">
        <v>10.055</v>
      </c>
      <c r="U1031" s="8">
        <v>8.0169999999999995</v>
      </c>
      <c r="V1031" s="8">
        <v>6.0339999999999998</v>
      </c>
      <c r="W1031" s="8">
        <v>3.4950000000000001</v>
      </c>
      <c r="X1031" s="8">
        <v>1.849</v>
      </c>
      <c r="Y1031" s="8">
        <v>0.68799999999999994</v>
      </c>
      <c r="Z1031" s="8">
        <v>0.153</v>
      </c>
      <c r="AA1031" s="8">
        <v>1.7999999999999999E-2</v>
      </c>
      <c r="AB1031" s="8">
        <v>0</v>
      </c>
      <c r="AC1031" s="8">
        <v>0</v>
      </c>
    </row>
    <row r="1032" spans="1:29" ht="11.65" hidden="1" x14ac:dyDescent="0.35">
      <c r="A1032" s="12">
        <v>1015</v>
      </c>
      <c r="B1032" s="10" t="s">
        <v>1015</v>
      </c>
      <c r="C1032" s="11" t="s">
        <v>1091</v>
      </c>
      <c r="D1032" s="9"/>
      <c r="E1032" s="9">
        <v>270</v>
      </c>
      <c r="F1032" s="10" t="s">
        <v>1066</v>
      </c>
      <c r="G1032" s="9">
        <v>914</v>
      </c>
      <c r="H1032" s="9">
        <v>1995</v>
      </c>
      <c r="I1032" s="8">
        <v>107.01900000000001</v>
      </c>
      <c r="J1032" s="8">
        <v>84.623000000000005</v>
      </c>
      <c r="K1032" s="8">
        <v>65.424999999999997</v>
      </c>
      <c r="L1032" s="8">
        <v>54.433</v>
      </c>
      <c r="M1032" s="8">
        <v>48.795999999999999</v>
      </c>
      <c r="N1032" s="8">
        <v>48.36</v>
      </c>
      <c r="O1032" s="8">
        <v>38.936999999999998</v>
      </c>
      <c r="P1032" s="8">
        <v>26.995999999999999</v>
      </c>
      <c r="Q1032" s="8">
        <v>21.155000000000001</v>
      </c>
      <c r="R1032" s="8">
        <v>17.971</v>
      </c>
      <c r="S1032" s="8">
        <v>14.996</v>
      </c>
      <c r="T1032" s="8">
        <v>11.635</v>
      </c>
      <c r="U1032" s="8">
        <v>9.0980000000000008</v>
      </c>
      <c r="V1032" s="8">
        <v>6.8120000000000003</v>
      </c>
      <c r="W1032" s="8">
        <v>4.6040000000000001</v>
      </c>
      <c r="X1032" s="8">
        <v>2.2160000000000002</v>
      </c>
      <c r="Y1032" s="8">
        <v>0.871</v>
      </c>
      <c r="Z1032" s="8">
        <v>0.20799999999999999</v>
      </c>
      <c r="AA1032" s="8">
        <v>2.5999999999999999E-2</v>
      </c>
      <c r="AB1032" s="8">
        <v>2E-3</v>
      </c>
      <c r="AC1032" s="8">
        <v>0</v>
      </c>
    </row>
    <row r="1033" spans="1:29" ht="11.65" hidden="1" x14ac:dyDescent="0.35">
      <c r="A1033" s="12">
        <v>1016</v>
      </c>
      <c r="B1033" s="10" t="s">
        <v>1015</v>
      </c>
      <c r="C1033" s="11" t="s">
        <v>1091</v>
      </c>
      <c r="D1033" s="9"/>
      <c r="E1033" s="9">
        <v>270</v>
      </c>
      <c r="F1033" s="10" t="s">
        <v>1066</v>
      </c>
      <c r="G1033" s="9">
        <v>914</v>
      </c>
      <c r="H1033" s="9">
        <v>2000</v>
      </c>
      <c r="I1033" s="8">
        <v>120.599</v>
      </c>
      <c r="J1033" s="8">
        <v>103.26600000000001</v>
      </c>
      <c r="K1033" s="8">
        <v>83.837000000000003</v>
      </c>
      <c r="L1033" s="8">
        <v>66.509</v>
      </c>
      <c r="M1033" s="8">
        <v>58.639000000000003</v>
      </c>
      <c r="N1033" s="8">
        <v>50.86</v>
      </c>
      <c r="O1033" s="8">
        <v>44.866999999999997</v>
      </c>
      <c r="P1033" s="8">
        <v>34.243000000000002</v>
      </c>
      <c r="Q1033" s="8">
        <v>22.425000000000001</v>
      </c>
      <c r="R1033" s="8">
        <v>18.282</v>
      </c>
      <c r="S1033" s="8">
        <v>16.489000000000001</v>
      </c>
      <c r="T1033" s="8">
        <v>13.54</v>
      </c>
      <c r="U1033" s="8">
        <v>10.563000000000001</v>
      </c>
      <c r="V1033" s="8">
        <v>7.7690000000000001</v>
      </c>
      <c r="W1033" s="8">
        <v>5.2370000000000001</v>
      </c>
      <c r="X1033" s="8">
        <v>2.952</v>
      </c>
      <c r="Y1033" s="8">
        <v>1.0569999999999999</v>
      </c>
      <c r="Z1033" s="8">
        <v>0.26800000000000002</v>
      </c>
      <c r="AA1033" s="8">
        <v>3.6999999999999998E-2</v>
      </c>
      <c r="AB1033" s="8">
        <v>2E-3</v>
      </c>
      <c r="AC1033" s="8">
        <v>0</v>
      </c>
    </row>
    <row r="1034" spans="1:29" ht="11.65" hidden="1" x14ac:dyDescent="0.35">
      <c r="A1034" s="12">
        <v>1017</v>
      </c>
      <c r="B1034" s="10" t="s">
        <v>1015</v>
      </c>
      <c r="C1034" s="11" t="s">
        <v>1091</v>
      </c>
      <c r="D1034" s="9"/>
      <c r="E1034" s="9">
        <v>270</v>
      </c>
      <c r="F1034" s="10" t="s">
        <v>1066</v>
      </c>
      <c r="G1034" s="9">
        <v>914</v>
      </c>
      <c r="H1034" s="9">
        <v>2005</v>
      </c>
      <c r="I1034" s="8">
        <v>136.76499999999999</v>
      </c>
      <c r="J1034" s="8">
        <v>116.131</v>
      </c>
      <c r="K1034" s="8">
        <v>101.60299999999999</v>
      </c>
      <c r="L1034" s="8">
        <v>84.426000000000002</v>
      </c>
      <c r="M1034" s="8">
        <v>70.534000000000006</v>
      </c>
      <c r="N1034" s="8">
        <v>60.277000000000001</v>
      </c>
      <c r="O1034" s="8">
        <v>48.039000000000001</v>
      </c>
      <c r="P1034" s="8">
        <v>41.622</v>
      </c>
      <c r="Q1034" s="8">
        <v>31.466999999999999</v>
      </c>
      <c r="R1034" s="8">
        <v>20.776</v>
      </c>
      <c r="S1034" s="8">
        <v>17.207000000000001</v>
      </c>
      <c r="T1034" s="8">
        <v>15.388999999999999</v>
      </c>
      <c r="U1034" s="8">
        <v>12.326000000000001</v>
      </c>
      <c r="V1034" s="8">
        <v>9.06</v>
      </c>
      <c r="W1034" s="8">
        <v>6.01</v>
      </c>
      <c r="X1034" s="8">
        <v>3.387</v>
      </c>
      <c r="Y1034" s="8">
        <v>1.4259999999999999</v>
      </c>
      <c r="Z1034" s="8">
        <v>0.33100000000000002</v>
      </c>
      <c r="AA1034" s="8">
        <v>4.9000000000000002E-2</v>
      </c>
      <c r="AB1034" s="8">
        <v>3.0000000000000001E-3</v>
      </c>
      <c r="AC1034" s="8">
        <v>0</v>
      </c>
    </row>
    <row r="1035" spans="1:29" ht="11.65" hidden="1" x14ac:dyDescent="0.35">
      <c r="A1035" s="12">
        <v>1018</v>
      </c>
      <c r="B1035" s="10" t="s">
        <v>1015</v>
      </c>
      <c r="C1035" s="11" t="s">
        <v>1091</v>
      </c>
      <c r="D1035" s="9"/>
      <c r="E1035" s="9">
        <v>270</v>
      </c>
      <c r="F1035" s="10" t="s">
        <v>1066</v>
      </c>
      <c r="G1035" s="9">
        <v>914</v>
      </c>
      <c r="H1035" s="9">
        <v>2010</v>
      </c>
      <c r="I1035" s="8">
        <v>157.23699999999999</v>
      </c>
      <c r="J1035" s="8">
        <v>130.29400000000001</v>
      </c>
      <c r="K1035" s="8">
        <v>113.855</v>
      </c>
      <c r="L1035" s="8">
        <v>101.971</v>
      </c>
      <c r="M1035" s="8">
        <v>85.456999999999994</v>
      </c>
      <c r="N1035" s="8">
        <v>70.122</v>
      </c>
      <c r="O1035" s="8">
        <v>57.576999999999998</v>
      </c>
      <c r="P1035" s="8">
        <v>44.948999999999998</v>
      </c>
      <c r="Q1035" s="8">
        <v>38.67</v>
      </c>
      <c r="R1035" s="8">
        <v>29.501000000000001</v>
      </c>
      <c r="S1035" s="8">
        <v>19.631</v>
      </c>
      <c r="T1035" s="8">
        <v>16.047999999999998</v>
      </c>
      <c r="U1035" s="8">
        <v>14.077</v>
      </c>
      <c r="V1035" s="8">
        <v>10.651999999999999</v>
      </c>
      <c r="W1035" s="8">
        <v>7.0890000000000004</v>
      </c>
      <c r="X1035" s="8">
        <v>3.952</v>
      </c>
      <c r="Y1035" s="8">
        <v>1.673</v>
      </c>
      <c r="Z1035" s="8">
        <v>0.45900000000000002</v>
      </c>
      <c r="AA1035" s="8">
        <v>6.0999999999999999E-2</v>
      </c>
      <c r="AB1035" s="8">
        <v>4.0000000000000001E-3</v>
      </c>
      <c r="AC1035" s="8">
        <v>0</v>
      </c>
    </row>
    <row r="1036" spans="1:29" ht="11.65" hidden="1" x14ac:dyDescent="0.35">
      <c r="A1036" s="12">
        <v>1019</v>
      </c>
      <c r="B1036" s="10" t="s">
        <v>1015</v>
      </c>
      <c r="C1036" s="11" t="s">
        <v>1091</v>
      </c>
      <c r="D1036" s="9"/>
      <c r="E1036" s="9">
        <v>270</v>
      </c>
      <c r="F1036" s="10" t="s">
        <v>1066</v>
      </c>
      <c r="G1036" s="9">
        <v>914</v>
      </c>
      <c r="H1036" s="9">
        <v>2015</v>
      </c>
      <c r="I1036" s="8">
        <v>180.876</v>
      </c>
      <c r="J1036" s="8">
        <v>151.08600000000001</v>
      </c>
      <c r="K1036" s="8">
        <v>127.98099999999999</v>
      </c>
      <c r="L1036" s="8">
        <v>114.19</v>
      </c>
      <c r="M1036" s="8">
        <v>102.828</v>
      </c>
      <c r="N1036" s="8">
        <v>84.861999999999995</v>
      </c>
      <c r="O1036" s="8">
        <v>67.308999999999997</v>
      </c>
      <c r="P1036" s="8">
        <v>54.347000000000001</v>
      </c>
      <c r="Q1036" s="8">
        <v>41.978999999999999</v>
      </c>
      <c r="R1036" s="8">
        <v>36.533000000000001</v>
      </c>
      <c r="S1036" s="8">
        <v>28.055</v>
      </c>
      <c r="T1036" s="8">
        <v>18.381</v>
      </c>
      <c r="U1036" s="8">
        <v>14.736000000000001</v>
      </c>
      <c r="V1036" s="8">
        <v>12.239000000000001</v>
      </c>
      <c r="W1036" s="8">
        <v>8.4079999999999995</v>
      </c>
      <c r="X1036" s="8">
        <v>4.7210000000000001</v>
      </c>
      <c r="Y1036" s="8">
        <v>1.986</v>
      </c>
      <c r="Z1036" s="8">
        <v>0.55100000000000005</v>
      </c>
      <c r="AA1036" s="8">
        <v>8.5999999999999993E-2</v>
      </c>
      <c r="AB1036" s="8">
        <v>6.0000000000000001E-3</v>
      </c>
      <c r="AC1036" s="8">
        <v>0</v>
      </c>
    </row>
    <row r="1037" spans="1:29" ht="11.65" hidden="1" x14ac:dyDescent="0.35">
      <c r="A1037" s="12">
        <v>1020</v>
      </c>
      <c r="B1037" s="10" t="s">
        <v>1015</v>
      </c>
      <c r="C1037" s="11" t="s">
        <v>1091</v>
      </c>
      <c r="D1037" s="9"/>
      <c r="E1037" s="9">
        <v>270</v>
      </c>
      <c r="F1037" s="10" t="s">
        <v>1066</v>
      </c>
      <c r="G1037" s="9">
        <v>914</v>
      </c>
      <c r="H1037" s="9">
        <v>2020</v>
      </c>
      <c r="I1037" s="8">
        <v>202.715</v>
      </c>
      <c r="J1037" s="8">
        <v>174.65</v>
      </c>
      <c r="K1037" s="8">
        <v>148.71299999999999</v>
      </c>
      <c r="L1037" s="8">
        <v>128.304</v>
      </c>
      <c r="M1037" s="8">
        <v>115.03100000000001</v>
      </c>
      <c r="N1037" s="8">
        <v>102.07599999999999</v>
      </c>
      <c r="O1037" s="8">
        <v>81.887</v>
      </c>
      <c r="P1037" s="8">
        <v>63.972999999999999</v>
      </c>
      <c r="Q1037" s="8">
        <v>51.228999999999999</v>
      </c>
      <c r="R1037" s="8">
        <v>39.825000000000003</v>
      </c>
      <c r="S1037" s="8">
        <v>34.893000000000001</v>
      </c>
      <c r="T1037" s="8">
        <v>26.425999999999998</v>
      </c>
      <c r="U1037" s="8">
        <v>16.945</v>
      </c>
      <c r="V1037" s="8">
        <v>12.881</v>
      </c>
      <c r="W1037" s="8">
        <v>9.7330000000000005</v>
      </c>
      <c r="X1037" s="8">
        <v>5.6609999999999996</v>
      </c>
      <c r="Y1037" s="8">
        <v>2.4039999999999999</v>
      </c>
      <c r="Z1037" s="8">
        <v>0.66500000000000004</v>
      </c>
      <c r="AA1037" s="8">
        <v>0.105</v>
      </c>
      <c r="AB1037" s="8">
        <v>8.0000000000000002E-3</v>
      </c>
      <c r="AC1037" s="8">
        <v>0</v>
      </c>
    </row>
    <row r="1038" spans="1:29" ht="11.65" hidden="1" x14ac:dyDescent="0.35">
      <c r="A1038" s="12">
        <v>1021</v>
      </c>
      <c r="B1038" s="10" t="s">
        <v>1015</v>
      </c>
      <c r="C1038" s="11" t="s">
        <v>1092</v>
      </c>
      <c r="D1038" s="9"/>
      <c r="E1038" s="9">
        <v>288</v>
      </c>
      <c r="F1038" s="10" t="s">
        <v>1066</v>
      </c>
      <c r="G1038" s="9">
        <v>914</v>
      </c>
      <c r="H1038" s="9">
        <v>1950</v>
      </c>
      <c r="I1038" s="8">
        <v>460.94499999999999</v>
      </c>
      <c r="J1038" s="8">
        <v>358.62799999999999</v>
      </c>
      <c r="K1038" s="8">
        <v>301.892</v>
      </c>
      <c r="L1038" s="8">
        <v>258.334</v>
      </c>
      <c r="M1038" s="8">
        <v>215.52799999999999</v>
      </c>
      <c r="N1038" s="8">
        <v>182.75299999999999</v>
      </c>
      <c r="O1038" s="8">
        <v>152.94900000000001</v>
      </c>
      <c r="P1038" s="8">
        <v>128.126</v>
      </c>
      <c r="Q1038" s="8">
        <v>106.277</v>
      </c>
      <c r="R1038" s="8">
        <v>87.4</v>
      </c>
      <c r="S1038" s="8">
        <v>71.507000000000005</v>
      </c>
      <c r="T1038" s="8">
        <v>56.610999999999997</v>
      </c>
      <c r="U1038" s="8">
        <v>42.710999999999999</v>
      </c>
      <c r="V1038" s="8">
        <v>30.791</v>
      </c>
      <c r="W1038" s="8">
        <v>19.866</v>
      </c>
      <c r="X1038" s="8">
        <v>10.925000000000001</v>
      </c>
      <c r="Y1038" s="8">
        <v>3.9260000000000002</v>
      </c>
      <c r="Z1038" s="8">
        <v>0.91600000000000004</v>
      </c>
      <c r="AA1038" s="8">
        <v>0.11700000000000001</v>
      </c>
      <c r="AB1038" s="8">
        <v>8.0000000000000002E-3</v>
      </c>
      <c r="AC1038" s="8">
        <v>0</v>
      </c>
    </row>
    <row r="1039" spans="1:29" ht="11.65" hidden="1" x14ac:dyDescent="0.35">
      <c r="A1039" s="12">
        <v>1022</v>
      </c>
      <c r="B1039" s="10" t="s">
        <v>1015</v>
      </c>
      <c r="C1039" s="11" t="s">
        <v>1092</v>
      </c>
      <c r="D1039" s="9"/>
      <c r="E1039" s="9">
        <v>288</v>
      </c>
      <c r="F1039" s="10" t="s">
        <v>1066</v>
      </c>
      <c r="G1039" s="9">
        <v>914</v>
      </c>
      <c r="H1039" s="9">
        <v>1955</v>
      </c>
      <c r="I1039" s="8">
        <v>476.87099999999998</v>
      </c>
      <c r="J1039" s="8">
        <v>418.79300000000001</v>
      </c>
      <c r="K1039" s="8">
        <v>347.16800000000001</v>
      </c>
      <c r="L1039" s="8">
        <v>295.565</v>
      </c>
      <c r="M1039" s="8">
        <v>253.19499999999999</v>
      </c>
      <c r="N1039" s="8">
        <v>211.697</v>
      </c>
      <c r="O1039" s="8">
        <v>178.952</v>
      </c>
      <c r="P1039" s="8">
        <v>148.74100000000001</v>
      </c>
      <c r="Q1039" s="8">
        <v>123.62</v>
      </c>
      <c r="R1039" s="8">
        <v>101.804</v>
      </c>
      <c r="S1039" s="8">
        <v>82.481999999999999</v>
      </c>
      <c r="T1039" s="8">
        <v>65.69</v>
      </c>
      <c r="U1039" s="8">
        <v>49.439</v>
      </c>
      <c r="V1039" s="8">
        <v>34.161000000000001</v>
      </c>
      <c r="W1039" s="8">
        <v>21.402000000000001</v>
      </c>
      <c r="X1039" s="8">
        <v>10.962999999999999</v>
      </c>
      <c r="Y1039" s="8">
        <v>4.2450000000000001</v>
      </c>
      <c r="Z1039" s="8">
        <v>0.92600000000000005</v>
      </c>
      <c r="AA1039" s="8">
        <v>0.11700000000000001</v>
      </c>
      <c r="AB1039" s="8">
        <v>8.0000000000000002E-3</v>
      </c>
      <c r="AC1039" s="8">
        <v>0</v>
      </c>
    </row>
    <row r="1040" spans="1:29" ht="11.65" hidden="1" x14ac:dyDescent="0.35">
      <c r="A1040" s="12">
        <v>1023</v>
      </c>
      <c r="B1040" s="10" t="s">
        <v>1015</v>
      </c>
      <c r="C1040" s="11" t="s">
        <v>1092</v>
      </c>
      <c r="D1040" s="9"/>
      <c r="E1040" s="9">
        <v>288</v>
      </c>
      <c r="F1040" s="10" t="s">
        <v>1066</v>
      </c>
      <c r="G1040" s="9">
        <v>914</v>
      </c>
      <c r="H1040" s="9">
        <v>1960</v>
      </c>
      <c r="I1040" s="8">
        <v>582.62199999999996</v>
      </c>
      <c r="J1040" s="8">
        <v>438.11399999999998</v>
      </c>
      <c r="K1040" s="8">
        <v>406.80500000000001</v>
      </c>
      <c r="L1040" s="8">
        <v>340.54500000000002</v>
      </c>
      <c r="M1040" s="8">
        <v>290.10000000000002</v>
      </c>
      <c r="N1040" s="8">
        <v>248.77099999999999</v>
      </c>
      <c r="O1040" s="8">
        <v>207.48099999999999</v>
      </c>
      <c r="P1040" s="8">
        <v>174.28299999999999</v>
      </c>
      <c r="Q1040" s="8">
        <v>143.834</v>
      </c>
      <c r="R1040" s="8">
        <v>118.73399999999999</v>
      </c>
      <c r="S1040" s="8">
        <v>96.435000000000002</v>
      </c>
      <c r="T1040" s="8">
        <v>76.216999999999999</v>
      </c>
      <c r="U1040" s="8">
        <v>57.924999999999997</v>
      </c>
      <c r="V1040" s="8">
        <v>40.182000000000002</v>
      </c>
      <c r="W1040" s="8">
        <v>24.346</v>
      </c>
      <c r="X1040" s="8">
        <v>12.272</v>
      </c>
      <c r="Y1040" s="8">
        <v>4.5010000000000003</v>
      </c>
      <c r="Z1040" s="8">
        <v>1.077</v>
      </c>
      <c r="AA1040" s="8">
        <v>0.129</v>
      </c>
      <c r="AB1040" s="8">
        <v>8.9999999999999993E-3</v>
      </c>
      <c r="AC1040" s="8">
        <v>0</v>
      </c>
    </row>
    <row r="1041" spans="1:29" ht="11.65" hidden="1" x14ac:dyDescent="0.35">
      <c r="A1041" s="12">
        <v>1024</v>
      </c>
      <c r="B1041" s="10" t="s">
        <v>1015</v>
      </c>
      <c r="C1041" s="11" t="s">
        <v>1092</v>
      </c>
      <c r="D1041" s="9"/>
      <c r="E1041" s="9">
        <v>288</v>
      </c>
      <c r="F1041" s="10" t="s">
        <v>1066</v>
      </c>
      <c r="G1041" s="9">
        <v>914</v>
      </c>
      <c r="H1041" s="9">
        <v>1965</v>
      </c>
      <c r="I1041" s="8">
        <v>706.79399999999998</v>
      </c>
      <c r="J1041" s="8">
        <v>540.101</v>
      </c>
      <c r="K1041" s="8">
        <v>426.75799999999998</v>
      </c>
      <c r="L1041" s="8">
        <v>398.68799999999999</v>
      </c>
      <c r="M1041" s="8">
        <v>332.29</v>
      </c>
      <c r="N1041" s="8">
        <v>282.43099999999998</v>
      </c>
      <c r="O1041" s="8">
        <v>241.59800000000001</v>
      </c>
      <c r="P1041" s="8">
        <v>200.72800000000001</v>
      </c>
      <c r="Q1041" s="8">
        <v>167.791</v>
      </c>
      <c r="R1041" s="8">
        <v>137.79900000000001</v>
      </c>
      <c r="S1041" s="8">
        <v>112.426</v>
      </c>
      <c r="T1041" s="8">
        <v>89.308999999999997</v>
      </c>
      <c r="U1041" s="8">
        <v>67.638000000000005</v>
      </c>
      <c r="V1041" s="8">
        <v>47.67</v>
      </c>
      <c r="W1041" s="8">
        <v>29.207999999999998</v>
      </c>
      <c r="X1041" s="8">
        <v>14.385</v>
      </c>
      <c r="Y1041" s="8">
        <v>5.2460000000000004</v>
      </c>
      <c r="Z1041" s="8">
        <v>1.2070000000000001</v>
      </c>
      <c r="AA1041" s="8">
        <v>0.16</v>
      </c>
      <c r="AB1041" s="8">
        <v>0.01</v>
      </c>
      <c r="AC1041" s="8">
        <v>0</v>
      </c>
    </row>
    <row r="1042" spans="1:29" ht="11.65" hidden="1" x14ac:dyDescent="0.35">
      <c r="A1042" s="12">
        <v>1025</v>
      </c>
      <c r="B1042" s="10" t="s">
        <v>1015</v>
      </c>
      <c r="C1042" s="11" t="s">
        <v>1092</v>
      </c>
      <c r="D1042" s="9"/>
      <c r="E1042" s="9">
        <v>288</v>
      </c>
      <c r="F1042" s="10" t="s">
        <v>1066</v>
      </c>
      <c r="G1042" s="9">
        <v>914</v>
      </c>
      <c r="H1042" s="9">
        <v>1970</v>
      </c>
      <c r="I1042" s="8">
        <v>806.053</v>
      </c>
      <c r="J1042" s="8">
        <v>653.45299999999997</v>
      </c>
      <c r="K1042" s="8">
        <v>523.37699999999995</v>
      </c>
      <c r="L1042" s="8">
        <v>412.08300000000003</v>
      </c>
      <c r="M1042" s="8">
        <v>375.64100000000002</v>
      </c>
      <c r="N1042" s="8">
        <v>303.60199999999998</v>
      </c>
      <c r="O1042" s="8">
        <v>254.863</v>
      </c>
      <c r="P1042" s="8">
        <v>218.464</v>
      </c>
      <c r="Q1042" s="8">
        <v>181.69300000000001</v>
      </c>
      <c r="R1042" s="8">
        <v>153.4</v>
      </c>
      <c r="S1042" s="8">
        <v>125.938</v>
      </c>
      <c r="T1042" s="8">
        <v>101.425</v>
      </c>
      <c r="U1042" s="8">
        <v>77.802000000000007</v>
      </c>
      <c r="V1042" s="8">
        <v>55.014000000000003</v>
      </c>
      <c r="W1042" s="8">
        <v>34.435000000000002</v>
      </c>
      <c r="X1042" s="8">
        <v>17.207000000000001</v>
      </c>
      <c r="Y1042" s="8">
        <v>6.0279999999999996</v>
      </c>
      <c r="Z1042" s="8">
        <v>1.401</v>
      </c>
      <c r="AA1042" s="8">
        <v>0.188</v>
      </c>
      <c r="AB1042" s="8">
        <v>1.4999999999999999E-2</v>
      </c>
      <c r="AC1042" s="8">
        <v>0</v>
      </c>
    </row>
    <row r="1043" spans="1:29" ht="11.65" hidden="1" x14ac:dyDescent="0.35">
      <c r="A1043" s="12">
        <v>1026</v>
      </c>
      <c r="B1043" s="10" t="s">
        <v>1015</v>
      </c>
      <c r="C1043" s="11" t="s">
        <v>1092</v>
      </c>
      <c r="D1043" s="9"/>
      <c r="E1043" s="9">
        <v>288</v>
      </c>
      <c r="F1043" s="10" t="s">
        <v>1066</v>
      </c>
      <c r="G1043" s="9">
        <v>914</v>
      </c>
      <c r="H1043" s="9">
        <v>1975</v>
      </c>
      <c r="I1043" s="8">
        <v>895.58900000000006</v>
      </c>
      <c r="J1043" s="8">
        <v>755.79700000000003</v>
      </c>
      <c r="K1043" s="8">
        <v>637.55200000000002</v>
      </c>
      <c r="L1043" s="8">
        <v>508.86399999999998</v>
      </c>
      <c r="M1043" s="8">
        <v>390.40800000000002</v>
      </c>
      <c r="N1043" s="8">
        <v>350.858</v>
      </c>
      <c r="O1043" s="8">
        <v>282.70100000000002</v>
      </c>
      <c r="P1043" s="8">
        <v>238.297</v>
      </c>
      <c r="Q1043" s="8">
        <v>205.13399999999999</v>
      </c>
      <c r="R1043" s="8">
        <v>170.91499999999999</v>
      </c>
      <c r="S1043" s="8">
        <v>143.53100000000001</v>
      </c>
      <c r="T1043" s="8">
        <v>115.92700000000001</v>
      </c>
      <c r="U1043" s="8">
        <v>90.1</v>
      </c>
      <c r="V1043" s="8">
        <v>64.656000000000006</v>
      </c>
      <c r="W1043" s="8">
        <v>40.783000000000001</v>
      </c>
      <c r="X1043" s="8">
        <v>20.995999999999999</v>
      </c>
      <c r="Y1043" s="8">
        <v>7.6280000000000001</v>
      </c>
      <c r="Z1043" s="8">
        <v>1.708</v>
      </c>
      <c r="AA1043" s="8">
        <v>0.22800000000000001</v>
      </c>
      <c r="AB1043" s="8">
        <v>1.7000000000000001E-2</v>
      </c>
      <c r="AC1043" s="8">
        <v>1E-3</v>
      </c>
    </row>
    <row r="1044" spans="1:29" ht="11.65" hidden="1" x14ac:dyDescent="0.35">
      <c r="A1044" s="12">
        <v>1027</v>
      </c>
      <c r="B1044" s="10" t="s">
        <v>1015</v>
      </c>
      <c r="C1044" s="11" t="s">
        <v>1092</v>
      </c>
      <c r="D1044" s="9"/>
      <c r="E1044" s="9">
        <v>288</v>
      </c>
      <c r="F1044" s="10" t="s">
        <v>1066</v>
      </c>
      <c r="G1044" s="9">
        <v>914</v>
      </c>
      <c r="H1044" s="9">
        <v>1980</v>
      </c>
      <c r="I1044" s="8">
        <v>969.84299999999996</v>
      </c>
      <c r="J1044" s="8">
        <v>839.28200000000004</v>
      </c>
      <c r="K1044" s="8">
        <v>735.64499999999998</v>
      </c>
      <c r="L1044" s="8">
        <v>617.44000000000005</v>
      </c>
      <c r="M1044" s="8">
        <v>473.90300000000002</v>
      </c>
      <c r="N1044" s="8">
        <v>344.16899999999998</v>
      </c>
      <c r="O1044" s="8">
        <v>306.83</v>
      </c>
      <c r="P1044" s="8">
        <v>250.10400000000001</v>
      </c>
      <c r="Q1044" s="8">
        <v>214.41900000000001</v>
      </c>
      <c r="R1044" s="8">
        <v>187.19200000000001</v>
      </c>
      <c r="S1044" s="8">
        <v>156.34800000000001</v>
      </c>
      <c r="T1044" s="8">
        <v>130.08699999999999</v>
      </c>
      <c r="U1044" s="8">
        <v>101.958</v>
      </c>
      <c r="V1044" s="8">
        <v>74.516999999999996</v>
      </c>
      <c r="W1044" s="8">
        <v>47.921999999999997</v>
      </c>
      <c r="X1044" s="8">
        <v>24.957000000000001</v>
      </c>
      <c r="Y1044" s="8">
        <v>9.2929999999999993</v>
      </c>
      <c r="Z1044" s="8">
        <v>2.1760000000000002</v>
      </c>
      <c r="AA1044" s="8">
        <v>0.28699999999999998</v>
      </c>
      <c r="AB1044" s="8">
        <v>2.1000000000000001E-2</v>
      </c>
      <c r="AC1044" s="8">
        <v>1E-3</v>
      </c>
    </row>
    <row r="1045" spans="1:29" ht="11.65" hidden="1" x14ac:dyDescent="0.35">
      <c r="A1045" s="12">
        <v>1028</v>
      </c>
      <c r="B1045" s="10" t="s">
        <v>1015</v>
      </c>
      <c r="C1045" s="11" t="s">
        <v>1092</v>
      </c>
      <c r="D1045" s="9"/>
      <c r="E1045" s="9">
        <v>288</v>
      </c>
      <c r="F1045" s="10" t="s">
        <v>1066</v>
      </c>
      <c r="G1045" s="9">
        <v>914</v>
      </c>
      <c r="H1045" s="9">
        <v>1985</v>
      </c>
      <c r="I1045" s="8">
        <v>1093.479</v>
      </c>
      <c r="J1045" s="8">
        <v>923.04</v>
      </c>
      <c r="K1045" s="8">
        <v>823.60900000000004</v>
      </c>
      <c r="L1045" s="8">
        <v>725.60500000000002</v>
      </c>
      <c r="M1045" s="8">
        <v>608.36500000000001</v>
      </c>
      <c r="N1045" s="8">
        <v>467.142</v>
      </c>
      <c r="O1045" s="8">
        <v>339.214</v>
      </c>
      <c r="P1045" s="8">
        <v>299.06799999999998</v>
      </c>
      <c r="Q1045" s="8">
        <v>241.012</v>
      </c>
      <c r="R1045" s="8">
        <v>205.965</v>
      </c>
      <c r="S1045" s="8">
        <v>178.215</v>
      </c>
      <c r="T1045" s="8">
        <v>146.23400000000001</v>
      </c>
      <c r="U1045" s="8">
        <v>117.548</v>
      </c>
      <c r="V1045" s="8">
        <v>86.519000000000005</v>
      </c>
      <c r="W1045" s="8">
        <v>56.77</v>
      </c>
      <c r="X1045" s="8">
        <v>30.33</v>
      </c>
      <c r="Y1045" s="8">
        <v>11.696999999999999</v>
      </c>
      <c r="Z1045" s="8">
        <v>2.8069999999999999</v>
      </c>
      <c r="AA1045" s="8">
        <v>0.374</v>
      </c>
      <c r="AB1045" s="8">
        <v>2.5999999999999999E-2</v>
      </c>
      <c r="AC1045" s="8">
        <v>1E-3</v>
      </c>
    </row>
    <row r="1046" spans="1:29" ht="11.65" hidden="1" x14ac:dyDescent="0.35">
      <c r="A1046" s="12">
        <v>1029</v>
      </c>
      <c r="B1046" s="10" t="s">
        <v>1015</v>
      </c>
      <c r="C1046" s="11" t="s">
        <v>1092</v>
      </c>
      <c r="D1046" s="9"/>
      <c r="E1046" s="9">
        <v>288</v>
      </c>
      <c r="F1046" s="10" t="s">
        <v>1066</v>
      </c>
      <c r="G1046" s="9">
        <v>914</v>
      </c>
      <c r="H1046" s="9">
        <v>1990</v>
      </c>
      <c r="I1046" s="8">
        <v>1246.0260000000001</v>
      </c>
      <c r="J1046" s="8">
        <v>1048.277</v>
      </c>
      <c r="K1046" s="8">
        <v>907.78899999999999</v>
      </c>
      <c r="L1046" s="8">
        <v>811.00699999999995</v>
      </c>
      <c r="M1046" s="8">
        <v>708.80600000000004</v>
      </c>
      <c r="N1046" s="8">
        <v>591.12900000000002</v>
      </c>
      <c r="O1046" s="8">
        <v>452.90800000000002</v>
      </c>
      <c r="P1046" s="8">
        <v>328.26400000000001</v>
      </c>
      <c r="Q1046" s="8">
        <v>288.83999999999997</v>
      </c>
      <c r="R1046" s="8">
        <v>232.00800000000001</v>
      </c>
      <c r="S1046" s="8">
        <v>196.60499999999999</v>
      </c>
      <c r="T1046" s="8">
        <v>167.32400000000001</v>
      </c>
      <c r="U1046" s="8">
        <v>132.93799999999999</v>
      </c>
      <c r="V1046" s="8">
        <v>100.715</v>
      </c>
      <c r="W1046" s="8">
        <v>66.872</v>
      </c>
      <c r="X1046" s="8">
        <v>36.691000000000003</v>
      </c>
      <c r="Y1046" s="8">
        <v>14.625</v>
      </c>
      <c r="Z1046" s="8">
        <v>3.66</v>
      </c>
      <c r="AA1046" s="8">
        <v>0.501</v>
      </c>
      <c r="AB1046" s="8">
        <v>3.5999999999999997E-2</v>
      </c>
      <c r="AC1046" s="8">
        <v>1E-3</v>
      </c>
    </row>
    <row r="1047" spans="1:29" ht="11.65" hidden="1" x14ac:dyDescent="0.35">
      <c r="A1047" s="12">
        <v>1030</v>
      </c>
      <c r="B1047" s="10" t="s">
        <v>1015</v>
      </c>
      <c r="C1047" s="11" t="s">
        <v>1092</v>
      </c>
      <c r="D1047" s="9"/>
      <c r="E1047" s="9">
        <v>288</v>
      </c>
      <c r="F1047" s="10" t="s">
        <v>1066</v>
      </c>
      <c r="G1047" s="9">
        <v>914</v>
      </c>
      <c r="H1047" s="9">
        <v>1995</v>
      </c>
      <c r="I1047" s="8">
        <v>1368.6610000000001</v>
      </c>
      <c r="J1047" s="8">
        <v>1204.5360000000001</v>
      </c>
      <c r="K1047" s="8">
        <v>1033.9649999999999</v>
      </c>
      <c r="L1047" s="8">
        <v>896.42</v>
      </c>
      <c r="M1047" s="8">
        <v>795.93600000000004</v>
      </c>
      <c r="N1047" s="8">
        <v>692.85500000000002</v>
      </c>
      <c r="O1047" s="8">
        <v>576.86800000000005</v>
      </c>
      <c r="P1047" s="8">
        <v>441.20800000000003</v>
      </c>
      <c r="Q1047" s="8">
        <v>318.80599999999998</v>
      </c>
      <c r="R1047" s="8">
        <v>279.50200000000001</v>
      </c>
      <c r="S1047" s="8">
        <v>222.613</v>
      </c>
      <c r="T1047" s="8">
        <v>185.71100000000001</v>
      </c>
      <c r="U1047" s="8">
        <v>153.40700000000001</v>
      </c>
      <c r="V1047" s="8">
        <v>115.349</v>
      </c>
      <c r="W1047" s="8">
        <v>79.290000000000006</v>
      </c>
      <c r="X1047" s="8">
        <v>44.371000000000002</v>
      </c>
      <c r="Y1047" s="8">
        <v>18.338000000000001</v>
      </c>
      <c r="Z1047" s="8">
        <v>4.782</v>
      </c>
      <c r="AA1047" s="8">
        <v>0.68500000000000005</v>
      </c>
      <c r="AB1047" s="8">
        <v>5.0999999999999997E-2</v>
      </c>
      <c r="AC1047" s="8">
        <v>2E-3</v>
      </c>
    </row>
    <row r="1048" spans="1:29" ht="11.65" hidden="1" x14ac:dyDescent="0.35">
      <c r="A1048" s="12">
        <v>1031</v>
      </c>
      <c r="B1048" s="10" t="s">
        <v>1015</v>
      </c>
      <c r="C1048" s="11" t="s">
        <v>1092</v>
      </c>
      <c r="D1048" s="9"/>
      <c r="E1048" s="9">
        <v>288</v>
      </c>
      <c r="F1048" s="10" t="s">
        <v>1066</v>
      </c>
      <c r="G1048" s="9">
        <v>914</v>
      </c>
      <c r="H1048" s="9">
        <v>2000</v>
      </c>
      <c r="I1048" s="8">
        <v>1499.6110000000001</v>
      </c>
      <c r="J1048" s="8">
        <v>1322.595</v>
      </c>
      <c r="K1048" s="8">
        <v>1183.096</v>
      </c>
      <c r="L1048" s="8">
        <v>1015.571</v>
      </c>
      <c r="M1048" s="8">
        <v>869.99800000000005</v>
      </c>
      <c r="N1048" s="8">
        <v>766.87400000000002</v>
      </c>
      <c r="O1048" s="8">
        <v>666.71100000000001</v>
      </c>
      <c r="P1048" s="8">
        <v>554.98400000000004</v>
      </c>
      <c r="Q1048" s="8">
        <v>423.66699999999997</v>
      </c>
      <c r="R1048" s="8">
        <v>305.18700000000001</v>
      </c>
      <c r="S1048" s="8">
        <v>265.63600000000002</v>
      </c>
      <c r="T1048" s="8">
        <v>208.137</v>
      </c>
      <c r="U1048" s="8">
        <v>168.11600000000001</v>
      </c>
      <c r="V1048" s="8">
        <v>130.80000000000001</v>
      </c>
      <c r="W1048" s="8">
        <v>88.608999999999995</v>
      </c>
      <c r="X1048" s="8">
        <v>50.825000000000003</v>
      </c>
      <c r="Y1048" s="8">
        <v>21.149000000000001</v>
      </c>
      <c r="Z1048" s="8">
        <v>5.6619999999999999</v>
      </c>
      <c r="AA1048" s="8">
        <v>0.84299999999999997</v>
      </c>
      <c r="AB1048" s="8">
        <v>6.6000000000000003E-2</v>
      </c>
      <c r="AC1048" s="8">
        <v>3.0000000000000001E-3</v>
      </c>
    </row>
    <row r="1049" spans="1:29" ht="11.65" hidden="1" x14ac:dyDescent="0.35">
      <c r="A1049" s="12">
        <v>1032</v>
      </c>
      <c r="B1049" s="10" t="s">
        <v>1015</v>
      </c>
      <c r="C1049" s="11" t="s">
        <v>1092</v>
      </c>
      <c r="D1049" s="9"/>
      <c r="E1049" s="9">
        <v>288</v>
      </c>
      <c r="F1049" s="10" t="s">
        <v>1066</v>
      </c>
      <c r="G1049" s="9">
        <v>914</v>
      </c>
      <c r="H1049" s="9">
        <v>2005</v>
      </c>
      <c r="I1049" s="8">
        <v>1605.56</v>
      </c>
      <c r="J1049" s="8">
        <v>1456.9349999999999</v>
      </c>
      <c r="K1049" s="8">
        <v>1300.556</v>
      </c>
      <c r="L1049" s="8">
        <v>1167.444</v>
      </c>
      <c r="M1049" s="8">
        <v>998.10400000000004</v>
      </c>
      <c r="N1049" s="8">
        <v>853.11099999999999</v>
      </c>
      <c r="O1049" s="8">
        <v>750.35799999999995</v>
      </c>
      <c r="P1049" s="8">
        <v>650.34199999999998</v>
      </c>
      <c r="Q1049" s="8">
        <v>539.11099999999999</v>
      </c>
      <c r="R1049" s="8">
        <v>409.68799999999999</v>
      </c>
      <c r="S1049" s="8">
        <v>292.27699999999999</v>
      </c>
      <c r="T1049" s="8">
        <v>249.792</v>
      </c>
      <c r="U1049" s="8">
        <v>189.184</v>
      </c>
      <c r="V1049" s="8">
        <v>143.69800000000001</v>
      </c>
      <c r="W1049" s="8">
        <v>100.605</v>
      </c>
      <c r="X1049" s="8">
        <v>56.816000000000003</v>
      </c>
      <c r="Y1049" s="8">
        <v>24.268000000000001</v>
      </c>
      <c r="Z1049" s="8">
        <v>6.5270000000000001</v>
      </c>
      <c r="AA1049" s="8">
        <v>0.99399999999999999</v>
      </c>
      <c r="AB1049" s="8">
        <v>7.9000000000000001E-2</v>
      </c>
      <c r="AC1049" s="8">
        <v>3.0000000000000001E-3</v>
      </c>
    </row>
    <row r="1050" spans="1:29" ht="11.65" hidden="1" x14ac:dyDescent="0.35">
      <c r="A1050" s="12">
        <v>1033</v>
      </c>
      <c r="B1050" s="10" t="s">
        <v>1015</v>
      </c>
      <c r="C1050" s="11" t="s">
        <v>1092</v>
      </c>
      <c r="D1050" s="9"/>
      <c r="E1050" s="9">
        <v>288</v>
      </c>
      <c r="F1050" s="10" t="s">
        <v>1066</v>
      </c>
      <c r="G1050" s="9">
        <v>914</v>
      </c>
      <c r="H1050" s="9">
        <v>2010</v>
      </c>
      <c r="I1050" s="8">
        <v>1757.979</v>
      </c>
      <c r="J1050" s="8">
        <v>1570.38</v>
      </c>
      <c r="K1050" s="8">
        <v>1439.047</v>
      </c>
      <c r="L1050" s="8">
        <v>1290.2919999999999</v>
      </c>
      <c r="M1050" s="8">
        <v>1159.2460000000001</v>
      </c>
      <c r="N1050" s="8">
        <v>992.07600000000002</v>
      </c>
      <c r="O1050" s="8">
        <v>846.19799999999998</v>
      </c>
      <c r="P1050" s="8">
        <v>740.74599999999998</v>
      </c>
      <c r="Q1050" s="8">
        <v>638.19799999999998</v>
      </c>
      <c r="R1050" s="8">
        <v>525.86099999999999</v>
      </c>
      <c r="S1050" s="8">
        <v>395.71300000000002</v>
      </c>
      <c r="T1050" s="8">
        <v>277.66899999999998</v>
      </c>
      <c r="U1050" s="8">
        <v>229.97399999999999</v>
      </c>
      <c r="V1050" s="8">
        <v>164.70500000000001</v>
      </c>
      <c r="W1050" s="8">
        <v>113.43600000000001</v>
      </c>
      <c r="X1050" s="8">
        <v>66.914000000000001</v>
      </c>
      <c r="Y1050" s="8">
        <v>28.521999999999998</v>
      </c>
      <c r="Z1050" s="8">
        <v>7.9589999999999996</v>
      </c>
      <c r="AA1050" s="8">
        <v>1.2150000000000001</v>
      </c>
      <c r="AB1050" s="8">
        <v>9.4E-2</v>
      </c>
      <c r="AC1050" s="8">
        <v>4.0000000000000001E-3</v>
      </c>
    </row>
    <row r="1051" spans="1:29" ht="11.65" hidden="1" x14ac:dyDescent="0.35">
      <c r="A1051" s="12">
        <v>1034</v>
      </c>
      <c r="B1051" s="10" t="s">
        <v>1015</v>
      </c>
      <c r="C1051" s="11" t="s">
        <v>1092</v>
      </c>
      <c r="D1051" s="9"/>
      <c r="E1051" s="9">
        <v>288</v>
      </c>
      <c r="F1051" s="10" t="s">
        <v>1066</v>
      </c>
      <c r="G1051" s="9">
        <v>914</v>
      </c>
      <c r="H1051" s="9">
        <v>2015</v>
      </c>
      <c r="I1051" s="8">
        <v>1933.883</v>
      </c>
      <c r="J1051" s="8">
        <v>1722.4349999999999</v>
      </c>
      <c r="K1051" s="8">
        <v>1550.318</v>
      </c>
      <c r="L1051" s="8">
        <v>1421.6289999999999</v>
      </c>
      <c r="M1051" s="8">
        <v>1265.7860000000001</v>
      </c>
      <c r="N1051" s="8">
        <v>1132.3409999999999</v>
      </c>
      <c r="O1051" s="8">
        <v>967.60799999999995</v>
      </c>
      <c r="P1051" s="8">
        <v>824.36199999999997</v>
      </c>
      <c r="Q1051" s="8">
        <v>719.90599999999995</v>
      </c>
      <c r="R1051" s="8">
        <v>618.08799999999997</v>
      </c>
      <c r="S1051" s="8">
        <v>505.16199999999998</v>
      </c>
      <c r="T1051" s="8">
        <v>374.38799999999998</v>
      </c>
      <c r="U1051" s="8">
        <v>255.23</v>
      </c>
      <c r="V1051" s="8">
        <v>200.43199999999999</v>
      </c>
      <c r="W1051" s="8">
        <v>130.55500000000001</v>
      </c>
      <c r="X1051" s="8">
        <v>75.944999999999993</v>
      </c>
      <c r="Y1051" s="8">
        <v>34.332999999999998</v>
      </c>
      <c r="Z1051" s="8">
        <v>10.067</v>
      </c>
      <c r="AA1051" s="8">
        <v>1.74</v>
      </c>
      <c r="AB1051" s="8">
        <v>0.152</v>
      </c>
      <c r="AC1051" s="8">
        <v>7.0000000000000001E-3</v>
      </c>
    </row>
    <row r="1052" spans="1:29" ht="11.65" hidden="1" x14ac:dyDescent="0.35">
      <c r="A1052" s="12">
        <v>1035</v>
      </c>
      <c r="B1052" s="10" t="s">
        <v>1015</v>
      </c>
      <c r="C1052" s="11" t="s">
        <v>1092</v>
      </c>
      <c r="D1052" s="9"/>
      <c r="E1052" s="9">
        <v>288</v>
      </c>
      <c r="F1052" s="10" t="s">
        <v>1066</v>
      </c>
      <c r="G1052" s="9">
        <v>914</v>
      </c>
      <c r="H1052" s="9">
        <v>2020</v>
      </c>
      <c r="I1052" s="8">
        <v>2040.326</v>
      </c>
      <c r="J1052" s="8">
        <v>1903.357</v>
      </c>
      <c r="K1052" s="8">
        <v>1703.4169999999999</v>
      </c>
      <c r="L1052" s="8">
        <v>1533.921</v>
      </c>
      <c r="M1052" s="8">
        <v>1397.886</v>
      </c>
      <c r="N1052" s="8">
        <v>1239.694</v>
      </c>
      <c r="O1052" s="8">
        <v>1107.5540000000001</v>
      </c>
      <c r="P1052" s="8">
        <v>945.29100000000005</v>
      </c>
      <c r="Q1052" s="8">
        <v>803.38599999999997</v>
      </c>
      <c r="R1052" s="8">
        <v>699.21400000000006</v>
      </c>
      <c r="S1052" s="8">
        <v>595.67999999999995</v>
      </c>
      <c r="T1052" s="8">
        <v>479.815</v>
      </c>
      <c r="U1052" s="8">
        <v>345.88900000000001</v>
      </c>
      <c r="V1052" s="8">
        <v>223.965</v>
      </c>
      <c r="W1052" s="8">
        <v>160.41200000000001</v>
      </c>
      <c r="X1052" s="8">
        <v>88.623999999999995</v>
      </c>
      <c r="Y1052" s="8">
        <v>39.677</v>
      </c>
      <c r="Z1052" s="8">
        <v>12.362</v>
      </c>
      <c r="AA1052" s="8">
        <v>2.254</v>
      </c>
      <c r="AB1052" s="8">
        <v>0.21199999999999999</v>
      </c>
      <c r="AC1052" s="8">
        <v>0.01</v>
      </c>
    </row>
    <row r="1053" spans="1:29" ht="11.65" hidden="1" x14ac:dyDescent="0.35">
      <c r="A1053" s="12">
        <v>1036</v>
      </c>
      <c r="B1053" s="10" t="s">
        <v>1015</v>
      </c>
      <c r="C1053" s="11" t="s">
        <v>1093</v>
      </c>
      <c r="D1053" s="9"/>
      <c r="E1053" s="9">
        <v>324</v>
      </c>
      <c r="F1053" s="10" t="s">
        <v>1066</v>
      </c>
      <c r="G1053" s="9">
        <v>914</v>
      </c>
      <c r="H1053" s="9">
        <v>1950</v>
      </c>
      <c r="I1053" s="8">
        <v>219.131</v>
      </c>
      <c r="J1053" s="8">
        <v>181.066</v>
      </c>
      <c r="K1053" s="8">
        <v>163.351</v>
      </c>
      <c r="L1053" s="8">
        <v>147.78100000000001</v>
      </c>
      <c r="M1053" s="8">
        <v>133.43</v>
      </c>
      <c r="N1053" s="8">
        <v>118.85899999999999</v>
      </c>
      <c r="O1053" s="8">
        <v>104.172</v>
      </c>
      <c r="P1053" s="8">
        <v>90.106999999999999</v>
      </c>
      <c r="Q1053" s="8">
        <v>75.143000000000001</v>
      </c>
      <c r="R1053" s="8">
        <v>63.765000000000001</v>
      </c>
      <c r="S1053" s="8">
        <v>53.43</v>
      </c>
      <c r="T1053" s="8">
        <v>44.9</v>
      </c>
      <c r="U1053" s="8">
        <v>37.752000000000002</v>
      </c>
      <c r="V1053" s="8">
        <v>32.957000000000001</v>
      </c>
      <c r="W1053" s="8">
        <v>22.515999999999998</v>
      </c>
      <c r="X1053" s="8">
        <v>11.951000000000001</v>
      </c>
      <c r="Y1053" s="8">
        <v>5.0010000000000003</v>
      </c>
      <c r="Z1053" s="8">
        <v>0.85099999999999998</v>
      </c>
      <c r="AA1053" s="8">
        <v>7.3999999999999996E-2</v>
      </c>
      <c r="AB1053" s="8">
        <v>3.0000000000000001E-3</v>
      </c>
      <c r="AC1053" s="8">
        <v>0</v>
      </c>
    </row>
    <row r="1054" spans="1:29" ht="11.65" hidden="1" x14ac:dyDescent="0.35">
      <c r="A1054" s="12">
        <v>1037</v>
      </c>
      <c r="B1054" s="10" t="s">
        <v>1015</v>
      </c>
      <c r="C1054" s="11" t="s">
        <v>1093</v>
      </c>
      <c r="D1054" s="9"/>
      <c r="E1054" s="9">
        <v>324</v>
      </c>
      <c r="F1054" s="10" t="s">
        <v>1066</v>
      </c>
      <c r="G1054" s="9">
        <v>914</v>
      </c>
      <c r="H1054" s="9">
        <v>1955</v>
      </c>
      <c r="I1054" s="8">
        <v>270.98399999999998</v>
      </c>
      <c r="J1054" s="8">
        <v>190.18100000000001</v>
      </c>
      <c r="K1054" s="8">
        <v>172.43299999999999</v>
      </c>
      <c r="L1054" s="8">
        <v>157.09299999999999</v>
      </c>
      <c r="M1054" s="8">
        <v>140.09399999999999</v>
      </c>
      <c r="N1054" s="8">
        <v>125.423</v>
      </c>
      <c r="O1054" s="8">
        <v>111.358</v>
      </c>
      <c r="P1054" s="8">
        <v>97.27</v>
      </c>
      <c r="Q1054" s="8">
        <v>83.867999999999995</v>
      </c>
      <c r="R1054" s="8">
        <v>69.741</v>
      </c>
      <c r="S1054" s="8">
        <v>58.335000000000001</v>
      </c>
      <c r="T1054" s="8">
        <v>47.378</v>
      </c>
      <c r="U1054" s="8">
        <v>37.353999999999999</v>
      </c>
      <c r="V1054" s="8">
        <v>28.067</v>
      </c>
      <c r="W1054" s="8">
        <v>20.533000000000001</v>
      </c>
      <c r="X1054" s="8">
        <v>10.503</v>
      </c>
      <c r="Y1054" s="8">
        <v>3.6080000000000001</v>
      </c>
      <c r="Z1054" s="8">
        <v>0.85</v>
      </c>
      <c r="AA1054" s="8">
        <v>7.1999999999999995E-2</v>
      </c>
      <c r="AB1054" s="8">
        <v>3.0000000000000001E-3</v>
      </c>
      <c r="AC1054" s="8">
        <v>0</v>
      </c>
    </row>
    <row r="1055" spans="1:29" ht="11.65" hidden="1" x14ac:dyDescent="0.35">
      <c r="A1055" s="12">
        <v>1038</v>
      </c>
      <c r="B1055" s="10" t="s">
        <v>1015</v>
      </c>
      <c r="C1055" s="11" t="s">
        <v>1093</v>
      </c>
      <c r="D1055" s="9"/>
      <c r="E1055" s="9">
        <v>324</v>
      </c>
      <c r="F1055" s="10" t="s">
        <v>1066</v>
      </c>
      <c r="G1055" s="9">
        <v>914</v>
      </c>
      <c r="H1055" s="9">
        <v>1960</v>
      </c>
      <c r="I1055" s="8">
        <v>291.36799999999999</v>
      </c>
      <c r="J1055" s="8">
        <v>236.94300000000001</v>
      </c>
      <c r="K1055" s="8">
        <v>181.70500000000001</v>
      </c>
      <c r="L1055" s="8">
        <v>166.23599999999999</v>
      </c>
      <c r="M1055" s="8">
        <v>149.423</v>
      </c>
      <c r="N1055" s="8">
        <v>132.19300000000001</v>
      </c>
      <c r="O1055" s="8">
        <v>117.979</v>
      </c>
      <c r="P1055" s="8">
        <v>104.414</v>
      </c>
      <c r="Q1055" s="8">
        <v>90.912000000000006</v>
      </c>
      <c r="R1055" s="8">
        <v>78.156999999999996</v>
      </c>
      <c r="S1055" s="8">
        <v>64.099999999999994</v>
      </c>
      <c r="T1055" s="8">
        <v>52.046999999999997</v>
      </c>
      <c r="U1055" s="8">
        <v>39.795000000000002</v>
      </c>
      <c r="V1055" s="8">
        <v>28.209</v>
      </c>
      <c r="W1055" s="8">
        <v>17.917999999999999</v>
      </c>
      <c r="X1055" s="8">
        <v>9.9570000000000007</v>
      </c>
      <c r="Y1055" s="8">
        <v>3.3639999999999999</v>
      </c>
      <c r="Z1055" s="8">
        <v>0.66400000000000003</v>
      </c>
      <c r="AA1055" s="8">
        <v>8.2000000000000003E-2</v>
      </c>
      <c r="AB1055" s="8">
        <v>4.0000000000000001E-3</v>
      </c>
      <c r="AC1055" s="8">
        <v>0</v>
      </c>
    </row>
    <row r="1056" spans="1:29" ht="11.65" hidden="1" x14ac:dyDescent="0.35">
      <c r="A1056" s="12">
        <v>1039</v>
      </c>
      <c r="B1056" s="10" t="s">
        <v>1015</v>
      </c>
      <c r="C1056" s="11" t="s">
        <v>1093</v>
      </c>
      <c r="D1056" s="9"/>
      <c r="E1056" s="9">
        <v>324</v>
      </c>
      <c r="F1056" s="10" t="s">
        <v>1066</v>
      </c>
      <c r="G1056" s="9">
        <v>914</v>
      </c>
      <c r="H1056" s="9">
        <v>1965</v>
      </c>
      <c r="I1056" s="8">
        <v>312.24599999999998</v>
      </c>
      <c r="J1056" s="8">
        <v>256.089</v>
      </c>
      <c r="K1056" s="8">
        <v>226.976</v>
      </c>
      <c r="L1056" s="8">
        <v>175.51599999999999</v>
      </c>
      <c r="M1056" s="8">
        <v>158.54300000000001</v>
      </c>
      <c r="N1056" s="8">
        <v>141.43</v>
      </c>
      <c r="O1056" s="8">
        <v>124.748</v>
      </c>
      <c r="P1056" s="8">
        <v>110.992</v>
      </c>
      <c r="Q1056" s="8">
        <v>97.915000000000006</v>
      </c>
      <c r="R1056" s="8">
        <v>84.998000000000005</v>
      </c>
      <c r="S1056" s="8">
        <v>72.103999999999999</v>
      </c>
      <c r="T1056" s="8">
        <v>57.475000000000001</v>
      </c>
      <c r="U1056" s="8">
        <v>44.055</v>
      </c>
      <c r="V1056" s="8">
        <v>30.425999999999998</v>
      </c>
      <c r="W1056" s="8">
        <v>18.361000000000001</v>
      </c>
      <c r="X1056" s="8">
        <v>8.9580000000000002</v>
      </c>
      <c r="Y1056" s="8">
        <v>3.3370000000000002</v>
      </c>
      <c r="Z1056" s="8">
        <v>0.65800000000000003</v>
      </c>
      <c r="AA1056" s="8">
        <v>6.8000000000000005E-2</v>
      </c>
      <c r="AB1056" s="8">
        <v>4.0000000000000001E-3</v>
      </c>
      <c r="AC1056" s="8">
        <v>0</v>
      </c>
    </row>
    <row r="1057" spans="1:29" ht="11.65" hidden="1" x14ac:dyDescent="0.35">
      <c r="A1057" s="12">
        <v>1040</v>
      </c>
      <c r="B1057" s="10" t="s">
        <v>1015</v>
      </c>
      <c r="C1057" s="11" t="s">
        <v>1093</v>
      </c>
      <c r="D1057" s="9"/>
      <c r="E1057" s="9">
        <v>324</v>
      </c>
      <c r="F1057" s="10" t="s">
        <v>1066</v>
      </c>
      <c r="G1057" s="9">
        <v>914</v>
      </c>
      <c r="H1057" s="9">
        <v>1970</v>
      </c>
      <c r="I1057" s="8">
        <v>339.089</v>
      </c>
      <c r="J1057" s="8">
        <v>275.41800000000001</v>
      </c>
      <c r="K1057" s="8">
        <v>245.815</v>
      </c>
      <c r="L1057" s="8">
        <v>219.58099999999999</v>
      </c>
      <c r="M1057" s="8">
        <v>167.745</v>
      </c>
      <c r="N1057" s="8">
        <v>150.41900000000001</v>
      </c>
      <c r="O1057" s="8">
        <v>133.79900000000001</v>
      </c>
      <c r="P1057" s="8">
        <v>117.66500000000001</v>
      </c>
      <c r="Q1057" s="8">
        <v>104.35599999999999</v>
      </c>
      <c r="R1057" s="8">
        <v>91.78</v>
      </c>
      <c r="S1057" s="8">
        <v>78.641999999999996</v>
      </c>
      <c r="T1057" s="8">
        <v>64.900000000000006</v>
      </c>
      <c r="U1057" s="8">
        <v>48.936999999999998</v>
      </c>
      <c r="V1057" s="8">
        <v>34.006</v>
      </c>
      <c r="W1057" s="8">
        <v>20.100000000000001</v>
      </c>
      <c r="X1057" s="8">
        <v>9.3919999999999995</v>
      </c>
      <c r="Y1057" s="8">
        <v>3.1070000000000002</v>
      </c>
      <c r="Z1057" s="8">
        <v>0.68200000000000005</v>
      </c>
      <c r="AA1057" s="8">
        <v>7.0999999999999994E-2</v>
      </c>
      <c r="AB1057" s="8">
        <v>4.0000000000000001E-3</v>
      </c>
      <c r="AC1057" s="8">
        <v>0</v>
      </c>
    </row>
    <row r="1058" spans="1:29" ht="11.65" hidden="1" x14ac:dyDescent="0.35">
      <c r="A1058" s="12">
        <v>1041</v>
      </c>
      <c r="B1058" s="10" t="s">
        <v>1015</v>
      </c>
      <c r="C1058" s="11" t="s">
        <v>1093</v>
      </c>
      <c r="D1058" s="9"/>
      <c r="E1058" s="9">
        <v>324</v>
      </c>
      <c r="F1058" s="10" t="s">
        <v>1066</v>
      </c>
      <c r="G1058" s="9">
        <v>914</v>
      </c>
      <c r="H1058" s="9">
        <v>1975</v>
      </c>
      <c r="I1058" s="8">
        <v>377.84899999999999</v>
      </c>
      <c r="J1058" s="8">
        <v>299.61399999999998</v>
      </c>
      <c r="K1058" s="8">
        <v>264.59899999999999</v>
      </c>
      <c r="L1058" s="8">
        <v>237.178</v>
      </c>
      <c r="M1058" s="8">
        <v>207.82900000000001</v>
      </c>
      <c r="N1058" s="8">
        <v>156.465</v>
      </c>
      <c r="O1058" s="8">
        <v>140.14500000000001</v>
      </c>
      <c r="P1058" s="8">
        <v>124.80500000000001</v>
      </c>
      <c r="Q1058" s="8">
        <v>109.821</v>
      </c>
      <c r="R1058" s="8">
        <v>97.393000000000001</v>
      </c>
      <c r="S1058" s="8">
        <v>84.784999999999997</v>
      </c>
      <c r="T1058" s="8">
        <v>70.88</v>
      </c>
      <c r="U1058" s="8">
        <v>55.558999999999997</v>
      </c>
      <c r="V1058" s="8">
        <v>38.204999999999998</v>
      </c>
      <c r="W1058" s="8">
        <v>22.896999999999998</v>
      </c>
      <c r="X1058" s="8">
        <v>10.602</v>
      </c>
      <c r="Y1058" s="8">
        <v>3.407</v>
      </c>
      <c r="Z1058" s="8">
        <v>0.67700000000000005</v>
      </c>
      <c r="AA1058" s="8">
        <v>0.08</v>
      </c>
      <c r="AB1058" s="8">
        <v>4.0000000000000001E-3</v>
      </c>
      <c r="AC1058" s="8">
        <v>0</v>
      </c>
    </row>
    <row r="1059" spans="1:29" ht="11.65" hidden="1" x14ac:dyDescent="0.35">
      <c r="A1059" s="12">
        <v>1042</v>
      </c>
      <c r="B1059" s="10" t="s">
        <v>1015</v>
      </c>
      <c r="C1059" s="11" t="s">
        <v>1093</v>
      </c>
      <c r="D1059" s="9"/>
      <c r="E1059" s="9">
        <v>324</v>
      </c>
      <c r="F1059" s="10" t="s">
        <v>1066</v>
      </c>
      <c r="G1059" s="9">
        <v>914</v>
      </c>
      <c r="H1059" s="9">
        <v>1980</v>
      </c>
      <c r="I1059" s="8">
        <v>431.33699999999999</v>
      </c>
      <c r="J1059" s="8">
        <v>337.62299999999999</v>
      </c>
      <c r="K1059" s="8">
        <v>289.012</v>
      </c>
      <c r="L1059" s="8">
        <v>255.304</v>
      </c>
      <c r="M1059" s="8">
        <v>223.56399999999999</v>
      </c>
      <c r="N1059" s="8">
        <v>193.03</v>
      </c>
      <c r="O1059" s="8">
        <v>144.51300000000001</v>
      </c>
      <c r="P1059" s="8">
        <v>130.03399999999999</v>
      </c>
      <c r="Q1059" s="8">
        <v>116.21899999999999</v>
      </c>
      <c r="R1059" s="8">
        <v>102.455</v>
      </c>
      <c r="S1059" s="8">
        <v>90.158000000000001</v>
      </c>
      <c r="T1059" s="8">
        <v>76.819999999999993</v>
      </c>
      <c r="U1059" s="8">
        <v>61.314</v>
      </c>
      <c r="V1059" s="8">
        <v>44.18</v>
      </c>
      <c r="W1059" s="8">
        <v>26.484000000000002</v>
      </c>
      <c r="X1059" s="8">
        <v>12.634</v>
      </c>
      <c r="Y1059" s="8">
        <v>4.101</v>
      </c>
      <c r="Z1059" s="8">
        <v>0.80800000000000005</v>
      </c>
      <c r="AA1059" s="8">
        <v>8.7999999999999995E-2</v>
      </c>
      <c r="AB1059" s="8">
        <v>5.0000000000000001E-3</v>
      </c>
      <c r="AC1059" s="8">
        <v>0</v>
      </c>
    </row>
    <row r="1060" spans="1:29" ht="11.65" hidden="1" x14ac:dyDescent="0.35">
      <c r="A1060" s="12">
        <v>1043</v>
      </c>
      <c r="B1060" s="10" t="s">
        <v>1015</v>
      </c>
      <c r="C1060" s="11" t="s">
        <v>1093</v>
      </c>
      <c r="D1060" s="9"/>
      <c r="E1060" s="9">
        <v>324</v>
      </c>
      <c r="F1060" s="10" t="s">
        <v>1066</v>
      </c>
      <c r="G1060" s="9">
        <v>914</v>
      </c>
      <c r="H1060" s="9">
        <v>1985</v>
      </c>
      <c r="I1060" s="8">
        <v>499.24700000000001</v>
      </c>
      <c r="J1060" s="8">
        <v>390.56299999999999</v>
      </c>
      <c r="K1060" s="8">
        <v>327.92899999999997</v>
      </c>
      <c r="L1060" s="8">
        <v>281.58800000000002</v>
      </c>
      <c r="M1060" s="8">
        <v>245.66900000000001</v>
      </c>
      <c r="N1060" s="8">
        <v>213.95099999999999</v>
      </c>
      <c r="O1060" s="8">
        <v>184.77799999999999</v>
      </c>
      <c r="P1060" s="8">
        <v>138.05699999999999</v>
      </c>
      <c r="Q1060" s="8">
        <v>123.974</v>
      </c>
      <c r="R1060" s="8">
        <v>110.51300000000001</v>
      </c>
      <c r="S1060" s="8">
        <v>96.454999999999998</v>
      </c>
      <c r="T1060" s="8">
        <v>83.113</v>
      </c>
      <c r="U1060" s="8">
        <v>67.91</v>
      </c>
      <c r="V1060" s="8">
        <v>50.279000000000003</v>
      </c>
      <c r="W1060" s="8">
        <v>31.992999999999999</v>
      </c>
      <c r="X1060" s="8">
        <v>15.574</v>
      </c>
      <c r="Y1060" s="8">
        <v>5.3570000000000002</v>
      </c>
      <c r="Z1060" s="8">
        <v>1.091</v>
      </c>
      <c r="AA1060" s="8">
        <v>0.12</v>
      </c>
      <c r="AB1060" s="8">
        <v>6.0000000000000001E-3</v>
      </c>
      <c r="AC1060" s="8">
        <v>0</v>
      </c>
    </row>
    <row r="1061" spans="1:29" ht="11.65" hidden="1" x14ac:dyDescent="0.35">
      <c r="A1061" s="12">
        <v>1044</v>
      </c>
      <c r="B1061" s="10" t="s">
        <v>1015</v>
      </c>
      <c r="C1061" s="11" t="s">
        <v>1093</v>
      </c>
      <c r="D1061" s="9"/>
      <c r="E1061" s="9">
        <v>324</v>
      </c>
      <c r="F1061" s="10" t="s">
        <v>1066</v>
      </c>
      <c r="G1061" s="9">
        <v>914</v>
      </c>
      <c r="H1061" s="9">
        <v>1990</v>
      </c>
      <c r="I1061" s="8">
        <v>584.25099999999998</v>
      </c>
      <c r="J1061" s="8">
        <v>459.93599999999998</v>
      </c>
      <c r="K1061" s="8">
        <v>383.61900000000003</v>
      </c>
      <c r="L1061" s="8">
        <v>322.81900000000002</v>
      </c>
      <c r="M1061" s="8">
        <v>275.529</v>
      </c>
      <c r="N1061" s="8">
        <v>239.40799999999999</v>
      </c>
      <c r="O1061" s="8">
        <v>208.10900000000001</v>
      </c>
      <c r="P1061" s="8">
        <v>179.357</v>
      </c>
      <c r="Q1061" s="8">
        <v>133.57</v>
      </c>
      <c r="R1061" s="8">
        <v>119.468</v>
      </c>
      <c r="S1061" s="8">
        <v>105.499</v>
      </c>
      <c r="T1061" s="8">
        <v>90.453000000000003</v>
      </c>
      <c r="U1061" s="8">
        <v>75.33</v>
      </c>
      <c r="V1061" s="8">
        <v>57.856999999999999</v>
      </c>
      <c r="W1061" s="8">
        <v>38.512999999999998</v>
      </c>
      <c r="X1061" s="8">
        <v>20.402000000000001</v>
      </c>
      <c r="Y1061" s="8">
        <v>7.3780000000000001</v>
      </c>
      <c r="Z1061" s="8">
        <v>1.6379999999999999</v>
      </c>
      <c r="AA1061" s="8">
        <v>0.191</v>
      </c>
      <c r="AB1061" s="8">
        <v>8.9999999999999993E-3</v>
      </c>
      <c r="AC1061" s="8">
        <v>0</v>
      </c>
    </row>
    <row r="1062" spans="1:29" ht="11.65" hidden="1" x14ac:dyDescent="0.35">
      <c r="A1062" s="12">
        <v>1045</v>
      </c>
      <c r="B1062" s="10" t="s">
        <v>1015</v>
      </c>
      <c r="C1062" s="11" t="s">
        <v>1093</v>
      </c>
      <c r="D1062" s="9"/>
      <c r="E1062" s="9">
        <v>324</v>
      </c>
      <c r="F1062" s="10" t="s">
        <v>1066</v>
      </c>
      <c r="G1062" s="9">
        <v>914</v>
      </c>
      <c r="H1062" s="9">
        <v>1995</v>
      </c>
      <c r="I1062" s="8">
        <v>668.63300000000004</v>
      </c>
      <c r="J1062" s="8">
        <v>542.61500000000001</v>
      </c>
      <c r="K1062" s="8">
        <v>452.44799999999998</v>
      </c>
      <c r="L1062" s="8">
        <v>376.49799999999999</v>
      </c>
      <c r="M1062" s="8">
        <v>312.13400000000001</v>
      </c>
      <c r="N1062" s="8">
        <v>263.66899999999998</v>
      </c>
      <c r="O1062" s="8">
        <v>228.703</v>
      </c>
      <c r="P1062" s="8">
        <v>199.04499999999999</v>
      </c>
      <c r="Q1062" s="8">
        <v>171.76300000000001</v>
      </c>
      <c r="R1062" s="8">
        <v>127.64700000000001</v>
      </c>
      <c r="S1062" s="8">
        <v>113.569</v>
      </c>
      <c r="T1062" s="8">
        <v>98.91</v>
      </c>
      <c r="U1062" s="8">
        <v>82.355999999999995</v>
      </c>
      <c r="V1062" s="8">
        <v>64.881</v>
      </c>
      <c r="W1062" s="8">
        <v>45.146999999999998</v>
      </c>
      <c r="X1062" s="8">
        <v>25.257999999999999</v>
      </c>
      <c r="Y1062" s="8">
        <v>10.038</v>
      </c>
      <c r="Z1062" s="8">
        <v>2.37</v>
      </c>
      <c r="AA1062" s="8">
        <v>0.30299999999999999</v>
      </c>
      <c r="AB1062" s="8">
        <v>1.7000000000000001E-2</v>
      </c>
      <c r="AC1062" s="8">
        <v>0</v>
      </c>
    </row>
    <row r="1063" spans="1:29" ht="11.65" hidden="1" x14ac:dyDescent="0.35">
      <c r="A1063" s="12">
        <v>1046</v>
      </c>
      <c r="B1063" s="10" t="s">
        <v>1015</v>
      </c>
      <c r="C1063" s="11" t="s">
        <v>1093</v>
      </c>
      <c r="D1063" s="9"/>
      <c r="E1063" s="9">
        <v>324</v>
      </c>
      <c r="F1063" s="10" t="s">
        <v>1066</v>
      </c>
      <c r="G1063" s="9">
        <v>914</v>
      </c>
      <c r="H1063" s="9">
        <v>2000</v>
      </c>
      <c r="I1063" s="8">
        <v>746.97900000000004</v>
      </c>
      <c r="J1063" s="8">
        <v>625.12</v>
      </c>
      <c r="K1063" s="8">
        <v>531.73599999999999</v>
      </c>
      <c r="L1063" s="8">
        <v>442.81299999999999</v>
      </c>
      <c r="M1063" s="8">
        <v>362.63799999999998</v>
      </c>
      <c r="N1063" s="8">
        <v>297.27699999999999</v>
      </c>
      <c r="O1063" s="8">
        <v>250.732</v>
      </c>
      <c r="P1063" s="8">
        <v>217.91800000000001</v>
      </c>
      <c r="Q1063" s="8">
        <v>189.84800000000001</v>
      </c>
      <c r="R1063" s="8">
        <v>163.72999999999999</v>
      </c>
      <c r="S1063" s="8">
        <v>120.687</v>
      </c>
      <c r="T1063" s="8">
        <v>105.697</v>
      </c>
      <c r="U1063" s="8">
        <v>89.043000000000006</v>
      </c>
      <c r="V1063" s="8">
        <v>69.674000000000007</v>
      </c>
      <c r="W1063" s="8">
        <v>49.295000000000002</v>
      </c>
      <c r="X1063" s="8">
        <v>28.492000000000001</v>
      </c>
      <c r="Y1063" s="8">
        <v>11.798999999999999</v>
      </c>
      <c r="Z1063" s="8">
        <v>3.024</v>
      </c>
      <c r="AA1063" s="8">
        <v>0.40799999999999997</v>
      </c>
      <c r="AB1063" s="8">
        <v>2.5000000000000001E-2</v>
      </c>
      <c r="AC1063" s="8">
        <v>1E-3</v>
      </c>
    </row>
    <row r="1064" spans="1:29" ht="11.65" hidden="1" x14ac:dyDescent="0.35">
      <c r="A1064" s="12">
        <v>1047</v>
      </c>
      <c r="B1064" s="10" t="s">
        <v>1015</v>
      </c>
      <c r="C1064" s="11" t="s">
        <v>1093</v>
      </c>
      <c r="D1064" s="9"/>
      <c r="E1064" s="9">
        <v>324</v>
      </c>
      <c r="F1064" s="10" t="s">
        <v>1066</v>
      </c>
      <c r="G1064" s="9">
        <v>914</v>
      </c>
      <c r="H1064" s="9">
        <v>2005</v>
      </c>
      <c r="I1064" s="8">
        <v>810.26700000000005</v>
      </c>
      <c r="J1064" s="8">
        <v>698.22400000000005</v>
      </c>
      <c r="K1064" s="8">
        <v>607.71</v>
      </c>
      <c r="L1064" s="8">
        <v>513.005</v>
      </c>
      <c r="M1064" s="8">
        <v>411.67500000000001</v>
      </c>
      <c r="N1064" s="8">
        <v>327.94099999999997</v>
      </c>
      <c r="O1064" s="8">
        <v>268.03100000000001</v>
      </c>
      <c r="P1064" s="8">
        <v>228.227</v>
      </c>
      <c r="Q1064" s="8">
        <v>200.517</v>
      </c>
      <c r="R1064" s="8">
        <v>176.035</v>
      </c>
      <c r="S1064" s="8">
        <v>151.52500000000001</v>
      </c>
      <c r="T1064" s="8">
        <v>109.81100000000001</v>
      </c>
      <c r="U1064" s="8">
        <v>92.981999999999999</v>
      </c>
      <c r="V1064" s="8">
        <v>73.27</v>
      </c>
      <c r="W1064" s="8">
        <v>51.063000000000002</v>
      </c>
      <c r="X1064" s="8">
        <v>29.626999999999999</v>
      </c>
      <c r="Y1064" s="8">
        <v>12.457000000000001</v>
      </c>
      <c r="Z1064" s="8">
        <v>3.2890000000000001</v>
      </c>
      <c r="AA1064" s="8">
        <v>0.47899999999999998</v>
      </c>
      <c r="AB1064" s="8">
        <v>3.2000000000000001E-2</v>
      </c>
      <c r="AC1064" s="8">
        <v>1E-3</v>
      </c>
    </row>
    <row r="1065" spans="1:29" ht="11.65" hidden="1" x14ac:dyDescent="0.35">
      <c r="A1065" s="12">
        <v>1048</v>
      </c>
      <c r="B1065" s="10" t="s">
        <v>1015</v>
      </c>
      <c r="C1065" s="11" t="s">
        <v>1093</v>
      </c>
      <c r="D1065" s="9"/>
      <c r="E1065" s="9">
        <v>324</v>
      </c>
      <c r="F1065" s="10" t="s">
        <v>1066</v>
      </c>
      <c r="G1065" s="9">
        <v>914</v>
      </c>
      <c r="H1065" s="9">
        <v>2010</v>
      </c>
      <c r="I1065" s="8">
        <v>881.36500000000001</v>
      </c>
      <c r="J1065" s="8">
        <v>773.87199999999996</v>
      </c>
      <c r="K1065" s="8">
        <v>682.06700000000001</v>
      </c>
      <c r="L1065" s="8">
        <v>583.69500000000005</v>
      </c>
      <c r="M1065" s="8">
        <v>474.78699999999998</v>
      </c>
      <c r="N1065" s="8">
        <v>379.98500000000001</v>
      </c>
      <c r="O1065" s="8">
        <v>308.14400000000001</v>
      </c>
      <c r="P1065" s="8">
        <v>252.571</v>
      </c>
      <c r="Q1065" s="8">
        <v>215.83</v>
      </c>
      <c r="R1065" s="8">
        <v>190.047</v>
      </c>
      <c r="S1065" s="8">
        <v>166.04900000000001</v>
      </c>
      <c r="T1065" s="8">
        <v>140.86799999999999</v>
      </c>
      <c r="U1065" s="8">
        <v>98.793999999999997</v>
      </c>
      <c r="V1065" s="8">
        <v>78.814999999999998</v>
      </c>
      <c r="W1065" s="8">
        <v>55.926000000000002</v>
      </c>
      <c r="X1065" s="8">
        <v>32.472999999999999</v>
      </c>
      <c r="Y1065" s="8">
        <v>13.988</v>
      </c>
      <c r="Z1065" s="8">
        <v>3.8090000000000002</v>
      </c>
      <c r="AA1065" s="8">
        <v>0.57499999999999996</v>
      </c>
      <c r="AB1065" s="8">
        <v>4.2000000000000003E-2</v>
      </c>
      <c r="AC1065" s="8">
        <v>1E-3</v>
      </c>
    </row>
    <row r="1066" spans="1:29" ht="11.65" hidden="1" x14ac:dyDescent="0.35">
      <c r="A1066" s="12">
        <v>1049</v>
      </c>
      <c r="B1066" s="10" t="s">
        <v>1015</v>
      </c>
      <c r="C1066" s="11" t="s">
        <v>1093</v>
      </c>
      <c r="D1066" s="9"/>
      <c r="E1066" s="9">
        <v>324</v>
      </c>
      <c r="F1066" s="10" t="s">
        <v>1066</v>
      </c>
      <c r="G1066" s="9">
        <v>914</v>
      </c>
      <c r="H1066" s="9">
        <v>2015</v>
      </c>
      <c r="I1066" s="8">
        <v>950.56299999999999</v>
      </c>
      <c r="J1066" s="8">
        <v>848.46199999999999</v>
      </c>
      <c r="K1066" s="8">
        <v>757.52</v>
      </c>
      <c r="L1066" s="8">
        <v>657.74599999999998</v>
      </c>
      <c r="M1066" s="8">
        <v>542.34199999999998</v>
      </c>
      <c r="N1066" s="8">
        <v>439.86799999999999</v>
      </c>
      <c r="O1066" s="8">
        <v>359.45800000000003</v>
      </c>
      <c r="P1066" s="8">
        <v>292.084</v>
      </c>
      <c r="Q1066" s="8">
        <v>239.85</v>
      </c>
      <c r="R1066" s="8">
        <v>205.191</v>
      </c>
      <c r="S1066" s="8">
        <v>179.80600000000001</v>
      </c>
      <c r="T1066" s="8">
        <v>154.91399999999999</v>
      </c>
      <c r="U1066" s="8">
        <v>127.48099999999999</v>
      </c>
      <c r="V1066" s="8">
        <v>84.299000000000007</v>
      </c>
      <c r="W1066" s="8">
        <v>60.744</v>
      </c>
      <c r="X1066" s="8">
        <v>36.063000000000002</v>
      </c>
      <c r="Y1066" s="8">
        <v>15.624000000000001</v>
      </c>
      <c r="Z1066" s="8">
        <v>4.3780000000000001</v>
      </c>
      <c r="AA1066" s="8">
        <v>0.68200000000000005</v>
      </c>
      <c r="AB1066" s="8">
        <v>5.0999999999999997E-2</v>
      </c>
      <c r="AC1066" s="8">
        <v>2E-3</v>
      </c>
    </row>
    <row r="1067" spans="1:29" ht="11.65" hidden="1" x14ac:dyDescent="0.35">
      <c r="A1067" s="12">
        <v>1050</v>
      </c>
      <c r="B1067" s="10" t="s">
        <v>1015</v>
      </c>
      <c r="C1067" s="11" t="s">
        <v>1093</v>
      </c>
      <c r="D1067" s="9"/>
      <c r="E1067" s="9">
        <v>324</v>
      </c>
      <c r="F1067" s="10" t="s">
        <v>1066</v>
      </c>
      <c r="G1067" s="9">
        <v>914</v>
      </c>
      <c r="H1067" s="9">
        <v>2020</v>
      </c>
      <c r="I1067" s="8">
        <v>1042.818</v>
      </c>
      <c r="J1067" s="8">
        <v>926.60599999999999</v>
      </c>
      <c r="K1067" s="8">
        <v>837.60699999999997</v>
      </c>
      <c r="L1067" s="8">
        <v>748.23199999999997</v>
      </c>
      <c r="M1067" s="8">
        <v>645.274</v>
      </c>
      <c r="N1067" s="8">
        <v>530.37800000000004</v>
      </c>
      <c r="O1067" s="8">
        <v>429.99099999999999</v>
      </c>
      <c r="P1067" s="8">
        <v>350.77699999999999</v>
      </c>
      <c r="Q1067" s="8">
        <v>284.23500000000001</v>
      </c>
      <c r="R1067" s="8">
        <v>232.548</v>
      </c>
      <c r="S1067" s="8">
        <v>197.28</v>
      </c>
      <c r="T1067" s="8">
        <v>170.18600000000001</v>
      </c>
      <c r="U1067" s="8">
        <v>142.25399999999999</v>
      </c>
      <c r="V1067" s="8">
        <v>110.71899999999999</v>
      </c>
      <c r="W1067" s="8">
        <v>66.412000000000006</v>
      </c>
      <c r="X1067" s="8">
        <v>40.279000000000003</v>
      </c>
      <c r="Y1067" s="8">
        <v>17.992999999999999</v>
      </c>
      <c r="Z1067" s="8">
        <v>5.0919999999999996</v>
      </c>
      <c r="AA1067" s="8">
        <v>0.81100000000000005</v>
      </c>
      <c r="AB1067" s="8">
        <v>6.3E-2</v>
      </c>
      <c r="AC1067" s="8">
        <v>3.0000000000000001E-3</v>
      </c>
    </row>
    <row r="1068" spans="1:29" ht="11.65" hidden="1" x14ac:dyDescent="0.35">
      <c r="A1068" s="12">
        <v>1051</v>
      </c>
      <c r="B1068" s="10" t="s">
        <v>1015</v>
      </c>
      <c r="C1068" s="11" t="s">
        <v>1094</v>
      </c>
      <c r="D1068" s="9"/>
      <c r="E1068" s="9">
        <v>624</v>
      </c>
      <c r="F1068" s="10" t="s">
        <v>1066</v>
      </c>
      <c r="G1068" s="9">
        <v>914</v>
      </c>
      <c r="H1068" s="9">
        <v>1950</v>
      </c>
      <c r="I1068" s="8">
        <v>40.726999999999997</v>
      </c>
      <c r="J1068" s="8">
        <v>32.723999999999997</v>
      </c>
      <c r="K1068" s="8">
        <v>26.797000000000001</v>
      </c>
      <c r="L1068" s="8">
        <v>24.716000000000001</v>
      </c>
      <c r="M1068" s="8">
        <v>23.655999999999999</v>
      </c>
      <c r="N1068" s="8">
        <v>23.067</v>
      </c>
      <c r="O1068" s="8">
        <v>20.995000000000001</v>
      </c>
      <c r="P1068" s="8">
        <v>18.623999999999999</v>
      </c>
      <c r="Q1068" s="8">
        <v>15.19</v>
      </c>
      <c r="R1068" s="8">
        <v>10.968</v>
      </c>
      <c r="S1068" s="8">
        <v>9.532</v>
      </c>
      <c r="T1068" s="8">
        <v>7.298</v>
      </c>
      <c r="U1068" s="8">
        <v>6.0960000000000001</v>
      </c>
      <c r="V1068" s="8">
        <v>4.6539999999999999</v>
      </c>
      <c r="W1068" s="8">
        <v>3.117</v>
      </c>
      <c r="X1068" s="8">
        <v>1.722</v>
      </c>
      <c r="Y1068" s="8">
        <v>0.61799999999999999</v>
      </c>
      <c r="Z1068" s="8">
        <v>0.21299999999999999</v>
      </c>
      <c r="AA1068" s="8">
        <v>4.4999999999999998E-2</v>
      </c>
      <c r="AB1068" s="8">
        <v>5.0000000000000001E-3</v>
      </c>
      <c r="AC1068" s="8">
        <v>0</v>
      </c>
    </row>
    <row r="1069" spans="1:29" ht="11.65" hidden="1" x14ac:dyDescent="0.35">
      <c r="A1069" s="12">
        <v>1052</v>
      </c>
      <c r="B1069" s="10" t="s">
        <v>1015</v>
      </c>
      <c r="C1069" s="11" t="s">
        <v>1094</v>
      </c>
      <c r="D1069" s="9"/>
      <c r="E1069" s="9">
        <v>624</v>
      </c>
      <c r="F1069" s="10" t="s">
        <v>1066</v>
      </c>
      <c r="G1069" s="9">
        <v>914</v>
      </c>
      <c r="H1069" s="9">
        <v>1955</v>
      </c>
      <c r="I1069" s="8">
        <v>48.994999999999997</v>
      </c>
      <c r="J1069" s="8">
        <v>34.658000000000001</v>
      </c>
      <c r="K1069" s="8">
        <v>30.277999999999999</v>
      </c>
      <c r="L1069" s="8">
        <v>25.187999999999999</v>
      </c>
      <c r="M1069" s="8">
        <v>23.186</v>
      </c>
      <c r="N1069" s="8">
        <v>22.056000000000001</v>
      </c>
      <c r="O1069" s="8">
        <v>21.359000000000002</v>
      </c>
      <c r="P1069" s="8">
        <v>19.305</v>
      </c>
      <c r="Q1069" s="8">
        <v>17.027000000000001</v>
      </c>
      <c r="R1069" s="8">
        <v>13.839</v>
      </c>
      <c r="S1069" s="8">
        <v>9.8879999999999999</v>
      </c>
      <c r="T1069" s="8">
        <v>8.4369999999999994</v>
      </c>
      <c r="U1069" s="8">
        <v>6.2249999999999996</v>
      </c>
      <c r="V1069" s="8">
        <v>4.891</v>
      </c>
      <c r="W1069" s="8">
        <v>3.383</v>
      </c>
      <c r="X1069" s="8">
        <v>1.9470000000000001</v>
      </c>
      <c r="Y1069" s="8">
        <v>0.84599999999999997</v>
      </c>
      <c r="Z1069" s="8">
        <v>0.21099999999999999</v>
      </c>
      <c r="AA1069" s="8">
        <v>4.3999999999999997E-2</v>
      </c>
      <c r="AB1069" s="8">
        <v>5.0000000000000001E-3</v>
      </c>
      <c r="AC1069" s="8">
        <v>0</v>
      </c>
    </row>
    <row r="1070" spans="1:29" ht="11.65" hidden="1" x14ac:dyDescent="0.35">
      <c r="A1070" s="12">
        <v>1053</v>
      </c>
      <c r="B1070" s="10" t="s">
        <v>1015</v>
      </c>
      <c r="C1070" s="11" t="s">
        <v>1094</v>
      </c>
      <c r="D1070" s="9"/>
      <c r="E1070" s="9">
        <v>624</v>
      </c>
      <c r="F1070" s="10" t="s">
        <v>1066</v>
      </c>
      <c r="G1070" s="9">
        <v>914</v>
      </c>
      <c r="H1070" s="9">
        <v>1960</v>
      </c>
      <c r="I1070" s="8">
        <v>49.805</v>
      </c>
      <c r="J1070" s="8">
        <v>42.226999999999997</v>
      </c>
      <c r="K1070" s="8">
        <v>32.247999999999998</v>
      </c>
      <c r="L1070" s="8">
        <v>28.613</v>
      </c>
      <c r="M1070" s="8">
        <v>23.728000000000002</v>
      </c>
      <c r="N1070" s="8">
        <v>21.73</v>
      </c>
      <c r="O1070" s="8">
        <v>20.538</v>
      </c>
      <c r="P1070" s="8">
        <v>19.765000000000001</v>
      </c>
      <c r="Q1070" s="8">
        <v>17.754000000000001</v>
      </c>
      <c r="R1070" s="8">
        <v>15.599</v>
      </c>
      <c r="S1070" s="8">
        <v>12.561</v>
      </c>
      <c r="T1070" s="8">
        <v>8.7870000000000008</v>
      </c>
      <c r="U1070" s="8">
        <v>7.2450000000000001</v>
      </c>
      <c r="V1070" s="8">
        <v>5.0220000000000002</v>
      </c>
      <c r="W1070" s="8">
        <v>3.5750000000000002</v>
      </c>
      <c r="X1070" s="8">
        <v>2.12</v>
      </c>
      <c r="Y1070" s="8">
        <v>0.95699999999999996</v>
      </c>
      <c r="Z1070" s="8">
        <v>0.28599999999999998</v>
      </c>
      <c r="AA1070" s="8">
        <v>4.2000000000000003E-2</v>
      </c>
      <c r="AB1070" s="8">
        <v>5.0000000000000001E-3</v>
      </c>
      <c r="AC1070" s="8">
        <v>0</v>
      </c>
    </row>
    <row r="1071" spans="1:29" ht="11.65" hidden="1" x14ac:dyDescent="0.35">
      <c r="A1071" s="12">
        <v>1054</v>
      </c>
      <c r="B1071" s="10" t="s">
        <v>1015</v>
      </c>
      <c r="C1071" s="11" t="s">
        <v>1094</v>
      </c>
      <c r="D1071" s="9"/>
      <c r="E1071" s="9">
        <v>624</v>
      </c>
      <c r="F1071" s="10" t="s">
        <v>1066</v>
      </c>
      <c r="G1071" s="9">
        <v>914</v>
      </c>
      <c r="H1071" s="9">
        <v>1965</v>
      </c>
      <c r="I1071" s="8">
        <v>51.478999999999999</v>
      </c>
      <c r="J1071" s="8">
        <v>42.631999999999998</v>
      </c>
      <c r="K1071" s="8">
        <v>38.968000000000004</v>
      </c>
      <c r="L1071" s="8">
        <v>30.06</v>
      </c>
      <c r="M1071" s="8">
        <v>26.652999999999999</v>
      </c>
      <c r="N1071" s="8">
        <v>21.971</v>
      </c>
      <c r="O1071" s="8">
        <v>20.02</v>
      </c>
      <c r="P1071" s="8">
        <v>18.811</v>
      </c>
      <c r="Q1071" s="8">
        <v>18.004999999999999</v>
      </c>
      <c r="R1071" s="8">
        <v>16.091000000000001</v>
      </c>
      <c r="S1071" s="8">
        <v>14.007999999999999</v>
      </c>
      <c r="T1071" s="8">
        <v>11.061</v>
      </c>
      <c r="U1071" s="8">
        <v>7.4539999999999997</v>
      </c>
      <c r="V1071" s="8">
        <v>5.7969999999999997</v>
      </c>
      <c r="W1071" s="8">
        <v>3.633</v>
      </c>
      <c r="X1071" s="8">
        <v>2.222</v>
      </c>
      <c r="Y1071" s="8">
        <v>1.0289999999999999</v>
      </c>
      <c r="Z1071" s="8">
        <v>0.318</v>
      </c>
      <c r="AA1071" s="8">
        <v>5.5E-2</v>
      </c>
      <c r="AB1071" s="8">
        <v>4.0000000000000001E-3</v>
      </c>
      <c r="AC1071" s="8">
        <v>0</v>
      </c>
    </row>
    <row r="1072" spans="1:29" ht="11.65" hidden="1" x14ac:dyDescent="0.35">
      <c r="A1072" s="12">
        <v>1055</v>
      </c>
      <c r="B1072" s="10" t="s">
        <v>1015</v>
      </c>
      <c r="C1072" s="11" t="s">
        <v>1094</v>
      </c>
      <c r="D1072" s="9"/>
      <c r="E1072" s="9">
        <v>624</v>
      </c>
      <c r="F1072" s="10" t="s">
        <v>1066</v>
      </c>
      <c r="G1072" s="9">
        <v>914</v>
      </c>
      <c r="H1072" s="9">
        <v>1970</v>
      </c>
      <c r="I1072" s="8">
        <v>56.465000000000003</v>
      </c>
      <c r="J1072" s="8">
        <v>45.534999999999997</v>
      </c>
      <c r="K1072" s="8">
        <v>40.362000000000002</v>
      </c>
      <c r="L1072" s="8">
        <v>37.325000000000003</v>
      </c>
      <c r="M1072" s="8">
        <v>28.677</v>
      </c>
      <c r="N1072" s="8">
        <v>25.317</v>
      </c>
      <c r="O1072" s="8">
        <v>20.748999999999999</v>
      </c>
      <c r="P1072" s="8">
        <v>18.805</v>
      </c>
      <c r="Q1072" s="8">
        <v>17.564</v>
      </c>
      <c r="R1072" s="8">
        <v>16.734999999999999</v>
      </c>
      <c r="S1072" s="8">
        <v>14.807</v>
      </c>
      <c r="T1072" s="8">
        <v>12.641999999999999</v>
      </c>
      <c r="U1072" s="8">
        <v>9.641</v>
      </c>
      <c r="V1072" s="8">
        <v>6.1040000000000001</v>
      </c>
      <c r="W1072" s="8">
        <v>4.3</v>
      </c>
      <c r="X1072" s="8">
        <v>2.302</v>
      </c>
      <c r="Y1072" s="8">
        <v>1.0940000000000001</v>
      </c>
      <c r="Z1072" s="8">
        <v>0.34100000000000003</v>
      </c>
      <c r="AA1072" s="8">
        <v>5.8999999999999997E-2</v>
      </c>
      <c r="AB1072" s="8">
        <v>5.0000000000000001E-3</v>
      </c>
      <c r="AC1072" s="8">
        <v>0</v>
      </c>
    </row>
    <row r="1073" spans="1:29" ht="11.65" hidden="1" x14ac:dyDescent="0.35">
      <c r="A1073" s="12">
        <v>1056</v>
      </c>
      <c r="B1073" s="10" t="s">
        <v>1015</v>
      </c>
      <c r="C1073" s="11" t="s">
        <v>1094</v>
      </c>
      <c r="D1073" s="9"/>
      <c r="E1073" s="9">
        <v>624</v>
      </c>
      <c r="F1073" s="10" t="s">
        <v>1066</v>
      </c>
      <c r="G1073" s="9">
        <v>914</v>
      </c>
      <c r="H1073" s="9">
        <v>1975</v>
      </c>
      <c r="I1073" s="8">
        <v>63.58</v>
      </c>
      <c r="J1073" s="8">
        <v>49.881999999999998</v>
      </c>
      <c r="K1073" s="8">
        <v>42.874000000000002</v>
      </c>
      <c r="L1073" s="8">
        <v>38.375</v>
      </c>
      <c r="M1073" s="8">
        <v>35.408999999999999</v>
      </c>
      <c r="N1073" s="8">
        <v>27.036000000000001</v>
      </c>
      <c r="O1073" s="8">
        <v>23.779</v>
      </c>
      <c r="P1073" s="8">
        <v>19.373999999999999</v>
      </c>
      <c r="Q1073" s="8">
        <v>17.466000000000001</v>
      </c>
      <c r="R1073" s="8">
        <v>16.231999999999999</v>
      </c>
      <c r="S1073" s="8">
        <v>15.318</v>
      </c>
      <c r="T1073" s="8">
        <v>13.288</v>
      </c>
      <c r="U1073" s="8">
        <v>10.967000000000001</v>
      </c>
      <c r="V1073" s="8">
        <v>7.8710000000000004</v>
      </c>
      <c r="W1073" s="8">
        <v>4.5049999999999999</v>
      </c>
      <c r="X1073" s="8">
        <v>2.7160000000000002</v>
      </c>
      <c r="Y1073" s="8">
        <v>1.125</v>
      </c>
      <c r="Z1073" s="8">
        <v>0.35699999999999998</v>
      </c>
      <c r="AA1073" s="8">
        <v>6.2E-2</v>
      </c>
      <c r="AB1073" s="8">
        <v>5.0000000000000001E-3</v>
      </c>
      <c r="AC1073" s="8">
        <v>0</v>
      </c>
    </row>
    <row r="1074" spans="1:29" ht="11.65" hidden="1" x14ac:dyDescent="0.35">
      <c r="A1074" s="12">
        <v>1057</v>
      </c>
      <c r="B1074" s="10" t="s">
        <v>1015</v>
      </c>
      <c r="C1074" s="11" t="s">
        <v>1094</v>
      </c>
      <c r="D1074" s="9"/>
      <c r="E1074" s="9">
        <v>624</v>
      </c>
      <c r="F1074" s="10" t="s">
        <v>1066</v>
      </c>
      <c r="G1074" s="9">
        <v>914</v>
      </c>
      <c r="H1074" s="9">
        <v>1980</v>
      </c>
      <c r="I1074" s="8">
        <v>72.013999999999996</v>
      </c>
      <c r="J1074" s="8">
        <v>54.637</v>
      </c>
      <c r="K1074" s="8">
        <v>43.506</v>
      </c>
      <c r="L1074" s="8">
        <v>38.786000000000001</v>
      </c>
      <c r="M1074" s="8">
        <v>36.398000000000003</v>
      </c>
      <c r="N1074" s="8">
        <v>34.39</v>
      </c>
      <c r="O1074" s="8">
        <v>25.068999999999999</v>
      </c>
      <c r="P1074" s="8">
        <v>20.795999999999999</v>
      </c>
      <c r="Q1074" s="8">
        <v>16.329999999999998</v>
      </c>
      <c r="R1074" s="8">
        <v>14.151</v>
      </c>
      <c r="S1074" s="8">
        <v>12.589</v>
      </c>
      <c r="T1074" s="8">
        <v>10.545999999999999</v>
      </c>
      <c r="U1074" s="8">
        <v>9.1430000000000007</v>
      </c>
      <c r="V1074" s="8">
        <v>7.5709999999999997</v>
      </c>
      <c r="W1074" s="8">
        <v>4.9740000000000002</v>
      </c>
      <c r="X1074" s="8">
        <v>2.5990000000000002</v>
      </c>
      <c r="Y1074" s="8">
        <v>1.3</v>
      </c>
      <c r="Z1074" s="8">
        <v>0.36299999999999999</v>
      </c>
      <c r="AA1074" s="8">
        <v>6.2E-2</v>
      </c>
      <c r="AB1074" s="8">
        <v>5.0000000000000001E-3</v>
      </c>
      <c r="AC1074" s="8">
        <v>0</v>
      </c>
    </row>
    <row r="1075" spans="1:29" ht="11.65" hidden="1" x14ac:dyDescent="0.35">
      <c r="A1075" s="12">
        <v>1058</v>
      </c>
      <c r="B1075" s="10" t="s">
        <v>1015</v>
      </c>
      <c r="C1075" s="11" t="s">
        <v>1094</v>
      </c>
      <c r="D1075" s="9"/>
      <c r="E1075" s="9">
        <v>624</v>
      </c>
      <c r="F1075" s="10" t="s">
        <v>1066</v>
      </c>
      <c r="G1075" s="9">
        <v>914</v>
      </c>
      <c r="H1075" s="9">
        <v>1985</v>
      </c>
      <c r="I1075" s="8">
        <v>84.186000000000007</v>
      </c>
      <c r="J1075" s="8">
        <v>64.158000000000001</v>
      </c>
      <c r="K1075" s="8">
        <v>51.189</v>
      </c>
      <c r="L1075" s="8">
        <v>40.960999999999999</v>
      </c>
      <c r="M1075" s="8">
        <v>36.436</v>
      </c>
      <c r="N1075" s="8">
        <v>34.109000000000002</v>
      </c>
      <c r="O1075" s="8">
        <v>32.162999999999997</v>
      </c>
      <c r="P1075" s="8">
        <v>23.227</v>
      </c>
      <c r="Q1075" s="8">
        <v>19.164000000000001</v>
      </c>
      <c r="R1075" s="8">
        <v>14.933</v>
      </c>
      <c r="S1075" s="8">
        <v>12.808999999999999</v>
      </c>
      <c r="T1075" s="8">
        <v>11.17</v>
      </c>
      <c r="U1075" s="8">
        <v>9.0250000000000004</v>
      </c>
      <c r="V1075" s="8">
        <v>7.383</v>
      </c>
      <c r="W1075" s="8">
        <v>5.5609999999999999</v>
      </c>
      <c r="X1075" s="8">
        <v>3.1219999999999999</v>
      </c>
      <c r="Y1075" s="8">
        <v>1.2529999999999999</v>
      </c>
      <c r="Z1075" s="8">
        <v>0.41399999999999998</v>
      </c>
      <c r="AA1075" s="8">
        <v>6.0999999999999999E-2</v>
      </c>
      <c r="AB1075" s="8">
        <v>5.0000000000000001E-3</v>
      </c>
      <c r="AC1075" s="8">
        <v>0</v>
      </c>
    </row>
    <row r="1076" spans="1:29" ht="11.65" hidden="1" x14ac:dyDescent="0.35">
      <c r="A1076" s="12">
        <v>1059</v>
      </c>
      <c r="B1076" s="10" t="s">
        <v>1015</v>
      </c>
      <c r="C1076" s="11" t="s">
        <v>1094</v>
      </c>
      <c r="D1076" s="9"/>
      <c r="E1076" s="9">
        <v>624</v>
      </c>
      <c r="F1076" s="10" t="s">
        <v>1066</v>
      </c>
      <c r="G1076" s="9">
        <v>914</v>
      </c>
      <c r="H1076" s="9">
        <v>1990</v>
      </c>
      <c r="I1076" s="8">
        <v>90.704999999999998</v>
      </c>
      <c r="J1076" s="8">
        <v>75.994</v>
      </c>
      <c r="K1076" s="8">
        <v>60.674999999999997</v>
      </c>
      <c r="L1076" s="8">
        <v>48.656999999999996</v>
      </c>
      <c r="M1076" s="8">
        <v>38.75</v>
      </c>
      <c r="N1076" s="8">
        <v>34.369</v>
      </c>
      <c r="O1076" s="8">
        <v>32.095999999999997</v>
      </c>
      <c r="P1076" s="8">
        <v>30.193999999999999</v>
      </c>
      <c r="Q1076" s="8">
        <v>21.597999999999999</v>
      </c>
      <c r="R1076" s="8">
        <v>17.728999999999999</v>
      </c>
      <c r="S1076" s="8">
        <v>13.654</v>
      </c>
      <c r="T1076" s="8">
        <v>11.499000000000001</v>
      </c>
      <c r="U1076" s="8">
        <v>9.7029999999999994</v>
      </c>
      <c r="V1076" s="8">
        <v>7.3769999999999998</v>
      </c>
      <c r="W1076" s="8">
        <v>5.4790000000000001</v>
      </c>
      <c r="X1076" s="8">
        <v>3.5350000000000001</v>
      </c>
      <c r="Y1076" s="8">
        <v>1.524</v>
      </c>
      <c r="Z1076" s="8">
        <v>0.40100000000000002</v>
      </c>
      <c r="AA1076" s="8">
        <v>6.8000000000000005E-2</v>
      </c>
      <c r="AB1076" s="8">
        <v>4.0000000000000001E-3</v>
      </c>
      <c r="AC1076" s="8">
        <v>0</v>
      </c>
    </row>
    <row r="1077" spans="1:29" ht="11.65" hidden="1" x14ac:dyDescent="0.35">
      <c r="A1077" s="12">
        <v>1060</v>
      </c>
      <c r="B1077" s="10" t="s">
        <v>1015</v>
      </c>
      <c r="C1077" s="11" t="s">
        <v>1094</v>
      </c>
      <c r="D1077" s="9"/>
      <c r="E1077" s="9">
        <v>624</v>
      </c>
      <c r="F1077" s="10" t="s">
        <v>1066</v>
      </c>
      <c r="G1077" s="9">
        <v>914</v>
      </c>
      <c r="H1077" s="9">
        <v>1995</v>
      </c>
      <c r="I1077" s="8">
        <v>97.44</v>
      </c>
      <c r="J1077" s="8">
        <v>82.545000000000002</v>
      </c>
      <c r="K1077" s="8">
        <v>72.254999999999995</v>
      </c>
      <c r="L1077" s="8">
        <v>57.92</v>
      </c>
      <c r="M1077" s="8">
        <v>46.265000000000001</v>
      </c>
      <c r="N1077" s="8">
        <v>36.652000000000001</v>
      </c>
      <c r="O1077" s="8">
        <v>32.420999999999999</v>
      </c>
      <c r="P1077" s="8">
        <v>30.196999999999999</v>
      </c>
      <c r="Q1077" s="8">
        <v>28.311</v>
      </c>
      <c r="R1077" s="8">
        <v>20.065999999999999</v>
      </c>
      <c r="S1077" s="8">
        <v>16.321999999999999</v>
      </c>
      <c r="T1077" s="8">
        <v>12.327999999999999</v>
      </c>
      <c r="U1077" s="8">
        <v>10.069000000000001</v>
      </c>
      <c r="V1077" s="8">
        <v>8.0220000000000002</v>
      </c>
      <c r="W1077" s="8">
        <v>5.5279999999999996</v>
      </c>
      <c r="X1077" s="8">
        <v>3.516</v>
      </c>
      <c r="Y1077" s="8">
        <v>1.7450000000000001</v>
      </c>
      <c r="Z1077" s="8">
        <v>0.49099999999999999</v>
      </c>
      <c r="AA1077" s="8">
        <v>6.6000000000000003E-2</v>
      </c>
      <c r="AB1077" s="8">
        <v>5.0000000000000001E-3</v>
      </c>
      <c r="AC1077" s="8">
        <v>0</v>
      </c>
    </row>
    <row r="1078" spans="1:29" ht="11.65" hidden="1" x14ac:dyDescent="0.35">
      <c r="A1078" s="12">
        <v>1061</v>
      </c>
      <c r="B1078" s="10" t="s">
        <v>1015</v>
      </c>
      <c r="C1078" s="11" t="s">
        <v>1094</v>
      </c>
      <c r="D1078" s="9"/>
      <c r="E1078" s="9">
        <v>624</v>
      </c>
      <c r="F1078" s="10" t="s">
        <v>1066</v>
      </c>
      <c r="G1078" s="9">
        <v>914</v>
      </c>
      <c r="H1078" s="9">
        <v>2000</v>
      </c>
      <c r="I1078" s="8">
        <v>103.755</v>
      </c>
      <c r="J1078" s="8">
        <v>90.501999999999995</v>
      </c>
      <c r="K1078" s="8">
        <v>79.531000000000006</v>
      </c>
      <c r="L1078" s="8">
        <v>69.340999999999994</v>
      </c>
      <c r="M1078" s="8">
        <v>55.271999999999998</v>
      </c>
      <c r="N1078" s="8">
        <v>43.847999999999999</v>
      </c>
      <c r="O1078" s="8">
        <v>34.064</v>
      </c>
      <c r="P1078" s="8">
        <v>29.271999999999998</v>
      </c>
      <c r="Q1078" s="8">
        <v>26.094000000000001</v>
      </c>
      <c r="R1078" s="8">
        <v>24.861999999999998</v>
      </c>
      <c r="S1078" s="8">
        <v>17.823</v>
      </c>
      <c r="T1078" s="8">
        <v>14.585000000000001</v>
      </c>
      <c r="U1078" s="8">
        <v>10.923</v>
      </c>
      <c r="V1078" s="8">
        <v>8.4480000000000004</v>
      </c>
      <c r="W1078" s="8">
        <v>6.1239999999999997</v>
      </c>
      <c r="X1078" s="8">
        <v>3.609</v>
      </c>
      <c r="Y1078" s="8">
        <v>1.76</v>
      </c>
      <c r="Z1078" s="8">
        <v>0.56399999999999995</v>
      </c>
      <c r="AA1078" s="8">
        <v>7.8E-2</v>
      </c>
      <c r="AB1078" s="8">
        <v>4.0000000000000001E-3</v>
      </c>
      <c r="AC1078" s="8">
        <v>0</v>
      </c>
    </row>
    <row r="1079" spans="1:29" ht="11.65" hidden="1" x14ac:dyDescent="0.35">
      <c r="A1079" s="12">
        <v>1062</v>
      </c>
      <c r="B1079" s="10" t="s">
        <v>1015</v>
      </c>
      <c r="C1079" s="11" t="s">
        <v>1094</v>
      </c>
      <c r="D1079" s="9"/>
      <c r="E1079" s="9">
        <v>624</v>
      </c>
      <c r="F1079" s="10" t="s">
        <v>1066</v>
      </c>
      <c r="G1079" s="9">
        <v>914</v>
      </c>
      <c r="H1079" s="9">
        <v>2005</v>
      </c>
      <c r="I1079" s="8">
        <v>112.00700000000001</v>
      </c>
      <c r="J1079" s="8">
        <v>96.968999999999994</v>
      </c>
      <c r="K1079" s="8">
        <v>88.424999999999997</v>
      </c>
      <c r="L1079" s="8">
        <v>78.325999999999993</v>
      </c>
      <c r="M1079" s="8">
        <v>67.096000000000004</v>
      </c>
      <c r="N1079" s="8">
        <v>52.432000000000002</v>
      </c>
      <c r="O1079" s="8">
        <v>41.834000000000003</v>
      </c>
      <c r="P1079" s="8">
        <v>32.267000000000003</v>
      </c>
      <c r="Q1079" s="8">
        <v>27.558</v>
      </c>
      <c r="R1079" s="8">
        <v>24.446000000000002</v>
      </c>
      <c r="S1079" s="8">
        <v>23.117999999999999</v>
      </c>
      <c r="T1079" s="8">
        <v>16.277999999999999</v>
      </c>
      <c r="U1079" s="8">
        <v>12.961</v>
      </c>
      <c r="V1079" s="8">
        <v>9.2050000000000001</v>
      </c>
      <c r="W1079" s="8">
        <v>6.5</v>
      </c>
      <c r="X1079" s="8">
        <v>4.0510000000000002</v>
      </c>
      <c r="Y1079" s="8">
        <v>1.83</v>
      </c>
      <c r="Z1079" s="8">
        <v>0.57299999999999995</v>
      </c>
      <c r="AA1079" s="8">
        <v>0.09</v>
      </c>
      <c r="AB1079" s="8">
        <v>5.0000000000000001E-3</v>
      </c>
      <c r="AC1079" s="8">
        <v>0</v>
      </c>
    </row>
    <row r="1080" spans="1:29" ht="11.65" hidden="1" x14ac:dyDescent="0.35">
      <c r="A1080" s="12">
        <v>1063</v>
      </c>
      <c r="B1080" s="10" t="s">
        <v>1015</v>
      </c>
      <c r="C1080" s="11" t="s">
        <v>1094</v>
      </c>
      <c r="D1080" s="9"/>
      <c r="E1080" s="9">
        <v>624</v>
      </c>
      <c r="F1080" s="10" t="s">
        <v>1066</v>
      </c>
      <c r="G1080" s="9">
        <v>914</v>
      </c>
      <c r="H1080" s="9">
        <v>2010</v>
      </c>
      <c r="I1080" s="8">
        <v>126.52800000000001</v>
      </c>
      <c r="J1080" s="8">
        <v>106.79</v>
      </c>
      <c r="K1080" s="8">
        <v>94.51</v>
      </c>
      <c r="L1080" s="8">
        <v>86.349000000000004</v>
      </c>
      <c r="M1080" s="8">
        <v>76.106999999999999</v>
      </c>
      <c r="N1080" s="8">
        <v>64.715999999999994</v>
      </c>
      <c r="O1080" s="8">
        <v>50.162999999999997</v>
      </c>
      <c r="P1080" s="8">
        <v>39.722000000000001</v>
      </c>
      <c r="Q1080" s="8">
        <v>30.396000000000001</v>
      </c>
      <c r="R1080" s="8">
        <v>25.823</v>
      </c>
      <c r="S1080" s="8">
        <v>22.701000000000001</v>
      </c>
      <c r="T1080" s="8">
        <v>21.161000000000001</v>
      </c>
      <c r="U1080" s="8">
        <v>14.477</v>
      </c>
      <c r="V1080" s="8">
        <v>10.955</v>
      </c>
      <c r="W1080" s="8">
        <v>7.1040000000000001</v>
      </c>
      <c r="X1080" s="8">
        <v>4.3150000000000004</v>
      </c>
      <c r="Y1080" s="8">
        <v>2.0569999999999999</v>
      </c>
      <c r="Z1080" s="8">
        <v>0.58699999999999997</v>
      </c>
      <c r="AA1080" s="8">
        <v>8.7999999999999995E-2</v>
      </c>
      <c r="AB1080" s="8">
        <v>6.0000000000000001E-3</v>
      </c>
      <c r="AC1080" s="8">
        <v>0</v>
      </c>
    </row>
    <row r="1081" spans="1:29" ht="11.65" hidden="1" x14ac:dyDescent="0.35">
      <c r="A1081" s="12">
        <v>1064</v>
      </c>
      <c r="B1081" s="10" t="s">
        <v>1015</v>
      </c>
      <c r="C1081" s="11" t="s">
        <v>1094</v>
      </c>
      <c r="D1081" s="9"/>
      <c r="E1081" s="9">
        <v>624</v>
      </c>
      <c r="F1081" s="10" t="s">
        <v>1066</v>
      </c>
      <c r="G1081" s="9">
        <v>914</v>
      </c>
      <c r="H1081" s="9">
        <v>2015</v>
      </c>
      <c r="I1081" s="8">
        <v>141.12899999999999</v>
      </c>
      <c r="J1081" s="8">
        <v>122.64100000000001</v>
      </c>
      <c r="K1081" s="8">
        <v>105.05500000000001</v>
      </c>
      <c r="L1081" s="8">
        <v>93.081000000000003</v>
      </c>
      <c r="M1081" s="8">
        <v>84.655000000000001</v>
      </c>
      <c r="N1081" s="8">
        <v>74.14</v>
      </c>
      <c r="O1081" s="8">
        <v>62.652000000000001</v>
      </c>
      <c r="P1081" s="8">
        <v>48.247999999999998</v>
      </c>
      <c r="Q1081" s="8">
        <v>37.944000000000003</v>
      </c>
      <c r="R1081" s="8">
        <v>28.852</v>
      </c>
      <c r="S1081" s="8">
        <v>24.274000000000001</v>
      </c>
      <c r="T1081" s="8">
        <v>21.001999999999999</v>
      </c>
      <c r="U1081" s="8">
        <v>19.053000000000001</v>
      </c>
      <c r="V1081" s="8">
        <v>12.364000000000001</v>
      </c>
      <c r="W1081" s="8">
        <v>8.5370000000000008</v>
      </c>
      <c r="X1081" s="8">
        <v>4.7469999999999999</v>
      </c>
      <c r="Y1081" s="8">
        <v>2.1949999999999998</v>
      </c>
      <c r="Z1081" s="8">
        <v>0.65300000000000002</v>
      </c>
      <c r="AA1081" s="8">
        <v>8.5999999999999993E-2</v>
      </c>
      <c r="AB1081" s="8">
        <v>5.0000000000000001E-3</v>
      </c>
      <c r="AC1081" s="8">
        <v>0</v>
      </c>
    </row>
    <row r="1082" spans="1:29" ht="11.65" hidden="1" x14ac:dyDescent="0.35">
      <c r="A1082" s="12">
        <v>1065</v>
      </c>
      <c r="B1082" s="10" t="s">
        <v>1015</v>
      </c>
      <c r="C1082" s="11" t="s">
        <v>1094</v>
      </c>
      <c r="D1082" s="9"/>
      <c r="E1082" s="9">
        <v>624</v>
      </c>
      <c r="F1082" s="10" t="s">
        <v>1066</v>
      </c>
      <c r="G1082" s="9">
        <v>914</v>
      </c>
      <c r="H1082" s="9">
        <v>2020</v>
      </c>
      <c r="I1082" s="8">
        <v>151.16900000000001</v>
      </c>
      <c r="J1082" s="8">
        <v>137.66300000000001</v>
      </c>
      <c r="K1082" s="8">
        <v>120.91800000000001</v>
      </c>
      <c r="L1082" s="8">
        <v>103.61</v>
      </c>
      <c r="M1082" s="8">
        <v>91.358000000000004</v>
      </c>
      <c r="N1082" s="8">
        <v>82.587000000000003</v>
      </c>
      <c r="O1082" s="8">
        <v>71.911000000000001</v>
      </c>
      <c r="P1082" s="8">
        <v>60.405000000000001</v>
      </c>
      <c r="Q1082" s="8">
        <v>46.180999999999997</v>
      </c>
      <c r="R1082" s="8">
        <v>36.067</v>
      </c>
      <c r="S1082" s="8">
        <v>27.126000000000001</v>
      </c>
      <c r="T1082" s="8">
        <v>22.449000000000002</v>
      </c>
      <c r="U1082" s="8">
        <v>18.898</v>
      </c>
      <c r="V1082" s="8">
        <v>16.285</v>
      </c>
      <c r="W1082" s="8">
        <v>9.6519999999999992</v>
      </c>
      <c r="X1082" s="8">
        <v>5.7370000000000001</v>
      </c>
      <c r="Y1082" s="8">
        <v>2.456</v>
      </c>
      <c r="Z1082" s="8">
        <v>0.72399999999999998</v>
      </c>
      <c r="AA1082" s="8">
        <v>0.10199999999999999</v>
      </c>
      <c r="AB1082" s="8">
        <v>5.0000000000000001E-3</v>
      </c>
      <c r="AC1082" s="8">
        <v>0</v>
      </c>
    </row>
    <row r="1083" spans="1:29" ht="11.65" hidden="1" x14ac:dyDescent="0.35">
      <c r="A1083" s="12">
        <v>1066</v>
      </c>
      <c r="B1083" s="10" t="s">
        <v>1015</v>
      </c>
      <c r="C1083" s="11" t="s">
        <v>1095</v>
      </c>
      <c r="D1083" s="9"/>
      <c r="E1083" s="9">
        <v>430</v>
      </c>
      <c r="F1083" s="10" t="s">
        <v>1066</v>
      </c>
      <c r="G1083" s="9">
        <v>914</v>
      </c>
      <c r="H1083" s="9">
        <v>1950</v>
      </c>
      <c r="I1083" s="8">
        <v>71.593000000000004</v>
      </c>
      <c r="J1083" s="8">
        <v>63.220999999999997</v>
      </c>
      <c r="K1083" s="8">
        <v>54.994</v>
      </c>
      <c r="L1083" s="8">
        <v>47.506999999999998</v>
      </c>
      <c r="M1083" s="8">
        <v>41.408999999999999</v>
      </c>
      <c r="N1083" s="8">
        <v>35.192</v>
      </c>
      <c r="O1083" s="8">
        <v>28.047999999999998</v>
      </c>
      <c r="P1083" s="8">
        <v>23.123999999999999</v>
      </c>
      <c r="Q1083" s="8">
        <v>18.728999999999999</v>
      </c>
      <c r="R1083" s="8">
        <v>15.629</v>
      </c>
      <c r="S1083" s="8">
        <v>13.305</v>
      </c>
      <c r="T1083" s="8">
        <v>10.859</v>
      </c>
      <c r="U1083" s="8">
        <v>8.359</v>
      </c>
      <c r="V1083" s="8">
        <v>6.2789999999999999</v>
      </c>
      <c r="W1083" s="8">
        <v>4.2249999999999996</v>
      </c>
      <c r="X1083" s="8">
        <v>2.3519999999999999</v>
      </c>
      <c r="Y1083" s="8">
        <v>0.91500000000000004</v>
      </c>
      <c r="Z1083" s="8">
        <v>0.32100000000000001</v>
      </c>
      <c r="AA1083" s="8">
        <v>6.8000000000000005E-2</v>
      </c>
      <c r="AB1083" s="8">
        <v>8.9999999999999993E-3</v>
      </c>
      <c r="AC1083" s="8">
        <v>1E-3</v>
      </c>
    </row>
    <row r="1084" spans="1:29" ht="11.65" hidden="1" x14ac:dyDescent="0.35">
      <c r="A1084" s="12">
        <v>1067</v>
      </c>
      <c r="B1084" s="10" t="s">
        <v>1015</v>
      </c>
      <c r="C1084" s="11" t="s">
        <v>1095</v>
      </c>
      <c r="D1084" s="9"/>
      <c r="E1084" s="9">
        <v>430</v>
      </c>
      <c r="F1084" s="10" t="s">
        <v>1066</v>
      </c>
      <c r="G1084" s="9">
        <v>914</v>
      </c>
      <c r="H1084" s="9">
        <v>1955</v>
      </c>
      <c r="I1084" s="8">
        <v>86.608000000000004</v>
      </c>
      <c r="J1084" s="8">
        <v>61.621000000000002</v>
      </c>
      <c r="K1084" s="8">
        <v>59.292000000000002</v>
      </c>
      <c r="L1084" s="8">
        <v>52.499000000000002</v>
      </c>
      <c r="M1084" s="8">
        <v>45.228999999999999</v>
      </c>
      <c r="N1084" s="8">
        <v>39.134</v>
      </c>
      <c r="O1084" s="8">
        <v>32.97</v>
      </c>
      <c r="P1084" s="8">
        <v>26.071999999999999</v>
      </c>
      <c r="Q1084" s="8">
        <v>21.37</v>
      </c>
      <c r="R1084" s="8">
        <v>17.257999999999999</v>
      </c>
      <c r="S1084" s="8">
        <v>14.278</v>
      </c>
      <c r="T1084" s="8">
        <v>11.917999999999999</v>
      </c>
      <c r="U1084" s="8">
        <v>9.3829999999999991</v>
      </c>
      <c r="V1084" s="8">
        <v>6.7919999999999998</v>
      </c>
      <c r="W1084" s="8">
        <v>4.6260000000000003</v>
      </c>
      <c r="X1084" s="8">
        <v>2.681</v>
      </c>
      <c r="Y1084" s="8">
        <v>1.181</v>
      </c>
      <c r="Z1084" s="8">
        <v>0.32300000000000001</v>
      </c>
      <c r="AA1084" s="8">
        <v>7.0000000000000007E-2</v>
      </c>
      <c r="AB1084" s="8">
        <v>8.9999999999999993E-3</v>
      </c>
      <c r="AC1084" s="8">
        <v>1E-3</v>
      </c>
    </row>
    <row r="1085" spans="1:29" ht="11.65" hidden="1" x14ac:dyDescent="0.35">
      <c r="A1085" s="12">
        <v>1068</v>
      </c>
      <c r="B1085" s="10" t="s">
        <v>1015</v>
      </c>
      <c r="C1085" s="11" t="s">
        <v>1095</v>
      </c>
      <c r="D1085" s="9"/>
      <c r="E1085" s="9">
        <v>430</v>
      </c>
      <c r="F1085" s="10" t="s">
        <v>1066</v>
      </c>
      <c r="G1085" s="9">
        <v>914</v>
      </c>
      <c r="H1085" s="9">
        <v>1960</v>
      </c>
      <c r="I1085" s="8">
        <v>98.673000000000002</v>
      </c>
      <c r="J1085" s="8">
        <v>75.506</v>
      </c>
      <c r="K1085" s="8">
        <v>58.438000000000002</v>
      </c>
      <c r="L1085" s="8">
        <v>57.143999999999998</v>
      </c>
      <c r="M1085" s="8">
        <v>50.475999999999999</v>
      </c>
      <c r="N1085" s="8">
        <v>43.204000000000001</v>
      </c>
      <c r="O1085" s="8">
        <v>37.085999999999999</v>
      </c>
      <c r="P1085" s="8">
        <v>31.021000000000001</v>
      </c>
      <c r="Q1085" s="8">
        <v>24.39</v>
      </c>
      <c r="R1085" s="8">
        <v>19.922000000000001</v>
      </c>
      <c r="S1085" s="8">
        <v>15.948</v>
      </c>
      <c r="T1085" s="8">
        <v>12.935</v>
      </c>
      <c r="U1085" s="8">
        <v>10.413</v>
      </c>
      <c r="V1085" s="8">
        <v>7.7050000000000001</v>
      </c>
      <c r="W1085" s="8">
        <v>5.0540000000000003</v>
      </c>
      <c r="X1085" s="8">
        <v>2.9590000000000001</v>
      </c>
      <c r="Y1085" s="8">
        <v>1.3540000000000001</v>
      </c>
      <c r="Z1085" s="8">
        <v>0.41199999999999998</v>
      </c>
      <c r="AA1085" s="8">
        <v>6.8000000000000005E-2</v>
      </c>
      <c r="AB1085" s="8">
        <v>8.9999999999999993E-3</v>
      </c>
      <c r="AC1085" s="8">
        <v>1E-3</v>
      </c>
    </row>
    <row r="1086" spans="1:29" ht="11.65" hidden="1" x14ac:dyDescent="0.35">
      <c r="A1086" s="12">
        <v>1069</v>
      </c>
      <c r="B1086" s="10" t="s">
        <v>1015</v>
      </c>
      <c r="C1086" s="11" t="s">
        <v>1095</v>
      </c>
      <c r="D1086" s="9"/>
      <c r="E1086" s="9">
        <v>430</v>
      </c>
      <c r="F1086" s="10" t="s">
        <v>1066</v>
      </c>
      <c r="G1086" s="9">
        <v>914</v>
      </c>
      <c r="H1086" s="9">
        <v>1965</v>
      </c>
      <c r="I1086" s="8">
        <v>110.90300000000001</v>
      </c>
      <c r="J1086" s="8">
        <v>86.466999999999999</v>
      </c>
      <c r="K1086" s="8">
        <v>71.756</v>
      </c>
      <c r="L1086" s="8">
        <v>56.447000000000003</v>
      </c>
      <c r="M1086" s="8">
        <v>55.029000000000003</v>
      </c>
      <c r="N1086" s="8">
        <v>48.33</v>
      </c>
      <c r="O1086" s="8">
        <v>41.082999999999998</v>
      </c>
      <c r="P1086" s="8">
        <v>35.030999999999999</v>
      </c>
      <c r="Q1086" s="8">
        <v>29.129000000000001</v>
      </c>
      <c r="R1086" s="8">
        <v>22.821000000000002</v>
      </c>
      <c r="S1086" s="8">
        <v>18.469000000000001</v>
      </c>
      <c r="T1086" s="8">
        <v>14.494999999999999</v>
      </c>
      <c r="U1086" s="8">
        <v>11.337999999999999</v>
      </c>
      <c r="V1086" s="8">
        <v>8.5760000000000005</v>
      </c>
      <c r="W1086" s="8">
        <v>5.7450000000000001</v>
      </c>
      <c r="X1086" s="8">
        <v>3.2330000000000001</v>
      </c>
      <c r="Y1086" s="8">
        <v>1.4870000000000001</v>
      </c>
      <c r="Z1086" s="8">
        <v>0.46800000000000003</v>
      </c>
      <c r="AA1086" s="8">
        <v>8.5000000000000006E-2</v>
      </c>
      <c r="AB1086" s="8">
        <v>8.9999999999999993E-3</v>
      </c>
      <c r="AC1086" s="8">
        <v>1E-3</v>
      </c>
    </row>
    <row r="1087" spans="1:29" ht="11.65" hidden="1" x14ac:dyDescent="0.35">
      <c r="A1087" s="12">
        <v>1070</v>
      </c>
      <c r="B1087" s="10" t="s">
        <v>1015</v>
      </c>
      <c r="C1087" s="11" t="s">
        <v>1095</v>
      </c>
      <c r="D1087" s="9"/>
      <c r="E1087" s="9">
        <v>430</v>
      </c>
      <c r="F1087" s="10" t="s">
        <v>1066</v>
      </c>
      <c r="G1087" s="9">
        <v>914</v>
      </c>
      <c r="H1087" s="9">
        <v>1970</v>
      </c>
      <c r="I1087" s="8">
        <v>125.28100000000001</v>
      </c>
      <c r="J1087" s="8">
        <v>98.831999999999994</v>
      </c>
      <c r="K1087" s="8">
        <v>82.841999999999999</v>
      </c>
      <c r="L1087" s="8">
        <v>69.620999999999995</v>
      </c>
      <c r="M1087" s="8">
        <v>54.615000000000002</v>
      </c>
      <c r="N1087" s="8">
        <v>52.901000000000003</v>
      </c>
      <c r="O1087" s="8">
        <v>46.158000000000001</v>
      </c>
      <c r="P1087" s="8">
        <v>38.987000000000002</v>
      </c>
      <c r="Q1087" s="8">
        <v>33.042000000000002</v>
      </c>
      <c r="R1087" s="8">
        <v>27.355</v>
      </c>
      <c r="S1087" s="8">
        <v>21.233000000000001</v>
      </c>
      <c r="T1087" s="8">
        <v>16.846</v>
      </c>
      <c r="U1087" s="8">
        <v>12.763</v>
      </c>
      <c r="V1087" s="8">
        <v>9.3870000000000005</v>
      </c>
      <c r="W1087" s="8">
        <v>6.4219999999999997</v>
      </c>
      <c r="X1087" s="8">
        <v>3.681</v>
      </c>
      <c r="Y1087" s="8">
        <v>1.617</v>
      </c>
      <c r="Z1087" s="8">
        <v>0.502</v>
      </c>
      <c r="AA1087" s="8">
        <v>0.09</v>
      </c>
      <c r="AB1087" s="8">
        <v>8.9999999999999993E-3</v>
      </c>
      <c r="AC1087" s="8">
        <v>1E-3</v>
      </c>
    </row>
    <row r="1088" spans="1:29" ht="11.65" hidden="1" x14ac:dyDescent="0.35">
      <c r="A1088" s="12">
        <v>1071</v>
      </c>
      <c r="B1088" s="10" t="s">
        <v>1015</v>
      </c>
      <c r="C1088" s="11" t="s">
        <v>1095</v>
      </c>
      <c r="D1088" s="9"/>
      <c r="E1088" s="9">
        <v>430</v>
      </c>
      <c r="F1088" s="10" t="s">
        <v>1066</v>
      </c>
      <c r="G1088" s="9">
        <v>914</v>
      </c>
      <c r="H1088" s="9">
        <v>1975</v>
      </c>
      <c r="I1088" s="8">
        <v>145.43199999999999</v>
      </c>
      <c r="J1088" s="8">
        <v>113.70399999999999</v>
      </c>
      <c r="K1088" s="8">
        <v>95.606999999999999</v>
      </c>
      <c r="L1088" s="8">
        <v>80.941000000000003</v>
      </c>
      <c r="M1088" s="8">
        <v>67.787000000000006</v>
      </c>
      <c r="N1088" s="8">
        <v>52.923999999999999</v>
      </c>
      <c r="O1088" s="8">
        <v>50.941000000000003</v>
      </c>
      <c r="P1088" s="8">
        <v>44.201000000000001</v>
      </c>
      <c r="Q1088" s="8">
        <v>37.109000000000002</v>
      </c>
      <c r="R1088" s="8">
        <v>31.297999999999998</v>
      </c>
      <c r="S1088" s="8">
        <v>25.658000000000001</v>
      </c>
      <c r="T1088" s="8">
        <v>19.536999999999999</v>
      </c>
      <c r="U1088" s="8">
        <v>14.975</v>
      </c>
      <c r="V1088" s="8">
        <v>10.672000000000001</v>
      </c>
      <c r="W1088" s="8">
        <v>7.0979999999999999</v>
      </c>
      <c r="X1088" s="8">
        <v>4.1449999999999996</v>
      </c>
      <c r="Y1088" s="8">
        <v>1.84</v>
      </c>
      <c r="Z1088" s="8">
        <v>0.53700000000000003</v>
      </c>
      <c r="AA1088" s="8">
        <v>9.1999999999999998E-2</v>
      </c>
      <c r="AB1088" s="8">
        <v>8.9999999999999993E-3</v>
      </c>
      <c r="AC1088" s="8">
        <v>1E-3</v>
      </c>
    </row>
    <row r="1089" spans="1:29" ht="11.65" hidden="1" x14ac:dyDescent="0.35">
      <c r="A1089" s="12">
        <v>1072</v>
      </c>
      <c r="B1089" s="10" t="s">
        <v>1015</v>
      </c>
      <c r="C1089" s="11" t="s">
        <v>1095</v>
      </c>
      <c r="D1089" s="9"/>
      <c r="E1089" s="9">
        <v>430</v>
      </c>
      <c r="F1089" s="10" t="s">
        <v>1066</v>
      </c>
      <c r="G1089" s="9">
        <v>914</v>
      </c>
      <c r="H1089" s="9">
        <v>1980</v>
      </c>
      <c r="I1089" s="8">
        <v>169.62899999999999</v>
      </c>
      <c r="J1089" s="8">
        <v>133.84800000000001</v>
      </c>
      <c r="K1089" s="8">
        <v>110.812</v>
      </c>
      <c r="L1089" s="8">
        <v>93.912999999999997</v>
      </c>
      <c r="M1089" s="8">
        <v>79.290000000000006</v>
      </c>
      <c r="N1089" s="8">
        <v>66.177999999999997</v>
      </c>
      <c r="O1089" s="8">
        <v>51.505000000000003</v>
      </c>
      <c r="P1089" s="8">
        <v>49.341000000000001</v>
      </c>
      <c r="Q1089" s="8">
        <v>42.588999999999999</v>
      </c>
      <c r="R1089" s="8">
        <v>35.573999999999998</v>
      </c>
      <c r="S1089" s="8">
        <v>29.712</v>
      </c>
      <c r="T1089" s="8">
        <v>23.908999999999999</v>
      </c>
      <c r="U1089" s="8">
        <v>17.619</v>
      </c>
      <c r="V1089" s="8">
        <v>12.721</v>
      </c>
      <c r="W1089" s="8">
        <v>8.2089999999999996</v>
      </c>
      <c r="X1089" s="8">
        <v>4.6539999999999999</v>
      </c>
      <c r="Y1089" s="8">
        <v>2.0920000000000001</v>
      </c>
      <c r="Z1089" s="8">
        <v>0.60699999999999998</v>
      </c>
      <c r="AA1089" s="8">
        <v>9.4E-2</v>
      </c>
      <c r="AB1089" s="8">
        <v>6.0000000000000001E-3</v>
      </c>
      <c r="AC1089" s="8">
        <v>0</v>
      </c>
    </row>
    <row r="1090" spans="1:29" ht="11.65" hidden="1" x14ac:dyDescent="0.35">
      <c r="A1090" s="12">
        <v>1073</v>
      </c>
      <c r="B1090" s="10" t="s">
        <v>1015</v>
      </c>
      <c r="C1090" s="11" t="s">
        <v>1095</v>
      </c>
      <c r="D1090" s="9"/>
      <c r="E1090" s="9">
        <v>430</v>
      </c>
      <c r="F1090" s="10" t="s">
        <v>1066</v>
      </c>
      <c r="G1090" s="9">
        <v>914</v>
      </c>
      <c r="H1090" s="9">
        <v>1985</v>
      </c>
      <c r="I1090" s="8">
        <v>196.33099999999999</v>
      </c>
      <c r="J1090" s="8">
        <v>156.51599999999999</v>
      </c>
      <c r="K1090" s="8">
        <v>130.18</v>
      </c>
      <c r="L1090" s="8">
        <v>108.48399999999999</v>
      </c>
      <c r="M1090" s="8">
        <v>91.71</v>
      </c>
      <c r="N1090" s="8">
        <v>77.222999999999999</v>
      </c>
      <c r="O1090" s="8">
        <v>64.266999999999996</v>
      </c>
      <c r="P1090" s="8">
        <v>49.844000000000001</v>
      </c>
      <c r="Q1090" s="8">
        <v>47.512</v>
      </c>
      <c r="R1090" s="8">
        <v>40.798999999999999</v>
      </c>
      <c r="S1090" s="8">
        <v>33.762</v>
      </c>
      <c r="T1090" s="8">
        <v>27.704999999999998</v>
      </c>
      <c r="U1090" s="8">
        <v>21.608000000000001</v>
      </c>
      <c r="V1090" s="8">
        <v>15.035</v>
      </c>
      <c r="W1090" s="8">
        <v>9.8520000000000003</v>
      </c>
      <c r="X1090" s="8">
        <v>5.431</v>
      </c>
      <c r="Y1090" s="8">
        <v>2.3730000000000002</v>
      </c>
      <c r="Z1090" s="8">
        <v>0.69599999999999995</v>
      </c>
      <c r="AA1090" s="8">
        <v>0.105</v>
      </c>
      <c r="AB1090" s="8">
        <v>6.0000000000000001E-3</v>
      </c>
      <c r="AC1090" s="8">
        <v>0</v>
      </c>
    </row>
    <row r="1091" spans="1:29" ht="11.65" hidden="1" x14ac:dyDescent="0.35">
      <c r="A1091" s="12">
        <v>1074</v>
      </c>
      <c r="B1091" s="10" t="s">
        <v>1015</v>
      </c>
      <c r="C1091" s="11" t="s">
        <v>1095</v>
      </c>
      <c r="D1091" s="9"/>
      <c r="E1091" s="9">
        <v>430</v>
      </c>
      <c r="F1091" s="10" t="s">
        <v>1066</v>
      </c>
      <c r="G1091" s="9">
        <v>914</v>
      </c>
      <c r="H1091" s="9">
        <v>1990</v>
      </c>
      <c r="I1091" s="8">
        <v>181.143</v>
      </c>
      <c r="J1091" s="8">
        <v>152.13300000000001</v>
      </c>
      <c r="K1091" s="8">
        <v>128.416</v>
      </c>
      <c r="L1091" s="8">
        <v>107.482</v>
      </c>
      <c r="M1091" s="8">
        <v>89.316000000000003</v>
      </c>
      <c r="N1091" s="8">
        <v>75.432000000000002</v>
      </c>
      <c r="O1091" s="8">
        <v>63.392000000000003</v>
      </c>
      <c r="P1091" s="8">
        <v>52.71</v>
      </c>
      <c r="Q1091" s="8">
        <v>40.189</v>
      </c>
      <c r="R1091" s="8">
        <v>38.716999999999999</v>
      </c>
      <c r="S1091" s="8">
        <v>32.832000000000001</v>
      </c>
      <c r="T1091" s="8">
        <v>26.667000000000002</v>
      </c>
      <c r="U1091" s="8">
        <v>21.263000000000002</v>
      </c>
      <c r="V1091" s="8">
        <v>15.706</v>
      </c>
      <c r="W1091" s="8">
        <v>9.9049999999999994</v>
      </c>
      <c r="X1091" s="8">
        <v>5.5860000000000003</v>
      </c>
      <c r="Y1091" s="8">
        <v>2.3849999999999998</v>
      </c>
      <c r="Z1091" s="8">
        <v>0.68899999999999995</v>
      </c>
      <c r="AA1091" s="8">
        <v>0.106</v>
      </c>
      <c r="AB1091" s="8">
        <v>6.0000000000000001E-3</v>
      </c>
      <c r="AC1091" s="8">
        <v>0</v>
      </c>
    </row>
    <row r="1092" spans="1:29" ht="11.65" hidden="1" x14ac:dyDescent="0.35">
      <c r="A1092" s="12">
        <v>1075</v>
      </c>
      <c r="B1092" s="10" t="s">
        <v>1015</v>
      </c>
      <c r="C1092" s="11" t="s">
        <v>1095</v>
      </c>
      <c r="D1092" s="9"/>
      <c r="E1092" s="9">
        <v>430</v>
      </c>
      <c r="F1092" s="10" t="s">
        <v>1066</v>
      </c>
      <c r="G1092" s="9">
        <v>914</v>
      </c>
      <c r="H1092" s="9">
        <v>1995</v>
      </c>
      <c r="I1092" s="8">
        <v>168.14500000000001</v>
      </c>
      <c r="J1092" s="8">
        <v>143.78700000000001</v>
      </c>
      <c r="K1092" s="8">
        <v>128.86199999999999</v>
      </c>
      <c r="L1092" s="8">
        <v>109.324</v>
      </c>
      <c r="M1092" s="8">
        <v>91.281000000000006</v>
      </c>
      <c r="N1092" s="8">
        <v>75.625</v>
      </c>
      <c r="O1092" s="8">
        <v>63.767000000000003</v>
      </c>
      <c r="P1092" s="8">
        <v>53.430999999999997</v>
      </c>
      <c r="Q1092" s="8">
        <v>44.328000000000003</v>
      </c>
      <c r="R1092" s="8">
        <v>33.252000000000002</v>
      </c>
      <c r="S1092" s="8">
        <v>32.226999999999997</v>
      </c>
      <c r="T1092" s="8">
        <v>26.783999999999999</v>
      </c>
      <c r="U1092" s="8">
        <v>21.097999999999999</v>
      </c>
      <c r="V1092" s="8">
        <v>15.964</v>
      </c>
      <c r="W1092" s="8">
        <v>10.779</v>
      </c>
      <c r="X1092" s="8">
        <v>5.8369999999999997</v>
      </c>
      <c r="Y1092" s="8">
        <v>2.5790000000000002</v>
      </c>
      <c r="Z1092" s="8">
        <v>0.73599999999999999</v>
      </c>
      <c r="AA1092" s="8">
        <v>0.114</v>
      </c>
      <c r="AB1092" s="8">
        <v>8.0000000000000002E-3</v>
      </c>
      <c r="AC1092" s="8">
        <v>0</v>
      </c>
    </row>
    <row r="1093" spans="1:29" ht="11.65" hidden="1" x14ac:dyDescent="0.35">
      <c r="A1093" s="12">
        <v>1076</v>
      </c>
      <c r="B1093" s="10" t="s">
        <v>1015</v>
      </c>
      <c r="C1093" s="11" t="s">
        <v>1095</v>
      </c>
      <c r="D1093" s="9"/>
      <c r="E1093" s="9">
        <v>430</v>
      </c>
      <c r="F1093" s="10" t="s">
        <v>1066</v>
      </c>
      <c r="G1093" s="9">
        <v>914</v>
      </c>
      <c r="H1093" s="9">
        <v>2000</v>
      </c>
      <c r="I1093" s="8">
        <v>238.83600000000001</v>
      </c>
      <c r="J1093" s="8">
        <v>190.91800000000001</v>
      </c>
      <c r="K1093" s="8">
        <v>170.71899999999999</v>
      </c>
      <c r="L1093" s="8">
        <v>153.327</v>
      </c>
      <c r="M1093" s="8">
        <v>130.05000000000001</v>
      </c>
      <c r="N1093" s="8">
        <v>108.321</v>
      </c>
      <c r="O1093" s="8">
        <v>89.566999999999993</v>
      </c>
      <c r="P1093" s="8">
        <v>75.183000000000007</v>
      </c>
      <c r="Q1093" s="8">
        <v>62.709000000000003</v>
      </c>
      <c r="R1093" s="8">
        <v>51.628999999999998</v>
      </c>
      <c r="S1093" s="8">
        <v>39.005000000000003</v>
      </c>
      <c r="T1093" s="8">
        <v>36.545000000000002</v>
      </c>
      <c r="U1093" s="8">
        <v>29.722999999999999</v>
      </c>
      <c r="V1093" s="8">
        <v>22.295999999999999</v>
      </c>
      <c r="W1093" s="8">
        <v>15.433</v>
      </c>
      <c r="X1093" s="8">
        <v>9.0009999999999994</v>
      </c>
      <c r="Y1093" s="8">
        <v>3.8279999999999998</v>
      </c>
      <c r="Z1093" s="8">
        <v>1.113</v>
      </c>
      <c r="AA1093" s="8">
        <v>0.16500000000000001</v>
      </c>
      <c r="AB1093" s="8">
        <v>0.01</v>
      </c>
      <c r="AC1093" s="8">
        <v>0</v>
      </c>
    </row>
    <row r="1094" spans="1:29" ht="11.65" hidden="1" x14ac:dyDescent="0.35">
      <c r="A1094" s="12">
        <v>1077</v>
      </c>
      <c r="B1094" s="10" t="s">
        <v>1015</v>
      </c>
      <c r="C1094" s="11" t="s">
        <v>1095</v>
      </c>
      <c r="D1094" s="9"/>
      <c r="E1094" s="9">
        <v>430</v>
      </c>
      <c r="F1094" s="10" t="s">
        <v>1066</v>
      </c>
      <c r="G1094" s="9">
        <v>914</v>
      </c>
      <c r="H1094" s="9">
        <v>2005</v>
      </c>
      <c r="I1094" s="8">
        <v>269.85399999999998</v>
      </c>
      <c r="J1094" s="8">
        <v>224.357</v>
      </c>
      <c r="K1094" s="8">
        <v>184.691</v>
      </c>
      <c r="L1094" s="8">
        <v>165.62700000000001</v>
      </c>
      <c r="M1094" s="8">
        <v>148.09</v>
      </c>
      <c r="N1094" s="8">
        <v>124.758</v>
      </c>
      <c r="O1094" s="8">
        <v>103.22499999999999</v>
      </c>
      <c r="P1094" s="8">
        <v>84.798000000000002</v>
      </c>
      <c r="Q1094" s="8">
        <v>70.727000000000004</v>
      </c>
      <c r="R1094" s="8">
        <v>58.692</v>
      </c>
      <c r="S1094" s="8">
        <v>47.899000000000001</v>
      </c>
      <c r="T1094" s="8">
        <v>35.57</v>
      </c>
      <c r="U1094" s="8">
        <v>32.457999999999998</v>
      </c>
      <c r="V1094" s="8">
        <v>25.042000000000002</v>
      </c>
      <c r="W1094" s="8">
        <v>17.146000000000001</v>
      </c>
      <c r="X1094" s="8">
        <v>10.199</v>
      </c>
      <c r="Y1094" s="8">
        <v>4.5720000000000001</v>
      </c>
      <c r="Z1094" s="8">
        <v>1.232</v>
      </c>
      <c r="AA1094" s="8">
        <v>0.17299999999999999</v>
      </c>
      <c r="AB1094" s="8">
        <v>0.01</v>
      </c>
      <c r="AC1094" s="8">
        <v>0</v>
      </c>
    </row>
    <row r="1095" spans="1:29" ht="11.65" hidden="1" x14ac:dyDescent="0.35">
      <c r="A1095" s="12">
        <v>1078</v>
      </c>
      <c r="B1095" s="10" t="s">
        <v>1015</v>
      </c>
      <c r="C1095" s="11" t="s">
        <v>1095</v>
      </c>
      <c r="D1095" s="9"/>
      <c r="E1095" s="9">
        <v>430</v>
      </c>
      <c r="F1095" s="10" t="s">
        <v>1066</v>
      </c>
      <c r="G1095" s="9">
        <v>914</v>
      </c>
      <c r="H1095" s="9">
        <v>2010</v>
      </c>
      <c r="I1095" s="8">
        <v>314.197</v>
      </c>
      <c r="J1095" s="8">
        <v>275.67500000000001</v>
      </c>
      <c r="K1095" s="8">
        <v>233.21700000000001</v>
      </c>
      <c r="L1095" s="8">
        <v>192.47</v>
      </c>
      <c r="M1095" s="8">
        <v>171.75700000000001</v>
      </c>
      <c r="N1095" s="8">
        <v>152.75</v>
      </c>
      <c r="O1095" s="8">
        <v>128.16900000000001</v>
      </c>
      <c r="P1095" s="8">
        <v>105.559</v>
      </c>
      <c r="Q1095" s="8">
        <v>86.256</v>
      </c>
      <c r="R1095" s="8">
        <v>71.546999999999997</v>
      </c>
      <c r="S1095" s="8">
        <v>58.856000000000002</v>
      </c>
      <c r="T1095" s="8">
        <v>47.304000000000002</v>
      </c>
      <c r="U1095" s="8">
        <v>34.375</v>
      </c>
      <c r="V1095" s="8">
        <v>29.745999999999999</v>
      </c>
      <c r="W1095" s="8">
        <v>21.077000000000002</v>
      </c>
      <c r="X1095" s="8">
        <v>12.468</v>
      </c>
      <c r="Y1095" s="8">
        <v>5.7110000000000003</v>
      </c>
      <c r="Z1095" s="8">
        <v>1.615</v>
      </c>
      <c r="AA1095" s="8">
        <v>0.20300000000000001</v>
      </c>
      <c r="AB1095" s="8">
        <v>0.01</v>
      </c>
      <c r="AC1095" s="8">
        <v>0</v>
      </c>
    </row>
    <row r="1096" spans="1:29" ht="11.65" hidden="1" x14ac:dyDescent="0.35">
      <c r="A1096" s="12">
        <v>1079</v>
      </c>
      <c r="B1096" s="10" t="s">
        <v>1015</v>
      </c>
      <c r="C1096" s="11" t="s">
        <v>1095</v>
      </c>
      <c r="D1096" s="9"/>
      <c r="E1096" s="9">
        <v>430</v>
      </c>
      <c r="F1096" s="10" t="s">
        <v>1066</v>
      </c>
      <c r="G1096" s="9">
        <v>914</v>
      </c>
      <c r="H1096" s="9">
        <v>2015</v>
      </c>
      <c r="I1096" s="8">
        <v>339.48899999999998</v>
      </c>
      <c r="J1096" s="8">
        <v>309.39</v>
      </c>
      <c r="K1096" s="8">
        <v>274.74900000000002</v>
      </c>
      <c r="L1096" s="8">
        <v>232.64699999999999</v>
      </c>
      <c r="M1096" s="8">
        <v>191.37700000000001</v>
      </c>
      <c r="N1096" s="8">
        <v>170.07400000000001</v>
      </c>
      <c r="O1096" s="8">
        <v>150.678</v>
      </c>
      <c r="P1096" s="8">
        <v>125.93300000000001</v>
      </c>
      <c r="Q1096" s="8">
        <v>103.187</v>
      </c>
      <c r="R1096" s="8">
        <v>83.872</v>
      </c>
      <c r="S1096" s="8">
        <v>68.968000000000004</v>
      </c>
      <c r="T1096" s="8">
        <v>55.929000000000002</v>
      </c>
      <c r="U1096" s="8">
        <v>43.856999999999999</v>
      </c>
      <c r="V1096" s="8">
        <v>30.408000000000001</v>
      </c>
      <c r="W1096" s="8">
        <v>24.17</v>
      </c>
      <c r="X1096" s="8">
        <v>14.827</v>
      </c>
      <c r="Y1096" s="8">
        <v>6.7869999999999999</v>
      </c>
      <c r="Z1096" s="8">
        <v>1.9750000000000001</v>
      </c>
      <c r="AA1096" s="8">
        <v>0.26</v>
      </c>
      <c r="AB1096" s="8">
        <v>1.2E-2</v>
      </c>
      <c r="AC1096" s="8">
        <v>0</v>
      </c>
    </row>
    <row r="1097" spans="1:29" ht="11.65" hidden="1" x14ac:dyDescent="0.35">
      <c r="A1097" s="12">
        <v>1080</v>
      </c>
      <c r="B1097" s="10" t="s">
        <v>1015</v>
      </c>
      <c r="C1097" s="11" t="s">
        <v>1095</v>
      </c>
      <c r="D1097" s="9"/>
      <c r="E1097" s="9">
        <v>430</v>
      </c>
      <c r="F1097" s="10" t="s">
        <v>1066</v>
      </c>
      <c r="G1097" s="9">
        <v>914</v>
      </c>
      <c r="H1097" s="9">
        <v>2020</v>
      </c>
      <c r="I1097" s="8">
        <v>362.54199999999997</v>
      </c>
      <c r="J1097" s="8">
        <v>332.29500000000002</v>
      </c>
      <c r="K1097" s="8">
        <v>305.77800000000002</v>
      </c>
      <c r="L1097" s="8">
        <v>271.58</v>
      </c>
      <c r="M1097" s="8">
        <v>229.245</v>
      </c>
      <c r="N1097" s="8">
        <v>187.898</v>
      </c>
      <c r="O1097" s="8">
        <v>166.488</v>
      </c>
      <c r="P1097" s="8">
        <v>147.00299999999999</v>
      </c>
      <c r="Q1097" s="8">
        <v>122.264</v>
      </c>
      <c r="R1097" s="8">
        <v>99.649000000000001</v>
      </c>
      <c r="S1097" s="8">
        <v>80.322999999999993</v>
      </c>
      <c r="T1097" s="8">
        <v>65.197000000000003</v>
      </c>
      <c r="U1097" s="8">
        <v>51.737000000000002</v>
      </c>
      <c r="V1097" s="8">
        <v>38.908999999999999</v>
      </c>
      <c r="W1097" s="8">
        <v>25.033999999999999</v>
      </c>
      <c r="X1097" s="8">
        <v>17.541</v>
      </c>
      <c r="Y1097" s="8">
        <v>8.5950000000000006</v>
      </c>
      <c r="Z1097" s="8">
        <v>2.6469999999999998</v>
      </c>
      <c r="AA1097" s="8">
        <v>0.39200000000000002</v>
      </c>
      <c r="AB1097" s="8">
        <v>2.1000000000000001E-2</v>
      </c>
      <c r="AC1097" s="8">
        <v>0</v>
      </c>
    </row>
    <row r="1098" spans="1:29" ht="11.65" hidden="1" x14ac:dyDescent="0.35">
      <c r="A1098" s="12">
        <v>1081</v>
      </c>
      <c r="B1098" s="10" t="s">
        <v>1015</v>
      </c>
      <c r="C1098" s="11" t="s">
        <v>1096</v>
      </c>
      <c r="D1098" s="9"/>
      <c r="E1098" s="9">
        <v>466</v>
      </c>
      <c r="F1098" s="10" t="s">
        <v>1066</v>
      </c>
      <c r="G1098" s="9">
        <v>914</v>
      </c>
      <c r="H1098" s="9">
        <v>1950</v>
      </c>
      <c r="I1098" s="8">
        <v>369.54399999999998</v>
      </c>
      <c r="J1098" s="8">
        <v>296.05799999999999</v>
      </c>
      <c r="K1098" s="8">
        <v>245.59200000000001</v>
      </c>
      <c r="L1098" s="8">
        <v>220.78</v>
      </c>
      <c r="M1098" s="8">
        <v>200.64500000000001</v>
      </c>
      <c r="N1098" s="8">
        <v>182.21</v>
      </c>
      <c r="O1098" s="8">
        <v>169.11699999999999</v>
      </c>
      <c r="P1098" s="8">
        <v>147.63</v>
      </c>
      <c r="Q1098" s="8">
        <v>126.02500000000001</v>
      </c>
      <c r="R1098" s="8">
        <v>102.41</v>
      </c>
      <c r="S1098" s="8">
        <v>75.941000000000003</v>
      </c>
      <c r="T1098" s="8">
        <v>58.521000000000001</v>
      </c>
      <c r="U1098" s="8">
        <v>43.427</v>
      </c>
      <c r="V1098" s="8">
        <v>30.59</v>
      </c>
      <c r="W1098" s="8">
        <v>18.62</v>
      </c>
      <c r="X1098" s="8">
        <v>9.0310000000000006</v>
      </c>
      <c r="Y1098" s="8">
        <v>2.7109999999999999</v>
      </c>
      <c r="Z1098" s="8">
        <v>0.33200000000000002</v>
      </c>
      <c r="AA1098" s="8">
        <v>2.1000000000000001E-2</v>
      </c>
      <c r="AB1098" s="8">
        <v>0</v>
      </c>
      <c r="AC1098" s="8">
        <v>0</v>
      </c>
    </row>
    <row r="1099" spans="1:29" ht="11.65" hidden="1" x14ac:dyDescent="0.35">
      <c r="A1099" s="12">
        <v>1082</v>
      </c>
      <c r="B1099" s="10" t="s">
        <v>1015</v>
      </c>
      <c r="C1099" s="11" t="s">
        <v>1096</v>
      </c>
      <c r="D1099" s="9"/>
      <c r="E1099" s="9">
        <v>466</v>
      </c>
      <c r="F1099" s="10" t="s">
        <v>1066</v>
      </c>
      <c r="G1099" s="9">
        <v>914</v>
      </c>
      <c r="H1099" s="9">
        <v>1955</v>
      </c>
      <c r="I1099" s="8">
        <v>417.57499999999999</v>
      </c>
      <c r="J1099" s="8">
        <v>299.77499999999998</v>
      </c>
      <c r="K1099" s="8">
        <v>278.22300000000001</v>
      </c>
      <c r="L1099" s="8">
        <v>233.029</v>
      </c>
      <c r="M1099" s="8">
        <v>204.53100000000001</v>
      </c>
      <c r="N1099" s="8">
        <v>183.30799999999999</v>
      </c>
      <c r="O1099" s="8">
        <v>166.01</v>
      </c>
      <c r="P1099" s="8">
        <v>153.96600000000001</v>
      </c>
      <c r="Q1099" s="8">
        <v>134.30199999999999</v>
      </c>
      <c r="R1099" s="8">
        <v>114.57299999999999</v>
      </c>
      <c r="S1099" s="8">
        <v>91.688000000000002</v>
      </c>
      <c r="T1099" s="8">
        <v>65.569000000000003</v>
      </c>
      <c r="U1099" s="8">
        <v>46.826999999999998</v>
      </c>
      <c r="V1099" s="8">
        <v>30.347999999999999</v>
      </c>
      <c r="W1099" s="8">
        <v>17.288</v>
      </c>
      <c r="X1099" s="8">
        <v>7.3959999999999999</v>
      </c>
      <c r="Y1099" s="8">
        <v>2.1190000000000002</v>
      </c>
      <c r="Z1099" s="8">
        <v>0.33100000000000002</v>
      </c>
      <c r="AA1099" s="8">
        <v>2.1000000000000001E-2</v>
      </c>
      <c r="AB1099" s="8">
        <v>0</v>
      </c>
      <c r="AC1099" s="8">
        <v>0</v>
      </c>
    </row>
    <row r="1100" spans="1:29" ht="11.65" hidden="1" x14ac:dyDescent="0.35">
      <c r="A1100" s="12">
        <v>1083</v>
      </c>
      <c r="B1100" s="10" t="s">
        <v>1015</v>
      </c>
      <c r="C1100" s="11" t="s">
        <v>1096</v>
      </c>
      <c r="D1100" s="9"/>
      <c r="E1100" s="9">
        <v>466</v>
      </c>
      <c r="F1100" s="10" t="s">
        <v>1066</v>
      </c>
      <c r="G1100" s="9">
        <v>914</v>
      </c>
      <c r="H1100" s="9">
        <v>1960</v>
      </c>
      <c r="I1100" s="8">
        <v>440.13799999999998</v>
      </c>
      <c r="J1100" s="8">
        <v>339.75799999999998</v>
      </c>
      <c r="K1100" s="8">
        <v>282.22300000000001</v>
      </c>
      <c r="L1100" s="8">
        <v>264.19600000000003</v>
      </c>
      <c r="M1100" s="8">
        <v>215.62</v>
      </c>
      <c r="N1100" s="8">
        <v>186.333</v>
      </c>
      <c r="O1100" s="8">
        <v>166.60499999999999</v>
      </c>
      <c r="P1100" s="8">
        <v>150.929</v>
      </c>
      <c r="Q1100" s="8">
        <v>140.11000000000001</v>
      </c>
      <c r="R1100" s="8">
        <v>122.229</v>
      </c>
      <c r="S1100" s="8">
        <v>102.79</v>
      </c>
      <c r="T1100" s="8">
        <v>79.448999999999998</v>
      </c>
      <c r="U1100" s="8">
        <v>52.777999999999999</v>
      </c>
      <c r="V1100" s="8">
        <v>33.07</v>
      </c>
      <c r="W1100" s="8">
        <v>17.451000000000001</v>
      </c>
      <c r="X1100" s="8">
        <v>7.0750000000000002</v>
      </c>
      <c r="Y1100" s="8">
        <v>1.8169999999999999</v>
      </c>
      <c r="Z1100" s="8">
        <v>0.27600000000000002</v>
      </c>
      <c r="AA1100" s="8">
        <v>2.1000000000000001E-2</v>
      </c>
      <c r="AB1100" s="8">
        <v>0</v>
      </c>
      <c r="AC1100" s="8">
        <v>0</v>
      </c>
    </row>
    <row r="1101" spans="1:29" ht="11.65" hidden="1" x14ac:dyDescent="0.35">
      <c r="A1101" s="12">
        <v>1084</v>
      </c>
      <c r="B1101" s="10" t="s">
        <v>1015</v>
      </c>
      <c r="C1101" s="11" t="s">
        <v>1096</v>
      </c>
      <c r="D1101" s="9"/>
      <c r="E1101" s="9">
        <v>466</v>
      </c>
      <c r="F1101" s="10" t="s">
        <v>1066</v>
      </c>
      <c r="G1101" s="9">
        <v>914</v>
      </c>
      <c r="H1101" s="9">
        <v>1965</v>
      </c>
      <c r="I1101" s="8">
        <v>468.50400000000002</v>
      </c>
      <c r="J1101" s="8">
        <v>357.53500000000003</v>
      </c>
      <c r="K1101" s="8">
        <v>320.61500000000001</v>
      </c>
      <c r="L1101" s="8">
        <v>267.97899999999998</v>
      </c>
      <c r="M1101" s="8">
        <v>244.227</v>
      </c>
      <c r="N1101" s="8">
        <v>195.66200000000001</v>
      </c>
      <c r="O1101" s="8">
        <v>168.65100000000001</v>
      </c>
      <c r="P1101" s="8">
        <v>151.078</v>
      </c>
      <c r="Q1101" s="8">
        <v>137.18799999999999</v>
      </c>
      <c r="R1101" s="8">
        <v>127.6</v>
      </c>
      <c r="S1101" s="8">
        <v>109.883</v>
      </c>
      <c r="T1101" s="8">
        <v>89.429000000000002</v>
      </c>
      <c r="U1101" s="8">
        <v>64.430999999999997</v>
      </c>
      <c r="V1101" s="8">
        <v>37.74</v>
      </c>
      <c r="W1101" s="8">
        <v>19.408000000000001</v>
      </c>
      <c r="X1101" s="8">
        <v>7.391</v>
      </c>
      <c r="Y1101" s="8">
        <v>1.829</v>
      </c>
      <c r="Z1101" s="8">
        <v>0.254</v>
      </c>
      <c r="AA1101" s="8">
        <v>0.02</v>
      </c>
      <c r="AB1101" s="8">
        <v>0</v>
      </c>
      <c r="AC1101" s="8">
        <v>0</v>
      </c>
    </row>
    <row r="1102" spans="1:29" ht="11.65" hidden="1" x14ac:dyDescent="0.35">
      <c r="A1102" s="12">
        <v>1085</v>
      </c>
      <c r="B1102" s="10" t="s">
        <v>1015</v>
      </c>
      <c r="C1102" s="11" t="s">
        <v>1096</v>
      </c>
      <c r="D1102" s="9"/>
      <c r="E1102" s="9">
        <v>466</v>
      </c>
      <c r="F1102" s="10" t="s">
        <v>1066</v>
      </c>
      <c r="G1102" s="9">
        <v>914</v>
      </c>
      <c r="H1102" s="9">
        <v>1970</v>
      </c>
      <c r="I1102" s="8">
        <v>510.67200000000003</v>
      </c>
      <c r="J1102" s="8">
        <v>385.23099999999999</v>
      </c>
      <c r="K1102" s="8">
        <v>339.34500000000003</v>
      </c>
      <c r="L1102" s="8">
        <v>305.40499999999997</v>
      </c>
      <c r="M1102" s="8">
        <v>247.67400000000001</v>
      </c>
      <c r="N1102" s="8">
        <v>221.9</v>
      </c>
      <c r="O1102" s="8">
        <v>176.96899999999999</v>
      </c>
      <c r="P1102" s="8">
        <v>153.005</v>
      </c>
      <c r="Q1102" s="8">
        <v>137.65199999999999</v>
      </c>
      <c r="R1102" s="8">
        <v>125.401</v>
      </c>
      <c r="S1102" s="8">
        <v>115.483</v>
      </c>
      <c r="T1102" s="8">
        <v>96.613</v>
      </c>
      <c r="U1102" s="8">
        <v>73.841999999999999</v>
      </c>
      <c r="V1102" s="8">
        <v>47.518000000000001</v>
      </c>
      <c r="W1102" s="8">
        <v>23.265000000000001</v>
      </c>
      <c r="X1102" s="8">
        <v>8.9079999999999995</v>
      </c>
      <c r="Y1102" s="8">
        <v>2.1619999999999999</v>
      </c>
      <c r="Z1102" s="8">
        <v>0.30199999999999999</v>
      </c>
      <c r="AA1102" s="8">
        <v>2.1000000000000001E-2</v>
      </c>
      <c r="AB1102" s="8">
        <v>0</v>
      </c>
      <c r="AC1102" s="8">
        <v>0</v>
      </c>
    </row>
    <row r="1103" spans="1:29" ht="11.65" hidden="1" x14ac:dyDescent="0.35">
      <c r="A1103" s="12">
        <v>1086</v>
      </c>
      <c r="B1103" s="10" t="s">
        <v>1015</v>
      </c>
      <c r="C1103" s="11" t="s">
        <v>1096</v>
      </c>
      <c r="D1103" s="9"/>
      <c r="E1103" s="9">
        <v>466</v>
      </c>
      <c r="F1103" s="10" t="s">
        <v>1066</v>
      </c>
      <c r="G1103" s="9">
        <v>914</v>
      </c>
      <c r="H1103" s="9">
        <v>1975</v>
      </c>
      <c r="I1103" s="8">
        <v>570.43200000000002</v>
      </c>
      <c r="J1103" s="8">
        <v>431.06</v>
      </c>
      <c r="K1103" s="8">
        <v>368.54599999999999</v>
      </c>
      <c r="L1103" s="8">
        <v>325.37599999999998</v>
      </c>
      <c r="M1103" s="8">
        <v>285.56599999999997</v>
      </c>
      <c r="N1103" s="8">
        <v>227.40700000000001</v>
      </c>
      <c r="O1103" s="8">
        <v>203.636</v>
      </c>
      <c r="P1103" s="8">
        <v>162.48400000000001</v>
      </c>
      <c r="Q1103" s="8">
        <v>140.904</v>
      </c>
      <c r="R1103" s="8">
        <v>127.095</v>
      </c>
      <c r="S1103" s="8">
        <v>114.753</v>
      </c>
      <c r="T1103" s="8">
        <v>103.081</v>
      </c>
      <c r="U1103" s="8">
        <v>81.635999999999996</v>
      </c>
      <c r="V1103" s="8">
        <v>56.527000000000001</v>
      </c>
      <c r="W1103" s="8">
        <v>31.058</v>
      </c>
      <c r="X1103" s="8">
        <v>11.712999999999999</v>
      </c>
      <c r="Y1103" s="8">
        <v>3.0030000000000001</v>
      </c>
      <c r="Z1103" s="8">
        <v>0.42799999999999999</v>
      </c>
      <c r="AA1103" s="8">
        <v>3.3000000000000002E-2</v>
      </c>
      <c r="AB1103" s="8">
        <v>0</v>
      </c>
      <c r="AC1103" s="8">
        <v>0</v>
      </c>
    </row>
    <row r="1104" spans="1:29" ht="11.65" hidden="1" x14ac:dyDescent="0.35">
      <c r="A1104" s="12">
        <v>1087</v>
      </c>
      <c r="B1104" s="10" t="s">
        <v>1015</v>
      </c>
      <c r="C1104" s="11" t="s">
        <v>1096</v>
      </c>
      <c r="D1104" s="9"/>
      <c r="E1104" s="9">
        <v>466</v>
      </c>
      <c r="F1104" s="10" t="s">
        <v>1066</v>
      </c>
      <c r="G1104" s="9">
        <v>914</v>
      </c>
      <c r="H1104" s="9">
        <v>1980</v>
      </c>
      <c r="I1104" s="8">
        <v>634.20699999999999</v>
      </c>
      <c r="J1104" s="8">
        <v>491.33600000000001</v>
      </c>
      <c r="K1104" s="8">
        <v>414.74</v>
      </c>
      <c r="L1104" s="8">
        <v>353.358</v>
      </c>
      <c r="M1104" s="8">
        <v>301.88</v>
      </c>
      <c r="N1104" s="8">
        <v>259.46699999999998</v>
      </c>
      <c r="O1104" s="8">
        <v>205.64699999999999</v>
      </c>
      <c r="P1104" s="8">
        <v>185.80699999999999</v>
      </c>
      <c r="Q1104" s="8">
        <v>148.86600000000001</v>
      </c>
      <c r="R1104" s="8">
        <v>129.82300000000001</v>
      </c>
      <c r="S1104" s="8">
        <v>116.578</v>
      </c>
      <c r="T1104" s="8">
        <v>103.241</v>
      </c>
      <c r="U1104" s="8">
        <v>88.617000000000004</v>
      </c>
      <c r="V1104" s="8">
        <v>64.447999999999993</v>
      </c>
      <c r="W1104" s="8">
        <v>38.817999999999998</v>
      </c>
      <c r="X1104" s="8">
        <v>16.893999999999998</v>
      </c>
      <c r="Y1104" s="8">
        <v>4.4169999999999998</v>
      </c>
      <c r="Z1104" s="8">
        <v>0.69199999999999995</v>
      </c>
      <c r="AA1104" s="8">
        <v>5.5E-2</v>
      </c>
      <c r="AB1104" s="8">
        <v>2E-3</v>
      </c>
      <c r="AC1104" s="8">
        <v>0</v>
      </c>
    </row>
    <row r="1105" spans="1:29" ht="11.65" hidden="1" x14ac:dyDescent="0.35">
      <c r="A1105" s="12">
        <v>1088</v>
      </c>
      <c r="B1105" s="10" t="s">
        <v>1015</v>
      </c>
      <c r="C1105" s="11" t="s">
        <v>1096</v>
      </c>
      <c r="D1105" s="9"/>
      <c r="E1105" s="9">
        <v>466</v>
      </c>
      <c r="F1105" s="10" t="s">
        <v>1066</v>
      </c>
      <c r="G1105" s="9">
        <v>914</v>
      </c>
      <c r="H1105" s="9">
        <v>1985</v>
      </c>
      <c r="I1105" s="8">
        <v>707.697</v>
      </c>
      <c r="J1105" s="8">
        <v>558.36699999999996</v>
      </c>
      <c r="K1105" s="8">
        <v>475.791</v>
      </c>
      <c r="L1105" s="8">
        <v>398.89100000000002</v>
      </c>
      <c r="M1105" s="8">
        <v>327.851</v>
      </c>
      <c r="N1105" s="8">
        <v>273.34399999999999</v>
      </c>
      <c r="O1105" s="8">
        <v>234.93899999999999</v>
      </c>
      <c r="P1105" s="8">
        <v>187.06700000000001</v>
      </c>
      <c r="Q1105" s="8">
        <v>170.96199999999999</v>
      </c>
      <c r="R1105" s="8">
        <v>137.54599999999999</v>
      </c>
      <c r="S1105" s="8">
        <v>119.666</v>
      </c>
      <c r="T1105" s="8">
        <v>105.854</v>
      </c>
      <c r="U1105" s="8">
        <v>90.245999999999995</v>
      </c>
      <c r="V1105" s="8">
        <v>72.587999999999994</v>
      </c>
      <c r="W1105" s="8">
        <v>47.034999999999997</v>
      </c>
      <c r="X1105" s="8">
        <v>23.027999999999999</v>
      </c>
      <c r="Y1105" s="8">
        <v>7.133</v>
      </c>
      <c r="Z1105" s="8">
        <v>1.1539999999999999</v>
      </c>
      <c r="AA1105" s="8">
        <v>0.104</v>
      </c>
      <c r="AB1105" s="8">
        <v>3.0000000000000001E-3</v>
      </c>
      <c r="AC1105" s="8">
        <v>0</v>
      </c>
    </row>
    <row r="1106" spans="1:29" ht="11.65" hidden="1" x14ac:dyDescent="0.35">
      <c r="A1106" s="12">
        <v>1089</v>
      </c>
      <c r="B1106" s="10" t="s">
        <v>1015</v>
      </c>
      <c r="C1106" s="11" t="s">
        <v>1096</v>
      </c>
      <c r="D1106" s="9"/>
      <c r="E1106" s="9">
        <v>466</v>
      </c>
      <c r="F1106" s="10" t="s">
        <v>1066</v>
      </c>
      <c r="G1106" s="9">
        <v>914</v>
      </c>
      <c r="H1106" s="9">
        <v>1990</v>
      </c>
      <c r="I1106" s="8">
        <v>775.95399999999995</v>
      </c>
      <c r="J1106" s="8">
        <v>628.62</v>
      </c>
      <c r="K1106" s="8">
        <v>540.25599999999997</v>
      </c>
      <c r="L1106" s="8">
        <v>451.84399999999999</v>
      </c>
      <c r="M1106" s="8">
        <v>354.96499999999997</v>
      </c>
      <c r="N1106" s="8">
        <v>277.25700000000001</v>
      </c>
      <c r="O1106" s="8">
        <v>230.81100000000001</v>
      </c>
      <c r="P1106" s="8">
        <v>203.10400000000001</v>
      </c>
      <c r="Q1106" s="8">
        <v>164.36600000000001</v>
      </c>
      <c r="R1106" s="8">
        <v>153.774</v>
      </c>
      <c r="S1106" s="8">
        <v>124.06100000000001</v>
      </c>
      <c r="T1106" s="8">
        <v>107.185</v>
      </c>
      <c r="U1106" s="8">
        <v>94.093999999999994</v>
      </c>
      <c r="V1106" s="8">
        <v>76.585999999999999</v>
      </c>
      <c r="W1106" s="8">
        <v>54.585000000000001</v>
      </c>
      <c r="X1106" s="8">
        <v>29.033000000000001</v>
      </c>
      <c r="Y1106" s="8">
        <v>10.141</v>
      </c>
      <c r="Z1106" s="8">
        <v>1.9570000000000001</v>
      </c>
      <c r="AA1106" s="8">
        <v>0.182</v>
      </c>
      <c r="AB1106" s="8">
        <v>8.0000000000000002E-3</v>
      </c>
      <c r="AC1106" s="8">
        <v>0</v>
      </c>
    </row>
    <row r="1107" spans="1:29" ht="11.65" hidden="1" x14ac:dyDescent="0.35">
      <c r="A1107" s="12">
        <v>1090</v>
      </c>
      <c r="B1107" s="10" t="s">
        <v>1015</v>
      </c>
      <c r="C1107" s="11" t="s">
        <v>1096</v>
      </c>
      <c r="D1107" s="9"/>
      <c r="E1107" s="9">
        <v>466</v>
      </c>
      <c r="F1107" s="10" t="s">
        <v>1066</v>
      </c>
      <c r="G1107" s="9">
        <v>914</v>
      </c>
      <c r="H1107" s="9">
        <v>1995</v>
      </c>
      <c r="I1107" s="8">
        <v>888.77700000000004</v>
      </c>
      <c r="J1107" s="8">
        <v>702.79499999999996</v>
      </c>
      <c r="K1107" s="8">
        <v>613.30499999999995</v>
      </c>
      <c r="L1107" s="8">
        <v>525.11500000000001</v>
      </c>
      <c r="M1107" s="8">
        <v>428.54399999999998</v>
      </c>
      <c r="N1107" s="8">
        <v>330.02100000000002</v>
      </c>
      <c r="O1107" s="8">
        <v>256.54899999999998</v>
      </c>
      <c r="P1107" s="8">
        <v>214.62799999999999</v>
      </c>
      <c r="Q1107" s="8">
        <v>190.07900000000001</v>
      </c>
      <c r="R1107" s="8">
        <v>154.13999999999999</v>
      </c>
      <c r="S1107" s="8">
        <v>143.80500000000001</v>
      </c>
      <c r="T1107" s="8">
        <v>114.15900000000001</v>
      </c>
      <c r="U1107" s="8">
        <v>96.016000000000005</v>
      </c>
      <c r="V1107" s="8">
        <v>79.436999999999998</v>
      </c>
      <c r="W1107" s="8">
        <v>57.622999999999998</v>
      </c>
      <c r="X1107" s="8">
        <v>33.832999999999998</v>
      </c>
      <c r="Y1107" s="8">
        <v>13.119</v>
      </c>
      <c r="Z1107" s="8">
        <v>2.91</v>
      </c>
      <c r="AA1107" s="8">
        <v>0.32</v>
      </c>
      <c r="AB1107" s="8">
        <v>1.4999999999999999E-2</v>
      </c>
      <c r="AC1107" s="8">
        <v>0</v>
      </c>
    </row>
    <row r="1108" spans="1:29" ht="11.65" hidden="1" x14ac:dyDescent="0.35">
      <c r="A1108" s="12">
        <v>1091</v>
      </c>
      <c r="B1108" s="10" t="s">
        <v>1015</v>
      </c>
      <c r="C1108" s="11" t="s">
        <v>1096</v>
      </c>
      <c r="D1108" s="9"/>
      <c r="E1108" s="9">
        <v>466</v>
      </c>
      <c r="F1108" s="10" t="s">
        <v>1066</v>
      </c>
      <c r="G1108" s="9">
        <v>914</v>
      </c>
      <c r="H1108" s="9">
        <v>2000</v>
      </c>
      <c r="I1108" s="8">
        <v>1019.14</v>
      </c>
      <c r="J1108" s="8">
        <v>810.18899999999996</v>
      </c>
      <c r="K1108" s="8">
        <v>685.005</v>
      </c>
      <c r="L1108" s="8">
        <v>596.93399999999997</v>
      </c>
      <c r="M1108" s="8">
        <v>501.10500000000002</v>
      </c>
      <c r="N1108" s="8">
        <v>403.108</v>
      </c>
      <c r="O1108" s="8">
        <v>309.08600000000001</v>
      </c>
      <c r="P1108" s="8">
        <v>240.45699999999999</v>
      </c>
      <c r="Q1108" s="8">
        <v>201.72</v>
      </c>
      <c r="R1108" s="8">
        <v>179.06</v>
      </c>
      <c r="S1108" s="8">
        <v>144.221</v>
      </c>
      <c r="T1108" s="8">
        <v>132.405</v>
      </c>
      <c r="U1108" s="8">
        <v>101.839</v>
      </c>
      <c r="V1108" s="8">
        <v>80.384</v>
      </c>
      <c r="W1108" s="8">
        <v>59.079000000000001</v>
      </c>
      <c r="X1108" s="8">
        <v>35.14</v>
      </c>
      <c r="Y1108" s="8">
        <v>14.98</v>
      </c>
      <c r="Z1108" s="8">
        <v>3.6779999999999999</v>
      </c>
      <c r="AA1108" s="8">
        <v>0.46200000000000002</v>
      </c>
      <c r="AB1108" s="8">
        <v>2.5000000000000001E-2</v>
      </c>
      <c r="AC1108" s="8">
        <v>1E-3</v>
      </c>
    </row>
    <row r="1109" spans="1:29" ht="11.65" hidden="1" x14ac:dyDescent="0.35">
      <c r="A1109" s="12">
        <v>1092</v>
      </c>
      <c r="B1109" s="10" t="s">
        <v>1015</v>
      </c>
      <c r="C1109" s="11" t="s">
        <v>1096</v>
      </c>
      <c r="D1109" s="9"/>
      <c r="E1109" s="9">
        <v>466</v>
      </c>
      <c r="F1109" s="10" t="s">
        <v>1066</v>
      </c>
      <c r="G1109" s="9">
        <v>914</v>
      </c>
      <c r="H1109" s="9">
        <v>2005</v>
      </c>
      <c r="I1109" s="8">
        <v>1212.8140000000001</v>
      </c>
      <c r="J1109" s="8">
        <v>947.24900000000002</v>
      </c>
      <c r="K1109" s="8">
        <v>792.88599999999997</v>
      </c>
      <c r="L1109" s="8">
        <v>670.18799999999999</v>
      </c>
      <c r="M1109" s="8">
        <v>577.21</v>
      </c>
      <c r="N1109" s="8">
        <v>482.49400000000003</v>
      </c>
      <c r="O1109" s="8">
        <v>388.33800000000002</v>
      </c>
      <c r="P1109" s="8">
        <v>297.28800000000001</v>
      </c>
      <c r="Q1109" s="8">
        <v>230.501</v>
      </c>
      <c r="R1109" s="8">
        <v>192.696</v>
      </c>
      <c r="S1109" s="8">
        <v>169.512</v>
      </c>
      <c r="T1109" s="8">
        <v>134.023</v>
      </c>
      <c r="U1109" s="8">
        <v>118.715</v>
      </c>
      <c r="V1109" s="8">
        <v>85.478999999999999</v>
      </c>
      <c r="W1109" s="8">
        <v>60.332000000000001</v>
      </c>
      <c r="X1109" s="8">
        <v>36.625</v>
      </c>
      <c r="Y1109" s="8">
        <v>16.021000000000001</v>
      </c>
      <c r="Z1109" s="8">
        <v>4.375</v>
      </c>
      <c r="AA1109" s="8">
        <v>0.60899999999999999</v>
      </c>
      <c r="AB1109" s="8">
        <v>3.7999999999999999E-2</v>
      </c>
      <c r="AC1109" s="8">
        <v>1E-3</v>
      </c>
    </row>
    <row r="1110" spans="1:29" ht="11.65" hidden="1" x14ac:dyDescent="0.35">
      <c r="A1110" s="12">
        <v>1093</v>
      </c>
      <c r="B1110" s="10" t="s">
        <v>1015</v>
      </c>
      <c r="C1110" s="11" t="s">
        <v>1096</v>
      </c>
      <c r="D1110" s="9"/>
      <c r="E1110" s="9">
        <v>466</v>
      </c>
      <c r="F1110" s="10" t="s">
        <v>1066</v>
      </c>
      <c r="G1110" s="9">
        <v>914</v>
      </c>
      <c r="H1110" s="9">
        <v>2010</v>
      </c>
      <c r="I1110" s="8">
        <v>1438.778</v>
      </c>
      <c r="J1110" s="8">
        <v>1150.163</v>
      </c>
      <c r="K1110" s="8">
        <v>929.85900000000004</v>
      </c>
      <c r="L1110" s="8">
        <v>778.15099999999995</v>
      </c>
      <c r="M1110" s="8">
        <v>649.54300000000001</v>
      </c>
      <c r="N1110" s="8">
        <v>554.88900000000001</v>
      </c>
      <c r="O1110" s="8">
        <v>463.01299999999998</v>
      </c>
      <c r="P1110" s="8">
        <v>372.54599999999999</v>
      </c>
      <c r="Q1110" s="8">
        <v>284.75299999999999</v>
      </c>
      <c r="R1110" s="8">
        <v>220.29300000000001</v>
      </c>
      <c r="S1110" s="8">
        <v>182.81899999999999</v>
      </c>
      <c r="T1110" s="8">
        <v>158.303</v>
      </c>
      <c r="U1110" s="8">
        <v>121.116</v>
      </c>
      <c r="V1110" s="8">
        <v>101.012</v>
      </c>
      <c r="W1110" s="8">
        <v>65.462999999999994</v>
      </c>
      <c r="X1110" s="8">
        <v>38.509</v>
      </c>
      <c r="Y1110" s="8">
        <v>17.379000000000001</v>
      </c>
      <c r="Z1110" s="8">
        <v>4.92</v>
      </c>
      <c r="AA1110" s="8">
        <v>0.76500000000000001</v>
      </c>
      <c r="AB1110" s="8">
        <v>5.2999999999999999E-2</v>
      </c>
      <c r="AC1110" s="8">
        <v>2E-3</v>
      </c>
    </row>
    <row r="1111" spans="1:29" ht="11.65" hidden="1" x14ac:dyDescent="0.35">
      <c r="A1111" s="12">
        <v>1094</v>
      </c>
      <c r="B1111" s="10" t="s">
        <v>1015</v>
      </c>
      <c r="C1111" s="11" t="s">
        <v>1096</v>
      </c>
      <c r="D1111" s="9"/>
      <c r="E1111" s="9">
        <v>466</v>
      </c>
      <c r="F1111" s="10" t="s">
        <v>1066</v>
      </c>
      <c r="G1111" s="9">
        <v>914</v>
      </c>
      <c r="H1111" s="9">
        <v>2015</v>
      </c>
      <c r="I1111" s="8">
        <v>1605.242</v>
      </c>
      <c r="J1111" s="8">
        <v>1377.329</v>
      </c>
      <c r="K1111" s="8">
        <v>1128.576</v>
      </c>
      <c r="L1111" s="8">
        <v>908.30499999999995</v>
      </c>
      <c r="M1111" s="8">
        <v>743.17</v>
      </c>
      <c r="N1111" s="8">
        <v>610.505</v>
      </c>
      <c r="O1111" s="8">
        <v>521.154</v>
      </c>
      <c r="P1111" s="8">
        <v>436.541</v>
      </c>
      <c r="Q1111" s="8">
        <v>352.08300000000003</v>
      </c>
      <c r="R1111" s="8">
        <v>269.108</v>
      </c>
      <c r="S1111" s="8">
        <v>207.053</v>
      </c>
      <c r="T1111" s="8">
        <v>169.595</v>
      </c>
      <c r="U1111" s="8">
        <v>142.62899999999999</v>
      </c>
      <c r="V1111" s="8">
        <v>102.968</v>
      </c>
      <c r="W1111" s="8">
        <v>77.588999999999999</v>
      </c>
      <c r="X1111" s="8">
        <v>42.018999999999998</v>
      </c>
      <c r="Y1111" s="8">
        <v>18.417999999999999</v>
      </c>
      <c r="Z1111" s="8">
        <v>5.4119999999999999</v>
      </c>
      <c r="AA1111" s="8">
        <v>0.879</v>
      </c>
      <c r="AB1111" s="8">
        <v>6.9000000000000006E-2</v>
      </c>
      <c r="AC1111" s="8">
        <v>3.0000000000000001E-3</v>
      </c>
    </row>
    <row r="1112" spans="1:29" ht="11.65" hidden="1" x14ac:dyDescent="0.35">
      <c r="A1112" s="12">
        <v>1095</v>
      </c>
      <c r="B1112" s="10" t="s">
        <v>1015</v>
      </c>
      <c r="C1112" s="11" t="s">
        <v>1096</v>
      </c>
      <c r="D1112" s="9"/>
      <c r="E1112" s="9">
        <v>466</v>
      </c>
      <c r="F1112" s="10" t="s">
        <v>1066</v>
      </c>
      <c r="G1112" s="9">
        <v>914</v>
      </c>
      <c r="H1112" s="9">
        <v>2020</v>
      </c>
      <c r="I1112" s="8">
        <v>1771.982</v>
      </c>
      <c r="J1112" s="8">
        <v>1550.62</v>
      </c>
      <c r="K1112" s="8">
        <v>1356.7909999999999</v>
      </c>
      <c r="L1112" s="8">
        <v>1109.56</v>
      </c>
      <c r="M1112" s="8">
        <v>879.94</v>
      </c>
      <c r="N1112" s="8">
        <v>712.30399999999997</v>
      </c>
      <c r="O1112" s="8">
        <v>583.97699999999998</v>
      </c>
      <c r="P1112" s="8">
        <v>499.43</v>
      </c>
      <c r="Q1112" s="8">
        <v>418.62299999999999</v>
      </c>
      <c r="R1112" s="8">
        <v>337.23200000000003</v>
      </c>
      <c r="S1112" s="8">
        <v>255.93600000000001</v>
      </c>
      <c r="T1112" s="8">
        <v>194.01400000000001</v>
      </c>
      <c r="U1112" s="8">
        <v>154.25</v>
      </c>
      <c r="V1112" s="8">
        <v>122.651</v>
      </c>
      <c r="W1112" s="8">
        <v>80.12</v>
      </c>
      <c r="X1112" s="8">
        <v>50.697000000000003</v>
      </c>
      <c r="Y1112" s="8">
        <v>20.571000000000002</v>
      </c>
      <c r="Z1112" s="8">
        <v>5.89</v>
      </c>
      <c r="AA1112" s="8">
        <v>0.98899999999999999</v>
      </c>
      <c r="AB1112" s="8">
        <v>7.9000000000000001E-2</v>
      </c>
      <c r="AC1112" s="8">
        <v>4.0000000000000001E-3</v>
      </c>
    </row>
    <row r="1113" spans="1:29" ht="11.65" hidden="1" x14ac:dyDescent="0.35">
      <c r="A1113" s="12">
        <v>1096</v>
      </c>
      <c r="B1113" s="10" t="s">
        <v>1015</v>
      </c>
      <c r="C1113" s="11" t="s">
        <v>1097</v>
      </c>
      <c r="D1113" s="9"/>
      <c r="E1113" s="9">
        <v>478</v>
      </c>
      <c r="F1113" s="10" t="s">
        <v>1066</v>
      </c>
      <c r="G1113" s="9">
        <v>914</v>
      </c>
      <c r="H1113" s="9">
        <v>1950</v>
      </c>
      <c r="I1113" s="8">
        <v>58.707999999999998</v>
      </c>
      <c r="J1113" s="8">
        <v>46.561</v>
      </c>
      <c r="K1113" s="8">
        <v>40.704999999999998</v>
      </c>
      <c r="L1113" s="8">
        <v>35.637</v>
      </c>
      <c r="M1113" s="8">
        <v>30.635000000000002</v>
      </c>
      <c r="N1113" s="8">
        <v>26.012</v>
      </c>
      <c r="O1113" s="8">
        <v>22.007999999999999</v>
      </c>
      <c r="P1113" s="8">
        <v>18.448</v>
      </c>
      <c r="Q1113" s="8">
        <v>15.185</v>
      </c>
      <c r="R1113" s="8">
        <v>12.148</v>
      </c>
      <c r="S1113" s="8">
        <v>9.5</v>
      </c>
      <c r="T1113" s="8">
        <v>6.8319999999999999</v>
      </c>
      <c r="U1113" s="8">
        <v>4.4800000000000004</v>
      </c>
      <c r="V1113" s="8">
        <v>2.5830000000000002</v>
      </c>
      <c r="W1113" s="8">
        <v>1.2250000000000001</v>
      </c>
      <c r="X1113" s="8">
        <v>0.42499999999999999</v>
      </c>
      <c r="Y1113" s="8">
        <v>7.8E-2</v>
      </c>
      <c r="Z1113" s="8">
        <v>2.5999999999999999E-2</v>
      </c>
      <c r="AA1113" s="8">
        <v>5.0000000000000001E-3</v>
      </c>
      <c r="AB1113" s="8">
        <v>0</v>
      </c>
      <c r="AC1113" s="8">
        <v>0</v>
      </c>
    </row>
    <row r="1114" spans="1:29" ht="11.65" hidden="1" x14ac:dyDescent="0.35">
      <c r="A1114" s="12">
        <v>1097</v>
      </c>
      <c r="B1114" s="10" t="s">
        <v>1015</v>
      </c>
      <c r="C1114" s="11" t="s">
        <v>1097</v>
      </c>
      <c r="D1114" s="9"/>
      <c r="E1114" s="9">
        <v>478</v>
      </c>
      <c r="F1114" s="10" t="s">
        <v>1066</v>
      </c>
      <c r="G1114" s="9">
        <v>914</v>
      </c>
      <c r="H1114" s="9">
        <v>1955</v>
      </c>
      <c r="I1114" s="8">
        <v>65.245000000000005</v>
      </c>
      <c r="J1114" s="8">
        <v>52.064999999999998</v>
      </c>
      <c r="K1114" s="8">
        <v>45.241</v>
      </c>
      <c r="L1114" s="8">
        <v>39.497</v>
      </c>
      <c r="M1114" s="8">
        <v>34.204000000000001</v>
      </c>
      <c r="N1114" s="8">
        <v>29.18</v>
      </c>
      <c r="O1114" s="8">
        <v>24.623999999999999</v>
      </c>
      <c r="P1114" s="8">
        <v>20.689</v>
      </c>
      <c r="Q1114" s="8">
        <v>17.276</v>
      </c>
      <c r="R1114" s="8">
        <v>14.169</v>
      </c>
      <c r="S1114" s="8">
        <v>11.16</v>
      </c>
      <c r="T1114" s="8">
        <v>8.4949999999999992</v>
      </c>
      <c r="U1114" s="8">
        <v>5.8380000000000001</v>
      </c>
      <c r="V1114" s="8">
        <v>3.5670000000000002</v>
      </c>
      <c r="W1114" s="8">
        <v>1.8480000000000001</v>
      </c>
      <c r="X1114" s="8">
        <v>0.73799999999999999</v>
      </c>
      <c r="Y1114" s="8">
        <v>0.19900000000000001</v>
      </c>
      <c r="Z1114" s="8">
        <v>2.5000000000000001E-2</v>
      </c>
      <c r="AA1114" s="8">
        <v>7.0000000000000001E-3</v>
      </c>
      <c r="AB1114" s="8">
        <v>0</v>
      </c>
      <c r="AC1114" s="8">
        <v>0</v>
      </c>
    </row>
    <row r="1115" spans="1:29" ht="11.65" hidden="1" x14ac:dyDescent="0.35">
      <c r="A1115" s="12">
        <v>1098</v>
      </c>
      <c r="B1115" s="10" t="s">
        <v>1015</v>
      </c>
      <c r="C1115" s="11" t="s">
        <v>1097</v>
      </c>
      <c r="D1115" s="9"/>
      <c r="E1115" s="9">
        <v>478</v>
      </c>
      <c r="F1115" s="10" t="s">
        <v>1066</v>
      </c>
      <c r="G1115" s="9">
        <v>914</v>
      </c>
      <c r="H1115" s="9">
        <v>1960</v>
      </c>
      <c r="I1115" s="8">
        <v>78.474999999999994</v>
      </c>
      <c r="J1115" s="8">
        <v>58.862000000000002</v>
      </c>
      <c r="K1115" s="8">
        <v>50.808</v>
      </c>
      <c r="L1115" s="8">
        <v>44.142000000000003</v>
      </c>
      <c r="M1115" s="8">
        <v>38.173999999999999</v>
      </c>
      <c r="N1115" s="8">
        <v>32.598999999999997</v>
      </c>
      <c r="O1115" s="8">
        <v>27.640999999999998</v>
      </c>
      <c r="P1115" s="8">
        <v>23.391999999999999</v>
      </c>
      <c r="Q1115" s="8">
        <v>19.588000000000001</v>
      </c>
      <c r="R1115" s="8">
        <v>16.254999999999999</v>
      </c>
      <c r="S1115" s="8">
        <v>13.14</v>
      </c>
      <c r="T1115" s="8">
        <v>10.099</v>
      </c>
      <c r="U1115" s="8">
        <v>7.3730000000000002</v>
      </c>
      <c r="V1115" s="8">
        <v>4.7460000000000004</v>
      </c>
      <c r="W1115" s="8">
        <v>2.6259999999999999</v>
      </c>
      <c r="X1115" s="8">
        <v>1.1559999999999999</v>
      </c>
      <c r="Y1115" s="8">
        <v>0.36199999999999999</v>
      </c>
      <c r="Z1115" s="8">
        <v>6.9000000000000006E-2</v>
      </c>
      <c r="AA1115" s="8">
        <v>6.0000000000000001E-3</v>
      </c>
      <c r="AB1115" s="8">
        <v>0</v>
      </c>
      <c r="AC1115" s="8">
        <v>0</v>
      </c>
    </row>
    <row r="1116" spans="1:29" ht="11.65" hidden="1" x14ac:dyDescent="0.35">
      <c r="A1116" s="12">
        <v>1099</v>
      </c>
      <c r="B1116" s="10" t="s">
        <v>1015</v>
      </c>
      <c r="C1116" s="11" t="s">
        <v>1097</v>
      </c>
      <c r="D1116" s="9"/>
      <c r="E1116" s="9">
        <v>478</v>
      </c>
      <c r="F1116" s="10" t="s">
        <v>1066</v>
      </c>
      <c r="G1116" s="9">
        <v>914</v>
      </c>
      <c r="H1116" s="9">
        <v>1965</v>
      </c>
      <c r="I1116" s="8">
        <v>90.941999999999993</v>
      </c>
      <c r="J1116" s="8">
        <v>72.046000000000006</v>
      </c>
      <c r="K1116" s="8">
        <v>57.698</v>
      </c>
      <c r="L1116" s="8">
        <v>49.759</v>
      </c>
      <c r="M1116" s="8">
        <v>42.871000000000002</v>
      </c>
      <c r="N1116" s="8">
        <v>36.817999999999998</v>
      </c>
      <c r="O1116" s="8">
        <v>31.265000000000001</v>
      </c>
      <c r="P1116" s="8">
        <v>26.443999999999999</v>
      </c>
      <c r="Q1116" s="8">
        <v>22.335999999999999</v>
      </c>
      <c r="R1116" s="8">
        <v>18.588000000000001</v>
      </c>
      <c r="S1116" s="8">
        <v>15.22</v>
      </c>
      <c r="T1116" s="8">
        <v>12.034000000000001</v>
      </c>
      <c r="U1116" s="8">
        <v>8.9060000000000006</v>
      </c>
      <c r="V1116" s="8">
        <v>6.1230000000000002</v>
      </c>
      <c r="W1116" s="8">
        <v>3.589</v>
      </c>
      <c r="X1116" s="8">
        <v>1.7</v>
      </c>
      <c r="Y1116" s="8">
        <v>0.59199999999999997</v>
      </c>
      <c r="Z1116" s="8">
        <v>0.13300000000000001</v>
      </c>
      <c r="AA1116" s="8">
        <v>1.6E-2</v>
      </c>
      <c r="AB1116" s="8">
        <v>0</v>
      </c>
      <c r="AC1116" s="8">
        <v>0</v>
      </c>
    </row>
    <row r="1117" spans="1:29" ht="11.65" hidden="1" x14ac:dyDescent="0.35">
      <c r="A1117" s="12">
        <v>1100</v>
      </c>
      <c r="B1117" s="10" t="s">
        <v>1015</v>
      </c>
      <c r="C1117" s="11" t="s">
        <v>1097</v>
      </c>
      <c r="D1117" s="9"/>
      <c r="E1117" s="9">
        <v>478</v>
      </c>
      <c r="F1117" s="10" t="s">
        <v>1066</v>
      </c>
      <c r="G1117" s="9">
        <v>914</v>
      </c>
      <c r="H1117" s="9">
        <v>1970</v>
      </c>
      <c r="I1117" s="8">
        <v>104.756</v>
      </c>
      <c r="J1117" s="8">
        <v>84.783000000000001</v>
      </c>
      <c r="K1117" s="8">
        <v>70.893000000000001</v>
      </c>
      <c r="L1117" s="8">
        <v>56.715000000000003</v>
      </c>
      <c r="M1117" s="8">
        <v>48.564999999999998</v>
      </c>
      <c r="N1117" s="8">
        <v>41.600999999999999</v>
      </c>
      <c r="O1117" s="8">
        <v>35.524000000000001</v>
      </c>
      <c r="P1117" s="8">
        <v>30.055</v>
      </c>
      <c r="Q1117" s="8">
        <v>25.381</v>
      </c>
      <c r="R1117" s="8">
        <v>21.33</v>
      </c>
      <c r="S1117" s="8">
        <v>17.533999999999999</v>
      </c>
      <c r="T1117" s="8">
        <v>14.061</v>
      </c>
      <c r="U1117" s="8">
        <v>10.734999999999999</v>
      </c>
      <c r="V1117" s="8">
        <v>7.5069999999999997</v>
      </c>
      <c r="W1117" s="8">
        <v>4.7160000000000002</v>
      </c>
      <c r="X1117" s="8">
        <v>2.3820000000000001</v>
      </c>
      <c r="Y1117" s="8">
        <v>0.89800000000000002</v>
      </c>
      <c r="Z1117" s="8">
        <v>0.22600000000000001</v>
      </c>
      <c r="AA1117" s="8">
        <v>3.2000000000000001E-2</v>
      </c>
      <c r="AB1117" s="8">
        <v>3.0000000000000001E-3</v>
      </c>
      <c r="AC1117" s="8">
        <v>0</v>
      </c>
    </row>
    <row r="1118" spans="1:29" ht="11.65" hidden="1" x14ac:dyDescent="0.35">
      <c r="A1118" s="12">
        <v>1101</v>
      </c>
      <c r="B1118" s="10" t="s">
        <v>1015</v>
      </c>
      <c r="C1118" s="11" t="s">
        <v>1097</v>
      </c>
      <c r="D1118" s="9"/>
      <c r="E1118" s="9">
        <v>478</v>
      </c>
      <c r="F1118" s="10" t="s">
        <v>1066</v>
      </c>
      <c r="G1118" s="9">
        <v>914</v>
      </c>
      <c r="H1118" s="9">
        <v>1975</v>
      </c>
      <c r="I1118" s="8">
        <v>119.486</v>
      </c>
      <c r="J1118" s="8">
        <v>98.28</v>
      </c>
      <c r="K1118" s="8">
        <v>83.650999999999996</v>
      </c>
      <c r="L1118" s="8">
        <v>69.813000000000002</v>
      </c>
      <c r="M1118" s="8">
        <v>55.433</v>
      </c>
      <c r="N1118" s="8">
        <v>47.148000000000003</v>
      </c>
      <c r="O1118" s="8">
        <v>40.036000000000001</v>
      </c>
      <c r="P1118" s="8">
        <v>34.091000000000001</v>
      </c>
      <c r="Q1118" s="8">
        <v>28.931000000000001</v>
      </c>
      <c r="R1118" s="8">
        <v>24.356999999999999</v>
      </c>
      <c r="S1118" s="8">
        <v>20.224</v>
      </c>
      <c r="T1118" s="8">
        <v>16.298999999999999</v>
      </c>
      <c r="U1118" s="8">
        <v>12.646000000000001</v>
      </c>
      <c r="V1118" s="8">
        <v>9.1479999999999997</v>
      </c>
      <c r="W1118" s="8">
        <v>5.8620000000000001</v>
      </c>
      <c r="X1118" s="8">
        <v>3.1859999999999999</v>
      </c>
      <c r="Y1118" s="8">
        <v>1.2849999999999999</v>
      </c>
      <c r="Z1118" s="8">
        <v>0.35099999999999998</v>
      </c>
      <c r="AA1118" s="8">
        <v>5.7000000000000002E-2</v>
      </c>
      <c r="AB1118" s="8">
        <v>5.0000000000000001E-3</v>
      </c>
      <c r="AC1118" s="8">
        <v>0</v>
      </c>
    </row>
    <row r="1119" spans="1:29" ht="11.65" hidden="1" x14ac:dyDescent="0.35">
      <c r="A1119" s="12">
        <v>1102</v>
      </c>
      <c r="B1119" s="10" t="s">
        <v>1015</v>
      </c>
      <c r="C1119" s="11" t="s">
        <v>1097</v>
      </c>
      <c r="D1119" s="9"/>
      <c r="E1119" s="9">
        <v>478</v>
      </c>
      <c r="F1119" s="10" t="s">
        <v>1066</v>
      </c>
      <c r="G1119" s="9">
        <v>914</v>
      </c>
      <c r="H1119" s="9">
        <v>1980</v>
      </c>
      <c r="I1119" s="8">
        <v>135.654</v>
      </c>
      <c r="J1119" s="8">
        <v>112.98099999999999</v>
      </c>
      <c r="K1119" s="8">
        <v>97.106999999999999</v>
      </c>
      <c r="L1119" s="8">
        <v>82.441000000000003</v>
      </c>
      <c r="M1119" s="8">
        <v>68.144000000000005</v>
      </c>
      <c r="N1119" s="8">
        <v>53.655000000000001</v>
      </c>
      <c r="O1119" s="8">
        <v>45.506</v>
      </c>
      <c r="P1119" s="8">
        <v>38.619999999999997</v>
      </c>
      <c r="Q1119" s="8">
        <v>32.83</v>
      </c>
      <c r="R1119" s="8">
        <v>27.747</v>
      </c>
      <c r="S1119" s="8">
        <v>23.114999999999998</v>
      </c>
      <c r="T1119" s="8">
        <v>18.824000000000002</v>
      </c>
      <c r="U1119" s="8">
        <v>14.738</v>
      </c>
      <c r="V1119" s="8">
        <v>10.896000000000001</v>
      </c>
      <c r="W1119" s="8">
        <v>7.242</v>
      </c>
      <c r="X1119" s="8">
        <v>4.0330000000000004</v>
      </c>
      <c r="Y1119" s="8">
        <v>1.758</v>
      </c>
      <c r="Z1119" s="8">
        <v>0.51200000000000001</v>
      </c>
      <c r="AA1119" s="8">
        <v>9.0999999999999998E-2</v>
      </c>
      <c r="AB1119" s="8">
        <v>8.0000000000000002E-3</v>
      </c>
      <c r="AC1119" s="8">
        <v>0</v>
      </c>
    </row>
    <row r="1120" spans="1:29" ht="11.65" hidden="1" x14ac:dyDescent="0.35">
      <c r="A1120" s="12">
        <v>1103</v>
      </c>
      <c r="B1120" s="10" t="s">
        <v>1015</v>
      </c>
      <c r="C1120" s="11" t="s">
        <v>1097</v>
      </c>
      <c r="D1120" s="9"/>
      <c r="E1120" s="9">
        <v>478</v>
      </c>
      <c r="F1120" s="10" t="s">
        <v>1066</v>
      </c>
      <c r="G1120" s="9">
        <v>914</v>
      </c>
      <c r="H1120" s="9">
        <v>1985</v>
      </c>
      <c r="I1120" s="8">
        <v>153.81299999999999</v>
      </c>
      <c r="J1120" s="8">
        <v>129.41300000000001</v>
      </c>
      <c r="K1120" s="8">
        <v>111.81</v>
      </c>
      <c r="L1120" s="8">
        <v>95.774000000000001</v>
      </c>
      <c r="M1120" s="8">
        <v>80.376000000000005</v>
      </c>
      <c r="N1120" s="8">
        <v>65.870999999999995</v>
      </c>
      <c r="O1120" s="8">
        <v>51.695</v>
      </c>
      <c r="P1120" s="8">
        <v>43.860999999999997</v>
      </c>
      <c r="Q1120" s="8">
        <v>37.216999999999999</v>
      </c>
      <c r="R1120" s="8">
        <v>31.527999999999999</v>
      </c>
      <c r="S1120" s="8">
        <v>26.413</v>
      </c>
      <c r="T1120" s="8">
        <v>21.640999999999998</v>
      </c>
      <c r="U1120" s="8">
        <v>17.096</v>
      </c>
      <c r="V1120" s="8">
        <v>12.77</v>
      </c>
      <c r="W1120" s="8">
        <v>8.7260000000000009</v>
      </c>
      <c r="X1120" s="8">
        <v>5.056</v>
      </c>
      <c r="Y1120" s="8">
        <v>2.2650000000000001</v>
      </c>
      <c r="Z1120" s="8">
        <v>0.71299999999999997</v>
      </c>
      <c r="AA1120" s="8">
        <v>0.13400000000000001</v>
      </c>
      <c r="AB1120" s="8">
        <v>1.4999999999999999E-2</v>
      </c>
      <c r="AC1120" s="8">
        <v>1E-3</v>
      </c>
    </row>
    <row r="1121" spans="1:29" ht="11.65" hidden="1" x14ac:dyDescent="0.35">
      <c r="A1121" s="12">
        <v>1104</v>
      </c>
      <c r="B1121" s="10" t="s">
        <v>1015</v>
      </c>
      <c r="C1121" s="11" t="s">
        <v>1097</v>
      </c>
      <c r="D1121" s="9"/>
      <c r="E1121" s="9">
        <v>478</v>
      </c>
      <c r="F1121" s="10" t="s">
        <v>1066</v>
      </c>
      <c r="G1121" s="9">
        <v>914</v>
      </c>
      <c r="H1121" s="9">
        <v>1990</v>
      </c>
      <c r="I1121" s="8">
        <v>173.66</v>
      </c>
      <c r="J1121" s="8">
        <v>147.791</v>
      </c>
      <c r="K1121" s="8">
        <v>127.997</v>
      </c>
      <c r="L1121" s="8">
        <v>109.739</v>
      </c>
      <c r="M1121" s="8">
        <v>92.036000000000001</v>
      </c>
      <c r="N1121" s="8">
        <v>76.016000000000005</v>
      </c>
      <c r="O1121" s="8">
        <v>62.113</v>
      </c>
      <c r="P1121" s="8">
        <v>48.826999999999998</v>
      </c>
      <c r="Q1121" s="8">
        <v>41.634</v>
      </c>
      <c r="R1121" s="8">
        <v>35.32</v>
      </c>
      <c r="S1121" s="8">
        <v>29.739000000000001</v>
      </c>
      <c r="T1121" s="8">
        <v>24.599</v>
      </c>
      <c r="U1121" s="8">
        <v>19.663</v>
      </c>
      <c r="V1121" s="8">
        <v>14.824999999999999</v>
      </c>
      <c r="W1121" s="8">
        <v>10.249000000000001</v>
      </c>
      <c r="X1121" s="8">
        <v>6.1509999999999998</v>
      </c>
      <c r="Y1121" s="8">
        <v>2.8730000000000002</v>
      </c>
      <c r="Z1121" s="8">
        <v>0.93100000000000005</v>
      </c>
      <c r="AA1121" s="8">
        <v>0.19</v>
      </c>
      <c r="AB1121" s="8">
        <v>2.1999999999999999E-2</v>
      </c>
      <c r="AC1121" s="8">
        <v>1E-3</v>
      </c>
    </row>
    <row r="1122" spans="1:29" ht="11.65" hidden="1" x14ac:dyDescent="0.35">
      <c r="A1122" s="12">
        <v>1105</v>
      </c>
      <c r="B1122" s="10" t="s">
        <v>1015</v>
      </c>
      <c r="C1122" s="11" t="s">
        <v>1097</v>
      </c>
      <c r="D1122" s="9"/>
      <c r="E1122" s="9">
        <v>478</v>
      </c>
      <c r="F1122" s="10" t="s">
        <v>1066</v>
      </c>
      <c r="G1122" s="9">
        <v>914</v>
      </c>
      <c r="H1122" s="9">
        <v>1995</v>
      </c>
      <c r="I1122" s="8">
        <v>190.875</v>
      </c>
      <c r="J1122" s="8">
        <v>167.786</v>
      </c>
      <c r="K1122" s="8">
        <v>146.447</v>
      </c>
      <c r="L1122" s="8">
        <v>125.955</v>
      </c>
      <c r="M1122" s="8">
        <v>105.946</v>
      </c>
      <c r="N1122" s="8">
        <v>87.600999999999999</v>
      </c>
      <c r="O1122" s="8">
        <v>72.099999999999994</v>
      </c>
      <c r="P1122" s="8">
        <v>59.008000000000003</v>
      </c>
      <c r="Q1122" s="8">
        <v>46.536999999999999</v>
      </c>
      <c r="R1122" s="8">
        <v>39.710999999999999</v>
      </c>
      <c r="S1122" s="8">
        <v>33.536000000000001</v>
      </c>
      <c r="T1122" s="8">
        <v>27.864999999999998</v>
      </c>
      <c r="U1122" s="8">
        <v>22.378</v>
      </c>
      <c r="V1122" s="8">
        <v>17.149000000000001</v>
      </c>
      <c r="W1122" s="8">
        <v>12.023999999999999</v>
      </c>
      <c r="X1122" s="8">
        <v>7.2770000000000001</v>
      </c>
      <c r="Y1122" s="8">
        <v>3.524</v>
      </c>
      <c r="Z1122" s="8">
        <v>1.1919999999999999</v>
      </c>
      <c r="AA1122" s="8">
        <v>0.25</v>
      </c>
      <c r="AB1122" s="8">
        <v>0.03</v>
      </c>
      <c r="AC1122" s="8">
        <v>2E-3</v>
      </c>
    </row>
    <row r="1123" spans="1:29" ht="11.65" hidden="1" x14ac:dyDescent="0.35">
      <c r="A1123" s="12">
        <v>1106</v>
      </c>
      <c r="B1123" s="10" t="s">
        <v>1015</v>
      </c>
      <c r="C1123" s="11" t="s">
        <v>1097</v>
      </c>
      <c r="D1123" s="9"/>
      <c r="E1123" s="9">
        <v>478</v>
      </c>
      <c r="F1123" s="10" t="s">
        <v>1066</v>
      </c>
      <c r="G1123" s="9">
        <v>914</v>
      </c>
      <c r="H1123" s="9">
        <v>2000</v>
      </c>
      <c r="I1123" s="8">
        <v>212.57900000000001</v>
      </c>
      <c r="J1123" s="8">
        <v>184.26900000000001</v>
      </c>
      <c r="K1123" s="8">
        <v>166.256</v>
      </c>
      <c r="L1123" s="8">
        <v>144.06299999999999</v>
      </c>
      <c r="M1123" s="8">
        <v>121.008</v>
      </c>
      <c r="N1123" s="8">
        <v>99.783000000000001</v>
      </c>
      <c r="O1123" s="8">
        <v>82.682000000000002</v>
      </c>
      <c r="P1123" s="8">
        <v>68.617000000000004</v>
      </c>
      <c r="Q1123" s="8">
        <v>56.204000000000001</v>
      </c>
      <c r="R1123" s="8">
        <v>44.167999999999999</v>
      </c>
      <c r="S1123" s="8">
        <v>37.578000000000003</v>
      </c>
      <c r="T1123" s="8">
        <v>31.335000000000001</v>
      </c>
      <c r="U1123" s="8">
        <v>25.497</v>
      </c>
      <c r="V1123" s="8">
        <v>19.716000000000001</v>
      </c>
      <c r="W1123" s="8">
        <v>13.97</v>
      </c>
      <c r="X1123" s="8">
        <v>8.5839999999999996</v>
      </c>
      <c r="Y1123" s="8">
        <v>4.1959999999999997</v>
      </c>
      <c r="Z1123" s="8">
        <v>1.472</v>
      </c>
      <c r="AA1123" s="8">
        <v>0.32200000000000001</v>
      </c>
      <c r="AB1123" s="8">
        <v>0.04</v>
      </c>
      <c r="AC1123" s="8">
        <v>3.0000000000000001E-3</v>
      </c>
    </row>
    <row r="1124" spans="1:29" ht="11.65" hidden="1" x14ac:dyDescent="0.35">
      <c r="A1124" s="12">
        <v>1107</v>
      </c>
      <c r="B1124" s="10" t="s">
        <v>1015</v>
      </c>
      <c r="C1124" s="11" t="s">
        <v>1097</v>
      </c>
      <c r="D1124" s="9"/>
      <c r="E1124" s="9">
        <v>478</v>
      </c>
      <c r="F1124" s="10" t="s">
        <v>1066</v>
      </c>
      <c r="G1124" s="9">
        <v>914</v>
      </c>
      <c r="H1124" s="9">
        <v>2005</v>
      </c>
      <c r="I1124" s="8">
        <v>238.98599999999999</v>
      </c>
      <c r="J1124" s="8">
        <v>206.14500000000001</v>
      </c>
      <c r="K1124" s="8">
        <v>183.053</v>
      </c>
      <c r="L1124" s="8">
        <v>164.846</v>
      </c>
      <c r="M1124" s="8">
        <v>141.91900000000001</v>
      </c>
      <c r="N1124" s="8">
        <v>118.62</v>
      </c>
      <c r="O1124" s="8">
        <v>97.63</v>
      </c>
      <c r="P1124" s="8">
        <v>80.796000000000006</v>
      </c>
      <c r="Q1124" s="8">
        <v>66.888000000000005</v>
      </c>
      <c r="R1124" s="8">
        <v>54.515000000000001</v>
      </c>
      <c r="S1124" s="8">
        <v>42.445</v>
      </c>
      <c r="T1124" s="8">
        <v>35.576999999999998</v>
      </c>
      <c r="U1124" s="8">
        <v>28.917999999999999</v>
      </c>
      <c r="V1124" s="8">
        <v>22.494</v>
      </c>
      <c r="W1124" s="8">
        <v>16.085000000000001</v>
      </c>
      <c r="X1124" s="8">
        <v>10.005000000000001</v>
      </c>
      <c r="Y1124" s="8">
        <v>4.9800000000000004</v>
      </c>
      <c r="Z1124" s="8">
        <v>1.764</v>
      </c>
      <c r="AA1124" s="8">
        <v>0.4</v>
      </c>
      <c r="AB1124" s="8">
        <v>5.1999999999999998E-2</v>
      </c>
      <c r="AC1124" s="8">
        <v>4.0000000000000001E-3</v>
      </c>
    </row>
    <row r="1125" spans="1:29" ht="11.65" hidden="1" x14ac:dyDescent="0.35">
      <c r="A1125" s="12">
        <v>1108</v>
      </c>
      <c r="B1125" s="10" t="s">
        <v>1015</v>
      </c>
      <c r="C1125" s="11" t="s">
        <v>1097</v>
      </c>
      <c r="D1125" s="9"/>
      <c r="E1125" s="9">
        <v>478</v>
      </c>
      <c r="F1125" s="10" t="s">
        <v>1066</v>
      </c>
      <c r="G1125" s="9">
        <v>914</v>
      </c>
      <c r="H1125" s="9">
        <v>2010</v>
      </c>
      <c r="I1125" s="8">
        <v>271.209</v>
      </c>
      <c r="J1125" s="8">
        <v>233.07300000000001</v>
      </c>
      <c r="K1125" s="8">
        <v>205.12899999999999</v>
      </c>
      <c r="L1125" s="8">
        <v>182.28899999999999</v>
      </c>
      <c r="M1125" s="8">
        <v>164.173</v>
      </c>
      <c r="N1125" s="8">
        <v>141.30699999999999</v>
      </c>
      <c r="O1125" s="8">
        <v>117.884</v>
      </c>
      <c r="P1125" s="8">
        <v>96.695999999999998</v>
      </c>
      <c r="Q1125" s="8">
        <v>79.653999999999996</v>
      </c>
      <c r="R1125" s="8">
        <v>65.5</v>
      </c>
      <c r="S1125" s="8">
        <v>52.79</v>
      </c>
      <c r="T1125" s="8">
        <v>40.448999999999998</v>
      </c>
      <c r="U1125" s="8">
        <v>32.997999999999998</v>
      </c>
      <c r="V1125" s="8">
        <v>25.606999999999999</v>
      </c>
      <c r="W1125" s="8">
        <v>18.440000000000001</v>
      </c>
      <c r="X1125" s="8">
        <v>11.58</v>
      </c>
      <c r="Y1125" s="8">
        <v>5.8280000000000003</v>
      </c>
      <c r="Z1125" s="8">
        <v>2.1019999999999999</v>
      </c>
      <c r="AA1125" s="8">
        <v>0.48099999999999998</v>
      </c>
      <c r="AB1125" s="8">
        <v>6.4000000000000001E-2</v>
      </c>
      <c r="AC1125" s="8">
        <v>5.0000000000000001E-3</v>
      </c>
    </row>
    <row r="1126" spans="1:29" ht="11.65" hidden="1" x14ac:dyDescent="0.35">
      <c r="A1126" s="12">
        <v>1109</v>
      </c>
      <c r="B1126" s="10" t="s">
        <v>1015</v>
      </c>
      <c r="C1126" s="11" t="s">
        <v>1097</v>
      </c>
      <c r="D1126" s="9"/>
      <c r="E1126" s="9">
        <v>478</v>
      </c>
      <c r="F1126" s="10" t="s">
        <v>1066</v>
      </c>
      <c r="G1126" s="9">
        <v>914</v>
      </c>
      <c r="H1126" s="9">
        <v>2015</v>
      </c>
      <c r="I1126" s="8">
        <v>308.95999999999998</v>
      </c>
      <c r="J1126" s="8">
        <v>265.92599999999999</v>
      </c>
      <c r="K1126" s="8">
        <v>232.19900000000001</v>
      </c>
      <c r="L1126" s="8">
        <v>204.85</v>
      </c>
      <c r="M1126" s="8">
        <v>182.77500000000001</v>
      </c>
      <c r="N1126" s="8">
        <v>164.88900000000001</v>
      </c>
      <c r="O1126" s="8">
        <v>141.59299999999999</v>
      </c>
      <c r="P1126" s="8">
        <v>117.605</v>
      </c>
      <c r="Q1126" s="8">
        <v>95.947999999999993</v>
      </c>
      <c r="R1126" s="8">
        <v>78.456000000000003</v>
      </c>
      <c r="S1126" s="8">
        <v>63.725000000000001</v>
      </c>
      <c r="T1126" s="8">
        <v>50.527999999999999</v>
      </c>
      <c r="U1126" s="8">
        <v>37.67</v>
      </c>
      <c r="V1126" s="8">
        <v>29.305</v>
      </c>
      <c r="W1126" s="8">
        <v>21.07</v>
      </c>
      <c r="X1126" s="8">
        <v>13.339</v>
      </c>
      <c r="Y1126" s="8">
        <v>6.7830000000000004</v>
      </c>
      <c r="Z1126" s="8">
        <v>2.4740000000000002</v>
      </c>
      <c r="AA1126" s="8">
        <v>0.57699999999999996</v>
      </c>
      <c r="AB1126" s="8">
        <v>7.8E-2</v>
      </c>
      <c r="AC1126" s="8">
        <v>6.0000000000000001E-3</v>
      </c>
    </row>
    <row r="1127" spans="1:29" ht="11.65" hidden="1" x14ac:dyDescent="0.35">
      <c r="A1127" s="12">
        <v>1110</v>
      </c>
      <c r="B1127" s="10" t="s">
        <v>1015</v>
      </c>
      <c r="C1127" s="11" t="s">
        <v>1097</v>
      </c>
      <c r="D1127" s="9"/>
      <c r="E1127" s="9">
        <v>478</v>
      </c>
      <c r="F1127" s="10" t="s">
        <v>1066</v>
      </c>
      <c r="G1127" s="9">
        <v>914</v>
      </c>
      <c r="H1127" s="9">
        <v>2020</v>
      </c>
      <c r="I1127" s="8">
        <v>338.56900000000002</v>
      </c>
      <c r="J1127" s="8">
        <v>304.11599999999999</v>
      </c>
      <c r="K1127" s="8">
        <v>265.01600000000002</v>
      </c>
      <c r="L1127" s="8">
        <v>231.886</v>
      </c>
      <c r="M1127" s="8">
        <v>205.28899999999999</v>
      </c>
      <c r="N1127" s="8">
        <v>183.44499999999999</v>
      </c>
      <c r="O1127" s="8">
        <v>165.042</v>
      </c>
      <c r="P1127" s="8">
        <v>141.11500000000001</v>
      </c>
      <c r="Q1127" s="8">
        <v>116.60599999999999</v>
      </c>
      <c r="R1127" s="8">
        <v>94.468000000000004</v>
      </c>
      <c r="S1127" s="8">
        <v>76.349000000000004</v>
      </c>
      <c r="T1127" s="8">
        <v>61.034999999999997</v>
      </c>
      <c r="U1127" s="8">
        <v>47.128</v>
      </c>
      <c r="V1127" s="8">
        <v>33.552</v>
      </c>
      <c r="W1127" s="8">
        <v>24.204000000000001</v>
      </c>
      <c r="X1127" s="8">
        <v>15.318</v>
      </c>
      <c r="Y1127" s="8">
        <v>7.8609999999999998</v>
      </c>
      <c r="Z1127" s="8">
        <v>2.8969999999999998</v>
      </c>
      <c r="AA1127" s="8">
        <v>0.68200000000000005</v>
      </c>
      <c r="AB1127" s="8">
        <v>9.4E-2</v>
      </c>
      <c r="AC1127" s="8">
        <v>7.0000000000000001E-3</v>
      </c>
    </row>
    <row r="1128" spans="1:29" ht="11.65" hidden="1" x14ac:dyDescent="0.35">
      <c r="A1128" s="12">
        <v>1111</v>
      </c>
      <c r="B1128" s="10" t="s">
        <v>1015</v>
      </c>
      <c r="C1128" s="11" t="s">
        <v>1098</v>
      </c>
      <c r="D1128" s="9"/>
      <c r="E1128" s="9">
        <v>562</v>
      </c>
      <c r="F1128" s="10" t="s">
        <v>1066</v>
      </c>
      <c r="G1128" s="9">
        <v>914</v>
      </c>
      <c r="H1128" s="9">
        <v>1950</v>
      </c>
      <c r="I1128" s="8">
        <v>285.79599999999999</v>
      </c>
      <c r="J1128" s="8">
        <v>224.69399999999999</v>
      </c>
      <c r="K1128" s="8">
        <v>181.78899999999999</v>
      </c>
      <c r="L1128" s="8">
        <v>148.893</v>
      </c>
      <c r="M1128" s="8">
        <v>121.17700000000001</v>
      </c>
      <c r="N1128" s="8">
        <v>101.51900000000001</v>
      </c>
      <c r="O1128" s="8">
        <v>85.653000000000006</v>
      </c>
      <c r="P1128" s="8">
        <v>70.372</v>
      </c>
      <c r="Q1128" s="8">
        <v>56.094999999999999</v>
      </c>
      <c r="R1128" s="8">
        <v>42.774000000000001</v>
      </c>
      <c r="S1128" s="8">
        <v>36.332000000000001</v>
      </c>
      <c r="T1128" s="8">
        <v>24.693000000000001</v>
      </c>
      <c r="U1128" s="8">
        <v>10.250999999999999</v>
      </c>
      <c r="V1128" s="8">
        <v>6.1740000000000004</v>
      </c>
      <c r="W1128" s="8">
        <v>3.702</v>
      </c>
      <c r="X1128" s="8">
        <v>3.226</v>
      </c>
      <c r="Y1128" s="8">
        <v>0.97899999999999998</v>
      </c>
      <c r="Z1128" s="8">
        <v>0.17199999999999999</v>
      </c>
      <c r="AA1128" s="8">
        <v>1.4999999999999999E-2</v>
      </c>
      <c r="AB1128" s="8">
        <v>0</v>
      </c>
      <c r="AC1128" s="8">
        <v>0</v>
      </c>
    </row>
    <row r="1129" spans="1:29" ht="11.65" hidden="1" x14ac:dyDescent="0.35">
      <c r="A1129" s="12">
        <v>1112</v>
      </c>
      <c r="B1129" s="10" t="s">
        <v>1015</v>
      </c>
      <c r="C1129" s="11" t="s">
        <v>1098</v>
      </c>
      <c r="D1129" s="9"/>
      <c r="E1129" s="9">
        <v>562</v>
      </c>
      <c r="F1129" s="10" t="s">
        <v>1066</v>
      </c>
      <c r="G1129" s="9">
        <v>914</v>
      </c>
      <c r="H1129" s="9">
        <v>1955</v>
      </c>
      <c r="I1129" s="8">
        <v>294.84899999999999</v>
      </c>
      <c r="J1129" s="8">
        <v>244.30500000000001</v>
      </c>
      <c r="K1129" s="8">
        <v>214.30199999999999</v>
      </c>
      <c r="L1129" s="8">
        <v>175.124</v>
      </c>
      <c r="M1129" s="8">
        <v>141.62200000000001</v>
      </c>
      <c r="N1129" s="8">
        <v>114.422</v>
      </c>
      <c r="O1129" s="8">
        <v>95.55</v>
      </c>
      <c r="P1129" s="8">
        <v>80.308000000000007</v>
      </c>
      <c r="Q1129" s="8">
        <v>65.738</v>
      </c>
      <c r="R1129" s="8">
        <v>52.231999999999999</v>
      </c>
      <c r="S1129" s="8">
        <v>39.256999999999998</v>
      </c>
      <c r="T1129" s="8">
        <v>32.329000000000001</v>
      </c>
      <c r="U1129" s="8">
        <v>20.641999999999999</v>
      </c>
      <c r="V1129" s="8">
        <v>7.681</v>
      </c>
      <c r="W1129" s="8">
        <v>3.891</v>
      </c>
      <c r="X1129" s="8">
        <v>1.758</v>
      </c>
      <c r="Y1129" s="8">
        <v>0.999</v>
      </c>
      <c r="Z1129" s="8">
        <v>0.17199999999999999</v>
      </c>
      <c r="AA1129" s="8">
        <v>1.4999999999999999E-2</v>
      </c>
      <c r="AB1129" s="8">
        <v>0</v>
      </c>
      <c r="AC1129" s="8">
        <v>0</v>
      </c>
    </row>
    <row r="1130" spans="1:29" ht="11.65" hidden="1" x14ac:dyDescent="0.35">
      <c r="A1130" s="12">
        <v>1113</v>
      </c>
      <c r="B1130" s="10" t="s">
        <v>1015</v>
      </c>
      <c r="C1130" s="11" t="s">
        <v>1098</v>
      </c>
      <c r="D1130" s="9"/>
      <c r="E1130" s="9">
        <v>562</v>
      </c>
      <c r="F1130" s="10" t="s">
        <v>1066</v>
      </c>
      <c r="G1130" s="9">
        <v>914</v>
      </c>
      <c r="H1130" s="9">
        <v>1960</v>
      </c>
      <c r="I1130" s="8">
        <v>343.04899999999998</v>
      </c>
      <c r="J1130" s="8">
        <v>252.08</v>
      </c>
      <c r="K1130" s="8">
        <v>232.97499999999999</v>
      </c>
      <c r="L1130" s="8">
        <v>205.636</v>
      </c>
      <c r="M1130" s="8">
        <v>164.483</v>
      </c>
      <c r="N1130" s="8">
        <v>131.137</v>
      </c>
      <c r="O1130" s="8">
        <v>105.56699999999999</v>
      </c>
      <c r="P1130" s="8">
        <v>88.128</v>
      </c>
      <c r="Q1130" s="8">
        <v>74.085999999999999</v>
      </c>
      <c r="R1130" s="8">
        <v>61.107999999999997</v>
      </c>
      <c r="S1130" s="8">
        <v>48.338000000000001</v>
      </c>
      <c r="T1130" s="8">
        <v>35.220999999999997</v>
      </c>
      <c r="U1130" s="8">
        <v>27.251000000000001</v>
      </c>
      <c r="V1130" s="8">
        <v>15.628</v>
      </c>
      <c r="W1130" s="8">
        <v>4.9329999999999998</v>
      </c>
      <c r="X1130" s="8">
        <v>1.9019999999999999</v>
      </c>
      <c r="Y1130" s="8">
        <v>0.57199999999999995</v>
      </c>
      <c r="Z1130" s="8">
        <v>0.182</v>
      </c>
      <c r="AA1130" s="8">
        <v>1.6E-2</v>
      </c>
      <c r="AB1130" s="8">
        <v>0</v>
      </c>
      <c r="AC1130" s="8">
        <v>0</v>
      </c>
    </row>
    <row r="1131" spans="1:29" ht="11.65" hidden="1" x14ac:dyDescent="0.35">
      <c r="A1131" s="12">
        <v>1114</v>
      </c>
      <c r="B1131" s="10" t="s">
        <v>1015</v>
      </c>
      <c r="C1131" s="11" t="s">
        <v>1098</v>
      </c>
      <c r="D1131" s="9"/>
      <c r="E1131" s="9">
        <v>562</v>
      </c>
      <c r="F1131" s="10" t="s">
        <v>1066</v>
      </c>
      <c r="G1131" s="9">
        <v>914</v>
      </c>
      <c r="H1131" s="9">
        <v>1965</v>
      </c>
      <c r="I1131" s="8">
        <v>398.73700000000002</v>
      </c>
      <c r="J1131" s="8">
        <v>293.67500000000001</v>
      </c>
      <c r="K1131" s="8">
        <v>240.96799999999999</v>
      </c>
      <c r="L1131" s="8">
        <v>224.38</v>
      </c>
      <c r="M1131" s="8">
        <v>194.899</v>
      </c>
      <c r="N1131" s="8">
        <v>154.298</v>
      </c>
      <c r="O1131" s="8">
        <v>122.605</v>
      </c>
      <c r="P1131" s="8">
        <v>98.478999999999999</v>
      </c>
      <c r="Q1131" s="8">
        <v>82.061999999999998</v>
      </c>
      <c r="R1131" s="8">
        <v>69.082999999999998</v>
      </c>
      <c r="S1131" s="8">
        <v>56.423000000000002</v>
      </c>
      <c r="T1131" s="8">
        <v>43.323999999999998</v>
      </c>
      <c r="U1131" s="8">
        <v>29.742999999999999</v>
      </c>
      <c r="V1131" s="8">
        <v>20.722999999999999</v>
      </c>
      <c r="W1131" s="8">
        <v>10.081</v>
      </c>
      <c r="X1131" s="8">
        <v>2.4350000000000001</v>
      </c>
      <c r="Y1131" s="8">
        <v>0.627</v>
      </c>
      <c r="Z1131" s="8">
        <v>0.11</v>
      </c>
      <c r="AA1131" s="8">
        <v>1.9E-2</v>
      </c>
      <c r="AB1131" s="8">
        <v>0</v>
      </c>
      <c r="AC1131" s="8">
        <v>0</v>
      </c>
    </row>
    <row r="1132" spans="1:29" ht="11.65" hidden="1" x14ac:dyDescent="0.35">
      <c r="A1132" s="12">
        <v>1115</v>
      </c>
      <c r="B1132" s="10" t="s">
        <v>1015</v>
      </c>
      <c r="C1132" s="11" t="s">
        <v>1098</v>
      </c>
      <c r="D1132" s="9"/>
      <c r="E1132" s="9">
        <v>562</v>
      </c>
      <c r="F1132" s="10" t="s">
        <v>1066</v>
      </c>
      <c r="G1132" s="9">
        <v>914</v>
      </c>
      <c r="H1132" s="9">
        <v>1970</v>
      </c>
      <c r="I1132" s="8">
        <v>455.09500000000003</v>
      </c>
      <c r="J1132" s="8">
        <v>341.13400000000001</v>
      </c>
      <c r="K1132" s="8">
        <v>281.13600000000002</v>
      </c>
      <c r="L1132" s="8">
        <v>232.33</v>
      </c>
      <c r="M1132" s="8">
        <v>213.04900000000001</v>
      </c>
      <c r="N1132" s="8">
        <v>183.333</v>
      </c>
      <c r="O1132" s="8">
        <v>144.667</v>
      </c>
      <c r="P1132" s="8">
        <v>114.68</v>
      </c>
      <c r="Q1132" s="8">
        <v>91.911000000000001</v>
      </c>
      <c r="R1132" s="8">
        <v>76.656999999999996</v>
      </c>
      <c r="S1132" s="8">
        <v>63.892000000000003</v>
      </c>
      <c r="T1132" s="8">
        <v>50.685000000000002</v>
      </c>
      <c r="U1132" s="8">
        <v>36.72</v>
      </c>
      <c r="V1132" s="8">
        <v>22.765000000000001</v>
      </c>
      <c r="W1132" s="8">
        <v>13.497999999999999</v>
      </c>
      <c r="X1132" s="8">
        <v>5.0439999999999996</v>
      </c>
      <c r="Y1132" s="8">
        <v>0.82199999999999995</v>
      </c>
      <c r="Z1132" s="8">
        <v>0.124</v>
      </c>
      <c r="AA1132" s="8">
        <v>1.0999999999999999E-2</v>
      </c>
      <c r="AB1132" s="8">
        <v>0</v>
      </c>
      <c r="AC1132" s="8">
        <v>0</v>
      </c>
    </row>
    <row r="1133" spans="1:29" ht="11.65" hidden="1" x14ac:dyDescent="0.35">
      <c r="A1133" s="12">
        <v>1116</v>
      </c>
      <c r="B1133" s="10" t="s">
        <v>1015</v>
      </c>
      <c r="C1133" s="11" t="s">
        <v>1098</v>
      </c>
      <c r="D1133" s="9"/>
      <c r="E1133" s="9">
        <v>562</v>
      </c>
      <c r="F1133" s="10" t="s">
        <v>1066</v>
      </c>
      <c r="G1133" s="9">
        <v>914</v>
      </c>
      <c r="H1133" s="9">
        <v>1975</v>
      </c>
      <c r="I1133" s="8">
        <v>514.45399999999995</v>
      </c>
      <c r="J1133" s="8">
        <v>389.10599999999999</v>
      </c>
      <c r="K1133" s="8">
        <v>327.613</v>
      </c>
      <c r="L1133" s="8">
        <v>271.755</v>
      </c>
      <c r="M1133" s="8">
        <v>221.34700000000001</v>
      </c>
      <c r="N1133" s="8">
        <v>201.25200000000001</v>
      </c>
      <c r="O1133" s="8">
        <v>172.72800000000001</v>
      </c>
      <c r="P1133" s="8">
        <v>135.97499999999999</v>
      </c>
      <c r="Q1133" s="8">
        <v>107.53100000000001</v>
      </c>
      <c r="R1133" s="8">
        <v>86.201999999999998</v>
      </c>
      <c r="S1133" s="8">
        <v>71.194999999999993</v>
      </c>
      <c r="T1133" s="8">
        <v>57.718000000000004</v>
      </c>
      <c r="U1133" s="8">
        <v>43.341000000000001</v>
      </c>
      <c r="V1133" s="8">
        <v>28.510999999999999</v>
      </c>
      <c r="W1133" s="8">
        <v>15.164999999999999</v>
      </c>
      <c r="X1133" s="8">
        <v>6.9930000000000003</v>
      </c>
      <c r="Y1133" s="8">
        <v>1.7849999999999999</v>
      </c>
      <c r="Z1133" s="8">
        <v>0.17599999999999999</v>
      </c>
      <c r="AA1133" s="8">
        <v>1.4999999999999999E-2</v>
      </c>
      <c r="AB1133" s="8">
        <v>0</v>
      </c>
      <c r="AC1133" s="8">
        <v>0</v>
      </c>
    </row>
    <row r="1134" spans="1:29" ht="11.65" hidden="1" x14ac:dyDescent="0.35">
      <c r="A1134" s="12">
        <v>1117</v>
      </c>
      <c r="B1134" s="10" t="s">
        <v>1015</v>
      </c>
      <c r="C1134" s="11" t="s">
        <v>1098</v>
      </c>
      <c r="D1134" s="9"/>
      <c r="E1134" s="9">
        <v>562</v>
      </c>
      <c r="F1134" s="10" t="s">
        <v>1066</v>
      </c>
      <c r="G1134" s="9">
        <v>914</v>
      </c>
      <c r="H1134" s="9">
        <v>1980</v>
      </c>
      <c r="I1134" s="8">
        <v>596.79600000000005</v>
      </c>
      <c r="J1134" s="8">
        <v>439.59899999999999</v>
      </c>
      <c r="K1134" s="8">
        <v>375.50200000000001</v>
      </c>
      <c r="L1134" s="8">
        <v>317.70800000000003</v>
      </c>
      <c r="M1134" s="8">
        <v>259.86900000000003</v>
      </c>
      <c r="N1134" s="8">
        <v>209.72</v>
      </c>
      <c r="O1134" s="8">
        <v>190.33600000000001</v>
      </c>
      <c r="P1134" s="8">
        <v>163.14500000000001</v>
      </c>
      <c r="Q1134" s="8">
        <v>128.15100000000001</v>
      </c>
      <c r="R1134" s="8">
        <v>101.46299999999999</v>
      </c>
      <c r="S1134" s="8">
        <v>80.712000000000003</v>
      </c>
      <c r="T1134" s="8">
        <v>64.977999999999994</v>
      </c>
      <c r="U1134" s="8">
        <v>50.107999999999997</v>
      </c>
      <c r="V1134" s="8">
        <v>34.46</v>
      </c>
      <c r="W1134" s="8">
        <v>19.690999999999999</v>
      </c>
      <c r="X1134" s="8">
        <v>8.3049999999999997</v>
      </c>
      <c r="Y1134" s="8">
        <v>2.6819999999999999</v>
      </c>
      <c r="Z1134" s="8">
        <v>0.41499999999999998</v>
      </c>
      <c r="AA1134" s="8">
        <v>2.1999999999999999E-2</v>
      </c>
      <c r="AB1134" s="8">
        <v>0</v>
      </c>
      <c r="AC1134" s="8">
        <v>0</v>
      </c>
    </row>
    <row r="1135" spans="1:29" ht="11.65" hidden="1" x14ac:dyDescent="0.35">
      <c r="A1135" s="12">
        <v>1118</v>
      </c>
      <c r="B1135" s="10" t="s">
        <v>1015</v>
      </c>
      <c r="C1135" s="11" t="s">
        <v>1098</v>
      </c>
      <c r="D1135" s="9"/>
      <c r="E1135" s="9">
        <v>562</v>
      </c>
      <c r="F1135" s="10" t="s">
        <v>1066</v>
      </c>
      <c r="G1135" s="9">
        <v>914</v>
      </c>
      <c r="H1135" s="9">
        <v>1985</v>
      </c>
      <c r="I1135" s="8">
        <v>701.327</v>
      </c>
      <c r="J1135" s="8">
        <v>515.04999999999995</v>
      </c>
      <c r="K1135" s="8">
        <v>427.1</v>
      </c>
      <c r="L1135" s="8">
        <v>365.90600000000001</v>
      </c>
      <c r="M1135" s="8">
        <v>305.79399999999998</v>
      </c>
      <c r="N1135" s="8">
        <v>248.06700000000001</v>
      </c>
      <c r="O1135" s="8">
        <v>199.708</v>
      </c>
      <c r="P1135" s="8">
        <v>181.18199999999999</v>
      </c>
      <c r="Q1135" s="8">
        <v>155.05600000000001</v>
      </c>
      <c r="R1135" s="8">
        <v>121.494</v>
      </c>
      <c r="S1135" s="8">
        <v>95.507000000000005</v>
      </c>
      <c r="T1135" s="8">
        <v>74.590999999999994</v>
      </c>
      <c r="U1135" s="8">
        <v>57.493000000000002</v>
      </c>
      <c r="V1135" s="8">
        <v>41.057000000000002</v>
      </c>
      <c r="W1135" s="8">
        <v>24.890999999999998</v>
      </c>
      <c r="X1135" s="8">
        <v>11.529</v>
      </c>
      <c r="Y1135" s="8">
        <v>3.5030000000000001</v>
      </c>
      <c r="Z1135" s="8">
        <v>0.70699999999999996</v>
      </c>
      <c r="AA1135" s="8">
        <v>6.0999999999999999E-2</v>
      </c>
      <c r="AB1135" s="8">
        <v>2E-3</v>
      </c>
      <c r="AC1135" s="8">
        <v>0</v>
      </c>
    </row>
    <row r="1136" spans="1:29" ht="11.65" hidden="1" x14ac:dyDescent="0.35">
      <c r="A1136" s="12">
        <v>1119</v>
      </c>
      <c r="B1136" s="10" t="s">
        <v>1015</v>
      </c>
      <c r="C1136" s="11" t="s">
        <v>1098</v>
      </c>
      <c r="D1136" s="9"/>
      <c r="E1136" s="9">
        <v>562</v>
      </c>
      <c r="F1136" s="10" t="s">
        <v>1066</v>
      </c>
      <c r="G1136" s="9">
        <v>914</v>
      </c>
      <c r="H1136" s="9">
        <v>1990</v>
      </c>
      <c r="I1136" s="8">
        <v>792.79600000000005</v>
      </c>
      <c r="J1136" s="8">
        <v>607.61400000000003</v>
      </c>
      <c r="K1136" s="8">
        <v>504.21</v>
      </c>
      <c r="L1136" s="8">
        <v>418.786</v>
      </c>
      <c r="M1136" s="8">
        <v>355.48099999999999</v>
      </c>
      <c r="N1136" s="8">
        <v>295.19200000000001</v>
      </c>
      <c r="O1136" s="8">
        <v>238.95699999999999</v>
      </c>
      <c r="P1136" s="8">
        <v>192.108</v>
      </c>
      <c r="Q1136" s="8">
        <v>173.97800000000001</v>
      </c>
      <c r="R1136" s="8">
        <v>148.81299999999999</v>
      </c>
      <c r="S1136" s="8">
        <v>115.807</v>
      </c>
      <c r="T1136" s="8">
        <v>89.284999999999997</v>
      </c>
      <c r="U1136" s="8">
        <v>67.2</v>
      </c>
      <c r="V1136" s="8">
        <v>48.472000000000001</v>
      </c>
      <c r="W1136" s="8">
        <v>30.940999999999999</v>
      </c>
      <c r="X1136" s="8">
        <v>15.500999999999999</v>
      </c>
      <c r="Y1136" s="8">
        <v>5.2889999999999997</v>
      </c>
      <c r="Z1136" s="8">
        <v>1.028</v>
      </c>
      <c r="AA1136" s="8">
        <v>0.11799999999999999</v>
      </c>
      <c r="AB1136" s="8">
        <v>6.0000000000000001E-3</v>
      </c>
      <c r="AC1136" s="8">
        <v>0</v>
      </c>
    </row>
    <row r="1137" spans="1:29" ht="11.65" hidden="1" x14ac:dyDescent="0.35">
      <c r="A1137" s="12">
        <v>1120</v>
      </c>
      <c r="B1137" s="10" t="s">
        <v>1015</v>
      </c>
      <c r="C1137" s="11" t="s">
        <v>1098</v>
      </c>
      <c r="D1137" s="9"/>
      <c r="E1137" s="9">
        <v>562</v>
      </c>
      <c r="F1137" s="10" t="s">
        <v>1066</v>
      </c>
      <c r="G1137" s="9">
        <v>914</v>
      </c>
      <c r="H1137" s="9">
        <v>1995</v>
      </c>
      <c r="I1137" s="8">
        <v>939.25199999999995</v>
      </c>
      <c r="J1137" s="8">
        <v>699.26499999999999</v>
      </c>
      <c r="K1137" s="8">
        <v>597.00699999999995</v>
      </c>
      <c r="L1137" s="8">
        <v>496.53699999999998</v>
      </c>
      <c r="M1137" s="8">
        <v>410.20100000000002</v>
      </c>
      <c r="N1137" s="8">
        <v>346.90300000000002</v>
      </c>
      <c r="O1137" s="8">
        <v>287.53300000000002</v>
      </c>
      <c r="P1137" s="8">
        <v>232.245</v>
      </c>
      <c r="Q1137" s="8">
        <v>186.071</v>
      </c>
      <c r="R1137" s="8">
        <v>167.80600000000001</v>
      </c>
      <c r="S1137" s="8">
        <v>142.17400000000001</v>
      </c>
      <c r="T1137" s="8">
        <v>108.69499999999999</v>
      </c>
      <c r="U1137" s="8">
        <v>81.010999999999996</v>
      </c>
      <c r="V1137" s="8">
        <v>57.338000000000001</v>
      </c>
      <c r="W1137" s="8">
        <v>37.209000000000003</v>
      </c>
      <c r="X1137" s="8">
        <v>19.791</v>
      </c>
      <c r="Y1137" s="8">
        <v>7.3739999999999997</v>
      </c>
      <c r="Z1137" s="8">
        <v>1.6259999999999999</v>
      </c>
      <c r="AA1137" s="8">
        <v>0.18</v>
      </c>
      <c r="AB1137" s="8">
        <v>0.01</v>
      </c>
      <c r="AC1137" s="8">
        <v>0</v>
      </c>
    </row>
    <row r="1138" spans="1:29" ht="11.65" hidden="1" x14ac:dyDescent="0.35">
      <c r="A1138" s="12">
        <v>1121</v>
      </c>
      <c r="B1138" s="10" t="s">
        <v>1015</v>
      </c>
      <c r="C1138" s="11" t="s">
        <v>1098</v>
      </c>
      <c r="D1138" s="9"/>
      <c r="E1138" s="9">
        <v>562</v>
      </c>
      <c r="F1138" s="10" t="s">
        <v>1066</v>
      </c>
      <c r="G1138" s="9">
        <v>914</v>
      </c>
      <c r="H1138" s="9">
        <v>2000</v>
      </c>
      <c r="I1138" s="8">
        <v>1147.992</v>
      </c>
      <c r="J1138" s="8">
        <v>848.25</v>
      </c>
      <c r="K1138" s="8">
        <v>687.13199999999995</v>
      </c>
      <c r="L1138" s="8">
        <v>587.803</v>
      </c>
      <c r="M1138" s="8">
        <v>485.79700000000003</v>
      </c>
      <c r="N1138" s="8">
        <v>399.60700000000003</v>
      </c>
      <c r="O1138" s="8">
        <v>337.327</v>
      </c>
      <c r="P1138" s="8">
        <v>279.05900000000003</v>
      </c>
      <c r="Q1138" s="8">
        <v>224.69900000000001</v>
      </c>
      <c r="R1138" s="8">
        <v>179.32900000000001</v>
      </c>
      <c r="S1138" s="8">
        <v>160.24600000000001</v>
      </c>
      <c r="T1138" s="8">
        <v>133.41200000000001</v>
      </c>
      <c r="U1138" s="8">
        <v>98.63</v>
      </c>
      <c r="V1138" s="8">
        <v>69.155000000000001</v>
      </c>
      <c r="W1138" s="8">
        <v>44.055</v>
      </c>
      <c r="X1138" s="8">
        <v>23.835999999999999</v>
      </c>
      <c r="Y1138" s="8">
        <v>9.4329999999999998</v>
      </c>
      <c r="Z1138" s="8">
        <v>2.2730000000000001</v>
      </c>
      <c r="AA1138" s="8">
        <v>0.28499999999999998</v>
      </c>
      <c r="AB1138" s="8">
        <v>1.7000000000000001E-2</v>
      </c>
      <c r="AC1138" s="8">
        <v>1E-3</v>
      </c>
    </row>
    <row r="1139" spans="1:29" ht="11.65" hidden="1" x14ac:dyDescent="0.35">
      <c r="A1139" s="12">
        <v>1122</v>
      </c>
      <c r="B1139" s="10" t="s">
        <v>1015</v>
      </c>
      <c r="C1139" s="11" t="s">
        <v>1098</v>
      </c>
      <c r="D1139" s="9"/>
      <c r="E1139" s="9">
        <v>562</v>
      </c>
      <c r="F1139" s="10" t="s">
        <v>1066</v>
      </c>
      <c r="G1139" s="9">
        <v>914</v>
      </c>
      <c r="H1139" s="9">
        <v>2005</v>
      </c>
      <c r="I1139" s="8">
        <v>1393.383</v>
      </c>
      <c r="J1139" s="8">
        <v>1061.7840000000001</v>
      </c>
      <c r="K1139" s="8">
        <v>833.94</v>
      </c>
      <c r="L1139" s="8">
        <v>676.8</v>
      </c>
      <c r="M1139" s="8">
        <v>575.22400000000005</v>
      </c>
      <c r="N1139" s="8">
        <v>473.33300000000003</v>
      </c>
      <c r="O1139" s="8">
        <v>388.63900000000001</v>
      </c>
      <c r="P1139" s="8">
        <v>327.47000000000003</v>
      </c>
      <c r="Q1139" s="8">
        <v>270.08800000000002</v>
      </c>
      <c r="R1139" s="8">
        <v>216.64</v>
      </c>
      <c r="S1139" s="8">
        <v>171.31299999999999</v>
      </c>
      <c r="T1139" s="8">
        <v>150.44900000000001</v>
      </c>
      <c r="U1139" s="8">
        <v>121.202</v>
      </c>
      <c r="V1139" s="8">
        <v>84.37</v>
      </c>
      <c r="W1139" s="8">
        <v>53.287999999999997</v>
      </c>
      <c r="X1139" s="8">
        <v>28.321999999999999</v>
      </c>
      <c r="Y1139" s="8">
        <v>11.417</v>
      </c>
      <c r="Z1139" s="8">
        <v>2.9279999999999999</v>
      </c>
      <c r="AA1139" s="8">
        <v>0.4</v>
      </c>
      <c r="AB1139" s="8">
        <v>2.9000000000000001E-2</v>
      </c>
      <c r="AC1139" s="8">
        <v>1E-3</v>
      </c>
    </row>
    <row r="1140" spans="1:29" ht="11.65" hidden="1" x14ac:dyDescent="0.35">
      <c r="A1140" s="12">
        <v>1123</v>
      </c>
      <c r="B1140" s="10" t="s">
        <v>1015</v>
      </c>
      <c r="C1140" s="11" t="s">
        <v>1098</v>
      </c>
      <c r="D1140" s="9"/>
      <c r="E1140" s="9">
        <v>562</v>
      </c>
      <c r="F1140" s="10" t="s">
        <v>1066</v>
      </c>
      <c r="G1140" s="9">
        <v>914</v>
      </c>
      <c r="H1140" s="9">
        <v>2010</v>
      </c>
      <c r="I1140" s="8">
        <v>1680.6369999999999</v>
      </c>
      <c r="J1140" s="8">
        <v>1318.8920000000001</v>
      </c>
      <c r="K1140" s="8">
        <v>1045.509</v>
      </c>
      <c r="L1140" s="8">
        <v>822.33399999999995</v>
      </c>
      <c r="M1140" s="8">
        <v>662.97699999999998</v>
      </c>
      <c r="N1140" s="8">
        <v>561.02800000000002</v>
      </c>
      <c r="O1140" s="8">
        <v>460.827</v>
      </c>
      <c r="P1140" s="8">
        <v>377.74</v>
      </c>
      <c r="Q1140" s="8">
        <v>317.392</v>
      </c>
      <c r="R1140" s="8">
        <v>260.80399999999997</v>
      </c>
      <c r="S1140" s="8">
        <v>207.39500000000001</v>
      </c>
      <c r="T1140" s="8">
        <v>161.304</v>
      </c>
      <c r="U1140" s="8">
        <v>137.244</v>
      </c>
      <c r="V1140" s="8">
        <v>104.379</v>
      </c>
      <c r="W1140" s="8">
        <v>65.677999999999997</v>
      </c>
      <c r="X1140" s="8">
        <v>34.805</v>
      </c>
      <c r="Y1140" s="8">
        <v>13.862</v>
      </c>
      <c r="Z1140" s="8">
        <v>3.6339999999999999</v>
      </c>
      <c r="AA1140" s="8">
        <v>0.53</v>
      </c>
      <c r="AB1140" s="8">
        <v>0.04</v>
      </c>
      <c r="AC1140" s="8">
        <v>2E-3</v>
      </c>
    </row>
    <row r="1141" spans="1:29" ht="11.65" hidden="1" x14ac:dyDescent="0.35">
      <c r="A1141" s="12">
        <v>1124</v>
      </c>
      <c r="B1141" s="10" t="s">
        <v>1015</v>
      </c>
      <c r="C1141" s="11" t="s">
        <v>1098</v>
      </c>
      <c r="D1141" s="9"/>
      <c r="E1141" s="9">
        <v>562</v>
      </c>
      <c r="F1141" s="10" t="s">
        <v>1066</v>
      </c>
      <c r="G1141" s="9">
        <v>914</v>
      </c>
      <c r="H1141" s="9">
        <v>2015</v>
      </c>
      <c r="I1141" s="8">
        <v>2003.135</v>
      </c>
      <c r="J1141" s="8">
        <v>1620.213</v>
      </c>
      <c r="K1141" s="8">
        <v>1305.7909999999999</v>
      </c>
      <c r="L1141" s="8">
        <v>1035.8219999999999</v>
      </c>
      <c r="M1141" s="8">
        <v>811.44799999999998</v>
      </c>
      <c r="N1141" s="8">
        <v>652.029</v>
      </c>
      <c r="O1141" s="8">
        <v>550.23900000000003</v>
      </c>
      <c r="P1141" s="8">
        <v>450.92200000000003</v>
      </c>
      <c r="Q1141" s="8">
        <v>367.66699999999997</v>
      </c>
      <c r="R1141" s="8">
        <v>306.959</v>
      </c>
      <c r="S1141" s="8">
        <v>249.82400000000001</v>
      </c>
      <c r="T1141" s="8">
        <v>195.191</v>
      </c>
      <c r="U1141" s="8">
        <v>148.45099999999999</v>
      </c>
      <c r="V1141" s="8">
        <v>121.169</v>
      </c>
      <c r="W1141" s="8">
        <v>84.210999999999999</v>
      </c>
      <c r="X1141" s="8">
        <v>45.137999999999998</v>
      </c>
      <c r="Y1141" s="8">
        <v>18.245999999999999</v>
      </c>
      <c r="Z1141" s="8">
        <v>4.8029999999999999</v>
      </c>
      <c r="AA1141" s="8">
        <v>0.72099999999999997</v>
      </c>
      <c r="AB1141" s="8">
        <v>5.5E-2</v>
      </c>
      <c r="AC1141" s="8">
        <v>2E-3</v>
      </c>
    </row>
    <row r="1142" spans="1:29" ht="11.65" hidden="1" x14ac:dyDescent="0.35">
      <c r="A1142" s="12">
        <v>1125</v>
      </c>
      <c r="B1142" s="10" t="s">
        <v>1015</v>
      </c>
      <c r="C1142" s="11" t="s">
        <v>1098</v>
      </c>
      <c r="D1142" s="9"/>
      <c r="E1142" s="9">
        <v>562</v>
      </c>
      <c r="F1142" s="10" t="s">
        <v>1066</v>
      </c>
      <c r="G1142" s="9">
        <v>914</v>
      </c>
      <c r="H1142" s="9">
        <v>2020</v>
      </c>
      <c r="I1142" s="8">
        <v>2347.1010000000001</v>
      </c>
      <c r="J1142" s="8">
        <v>1951.895</v>
      </c>
      <c r="K1142" s="8">
        <v>1606.4449999999999</v>
      </c>
      <c r="L1142" s="8">
        <v>1295.348</v>
      </c>
      <c r="M1142" s="8">
        <v>1023.829</v>
      </c>
      <c r="N1142" s="8">
        <v>799.63699999999994</v>
      </c>
      <c r="O1142" s="8">
        <v>640.92999999999995</v>
      </c>
      <c r="P1142" s="8">
        <v>539.65899999999999</v>
      </c>
      <c r="Q1142" s="8">
        <v>440.51400000000001</v>
      </c>
      <c r="R1142" s="8">
        <v>357.35500000000002</v>
      </c>
      <c r="S1142" s="8">
        <v>295.50599999999997</v>
      </c>
      <c r="T1142" s="8">
        <v>236.453</v>
      </c>
      <c r="U1142" s="8">
        <v>180.762</v>
      </c>
      <c r="V1142" s="8">
        <v>132.00399999999999</v>
      </c>
      <c r="W1142" s="8">
        <v>98.721999999999994</v>
      </c>
      <c r="X1142" s="8">
        <v>58.683999999999997</v>
      </c>
      <c r="Y1142" s="8">
        <v>24.109000000000002</v>
      </c>
      <c r="Z1142" s="8">
        <v>6.4640000000000004</v>
      </c>
      <c r="AA1142" s="8">
        <v>0.97399999999999998</v>
      </c>
      <c r="AB1142" s="8">
        <v>7.6999999999999999E-2</v>
      </c>
      <c r="AC1142" s="8">
        <v>3.0000000000000001E-3</v>
      </c>
    </row>
    <row r="1143" spans="1:29" ht="11.65" hidden="1" x14ac:dyDescent="0.35">
      <c r="A1143" s="12">
        <v>1126</v>
      </c>
      <c r="B1143" s="10" t="s">
        <v>1015</v>
      </c>
      <c r="C1143" s="11" t="s">
        <v>1099</v>
      </c>
      <c r="D1143" s="9"/>
      <c r="E1143" s="9">
        <v>566</v>
      </c>
      <c r="F1143" s="10" t="s">
        <v>1066</v>
      </c>
      <c r="G1143" s="9">
        <v>914</v>
      </c>
      <c r="H1143" s="9">
        <v>1950</v>
      </c>
      <c r="I1143" s="8">
        <v>3100.8240000000001</v>
      </c>
      <c r="J1143" s="8">
        <v>2498.931</v>
      </c>
      <c r="K1143" s="8">
        <v>2160.9349999999999</v>
      </c>
      <c r="L1143" s="8">
        <v>1878.7650000000001</v>
      </c>
      <c r="M1143" s="8">
        <v>1638.21</v>
      </c>
      <c r="N1143" s="8">
        <v>1429.1189999999999</v>
      </c>
      <c r="O1143" s="8">
        <v>1232.21</v>
      </c>
      <c r="P1143" s="8">
        <v>1037.33</v>
      </c>
      <c r="Q1143" s="8">
        <v>888.12599999999998</v>
      </c>
      <c r="R1143" s="8">
        <v>762.26400000000001</v>
      </c>
      <c r="S1143" s="8">
        <v>685.125</v>
      </c>
      <c r="T1143" s="8">
        <v>569.41499999999996</v>
      </c>
      <c r="U1143" s="8">
        <v>437.46499999999997</v>
      </c>
      <c r="V1143" s="8">
        <v>309.57600000000002</v>
      </c>
      <c r="W1143" s="8">
        <v>195.89500000000001</v>
      </c>
      <c r="X1143" s="8">
        <v>101.5</v>
      </c>
      <c r="Y1143" s="8">
        <v>39.868000000000002</v>
      </c>
      <c r="Z1143" s="8">
        <v>7.1440000000000001</v>
      </c>
      <c r="AA1143" s="8">
        <v>0.65500000000000003</v>
      </c>
      <c r="AB1143" s="8">
        <v>3.7999999999999999E-2</v>
      </c>
      <c r="AC1143" s="8">
        <v>1E-3</v>
      </c>
    </row>
    <row r="1144" spans="1:29" ht="11.65" hidden="1" x14ac:dyDescent="0.35">
      <c r="A1144" s="12">
        <v>1127</v>
      </c>
      <c r="B1144" s="10" t="s">
        <v>1015</v>
      </c>
      <c r="C1144" s="11" t="s">
        <v>1099</v>
      </c>
      <c r="D1144" s="9"/>
      <c r="E1144" s="9">
        <v>566</v>
      </c>
      <c r="F1144" s="10" t="s">
        <v>1066</v>
      </c>
      <c r="G1144" s="9">
        <v>914</v>
      </c>
      <c r="H1144" s="9">
        <v>1955</v>
      </c>
      <c r="I1144" s="8">
        <v>3351.7660000000001</v>
      </c>
      <c r="J1144" s="8">
        <v>2704.2109999999998</v>
      </c>
      <c r="K1144" s="8">
        <v>2385.078</v>
      </c>
      <c r="L1144" s="8">
        <v>2081.7339999999999</v>
      </c>
      <c r="M1144" s="8">
        <v>1785.213</v>
      </c>
      <c r="N1144" s="8">
        <v>1544.057</v>
      </c>
      <c r="O1144" s="8">
        <v>1342.701</v>
      </c>
      <c r="P1144" s="8">
        <v>1153.875</v>
      </c>
      <c r="Q1144" s="8">
        <v>968.24900000000002</v>
      </c>
      <c r="R1144" s="8">
        <v>826.572</v>
      </c>
      <c r="S1144" s="8">
        <v>699.55399999999997</v>
      </c>
      <c r="T1144" s="8">
        <v>610.04</v>
      </c>
      <c r="U1144" s="8">
        <v>476.76499999999999</v>
      </c>
      <c r="V1144" s="8">
        <v>328.63499999999999</v>
      </c>
      <c r="W1144" s="8">
        <v>196.03899999999999</v>
      </c>
      <c r="X1144" s="8">
        <v>93.783000000000001</v>
      </c>
      <c r="Y1144" s="8">
        <v>31.876999999999999</v>
      </c>
      <c r="Z1144" s="8">
        <v>7.1440000000000001</v>
      </c>
      <c r="AA1144" s="8">
        <v>0.65400000000000003</v>
      </c>
      <c r="AB1144" s="8">
        <v>3.7999999999999999E-2</v>
      </c>
      <c r="AC1144" s="8">
        <v>1E-3</v>
      </c>
    </row>
    <row r="1145" spans="1:29" ht="11.65" hidden="1" x14ac:dyDescent="0.35">
      <c r="A1145" s="12">
        <v>1128</v>
      </c>
      <c r="B1145" s="10" t="s">
        <v>1015</v>
      </c>
      <c r="C1145" s="11" t="s">
        <v>1099</v>
      </c>
      <c r="D1145" s="9"/>
      <c r="E1145" s="9">
        <v>566</v>
      </c>
      <c r="F1145" s="10" t="s">
        <v>1066</v>
      </c>
      <c r="G1145" s="9">
        <v>914</v>
      </c>
      <c r="H1145" s="9">
        <v>1960</v>
      </c>
      <c r="I1145" s="8">
        <v>3754.8029999999999</v>
      </c>
      <c r="J1145" s="8">
        <v>2956.7139999999999</v>
      </c>
      <c r="K1145" s="8">
        <v>2590.2550000000001</v>
      </c>
      <c r="L1145" s="8">
        <v>2303.8939999999998</v>
      </c>
      <c r="M1145" s="8">
        <v>1985.279</v>
      </c>
      <c r="N1145" s="8">
        <v>1689.6179999999999</v>
      </c>
      <c r="O1145" s="8">
        <v>1457.0139999999999</v>
      </c>
      <c r="P1145" s="8">
        <v>1263.0550000000001</v>
      </c>
      <c r="Q1145" s="8">
        <v>1081.9390000000001</v>
      </c>
      <c r="R1145" s="8">
        <v>905.15899999999999</v>
      </c>
      <c r="S1145" s="8">
        <v>762.43700000000001</v>
      </c>
      <c r="T1145" s="8">
        <v>627.10799999999995</v>
      </c>
      <c r="U1145" s="8">
        <v>516.15200000000004</v>
      </c>
      <c r="V1145" s="8">
        <v>364.29</v>
      </c>
      <c r="W1145" s="8">
        <v>213.696</v>
      </c>
      <c r="X1145" s="8">
        <v>97.861999999999995</v>
      </c>
      <c r="Y1145" s="8">
        <v>31.364999999999998</v>
      </c>
      <c r="Z1145" s="8">
        <v>6.2060000000000004</v>
      </c>
      <c r="AA1145" s="8">
        <v>0.72599999999999998</v>
      </c>
      <c r="AB1145" s="8">
        <v>0.04</v>
      </c>
      <c r="AC1145" s="8">
        <v>1E-3</v>
      </c>
    </row>
    <row r="1146" spans="1:29" ht="11.65" hidden="1" x14ac:dyDescent="0.35">
      <c r="A1146" s="12">
        <v>1129</v>
      </c>
      <c r="B1146" s="10" t="s">
        <v>1015</v>
      </c>
      <c r="C1146" s="11" t="s">
        <v>1099</v>
      </c>
      <c r="D1146" s="9"/>
      <c r="E1146" s="9">
        <v>566</v>
      </c>
      <c r="F1146" s="10" t="s">
        <v>1066</v>
      </c>
      <c r="G1146" s="9">
        <v>914</v>
      </c>
      <c r="H1146" s="9">
        <v>1965</v>
      </c>
      <c r="I1146" s="8">
        <v>4231.3879999999999</v>
      </c>
      <c r="J1146" s="8">
        <v>3356.2649999999999</v>
      </c>
      <c r="K1146" s="8">
        <v>2843.2939999999999</v>
      </c>
      <c r="L1146" s="8">
        <v>2509.5790000000002</v>
      </c>
      <c r="M1146" s="8">
        <v>2205.9470000000001</v>
      </c>
      <c r="N1146" s="8">
        <v>1887.5719999999999</v>
      </c>
      <c r="O1146" s="8">
        <v>1602.018</v>
      </c>
      <c r="P1146" s="8">
        <v>1377.454</v>
      </c>
      <c r="Q1146" s="8">
        <v>1190.261</v>
      </c>
      <c r="R1146" s="8">
        <v>1016.409</v>
      </c>
      <c r="S1146" s="8">
        <v>839.61900000000003</v>
      </c>
      <c r="T1146" s="8">
        <v>688.59299999999996</v>
      </c>
      <c r="U1146" s="8">
        <v>536.73099999999999</v>
      </c>
      <c r="V1146" s="8">
        <v>401.76299999999998</v>
      </c>
      <c r="W1146" s="8">
        <v>243.779</v>
      </c>
      <c r="X1146" s="8">
        <v>111.54900000000001</v>
      </c>
      <c r="Y1146" s="8">
        <v>34.970999999999997</v>
      </c>
      <c r="Z1146" s="8">
        <v>6.6680000000000001</v>
      </c>
      <c r="AA1146" s="8">
        <v>0.70299999999999996</v>
      </c>
      <c r="AB1146" s="8">
        <v>4.9000000000000002E-2</v>
      </c>
      <c r="AC1146" s="8">
        <v>1E-3</v>
      </c>
    </row>
    <row r="1147" spans="1:29" ht="11.65" hidden="1" x14ac:dyDescent="0.35">
      <c r="A1147" s="12">
        <v>1130</v>
      </c>
      <c r="B1147" s="10" t="s">
        <v>1015</v>
      </c>
      <c r="C1147" s="11" t="s">
        <v>1099</v>
      </c>
      <c r="D1147" s="9"/>
      <c r="E1147" s="9">
        <v>566</v>
      </c>
      <c r="F1147" s="10" t="s">
        <v>1066</v>
      </c>
      <c r="G1147" s="9">
        <v>914</v>
      </c>
      <c r="H1147" s="9">
        <v>1970</v>
      </c>
      <c r="I1147" s="8">
        <v>4752.91</v>
      </c>
      <c r="J1147" s="8">
        <v>3812.1</v>
      </c>
      <c r="K1147" s="8">
        <v>3235.74</v>
      </c>
      <c r="L1147" s="8">
        <v>2759.2660000000001</v>
      </c>
      <c r="M1147" s="8">
        <v>2407.5160000000001</v>
      </c>
      <c r="N1147" s="8">
        <v>2101.6210000000001</v>
      </c>
      <c r="O1147" s="8">
        <v>1793.701</v>
      </c>
      <c r="P1147" s="8">
        <v>1518.636</v>
      </c>
      <c r="Q1147" s="8">
        <v>1302.04</v>
      </c>
      <c r="R1147" s="8">
        <v>1121.6179999999999</v>
      </c>
      <c r="S1147" s="8">
        <v>946.24599999999998</v>
      </c>
      <c r="T1147" s="8">
        <v>762.24400000000003</v>
      </c>
      <c r="U1147" s="8">
        <v>594.29600000000005</v>
      </c>
      <c r="V1147" s="8">
        <v>423.44299999999998</v>
      </c>
      <c r="W1147" s="8">
        <v>274.48599999999999</v>
      </c>
      <c r="X1147" s="8">
        <v>131.36500000000001</v>
      </c>
      <c r="Y1147" s="8">
        <v>41.755000000000003</v>
      </c>
      <c r="Z1147" s="8">
        <v>7.9050000000000002</v>
      </c>
      <c r="AA1147" s="8">
        <v>0.81399999999999995</v>
      </c>
      <c r="AB1147" s="8">
        <v>5.0999999999999997E-2</v>
      </c>
      <c r="AC1147" s="8">
        <v>2E-3</v>
      </c>
    </row>
    <row r="1148" spans="1:29" ht="11.65" hidden="1" x14ac:dyDescent="0.35">
      <c r="A1148" s="12">
        <v>1131</v>
      </c>
      <c r="B1148" s="10" t="s">
        <v>1015</v>
      </c>
      <c r="C1148" s="11" t="s">
        <v>1099</v>
      </c>
      <c r="D1148" s="9"/>
      <c r="E1148" s="9">
        <v>566</v>
      </c>
      <c r="F1148" s="10" t="s">
        <v>1066</v>
      </c>
      <c r="G1148" s="9">
        <v>914</v>
      </c>
      <c r="H1148" s="9">
        <v>1975</v>
      </c>
      <c r="I1148" s="8">
        <v>5570.7020000000002</v>
      </c>
      <c r="J1148" s="8">
        <v>4325.9920000000002</v>
      </c>
      <c r="K1148" s="8">
        <v>3687.0329999999999</v>
      </c>
      <c r="L1148" s="8">
        <v>3148.058</v>
      </c>
      <c r="M1148" s="8">
        <v>2656.0810000000001</v>
      </c>
      <c r="N1148" s="8">
        <v>2302.6689999999999</v>
      </c>
      <c r="O1148" s="8">
        <v>2005.329</v>
      </c>
      <c r="P1148" s="8">
        <v>1707.4760000000001</v>
      </c>
      <c r="Q1148" s="8">
        <v>1441.403</v>
      </c>
      <c r="R1148" s="8">
        <v>1231.8589999999999</v>
      </c>
      <c r="S1148" s="8">
        <v>1048.941</v>
      </c>
      <c r="T1148" s="8">
        <v>864.14300000000003</v>
      </c>
      <c r="U1148" s="8">
        <v>663.80399999999997</v>
      </c>
      <c r="V1148" s="8">
        <v>475.61700000000002</v>
      </c>
      <c r="W1148" s="8">
        <v>295.66699999999997</v>
      </c>
      <c r="X1148" s="8">
        <v>152.88</v>
      </c>
      <c r="Y1148" s="8">
        <v>51.582000000000001</v>
      </c>
      <c r="Z1148" s="8">
        <v>10.052</v>
      </c>
      <c r="AA1148" s="8">
        <v>1.0409999999999999</v>
      </c>
      <c r="AB1148" s="8">
        <v>6.3E-2</v>
      </c>
      <c r="AC1148" s="8">
        <v>2E-3</v>
      </c>
    </row>
    <row r="1149" spans="1:29" ht="11.65" hidden="1" x14ac:dyDescent="0.35">
      <c r="A1149" s="12">
        <v>1132</v>
      </c>
      <c r="B1149" s="10" t="s">
        <v>1015</v>
      </c>
      <c r="C1149" s="11" t="s">
        <v>1099</v>
      </c>
      <c r="D1149" s="9"/>
      <c r="E1149" s="9">
        <v>566</v>
      </c>
      <c r="F1149" s="10" t="s">
        <v>1066</v>
      </c>
      <c r="G1149" s="9">
        <v>914</v>
      </c>
      <c r="H1149" s="9">
        <v>1980</v>
      </c>
      <c r="I1149" s="8">
        <v>6563.7790000000005</v>
      </c>
      <c r="J1149" s="8">
        <v>5147.2460000000001</v>
      </c>
      <c r="K1149" s="8">
        <v>4223.7389999999996</v>
      </c>
      <c r="L1149" s="8">
        <v>3628.5309999999999</v>
      </c>
      <c r="M1149" s="8">
        <v>3091.4029999999998</v>
      </c>
      <c r="N1149" s="8">
        <v>2608.2930000000001</v>
      </c>
      <c r="O1149" s="8">
        <v>2253.79</v>
      </c>
      <c r="P1149" s="8">
        <v>1947.8489999999999</v>
      </c>
      <c r="Q1149" s="8">
        <v>1644.989</v>
      </c>
      <c r="R1149" s="8">
        <v>1381.8510000000001</v>
      </c>
      <c r="S1149" s="8">
        <v>1167.3889999999999</v>
      </c>
      <c r="T1149" s="8">
        <v>968.65300000000002</v>
      </c>
      <c r="U1149" s="8">
        <v>760.92499999999995</v>
      </c>
      <c r="V1149" s="8">
        <v>539.99099999999999</v>
      </c>
      <c r="W1149" s="8">
        <v>339.83499999999998</v>
      </c>
      <c r="X1149" s="8">
        <v>170.26400000000001</v>
      </c>
      <c r="Y1149" s="8">
        <v>62.954000000000001</v>
      </c>
      <c r="Z1149" s="8">
        <v>13.214</v>
      </c>
      <c r="AA1149" s="8">
        <v>1.4259999999999999</v>
      </c>
      <c r="AB1149" s="8">
        <v>8.6999999999999994E-2</v>
      </c>
      <c r="AC1149" s="8">
        <v>2E-3</v>
      </c>
    </row>
    <row r="1150" spans="1:29" ht="11.65" hidden="1" x14ac:dyDescent="0.35">
      <c r="A1150" s="12">
        <v>1133</v>
      </c>
      <c r="B1150" s="10" t="s">
        <v>1015</v>
      </c>
      <c r="C1150" s="11" t="s">
        <v>1099</v>
      </c>
      <c r="D1150" s="9"/>
      <c r="E1150" s="9">
        <v>566</v>
      </c>
      <c r="F1150" s="10" t="s">
        <v>1066</v>
      </c>
      <c r="G1150" s="9">
        <v>914</v>
      </c>
      <c r="H1150" s="9">
        <v>1985</v>
      </c>
      <c r="I1150" s="8">
        <v>7462.9930000000004</v>
      </c>
      <c r="J1150" s="8">
        <v>6056.3329999999996</v>
      </c>
      <c r="K1150" s="8">
        <v>4989.5829999999996</v>
      </c>
      <c r="L1150" s="8">
        <v>4103.2299999999996</v>
      </c>
      <c r="M1150" s="8">
        <v>3475.384</v>
      </c>
      <c r="N1150" s="8">
        <v>2933.4140000000002</v>
      </c>
      <c r="O1150" s="8">
        <v>2470.529</v>
      </c>
      <c r="P1150" s="8">
        <v>2138.029</v>
      </c>
      <c r="Q1150" s="8">
        <v>1849.2439999999999</v>
      </c>
      <c r="R1150" s="8">
        <v>1558.0350000000001</v>
      </c>
      <c r="S1150" s="8">
        <v>1295.396</v>
      </c>
      <c r="T1150" s="8">
        <v>1073.8969999999999</v>
      </c>
      <c r="U1150" s="8">
        <v>856.38800000000003</v>
      </c>
      <c r="V1150" s="8">
        <v>624.21500000000003</v>
      </c>
      <c r="W1150" s="8">
        <v>391.46800000000002</v>
      </c>
      <c r="X1150" s="8">
        <v>200.27500000000001</v>
      </c>
      <c r="Y1150" s="8">
        <v>72.424999999999997</v>
      </c>
      <c r="Z1150" s="8">
        <v>16.812000000000001</v>
      </c>
      <c r="AA1150" s="8">
        <v>1.966</v>
      </c>
      <c r="AB1150" s="8">
        <v>0.124</v>
      </c>
      <c r="AC1150" s="8">
        <v>3.0000000000000001E-3</v>
      </c>
    </row>
    <row r="1151" spans="1:29" ht="11.65" hidden="1" x14ac:dyDescent="0.35">
      <c r="A1151" s="12">
        <v>1134</v>
      </c>
      <c r="B1151" s="10" t="s">
        <v>1015</v>
      </c>
      <c r="C1151" s="11" t="s">
        <v>1099</v>
      </c>
      <c r="D1151" s="9"/>
      <c r="E1151" s="9">
        <v>566</v>
      </c>
      <c r="F1151" s="10" t="s">
        <v>1066</v>
      </c>
      <c r="G1151" s="9">
        <v>914</v>
      </c>
      <c r="H1151" s="9">
        <v>1990</v>
      </c>
      <c r="I1151" s="8">
        <v>8240.1370000000006</v>
      </c>
      <c r="J1151" s="8">
        <v>6906.33</v>
      </c>
      <c r="K1151" s="8">
        <v>5891.018</v>
      </c>
      <c r="L1151" s="8">
        <v>4873.5240000000003</v>
      </c>
      <c r="M1151" s="8">
        <v>3969.55</v>
      </c>
      <c r="N1151" s="8">
        <v>3342.694</v>
      </c>
      <c r="O1151" s="8">
        <v>2815.442</v>
      </c>
      <c r="P1151" s="8">
        <v>2366.759</v>
      </c>
      <c r="Q1151" s="8">
        <v>2042.836</v>
      </c>
      <c r="R1151" s="8">
        <v>1761.067</v>
      </c>
      <c r="S1151" s="8">
        <v>1468.1510000000001</v>
      </c>
      <c r="T1151" s="8">
        <v>1195.1369999999999</v>
      </c>
      <c r="U1151" s="8">
        <v>950.14300000000003</v>
      </c>
      <c r="V1151" s="8">
        <v>702.80700000000002</v>
      </c>
      <c r="W1151" s="8">
        <v>452.42899999999997</v>
      </c>
      <c r="X1151" s="8">
        <v>230.482</v>
      </c>
      <c r="Y1151" s="8">
        <v>85.076999999999998</v>
      </c>
      <c r="Z1151" s="8">
        <v>19.309999999999999</v>
      </c>
      <c r="AA1151" s="8">
        <v>2.4980000000000002</v>
      </c>
      <c r="AB1151" s="8">
        <v>0.17100000000000001</v>
      </c>
      <c r="AC1151" s="8">
        <v>5.0000000000000001E-3</v>
      </c>
    </row>
    <row r="1152" spans="1:29" ht="11.65" hidden="1" x14ac:dyDescent="0.35">
      <c r="A1152" s="12">
        <v>1135</v>
      </c>
      <c r="B1152" s="10" t="s">
        <v>1015</v>
      </c>
      <c r="C1152" s="11" t="s">
        <v>1099</v>
      </c>
      <c r="D1152" s="9"/>
      <c r="E1152" s="9">
        <v>566</v>
      </c>
      <c r="F1152" s="10" t="s">
        <v>1066</v>
      </c>
      <c r="G1152" s="9">
        <v>914</v>
      </c>
      <c r="H1152" s="9">
        <v>1995</v>
      </c>
      <c r="I1152" s="8">
        <v>9113.7710000000006</v>
      </c>
      <c r="J1152" s="8">
        <v>7623.6139999999996</v>
      </c>
      <c r="K1152" s="8">
        <v>6717.3720000000003</v>
      </c>
      <c r="L1152" s="8">
        <v>5754.0379999999996</v>
      </c>
      <c r="M1152" s="8">
        <v>4715.0649999999996</v>
      </c>
      <c r="N1152" s="8">
        <v>3818.1779999999999</v>
      </c>
      <c r="O1152" s="8">
        <v>3208.3620000000001</v>
      </c>
      <c r="P1152" s="8">
        <v>2697.1779999999999</v>
      </c>
      <c r="Q1152" s="8">
        <v>2261.2350000000001</v>
      </c>
      <c r="R1152" s="8">
        <v>1945.278</v>
      </c>
      <c r="S1152" s="8">
        <v>1659.347</v>
      </c>
      <c r="T1152" s="8">
        <v>1354.345</v>
      </c>
      <c r="U1152" s="8">
        <v>1057.1479999999999</v>
      </c>
      <c r="V1152" s="8">
        <v>779.44</v>
      </c>
      <c r="W1152" s="8">
        <v>509.101</v>
      </c>
      <c r="X1152" s="8">
        <v>266.14600000000002</v>
      </c>
      <c r="Y1152" s="8">
        <v>97.792000000000002</v>
      </c>
      <c r="Z1152" s="8">
        <v>22.646999999999998</v>
      </c>
      <c r="AA1152" s="8">
        <v>2.8639999999999999</v>
      </c>
      <c r="AB1152" s="8">
        <v>0.216</v>
      </c>
      <c r="AC1152" s="8">
        <v>6.0000000000000001E-3</v>
      </c>
    </row>
    <row r="1153" spans="1:29" ht="11.65" hidden="1" x14ac:dyDescent="0.35">
      <c r="A1153" s="12">
        <v>1136</v>
      </c>
      <c r="B1153" s="10" t="s">
        <v>1015</v>
      </c>
      <c r="C1153" s="11" t="s">
        <v>1099</v>
      </c>
      <c r="D1153" s="9"/>
      <c r="E1153" s="9">
        <v>566</v>
      </c>
      <c r="F1153" s="10" t="s">
        <v>1066</v>
      </c>
      <c r="G1153" s="9">
        <v>914</v>
      </c>
      <c r="H1153" s="9">
        <v>2000</v>
      </c>
      <c r="I1153" s="8">
        <v>10327.572</v>
      </c>
      <c r="J1153" s="8">
        <v>8455.7469999999994</v>
      </c>
      <c r="K1153" s="8">
        <v>7397.1319999999996</v>
      </c>
      <c r="L1153" s="8">
        <v>6551.03</v>
      </c>
      <c r="M1153" s="8">
        <v>5555.3069999999998</v>
      </c>
      <c r="N1153" s="8">
        <v>4524.66</v>
      </c>
      <c r="O1153" s="8">
        <v>3655.5819999999999</v>
      </c>
      <c r="P1153" s="8">
        <v>3065.2860000000001</v>
      </c>
      <c r="Q1153" s="8">
        <v>2569.6880000000001</v>
      </c>
      <c r="R1153" s="8">
        <v>2147.2829999999999</v>
      </c>
      <c r="S1153" s="8">
        <v>1827.0340000000001</v>
      </c>
      <c r="T1153" s="8">
        <v>1524.175</v>
      </c>
      <c r="U1153" s="8">
        <v>1190.085</v>
      </c>
      <c r="V1153" s="8">
        <v>858.21299999999997</v>
      </c>
      <c r="W1153" s="8">
        <v>556.03499999999997</v>
      </c>
      <c r="X1153" s="8">
        <v>292.80399999999997</v>
      </c>
      <c r="Y1153" s="8">
        <v>109.402</v>
      </c>
      <c r="Z1153" s="8">
        <v>24.995999999999999</v>
      </c>
      <c r="AA1153" s="8">
        <v>3.202</v>
      </c>
      <c r="AB1153" s="8">
        <v>0.23799999999999999</v>
      </c>
      <c r="AC1153" s="8">
        <v>8.0000000000000002E-3</v>
      </c>
    </row>
    <row r="1154" spans="1:29" ht="11.65" hidden="1" x14ac:dyDescent="0.35">
      <c r="A1154" s="12">
        <v>1137</v>
      </c>
      <c r="B1154" s="10" t="s">
        <v>1015</v>
      </c>
      <c r="C1154" s="11" t="s">
        <v>1099</v>
      </c>
      <c r="D1154" s="9"/>
      <c r="E1154" s="9">
        <v>566</v>
      </c>
      <c r="F1154" s="10" t="s">
        <v>1066</v>
      </c>
      <c r="G1154" s="9">
        <v>914</v>
      </c>
      <c r="H1154" s="9">
        <v>2005</v>
      </c>
      <c r="I1154" s="8">
        <v>11898.071</v>
      </c>
      <c r="J1154" s="8">
        <v>9665.5679999999993</v>
      </c>
      <c r="K1154" s="8">
        <v>8184.5460000000003</v>
      </c>
      <c r="L1154" s="8">
        <v>7201.2920000000004</v>
      </c>
      <c r="M1154" s="8">
        <v>6307.3670000000002</v>
      </c>
      <c r="N1154" s="8">
        <v>5313.8969999999999</v>
      </c>
      <c r="O1154" s="8">
        <v>4317.5780000000004</v>
      </c>
      <c r="P1154" s="8">
        <v>3480.8470000000002</v>
      </c>
      <c r="Q1154" s="8">
        <v>2911.0720000000001</v>
      </c>
      <c r="R1154" s="8">
        <v>2432.7109999999998</v>
      </c>
      <c r="S1154" s="8">
        <v>2009.759</v>
      </c>
      <c r="T1154" s="8">
        <v>1670.971</v>
      </c>
      <c r="U1154" s="8">
        <v>1330.8420000000001</v>
      </c>
      <c r="V1154" s="8">
        <v>956.52499999999998</v>
      </c>
      <c r="W1154" s="8">
        <v>603.20600000000002</v>
      </c>
      <c r="X1154" s="8">
        <v>312.80700000000002</v>
      </c>
      <c r="Y1154" s="8">
        <v>116.636</v>
      </c>
      <c r="Z1154" s="8">
        <v>26.843</v>
      </c>
      <c r="AA1154" s="8">
        <v>3.3679999999999999</v>
      </c>
      <c r="AB1154" s="8">
        <v>0.255</v>
      </c>
      <c r="AC1154" s="8">
        <v>8.0000000000000002E-3</v>
      </c>
    </row>
    <row r="1155" spans="1:29" ht="11.65" hidden="1" x14ac:dyDescent="0.35">
      <c r="A1155" s="12">
        <v>1138</v>
      </c>
      <c r="B1155" s="10" t="s">
        <v>1015</v>
      </c>
      <c r="C1155" s="11" t="s">
        <v>1099</v>
      </c>
      <c r="D1155" s="9"/>
      <c r="E1155" s="9">
        <v>566</v>
      </c>
      <c r="F1155" s="10" t="s">
        <v>1066</v>
      </c>
      <c r="G1155" s="9">
        <v>914</v>
      </c>
      <c r="H1155" s="9">
        <v>2010</v>
      </c>
      <c r="I1155" s="8">
        <v>13538.352000000001</v>
      </c>
      <c r="J1155" s="8">
        <v>11275.041999999999</v>
      </c>
      <c r="K1155" s="8">
        <v>9381.5249999999996</v>
      </c>
      <c r="L1155" s="8">
        <v>7981.6440000000002</v>
      </c>
      <c r="M1155" s="8">
        <v>6946.5320000000002</v>
      </c>
      <c r="N1155" s="8">
        <v>6045.9489999999996</v>
      </c>
      <c r="O1155" s="8">
        <v>5082.6220000000003</v>
      </c>
      <c r="P1155" s="8">
        <v>4122.5540000000001</v>
      </c>
      <c r="Q1155" s="8">
        <v>3315.7559999999999</v>
      </c>
      <c r="R1155" s="8">
        <v>2764.5120000000002</v>
      </c>
      <c r="S1155" s="8">
        <v>2285.2429999999999</v>
      </c>
      <c r="T1155" s="8">
        <v>1847.58</v>
      </c>
      <c r="U1155" s="8">
        <v>1471.33</v>
      </c>
      <c r="V1155" s="8">
        <v>1083.93</v>
      </c>
      <c r="W1155" s="8">
        <v>685.68399999999997</v>
      </c>
      <c r="X1155" s="8">
        <v>349.49200000000002</v>
      </c>
      <c r="Y1155" s="8">
        <v>129.922</v>
      </c>
      <c r="Z1155" s="8">
        <v>30.161000000000001</v>
      </c>
      <c r="AA1155" s="8">
        <v>3.931</v>
      </c>
      <c r="AB1155" s="8">
        <v>0.247</v>
      </c>
      <c r="AC1155" s="8">
        <v>4.0000000000000001E-3</v>
      </c>
    </row>
    <row r="1156" spans="1:29" ht="11.65" hidden="1" x14ac:dyDescent="0.35">
      <c r="A1156" s="12">
        <v>1139</v>
      </c>
      <c r="B1156" s="10" t="s">
        <v>1015</v>
      </c>
      <c r="C1156" s="11" t="s">
        <v>1099</v>
      </c>
      <c r="D1156" s="9"/>
      <c r="E1156" s="9">
        <v>566</v>
      </c>
      <c r="F1156" s="10" t="s">
        <v>1066</v>
      </c>
      <c r="G1156" s="9">
        <v>914</v>
      </c>
      <c r="H1156" s="9">
        <v>2015</v>
      </c>
      <c r="I1156" s="8">
        <v>15205.11</v>
      </c>
      <c r="J1156" s="8">
        <v>12929.047</v>
      </c>
      <c r="K1156" s="8">
        <v>10980.003000000001</v>
      </c>
      <c r="L1156" s="8">
        <v>9170.2000000000007</v>
      </c>
      <c r="M1156" s="8">
        <v>7721.22</v>
      </c>
      <c r="N1156" s="8">
        <v>6679.1289999999999</v>
      </c>
      <c r="O1156" s="8">
        <v>5801.5929999999998</v>
      </c>
      <c r="P1156" s="8">
        <v>4869.6210000000001</v>
      </c>
      <c r="Q1156" s="8">
        <v>3941.047</v>
      </c>
      <c r="R1156" s="8">
        <v>3160.3</v>
      </c>
      <c r="S1156" s="8">
        <v>2608.3739999999998</v>
      </c>
      <c r="T1156" s="8">
        <v>2113.0300000000002</v>
      </c>
      <c r="U1156" s="8">
        <v>1640.1489999999999</v>
      </c>
      <c r="V1156" s="8">
        <v>1212.7560000000001</v>
      </c>
      <c r="W1156" s="8">
        <v>790.07600000000002</v>
      </c>
      <c r="X1156" s="8">
        <v>406.38400000000001</v>
      </c>
      <c r="Y1156" s="8">
        <v>149.36600000000001</v>
      </c>
      <c r="Z1156" s="8">
        <v>34.662999999999997</v>
      </c>
      <c r="AA1156" s="8">
        <v>4.5270000000000001</v>
      </c>
      <c r="AB1156" s="8">
        <v>0.29099999999999998</v>
      </c>
      <c r="AC1156" s="8">
        <v>4.0000000000000001E-3</v>
      </c>
    </row>
    <row r="1157" spans="1:29" ht="11.65" hidden="1" x14ac:dyDescent="0.35">
      <c r="A1157" s="12">
        <v>1140</v>
      </c>
      <c r="B1157" s="10" t="s">
        <v>1015</v>
      </c>
      <c r="C1157" s="11" t="s">
        <v>1099</v>
      </c>
      <c r="D1157" s="9"/>
      <c r="E1157" s="9">
        <v>566</v>
      </c>
      <c r="F1157" s="10" t="s">
        <v>1066</v>
      </c>
      <c r="G1157" s="9">
        <v>914</v>
      </c>
      <c r="H1157" s="9">
        <v>2020</v>
      </c>
      <c r="I1157" s="8">
        <v>16561.329000000002</v>
      </c>
      <c r="J1157" s="8">
        <v>14625.985000000001</v>
      </c>
      <c r="K1157" s="8">
        <v>12633.388000000001</v>
      </c>
      <c r="L1157" s="8">
        <v>10758.964</v>
      </c>
      <c r="M1157" s="8">
        <v>8898.2929999999997</v>
      </c>
      <c r="N1157" s="8">
        <v>7448.2349999999997</v>
      </c>
      <c r="O1157" s="8">
        <v>6430.54</v>
      </c>
      <c r="P1157" s="8">
        <v>5578.1850000000004</v>
      </c>
      <c r="Q1157" s="8">
        <v>4672.8770000000004</v>
      </c>
      <c r="R1157" s="8">
        <v>3771.4</v>
      </c>
      <c r="S1157" s="8">
        <v>2995.57</v>
      </c>
      <c r="T1157" s="8">
        <v>2426.3339999999998</v>
      </c>
      <c r="U1157" s="8">
        <v>1892.087</v>
      </c>
      <c r="V1157" s="8">
        <v>1369.452</v>
      </c>
      <c r="W1157" s="8">
        <v>900.58799999999997</v>
      </c>
      <c r="X1157" s="8">
        <v>480.358</v>
      </c>
      <c r="Y1157" s="8">
        <v>179.34899999999999</v>
      </c>
      <c r="Z1157" s="8">
        <v>41.37</v>
      </c>
      <c r="AA1157" s="8">
        <v>5.2320000000000002</v>
      </c>
      <c r="AB1157" s="8">
        <v>0.39600000000000002</v>
      </c>
      <c r="AC1157" s="8">
        <v>1.7999999999999999E-2</v>
      </c>
    </row>
    <row r="1158" spans="1:29" ht="11.65" hidden="1" x14ac:dyDescent="0.35">
      <c r="A1158" s="12">
        <v>1141</v>
      </c>
      <c r="B1158" s="10" t="s">
        <v>1015</v>
      </c>
      <c r="C1158" s="11" t="s">
        <v>1100</v>
      </c>
      <c r="D1158" s="9"/>
      <c r="E1158" s="9">
        <v>686</v>
      </c>
      <c r="F1158" s="10" t="s">
        <v>1066</v>
      </c>
      <c r="G1158" s="9">
        <v>914</v>
      </c>
      <c r="H1158" s="9">
        <v>1950</v>
      </c>
      <c r="I1158" s="8">
        <v>215.76400000000001</v>
      </c>
      <c r="J1158" s="8">
        <v>165.626</v>
      </c>
      <c r="K1158" s="8">
        <v>144.58099999999999</v>
      </c>
      <c r="L1158" s="8">
        <v>127.042</v>
      </c>
      <c r="M1158" s="8">
        <v>110.66200000000001</v>
      </c>
      <c r="N1158" s="8">
        <v>95.379000000000005</v>
      </c>
      <c r="O1158" s="8">
        <v>82.412000000000006</v>
      </c>
      <c r="P1158" s="8">
        <v>70.596000000000004</v>
      </c>
      <c r="Q1158" s="8">
        <v>59.957000000000001</v>
      </c>
      <c r="R1158" s="8">
        <v>50.5</v>
      </c>
      <c r="S1158" s="8">
        <v>41.762999999999998</v>
      </c>
      <c r="T1158" s="8">
        <v>33.752000000000002</v>
      </c>
      <c r="U1158" s="8">
        <v>27.596</v>
      </c>
      <c r="V1158" s="8">
        <v>21.457999999999998</v>
      </c>
      <c r="W1158" s="8">
        <v>14.119</v>
      </c>
      <c r="X1158" s="8">
        <v>7.7320000000000002</v>
      </c>
      <c r="Y1158" s="8">
        <v>3.2629999999999999</v>
      </c>
      <c r="Z1158" s="8">
        <v>0.60099999999999998</v>
      </c>
      <c r="AA1158" s="8">
        <v>5.7000000000000002E-2</v>
      </c>
      <c r="AB1158" s="8">
        <v>3.0000000000000001E-3</v>
      </c>
      <c r="AC1158" s="8">
        <v>0</v>
      </c>
    </row>
    <row r="1159" spans="1:29" ht="11.65" hidden="1" x14ac:dyDescent="0.35">
      <c r="A1159" s="12">
        <v>1142</v>
      </c>
      <c r="B1159" s="10" t="s">
        <v>1015</v>
      </c>
      <c r="C1159" s="11" t="s">
        <v>1100</v>
      </c>
      <c r="D1159" s="9"/>
      <c r="E1159" s="9">
        <v>686</v>
      </c>
      <c r="F1159" s="10" t="s">
        <v>1066</v>
      </c>
      <c r="G1159" s="9">
        <v>914</v>
      </c>
      <c r="H1159" s="9">
        <v>1955</v>
      </c>
      <c r="I1159" s="8">
        <v>261.80599999999998</v>
      </c>
      <c r="J1159" s="8">
        <v>183.59</v>
      </c>
      <c r="K1159" s="8">
        <v>158.54</v>
      </c>
      <c r="L1159" s="8">
        <v>140.191</v>
      </c>
      <c r="M1159" s="8">
        <v>122.626</v>
      </c>
      <c r="N1159" s="8">
        <v>106.58</v>
      </c>
      <c r="O1159" s="8">
        <v>91.506</v>
      </c>
      <c r="P1159" s="8">
        <v>78.527000000000001</v>
      </c>
      <c r="Q1159" s="8">
        <v>66.811000000000007</v>
      </c>
      <c r="R1159" s="8">
        <v>56.408000000000001</v>
      </c>
      <c r="S1159" s="8">
        <v>46.756</v>
      </c>
      <c r="T1159" s="8">
        <v>37.478999999999999</v>
      </c>
      <c r="U1159" s="8">
        <v>28.486999999999998</v>
      </c>
      <c r="V1159" s="8">
        <v>20.925999999999998</v>
      </c>
      <c r="W1159" s="8">
        <v>13.754</v>
      </c>
      <c r="X1159" s="8">
        <v>6.88</v>
      </c>
      <c r="Y1159" s="8">
        <v>2.4950000000000001</v>
      </c>
      <c r="Z1159" s="8">
        <v>0.60399999999999998</v>
      </c>
      <c r="AA1159" s="8">
        <v>5.8000000000000003E-2</v>
      </c>
      <c r="AB1159" s="8">
        <v>3.0000000000000001E-3</v>
      </c>
      <c r="AC1159" s="8">
        <v>0</v>
      </c>
    </row>
    <row r="1160" spans="1:29" ht="11.65" hidden="1" x14ac:dyDescent="0.35">
      <c r="A1160" s="12">
        <v>1143</v>
      </c>
      <c r="B1160" s="10" t="s">
        <v>1015</v>
      </c>
      <c r="C1160" s="11" t="s">
        <v>1100</v>
      </c>
      <c r="D1160" s="9"/>
      <c r="E1160" s="9">
        <v>686</v>
      </c>
      <c r="F1160" s="10" t="s">
        <v>1066</v>
      </c>
      <c r="G1160" s="9">
        <v>914</v>
      </c>
      <c r="H1160" s="9">
        <v>1960</v>
      </c>
      <c r="I1160" s="8">
        <v>298.18900000000002</v>
      </c>
      <c r="J1160" s="8">
        <v>226.19200000000001</v>
      </c>
      <c r="K1160" s="8">
        <v>176.59200000000001</v>
      </c>
      <c r="L1160" s="8">
        <v>154.43299999999999</v>
      </c>
      <c r="M1160" s="8">
        <v>136.351</v>
      </c>
      <c r="N1160" s="8">
        <v>119.209</v>
      </c>
      <c r="O1160" s="8">
        <v>103.20399999999999</v>
      </c>
      <c r="P1160" s="8">
        <v>87.974999999999994</v>
      </c>
      <c r="Q1160" s="8">
        <v>74.927000000000007</v>
      </c>
      <c r="R1160" s="8">
        <v>63.326999999999998</v>
      </c>
      <c r="S1160" s="8">
        <v>52.634999999999998</v>
      </c>
      <c r="T1160" s="8">
        <v>42.365000000000002</v>
      </c>
      <c r="U1160" s="8">
        <v>32.082999999999998</v>
      </c>
      <c r="V1160" s="8">
        <v>22.091000000000001</v>
      </c>
      <c r="W1160" s="8">
        <v>13.884</v>
      </c>
      <c r="X1160" s="8">
        <v>7.07</v>
      </c>
      <c r="Y1160" s="8">
        <v>2.4049999999999998</v>
      </c>
      <c r="Z1160" s="8">
        <v>0.51300000000000001</v>
      </c>
      <c r="AA1160" s="8">
        <v>6.5000000000000002E-2</v>
      </c>
      <c r="AB1160" s="8">
        <v>3.0000000000000001E-3</v>
      </c>
      <c r="AC1160" s="8">
        <v>0</v>
      </c>
    </row>
    <row r="1161" spans="1:29" ht="11.65" hidden="1" x14ac:dyDescent="0.35">
      <c r="A1161" s="12">
        <v>1144</v>
      </c>
      <c r="B1161" s="10" t="s">
        <v>1015</v>
      </c>
      <c r="C1161" s="11" t="s">
        <v>1100</v>
      </c>
      <c r="D1161" s="9"/>
      <c r="E1161" s="9">
        <v>686</v>
      </c>
      <c r="F1161" s="10" t="s">
        <v>1066</v>
      </c>
      <c r="G1161" s="9">
        <v>914</v>
      </c>
      <c r="H1161" s="9">
        <v>1965</v>
      </c>
      <c r="I1161" s="8">
        <v>342.83600000000001</v>
      </c>
      <c r="J1161" s="8">
        <v>259.08100000000002</v>
      </c>
      <c r="K1161" s="8">
        <v>218.12100000000001</v>
      </c>
      <c r="L1161" s="8">
        <v>172.38900000000001</v>
      </c>
      <c r="M1161" s="8">
        <v>150.696</v>
      </c>
      <c r="N1161" s="8">
        <v>133.035</v>
      </c>
      <c r="O1161" s="8">
        <v>115.85299999999999</v>
      </c>
      <c r="P1161" s="8">
        <v>99.572999999999993</v>
      </c>
      <c r="Q1161" s="8">
        <v>84.245999999999995</v>
      </c>
      <c r="R1161" s="8">
        <v>71.268000000000001</v>
      </c>
      <c r="S1161" s="8">
        <v>59.325000000000003</v>
      </c>
      <c r="T1161" s="8">
        <v>47.936</v>
      </c>
      <c r="U1161" s="8">
        <v>36.549999999999997</v>
      </c>
      <c r="V1161" s="8">
        <v>25.193999999999999</v>
      </c>
      <c r="W1161" s="8">
        <v>14.949</v>
      </c>
      <c r="X1161" s="8">
        <v>7.359</v>
      </c>
      <c r="Y1161" s="8">
        <v>2.5859999999999999</v>
      </c>
      <c r="Z1161" s="8">
        <v>0.52500000000000002</v>
      </c>
      <c r="AA1161" s="8">
        <v>0.06</v>
      </c>
      <c r="AB1161" s="8">
        <v>4.0000000000000001E-3</v>
      </c>
      <c r="AC1161" s="8">
        <v>0</v>
      </c>
    </row>
    <row r="1162" spans="1:29" ht="11.65" hidden="1" x14ac:dyDescent="0.35">
      <c r="A1162" s="12">
        <v>1145</v>
      </c>
      <c r="B1162" s="10" t="s">
        <v>1015</v>
      </c>
      <c r="C1162" s="11" t="s">
        <v>1100</v>
      </c>
      <c r="D1162" s="9"/>
      <c r="E1162" s="9">
        <v>686</v>
      </c>
      <c r="F1162" s="10" t="s">
        <v>1066</v>
      </c>
      <c r="G1162" s="9">
        <v>914</v>
      </c>
      <c r="H1162" s="9">
        <v>1970</v>
      </c>
      <c r="I1162" s="8">
        <v>393.97899999999998</v>
      </c>
      <c r="J1162" s="8">
        <v>296.58499999999998</v>
      </c>
      <c r="K1162" s="8">
        <v>250.18799999999999</v>
      </c>
      <c r="L1162" s="8">
        <v>213.58199999999999</v>
      </c>
      <c r="M1162" s="8">
        <v>169.94499999999999</v>
      </c>
      <c r="N1162" s="8">
        <v>149.14400000000001</v>
      </c>
      <c r="O1162" s="8">
        <v>131.017</v>
      </c>
      <c r="P1162" s="8">
        <v>112.992</v>
      </c>
      <c r="Q1162" s="8">
        <v>96.150999999999996</v>
      </c>
      <c r="R1162" s="8">
        <v>80.661000000000001</v>
      </c>
      <c r="S1162" s="8">
        <v>67.111999999999995</v>
      </c>
      <c r="T1162" s="8">
        <v>54.264000000000003</v>
      </c>
      <c r="U1162" s="8">
        <v>41.527000000000001</v>
      </c>
      <c r="V1162" s="8">
        <v>28.832999999999998</v>
      </c>
      <c r="W1162" s="8">
        <v>17.143999999999998</v>
      </c>
      <c r="X1162" s="8">
        <v>7.9889999999999999</v>
      </c>
      <c r="Y1162" s="8">
        <v>2.7240000000000002</v>
      </c>
      <c r="Z1162" s="8">
        <v>0.57099999999999995</v>
      </c>
      <c r="AA1162" s="8">
        <v>6.0999999999999999E-2</v>
      </c>
      <c r="AB1162" s="8">
        <v>4.0000000000000001E-3</v>
      </c>
      <c r="AC1162" s="8">
        <v>0</v>
      </c>
    </row>
    <row r="1163" spans="1:29" ht="11.65" hidden="1" x14ac:dyDescent="0.35">
      <c r="A1163" s="12">
        <v>1146</v>
      </c>
      <c r="B1163" s="10" t="s">
        <v>1015</v>
      </c>
      <c r="C1163" s="11" t="s">
        <v>1100</v>
      </c>
      <c r="D1163" s="9"/>
      <c r="E1163" s="9">
        <v>686</v>
      </c>
      <c r="F1163" s="10" t="s">
        <v>1066</v>
      </c>
      <c r="G1163" s="9">
        <v>914</v>
      </c>
      <c r="H1163" s="9">
        <v>1975</v>
      </c>
      <c r="I1163" s="8">
        <v>458.21199999999999</v>
      </c>
      <c r="J1163" s="8">
        <v>346.39100000000002</v>
      </c>
      <c r="K1163" s="8">
        <v>287.5</v>
      </c>
      <c r="L1163" s="8">
        <v>245.06899999999999</v>
      </c>
      <c r="M1163" s="8">
        <v>209.33</v>
      </c>
      <c r="N1163" s="8">
        <v>167.035</v>
      </c>
      <c r="O1163" s="8">
        <v>146.03200000000001</v>
      </c>
      <c r="P1163" s="8">
        <v>127.32899999999999</v>
      </c>
      <c r="Q1163" s="8">
        <v>108.95399999999999</v>
      </c>
      <c r="R1163" s="8">
        <v>92.073999999999998</v>
      </c>
      <c r="S1163" s="8">
        <v>76.143000000000001</v>
      </c>
      <c r="T1163" s="8">
        <v>61.731000000000002</v>
      </c>
      <c r="U1163" s="8">
        <v>47.530999999999999</v>
      </c>
      <c r="V1163" s="8">
        <v>33.405000000000001</v>
      </c>
      <c r="W1163" s="8">
        <v>20.236000000000001</v>
      </c>
      <c r="X1163" s="8">
        <v>9.61</v>
      </c>
      <c r="Y1163" s="8">
        <v>3.169</v>
      </c>
      <c r="Z1163" s="8">
        <v>0.66100000000000003</v>
      </c>
      <c r="AA1163" s="8">
        <v>7.4999999999999997E-2</v>
      </c>
      <c r="AB1163" s="8">
        <v>5.0000000000000001E-3</v>
      </c>
      <c r="AC1163" s="8">
        <v>0</v>
      </c>
    </row>
    <row r="1164" spans="1:29" ht="11.65" hidden="1" x14ac:dyDescent="0.35">
      <c r="A1164" s="12">
        <v>1147</v>
      </c>
      <c r="B1164" s="10" t="s">
        <v>1015</v>
      </c>
      <c r="C1164" s="11" t="s">
        <v>1100</v>
      </c>
      <c r="D1164" s="9"/>
      <c r="E1164" s="9">
        <v>686</v>
      </c>
      <c r="F1164" s="10" t="s">
        <v>1066</v>
      </c>
      <c r="G1164" s="9">
        <v>914</v>
      </c>
      <c r="H1164" s="9">
        <v>1980</v>
      </c>
      <c r="I1164" s="8">
        <v>531.17499999999995</v>
      </c>
      <c r="J1164" s="8">
        <v>414.29399999999998</v>
      </c>
      <c r="K1164" s="8">
        <v>337.10300000000001</v>
      </c>
      <c r="L1164" s="8">
        <v>278.53100000000001</v>
      </c>
      <c r="M1164" s="8">
        <v>230.958</v>
      </c>
      <c r="N1164" s="8">
        <v>193.654</v>
      </c>
      <c r="O1164" s="8">
        <v>153.91399999999999</v>
      </c>
      <c r="P1164" s="8">
        <v>135.511</v>
      </c>
      <c r="Q1164" s="8">
        <v>118.873</v>
      </c>
      <c r="R1164" s="8">
        <v>102.057</v>
      </c>
      <c r="S1164" s="8">
        <v>85.811000000000007</v>
      </c>
      <c r="T1164" s="8">
        <v>69.798000000000002</v>
      </c>
      <c r="U1164" s="8">
        <v>54.54</v>
      </c>
      <c r="V1164" s="8">
        <v>39.191000000000003</v>
      </c>
      <c r="W1164" s="8">
        <v>24.484000000000002</v>
      </c>
      <c r="X1164" s="8">
        <v>12.137</v>
      </c>
      <c r="Y1164" s="8">
        <v>4.1779999999999999</v>
      </c>
      <c r="Z1164" s="8">
        <v>0.876</v>
      </c>
      <c r="AA1164" s="8">
        <v>0.104</v>
      </c>
      <c r="AB1164" s="8">
        <v>6.0000000000000001E-3</v>
      </c>
      <c r="AC1164" s="8">
        <v>0</v>
      </c>
    </row>
    <row r="1165" spans="1:29" ht="11.65" hidden="1" x14ac:dyDescent="0.35">
      <c r="A1165" s="12">
        <v>1148</v>
      </c>
      <c r="B1165" s="10" t="s">
        <v>1015</v>
      </c>
      <c r="C1165" s="11" t="s">
        <v>1100</v>
      </c>
      <c r="D1165" s="9"/>
      <c r="E1165" s="9">
        <v>686</v>
      </c>
      <c r="F1165" s="10" t="s">
        <v>1066</v>
      </c>
      <c r="G1165" s="9">
        <v>914</v>
      </c>
      <c r="H1165" s="9">
        <v>1985</v>
      </c>
      <c r="I1165" s="8">
        <v>614.54499999999996</v>
      </c>
      <c r="J1165" s="8">
        <v>492.822</v>
      </c>
      <c r="K1165" s="8">
        <v>406.43599999999998</v>
      </c>
      <c r="L1165" s="8">
        <v>330.01</v>
      </c>
      <c r="M1165" s="8">
        <v>268.05399999999997</v>
      </c>
      <c r="N1165" s="8">
        <v>219.58500000000001</v>
      </c>
      <c r="O1165" s="8">
        <v>183.816</v>
      </c>
      <c r="P1165" s="8">
        <v>146.21700000000001</v>
      </c>
      <c r="Q1165" s="8">
        <v>129.035</v>
      </c>
      <c r="R1165" s="8">
        <v>113.23699999999999</v>
      </c>
      <c r="S1165" s="8">
        <v>96.611999999999995</v>
      </c>
      <c r="T1165" s="8">
        <v>79.988</v>
      </c>
      <c r="U1165" s="8">
        <v>62.997999999999998</v>
      </c>
      <c r="V1165" s="8">
        <v>46.35</v>
      </c>
      <c r="W1165" s="8">
        <v>29.983000000000001</v>
      </c>
      <c r="X1165" s="8">
        <v>15.608000000000001</v>
      </c>
      <c r="Y1165" s="8">
        <v>5.7430000000000003</v>
      </c>
      <c r="Z1165" s="8">
        <v>1.2809999999999999</v>
      </c>
      <c r="AA1165" s="8">
        <v>0.153</v>
      </c>
      <c r="AB1165" s="8">
        <v>8.9999999999999993E-3</v>
      </c>
      <c r="AC1165" s="8">
        <v>0</v>
      </c>
    </row>
    <row r="1166" spans="1:29" ht="11.65" hidden="1" x14ac:dyDescent="0.35">
      <c r="A1166" s="12">
        <v>1149</v>
      </c>
      <c r="B1166" s="10" t="s">
        <v>1015</v>
      </c>
      <c r="C1166" s="11" t="s">
        <v>1100</v>
      </c>
      <c r="D1166" s="9"/>
      <c r="E1166" s="9">
        <v>686</v>
      </c>
      <c r="F1166" s="10" t="s">
        <v>1066</v>
      </c>
      <c r="G1166" s="9">
        <v>914</v>
      </c>
      <c r="H1166" s="9">
        <v>1990</v>
      </c>
      <c r="I1166" s="8">
        <v>676.11099999999999</v>
      </c>
      <c r="J1166" s="8">
        <v>582.86800000000005</v>
      </c>
      <c r="K1166" s="8">
        <v>486.536</v>
      </c>
      <c r="L1166" s="8">
        <v>400.87400000000002</v>
      </c>
      <c r="M1166" s="8">
        <v>322.262</v>
      </c>
      <c r="N1166" s="8">
        <v>259.83</v>
      </c>
      <c r="O1166" s="8">
        <v>212.47300000000001</v>
      </c>
      <c r="P1166" s="8">
        <v>177.89699999999999</v>
      </c>
      <c r="Q1166" s="8">
        <v>141.316</v>
      </c>
      <c r="R1166" s="8">
        <v>124.495</v>
      </c>
      <c r="S1166" s="8">
        <v>108.526</v>
      </c>
      <c r="T1166" s="8">
        <v>91.305000000000007</v>
      </c>
      <c r="U1166" s="8">
        <v>73.537000000000006</v>
      </c>
      <c r="V1166" s="8">
        <v>54.984999999999999</v>
      </c>
      <c r="W1166" s="8">
        <v>36.843000000000004</v>
      </c>
      <c r="X1166" s="8">
        <v>20.186</v>
      </c>
      <c r="Y1166" s="8">
        <v>7.9560000000000004</v>
      </c>
      <c r="Z1166" s="8">
        <v>1.9259999999999999</v>
      </c>
      <c r="AA1166" s="8">
        <v>0.248</v>
      </c>
      <c r="AB1166" s="8">
        <v>1.4999999999999999E-2</v>
      </c>
      <c r="AC1166" s="8">
        <v>1E-3</v>
      </c>
    </row>
    <row r="1167" spans="1:29" ht="11.65" hidden="1" x14ac:dyDescent="0.35">
      <c r="A1167" s="12">
        <v>1150</v>
      </c>
      <c r="B1167" s="10" t="s">
        <v>1015</v>
      </c>
      <c r="C1167" s="11" t="s">
        <v>1100</v>
      </c>
      <c r="D1167" s="9"/>
      <c r="E1167" s="9">
        <v>686</v>
      </c>
      <c r="F1167" s="10" t="s">
        <v>1066</v>
      </c>
      <c r="G1167" s="9">
        <v>914</v>
      </c>
      <c r="H1167" s="9">
        <v>1995</v>
      </c>
      <c r="I1167" s="8">
        <v>748.85500000000002</v>
      </c>
      <c r="J1167" s="8">
        <v>645.49099999999999</v>
      </c>
      <c r="K1167" s="8">
        <v>576.28899999999999</v>
      </c>
      <c r="L1167" s="8">
        <v>480.62799999999999</v>
      </c>
      <c r="M1167" s="8">
        <v>392.589</v>
      </c>
      <c r="N1167" s="8">
        <v>313.53399999999999</v>
      </c>
      <c r="O1167" s="8">
        <v>252.32499999999999</v>
      </c>
      <c r="P1167" s="8">
        <v>206.28800000000001</v>
      </c>
      <c r="Q1167" s="8">
        <v>172.51499999999999</v>
      </c>
      <c r="R1167" s="8">
        <v>136.66499999999999</v>
      </c>
      <c r="S1167" s="8">
        <v>119.611</v>
      </c>
      <c r="T1167" s="8">
        <v>102.884</v>
      </c>
      <c r="U1167" s="8">
        <v>84.319000000000003</v>
      </c>
      <c r="V1167" s="8">
        <v>64.617999999999995</v>
      </c>
      <c r="W1167" s="8">
        <v>44.145000000000003</v>
      </c>
      <c r="X1167" s="8">
        <v>25.158999999999999</v>
      </c>
      <c r="Y1167" s="8">
        <v>10.488</v>
      </c>
      <c r="Z1167" s="8">
        <v>2.7309999999999999</v>
      </c>
      <c r="AA1167" s="8">
        <v>0.38100000000000001</v>
      </c>
      <c r="AB1167" s="8">
        <v>2.5000000000000001E-2</v>
      </c>
      <c r="AC1167" s="8">
        <v>1E-3</v>
      </c>
    </row>
    <row r="1168" spans="1:29" ht="11.65" hidden="1" x14ac:dyDescent="0.35">
      <c r="A1168" s="12">
        <v>1151</v>
      </c>
      <c r="B1168" s="10" t="s">
        <v>1015</v>
      </c>
      <c r="C1168" s="11" t="s">
        <v>1100</v>
      </c>
      <c r="D1168" s="9"/>
      <c r="E1168" s="9">
        <v>686</v>
      </c>
      <c r="F1168" s="10" t="s">
        <v>1066</v>
      </c>
      <c r="G1168" s="9">
        <v>914</v>
      </c>
      <c r="H1168" s="9">
        <v>2000</v>
      </c>
      <c r="I1168" s="8">
        <v>819.71</v>
      </c>
      <c r="J1168" s="8">
        <v>711.45899999999995</v>
      </c>
      <c r="K1168" s="8">
        <v>636.79600000000005</v>
      </c>
      <c r="L1168" s="8">
        <v>566.28499999999997</v>
      </c>
      <c r="M1168" s="8">
        <v>464.19099999999997</v>
      </c>
      <c r="N1168" s="8">
        <v>374.19900000000001</v>
      </c>
      <c r="O1168" s="8">
        <v>298.51799999999997</v>
      </c>
      <c r="P1168" s="8">
        <v>241.20500000000001</v>
      </c>
      <c r="Q1168" s="8">
        <v>197.488</v>
      </c>
      <c r="R1168" s="8">
        <v>165.21100000000001</v>
      </c>
      <c r="S1168" s="8">
        <v>130.16800000000001</v>
      </c>
      <c r="T1168" s="8">
        <v>112.611</v>
      </c>
      <c r="U1168" s="8">
        <v>94.427999999999997</v>
      </c>
      <c r="V1168" s="8">
        <v>73.617000000000004</v>
      </c>
      <c r="W1168" s="8">
        <v>51.488999999999997</v>
      </c>
      <c r="X1168" s="8">
        <v>29.855</v>
      </c>
      <c r="Y1168" s="8">
        <v>12.909000000000001</v>
      </c>
      <c r="Z1168" s="8">
        <v>3.552</v>
      </c>
      <c r="AA1168" s="8">
        <v>0.53300000000000003</v>
      </c>
      <c r="AB1168" s="8">
        <v>0.04</v>
      </c>
      <c r="AC1168" s="8">
        <v>1E-3</v>
      </c>
    </row>
    <row r="1169" spans="1:29" ht="11.65" hidden="1" x14ac:dyDescent="0.35">
      <c r="A1169" s="12">
        <v>1152</v>
      </c>
      <c r="B1169" s="10" t="s">
        <v>1015</v>
      </c>
      <c r="C1169" s="11" t="s">
        <v>1100</v>
      </c>
      <c r="D1169" s="9"/>
      <c r="E1169" s="9">
        <v>686</v>
      </c>
      <c r="F1169" s="10" t="s">
        <v>1066</v>
      </c>
      <c r="G1169" s="9">
        <v>914</v>
      </c>
      <c r="H1169" s="9">
        <v>2005</v>
      </c>
      <c r="I1169" s="8">
        <v>910.46799999999996</v>
      </c>
      <c r="J1169" s="8">
        <v>787.86900000000003</v>
      </c>
      <c r="K1169" s="8">
        <v>702.23199999999997</v>
      </c>
      <c r="L1169" s="8">
        <v>626.35500000000002</v>
      </c>
      <c r="M1169" s="8">
        <v>548.76400000000001</v>
      </c>
      <c r="N1169" s="8">
        <v>444.697</v>
      </c>
      <c r="O1169" s="8">
        <v>359.15699999999998</v>
      </c>
      <c r="P1169" s="8">
        <v>288.18700000000001</v>
      </c>
      <c r="Q1169" s="8">
        <v>232.73699999999999</v>
      </c>
      <c r="R1169" s="8">
        <v>190.249</v>
      </c>
      <c r="S1169" s="8">
        <v>158.19</v>
      </c>
      <c r="T1169" s="8">
        <v>122.98</v>
      </c>
      <c r="U1169" s="8">
        <v>103.67100000000001</v>
      </c>
      <c r="V1169" s="8">
        <v>82.701999999999998</v>
      </c>
      <c r="W1169" s="8">
        <v>58.869</v>
      </c>
      <c r="X1169" s="8">
        <v>34.981000000000002</v>
      </c>
      <c r="Y1169" s="8">
        <v>15.411</v>
      </c>
      <c r="Z1169" s="8">
        <v>4.399</v>
      </c>
      <c r="AA1169" s="8">
        <v>0.69499999999999995</v>
      </c>
      <c r="AB1169" s="8">
        <v>5.5E-2</v>
      </c>
      <c r="AC1169" s="8">
        <v>2E-3</v>
      </c>
    </row>
    <row r="1170" spans="1:29" ht="11.65" hidden="1" x14ac:dyDescent="0.35">
      <c r="A1170" s="12">
        <v>1153</v>
      </c>
      <c r="B1170" s="10" t="s">
        <v>1015</v>
      </c>
      <c r="C1170" s="11" t="s">
        <v>1100</v>
      </c>
      <c r="D1170" s="9"/>
      <c r="E1170" s="9">
        <v>686</v>
      </c>
      <c r="F1170" s="10" t="s">
        <v>1066</v>
      </c>
      <c r="G1170" s="9">
        <v>914</v>
      </c>
      <c r="H1170" s="9">
        <v>2010</v>
      </c>
      <c r="I1170" s="8">
        <v>1059.2070000000001</v>
      </c>
      <c r="J1170" s="8">
        <v>888.06399999999996</v>
      </c>
      <c r="K1170" s="8">
        <v>779.11199999999997</v>
      </c>
      <c r="L1170" s="8">
        <v>692.12400000000002</v>
      </c>
      <c r="M1170" s="8">
        <v>609.08799999999997</v>
      </c>
      <c r="N1170" s="8">
        <v>528.92700000000002</v>
      </c>
      <c r="O1170" s="8">
        <v>428.65100000000001</v>
      </c>
      <c r="P1170" s="8">
        <v>347.35700000000003</v>
      </c>
      <c r="Q1170" s="8">
        <v>278.58600000000001</v>
      </c>
      <c r="R1170" s="8">
        <v>224.61600000000001</v>
      </c>
      <c r="S1170" s="8">
        <v>182.548</v>
      </c>
      <c r="T1170" s="8">
        <v>149.947</v>
      </c>
      <c r="U1170" s="8">
        <v>113.72199999999999</v>
      </c>
      <c r="V1170" s="8">
        <v>91.488</v>
      </c>
      <c r="W1170" s="8">
        <v>66.902000000000001</v>
      </c>
      <c r="X1170" s="8">
        <v>40.665999999999997</v>
      </c>
      <c r="Y1170" s="8">
        <v>18.47</v>
      </c>
      <c r="Z1170" s="8">
        <v>5.3979999999999997</v>
      </c>
      <c r="AA1170" s="8">
        <v>0.88600000000000001</v>
      </c>
      <c r="AB1170" s="8">
        <v>6.9000000000000006E-2</v>
      </c>
      <c r="AC1170" s="8">
        <v>1E-3</v>
      </c>
    </row>
    <row r="1171" spans="1:29" ht="11.65" hidden="1" x14ac:dyDescent="0.35">
      <c r="A1171" s="12">
        <v>1154</v>
      </c>
      <c r="B1171" s="10" t="s">
        <v>1015</v>
      </c>
      <c r="C1171" s="11" t="s">
        <v>1100</v>
      </c>
      <c r="D1171" s="9"/>
      <c r="E1171" s="9">
        <v>686</v>
      </c>
      <c r="F1171" s="10" t="s">
        <v>1066</v>
      </c>
      <c r="G1171" s="9">
        <v>914</v>
      </c>
      <c r="H1171" s="9">
        <v>2015</v>
      </c>
      <c r="I1171" s="8">
        <v>1205.3230000000001</v>
      </c>
      <c r="J1171" s="8">
        <v>1042.7460000000001</v>
      </c>
      <c r="K1171" s="8">
        <v>881.07500000000005</v>
      </c>
      <c r="L1171" s="8">
        <v>770.34100000000001</v>
      </c>
      <c r="M1171" s="8">
        <v>676.42</v>
      </c>
      <c r="N1171" s="8">
        <v>590.75099999999998</v>
      </c>
      <c r="O1171" s="8">
        <v>512.79399999999998</v>
      </c>
      <c r="P1171" s="8">
        <v>415.96499999999997</v>
      </c>
      <c r="Q1171" s="8">
        <v>337.072</v>
      </c>
      <c r="R1171" s="8">
        <v>269.92</v>
      </c>
      <c r="S1171" s="8">
        <v>216.49600000000001</v>
      </c>
      <c r="T1171" s="8">
        <v>174.096</v>
      </c>
      <c r="U1171" s="8">
        <v>140.03100000000001</v>
      </c>
      <c r="V1171" s="8">
        <v>101.848</v>
      </c>
      <c r="W1171" s="8">
        <v>75.730999999999995</v>
      </c>
      <c r="X1171" s="8">
        <v>47.805999999999997</v>
      </c>
      <c r="Y1171" s="8">
        <v>22.463000000000001</v>
      </c>
      <c r="Z1171" s="8">
        <v>6.8360000000000003</v>
      </c>
      <c r="AA1171" s="8">
        <v>1.1519999999999999</v>
      </c>
      <c r="AB1171" s="8">
        <v>9.4E-2</v>
      </c>
      <c r="AC1171" s="8">
        <v>2E-3</v>
      </c>
    </row>
    <row r="1172" spans="1:29" ht="11.65" hidden="1" x14ac:dyDescent="0.35">
      <c r="A1172" s="12">
        <v>1155</v>
      </c>
      <c r="B1172" s="10" t="s">
        <v>1015</v>
      </c>
      <c r="C1172" s="11" t="s">
        <v>1100</v>
      </c>
      <c r="D1172" s="9"/>
      <c r="E1172" s="9">
        <v>686</v>
      </c>
      <c r="F1172" s="10" t="s">
        <v>1066</v>
      </c>
      <c r="G1172" s="9">
        <v>914</v>
      </c>
      <c r="H1172" s="9">
        <v>2020</v>
      </c>
      <c r="I1172" s="8">
        <v>1288.9290000000001</v>
      </c>
      <c r="J1172" s="8">
        <v>1192.431</v>
      </c>
      <c r="K1172" s="8">
        <v>1036.9659999999999</v>
      </c>
      <c r="L1172" s="8">
        <v>874.71100000000001</v>
      </c>
      <c r="M1172" s="8">
        <v>759.60199999999998</v>
      </c>
      <c r="N1172" s="8">
        <v>663.93799999999999</v>
      </c>
      <c r="O1172" s="8">
        <v>579.44000000000005</v>
      </c>
      <c r="P1172" s="8">
        <v>503.10599999999999</v>
      </c>
      <c r="Q1172" s="8">
        <v>407.505</v>
      </c>
      <c r="R1172" s="8">
        <v>329.30799999999999</v>
      </c>
      <c r="S1172" s="8">
        <v>262.089</v>
      </c>
      <c r="T1172" s="8">
        <v>207.89599999999999</v>
      </c>
      <c r="U1172" s="8">
        <v>163.71</v>
      </c>
      <c r="V1172" s="8">
        <v>126.449</v>
      </c>
      <c r="W1172" s="8">
        <v>85.147000000000006</v>
      </c>
      <c r="X1172" s="8">
        <v>54.85</v>
      </c>
      <c r="Y1172" s="8">
        <v>26.922000000000001</v>
      </c>
      <c r="Z1172" s="8">
        <v>8.5190000000000001</v>
      </c>
      <c r="AA1172" s="8">
        <v>1.492</v>
      </c>
      <c r="AB1172" s="8">
        <v>0.13</v>
      </c>
      <c r="AC1172" s="8">
        <v>5.0000000000000001E-3</v>
      </c>
    </row>
    <row r="1173" spans="1:29" ht="11.65" hidden="1" x14ac:dyDescent="0.35">
      <c r="A1173" s="12">
        <v>1156</v>
      </c>
      <c r="B1173" s="10" t="s">
        <v>1015</v>
      </c>
      <c r="C1173" s="11" t="s">
        <v>1101</v>
      </c>
      <c r="D1173" s="9"/>
      <c r="E1173" s="9">
        <v>694</v>
      </c>
      <c r="F1173" s="10" t="s">
        <v>1066</v>
      </c>
      <c r="G1173" s="9">
        <v>914</v>
      </c>
      <c r="H1173" s="9">
        <v>1950</v>
      </c>
      <c r="I1173" s="8">
        <v>163.69499999999999</v>
      </c>
      <c r="J1173" s="8">
        <v>127.785</v>
      </c>
      <c r="K1173" s="8">
        <v>112.56</v>
      </c>
      <c r="L1173" s="8">
        <v>101.43</v>
      </c>
      <c r="M1173" s="8">
        <v>91.034999999999997</v>
      </c>
      <c r="N1173" s="8">
        <v>81.058999999999997</v>
      </c>
      <c r="O1173" s="8">
        <v>71.293999999999997</v>
      </c>
      <c r="P1173" s="8">
        <v>62.16</v>
      </c>
      <c r="Q1173" s="8">
        <v>53.655000000000001</v>
      </c>
      <c r="R1173" s="8">
        <v>45.988999999999997</v>
      </c>
      <c r="S1173" s="8">
        <v>38.954999999999998</v>
      </c>
      <c r="T1173" s="8">
        <v>31.919</v>
      </c>
      <c r="U1173" s="8">
        <v>24.675000000000001</v>
      </c>
      <c r="V1173" s="8">
        <v>17.431000000000001</v>
      </c>
      <c r="W1173" s="8">
        <v>10.5</v>
      </c>
      <c r="X1173" s="8">
        <v>5.1449999999999996</v>
      </c>
      <c r="Y1173" s="8">
        <v>1.4930000000000001</v>
      </c>
      <c r="Z1173" s="8">
        <v>0.54600000000000004</v>
      </c>
      <c r="AA1173" s="8">
        <v>0.14000000000000001</v>
      </c>
      <c r="AB1173" s="8">
        <v>2.3E-2</v>
      </c>
      <c r="AC1173" s="8">
        <v>2E-3</v>
      </c>
    </row>
    <row r="1174" spans="1:29" ht="11.65" hidden="1" x14ac:dyDescent="0.35">
      <c r="A1174" s="12">
        <v>1157</v>
      </c>
      <c r="B1174" s="10" t="s">
        <v>1015</v>
      </c>
      <c r="C1174" s="11" t="s">
        <v>1101</v>
      </c>
      <c r="D1174" s="9"/>
      <c r="E1174" s="9">
        <v>694</v>
      </c>
      <c r="F1174" s="10" t="s">
        <v>1066</v>
      </c>
      <c r="G1174" s="9">
        <v>914</v>
      </c>
      <c r="H1174" s="9">
        <v>1955</v>
      </c>
      <c r="I1174" s="8">
        <v>169.083</v>
      </c>
      <c r="J1174" s="8">
        <v>133.40700000000001</v>
      </c>
      <c r="K1174" s="8">
        <v>120.28400000000001</v>
      </c>
      <c r="L1174" s="8">
        <v>107.32899999999999</v>
      </c>
      <c r="M1174" s="8">
        <v>95.772999999999996</v>
      </c>
      <c r="N1174" s="8">
        <v>85.311000000000007</v>
      </c>
      <c r="O1174" s="8">
        <v>75.554000000000002</v>
      </c>
      <c r="P1174" s="8">
        <v>66.146000000000001</v>
      </c>
      <c r="Q1174" s="8">
        <v>57.481000000000002</v>
      </c>
      <c r="R1174" s="8">
        <v>49.555</v>
      </c>
      <c r="S1174" s="8">
        <v>42.106999999999999</v>
      </c>
      <c r="T1174" s="8">
        <v>34.856999999999999</v>
      </c>
      <c r="U1174" s="8">
        <v>27.29</v>
      </c>
      <c r="V1174" s="8">
        <v>19.641999999999999</v>
      </c>
      <c r="W1174" s="8">
        <v>12.409000000000001</v>
      </c>
      <c r="X1174" s="8">
        <v>6.3490000000000002</v>
      </c>
      <c r="Y1174" s="8">
        <v>2.5089999999999999</v>
      </c>
      <c r="Z1174" s="8">
        <v>0.54700000000000004</v>
      </c>
      <c r="AA1174" s="8">
        <v>0.14000000000000001</v>
      </c>
      <c r="AB1174" s="8">
        <v>2.3E-2</v>
      </c>
      <c r="AC1174" s="8">
        <v>2E-3</v>
      </c>
    </row>
    <row r="1175" spans="1:29" ht="11.65" hidden="1" x14ac:dyDescent="0.35">
      <c r="A1175" s="12">
        <v>1158</v>
      </c>
      <c r="B1175" s="10" t="s">
        <v>1015</v>
      </c>
      <c r="C1175" s="11" t="s">
        <v>1101</v>
      </c>
      <c r="D1175" s="9"/>
      <c r="E1175" s="9">
        <v>694</v>
      </c>
      <c r="F1175" s="10" t="s">
        <v>1066</v>
      </c>
      <c r="G1175" s="9">
        <v>914</v>
      </c>
      <c r="H1175" s="9">
        <v>1960</v>
      </c>
      <c r="I1175" s="8">
        <v>184.00200000000001</v>
      </c>
      <c r="J1175" s="8">
        <v>140.88900000000001</v>
      </c>
      <c r="K1175" s="8">
        <v>126.137</v>
      </c>
      <c r="L1175" s="8">
        <v>115.00700000000001</v>
      </c>
      <c r="M1175" s="8">
        <v>101.633</v>
      </c>
      <c r="N1175" s="8">
        <v>90.016999999999996</v>
      </c>
      <c r="O1175" s="8">
        <v>79.760999999999996</v>
      </c>
      <c r="P1175" s="8">
        <v>70.313999999999993</v>
      </c>
      <c r="Q1175" s="8">
        <v>61.341000000000001</v>
      </c>
      <c r="R1175" s="8">
        <v>53.212000000000003</v>
      </c>
      <c r="S1175" s="8">
        <v>45.459000000000003</v>
      </c>
      <c r="T1175" s="8">
        <v>37.755000000000003</v>
      </c>
      <c r="U1175" s="8">
        <v>29.882999999999999</v>
      </c>
      <c r="V1175" s="8">
        <v>21.8</v>
      </c>
      <c r="W1175" s="8">
        <v>14.042</v>
      </c>
      <c r="X1175" s="8">
        <v>7.5369999999999999</v>
      </c>
      <c r="Y1175" s="8">
        <v>3.1070000000000002</v>
      </c>
      <c r="Z1175" s="8">
        <v>0.92200000000000004</v>
      </c>
      <c r="AA1175" s="8">
        <v>0.14000000000000001</v>
      </c>
      <c r="AB1175" s="8">
        <v>2.3E-2</v>
      </c>
      <c r="AC1175" s="8">
        <v>2E-3</v>
      </c>
    </row>
    <row r="1176" spans="1:29" ht="11.65" hidden="1" x14ac:dyDescent="0.35">
      <c r="A1176" s="12">
        <v>1159</v>
      </c>
      <c r="B1176" s="10" t="s">
        <v>1015</v>
      </c>
      <c r="C1176" s="11" t="s">
        <v>1101</v>
      </c>
      <c r="D1176" s="9"/>
      <c r="E1176" s="9">
        <v>694</v>
      </c>
      <c r="F1176" s="10" t="s">
        <v>1066</v>
      </c>
      <c r="G1176" s="9">
        <v>914</v>
      </c>
      <c r="H1176" s="9">
        <v>1965</v>
      </c>
      <c r="I1176" s="8">
        <v>206.68600000000001</v>
      </c>
      <c r="J1176" s="8">
        <v>155.80799999999999</v>
      </c>
      <c r="K1176" s="8">
        <v>133.779</v>
      </c>
      <c r="L1176" s="8">
        <v>120.97</v>
      </c>
      <c r="M1176" s="8">
        <v>109.28</v>
      </c>
      <c r="N1176" s="8">
        <v>95.878</v>
      </c>
      <c r="O1176" s="8">
        <v>84.478999999999999</v>
      </c>
      <c r="P1176" s="8">
        <v>74.5</v>
      </c>
      <c r="Q1176" s="8">
        <v>65.423000000000002</v>
      </c>
      <c r="R1176" s="8">
        <v>56.94</v>
      </c>
      <c r="S1176" s="8">
        <v>48.929000000000002</v>
      </c>
      <c r="T1176" s="8">
        <v>40.862000000000002</v>
      </c>
      <c r="U1176" s="8">
        <v>32.468000000000004</v>
      </c>
      <c r="V1176" s="8">
        <v>23.960999999999999</v>
      </c>
      <c r="W1176" s="8">
        <v>15.651</v>
      </c>
      <c r="X1176" s="8">
        <v>8.5660000000000007</v>
      </c>
      <c r="Y1176" s="8">
        <v>3.7010000000000001</v>
      </c>
      <c r="Z1176" s="8">
        <v>1.141</v>
      </c>
      <c r="AA1176" s="8">
        <v>0.23599999999999999</v>
      </c>
      <c r="AB1176" s="8">
        <v>2.4E-2</v>
      </c>
      <c r="AC1176" s="8">
        <v>2E-3</v>
      </c>
    </row>
    <row r="1177" spans="1:29" ht="11.65" hidden="1" x14ac:dyDescent="0.35">
      <c r="A1177" s="12">
        <v>1160</v>
      </c>
      <c r="B1177" s="10" t="s">
        <v>1015</v>
      </c>
      <c r="C1177" s="11" t="s">
        <v>1101</v>
      </c>
      <c r="D1177" s="9"/>
      <c r="E1177" s="9">
        <v>694</v>
      </c>
      <c r="F1177" s="10" t="s">
        <v>1066</v>
      </c>
      <c r="G1177" s="9">
        <v>914</v>
      </c>
      <c r="H1177" s="9">
        <v>1970</v>
      </c>
      <c r="I1177" s="8">
        <v>231.803</v>
      </c>
      <c r="J1177" s="8">
        <v>178.55799999999999</v>
      </c>
      <c r="K1177" s="8">
        <v>148.751</v>
      </c>
      <c r="L1177" s="8">
        <v>128.80000000000001</v>
      </c>
      <c r="M1177" s="8">
        <v>115.459</v>
      </c>
      <c r="N1177" s="8">
        <v>103.59099999999999</v>
      </c>
      <c r="O1177" s="8">
        <v>90.424000000000007</v>
      </c>
      <c r="P1177" s="8">
        <v>79.290000000000006</v>
      </c>
      <c r="Q1177" s="8">
        <v>69.626999999999995</v>
      </c>
      <c r="R1177" s="8">
        <v>60.951000000000001</v>
      </c>
      <c r="S1177" s="8">
        <v>52.524999999999999</v>
      </c>
      <c r="T1177" s="8">
        <v>44.131</v>
      </c>
      <c r="U1177" s="8">
        <v>35.293999999999997</v>
      </c>
      <c r="V1177" s="8">
        <v>26.170999999999999</v>
      </c>
      <c r="W1177" s="8">
        <v>17.308</v>
      </c>
      <c r="X1177" s="8">
        <v>9.6069999999999993</v>
      </c>
      <c r="Y1177" s="8">
        <v>4.226</v>
      </c>
      <c r="Z1177" s="8">
        <v>1.365</v>
      </c>
      <c r="AA1177" s="8">
        <v>0.29099999999999998</v>
      </c>
      <c r="AB1177" s="8">
        <v>3.6999999999999998E-2</v>
      </c>
      <c r="AC1177" s="8">
        <v>2E-3</v>
      </c>
    </row>
    <row r="1178" spans="1:29" ht="11.65" hidden="1" x14ac:dyDescent="0.35">
      <c r="A1178" s="12">
        <v>1161</v>
      </c>
      <c r="B1178" s="10" t="s">
        <v>1015</v>
      </c>
      <c r="C1178" s="11" t="s">
        <v>1101</v>
      </c>
      <c r="D1178" s="9"/>
      <c r="E1178" s="9">
        <v>694</v>
      </c>
      <c r="F1178" s="10" t="s">
        <v>1066</v>
      </c>
      <c r="G1178" s="9">
        <v>914</v>
      </c>
      <c r="H1178" s="9">
        <v>1975</v>
      </c>
      <c r="I1178" s="8">
        <v>262.524</v>
      </c>
      <c r="J1178" s="8">
        <v>204.61600000000001</v>
      </c>
      <c r="K1178" s="8">
        <v>171.375</v>
      </c>
      <c r="L1178" s="8">
        <v>143.72800000000001</v>
      </c>
      <c r="M1178" s="8">
        <v>123.419</v>
      </c>
      <c r="N1178" s="8">
        <v>109.917</v>
      </c>
      <c r="O1178" s="8">
        <v>98.13</v>
      </c>
      <c r="P1178" s="8">
        <v>85.245000000000005</v>
      </c>
      <c r="Q1178" s="8">
        <v>74.409000000000006</v>
      </c>
      <c r="R1178" s="8">
        <v>65.093000000000004</v>
      </c>
      <c r="S1178" s="8">
        <v>56.399000000000001</v>
      </c>
      <c r="T1178" s="8">
        <v>47.534999999999997</v>
      </c>
      <c r="U1178" s="8">
        <v>38.286000000000001</v>
      </c>
      <c r="V1178" s="8">
        <v>28.609000000000002</v>
      </c>
      <c r="W1178" s="8">
        <v>19.033000000000001</v>
      </c>
      <c r="X1178" s="8">
        <v>10.702</v>
      </c>
      <c r="Y1178" s="8">
        <v>4.7709999999999999</v>
      </c>
      <c r="Z1178" s="8">
        <v>1.5649999999999999</v>
      </c>
      <c r="AA1178" s="8">
        <v>0.34899999999999998</v>
      </c>
      <c r="AB1178" s="8">
        <v>4.7E-2</v>
      </c>
      <c r="AC1178" s="8">
        <v>4.0000000000000001E-3</v>
      </c>
    </row>
    <row r="1179" spans="1:29" ht="11.65" hidden="1" x14ac:dyDescent="0.35">
      <c r="A1179" s="12">
        <v>1162</v>
      </c>
      <c r="B1179" s="10" t="s">
        <v>1015</v>
      </c>
      <c r="C1179" s="11" t="s">
        <v>1101</v>
      </c>
      <c r="D1179" s="9"/>
      <c r="E1179" s="9">
        <v>694</v>
      </c>
      <c r="F1179" s="10" t="s">
        <v>1066</v>
      </c>
      <c r="G1179" s="9">
        <v>914</v>
      </c>
      <c r="H1179" s="9">
        <v>1980</v>
      </c>
      <c r="I1179" s="8">
        <v>295.44600000000003</v>
      </c>
      <c r="J1179" s="8">
        <v>234.71199999999999</v>
      </c>
      <c r="K1179" s="8">
        <v>197.15600000000001</v>
      </c>
      <c r="L1179" s="8">
        <v>166.08099999999999</v>
      </c>
      <c r="M1179" s="8">
        <v>138.20699999999999</v>
      </c>
      <c r="N1179" s="8">
        <v>117.94799999999999</v>
      </c>
      <c r="O1179" s="8">
        <v>104.53700000000001</v>
      </c>
      <c r="P1179" s="8">
        <v>92.873999999999995</v>
      </c>
      <c r="Q1179" s="8">
        <v>80.289000000000001</v>
      </c>
      <c r="R1179" s="8">
        <v>69.78</v>
      </c>
      <c r="S1179" s="8">
        <v>60.4</v>
      </c>
      <c r="T1179" s="8">
        <v>51.195999999999998</v>
      </c>
      <c r="U1179" s="8">
        <v>41.395000000000003</v>
      </c>
      <c r="V1179" s="8">
        <v>31.178999999999998</v>
      </c>
      <c r="W1179" s="8">
        <v>20.919</v>
      </c>
      <c r="X1179" s="8">
        <v>11.837</v>
      </c>
      <c r="Y1179" s="8">
        <v>5.3410000000000002</v>
      </c>
      <c r="Z1179" s="8">
        <v>1.774</v>
      </c>
      <c r="AA1179" s="8">
        <v>0.40100000000000002</v>
      </c>
      <c r="AB1179" s="8">
        <v>5.6000000000000001E-2</v>
      </c>
      <c r="AC1179" s="8">
        <v>5.0000000000000001E-3</v>
      </c>
    </row>
    <row r="1180" spans="1:29" ht="11.65" hidden="1" x14ac:dyDescent="0.35">
      <c r="A1180" s="12">
        <v>1163</v>
      </c>
      <c r="B1180" s="10" t="s">
        <v>1015</v>
      </c>
      <c r="C1180" s="11" t="s">
        <v>1101</v>
      </c>
      <c r="D1180" s="9"/>
      <c r="E1180" s="9">
        <v>694</v>
      </c>
      <c r="F1180" s="10" t="s">
        <v>1066</v>
      </c>
      <c r="G1180" s="9">
        <v>914</v>
      </c>
      <c r="H1180" s="9">
        <v>1985</v>
      </c>
      <c r="I1180" s="8">
        <v>337.84899999999999</v>
      </c>
      <c r="J1180" s="8">
        <v>266.791</v>
      </c>
      <c r="K1180" s="8">
        <v>226.41499999999999</v>
      </c>
      <c r="L1180" s="8">
        <v>191.095</v>
      </c>
      <c r="M1180" s="8">
        <v>159.65799999999999</v>
      </c>
      <c r="N1180" s="8">
        <v>132.02099999999999</v>
      </c>
      <c r="O1180" s="8">
        <v>112.139</v>
      </c>
      <c r="P1180" s="8">
        <v>98.927999999999997</v>
      </c>
      <c r="Q1180" s="8">
        <v>87.483999999999995</v>
      </c>
      <c r="R1180" s="8">
        <v>75.302000000000007</v>
      </c>
      <c r="S1180" s="8">
        <v>64.754000000000005</v>
      </c>
      <c r="T1180" s="8">
        <v>54.837000000000003</v>
      </c>
      <c r="U1180" s="8">
        <v>44.618000000000002</v>
      </c>
      <c r="V1180" s="8">
        <v>33.762999999999998</v>
      </c>
      <c r="W1180" s="8">
        <v>22.858000000000001</v>
      </c>
      <c r="X1180" s="8">
        <v>13.057</v>
      </c>
      <c r="Y1180" s="8">
        <v>5.93</v>
      </c>
      <c r="Z1180" s="8">
        <v>1.9910000000000001</v>
      </c>
      <c r="AA1180" s="8">
        <v>0.45400000000000001</v>
      </c>
      <c r="AB1180" s="8">
        <v>6.4000000000000001E-2</v>
      </c>
      <c r="AC1180" s="8">
        <v>5.0000000000000001E-3</v>
      </c>
    </row>
    <row r="1181" spans="1:29" ht="11.65" hidden="1" x14ac:dyDescent="0.35">
      <c r="A1181" s="12">
        <v>1164</v>
      </c>
      <c r="B1181" s="10" t="s">
        <v>1015</v>
      </c>
      <c r="C1181" s="11" t="s">
        <v>1101</v>
      </c>
      <c r="D1181" s="9"/>
      <c r="E1181" s="9">
        <v>694</v>
      </c>
      <c r="F1181" s="10" t="s">
        <v>1066</v>
      </c>
      <c r="G1181" s="9">
        <v>914</v>
      </c>
      <c r="H1181" s="9">
        <v>1990</v>
      </c>
      <c r="I1181" s="8">
        <v>382.32100000000003</v>
      </c>
      <c r="J1181" s="8">
        <v>310.54700000000003</v>
      </c>
      <c r="K1181" s="8">
        <v>260.13299999999998</v>
      </c>
      <c r="L1181" s="8">
        <v>221.53800000000001</v>
      </c>
      <c r="M1181" s="8">
        <v>184.964</v>
      </c>
      <c r="N1181" s="8">
        <v>153.36199999999999</v>
      </c>
      <c r="O1181" s="8">
        <v>126.254</v>
      </c>
      <c r="P1181" s="8">
        <v>106.842</v>
      </c>
      <c r="Q1181" s="8">
        <v>93.921000000000006</v>
      </c>
      <c r="R1181" s="8">
        <v>82.787999999999997</v>
      </c>
      <c r="S1181" s="8">
        <v>70.557000000000002</v>
      </c>
      <c r="T1181" s="8">
        <v>59.345999999999997</v>
      </c>
      <c r="U1181" s="8">
        <v>48.246000000000002</v>
      </c>
      <c r="V1181" s="8">
        <v>36.749000000000002</v>
      </c>
      <c r="W1181" s="8">
        <v>25.027000000000001</v>
      </c>
      <c r="X1181" s="8">
        <v>14.462</v>
      </c>
      <c r="Y1181" s="8">
        <v>6.6459999999999999</v>
      </c>
      <c r="Z1181" s="8">
        <v>2.246</v>
      </c>
      <c r="AA1181" s="8">
        <v>0.51900000000000002</v>
      </c>
      <c r="AB1181" s="8">
        <v>7.3999999999999996E-2</v>
      </c>
      <c r="AC1181" s="8">
        <v>6.0000000000000001E-3</v>
      </c>
    </row>
    <row r="1182" spans="1:29" ht="11.65" hidden="1" x14ac:dyDescent="0.35">
      <c r="A1182" s="12">
        <v>1165</v>
      </c>
      <c r="B1182" s="10" t="s">
        <v>1015</v>
      </c>
      <c r="C1182" s="11" t="s">
        <v>1101</v>
      </c>
      <c r="D1182" s="9"/>
      <c r="E1182" s="9">
        <v>694</v>
      </c>
      <c r="F1182" s="10" t="s">
        <v>1066</v>
      </c>
      <c r="G1182" s="9">
        <v>914</v>
      </c>
      <c r="H1182" s="9">
        <v>1995</v>
      </c>
      <c r="I1182" s="8">
        <v>378.82299999999998</v>
      </c>
      <c r="J1182" s="8">
        <v>311.185</v>
      </c>
      <c r="K1182" s="8">
        <v>266.22199999999998</v>
      </c>
      <c r="L1182" s="8">
        <v>223.12899999999999</v>
      </c>
      <c r="M1182" s="8">
        <v>187.14599999999999</v>
      </c>
      <c r="N1182" s="8">
        <v>154.68100000000001</v>
      </c>
      <c r="O1182" s="8">
        <v>127.779</v>
      </c>
      <c r="P1182" s="8">
        <v>104.928</v>
      </c>
      <c r="Q1182" s="8">
        <v>88.710999999999999</v>
      </c>
      <c r="R1182" s="8">
        <v>78.015000000000001</v>
      </c>
      <c r="S1182" s="8">
        <v>68.212000000000003</v>
      </c>
      <c r="T1182" s="8">
        <v>56.795000000000002</v>
      </c>
      <c r="U1182" s="8">
        <v>45.862000000000002</v>
      </c>
      <c r="V1182" s="8">
        <v>34.921999999999997</v>
      </c>
      <c r="W1182" s="8">
        <v>23.978000000000002</v>
      </c>
      <c r="X1182" s="8">
        <v>13.981999999999999</v>
      </c>
      <c r="Y1182" s="8">
        <v>6.5209999999999999</v>
      </c>
      <c r="Z1182" s="8">
        <v>2.2309999999999999</v>
      </c>
      <c r="AA1182" s="8">
        <v>0.51800000000000002</v>
      </c>
      <c r="AB1182" s="8">
        <v>7.3999999999999996E-2</v>
      </c>
      <c r="AC1182" s="8">
        <v>6.0000000000000001E-3</v>
      </c>
    </row>
    <row r="1183" spans="1:29" ht="11.65" hidden="1" x14ac:dyDescent="0.35">
      <c r="A1183" s="12">
        <v>1166</v>
      </c>
      <c r="B1183" s="10" t="s">
        <v>1015</v>
      </c>
      <c r="C1183" s="11" t="s">
        <v>1101</v>
      </c>
      <c r="D1183" s="9"/>
      <c r="E1183" s="9">
        <v>694</v>
      </c>
      <c r="F1183" s="10" t="s">
        <v>1066</v>
      </c>
      <c r="G1183" s="9">
        <v>914</v>
      </c>
      <c r="H1183" s="9">
        <v>2000</v>
      </c>
      <c r="I1183" s="8">
        <v>397.12799999999999</v>
      </c>
      <c r="J1183" s="8">
        <v>332.73500000000001</v>
      </c>
      <c r="K1183" s="8">
        <v>285.83</v>
      </c>
      <c r="L1183" s="8">
        <v>244.55199999999999</v>
      </c>
      <c r="M1183" s="8">
        <v>201.30099999999999</v>
      </c>
      <c r="N1183" s="8">
        <v>167.078</v>
      </c>
      <c r="O1183" s="8">
        <v>137.61099999999999</v>
      </c>
      <c r="P1183" s="8">
        <v>113.59399999999999</v>
      </c>
      <c r="Q1183" s="8">
        <v>93.265000000000001</v>
      </c>
      <c r="R1183" s="8">
        <v>78.847999999999999</v>
      </c>
      <c r="S1183" s="8">
        <v>68.774000000000001</v>
      </c>
      <c r="T1183" s="8">
        <v>58.823</v>
      </c>
      <c r="U1183" s="8">
        <v>47.024000000000001</v>
      </c>
      <c r="V1183" s="8">
        <v>35.591000000000001</v>
      </c>
      <c r="W1183" s="8">
        <v>24.452000000000002</v>
      </c>
      <c r="X1183" s="8">
        <v>14.401</v>
      </c>
      <c r="Y1183" s="8">
        <v>6.7830000000000004</v>
      </c>
      <c r="Z1183" s="8">
        <v>2.3540000000000001</v>
      </c>
      <c r="AA1183" s="8">
        <v>0.55300000000000005</v>
      </c>
      <c r="AB1183" s="8">
        <v>8.2000000000000003E-2</v>
      </c>
      <c r="AC1183" s="8">
        <v>7.0000000000000001E-3</v>
      </c>
    </row>
    <row r="1184" spans="1:29" ht="11.65" hidden="1" x14ac:dyDescent="0.35">
      <c r="A1184" s="12">
        <v>1167</v>
      </c>
      <c r="B1184" s="10" t="s">
        <v>1015</v>
      </c>
      <c r="C1184" s="11" t="s">
        <v>1101</v>
      </c>
      <c r="D1184" s="9"/>
      <c r="E1184" s="9">
        <v>694</v>
      </c>
      <c r="F1184" s="10" t="s">
        <v>1066</v>
      </c>
      <c r="G1184" s="9">
        <v>914</v>
      </c>
      <c r="H1184" s="9">
        <v>2005</v>
      </c>
      <c r="I1184" s="8">
        <v>479.78199999999998</v>
      </c>
      <c r="J1184" s="8">
        <v>405.18200000000002</v>
      </c>
      <c r="K1184" s="8">
        <v>353.202</v>
      </c>
      <c r="L1184" s="8">
        <v>303.63299999999998</v>
      </c>
      <c r="M1184" s="8">
        <v>256.37</v>
      </c>
      <c r="N1184" s="8">
        <v>209.48400000000001</v>
      </c>
      <c r="O1184" s="8">
        <v>173.08</v>
      </c>
      <c r="P1184" s="8">
        <v>142.18600000000001</v>
      </c>
      <c r="Q1184" s="8">
        <v>117.048</v>
      </c>
      <c r="R1184" s="8">
        <v>95.9</v>
      </c>
      <c r="S1184" s="8">
        <v>80.272000000000006</v>
      </c>
      <c r="T1184" s="8">
        <v>68.436000000000007</v>
      </c>
      <c r="U1184" s="8">
        <v>56.253</v>
      </c>
      <c r="V1184" s="8">
        <v>42.246000000000002</v>
      </c>
      <c r="W1184" s="8">
        <v>28.867999999999999</v>
      </c>
      <c r="X1184" s="8">
        <v>16.994</v>
      </c>
      <c r="Y1184" s="8">
        <v>8.0640000000000001</v>
      </c>
      <c r="Z1184" s="8">
        <v>2.819</v>
      </c>
      <c r="AA1184" s="8">
        <v>0.66900000000000004</v>
      </c>
      <c r="AB1184" s="8">
        <v>9.9000000000000005E-2</v>
      </c>
      <c r="AC1184" s="8">
        <v>8.9999999999999993E-3</v>
      </c>
    </row>
    <row r="1185" spans="1:29" ht="11.65" hidden="1" x14ac:dyDescent="0.35">
      <c r="A1185" s="12">
        <v>1168</v>
      </c>
      <c r="B1185" s="10" t="s">
        <v>1015</v>
      </c>
      <c r="C1185" s="11" t="s">
        <v>1101</v>
      </c>
      <c r="D1185" s="9"/>
      <c r="E1185" s="9">
        <v>694</v>
      </c>
      <c r="F1185" s="10" t="s">
        <v>1066</v>
      </c>
      <c r="G1185" s="9">
        <v>914</v>
      </c>
      <c r="H1185" s="9">
        <v>2010</v>
      </c>
      <c r="I1185" s="8">
        <v>528.03200000000004</v>
      </c>
      <c r="J1185" s="8">
        <v>457.17899999999997</v>
      </c>
      <c r="K1185" s="8">
        <v>397.99799999999999</v>
      </c>
      <c r="L1185" s="8">
        <v>346.88900000000001</v>
      </c>
      <c r="M1185" s="8">
        <v>295.32799999999997</v>
      </c>
      <c r="N1185" s="8">
        <v>247.691</v>
      </c>
      <c r="O1185" s="8">
        <v>201.61500000000001</v>
      </c>
      <c r="P1185" s="8">
        <v>165.96899999999999</v>
      </c>
      <c r="Q1185" s="8">
        <v>135.803</v>
      </c>
      <c r="R1185" s="8">
        <v>111.261</v>
      </c>
      <c r="S1185" s="8">
        <v>90.177000000000007</v>
      </c>
      <c r="T1185" s="8">
        <v>73.912000000000006</v>
      </c>
      <c r="U1185" s="8">
        <v>60.719000000000001</v>
      </c>
      <c r="V1185" s="8">
        <v>46.957000000000001</v>
      </c>
      <c r="W1185" s="8">
        <v>31.927</v>
      </c>
      <c r="X1185" s="8">
        <v>18.722999999999999</v>
      </c>
      <c r="Y1185" s="8">
        <v>8.8719999999999999</v>
      </c>
      <c r="Z1185" s="8">
        <v>3.1160000000000001</v>
      </c>
      <c r="AA1185" s="8">
        <v>0.74399999999999999</v>
      </c>
      <c r="AB1185" s="8">
        <v>0.109</v>
      </c>
      <c r="AC1185" s="8">
        <v>0.01</v>
      </c>
    </row>
    <row r="1186" spans="1:29" ht="11.65" hidden="1" x14ac:dyDescent="0.35">
      <c r="A1186" s="12">
        <v>1169</v>
      </c>
      <c r="B1186" s="10" t="s">
        <v>1015</v>
      </c>
      <c r="C1186" s="11" t="s">
        <v>1101</v>
      </c>
      <c r="D1186" s="9"/>
      <c r="E1186" s="9">
        <v>694</v>
      </c>
      <c r="F1186" s="10" t="s">
        <v>1066</v>
      </c>
      <c r="G1186" s="9">
        <v>914</v>
      </c>
      <c r="H1186" s="9">
        <v>2015</v>
      </c>
      <c r="I1186" s="8">
        <v>550.755</v>
      </c>
      <c r="J1186" s="8">
        <v>505.76299999999998</v>
      </c>
      <c r="K1186" s="8">
        <v>446.21199999999999</v>
      </c>
      <c r="L1186" s="8">
        <v>387.87299999999999</v>
      </c>
      <c r="M1186" s="8">
        <v>335.15699999999998</v>
      </c>
      <c r="N1186" s="8">
        <v>283.666</v>
      </c>
      <c r="O1186" s="8">
        <v>237.065</v>
      </c>
      <c r="P1186" s="8">
        <v>192.279</v>
      </c>
      <c r="Q1186" s="8">
        <v>157.61199999999999</v>
      </c>
      <c r="R1186" s="8">
        <v>128.24799999999999</v>
      </c>
      <c r="S1186" s="8">
        <v>103.90600000000001</v>
      </c>
      <c r="T1186" s="8">
        <v>82.534000000000006</v>
      </c>
      <c r="U1186" s="8">
        <v>65.361000000000004</v>
      </c>
      <c r="V1186" s="8">
        <v>50.71</v>
      </c>
      <c r="W1186" s="8">
        <v>35.677</v>
      </c>
      <c r="X1186" s="8">
        <v>20.919</v>
      </c>
      <c r="Y1186" s="8">
        <v>9.8970000000000002</v>
      </c>
      <c r="Z1186" s="8">
        <v>3.4689999999999999</v>
      </c>
      <c r="AA1186" s="8">
        <v>0.82499999999999996</v>
      </c>
      <c r="AB1186" s="8">
        <v>0.121</v>
      </c>
      <c r="AC1186" s="8">
        <v>1.0999999999999999E-2</v>
      </c>
    </row>
    <row r="1187" spans="1:29" ht="11.65" hidden="1" x14ac:dyDescent="0.35">
      <c r="A1187" s="12">
        <v>1170</v>
      </c>
      <c r="B1187" s="10" t="s">
        <v>1015</v>
      </c>
      <c r="C1187" s="11" t="s">
        <v>1101</v>
      </c>
      <c r="D1187" s="9"/>
      <c r="E1187" s="9">
        <v>694</v>
      </c>
      <c r="F1187" s="10" t="s">
        <v>1066</v>
      </c>
      <c r="G1187" s="9">
        <v>914</v>
      </c>
      <c r="H1187" s="9">
        <v>2020</v>
      </c>
      <c r="I1187" s="8">
        <v>577.74699999999996</v>
      </c>
      <c r="J1187" s="8">
        <v>532.74800000000005</v>
      </c>
      <c r="K1187" s="8">
        <v>495.35500000000002</v>
      </c>
      <c r="L1187" s="8">
        <v>435.96899999999999</v>
      </c>
      <c r="M1187" s="8">
        <v>375.779</v>
      </c>
      <c r="N1187" s="8">
        <v>322.91199999999998</v>
      </c>
      <c r="O1187" s="8">
        <v>272.41199999999998</v>
      </c>
      <c r="P1187" s="8">
        <v>226.91</v>
      </c>
      <c r="Q1187" s="8">
        <v>183.262</v>
      </c>
      <c r="R1187" s="8">
        <v>149.35599999999999</v>
      </c>
      <c r="S1187" s="8">
        <v>120.179</v>
      </c>
      <c r="T1187" s="8">
        <v>95.488</v>
      </c>
      <c r="U1187" s="8">
        <v>73.418999999999997</v>
      </c>
      <c r="V1187" s="8">
        <v>55.064999999999998</v>
      </c>
      <c r="W1187" s="8">
        <v>39.024000000000001</v>
      </c>
      <c r="X1187" s="8">
        <v>23.792000000000002</v>
      </c>
      <c r="Y1187" s="8">
        <v>11.291</v>
      </c>
      <c r="Z1187" s="8">
        <v>3.952</v>
      </c>
      <c r="AA1187" s="8">
        <v>0.93799999999999994</v>
      </c>
      <c r="AB1187" s="8">
        <v>0.13600000000000001</v>
      </c>
      <c r="AC1187" s="8">
        <v>1.2E-2</v>
      </c>
    </row>
    <row r="1188" spans="1:29" ht="11.65" hidden="1" x14ac:dyDescent="0.35">
      <c r="A1188" s="12">
        <v>1171</v>
      </c>
      <c r="B1188" s="10" t="s">
        <v>1015</v>
      </c>
      <c r="C1188" s="11" t="s">
        <v>1102</v>
      </c>
      <c r="D1188" s="9"/>
      <c r="E1188" s="9">
        <v>768</v>
      </c>
      <c r="F1188" s="10" t="s">
        <v>1066</v>
      </c>
      <c r="G1188" s="9">
        <v>914</v>
      </c>
      <c r="H1188" s="9">
        <v>1950</v>
      </c>
      <c r="I1188" s="8">
        <v>118.42100000000001</v>
      </c>
      <c r="J1188" s="8">
        <v>92.356999999999999</v>
      </c>
      <c r="K1188" s="8">
        <v>79.477000000000004</v>
      </c>
      <c r="L1188" s="8">
        <v>69.242000000000004</v>
      </c>
      <c r="M1188" s="8">
        <v>60.152000000000001</v>
      </c>
      <c r="N1188" s="8">
        <v>52.201000000000001</v>
      </c>
      <c r="O1188" s="8">
        <v>45.378</v>
      </c>
      <c r="P1188" s="8">
        <v>39.793999999999997</v>
      </c>
      <c r="Q1188" s="8">
        <v>32.99</v>
      </c>
      <c r="R1188" s="8">
        <v>27.327000000000002</v>
      </c>
      <c r="S1188" s="8">
        <v>23.31</v>
      </c>
      <c r="T1188" s="8">
        <v>20.225000000000001</v>
      </c>
      <c r="U1188" s="8">
        <v>17.067</v>
      </c>
      <c r="V1188" s="8">
        <v>13.048</v>
      </c>
      <c r="W1188" s="8">
        <v>9.0749999999999993</v>
      </c>
      <c r="X1188" s="8">
        <v>5.0359999999999996</v>
      </c>
      <c r="Y1188" s="8">
        <v>2.1520000000000001</v>
      </c>
      <c r="Z1188" s="8">
        <v>0.39900000000000002</v>
      </c>
      <c r="AA1188" s="8">
        <v>3.7999999999999999E-2</v>
      </c>
      <c r="AB1188" s="8">
        <v>2E-3</v>
      </c>
      <c r="AC1188" s="8">
        <v>0</v>
      </c>
    </row>
    <row r="1189" spans="1:29" ht="11.65" hidden="1" x14ac:dyDescent="0.35">
      <c r="A1189" s="12">
        <v>1172</v>
      </c>
      <c r="B1189" s="10" t="s">
        <v>1015</v>
      </c>
      <c r="C1189" s="11" t="s">
        <v>1102</v>
      </c>
      <c r="D1189" s="9"/>
      <c r="E1189" s="9">
        <v>768</v>
      </c>
      <c r="F1189" s="10" t="s">
        <v>1066</v>
      </c>
      <c r="G1189" s="9">
        <v>914</v>
      </c>
      <c r="H1189" s="9">
        <v>1955</v>
      </c>
      <c r="I1189" s="8">
        <v>127.206</v>
      </c>
      <c r="J1189" s="8">
        <v>100.169</v>
      </c>
      <c r="K1189" s="8">
        <v>85.418000000000006</v>
      </c>
      <c r="L1189" s="8">
        <v>74.168000000000006</v>
      </c>
      <c r="M1189" s="8">
        <v>63.752000000000002</v>
      </c>
      <c r="N1189" s="8">
        <v>54.948999999999998</v>
      </c>
      <c r="O1189" s="8">
        <v>47.54</v>
      </c>
      <c r="P1189" s="8">
        <v>41.19</v>
      </c>
      <c r="Q1189" s="8">
        <v>36.024999999999999</v>
      </c>
      <c r="R1189" s="8">
        <v>29.763000000000002</v>
      </c>
      <c r="S1189" s="8">
        <v>24.309000000000001</v>
      </c>
      <c r="T1189" s="8">
        <v>20.134</v>
      </c>
      <c r="U1189" s="8">
        <v>16.452999999999999</v>
      </c>
      <c r="V1189" s="8">
        <v>12.491</v>
      </c>
      <c r="W1189" s="8">
        <v>8.077</v>
      </c>
      <c r="X1189" s="8">
        <v>4.2729999999999997</v>
      </c>
      <c r="Y1189" s="8">
        <v>1.5589999999999999</v>
      </c>
      <c r="Z1189" s="8">
        <v>0.39200000000000002</v>
      </c>
      <c r="AA1189" s="8">
        <v>3.7999999999999999E-2</v>
      </c>
      <c r="AB1189" s="8">
        <v>2E-3</v>
      </c>
      <c r="AC1189" s="8">
        <v>0</v>
      </c>
    </row>
    <row r="1190" spans="1:29" ht="11.65" hidden="1" x14ac:dyDescent="0.35">
      <c r="A1190" s="12">
        <v>1173</v>
      </c>
      <c r="B1190" s="10" t="s">
        <v>1015</v>
      </c>
      <c r="C1190" s="11" t="s">
        <v>1102</v>
      </c>
      <c r="D1190" s="9"/>
      <c r="E1190" s="9">
        <v>768</v>
      </c>
      <c r="F1190" s="10" t="s">
        <v>1066</v>
      </c>
      <c r="G1190" s="9">
        <v>914</v>
      </c>
      <c r="H1190" s="9">
        <v>1960</v>
      </c>
      <c r="I1190" s="8">
        <v>139.09299999999999</v>
      </c>
      <c r="J1190" s="8">
        <v>108.91500000000001</v>
      </c>
      <c r="K1190" s="8">
        <v>92.819000000000003</v>
      </c>
      <c r="L1190" s="8">
        <v>79.722999999999999</v>
      </c>
      <c r="M1190" s="8">
        <v>68.430999999999997</v>
      </c>
      <c r="N1190" s="8">
        <v>58.411000000000001</v>
      </c>
      <c r="O1190" s="8">
        <v>50.207000000000001</v>
      </c>
      <c r="P1190" s="8">
        <v>43.314999999999998</v>
      </c>
      <c r="Q1190" s="8">
        <v>37.408000000000001</v>
      </c>
      <c r="R1190" s="8">
        <v>32.634</v>
      </c>
      <c r="S1190" s="8">
        <v>26.608000000000001</v>
      </c>
      <c r="T1190" s="8">
        <v>21.158999999999999</v>
      </c>
      <c r="U1190" s="8">
        <v>16.617000000000001</v>
      </c>
      <c r="V1190" s="8">
        <v>12.365</v>
      </c>
      <c r="W1190" s="8">
        <v>8.0839999999999996</v>
      </c>
      <c r="X1190" s="8">
        <v>4.085</v>
      </c>
      <c r="Y1190" s="8">
        <v>1.4770000000000001</v>
      </c>
      <c r="Z1190" s="8">
        <v>0.32700000000000001</v>
      </c>
      <c r="AA1190" s="8">
        <v>4.4999999999999998E-2</v>
      </c>
      <c r="AB1190" s="8">
        <v>2E-3</v>
      </c>
      <c r="AC1190" s="8">
        <v>0</v>
      </c>
    </row>
    <row r="1191" spans="1:29" ht="11.65" hidden="1" x14ac:dyDescent="0.35">
      <c r="A1191" s="12">
        <v>1174</v>
      </c>
      <c r="B1191" s="10" t="s">
        <v>1015</v>
      </c>
      <c r="C1191" s="11" t="s">
        <v>1102</v>
      </c>
      <c r="D1191" s="9"/>
      <c r="E1191" s="9">
        <v>768</v>
      </c>
      <c r="F1191" s="10" t="s">
        <v>1066</v>
      </c>
      <c r="G1191" s="9">
        <v>914</v>
      </c>
      <c r="H1191" s="9">
        <v>1965</v>
      </c>
      <c r="I1191" s="8">
        <v>154.79599999999999</v>
      </c>
      <c r="J1191" s="8">
        <v>119.762</v>
      </c>
      <c r="K1191" s="8">
        <v>100.515</v>
      </c>
      <c r="L1191" s="8">
        <v>86.179000000000002</v>
      </c>
      <c r="M1191" s="8">
        <v>73.277000000000001</v>
      </c>
      <c r="N1191" s="8">
        <v>62.524000000000001</v>
      </c>
      <c r="O1191" s="8">
        <v>53.234999999999999</v>
      </c>
      <c r="P1191" s="8">
        <v>45.643000000000001</v>
      </c>
      <c r="Q1191" s="8">
        <v>39.253999999999998</v>
      </c>
      <c r="R1191" s="8">
        <v>33.784999999999997</v>
      </c>
      <c r="S1191" s="8">
        <v>29.157</v>
      </c>
      <c r="T1191" s="8">
        <v>23.199000000000002</v>
      </c>
      <c r="U1191" s="8">
        <v>17.591000000000001</v>
      </c>
      <c r="V1191" s="8">
        <v>12.708</v>
      </c>
      <c r="W1191" s="8">
        <v>8.2629999999999999</v>
      </c>
      <c r="X1191" s="8">
        <v>4.319</v>
      </c>
      <c r="Y1191" s="8">
        <v>1.532</v>
      </c>
      <c r="Z1191" s="8">
        <v>0.34799999999999998</v>
      </c>
      <c r="AA1191" s="8">
        <v>4.3999999999999997E-2</v>
      </c>
      <c r="AB1191" s="8">
        <v>3.0000000000000001E-3</v>
      </c>
      <c r="AC1191" s="8">
        <v>0</v>
      </c>
    </row>
    <row r="1192" spans="1:29" ht="11.65" hidden="1" x14ac:dyDescent="0.35">
      <c r="A1192" s="12">
        <v>1175</v>
      </c>
      <c r="B1192" s="10" t="s">
        <v>1015</v>
      </c>
      <c r="C1192" s="11" t="s">
        <v>1102</v>
      </c>
      <c r="D1192" s="9"/>
      <c r="E1192" s="9">
        <v>768</v>
      </c>
      <c r="F1192" s="10" t="s">
        <v>1066</v>
      </c>
      <c r="G1192" s="9">
        <v>914</v>
      </c>
      <c r="H1192" s="9">
        <v>1970</v>
      </c>
      <c r="I1192" s="8">
        <v>196.46700000000001</v>
      </c>
      <c r="J1192" s="8">
        <v>152.512</v>
      </c>
      <c r="K1192" s="8">
        <v>125.49299999999999</v>
      </c>
      <c r="L1192" s="8">
        <v>105.75700000000001</v>
      </c>
      <c r="M1192" s="8">
        <v>89.853999999999999</v>
      </c>
      <c r="N1192" s="8">
        <v>76.009</v>
      </c>
      <c r="O1192" s="8">
        <v>64.703999999999994</v>
      </c>
      <c r="P1192" s="8">
        <v>54.972999999999999</v>
      </c>
      <c r="Q1192" s="8">
        <v>46.982999999999997</v>
      </c>
      <c r="R1192" s="8">
        <v>40.262999999999998</v>
      </c>
      <c r="S1192" s="8">
        <v>34.293999999999997</v>
      </c>
      <c r="T1192" s="8">
        <v>28.940999999999999</v>
      </c>
      <c r="U1192" s="8">
        <v>22.103999999999999</v>
      </c>
      <c r="V1192" s="8">
        <v>15.561</v>
      </c>
      <c r="W1192" s="8">
        <v>9.9320000000000004</v>
      </c>
      <c r="X1192" s="8">
        <v>5.2460000000000004</v>
      </c>
      <c r="Y1192" s="8">
        <v>1.996</v>
      </c>
      <c r="Z1192" s="8">
        <v>0.432</v>
      </c>
      <c r="AA1192" s="8">
        <v>5.1999999999999998E-2</v>
      </c>
      <c r="AB1192" s="8">
        <v>4.0000000000000001E-3</v>
      </c>
      <c r="AC1192" s="8">
        <v>0</v>
      </c>
    </row>
    <row r="1193" spans="1:29" ht="11.65" hidden="1" x14ac:dyDescent="0.35">
      <c r="A1193" s="12">
        <v>1176</v>
      </c>
      <c r="B1193" s="10" t="s">
        <v>1015</v>
      </c>
      <c r="C1193" s="11" t="s">
        <v>1102</v>
      </c>
      <c r="D1193" s="9"/>
      <c r="E1193" s="9">
        <v>768</v>
      </c>
      <c r="F1193" s="10" t="s">
        <v>1066</v>
      </c>
      <c r="G1193" s="9">
        <v>914</v>
      </c>
      <c r="H1193" s="9">
        <v>1975</v>
      </c>
      <c r="I1193" s="8">
        <v>228.55199999999999</v>
      </c>
      <c r="J1193" s="8">
        <v>178.19200000000001</v>
      </c>
      <c r="K1193" s="8">
        <v>145.91800000000001</v>
      </c>
      <c r="L1193" s="8">
        <v>120.44</v>
      </c>
      <c r="M1193" s="8">
        <v>100.759</v>
      </c>
      <c r="N1193" s="8">
        <v>85.221000000000004</v>
      </c>
      <c r="O1193" s="8">
        <v>71.941999999999993</v>
      </c>
      <c r="P1193" s="8">
        <v>61.11</v>
      </c>
      <c r="Q1193" s="8">
        <v>51.750999999999998</v>
      </c>
      <c r="R1193" s="8">
        <v>44.064</v>
      </c>
      <c r="S1193" s="8">
        <v>37.387</v>
      </c>
      <c r="T1193" s="8">
        <v>31.23</v>
      </c>
      <c r="U1193" s="8">
        <v>25.388000000000002</v>
      </c>
      <c r="V1193" s="8">
        <v>18.113</v>
      </c>
      <c r="W1193" s="8">
        <v>11.372</v>
      </c>
      <c r="X1193" s="8">
        <v>5.9749999999999996</v>
      </c>
      <c r="Y1193" s="8">
        <v>2.31</v>
      </c>
      <c r="Z1193" s="8">
        <v>0.56599999999999995</v>
      </c>
      <c r="AA1193" s="8">
        <v>6.9000000000000006E-2</v>
      </c>
      <c r="AB1193" s="8">
        <v>5.0000000000000001E-3</v>
      </c>
      <c r="AC1193" s="8">
        <v>0</v>
      </c>
    </row>
    <row r="1194" spans="1:29" ht="11.65" hidden="1" x14ac:dyDescent="0.35">
      <c r="A1194" s="12">
        <v>1177</v>
      </c>
      <c r="B1194" s="10" t="s">
        <v>1015</v>
      </c>
      <c r="C1194" s="11" t="s">
        <v>1102</v>
      </c>
      <c r="D1194" s="9"/>
      <c r="E1194" s="9">
        <v>768</v>
      </c>
      <c r="F1194" s="10" t="s">
        <v>1066</v>
      </c>
      <c r="G1194" s="9">
        <v>914</v>
      </c>
      <c r="H1194" s="9">
        <v>1980</v>
      </c>
      <c r="I1194" s="8">
        <v>258.99799999999999</v>
      </c>
      <c r="J1194" s="8">
        <v>206.09399999999999</v>
      </c>
      <c r="K1194" s="8">
        <v>168.28700000000001</v>
      </c>
      <c r="L1194" s="8">
        <v>138.12899999999999</v>
      </c>
      <c r="M1194" s="8">
        <v>113.289</v>
      </c>
      <c r="N1194" s="8">
        <v>94.403999999999996</v>
      </c>
      <c r="O1194" s="8">
        <v>79.709999999999994</v>
      </c>
      <c r="P1194" s="8">
        <v>67.144000000000005</v>
      </c>
      <c r="Q1194" s="8">
        <v>56.854999999999997</v>
      </c>
      <c r="R1194" s="8">
        <v>47.951999999999998</v>
      </c>
      <c r="S1194" s="8">
        <v>40.447000000000003</v>
      </c>
      <c r="T1194" s="8">
        <v>33.715000000000003</v>
      </c>
      <c r="U1194" s="8">
        <v>27.216000000000001</v>
      </c>
      <c r="V1194" s="8">
        <v>20.811</v>
      </c>
      <c r="W1194" s="8">
        <v>13.342000000000001</v>
      </c>
      <c r="X1194" s="8">
        <v>6.97</v>
      </c>
      <c r="Y1194" s="8">
        <v>2.7069999999999999</v>
      </c>
      <c r="Z1194" s="8">
        <v>0.68700000000000006</v>
      </c>
      <c r="AA1194" s="8">
        <v>9.8000000000000004E-2</v>
      </c>
      <c r="AB1194" s="8">
        <v>6.0000000000000001E-3</v>
      </c>
      <c r="AC1194" s="8">
        <v>0</v>
      </c>
    </row>
    <row r="1195" spans="1:29" ht="11.65" hidden="1" x14ac:dyDescent="0.35">
      <c r="A1195" s="12">
        <v>1178</v>
      </c>
      <c r="B1195" s="10" t="s">
        <v>1015</v>
      </c>
      <c r="C1195" s="11" t="s">
        <v>1102</v>
      </c>
      <c r="D1195" s="9"/>
      <c r="E1195" s="9">
        <v>768</v>
      </c>
      <c r="F1195" s="10" t="s">
        <v>1066</v>
      </c>
      <c r="G1195" s="9">
        <v>914</v>
      </c>
      <c r="H1195" s="9">
        <v>1985</v>
      </c>
      <c r="I1195" s="8">
        <v>303.74400000000003</v>
      </c>
      <c r="J1195" s="8">
        <v>249.423</v>
      </c>
      <c r="K1195" s="8">
        <v>206.571</v>
      </c>
      <c r="L1195" s="8">
        <v>168.97</v>
      </c>
      <c r="M1195" s="8">
        <v>137.96100000000001</v>
      </c>
      <c r="N1195" s="8">
        <v>112.755</v>
      </c>
      <c r="O1195" s="8">
        <v>93.795000000000002</v>
      </c>
      <c r="P1195" s="8">
        <v>79.034000000000006</v>
      </c>
      <c r="Q1195" s="8">
        <v>66.361000000000004</v>
      </c>
      <c r="R1195" s="8">
        <v>55.96</v>
      </c>
      <c r="S1195" s="8">
        <v>46.78</v>
      </c>
      <c r="T1195" s="8">
        <v>38.816000000000003</v>
      </c>
      <c r="U1195" s="8">
        <v>31.372</v>
      </c>
      <c r="V1195" s="8">
        <v>23.931000000000001</v>
      </c>
      <c r="W1195" s="8">
        <v>16.562999999999999</v>
      </c>
      <c r="X1195" s="8">
        <v>8.9280000000000008</v>
      </c>
      <c r="Y1195" s="8">
        <v>3.512</v>
      </c>
      <c r="Z1195" s="8">
        <v>0.88400000000000001</v>
      </c>
      <c r="AA1195" s="8">
        <v>0.127</v>
      </c>
      <c r="AB1195" s="8">
        <v>8.9999999999999993E-3</v>
      </c>
      <c r="AC1195" s="8">
        <v>0</v>
      </c>
    </row>
    <row r="1196" spans="1:29" ht="11.65" hidden="1" x14ac:dyDescent="0.35">
      <c r="A1196" s="12">
        <v>1179</v>
      </c>
      <c r="B1196" s="10" t="s">
        <v>1015</v>
      </c>
      <c r="C1196" s="11" t="s">
        <v>1102</v>
      </c>
      <c r="D1196" s="9"/>
      <c r="E1196" s="9">
        <v>768</v>
      </c>
      <c r="F1196" s="10" t="s">
        <v>1066</v>
      </c>
      <c r="G1196" s="9">
        <v>914</v>
      </c>
      <c r="H1196" s="9">
        <v>1990</v>
      </c>
      <c r="I1196" s="8">
        <v>335.73099999999999</v>
      </c>
      <c r="J1196" s="8">
        <v>289.42200000000003</v>
      </c>
      <c r="K1196" s="8">
        <v>246.066</v>
      </c>
      <c r="L1196" s="8">
        <v>203.83</v>
      </c>
      <c r="M1196" s="8">
        <v>165.40899999999999</v>
      </c>
      <c r="N1196" s="8">
        <v>134.291</v>
      </c>
      <c r="O1196" s="8">
        <v>109.56399999999999</v>
      </c>
      <c r="P1196" s="8">
        <v>91.066000000000003</v>
      </c>
      <c r="Q1196" s="8">
        <v>76.59</v>
      </c>
      <c r="R1196" s="8">
        <v>64.114000000000004</v>
      </c>
      <c r="S1196" s="8">
        <v>53.649000000000001</v>
      </c>
      <c r="T1196" s="8">
        <v>44.177999999999997</v>
      </c>
      <c r="U1196" s="8">
        <v>35.610999999999997</v>
      </c>
      <c r="V1196" s="8">
        <v>27.27</v>
      </c>
      <c r="W1196" s="8">
        <v>18.899000000000001</v>
      </c>
      <c r="X1196" s="8">
        <v>11.047000000000001</v>
      </c>
      <c r="Y1196" s="8">
        <v>4.4930000000000003</v>
      </c>
      <c r="Z1196" s="8">
        <v>1.159</v>
      </c>
      <c r="AA1196" s="8">
        <v>0.16700000000000001</v>
      </c>
      <c r="AB1196" s="8">
        <v>1.2999999999999999E-2</v>
      </c>
      <c r="AC1196" s="8">
        <v>1E-3</v>
      </c>
    </row>
    <row r="1197" spans="1:29" ht="11.65" hidden="1" x14ac:dyDescent="0.35">
      <c r="A1197" s="12">
        <v>1180</v>
      </c>
      <c r="B1197" s="10" t="s">
        <v>1015</v>
      </c>
      <c r="C1197" s="11" t="s">
        <v>1102</v>
      </c>
      <c r="D1197" s="9"/>
      <c r="E1197" s="9">
        <v>768</v>
      </c>
      <c r="F1197" s="10" t="s">
        <v>1066</v>
      </c>
      <c r="G1197" s="9">
        <v>914</v>
      </c>
      <c r="H1197" s="9">
        <v>1995</v>
      </c>
      <c r="I1197" s="8">
        <v>357.26</v>
      </c>
      <c r="J1197" s="8">
        <v>319.08</v>
      </c>
      <c r="K1197" s="8">
        <v>283.92500000000001</v>
      </c>
      <c r="L1197" s="8">
        <v>239.553</v>
      </c>
      <c r="M1197" s="8">
        <v>192.53700000000001</v>
      </c>
      <c r="N1197" s="8">
        <v>152.62200000000001</v>
      </c>
      <c r="O1197" s="8">
        <v>123.51900000000001</v>
      </c>
      <c r="P1197" s="8">
        <v>101.42100000000001</v>
      </c>
      <c r="Q1197" s="8">
        <v>84.93</v>
      </c>
      <c r="R1197" s="8">
        <v>71.822000000000003</v>
      </c>
      <c r="S1197" s="8">
        <v>60.02</v>
      </c>
      <c r="T1197" s="8">
        <v>49.668999999999997</v>
      </c>
      <c r="U1197" s="8">
        <v>39.787999999999997</v>
      </c>
      <c r="V1197" s="8">
        <v>30.356999999999999</v>
      </c>
      <c r="W1197" s="8">
        <v>21.050999999999998</v>
      </c>
      <c r="X1197" s="8">
        <v>12.242000000000001</v>
      </c>
      <c r="Y1197" s="8">
        <v>5.3479999999999999</v>
      </c>
      <c r="Z1197" s="8">
        <v>1.4219999999999999</v>
      </c>
      <c r="AA1197" s="8">
        <v>0.21099999999999999</v>
      </c>
      <c r="AB1197" s="8">
        <v>1.4999999999999999E-2</v>
      </c>
      <c r="AC1197" s="8">
        <v>1E-3</v>
      </c>
    </row>
    <row r="1198" spans="1:29" ht="11.65" hidden="1" x14ac:dyDescent="0.35">
      <c r="A1198" s="12">
        <v>1181</v>
      </c>
      <c r="B1198" s="10" t="s">
        <v>1015</v>
      </c>
      <c r="C1198" s="11" t="s">
        <v>1102</v>
      </c>
      <c r="D1198" s="9"/>
      <c r="E1198" s="9">
        <v>768</v>
      </c>
      <c r="F1198" s="10" t="s">
        <v>1066</v>
      </c>
      <c r="G1198" s="9">
        <v>914</v>
      </c>
      <c r="H1198" s="9">
        <v>2000</v>
      </c>
      <c r="I1198" s="8">
        <v>408.637</v>
      </c>
      <c r="J1198" s="8">
        <v>343.45600000000002</v>
      </c>
      <c r="K1198" s="8">
        <v>313.46199999999999</v>
      </c>
      <c r="L1198" s="8">
        <v>281.697</v>
      </c>
      <c r="M1198" s="8">
        <v>239.898</v>
      </c>
      <c r="N1198" s="8">
        <v>194.571</v>
      </c>
      <c r="O1198" s="8">
        <v>154.21899999999999</v>
      </c>
      <c r="P1198" s="8">
        <v>123.87</v>
      </c>
      <c r="Q1198" s="8">
        <v>100.669</v>
      </c>
      <c r="R1198" s="8">
        <v>83.414000000000001</v>
      </c>
      <c r="S1198" s="8">
        <v>69.465000000000003</v>
      </c>
      <c r="T1198" s="8">
        <v>56.728999999999999</v>
      </c>
      <c r="U1198" s="8">
        <v>45.113999999999997</v>
      </c>
      <c r="V1198" s="8">
        <v>33.750999999999998</v>
      </c>
      <c r="W1198" s="8">
        <v>22.986999999999998</v>
      </c>
      <c r="X1198" s="8">
        <v>13.16</v>
      </c>
      <c r="Y1198" s="8">
        <v>5.6429999999999998</v>
      </c>
      <c r="Z1198" s="8">
        <v>1.5720000000000001</v>
      </c>
      <c r="AA1198" s="8">
        <v>0.23599999999999999</v>
      </c>
      <c r="AB1198" s="8">
        <v>1.7999999999999999E-2</v>
      </c>
      <c r="AC1198" s="8">
        <v>1E-3</v>
      </c>
    </row>
    <row r="1199" spans="1:29" ht="11.65" hidden="1" x14ac:dyDescent="0.35">
      <c r="A1199" s="12">
        <v>1182</v>
      </c>
      <c r="B1199" s="10" t="s">
        <v>1015</v>
      </c>
      <c r="C1199" s="11" t="s">
        <v>1102</v>
      </c>
      <c r="D1199" s="9"/>
      <c r="E1199" s="9">
        <v>768</v>
      </c>
      <c r="F1199" s="10" t="s">
        <v>1066</v>
      </c>
      <c r="G1199" s="9">
        <v>914</v>
      </c>
      <c r="H1199" s="9">
        <v>2005</v>
      </c>
      <c r="I1199" s="8">
        <v>472.57100000000003</v>
      </c>
      <c r="J1199" s="8">
        <v>391.40800000000002</v>
      </c>
      <c r="K1199" s="8">
        <v>335.81099999999998</v>
      </c>
      <c r="L1199" s="8">
        <v>306.81</v>
      </c>
      <c r="M1199" s="8">
        <v>272.16899999999998</v>
      </c>
      <c r="N1199" s="8">
        <v>229.87100000000001</v>
      </c>
      <c r="O1199" s="8">
        <v>186.011</v>
      </c>
      <c r="P1199" s="8">
        <v>147.321</v>
      </c>
      <c r="Q1199" s="8">
        <v>118.18600000000001</v>
      </c>
      <c r="R1199" s="8">
        <v>95.867000000000004</v>
      </c>
      <c r="S1199" s="8">
        <v>78.781999999999996</v>
      </c>
      <c r="T1199" s="8">
        <v>64.44</v>
      </c>
      <c r="U1199" s="8">
        <v>50.738</v>
      </c>
      <c r="V1199" s="8">
        <v>37.744999999999997</v>
      </c>
      <c r="W1199" s="8">
        <v>25.212</v>
      </c>
      <c r="X1199" s="8">
        <v>14.151</v>
      </c>
      <c r="Y1199" s="8">
        <v>5.9420000000000002</v>
      </c>
      <c r="Z1199" s="8">
        <v>1.63</v>
      </c>
      <c r="AA1199" s="8">
        <v>0.25700000000000001</v>
      </c>
      <c r="AB1199" s="8">
        <v>2.1000000000000001E-2</v>
      </c>
      <c r="AC1199" s="8">
        <v>1E-3</v>
      </c>
    </row>
    <row r="1200" spans="1:29" ht="11.65" hidden="1" x14ac:dyDescent="0.35">
      <c r="A1200" s="12">
        <v>1183</v>
      </c>
      <c r="B1200" s="10" t="s">
        <v>1015</v>
      </c>
      <c r="C1200" s="11" t="s">
        <v>1102</v>
      </c>
      <c r="D1200" s="9"/>
      <c r="E1200" s="9">
        <v>768</v>
      </c>
      <c r="F1200" s="10" t="s">
        <v>1066</v>
      </c>
      <c r="G1200" s="9">
        <v>914</v>
      </c>
      <c r="H1200" s="9">
        <v>2010</v>
      </c>
      <c r="I1200" s="8">
        <v>531.55499999999995</v>
      </c>
      <c r="J1200" s="8">
        <v>456.529</v>
      </c>
      <c r="K1200" s="8">
        <v>383.23599999999999</v>
      </c>
      <c r="L1200" s="8">
        <v>329.64400000000001</v>
      </c>
      <c r="M1200" s="8">
        <v>298.40800000000002</v>
      </c>
      <c r="N1200" s="8">
        <v>263.28500000000003</v>
      </c>
      <c r="O1200" s="8">
        <v>221.93799999999999</v>
      </c>
      <c r="P1200" s="8">
        <v>179.28700000000001</v>
      </c>
      <c r="Q1200" s="8">
        <v>141.61000000000001</v>
      </c>
      <c r="R1200" s="8">
        <v>113.223</v>
      </c>
      <c r="S1200" s="8">
        <v>90.981999999999999</v>
      </c>
      <c r="T1200" s="8">
        <v>73.382999999999996</v>
      </c>
      <c r="U1200" s="8">
        <v>57.866</v>
      </c>
      <c r="V1200" s="8">
        <v>42.642000000000003</v>
      </c>
      <c r="W1200" s="8">
        <v>28.347999999999999</v>
      </c>
      <c r="X1200" s="8">
        <v>15.631</v>
      </c>
      <c r="Y1200" s="8">
        <v>6.452</v>
      </c>
      <c r="Z1200" s="8">
        <v>1.732</v>
      </c>
      <c r="AA1200" s="8">
        <v>0.26900000000000002</v>
      </c>
      <c r="AB1200" s="8">
        <v>2.1000000000000001E-2</v>
      </c>
      <c r="AC1200" s="8">
        <v>0</v>
      </c>
    </row>
    <row r="1201" spans="1:29" ht="11.65" hidden="1" x14ac:dyDescent="0.35">
      <c r="A1201" s="12">
        <v>1184</v>
      </c>
      <c r="B1201" s="10" t="s">
        <v>1015</v>
      </c>
      <c r="C1201" s="11" t="s">
        <v>1102</v>
      </c>
      <c r="D1201" s="9"/>
      <c r="E1201" s="9">
        <v>768</v>
      </c>
      <c r="F1201" s="10" t="s">
        <v>1066</v>
      </c>
      <c r="G1201" s="9">
        <v>914</v>
      </c>
      <c r="H1201" s="9">
        <v>2015</v>
      </c>
      <c r="I1201" s="8">
        <v>571.96799999999996</v>
      </c>
      <c r="J1201" s="8">
        <v>517.29600000000005</v>
      </c>
      <c r="K1201" s="8">
        <v>449.37900000000002</v>
      </c>
      <c r="L1201" s="8">
        <v>377.87599999999998</v>
      </c>
      <c r="M1201" s="8">
        <v>322.74200000000002</v>
      </c>
      <c r="N1201" s="8">
        <v>290.916</v>
      </c>
      <c r="O1201" s="8">
        <v>256.25599999999997</v>
      </c>
      <c r="P1201" s="8">
        <v>215.65299999999999</v>
      </c>
      <c r="Q1201" s="8">
        <v>173.697</v>
      </c>
      <c r="R1201" s="8">
        <v>136.67699999999999</v>
      </c>
      <c r="S1201" s="8">
        <v>108.316</v>
      </c>
      <c r="T1201" s="8">
        <v>85.597999999999999</v>
      </c>
      <c r="U1201" s="8">
        <v>66.872</v>
      </c>
      <c r="V1201" s="8">
        <v>49.738999999999997</v>
      </c>
      <c r="W1201" s="8">
        <v>33.103000000000002</v>
      </c>
      <c r="X1201" s="8">
        <v>18.434000000000001</v>
      </c>
      <c r="Y1201" s="8">
        <v>7.6040000000000001</v>
      </c>
      <c r="Z1201" s="8">
        <v>2.04</v>
      </c>
      <c r="AA1201" s="8">
        <v>0.314</v>
      </c>
      <c r="AB1201" s="8">
        <v>2.4E-2</v>
      </c>
      <c r="AC1201" s="8">
        <v>0</v>
      </c>
    </row>
    <row r="1202" spans="1:29" ht="11.65" hidden="1" x14ac:dyDescent="0.35">
      <c r="A1202" s="12">
        <v>1185</v>
      </c>
      <c r="B1202" s="10" t="s">
        <v>1015</v>
      </c>
      <c r="C1202" s="11" t="s">
        <v>1102</v>
      </c>
      <c r="D1202" s="9"/>
      <c r="E1202" s="9">
        <v>768</v>
      </c>
      <c r="F1202" s="10" t="s">
        <v>1066</v>
      </c>
      <c r="G1202" s="9">
        <v>914</v>
      </c>
      <c r="H1202" s="9">
        <v>2020</v>
      </c>
      <c r="I1202" s="8">
        <v>608.38599999999997</v>
      </c>
      <c r="J1202" s="8">
        <v>558.5</v>
      </c>
      <c r="K1202" s="8">
        <v>510.12599999999998</v>
      </c>
      <c r="L1202" s="8">
        <v>443.71699999999998</v>
      </c>
      <c r="M1202" s="8">
        <v>370.59199999999998</v>
      </c>
      <c r="N1202" s="8">
        <v>315.16300000000001</v>
      </c>
      <c r="O1202" s="8">
        <v>283.65100000000001</v>
      </c>
      <c r="P1202" s="8">
        <v>249.49700000000001</v>
      </c>
      <c r="Q1202" s="8">
        <v>209.40199999999999</v>
      </c>
      <c r="R1202" s="8">
        <v>168.04599999999999</v>
      </c>
      <c r="S1202" s="8">
        <v>131.10300000000001</v>
      </c>
      <c r="T1202" s="8">
        <v>102.25</v>
      </c>
      <c r="U1202" s="8">
        <v>78.349999999999994</v>
      </c>
      <c r="V1202" s="8">
        <v>57.84</v>
      </c>
      <c r="W1202" s="8">
        <v>38.951999999999998</v>
      </c>
      <c r="X1202" s="8">
        <v>21.789000000000001</v>
      </c>
      <c r="Y1202" s="8">
        <v>9.1110000000000007</v>
      </c>
      <c r="Z1202" s="8">
        <v>2.4529999999999998</v>
      </c>
      <c r="AA1202" s="8">
        <v>0.376</v>
      </c>
      <c r="AB1202" s="8">
        <v>2.9000000000000001E-2</v>
      </c>
      <c r="AC1202" s="8">
        <v>0</v>
      </c>
    </row>
    <row r="1203" spans="1:29" ht="11.65" hidden="1" x14ac:dyDescent="0.35">
      <c r="A1203" s="28">
        <v>1186</v>
      </c>
      <c r="B1203" s="26" t="s">
        <v>1015</v>
      </c>
      <c r="C1203" s="27" t="s">
        <v>1103</v>
      </c>
      <c r="D1203" s="25"/>
      <c r="E1203" s="25">
        <v>1833</v>
      </c>
      <c r="F1203" s="26" t="s">
        <v>1063</v>
      </c>
      <c r="G1203" s="25">
        <v>1828</v>
      </c>
      <c r="H1203" s="25">
        <v>1950</v>
      </c>
      <c r="I1203" s="24">
        <v>7744.5020000000004</v>
      </c>
      <c r="J1203" s="24">
        <v>5874.1220000000003</v>
      </c>
      <c r="K1203" s="24">
        <v>5468.7629999999999</v>
      </c>
      <c r="L1203" s="24">
        <v>5117.8909999999996</v>
      </c>
      <c r="M1203" s="24">
        <v>4571.04</v>
      </c>
      <c r="N1203" s="24">
        <v>3727.797</v>
      </c>
      <c r="O1203" s="24">
        <v>3078.2130000000002</v>
      </c>
      <c r="P1203" s="24">
        <v>2851.0010000000002</v>
      </c>
      <c r="Q1203" s="24">
        <v>2605.1579999999999</v>
      </c>
      <c r="R1203" s="24">
        <v>2182.8519999999999</v>
      </c>
      <c r="S1203" s="24">
        <v>1928.4749999999999</v>
      </c>
      <c r="T1203" s="24">
        <v>1465.14</v>
      </c>
      <c r="U1203" s="24">
        <v>1244.1010000000001</v>
      </c>
      <c r="V1203" s="24">
        <v>883.05600000000004</v>
      </c>
      <c r="W1203" s="24">
        <v>640.08199999999999</v>
      </c>
      <c r="X1203" s="24">
        <v>323.69299999999998</v>
      </c>
      <c r="Y1203" s="24">
        <v>147.09700000000001</v>
      </c>
      <c r="Z1203" s="24">
        <v>54.261000000000003</v>
      </c>
      <c r="AA1203" s="24">
        <v>18.324000000000002</v>
      </c>
      <c r="AB1203" s="24">
        <v>3.11</v>
      </c>
      <c r="AC1203" s="24">
        <v>0.41499999999999998</v>
      </c>
    </row>
    <row r="1204" spans="1:29" ht="11.65" hidden="1" x14ac:dyDescent="0.35">
      <c r="A1204" s="28">
        <v>1187</v>
      </c>
      <c r="B1204" s="26" t="s">
        <v>1015</v>
      </c>
      <c r="C1204" s="27" t="s">
        <v>1103</v>
      </c>
      <c r="D1204" s="25"/>
      <c r="E1204" s="25">
        <v>1833</v>
      </c>
      <c r="F1204" s="26" t="s">
        <v>1063</v>
      </c>
      <c r="G1204" s="25">
        <v>1828</v>
      </c>
      <c r="H1204" s="25">
        <v>1955</v>
      </c>
      <c r="I1204" s="24">
        <v>9691.3860000000004</v>
      </c>
      <c r="J1204" s="24">
        <v>6981.56</v>
      </c>
      <c r="K1204" s="24">
        <v>5741.3990000000003</v>
      </c>
      <c r="L1204" s="24">
        <v>5374.3689999999997</v>
      </c>
      <c r="M1204" s="24">
        <v>4986.4470000000001</v>
      </c>
      <c r="N1204" s="24">
        <v>4428.8900000000003</v>
      </c>
      <c r="O1204" s="24">
        <v>3600.91</v>
      </c>
      <c r="P1204" s="24">
        <v>2969.326</v>
      </c>
      <c r="Q1204" s="24">
        <v>2749.5059999999999</v>
      </c>
      <c r="R1204" s="24">
        <v>2505.0650000000001</v>
      </c>
      <c r="S1204" s="24">
        <v>2078.4</v>
      </c>
      <c r="T1204" s="24">
        <v>1796.008</v>
      </c>
      <c r="U1204" s="24">
        <v>1318.691</v>
      </c>
      <c r="V1204" s="24">
        <v>1056.28</v>
      </c>
      <c r="W1204" s="24">
        <v>678.79200000000003</v>
      </c>
      <c r="X1204" s="24">
        <v>414.96600000000001</v>
      </c>
      <c r="Y1204" s="24">
        <v>164.238</v>
      </c>
      <c r="Z1204" s="24">
        <v>51.715000000000003</v>
      </c>
      <c r="AA1204" s="24">
        <v>12.433999999999999</v>
      </c>
      <c r="AB1204" s="24">
        <v>2.6339999999999999</v>
      </c>
      <c r="AC1204" s="24">
        <v>0.255</v>
      </c>
    </row>
    <row r="1205" spans="1:29" ht="11.65" hidden="1" x14ac:dyDescent="0.35">
      <c r="A1205" s="28">
        <v>1188</v>
      </c>
      <c r="B1205" s="26" t="s">
        <v>1015</v>
      </c>
      <c r="C1205" s="27" t="s">
        <v>1103</v>
      </c>
      <c r="D1205" s="25"/>
      <c r="E1205" s="25">
        <v>1833</v>
      </c>
      <c r="F1205" s="26" t="s">
        <v>1063</v>
      </c>
      <c r="G1205" s="25">
        <v>1828</v>
      </c>
      <c r="H1205" s="25">
        <v>1960</v>
      </c>
      <c r="I1205" s="24">
        <v>11074.525</v>
      </c>
      <c r="J1205" s="24">
        <v>8915.6830000000009</v>
      </c>
      <c r="K1205" s="24">
        <v>6848.3890000000001</v>
      </c>
      <c r="L1205" s="24">
        <v>5610.6530000000002</v>
      </c>
      <c r="M1205" s="24">
        <v>5227.7939999999999</v>
      </c>
      <c r="N1205" s="24">
        <v>4852.6869999999999</v>
      </c>
      <c r="O1205" s="24">
        <v>4315.759</v>
      </c>
      <c r="P1205" s="24">
        <v>3493.2950000000001</v>
      </c>
      <c r="Q1205" s="24">
        <v>2869.02</v>
      </c>
      <c r="R1205" s="24">
        <v>2651.7660000000001</v>
      </c>
      <c r="S1205" s="24">
        <v>2391.9960000000001</v>
      </c>
      <c r="T1205" s="24">
        <v>1943.546</v>
      </c>
      <c r="U1205" s="24">
        <v>1626.2159999999999</v>
      </c>
      <c r="V1205" s="24">
        <v>1126.58</v>
      </c>
      <c r="W1205" s="24">
        <v>825.24300000000005</v>
      </c>
      <c r="X1205" s="24">
        <v>455.46699999999998</v>
      </c>
      <c r="Y1205" s="24">
        <v>218.422</v>
      </c>
      <c r="Z1205" s="24">
        <v>63.279000000000003</v>
      </c>
      <c r="AA1205" s="24">
        <v>12.884</v>
      </c>
      <c r="AB1205" s="24">
        <v>1.9810000000000001</v>
      </c>
      <c r="AC1205" s="24">
        <v>0.30499999999999999</v>
      </c>
    </row>
    <row r="1206" spans="1:29" ht="11.65" hidden="1" x14ac:dyDescent="0.35">
      <c r="A1206" s="28">
        <v>1189</v>
      </c>
      <c r="B1206" s="26" t="s">
        <v>1015</v>
      </c>
      <c r="C1206" s="27" t="s">
        <v>1103</v>
      </c>
      <c r="D1206" s="25"/>
      <c r="E1206" s="25">
        <v>1833</v>
      </c>
      <c r="F1206" s="26" t="s">
        <v>1063</v>
      </c>
      <c r="G1206" s="25">
        <v>1828</v>
      </c>
      <c r="H1206" s="25">
        <v>1965</v>
      </c>
      <c r="I1206" s="24">
        <v>12570.583000000001</v>
      </c>
      <c r="J1206" s="24">
        <v>10326.786</v>
      </c>
      <c r="K1206" s="24">
        <v>8773.7759999999998</v>
      </c>
      <c r="L1206" s="24">
        <v>6668.2759999999998</v>
      </c>
      <c r="M1206" s="24">
        <v>5446.5940000000001</v>
      </c>
      <c r="N1206" s="24">
        <v>5111.3059999999996</v>
      </c>
      <c r="O1206" s="24">
        <v>4751.1530000000002</v>
      </c>
      <c r="P1206" s="24">
        <v>4211.0730000000003</v>
      </c>
      <c r="Q1206" s="24">
        <v>3390.0650000000001</v>
      </c>
      <c r="R1206" s="24">
        <v>2760.7869999999998</v>
      </c>
      <c r="S1206" s="24">
        <v>2532.1619999999998</v>
      </c>
      <c r="T1206" s="24">
        <v>2239.1509999999998</v>
      </c>
      <c r="U1206" s="24">
        <v>1772.99</v>
      </c>
      <c r="V1206" s="24">
        <v>1401.348</v>
      </c>
      <c r="W1206" s="24">
        <v>892.05</v>
      </c>
      <c r="X1206" s="24">
        <v>567.39599999999996</v>
      </c>
      <c r="Y1206" s="24">
        <v>250.584</v>
      </c>
      <c r="Z1206" s="24">
        <v>88.733000000000004</v>
      </c>
      <c r="AA1206" s="24">
        <v>17.315000000000001</v>
      </c>
      <c r="AB1206" s="24">
        <v>2.218</v>
      </c>
      <c r="AC1206" s="24">
        <v>0.247</v>
      </c>
    </row>
    <row r="1207" spans="1:29" ht="11.65" hidden="1" x14ac:dyDescent="0.35">
      <c r="A1207" s="28">
        <v>1190</v>
      </c>
      <c r="B1207" s="26" t="s">
        <v>1015</v>
      </c>
      <c r="C1207" s="27" t="s">
        <v>1103</v>
      </c>
      <c r="D1207" s="25"/>
      <c r="E1207" s="25">
        <v>1833</v>
      </c>
      <c r="F1207" s="26" t="s">
        <v>1063</v>
      </c>
      <c r="G1207" s="25">
        <v>1828</v>
      </c>
      <c r="H1207" s="25">
        <v>1970</v>
      </c>
      <c r="I1207" s="24">
        <v>13988.041999999999</v>
      </c>
      <c r="J1207" s="24">
        <v>11832.421</v>
      </c>
      <c r="K1207" s="24">
        <v>10167.607</v>
      </c>
      <c r="L1207" s="24">
        <v>8572.2829999999994</v>
      </c>
      <c r="M1207" s="24">
        <v>6456.4939999999997</v>
      </c>
      <c r="N1207" s="24">
        <v>5294.1310000000003</v>
      </c>
      <c r="O1207" s="24">
        <v>4984.12</v>
      </c>
      <c r="P1207" s="24">
        <v>4625.924</v>
      </c>
      <c r="Q1207" s="24">
        <v>4099.3969999999999</v>
      </c>
      <c r="R1207" s="24">
        <v>3281.6109999999999</v>
      </c>
      <c r="S1207" s="24">
        <v>2649.7779999999998</v>
      </c>
      <c r="T1207" s="24">
        <v>2387.297</v>
      </c>
      <c r="U1207" s="24">
        <v>2057.4549999999999</v>
      </c>
      <c r="V1207" s="24">
        <v>1552.454</v>
      </c>
      <c r="W1207" s="24">
        <v>1126.991</v>
      </c>
      <c r="X1207" s="24">
        <v>628.702</v>
      </c>
      <c r="Y1207" s="24">
        <v>325.98099999999999</v>
      </c>
      <c r="Z1207" s="24">
        <v>107.581</v>
      </c>
      <c r="AA1207" s="24">
        <v>26.036000000000001</v>
      </c>
      <c r="AB1207" s="24">
        <v>3.2250000000000001</v>
      </c>
      <c r="AC1207" s="24">
        <v>0.28199999999999997</v>
      </c>
    </row>
    <row r="1208" spans="1:29" ht="11.65" hidden="1" x14ac:dyDescent="0.35">
      <c r="A1208" s="28">
        <v>1191</v>
      </c>
      <c r="B1208" s="26" t="s">
        <v>1015</v>
      </c>
      <c r="C1208" s="27" t="s">
        <v>1103</v>
      </c>
      <c r="D1208" s="25"/>
      <c r="E1208" s="25">
        <v>1833</v>
      </c>
      <c r="F1208" s="26" t="s">
        <v>1063</v>
      </c>
      <c r="G1208" s="25">
        <v>1828</v>
      </c>
      <c r="H1208" s="25">
        <v>1975</v>
      </c>
      <c r="I1208" s="24">
        <v>15544.748</v>
      </c>
      <c r="J1208" s="24">
        <v>13302.713</v>
      </c>
      <c r="K1208" s="24">
        <v>11644.38</v>
      </c>
      <c r="L1208" s="24">
        <v>9947.0429999999997</v>
      </c>
      <c r="M1208" s="24">
        <v>8225.1190000000006</v>
      </c>
      <c r="N1208" s="24">
        <v>6202.2089999999998</v>
      </c>
      <c r="O1208" s="24">
        <v>5156.3389999999999</v>
      </c>
      <c r="P1208" s="24">
        <v>4875.4989999999998</v>
      </c>
      <c r="Q1208" s="24">
        <v>4499.8959999999997</v>
      </c>
      <c r="R1208" s="24">
        <v>3981.0740000000001</v>
      </c>
      <c r="S1208" s="24">
        <v>3171.6849999999999</v>
      </c>
      <c r="T1208" s="24">
        <v>2516.3980000000001</v>
      </c>
      <c r="U1208" s="24">
        <v>2228.384</v>
      </c>
      <c r="V1208" s="24">
        <v>1825.6880000000001</v>
      </c>
      <c r="W1208" s="24">
        <v>1277.6880000000001</v>
      </c>
      <c r="X1208" s="24">
        <v>806.91399999999999</v>
      </c>
      <c r="Y1208" s="24">
        <v>369.322</v>
      </c>
      <c r="Z1208" s="24">
        <v>146.21100000000001</v>
      </c>
      <c r="AA1208" s="24">
        <v>32.771000000000001</v>
      </c>
      <c r="AB1208" s="24">
        <v>5.0279999999999996</v>
      </c>
      <c r="AC1208" s="24">
        <v>0.41599999999999998</v>
      </c>
    </row>
    <row r="1209" spans="1:29" ht="11.65" hidden="1" x14ac:dyDescent="0.35">
      <c r="A1209" s="28">
        <v>1192</v>
      </c>
      <c r="B1209" s="26" t="s">
        <v>1015</v>
      </c>
      <c r="C1209" s="27" t="s">
        <v>1103</v>
      </c>
      <c r="D1209" s="25"/>
      <c r="E1209" s="25">
        <v>1833</v>
      </c>
      <c r="F1209" s="26" t="s">
        <v>1063</v>
      </c>
      <c r="G1209" s="25">
        <v>1828</v>
      </c>
      <c r="H1209" s="25">
        <v>1980</v>
      </c>
      <c r="I1209" s="24">
        <v>17483.198</v>
      </c>
      <c r="J1209" s="24">
        <v>14960.632</v>
      </c>
      <c r="K1209" s="24">
        <v>13149.188</v>
      </c>
      <c r="L1209" s="24">
        <v>11475.027</v>
      </c>
      <c r="M1209" s="24">
        <v>9665.8610000000008</v>
      </c>
      <c r="N1209" s="24">
        <v>7968.3649999999998</v>
      </c>
      <c r="O1209" s="24">
        <v>6067.7110000000002</v>
      </c>
      <c r="P1209" s="24">
        <v>5047.0370000000003</v>
      </c>
      <c r="Q1209" s="24">
        <v>4779.6909999999998</v>
      </c>
      <c r="R1209" s="24">
        <v>4384.5</v>
      </c>
      <c r="S1209" s="24">
        <v>3838.5219999999999</v>
      </c>
      <c r="T1209" s="24">
        <v>3012.7919999999999</v>
      </c>
      <c r="U1209" s="24">
        <v>2339.732</v>
      </c>
      <c r="V1209" s="24">
        <v>1981.7729999999999</v>
      </c>
      <c r="W1209" s="24">
        <v>1502.933</v>
      </c>
      <c r="X1209" s="24">
        <v>928.36099999999999</v>
      </c>
      <c r="Y1209" s="24">
        <v>479.947</v>
      </c>
      <c r="Z1209" s="24">
        <v>166.92699999999999</v>
      </c>
      <c r="AA1209" s="24">
        <v>45.920999999999999</v>
      </c>
      <c r="AB1209" s="24">
        <v>6.5439999999999996</v>
      </c>
      <c r="AC1209" s="24">
        <v>0.63900000000000001</v>
      </c>
    </row>
    <row r="1210" spans="1:29" ht="11.65" hidden="1" x14ac:dyDescent="0.35">
      <c r="A1210" s="28">
        <v>1193</v>
      </c>
      <c r="B1210" s="26" t="s">
        <v>1015</v>
      </c>
      <c r="C1210" s="27" t="s">
        <v>1103</v>
      </c>
      <c r="D1210" s="25"/>
      <c r="E1210" s="25">
        <v>1833</v>
      </c>
      <c r="F1210" s="26" t="s">
        <v>1063</v>
      </c>
      <c r="G1210" s="25">
        <v>1828</v>
      </c>
      <c r="H1210" s="25">
        <v>1985</v>
      </c>
      <c r="I1210" s="24">
        <v>19640.258999999998</v>
      </c>
      <c r="J1210" s="24">
        <v>17022.544999999998</v>
      </c>
      <c r="K1210" s="24">
        <v>14830.758</v>
      </c>
      <c r="L1210" s="24">
        <v>13012.486999999999</v>
      </c>
      <c r="M1210" s="24">
        <v>11309.3</v>
      </c>
      <c r="N1210" s="24">
        <v>9549.5720000000001</v>
      </c>
      <c r="O1210" s="24">
        <v>7955.8729999999996</v>
      </c>
      <c r="P1210" s="24">
        <v>6142.174</v>
      </c>
      <c r="Q1210" s="24">
        <v>5015.491</v>
      </c>
      <c r="R1210" s="24">
        <v>4688.848</v>
      </c>
      <c r="S1210" s="24">
        <v>4265.9949999999999</v>
      </c>
      <c r="T1210" s="24">
        <v>3651.8490000000002</v>
      </c>
      <c r="U1210" s="24">
        <v>2816.768</v>
      </c>
      <c r="V1210" s="24">
        <v>2102.2950000000001</v>
      </c>
      <c r="W1210" s="24">
        <v>1662.8</v>
      </c>
      <c r="X1210" s="24">
        <v>1116.1500000000001</v>
      </c>
      <c r="Y1210" s="24">
        <v>568.75199999999995</v>
      </c>
      <c r="Z1210" s="24">
        <v>222.02799999999999</v>
      </c>
      <c r="AA1210" s="24">
        <v>52.433</v>
      </c>
      <c r="AB1210" s="24">
        <v>9.1950000000000003</v>
      </c>
      <c r="AC1210" s="24">
        <v>0.82899999999999996</v>
      </c>
    </row>
    <row r="1211" spans="1:29" ht="11.65" hidden="1" x14ac:dyDescent="0.35">
      <c r="A1211" s="28">
        <v>1194</v>
      </c>
      <c r="B1211" s="26" t="s">
        <v>1015</v>
      </c>
      <c r="C1211" s="27" t="s">
        <v>1103</v>
      </c>
      <c r="D1211" s="25"/>
      <c r="E1211" s="25">
        <v>1833</v>
      </c>
      <c r="F1211" s="26" t="s">
        <v>1063</v>
      </c>
      <c r="G1211" s="25">
        <v>1828</v>
      </c>
      <c r="H1211" s="25">
        <v>1990</v>
      </c>
      <c r="I1211" s="24">
        <v>20996.492999999999</v>
      </c>
      <c r="J1211" s="24">
        <v>19249.851999999999</v>
      </c>
      <c r="K1211" s="24">
        <v>16892.384999999998</v>
      </c>
      <c r="L1211" s="24">
        <v>14598.864</v>
      </c>
      <c r="M1211" s="24">
        <v>12724.581</v>
      </c>
      <c r="N1211" s="24">
        <v>11109.895</v>
      </c>
      <c r="O1211" s="24">
        <v>9443.7880000000005</v>
      </c>
      <c r="P1211" s="24">
        <v>7826.6809999999996</v>
      </c>
      <c r="Q1211" s="24">
        <v>5971.5219999999999</v>
      </c>
      <c r="R1211" s="24">
        <v>4892.2520000000004</v>
      </c>
      <c r="S1211" s="24">
        <v>4532.84</v>
      </c>
      <c r="T1211" s="24">
        <v>4083.2060000000001</v>
      </c>
      <c r="U1211" s="24">
        <v>3447.8870000000002</v>
      </c>
      <c r="V1211" s="24">
        <v>2566.5300000000002</v>
      </c>
      <c r="W1211" s="24">
        <v>1774.731</v>
      </c>
      <c r="X1211" s="24">
        <v>1245.1110000000001</v>
      </c>
      <c r="Y1211" s="24">
        <v>694.27599999999995</v>
      </c>
      <c r="Z1211" s="24">
        <v>269.10300000000001</v>
      </c>
      <c r="AA1211" s="24">
        <v>70.486999999999995</v>
      </c>
      <c r="AB1211" s="24">
        <v>10.061999999999999</v>
      </c>
      <c r="AC1211" s="24">
        <v>1.0309999999999999</v>
      </c>
    </row>
    <row r="1212" spans="1:29" ht="11.65" hidden="1" x14ac:dyDescent="0.35">
      <c r="A1212" s="28">
        <v>1195</v>
      </c>
      <c r="B1212" s="26" t="s">
        <v>1015</v>
      </c>
      <c r="C1212" s="27" t="s">
        <v>1103</v>
      </c>
      <c r="D1212" s="25"/>
      <c r="E1212" s="25">
        <v>1833</v>
      </c>
      <c r="F1212" s="26" t="s">
        <v>1063</v>
      </c>
      <c r="G1212" s="25">
        <v>1828</v>
      </c>
      <c r="H1212" s="25">
        <v>1995</v>
      </c>
      <c r="I1212" s="24">
        <v>21291.883000000002</v>
      </c>
      <c r="J1212" s="24">
        <v>20579.827000000001</v>
      </c>
      <c r="K1212" s="24">
        <v>19115.963</v>
      </c>
      <c r="L1212" s="24">
        <v>16700.062000000002</v>
      </c>
      <c r="M1212" s="24">
        <v>14321.773999999999</v>
      </c>
      <c r="N1212" s="24">
        <v>12568.286</v>
      </c>
      <c r="O1212" s="24">
        <v>11019.862999999999</v>
      </c>
      <c r="P1212" s="24">
        <v>9359.0059999999994</v>
      </c>
      <c r="Q1212" s="24">
        <v>7748.7790000000005</v>
      </c>
      <c r="R1212" s="24">
        <v>5898.7489999999998</v>
      </c>
      <c r="S1212" s="24">
        <v>4806.5039999999999</v>
      </c>
      <c r="T1212" s="24">
        <v>4323.2479999999996</v>
      </c>
      <c r="U1212" s="24">
        <v>3882.9229999999998</v>
      </c>
      <c r="V1212" s="24">
        <v>3137.7089999999998</v>
      </c>
      <c r="W1212" s="24">
        <v>2182.0149999999999</v>
      </c>
      <c r="X1212" s="24">
        <v>1391.883</v>
      </c>
      <c r="Y1212" s="24">
        <v>790.56299999999999</v>
      </c>
      <c r="Z1212" s="24">
        <v>331.81</v>
      </c>
      <c r="AA1212" s="24">
        <v>88.069000000000003</v>
      </c>
      <c r="AB1212" s="24">
        <v>13.912000000000001</v>
      </c>
      <c r="AC1212" s="24">
        <v>1.18</v>
      </c>
    </row>
    <row r="1213" spans="1:29" ht="11.65" hidden="1" x14ac:dyDescent="0.35">
      <c r="A1213" s="28">
        <v>1196</v>
      </c>
      <c r="B1213" s="26" t="s">
        <v>1015</v>
      </c>
      <c r="C1213" s="27" t="s">
        <v>1103</v>
      </c>
      <c r="D1213" s="25"/>
      <c r="E1213" s="25">
        <v>1833</v>
      </c>
      <c r="F1213" s="26" t="s">
        <v>1063</v>
      </c>
      <c r="G1213" s="25">
        <v>1828</v>
      </c>
      <c r="H1213" s="25">
        <v>2000</v>
      </c>
      <c r="I1213" s="24">
        <v>21500.959999999999</v>
      </c>
      <c r="J1213" s="24">
        <v>20980.364000000001</v>
      </c>
      <c r="K1213" s="24">
        <v>20355.773000000001</v>
      </c>
      <c r="L1213" s="24">
        <v>18745.88</v>
      </c>
      <c r="M1213" s="24">
        <v>16485.407999999999</v>
      </c>
      <c r="N1213" s="24">
        <v>14255.647999999999</v>
      </c>
      <c r="O1213" s="24">
        <v>12423.661</v>
      </c>
      <c r="P1213" s="24">
        <v>10856.486000000001</v>
      </c>
      <c r="Q1213" s="24">
        <v>9126.2250000000004</v>
      </c>
      <c r="R1213" s="24">
        <v>7519.0810000000001</v>
      </c>
      <c r="S1213" s="24">
        <v>5706.6670000000004</v>
      </c>
      <c r="T1213" s="24">
        <v>4552.0439999999999</v>
      </c>
      <c r="U1213" s="24">
        <v>4131.2209999999995</v>
      </c>
      <c r="V1213" s="24">
        <v>3540.2069999999999</v>
      </c>
      <c r="W1213" s="24">
        <v>2672.1950000000002</v>
      </c>
      <c r="X1213" s="24">
        <v>1701.845</v>
      </c>
      <c r="Y1213" s="24">
        <v>870.76</v>
      </c>
      <c r="Z1213" s="24">
        <v>385.33600000000001</v>
      </c>
      <c r="AA1213" s="24">
        <v>110.792</v>
      </c>
      <c r="AB1213" s="24">
        <v>17.943000000000001</v>
      </c>
      <c r="AC1213" s="24">
        <v>1.6160000000000001</v>
      </c>
    </row>
    <row r="1214" spans="1:29" ht="11.65" hidden="1" x14ac:dyDescent="0.35">
      <c r="A1214" s="28">
        <v>1197</v>
      </c>
      <c r="B1214" s="26" t="s">
        <v>1015</v>
      </c>
      <c r="C1214" s="27" t="s">
        <v>1103</v>
      </c>
      <c r="D1214" s="25"/>
      <c r="E1214" s="25">
        <v>1833</v>
      </c>
      <c r="F1214" s="26" t="s">
        <v>1063</v>
      </c>
      <c r="G1214" s="25">
        <v>1828</v>
      </c>
      <c r="H1214" s="25">
        <v>2005</v>
      </c>
      <c r="I1214" s="24">
        <v>22107.739000000001</v>
      </c>
      <c r="J1214" s="24">
        <v>21224.522000000001</v>
      </c>
      <c r="K1214" s="24">
        <v>20871.776000000002</v>
      </c>
      <c r="L1214" s="24">
        <v>20193.796999999999</v>
      </c>
      <c r="M1214" s="24">
        <v>18620.054</v>
      </c>
      <c r="N1214" s="24">
        <v>16411.888999999999</v>
      </c>
      <c r="O1214" s="24">
        <v>14105.534</v>
      </c>
      <c r="P1214" s="24">
        <v>12242.275</v>
      </c>
      <c r="Q1214" s="24">
        <v>10574.735000000001</v>
      </c>
      <c r="R1214" s="24">
        <v>8815.3340000000007</v>
      </c>
      <c r="S1214" s="24">
        <v>7262.3190000000004</v>
      </c>
      <c r="T1214" s="24">
        <v>5465.8</v>
      </c>
      <c r="U1214" s="24">
        <v>4340.2870000000003</v>
      </c>
      <c r="V1214" s="24">
        <v>3809.6089999999999</v>
      </c>
      <c r="W1214" s="24">
        <v>3058.7620000000002</v>
      </c>
      <c r="X1214" s="24">
        <v>2070.0630000000001</v>
      </c>
      <c r="Y1214" s="24">
        <v>1089.596</v>
      </c>
      <c r="Z1214" s="24">
        <v>431.20699999999999</v>
      </c>
      <c r="AA1214" s="24">
        <v>131.851</v>
      </c>
      <c r="AB1214" s="24">
        <v>22.835999999999999</v>
      </c>
      <c r="AC1214" s="24">
        <v>2.14</v>
      </c>
    </row>
    <row r="1215" spans="1:29" ht="11.65" hidden="1" x14ac:dyDescent="0.35">
      <c r="A1215" s="28">
        <v>1198</v>
      </c>
      <c r="B1215" s="26" t="s">
        <v>1015</v>
      </c>
      <c r="C1215" s="27" t="s">
        <v>1103</v>
      </c>
      <c r="D1215" s="25"/>
      <c r="E1215" s="25">
        <v>1833</v>
      </c>
      <c r="F1215" s="26" t="s">
        <v>1063</v>
      </c>
      <c r="G1215" s="25">
        <v>1828</v>
      </c>
      <c r="H1215" s="25">
        <v>2010</v>
      </c>
      <c r="I1215" s="24">
        <v>24130.245999999999</v>
      </c>
      <c r="J1215" s="24">
        <v>21899.942999999999</v>
      </c>
      <c r="K1215" s="24">
        <v>21113.834999999999</v>
      </c>
      <c r="L1215" s="24">
        <v>20735.202000000001</v>
      </c>
      <c r="M1215" s="24">
        <v>20154.198</v>
      </c>
      <c r="N1215" s="24">
        <v>18727.638999999999</v>
      </c>
      <c r="O1215" s="24">
        <v>16499.142</v>
      </c>
      <c r="P1215" s="24">
        <v>14097.527</v>
      </c>
      <c r="Q1215" s="24">
        <v>12110.449000000001</v>
      </c>
      <c r="R1215" s="24">
        <v>10362.755999999999</v>
      </c>
      <c r="S1215" s="24">
        <v>8580.0059999999994</v>
      </c>
      <c r="T1215" s="24">
        <v>7024.4930000000004</v>
      </c>
      <c r="U1215" s="24">
        <v>5224.4780000000001</v>
      </c>
      <c r="V1215" s="24">
        <v>4034.884</v>
      </c>
      <c r="W1215" s="24">
        <v>3351.0819999999999</v>
      </c>
      <c r="X1215" s="24">
        <v>2445.17</v>
      </c>
      <c r="Y1215" s="24">
        <v>1399.7260000000001</v>
      </c>
      <c r="Z1215" s="24">
        <v>564.38599999999997</v>
      </c>
      <c r="AA1215" s="24">
        <v>153.346</v>
      </c>
      <c r="AB1215" s="24">
        <v>28.922999999999998</v>
      </c>
      <c r="AC1215" s="24">
        <v>2.847</v>
      </c>
    </row>
    <row r="1216" spans="1:29" ht="11.65" hidden="1" x14ac:dyDescent="0.35">
      <c r="A1216" s="28">
        <v>1199</v>
      </c>
      <c r="B1216" s="26" t="s">
        <v>1015</v>
      </c>
      <c r="C1216" s="27" t="s">
        <v>1103</v>
      </c>
      <c r="D1216" s="25"/>
      <c r="E1216" s="25">
        <v>1833</v>
      </c>
      <c r="F1216" s="26" t="s">
        <v>1063</v>
      </c>
      <c r="G1216" s="25">
        <v>1828</v>
      </c>
      <c r="H1216" s="25">
        <v>2015</v>
      </c>
      <c r="I1216" s="24">
        <v>26945.236000000001</v>
      </c>
      <c r="J1216" s="24">
        <v>23762.946</v>
      </c>
      <c r="K1216" s="24">
        <v>21592.589</v>
      </c>
      <c r="L1216" s="24">
        <v>20798.797999999999</v>
      </c>
      <c r="M1216" s="24">
        <v>20592.724999999999</v>
      </c>
      <c r="N1216" s="24">
        <v>20283.715</v>
      </c>
      <c r="O1216" s="24">
        <v>18955.853999999999</v>
      </c>
      <c r="P1216" s="24">
        <v>16616.035</v>
      </c>
      <c r="Q1216" s="24">
        <v>14095.544</v>
      </c>
      <c r="R1216" s="24">
        <v>12004.34</v>
      </c>
      <c r="S1216" s="24">
        <v>10173.851000000001</v>
      </c>
      <c r="T1216" s="24">
        <v>8359.6810000000005</v>
      </c>
      <c r="U1216" s="24">
        <v>6727.1379999999999</v>
      </c>
      <c r="V1216" s="24">
        <v>4863.87</v>
      </c>
      <c r="W1216" s="24">
        <v>3569.491</v>
      </c>
      <c r="X1216" s="24">
        <v>2700.973</v>
      </c>
      <c r="Y1216" s="24">
        <v>1685.01</v>
      </c>
      <c r="Z1216" s="24">
        <v>744.09799999999996</v>
      </c>
      <c r="AA1216" s="24">
        <v>209.03200000000001</v>
      </c>
      <c r="AB1216" s="24">
        <v>35.195</v>
      </c>
      <c r="AC1216" s="24">
        <v>3.875</v>
      </c>
    </row>
    <row r="1217" spans="1:29" ht="11.65" hidden="1" x14ac:dyDescent="0.35">
      <c r="A1217" s="28">
        <v>1200</v>
      </c>
      <c r="B1217" s="26" t="s">
        <v>1015</v>
      </c>
      <c r="C1217" s="27" t="s">
        <v>1103</v>
      </c>
      <c r="D1217" s="25"/>
      <c r="E1217" s="25">
        <v>1833</v>
      </c>
      <c r="F1217" s="26" t="s">
        <v>1063</v>
      </c>
      <c r="G1217" s="25">
        <v>1828</v>
      </c>
      <c r="H1217" s="25">
        <v>2020</v>
      </c>
      <c r="I1217" s="24">
        <v>27363.178</v>
      </c>
      <c r="J1217" s="24">
        <v>26681.072</v>
      </c>
      <c r="K1217" s="24">
        <v>23546.609</v>
      </c>
      <c r="L1217" s="24">
        <v>21332.077000000001</v>
      </c>
      <c r="M1217" s="24">
        <v>20671.055</v>
      </c>
      <c r="N1217" s="24">
        <v>20735.935000000001</v>
      </c>
      <c r="O1217" s="24">
        <v>20346.677</v>
      </c>
      <c r="P1217" s="24">
        <v>18739.78</v>
      </c>
      <c r="Q1217" s="24">
        <v>16296.066000000001</v>
      </c>
      <c r="R1217" s="24">
        <v>13747.710999999999</v>
      </c>
      <c r="S1217" s="24">
        <v>11657.705</v>
      </c>
      <c r="T1217" s="24">
        <v>9849.4670000000006</v>
      </c>
      <c r="U1217" s="24">
        <v>7991.8530000000001</v>
      </c>
      <c r="V1217" s="24">
        <v>6291.9620000000004</v>
      </c>
      <c r="W1217" s="24">
        <v>4332.7430000000004</v>
      </c>
      <c r="X1217" s="24">
        <v>2921.9850000000001</v>
      </c>
      <c r="Y1217" s="24">
        <v>1905.4269999999999</v>
      </c>
      <c r="Z1217" s="24">
        <v>932.93</v>
      </c>
      <c r="AA1217" s="24">
        <v>289.245</v>
      </c>
      <c r="AB1217" s="24">
        <v>51.314999999999998</v>
      </c>
      <c r="AC1217" s="24">
        <v>5.0289999999999999</v>
      </c>
    </row>
    <row r="1218" spans="1:29" ht="11.65" hidden="1" x14ac:dyDescent="0.35">
      <c r="A1218" s="23">
        <v>1201</v>
      </c>
      <c r="B1218" s="21" t="s">
        <v>1015</v>
      </c>
      <c r="C1218" s="29" t="s">
        <v>1104</v>
      </c>
      <c r="D1218" s="20"/>
      <c r="E1218" s="20">
        <v>912</v>
      </c>
      <c r="F1218" s="21" t="s">
        <v>1065</v>
      </c>
      <c r="G1218" s="20">
        <v>1833</v>
      </c>
      <c r="H1218" s="20">
        <v>1950</v>
      </c>
      <c r="I1218" s="19">
        <v>3999.9540000000002</v>
      </c>
      <c r="J1218" s="19">
        <v>2899.0439999999999</v>
      </c>
      <c r="K1218" s="19">
        <v>2657.4389999999999</v>
      </c>
      <c r="L1218" s="19">
        <v>2489.4780000000001</v>
      </c>
      <c r="M1218" s="19">
        <v>2229.9430000000002</v>
      </c>
      <c r="N1218" s="19">
        <v>1878.6120000000001</v>
      </c>
      <c r="O1218" s="19">
        <v>1572.3230000000001</v>
      </c>
      <c r="P1218" s="19">
        <v>1328.5070000000001</v>
      </c>
      <c r="Q1218" s="19">
        <v>1195.865</v>
      </c>
      <c r="R1218" s="19">
        <v>1013.526</v>
      </c>
      <c r="S1218" s="19">
        <v>870.87099999999998</v>
      </c>
      <c r="T1218" s="19">
        <v>676.89300000000003</v>
      </c>
      <c r="U1218" s="19">
        <v>528.66899999999998</v>
      </c>
      <c r="V1218" s="19">
        <v>380.23700000000002</v>
      </c>
      <c r="W1218" s="19">
        <v>256.89100000000002</v>
      </c>
      <c r="X1218" s="19">
        <v>122.831</v>
      </c>
      <c r="Y1218" s="19">
        <v>52.755000000000003</v>
      </c>
      <c r="Z1218" s="19">
        <v>18.242999999999999</v>
      </c>
      <c r="AA1218" s="19">
        <v>7.1870000000000003</v>
      </c>
      <c r="AB1218" s="19">
        <v>1.4790000000000001</v>
      </c>
      <c r="AC1218" s="19">
        <v>0.217</v>
      </c>
    </row>
    <row r="1219" spans="1:29" ht="11.65" hidden="1" x14ac:dyDescent="0.35">
      <c r="A1219" s="23">
        <v>1202</v>
      </c>
      <c r="B1219" s="21" t="s">
        <v>1015</v>
      </c>
      <c r="C1219" s="29" t="s">
        <v>1104</v>
      </c>
      <c r="D1219" s="20"/>
      <c r="E1219" s="20">
        <v>912</v>
      </c>
      <c r="F1219" s="21" t="s">
        <v>1065</v>
      </c>
      <c r="G1219" s="20">
        <v>1833</v>
      </c>
      <c r="H1219" s="20">
        <v>1955</v>
      </c>
      <c r="I1219" s="19">
        <v>4768.3370000000004</v>
      </c>
      <c r="J1219" s="19">
        <v>3547.6390000000001</v>
      </c>
      <c r="K1219" s="19">
        <v>2833.6410000000001</v>
      </c>
      <c r="L1219" s="19">
        <v>2596.5259999999998</v>
      </c>
      <c r="M1219" s="19">
        <v>2412.875</v>
      </c>
      <c r="N1219" s="19">
        <v>2148.5479999999998</v>
      </c>
      <c r="O1219" s="19">
        <v>1803.9449999999999</v>
      </c>
      <c r="P1219" s="19">
        <v>1508.7570000000001</v>
      </c>
      <c r="Q1219" s="19">
        <v>1274.1130000000001</v>
      </c>
      <c r="R1219" s="19">
        <v>1146.5630000000001</v>
      </c>
      <c r="S1219" s="19">
        <v>962.82500000000005</v>
      </c>
      <c r="T1219" s="19">
        <v>811.35299999999995</v>
      </c>
      <c r="U1219" s="19">
        <v>610.81100000000004</v>
      </c>
      <c r="V1219" s="19">
        <v>449.90300000000002</v>
      </c>
      <c r="W1219" s="19">
        <v>293.21899999999999</v>
      </c>
      <c r="X1219" s="19">
        <v>167.05699999999999</v>
      </c>
      <c r="Y1219" s="19">
        <v>61.901000000000003</v>
      </c>
      <c r="Z1219" s="19">
        <v>17.617999999999999</v>
      </c>
      <c r="AA1219" s="19">
        <v>3.851</v>
      </c>
      <c r="AB1219" s="19">
        <v>0.82699999999999996</v>
      </c>
      <c r="AC1219" s="19">
        <v>8.5000000000000006E-2</v>
      </c>
    </row>
    <row r="1220" spans="1:29" ht="11.65" hidden="1" x14ac:dyDescent="0.35">
      <c r="A1220" s="23">
        <v>1203</v>
      </c>
      <c r="B1220" s="21" t="s">
        <v>1015</v>
      </c>
      <c r="C1220" s="29" t="s">
        <v>1104</v>
      </c>
      <c r="D1220" s="20"/>
      <c r="E1220" s="20">
        <v>912</v>
      </c>
      <c r="F1220" s="21" t="s">
        <v>1065</v>
      </c>
      <c r="G1220" s="20">
        <v>1833</v>
      </c>
      <c r="H1220" s="20">
        <v>1960</v>
      </c>
      <c r="I1220" s="19">
        <v>5550.866</v>
      </c>
      <c r="J1220" s="19">
        <v>4343.8450000000003</v>
      </c>
      <c r="K1220" s="19">
        <v>3481.125</v>
      </c>
      <c r="L1220" s="19">
        <v>2737.1170000000002</v>
      </c>
      <c r="M1220" s="19">
        <v>2496.1509999999998</v>
      </c>
      <c r="N1220" s="19">
        <v>2331.94</v>
      </c>
      <c r="O1220" s="19">
        <v>2083.9290000000001</v>
      </c>
      <c r="P1220" s="19">
        <v>1742.6890000000001</v>
      </c>
      <c r="Q1220" s="19">
        <v>1450.059</v>
      </c>
      <c r="R1220" s="19">
        <v>1226.682</v>
      </c>
      <c r="S1220" s="19">
        <v>1092.251</v>
      </c>
      <c r="T1220" s="19">
        <v>900.63900000000001</v>
      </c>
      <c r="U1220" s="19">
        <v>735.29899999999998</v>
      </c>
      <c r="V1220" s="19">
        <v>524.46100000000001</v>
      </c>
      <c r="W1220" s="19">
        <v>351.65800000000002</v>
      </c>
      <c r="X1220" s="19">
        <v>196.43600000000001</v>
      </c>
      <c r="Y1220" s="19">
        <v>87.563999999999993</v>
      </c>
      <c r="Z1220" s="19">
        <v>23.013999999999999</v>
      </c>
      <c r="AA1220" s="19">
        <v>3.976</v>
      </c>
      <c r="AB1220" s="19">
        <v>0.51500000000000001</v>
      </c>
      <c r="AC1220" s="19">
        <v>6.2E-2</v>
      </c>
    </row>
    <row r="1221" spans="1:29" ht="11.65" hidden="1" x14ac:dyDescent="0.35">
      <c r="A1221" s="23">
        <v>1204</v>
      </c>
      <c r="B1221" s="21" t="s">
        <v>1015</v>
      </c>
      <c r="C1221" s="29" t="s">
        <v>1104</v>
      </c>
      <c r="D1221" s="20"/>
      <c r="E1221" s="20">
        <v>912</v>
      </c>
      <c r="F1221" s="21" t="s">
        <v>1065</v>
      </c>
      <c r="G1221" s="20">
        <v>1833</v>
      </c>
      <c r="H1221" s="20">
        <v>1965</v>
      </c>
      <c r="I1221" s="19">
        <v>6323.835</v>
      </c>
      <c r="J1221" s="19">
        <v>5134.6400000000003</v>
      </c>
      <c r="K1221" s="19">
        <v>4276.0540000000001</v>
      </c>
      <c r="L1221" s="19">
        <v>3336.2449999999999</v>
      </c>
      <c r="M1221" s="19">
        <v>2619.7249999999999</v>
      </c>
      <c r="N1221" s="19">
        <v>2428.1460000000002</v>
      </c>
      <c r="O1221" s="19">
        <v>2278.585</v>
      </c>
      <c r="P1221" s="19">
        <v>2026.4069999999999</v>
      </c>
      <c r="Q1221" s="19">
        <v>1680.1959999999999</v>
      </c>
      <c r="R1221" s="19">
        <v>1390.528</v>
      </c>
      <c r="S1221" s="19">
        <v>1162.931</v>
      </c>
      <c r="T1221" s="19">
        <v>1019.395</v>
      </c>
      <c r="U1221" s="19">
        <v>817.53399999999999</v>
      </c>
      <c r="V1221" s="19">
        <v>632.13499999999999</v>
      </c>
      <c r="W1221" s="19">
        <v>412.798</v>
      </c>
      <c r="X1221" s="19">
        <v>239.80500000000001</v>
      </c>
      <c r="Y1221" s="19">
        <v>106.264</v>
      </c>
      <c r="Z1221" s="19">
        <v>33.630000000000003</v>
      </c>
      <c r="AA1221" s="19">
        <v>5.7130000000000001</v>
      </c>
      <c r="AB1221" s="19">
        <v>0.55500000000000005</v>
      </c>
      <c r="AC1221" s="19">
        <v>4.1000000000000002E-2</v>
      </c>
    </row>
    <row r="1222" spans="1:29" ht="11.65" hidden="1" x14ac:dyDescent="0.35">
      <c r="A1222" s="23">
        <v>1205</v>
      </c>
      <c r="B1222" s="21" t="s">
        <v>1015</v>
      </c>
      <c r="C1222" s="29" t="s">
        <v>1104</v>
      </c>
      <c r="D1222" s="20"/>
      <c r="E1222" s="20">
        <v>912</v>
      </c>
      <c r="F1222" s="21" t="s">
        <v>1065</v>
      </c>
      <c r="G1222" s="20">
        <v>1833</v>
      </c>
      <c r="H1222" s="20">
        <v>1970</v>
      </c>
      <c r="I1222" s="19">
        <v>7030.0079999999998</v>
      </c>
      <c r="J1222" s="19">
        <v>5905.2719999999999</v>
      </c>
      <c r="K1222" s="19">
        <v>5058.4709999999995</v>
      </c>
      <c r="L1222" s="19">
        <v>4144.0789999999997</v>
      </c>
      <c r="M1222" s="19">
        <v>3175.1109999999999</v>
      </c>
      <c r="N1222" s="19">
        <v>2512.0050000000001</v>
      </c>
      <c r="O1222" s="19">
        <v>2347.6370000000002</v>
      </c>
      <c r="P1222" s="19">
        <v>2205.9650000000001</v>
      </c>
      <c r="Q1222" s="19">
        <v>1959.345</v>
      </c>
      <c r="R1222" s="19">
        <v>1621.306</v>
      </c>
      <c r="S1222" s="19">
        <v>1329.7329999999999</v>
      </c>
      <c r="T1222" s="19">
        <v>1094.771</v>
      </c>
      <c r="U1222" s="19">
        <v>933.798</v>
      </c>
      <c r="V1222" s="19">
        <v>711.35699999999997</v>
      </c>
      <c r="W1222" s="19">
        <v>503.529</v>
      </c>
      <c r="X1222" s="19">
        <v>285.87400000000002</v>
      </c>
      <c r="Y1222" s="19">
        <v>133.66</v>
      </c>
      <c r="Z1222" s="19">
        <v>43.311999999999998</v>
      </c>
      <c r="AA1222" s="19">
        <v>8.9220000000000006</v>
      </c>
      <c r="AB1222" s="19">
        <v>0.88700000000000001</v>
      </c>
      <c r="AC1222" s="19">
        <v>4.8000000000000001E-2</v>
      </c>
    </row>
    <row r="1223" spans="1:29" ht="11.65" hidden="1" x14ac:dyDescent="0.35">
      <c r="A1223" s="23">
        <v>1206</v>
      </c>
      <c r="B1223" s="21" t="s">
        <v>1015</v>
      </c>
      <c r="C1223" s="29" t="s">
        <v>1104</v>
      </c>
      <c r="D1223" s="20"/>
      <c r="E1223" s="20">
        <v>912</v>
      </c>
      <c r="F1223" s="21" t="s">
        <v>1065</v>
      </c>
      <c r="G1223" s="20">
        <v>1833</v>
      </c>
      <c r="H1223" s="20">
        <v>1975</v>
      </c>
      <c r="I1223" s="19">
        <v>7700.4849999999997</v>
      </c>
      <c r="J1223" s="19">
        <v>6612.9880000000003</v>
      </c>
      <c r="K1223" s="19">
        <v>5804.09</v>
      </c>
      <c r="L1223" s="19">
        <v>4902.1940000000004</v>
      </c>
      <c r="M1223" s="19">
        <v>3874.6469999999999</v>
      </c>
      <c r="N1223" s="19">
        <v>2973.6979999999999</v>
      </c>
      <c r="O1223" s="19">
        <v>2421.7489999999998</v>
      </c>
      <c r="P1223" s="19">
        <v>2285.75</v>
      </c>
      <c r="Q1223" s="19">
        <v>2150.6320000000001</v>
      </c>
      <c r="R1223" s="19">
        <v>1907.087</v>
      </c>
      <c r="S1223" s="19">
        <v>1558.624</v>
      </c>
      <c r="T1223" s="19">
        <v>1253.078</v>
      </c>
      <c r="U1223" s="19">
        <v>1004.184</v>
      </c>
      <c r="V1223" s="19">
        <v>816.40599999999995</v>
      </c>
      <c r="W1223" s="19">
        <v>572.32399999999996</v>
      </c>
      <c r="X1223" s="19">
        <v>350.50700000000001</v>
      </c>
      <c r="Y1223" s="19">
        <v>162.02199999999999</v>
      </c>
      <c r="Z1223" s="19">
        <v>55.902000000000001</v>
      </c>
      <c r="AA1223" s="19">
        <v>11.973000000000001</v>
      </c>
      <c r="AB1223" s="19">
        <v>1.4470000000000001</v>
      </c>
      <c r="AC1223" s="19">
        <v>8.1000000000000003E-2</v>
      </c>
    </row>
    <row r="1224" spans="1:29" ht="11.65" hidden="1" x14ac:dyDescent="0.35">
      <c r="A1224" s="23">
        <v>1207</v>
      </c>
      <c r="B1224" s="21" t="s">
        <v>1015</v>
      </c>
      <c r="C1224" s="29" t="s">
        <v>1104</v>
      </c>
      <c r="D1224" s="20"/>
      <c r="E1224" s="20">
        <v>912</v>
      </c>
      <c r="F1224" s="21" t="s">
        <v>1065</v>
      </c>
      <c r="G1224" s="20">
        <v>1833</v>
      </c>
      <c r="H1224" s="20">
        <v>1980</v>
      </c>
      <c r="I1224" s="19">
        <v>8714.6650000000009</v>
      </c>
      <c r="J1224" s="19">
        <v>7361.11</v>
      </c>
      <c r="K1224" s="19">
        <v>6544.8969999999999</v>
      </c>
      <c r="L1224" s="19">
        <v>5693.1530000000002</v>
      </c>
      <c r="M1224" s="19">
        <v>4672.4210000000003</v>
      </c>
      <c r="N1224" s="19">
        <v>3681.7730000000001</v>
      </c>
      <c r="O1224" s="19">
        <v>2898.03</v>
      </c>
      <c r="P1224" s="19">
        <v>2377.8319999999999</v>
      </c>
      <c r="Q1224" s="19">
        <v>2253.34</v>
      </c>
      <c r="R1224" s="19">
        <v>2105.1689999999999</v>
      </c>
      <c r="S1224" s="19">
        <v>1837.6569999999999</v>
      </c>
      <c r="T1224" s="19">
        <v>1474.0070000000001</v>
      </c>
      <c r="U1224" s="19">
        <v>1155.627</v>
      </c>
      <c r="V1224" s="19">
        <v>885.95100000000002</v>
      </c>
      <c r="W1224" s="19">
        <v>663.26900000000001</v>
      </c>
      <c r="X1224" s="19">
        <v>404.57799999999997</v>
      </c>
      <c r="Y1224" s="19">
        <v>201.03800000000001</v>
      </c>
      <c r="Z1224" s="19">
        <v>69.153999999999996</v>
      </c>
      <c r="AA1224" s="19">
        <v>15.782999999999999</v>
      </c>
      <c r="AB1224" s="19">
        <v>2.0680000000000001</v>
      </c>
      <c r="AC1224" s="19">
        <v>0.13600000000000001</v>
      </c>
    </row>
    <row r="1225" spans="1:29" ht="11.65" hidden="1" x14ac:dyDescent="0.35">
      <c r="A1225" s="23">
        <v>1208</v>
      </c>
      <c r="B1225" s="21" t="s">
        <v>1015</v>
      </c>
      <c r="C1225" s="29" t="s">
        <v>1104</v>
      </c>
      <c r="D1225" s="20"/>
      <c r="E1225" s="20">
        <v>912</v>
      </c>
      <c r="F1225" s="21" t="s">
        <v>1065</v>
      </c>
      <c r="G1225" s="20">
        <v>1833</v>
      </c>
      <c r="H1225" s="20">
        <v>1985</v>
      </c>
      <c r="I1225" s="19">
        <v>9820.0239999999994</v>
      </c>
      <c r="J1225" s="19">
        <v>8443.2990000000009</v>
      </c>
      <c r="K1225" s="19">
        <v>7305.4840000000004</v>
      </c>
      <c r="L1225" s="19">
        <v>6456.3050000000003</v>
      </c>
      <c r="M1225" s="19">
        <v>5521.1120000000001</v>
      </c>
      <c r="N1225" s="19">
        <v>4527.8370000000004</v>
      </c>
      <c r="O1225" s="19">
        <v>3644.8009999999999</v>
      </c>
      <c r="P1225" s="19">
        <v>2911.6060000000002</v>
      </c>
      <c r="Q1225" s="19">
        <v>2363.06</v>
      </c>
      <c r="R1225" s="19">
        <v>2213.002</v>
      </c>
      <c r="S1225" s="19">
        <v>2048.4830000000002</v>
      </c>
      <c r="T1225" s="19">
        <v>1758.921</v>
      </c>
      <c r="U1225" s="19">
        <v>1384.701</v>
      </c>
      <c r="V1225" s="19">
        <v>1042.7380000000001</v>
      </c>
      <c r="W1225" s="19">
        <v>740.46199999999999</v>
      </c>
      <c r="X1225" s="19">
        <v>483.53399999999999</v>
      </c>
      <c r="Y1225" s="19">
        <v>239.51900000000001</v>
      </c>
      <c r="Z1225" s="19">
        <v>87.061999999999998</v>
      </c>
      <c r="AA1225" s="19">
        <v>20.006</v>
      </c>
      <c r="AB1225" s="19">
        <v>2.827</v>
      </c>
      <c r="AC1225" s="19">
        <v>0.20200000000000001</v>
      </c>
    </row>
    <row r="1226" spans="1:29" ht="11.65" hidden="1" x14ac:dyDescent="0.35">
      <c r="A1226" s="23">
        <v>1209</v>
      </c>
      <c r="B1226" s="21" t="s">
        <v>1015</v>
      </c>
      <c r="C1226" s="29" t="s">
        <v>1104</v>
      </c>
      <c r="D1226" s="20"/>
      <c r="E1226" s="20">
        <v>912</v>
      </c>
      <c r="F1226" s="21" t="s">
        <v>1065</v>
      </c>
      <c r="G1226" s="20">
        <v>1833</v>
      </c>
      <c r="H1226" s="20">
        <v>1990</v>
      </c>
      <c r="I1226" s="19">
        <v>10419.115</v>
      </c>
      <c r="J1226" s="19">
        <v>9589.1830000000009</v>
      </c>
      <c r="K1226" s="19">
        <v>8380.9750000000004</v>
      </c>
      <c r="L1226" s="19">
        <v>7184.9210000000003</v>
      </c>
      <c r="M1226" s="19">
        <v>6258.5540000000001</v>
      </c>
      <c r="N1226" s="19">
        <v>5358.5140000000001</v>
      </c>
      <c r="O1226" s="19">
        <v>4487.9639999999999</v>
      </c>
      <c r="P1226" s="19">
        <v>3645.183</v>
      </c>
      <c r="Q1226" s="19">
        <v>2901.4630000000002</v>
      </c>
      <c r="R1226" s="19">
        <v>2349.6</v>
      </c>
      <c r="S1226" s="19">
        <v>2160.8519999999999</v>
      </c>
      <c r="T1226" s="19">
        <v>1958.671</v>
      </c>
      <c r="U1226" s="19">
        <v>1641.3920000000001</v>
      </c>
      <c r="V1226" s="19">
        <v>1247.1420000000001</v>
      </c>
      <c r="W1226" s="19">
        <v>867.12599999999998</v>
      </c>
      <c r="X1226" s="19">
        <v>542.69399999999996</v>
      </c>
      <c r="Y1226" s="19">
        <v>290.43200000000002</v>
      </c>
      <c r="Z1226" s="19">
        <v>105.88800000000001</v>
      </c>
      <c r="AA1226" s="19">
        <v>25.122</v>
      </c>
      <c r="AB1226" s="19">
        <v>3.4630000000000001</v>
      </c>
      <c r="AC1226" s="19">
        <v>0.25600000000000001</v>
      </c>
    </row>
    <row r="1227" spans="1:29" ht="11.65" hidden="1" x14ac:dyDescent="0.35">
      <c r="A1227" s="23">
        <v>1210</v>
      </c>
      <c r="B1227" s="21" t="s">
        <v>1015</v>
      </c>
      <c r="C1227" s="29" t="s">
        <v>1104</v>
      </c>
      <c r="D1227" s="20"/>
      <c r="E1227" s="20">
        <v>912</v>
      </c>
      <c r="F1227" s="21" t="s">
        <v>1065</v>
      </c>
      <c r="G1227" s="20">
        <v>1833</v>
      </c>
      <c r="H1227" s="20">
        <v>1995</v>
      </c>
      <c r="I1227" s="19">
        <v>10362.709000000001</v>
      </c>
      <c r="J1227" s="19">
        <v>10251.451999999999</v>
      </c>
      <c r="K1227" s="19">
        <v>9556.9789999999994</v>
      </c>
      <c r="L1227" s="19">
        <v>8297.2630000000008</v>
      </c>
      <c r="M1227" s="19">
        <v>7016.9480000000003</v>
      </c>
      <c r="N1227" s="19">
        <v>6095.357</v>
      </c>
      <c r="O1227" s="19">
        <v>5259.308</v>
      </c>
      <c r="P1227" s="19">
        <v>4438.0820000000003</v>
      </c>
      <c r="Q1227" s="19">
        <v>3620.2959999999998</v>
      </c>
      <c r="R1227" s="19">
        <v>2884.9290000000001</v>
      </c>
      <c r="S1227" s="19">
        <v>2304.21</v>
      </c>
      <c r="T1227" s="19">
        <v>2088.6669999999999</v>
      </c>
      <c r="U1227" s="19">
        <v>1852.3219999999999</v>
      </c>
      <c r="V1227" s="19">
        <v>1483.2239999999999</v>
      </c>
      <c r="W1227" s="19">
        <v>1053.3230000000001</v>
      </c>
      <c r="X1227" s="19">
        <v>645.05799999999999</v>
      </c>
      <c r="Y1227" s="19">
        <v>332.81700000000001</v>
      </c>
      <c r="Z1227" s="19">
        <v>132.21199999999999</v>
      </c>
      <c r="AA1227" s="19">
        <v>32.689</v>
      </c>
      <c r="AB1227" s="19">
        <v>4.734</v>
      </c>
      <c r="AC1227" s="19">
        <v>0.35099999999999998</v>
      </c>
    </row>
    <row r="1228" spans="1:29" ht="11.65" hidden="1" x14ac:dyDescent="0.35">
      <c r="A1228" s="23">
        <v>1211</v>
      </c>
      <c r="B1228" s="21" t="s">
        <v>1015</v>
      </c>
      <c r="C1228" s="29" t="s">
        <v>1104</v>
      </c>
      <c r="D1228" s="20"/>
      <c r="E1228" s="20">
        <v>912</v>
      </c>
      <c r="F1228" s="21" t="s">
        <v>1065</v>
      </c>
      <c r="G1228" s="20">
        <v>1833</v>
      </c>
      <c r="H1228" s="20">
        <v>2000</v>
      </c>
      <c r="I1228" s="19">
        <v>10170.771000000001</v>
      </c>
      <c r="J1228" s="19">
        <v>10169.914000000001</v>
      </c>
      <c r="K1228" s="19">
        <v>10157.81</v>
      </c>
      <c r="L1228" s="19">
        <v>9449.4359999999997</v>
      </c>
      <c r="M1228" s="19">
        <v>8125.9970000000003</v>
      </c>
      <c r="N1228" s="19">
        <v>6831.6610000000001</v>
      </c>
      <c r="O1228" s="19">
        <v>5934.6549999999997</v>
      </c>
      <c r="P1228" s="19">
        <v>5131.9549999999999</v>
      </c>
      <c r="Q1228" s="19">
        <v>4346.442</v>
      </c>
      <c r="R1228" s="19">
        <v>3530.4450000000002</v>
      </c>
      <c r="S1228" s="19">
        <v>2789.7249999999999</v>
      </c>
      <c r="T1228" s="19">
        <v>2207.8560000000002</v>
      </c>
      <c r="U1228" s="19">
        <v>1973.693</v>
      </c>
      <c r="V1228" s="19">
        <v>1686.3320000000001</v>
      </c>
      <c r="W1228" s="19">
        <v>1257.325</v>
      </c>
      <c r="X1228" s="19">
        <v>790.55799999999999</v>
      </c>
      <c r="Y1228" s="19">
        <v>400.68</v>
      </c>
      <c r="Z1228" s="19">
        <v>156.22200000000001</v>
      </c>
      <c r="AA1228" s="19">
        <v>42.279000000000003</v>
      </c>
      <c r="AB1228" s="19">
        <v>6.4960000000000004</v>
      </c>
      <c r="AC1228" s="19">
        <v>0.52600000000000002</v>
      </c>
    </row>
    <row r="1229" spans="1:29" ht="11.65" hidden="1" x14ac:dyDescent="0.35">
      <c r="A1229" s="23">
        <v>1212</v>
      </c>
      <c r="B1229" s="21" t="s">
        <v>1015</v>
      </c>
      <c r="C1229" s="29" t="s">
        <v>1104</v>
      </c>
      <c r="D1229" s="20"/>
      <c r="E1229" s="20">
        <v>912</v>
      </c>
      <c r="F1229" s="21" t="s">
        <v>1065</v>
      </c>
      <c r="G1229" s="20">
        <v>1833</v>
      </c>
      <c r="H1229" s="20">
        <v>2005</v>
      </c>
      <c r="I1229" s="19">
        <v>10443.246999999999</v>
      </c>
      <c r="J1229" s="19">
        <v>10002.727999999999</v>
      </c>
      <c r="K1229" s="19">
        <v>10081.291999999999</v>
      </c>
      <c r="L1229" s="19">
        <v>10046.782999999999</v>
      </c>
      <c r="M1229" s="19">
        <v>9288.93</v>
      </c>
      <c r="N1229" s="19">
        <v>7945.89</v>
      </c>
      <c r="O1229" s="19">
        <v>6668.08</v>
      </c>
      <c r="P1229" s="19">
        <v>5816.8469999999998</v>
      </c>
      <c r="Q1229" s="19">
        <v>5038.0659999999998</v>
      </c>
      <c r="R1229" s="19">
        <v>4252.5150000000003</v>
      </c>
      <c r="S1229" s="19">
        <v>3418.5920000000001</v>
      </c>
      <c r="T1229" s="19">
        <v>2673.5659999999998</v>
      </c>
      <c r="U1229" s="19">
        <v>2089.6680000000001</v>
      </c>
      <c r="V1229" s="19">
        <v>1806.4090000000001</v>
      </c>
      <c r="W1229" s="19">
        <v>1441.1990000000001</v>
      </c>
      <c r="X1229" s="19">
        <v>953.70699999999999</v>
      </c>
      <c r="Y1229" s="19">
        <v>498.83300000000003</v>
      </c>
      <c r="Z1229" s="19">
        <v>191.601</v>
      </c>
      <c r="AA1229" s="19">
        <v>51.314</v>
      </c>
      <c r="AB1229" s="19">
        <v>8.6639999999999997</v>
      </c>
      <c r="AC1229" s="19">
        <v>0.73499999999999999</v>
      </c>
    </row>
    <row r="1230" spans="1:29" ht="11.65" hidden="1" x14ac:dyDescent="0.35">
      <c r="A1230" s="23">
        <v>1213</v>
      </c>
      <c r="B1230" s="21" t="s">
        <v>1015</v>
      </c>
      <c r="C1230" s="29" t="s">
        <v>1104</v>
      </c>
      <c r="D1230" s="20"/>
      <c r="E1230" s="20">
        <v>912</v>
      </c>
      <c r="F1230" s="21" t="s">
        <v>1065</v>
      </c>
      <c r="G1230" s="20">
        <v>1833</v>
      </c>
      <c r="H1230" s="20">
        <v>2010</v>
      </c>
      <c r="I1230" s="19">
        <v>11641.221</v>
      </c>
      <c r="J1230" s="19">
        <v>10284.061</v>
      </c>
      <c r="K1230" s="19">
        <v>9912.4429999999993</v>
      </c>
      <c r="L1230" s="19">
        <v>9955.6650000000009</v>
      </c>
      <c r="M1230" s="19">
        <v>9838.8060000000005</v>
      </c>
      <c r="N1230" s="19">
        <v>9062.2669999999998</v>
      </c>
      <c r="O1230" s="19">
        <v>7736.75</v>
      </c>
      <c r="P1230" s="19">
        <v>6506.7719999999999</v>
      </c>
      <c r="Q1230" s="19">
        <v>5700.2070000000003</v>
      </c>
      <c r="R1230" s="19">
        <v>4924.3109999999997</v>
      </c>
      <c r="S1230" s="19">
        <v>4125.2150000000001</v>
      </c>
      <c r="T1230" s="19">
        <v>3295.2939999999999</v>
      </c>
      <c r="U1230" s="19">
        <v>2540.8760000000002</v>
      </c>
      <c r="V1230" s="19">
        <v>1929.2650000000001</v>
      </c>
      <c r="W1230" s="19">
        <v>1566.9390000000001</v>
      </c>
      <c r="X1230" s="19">
        <v>1121.568</v>
      </c>
      <c r="Y1230" s="19">
        <v>616.43799999999999</v>
      </c>
      <c r="Z1230" s="19">
        <v>240.00800000000001</v>
      </c>
      <c r="AA1230" s="19">
        <v>63.531999999999996</v>
      </c>
      <c r="AB1230" s="19">
        <v>10.787000000000001</v>
      </c>
      <c r="AC1230" s="19">
        <v>1.0069999999999999</v>
      </c>
    </row>
    <row r="1231" spans="1:29" ht="11.65" hidden="1" x14ac:dyDescent="0.35">
      <c r="A1231" s="23">
        <v>1214</v>
      </c>
      <c r="B1231" s="21" t="s">
        <v>1015</v>
      </c>
      <c r="C1231" s="29" t="s">
        <v>1104</v>
      </c>
      <c r="D1231" s="20"/>
      <c r="E1231" s="20">
        <v>912</v>
      </c>
      <c r="F1231" s="21" t="s">
        <v>1065</v>
      </c>
      <c r="G1231" s="20">
        <v>1833</v>
      </c>
      <c r="H1231" s="20">
        <v>2015</v>
      </c>
      <c r="I1231" s="19">
        <v>13704.338</v>
      </c>
      <c r="J1231" s="19">
        <v>11503.689</v>
      </c>
      <c r="K1231" s="19">
        <v>10208.025</v>
      </c>
      <c r="L1231" s="19">
        <v>9817.0059999999994</v>
      </c>
      <c r="M1231" s="19">
        <v>9811.2759999999998</v>
      </c>
      <c r="N1231" s="19">
        <v>9609.0750000000007</v>
      </c>
      <c r="O1231" s="19">
        <v>8858.3140000000003</v>
      </c>
      <c r="P1231" s="19">
        <v>7602.7209999999995</v>
      </c>
      <c r="Q1231" s="19">
        <v>6407.1930000000002</v>
      </c>
      <c r="R1231" s="19">
        <v>5596.6379999999999</v>
      </c>
      <c r="S1231" s="19">
        <v>4802.0450000000001</v>
      </c>
      <c r="T1231" s="19">
        <v>3988.5529999999999</v>
      </c>
      <c r="U1231" s="19">
        <v>3134.221</v>
      </c>
      <c r="V1231" s="19">
        <v>2331.652</v>
      </c>
      <c r="W1231" s="19">
        <v>1676.606</v>
      </c>
      <c r="X1231" s="19">
        <v>1232.9549999999999</v>
      </c>
      <c r="Y1231" s="19">
        <v>737.95699999999999</v>
      </c>
      <c r="Z1231" s="19">
        <v>301.45800000000003</v>
      </c>
      <c r="AA1231" s="19">
        <v>79.534999999999997</v>
      </c>
      <c r="AB1231" s="19">
        <v>13.449</v>
      </c>
      <c r="AC1231" s="19">
        <v>1.2789999999999999</v>
      </c>
    </row>
    <row r="1232" spans="1:29" ht="11.65" hidden="1" x14ac:dyDescent="0.35">
      <c r="A1232" s="23">
        <v>1215</v>
      </c>
      <c r="B1232" s="21" t="s">
        <v>1015</v>
      </c>
      <c r="C1232" s="29" t="s">
        <v>1104</v>
      </c>
      <c r="D1232" s="20"/>
      <c r="E1232" s="20">
        <v>912</v>
      </c>
      <c r="F1232" s="21" t="s">
        <v>1065</v>
      </c>
      <c r="G1232" s="20">
        <v>1833</v>
      </c>
      <c r="H1232" s="20">
        <v>2020</v>
      </c>
      <c r="I1232" s="19">
        <v>14198.535</v>
      </c>
      <c r="J1232" s="19">
        <v>13612.186</v>
      </c>
      <c r="K1232" s="19">
        <v>11458.298000000001</v>
      </c>
      <c r="L1232" s="19">
        <v>10150.611000000001</v>
      </c>
      <c r="M1232" s="19">
        <v>9727.4169999999995</v>
      </c>
      <c r="N1232" s="19">
        <v>9715.7000000000007</v>
      </c>
      <c r="O1232" s="19">
        <v>9496.6530000000002</v>
      </c>
      <c r="P1232" s="19">
        <v>8743.2250000000004</v>
      </c>
      <c r="Q1232" s="19">
        <v>7517.5510000000004</v>
      </c>
      <c r="R1232" s="19">
        <v>6319.7839999999997</v>
      </c>
      <c r="S1232" s="19">
        <v>5482.3909999999996</v>
      </c>
      <c r="T1232" s="19">
        <v>4660.4849999999997</v>
      </c>
      <c r="U1232" s="19">
        <v>3808.9690000000001</v>
      </c>
      <c r="V1232" s="19">
        <v>2905.933</v>
      </c>
      <c r="W1232" s="19">
        <v>2039.8150000000001</v>
      </c>
      <c r="X1232" s="19">
        <v>1338.39</v>
      </c>
      <c r="Y1232" s="19">
        <v>833.86599999999999</v>
      </c>
      <c r="Z1232" s="19">
        <v>376.78</v>
      </c>
      <c r="AA1232" s="19">
        <v>104.14400000000001</v>
      </c>
      <c r="AB1232" s="19">
        <v>17.498999999999999</v>
      </c>
      <c r="AC1232" s="19">
        <v>1.675</v>
      </c>
    </row>
    <row r="1233" spans="1:29" ht="11.65" hidden="1" x14ac:dyDescent="0.35">
      <c r="A1233" s="12">
        <v>1216</v>
      </c>
      <c r="B1233" s="10" t="s">
        <v>1015</v>
      </c>
      <c r="C1233" s="11" t="s">
        <v>1105</v>
      </c>
      <c r="D1233" s="9"/>
      <c r="E1233" s="9">
        <v>12</v>
      </c>
      <c r="F1233" s="10" t="s">
        <v>1066</v>
      </c>
      <c r="G1233" s="9">
        <v>912</v>
      </c>
      <c r="H1233" s="9">
        <v>1950</v>
      </c>
      <c r="I1233" s="8">
        <v>688.02700000000004</v>
      </c>
      <c r="J1233" s="8">
        <v>571.36400000000003</v>
      </c>
      <c r="K1233" s="8">
        <v>518.02200000000005</v>
      </c>
      <c r="L1233" s="8">
        <v>453.87200000000001</v>
      </c>
      <c r="M1233" s="8">
        <v>385.81599999999997</v>
      </c>
      <c r="N1233" s="8">
        <v>302.69799999999998</v>
      </c>
      <c r="O1233" s="8">
        <v>280.137</v>
      </c>
      <c r="P1233" s="8">
        <v>236.57400000000001</v>
      </c>
      <c r="Q1233" s="8">
        <v>228.61500000000001</v>
      </c>
      <c r="R1233" s="8">
        <v>172.88200000000001</v>
      </c>
      <c r="S1233" s="8">
        <v>175.18700000000001</v>
      </c>
      <c r="T1233" s="8">
        <v>104.104</v>
      </c>
      <c r="U1233" s="8">
        <v>90.23</v>
      </c>
      <c r="V1233" s="8">
        <v>62.88</v>
      </c>
      <c r="W1233" s="8">
        <v>45.606000000000002</v>
      </c>
      <c r="X1233" s="8">
        <v>20.922999999999998</v>
      </c>
      <c r="Y1233" s="8">
        <v>14.15</v>
      </c>
      <c r="Z1233" s="8">
        <v>5.4290000000000003</v>
      </c>
      <c r="AA1233" s="8">
        <v>2.9540000000000002</v>
      </c>
      <c r="AB1233" s="8">
        <v>0.99399999999999999</v>
      </c>
      <c r="AC1233" s="8">
        <v>0.188</v>
      </c>
    </row>
    <row r="1234" spans="1:29" ht="11.65" hidden="1" x14ac:dyDescent="0.35">
      <c r="A1234" s="12">
        <v>1217</v>
      </c>
      <c r="B1234" s="10" t="s">
        <v>1015</v>
      </c>
      <c r="C1234" s="11" t="s">
        <v>1105</v>
      </c>
      <c r="D1234" s="9"/>
      <c r="E1234" s="9">
        <v>12</v>
      </c>
      <c r="F1234" s="10" t="s">
        <v>1066</v>
      </c>
      <c r="G1234" s="9">
        <v>912</v>
      </c>
      <c r="H1234" s="9">
        <v>1955</v>
      </c>
      <c r="I1234" s="8">
        <v>894.226</v>
      </c>
      <c r="J1234" s="8">
        <v>607.928</v>
      </c>
      <c r="K1234" s="8">
        <v>549.60599999999999</v>
      </c>
      <c r="L1234" s="8">
        <v>492.79899999999998</v>
      </c>
      <c r="M1234" s="8">
        <v>420.56799999999998</v>
      </c>
      <c r="N1234" s="8">
        <v>349.24299999999999</v>
      </c>
      <c r="O1234" s="8">
        <v>270.65699999999998</v>
      </c>
      <c r="P1234" s="8">
        <v>255.79</v>
      </c>
      <c r="Q1234" s="8">
        <v>219.37899999999999</v>
      </c>
      <c r="R1234" s="8">
        <v>215.10900000000001</v>
      </c>
      <c r="S1234" s="8">
        <v>162.32300000000001</v>
      </c>
      <c r="T1234" s="8">
        <v>161.81700000000001</v>
      </c>
      <c r="U1234" s="8">
        <v>92.438999999999993</v>
      </c>
      <c r="V1234" s="8">
        <v>74.477999999999994</v>
      </c>
      <c r="W1234" s="8">
        <v>45.953000000000003</v>
      </c>
      <c r="X1234" s="8">
        <v>27.173999999999999</v>
      </c>
      <c r="Y1234" s="8">
        <v>9.0129999999999999</v>
      </c>
      <c r="Z1234" s="8">
        <v>3.8530000000000002</v>
      </c>
      <c r="AA1234" s="8">
        <v>0.83599999999999997</v>
      </c>
      <c r="AB1234" s="8">
        <v>0.23699999999999999</v>
      </c>
      <c r="AC1234" s="8">
        <v>4.8000000000000001E-2</v>
      </c>
    </row>
    <row r="1235" spans="1:29" ht="11.65" hidden="1" x14ac:dyDescent="0.35">
      <c r="A1235" s="12">
        <v>1218</v>
      </c>
      <c r="B1235" s="10" t="s">
        <v>1015</v>
      </c>
      <c r="C1235" s="11" t="s">
        <v>1105</v>
      </c>
      <c r="D1235" s="9"/>
      <c r="E1235" s="9">
        <v>12</v>
      </c>
      <c r="F1235" s="10" t="s">
        <v>1066</v>
      </c>
      <c r="G1235" s="9">
        <v>912</v>
      </c>
      <c r="H1235" s="9">
        <v>1960</v>
      </c>
      <c r="I1235" s="8">
        <v>1014.739</v>
      </c>
      <c r="J1235" s="8">
        <v>812.14700000000005</v>
      </c>
      <c r="K1235" s="8">
        <v>588.82899999999995</v>
      </c>
      <c r="L1235" s="8">
        <v>522.12300000000005</v>
      </c>
      <c r="M1235" s="8">
        <v>458.05500000000001</v>
      </c>
      <c r="N1235" s="8">
        <v>392.38400000000001</v>
      </c>
      <c r="O1235" s="8">
        <v>330.38799999999998</v>
      </c>
      <c r="P1235" s="8">
        <v>256.47300000000001</v>
      </c>
      <c r="Q1235" s="8">
        <v>243.04400000000001</v>
      </c>
      <c r="R1235" s="8">
        <v>208.46799999999999</v>
      </c>
      <c r="S1235" s="8">
        <v>202.67099999999999</v>
      </c>
      <c r="T1235" s="8">
        <v>150.20099999999999</v>
      </c>
      <c r="U1235" s="8">
        <v>144.39099999999999</v>
      </c>
      <c r="V1235" s="8">
        <v>76.997</v>
      </c>
      <c r="W1235" s="8">
        <v>55.287999999999997</v>
      </c>
      <c r="X1235" s="8">
        <v>28.097000000000001</v>
      </c>
      <c r="Y1235" s="8">
        <v>12.196</v>
      </c>
      <c r="Z1235" s="8">
        <v>2.605</v>
      </c>
      <c r="AA1235" s="8">
        <v>0.64</v>
      </c>
      <c r="AB1235" s="8">
        <v>7.2999999999999995E-2</v>
      </c>
      <c r="AC1235" s="8">
        <v>1.2999999999999999E-2</v>
      </c>
    </row>
    <row r="1236" spans="1:29" ht="11.65" hidden="1" x14ac:dyDescent="0.35">
      <c r="A1236" s="12">
        <v>1219</v>
      </c>
      <c r="B1236" s="10" t="s">
        <v>1015</v>
      </c>
      <c r="C1236" s="11" t="s">
        <v>1105</v>
      </c>
      <c r="D1236" s="9"/>
      <c r="E1236" s="9">
        <v>12</v>
      </c>
      <c r="F1236" s="10" t="s">
        <v>1066</v>
      </c>
      <c r="G1236" s="9">
        <v>912</v>
      </c>
      <c r="H1236" s="9">
        <v>1965</v>
      </c>
      <c r="I1236" s="8">
        <v>1168.934</v>
      </c>
      <c r="J1236" s="8">
        <v>931.58399999999995</v>
      </c>
      <c r="K1236" s="8">
        <v>795.09100000000001</v>
      </c>
      <c r="L1236" s="8">
        <v>559.23299999999995</v>
      </c>
      <c r="M1236" s="8">
        <v>469.988</v>
      </c>
      <c r="N1236" s="8">
        <v>418.64600000000002</v>
      </c>
      <c r="O1236" s="8">
        <v>371.92</v>
      </c>
      <c r="P1236" s="8">
        <v>314.26799999999997</v>
      </c>
      <c r="Q1236" s="8">
        <v>243.50899999999999</v>
      </c>
      <c r="R1236" s="8">
        <v>230.79</v>
      </c>
      <c r="S1236" s="8">
        <v>196.01599999999999</v>
      </c>
      <c r="T1236" s="8">
        <v>187.79400000000001</v>
      </c>
      <c r="U1236" s="8">
        <v>134.76499999999999</v>
      </c>
      <c r="V1236" s="8">
        <v>121.444</v>
      </c>
      <c r="W1236" s="8">
        <v>58.094000000000001</v>
      </c>
      <c r="X1236" s="8">
        <v>34.707999999999998</v>
      </c>
      <c r="Y1236" s="8">
        <v>13.138</v>
      </c>
      <c r="Z1236" s="8">
        <v>3.7389999999999999</v>
      </c>
      <c r="AA1236" s="8">
        <v>0.46600000000000003</v>
      </c>
      <c r="AB1236" s="8">
        <v>6.0999999999999999E-2</v>
      </c>
      <c r="AC1236" s="8">
        <v>4.0000000000000001E-3</v>
      </c>
    </row>
    <row r="1237" spans="1:29" ht="11.65" hidden="1" x14ac:dyDescent="0.35">
      <c r="A1237" s="12">
        <v>1220</v>
      </c>
      <c r="B1237" s="10" t="s">
        <v>1015</v>
      </c>
      <c r="C1237" s="11" t="s">
        <v>1105</v>
      </c>
      <c r="D1237" s="9"/>
      <c r="E1237" s="9">
        <v>12</v>
      </c>
      <c r="F1237" s="10" t="s">
        <v>1066</v>
      </c>
      <c r="G1237" s="9">
        <v>912</v>
      </c>
      <c r="H1237" s="9">
        <v>1970</v>
      </c>
      <c r="I1237" s="8">
        <v>1312.7819999999999</v>
      </c>
      <c r="J1237" s="8">
        <v>1089.567</v>
      </c>
      <c r="K1237" s="8">
        <v>916.11199999999997</v>
      </c>
      <c r="L1237" s="8">
        <v>779.29100000000005</v>
      </c>
      <c r="M1237" s="8">
        <v>533.86900000000003</v>
      </c>
      <c r="N1237" s="8">
        <v>441.90199999999999</v>
      </c>
      <c r="O1237" s="8">
        <v>399.00299999999999</v>
      </c>
      <c r="P1237" s="8">
        <v>356.23</v>
      </c>
      <c r="Q1237" s="8">
        <v>300.35000000000002</v>
      </c>
      <c r="R1237" s="8">
        <v>232.31200000000001</v>
      </c>
      <c r="S1237" s="8">
        <v>218.624</v>
      </c>
      <c r="T1237" s="8">
        <v>182.63900000000001</v>
      </c>
      <c r="U1237" s="8">
        <v>169.35499999999999</v>
      </c>
      <c r="V1237" s="8">
        <v>114.35299999999999</v>
      </c>
      <c r="W1237" s="8">
        <v>92.978999999999999</v>
      </c>
      <c r="X1237" s="8">
        <v>37.340000000000003</v>
      </c>
      <c r="Y1237" s="8">
        <v>16.838999999999999</v>
      </c>
      <c r="Z1237" s="8">
        <v>4.2480000000000002</v>
      </c>
      <c r="AA1237" s="8">
        <v>0.71799999999999997</v>
      </c>
      <c r="AB1237" s="8">
        <v>4.8000000000000001E-2</v>
      </c>
      <c r="AC1237" s="8">
        <v>3.0000000000000001E-3</v>
      </c>
    </row>
    <row r="1238" spans="1:29" ht="11.65" hidden="1" x14ac:dyDescent="0.35">
      <c r="A1238" s="12">
        <v>1221</v>
      </c>
      <c r="B1238" s="10" t="s">
        <v>1015</v>
      </c>
      <c r="C1238" s="11" t="s">
        <v>1105</v>
      </c>
      <c r="D1238" s="9"/>
      <c r="E1238" s="9">
        <v>12</v>
      </c>
      <c r="F1238" s="10" t="s">
        <v>1066</v>
      </c>
      <c r="G1238" s="9">
        <v>912</v>
      </c>
      <c r="H1238" s="9">
        <v>1975</v>
      </c>
      <c r="I1238" s="8">
        <v>1504.63</v>
      </c>
      <c r="J1238" s="8">
        <v>1229.4480000000001</v>
      </c>
      <c r="K1238" s="8">
        <v>1066.348</v>
      </c>
      <c r="L1238" s="8">
        <v>890.88699999999994</v>
      </c>
      <c r="M1238" s="8">
        <v>745.21799999999996</v>
      </c>
      <c r="N1238" s="8">
        <v>497.3</v>
      </c>
      <c r="O1238" s="8">
        <v>409.07100000000003</v>
      </c>
      <c r="P1238" s="8">
        <v>375.81400000000002</v>
      </c>
      <c r="Q1238" s="8">
        <v>338.86</v>
      </c>
      <c r="R1238" s="8">
        <v>284.47500000000002</v>
      </c>
      <c r="S1238" s="8">
        <v>217.386</v>
      </c>
      <c r="T1238" s="8">
        <v>203.76599999999999</v>
      </c>
      <c r="U1238" s="8">
        <v>166.69499999999999</v>
      </c>
      <c r="V1238" s="8">
        <v>145.65700000000001</v>
      </c>
      <c r="W1238" s="8">
        <v>89.379000000000005</v>
      </c>
      <c r="X1238" s="8">
        <v>61.594999999999999</v>
      </c>
      <c r="Y1238" s="8">
        <v>19.207999999999998</v>
      </c>
      <c r="Z1238" s="8">
        <v>5.8070000000000004</v>
      </c>
      <c r="AA1238" s="8">
        <v>0.86299999999999999</v>
      </c>
      <c r="AB1238" s="8">
        <v>7.9000000000000001E-2</v>
      </c>
      <c r="AC1238" s="8">
        <v>3.0000000000000001E-3</v>
      </c>
    </row>
    <row r="1239" spans="1:29" ht="11.65" hidden="1" x14ac:dyDescent="0.35">
      <c r="A1239" s="12">
        <v>1222</v>
      </c>
      <c r="B1239" s="10" t="s">
        <v>1015</v>
      </c>
      <c r="C1239" s="11" t="s">
        <v>1105</v>
      </c>
      <c r="D1239" s="9"/>
      <c r="E1239" s="9">
        <v>12</v>
      </c>
      <c r="F1239" s="10" t="s">
        <v>1066</v>
      </c>
      <c r="G1239" s="9">
        <v>912</v>
      </c>
      <c r="H1239" s="9">
        <v>1980</v>
      </c>
      <c r="I1239" s="8">
        <v>1717.0809999999999</v>
      </c>
      <c r="J1239" s="8">
        <v>1428.5029999999999</v>
      </c>
      <c r="K1239" s="8">
        <v>1209.5920000000001</v>
      </c>
      <c r="L1239" s="8">
        <v>1042.576</v>
      </c>
      <c r="M1239" s="8">
        <v>858.68399999999997</v>
      </c>
      <c r="N1239" s="8">
        <v>712.00800000000004</v>
      </c>
      <c r="O1239" s="8">
        <v>472.27100000000002</v>
      </c>
      <c r="P1239" s="8">
        <v>390.303</v>
      </c>
      <c r="Q1239" s="8">
        <v>361.03100000000001</v>
      </c>
      <c r="R1239" s="8">
        <v>324.072</v>
      </c>
      <c r="S1239" s="8">
        <v>269.06900000000002</v>
      </c>
      <c r="T1239" s="8">
        <v>203.971</v>
      </c>
      <c r="U1239" s="8">
        <v>187.31800000000001</v>
      </c>
      <c r="V1239" s="8">
        <v>145.197</v>
      </c>
      <c r="W1239" s="8">
        <v>115.83</v>
      </c>
      <c r="X1239" s="8">
        <v>60.973999999999997</v>
      </c>
      <c r="Y1239" s="8">
        <v>32.686</v>
      </c>
      <c r="Z1239" s="8">
        <v>7</v>
      </c>
      <c r="AA1239" s="8">
        <v>1.266</v>
      </c>
      <c r="AB1239" s="8">
        <v>0.104</v>
      </c>
      <c r="AC1239" s="8">
        <v>5.0000000000000001E-3</v>
      </c>
    </row>
    <row r="1240" spans="1:29" ht="11.65" hidden="1" x14ac:dyDescent="0.35">
      <c r="A1240" s="12">
        <v>1223</v>
      </c>
      <c r="B1240" s="10" t="s">
        <v>1015</v>
      </c>
      <c r="C1240" s="11" t="s">
        <v>1105</v>
      </c>
      <c r="D1240" s="9"/>
      <c r="E1240" s="9">
        <v>12</v>
      </c>
      <c r="F1240" s="10" t="s">
        <v>1066</v>
      </c>
      <c r="G1240" s="9">
        <v>912</v>
      </c>
      <c r="H1240" s="9">
        <v>1985</v>
      </c>
      <c r="I1240" s="8">
        <v>1896.2190000000001</v>
      </c>
      <c r="J1240" s="8">
        <v>1671.6590000000001</v>
      </c>
      <c r="K1240" s="8">
        <v>1417.557</v>
      </c>
      <c r="L1240" s="8">
        <v>1200.509</v>
      </c>
      <c r="M1240" s="8">
        <v>1024.7660000000001</v>
      </c>
      <c r="N1240" s="8">
        <v>834.04600000000005</v>
      </c>
      <c r="O1240" s="8">
        <v>694.25300000000004</v>
      </c>
      <c r="P1240" s="8">
        <v>462.88</v>
      </c>
      <c r="Q1240" s="8">
        <v>380.94299999999998</v>
      </c>
      <c r="R1240" s="8">
        <v>351.036</v>
      </c>
      <c r="S1240" s="8">
        <v>312.88200000000001</v>
      </c>
      <c r="T1240" s="8">
        <v>257.13200000000001</v>
      </c>
      <c r="U1240" s="8">
        <v>190.86099999999999</v>
      </c>
      <c r="V1240" s="8">
        <v>167.369</v>
      </c>
      <c r="W1240" s="8">
        <v>119.886</v>
      </c>
      <c r="X1240" s="8">
        <v>83.200999999999993</v>
      </c>
      <c r="Y1240" s="8">
        <v>34.802999999999997</v>
      </c>
      <c r="Z1240" s="8">
        <v>12.962</v>
      </c>
      <c r="AA1240" s="8">
        <v>1.6850000000000001</v>
      </c>
      <c r="AB1240" s="8">
        <v>0.16600000000000001</v>
      </c>
      <c r="AC1240" s="8">
        <v>7.0000000000000001E-3</v>
      </c>
    </row>
    <row r="1241" spans="1:29" ht="11.65" hidden="1" x14ac:dyDescent="0.35">
      <c r="A1241" s="12">
        <v>1224</v>
      </c>
      <c r="B1241" s="10" t="s">
        <v>1015</v>
      </c>
      <c r="C1241" s="11" t="s">
        <v>1105</v>
      </c>
      <c r="D1241" s="9"/>
      <c r="E1241" s="9">
        <v>12</v>
      </c>
      <c r="F1241" s="10" t="s">
        <v>1066</v>
      </c>
      <c r="G1241" s="9">
        <v>912</v>
      </c>
      <c r="H1241" s="9">
        <v>1990</v>
      </c>
      <c r="I1241" s="8">
        <v>1942.453</v>
      </c>
      <c r="J1241" s="8">
        <v>1863.616</v>
      </c>
      <c r="K1241" s="8">
        <v>1660.376</v>
      </c>
      <c r="L1241" s="8">
        <v>1408.3</v>
      </c>
      <c r="M1241" s="8">
        <v>1188.893</v>
      </c>
      <c r="N1241" s="8">
        <v>1005.956</v>
      </c>
      <c r="O1241" s="8">
        <v>808.52499999999998</v>
      </c>
      <c r="P1241" s="8">
        <v>672.423</v>
      </c>
      <c r="Q1241" s="8">
        <v>449.392</v>
      </c>
      <c r="R1241" s="8">
        <v>369.57600000000002</v>
      </c>
      <c r="S1241" s="8">
        <v>339.51499999999999</v>
      </c>
      <c r="T1241" s="8">
        <v>300.43</v>
      </c>
      <c r="U1241" s="8">
        <v>242.62899999999999</v>
      </c>
      <c r="V1241" s="8">
        <v>172.989</v>
      </c>
      <c r="W1241" s="8">
        <v>141.01</v>
      </c>
      <c r="X1241" s="8">
        <v>88.825999999999993</v>
      </c>
      <c r="Y1241" s="8">
        <v>49.415999999999997</v>
      </c>
      <c r="Z1241" s="8">
        <v>14.602</v>
      </c>
      <c r="AA1241" s="8">
        <v>3.3319999999999999</v>
      </c>
      <c r="AB1241" s="8">
        <v>0.23599999999999999</v>
      </c>
      <c r="AC1241" s="8">
        <v>1.2E-2</v>
      </c>
    </row>
    <row r="1242" spans="1:29" ht="11.65" hidden="1" x14ac:dyDescent="0.35">
      <c r="A1242" s="12">
        <v>1225</v>
      </c>
      <c r="B1242" s="10" t="s">
        <v>1015</v>
      </c>
      <c r="C1242" s="11" t="s">
        <v>1105</v>
      </c>
      <c r="D1242" s="9"/>
      <c r="E1242" s="9">
        <v>12</v>
      </c>
      <c r="F1242" s="10" t="s">
        <v>1066</v>
      </c>
      <c r="G1242" s="9">
        <v>912</v>
      </c>
      <c r="H1242" s="9">
        <v>1995</v>
      </c>
      <c r="I1242" s="8">
        <v>1826.66</v>
      </c>
      <c r="J1242" s="8">
        <v>1917.0619999999999</v>
      </c>
      <c r="K1242" s="8">
        <v>1852.2570000000001</v>
      </c>
      <c r="L1242" s="8">
        <v>1651.1969999999999</v>
      </c>
      <c r="M1242" s="8">
        <v>1396.671</v>
      </c>
      <c r="N1242" s="8">
        <v>1170.0429999999999</v>
      </c>
      <c r="O1242" s="8">
        <v>979.96600000000001</v>
      </c>
      <c r="P1242" s="8">
        <v>786.37900000000002</v>
      </c>
      <c r="Q1242" s="8">
        <v>656.70600000000002</v>
      </c>
      <c r="R1242" s="8">
        <v>437.25900000000001</v>
      </c>
      <c r="S1242" s="8">
        <v>358.077</v>
      </c>
      <c r="T1242" s="8">
        <v>326.54300000000001</v>
      </c>
      <c r="U1242" s="8">
        <v>283.93299999999999</v>
      </c>
      <c r="V1242" s="8">
        <v>220.45099999999999</v>
      </c>
      <c r="W1242" s="8">
        <v>146.536</v>
      </c>
      <c r="X1242" s="8">
        <v>105.328</v>
      </c>
      <c r="Y1242" s="8">
        <v>53.576999999999998</v>
      </c>
      <c r="Z1242" s="8">
        <v>21.141999999999999</v>
      </c>
      <c r="AA1242" s="8">
        <v>3.8660000000000001</v>
      </c>
      <c r="AB1242" s="8">
        <v>0.48199999999999998</v>
      </c>
      <c r="AC1242" s="8">
        <v>1.7999999999999999E-2</v>
      </c>
    </row>
    <row r="1243" spans="1:29" ht="11.65" hidden="1" x14ac:dyDescent="0.35">
      <c r="A1243" s="12">
        <v>1226</v>
      </c>
      <c r="B1243" s="10" t="s">
        <v>1015</v>
      </c>
      <c r="C1243" s="11" t="s">
        <v>1105</v>
      </c>
      <c r="D1243" s="9"/>
      <c r="E1243" s="9">
        <v>12</v>
      </c>
      <c r="F1243" s="10" t="s">
        <v>1066</v>
      </c>
      <c r="G1243" s="9">
        <v>912</v>
      </c>
      <c r="H1243" s="9">
        <v>2000</v>
      </c>
      <c r="I1243" s="8">
        <v>1508.7190000000001</v>
      </c>
      <c r="J1243" s="8">
        <v>1805.0989999999999</v>
      </c>
      <c r="K1243" s="8">
        <v>1906.2750000000001</v>
      </c>
      <c r="L1243" s="8">
        <v>1843.1849999999999</v>
      </c>
      <c r="M1243" s="8">
        <v>1624.5730000000001</v>
      </c>
      <c r="N1243" s="8">
        <v>1347.9390000000001</v>
      </c>
      <c r="O1243" s="8">
        <v>1125.123</v>
      </c>
      <c r="P1243" s="8">
        <v>949.21500000000003</v>
      </c>
      <c r="Q1243" s="8">
        <v>763.73599999999999</v>
      </c>
      <c r="R1243" s="8">
        <v>638.73800000000006</v>
      </c>
      <c r="S1243" s="8">
        <v>424.39100000000002</v>
      </c>
      <c r="T1243" s="8">
        <v>352.72899999999998</v>
      </c>
      <c r="U1243" s="8">
        <v>326.94</v>
      </c>
      <c r="V1243" s="8">
        <v>276.12400000000002</v>
      </c>
      <c r="W1243" s="8">
        <v>198.279</v>
      </c>
      <c r="X1243" s="8">
        <v>116.744</v>
      </c>
      <c r="Y1243" s="8">
        <v>70.152000000000001</v>
      </c>
      <c r="Z1243" s="8">
        <v>25.992999999999999</v>
      </c>
      <c r="AA1243" s="8">
        <v>6.4429999999999996</v>
      </c>
      <c r="AB1243" s="8">
        <v>0.69799999999999995</v>
      </c>
      <c r="AC1243" s="8">
        <v>4.3999999999999997E-2</v>
      </c>
    </row>
    <row r="1244" spans="1:29" ht="11.65" hidden="1" x14ac:dyDescent="0.35">
      <c r="A1244" s="12">
        <v>1227</v>
      </c>
      <c r="B1244" s="10" t="s">
        <v>1015</v>
      </c>
      <c r="C1244" s="11" t="s">
        <v>1105</v>
      </c>
      <c r="D1244" s="9"/>
      <c r="E1244" s="9">
        <v>12</v>
      </c>
      <c r="F1244" s="10" t="s">
        <v>1066</v>
      </c>
      <c r="G1244" s="9">
        <v>912</v>
      </c>
      <c r="H1244" s="9">
        <v>2005</v>
      </c>
      <c r="I1244" s="8">
        <v>1448.491</v>
      </c>
      <c r="J1244" s="8">
        <v>1492.318</v>
      </c>
      <c r="K1244" s="8">
        <v>1795.4649999999999</v>
      </c>
      <c r="L1244" s="8">
        <v>1898.1410000000001</v>
      </c>
      <c r="M1244" s="8">
        <v>1832.662</v>
      </c>
      <c r="N1244" s="8">
        <v>1591.606</v>
      </c>
      <c r="O1244" s="8">
        <v>1302.6579999999999</v>
      </c>
      <c r="P1244" s="8">
        <v>1096.7339999999999</v>
      </c>
      <c r="Q1244" s="8">
        <v>930.60500000000002</v>
      </c>
      <c r="R1244" s="8">
        <v>745.23699999999997</v>
      </c>
      <c r="S1244" s="8">
        <v>621.13699999999994</v>
      </c>
      <c r="T1244" s="8">
        <v>418.55900000000003</v>
      </c>
      <c r="U1244" s="8">
        <v>354.17399999999998</v>
      </c>
      <c r="V1244" s="8">
        <v>319.45800000000003</v>
      </c>
      <c r="W1244" s="8">
        <v>249.2</v>
      </c>
      <c r="X1244" s="8">
        <v>159.125</v>
      </c>
      <c r="Y1244" s="8">
        <v>79.849000000000004</v>
      </c>
      <c r="Z1244" s="8">
        <v>37.063000000000002</v>
      </c>
      <c r="AA1244" s="8">
        <v>9.5839999999999996</v>
      </c>
      <c r="AB1244" s="8">
        <v>1.5309999999999999</v>
      </c>
      <c r="AC1244" s="8">
        <v>9.6000000000000002E-2</v>
      </c>
    </row>
    <row r="1245" spans="1:29" ht="11.65" hidden="1" x14ac:dyDescent="0.35">
      <c r="A1245" s="12">
        <v>1228</v>
      </c>
      <c r="B1245" s="10" t="s">
        <v>1015</v>
      </c>
      <c r="C1245" s="11" t="s">
        <v>1105</v>
      </c>
      <c r="D1245" s="9"/>
      <c r="E1245" s="9">
        <v>12</v>
      </c>
      <c r="F1245" s="10" t="s">
        <v>1066</v>
      </c>
      <c r="G1245" s="9">
        <v>912</v>
      </c>
      <c r="H1245" s="9">
        <v>2010</v>
      </c>
      <c r="I1245" s="8">
        <v>1885.8689999999999</v>
      </c>
      <c r="J1245" s="8">
        <v>1434.9939999999999</v>
      </c>
      <c r="K1245" s="8">
        <v>1484.432</v>
      </c>
      <c r="L1245" s="8">
        <v>1788.153</v>
      </c>
      <c r="M1245" s="8">
        <v>1886.3720000000001</v>
      </c>
      <c r="N1245" s="8">
        <v>1801.0989999999999</v>
      </c>
      <c r="O1245" s="8">
        <v>1533.2149999999999</v>
      </c>
      <c r="P1245" s="8">
        <v>1250.5909999999999</v>
      </c>
      <c r="Q1245" s="8">
        <v>1067.8420000000001</v>
      </c>
      <c r="R1245" s="8">
        <v>907.51800000000003</v>
      </c>
      <c r="S1245" s="8">
        <v>722.58600000000001</v>
      </c>
      <c r="T1245" s="8">
        <v>608.78800000000001</v>
      </c>
      <c r="U1245" s="8">
        <v>419.846</v>
      </c>
      <c r="V1245" s="8">
        <v>349.01100000000002</v>
      </c>
      <c r="W1245" s="8">
        <v>293.738</v>
      </c>
      <c r="X1245" s="8">
        <v>207.624</v>
      </c>
      <c r="Y1245" s="8">
        <v>113.923</v>
      </c>
      <c r="Z1245" s="8">
        <v>43.889000000000003</v>
      </c>
      <c r="AA1245" s="8">
        <v>14.103999999999999</v>
      </c>
      <c r="AB1245" s="8">
        <v>2.2959999999999998</v>
      </c>
      <c r="AC1245" s="8">
        <v>0.20100000000000001</v>
      </c>
    </row>
    <row r="1246" spans="1:29" ht="11.65" hidden="1" x14ac:dyDescent="0.35">
      <c r="A1246" s="12">
        <v>1229</v>
      </c>
      <c r="B1246" s="10" t="s">
        <v>1015</v>
      </c>
      <c r="C1246" s="11" t="s">
        <v>1105</v>
      </c>
      <c r="D1246" s="9"/>
      <c r="E1246" s="9">
        <v>12</v>
      </c>
      <c r="F1246" s="10" t="s">
        <v>1066</v>
      </c>
      <c r="G1246" s="9">
        <v>912</v>
      </c>
      <c r="H1246" s="9">
        <v>2015</v>
      </c>
      <c r="I1246" s="8">
        <v>2276.9479999999999</v>
      </c>
      <c r="J1246" s="8">
        <v>1876.0909999999999</v>
      </c>
      <c r="K1246" s="8">
        <v>1430.2439999999999</v>
      </c>
      <c r="L1246" s="8">
        <v>1476.1980000000001</v>
      </c>
      <c r="M1246" s="8">
        <v>1771.7070000000001</v>
      </c>
      <c r="N1246" s="8">
        <v>1861.09</v>
      </c>
      <c r="O1246" s="8">
        <v>1776.88</v>
      </c>
      <c r="P1246" s="8">
        <v>1516.0419999999999</v>
      </c>
      <c r="Q1246" s="8">
        <v>1234.867</v>
      </c>
      <c r="R1246" s="8">
        <v>1051.924</v>
      </c>
      <c r="S1246" s="8">
        <v>890.26400000000001</v>
      </c>
      <c r="T1246" s="8">
        <v>708.04399999999998</v>
      </c>
      <c r="U1246" s="8">
        <v>591.024</v>
      </c>
      <c r="V1246" s="8">
        <v>397.56299999999999</v>
      </c>
      <c r="W1246" s="8">
        <v>318.19499999999999</v>
      </c>
      <c r="X1246" s="8">
        <v>248.631</v>
      </c>
      <c r="Y1246" s="8">
        <v>152.345</v>
      </c>
      <c r="Z1246" s="8">
        <v>65.168999999999997</v>
      </c>
      <c r="AA1246" s="8">
        <v>17.233000000000001</v>
      </c>
      <c r="AB1246" s="8">
        <v>3.3809999999999998</v>
      </c>
      <c r="AC1246" s="8">
        <v>0.28899999999999998</v>
      </c>
    </row>
    <row r="1247" spans="1:29" ht="11.65" hidden="1" x14ac:dyDescent="0.35">
      <c r="A1247" s="12">
        <v>1230</v>
      </c>
      <c r="B1247" s="10" t="s">
        <v>1015</v>
      </c>
      <c r="C1247" s="11" t="s">
        <v>1105</v>
      </c>
      <c r="D1247" s="9"/>
      <c r="E1247" s="9">
        <v>12</v>
      </c>
      <c r="F1247" s="10" t="s">
        <v>1066</v>
      </c>
      <c r="G1247" s="9">
        <v>912</v>
      </c>
      <c r="H1247" s="9">
        <v>2020</v>
      </c>
      <c r="I1247" s="8">
        <v>2467.4560000000001</v>
      </c>
      <c r="J1247" s="8">
        <v>2269.335</v>
      </c>
      <c r="K1247" s="8">
        <v>1872.1089999999999</v>
      </c>
      <c r="L1247" s="8">
        <v>1425.8630000000001</v>
      </c>
      <c r="M1247" s="8">
        <v>1468.8119999999999</v>
      </c>
      <c r="N1247" s="8">
        <v>1761.867</v>
      </c>
      <c r="O1247" s="8">
        <v>1850.1990000000001</v>
      </c>
      <c r="P1247" s="8">
        <v>1764.741</v>
      </c>
      <c r="Q1247" s="8">
        <v>1502.809</v>
      </c>
      <c r="R1247" s="8">
        <v>1220.4949999999999</v>
      </c>
      <c r="S1247" s="8">
        <v>1035.144</v>
      </c>
      <c r="T1247" s="8">
        <v>870.26900000000001</v>
      </c>
      <c r="U1247" s="8">
        <v>684.03499999999997</v>
      </c>
      <c r="V1247" s="8">
        <v>560.16</v>
      </c>
      <c r="W1247" s="8">
        <v>364.221</v>
      </c>
      <c r="X1247" s="8">
        <v>272.08300000000003</v>
      </c>
      <c r="Y1247" s="8">
        <v>185.84399999999999</v>
      </c>
      <c r="Z1247" s="8">
        <v>90.055000000000007</v>
      </c>
      <c r="AA1247" s="8">
        <v>26.899000000000001</v>
      </c>
      <c r="AB1247" s="8">
        <v>4.3869999999999996</v>
      </c>
      <c r="AC1247" s="8">
        <v>0.45200000000000001</v>
      </c>
    </row>
    <row r="1248" spans="1:29" ht="11.65" hidden="1" x14ac:dyDescent="0.35">
      <c r="A1248" s="12">
        <v>1231</v>
      </c>
      <c r="B1248" s="10" t="s">
        <v>1015</v>
      </c>
      <c r="C1248" s="11" t="s">
        <v>1106</v>
      </c>
      <c r="D1248" s="9"/>
      <c r="E1248" s="9">
        <v>818</v>
      </c>
      <c r="F1248" s="10" t="s">
        <v>1066</v>
      </c>
      <c r="G1248" s="9">
        <v>912</v>
      </c>
      <c r="H1248" s="9">
        <v>1950</v>
      </c>
      <c r="I1248" s="8">
        <v>1747.79</v>
      </c>
      <c r="J1248" s="8">
        <v>1065.5429999999999</v>
      </c>
      <c r="K1248" s="8">
        <v>1017.7859999999999</v>
      </c>
      <c r="L1248" s="8">
        <v>1008.039</v>
      </c>
      <c r="M1248" s="8">
        <v>918.51199999999994</v>
      </c>
      <c r="N1248" s="8">
        <v>812.98299999999995</v>
      </c>
      <c r="O1248" s="8">
        <v>702.51099999999997</v>
      </c>
      <c r="P1248" s="8">
        <v>605.9</v>
      </c>
      <c r="Q1248" s="8">
        <v>526.19899999999996</v>
      </c>
      <c r="R1248" s="8">
        <v>441.30900000000003</v>
      </c>
      <c r="S1248" s="8">
        <v>361.88499999999999</v>
      </c>
      <c r="T1248" s="8">
        <v>301.31299999999999</v>
      </c>
      <c r="U1248" s="8">
        <v>234.477</v>
      </c>
      <c r="V1248" s="8">
        <v>162.27600000000001</v>
      </c>
      <c r="W1248" s="8">
        <v>99.984999999999999</v>
      </c>
      <c r="X1248" s="8">
        <v>45.207000000000001</v>
      </c>
      <c r="Y1248" s="8">
        <v>11.794</v>
      </c>
      <c r="Z1248" s="8">
        <v>5.0659999999999998</v>
      </c>
      <c r="AA1248" s="8">
        <v>1.411</v>
      </c>
      <c r="AB1248" s="8">
        <v>0.224</v>
      </c>
      <c r="AC1248" s="8">
        <v>1.7999999999999999E-2</v>
      </c>
    </row>
    <row r="1249" spans="1:29" ht="11.65" hidden="1" x14ac:dyDescent="0.35">
      <c r="A1249" s="12">
        <v>1232</v>
      </c>
      <c r="B1249" s="10" t="s">
        <v>1015</v>
      </c>
      <c r="C1249" s="11" t="s">
        <v>1106</v>
      </c>
      <c r="D1249" s="9"/>
      <c r="E1249" s="9">
        <v>818</v>
      </c>
      <c r="F1249" s="10" t="s">
        <v>1066</v>
      </c>
      <c r="G1249" s="9">
        <v>912</v>
      </c>
      <c r="H1249" s="9">
        <v>1955</v>
      </c>
      <c r="I1249" s="8">
        <v>1862.1559999999999</v>
      </c>
      <c r="J1249" s="8">
        <v>1508.3689999999999</v>
      </c>
      <c r="K1249" s="8">
        <v>1051.5409999999999</v>
      </c>
      <c r="L1249" s="8">
        <v>1005.147</v>
      </c>
      <c r="M1249" s="8">
        <v>993.48500000000001</v>
      </c>
      <c r="N1249" s="8">
        <v>903.91300000000001</v>
      </c>
      <c r="O1249" s="8">
        <v>798.30600000000004</v>
      </c>
      <c r="P1249" s="8">
        <v>688.048</v>
      </c>
      <c r="Q1249" s="8">
        <v>592.44399999999996</v>
      </c>
      <c r="R1249" s="8">
        <v>513.76599999999996</v>
      </c>
      <c r="S1249" s="8">
        <v>426.392</v>
      </c>
      <c r="T1249" s="8">
        <v>344.02499999999998</v>
      </c>
      <c r="U1249" s="8">
        <v>279.64999999999998</v>
      </c>
      <c r="V1249" s="8">
        <v>208.27</v>
      </c>
      <c r="W1249" s="8">
        <v>133.27000000000001</v>
      </c>
      <c r="X1249" s="8">
        <v>71.783000000000001</v>
      </c>
      <c r="Y1249" s="8">
        <v>26.384</v>
      </c>
      <c r="Z1249" s="8">
        <v>5.0670000000000002</v>
      </c>
      <c r="AA1249" s="8">
        <v>1.411</v>
      </c>
      <c r="AB1249" s="8">
        <v>0.224</v>
      </c>
      <c r="AC1249" s="8">
        <v>1.7999999999999999E-2</v>
      </c>
    </row>
    <row r="1250" spans="1:29" ht="11.65" hidden="1" x14ac:dyDescent="0.35">
      <c r="A1250" s="12">
        <v>1233</v>
      </c>
      <c r="B1250" s="10" t="s">
        <v>1015</v>
      </c>
      <c r="C1250" s="11" t="s">
        <v>1106</v>
      </c>
      <c r="D1250" s="9"/>
      <c r="E1250" s="9">
        <v>818</v>
      </c>
      <c r="F1250" s="10" t="s">
        <v>1066</v>
      </c>
      <c r="G1250" s="9">
        <v>912</v>
      </c>
      <c r="H1250" s="9">
        <v>1960</v>
      </c>
      <c r="I1250" s="8">
        <v>2186.5569999999998</v>
      </c>
      <c r="J1250" s="8">
        <v>1672.384</v>
      </c>
      <c r="K1250" s="8">
        <v>1491.616</v>
      </c>
      <c r="L1250" s="8">
        <v>1040.249</v>
      </c>
      <c r="M1250" s="8">
        <v>992.09400000000005</v>
      </c>
      <c r="N1250" s="8">
        <v>979.16700000000003</v>
      </c>
      <c r="O1250" s="8">
        <v>889.06200000000001</v>
      </c>
      <c r="P1250" s="8">
        <v>783.33900000000006</v>
      </c>
      <c r="Q1250" s="8">
        <v>674.00699999999995</v>
      </c>
      <c r="R1250" s="8">
        <v>579.077</v>
      </c>
      <c r="S1250" s="8">
        <v>496.80200000000002</v>
      </c>
      <c r="T1250" s="8">
        <v>405.65699999999998</v>
      </c>
      <c r="U1250" s="8">
        <v>319.71800000000002</v>
      </c>
      <c r="V1250" s="8">
        <v>248.81100000000001</v>
      </c>
      <c r="W1250" s="8">
        <v>171.53700000000001</v>
      </c>
      <c r="X1250" s="8">
        <v>96.415999999999997</v>
      </c>
      <c r="Y1250" s="8">
        <v>42.423999999999999</v>
      </c>
      <c r="Z1250" s="8">
        <v>11.457000000000001</v>
      </c>
      <c r="AA1250" s="8">
        <v>1.421</v>
      </c>
      <c r="AB1250" s="8">
        <v>0.22800000000000001</v>
      </c>
      <c r="AC1250" s="8">
        <v>1.7999999999999999E-2</v>
      </c>
    </row>
    <row r="1251" spans="1:29" ht="11.65" hidden="1" x14ac:dyDescent="0.35">
      <c r="A1251" s="12">
        <v>1234</v>
      </c>
      <c r="B1251" s="10" t="s">
        <v>1015</v>
      </c>
      <c r="C1251" s="11" t="s">
        <v>1106</v>
      </c>
      <c r="D1251" s="9"/>
      <c r="E1251" s="9">
        <v>818</v>
      </c>
      <c r="F1251" s="10" t="s">
        <v>1066</v>
      </c>
      <c r="G1251" s="9">
        <v>912</v>
      </c>
      <c r="H1251" s="9">
        <v>1965</v>
      </c>
      <c r="I1251" s="8">
        <v>2429.37</v>
      </c>
      <c r="J1251" s="8">
        <v>2004.0119999999999</v>
      </c>
      <c r="K1251" s="8">
        <v>1656.568</v>
      </c>
      <c r="L1251" s="8">
        <v>1478.171</v>
      </c>
      <c r="M1251" s="8">
        <v>1028.1669999999999</v>
      </c>
      <c r="N1251" s="8">
        <v>978.88099999999997</v>
      </c>
      <c r="O1251" s="8">
        <v>964.46100000000001</v>
      </c>
      <c r="P1251" s="8">
        <v>873.83799999999997</v>
      </c>
      <c r="Q1251" s="8">
        <v>768.65700000000004</v>
      </c>
      <c r="R1251" s="8">
        <v>659.48099999999999</v>
      </c>
      <c r="S1251" s="8">
        <v>560.46100000000001</v>
      </c>
      <c r="T1251" s="8">
        <v>473.07299999999998</v>
      </c>
      <c r="U1251" s="8">
        <v>377.5</v>
      </c>
      <c r="V1251" s="8">
        <v>284.589</v>
      </c>
      <c r="W1251" s="8">
        <v>205.715</v>
      </c>
      <c r="X1251" s="8">
        <v>124.84399999999999</v>
      </c>
      <c r="Y1251" s="8">
        <v>57.115000000000002</v>
      </c>
      <c r="Z1251" s="8">
        <v>18.355</v>
      </c>
      <c r="AA1251" s="8">
        <v>3.2189999999999999</v>
      </c>
      <c r="AB1251" s="8">
        <v>0.223</v>
      </c>
      <c r="AC1251" s="8">
        <v>1.7999999999999999E-2</v>
      </c>
    </row>
    <row r="1252" spans="1:29" ht="11.65" hidden="1" x14ac:dyDescent="0.35">
      <c r="A1252" s="12">
        <v>1235</v>
      </c>
      <c r="B1252" s="10" t="s">
        <v>1015</v>
      </c>
      <c r="C1252" s="11" t="s">
        <v>1106</v>
      </c>
      <c r="D1252" s="9"/>
      <c r="E1252" s="9">
        <v>818</v>
      </c>
      <c r="F1252" s="10" t="s">
        <v>1066</v>
      </c>
      <c r="G1252" s="9">
        <v>912</v>
      </c>
      <c r="H1252" s="9">
        <v>1970</v>
      </c>
      <c r="I1252" s="8">
        <v>2704.6210000000001</v>
      </c>
      <c r="J1252" s="8">
        <v>2255.4789999999998</v>
      </c>
      <c r="K1252" s="8">
        <v>1986.3889999999999</v>
      </c>
      <c r="L1252" s="8">
        <v>1639.2619999999999</v>
      </c>
      <c r="M1252" s="8">
        <v>1453.4390000000001</v>
      </c>
      <c r="N1252" s="8">
        <v>1002.9690000000001</v>
      </c>
      <c r="O1252" s="8">
        <v>954.74300000000005</v>
      </c>
      <c r="P1252" s="8">
        <v>941.99400000000003</v>
      </c>
      <c r="Q1252" s="8">
        <v>853.90899999999999</v>
      </c>
      <c r="R1252" s="8">
        <v>749.66099999999994</v>
      </c>
      <c r="S1252" s="8">
        <v>636.63400000000001</v>
      </c>
      <c r="T1252" s="8">
        <v>533.18799999999999</v>
      </c>
      <c r="U1252" s="8">
        <v>440.8</v>
      </c>
      <c r="V1252" s="8">
        <v>336.67099999999999</v>
      </c>
      <c r="W1252" s="8">
        <v>235.53</v>
      </c>
      <c r="X1252" s="8">
        <v>150.15899999999999</v>
      </c>
      <c r="Y1252" s="8">
        <v>75.477000000000004</v>
      </c>
      <c r="Z1252" s="8">
        <v>26.027999999999999</v>
      </c>
      <c r="AA1252" s="8">
        <v>5.5140000000000002</v>
      </c>
      <c r="AB1252" s="8">
        <v>0.55500000000000005</v>
      </c>
      <c r="AC1252" s="8">
        <v>2.1000000000000001E-2</v>
      </c>
    </row>
    <row r="1253" spans="1:29" ht="11.65" hidden="1" x14ac:dyDescent="0.35">
      <c r="A1253" s="12">
        <v>1236</v>
      </c>
      <c r="B1253" s="10" t="s">
        <v>1015</v>
      </c>
      <c r="C1253" s="11" t="s">
        <v>1106</v>
      </c>
      <c r="D1253" s="9"/>
      <c r="E1253" s="9">
        <v>818</v>
      </c>
      <c r="F1253" s="10" t="s">
        <v>1066</v>
      </c>
      <c r="G1253" s="9">
        <v>912</v>
      </c>
      <c r="H1253" s="9">
        <v>1975</v>
      </c>
      <c r="I1253" s="8">
        <v>2892.0439999999999</v>
      </c>
      <c r="J1253" s="8">
        <v>2528.0549999999998</v>
      </c>
      <c r="K1253" s="8">
        <v>2235.94</v>
      </c>
      <c r="L1253" s="8">
        <v>1934.1079999999999</v>
      </c>
      <c r="M1253" s="8">
        <v>1518.807</v>
      </c>
      <c r="N1253" s="8">
        <v>1366.5940000000001</v>
      </c>
      <c r="O1253" s="8">
        <v>993.31700000000001</v>
      </c>
      <c r="P1253" s="8">
        <v>953.96299999999997</v>
      </c>
      <c r="Q1253" s="8">
        <v>939.43700000000001</v>
      </c>
      <c r="R1253" s="8">
        <v>847.99400000000003</v>
      </c>
      <c r="S1253" s="8">
        <v>731.33199999999999</v>
      </c>
      <c r="T1253" s="8">
        <v>604.005</v>
      </c>
      <c r="U1253" s="8">
        <v>492.82900000000001</v>
      </c>
      <c r="V1253" s="8">
        <v>391.80399999999997</v>
      </c>
      <c r="W1253" s="8">
        <v>278.15100000000001</v>
      </c>
      <c r="X1253" s="8">
        <v>170.90600000000001</v>
      </c>
      <c r="Y1253" s="8">
        <v>90.518000000000001</v>
      </c>
      <c r="Z1253" s="8">
        <v>34.427</v>
      </c>
      <c r="AA1253" s="8">
        <v>7.9260000000000002</v>
      </c>
      <c r="AB1253" s="8">
        <v>0.97299999999999998</v>
      </c>
      <c r="AC1253" s="8">
        <v>5.0999999999999997E-2</v>
      </c>
    </row>
    <row r="1254" spans="1:29" ht="11.65" hidden="1" x14ac:dyDescent="0.35">
      <c r="A1254" s="12">
        <v>1237</v>
      </c>
      <c r="B1254" s="10" t="s">
        <v>1015</v>
      </c>
      <c r="C1254" s="11" t="s">
        <v>1106</v>
      </c>
      <c r="D1254" s="9"/>
      <c r="E1254" s="9">
        <v>818</v>
      </c>
      <c r="F1254" s="10" t="s">
        <v>1066</v>
      </c>
      <c r="G1254" s="9">
        <v>912</v>
      </c>
      <c r="H1254" s="9">
        <v>1980</v>
      </c>
      <c r="I1254" s="8">
        <v>3294.9319999999998</v>
      </c>
      <c r="J1254" s="8">
        <v>2756.4520000000002</v>
      </c>
      <c r="K1254" s="8">
        <v>2509.7620000000002</v>
      </c>
      <c r="L1254" s="8">
        <v>2203.1170000000002</v>
      </c>
      <c r="M1254" s="8">
        <v>1816.9269999999999</v>
      </c>
      <c r="N1254" s="8">
        <v>1408.038</v>
      </c>
      <c r="O1254" s="8">
        <v>1342.4159999999999</v>
      </c>
      <c r="P1254" s="8">
        <v>992.47699999999998</v>
      </c>
      <c r="Q1254" s="8">
        <v>958.98900000000003</v>
      </c>
      <c r="R1254" s="8">
        <v>933.93700000000001</v>
      </c>
      <c r="S1254" s="8">
        <v>822.92</v>
      </c>
      <c r="T1254" s="8">
        <v>691.70600000000002</v>
      </c>
      <c r="U1254" s="8">
        <v>557.40099999999995</v>
      </c>
      <c r="V1254" s="8">
        <v>438.11099999999999</v>
      </c>
      <c r="W1254" s="8">
        <v>324.15300000000002</v>
      </c>
      <c r="X1254" s="8">
        <v>202.22800000000001</v>
      </c>
      <c r="Y1254" s="8">
        <v>103.669</v>
      </c>
      <c r="Z1254" s="8">
        <v>41.732999999999997</v>
      </c>
      <c r="AA1254" s="8">
        <v>10.558</v>
      </c>
      <c r="AB1254" s="8">
        <v>1.4850000000000001</v>
      </c>
      <c r="AC1254" s="8">
        <v>9.6000000000000002E-2</v>
      </c>
    </row>
    <row r="1255" spans="1:29" ht="11.65" hidden="1" x14ac:dyDescent="0.35">
      <c r="A1255" s="12">
        <v>1238</v>
      </c>
      <c r="B1255" s="10" t="s">
        <v>1015</v>
      </c>
      <c r="C1255" s="11" t="s">
        <v>1106</v>
      </c>
      <c r="D1255" s="9"/>
      <c r="E1255" s="9">
        <v>818</v>
      </c>
      <c r="F1255" s="10" t="s">
        <v>1066</v>
      </c>
      <c r="G1255" s="9">
        <v>912</v>
      </c>
      <c r="H1255" s="9">
        <v>1985</v>
      </c>
      <c r="I1255" s="8">
        <v>3822.6460000000002</v>
      </c>
      <c r="J1255" s="8">
        <v>3180.07</v>
      </c>
      <c r="K1255" s="8">
        <v>2737.3879999999999</v>
      </c>
      <c r="L1255" s="8">
        <v>2471.3789999999999</v>
      </c>
      <c r="M1255" s="8">
        <v>2129.8679999999999</v>
      </c>
      <c r="N1255" s="8">
        <v>1762.2729999999999</v>
      </c>
      <c r="O1255" s="8">
        <v>1422.41</v>
      </c>
      <c r="P1255" s="8">
        <v>1378.42</v>
      </c>
      <c r="Q1255" s="8">
        <v>1000.597</v>
      </c>
      <c r="R1255" s="8">
        <v>943.35900000000004</v>
      </c>
      <c r="S1255" s="8">
        <v>905.43899999999996</v>
      </c>
      <c r="T1255" s="8">
        <v>784.54700000000003</v>
      </c>
      <c r="U1255" s="8">
        <v>646.61599999999999</v>
      </c>
      <c r="V1255" s="8">
        <v>501.32600000000002</v>
      </c>
      <c r="W1255" s="8">
        <v>367.09100000000001</v>
      </c>
      <c r="X1255" s="8">
        <v>239.864</v>
      </c>
      <c r="Y1255" s="8">
        <v>124.172</v>
      </c>
      <c r="Z1255" s="8">
        <v>47.741</v>
      </c>
      <c r="AA1255" s="8">
        <v>12.971</v>
      </c>
      <c r="AB1255" s="8">
        <v>2.0350000000000001</v>
      </c>
      <c r="AC1255" s="8">
        <v>0.151</v>
      </c>
    </row>
    <row r="1256" spans="1:29" ht="11.65" hidden="1" x14ac:dyDescent="0.35">
      <c r="A1256" s="12">
        <v>1239</v>
      </c>
      <c r="B1256" s="10" t="s">
        <v>1015</v>
      </c>
      <c r="C1256" s="11" t="s">
        <v>1106</v>
      </c>
      <c r="D1256" s="9"/>
      <c r="E1256" s="9">
        <v>818</v>
      </c>
      <c r="F1256" s="10" t="s">
        <v>1066</v>
      </c>
      <c r="G1256" s="9">
        <v>912</v>
      </c>
      <c r="H1256" s="9">
        <v>1990</v>
      </c>
      <c r="I1256" s="8">
        <v>4227.0519999999997</v>
      </c>
      <c r="J1256" s="8">
        <v>3739.1260000000002</v>
      </c>
      <c r="K1256" s="8">
        <v>3164.0309999999999</v>
      </c>
      <c r="L1256" s="8">
        <v>2682.6590000000001</v>
      </c>
      <c r="M1256" s="8">
        <v>2365.732</v>
      </c>
      <c r="N1256" s="8">
        <v>2063.1289999999999</v>
      </c>
      <c r="O1256" s="8">
        <v>1786.498</v>
      </c>
      <c r="P1256" s="8">
        <v>1468.7550000000001</v>
      </c>
      <c r="Q1256" s="8">
        <v>1402.4359999999999</v>
      </c>
      <c r="R1256" s="8">
        <v>1021.0839999999999</v>
      </c>
      <c r="S1256" s="8">
        <v>928.57899999999995</v>
      </c>
      <c r="T1256" s="8">
        <v>859.33799999999997</v>
      </c>
      <c r="U1256" s="8">
        <v>730.72500000000002</v>
      </c>
      <c r="V1256" s="8">
        <v>579.07000000000005</v>
      </c>
      <c r="W1256" s="8">
        <v>417.73899999999998</v>
      </c>
      <c r="X1256" s="8">
        <v>270.36700000000002</v>
      </c>
      <c r="Y1256" s="8">
        <v>147.09100000000001</v>
      </c>
      <c r="Z1256" s="8">
        <v>57.322000000000003</v>
      </c>
      <c r="AA1256" s="8">
        <v>14.618</v>
      </c>
      <c r="AB1256" s="8">
        <v>2.3650000000000002</v>
      </c>
      <c r="AC1256" s="8">
        <v>0.186</v>
      </c>
    </row>
    <row r="1257" spans="1:29" ht="11.65" hidden="1" x14ac:dyDescent="0.35">
      <c r="A1257" s="12">
        <v>1240</v>
      </c>
      <c r="B1257" s="10" t="s">
        <v>1015</v>
      </c>
      <c r="C1257" s="11" t="s">
        <v>1106</v>
      </c>
      <c r="D1257" s="9"/>
      <c r="E1257" s="9">
        <v>818</v>
      </c>
      <c r="F1257" s="10" t="s">
        <v>1066</v>
      </c>
      <c r="G1257" s="9">
        <v>912</v>
      </c>
      <c r="H1257" s="9">
        <v>1995</v>
      </c>
      <c r="I1257" s="8">
        <v>4079.8919999999998</v>
      </c>
      <c r="J1257" s="8">
        <v>4159.4790000000003</v>
      </c>
      <c r="K1257" s="8">
        <v>3724.63</v>
      </c>
      <c r="L1257" s="8">
        <v>3126.5839999999998</v>
      </c>
      <c r="M1257" s="8">
        <v>2603.1210000000001</v>
      </c>
      <c r="N1257" s="8">
        <v>2286.4679999999998</v>
      </c>
      <c r="O1257" s="8">
        <v>2018.779</v>
      </c>
      <c r="P1257" s="8">
        <v>1760.837</v>
      </c>
      <c r="Q1257" s="8">
        <v>1443.327</v>
      </c>
      <c r="R1257" s="8">
        <v>1370.05</v>
      </c>
      <c r="S1257" s="8">
        <v>982.67100000000005</v>
      </c>
      <c r="T1257" s="8">
        <v>882.09400000000005</v>
      </c>
      <c r="U1257" s="8">
        <v>801.3</v>
      </c>
      <c r="V1257" s="8">
        <v>655.423</v>
      </c>
      <c r="W1257" s="8">
        <v>483.98599999999999</v>
      </c>
      <c r="X1257" s="8">
        <v>308.69299999999998</v>
      </c>
      <c r="Y1257" s="8">
        <v>166.02199999999999</v>
      </c>
      <c r="Z1257" s="8">
        <v>69.260000000000005</v>
      </c>
      <c r="AA1257" s="8">
        <v>19.204999999999998</v>
      </c>
      <c r="AB1257" s="8">
        <v>3.0569999999999999</v>
      </c>
      <c r="AC1257" s="8">
        <v>0.252</v>
      </c>
    </row>
    <row r="1258" spans="1:29" ht="11.65" hidden="1" x14ac:dyDescent="0.35">
      <c r="A1258" s="12">
        <v>1241</v>
      </c>
      <c r="B1258" s="10" t="s">
        <v>1015</v>
      </c>
      <c r="C1258" s="11" t="s">
        <v>1106</v>
      </c>
      <c r="D1258" s="9"/>
      <c r="E1258" s="9">
        <v>818</v>
      </c>
      <c r="F1258" s="10" t="s">
        <v>1066</v>
      </c>
      <c r="G1258" s="9">
        <v>912</v>
      </c>
      <c r="H1258" s="9">
        <v>2000</v>
      </c>
      <c r="I1258" s="8">
        <v>4161.1220000000003</v>
      </c>
      <c r="J1258" s="8">
        <v>4041.5160000000001</v>
      </c>
      <c r="K1258" s="8">
        <v>4145.0529999999999</v>
      </c>
      <c r="L1258" s="8">
        <v>3712.1060000000002</v>
      </c>
      <c r="M1258" s="8">
        <v>3108.8389999999999</v>
      </c>
      <c r="N1258" s="8">
        <v>2582.7779999999998</v>
      </c>
      <c r="O1258" s="8">
        <v>2268.3069999999998</v>
      </c>
      <c r="P1258" s="8">
        <v>2000.557</v>
      </c>
      <c r="Q1258" s="8">
        <v>1741.7149999999999</v>
      </c>
      <c r="R1258" s="8">
        <v>1415.1020000000001</v>
      </c>
      <c r="S1258" s="8">
        <v>1323.095</v>
      </c>
      <c r="T1258" s="8">
        <v>933.63400000000001</v>
      </c>
      <c r="U1258" s="8">
        <v>822.68</v>
      </c>
      <c r="V1258" s="8">
        <v>719.65499999999997</v>
      </c>
      <c r="W1258" s="8">
        <v>549.40499999999997</v>
      </c>
      <c r="X1258" s="8">
        <v>358.81599999999997</v>
      </c>
      <c r="Y1258" s="8">
        <v>189.822</v>
      </c>
      <c r="Z1258" s="8">
        <v>79</v>
      </c>
      <c r="AA1258" s="8">
        <v>23.434000000000001</v>
      </c>
      <c r="AB1258" s="8">
        <v>4.133</v>
      </c>
      <c r="AC1258" s="8">
        <v>0.36799999999999999</v>
      </c>
    </row>
    <row r="1259" spans="1:29" ht="11.65" hidden="1" x14ac:dyDescent="0.35">
      <c r="A1259" s="12">
        <v>1242</v>
      </c>
      <c r="B1259" s="10" t="s">
        <v>1015</v>
      </c>
      <c r="C1259" s="11" t="s">
        <v>1106</v>
      </c>
      <c r="D1259" s="9"/>
      <c r="E1259" s="9">
        <v>818</v>
      </c>
      <c r="F1259" s="10" t="s">
        <v>1066</v>
      </c>
      <c r="G1259" s="9">
        <v>912</v>
      </c>
      <c r="H1259" s="9">
        <v>2005</v>
      </c>
      <c r="I1259" s="8">
        <v>4265.1120000000001</v>
      </c>
      <c r="J1259" s="8">
        <v>4131.5540000000001</v>
      </c>
      <c r="K1259" s="8">
        <v>4029.2130000000002</v>
      </c>
      <c r="L1259" s="8">
        <v>4133.1120000000001</v>
      </c>
      <c r="M1259" s="8">
        <v>3693.4479999999999</v>
      </c>
      <c r="N1259" s="8">
        <v>3078.2159999999999</v>
      </c>
      <c r="O1259" s="8">
        <v>2555.393</v>
      </c>
      <c r="P1259" s="8">
        <v>2249.6190000000001</v>
      </c>
      <c r="Q1259" s="8">
        <v>1980.6210000000001</v>
      </c>
      <c r="R1259" s="8">
        <v>1713.9190000000001</v>
      </c>
      <c r="S1259" s="8">
        <v>1370.674</v>
      </c>
      <c r="T1259" s="8">
        <v>1260.7809999999999</v>
      </c>
      <c r="U1259" s="8">
        <v>871.07399999999996</v>
      </c>
      <c r="V1259" s="8">
        <v>738.95699999999999</v>
      </c>
      <c r="W1259" s="8">
        <v>603.54999999999995</v>
      </c>
      <c r="X1259" s="8">
        <v>407.54199999999997</v>
      </c>
      <c r="Y1259" s="8">
        <v>220.70099999999999</v>
      </c>
      <c r="Z1259" s="8">
        <v>90.075000000000003</v>
      </c>
      <c r="AA1259" s="8">
        <v>26.873999999999999</v>
      </c>
      <c r="AB1259" s="8">
        <v>5.0380000000000003</v>
      </c>
      <c r="AC1259" s="8">
        <v>0.47799999999999998</v>
      </c>
    </row>
    <row r="1260" spans="1:29" ht="11.65" hidden="1" x14ac:dyDescent="0.35">
      <c r="A1260" s="12">
        <v>1243</v>
      </c>
      <c r="B1260" s="10" t="s">
        <v>1015</v>
      </c>
      <c r="C1260" s="11" t="s">
        <v>1106</v>
      </c>
      <c r="D1260" s="9"/>
      <c r="E1260" s="9">
        <v>818</v>
      </c>
      <c r="F1260" s="10" t="s">
        <v>1066</v>
      </c>
      <c r="G1260" s="9">
        <v>912</v>
      </c>
      <c r="H1260" s="9">
        <v>2010</v>
      </c>
      <c r="I1260" s="8">
        <v>4723.683</v>
      </c>
      <c r="J1260" s="8">
        <v>4238.3109999999997</v>
      </c>
      <c r="K1260" s="8">
        <v>4119.5590000000002</v>
      </c>
      <c r="L1260" s="8">
        <v>4017.8090000000002</v>
      </c>
      <c r="M1260" s="8">
        <v>4090.6669999999999</v>
      </c>
      <c r="N1260" s="8">
        <v>3631.6959999999999</v>
      </c>
      <c r="O1260" s="8">
        <v>3038.5340000000001</v>
      </c>
      <c r="P1260" s="8">
        <v>2528.203</v>
      </c>
      <c r="Q1260" s="8">
        <v>2221.0340000000001</v>
      </c>
      <c r="R1260" s="8">
        <v>1942.4490000000001</v>
      </c>
      <c r="S1260" s="8">
        <v>1661.027</v>
      </c>
      <c r="T1260" s="8">
        <v>1311.6369999999999</v>
      </c>
      <c r="U1260" s="8">
        <v>1181.597</v>
      </c>
      <c r="V1260" s="8">
        <v>785.28200000000004</v>
      </c>
      <c r="W1260" s="8">
        <v>621.84799999999996</v>
      </c>
      <c r="X1260" s="8">
        <v>448.99799999999999</v>
      </c>
      <c r="Y1260" s="8">
        <v>250.95599999999999</v>
      </c>
      <c r="Z1260" s="8">
        <v>104.727</v>
      </c>
      <c r="AA1260" s="8">
        <v>30.641999999999999</v>
      </c>
      <c r="AB1260" s="8">
        <v>5.78</v>
      </c>
      <c r="AC1260" s="8">
        <v>0.58499999999999996</v>
      </c>
    </row>
    <row r="1261" spans="1:29" ht="11.65" hidden="1" x14ac:dyDescent="0.35">
      <c r="A1261" s="12">
        <v>1244</v>
      </c>
      <c r="B1261" s="10" t="s">
        <v>1015</v>
      </c>
      <c r="C1261" s="11" t="s">
        <v>1106</v>
      </c>
      <c r="D1261" s="9"/>
      <c r="E1261" s="9">
        <v>818</v>
      </c>
      <c r="F1261" s="10" t="s">
        <v>1066</v>
      </c>
      <c r="G1261" s="9">
        <v>912</v>
      </c>
      <c r="H1261" s="9">
        <v>2015</v>
      </c>
      <c r="I1261" s="8">
        <v>5995.7740000000003</v>
      </c>
      <c r="J1261" s="8">
        <v>4705.0240000000003</v>
      </c>
      <c r="K1261" s="8">
        <v>4231.0219999999999</v>
      </c>
      <c r="L1261" s="8">
        <v>4112.884</v>
      </c>
      <c r="M1261" s="8">
        <v>4008.85</v>
      </c>
      <c r="N1261" s="8">
        <v>4042.306</v>
      </c>
      <c r="O1261" s="8">
        <v>3564.1370000000002</v>
      </c>
      <c r="P1261" s="8">
        <v>3005.0039999999999</v>
      </c>
      <c r="Q1261" s="8">
        <v>2510.0010000000002</v>
      </c>
      <c r="R1261" s="8">
        <v>2192.8270000000002</v>
      </c>
      <c r="S1261" s="8">
        <v>1894.665</v>
      </c>
      <c r="T1261" s="8">
        <v>1598.1880000000001</v>
      </c>
      <c r="U1261" s="8">
        <v>1233.6859999999999</v>
      </c>
      <c r="V1261" s="8">
        <v>1066.7940000000001</v>
      </c>
      <c r="W1261" s="8">
        <v>661.96100000000001</v>
      </c>
      <c r="X1261" s="8">
        <v>463.17700000000002</v>
      </c>
      <c r="Y1261" s="8">
        <v>276.596</v>
      </c>
      <c r="Z1261" s="8">
        <v>119.084</v>
      </c>
      <c r="AA1261" s="8">
        <v>35.625999999999998</v>
      </c>
      <c r="AB1261" s="8">
        <v>6.59</v>
      </c>
      <c r="AC1261" s="8">
        <v>0.67500000000000004</v>
      </c>
    </row>
    <row r="1262" spans="1:29" ht="11.65" hidden="1" x14ac:dyDescent="0.35">
      <c r="A1262" s="12">
        <v>1245</v>
      </c>
      <c r="B1262" s="10" t="s">
        <v>1015</v>
      </c>
      <c r="C1262" s="11" t="s">
        <v>1106</v>
      </c>
      <c r="D1262" s="9"/>
      <c r="E1262" s="9">
        <v>818</v>
      </c>
      <c r="F1262" s="10" t="s">
        <v>1066</v>
      </c>
      <c r="G1262" s="9">
        <v>912</v>
      </c>
      <c r="H1262" s="9">
        <v>2020</v>
      </c>
      <c r="I1262" s="8">
        <v>6168.6030000000001</v>
      </c>
      <c r="J1262" s="8">
        <v>5976.5259999999998</v>
      </c>
      <c r="K1262" s="8">
        <v>4698.3410000000003</v>
      </c>
      <c r="L1262" s="8">
        <v>4225.3509999999997</v>
      </c>
      <c r="M1262" s="8">
        <v>4105.3180000000002</v>
      </c>
      <c r="N1262" s="8">
        <v>3998.2280000000001</v>
      </c>
      <c r="O1262" s="8">
        <v>3999.18</v>
      </c>
      <c r="P1262" s="8">
        <v>3512.0459999999998</v>
      </c>
      <c r="Q1262" s="8">
        <v>2979.326</v>
      </c>
      <c r="R1262" s="8">
        <v>2481.3629999999998</v>
      </c>
      <c r="S1262" s="8">
        <v>2143.7069999999999</v>
      </c>
      <c r="T1262" s="8">
        <v>1828.4459999999999</v>
      </c>
      <c r="U1262" s="8">
        <v>1509.5060000000001</v>
      </c>
      <c r="V1262" s="8">
        <v>1120.8789999999999</v>
      </c>
      <c r="W1262" s="8">
        <v>907.74599999999998</v>
      </c>
      <c r="X1262" s="8">
        <v>500.34399999999999</v>
      </c>
      <c r="Y1262" s="8">
        <v>291.31599999999997</v>
      </c>
      <c r="Z1262" s="8">
        <v>134.929</v>
      </c>
      <c r="AA1262" s="8">
        <v>41.671999999999997</v>
      </c>
      <c r="AB1262" s="8">
        <v>7.9260000000000002</v>
      </c>
      <c r="AC1262" s="8">
        <v>0.78800000000000003</v>
      </c>
    </row>
    <row r="1263" spans="1:29" ht="11.65" hidden="1" x14ac:dyDescent="0.35">
      <c r="A1263" s="12">
        <v>1246</v>
      </c>
      <c r="B1263" s="10" t="s">
        <v>1015</v>
      </c>
      <c r="C1263" s="11" t="s">
        <v>1107</v>
      </c>
      <c r="D1263" s="9"/>
      <c r="E1263" s="9">
        <v>434</v>
      </c>
      <c r="F1263" s="10" t="s">
        <v>1066</v>
      </c>
      <c r="G1263" s="9">
        <v>912</v>
      </c>
      <c r="H1263" s="9">
        <v>1950</v>
      </c>
      <c r="I1263" s="8">
        <v>83.739000000000004</v>
      </c>
      <c r="J1263" s="8">
        <v>68.617999999999995</v>
      </c>
      <c r="K1263" s="8">
        <v>60.378</v>
      </c>
      <c r="L1263" s="8">
        <v>53.753</v>
      </c>
      <c r="M1263" s="8">
        <v>49.000999999999998</v>
      </c>
      <c r="N1263" s="8">
        <v>43.485999999999997</v>
      </c>
      <c r="O1263" s="8">
        <v>35.244</v>
      </c>
      <c r="P1263" s="8">
        <v>29.556999999999999</v>
      </c>
      <c r="Q1263" s="8">
        <v>24.634</v>
      </c>
      <c r="R1263" s="8">
        <v>21.308</v>
      </c>
      <c r="S1263" s="8">
        <v>18.334</v>
      </c>
      <c r="T1263" s="8">
        <v>16.439</v>
      </c>
      <c r="U1263" s="8">
        <v>13.503</v>
      </c>
      <c r="V1263" s="8">
        <v>10.545</v>
      </c>
      <c r="W1263" s="8">
        <v>8.3309999999999995</v>
      </c>
      <c r="X1263" s="8">
        <v>3.9689999999999999</v>
      </c>
      <c r="Y1263" s="8">
        <v>1.3939999999999999</v>
      </c>
      <c r="Z1263" s="8">
        <v>0.42199999999999999</v>
      </c>
      <c r="AA1263" s="8">
        <v>0.10299999999999999</v>
      </c>
      <c r="AB1263" s="8">
        <v>1.7000000000000001E-2</v>
      </c>
      <c r="AC1263" s="8">
        <v>1E-3</v>
      </c>
    </row>
    <row r="1264" spans="1:29" ht="11.65" hidden="1" x14ac:dyDescent="0.35">
      <c r="A1264" s="12">
        <v>1247</v>
      </c>
      <c r="B1264" s="10" t="s">
        <v>1015</v>
      </c>
      <c r="C1264" s="11" t="s">
        <v>1107</v>
      </c>
      <c r="D1264" s="9"/>
      <c r="E1264" s="9">
        <v>434</v>
      </c>
      <c r="F1264" s="10" t="s">
        <v>1066</v>
      </c>
      <c r="G1264" s="9">
        <v>912</v>
      </c>
      <c r="H1264" s="9">
        <v>1955</v>
      </c>
      <c r="I1264" s="8">
        <v>107.31699999999999</v>
      </c>
      <c r="J1264" s="8">
        <v>75.352999999999994</v>
      </c>
      <c r="K1264" s="8">
        <v>66.828000000000003</v>
      </c>
      <c r="L1264" s="8">
        <v>58.923999999999999</v>
      </c>
      <c r="M1264" s="8">
        <v>51.948</v>
      </c>
      <c r="N1264" s="8">
        <v>46.981000000000002</v>
      </c>
      <c r="O1264" s="8">
        <v>41.453000000000003</v>
      </c>
      <c r="P1264" s="8">
        <v>33.421999999999997</v>
      </c>
      <c r="Q1264" s="8">
        <v>27.904</v>
      </c>
      <c r="R1264" s="8">
        <v>23.138999999999999</v>
      </c>
      <c r="S1264" s="8">
        <v>19.734999999999999</v>
      </c>
      <c r="T1264" s="8">
        <v>16.454999999999998</v>
      </c>
      <c r="U1264" s="8">
        <v>13.961</v>
      </c>
      <c r="V1264" s="8">
        <v>10.478</v>
      </c>
      <c r="W1264" s="8">
        <v>7.1159999999999997</v>
      </c>
      <c r="X1264" s="8">
        <v>4.5380000000000003</v>
      </c>
      <c r="Y1264" s="8">
        <v>1.5620000000000001</v>
      </c>
      <c r="Z1264" s="8">
        <v>0.35799999999999998</v>
      </c>
      <c r="AA1264" s="8">
        <v>6.4000000000000001E-2</v>
      </c>
      <c r="AB1264" s="8">
        <v>8.9999999999999993E-3</v>
      </c>
      <c r="AC1264" s="8">
        <v>1E-3</v>
      </c>
    </row>
    <row r="1265" spans="1:29" ht="11.65" hidden="1" x14ac:dyDescent="0.35">
      <c r="A1265" s="12">
        <v>1248</v>
      </c>
      <c r="B1265" s="10" t="s">
        <v>1015</v>
      </c>
      <c r="C1265" s="11" t="s">
        <v>1107</v>
      </c>
      <c r="D1265" s="9"/>
      <c r="E1265" s="9">
        <v>434</v>
      </c>
      <c r="F1265" s="10" t="s">
        <v>1066</v>
      </c>
      <c r="G1265" s="9">
        <v>912</v>
      </c>
      <c r="H1265" s="9">
        <v>1960</v>
      </c>
      <c r="I1265" s="8">
        <v>126.348</v>
      </c>
      <c r="J1265" s="8">
        <v>98.257000000000005</v>
      </c>
      <c r="K1265" s="8">
        <v>73.927000000000007</v>
      </c>
      <c r="L1265" s="8">
        <v>66.41</v>
      </c>
      <c r="M1265" s="8">
        <v>59.561</v>
      </c>
      <c r="N1265" s="8">
        <v>52.969000000000001</v>
      </c>
      <c r="O1265" s="8">
        <v>47.433</v>
      </c>
      <c r="P1265" s="8">
        <v>41.198</v>
      </c>
      <c r="Q1265" s="8">
        <v>32.814</v>
      </c>
      <c r="R1265" s="8">
        <v>27.039000000000001</v>
      </c>
      <c r="S1265" s="8">
        <v>21.981000000000002</v>
      </c>
      <c r="T1265" s="8">
        <v>18.108000000000001</v>
      </c>
      <c r="U1265" s="8">
        <v>14.287000000000001</v>
      </c>
      <c r="V1265" s="8">
        <v>11.113</v>
      </c>
      <c r="W1265" s="8">
        <v>7.3120000000000003</v>
      </c>
      <c r="X1265" s="8">
        <v>4.0570000000000004</v>
      </c>
      <c r="Y1265" s="8">
        <v>1.9059999999999999</v>
      </c>
      <c r="Z1265" s="8">
        <v>0.433</v>
      </c>
      <c r="AA1265" s="8">
        <v>0.06</v>
      </c>
      <c r="AB1265" s="8">
        <v>6.0000000000000001E-3</v>
      </c>
      <c r="AC1265" s="8">
        <v>1E-3</v>
      </c>
    </row>
    <row r="1266" spans="1:29" ht="11.65" hidden="1" x14ac:dyDescent="0.35">
      <c r="A1266" s="12">
        <v>1249</v>
      </c>
      <c r="B1266" s="10" t="s">
        <v>1015</v>
      </c>
      <c r="C1266" s="11" t="s">
        <v>1107</v>
      </c>
      <c r="D1266" s="9"/>
      <c r="E1266" s="9">
        <v>434</v>
      </c>
      <c r="F1266" s="10" t="s">
        <v>1066</v>
      </c>
      <c r="G1266" s="9">
        <v>912</v>
      </c>
      <c r="H1266" s="9">
        <v>1965</v>
      </c>
      <c r="I1266" s="8">
        <v>160.06700000000001</v>
      </c>
      <c r="J1266" s="8">
        <v>119.398</v>
      </c>
      <c r="K1266" s="8">
        <v>96.994</v>
      </c>
      <c r="L1266" s="8">
        <v>73.798000000000002</v>
      </c>
      <c r="M1266" s="8">
        <v>67.36</v>
      </c>
      <c r="N1266" s="8">
        <v>60.901000000000003</v>
      </c>
      <c r="O1266" s="8">
        <v>53.78</v>
      </c>
      <c r="P1266" s="8">
        <v>47.482999999999997</v>
      </c>
      <c r="Q1266" s="8">
        <v>40.704000000000001</v>
      </c>
      <c r="R1266" s="8">
        <v>32.067999999999998</v>
      </c>
      <c r="S1266" s="8">
        <v>25.966999999999999</v>
      </c>
      <c r="T1266" s="8">
        <v>20.527999999999999</v>
      </c>
      <c r="U1266" s="8">
        <v>16.167999999999999</v>
      </c>
      <c r="V1266" s="8">
        <v>11.875</v>
      </c>
      <c r="W1266" s="8">
        <v>8.2460000000000004</v>
      </c>
      <c r="X1266" s="8">
        <v>4.5389999999999997</v>
      </c>
      <c r="Y1266" s="8">
        <v>1.9139999999999999</v>
      </c>
      <c r="Z1266" s="8">
        <v>0.60899999999999999</v>
      </c>
      <c r="AA1266" s="8">
        <v>8.4000000000000005E-2</v>
      </c>
      <c r="AB1266" s="8">
        <v>6.0000000000000001E-3</v>
      </c>
      <c r="AC1266" s="8">
        <v>0</v>
      </c>
    </row>
    <row r="1267" spans="1:29" ht="11.65" hidden="1" x14ac:dyDescent="0.35">
      <c r="A1267" s="12">
        <v>1250</v>
      </c>
      <c r="B1267" s="10" t="s">
        <v>1015</v>
      </c>
      <c r="C1267" s="11" t="s">
        <v>1107</v>
      </c>
      <c r="D1267" s="9"/>
      <c r="E1267" s="9">
        <v>434</v>
      </c>
      <c r="F1267" s="10" t="s">
        <v>1066</v>
      </c>
      <c r="G1267" s="9">
        <v>912</v>
      </c>
      <c r="H1267" s="9">
        <v>1970</v>
      </c>
      <c r="I1267" s="8">
        <v>212.90600000000001</v>
      </c>
      <c r="J1267" s="8">
        <v>155.251</v>
      </c>
      <c r="K1267" s="8">
        <v>118.919</v>
      </c>
      <c r="L1267" s="8">
        <v>97.004000000000005</v>
      </c>
      <c r="M1267" s="8">
        <v>74.623000000000005</v>
      </c>
      <c r="N1267" s="8">
        <v>68.512</v>
      </c>
      <c r="O1267" s="8">
        <v>61.576000000000001</v>
      </c>
      <c r="P1267" s="8">
        <v>53.457000000000001</v>
      </c>
      <c r="Q1267" s="8">
        <v>46.447000000000003</v>
      </c>
      <c r="R1267" s="8">
        <v>39.5</v>
      </c>
      <c r="S1267" s="8">
        <v>30.687999999999999</v>
      </c>
      <c r="T1267" s="8">
        <v>24.306000000000001</v>
      </c>
      <c r="U1267" s="8">
        <v>18.54</v>
      </c>
      <c r="V1267" s="8">
        <v>13.744</v>
      </c>
      <c r="W1267" s="8">
        <v>9.1280000000000001</v>
      </c>
      <c r="X1267" s="8">
        <v>5.383</v>
      </c>
      <c r="Y1267" s="8">
        <v>2.2879999999999998</v>
      </c>
      <c r="Z1267" s="8">
        <v>0.66500000000000004</v>
      </c>
      <c r="AA1267" s="8">
        <v>0.13</v>
      </c>
      <c r="AB1267" s="8">
        <v>8.9999999999999993E-3</v>
      </c>
      <c r="AC1267" s="8">
        <v>0</v>
      </c>
    </row>
    <row r="1268" spans="1:29" ht="11.65" hidden="1" x14ac:dyDescent="0.35">
      <c r="A1268" s="12">
        <v>1251</v>
      </c>
      <c r="B1268" s="10" t="s">
        <v>1015</v>
      </c>
      <c r="C1268" s="11" t="s">
        <v>1107</v>
      </c>
      <c r="D1268" s="9"/>
      <c r="E1268" s="9">
        <v>434</v>
      </c>
      <c r="F1268" s="10" t="s">
        <v>1066</v>
      </c>
      <c r="G1268" s="9">
        <v>912</v>
      </c>
      <c r="H1268" s="9">
        <v>1975</v>
      </c>
      <c r="I1268" s="8">
        <v>260.92399999999998</v>
      </c>
      <c r="J1268" s="8">
        <v>208.501</v>
      </c>
      <c r="K1268" s="8">
        <v>154.625</v>
      </c>
      <c r="L1268" s="8">
        <v>118.691</v>
      </c>
      <c r="M1268" s="8">
        <v>97.528999999999996</v>
      </c>
      <c r="N1268" s="8">
        <v>75.676000000000002</v>
      </c>
      <c r="O1268" s="8">
        <v>68.935000000000002</v>
      </c>
      <c r="P1268" s="8">
        <v>61.067</v>
      </c>
      <c r="Q1268" s="8">
        <v>52.448</v>
      </c>
      <c r="R1268" s="8">
        <v>45.271999999999998</v>
      </c>
      <c r="S1268" s="8">
        <v>38.097000000000001</v>
      </c>
      <c r="T1268" s="8">
        <v>29.065999999999999</v>
      </c>
      <c r="U1268" s="8">
        <v>22.314</v>
      </c>
      <c r="V1268" s="8">
        <v>16.135000000000002</v>
      </c>
      <c r="W1268" s="8">
        <v>10.922000000000001</v>
      </c>
      <c r="X1268" s="8">
        <v>6.2389999999999999</v>
      </c>
      <c r="Y1268" s="8">
        <v>2.879</v>
      </c>
      <c r="Z1268" s="8">
        <v>0.85299999999999998</v>
      </c>
      <c r="AA1268" s="8">
        <v>0.154</v>
      </c>
      <c r="AB1268" s="8">
        <v>1.7000000000000001E-2</v>
      </c>
      <c r="AC1268" s="8">
        <v>1E-3</v>
      </c>
    </row>
    <row r="1269" spans="1:29" ht="11.65" hidden="1" x14ac:dyDescent="0.35">
      <c r="A1269" s="12">
        <v>1252</v>
      </c>
      <c r="B1269" s="10" t="s">
        <v>1015</v>
      </c>
      <c r="C1269" s="11" t="s">
        <v>1107</v>
      </c>
      <c r="D1269" s="9"/>
      <c r="E1269" s="9">
        <v>434</v>
      </c>
      <c r="F1269" s="10" t="s">
        <v>1066</v>
      </c>
      <c r="G1269" s="9">
        <v>912</v>
      </c>
      <c r="H1269" s="9">
        <v>1980</v>
      </c>
      <c r="I1269" s="8">
        <v>291.22399999999999</v>
      </c>
      <c r="J1269" s="8">
        <v>257.488</v>
      </c>
      <c r="K1269" s="8">
        <v>207.84800000000001</v>
      </c>
      <c r="L1269" s="8">
        <v>154.137</v>
      </c>
      <c r="M1269" s="8">
        <v>118.453</v>
      </c>
      <c r="N1269" s="8">
        <v>97.516999999999996</v>
      </c>
      <c r="O1269" s="8">
        <v>75.486000000000004</v>
      </c>
      <c r="P1269" s="8">
        <v>68.222999999999999</v>
      </c>
      <c r="Q1269" s="8">
        <v>60.042000000000002</v>
      </c>
      <c r="R1269" s="8">
        <v>51.256999999999998</v>
      </c>
      <c r="S1269" s="8">
        <v>43.795999999999999</v>
      </c>
      <c r="T1269" s="8">
        <v>36.262999999999998</v>
      </c>
      <c r="U1269" s="8">
        <v>26.922999999999998</v>
      </c>
      <c r="V1269" s="8">
        <v>19.698</v>
      </c>
      <c r="W1269" s="8">
        <v>13.093</v>
      </c>
      <c r="X1269" s="8">
        <v>7.6879999999999997</v>
      </c>
      <c r="Y1269" s="8">
        <v>3.4710000000000001</v>
      </c>
      <c r="Z1269" s="8">
        <v>1.125</v>
      </c>
      <c r="AA1269" s="8">
        <v>0.20699999999999999</v>
      </c>
      <c r="AB1269" s="8">
        <v>2.1000000000000001E-2</v>
      </c>
      <c r="AC1269" s="8">
        <v>1E-3</v>
      </c>
    </row>
    <row r="1270" spans="1:29" ht="11.65" hidden="1" x14ac:dyDescent="0.35">
      <c r="A1270" s="12">
        <v>1253</v>
      </c>
      <c r="B1270" s="10" t="s">
        <v>1015</v>
      </c>
      <c r="C1270" s="11" t="s">
        <v>1107</v>
      </c>
      <c r="D1270" s="9"/>
      <c r="E1270" s="9">
        <v>434</v>
      </c>
      <c r="F1270" s="10" t="s">
        <v>1066</v>
      </c>
      <c r="G1270" s="9">
        <v>912</v>
      </c>
      <c r="H1270" s="9">
        <v>1985</v>
      </c>
      <c r="I1270" s="8">
        <v>304.03199999999998</v>
      </c>
      <c r="J1270" s="8">
        <v>289.59199999999998</v>
      </c>
      <c r="K1270" s="8">
        <v>257.36200000000002</v>
      </c>
      <c r="L1270" s="8">
        <v>207.72399999999999</v>
      </c>
      <c r="M1270" s="8">
        <v>154.58500000000001</v>
      </c>
      <c r="N1270" s="8">
        <v>119.378</v>
      </c>
      <c r="O1270" s="8">
        <v>97.962999999999994</v>
      </c>
      <c r="P1270" s="8">
        <v>75.203000000000003</v>
      </c>
      <c r="Q1270" s="8">
        <v>67.406000000000006</v>
      </c>
      <c r="R1270" s="8">
        <v>58.956000000000003</v>
      </c>
      <c r="S1270" s="8">
        <v>49.84</v>
      </c>
      <c r="T1270" s="8">
        <v>41.948999999999998</v>
      </c>
      <c r="U1270" s="8">
        <v>33.875999999999998</v>
      </c>
      <c r="V1270" s="8">
        <v>24.058</v>
      </c>
      <c r="W1270" s="8">
        <v>16.256</v>
      </c>
      <c r="X1270" s="8">
        <v>9.4390000000000001</v>
      </c>
      <c r="Y1270" s="8">
        <v>4.4109999999999996</v>
      </c>
      <c r="Z1270" s="8">
        <v>1.4079999999999999</v>
      </c>
      <c r="AA1270" s="8">
        <v>0.28499999999999998</v>
      </c>
      <c r="AB1270" s="8">
        <v>0.03</v>
      </c>
      <c r="AC1270" s="8">
        <v>2E-3</v>
      </c>
    </row>
    <row r="1271" spans="1:29" ht="11.65" hidden="1" x14ac:dyDescent="0.35">
      <c r="A1271" s="12">
        <v>1254</v>
      </c>
      <c r="B1271" s="10" t="s">
        <v>1015</v>
      </c>
      <c r="C1271" s="11" t="s">
        <v>1107</v>
      </c>
      <c r="D1271" s="9"/>
      <c r="E1271" s="9">
        <v>434</v>
      </c>
      <c r="F1271" s="10" t="s">
        <v>1066</v>
      </c>
      <c r="G1271" s="9">
        <v>912</v>
      </c>
      <c r="H1271" s="9">
        <v>1990</v>
      </c>
      <c r="I1271" s="8">
        <v>314.75099999999998</v>
      </c>
      <c r="J1271" s="8">
        <v>302.69900000000001</v>
      </c>
      <c r="K1271" s="8">
        <v>289.32499999999999</v>
      </c>
      <c r="L1271" s="8">
        <v>256.947</v>
      </c>
      <c r="M1271" s="8">
        <v>207.43299999999999</v>
      </c>
      <c r="N1271" s="8">
        <v>154.60499999999999</v>
      </c>
      <c r="O1271" s="8">
        <v>119.197</v>
      </c>
      <c r="P1271" s="8">
        <v>97.32</v>
      </c>
      <c r="Q1271" s="8">
        <v>74.332999999999998</v>
      </c>
      <c r="R1271" s="8">
        <v>66.242000000000004</v>
      </c>
      <c r="S1271" s="8">
        <v>57.408999999999999</v>
      </c>
      <c r="T1271" s="8">
        <v>47.863999999999997</v>
      </c>
      <c r="U1271" s="8">
        <v>39.362000000000002</v>
      </c>
      <c r="V1271" s="8">
        <v>30.481000000000002</v>
      </c>
      <c r="W1271" s="8">
        <v>20.065999999999999</v>
      </c>
      <c r="X1271" s="8">
        <v>11.906000000000001</v>
      </c>
      <c r="Y1271" s="8">
        <v>5.5369999999999999</v>
      </c>
      <c r="Z1271" s="8">
        <v>1.841</v>
      </c>
      <c r="AA1271" s="8">
        <v>0.36699999999999999</v>
      </c>
      <c r="AB1271" s="8">
        <v>4.1000000000000002E-2</v>
      </c>
      <c r="AC1271" s="8">
        <v>2E-3</v>
      </c>
    </row>
    <row r="1272" spans="1:29" ht="11.65" hidden="1" x14ac:dyDescent="0.35">
      <c r="A1272" s="12">
        <v>1255</v>
      </c>
      <c r="B1272" s="10" t="s">
        <v>1015</v>
      </c>
      <c r="C1272" s="11" t="s">
        <v>1107</v>
      </c>
      <c r="D1272" s="9"/>
      <c r="E1272" s="9">
        <v>434</v>
      </c>
      <c r="F1272" s="10" t="s">
        <v>1066</v>
      </c>
      <c r="G1272" s="9">
        <v>912</v>
      </c>
      <c r="H1272" s="9">
        <v>1995</v>
      </c>
      <c r="I1272" s="8">
        <v>293.21199999999999</v>
      </c>
      <c r="J1272" s="8">
        <v>313.96300000000002</v>
      </c>
      <c r="K1272" s="8">
        <v>302.58800000000002</v>
      </c>
      <c r="L1272" s="8">
        <v>289.00900000000001</v>
      </c>
      <c r="M1272" s="8">
        <v>256.67700000000002</v>
      </c>
      <c r="N1272" s="8">
        <v>207.37</v>
      </c>
      <c r="O1272" s="8">
        <v>154.369</v>
      </c>
      <c r="P1272" s="8">
        <v>118.544</v>
      </c>
      <c r="Q1272" s="8">
        <v>96.343999999999994</v>
      </c>
      <c r="R1272" s="8">
        <v>73.204999999999998</v>
      </c>
      <c r="S1272" s="8">
        <v>64.676000000000002</v>
      </c>
      <c r="T1272" s="8">
        <v>55.334000000000003</v>
      </c>
      <c r="U1272" s="8">
        <v>45.155000000000001</v>
      </c>
      <c r="V1272" s="8">
        <v>35.706000000000003</v>
      </c>
      <c r="W1272" s="8">
        <v>25.738</v>
      </c>
      <c r="X1272" s="8">
        <v>14.968999999999999</v>
      </c>
      <c r="Y1272" s="8">
        <v>7.1710000000000003</v>
      </c>
      <c r="Z1272" s="8">
        <v>2.3919999999999999</v>
      </c>
      <c r="AA1272" s="8">
        <v>0.501</v>
      </c>
      <c r="AB1272" s="8">
        <v>5.3999999999999999E-2</v>
      </c>
      <c r="AC1272" s="8">
        <v>3.0000000000000001E-3</v>
      </c>
    </row>
    <row r="1273" spans="1:29" ht="11.65" hidden="1" x14ac:dyDescent="0.35">
      <c r="A1273" s="12">
        <v>1256</v>
      </c>
      <c r="B1273" s="10" t="s">
        <v>1015</v>
      </c>
      <c r="C1273" s="11" t="s">
        <v>1107</v>
      </c>
      <c r="D1273" s="9"/>
      <c r="E1273" s="9">
        <v>434</v>
      </c>
      <c r="F1273" s="10" t="s">
        <v>1066</v>
      </c>
      <c r="G1273" s="9">
        <v>912</v>
      </c>
      <c r="H1273" s="9">
        <v>2000</v>
      </c>
      <c r="I1273" s="8">
        <v>278.14299999999997</v>
      </c>
      <c r="J1273" s="8">
        <v>292.94400000000002</v>
      </c>
      <c r="K1273" s="8">
        <v>313.86</v>
      </c>
      <c r="L1273" s="8">
        <v>302.327</v>
      </c>
      <c r="M1273" s="8">
        <v>288.733</v>
      </c>
      <c r="N1273" s="8">
        <v>256.47800000000001</v>
      </c>
      <c r="O1273" s="8">
        <v>206.905</v>
      </c>
      <c r="P1273" s="8">
        <v>153.53100000000001</v>
      </c>
      <c r="Q1273" s="8">
        <v>114.321</v>
      </c>
      <c r="R1273" s="8">
        <v>88.944999999999993</v>
      </c>
      <c r="S1273" s="8">
        <v>67.400999999999996</v>
      </c>
      <c r="T1273" s="8">
        <v>60.124000000000002</v>
      </c>
      <c r="U1273" s="8">
        <v>50.506999999999998</v>
      </c>
      <c r="V1273" s="8">
        <v>40.204999999999998</v>
      </c>
      <c r="W1273" s="8">
        <v>30.111000000000001</v>
      </c>
      <c r="X1273" s="8">
        <v>19.321999999999999</v>
      </c>
      <c r="Y1273" s="8">
        <v>9.1479999999999997</v>
      </c>
      <c r="Z1273" s="8">
        <v>3.1589999999999998</v>
      </c>
      <c r="AA1273" s="8">
        <v>0.66800000000000004</v>
      </c>
      <c r="AB1273" s="8">
        <v>7.6999999999999999E-2</v>
      </c>
      <c r="AC1273" s="8">
        <v>5.0000000000000001E-3</v>
      </c>
    </row>
    <row r="1274" spans="1:29" ht="11.65" hidden="1" x14ac:dyDescent="0.35">
      <c r="A1274" s="12">
        <v>1257</v>
      </c>
      <c r="B1274" s="10" t="s">
        <v>1015</v>
      </c>
      <c r="C1274" s="11" t="s">
        <v>1107</v>
      </c>
      <c r="D1274" s="9"/>
      <c r="E1274" s="9">
        <v>434</v>
      </c>
      <c r="F1274" s="10" t="s">
        <v>1066</v>
      </c>
      <c r="G1274" s="9">
        <v>912</v>
      </c>
      <c r="H1274" s="9">
        <v>2005</v>
      </c>
      <c r="I1274" s="8">
        <v>281.05700000000002</v>
      </c>
      <c r="J1274" s="8">
        <v>278.149</v>
      </c>
      <c r="K1274" s="8">
        <v>292.96199999999999</v>
      </c>
      <c r="L1274" s="8">
        <v>313.65600000000001</v>
      </c>
      <c r="M1274" s="8">
        <v>309.13</v>
      </c>
      <c r="N1274" s="8">
        <v>298.99599999999998</v>
      </c>
      <c r="O1274" s="8">
        <v>260.351</v>
      </c>
      <c r="P1274" s="8">
        <v>206.56399999999999</v>
      </c>
      <c r="Q1274" s="8">
        <v>147.83799999999999</v>
      </c>
      <c r="R1274" s="8">
        <v>104.776</v>
      </c>
      <c r="S1274" s="8">
        <v>80.914000000000001</v>
      </c>
      <c r="T1274" s="8">
        <v>61.405999999999999</v>
      </c>
      <c r="U1274" s="8">
        <v>54.215000000000003</v>
      </c>
      <c r="V1274" s="8">
        <v>44.808</v>
      </c>
      <c r="W1274" s="8">
        <v>34.152000000000001</v>
      </c>
      <c r="X1274" s="8">
        <v>22.84</v>
      </c>
      <c r="Y1274" s="8">
        <v>11.987</v>
      </c>
      <c r="Z1274" s="8">
        <v>4.117</v>
      </c>
      <c r="AA1274" s="8">
        <v>0.90300000000000002</v>
      </c>
      <c r="AB1274" s="8">
        <v>0.107</v>
      </c>
      <c r="AC1274" s="8">
        <v>7.0000000000000001E-3</v>
      </c>
    </row>
    <row r="1275" spans="1:29" ht="11.65" hidden="1" x14ac:dyDescent="0.35">
      <c r="A1275" s="12">
        <v>1258</v>
      </c>
      <c r="B1275" s="10" t="s">
        <v>1015</v>
      </c>
      <c r="C1275" s="11" t="s">
        <v>1107</v>
      </c>
      <c r="D1275" s="9"/>
      <c r="E1275" s="9">
        <v>434</v>
      </c>
      <c r="F1275" s="10" t="s">
        <v>1066</v>
      </c>
      <c r="G1275" s="9">
        <v>912</v>
      </c>
      <c r="H1275" s="9">
        <v>2010</v>
      </c>
      <c r="I1275" s="8">
        <v>311.49700000000001</v>
      </c>
      <c r="J1275" s="8">
        <v>279.36</v>
      </c>
      <c r="K1275" s="8">
        <v>277.12599999999998</v>
      </c>
      <c r="L1275" s="8">
        <v>291.95499999999998</v>
      </c>
      <c r="M1275" s="8">
        <v>312.17599999999999</v>
      </c>
      <c r="N1275" s="8">
        <v>307.35199999999998</v>
      </c>
      <c r="O1275" s="8">
        <v>297.12700000000001</v>
      </c>
      <c r="P1275" s="8">
        <v>256.52100000000002</v>
      </c>
      <c r="Q1275" s="8">
        <v>198.75800000000001</v>
      </c>
      <c r="R1275" s="8">
        <v>138.11799999999999</v>
      </c>
      <c r="S1275" s="8">
        <v>96.703000000000003</v>
      </c>
      <c r="T1275" s="8">
        <v>74.81</v>
      </c>
      <c r="U1275" s="8">
        <v>55.820999999999998</v>
      </c>
      <c r="V1275" s="8">
        <v>48.692999999999998</v>
      </c>
      <c r="W1275" s="8">
        <v>38.719000000000001</v>
      </c>
      <c r="X1275" s="8">
        <v>26.65</v>
      </c>
      <c r="Y1275" s="8">
        <v>14.811999999999999</v>
      </c>
      <c r="Z1275" s="8">
        <v>5.7619999999999996</v>
      </c>
      <c r="AA1275" s="8">
        <v>1.2889999999999999</v>
      </c>
      <c r="AB1275" s="8">
        <v>0.16</v>
      </c>
      <c r="AC1275" s="8">
        <v>0.01</v>
      </c>
    </row>
    <row r="1276" spans="1:29" ht="11.65" hidden="1" x14ac:dyDescent="0.35">
      <c r="A1276" s="12">
        <v>1259</v>
      </c>
      <c r="B1276" s="10" t="s">
        <v>1015</v>
      </c>
      <c r="C1276" s="11" t="s">
        <v>1107</v>
      </c>
      <c r="D1276" s="9"/>
      <c r="E1276" s="9">
        <v>434</v>
      </c>
      <c r="F1276" s="10" t="s">
        <v>1066</v>
      </c>
      <c r="G1276" s="9">
        <v>912</v>
      </c>
      <c r="H1276" s="9">
        <v>2015</v>
      </c>
      <c r="I1276" s="8">
        <v>322.54500000000002</v>
      </c>
      <c r="J1276" s="8">
        <v>304.471</v>
      </c>
      <c r="K1276" s="8">
        <v>274.822</v>
      </c>
      <c r="L1276" s="8">
        <v>267.71100000000001</v>
      </c>
      <c r="M1276" s="8">
        <v>276.12099999999998</v>
      </c>
      <c r="N1276" s="8">
        <v>294.43700000000001</v>
      </c>
      <c r="O1276" s="8">
        <v>290.19200000000001</v>
      </c>
      <c r="P1276" s="8">
        <v>279.99400000000003</v>
      </c>
      <c r="Q1276" s="8">
        <v>239.66200000000001</v>
      </c>
      <c r="R1276" s="8">
        <v>185.79499999999999</v>
      </c>
      <c r="S1276" s="8">
        <v>128.82900000000001</v>
      </c>
      <c r="T1276" s="8">
        <v>89.855999999999995</v>
      </c>
      <c r="U1276" s="8">
        <v>69</v>
      </c>
      <c r="V1276" s="8">
        <v>49.625999999999998</v>
      </c>
      <c r="W1276" s="8">
        <v>41.113999999999997</v>
      </c>
      <c r="X1276" s="8">
        <v>29.666</v>
      </c>
      <c r="Y1276" s="8">
        <v>16.908999999999999</v>
      </c>
      <c r="Z1276" s="8">
        <v>7.0279999999999996</v>
      </c>
      <c r="AA1276" s="8">
        <v>1.804</v>
      </c>
      <c r="AB1276" s="8">
        <v>0.22800000000000001</v>
      </c>
      <c r="AC1276" s="8">
        <v>1.4999999999999999E-2</v>
      </c>
    </row>
    <row r="1277" spans="1:29" ht="11.65" hidden="1" x14ac:dyDescent="0.35">
      <c r="A1277" s="12">
        <v>1260</v>
      </c>
      <c r="B1277" s="10" t="s">
        <v>1015</v>
      </c>
      <c r="C1277" s="11" t="s">
        <v>1107</v>
      </c>
      <c r="D1277" s="9"/>
      <c r="E1277" s="9">
        <v>434</v>
      </c>
      <c r="F1277" s="10" t="s">
        <v>1066</v>
      </c>
      <c r="G1277" s="9">
        <v>912</v>
      </c>
      <c r="H1277" s="9">
        <v>2020</v>
      </c>
      <c r="I1277" s="8">
        <v>303.48599999999999</v>
      </c>
      <c r="J1277" s="8">
        <v>321.79599999999999</v>
      </c>
      <c r="K1277" s="8">
        <v>303.95</v>
      </c>
      <c r="L1277" s="8">
        <v>274.11500000000001</v>
      </c>
      <c r="M1277" s="8">
        <v>266.43200000000002</v>
      </c>
      <c r="N1277" s="8">
        <v>274.464</v>
      </c>
      <c r="O1277" s="8">
        <v>292.584</v>
      </c>
      <c r="P1277" s="8">
        <v>288.137</v>
      </c>
      <c r="Q1277" s="8">
        <v>277.48200000000003</v>
      </c>
      <c r="R1277" s="8">
        <v>236.566</v>
      </c>
      <c r="S1277" s="8">
        <v>182.17500000000001</v>
      </c>
      <c r="T1277" s="8">
        <v>125.044</v>
      </c>
      <c r="U1277" s="8">
        <v>85.734999999999999</v>
      </c>
      <c r="V1277" s="8">
        <v>63.776000000000003</v>
      </c>
      <c r="W1277" s="8">
        <v>43.386000000000003</v>
      </c>
      <c r="X1277" s="8">
        <v>32.622999999999998</v>
      </c>
      <c r="Y1277" s="8">
        <v>19.707999999999998</v>
      </c>
      <c r="Z1277" s="8">
        <v>8.4220000000000006</v>
      </c>
      <c r="AA1277" s="8">
        <v>2.306</v>
      </c>
      <c r="AB1277" s="8">
        <v>0.33800000000000002</v>
      </c>
      <c r="AC1277" s="8">
        <v>2.5000000000000001E-2</v>
      </c>
    </row>
    <row r="1278" spans="1:29" ht="11.65" hidden="1" x14ac:dyDescent="0.35">
      <c r="A1278" s="12">
        <v>1261</v>
      </c>
      <c r="B1278" s="10" t="s">
        <v>1015</v>
      </c>
      <c r="C1278" s="11" t="s">
        <v>1108</v>
      </c>
      <c r="D1278" s="9"/>
      <c r="E1278" s="9">
        <v>504</v>
      </c>
      <c r="F1278" s="10" t="s">
        <v>1066</v>
      </c>
      <c r="G1278" s="9">
        <v>912</v>
      </c>
      <c r="H1278" s="9">
        <v>1950</v>
      </c>
      <c r="I1278" s="8">
        <v>679.274</v>
      </c>
      <c r="J1278" s="8">
        <v>555.17700000000002</v>
      </c>
      <c r="K1278" s="8">
        <v>534.53700000000003</v>
      </c>
      <c r="L1278" s="8">
        <v>515.11599999999999</v>
      </c>
      <c r="M1278" s="8">
        <v>480.41800000000001</v>
      </c>
      <c r="N1278" s="8">
        <v>376.20499999999998</v>
      </c>
      <c r="O1278" s="8">
        <v>259.63200000000001</v>
      </c>
      <c r="P1278" s="8">
        <v>201.32599999999999</v>
      </c>
      <c r="Q1278" s="8">
        <v>200.01400000000001</v>
      </c>
      <c r="R1278" s="8">
        <v>198.095</v>
      </c>
      <c r="S1278" s="8">
        <v>164.42699999999999</v>
      </c>
      <c r="T1278" s="8">
        <v>126.17700000000001</v>
      </c>
      <c r="U1278" s="8">
        <v>83.521000000000001</v>
      </c>
      <c r="V1278" s="8">
        <v>68.168999999999997</v>
      </c>
      <c r="W1278" s="8">
        <v>43.936999999999998</v>
      </c>
      <c r="X1278" s="8">
        <v>21.532</v>
      </c>
      <c r="Y1278" s="8">
        <v>6.37</v>
      </c>
      <c r="Z1278" s="8">
        <v>2.105</v>
      </c>
      <c r="AA1278" s="8">
        <v>0.432</v>
      </c>
      <c r="AB1278" s="8">
        <v>5.0999999999999997E-2</v>
      </c>
      <c r="AC1278" s="8">
        <v>4.0000000000000001E-3</v>
      </c>
    </row>
    <row r="1279" spans="1:29" ht="11.65" hidden="1" x14ac:dyDescent="0.35">
      <c r="A1279" s="12">
        <v>1262</v>
      </c>
      <c r="B1279" s="10" t="s">
        <v>1015</v>
      </c>
      <c r="C1279" s="11" t="s">
        <v>1108</v>
      </c>
      <c r="D1279" s="9"/>
      <c r="E1279" s="9">
        <v>504</v>
      </c>
      <c r="F1279" s="10" t="s">
        <v>1066</v>
      </c>
      <c r="G1279" s="9">
        <v>912</v>
      </c>
      <c r="H1279" s="9">
        <v>1955</v>
      </c>
      <c r="I1279" s="8">
        <v>994.36599999999999</v>
      </c>
      <c r="J1279" s="8">
        <v>623.36199999999997</v>
      </c>
      <c r="K1279" s="8">
        <v>545.24900000000002</v>
      </c>
      <c r="L1279" s="8">
        <v>525.02099999999996</v>
      </c>
      <c r="M1279" s="8">
        <v>502.39800000000002</v>
      </c>
      <c r="N1279" s="8">
        <v>466.53</v>
      </c>
      <c r="O1279" s="8">
        <v>364.61799999999999</v>
      </c>
      <c r="P1279" s="8">
        <v>251.08699999999999</v>
      </c>
      <c r="Q1279" s="8">
        <v>194.05699999999999</v>
      </c>
      <c r="R1279" s="8">
        <v>192.065</v>
      </c>
      <c r="S1279" s="8">
        <v>188.36</v>
      </c>
      <c r="T1279" s="8">
        <v>153.41999999999999</v>
      </c>
      <c r="U1279" s="8">
        <v>113.46899999999999</v>
      </c>
      <c r="V1279" s="8">
        <v>70.313000000000002</v>
      </c>
      <c r="W1279" s="8">
        <v>51.3</v>
      </c>
      <c r="X1279" s="8">
        <v>27.312999999999999</v>
      </c>
      <c r="Y1279" s="8">
        <v>9.8309999999999995</v>
      </c>
      <c r="Z1279" s="8">
        <v>1.8640000000000001</v>
      </c>
      <c r="AA1279" s="8">
        <v>0.35</v>
      </c>
      <c r="AB1279" s="8">
        <v>3.6999999999999998E-2</v>
      </c>
      <c r="AC1279" s="8">
        <v>2E-3</v>
      </c>
    </row>
    <row r="1280" spans="1:29" ht="11.65" hidden="1" x14ac:dyDescent="0.35">
      <c r="A1280" s="12">
        <v>1263</v>
      </c>
      <c r="B1280" s="10" t="s">
        <v>1015</v>
      </c>
      <c r="C1280" s="11" t="s">
        <v>1108</v>
      </c>
      <c r="D1280" s="9"/>
      <c r="E1280" s="9">
        <v>504</v>
      </c>
      <c r="F1280" s="10" t="s">
        <v>1066</v>
      </c>
      <c r="G1280" s="9">
        <v>912</v>
      </c>
      <c r="H1280" s="9">
        <v>1960</v>
      </c>
      <c r="I1280" s="8">
        <v>1187.5340000000001</v>
      </c>
      <c r="J1280" s="8">
        <v>921.27599999999995</v>
      </c>
      <c r="K1280" s="8">
        <v>613.03300000000002</v>
      </c>
      <c r="L1280" s="8">
        <v>535.81700000000001</v>
      </c>
      <c r="M1280" s="8">
        <v>511.98700000000002</v>
      </c>
      <c r="N1280" s="8">
        <v>487.63499999999999</v>
      </c>
      <c r="O1280" s="8">
        <v>452.02600000000001</v>
      </c>
      <c r="P1280" s="8">
        <v>352.55099999999999</v>
      </c>
      <c r="Q1280" s="8">
        <v>241.96100000000001</v>
      </c>
      <c r="R1280" s="8">
        <v>186.31299999999999</v>
      </c>
      <c r="S1280" s="8">
        <v>182.69900000000001</v>
      </c>
      <c r="T1280" s="8">
        <v>175.976</v>
      </c>
      <c r="U1280" s="8">
        <v>138.38</v>
      </c>
      <c r="V1280" s="8">
        <v>96.123000000000005</v>
      </c>
      <c r="W1280" s="8">
        <v>53.512999999999998</v>
      </c>
      <c r="X1280" s="8">
        <v>32.515999999999998</v>
      </c>
      <c r="Y1280" s="8">
        <v>12.871</v>
      </c>
      <c r="Z1280" s="8">
        <v>3.0190000000000001</v>
      </c>
      <c r="AA1280" s="8">
        <v>0.33</v>
      </c>
      <c r="AB1280" s="8">
        <v>3.3000000000000002E-2</v>
      </c>
      <c r="AC1280" s="8">
        <v>2E-3</v>
      </c>
    </row>
    <row r="1281" spans="1:29" ht="11.65" hidden="1" x14ac:dyDescent="0.35">
      <c r="A1281" s="12">
        <v>1264</v>
      </c>
      <c r="B1281" s="10" t="s">
        <v>1015</v>
      </c>
      <c r="C1281" s="11" t="s">
        <v>1108</v>
      </c>
      <c r="D1281" s="9"/>
      <c r="E1281" s="9">
        <v>504</v>
      </c>
      <c r="F1281" s="10" t="s">
        <v>1066</v>
      </c>
      <c r="G1281" s="9">
        <v>912</v>
      </c>
      <c r="H1281" s="9">
        <v>1965</v>
      </c>
      <c r="I1281" s="8">
        <v>1343.1949999999999</v>
      </c>
      <c r="J1281" s="8">
        <v>1100.8869999999999</v>
      </c>
      <c r="K1281" s="8">
        <v>904.13300000000004</v>
      </c>
      <c r="L1281" s="8">
        <v>599.72900000000004</v>
      </c>
      <c r="M1281" s="8">
        <v>521.54399999999998</v>
      </c>
      <c r="N1281" s="8">
        <v>497.971</v>
      </c>
      <c r="O1281" s="8">
        <v>473.66500000000002</v>
      </c>
      <c r="P1281" s="8">
        <v>437.983</v>
      </c>
      <c r="Q1281" s="8">
        <v>340.25200000000001</v>
      </c>
      <c r="R1281" s="8">
        <v>232.55199999999999</v>
      </c>
      <c r="S1281" s="8">
        <v>177.34200000000001</v>
      </c>
      <c r="T1281" s="8">
        <v>170.83699999999999</v>
      </c>
      <c r="U1281" s="8">
        <v>159.03399999999999</v>
      </c>
      <c r="V1281" s="8">
        <v>117.705</v>
      </c>
      <c r="W1281" s="8">
        <v>73.727999999999994</v>
      </c>
      <c r="X1281" s="8">
        <v>34.392000000000003</v>
      </c>
      <c r="Y1281" s="8">
        <v>15.692</v>
      </c>
      <c r="Z1281" s="8">
        <v>4.1029999999999998</v>
      </c>
      <c r="AA1281" s="8">
        <v>0.56399999999999995</v>
      </c>
      <c r="AB1281" s="8">
        <v>3.3000000000000002E-2</v>
      </c>
      <c r="AC1281" s="8">
        <v>2E-3</v>
      </c>
    </row>
    <row r="1282" spans="1:29" ht="11.65" hidden="1" x14ac:dyDescent="0.35">
      <c r="A1282" s="12">
        <v>1265</v>
      </c>
      <c r="B1282" s="10" t="s">
        <v>1015</v>
      </c>
      <c r="C1282" s="11" t="s">
        <v>1108</v>
      </c>
      <c r="D1282" s="9"/>
      <c r="E1282" s="9">
        <v>504</v>
      </c>
      <c r="F1282" s="10" t="s">
        <v>1066</v>
      </c>
      <c r="G1282" s="9">
        <v>912</v>
      </c>
      <c r="H1282" s="9">
        <v>1970</v>
      </c>
      <c r="I1282" s="8">
        <v>1409.2190000000001</v>
      </c>
      <c r="J1282" s="8">
        <v>1251.076</v>
      </c>
      <c r="K1282" s="8">
        <v>1077.0820000000001</v>
      </c>
      <c r="L1282" s="8">
        <v>827.18200000000002</v>
      </c>
      <c r="M1282" s="8">
        <v>507.11</v>
      </c>
      <c r="N1282" s="8">
        <v>485.07400000000001</v>
      </c>
      <c r="O1282" s="8">
        <v>480.13400000000001</v>
      </c>
      <c r="P1282" s="8">
        <v>457.30099999999999</v>
      </c>
      <c r="Q1282" s="8">
        <v>422.18900000000002</v>
      </c>
      <c r="R1282" s="8">
        <v>326.99900000000002</v>
      </c>
      <c r="S1282" s="8">
        <v>222.244</v>
      </c>
      <c r="T1282" s="8">
        <v>167.31800000000001</v>
      </c>
      <c r="U1282" s="8">
        <v>155.989</v>
      </c>
      <c r="V1282" s="8">
        <v>137.071</v>
      </c>
      <c r="W1282" s="8">
        <v>91.980999999999995</v>
      </c>
      <c r="X1282" s="8">
        <v>48.62</v>
      </c>
      <c r="Y1282" s="8">
        <v>17.254999999999999</v>
      </c>
      <c r="Z1282" s="8">
        <v>5.27</v>
      </c>
      <c r="AA1282" s="8">
        <v>0.81699999999999995</v>
      </c>
      <c r="AB1282" s="8">
        <v>5.8999999999999997E-2</v>
      </c>
      <c r="AC1282" s="8">
        <v>2E-3</v>
      </c>
    </row>
    <row r="1283" spans="1:29" ht="11.65" hidden="1" x14ac:dyDescent="0.35">
      <c r="A1283" s="12">
        <v>1266</v>
      </c>
      <c r="B1283" s="10" t="s">
        <v>1015</v>
      </c>
      <c r="C1283" s="11" t="s">
        <v>1108</v>
      </c>
      <c r="D1283" s="9"/>
      <c r="E1283" s="9">
        <v>504</v>
      </c>
      <c r="F1283" s="10" t="s">
        <v>1066</v>
      </c>
      <c r="G1283" s="9">
        <v>912</v>
      </c>
      <c r="H1283" s="9">
        <v>1975</v>
      </c>
      <c r="I1283" s="8">
        <v>1447.46</v>
      </c>
      <c r="J1283" s="8">
        <v>1320.624</v>
      </c>
      <c r="K1283" s="8">
        <v>1224.366</v>
      </c>
      <c r="L1283" s="8">
        <v>1025.6569999999999</v>
      </c>
      <c r="M1283" s="8">
        <v>740.88400000000001</v>
      </c>
      <c r="N1283" s="8">
        <v>446.43</v>
      </c>
      <c r="O1283" s="8">
        <v>454.87299999999999</v>
      </c>
      <c r="P1283" s="8">
        <v>453.46600000000001</v>
      </c>
      <c r="Q1283" s="8">
        <v>436.33499999999998</v>
      </c>
      <c r="R1283" s="8">
        <v>406.661</v>
      </c>
      <c r="S1283" s="8">
        <v>312.96699999999998</v>
      </c>
      <c r="T1283" s="8">
        <v>209.93100000000001</v>
      </c>
      <c r="U1283" s="8">
        <v>153.36099999999999</v>
      </c>
      <c r="V1283" s="8">
        <v>135.31100000000001</v>
      </c>
      <c r="W1283" s="8">
        <v>108.149</v>
      </c>
      <c r="X1283" s="8">
        <v>61.646999999999998</v>
      </c>
      <c r="Y1283" s="8">
        <v>25.021999999999998</v>
      </c>
      <c r="Z1283" s="8">
        <v>6.0270000000000001</v>
      </c>
      <c r="AA1283" s="8">
        <v>1.103</v>
      </c>
      <c r="AB1283" s="8">
        <v>9.1999999999999998E-2</v>
      </c>
      <c r="AC1283" s="8">
        <v>4.0000000000000001E-3</v>
      </c>
    </row>
    <row r="1284" spans="1:29" ht="11.65" hidden="1" x14ac:dyDescent="0.35">
      <c r="A1284" s="12">
        <v>1267</v>
      </c>
      <c r="B1284" s="10" t="s">
        <v>1015</v>
      </c>
      <c r="C1284" s="11" t="s">
        <v>1108</v>
      </c>
      <c r="D1284" s="9"/>
      <c r="E1284" s="9">
        <v>504</v>
      </c>
      <c r="F1284" s="10" t="s">
        <v>1066</v>
      </c>
      <c r="G1284" s="9">
        <v>912</v>
      </c>
      <c r="H1284" s="9">
        <v>1980</v>
      </c>
      <c r="I1284" s="8">
        <v>1562.3140000000001</v>
      </c>
      <c r="J1284" s="8">
        <v>1375.48</v>
      </c>
      <c r="K1284" s="8">
        <v>1300.0309999999999</v>
      </c>
      <c r="L1284" s="8">
        <v>1182.9549999999999</v>
      </c>
      <c r="M1284" s="8">
        <v>962.14599999999996</v>
      </c>
      <c r="N1284" s="8">
        <v>699.45600000000002</v>
      </c>
      <c r="O1284" s="8">
        <v>428.54399999999998</v>
      </c>
      <c r="P1284" s="8">
        <v>438.69900000000001</v>
      </c>
      <c r="Q1284" s="8">
        <v>438.56700000000001</v>
      </c>
      <c r="R1284" s="8">
        <v>421.19299999999998</v>
      </c>
      <c r="S1284" s="8">
        <v>390.04399999999998</v>
      </c>
      <c r="T1284" s="8">
        <v>296.10199999999998</v>
      </c>
      <c r="U1284" s="8">
        <v>193.06800000000001</v>
      </c>
      <c r="V1284" s="8">
        <v>134.01599999999999</v>
      </c>
      <c r="W1284" s="8">
        <v>107.998</v>
      </c>
      <c r="X1284" s="8">
        <v>73.774000000000001</v>
      </c>
      <c r="Y1284" s="8">
        <v>32.6</v>
      </c>
      <c r="Z1284" s="8">
        <v>9.0869999999999997</v>
      </c>
      <c r="AA1284" s="8">
        <v>1.3280000000000001</v>
      </c>
      <c r="AB1284" s="8">
        <v>0.13300000000000001</v>
      </c>
      <c r="AC1284" s="8">
        <v>6.0000000000000001E-3</v>
      </c>
    </row>
    <row r="1285" spans="1:29" ht="11.65" hidden="1" x14ac:dyDescent="0.35">
      <c r="A1285" s="12">
        <v>1268</v>
      </c>
      <c r="B1285" s="10" t="s">
        <v>1015</v>
      </c>
      <c r="C1285" s="11" t="s">
        <v>1108</v>
      </c>
      <c r="D1285" s="9"/>
      <c r="E1285" s="9">
        <v>504</v>
      </c>
      <c r="F1285" s="10" t="s">
        <v>1066</v>
      </c>
      <c r="G1285" s="9">
        <v>912</v>
      </c>
      <c r="H1285" s="9">
        <v>1985</v>
      </c>
      <c r="I1285" s="8">
        <v>1717.5070000000001</v>
      </c>
      <c r="J1285" s="8">
        <v>1509.0630000000001</v>
      </c>
      <c r="K1285" s="8">
        <v>1359.922</v>
      </c>
      <c r="L1285" s="8">
        <v>1263.048</v>
      </c>
      <c r="M1285" s="8">
        <v>1116.068</v>
      </c>
      <c r="N1285" s="8">
        <v>911.61099999999999</v>
      </c>
      <c r="O1285" s="8">
        <v>678.31899999999996</v>
      </c>
      <c r="P1285" s="8">
        <v>416.89699999999999</v>
      </c>
      <c r="Q1285" s="8">
        <v>426.53699999999998</v>
      </c>
      <c r="R1285" s="8">
        <v>425.53100000000001</v>
      </c>
      <c r="S1285" s="8">
        <v>406.15800000000002</v>
      </c>
      <c r="T1285" s="8">
        <v>371.25400000000002</v>
      </c>
      <c r="U1285" s="8">
        <v>274.61399999999998</v>
      </c>
      <c r="V1285" s="8">
        <v>171.005</v>
      </c>
      <c r="W1285" s="8">
        <v>109.295</v>
      </c>
      <c r="X1285" s="8">
        <v>76.073999999999998</v>
      </c>
      <c r="Y1285" s="8">
        <v>40.795999999999999</v>
      </c>
      <c r="Z1285" s="8">
        <v>12.551</v>
      </c>
      <c r="AA1285" s="8">
        <v>2.145</v>
      </c>
      <c r="AB1285" s="8">
        <v>0.17299999999999999</v>
      </c>
      <c r="AC1285" s="8">
        <v>8.9999999999999993E-3</v>
      </c>
    </row>
    <row r="1286" spans="1:29" ht="11.65" hidden="1" x14ac:dyDescent="0.35">
      <c r="A1286" s="12">
        <v>1269</v>
      </c>
      <c r="B1286" s="10" t="s">
        <v>1015</v>
      </c>
      <c r="C1286" s="11" t="s">
        <v>1108</v>
      </c>
      <c r="D1286" s="9"/>
      <c r="E1286" s="9">
        <v>504</v>
      </c>
      <c r="F1286" s="10" t="s">
        <v>1066</v>
      </c>
      <c r="G1286" s="9">
        <v>912</v>
      </c>
      <c r="H1286" s="9">
        <v>1990</v>
      </c>
      <c r="I1286" s="8">
        <v>1656.875</v>
      </c>
      <c r="J1286" s="8">
        <v>1668.7280000000001</v>
      </c>
      <c r="K1286" s="8">
        <v>1490.7049999999999</v>
      </c>
      <c r="L1286" s="8">
        <v>1322.5219999999999</v>
      </c>
      <c r="M1286" s="8">
        <v>1195.2629999999999</v>
      </c>
      <c r="N1286" s="8">
        <v>1055.1500000000001</v>
      </c>
      <c r="O1286" s="8">
        <v>881.58799999999997</v>
      </c>
      <c r="P1286" s="8">
        <v>662.67100000000005</v>
      </c>
      <c r="Q1286" s="8">
        <v>404.87599999999998</v>
      </c>
      <c r="R1286" s="8">
        <v>414.78399999999999</v>
      </c>
      <c r="S1286" s="8">
        <v>412.30099999999999</v>
      </c>
      <c r="T1286" s="8">
        <v>388.86500000000001</v>
      </c>
      <c r="U1286" s="8">
        <v>347.01600000000002</v>
      </c>
      <c r="V1286" s="8">
        <v>245.92599999999999</v>
      </c>
      <c r="W1286" s="8">
        <v>141.77600000000001</v>
      </c>
      <c r="X1286" s="8">
        <v>78.998000000000005</v>
      </c>
      <c r="Y1286" s="8">
        <v>43.618000000000002</v>
      </c>
      <c r="Z1286" s="8">
        <v>16.471</v>
      </c>
      <c r="AA1286" s="8">
        <v>3.1339999999999999</v>
      </c>
      <c r="AB1286" s="8">
        <v>0.29399999999999998</v>
      </c>
      <c r="AC1286" s="8">
        <v>1.2E-2</v>
      </c>
    </row>
    <row r="1287" spans="1:29" ht="11.65" hidden="1" x14ac:dyDescent="0.35">
      <c r="A1287" s="12">
        <v>1270</v>
      </c>
      <c r="B1287" s="10" t="s">
        <v>1015</v>
      </c>
      <c r="C1287" s="11" t="s">
        <v>1108</v>
      </c>
      <c r="D1287" s="9"/>
      <c r="E1287" s="9">
        <v>504</v>
      </c>
      <c r="F1287" s="10" t="s">
        <v>1066</v>
      </c>
      <c r="G1287" s="9">
        <v>912</v>
      </c>
      <c r="H1287" s="9">
        <v>1995</v>
      </c>
      <c r="I1287" s="8">
        <v>1622.202</v>
      </c>
      <c r="J1287" s="8">
        <v>1622.8620000000001</v>
      </c>
      <c r="K1287" s="8">
        <v>1651.63</v>
      </c>
      <c r="L1287" s="8">
        <v>1449.11</v>
      </c>
      <c r="M1287" s="8">
        <v>1249.3040000000001</v>
      </c>
      <c r="N1287" s="8">
        <v>1118.028</v>
      </c>
      <c r="O1287" s="8">
        <v>1007.947</v>
      </c>
      <c r="P1287" s="8">
        <v>863.91399999999999</v>
      </c>
      <c r="Q1287" s="8">
        <v>666.28399999999999</v>
      </c>
      <c r="R1287" s="8">
        <v>421.14800000000002</v>
      </c>
      <c r="S1287" s="8">
        <v>422.15600000000001</v>
      </c>
      <c r="T1287" s="8">
        <v>409.41</v>
      </c>
      <c r="U1287" s="8">
        <v>369.34399999999999</v>
      </c>
      <c r="V1287" s="8">
        <v>313.23500000000001</v>
      </c>
      <c r="W1287" s="8">
        <v>206.33600000000001</v>
      </c>
      <c r="X1287" s="8">
        <v>104.5</v>
      </c>
      <c r="Y1287" s="8">
        <v>46.658000000000001</v>
      </c>
      <c r="Z1287" s="8">
        <v>18.324000000000002</v>
      </c>
      <c r="AA1287" s="8">
        <v>4.3120000000000003</v>
      </c>
      <c r="AB1287" s="8">
        <v>0.45</v>
      </c>
      <c r="AC1287" s="8">
        <v>2.1999999999999999E-2</v>
      </c>
    </row>
    <row r="1288" spans="1:29" ht="11.65" hidden="1" x14ac:dyDescent="0.35">
      <c r="A1288" s="12">
        <v>1271</v>
      </c>
      <c r="B1288" s="10" t="s">
        <v>1015</v>
      </c>
      <c r="C1288" s="11" t="s">
        <v>1108</v>
      </c>
      <c r="D1288" s="9"/>
      <c r="E1288" s="9">
        <v>504</v>
      </c>
      <c r="F1288" s="10" t="s">
        <v>1066</v>
      </c>
      <c r="G1288" s="9">
        <v>912</v>
      </c>
      <c r="H1288" s="9">
        <v>2000</v>
      </c>
      <c r="I1288" s="8">
        <v>1498.6379999999999</v>
      </c>
      <c r="J1288" s="8">
        <v>1601.057</v>
      </c>
      <c r="K1288" s="8">
        <v>1609.0419999999999</v>
      </c>
      <c r="L1288" s="8">
        <v>1615.7339999999999</v>
      </c>
      <c r="M1288" s="8">
        <v>1386.633</v>
      </c>
      <c r="N1288" s="8">
        <v>1197.4760000000001</v>
      </c>
      <c r="O1288" s="8">
        <v>1074.5029999999999</v>
      </c>
      <c r="P1288" s="8">
        <v>974.298</v>
      </c>
      <c r="Q1288" s="8">
        <v>849.93499999999995</v>
      </c>
      <c r="R1288" s="8">
        <v>657.45899999999995</v>
      </c>
      <c r="S1288" s="8">
        <v>418.09899999999999</v>
      </c>
      <c r="T1288" s="8">
        <v>412.48599999999999</v>
      </c>
      <c r="U1288" s="8">
        <v>388.41699999999997</v>
      </c>
      <c r="V1288" s="8">
        <v>334.94600000000003</v>
      </c>
      <c r="W1288" s="8">
        <v>264.36700000000002</v>
      </c>
      <c r="X1288" s="8">
        <v>153.529</v>
      </c>
      <c r="Y1288" s="8">
        <v>62.655000000000001</v>
      </c>
      <c r="Z1288" s="8">
        <v>20.048999999999999</v>
      </c>
      <c r="AA1288" s="8">
        <v>4.9409999999999998</v>
      </c>
      <c r="AB1288" s="8">
        <v>0.64200000000000002</v>
      </c>
      <c r="AC1288" s="8">
        <v>3.5000000000000003E-2</v>
      </c>
    </row>
    <row r="1289" spans="1:29" ht="11.65" hidden="1" x14ac:dyDescent="0.35">
      <c r="A1289" s="12">
        <v>1272</v>
      </c>
      <c r="B1289" s="10" t="s">
        <v>1015</v>
      </c>
      <c r="C1289" s="11" t="s">
        <v>1108</v>
      </c>
      <c r="D1289" s="9"/>
      <c r="E1289" s="9">
        <v>504</v>
      </c>
      <c r="F1289" s="10" t="s">
        <v>1066</v>
      </c>
      <c r="G1289" s="9">
        <v>912</v>
      </c>
      <c r="H1289" s="9">
        <v>2005</v>
      </c>
      <c r="I1289" s="8">
        <v>1498.5409999999999</v>
      </c>
      <c r="J1289" s="8">
        <v>1477.883</v>
      </c>
      <c r="K1289" s="8">
        <v>1591.2470000000001</v>
      </c>
      <c r="L1289" s="8">
        <v>1569.954</v>
      </c>
      <c r="M1289" s="8">
        <v>1533.7729999999999</v>
      </c>
      <c r="N1289" s="8">
        <v>1319.81</v>
      </c>
      <c r="O1289" s="8">
        <v>1162.55</v>
      </c>
      <c r="P1289" s="8">
        <v>1046.0920000000001</v>
      </c>
      <c r="Q1289" s="8">
        <v>955.03099999999995</v>
      </c>
      <c r="R1289" s="8">
        <v>838.62800000000004</v>
      </c>
      <c r="S1289" s="8">
        <v>644.98599999999999</v>
      </c>
      <c r="T1289" s="8">
        <v>406.04700000000003</v>
      </c>
      <c r="U1289" s="8">
        <v>392.54</v>
      </c>
      <c r="V1289" s="8">
        <v>356.41500000000002</v>
      </c>
      <c r="W1289" s="8">
        <v>287.41000000000003</v>
      </c>
      <c r="X1289" s="8">
        <v>201.471</v>
      </c>
      <c r="Y1289" s="8">
        <v>95.965000000000003</v>
      </c>
      <c r="Z1289" s="8">
        <v>26.934000000000001</v>
      </c>
      <c r="AA1289" s="8">
        <v>4.5439999999999996</v>
      </c>
      <c r="AB1289" s="8">
        <v>0.58899999999999997</v>
      </c>
      <c r="AC1289" s="8">
        <v>4.9000000000000002E-2</v>
      </c>
    </row>
    <row r="1290" spans="1:29" ht="11.65" hidden="1" x14ac:dyDescent="0.35">
      <c r="A1290" s="12">
        <v>1273</v>
      </c>
      <c r="B1290" s="10" t="s">
        <v>1015</v>
      </c>
      <c r="C1290" s="11" t="s">
        <v>1108</v>
      </c>
      <c r="D1290" s="9"/>
      <c r="E1290" s="9">
        <v>504</v>
      </c>
      <c r="F1290" s="10" t="s">
        <v>1066</v>
      </c>
      <c r="G1290" s="9">
        <v>912</v>
      </c>
      <c r="H1290" s="9">
        <v>2010</v>
      </c>
      <c r="I1290" s="8">
        <v>1543.675</v>
      </c>
      <c r="J1290" s="8">
        <v>1479.4069999999999</v>
      </c>
      <c r="K1290" s="8">
        <v>1469.3119999999999</v>
      </c>
      <c r="L1290" s="8">
        <v>1564.8240000000001</v>
      </c>
      <c r="M1290" s="8">
        <v>1515.463</v>
      </c>
      <c r="N1290" s="8">
        <v>1481.356</v>
      </c>
      <c r="O1290" s="8">
        <v>1283.2439999999999</v>
      </c>
      <c r="P1290" s="8">
        <v>1136.825</v>
      </c>
      <c r="Q1290" s="8">
        <v>1028.9359999999999</v>
      </c>
      <c r="R1290" s="8">
        <v>941.45799999999997</v>
      </c>
      <c r="S1290" s="8">
        <v>825.64800000000002</v>
      </c>
      <c r="T1290" s="8">
        <v>631.649</v>
      </c>
      <c r="U1290" s="8">
        <v>392.267</v>
      </c>
      <c r="V1290" s="8">
        <v>370.01100000000002</v>
      </c>
      <c r="W1290" s="8">
        <v>318.851</v>
      </c>
      <c r="X1290" s="8">
        <v>234.02799999999999</v>
      </c>
      <c r="Y1290" s="8">
        <v>132.28</v>
      </c>
      <c r="Z1290" s="8">
        <v>40.738</v>
      </c>
      <c r="AA1290" s="8">
        <v>6.0259999999999998</v>
      </c>
      <c r="AB1290" s="8">
        <v>0.52200000000000002</v>
      </c>
      <c r="AC1290" s="8">
        <v>4.4999999999999998E-2</v>
      </c>
    </row>
    <row r="1291" spans="1:29" ht="11.65" hidden="1" x14ac:dyDescent="0.35">
      <c r="A1291" s="12">
        <v>1274</v>
      </c>
      <c r="B1291" s="10" t="s">
        <v>1015</v>
      </c>
      <c r="C1291" s="11" t="s">
        <v>1108</v>
      </c>
      <c r="D1291" s="9"/>
      <c r="E1291" s="9">
        <v>504</v>
      </c>
      <c r="F1291" s="10" t="s">
        <v>1066</v>
      </c>
      <c r="G1291" s="9">
        <v>912</v>
      </c>
      <c r="H1291" s="9">
        <v>2015</v>
      </c>
      <c r="I1291" s="8">
        <v>1680.8779999999999</v>
      </c>
      <c r="J1291" s="8">
        <v>1528.6489999999999</v>
      </c>
      <c r="K1291" s="8">
        <v>1469.633</v>
      </c>
      <c r="L1291" s="8">
        <v>1442.211</v>
      </c>
      <c r="M1291" s="8">
        <v>1515.59</v>
      </c>
      <c r="N1291" s="8">
        <v>1459.8689999999999</v>
      </c>
      <c r="O1291" s="8">
        <v>1434.675</v>
      </c>
      <c r="P1291" s="8">
        <v>1258.482</v>
      </c>
      <c r="Q1291" s="8">
        <v>1126.4459999999999</v>
      </c>
      <c r="R1291" s="8">
        <v>1019.514</v>
      </c>
      <c r="S1291" s="8">
        <v>930.50099999999998</v>
      </c>
      <c r="T1291" s="8">
        <v>811.84</v>
      </c>
      <c r="U1291" s="8">
        <v>614.25400000000002</v>
      </c>
      <c r="V1291" s="8">
        <v>373.44900000000001</v>
      </c>
      <c r="W1291" s="8">
        <v>335.48200000000003</v>
      </c>
      <c r="X1291" s="8">
        <v>265.16399999999999</v>
      </c>
      <c r="Y1291" s="8">
        <v>158.71899999999999</v>
      </c>
      <c r="Z1291" s="8">
        <v>57.564999999999998</v>
      </c>
      <c r="AA1291" s="8">
        <v>8.9589999999999996</v>
      </c>
      <c r="AB1291" s="8">
        <v>0.65400000000000003</v>
      </c>
      <c r="AC1291" s="8">
        <v>3.5000000000000003E-2</v>
      </c>
    </row>
    <row r="1292" spans="1:29" ht="11.65" hidden="1" x14ac:dyDescent="0.35">
      <c r="A1292" s="12">
        <v>1275</v>
      </c>
      <c r="B1292" s="10" t="s">
        <v>1015</v>
      </c>
      <c r="C1292" s="11" t="s">
        <v>1108</v>
      </c>
      <c r="D1292" s="9"/>
      <c r="E1292" s="9">
        <v>504</v>
      </c>
      <c r="F1292" s="10" t="s">
        <v>1066</v>
      </c>
      <c r="G1292" s="9">
        <v>912</v>
      </c>
      <c r="H1292" s="9">
        <v>2020</v>
      </c>
      <c r="I1292" s="8">
        <v>1618.7080000000001</v>
      </c>
      <c r="J1292" s="8">
        <v>1669.826</v>
      </c>
      <c r="K1292" s="8">
        <v>1521.63</v>
      </c>
      <c r="L1292" s="8">
        <v>1451.08</v>
      </c>
      <c r="M1292" s="8">
        <v>1408.722</v>
      </c>
      <c r="N1292" s="8">
        <v>1487.258</v>
      </c>
      <c r="O1292" s="8">
        <v>1444.1189999999999</v>
      </c>
      <c r="P1292" s="8">
        <v>1422.751</v>
      </c>
      <c r="Q1292" s="8">
        <v>1248.72</v>
      </c>
      <c r="R1292" s="8">
        <v>1116.799</v>
      </c>
      <c r="S1292" s="8">
        <v>1008.5650000000001</v>
      </c>
      <c r="T1292" s="8">
        <v>916.08900000000006</v>
      </c>
      <c r="U1292" s="8">
        <v>791.202</v>
      </c>
      <c r="V1292" s="8">
        <v>587.08900000000006</v>
      </c>
      <c r="W1292" s="8">
        <v>341.85</v>
      </c>
      <c r="X1292" s="8">
        <v>284.02800000000002</v>
      </c>
      <c r="Y1292" s="8">
        <v>186.22399999999999</v>
      </c>
      <c r="Z1292" s="8">
        <v>73.834999999999994</v>
      </c>
      <c r="AA1292" s="8">
        <v>14.032999999999999</v>
      </c>
      <c r="AB1292" s="8">
        <v>1.095</v>
      </c>
      <c r="AC1292" s="8">
        <v>4.8000000000000001E-2</v>
      </c>
    </row>
    <row r="1293" spans="1:29" ht="11.65" hidden="1" x14ac:dyDescent="0.35">
      <c r="A1293" s="12">
        <v>1276</v>
      </c>
      <c r="B1293" s="10" t="s">
        <v>1015</v>
      </c>
      <c r="C1293" s="11" t="s">
        <v>1109</v>
      </c>
      <c r="D1293" s="9"/>
      <c r="E1293" s="9">
        <v>729</v>
      </c>
      <c r="F1293" s="10" t="s">
        <v>1066</v>
      </c>
      <c r="G1293" s="9">
        <v>912</v>
      </c>
      <c r="H1293" s="9">
        <v>1950</v>
      </c>
      <c r="I1293" s="8">
        <v>511.41500000000002</v>
      </c>
      <c r="J1293" s="8">
        <v>398.31900000000002</v>
      </c>
      <c r="K1293" s="8">
        <v>336.79</v>
      </c>
      <c r="L1293" s="8">
        <v>288.83800000000002</v>
      </c>
      <c r="M1293" s="8">
        <v>247.36199999999999</v>
      </c>
      <c r="N1293" s="8">
        <v>209.679</v>
      </c>
      <c r="O1293" s="8">
        <v>175.90700000000001</v>
      </c>
      <c r="P1293" s="8">
        <v>148.601</v>
      </c>
      <c r="Q1293" s="8">
        <v>126.971</v>
      </c>
      <c r="R1293" s="8">
        <v>104.193</v>
      </c>
      <c r="S1293" s="8">
        <v>85.256</v>
      </c>
      <c r="T1293" s="8">
        <v>74.558000000000007</v>
      </c>
      <c r="U1293" s="8">
        <v>59.899000000000001</v>
      </c>
      <c r="V1293" s="8">
        <v>45.112000000000002</v>
      </c>
      <c r="W1293" s="8">
        <v>30.829000000000001</v>
      </c>
      <c r="X1293" s="8">
        <v>16.927</v>
      </c>
      <c r="Y1293" s="8">
        <v>6.0060000000000002</v>
      </c>
      <c r="Z1293" s="8">
        <v>1.996</v>
      </c>
      <c r="AA1293" s="8">
        <v>0.43</v>
      </c>
      <c r="AB1293" s="8">
        <v>5.6000000000000001E-2</v>
      </c>
      <c r="AC1293" s="8">
        <v>4.0000000000000001E-3</v>
      </c>
    </row>
    <row r="1294" spans="1:29" ht="11.65" hidden="1" x14ac:dyDescent="0.35">
      <c r="A1294" s="12">
        <v>1277</v>
      </c>
      <c r="B1294" s="10" t="s">
        <v>1015</v>
      </c>
      <c r="C1294" s="11" t="s">
        <v>1109</v>
      </c>
      <c r="D1294" s="9"/>
      <c r="E1294" s="9">
        <v>729</v>
      </c>
      <c r="F1294" s="10" t="s">
        <v>1066</v>
      </c>
      <c r="G1294" s="9">
        <v>912</v>
      </c>
      <c r="H1294" s="9">
        <v>1955</v>
      </c>
      <c r="I1294" s="8">
        <v>592.42100000000005</v>
      </c>
      <c r="J1294" s="8">
        <v>464.584</v>
      </c>
      <c r="K1294" s="8">
        <v>385.41800000000001</v>
      </c>
      <c r="L1294" s="8">
        <v>328.49599999999998</v>
      </c>
      <c r="M1294" s="8">
        <v>280.64499999999998</v>
      </c>
      <c r="N1294" s="8">
        <v>239.16399999999999</v>
      </c>
      <c r="O1294" s="8">
        <v>201.624</v>
      </c>
      <c r="P1294" s="8">
        <v>168.16300000000001</v>
      </c>
      <c r="Q1294" s="8">
        <v>141.221</v>
      </c>
      <c r="R1294" s="8">
        <v>120.04900000000001</v>
      </c>
      <c r="S1294" s="8">
        <v>97.575999999999993</v>
      </c>
      <c r="T1294" s="8">
        <v>78.242999999999995</v>
      </c>
      <c r="U1294" s="8">
        <v>66.016999999999996</v>
      </c>
      <c r="V1294" s="8">
        <v>49.872999999999998</v>
      </c>
      <c r="W1294" s="8">
        <v>33.954999999999998</v>
      </c>
      <c r="X1294" s="8">
        <v>19.896999999999998</v>
      </c>
      <c r="Y1294" s="8">
        <v>8.6660000000000004</v>
      </c>
      <c r="Z1294" s="8">
        <v>2.2040000000000002</v>
      </c>
      <c r="AA1294" s="8">
        <v>0.47899999999999998</v>
      </c>
      <c r="AB1294" s="8">
        <v>6.2E-2</v>
      </c>
      <c r="AC1294" s="8">
        <v>5.0000000000000001E-3</v>
      </c>
    </row>
    <row r="1295" spans="1:29" ht="11.65" hidden="1" x14ac:dyDescent="0.35">
      <c r="A1295" s="12">
        <v>1278</v>
      </c>
      <c r="B1295" s="10" t="s">
        <v>1015</v>
      </c>
      <c r="C1295" s="11" t="s">
        <v>1109</v>
      </c>
      <c r="D1295" s="9"/>
      <c r="E1295" s="9">
        <v>729</v>
      </c>
      <c r="F1295" s="10" t="s">
        <v>1066</v>
      </c>
      <c r="G1295" s="9">
        <v>912</v>
      </c>
      <c r="H1295" s="9">
        <v>1960</v>
      </c>
      <c r="I1295" s="8">
        <v>688.32500000000005</v>
      </c>
      <c r="J1295" s="8">
        <v>544.64700000000005</v>
      </c>
      <c r="K1295" s="8">
        <v>451.238</v>
      </c>
      <c r="L1295" s="8">
        <v>376.87799999999999</v>
      </c>
      <c r="M1295" s="8">
        <v>320.024</v>
      </c>
      <c r="N1295" s="8">
        <v>272.16300000000001</v>
      </c>
      <c r="O1295" s="8">
        <v>230.81200000000001</v>
      </c>
      <c r="P1295" s="8">
        <v>193.572</v>
      </c>
      <c r="Q1295" s="8">
        <v>160.55000000000001</v>
      </c>
      <c r="R1295" s="8">
        <v>134.154</v>
      </c>
      <c r="S1295" s="8">
        <v>112.998</v>
      </c>
      <c r="T1295" s="8">
        <v>90.126000000000005</v>
      </c>
      <c r="U1295" s="8">
        <v>69.905000000000001</v>
      </c>
      <c r="V1295" s="8">
        <v>55.661999999999999</v>
      </c>
      <c r="W1295" s="8">
        <v>38.223999999999997</v>
      </c>
      <c r="X1295" s="8">
        <v>22.481999999999999</v>
      </c>
      <c r="Y1295" s="8">
        <v>10.551</v>
      </c>
      <c r="Z1295" s="8">
        <v>3.3290000000000002</v>
      </c>
      <c r="AA1295" s="8">
        <v>0.55900000000000005</v>
      </c>
      <c r="AB1295" s="8">
        <v>7.2999999999999995E-2</v>
      </c>
      <c r="AC1295" s="8">
        <v>6.0000000000000001E-3</v>
      </c>
    </row>
    <row r="1296" spans="1:29" ht="11.65" hidden="1" x14ac:dyDescent="0.35">
      <c r="A1296" s="12">
        <v>1279</v>
      </c>
      <c r="B1296" s="10" t="s">
        <v>1015</v>
      </c>
      <c r="C1296" s="11" t="s">
        <v>1109</v>
      </c>
      <c r="D1296" s="9"/>
      <c r="E1296" s="9">
        <v>729</v>
      </c>
      <c r="F1296" s="10" t="s">
        <v>1066</v>
      </c>
      <c r="G1296" s="9">
        <v>912</v>
      </c>
      <c r="H1296" s="9">
        <v>1965</v>
      </c>
      <c r="I1296" s="8">
        <v>813.45799999999997</v>
      </c>
      <c r="J1296" s="8">
        <v>639.33799999999997</v>
      </c>
      <c r="K1296" s="8">
        <v>530.69299999999998</v>
      </c>
      <c r="L1296" s="8">
        <v>442.14400000000001</v>
      </c>
      <c r="M1296" s="8">
        <v>367.93</v>
      </c>
      <c r="N1296" s="8">
        <v>311.09500000000003</v>
      </c>
      <c r="O1296" s="8">
        <v>263.41300000000001</v>
      </c>
      <c r="P1296" s="8">
        <v>222.33199999999999</v>
      </c>
      <c r="Q1296" s="8">
        <v>185.465</v>
      </c>
      <c r="R1296" s="8">
        <v>153.06700000000001</v>
      </c>
      <c r="S1296" s="8">
        <v>126.754</v>
      </c>
      <c r="T1296" s="8">
        <v>104.867</v>
      </c>
      <c r="U1296" s="8">
        <v>81.058000000000007</v>
      </c>
      <c r="V1296" s="8">
        <v>59.478999999999999</v>
      </c>
      <c r="W1296" s="8">
        <v>43.212000000000003</v>
      </c>
      <c r="X1296" s="8">
        <v>25.756</v>
      </c>
      <c r="Y1296" s="8">
        <v>12.199</v>
      </c>
      <c r="Z1296" s="8">
        <v>4.1740000000000004</v>
      </c>
      <c r="AA1296" s="8">
        <v>0.872</v>
      </c>
      <c r="AB1296" s="8">
        <v>0.09</v>
      </c>
      <c r="AC1296" s="8">
        <v>7.0000000000000001E-3</v>
      </c>
    </row>
    <row r="1297" spans="1:29" ht="11.65" hidden="1" x14ac:dyDescent="0.35">
      <c r="A1297" s="12">
        <v>1280</v>
      </c>
      <c r="B1297" s="10" t="s">
        <v>1015</v>
      </c>
      <c r="C1297" s="11" t="s">
        <v>1109</v>
      </c>
      <c r="D1297" s="9"/>
      <c r="E1297" s="9">
        <v>729</v>
      </c>
      <c r="F1297" s="10" t="s">
        <v>1066</v>
      </c>
      <c r="G1297" s="9">
        <v>912</v>
      </c>
      <c r="H1297" s="9">
        <v>1970</v>
      </c>
      <c r="I1297" s="8">
        <v>968.38300000000004</v>
      </c>
      <c r="J1297" s="8">
        <v>762.55200000000002</v>
      </c>
      <c r="K1297" s="8">
        <v>624.78</v>
      </c>
      <c r="L1297" s="8">
        <v>521.01900000000001</v>
      </c>
      <c r="M1297" s="8">
        <v>432.53300000000002</v>
      </c>
      <c r="N1297" s="8">
        <v>358.48899999999998</v>
      </c>
      <c r="O1297" s="8">
        <v>301.904</v>
      </c>
      <c r="P1297" s="8">
        <v>254.52699999999999</v>
      </c>
      <c r="Q1297" s="8">
        <v>213.721</v>
      </c>
      <c r="R1297" s="8">
        <v>177.38399999999999</v>
      </c>
      <c r="S1297" s="8">
        <v>145.09700000000001</v>
      </c>
      <c r="T1297" s="8">
        <v>118.104</v>
      </c>
      <c r="U1297" s="8">
        <v>94.828000000000003</v>
      </c>
      <c r="V1297" s="8">
        <v>69.481999999999999</v>
      </c>
      <c r="W1297" s="8">
        <v>46.662999999999997</v>
      </c>
      <c r="X1297" s="8">
        <v>29.54</v>
      </c>
      <c r="Y1297" s="8">
        <v>14.238</v>
      </c>
      <c r="Z1297" s="8">
        <v>4.9379999999999997</v>
      </c>
      <c r="AA1297" s="8">
        <v>1.123</v>
      </c>
      <c r="AB1297" s="8">
        <v>0.14199999999999999</v>
      </c>
      <c r="AC1297" s="8">
        <v>8.9999999999999993E-3</v>
      </c>
    </row>
    <row r="1298" spans="1:29" ht="11.65" hidden="1" x14ac:dyDescent="0.35">
      <c r="A1298" s="12">
        <v>1281</v>
      </c>
      <c r="B1298" s="10" t="s">
        <v>1015</v>
      </c>
      <c r="C1298" s="11" t="s">
        <v>1109</v>
      </c>
      <c r="D1298" s="9"/>
      <c r="E1298" s="9">
        <v>729</v>
      </c>
      <c r="F1298" s="10" t="s">
        <v>1066</v>
      </c>
      <c r="G1298" s="9">
        <v>912</v>
      </c>
      <c r="H1298" s="9">
        <v>1975</v>
      </c>
      <c r="I1298" s="8">
        <v>1150.2059999999999</v>
      </c>
      <c r="J1298" s="8">
        <v>918.24099999999999</v>
      </c>
      <c r="K1298" s="8">
        <v>746.83299999999997</v>
      </c>
      <c r="L1298" s="8">
        <v>615.19500000000005</v>
      </c>
      <c r="M1298" s="8">
        <v>511.55500000000001</v>
      </c>
      <c r="N1298" s="8">
        <v>423.10700000000003</v>
      </c>
      <c r="O1298" s="8">
        <v>349.4</v>
      </c>
      <c r="P1298" s="8">
        <v>293.05399999999997</v>
      </c>
      <c r="Q1298" s="8">
        <v>245.85499999999999</v>
      </c>
      <c r="R1298" s="8">
        <v>205.363</v>
      </c>
      <c r="S1298" s="8">
        <v>168.929</v>
      </c>
      <c r="T1298" s="8">
        <v>135.91399999999999</v>
      </c>
      <c r="U1298" s="8">
        <v>107.5</v>
      </c>
      <c r="V1298" s="8">
        <v>82.027000000000001</v>
      </c>
      <c r="W1298" s="8">
        <v>55.283999999999999</v>
      </c>
      <c r="X1298" s="8">
        <v>32.353000000000002</v>
      </c>
      <c r="Y1298" s="8">
        <v>16.777000000000001</v>
      </c>
      <c r="Z1298" s="8">
        <v>6.008</v>
      </c>
      <c r="AA1298" s="8">
        <v>1.395</v>
      </c>
      <c r="AB1298" s="8">
        <v>0.19</v>
      </c>
      <c r="AC1298" s="8">
        <v>1.4E-2</v>
      </c>
    </row>
    <row r="1299" spans="1:29" ht="11.65" hidden="1" x14ac:dyDescent="0.35">
      <c r="A1299" s="12">
        <v>1282</v>
      </c>
      <c r="B1299" s="10" t="s">
        <v>1015</v>
      </c>
      <c r="C1299" s="11" t="s">
        <v>1109</v>
      </c>
      <c r="D1299" s="9"/>
      <c r="E1299" s="9">
        <v>729</v>
      </c>
      <c r="F1299" s="10" t="s">
        <v>1066</v>
      </c>
      <c r="G1299" s="9">
        <v>912</v>
      </c>
      <c r="H1299" s="9">
        <v>1980</v>
      </c>
      <c r="I1299" s="8">
        <v>1358.48</v>
      </c>
      <c r="J1299" s="8">
        <v>1107.576</v>
      </c>
      <c r="K1299" s="8">
        <v>911.06399999999996</v>
      </c>
      <c r="L1299" s="8">
        <v>744.76499999999999</v>
      </c>
      <c r="M1299" s="8">
        <v>611.76300000000003</v>
      </c>
      <c r="N1299" s="8">
        <v>506.86399999999998</v>
      </c>
      <c r="O1299" s="8">
        <v>417.76400000000001</v>
      </c>
      <c r="P1299" s="8">
        <v>343.661</v>
      </c>
      <c r="Q1299" s="8">
        <v>286.83300000000003</v>
      </c>
      <c r="R1299" s="8">
        <v>239.381</v>
      </c>
      <c r="S1299" s="8">
        <v>198.18600000000001</v>
      </c>
      <c r="T1299" s="8">
        <v>160.28800000000001</v>
      </c>
      <c r="U1299" s="8">
        <v>125.607</v>
      </c>
      <c r="V1299" s="8">
        <v>94.435000000000002</v>
      </c>
      <c r="W1299" s="8">
        <v>66.353999999999999</v>
      </c>
      <c r="X1299" s="8">
        <v>39.048000000000002</v>
      </c>
      <c r="Y1299" s="8">
        <v>18.814</v>
      </c>
      <c r="Z1299" s="8">
        <v>7.2229999999999999</v>
      </c>
      <c r="AA1299" s="8">
        <v>1.72</v>
      </c>
      <c r="AB1299" s="8">
        <v>0.24</v>
      </c>
      <c r="AC1299" s="8">
        <v>1.9E-2</v>
      </c>
    </row>
    <row r="1300" spans="1:29" ht="11.65" hidden="1" x14ac:dyDescent="0.35">
      <c r="A1300" s="12">
        <v>1283</v>
      </c>
      <c r="B1300" s="10" t="s">
        <v>1015</v>
      </c>
      <c r="C1300" s="11" t="s">
        <v>1109</v>
      </c>
      <c r="D1300" s="9"/>
      <c r="E1300" s="9">
        <v>729</v>
      </c>
      <c r="F1300" s="10" t="s">
        <v>1066</v>
      </c>
      <c r="G1300" s="9">
        <v>912</v>
      </c>
      <c r="H1300" s="9">
        <v>1985</v>
      </c>
      <c r="I1300" s="8">
        <v>1552.145</v>
      </c>
      <c r="J1300" s="8">
        <v>1310.454</v>
      </c>
      <c r="K1300" s="8">
        <v>1100.1010000000001</v>
      </c>
      <c r="L1300" s="8">
        <v>909.18100000000004</v>
      </c>
      <c r="M1300" s="8">
        <v>741.19200000000001</v>
      </c>
      <c r="N1300" s="8">
        <v>606.70799999999997</v>
      </c>
      <c r="O1300" s="8">
        <v>500.93799999999999</v>
      </c>
      <c r="P1300" s="8">
        <v>411.30599999999998</v>
      </c>
      <c r="Q1300" s="8">
        <v>336.74599999999998</v>
      </c>
      <c r="R1300" s="8">
        <v>279.59199999999998</v>
      </c>
      <c r="S1300" s="8">
        <v>231.27</v>
      </c>
      <c r="T1300" s="8">
        <v>188.131</v>
      </c>
      <c r="U1300" s="8">
        <v>148.47200000000001</v>
      </c>
      <c r="V1300" s="8">
        <v>110.57299999999999</v>
      </c>
      <c r="W1300" s="8">
        <v>76.614000000000004</v>
      </c>
      <c r="X1300" s="8">
        <v>47.03</v>
      </c>
      <c r="Y1300" s="8">
        <v>22.814</v>
      </c>
      <c r="Z1300" s="8">
        <v>8.1560000000000006</v>
      </c>
      <c r="AA1300" s="8">
        <v>2.081</v>
      </c>
      <c r="AB1300" s="8">
        <v>0.29899999999999999</v>
      </c>
      <c r="AC1300" s="8">
        <v>2.4E-2</v>
      </c>
    </row>
    <row r="1301" spans="1:29" ht="11.65" hidden="1" x14ac:dyDescent="0.35">
      <c r="A1301" s="12">
        <v>1284</v>
      </c>
      <c r="B1301" s="10" t="s">
        <v>1015</v>
      </c>
      <c r="C1301" s="11" t="s">
        <v>1109</v>
      </c>
      <c r="D1301" s="9"/>
      <c r="E1301" s="9">
        <v>729</v>
      </c>
      <c r="F1301" s="10" t="s">
        <v>1066</v>
      </c>
      <c r="G1301" s="9">
        <v>912</v>
      </c>
      <c r="H1301" s="9">
        <v>1990</v>
      </c>
      <c r="I1301" s="8">
        <v>1743.3820000000001</v>
      </c>
      <c r="J1301" s="8">
        <v>1491.827</v>
      </c>
      <c r="K1301" s="8">
        <v>1295.473</v>
      </c>
      <c r="L1301" s="8">
        <v>1092.0709999999999</v>
      </c>
      <c r="M1301" s="8">
        <v>900.04700000000003</v>
      </c>
      <c r="N1301" s="8">
        <v>731.26499999999999</v>
      </c>
      <c r="O1301" s="8">
        <v>596.62699999999995</v>
      </c>
      <c r="P1301" s="8">
        <v>490.79500000000002</v>
      </c>
      <c r="Q1301" s="8">
        <v>401.08699999999999</v>
      </c>
      <c r="R1301" s="8">
        <v>326.69600000000003</v>
      </c>
      <c r="S1301" s="8">
        <v>268.84699999999998</v>
      </c>
      <c r="T1301" s="8">
        <v>218.303</v>
      </c>
      <c r="U1301" s="8">
        <v>173.773</v>
      </c>
      <c r="V1301" s="8">
        <v>130.27199999999999</v>
      </c>
      <c r="W1301" s="8">
        <v>89.504000000000005</v>
      </c>
      <c r="X1301" s="8">
        <v>54.267000000000003</v>
      </c>
      <c r="Y1301" s="8">
        <v>27.468</v>
      </c>
      <c r="Z1301" s="8">
        <v>9.9309999999999992</v>
      </c>
      <c r="AA1301" s="8">
        <v>2.3759999999999999</v>
      </c>
      <c r="AB1301" s="8">
        <v>0.36499999999999999</v>
      </c>
      <c r="AC1301" s="8">
        <v>0.03</v>
      </c>
    </row>
    <row r="1302" spans="1:29" ht="11.65" hidden="1" x14ac:dyDescent="0.35">
      <c r="A1302" s="12">
        <v>1285</v>
      </c>
      <c r="B1302" s="10" t="s">
        <v>1015</v>
      </c>
      <c r="C1302" s="11" t="s">
        <v>1109</v>
      </c>
      <c r="D1302" s="9"/>
      <c r="E1302" s="9">
        <v>729</v>
      </c>
      <c r="F1302" s="10" t="s">
        <v>1066</v>
      </c>
      <c r="G1302" s="9">
        <v>912</v>
      </c>
      <c r="H1302" s="9">
        <v>1995</v>
      </c>
      <c r="I1302" s="8">
        <v>2060.2820000000002</v>
      </c>
      <c r="J1302" s="8">
        <v>1701.0909999999999</v>
      </c>
      <c r="K1302" s="8">
        <v>1496.3620000000001</v>
      </c>
      <c r="L1302" s="8">
        <v>1299.1120000000001</v>
      </c>
      <c r="M1302" s="8">
        <v>1087.6659999999999</v>
      </c>
      <c r="N1302" s="8">
        <v>905.04200000000003</v>
      </c>
      <c r="O1302" s="8">
        <v>744.44799999999998</v>
      </c>
      <c r="P1302" s="8">
        <v>609.08100000000002</v>
      </c>
      <c r="Q1302" s="8">
        <v>502.34699999999998</v>
      </c>
      <c r="R1302" s="8">
        <v>408.41899999999998</v>
      </c>
      <c r="S1302" s="8">
        <v>329.78699999999998</v>
      </c>
      <c r="T1302" s="8">
        <v>266.017</v>
      </c>
      <c r="U1302" s="8">
        <v>212.21100000000001</v>
      </c>
      <c r="V1302" s="8">
        <v>160.38200000000001</v>
      </c>
      <c r="W1302" s="8">
        <v>111.10899999999999</v>
      </c>
      <c r="X1302" s="8">
        <v>66.957999999999998</v>
      </c>
      <c r="Y1302" s="8">
        <v>33.911000000000001</v>
      </c>
      <c r="Z1302" s="8">
        <v>12.579000000000001</v>
      </c>
      <c r="AA1302" s="8">
        <v>2.9390000000000001</v>
      </c>
      <c r="AB1302" s="8">
        <v>0.42499999999999999</v>
      </c>
      <c r="AC1302" s="8">
        <v>3.6999999999999998E-2</v>
      </c>
    </row>
    <row r="1303" spans="1:29" ht="11.65" hidden="1" x14ac:dyDescent="0.35">
      <c r="A1303" s="12">
        <v>1286</v>
      </c>
      <c r="B1303" s="10" t="s">
        <v>1015</v>
      </c>
      <c r="C1303" s="11" t="s">
        <v>1109</v>
      </c>
      <c r="D1303" s="9"/>
      <c r="E1303" s="9">
        <v>729</v>
      </c>
      <c r="F1303" s="10" t="s">
        <v>1066</v>
      </c>
      <c r="G1303" s="9">
        <v>912</v>
      </c>
      <c r="H1303" s="9">
        <v>2000</v>
      </c>
      <c r="I1303" s="8">
        <v>2300.7840000000001</v>
      </c>
      <c r="J1303" s="8">
        <v>1952.124</v>
      </c>
      <c r="K1303" s="8">
        <v>1642.6089999999999</v>
      </c>
      <c r="L1303" s="8">
        <v>1444.5409999999999</v>
      </c>
      <c r="M1303" s="8">
        <v>1241.6130000000001</v>
      </c>
      <c r="N1303" s="8">
        <v>1029.5740000000001</v>
      </c>
      <c r="O1303" s="8">
        <v>855.36099999999999</v>
      </c>
      <c r="P1303" s="8">
        <v>702.596</v>
      </c>
      <c r="Q1303" s="8">
        <v>575.476</v>
      </c>
      <c r="R1303" s="8">
        <v>476.291</v>
      </c>
      <c r="S1303" s="8">
        <v>383.38099999999997</v>
      </c>
      <c r="T1303" s="8">
        <v>304.68599999999998</v>
      </c>
      <c r="U1303" s="8">
        <v>240.92400000000001</v>
      </c>
      <c r="V1303" s="8">
        <v>183.66</v>
      </c>
      <c r="W1303" s="8">
        <v>127.875</v>
      </c>
      <c r="X1303" s="8">
        <v>78.260000000000005</v>
      </c>
      <c r="Y1303" s="8">
        <v>38.768000000000001</v>
      </c>
      <c r="Z1303" s="8">
        <v>14.897</v>
      </c>
      <c r="AA1303" s="8">
        <v>3.7879999999999998</v>
      </c>
      <c r="AB1303" s="8">
        <v>0.53600000000000003</v>
      </c>
      <c r="AC1303" s="8">
        <v>4.2000000000000003E-2</v>
      </c>
    </row>
    <row r="1304" spans="1:29" ht="11.65" hidden="1" x14ac:dyDescent="0.35">
      <c r="A1304" s="12">
        <v>1287</v>
      </c>
      <c r="B1304" s="10" t="s">
        <v>1015</v>
      </c>
      <c r="C1304" s="11" t="s">
        <v>1109</v>
      </c>
      <c r="D1304" s="9"/>
      <c r="E1304" s="9">
        <v>729</v>
      </c>
      <c r="F1304" s="10" t="s">
        <v>1066</v>
      </c>
      <c r="G1304" s="9">
        <v>912</v>
      </c>
      <c r="H1304" s="9">
        <v>2005</v>
      </c>
      <c r="I1304" s="8">
        <v>2543.9250000000002</v>
      </c>
      <c r="J1304" s="8">
        <v>2199.81</v>
      </c>
      <c r="K1304" s="8">
        <v>1893.5940000000001</v>
      </c>
      <c r="L1304" s="8">
        <v>1591.222</v>
      </c>
      <c r="M1304" s="8">
        <v>1387.7270000000001</v>
      </c>
      <c r="N1304" s="8">
        <v>1186.8710000000001</v>
      </c>
      <c r="O1304" s="8">
        <v>987.10199999999998</v>
      </c>
      <c r="P1304" s="8">
        <v>821.52200000000005</v>
      </c>
      <c r="Q1304" s="8">
        <v>672.25</v>
      </c>
      <c r="R1304" s="8">
        <v>548.34100000000001</v>
      </c>
      <c r="S1304" s="8">
        <v>449.24400000000003</v>
      </c>
      <c r="T1304" s="8">
        <v>356.18099999999998</v>
      </c>
      <c r="U1304" s="8">
        <v>277.762</v>
      </c>
      <c r="V1304" s="8">
        <v>210.267</v>
      </c>
      <c r="W1304" s="8">
        <v>148.09</v>
      </c>
      <c r="X1304" s="8">
        <v>91.412999999999997</v>
      </c>
      <c r="Y1304" s="8">
        <v>46.213000000000001</v>
      </c>
      <c r="Z1304" s="8">
        <v>17.416</v>
      </c>
      <c r="AA1304" s="8">
        <v>4.5960000000000001</v>
      </c>
      <c r="AB1304" s="8">
        <v>0.70899999999999996</v>
      </c>
      <c r="AC1304" s="8">
        <v>5.3999999999999999E-2</v>
      </c>
    </row>
    <row r="1305" spans="1:29" ht="11.65" hidden="1" x14ac:dyDescent="0.35">
      <c r="A1305" s="12">
        <v>1288</v>
      </c>
      <c r="B1305" s="10" t="s">
        <v>1015</v>
      </c>
      <c r="C1305" s="11" t="s">
        <v>1109</v>
      </c>
      <c r="D1305" s="9"/>
      <c r="E1305" s="9">
        <v>729</v>
      </c>
      <c r="F1305" s="10" t="s">
        <v>1066</v>
      </c>
      <c r="G1305" s="9">
        <v>912</v>
      </c>
      <c r="H1305" s="9">
        <v>2010</v>
      </c>
      <c r="I1305" s="8">
        <v>2738.2620000000002</v>
      </c>
      <c r="J1305" s="8">
        <v>2447.8310000000001</v>
      </c>
      <c r="K1305" s="8">
        <v>2140.4760000000001</v>
      </c>
      <c r="L1305" s="8">
        <v>1814.8409999999999</v>
      </c>
      <c r="M1305" s="8">
        <v>1498.384</v>
      </c>
      <c r="N1305" s="8">
        <v>1313.752</v>
      </c>
      <c r="O1305" s="8">
        <v>1119.682</v>
      </c>
      <c r="P1305" s="8">
        <v>936.81</v>
      </c>
      <c r="Q1305" s="8">
        <v>788.63800000000003</v>
      </c>
      <c r="R1305" s="8">
        <v>642.60900000000004</v>
      </c>
      <c r="S1305" s="8">
        <v>519.55200000000002</v>
      </c>
      <c r="T1305" s="8">
        <v>419.94499999999999</v>
      </c>
      <c r="U1305" s="8">
        <v>326.25299999999999</v>
      </c>
      <c r="V1305" s="8">
        <v>244.029</v>
      </c>
      <c r="W1305" s="8">
        <v>171.44499999999999</v>
      </c>
      <c r="X1305" s="8">
        <v>107.422</v>
      </c>
      <c r="Y1305" s="8">
        <v>55.05</v>
      </c>
      <c r="Z1305" s="8">
        <v>21.27</v>
      </c>
      <c r="AA1305" s="8">
        <v>5.5220000000000002</v>
      </c>
      <c r="AB1305" s="8">
        <v>0.88600000000000001</v>
      </c>
      <c r="AC1305" s="8">
        <v>7.2999999999999995E-2</v>
      </c>
    </row>
    <row r="1306" spans="1:29" ht="11.65" hidden="1" x14ac:dyDescent="0.35">
      <c r="A1306" s="12">
        <v>1289</v>
      </c>
      <c r="B1306" s="10" t="s">
        <v>1015</v>
      </c>
      <c r="C1306" s="11" t="s">
        <v>1109</v>
      </c>
      <c r="D1306" s="9"/>
      <c r="E1306" s="9">
        <v>729</v>
      </c>
      <c r="F1306" s="10" t="s">
        <v>1066</v>
      </c>
      <c r="G1306" s="9">
        <v>912</v>
      </c>
      <c r="H1306" s="9">
        <v>2015</v>
      </c>
      <c r="I1306" s="8">
        <v>2908.9079999999999</v>
      </c>
      <c r="J1306" s="8">
        <v>2653.5650000000001</v>
      </c>
      <c r="K1306" s="8">
        <v>2399.2190000000001</v>
      </c>
      <c r="L1306" s="8">
        <v>2097.5949999999998</v>
      </c>
      <c r="M1306" s="8">
        <v>1764.6079999999999</v>
      </c>
      <c r="N1306" s="8">
        <v>1445.58</v>
      </c>
      <c r="O1306" s="8">
        <v>1266.2439999999999</v>
      </c>
      <c r="P1306" s="8">
        <v>1080.55</v>
      </c>
      <c r="Q1306" s="8">
        <v>902.12400000000002</v>
      </c>
      <c r="R1306" s="8">
        <v>756.45500000000004</v>
      </c>
      <c r="S1306" s="8">
        <v>611.25900000000001</v>
      </c>
      <c r="T1306" s="8">
        <v>487.90199999999999</v>
      </c>
      <c r="U1306" s="8">
        <v>386.947</v>
      </c>
      <c r="V1306" s="8">
        <v>288.93299999999999</v>
      </c>
      <c r="W1306" s="8">
        <v>201.23699999999999</v>
      </c>
      <c r="X1306" s="8">
        <v>126.416</v>
      </c>
      <c r="Y1306" s="8">
        <v>66.084999999999994</v>
      </c>
      <c r="Z1306" s="8">
        <v>26.143000000000001</v>
      </c>
      <c r="AA1306" s="8">
        <v>7.2050000000000001</v>
      </c>
      <c r="AB1306" s="8">
        <v>1.226</v>
      </c>
      <c r="AC1306" s="8">
        <v>0.12</v>
      </c>
    </row>
    <row r="1307" spans="1:29" ht="11.65" hidden="1" x14ac:dyDescent="0.35">
      <c r="A1307" s="12">
        <v>1290</v>
      </c>
      <c r="B1307" s="10" t="s">
        <v>1015</v>
      </c>
      <c r="C1307" s="11" t="s">
        <v>1109</v>
      </c>
      <c r="D1307" s="9"/>
      <c r="E1307" s="9">
        <v>729</v>
      </c>
      <c r="F1307" s="10" t="s">
        <v>1066</v>
      </c>
      <c r="G1307" s="9">
        <v>912</v>
      </c>
      <c r="H1307" s="9">
        <v>2020</v>
      </c>
      <c r="I1307" s="8">
        <v>3123.261</v>
      </c>
      <c r="J1307" s="8">
        <v>2855.3339999999998</v>
      </c>
      <c r="K1307" s="8">
        <v>2626.4960000000001</v>
      </c>
      <c r="L1307" s="8">
        <v>2371.7919999999999</v>
      </c>
      <c r="M1307" s="8">
        <v>2058.3040000000001</v>
      </c>
      <c r="N1307" s="8">
        <v>1719.8579999999999</v>
      </c>
      <c r="O1307" s="8">
        <v>1405.37</v>
      </c>
      <c r="P1307" s="8">
        <v>1230.9690000000001</v>
      </c>
      <c r="Q1307" s="8">
        <v>1049.2819999999999</v>
      </c>
      <c r="R1307" s="8">
        <v>873.90599999999995</v>
      </c>
      <c r="S1307" s="8">
        <v>727.79899999999998</v>
      </c>
      <c r="T1307" s="8">
        <v>581.23400000000004</v>
      </c>
      <c r="U1307" s="8">
        <v>455.55900000000003</v>
      </c>
      <c r="V1307" s="8">
        <v>347.66500000000002</v>
      </c>
      <c r="W1307" s="8">
        <v>242.04300000000001</v>
      </c>
      <c r="X1307" s="8">
        <v>150.929</v>
      </c>
      <c r="Y1307" s="8">
        <v>79.47</v>
      </c>
      <c r="Z1307" s="8">
        <v>31.972999999999999</v>
      </c>
      <c r="AA1307" s="8">
        <v>8.9369999999999994</v>
      </c>
      <c r="AB1307" s="8">
        <v>1.621</v>
      </c>
      <c r="AC1307" s="8">
        <v>0.17199999999999999</v>
      </c>
    </row>
    <row r="1308" spans="1:29" ht="11.65" hidden="1" x14ac:dyDescent="0.35">
      <c r="A1308" s="12">
        <v>1291</v>
      </c>
      <c r="B1308" s="10" t="s">
        <v>1015</v>
      </c>
      <c r="C1308" s="11" t="s">
        <v>1110</v>
      </c>
      <c r="D1308" s="9"/>
      <c r="E1308" s="9">
        <v>788</v>
      </c>
      <c r="F1308" s="10" t="s">
        <v>1066</v>
      </c>
      <c r="G1308" s="9">
        <v>912</v>
      </c>
      <c r="H1308" s="9">
        <v>1950</v>
      </c>
      <c r="I1308" s="8">
        <v>288.52199999999999</v>
      </c>
      <c r="J1308" s="8">
        <v>239.089</v>
      </c>
      <c r="K1308" s="8">
        <v>189.12299999999999</v>
      </c>
      <c r="L1308" s="8">
        <v>169.16</v>
      </c>
      <c r="M1308" s="8">
        <v>148.22499999999999</v>
      </c>
      <c r="N1308" s="8">
        <v>133.035</v>
      </c>
      <c r="O1308" s="8">
        <v>118.441</v>
      </c>
      <c r="P1308" s="8">
        <v>106.16500000000001</v>
      </c>
      <c r="Q1308" s="8">
        <v>89.108000000000004</v>
      </c>
      <c r="R1308" s="8">
        <v>75.468999999999994</v>
      </c>
      <c r="S1308" s="8">
        <v>65.557000000000002</v>
      </c>
      <c r="T1308" s="8">
        <v>54.12</v>
      </c>
      <c r="U1308" s="8">
        <v>46.899000000000001</v>
      </c>
      <c r="V1308" s="8">
        <v>31.154</v>
      </c>
      <c r="W1308" s="8">
        <v>28.138999999999999</v>
      </c>
      <c r="X1308" s="8">
        <v>14.238</v>
      </c>
      <c r="Y1308" s="8">
        <v>13.029</v>
      </c>
      <c r="Z1308" s="8">
        <v>3.2210000000000001</v>
      </c>
      <c r="AA1308" s="8">
        <v>1.857</v>
      </c>
      <c r="AB1308" s="8">
        <v>0.13700000000000001</v>
      </c>
      <c r="AC1308" s="8">
        <v>2E-3</v>
      </c>
    </row>
    <row r="1309" spans="1:29" ht="11.65" hidden="1" x14ac:dyDescent="0.35">
      <c r="A1309" s="12">
        <v>1292</v>
      </c>
      <c r="B1309" s="10" t="s">
        <v>1015</v>
      </c>
      <c r="C1309" s="11" t="s">
        <v>1110</v>
      </c>
      <c r="D1309" s="9"/>
      <c r="E1309" s="9">
        <v>788</v>
      </c>
      <c r="F1309" s="10" t="s">
        <v>1066</v>
      </c>
      <c r="G1309" s="9">
        <v>912</v>
      </c>
      <c r="H1309" s="9">
        <v>1955</v>
      </c>
      <c r="I1309" s="8">
        <v>316.20699999999999</v>
      </c>
      <c r="J1309" s="8">
        <v>266.79899999999998</v>
      </c>
      <c r="K1309" s="8">
        <v>233.82900000000001</v>
      </c>
      <c r="L1309" s="8">
        <v>184.976</v>
      </c>
      <c r="M1309" s="8">
        <v>162.69200000000001</v>
      </c>
      <c r="N1309" s="8">
        <v>141.816</v>
      </c>
      <c r="O1309" s="8">
        <v>126.67</v>
      </c>
      <c r="P1309" s="8">
        <v>111.771</v>
      </c>
      <c r="Q1309" s="8">
        <v>98.697000000000003</v>
      </c>
      <c r="R1309" s="8">
        <v>82.081999999999994</v>
      </c>
      <c r="S1309" s="8">
        <v>68.150000000000006</v>
      </c>
      <c r="T1309" s="8">
        <v>57.161999999999999</v>
      </c>
      <c r="U1309" s="8">
        <v>45.091000000000001</v>
      </c>
      <c r="V1309" s="8">
        <v>36.353000000000002</v>
      </c>
      <c r="W1309" s="8">
        <v>21.533999999999999</v>
      </c>
      <c r="X1309" s="8">
        <v>16.309000000000001</v>
      </c>
      <c r="Y1309" s="8">
        <v>6.4290000000000003</v>
      </c>
      <c r="Z1309" s="8">
        <v>4.2679999999999998</v>
      </c>
      <c r="AA1309" s="8">
        <v>0.71099999999999997</v>
      </c>
      <c r="AB1309" s="8">
        <v>0.25800000000000001</v>
      </c>
      <c r="AC1309" s="8">
        <v>1.0999999999999999E-2</v>
      </c>
    </row>
    <row r="1310" spans="1:29" ht="11.65" hidden="1" x14ac:dyDescent="0.35">
      <c r="A1310" s="12">
        <v>1293</v>
      </c>
      <c r="B1310" s="10" t="s">
        <v>1015</v>
      </c>
      <c r="C1310" s="11" t="s">
        <v>1110</v>
      </c>
      <c r="D1310" s="9"/>
      <c r="E1310" s="9">
        <v>788</v>
      </c>
      <c r="F1310" s="10" t="s">
        <v>1066</v>
      </c>
      <c r="G1310" s="9">
        <v>912</v>
      </c>
      <c r="H1310" s="9">
        <v>1960</v>
      </c>
      <c r="I1310" s="8">
        <v>344.65</v>
      </c>
      <c r="J1310" s="8">
        <v>293.37700000000001</v>
      </c>
      <c r="K1310" s="8">
        <v>260.88</v>
      </c>
      <c r="L1310" s="8">
        <v>193.93199999999999</v>
      </c>
      <c r="M1310" s="8">
        <v>152.61699999999999</v>
      </c>
      <c r="N1310" s="8">
        <v>146.05699999999999</v>
      </c>
      <c r="O1310" s="8">
        <v>133.17400000000001</v>
      </c>
      <c r="P1310" s="8">
        <v>114.89400000000001</v>
      </c>
      <c r="Q1310" s="8">
        <v>97.158000000000001</v>
      </c>
      <c r="R1310" s="8">
        <v>91.17</v>
      </c>
      <c r="S1310" s="8">
        <v>74.706000000000003</v>
      </c>
      <c r="T1310" s="8">
        <v>60.250999999999998</v>
      </c>
      <c r="U1310" s="8">
        <v>48.37</v>
      </c>
      <c r="V1310" s="8">
        <v>35.566000000000003</v>
      </c>
      <c r="W1310" s="8">
        <v>25.652000000000001</v>
      </c>
      <c r="X1310" s="8">
        <v>12.805</v>
      </c>
      <c r="Y1310" s="8">
        <v>7.5979999999999999</v>
      </c>
      <c r="Z1310" s="8">
        <v>2.1659999999999999</v>
      </c>
      <c r="AA1310" s="8">
        <v>0.96599999999999997</v>
      </c>
      <c r="AB1310" s="8">
        <v>0.10199999999999999</v>
      </c>
      <c r="AC1310" s="8">
        <v>2.1999999999999999E-2</v>
      </c>
    </row>
    <row r="1311" spans="1:29" ht="11.65" hidden="1" x14ac:dyDescent="0.35">
      <c r="A1311" s="12">
        <v>1294</v>
      </c>
      <c r="B1311" s="10" t="s">
        <v>1015</v>
      </c>
      <c r="C1311" s="11" t="s">
        <v>1110</v>
      </c>
      <c r="D1311" s="9"/>
      <c r="E1311" s="9">
        <v>788</v>
      </c>
      <c r="F1311" s="10" t="s">
        <v>1066</v>
      </c>
      <c r="G1311" s="9">
        <v>912</v>
      </c>
      <c r="H1311" s="9">
        <v>1965</v>
      </c>
      <c r="I1311" s="8">
        <v>404.423</v>
      </c>
      <c r="J1311" s="8">
        <v>336.53800000000001</v>
      </c>
      <c r="K1311" s="8">
        <v>290.27199999999999</v>
      </c>
      <c r="L1311" s="8">
        <v>180.74799999999999</v>
      </c>
      <c r="M1311" s="8">
        <v>162.04</v>
      </c>
      <c r="N1311" s="8">
        <v>158.19300000000001</v>
      </c>
      <c r="O1311" s="8">
        <v>149.57300000000001</v>
      </c>
      <c r="P1311" s="8">
        <v>129.38499999999999</v>
      </c>
      <c r="Q1311" s="8">
        <v>100.85299999999999</v>
      </c>
      <c r="R1311" s="8">
        <v>81.956000000000003</v>
      </c>
      <c r="S1311" s="8">
        <v>75.861999999999995</v>
      </c>
      <c r="T1311" s="8">
        <v>61.85</v>
      </c>
      <c r="U1311" s="8">
        <v>48.656999999999996</v>
      </c>
      <c r="V1311" s="8">
        <v>36.777999999999999</v>
      </c>
      <c r="W1311" s="8">
        <v>23.616</v>
      </c>
      <c r="X1311" s="8">
        <v>15.472</v>
      </c>
      <c r="Y1311" s="8">
        <v>6.1769999999999996</v>
      </c>
      <c r="Z1311" s="8">
        <v>2.6440000000000001</v>
      </c>
      <c r="AA1311" s="8">
        <v>0.50800000000000001</v>
      </c>
      <c r="AB1311" s="8">
        <v>0.14199999999999999</v>
      </c>
      <c r="AC1311" s="8">
        <v>0.01</v>
      </c>
    </row>
    <row r="1312" spans="1:29" ht="11.65" hidden="1" x14ac:dyDescent="0.35">
      <c r="A1312" s="12">
        <v>1295</v>
      </c>
      <c r="B1312" s="10" t="s">
        <v>1015</v>
      </c>
      <c r="C1312" s="11" t="s">
        <v>1110</v>
      </c>
      <c r="D1312" s="9"/>
      <c r="E1312" s="9">
        <v>788</v>
      </c>
      <c r="F1312" s="10" t="s">
        <v>1066</v>
      </c>
      <c r="G1312" s="9">
        <v>912</v>
      </c>
      <c r="H1312" s="9">
        <v>1970</v>
      </c>
      <c r="I1312" s="8">
        <v>415.49299999999999</v>
      </c>
      <c r="J1312" s="8">
        <v>386.60300000000001</v>
      </c>
      <c r="K1312" s="8">
        <v>331.35899999999998</v>
      </c>
      <c r="L1312" s="8">
        <v>276.90499999999997</v>
      </c>
      <c r="M1312" s="8">
        <v>170.04</v>
      </c>
      <c r="N1312" s="8">
        <v>151.733</v>
      </c>
      <c r="O1312" s="8">
        <v>147.70400000000001</v>
      </c>
      <c r="P1312" s="8">
        <v>140.608</v>
      </c>
      <c r="Q1312" s="8">
        <v>121.396</v>
      </c>
      <c r="R1312" s="8">
        <v>94.521000000000001</v>
      </c>
      <c r="S1312" s="8">
        <v>75.727000000000004</v>
      </c>
      <c r="T1312" s="8">
        <v>68.608000000000004</v>
      </c>
      <c r="U1312" s="8">
        <v>53.792999999999999</v>
      </c>
      <c r="V1312" s="8">
        <v>39.658999999999999</v>
      </c>
      <c r="W1312" s="8">
        <v>26.984999999999999</v>
      </c>
      <c r="X1312" s="8">
        <v>14.696</v>
      </c>
      <c r="Y1312" s="8">
        <v>7.5179999999999998</v>
      </c>
      <c r="Z1312" s="8">
        <v>2.1520000000000001</v>
      </c>
      <c r="AA1312" s="8">
        <v>0.62</v>
      </c>
      <c r="AB1312" s="8">
        <v>7.3999999999999996E-2</v>
      </c>
      <c r="AC1312" s="8">
        <v>1.2999999999999999E-2</v>
      </c>
    </row>
    <row r="1313" spans="1:29" ht="11.65" hidden="1" x14ac:dyDescent="0.35">
      <c r="A1313" s="12">
        <v>1296</v>
      </c>
      <c r="B1313" s="10" t="s">
        <v>1015</v>
      </c>
      <c r="C1313" s="11" t="s">
        <v>1110</v>
      </c>
      <c r="D1313" s="9"/>
      <c r="E1313" s="9">
        <v>788</v>
      </c>
      <c r="F1313" s="10" t="s">
        <v>1066</v>
      </c>
      <c r="G1313" s="9">
        <v>912</v>
      </c>
      <c r="H1313" s="9">
        <v>1975</v>
      </c>
      <c r="I1313" s="8">
        <v>438.58600000000001</v>
      </c>
      <c r="J1313" s="8">
        <v>402.25</v>
      </c>
      <c r="K1313" s="8">
        <v>371.35700000000003</v>
      </c>
      <c r="L1313" s="8">
        <v>313.83300000000003</v>
      </c>
      <c r="M1313" s="8">
        <v>257.85199999999998</v>
      </c>
      <c r="N1313" s="8">
        <v>162.22300000000001</v>
      </c>
      <c r="O1313" s="8">
        <v>143.91499999999999</v>
      </c>
      <c r="P1313" s="8">
        <v>146.79400000000001</v>
      </c>
      <c r="Q1313" s="8">
        <v>136.499</v>
      </c>
      <c r="R1313" s="8">
        <v>116.322</v>
      </c>
      <c r="S1313" s="8">
        <v>89.194999999999993</v>
      </c>
      <c r="T1313" s="8">
        <v>69.846999999999994</v>
      </c>
      <c r="U1313" s="8">
        <v>61.027999999999999</v>
      </c>
      <c r="V1313" s="8">
        <v>45.113</v>
      </c>
      <c r="W1313" s="8">
        <v>30.187000000000001</v>
      </c>
      <c r="X1313" s="8">
        <v>17.617000000000001</v>
      </c>
      <c r="Y1313" s="8">
        <v>7.56</v>
      </c>
      <c r="Z1313" s="8">
        <v>2.7650000000000001</v>
      </c>
      <c r="AA1313" s="8">
        <v>0.53</v>
      </c>
      <c r="AB1313" s="8">
        <v>9.6000000000000002E-2</v>
      </c>
      <c r="AC1313" s="8">
        <v>8.0000000000000002E-3</v>
      </c>
    </row>
    <row r="1314" spans="1:29" ht="11.65" hidden="1" x14ac:dyDescent="0.35">
      <c r="A1314" s="12">
        <v>1297</v>
      </c>
      <c r="B1314" s="10" t="s">
        <v>1015</v>
      </c>
      <c r="C1314" s="11" t="s">
        <v>1110</v>
      </c>
      <c r="D1314" s="9"/>
      <c r="E1314" s="9">
        <v>788</v>
      </c>
      <c r="F1314" s="10" t="s">
        <v>1066</v>
      </c>
      <c r="G1314" s="9">
        <v>912</v>
      </c>
      <c r="H1314" s="9">
        <v>1980</v>
      </c>
      <c r="I1314" s="8">
        <v>479.16699999999997</v>
      </c>
      <c r="J1314" s="8">
        <v>427.32400000000001</v>
      </c>
      <c r="K1314" s="8">
        <v>398.63200000000001</v>
      </c>
      <c r="L1314" s="8">
        <v>357.99700000000001</v>
      </c>
      <c r="M1314" s="8">
        <v>296.87900000000002</v>
      </c>
      <c r="N1314" s="8">
        <v>251.67599999999999</v>
      </c>
      <c r="O1314" s="8">
        <v>156.66</v>
      </c>
      <c r="P1314" s="8">
        <v>140.36500000000001</v>
      </c>
      <c r="Q1314" s="8">
        <v>144.80099999999999</v>
      </c>
      <c r="R1314" s="8">
        <v>133.126</v>
      </c>
      <c r="S1314" s="8">
        <v>111.934</v>
      </c>
      <c r="T1314" s="8">
        <v>84.373999999999995</v>
      </c>
      <c r="U1314" s="8">
        <v>64.239000000000004</v>
      </c>
      <c r="V1314" s="8">
        <v>53.59</v>
      </c>
      <c r="W1314" s="8">
        <v>35.137</v>
      </c>
      <c r="X1314" s="8">
        <v>20.407</v>
      </c>
      <c r="Y1314" s="8">
        <v>9.5690000000000008</v>
      </c>
      <c r="Z1314" s="8">
        <v>2.9369999999999998</v>
      </c>
      <c r="AA1314" s="8">
        <v>0.70099999999999996</v>
      </c>
      <c r="AB1314" s="8">
        <v>8.5000000000000006E-2</v>
      </c>
      <c r="AC1314" s="8">
        <v>8.9999999999999993E-3</v>
      </c>
    </row>
    <row r="1315" spans="1:29" ht="11.65" hidden="1" x14ac:dyDescent="0.35">
      <c r="A1315" s="12">
        <v>1298</v>
      </c>
      <c r="B1315" s="10" t="s">
        <v>1015</v>
      </c>
      <c r="C1315" s="11" t="s">
        <v>1110</v>
      </c>
      <c r="D1315" s="9"/>
      <c r="E1315" s="9">
        <v>788</v>
      </c>
      <c r="F1315" s="10" t="s">
        <v>1066</v>
      </c>
      <c r="G1315" s="9">
        <v>912</v>
      </c>
      <c r="H1315" s="9">
        <v>1985</v>
      </c>
      <c r="I1315" s="8">
        <v>512.92200000000003</v>
      </c>
      <c r="J1315" s="8">
        <v>471.07400000000001</v>
      </c>
      <c r="K1315" s="8">
        <v>424.39800000000002</v>
      </c>
      <c r="L1315" s="8">
        <v>396.05399999999997</v>
      </c>
      <c r="M1315" s="8">
        <v>346.56</v>
      </c>
      <c r="N1315" s="8">
        <v>285.745</v>
      </c>
      <c r="O1315" s="8">
        <v>244.33199999999999</v>
      </c>
      <c r="P1315" s="8">
        <v>161.85900000000001</v>
      </c>
      <c r="Q1315" s="8">
        <v>146.66900000000001</v>
      </c>
      <c r="R1315" s="8">
        <v>151.417</v>
      </c>
      <c r="S1315" s="8">
        <v>140.70699999999999</v>
      </c>
      <c r="T1315" s="8">
        <v>114.26</v>
      </c>
      <c r="U1315" s="8">
        <v>89.055999999999997</v>
      </c>
      <c r="V1315" s="8">
        <v>67.475999999999999</v>
      </c>
      <c r="W1315" s="8">
        <v>50.603999999999999</v>
      </c>
      <c r="X1315" s="8">
        <v>27.446999999999999</v>
      </c>
      <c r="Y1315" s="8">
        <v>12.273999999999999</v>
      </c>
      <c r="Z1315" s="8">
        <v>4.1550000000000002</v>
      </c>
      <c r="AA1315" s="8">
        <v>0.82799999999999996</v>
      </c>
      <c r="AB1315" s="8">
        <v>0.124</v>
      </c>
      <c r="AC1315" s="8">
        <v>8.9999999999999993E-3</v>
      </c>
    </row>
    <row r="1316" spans="1:29" ht="11.65" hidden="1" x14ac:dyDescent="0.35">
      <c r="A1316" s="12">
        <v>1299</v>
      </c>
      <c r="B1316" s="10" t="s">
        <v>1015</v>
      </c>
      <c r="C1316" s="11" t="s">
        <v>1110</v>
      </c>
      <c r="D1316" s="9"/>
      <c r="E1316" s="9">
        <v>788</v>
      </c>
      <c r="F1316" s="10" t="s">
        <v>1066</v>
      </c>
      <c r="G1316" s="9">
        <v>912</v>
      </c>
      <c r="H1316" s="9">
        <v>1990</v>
      </c>
      <c r="I1316" s="8">
        <v>518.79899999999998</v>
      </c>
      <c r="J1316" s="8">
        <v>508.89</v>
      </c>
      <c r="K1316" s="8">
        <v>469.262</v>
      </c>
      <c r="L1316" s="8">
        <v>412.637</v>
      </c>
      <c r="M1316" s="8">
        <v>391.483</v>
      </c>
      <c r="N1316" s="8">
        <v>339.27100000000002</v>
      </c>
      <c r="O1316" s="8">
        <v>286.65899999999999</v>
      </c>
      <c r="P1316" s="8">
        <v>245.911</v>
      </c>
      <c r="Q1316" s="8">
        <v>164.34700000000001</v>
      </c>
      <c r="R1316" s="8">
        <v>147.798</v>
      </c>
      <c r="S1316" s="8">
        <v>151.72499999999999</v>
      </c>
      <c r="T1316" s="8">
        <v>142.11500000000001</v>
      </c>
      <c r="U1316" s="8">
        <v>106.48699999999999</v>
      </c>
      <c r="V1316" s="8">
        <v>87.369</v>
      </c>
      <c r="W1316" s="8">
        <v>56.296999999999997</v>
      </c>
      <c r="X1316" s="8">
        <v>37.838999999999999</v>
      </c>
      <c r="Y1316" s="8">
        <v>17.04</v>
      </c>
      <c r="Z1316" s="8">
        <v>5.6219999999999999</v>
      </c>
      <c r="AA1316" s="8">
        <v>1.2709999999999999</v>
      </c>
      <c r="AB1316" s="8">
        <v>0.16</v>
      </c>
      <c r="AC1316" s="8">
        <v>1.4E-2</v>
      </c>
    </row>
    <row r="1317" spans="1:29" ht="11.65" hidden="1" x14ac:dyDescent="0.35">
      <c r="A1317" s="12">
        <v>1300</v>
      </c>
      <c r="B1317" s="10" t="s">
        <v>1015</v>
      </c>
      <c r="C1317" s="11" t="s">
        <v>1110</v>
      </c>
      <c r="D1317" s="9"/>
      <c r="E1317" s="9">
        <v>788</v>
      </c>
      <c r="F1317" s="10" t="s">
        <v>1066</v>
      </c>
      <c r="G1317" s="9">
        <v>912</v>
      </c>
      <c r="H1317" s="9">
        <v>1995</v>
      </c>
      <c r="I1317" s="8">
        <v>463.291</v>
      </c>
      <c r="J1317" s="8">
        <v>520.99199999999996</v>
      </c>
      <c r="K1317" s="8">
        <v>514.654</v>
      </c>
      <c r="L1317" s="8">
        <v>469.45699999999999</v>
      </c>
      <c r="M1317" s="8">
        <v>412.47699999999998</v>
      </c>
      <c r="N1317" s="8">
        <v>397.61399999999998</v>
      </c>
      <c r="O1317" s="8">
        <v>343.91</v>
      </c>
      <c r="P1317" s="8">
        <v>289.95999999999998</v>
      </c>
      <c r="Q1317" s="8">
        <v>248.11699999999999</v>
      </c>
      <c r="R1317" s="8">
        <v>170.51400000000001</v>
      </c>
      <c r="S1317" s="8">
        <v>144.012</v>
      </c>
      <c r="T1317" s="8">
        <v>147.23099999999999</v>
      </c>
      <c r="U1317" s="8">
        <v>138.87</v>
      </c>
      <c r="V1317" s="8">
        <v>96.811000000000007</v>
      </c>
      <c r="W1317" s="8">
        <v>78.790999999999997</v>
      </c>
      <c r="X1317" s="8">
        <v>44.098999999999997</v>
      </c>
      <c r="Y1317" s="8">
        <v>25.204999999999998</v>
      </c>
      <c r="Z1317" s="8">
        <v>8.4090000000000007</v>
      </c>
      <c r="AA1317" s="8">
        <v>1.84</v>
      </c>
      <c r="AB1317" s="8">
        <v>0.26200000000000001</v>
      </c>
      <c r="AC1317" s="8">
        <v>1.9E-2</v>
      </c>
    </row>
    <row r="1318" spans="1:29" ht="11.65" hidden="1" x14ac:dyDescent="0.35">
      <c r="A1318" s="12">
        <v>1301</v>
      </c>
      <c r="B1318" s="10" t="s">
        <v>1015</v>
      </c>
      <c r="C1318" s="11" t="s">
        <v>1110</v>
      </c>
      <c r="D1318" s="9"/>
      <c r="E1318" s="9">
        <v>788</v>
      </c>
      <c r="F1318" s="10" t="s">
        <v>1066</v>
      </c>
      <c r="G1318" s="9">
        <v>912</v>
      </c>
      <c r="H1318" s="9">
        <v>2000</v>
      </c>
      <c r="I1318" s="8">
        <v>404.53100000000001</v>
      </c>
      <c r="J1318" s="8">
        <v>458.601</v>
      </c>
      <c r="K1318" s="8">
        <v>523.72400000000005</v>
      </c>
      <c r="L1318" s="8">
        <v>515.39800000000002</v>
      </c>
      <c r="M1318" s="8">
        <v>460.83800000000002</v>
      </c>
      <c r="N1318" s="8">
        <v>403.95400000000001</v>
      </c>
      <c r="O1318" s="8">
        <v>391.92</v>
      </c>
      <c r="P1318" s="8">
        <v>340.81200000000001</v>
      </c>
      <c r="Q1318" s="8">
        <v>292.053</v>
      </c>
      <c r="R1318" s="8">
        <v>247.911</v>
      </c>
      <c r="S1318" s="8">
        <v>169.851</v>
      </c>
      <c r="T1318" s="8">
        <v>141.71299999999999</v>
      </c>
      <c r="U1318" s="8">
        <v>142.25399999999999</v>
      </c>
      <c r="V1318" s="8">
        <v>130.232</v>
      </c>
      <c r="W1318" s="8">
        <v>86.099000000000004</v>
      </c>
      <c r="X1318" s="8">
        <v>63.088999999999999</v>
      </c>
      <c r="Y1318" s="8">
        <v>29.774000000000001</v>
      </c>
      <c r="Z1318" s="8">
        <v>13.01</v>
      </c>
      <c r="AA1318" s="8">
        <v>2.9769999999999999</v>
      </c>
      <c r="AB1318" s="8">
        <v>0.40600000000000003</v>
      </c>
      <c r="AC1318" s="8">
        <v>3.2000000000000001E-2</v>
      </c>
    </row>
    <row r="1319" spans="1:29" ht="11.65" hidden="1" x14ac:dyDescent="0.35">
      <c r="A1319" s="12">
        <v>1302</v>
      </c>
      <c r="B1319" s="10" t="s">
        <v>1015</v>
      </c>
      <c r="C1319" s="11" t="s">
        <v>1110</v>
      </c>
      <c r="D1319" s="9"/>
      <c r="E1319" s="9">
        <v>788</v>
      </c>
      <c r="F1319" s="10" t="s">
        <v>1066</v>
      </c>
      <c r="G1319" s="9">
        <v>912</v>
      </c>
      <c r="H1319" s="9">
        <v>2005</v>
      </c>
      <c r="I1319" s="8">
        <v>382.964</v>
      </c>
      <c r="J1319" s="8">
        <v>400.26299999999998</v>
      </c>
      <c r="K1319" s="8">
        <v>456.36900000000003</v>
      </c>
      <c r="L1319" s="8">
        <v>519.48699999999997</v>
      </c>
      <c r="M1319" s="8">
        <v>511.25400000000002</v>
      </c>
      <c r="N1319" s="8">
        <v>449.601</v>
      </c>
      <c r="O1319" s="8">
        <v>380.65699999999998</v>
      </c>
      <c r="P1319" s="8">
        <v>379.83499999999998</v>
      </c>
      <c r="Q1319" s="8">
        <v>338.99099999999999</v>
      </c>
      <c r="R1319" s="8">
        <v>291.67700000000002</v>
      </c>
      <c r="S1319" s="8">
        <v>245.33799999999999</v>
      </c>
      <c r="T1319" s="8">
        <v>166.98699999999999</v>
      </c>
      <c r="U1319" s="8">
        <v>137.44999999999999</v>
      </c>
      <c r="V1319" s="8">
        <v>134.696</v>
      </c>
      <c r="W1319" s="8">
        <v>117.52</v>
      </c>
      <c r="X1319" s="8">
        <v>70.418999999999997</v>
      </c>
      <c r="Y1319" s="8">
        <v>43.613999999999997</v>
      </c>
      <c r="Z1319" s="8">
        <v>15.834</v>
      </c>
      <c r="AA1319" s="8">
        <v>4.782</v>
      </c>
      <c r="AB1319" s="8">
        <v>0.68600000000000005</v>
      </c>
      <c r="AC1319" s="8">
        <v>5.0999999999999997E-2</v>
      </c>
    </row>
    <row r="1320" spans="1:29" ht="11.65" hidden="1" x14ac:dyDescent="0.35">
      <c r="A1320" s="12">
        <v>1303</v>
      </c>
      <c r="B1320" s="10" t="s">
        <v>1015</v>
      </c>
      <c r="C1320" s="11" t="s">
        <v>1110</v>
      </c>
      <c r="D1320" s="9"/>
      <c r="E1320" s="9">
        <v>788</v>
      </c>
      <c r="F1320" s="10" t="s">
        <v>1066</v>
      </c>
      <c r="G1320" s="9">
        <v>912</v>
      </c>
      <c r="H1320" s="9">
        <v>2010</v>
      </c>
      <c r="I1320" s="8">
        <v>414.22300000000001</v>
      </c>
      <c r="J1320" s="8">
        <v>380.88400000000001</v>
      </c>
      <c r="K1320" s="8">
        <v>398.92099999999999</v>
      </c>
      <c r="L1320" s="8">
        <v>455.01299999999998</v>
      </c>
      <c r="M1320" s="8">
        <v>512.93799999999999</v>
      </c>
      <c r="N1320" s="8">
        <v>504.72500000000002</v>
      </c>
      <c r="O1320" s="8">
        <v>443.661</v>
      </c>
      <c r="P1320" s="8">
        <v>379.08800000000002</v>
      </c>
      <c r="Q1320" s="8">
        <v>380.02600000000001</v>
      </c>
      <c r="R1320" s="8">
        <v>340.91800000000001</v>
      </c>
      <c r="S1320" s="8">
        <v>290.73399999999998</v>
      </c>
      <c r="T1320" s="8">
        <v>242.744</v>
      </c>
      <c r="U1320" s="8">
        <v>161.90299999999999</v>
      </c>
      <c r="V1320" s="8">
        <v>130.167</v>
      </c>
      <c r="W1320" s="8">
        <v>120.907</v>
      </c>
      <c r="X1320" s="8">
        <v>95.932000000000002</v>
      </c>
      <c r="Y1320" s="8">
        <v>48.886000000000003</v>
      </c>
      <c r="Z1320" s="8">
        <v>23.407</v>
      </c>
      <c r="AA1320" s="8">
        <v>5.9039999999999999</v>
      </c>
      <c r="AB1320" s="8">
        <v>1.1379999999999999</v>
      </c>
      <c r="AC1320" s="8">
        <v>9.2999999999999999E-2</v>
      </c>
    </row>
    <row r="1321" spans="1:29" ht="11.65" hidden="1" x14ac:dyDescent="0.35">
      <c r="A1321" s="12">
        <v>1304</v>
      </c>
      <c r="B1321" s="10" t="s">
        <v>1015</v>
      </c>
      <c r="C1321" s="11" t="s">
        <v>1110</v>
      </c>
      <c r="D1321" s="9"/>
      <c r="E1321" s="9">
        <v>788</v>
      </c>
      <c r="F1321" s="10" t="s">
        <v>1066</v>
      </c>
      <c r="G1321" s="9">
        <v>912</v>
      </c>
      <c r="H1321" s="9">
        <v>2015</v>
      </c>
      <c r="I1321" s="8">
        <v>492.27499999999998</v>
      </c>
      <c r="J1321" s="8">
        <v>411.66199999999998</v>
      </c>
      <c r="K1321" s="8">
        <v>379.98899999999998</v>
      </c>
      <c r="L1321" s="8">
        <v>397.84199999999998</v>
      </c>
      <c r="M1321" s="8">
        <v>450.142</v>
      </c>
      <c r="N1321" s="8">
        <v>481.33499999999998</v>
      </c>
      <c r="O1321" s="8">
        <v>503.36200000000002</v>
      </c>
      <c r="P1321" s="8">
        <v>441.96199999999999</v>
      </c>
      <c r="Q1321" s="8">
        <v>376.85</v>
      </c>
      <c r="R1321" s="8">
        <v>376.64</v>
      </c>
      <c r="S1321" s="8">
        <v>336.25700000000001</v>
      </c>
      <c r="T1321" s="8">
        <v>284.41399999999999</v>
      </c>
      <c r="U1321" s="8">
        <v>234.113</v>
      </c>
      <c r="V1321" s="8">
        <v>152.53299999999999</v>
      </c>
      <c r="W1321" s="8">
        <v>116.947</v>
      </c>
      <c r="X1321" s="8">
        <v>98.858000000000004</v>
      </c>
      <c r="Y1321" s="8">
        <v>66.753</v>
      </c>
      <c r="Z1321" s="8">
        <v>26.236000000000001</v>
      </c>
      <c r="AA1321" s="8">
        <v>8.6460000000000008</v>
      </c>
      <c r="AB1321" s="8">
        <v>1.3640000000000001</v>
      </c>
      <c r="AC1321" s="8">
        <v>0.14499999999999999</v>
      </c>
    </row>
    <row r="1322" spans="1:29" ht="11.65" hidden="1" x14ac:dyDescent="0.35">
      <c r="A1322" s="12">
        <v>1305</v>
      </c>
      <c r="B1322" s="10" t="s">
        <v>1015</v>
      </c>
      <c r="C1322" s="11" t="s">
        <v>1110</v>
      </c>
      <c r="D1322" s="9"/>
      <c r="E1322" s="9">
        <v>788</v>
      </c>
      <c r="F1322" s="10" t="s">
        <v>1066</v>
      </c>
      <c r="G1322" s="9">
        <v>912</v>
      </c>
      <c r="H1322" s="9">
        <v>2020</v>
      </c>
      <c r="I1322" s="8">
        <v>489.09100000000001</v>
      </c>
      <c r="J1322" s="8">
        <v>491.58100000000002</v>
      </c>
      <c r="K1322" s="8">
        <v>411.077</v>
      </c>
      <c r="L1322" s="8">
        <v>378.33600000000001</v>
      </c>
      <c r="M1322" s="8">
        <v>395.17899999999997</v>
      </c>
      <c r="N1322" s="8">
        <v>447.38600000000002</v>
      </c>
      <c r="O1322" s="8">
        <v>478.77499999999998</v>
      </c>
      <c r="P1322" s="8">
        <v>500.67</v>
      </c>
      <c r="Q1322" s="8">
        <v>438.96600000000001</v>
      </c>
      <c r="R1322" s="8">
        <v>373.36799999999999</v>
      </c>
      <c r="S1322" s="8">
        <v>371.64400000000001</v>
      </c>
      <c r="T1322" s="8">
        <v>329.38099999999997</v>
      </c>
      <c r="U1322" s="8">
        <v>275.01400000000001</v>
      </c>
      <c r="V1322" s="8">
        <v>221.59299999999999</v>
      </c>
      <c r="W1322" s="8">
        <v>138.20099999999999</v>
      </c>
      <c r="X1322" s="8">
        <v>97.106999999999999</v>
      </c>
      <c r="Y1322" s="8">
        <v>70.644999999999996</v>
      </c>
      <c r="Z1322" s="8">
        <v>37.313000000000002</v>
      </c>
      <c r="AA1322" s="8">
        <v>10.228</v>
      </c>
      <c r="AB1322" s="8">
        <v>2.1219999999999999</v>
      </c>
      <c r="AC1322" s="8">
        <v>0.189</v>
      </c>
    </row>
    <row r="1323" spans="1:29" ht="11.65" hidden="1" x14ac:dyDescent="0.35">
      <c r="A1323" s="12">
        <v>1306</v>
      </c>
      <c r="B1323" s="10" t="s">
        <v>1015</v>
      </c>
      <c r="C1323" s="11" t="s">
        <v>1111</v>
      </c>
      <c r="D1323" s="9"/>
      <c r="E1323" s="9">
        <v>732</v>
      </c>
      <c r="F1323" s="10" t="s">
        <v>1066</v>
      </c>
      <c r="G1323" s="9">
        <v>912</v>
      </c>
      <c r="H1323" s="9">
        <v>1950</v>
      </c>
      <c r="I1323" s="8">
        <v>1.1870000000000001</v>
      </c>
      <c r="J1323" s="8">
        <v>0.93400000000000005</v>
      </c>
      <c r="K1323" s="8">
        <v>0.80300000000000005</v>
      </c>
      <c r="L1323" s="8">
        <v>0.7</v>
      </c>
      <c r="M1323" s="8">
        <v>0.60899999999999999</v>
      </c>
      <c r="N1323" s="8">
        <v>0.52600000000000002</v>
      </c>
      <c r="O1323" s="8">
        <v>0.45100000000000001</v>
      </c>
      <c r="P1323" s="8">
        <v>0.38400000000000001</v>
      </c>
      <c r="Q1323" s="8">
        <v>0.32400000000000001</v>
      </c>
      <c r="R1323" s="8">
        <v>0.27</v>
      </c>
      <c r="S1323" s="8">
        <v>0.22500000000000001</v>
      </c>
      <c r="T1323" s="8">
        <v>0.182</v>
      </c>
      <c r="U1323" s="8">
        <v>0.14000000000000001</v>
      </c>
      <c r="V1323" s="8">
        <v>0.10100000000000001</v>
      </c>
      <c r="W1323" s="8">
        <v>6.4000000000000001E-2</v>
      </c>
      <c r="X1323" s="8">
        <v>3.5000000000000003E-2</v>
      </c>
      <c r="Y1323" s="8">
        <v>1.2E-2</v>
      </c>
      <c r="Z1323" s="8">
        <v>4.0000000000000001E-3</v>
      </c>
      <c r="AA1323" s="8">
        <v>0</v>
      </c>
      <c r="AB1323" s="8">
        <v>0</v>
      </c>
      <c r="AC1323" s="8">
        <v>0</v>
      </c>
    </row>
    <row r="1324" spans="1:29" ht="11.65" hidden="1" x14ac:dyDescent="0.35">
      <c r="A1324" s="12">
        <v>1307</v>
      </c>
      <c r="B1324" s="10" t="s">
        <v>1015</v>
      </c>
      <c r="C1324" s="11" t="s">
        <v>1111</v>
      </c>
      <c r="D1324" s="9"/>
      <c r="E1324" s="9">
        <v>732</v>
      </c>
      <c r="F1324" s="10" t="s">
        <v>1066</v>
      </c>
      <c r="G1324" s="9">
        <v>912</v>
      </c>
      <c r="H1324" s="9">
        <v>1955</v>
      </c>
      <c r="I1324" s="8">
        <v>1.6439999999999999</v>
      </c>
      <c r="J1324" s="8">
        <v>1.244</v>
      </c>
      <c r="K1324" s="8">
        <v>1.17</v>
      </c>
      <c r="L1324" s="8">
        <v>1.163</v>
      </c>
      <c r="M1324" s="8">
        <v>1.139</v>
      </c>
      <c r="N1324" s="8">
        <v>0.90100000000000002</v>
      </c>
      <c r="O1324" s="8">
        <v>0.61699999999999999</v>
      </c>
      <c r="P1324" s="8">
        <v>0.47599999999999998</v>
      </c>
      <c r="Q1324" s="8">
        <v>0.41099999999999998</v>
      </c>
      <c r="R1324" s="8">
        <v>0.35299999999999998</v>
      </c>
      <c r="S1324" s="8">
        <v>0.28899999999999998</v>
      </c>
      <c r="T1324" s="8">
        <v>0.23100000000000001</v>
      </c>
      <c r="U1324" s="8">
        <v>0.184</v>
      </c>
      <c r="V1324" s="8">
        <v>0.13800000000000001</v>
      </c>
      <c r="W1324" s="8">
        <v>9.0999999999999998E-2</v>
      </c>
      <c r="X1324" s="8">
        <v>4.2999999999999997E-2</v>
      </c>
      <c r="Y1324" s="8">
        <v>1.6E-2</v>
      </c>
      <c r="Z1324" s="8">
        <v>4.0000000000000001E-3</v>
      </c>
      <c r="AA1324" s="8">
        <v>0</v>
      </c>
      <c r="AB1324" s="8">
        <v>0</v>
      </c>
      <c r="AC1324" s="8">
        <v>0</v>
      </c>
    </row>
    <row r="1325" spans="1:29" ht="11.65" hidden="1" x14ac:dyDescent="0.35">
      <c r="A1325" s="12">
        <v>1308</v>
      </c>
      <c r="B1325" s="10" t="s">
        <v>1015</v>
      </c>
      <c r="C1325" s="11" t="s">
        <v>1111</v>
      </c>
      <c r="D1325" s="9"/>
      <c r="E1325" s="9">
        <v>732</v>
      </c>
      <c r="F1325" s="10" t="s">
        <v>1066</v>
      </c>
      <c r="G1325" s="9">
        <v>912</v>
      </c>
      <c r="H1325" s="9">
        <v>1960</v>
      </c>
      <c r="I1325" s="8">
        <v>2.7130000000000001</v>
      </c>
      <c r="J1325" s="8">
        <v>1.7569999999999999</v>
      </c>
      <c r="K1325" s="8">
        <v>1.6020000000000001</v>
      </c>
      <c r="L1325" s="8">
        <v>1.708</v>
      </c>
      <c r="M1325" s="8">
        <v>1.8129999999999999</v>
      </c>
      <c r="N1325" s="8">
        <v>1.5649999999999999</v>
      </c>
      <c r="O1325" s="8">
        <v>1.034</v>
      </c>
      <c r="P1325" s="8">
        <v>0.66200000000000003</v>
      </c>
      <c r="Q1325" s="8">
        <v>0.52500000000000002</v>
      </c>
      <c r="R1325" s="8">
        <v>0.46100000000000002</v>
      </c>
      <c r="S1325" s="8">
        <v>0.39400000000000002</v>
      </c>
      <c r="T1325" s="8">
        <v>0.32</v>
      </c>
      <c r="U1325" s="8">
        <v>0.248</v>
      </c>
      <c r="V1325" s="8">
        <v>0.189</v>
      </c>
      <c r="W1325" s="8">
        <v>0.13200000000000001</v>
      </c>
      <c r="X1325" s="8">
        <v>6.3E-2</v>
      </c>
      <c r="Y1325" s="8">
        <v>1.7999999999999999E-2</v>
      </c>
      <c r="Z1325" s="8">
        <v>5.0000000000000001E-3</v>
      </c>
      <c r="AA1325" s="8">
        <v>0</v>
      </c>
      <c r="AB1325" s="8">
        <v>0</v>
      </c>
      <c r="AC1325" s="8">
        <v>0</v>
      </c>
    </row>
    <row r="1326" spans="1:29" ht="11.65" hidden="1" x14ac:dyDescent="0.35">
      <c r="A1326" s="12">
        <v>1309</v>
      </c>
      <c r="B1326" s="10" t="s">
        <v>1015</v>
      </c>
      <c r="C1326" s="11" t="s">
        <v>1111</v>
      </c>
      <c r="D1326" s="9"/>
      <c r="E1326" s="9">
        <v>732</v>
      </c>
      <c r="F1326" s="10" t="s">
        <v>1066</v>
      </c>
      <c r="G1326" s="9">
        <v>912</v>
      </c>
      <c r="H1326" s="9">
        <v>1965</v>
      </c>
      <c r="I1326" s="8">
        <v>4.3879999999999999</v>
      </c>
      <c r="J1326" s="8">
        <v>2.883</v>
      </c>
      <c r="K1326" s="8">
        <v>2.3029999999999999</v>
      </c>
      <c r="L1326" s="8">
        <v>2.4220000000000002</v>
      </c>
      <c r="M1326" s="8">
        <v>2.6960000000000002</v>
      </c>
      <c r="N1326" s="8">
        <v>2.4590000000000001</v>
      </c>
      <c r="O1326" s="8">
        <v>1.7729999999999999</v>
      </c>
      <c r="P1326" s="8">
        <v>1.1180000000000001</v>
      </c>
      <c r="Q1326" s="8">
        <v>0.75600000000000001</v>
      </c>
      <c r="R1326" s="8">
        <v>0.61399999999999999</v>
      </c>
      <c r="S1326" s="8">
        <v>0.52900000000000003</v>
      </c>
      <c r="T1326" s="8">
        <v>0.44600000000000001</v>
      </c>
      <c r="U1326" s="8">
        <v>0.35199999999999998</v>
      </c>
      <c r="V1326" s="8">
        <v>0.26500000000000001</v>
      </c>
      <c r="W1326" s="8">
        <v>0.187</v>
      </c>
      <c r="X1326" s="8">
        <v>9.4E-2</v>
      </c>
      <c r="Y1326" s="8">
        <v>2.9000000000000001E-2</v>
      </c>
      <c r="Z1326" s="8">
        <v>6.0000000000000001E-3</v>
      </c>
      <c r="AA1326" s="8">
        <v>0</v>
      </c>
      <c r="AB1326" s="8">
        <v>0</v>
      </c>
      <c r="AC1326" s="8">
        <v>0</v>
      </c>
    </row>
    <row r="1327" spans="1:29" ht="11.65" hidden="1" x14ac:dyDescent="0.35">
      <c r="A1327" s="12">
        <v>1310</v>
      </c>
      <c r="B1327" s="10" t="s">
        <v>1015</v>
      </c>
      <c r="C1327" s="11" t="s">
        <v>1111</v>
      </c>
      <c r="D1327" s="9"/>
      <c r="E1327" s="9">
        <v>732</v>
      </c>
      <c r="F1327" s="10" t="s">
        <v>1066</v>
      </c>
      <c r="G1327" s="9">
        <v>912</v>
      </c>
      <c r="H1327" s="9">
        <v>1970</v>
      </c>
      <c r="I1327" s="8">
        <v>6.6040000000000001</v>
      </c>
      <c r="J1327" s="8">
        <v>4.7439999999999998</v>
      </c>
      <c r="K1327" s="8">
        <v>3.83</v>
      </c>
      <c r="L1327" s="8">
        <v>3.4159999999999999</v>
      </c>
      <c r="M1327" s="8">
        <v>3.4969999999999999</v>
      </c>
      <c r="N1327" s="8">
        <v>3.3260000000000001</v>
      </c>
      <c r="O1327" s="8">
        <v>2.573</v>
      </c>
      <c r="P1327" s="8">
        <v>1.8480000000000001</v>
      </c>
      <c r="Q1327" s="8">
        <v>1.333</v>
      </c>
      <c r="R1327" s="8">
        <v>0.92900000000000005</v>
      </c>
      <c r="S1327" s="8">
        <v>0.71899999999999997</v>
      </c>
      <c r="T1327" s="8">
        <v>0.60799999999999998</v>
      </c>
      <c r="U1327" s="8">
        <v>0.49299999999999999</v>
      </c>
      <c r="V1327" s="8">
        <v>0.377</v>
      </c>
      <c r="W1327" s="8">
        <v>0.26300000000000001</v>
      </c>
      <c r="X1327" s="8">
        <v>0.13600000000000001</v>
      </c>
      <c r="Y1327" s="8">
        <v>4.4999999999999998E-2</v>
      </c>
      <c r="Z1327" s="8">
        <v>1.0999999999999999E-2</v>
      </c>
      <c r="AA1327" s="8">
        <v>0</v>
      </c>
      <c r="AB1327" s="8">
        <v>0</v>
      </c>
      <c r="AC1327" s="8">
        <v>0</v>
      </c>
    </row>
    <row r="1328" spans="1:29" ht="11.65" hidden="1" x14ac:dyDescent="0.35">
      <c r="A1328" s="12">
        <v>1311</v>
      </c>
      <c r="B1328" s="10" t="s">
        <v>1015</v>
      </c>
      <c r="C1328" s="11" t="s">
        <v>1111</v>
      </c>
      <c r="D1328" s="9"/>
      <c r="E1328" s="9">
        <v>732</v>
      </c>
      <c r="F1328" s="10" t="s">
        <v>1066</v>
      </c>
      <c r="G1328" s="9">
        <v>912</v>
      </c>
      <c r="H1328" s="9">
        <v>1975</v>
      </c>
      <c r="I1328" s="8">
        <v>6.6349999999999998</v>
      </c>
      <c r="J1328" s="8">
        <v>5.8689999999999998</v>
      </c>
      <c r="K1328" s="8">
        <v>4.6210000000000004</v>
      </c>
      <c r="L1328" s="8">
        <v>3.823</v>
      </c>
      <c r="M1328" s="8">
        <v>2.802</v>
      </c>
      <c r="N1328" s="8">
        <v>2.3679999999999999</v>
      </c>
      <c r="O1328" s="8">
        <v>2.238</v>
      </c>
      <c r="P1328" s="8">
        <v>1.5920000000000001</v>
      </c>
      <c r="Q1328" s="8">
        <v>1.198</v>
      </c>
      <c r="R1328" s="8">
        <v>1</v>
      </c>
      <c r="S1328" s="8">
        <v>0.71799999999999997</v>
      </c>
      <c r="T1328" s="8">
        <v>0.54900000000000004</v>
      </c>
      <c r="U1328" s="8">
        <v>0.45700000000000002</v>
      </c>
      <c r="V1328" s="8">
        <v>0.35899999999999999</v>
      </c>
      <c r="W1328" s="8">
        <v>0.252</v>
      </c>
      <c r="X1328" s="8">
        <v>0.15</v>
      </c>
      <c r="Y1328" s="8">
        <v>5.8000000000000003E-2</v>
      </c>
      <c r="Z1328" s="8">
        <v>1.4999999999999999E-2</v>
      </c>
      <c r="AA1328" s="8">
        <v>2E-3</v>
      </c>
      <c r="AB1328" s="8">
        <v>0</v>
      </c>
      <c r="AC1328" s="8">
        <v>0</v>
      </c>
    </row>
    <row r="1329" spans="1:29" ht="11.65" hidden="1" x14ac:dyDescent="0.35">
      <c r="A1329" s="12">
        <v>1312</v>
      </c>
      <c r="B1329" s="10" t="s">
        <v>1015</v>
      </c>
      <c r="C1329" s="11" t="s">
        <v>1111</v>
      </c>
      <c r="D1329" s="9"/>
      <c r="E1329" s="9">
        <v>732</v>
      </c>
      <c r="F1329" s="10" t="s">
        <v>1066</v>
      </c>
      <c r="G1329" s="9">
        <v>912</v>
      </c>
      <c r="H1329" s="9">
        <v>1980</v>
      </c>
      <c r="I1329" s="8">
        <v>11.467000000000001</v>
      </c>
      <c r="J1329" s="8">
        <v>8.2870000000000008</v>
      </c>
      <c r="K1329" s="8">
        <v>7.968</v>
      </c>
      <c r="L1329" s="8">
        <v>7.6059999999999999</v>
      </c>
      <c r="M1329" s="8">
        <v>7.569</v>
      </c>
      <c r="N1329" s="8">
        <v>6.2140000000000004</v>
      </c>
      <c r="O1329" s="8">
        <v>4.8890000000000002</v>
      </c>
      <c r="P1329" s="8">
        <v>4.1040000000000001</v>
      </c>
      <c r="Q1329" s="8">
        <v>3.077</v>
      </c>
      <c r="R1329" s="8">
        <v>2.2029999999999998</v>
      </c>
      <c r="S1329" s="8">
        <v>1.708</v>
      </c>
      <c r="T1329" s="8">
        <v>1.3029999999999999</v>
      </c>
      <c r="U1329" s="8">
        <v>1.071</v>
      </c>
      <c r="V1329" s="8">
        <v>0.90400000000000003</v>
      </c>
      <c r="W1329" s="8">
        <v>0.70399999999999996</v>
      </c>
      <c r="X1329" s="8">
        <v>0.45900000000000002</v>
      </c>
      <c r="Y1329" s="8">
        <v>0.22900000000000001</v>
      </c>
      <c r="Z1329" s="8">
        <v>4.9000000000000002E-2</v>
      </c>
      <c r="AA1329" s="8">
        <v>3.0000000000000001E-3</v>
      </c>
      <c r="AB1329" s="8">
        <v>0</v>
      </c>
      <c r="AC1329" s="8">
        <v>0</v>
      </c>
    </row>
    <row r="1330" spans="1:29" ht="11.65" hidden="1" x14ac:dyDescent="0.35">
      <c r="A1330" s="12">
        <v>1313</v>
      </c>
      <c r="B1330" s="10" t="s">
        <v>1015</v>
      </c>
      <c r="C1330" s="11" t="s">
        <v>1111</v>
      </c>
      <c r="D1330" s="9"/>
      <c r="E1330" s="9">
        <v>732</v>
      </c>
      <c r="F1330" s="10" t="s">
        <v>1066</v>
      </c>
      <c r="G1330" s="9">
        <v>912</v>
      </c>
      <c r="H1330" s="9">
        <v>1985</v>
      </c>
      <c r="I1330" s="8">
        <v>14.553000000000001</v>
      </c>
      <c r="J1330" s="8">
        <v>11.387</v>
      </c>
      <c r="K1330" s="8">
        <v>8.7560000000000002</v>
      </c>
      <c r="L1330" s="8">
        <v>8.41</v>
      </c>
      <c r="M1330" s="8">
        <v>8.0730000000000004</v>
      </c>
      <c r="N1330" s="8">
        <v>8.0760000000000005</v>
      </c>
      <c r="O1330" s="8">
        <v>6.5860000000000003</v>
      </c>
      <c r="P1330" s="8">
        <v>5.0410000000000004</v>
      </c>
      <c r="Q1330" s="8">
        <v>4.1619999999999999</v>
      </c>
      <c r="R1330" s="8">
        <v>3.1110000000000002</v>
      </c>
      <c r="S1330" s="8">
        <v>2.1869999999999998</v>
      </c>
      <c r="T1330" s="8">
        <v>1.6479999999999999</v>
      </c>
      <c r="U1330" s="8">
        <v>1.206</v>
      </c>
      <c r="V1330" s="8">
        <v>0.93100000000000005</v>
      </c>
      <c r="W1330" s="8">
        <v>0.71599999999999997</v>
      </c>
      <c r="X1330" s="8">
        <v>0.47899999999999998</v>
      </c>
      <c r="Y1330" s="8">
        <v>0.249</v>
      </c>
      <c r="Z1330" s="8">
        <v>8.8999999999999996E-2</v>
      </c>
      <c r="AA1330" s="8">
        <v>1.0999999999999999E-2</v>
      </c>
      <c r="AB1330" s="8">
        <v>0</v>
      </c>
      <c r="AC1330" s="8">
        <v>0</v>
      </c>
    </row>
    <row r="1331" spans="1:29" ht="11.65" hidden="1" x14ac:dyDescent="0.35">
      <c r="A1331" s="12">
        <v>1314</v>
      </c>
      <c r="B1331" s="10" t="s">
        <v>1015</v>
      </c>
      <c r="C1331" s="11" t="s">
        <v>1111</v>
      </c>
      <c r="D1331" s="9"/>
      <c r="E1331" s="9">
        <v>732</v>
      </c>
      <c r="F1331" s="10" t="s">
        <v>1066</v>
      </c>
      <c r="G1331" s="9">
        <v>912</v>
      </c>
      <c r="H1331" s="9">
        <v>1990</v>
      </c>
      <c r="I1331" s="8">
        <v>15.803000000000001</v>
      </c>
      <c r="J1331" s="8">
        <v>14.297000000000001</v>
      </c>
      <c r="K1331" s="8">
        <v>11.803000000000001</v>
      </c>
      <c r="L1331" s="8">
        <v>9.7850000000000001</v>
      </c>
      <c r="M1331" s="8">
        <v>9.7029999999999994</v>
      </c>
      <c r="N1331" s="8">
        <v>9.1379999999999999</v>
      </c>
      <c r="O1331" s="8">
        <v>8.8699999999999992</v>
      </c>
      <c r="P1331" s="8">
        <v>7.3079999999999998</v>
      </c>
      <c r="Q1331" s="8">
        <v>4.992</v>
      </c>
      <c r="R1331" s="8">
        <v>3.42</v>
      </c>
      <c r="S1331" s="8">
        <v>2.476</v>
      </c>
      <c r="T1331" s="8">
        <v>1.756</v>
      </c>
      <c r="U1331" s="8">
        <v>1.4</v>
      </c>
      <c r="V1331" s="8">
        <v>1.0349999999999999</v>
      </c>
      <c r="W1331" s="8">
        <v>0.73399999999999999</v>
      </c>
      <c r="X1331" s="8">
        <v>0.49099999999999999</v>
      </c>
      <c r="Y1331" s="8">
        <v>0.26200000000000001</v>
      </c>
      <c r="Z1331" s="8">
        <v>9.9000000000000005E-2</v>
      </c>
      <c r="AA1331" s="8">
        <v>2.4E-2</v>
      </c>
      <c r="AB1331" s="8">
        <v>2E-3</v>
      </c>
      <c r="AC1331" s="8">
        <v>0</v>
      </c>
    </row>
    <row r="1332" spans="1:29" ht="11.65" hidden="1" x14ac:dyDescent="0.35">
      <c r="A1332" s="12">
        <v>1315</v>
      </c>
      <c r="B1332" s="10" t="s">
        <v>1015</v>
      </c>
      <c r="C1332" s="11" t="s">
        <v>1111</v>
      </c>
      <c r="D1332" s="9"/>
      <c r="E1332" s="9">
        <v>732</v>
      </c>
      <c r="F1332" s="10" t="s">
        <v>1066</v>
      </c>
      <c r="G1332" s="9">
        <v>912</v>
      </c>
      <c r="H1332" s="9">
        <v>1995</v>
      </c>
      <c r="I1332" s="8">
        <v>17.170000000000002</v>
      </c>
      <c r="J1332" s="8">
        <v>16.003</v>
      </c>
      <c r="K1332" s="8">
        <v>14.858000000000001</v>
      </c>
      <c r="L1332" s="8">
        <v>12.794</v>
      </c>
      <c r="M1332" s="8">
        <v>11.032</v>
      </c>
      <c r="N1332" s="8">
        <v>10.792</v>
      </c>
      <c r="O1332" s="8">
        <v>9.8889999999999993</v>
      </c>
      <c r="P1332" s="8">
        <v>9.3670000000000009</v>
      </c>
      <c r="Q1332" s="8">
        <v>7.1710000000000003</v>
      </c>
      <c r="R1332" s="8">
        <v>4.3339999999999996</v>
      </c>
      <c r="S1332" s="8">
        <v>2.831</v>
      </c>
      <c r="T1332" s="8">
        <v>2.0379999999999998</v>
      </c>
      <c r="U1332" s="8">
        <v>1.5089999999999999</v>
      </c>
      <c r="V1332" s="8">
        <v>1.216</v>
      </c>
      <c r="W1332" s="8">
        <v>0.82699999999999996</v>
      </c>
      <c r="X1332" s="8">
        <v>0.51100000000000001</v>
      </c>
      <c r="Y1332" s="8">
        <v>0.27300000000000002</v>
      </c>
      <c r="Z1332" s="8">
        <v>0.106</v>
      </c>
      <c r="AA1332" s="8">
        <v>2.5999999999999999E-2</v>
      </c>
      <c r="AB1332" s="8">
        <v>4.0000000000000001E-3</v>
      </c>
      <c r="AC1332" s="8">
        <v>0</v>
      </c>
    </row>
    <row r="1333" spans="1:29" ht="11.65" hidden="1" x14ac:dyDescent="0.35">
      <c r="A1333" s="12">
        <v>1316</v>
      </c>
      <c r="B1333" s="10" t="s">
        <v>1015</v>
      </c>
      <c r="C1333" s="11" t="s">
        <v>1111</v>
      </c>
      <c r="D1333" s="9"/>
      <c r="E1333" s="9">
        <v>732</v>
      </c>
      <c r="F1333" s="10" t="s">
        <v>1066</v>
      </c>
      <c r="G1333" s="9">
        <v>912</v>
      </c>
      <c r="H1333" s="9">
        <v>2000</v>
      </c>
      <c r="I1333" s="8">
        <v>18.834</v>
      </c>
      <c r="J1333" s="8">
        <v>18.573</v>
      </c>
      <c r="K1333" s="8">
        <v>17.247</v>
      </c>
      <c r="L1333" s="8">
        <v>16.145</v>
      </c>
      <c r="M1333" s="8">
        <v>14.768000000000001</v>
      </c>
      <c r="N1333" s="8">
        <v>13.462</v>
      </c>
      <c r="O1333" s="8">
        <v>12.536</v>
      </c>
      <c r="P1333" s="8">
        <v>10.946</v>
      </c>
      <c r="Q1333" s="8">
        <v>9.2059999999999995</v>
      </c>
      <c r="R1333" s="8">
        <v>5.9989999999999997</v>
      </c>
      <c r="S1333" s="8">
        <v>3.5070000000000001</v>
      </c>
      <c r="T1333" s="8">
        <v>2.484</v>
      </c>
      <c r="U1333" s="8">
        <v>1.9710000000000001</v>
      </c>
      <c r="V1333" s="8">
        <v>1.51</v>
      </c>
      <c r="W1333" s="8">
        <v>1.1890000000000001</v>
      </c>
      <c r="X1333" s="8">
        <v>0.79800000000000004</v>
      </c>
      <c r="Y1333" s="8">
        <v>0.36099999999999999</v>
      </c>
      <c r="Z1333" s="8">
        <v>0.114</v>
      </c>
      <c r="AA1333" s="8">
        <v>2.8000000000000001E-2</v>
      </c>
      <c r="AB1333" s="8">
        <v>4.0000000000000001E-3</v>
      </c>
      <c r="AC1333" s="8">
        <v>0</v>
      </c>
    </row>
    <row r="1334" spans="1:29" ht="11.65" hidden="1" x14ac:dyDescent="0.35">
      <c r="A1334" s="12">
        <v>1317</v>
      </c>
      <c r="B1334" s="10" t="s">
        <v>1015</v>
      </c>
      <c r="C1334" s="11" t="s">
        <v>1111</v>
      </c>
      <c r="D1334" s="9"/>
      <c r="E1334" s="9">
        <v>732</v>
      </c>
      <c r="F1334" s="10" t="s">
        <v>1066</v>
      </c>
      <c r="G1334" s="9">
        <v>912</v>
      </c>
      <c r="H1334" s="9">
        <v>2005</v>
      </c>
      <c r="I1334" s="8">
        <v>23.157</v>
      </c>
      <c r="J1334" s="8">
        <v>22.751000000000001</v>
      </c>
      <c r="K1334" s="8">
        <v>22.442</v>
      </c>
      <c r="L1334" s="8">
        <v>21.210999999999999</v>
      </c>
      <c r="M1334" s="8">
        <v>20.936</v>
      </c>
      <c r="N1334" s="8">
        <v>20.79</v>
      </c>
      <c r="O1334" s="8">
        <v>19.369</v>
      </c>
      <c r="P1334" s="8">
        <v>16.481000000000002</v>
      </c>
      <c r="Q1334" s="8">
        <v>12.73</v>
      </c>
      <c r="R1334" s="8">
        <v>9.9369999999999994</v>
      </c>
      <c r="S1334" s="8">
        <v>6.2990000000000004</v>
      </c>
      <c r="T1334" s="8">
        <v>3.605</v>
      </c>
      <c r="U1334" s="8">
        <v>2.4529999999999998</v>
      </c>
      <c r="V1334" s="8">
        <v>1.8080000000000001</v>
      </c>
      <c r="W1334" s="8">
        <v>1.2769999999999999</v>
      </c>
      <c r="X1334" s="8">
        <v>0.89700000000000002</v>
      </c>
      <c r="Y1334" s="8">
        <v>0.504</v>
      </c>
      <c r="Z1334" s="8">
        <v>0.16200000000000001</v>
      </c>
      <c r="AA1334" s="8">
        <v>3.1E-2</v>
      </c>
      <c r="AB1334" s="8">
        <v>4.0000000000000001E-3</v>
      </c>
      <c r="AC1334" s="8">
        <v>0</v>
      </c>
    </row>
    <row r="1335" spans="1:29" ht="11.65" hidden="1" x14ac:dyDescent="0.35">
      <c r="A1335" s="12">
        <v>1318</v>
      </c>
      <c r="B1335" s="10" t="s">
        <v>1015</v>
      </c>
      <c r="C1335" s="11" t="s">
        <v>1111</v>
      </c>
      <c r="D1335" s="9"/>
      <c r="E1335" s="9">
        <v>732</v>
      </c>
      <c r="F1335" s="10" t="s">
        <v>1066</v>
      </c>
      <c r="G1335" s="9">
        <v>912</v>
      </c>
      <c r="H1335" s="9">
        <v>2010</v>
      </c>
      <c r="I1335" s="8">
        <v>24.012</v>
      </c>
      <c r="J1335" s="8">
        <v>23.274000000000001</v>
      </c>
      <c r="K1335" s="8">
        <v>22.617000000000001</v>
      </c>
      <c r="L1335" s="8">
        <v>23.07</v>
      </c>
      <c r="M1335" s="8">
        <v>22.806000000000001</v>
      </c>
      <c r="N1335" s="8">
        <v>22.286999999999999</v>
      </c>
      <c r="O1335" s="8">
        <v>21.286999999999999</v>
      </c>
      <c r="P1335" s="8">
        <v>18.734000000000002</v>
      </c>
      <c r="Q1335" s="8">
        <v>14.973000000000001</v>
      </c>
      <c r="R1335" s="8">
        <v>11.241</v>
      </c>
      <c r="S1335" s="8">
        <v>8.9649999999999999</v>
      </c>
      <c r="T1335" s="8">
        <v>5.7210000000000001</v>
      </c>
      <c r="U1335" s="8">
        <v>3.1890000000000001</v>
      </c>
      <c r="V1335" s="8">
        <v>2.0720000000000001</v>
      </c>
      <c r="W1335" s="8">
        <v>1.431</v>
      </c>
      <c r="X1335" s="8">
        <v>0.91400000000000003</v>
      </c>
      <c r="Y1335" s="8">
        <v>0.53100000000000003</v>
      </c>
      <c r="Z1335" s="8">
        <v>0.215</v>
      </c>
      <c r="AA1335" s="8">
        <v>4.4999999999999998E-2</v>
      </c>
      <c r="AB1335" s="8">
        <v>5.0000000000000001E-3</v>
      </c>
      <c r="AC1335" s="8">
        <v>0</v>
      </c>
    </row>
    <row r="1336" spans="1:29" ht="11.65" hidden="1" x14ac:dyDescent="0.35">
      <c r="A1336" s="12">
        <v>1319</v>
      </c>
      <c r="B1336" s="10" t="s">
        <v>1015</v>
      </c>
      <c r="C1336" s="11" t="s">
        <v>1111</v>
      </c>
      <c r="D1336" s="9"/>
      <c r="E1336" s="9">
        <v>732</v>
      </c>
      <c r="F1336" s="10" t="s">
        <v>1066</v>
      </c>
      <c r="G1336" s="9">
        <v>912</v>
      </c>
      <c r="H1336" s="9">
        <v>2015</v>
      </c>
      <c r="I1336" s="8">
        <v>27.01</v>
      </c>
      <c r="J1336" s="8">
        <v>24.227</v>
      </c>
      <c r="K1336" s="8">
        <v>23.096</v>
      </c>
      <c r="L1336" s="8">
        <v>22.565000000000001</v>
      </c>
      <c r="M1336" s="8">
        <v>24.257999999999999</v>
      </c>
      <c r="N1336" s="8">
        <v>24.457999999999998</v>
      </c>
      <c r="O1336" s="8">
        <v>22.824000000000002</v>
      </c>
      <c r="P1336" s="8">
        <v>20.687000000000001</v>
      </c>
      <c r="Q1336" s="8">
        <v>17.242999999999999</v>
      </c>
      <c r="R1336" s="8">
        <v>13.483000000000001</v>
      </c>
      <c r="S1336" s="8">
        <v>10.27</v>
      </c>
      <c r="T1336" s="8">
        <v>8.3089999999999993</v>
      </c>
      <c r="U1336" s="8">
        <v>5.1970000000000001</v>
      </c>
      <c r="V1336" s="8">
        <v>2.754</v>
      </c>
      <c r="W1336" s="8">
        <v>1.67</v>
      </c>
      <c r="X1336" s="8">
        <v>1.0429999999999999</v>
      </c>
      <c r="Y1336" s="8">
        <v>0.55000000000000004</v>
      </c>
      <c r="Z1336" s="8">
        <v>0.23300000000000001</v>
      </c>
      <c r="AA1336" s="8">
        <v>6.2E-2</v>
      </c>
      <c r="AB1336" s="8">
        <v>6.0000000000000001E-3</v>
      </c>
      <c r="AC1336" s="8">
        <v>0</v>
      </c>
    </row>
    <row r="1337" spans="1:29" ht="11.65" hidden="1" x14ac:dyDescent="0.35">
      <c r="A1337" s="12">
        <v>1320</v>
      </c>
      <c r="B1337" s="10" t="s">
        <v>1015</v>
      </c>
      <c r="C1337" s="11" t="s">
        <v>1111</v>
      </c>
      <c r="D1337" s="9"/>
      <c r="E1337" s="9">
        <v>732</v>
      </c>
      <c r="F1337" s="10" t="s">
        <v>1066</v>
      </c>
      <c r="G1337" s="9">
        <v>912</v>
      </c>
      <c r="H1337" s="9">
        <v>2020</v>
      </c>
      <c r="I1337" s="8">
        <v>27.93</v>
      </c>
      <c r="J1337" s="8">
        <v>27.788</v>
      </c>
      <c r="K1337" s="8">
        <v>24.695</v>
      </c>
      <c r="L1337" s="8">
        <v>24.074000000000002</v>
      </c>
      <c r="M1337" s="8">
        <v>24.65</v>
      </c>
      <c r="N1337" s="8">
        <v>26.638999999999999</v>
      </c>
      <c r="O1337" s="8">
        <v>26.425999999999998</v>
      </c>
      <c r="P1337" s="8">
        <v>23.911000000000001</v>
      </c>
      <c r="Q1337" s="8">
        <v>20.966000000000001</v>
      </c>
      <c r="R1337" s="8">
        <v>17.286999999999999</v>
      </c>
      <c r="S1337" s="8">
        <v>13.356999999999999</v>
      </c>
      <c r="T1337" s="8">
        <v>10.022</v>
      </c>
      <c r="U1337" s="8">
        <v>7.9180000000000001</v>
      </c>
      <c r="V1337" s="8">
        <v>4.7709999999999999</v>
      </c>
      <c r="W1337" s="8">
        <v>2.3679999999999999</v>
      </c>
      <c r="X1337" s="8">
        <v>1.276</v>
      </c>
      <c r="Y1337" s="8">
        <v>0.65900000000000003</v>
      </c>
      <c r="Z1337" s="8">
        <v>0.253</v>
      </c>
      <c r="AA1337" s="8">
        <v>6.9000000000000006E-2</v>
      </c>
      <c r="AB1337" s="8">
        <v>0.01</v>
      </c>
      <c r="AC1337" s="8">
        <v>1E-3</v>
      </c>
    </row>
    <row r="1338" spans="1:29" ht="11.65" hidden="1" x14ac:dyDescent="0.35">
      <c r="A1338" s="23">
        <v>1321</v>
      </c>
      <c r="B1338" s="21" t="s">
        <v>1015</v>
      </c>
      <c r="C1338" s="29" t="s">
        <v>1112</v>
      </c>
      <c r="D1338" s="20"/>
      <c r="E1338" s="20">
        <v>922</v>
      </c>
      <c r="F1338" s="21" t="s">
        <v>1065</v>
      </c>
      <c r="G1338" s="20">
        <v>1833</v>
      </c>
      <c r="H1338" s="20">
        <v>1950</v>
      </c>
      <c r="I1338" s="19">
        <v>3744.5479999999998</v>
      </c>
      <c r="J1338" s="19">
        <v>2975.078</v>
      </c>
      <c r="K1338" s="19">
        <v>2811.3240000000001</v>
      </c>
      <c r="L1338" s="19">
        <v>2628.413</v>
      </c>
      <c r="M1338" s="19">
        <v>2341.0970000000002</v>
      </c>
      <c r="N1338" s="19">
        <v>1849.1849999999999</v>
      </c>
      <c r="O1338" s="19">
        <v>1505.89</v>
      </c>
      <c r="P1338" s="19">
        <v>1522.4939999999999</v>
      </c>
      <c r="Q1338" s="19">
        <v>1409.2929999999999</v>
      </c>
      <c r="R1338" s="19">
        <v>1169.326</v>
      </c>
      <c r="S1338" s="19">
        <v>1057.604</v>
      </c>
      <c r="T1338" s="19">
        <v>788.24699999999996</v>
      </c>
      <c r="U1338" s="19">
        <v>715.43200000000002</v>
      </c>
      <c r="V1338" s="19">
        <v>502.81900000000002</v>
      </c>
      <c r="W1338" s="19">
        <v>383.19099999999997</v>
      </c>
      <c r="X1338" s="19">
        <v>200.86199999999999</v>
      </c>
      <c r="Y1338" s="19">
        <v>94.341999999999999</v>
      </c>
      <c r="Z1338" s="19">
        <v>36.018000000000001</v>
      </c>
      <c r="AA1338" s="19">
        <v>11.137</v>
      </c>
      <c r="AB1338" s="19">
        <v>1.631</v>
      </c>
      <c r="AC1338" s="19">
        <v>0.19800000000000001</v>
      </c>
    </row>
    <row r="1339" spans="1:29" ht="11.65" hidden="1" x14ac:dyDescent="0.35">
      <c r="A1339" s="23">
        <v>1322</v>
      </c>
      <c r="B1339" s="21" t="s">
        <v>1015</v>
      </c>
      <c r="C1339" s="29" t="s">
        <v>1112</v>
      </c>
      <c r="D1339" s="20"/>
      <c r="E1339" s="20">
        <v>922</v>
      </c>
      <c r="F1339" s="21" t="s">
        <v>1065</v>
      </c>
      <c r="G1339" s="20">
        <v>1833</v>
      </c>
      <c r="H1339" s="20">
        <v>1955</v>
      </c>
      <c r="I1339" s="19">
        <v>4923.049</v>
      </c>
      <c r="J1339" s="19">
        <v>3433.9209999999998</v>
      </c>
      <c r="K1339" s="19">
        <v>2907.7579999999998</v>
      </c>
      <c r="L1339" s="19">
        <v>2777.8429999999998</v>
      </c>
      <c r="M1339" s="19">
        <v>2573.5720000000001</v>
      </c>
      <c r="N1339" s="19">
        <v>2280.3420000000001</v>
      </c>
      <c r="O1339" s="19">
        <v>1796.9649999999999</v>
      </c>
      <c r="P1339" s="19">
        <v>1460.569</v>
      </c>
      <c r="Q1339" s="19">
        <v>1475.393</v>
      </c>
      <c r="R1339" s="19">
        <v>1358.502</v>
      </c>
      <c r="S1339" s="19">
        <v>1115.575</v>
      </c>
      <c r="T1339" s="19">
        <v>984.65499999999997</v>
      </c>
      <c r="U1339" s="19">
        <v>707.88</v>
      </c>
      <c r="V1339" s="19">
        <v>606.37699999999995</v>
      </c>
      <c r="W1339" s="19">
        <v>385.57299999999998</v>
      </c>
      <c r="X1339" s="19">
        <v>247.90899999999999</v>
      </c>
      <c r="Y1339" s="19">
        <v>102.337</v>
      </c>
      <c r="Z1339" s="19">
        <v>34.097000000000001</v>
      </c>
      <c r="AA1339" s="19">
        <v>8.5830000000000002</v>
      </c>
      <c r="AB1339" s="19">
        <v>1.8069999999999999</v>
      </c>
      <c r="AC1339" s="19">
        <v>0.17</v>
      </c>
    </row>
    <row r="1340" spans="1:29" ht="11.65" hidden="1" x14ac:dyDescent="0.35">
      <c r="A1340" s="23">
        <v>1323</v>
      </c>
      <c r="B1340" s="21" t="s">
        <v>1015</v>
      </c>
      <c r="C1340" s="29" t="s">
        <v>1112</v>
      </c>
      <c r="D1340" s="20"/>
      <c r="E1340" s="20">
        <v>922</v>
      </c>
      <c r="F1340" s="21" t="s">
        <v>1065</v>
      </c>
      <c r="G1340" s="20">
        <v>1833</v>
      </c>
      <c r="H1340" s="20">
        <v>1960</v>
      </c>
      <c r="I1340" s="19">
        <v>5523.6589999999997</v>
      </c>
      <c r="J1340" s="19">
        <v>4571.8379999999997</v>
      </c>
      <c r="K1340" s="19">
        <v>3367.2640000000001</v>
      </c>
      <c r="L1340" s="19">
        <v>2873.5360000000001</v>
      </c>
      <c r="M1340" s="19">
        <v>2731.643</v>
      </c>
      <c r="N1340" s="19">
        <v>2520.7469999999998</v>
      </c>
      <c r="O1340" s="19">
        <v>2231.83</v>
      </c>
      <c r="P1340" s="19">
        <v>1750.606</v>
      </c>
      <c r="Q1340" s="19">
        <v>1418.961</v>
      </c>
      <c r="R1340" s="19">
        <v>1425.0840000000001</v>
      </c>
      <c r="S1340" s="19">
        <v>1299.7449999999999</v>
      </c>
      <c r="T1340" s="19">
        <v>1042.9069999999999</v>
      </c>
      <c r="U1340" s="19">
        <v>890.91700000000003</v>
      </c>
      <c r="V1340" s="19">
        <v>602.11900000000003</v>
      </c>
      <c r="W1340" s="19">
        <v>473.58499999999998</v>
      </c>
      <c r="X1340" s="19">
        <v>259.03100000000001</v>
      </c>
      <c r="Y1340" s="19">
        <v>130.858</v>
      </c>
      <c r="Z1340" s="19">
        <v>40.265000000000001</v>
      </c>
      <c r="AA1340" s="19">
        <v>8.9079999999999995</v>
      </c>
      <c r="AB1340" s="19">
        <v>1.466</v>
      </c>
      <c r="AC1340" s="19">
        <v>0.24299999999999999</v>
      </c>
    </row>
    <row r="1341" spans="1:29" ht="11.65" hidden="1" x14ac:dyDescent="0.35">
      <c r="A1341" s="23">
        <v>1324</v>
      </c>
      <c r="B1341" s="21" t="s">
        <v>1015</v>
      </c>
      <c r="C1341" s="29" t="s">
        <v>1112</v>
      </c>
      <c r="D1341" s="20"/>
      <c r="E1341" s="20">
        <v>922</v>
      </c>
      <c r="F1341" s="21" t="s">
        <v>1065</v>
      </c>
      <c r="G1341" s="20">
        <v>1833</v>
      </c>
      <c r="H1341" s="20">
        <v>1965</v>
      </c>
      <c r="I1341" s="19">
        <v>6246.7479999999996</v>
      </c>
      <c r="J1341" s="19">
        <v>5192.1459999999997</v>
      </c>
      <c r="K1341" s="19">
        <v>4497.7219999999998</v>
      </c>
      <c r="L1341" s="19">
        <v>3332.0309999999999</v>
      </c>
      <c r="M1341" s="19">
        <v>2826.8690000000001</v>
      </c>
      <c r="N1341" s="19">
        <v>2683.16</v>
      </c>
      <c r="O1341" s="19">
        <v>2472.5680000000002</v>
      </c>
      <c r="P1341" s="19">
        <v>2184.6660000000002</v>
      </c>
      <c r="Q1341" s="19">
        <v>1709.8689999999999</v>
      </c>
      <c r="R1341" s="19">
        <v>1370.259</v>
      </c>
      <c r="S1341" s="19">
        <v>1369.231</v>
      </c>
      <c r="T1341" s="19">
        <v>1219.7560000000001</v>
      </c>
      <c r="U1341" s="19">
        <v>955.45600000000002</v>
      </c>
      <c r="V1341" s="19">
        <v>769.21299999999997</v>
      </c>
      <c r="W1341" s="19">
        <v>479.25200000000001</v>
      </c>
      <c r="X1341" s="19">
        <v>327.59100000000001</v>
      </c>
      <c r="Y1341" s="19">
        <v>144.32</v>
      </c>
      <c r="Z1341" s="19">
        <v>55.103000000000002</v>
      </c>
      <c r="AA1341" s="19">
        <v>11.602</v>
      </c>
      <c r="AB1341" s="19">
        <v>1.663</v>
      </c>
      <c r="AC1341" s="19">
        <v>0.20599999999999999</v>
      </c>
    </row>
    <row r="1342" spans="1:29" ht="11.65" hidden="1" x14ac:dyDescent="0.35">
      <c r="A1342" s="23">
        <v>1325</v>
      </c>
      <c r="B1342" s="21" t="s">
        <v>1015</v>
      </c>
      <c r="C1342" s="29" t="s">
        <v>1112</v>
      </c>
      <c r="D1342" s="20"/>
      <c r="E1342" s="20">
        <v>922</v>
      </c>
      <c r="F1342" s="21" t="s">
        <v>1065</v>
      </c>
      <c r="G1342" s="20">
        <v>1833</v>
      </c>
      <c r="H1342" s="20">
        <v>1970</v>
      </c>
      <c r="I1342" s="19">
        <v>6958.0339999999997</v>
      </c>
      <c r="J1342" s="19">
        <v>5927.1490000000003</v>
      </c>
      <c r="K1342" s="19">
        <v>5109.1360000000004</v>
      </c>
      <c r="L1342" s="19">
        <v>4428.2039999999997</v>
      </c>
      <c r="M1342" s="19">
        <v>3281.3829999999998</v>
      </c>
      <c r="N1342" s="19">
        <v>2782.1260000000002</v>
      </c>
      <c r="O1342" s="19">
        <v>2636.4830000000002</v>
      </c>
      <c r="P1342" s="19">
        <v>2419.9589999999998</v>
      </c>
      <c r="Q1342" s="19">
        <v>2140.0520000000001</v>
      </c>
      <c r="R1342" s="19">
        <v>1660.3050000000001</v>
      </c>
      <c r="S1342" s="19">
        <v>1320.0450000000001</v>
      </c>
      <c r="T1342" s="19">
        <v>1292.5260000000001</v>
      </c>
      <c r="U1342" s="19">
        <v>1123.6569999999999</v>
      </c>
      <c r="V1342" s="19">
        <v>841.09699999999998</v>
      </c>
      <c r="W1342" s="19">
        <v>623.46199999999999</v>
      </c>
      <c r="X1342" s="19">
        <v>342.82799999999997</v>
      </c>
      <c r="Y1342" s="19">
        <v>192.321</v>
      </c>
      <c r="Z1342" s="19">
        <v>64.269000000000005</v>
      </c>
      <c r="AA1342" s="19">
        <v>17.114000000000001</v>
      </c>
      <c r="AB1342" s="19">
        <v>2.3380000000000001</v>
      </c>
      <c r="AC1342" s="19">
        <v>0.23400000000000001</v>
      </c>
    </row>
    <row r="1343" spans="1:29" ht="11.65" hidden="1" x14ac:dyDescent="0.35">
      <c r="A1343" s="23">
        <v>1326</v>
      </c>
      <c r="B1343" s="21" t="s">
        <v>1015</v>
      </c>
      <c r="C1343" s="29" t="s">
        <v>1112</v>
      </c>
      <c r="D1343" s="20"/>
      <c r="E1343" s="20">
        <v>922</v>
      </c>
      <c r="F1343" s="21" t="s">
        <v>1065</v>
      </c>
      <c r="G1343" s="20">
        <v>1833</v>
      </c>
      <c r="H1343" s="20">
        <v>1975</v>
      </c>
      <c r="I1343" s="19">
        <v>7844.2629999999999</v>
      </c>
      <c r="J1343" s="19">
        <v>6689.7250000000004</v>
      </c>
      <c r="K1343" s="19">
        <v>5840.29</v>
      </c>
      <c r="L1343" s="19">
        <v>5044.8490000000002</v>
      </c>
      <c r="M1343" s="19">
        <v>4350.4719999999998</v>
      </c>
      <c r="N1343" s="19">
        <v>3228.511</v>
      </c>
      <c r="O1343" s="19">
        <v>2734.59</v>
      </c>
      <c r="P1343" s="19">
        <v>2589.7489999999998</v>
      </c>
      <c r="Q1343" s="19">
        <v>2349.2640000000001</v>
      </c>
      <c r="R1343" s="19">
        <v>2073.9870000000001</v>
      </c>
      <c r="S1343" s="19">
        <v>1613.0609999999999</v>
      </c>
      <c r="T1343" s="19">
        <v>1263.32</v>
      </c>
      <c r="U1343" s="19">
        <v>1224.2</v>
      </c>
      <c r="V1343" s="19">
        <v>1009.282</v>
      </c>
      <c r="W1343" s="19">
        <v>705.36400000000003</v>
      </c>
      <c r="X1343" s="19">
        <v>456.40699999999998</v>
      </c>
      <c r="Y1343" s="19">
        <v>207.3</v>
      </c>
      <c r="Z1343" s="19">
        <v>90.308999999999997</v>
      </c>
      <c r="AA1343" s="19">
        <v>20.797999999999998</v>
      </c>
      <c r="AB1343" s="19">
        <v>3.581</v>
      </c>
      <c r="AC1343" s="19">
        <v>0.33500000000000002</v>
      </c>
    </row>
    <row r="1344" spans="1:29" ht="11.65" hidden="1" x14ac:dyDescent="0.35">
      <c r="A1344" s="23">
        <v>1327</v>
      </c>
      <c r="B1344" s="21" t="s">
        <v>1015</v>
      </c>
      <c r="C1344" s="29" t="s">
        <v>1112</v>
      </c>
      <c r="D1344" s="20"/>
      <c r="E1344" s="20">
        <v>922</v>
      </c>
      <c r="F1344" s="21" t="s">
        <v>1065</v>
      </c>
      <c r="G1344" s="20">
        <v>1833</v>
      </c>
      <c r="H1344" s="20">
        <v>1980</v>
      </c>
      <c r="I1344" s="19">
        <v>8768.5329999999994</v>
      </c>
      <c r="J1344" s="19">
        <v>7599.5219999999999</v>
      </c>
      <c r="K1344" s="19">
        <v>6604.2910000000002</v>
      </c>
      <c r="L1344" s="19">
        <v>5781.8739999999998</v>
      </c>
      <c r="M1344" s="19">
        <v>4993.4399999999996</v>
      </c>
      <c r="N1344" s="19">
        <v>4286.5919999999996</v>
      </c>
      <c r="O1344" s="19">
        <v>3169.681</v>
      </c>
      <c r="P1344" s="19">
        <v>2669.2049999999999</v>
      </c>
      <c r="Q1344" s="19">
        <v>2526.3510000000001</v>
      </c>
      <c r="R1344" s="19">
        <v>2279.3310000000001</v>
      </c>
      <c r="S1344" s="19">
        <v>2000.865</v>
      </c>
      <c r="T1344" s="19">
        <v>1538.7850000000001</v>
      </c>
      <c r="U1344" s="19">
        <v>1184.105</v>
      </c>
      <c r="V1344" s="19">
        <v>1095.8219999999999</v>
      </c>
      <c r="W1344" s="19">
        <v>839.66399999999999</v>
      </c>
      <c r="X1344" s="19">
        <v>523.78300000000002</v>
      </c>
      <c r="Y1344" s="19">
        <v>278.90899999999999</v>
      </c>
      <c r="Z1344" s="19">
        <v>97.772999999999996</v>
      </c>
      <c r="AA1344" s="19">
        <v>30.138000000000002</v>
      </c>
      <c r="AB1344" s="19">
        <v>4.476</v>
      </c>
      <c r="AC1344" s="19">
        <v>0.503</v>
      </c>
    </row>
    <row r="1345" spans="1:29" ht="11.65" hidden="1" x14ac:dyDescent="0.35">
      <c r="A1345" s="23">
        <v>1328</v>
      </c>
      <c r="B1345" s="21" t="s">
        <v>1015</v>
      </c>
      <c r="C1345" s="29" t="s">
        <v>1112</v>
      </c>
      <c r="D1345" s="20"/>
      <c r="E1345" s="20">
        <v>922</v>
      </c>
      <c r="F1345" s="21" t="s">
        <v>1065</v>
      </c>
      <c r="G1345" s="20">
        <v>1833</v>
      </c>
      <c r="H1345" s="20">
        <v>1985</v>
      </c>
      <c r="I1345" s="19">
        <v>9820.2350000000006</v>
      </c>
      <c r="J1345" s="19">
        <v>8579.2459999999992</v>
      </c>
      <c r="K1345" s="19">
        <v>7525.2740000000003</v>
      </c>
      <c r="L1345" s="19">
        <v>6556.1819999999998</v>
      </c>
      <c r="M1345" s="19">
        <v>5788.1880000000001</v>
      </c>
      <c r="N1345" s="19">
        <v>5021.7349999999997</v>
      </c>
      <c r="O1345" s="19">
        <v>4311.0720000000001</v>
      </c>
      <c r="P1345" s="19">
        <v>3230.5680000000002</v>
      </c>
      <c r="Q1345" s="19">
        <v>2652.431</v>
      </c>
      <c r="R1345" s="19">
        <v>2475.846</v>
      </c>
      <c r="S1345" s="19">
        <v>2217.5120000000002</v>
      </c>
      <c r="T1345" s="19">
        <v>1892.9280000000001</v>
      </c>
      <c r="U1345" s="19">
        <v>1432.067</v>
      </c>
      <c r="V1345" s="19">
        <v>1059.557</v>
      </c>
      <c r="W1345" s="19">
        <v>922.33799999999997</v>
      </c>
      <c r="X1345" s="19">
        <v>632.61599999999999</v>
      </c>
      <c r="Y1345" s="19">
        <v>329.233</v>
      </c>
      <c r="Z1345" s="19">
        <v>134.96600000000001</v>
      </c>
      <c r="AA1345" s="19">
        <v>32.427</v>
      </c>
      <c r="AB1345" s="19">
        <v>6.3680000000000003</v>
      </c>
      <c r="AC1345" s="19">
        <v>0.627</v>
      </c>
    </row>
    <row r="1346" spans="1:29" ht="11.65" hidden="1" x14ac:dyDescent="0.35">
      <c r="A1346" s="23">
        <v>1329</v>
      </c>
      <c r="B1346" s="21" t="s">
        <v>1015</v>
      </c>
      <c r="C1346" s="29" t="s">
        <v>1112</v>
      </c>
      <c r="D1346" s="20"/>
      <c r="E1346" s="20">
        <v>922</v>
      </c>
      <c r="F1346" s="21" t="s">
        <v>1065</v>
      </c>
      <c r="G1346" s="20">
        <v>1833</v>
      </c>
      <c r="H1346" s="20">
        <v>1990</v>
      </c>
      <c r="I1346" s="19">
        <v>10577.378000000001</v>
      </c>
      <c r="J1346" s="19">
        <v>9660.6689999999999</v>
      </c>
      <c r="K1346" s="19">
        <v>8511.41</v>
      </c>
      <c r="L1346" s="19">
        <v>7413.9430000000002</v>
      </c>
      <c r="M1346" s="19">
        <v>6466.027</v>
      </c>
      <c r="N1346" s="19">
        <v>5751.3810000000003</v>
      </c>
      <c r="O1346" s="19">
        <v>4955.8239999999996</v>
      </c>
      <c r="P1346" s="19">
        <v>4181.4979999999996</v>
      </c>
      <c r="Q1346" s="19">
        <v>3070.0590000000002</v>
      </c>
      <c r="R1346" s="19">
        <v>2542.652</v>
      </c>
      <c r="S1346" s="19">
        <v>2371.9879999999998</v>
      </c>
      <c r="T1346" s="19">
        <v>2124.5349999999999</v>
      </c>
      <c r="U1346" s="19">
        <v>1806.4949999999999</v>
      </c>
      <c r="V1346" s="19">
        <v>1319.3879999999999</v>
      </c>
      <c r="W1346" s="19">
        <v>907.60500000000002</v>
      </c>
      <c r="X1346" s="19">
        <v>702.41700000000003</v>
      </c>
      <c r="Y1346" s="19">
        <v>403.84399999999999</v>
      </c>
      <c r="Z1346" s="19">
        <v>163.215</v>
      </c>
      <c r="AA1346" s="19">
        <v>45.365000000000002</v>
      </c>
      <c r="AB1346" s="19">
        <v>6.5990000000000002</v>
      </c>
      <c r="AC1346" s="19">
        <v>0.77500000000000002</v>
      </c>
    </row>
    <row r="1347" spans="1:29" ht="11.65" hidden="1" x14ac:dyDescent="0.35">
      <c r="A1347" s="23">
        <v>1330</v>
      </c>
      <c r="B1347" s="21" t="s">
        <v>1015</v>
      </c>
      <c r="C1347" s="29" t="s">
        <v>1112</v>
      </c>
      <c r="D1347" s="20"/>
      <c r="E1347" s="20">
        <v>922</v>
      </c>
      <c r="F1347" s="21" t="s">
        <v>1065</v>
      </c>
      <c r="G1347" s="20">
        <v>1833</v>
      </c>
      <c r="H1347" s="20">
        <v>1995</v>
      </c>
      <c r="I1347" s="19">
        <v>10929.174000000001</v>
      </c>
      <c r="J1347" s="19">
        <v>10328.375</v>
      </c>
      <c r="K1347" s="19">
        <v>9558.9840000000004</v>
      </c>
      <c r="L1347" s="19">
        <v>8402.7990000000009</v>
      </c>
      <c r="M1347" s="19">
        <v>7304.826</v>
      </c>
      <c r="N1347" s="19">
        <v>6472.9290000000001</v>
      </c>
      <c r="O1347" s="19">
        <v>5760.5550000000003</v>
      </c>
      <c r="P1347" s="19">
        <v>4920.924</v>
      </c>
      <c r="Q1347" s="19">
        <v>4128.4830000000002</v>
      </c>
      <c r="R1347" s="19">
        <v>3013.82</v>
      </c>
      <c r="S1347" s="19">
        <v>2502.2939999999999</v>
      </c>
      <c r="T1347" s="19">
        <v>2234.5810000000001</v>
      </c>
      <c r="U1347" s="19">
        <v>2030.6010000000001</v>
      </c>
      <c r="V1347" s="19">
        <v>1654.4849999999999</v>
      </c>
      <c r="W1347" s="19">
        <v>1128.692</v>
      </c>
      <c r="X1347" s="19">
        <v>746.82500000000005</v>
      </c>
      <c r="Y1347" s="19">
        <v>457.74599999999998</v>
      </c>
      <c r="Z1347" s="19">
        <v>199.59800000000001</v>
      </c>
      <c r="AA1347" s="19">
        <v>55.38</v>
      </c>
      <c r="AB1347" s="19">
        <v>9.1780000000000008</v>
      </c>
      <c r="AC1347" s="19">
        <v>0.82899999999999996</v>
      </c>
    </row>
    <row r="1348" spans="1:29" ht="11.65" hidden="1" x14ac:dyDescent="0.35">
      <c r="A1348" s="23">
        <v>1331</v>
      </c>
      <c r="B1348" s="21" t="s">
        <v>1015</v>
      </c>
      <c r="C1348" s="29" t="s">
        <v>1112</v>
      </c>
      <c r="D1348" s="20"/>
      <c r="E1348" s="20">
        <v>922</v>
      </c>
      <c r="F1348" s="21" t="s">
        <v>1065</v>
      </c>
      <c r="G1348" s="20">
        <v>1833</v>
      </c>
      <c r="H1348" s="20">
        <v>2000</v>
      </c>
      <c r="I1348" s="19">
        <v>11330.189</v>
      </c>
      <c r="J1348" s="19">
        <v>10810.45</v>
      </c>
      <c r="K1348" s="19">
        <v>10197.963</v>
      </c>
      <c r="L1348" s="19">
        <v>9296.4439999999995</v>
      </c>
      <c r="M1348" s="19">
        <v>8359.4110000000001</v>
      </c>
      <c r="N1348" s="19">
        <v>7423.9870000000001</v>
      </c>
      <c r="O1348" s="19">
        <v>6489.0060000000003</v>
      </c>
      <c r="P1348" s="19">
        <v>5724.5309999999999</v>
      </c>
      <c r="Q1348" s="19">
        <v>4779.7830000000004</v>
      </c>
      <c r="R1348" s="19">
        <v>3988.636</v>
      </c>
      <c r="S1348" s="19">
        <v>2916.942</v>
      </c>
      <c r="T1348" s="19">
        <v>2344.1880000000001</v>
      </c>
      <c r="U1348" s="19">
        <v>2157.5279999999998</v>
      </c>
      <c r="V1348" s="19">
        <v>1853.875</v>
      </c>
      <c r="W1348" s="19">
        <v>1414.87</v>
      </c>
      <c r="X1348" s="19">
        <v>911.28700000000003</v>
      </c>
      <c r="Y1348" s="19">
        <v>470.08</v>
      </c>
      <c r="Z1348" s="19">
        <v>229.114</v>
      </c>
      <c r="AA1348" s="19">
        <v>68.513000000000005</v>
      </c>
      <c r="AB1348" s="19">
        <v>11.446999999999999</v>
      </c>
      <c r="AC1348" s="19">
        <v>1.0900000000000001</v>
      </c>
    </row>
    <row r="1349" spans="1:29" ht="11.65" hidden="1" x14ac:dyDescent="0.35">
      <c r="A1349" s="23">
        <v>1332</v>
      </c>
      <c r="B1349" s="21" t="s">
        <v>1015</v>
      </c>
      <c r="C1349" s="29" t="s">
        <v>1112</v>
      </c>
      <c r="D1349" s="20"/>
      <c r="E1349" s="20">
        <v>922</v>
      </c>
      <c r="F1349" s="21" t="s">
        <v>1065</v>
      </c>
      <c r="G1349" s="20">
        <v>1833</v>
      </c>
      <c r="H1349" s="20">
        <v>2005</v>
      </c>
      <c r="I1349" s="19">
        <v>11664.492</v>
      </c>
      <c r="J1349" s="19">
        <v>11221.794</v>
      </c>
      <c r="K1349" s="19">
        <v>10790.484</v>
      </c>
      <c r="L1349" s="19">
        <v>10147.013999999999</v>
      </c>
      <c r="M1349" s="19">
        <v>9331.1239999999998</v>
      </c>
      <c r="N1349" s="19">
        <v>8465.9989999999998</v>
      </c>
      <c r="O1349" s="19">
        <v>7437.4539999999997</v>
      </c>
      <c r="P1349" s="19">
        <v>6425.4279999999999</v>
      </c>
      <c r="Q1349" s="19">
        <v>5536.6689999999999</v>
      </c>
      <c r="R1349" s="19">
        <v>4562.8190000000004</v>
      </c>
      <c r="S1349" s="19">
        <v>3843.7269999999999</v>
      </c>
      <c r="T1349" s="19">
        <v>2792.2339999999999</v>
      </c>
      <c r="U1349" s="19">
        <v>2250.6190000000001</v>
      </c>
      <c r="V1349" s="19">
        <v>2003.2</v>
      </c>
      <c r="W1349" s="19">
        <v>1617.5630000000001</v>
      </c>
      <c r="X1349" s="19">
        <v>1116.356</v>
      </c>
      <c r="Y1349" s="19">
        <v>590.76300000000003</v>
      </c>
      <c r="Z1349" s="19">
        <v>239.60599999999999</v>
      </c>
      <c r="AA1349" s="19">
        <v>80.537000000000006</v>
      </c>
      <c r="AB1349" s="19">
        <v>14.172000000000001</v>
      </c>
      <c r="AC1349" s="19">
        <v>1.405</v>
      </c>
    </row>
    <row r="1350" spans="1:29" ht="11.65" hidden="1" x14ac:dyDescent="0.35">
      <c r="A1350" s="23">
        <v>1333</v>
      </c>
      <c r="B1350" s="21" t="s">
        <v>1015</v>
      </c>
      <c r="C1350" s="29" t="s">
        <v>1112</v>
      </c>
      <c r="D1350" s="20"/>
      <c r="E1350" s="20">
        <v>922</v>
      </c>
      <c r="F1350" s="21" t="s">
        <v>1065</v>
      </c>
      <c r="G1350" s="20">
        <v>1833</v>
      </c>
      <c r="H1350" s="20">
        <v>2010</v>
      </c>
      <c r="I1350" s="19">
        <v>12489.025</v>
      </c>
      <c r="J1350" s="19">
        <v>11615.882</v>
      </c>
      <c r="K1350" s="19">
        <v>11201.392</v>
      </c>
      <c r="L1350" s="19">
        <v>10779.537</v>
      </c>
      <c r="M1350" s="19">
        <v>10315.392</v>
      </c>
      <c r="N1350" s="19">
        <v>9665.3719999999994</v>
      </c>
      <c r="O1350" s="19">
        <v>8762.3919999999998</v>
      </c>
      <c r="P1350" s="19">
        <v>7590.7550000000001</v>
      </c>
      <c r="Q1350" s="19">
        <v>6410.2420000000002</v>
      </c>
      <c r="R1350" s="19">
        <v>5438.4449999999997</v>
      </c>
      <c r="S1350" s="19">
        <v>4454.7910000000002</v>
      </c>
      <c r="T1350" s="19">
        <v>3729.1990000000001</v>
      </c>
      <c r="U1350" s="19">
        <v>2683.6019999999999</v>
      </c>
      <c r="V1350" s="19">
        <v>2105.6190000000001</v>
      </c>
      <c r="W1350" s="19">
        <v>1784.143</v>
      </c>
      <c r="X1350" s="19">
        <v>1323.6020000000001</v>
      </c>
      <c r="Y1350" s="19">
        <v>783.28800000000001</v>
      </c>
      <c r="Z1350" s="19">
        <v>324.37799999999999</v>
      </c>
      <c r="AA1350" s="19">
        <v>89.813999999999993</v>
      </c>
      <c r="AB1350" s="19">
        <v>18.135999999999999</v>
      </c>
      <c r="AC1350" s="19">
        <v>1.84</v>
      </c>
    </row>
    <row r="1351" spans="1:29" ht="11.65" hidden="1" x14ac:dyDescent="0.35">
      <c r="A1351" s="23">
        <v>1334</v>
      </c>
      <c r="B1351" s="21" t="s">
        <v>1015</v>
      </c>
      <c r="C1351" s="29" t="s">
        <v>1112</v>
      </c>
      <c r="D1351" s="20"/>
      <c r="E1351" s="20">
        <v>922</v>
      </c>
      <c r="F1351" s="21" t="s">
        <v>1065</v>
      </c>
      <c r="G1351" s="20">
        <v>1833</v>
      </c>
      <c r="H1351" s="20">
        <v>2015</v>
      </c>
      <c r="I1351" s="19">
        <v>13240.897999999999</v>
      </c>
      <c r="J1351" s="19">
        <v>12259.257</v>
      </c>
      <c r="K1351" s="19">
        <v>11384.564</v>
      </c>
      <c r="L1351" s="19">
        <v>10981.791999999999</v>
      </c>
      <c r="M1351" s="19">
        <v>10781.449000000001</v>
      </c>
      <c r="N1351" s="19">
        <v>10674.64</v>
      </c>
      <c r="O1351" s="19">
        <v>10097.540000000001</v>
      </c>
      <c r="P1351" s="19">
        <v>9013.3140000000003</v>
      </c>
      <c r="Q1351" s="19">
        <v>7688.3509999999997</v>
      </c>
      <c r="R1351" s="19">
        <v>6407.7020000000002</v>
      </c>
      <c r="S1351" s="19">
        <v>5371.8059999999996</v>
      </c>
      <c r="T1351" s="19">
        <v>4371.1279999999997</v>
      </c>
      <c r="U1351" s="19">
        <v>3592.9169999999999</v>
      </c>
      <c r="V1351" s="19">
        <v>2532.2179999999998</v>
      </c>
      <c r="W1351" s="19">
        <v>1892.885</v>
      </c>
      <c r="X1351" s="19">
        <v>1468.018</v>
      </c>
      <c r="Y1351" s="19">
        <v>947.053</v>
      </c>
      <c r="Z1351" s="19">
        <v>442.64</v>
      </c>
      <c r="AA1351" s="19">
        <v>129.49700000000001</v>
      </c>
      <c r="AB1351" s="19">
        <v>21.745999999999999</v>
      </c>
      <c r="AC1351" s="19">
        <v>2.5960000000000001</v>
      </c>
    </row>
    <row r="1352" spans="1:29" ht="11.65" hidden="1" x14ac:dyDescent="0.35">
      <c r="A1352" s="23">
        <v>1335</v>
      </c>
      <c r="B1352" s="21" t="s">
        <v>1015</v>
      </c>
      <c r="C1352" s="29" t="s">
        <v>1112</v>
      </c>
      <c r="D1352" s="20"/>
      <c r="E1352" s="20">
        <v>922</v>
      </c>
      <c r="F1352" s="21" t="s">
        <v>1065</v>
      </c>
      <c r="G1352" s="20">
        <v>1833</v>
      </c>
      <c r="H1352" s="20">
        <v>2020</v>
      </c>
      <c r="I1352" s="19">
        <v>13164.643</v>
      </c>
      <c r="J1352" s="19">
        <v>13068.886</v>
      </c>
      <c r="K1352" s="19">
        <v>12088.311</v>
      </c>
      <c r="L1352" s="19">
        <v>11181.466</v>
      </c>
      <c r="M1352" s="19">
        <v>10943.638000000001</v>
      </c>
      <c r="N1352" s="19">
        <v>11020.235000000001</v>
      </c>
      <c r="O1352" s="19">
        <v>10850.023999999999</v>
      </c>
      <c r="P1352" s="19">
        <v>9996.5550000000003</v>
      </c>
      <c r="Q1352" s="19">
        <v>8778.5149999999994</v>
      </c>
      <c r="R1352" s="19">
        <v>7427.9269999999997</v>
      </c>
      <c r="S1352" s="19">
        <v>6175.3140000000003</v>
      </c>
      <c r="T1352" s="19">
        <v>5188.982</v>
      </c>
      <c r="U1352" s="19">
        <v>4182.884</v>
      </c>
      <c r="V1352" s="19">
        <v>3386.029</v>
      </c>
      <c r="W1352" s="19">
        <v>2292.9279999999999</v>
      </c>
      <c r="X1352" s="19">
        <v>1583.595</v>
      </c>
      <c r="Y1352" s="19">
        <v>1071.5609999999999</v>
      </c>
      <c r="Z1352" s="19">
        <v>556.15</v>
      </c>
      <c r="AA1352" s="19">
        <v>185.101</v>
      </c>
      <c r="AB1352" s="19">
        <v>33.816000000000003</v>
      </c>
      <c r="AC1352" s="19">
        <v>3.3540000000000001</v>
      </c>
    </row>
    <row r="1353" spans="1:29" ht="11.65" hidden="1" x14ac:dyDescent="0.35">
      <c r="A1353" s="12">
        <v>1336</v>
      </c>
      <c r="B1353" s="10" t="s">
        <v>1015</v>
      </c>
      <c r="C1353" s="11" t="s">
        <v>1113</v>
      </c>
      <c r="D1353" s="9"/>
      <c r="E1353" s="9">
        <v>51</v>
      </c>
      <c r="F1353" s="10" t="s">
        <v>1066</v>
      </c>
      <c r="G1353" s="9">
        <v>922</v>
      </c>
      <c r="H1353" s="9">
        <v>1950</v>
      </c>
      <c r="I1353" s="8">
        <v>77.314999999999998</v>
      </c>
      <c r="J1353" s="8">
        <v>57.241</v>
      </c>
      <c r="K1353" s="8">
        <v>97.587000000000003</v>
      </c>
      <c r="L1353" s="8">
        <v>73.736999999999995</v>
      </c>
      <c r="M1353" s="8">
        <v>78.308000000000007</v>
      </c>
      <c r="N1353" s="8">
        <v>43.725999999999999</v>
      </c>
      <c r="O1353" s="8">
        <v>27.925000000000001</v>
      </c>
      <c r="P1353" s="8">
        <v>43.825000000000003</v>
      </c>
      <c r="Q1353" s="8">
        <v>41.140999999999998</v>
      </c>
      <c r="R1353" s="8">
        <v>37.165999999999997</v>
      </c>
      <c r="S1353" s="8">
        <v>23.452999999999999</v>
      </c>
      <c r="T1353" s="8">
        <v>18.384</v>
      </c>
      <c r="U1353" s="8">
        <v>27.526</v>
      </c>
      <c r="V1353" s="8">
        <v>22.556999999999999</v>
      </c>
      <c r="W1353" s="8">
        <v>18.683</v>
      </c>
      <c r="X1353" s="8">
        <v>12.62</v>
      </c>
      <c r="Y1353" s="8">
        <v>6.08</v>
      </c>
      <c r="Z1353" s="8">
        <v>2.8679999999999999</v>
      </c>
      <c r="AA1353" s="8">
        <v>0.95599999999999996</v>
      </c>
      <c r="AB1353" s="8">
        <v>0.20499999999999999</v>
      </c>
      <c r="AC1353" s="8">
        <v>0.03</v>
      </c>
    </row>
    <row r="1354" spans="1:29" ht="11.65" hidden="1" x14ac:dyDescent="0.35">
      <c r="A1354" s="12">
        <v>1337</v>
      </c>
      <c r="B1354" s="10" t="s">
        <v>1015</v>
      </c>
      <c r="C1354" s="11" t="s">
        <v>1113</v>
      </c>
      <c r="D1354" s="9"/>
      <c r="E1354" s="9">
        <v>51</v>
      </c>
      <c r="F1354" s="10" t="s">
        <v>1066</v>
      </c>
      <c r="G1354" s="9">
        <v>922</v>
      </c>
      <c r="H1354" s="9">
        <v>1955</v>
      </c>
      <c r="I1354" s="8">
        <v>114.41800000000001</v>
      </c>
      <c r="J1354" s="8">
        <v>79.236000000000004</v>
      </c>
      <c r="K1354" s="8">
        <v>59.402000000000001</v>
      </c>
      <c r="L1354" s="8">
        <v>99.968000000000004</v>
      </c>
      <c r="M1354" s="8">
        <v>75.849000000000004</v>
      </c>
      <c r="N1354" s="8">
        <v>80.034000000000006</v>
      </c>
      <c r="O1354" s="8">
        <v>44.951999999999998</v>
      </c>
      <c r="P1354" s="8">
        <v>28.704999999999998</v>
      </c>
      <c r="Q1354" s="8">
        <v>44.351999999999997</v>
      </c>
      <c r="R1354" s="8">
        <v>41.561999999999998</v>
      </c>
      <c r="S1354" s="8">
        <v>37.076999999999998</v>
      </c>
      <c r="T1354" s="8">
        <v>23.021999999999998</v>
      </c>
      <c r="U1354" s="8">
        <v>17.742000000000001</v>
      </c>
      <c r="V1354" s="8">
        <v>25.114999999999998</v>
      </c>
      <c r="W1354" s="8">
        <v>19.436</v>
      </c>
      <c r="X1354" s="8">
        <v>14.154</v>
      </c>
      <c r="Y1354" s="8">
        <v>7.0519999999999996</v>
      </c>
      <c r="Z1354" s="8">
        <v>3.0169999999999999</v>
      </c>
      <c r="AA1354" s="8">
        <v>1.038</v>
      </c>
      <c r="AB1354" s="8">
        <v>0.22700000000000001</v>
      </c>
      <c r="AC1354" s="8">
        <v>3.3000000000000002E-2</v>
      </c>
    </row>
    <row r="1355" spans="1:29" ht="11.65" hidden="1" x14ac:dyDescent="0.35">
      <c r="A1355" s="12">
        <v>1338</v>
      </c>
      <c r="B1355" s="10" t="s">
        <v>1015</v>
      </c>
      <c r="C1355" s="11" t="s">
        <v>1113</v>
      </c>
      <c r="D1355" s="9"/>
      <c r="E1355" s="9">
        <v>51</v>
      </c>
      <c r="F1355" s="10" t="s">
        <v>1066</v>
      </c>
      <c r="G1355" s="9">
        <v>922</v>
      </c>
      <c r="H1355" s="9">
        <v>1960</v>
      </c>
      <c r="I1355" s="8">
        <v>158.08600000000001</v>
      </c>
      <c r="J1355" s="8">
        <v>117.673</v>
      </c>
      <c r="K1355" s="8">
        <v>82.04</v>
      </c>
      <c r="L1355" s="8">
        <v>61.88</v>
      </c>
      <c r="M1355" s="8">
        <v>102.499</v>
      </c>
      <c r="N1355" s="8">
        <v>78.448999999999998</v>
      </c>
      <c r="O1355" s="8">
        <v>82.040999999999997</v>
      </c>
      <c r="P1355" s="8">
        <v>46.110999999999997</v>
      </c>
      <c r="Q1355" s="8">
        <v>29.542999999999999</v>
      </c>
      <c r="R1355" s="8">
        <v>44.914000000000001</v>
      </c>
      <c r="S1355" s="8">
        <v>41.917999999999999</v>
      </c>
      <c r="T1355" s="8">
        <v>36.729999999999997</v>
      </c>
      <c r="U1355" s="8">
        <v>22.356999999999999</v>
      </c>
      <c r="V1355" s="8">
        <v>16.568999999999999</v>
      </c>
      <c r="W1355" s="8">
        <v>21.957999999999998</v>
      </c>
      <c r="X1355" s="8">
        <v>15.170999999999999</v>
      </c>
      <c r="Y1355" s="8">
        <v>7.9619999999999997</v>
      </c>
      <c r="Z1355" s="8">
        <v>3.7189999999999999</v>
      </c>
      <c r="AA1355" s="8">
        <v>1.1839999999999999</v>
      </c>
      <c r="AB1355" s="8">
        <v>0.27400000000000002</v>
      </c>
      <c r="AC1355" s="8">
        <v>0.04</v>
      </c>
    </row>
    <row r="1356" spans="1:29" ht="11.65" hidden="1" x14ac:dyDescent="0.35">
      <c r="A1356" s="12">
        <v>1339</v>
      </c>
      <c r="B1356" s="10" t="s">
        <v>1015</v>
      </c>
      <c r="C1356" s="11" t="s">
        <v>1113</v>
      </c>
      <c r="D1356" s="9"/>
      <c r="E1356" s="9">
        <v>51</v>
      </c>
      <c r="F1356" s="10" t="s">
        <v>1066</v>
      </c>
      <c r="G1356" s="9">
        <v>922</v>
      </c>
      <c r="H1356" s="9">
        <v>1965</v>
      </c>
      <c r="I1356" s="8">
        <v>168.24</v>
      </c>
      <c r="J1356" s="8">
        <v>161.83099999999999</v>
      </c>
      <c r="K1356" s="8">
        <v>121.224</v>
      </c>
      <c r="L1356" s="8">
        <v>84.569000000000003</v>
      </c>
      <c r="M1356" s="8">
        <v>64.248000000000005</v>
      </c>
      <c r="N1356" s="8">
        <v>104.788</v>
      </c>
      <c r="O1356" s="8">
        <v>80.783000000000001</v>
      </c>
      <c r="P1356" s="8">
        <v>83.572000000000003</v>
      </c>
      <c r="Q1356" s="8">
        <v>47.213999999999999</v>
      </c>
      <c r="R1356" s="8">
        <v>30.382000000000001</v>
      </c>
      <c r="S1356" s="8">
        <v>45.122999999999998</v>
      </c>
      <c r="T1356" s="8">
        <v>41.536999999999999</v>
      </c>
      <c r="U1356" s="8">
        <v>35.56</v>
      </c>
      <c r="V1356" s="8">
        <v>21.016999999999999</v>
      </c>
      <c r="W1356" s="8">
        <v>14.743</v>
      </c>
      <c r="X1356" s="8">
        <v>17.43</v>
      </c>
      <c r="Y1356" s="8">
        <v>8.6910000000000007</v>
      </c>
      <c r="Z1356" s="8">
        <v>4.4630000000000001</v>
      </c>
      <c r="AA1356" s="8">
        <v>1.587</v>
      </c>
      <c r="AB1356" s="8">
        <v>0.34799999999999998</v>
      </c>
      <c r="AC1356" s="8">
        <v>5.5E-2</v>
      </c>
    </row>
    <row r="1357" spans="1:29" ht="11.65" hidden="1" x14ac:dyDescent="0.35">
      <c r="A1357" s="12">
        <v>1340</v>
      </c>
      <c r="B1357" s="10" t="s">
        <v>1015</v>
      </c>
      <c r="C1357" s="11" t="s">
        <v>1113</v>
      </c>
      <c r="D1357" s="9"/>
      <c r="E1357" s="9">
        <v>51</v>
      </c>
      <c r="F1357" s="10" t="s">
        <v>1066</v>
      </c>
      <c r="G1357" s="9">
        <v>922</v>
      </c>
      <c r="H1357" s="9">
        <v>1970</v>
      </c>
      <c r="I1357" s="8">
        <v>141.785</v>
      </c>
      <c r="J1357" s="8">
        <v>174.08500000000001</v>
      </c>
      <c r="K1357" s="8">
        <v>167.98699999999999</v>
      </c>
      <c r="L1357" s="8">
        <v>126.11199999999999</v>
      </c>
      <c r="M1357" s="8">
        <v>88.093000000000004</v>
      </c>
      <c r="N1357" s="8">
        <v>67.296000000000006</v>
      </c>
      <c r="O1357" s="8">
        <v>108.066</v>
      </c>
      <c r="P1357" s="8">
        <v>83.816000000000003</v>
      </c>
      <c r="Q1357" s="8">
        <v>85.817999999999998</v>
      </c>
      <c r="R1357" s="8">
        <v>48.77</v>
      </c>
      <c r="S1357" s="8">
        <v>31.289000000000001</v>
      </c>
      <c r="T1357" s="8">
        <v>45.283999999999999</v>
      </c>
      <c r="U1357" s="8">
        <v>41.039000000000001</v>
      </c>
      <c r="V1357" s="8">
        <v>33.920999999999999</v>
      </c>
      <c r="W1357" s="8">
        <v>19.164000000000001</v>
      </c>
      <c r="X1357" s="8">
        <v>12.284000000000001</v>
      </c>
      <c r="Y1357" s="8">
        <v>10.135</v>
      </c>
      <c r="Z1357" s="8">
        <v>5.2350000000000003</v>
      </c>
      <c r="AA1357" s="8">
        <v>2.109</v>
      </c>
      <c r="AB1357" s="8">
        <v>0.53800000000000003</v>
      </c>
      <c r="AC1357" s="8">
        <v>8.3000000000000004E-2</v>
      </c>
    </row>
    <row r="1358" spans="1:29" ht="11.65" hidden="1" x14ac:dyDescent="0.35">
      <c r="A1358" s="12">
        <v>1341</v>
      </c>
      <c r="B1358" s="10" t="s">
        <v>1015</v>
      </c>
      <c r="C1358" s="11" t="s">
        <v>1113</v>
      </c>
      <c r="D1358" s="9"/>
      <c r="E1358" s="9">
        <v>51</v>
      </c>
      <c r="F1358" s="10" t="s">
        <v>1066</v>
      </c>
      <c r="G1358" s="9">
        <v>922</v>
      </c>
      <c r="H1358" s="9">
        <v>1975</v>
      </c>
      <c r="I1358" s="8">
        <v>147.797</v>
      </c>
      <c r="J1358" s="8">
        <v>149.33799999999999</v>
      </c>
      <c r="K1358" s="8">
        <v>176.745</v>
      </c>
      <c r="L1358" s="8">
        <v>173.261</v>
      </c>
      <c r="M1358" s="8">
        <v>136.02600000000001</v>
      </c>
      <c r="N1358" s="8">
        <v>90.736000000000004</v>
      </c>
      <c r="O1358" s="8">
        <v>69.268000000000001</v>
      </c>
      <c r="P1358" s="8">
        <v>108.986</v>
      </c>
      <c r="Q1358" s="8">
        <v>84.129000000000005</v>
      </c>
      <c r="R1358" s="8">
        <v>86.757999999999996</v>
      </c>
      <c r="S1358" s="8">
        <v>53.143999999999998</v>
      </c>
      <c r="T1358" s="8">
        <v>33.061</v>
      </c>
      <c r="U1358" s="8">
        <v>43.32</v>
      </c>
      <c r="V1358" s="8">
        <v>37.798000000000002</v>
      </c>
      <c r="W1358" s="8">
        <v>28.286000000000001</v>
      </c>
      <c r="X1358" s="8">
        <v>14.882</v>
      </c>
      <c r="Y1358" s="8">
        <v>8.2750000000000004</v>
      </c>
      <c r="Z1358" s="8">
        <v>6.3689999999999998</v>
      </c>
      <c r="AA1358" s="8">
        <v>2.6339999999999999</v>
      </c>
      <c r="AB1358" s="8">
        <v>0.78</v>
      </c>
      <c r="AC1358" s="8">
        <v>0.14099999999999999</v>
      </c>
    </row>
    <row r="1359" spans="1:29" ht="11.65" hidden="1" x14ac:dyDescent="0.35">
      <c r="A1359" s="12">
        <v>1342</v>
      </c>
      <c r="B1359" s="10" t="s">
        <v>1015</v>
      </c>
      <c r="C1359" s="11" t="s">
        <v>1113</v>
      </c>
      <c r="D1359" s="9"/>
      <c r="E1359" s="9">
        <v>51</v>
      </c>
      <c r="F1359" s="10" t="s">
        <v>1066</v>
      </c>
      <c r="G1359" s="9">
        <v>922</v>
      </c>
      <c r="H1359" s="9">
        <v>1980</v>
      </c>
      <c r="I1359" s="8">
        <v>160.27799999999999</v>
      </c>
      <c r="J1359" s="8">
        <v>149.33199999999999</v>
      </c>
      <c r="K1359" s="8">
        <v>150.07300000000001</v>
      </c>
      <c r="L1359" s="8">
        <v>177.68899999999999</v>
      </c>
      <c r="M1359" s="8">
        <v>183.53</v>
      </c>
      <c r="N1359" s="8">
        <v>135.333</v>
      </c>
      <c r="O1359" s="8">
        <v>92.793000000000006</v>
      </c>
      <c r="P1359" s="8">
        <v>62.494</v>
      </c>
      <c r="Q1359" s="8">
        <v>106.815</v>
      </c>
      <c r="R1359" s="8">
        <v>82.855999999999995</v>
      </c>
      <c r="S1359" s="8">
        <v>87.944000000000003</v>
      </c>
      <c r="T1359" s="8">
        <v>54.601999999999997</v>
      </c>
      <c r="U1359" s="8">
        <v>33.040999999999997</v>
      </c>
      <c r="V1359" s="8">
        <v>39.405000000000001</v>
      </c>
      <c r="W1359" s="8">
        <v>32.491</v>
      </c>
      <c r="X1359" s="8">
        <v>22.88</v>
      </c>
      <c r="Y1359" s="8">
        <v>9.6280000000000001</v>
      </c>
      <c r="Z1359" s="8">
        <v>5.1059999999999999</v>
      </c>
      <c r="AA1359" s="8">
        <v>3.121</v>
      </c>
      <c r="AB1359" s="8">
        <v>0.94</v>
      </c>
      <c r="AC1359" s="8">
        <v>0.2</v>
      </c>
    </row>
    <row r="1360" spans="1:29" ht="11.65" hidden="1" x14ac:dyDescent="0.35">
      <c r="A1360" s="12">
        <v>1343</v>
      </c>
      <c r="B1360" s="10" t="s">
        <v>1015</v>
      </c>
      <c r="C1360" s="11" t="s">
        <v>1113</v>
      </c>
      <c r="D1360" s="9"/>
      <c r="E1360" s="9">
        <v>51</v>
      </c>
      <c r="F1360" s="10" t="s">
        <v>1066</v>
      </c>
      <c r="G1360" s="9">
        <v>922</v>
      </c>
      <c r="H1360" s="9">
        <v>1985</v>
      </c>
      <c r="I1360" s="8">
        <v>181.86</v>
      </c>
      <c r="J1360" s="8">
        <v>156.86799999999999</v>
      </c>
      <c r="K1360" s="8">
        <v>149.53700000000001</v>
      </c>
      <c r="L1360" s="8">
        <v>147.05000000000001</v>
      </c>
      <c r="M1360" s="8">
        <v>173.977</v>
      </c>
      <c r="N1360" s="8">
        <v>175.81100000000001</v>
      </c>
      <c r="O1360" s="8">
        <v>132.35599999999999</v>
      </c>
      <c r="P1360" s="8">
        <v>90.361000000000004</v>
      </c>
      <c r="Q1360" s="8">
        <v>61.011000000000003</v>
      </c>
      <c r="R1360" s="8">
        <v>104.23699999999999</v>
      </c>
      <c r="S1360" s="8">
        <v>82.603999999999999</v>
      </c>
      <c r="T1360" s="8">
        <v>86.450999999999993</v>
      </c>
      <c r="U1360" s="8">
        <v>51.912999999999997</v>
      </c>
      <c r="V1360" s="8">
        <v>30.04</v>
      </c>
      <c r="W1360" s="8">
        <v>33.869999999999997</v>
      </c>
      <c r="X1360" s="8">
        <v>25.257999999999999</v>
      </c>
      <c r="Y1360" s="8">
        <v>14.632</v>
      </c>
      <c r="Z1360" s="8">
        <v>5.9080000000000004</v>
      </c>
      <c r="AA1360" s="8">
        <v>2.4830000000000001</v>
      </c>
      <c r="AB1360" s="8">
        <v>1.101</v>
      </c>
      <c r="AC1360" s="8">
        <v>0.24399999999999999</v>
      </c>
    </row>
    <row r="1361" spans="1:29" ht="11.65" hidden="1" x14ac:dyDescent="0.35">
      <c r="A1361" s="12">
        <v>1344</v>
      </c>
      <c r="B1361" s="10" t="s">
        <v>1015</v>
      </c>
      <c r="C1361" s="11" t="s">
        <v>1113</v>
      </c>
      <c r="D1361" s="9"/>
      <c r="E1361" s="9">
        <v>51</v>
      </c>
      <c r="F1361" s="10" t="s">
        <v>1066</v>
      </c>
      <c r="G1361" s="9">
        <v>922</v>
      </c>
      <c r="H1361" s="9">
        <v>1990</v>
      </c>
      <c r="I1361" s="8">
        <v>188.26</v>
      </c>
      <c r="J1361" s="8">
        <v>179.84200000000001</v>
      </c>
      <c r="K1361" s="8">
        <v>155.57400000000001</v>
      </c>
      <c r="L1361" s="8">
        <v>134.619</v>
      </c>
      <c r="M1361" s="8">
        <v>142.15199999999999</v>
      </c>
      <c r="N1361" s="8">
        <v>173.91</v>
      </c>
      <c r="O1361" s="8">
        <v>173.953</v>
      </c>
      <c r="P1361" s="8">
        <v>130.93100000000001</v>
      </c>
      <c r="Q1361" s="8">
        <v>89.141999999999996</v>
      </c>
      <c r="R1361" s="8">
        <v>60.061999999999998</v>
      </c>
      <c r="S1361" s="8">
        <v>102.896</v>
      </c>
      <c r="T1361" s="8">
        <v>81.909000000000006</v>
      </c>
      <c r="U1361" s="8">
        <v>84.025999999999996</v>
      </c>
      <c r="V1361" s="8">
        <v>47.901000000000003</v>
      </c>
      <c r="W1361" s="8">
        <v>25.876999999999999</v>
      </c>
      <c r="X1361" s="8">
        <v>26.138999999999999</v>
      </c>
      <c r="Y1361" s="8">
        <v>15.122</v>
      </c>
      <c r="Z1361" s="8">
        <v>7.8159999999999998</v>
      </c>
      <c r="AA1361" s="8">
        <v>2.3490000000000002</v>
      </c>
      <c r="AB1361" s="8">
        <v>0.66300000000000003</v>
      </c>
      <c r="AC1361" s="8">
        <v>0.20899999999999999</v>
      </c>
    </row>
    <row r="1362" spans="1:29" ht="11.65" hidden="1" x14ac:dyDescent="0.35">
      <c r="A1362" s="12">
        <v>1345</v>
      </c>
      <c r="B1362" s="10" t="s">
        <v>1015</v>
      </c>
      <c r="C1362" s="11" t="s">
        <v>1113</v>
      </c>
      <c r="D1362" s="9"/>
      <c r="E1362" s="9">
        <v>51</v>
      </c>
      <c r="F1362" s="10" t="s">
        <v>1066</v>
      </c>
      <c r="G1362" s="9">
        <v>922</v>
      </c>
      <c r="H1362" s="9">
        <v>1995</v>
      </c>
      <c r="I1362" s="8">
        <v>140.95099999999999</v>
      </c>
      <c r="J1362" s="8">
        <v>167.059</v>
      </c>
      <c r="K1362" s="8">
        <v>157.14400000000001</v>
      </c>
      <c r="L1362" s="8">
        <v>133.197</v>
      </c>
      <c r="M1362" s="8">
        <v>110.61199999999999</v>
      </c>
      <c r="N1362" s="8">
        <v>114.81100000000001</v>
      </c>
      <c r="O1362" s="8">
        <v>148.59700000000001</v>
      </c>
      <c r="P1362" s="8">
        <v>151.95699999999999</v>
      </c>
      <c r="Q1362" s="8">
        <v>113.785</v>
      </c>
      <c r="R1362" s="8">
        <v>74.959999999999994</v>
      </c>
      <c r="S1362" s="8">
        <v>50.704000000000001</v>
      </c>
      <c r="T1362" s="8">
        <v>94.597999999999999</v>
      </c>
      <c r="U1362" s="8">
        <v>71.659000000000006</v>
      </c>
      <c r="V1362" s="8">
        <v>74.335999999999999</v>
      </c>
      <c r="W1362" s="8">
        <v>39.773000000000003</v>
      </c>
      <c r="X1362" s="8">
        <v>19.765999999999998</v>
      </c>
      <c r="Y1362" s="8">
        <v>17.356999999999999</v>
      </c>
      <c r="Z1362" s="8">
        <v>8.1120000000000001</v>
      </c>
      <c r="AA1362" s="8">
        <v>3.165</v>
      </c>
      <c r="AB1362" s="8">
        <v>0.64900000000000002</v>
      </c>
      <c r="AC1362" s="8">
        <v>0.14299999999999999</v>
      </c>
    </row>
    <row r="1363" spans="1:29" ht="11.65" hidden="1" x14ac:dyDescent="0.35">
      <c r="A1363" s="12">
        <v>1346</v>
      </c>
      <c r="B1363" s="10" t="s">
        <v>1015</v>
      </c>
      <c r="C1363" s="11" t="s">
        <v>1113</v>
      </c>
      <c r="D1363" s="9"/>
      <c r="E1363" s="9">
        <v>51</v>
      </c>
      <c r="F1363" s="10" t="s">
        <v>1066</v>
      </c>
      <c r="G1363" s="9">
        <v>922</v>
      </c>
      <c r="H1363" s="9">
        <v>2000</v>
      </c>
      <c r="I1363" s="8">
        <v>91.787999999999997</v>
      </c>
      <c r="J1363" s="8">
        <v>132.37299999999999</v>
      </c>
      <c r="K1363" s="8">
        <v>158.26400000000001</v>
      </c>
      <c r="L1363" s="8">
        <v>148.083</v>
      </c>
      <c r="M1363" s="8">
        <v>125.009</v>
      </c>
      <c r="N1363" s="8">
        <v>101.944</v>
      </c>
      <c r="O1363" s="8">
        <v>103.045</v>
      </c>
      <c r="P1363" s="8">
        <v>137.53700000000001</v>
      </c>
      <c r="Q1363" s="8">
        <v>141.41200000000001</v>
      </c>
      <c r="R1363" s="8">
        <v>105.678</v>
      </c>
      <c r="S1363" s="8">
        <v>67.228999999999999</v>
      </c>
      <c r="T1363" s="8">
        <v>45.417000000000002</v>
      </c>
      <c r="U1363" s="8">
        <v>87.921000000000006</v>
      </c>
      <c r="V1363" s="8">
        <v>61.991999999999997</v>
      </c>
      <c r="W1363" s="8">
        <v>62.79</v>
      </c>
      <c r="X1363" s="8">
        <v>30.893000000000001</v>
      </c>
      <c r="Y1363" s="8">
        <v>13.048</v>
      </c>
      <c r="Z1363" s="8">
        <v>9.6940000000000008</v>
      </c>
      <c r="AA1363" s="8">
        <v>3.476</v>
      </c>
      <c r="AB1363" s="8">
        <v>0.94299999999999995</v>
      </c>
      <c r="AC1363" s="8">
        <v>0.14099999999999999</v>
      </c>
    </row>
    <row r="1364" spans="1:29" ht="11.65" hidden="1" x14ac:dyDescent="0.35">
      <c r="A1364" s="12">
        <v>1347</v>
      </c>
      <c r="B1364" s="10" t="s">
        <v>1015</v>
      </c>
      <c r="C1364" s="11" t="s">
        <v>1113</v>
      </c>
      <c r="D1364" s="9"/>
      <c r="E1364" s="9">
        <v>51</v>
      </c>
      <c r="F1364" s="10" t="s">
        <v>1066</v>
      </c>
      <c r="G1364" s="9">
        <v>922</v>
      </c>
      <c r="H1364" s="9">
        <v>2005</v>
      </c>
      <c r="I1364" s="8">
        <v>86.206000000000003</v>
      </c>
      <c r="J1364" s="8">
        <v>89.632999999999996</v>
      </c>
      <c r="K1364" s="8">
        <v>128.196</v>
      </c>
      <c r="L1364" s="8">
        <v>152.512</v>
      </c>
      <c r="M1364" s="8">
        <v>139.48500000000001</v>
      </c>
      <c r="N1364" s="8">
        <v>115.518</v>
      </c>
      <c r="O1364" s="8">
        <v>96.754999999999995</v>
      </c>
      <c r="P1364" s="8">
        <v>99.563000000000002</v>
      </c>
      <c r="Q1364" s="8">
        <v>128.636</v>
      </c>
      <c r="R1364" s="8">
        <v>131.43799999999999</v>
      </c>
      <c r="S1364" s="8">
        <v>96.212000000000003</v>
      </c>
      <c r="T1364" s="8">
        <v>64.875</v>
      </c>
      <c r="U1364" s="8">
        <v>41.920999999999999</v>
      </c>
      <c r="V1364" s="8">
        <v>80.489999999999995</v>
      </c>
      <c r="W1364" s="8">
        <v>51.398000000000003</v>
      </c>
      <c r="X1364" s="8">
        <v>46.423999999999999</v>
      </c>
      <c r="Y1364" s="8">
        <v>16.797000000000001</v>
      </c>
      <c r="Z1364" s="8">
        <v>7.49</v>
      </c>
      <c r="AA1364" s="8">
        <v>4.4960000000000004</v>
      </c>
      <c r="AB1364" s="8">
        <v>1.1339999999999999</v>
      </c>
      <c r="AC1364" s="8">
        <v>0.21299999999999999</v>
      </c>
    </row>
    <row r="1365" spans="1:29" ht="11.65" hidden="1" x14ac:dyDescent="0.35">
      <c r="A1365" s="12">
        <v>1348</v>
      </c>
      <c r="B1365" s="10" t="s">
        <v>1015</v>
      </c>
      <c r="C1365" s="11" t="s">
        <v>1113</v>
      </c>
      <c r="D1365" s="9"/>
      <c r="E1365" s="9">
        <v>51</v>
      </c>
      <c r="F1365" s="10" t="s">
        <v>1066</v>
      </c>
      <c r="G1365" s="9">
        <v>922</v>
      </c>
      <c r="H1365" s="9">
        <v>2010</v>
      </c>
      <c r="I1365" s="8">
        <v>93.715000000000003</v>
      </c>
      <c r="J1365" s="8">
        <v>80.984999999999999</v>
      </c>
      <c r="K1365" s="8">
        <v>86.156999999999996</v>
      </c>
      <c r="L1365" s="8">
        <v>124.051</v>
      </c>
      <c r="M1365" s="8">
        <v>146.67599999999999</v>
      </c>
      <c r="N1365" s="8">
        <v>130.83699999999999</v>
      </c>
      <c r="O1365" s="8">
        <v>106.014</v>
      </c>
      <c r="P1365" s="8">
        <v>91.513999999999996</v>
      </c>
      <c r="Q1365" s="8">
        <v>95.921000000000006</v>
      </c>
      <c r="R1365" s="8">
        <v>119.373</v>
      </c>
      <c r="S1365" s="8">
        <v>120.76300000000001</v>
      </c>
      <c r="T1365" s="8">
        <v>85.682000000000002</v>
      </c>
      <c r="U1365" s="8">
        <v>61.335999999999999</v>
      </c>
      <c r="V1365" s="8">
        <v>37.192</v>
      </c>
      <c r="W1365" s="8">
        <v>68.971999999999994</v>
      </c>
      <c r="X1365" s="8">
        <v>38.158999999999999</v>
      </c>
      <c r="Y1365" s="8">
        <v>28.747</v>
      </c>
      <c r="Z1365" s="8">
        <v>9.6630000000000003</v>
      </c>
      <c r="AA1365" s="8">
        <v>3.488</v>
      </c>
      <c r="AB1365" s="8">
        <v>1.458</v>
      </c>
      <c r="AC1365" s="8">
        <v>0.26</v>
      </c>
    </row>
    <row r="1366" spans="1:29" ht="11.65" hidden="1" x14ac:dyDescent="0.35">
      <c r="A1366" s="12">
        <v>1349</v>
      </c>
      <c r="B1366" s="10" t="s">
        <v>1015</v>
      </c>
      <c r="C1366" s="11" t="s">
        <v>1113</v>
      </c>
      <c r="D1366" s="9"/>
      <c r="E1366" s="9">
        <v>51</v>
      </c>
      <c r="F1366" s="10" t="s">
        <v>1066</v>
      </c>
      <c r="G1366" s="9">
        <v>922</v>
      </c>
      <c r="H1366" s="9">
        <v>2015</v>
      </c>
      <c r="I1366" s="8">
        <v>100.614</v>
      </c>
      <c r="J1366" s="8">
        <v>92.814999999999998</v>
      </c>
      <c r="K1366" s="8">
        <v>80.307000000000002</v>
      </c>
      <c r="L1366" s="8">
        <v>85.403999999999996</v>
      </c>
      <c r="M1366" s="8">
        <v>122.949</v>
      </c>
      <c r="N1366" s="8">
        <v>142.38399999999999</v>
      </c>
      <c r="O1366" s="8">
        <v>129.57599999999999</v>
      </c>
      <c r="P1366" s="8">
        <v>104.833</v>
      </c>
      <c r="Q1366" s="8">
        <v>90.254000000000005</v>
      </c>
      <c r="R1366" s="8">
        <v>94.3</v>
      </c>
      <c r="S1366" s="8">
        <v>116.721</v>
      </c>
      <c r="T1366" s="8">
        <v>116.96299999999999</v>
      </c>
      <c r="U1366" s="8">
        <v>81.468999999999994</v>
      </c>
      <c r="V1366" s="8">
        <v>56.197000000000003</v>
      </c>
      <c r="W1366" s="8">
        <v>32.139000000000003</v>
      </c>
      <c r="X1366" s="8">
        <v>54.49</v>
      </c>
      <c r="Y1366" s="8">
        <v>25.925000000000001</v>
      </c>
      <c r="Z1366" s="8">
        <v>16.760000000000002</v>
      </c>
      <c r="AA1366" s="8">
        <v>4.5880000000000001</v>
      </c>
      <c r="AB1366" s="8">
        <v>1.179</v>
      </c>
      <c r="AC1366" s="8">
        <v>0.35899999999999999</v>
      </c>
    </row>
    <row r="1367" spans="1:29" ht="11.65" hidden="1" x14ac:dyDescent="0.35">
      <c r="A1367" s="12">
        <v>1350</v>
      </c>
      <c r="B1367" s="10" t="s">
        <v>1015</v>
      </c>
      <c r="C1367" s="11" t="s">
        <v>1113</v>
      </c>
      <c r="D1367" s="9"/>
      <c r="E1367" s="9">
        <v>51</v>
      </c>
      <c r="F1367" s="10" t="s">
        <v>1066</v>
      </c>
      <c r="G1367" s="9">
        <v>922</v>
      </c>
      <c r="H1367" s="9">
        <v>2020</v>
      </c>
      <c r="I1367" s="8">
        <v>97.103999999999999</v>
      </c>
      <c r="J1367" s="8">
        <v>100.229</v>
      </c>
      <c r="K1367" s="8">
        <v>92.564999999999998</v>
      </c>
      <c r="L1367" s="8">
        <v>79.245999999999995</v>
      </c>
      <c r="M1367" s="8">
        <v>83.57</v>
      </c>
      <c r="N1367" s="8">
        <v>121.179</v>
      </c>
      <c r="O1367" s="8">
        <v>140.965</v>
      </c>
      <c r="P1367" s="8">
        <v>128.446</v>
      </c>
      <c r="Q1367" s="8">
        <v>103.854</v>
      </c>
      <c r="R1367" s="8">
        <v>89.221999999999994</v>
      </c>
      <c r="S1367" s="8">
        <v>92.853999999999999</v>
      </c>
      <c r="T1367" s="8">
        <v>114.14100000000001</v>
      </c>
      <c r="U1367" s="8">
        <v>112.88500000000001</v>
      </c>
      <c r="V1367" s="8">
        <v>76.728999999999999</v>
      </c>
      <c r="W1367" s="8">
        <v>50.546999999999997</v>
      </c>
      <c r="X1367" s="8">
        <v>26.454999999999998</v>
      </c>
      <c r="Y1367" s="8">
        <v>38.220999999999997</v>
      </c>
      <c r="Z1367" s="8">
        <v>13.987</v>
      </c>
      <c r="AA1367" s="8">
        <v>6.1059999999999999</v>
      </c>
      <c r="AB1367" s="8">
        <v>1.006</v>
      </c>
      <c r="AC1367" s="8">
        <v>0.17599999999999999</v>
      </c>
    </row>
    <row r="1368" spans="1:29" ht="11.65" hidden="1" x14ac:dyDescent="0.35">
      <c r="A1368" s="12">
        <v>1351</v>
      </c>
      <c r="B1368" s="10" t="s">
        <v>1015</v>
      </c>
      <c r="C1368" s="11" t="s">
        <v>1114</v>
      </c>
      <c r="D1368" s="9">
        <v>4</v>
      </c>
      <c r="E1368" s="9">
        <v>31</v>
      </c>
      <c r="F1368" s="10" t="s">
        <v>1066</v>
      </c>
      <c r="G1368" s="9">
        <v>922</v>
      </c>
      <c r="H1368" s="9">
        <v>1950</v>
      </c>
      <c r="I1368" s="8">
        <v>163.37799999999999</v>
      </c>
      <c r="J1368" s="8">
        <v>123.748</v>
      </c>
      <c r="K1368" s="8">
        <v>210.38</v>
      </c>
      <c r="L1368" s="8">
        <v>181.03100000000001</v>
      </c>
      <c r="M1368" s="8">
        <v>160.00700000000001</v>
      </c>
      <c r="N1368" s="8">
        <v>105.005</v>
      </c>
      <c r="O1368" s="8">
        <v>71.945999999999998</v>
      </c>
      <c r="P1368" s="8">
        <v>87.18</v>
      </c>
      <c r="Q1368" s="8">
        <v>81.522999999999996</v>
      </c>
      <c r="R1368" s="8">
        <v>88.686000000000007</v>
      </c>
      <c r="S1368" s="8">
        <v>70.320999999999998</v>
      </c>
      <c r="T1368" s="8">
        <v>42.377000000000002</v>
      </c>
      <c r="U1368" s="8">
        <v>51.875999999999998</v>
      </c>
      <c r="V1368" s="8">
        <v>41.807000000000002</v>
      </c>
      <c r="W1368" s="8">
        <v>35.365000000000002</v>
      </c>
      <c r="X1368" s="8">
        <v>20.507000000000001</v>
      </c>
      <c r="Y1368" s="8">
        <v>11.503</v>
      </c>
      <c r="Z1368" s="8">
        <v>5.4889999999999999</v>
      </c>
      <c r="AA1368" s="8">
        <v>3.4089999999999998</v>
      </c>
      <c r="AB1368" s="8">
        <v>0.36599999999999999</v>
      </c>
      <c r="AC1368" s="8">
        <v>5.8000000000000003E-2</v>
      </c>
    </row>
    <row r="1369" spans="1:29" ht="11.65" hidden="1" x14ac:dyDescent="0.35">
      <c r="A1369" s="12">
        <v>1352</v>
      </c>
      <c r="B1369" s="10" t="s">
        <v>1015</v>
      </c>
      <c r="C1369" s="11" t="s">
        <v>1114</v>
      </c>
      <c r="D1369" s="9">
        <v>4</v>
      </c>
      <c r="E1369" s="9">
        <v>31</v>
      </c>
      <c r="F1369" s="10" t="s">
        <v>1066</v>
      </c>
      <c r="G1369" s="9">
        <v>922</v>
      </c>
      <c r="H1369" s="9">
        <v>1955</v>
      </c>
      <c r="I1369" s="8">
        <v>261.14100000000002</v>
      </c>
      <c r="J1369" s="8">
        <v>156.07400000000001</v>
      </c>
      <c r="K1369" s="8">
        <v>122.999</v>
      </c>
      <c r="L1369" s="8">
        <v>209.60599999999999</v>
      </c>
      <c r="M1369" s="8">
        <v>180.34299999999999</v>
      </c>
      <c r="N1369" s="8">
        <v>159.32400000000001</v>
      </c>
      <c r="O1369" s="8">
        <v>104.518</v>
      </c>
      <c r="P1369" s="8">
        <v>71.552000000000007</v>
      </c>
      <c r="Q1369" s="8">
        <v>86.584000000000003</v>
      </c>
      <c r="R1369" s="8">
        <v>80.733999999999995</v>
      </c>
      <c r="S1369" s="8">
        <v>87.207999999999998</v>
      </c>
      <c r="T1369" s="8">
        <v>68.137</v>
      </c>
      <c r="U1369" s="8">
        <v>39.970999999999997</v>
      </c>
      <c r="V1369" s="8">
        <v>46.801000000000002</v>
      </c>
      <c r="W1369" s="8">
        <v>34.765999999999998</v>
      </c>
      <c r="X1369" s="8">
        <v>25.314</v>
      </c>
      <c r="Y1369" s="8">
        <v>11.704000000000001</v>
      </c>
      <c r="Z1369" s="8">
        <v>4.8970000000000002</v>
      </c>
      <c r="AA1369" s="8">
        <v>1.6850000000000001</v>
      </c>
      <c r="AB1369" s="8">
        <v>0.78</v>
      </c>
      <c r="AC1369" s="8">
        <v>6.5000000000000002E-2</v>
      </c>
    </row>
    <row r="1370" spans="1:29" ht="11.65" hidden="1" x14ac:dyDescent="0.35">
      <c r="A1370" s="12">
        <v>1353</v>
      </c>
      <c r="B1370" s="10" t="s">
        <v>1015</v>
      </c>
      <c r="C1370" s="11" t="s">
        <v>1114</v>
      </c>
      <c r="D1370" s="9">
        <v>4</v>
      </c>
      <c r="E1370" s="9">
        <v>31</v>
      </c>
      <c r="F1370" s="10" t="s">
        <v>1066</v>
      </c>
      <c r="G1370" s="9">
        <v>922</v>
      </c>
      <c r="H1370" s="9">
        <v>1960</v>
      </c>
      <c r="I1370" s="8">
        <v>341.66300000000001</v>
      </c>
      <c r="J1370" s="8">
        <v>251.31100000000001</v>
      </c>
      <c r="K1370" s="8">
        <v>155.304</v>
      </c>
      <c r="L1370" s="8">
        <v>122.629</v>
      </c>
      <c r="M1370" s="8">
        <v>208.95</v>
      </c>
      <c r="N1370" s="8">
        <v>179.70699999999999</v>
      </c>
      <c r="O1370" s="8">
        <v>158.70699999999999</v>
      </c>
      <c r="P1370" s="8">
        <v>104.03700000000001</v>
      </c>
      <c r="Q1370" s="8">
        <v>71.137</v>
      </c>
      <c r="R1370" s="8">
        <v>85.858000000000004</v>
      </c>
      <c r="S1370" s="8">
        <v>79.546000000000006</v>
      </c>
      <c r="T1370" s="8">
        <v>84.78</v>
      </c>
      <c r="U1370" s="8">
        <v>64.62</v>
      </c>
      <c r="V1370" s="8">
        <v>36.375999999999998</v>
      </c>
      <c r="W1370" s="8">
        <v>39.491999999999997</v>
      </c>
      <c r="X1370" s="8">
        <v>25.521000000000001</v>
      </c>
      <c r="Y1370" s="8">
        <v>15.051</v>
      </c>
      <c r="Z1370" s="8">
        <v>5.2930000000000001</v>
      </c>
      <c r="AA1370" s="8">
        <v>1.633</v>
      </c>
      <c r="AB1370" s="8">
        <v>0.42299999999999999</v>
      </c>
      <c r="AC1370" s="8">
        <v>0.14199999999999999</v>
      </c>
    </row>
    <row r="1371" spans="1:29" ht="11.65" hidden="1" x14ac:dyDescent="0.35">
      <c r="A1371" s="12">
        <v>1354</v>
      </c>
      <c r="B1371" s="10" t="s">
        <v>1015</v>
      </c>
      <c r="C1371" s="11" t="s">
        <v>1114</v>
      </c>
      <c r="D1371" s="9">
        <v>4</v>
      </c>
      <c r="E1371" s="9">
        <v>31</v>
      </c>
      <c r="F1371" s="10" t="s">
        <v>1066</v>
      </c>
      <c r="G1371" s="9">
        <v>922</v>
      </c>
      <c r="H1371" s="9">
        <v>1965</v>
      </c>
      <c r="I1371" s="8">
        <v>410.09500000000003</v>
      </c>
      <c r="J1371" s="8">
        <v>330.82499999999999</v>
      </c>
      <c r="K1371" s="8">
        <v>250.18299999999999</v>
      </c>
      <c r="L1371" s="8">
        <v>154.864</v>
      </c>
      <c r="M1371" s="8">
        <v>122.253</v>
      </c>
      <c r="N1371" s="8">
        <v>208.209</v>
      </c>
      <c r="O1371" s="8">
        <v>178.988</v>
      </c>
      <c r="P1371" s="8">
        <v>157.93700000000001</v>
      </c>
      <c r="Q1371" s="8">
        <v>103.39</v>
      </c>
      <c r="R1371" s="8">
        <v>70.491</v>
      </c>
      <c r="S1371" s="8">
        <v>84.504000000000005</v>
      </c>
      <c r="T1371" s="8">
        <v>77.248000000000005</v>
      </c>
      <c r="U1371" s="8">
        <v>80.381</v>
      </c>
      <c r="V1371" s="8">
        <v>58.901000000000003</v>
      </c>
      <c r="W1371" s="8">
        <v>30.859000000000002</v>
      </c>
      <c r="X1371" s="8">
        <v>29.376000000000001</v>
      </c>
      <c r="Y1371" s="8">
        <v>15.65</v>
      </c>
      <c r="Z1371" s="8">
        <v>7.1109999999999998</v>
      </c>
      <c r="AA1371" s="8">
        <v>1.802</v>
      </c>
      <c r="AB1371" s="8">
        <v>0.39500000000000002</v>
      </c>
      <c r="AC1371" s="8">
        <v>8.4000000000000005E-2</v>
      </c>
    </row>
    <row r="1372" spans="1:29" ht="11.65" hidden="1" x14ac:dyDescent="0.35">
      <c r="A1372" s="12">
        <v>1355</v>
      </c>
      <c r="B1372" s="10" t="s">
        <v>1015</v>
      </c>
      <c r="C1372" s="11" t="s">
        <v>1114</v>
      </c>
      <c r="D1372" s="9">
        <v>4</v>
      </c>
      <c r="E1372" s="9">
        <v>31</v>
      </c>
      <c r="F1372" s="10" t="s">
        <v>1066</v>
      </c>
      <c r="G1372" s="9">
        <v>922</v>
      </c>
      <c r="H1372" s="9">
        <v>1970</v>
      </c>
      <c r="I1372" s="8">
        <v>380.22800000000001</v>
      </c>
      <c r="J1372" s="8">
        <v>399.29</v>
      </c>
      <c r="K1372" s="8">
        <v>329.48700000000002</v>
      </c>
      <c r="L1372" s="8">
        <v>239.52500000000001</v>
      </c>
      <c r="M1372" s="8">
        <v>154.404</v>
      </c>
      <c r="N1372" s="8">
        <v>121.815</v>
      </c>
      <c r="O1372" s="8">
        <v>207.35400000000001</v>
      </c>
      <c r="P1372" s="8">
        <v>168.07499999999999</v>
      </c>
      <c r="Q1372" s="8">
        <v>156.89699999999999</v>
      </c>
      <c r="R1372" s="8">
        <v>102.384</v>
      </c>
      <c r="S1372" s="8">
        <v>69.305999999999997</v>
      </c>
      <c r="T1372" s="8">
        <v>81.977000000000004</v>
      </c>
      <c r="U1372" s="8">
        <v>73.222999999999999</v>
      </c>
      <c r="V1372" s="8">
        <v>73.385000000000005</v>
      </c>
      <c r="W1372" s="8">
        <v>50.238999999999997</v>
      </c>
      <c r="X1372" s="8">
        <v>23.263999999999999</v>
      </c>
      <c r="Y1372" s="8">
        <v>18.588000000000001</v>
      </c>
      <c r="Z1372" s="8">
        <v>7.726</v>
      </c>
      <c r="AA1372" s="8">
        <v>2.4670000000000001</v>
      </c>
      <c r="AB1372" s="8">
        <v>0.42099999999999999</v>
      </c>
      <c r="AC1372" s="8">
        <v>6.2E-2</v>
      </c>
    </row>
    <row r="1373" spans="1:29" ht="11.65" hidden="1" x14ac:dyDescent="0.35">
      <c r="A1373" s="12">
        <v>1356</v>
      </c>
      <c r="B1373" s="10" t="s">
        <v>1015</v>
      </c>
      <c r="C1373" s="11" t="s">
        <v>1114</v>
      </c>
      <c r="D1373" s="9">
        <v>4</v>
      </c>
      <c r="E1373" s="9">
        <v>31</v>
      </c>
      <c r="F1373" s="10" t="s">
        <v>1066</v>
      </c>
      <c r="G1373" s="9">
        <v>922</v>
      </c>
      <c r="H1373" s="9">
        <v>1975</v>
      </c>
      <c r="I1373" s="8">
        <v>344.04899999999998</v>
      </c>
      <c r="J1373" s="8">
        <v>372.63400000000001</v>
      </c>
      <c r="K1373" s="8">
        <v>397.85899999999998</v>
      </c>
      <c r="L1373" s="8">
        <v>328.68400000000003</v>
      </c>
      <c r="M1373" s="8">
        <v>235.626</v>
      </c>
      <c r="N1373" s="8">
        <v>150.04300000000001</v>
      </c>
      <c r="O1373" s="8">
        <v>119.367</v>
      </c>
      <c r="P1373" s="8">
        <v>201.85</v>
      </c>
      <c r="Q1373" s="8">
        <v>162.541</v>
      </c>
      <c r="R1373" s="8">
        <v>150.37</v>
      </c>
      <c r="S1373" s="8">
        <v>100.569</v>
      </c>
      <c r="T1373" s="8">
        <v>69.878</v>
      </c>
      <c r="U1373" s="8">
        <v>78.808999999999997</v>
      </c>
      <c r="V1373" s="8">
        <v>65.302999999999997</v>
      </c>
      <c r="W1373" s="8">
        <v>59.654000000000003</v>
      </c>
      <c r="X1373" s="8">
        <v>36.290999999999997</v>
      </c>
      <c r="Y1373" s="8">
        <v>15.185</v>
      </c>
      <c r="Z1373" s="8">
        <v>9.5820000000000007</v>
      </c>
      <c r="AA1373" s="8">
        <v>2.74</v>
      </c>
      <c r="AB1373" s="8">
        <v>0.55900000000000005</v>
      </c>
      <c r="AC1373" s="8">
        <v>5.3999999999999999E-2</v>
      </c>
    </row>
    <row r="1374" spans="1:29" ht="11.65" hidden="1" x14ac:dyDescent="0.35">
      <c r="A1374" s="12">
        <v>1357</v>
      </c>
      <c r="B1374" s="10" t="s">
        <v>1015</v>
      </c>
      <c r="C1374" s="11" t="s">
        <v>1114</v>
      </c>
      <c r="D1374" s="9">
        <v>4</v>
      </c>
      <c r="E1374" s="9">
        <v>31</v>
      </c>
      <c r="F1374" s="10" t="s">
        <v>1066</v>
      </c>
      <c r="G1374" s="9">
        <v>922</v>
      </c>
      <c r="H1374" s="9">
        <v>1980</v>
      </c>
      <c r="I1374" s="8">
        <v>340.41500000000002</v>
      </c>
      <c r="J1374" s="8">
        <v>337.20499999999998</v>
      </c>
      <c r="K1374" s="8">
        <v>371.46800000000002</v>
      </c>
      <c r="L1374" s="8">
        <v>396.964</v>
      </c>
      <c r="M1374" s="8">
        <v>327.75400000000002</v>
      </c>
      <c r="N1374" s="8">
        <v>231.56700000000001</v>
      </c>
      <c r="O1374" s="8">
        <v>145.58600000000001</v>
      </c>
      <c r="P1374" s="8">
        <v>116.765</v>
      </c>
      <c r="Q1374" s="8">
        <v>195.96700000000001</v>
      </c>
      <c r="R1374" s="8">
        <v>156.376</v>
      </c>
      <c r="S1374" s="8">
        <v>142.631</v>
      </c>
      <c r="T1374" s="8">
        <v>97.367000000000004</v>
      </c>
      <c r="U1374" s="8">
        <v>68.914000000000001</v>
      </c>
      <c r="V1374" s="8">
        <v>73.296000000000006</v>
      </c>
      <c r="W1374" s="8">
        <v>54.633000000000003</v>
      </c>
      <c r="X1374" s="8">
        <v>42.863</v>
      </c>
      <c r="Y1374" s="8">
        <v>22.344999999999999</v>
      </c>
      <c r="Z1374" s="8">
        <v>8.16</v>
      </c>
      <c r="AA1374" s="8">
        <v>3.484</v>
      </c>
      <c r="AB1374" s="8">
        <v>0.61399999999999999</v>
      </c>
      <c r="AC1374" s="8">
        <v>6.2E-2</v>
      </c>
    </row>
    <row r="1375" spans="1:29" ht="11.65" hidden="1" x14ac:dyDescent="0.35">
      <c r="A1375" s="12">
        <v>1358</v>
      </c>
      <c r="B1375" s="10" t="s">
        <v>1015</v>
      </c>
      <c r="C1375" s="11" t="s">
        <v>1114</v>
      </c>
      <c r="D1375" s="9">
        <v>4</v>
      </c>
      <c r="E1375" s="9">
        <v>31</v>
      </c>
      <c r="F1375" s="10" t="s">
        <v>1066</v>
      </c>
      <c r="G1375" s="9">
        <v>922</v>
      </c>
      <c r="H1375" s="9">
        <v>1985</v>
      </c>
      <c r="I1375" s="8">
        <v>390.47899999999998</v>
      </c>
      <c r="J1375" s="8">
        <v>333.71100000000001</v>
      </c>
      <c r="K1375" s="8">
        <v>330.57600000000002</v>
      </c>
      <c r="L1375" s="8">
        <v>365.87299999999999</v>
      </c>
      <c r="M1375" s="8">
        <v>388.38799999999998</v>
      </c>
      <c r="N1375" s="8">
        <v>320.71199999999999</v>
      </c>
      <c r="O1375" s="8">
        <v>228.654</v>
      </c>
      <c r="P1375" s="8">
        <v>140.93899999999999</v>
      </c>
      <c r="Q1375" s="8">
        <v>115.52800000000001</v>
      </c>
      <c r="R1375" s="8">
        <v>191.297</v>
      </c>
      <c r="S1375" s="8">
        <v>156.98599999999999</v>
      </c>
      <c r="T1375" s="8">
        <v>137.6</v>
      </c>
      <c r="U1375" s="8">
        <v>87.578999999999994</v>
      </c>
      <c r="V1375" s="8">
        <v>60.548000000000002</v>
      </c>
      <c r="W1375" s="8">
        <v>61.426000000000002</v>
      </c>
      <c r="X1375" s="8">
        <v>41.612000000000002</v>
      </c>
      <c r="Y1375" s="8">
        <v>29.76</v>
      </c>
      <c r="Z1375" s="8">
        <v>12.506</v>
      </c>
      <c r="AA1375" s="8">
        <v>3.0379999999999998</v>
      </c>
      <c r="AB1375" s="8">
        <v>0.76900000000000002</v>
      </c>
      <c r="AC1375" s="8">
        <v>6.2E-2</v>
      </c>
    </row>
    <row r="1376" spans="1:29" ht="11.65" hidden="1" x14ac:dyDescent="0.35">
      <c r="A1376" s="12">
        <v>1359</v>
      </c>
      <c r="B1376" s="10" t="s">
        <v>1015</v>
      </c>
      <c r="C1376" s="11" t="s">
        <v>1114</v>
      </c>
      <c r="D1376" s="9">
        <v>4</v>
      </c>
      <c r="E1376" s="9">
        <v>31</v>
      </c>
      <c r="F1376" s="10" t="s">
        <v>1066</v>
      </c>
      <c r="G1376" s="9">
        <v>922</v>
      </c>
      <c r="H1376" s="9">
        <v>1990</v>
      </c>
      <c r="I1376" s="8">
        <v>457.983</v>
      </c>
      <c r="J1376" s="8">
        <v>383.786</v>
      </c>
      <c r="K1376" s="8">
        <v>332.96800000000002</v>
      </c>
      <c r="L1376" s="8">
        <v>324.233</v>
      </c>
      <c r="M1376" s="8">
        <v>340.06200000000001</v>
      </c>
      <c r="N1376" s="8">
        <v>379.47399999999999</v>
      </c>
      <c r="O1376" s="8">
        <v>313.39100000000002</v>
      </c>
      <c r="P1376" s="8">
        <v>225.37700000000001</v>
      </c>
      <c r="Q1376" s="8">
        <v>135.995</v>
      </c>
      <c r="R1376" s="8">
        <v>113.762</v>
      </c>
      <c r="S1376" s="8">
        <v>184.90899999999999</v>
      </c>
      <c r="T1376" s="8">
        <v>155.36799999999999</v>
      </c>
      <c r="U1376" s="8">
        <v>129.96199999999999</v>
      </c>
      <c r="V1376" s="8">
        <v>75.813000000000002</v>
      </c>
      <c r="W1376" s="8">
        <v>50.079000000000001</v>
      </c>
      <c r="X1376" s="8">
        <v>46.677999999999997</v>
      </c>
      <c r="Y1376" s="8">
        <v>28.638999999999999</v>
      </c>
      <c r="Z1376" s="8">
        <v>17.353999999999999</v>
      </c>
      <c r="AA1376" s="8">
        <v>4.758</v>
      </c>
      <c r="AB1376" s="8">
        <v>0.65600000000000003</v>
      </c>
      <c r="AC1376" s="8">
        <v>6.4000000000000001E-2</v>
      </c>
    </row>
    <row r="1377" spans="1:29" ht="11.65" hidden="1" x14ac:dyDescent="0.35">
      <c r="A1377" s="12">
        <v>1360</v>
      </c>
      <c r="B1377" s="10" t="s">
        <v>1015</v>
      </c>
      <c r="C1377" s="11" t="s">
        <v>1114</v>
      </c>
      <c r="D1377" s="9">
        <v>4</v>
      </c>
      <c r="E1377" s="9">
        <v>31</v>
      </c>
      <c r="F1377" s="10" t="s">
        <v>1066</v>
      </c>
      <c r="G1377" s="9">
        <v>922</v>
      </c>
      <c r="H1377" s="9">
        <v>1995</v>
      </c>
      <c r="I1377" s="8">
        <v>434.00700000000001</v>
      </c>
      <c r="J1377" s="8">
        <v>455.32</v>
      </c>
      <c r="K1377" s="8">
        <v>388.87799999999999</v>
      </c>
      <c r="L1377" s="8">
        <v>336.96499999999997</v>
      </c>
      <c r="M1377" s="8">
        <v>326.93299999999999</v>
      </c>
      <c r="N1377" s="8">
        <v>343.363</v>
      </c>
      <c r="O1377" s="8">
        <v>375.78899999999999</v>
      </c>
      <c r="P1377" s="8">
        <v>305.18299999999999</v>
      </c>
      <c r="Q1377" s="8">
        <v>214.57499999999999</v>
      </c>
      <c r="R1377" s="8">
        <v>127.864</v>
      </c>
      <c r="S1377" s="8">
        <v>105.81399999999999</v>
      </c>
      <c r="T1377" s="8">
        <v>169.93</v>
      </c>
      <c r="U1377" s="8">
        <v>136.02500000000001</v>
      </c>
      <c r="V1377" s="8">
        <v>107.871</v>
      </c>
      <c r="W1377" s="8">
        <v>61.387</v>
      </c>
      <c r="X1377" s="8">
        <v>35.868000000000002</v>
      </c>
      <c r="Y1377" s="8">
        <v>30.135999999999999</v>
      </c>
      <c r="Z1377" s="8">
        <v>15.321</v>
      </c>
      <c r="AA1377" s="8">
        <v>5.8319999999999999</v>
      </c>
      <c r="AB1377" s="8">
        <v>0.95</v>
      </c>
      <c r="AC1377" s="8">
        <v>7.5999999999999998E-2</v>
      </c>
    </row>
    <row r="1378" spans="1:29" ht="11.65" hidden="1" x14ac:dyDescent="0.35">
      <c r="A1378" s="12">
        <v>1361</v>
      </c>
      <c r="B1378" s="10" t="s">
        <v>1015</v>
      </c>
      <c r="C1378" s="11" t="s">
        <v>1114</v>
      </c>
      <c r="D1378" s="9">
        <v>4</v>
      </c>
      <c r="E1378" s="9">
        <v>31</v>
      </c>
      <c r="F1378" s="10" t="s">
        <v>1066</v>
      </c>
      <c r="G1378" s="9">
        <v>922</v>
      </c>
      <c r="H1378" s="9">
        <v>2000</v>
      </c>
      <c r="I1378" s="8">
        <v>336.47399999999999</v>
      </c>
      <c r="J1378" s="8">
        <v>432.209</v>
      </c>
      <c r="K1378" s="8">
        <v>454.6</v>
      </c>
      <c r="L1378" s="8">
        <v>393.98700000000002</v>
      </c>
      <c r="M1378" s="8">
        <v>340.59100000000001</v>
      </c>
      <c r="N1378" s="8">
        <v>329.25599999999997</v>
      </c>
      <c r="O1378" s="8">
        <v>346.416</v>
      </c>
      <c r="P1378" s="8">
        <v>371.76499999999999</v>
      </c>
      <c r="Q1378" s="8">
        <v>296.428</v>
      </c>
      <c r="R1378" s="8">
        <v>203.011</v>
      </c>
      <c r="S1378" s="8">
        <v>118.602</v>
      </c>
      <c r="T1378" s="8">
        <v>96.39</v>
      </c>
      <c r="U1378" s="8">
        <v>152.00299999999999</v>
      </c>
      <c r="V1378" s="8">
        <v>113.792</v>
      </c>
      <c r="W1378" s="8">
        <v>81.844999999999999</v>
      </c>
      <c r="X1378" s="8">
        <v>42.942</v>
      </c>
      <c r="Y1378" s="8">
        <v>19.832000000000001</v>
      </c>
      <c r="Z1378" s="8">
        <v>14.773999999999999</v>
      </c>
      <c r="AA1378" s="8">
        <v>5.0990000000000002</v>
      </c>
      <c r="AB1378" s="8">
        <v>1.161</v>
      </c>
      <c r="AC1378" s="8">
        <v>0.111</v>
      </c>
    </row>
    <row r="1379" spans="1:29" ht="11.65" hidden="1" x14ac:dyDescent="0.35">
      <c r="A1379" s="12">
        <v>1362</v>
      </c>
      <c r="B1379" s="10" t="s">
        <v>1015</v>
      </c>
      <c r="C1379" s="11" t="s">
        <v>1114</v>
      </c>
      <c r="D1379" s="9">
        <v>4</v>
      </c>
      <c r="E1379" s="9">
        <v>31</v>
      </c>
      <c r="F1379" s="10" t="s">
        <v>1066</v>
      </c>
      <c r="G1379" s="9">
        <v>922</v>
      </c>
      <c r="H1379" s="9">
        <v>2005</v>
      </c>
      <c r="I1379" s="8">
        <v>297.755</v>
      </c>
      <c r="J1379" s="8">
        <v>333.59399999999999</v>
      </c>
      <c r="K1379" s="8">
        <v>435.73599999999999</v>
      </c>
      <c r="L1379" s="8">
        <v>465.86799999999999</v>
      </c>
      <c r="M1379" s="8">
        <v>404.70499999999998</v>
      </c>
      <c r="N1379" s="8">
        <v>339.96499999999997</v>
      </c>
      <c r="O1379" s="8">
        <v>327.21699999999998</v>
      </c>
      <c r="P1379" s="8">
        <v>343.01900000000001</v>
      </c>
      <c r="Q1379" s="8">
        <v>365.649</v>
      </c>
      <c r="R1379" s="8">
        <v>291.31400000000002</v>
      </c>
      <c r="S1379" s="8">
        <v>197.738</v>
      </c>
      <c r="T1379" s="8">
        <v>114.32</v>
      </c>
      <c r="U1379" s="8">
        <v>89.200999999999993</v>
      </c>
      <c r="V1379" s="8">
        <v>132.935</v>
      </c>
      <c r="W1379" s="8">
        <v>93.263000000000005</v>
      </c>
      <c r="X1379" s="8">
        <v>58.161000000000001</v>
      </c>
      <c r="Y1379" s="8">
        <v>26.414999999999999</v>
      </c>
      <c r="Z1379" s="8">
        <v>9.2870000000000008</v>
      </c>
      <c r="AA1379" s="8">
        <v>4.6130000000000004</v>
      </c>
      <c r="AB1379" s="8">
        <v>0.92400000000000004</v>
      </c>
      <c r="AC1379" s="8">
        <v>0.122</v>
      </c>
    </row>
    <row r="1380" spans="1:29" ht="11.65" hidden="1" x14ac:dyDescent="0.35">
      <c r="A1380" s="12">
        <v>1363</v>
      </c>
      <c r="B1380" s="10" t="s">
        <v>1015</v>
      </c>
      <c r="C1380" s="11" t="s">
        <v>1114</v>
      </c>
      <c r="D1380" s="9">
        <v>4</v>
      </c>
      <c r="E1380" s="9">
        <v>31</v>
      </c>
      <c r="F1380" s="10" t="s">
        <v>1066</v>
      </c>
      <c r="G1380" s="9">
        <v>922</v>
      </c>
      <c r="H1380" s="9">
        <v>2010</v>
      </c>
      <c r="I1380" s="8">
        <v>325.31400000000002</v>
      </c>
      <c r="J1380" s="8">
        <v>296.19400000000002</v>
      </c>
      <c r="K1380" s="8">
        <v>341.16399999999999</v>
      </c>
      <c r="L1380" s="8">
        <v>439.51</v>
      </c>
      <c r="M1380" s="8">
        <v>477.06400000000002</v>
      </c>
      <c r="N1380" s="8">
        <v>415.47399999999999</v>
      </c>
      <c r="O1380" s="8">
        <v>339.62200000000001</v>
      </c>
      <c r="P1380" s="8">
        <v>325.57299999999998</v>
      </c>
      <c r="Q1380" s="8">
        <v>340.05099999999999</v>
      </c>
      <c r="R1380" s="8">
        <v>359.94200000000001</v>
      </c>
      <c r="S1380" s="8">
        <v>286.03100000000001</v>
      </c>
      <c r="T1380" s="8">
        <v>191.339</v>
      </c>
      <c r="U1380" s="8">
        <v>108.506</v>
      </c>
      <c r="V1380" s="8">
        <v>80.007000000000005</v>
      </c>
      <c r="W1380" s="8">
        <v>108.61199999999999</v>
      </c>
      <c r="X1380" s="8">
        <v>68.915999999999997</v>
      </c>
      <c r="Y1380" s="8">
        <v>35.366</v>
      </c>
      <c r="Z1380" s="8">
        <v>14.05</v>
      </c>
      <c r="AA1380" s="8">
        <v>3.488</v>
      </c>
      <c r="AB1380" s="8">
        <v>1.034</v>
      </c>
      <c r="AC1380" s="8">
        <v>0.11799999999999999</v>
      </c>
    </row>
    <row r="1381" spans="1:29" ht="11.65" hidden="1" x14ac:dyDescent="0.35">
      <c r="A1381" s="12">
        <v>1364</v>
      </c>
      <c r="B1381" s="10" t="s">
        <v>1015</v>
      </c>
      <c r="C1381" s="11" t="s">
        <v>1114</v>
      </c>
      <c r="D1381" s="9">
        <v>4</v>
      </c>
      <c r="E1381" s="9">
        <v>31</v>
      </c>
      <c r="F1381" s="10" t="s">
        <v>1066</v>
      </c>
      <c r="G1381" s="9">
        <v>922</v>
      </c>
      <c r="H1381" s="9">
        <v>2015</v>
      </c>
      <c r="I1381" s="8">
        <v>401.44099999999997</v>
      </c>
      <c r="J1381" s="8">
        <v>324.31299999999999</v>
      </c>
      <c r="K1381" s="8">
        <v>295.86900000000003</v>
      </c>
      <c r="L1381" s="8">
        <v>341.17700000000002</v>
      </c>
      <c r="M1381" s="8">
        <v>439.54</v>
      </c>
      <c r="N1381" s="8">
        <v>476.637</v>
      </c>
      <c r="O1381" s="8">
        <v>414.80500000000001</v>
      </c>
      <c r="P1381" s="8">
        <v>338.67700000000002</v>
      </c>
      <c r="Q1381" s="8">
        <v>323.95100000000002</v>
      </c>
      <c r="R1381" s="8">
        <v>337.113</v>
      </c>
      <c r="S1381" s="8">
        <v>354.40600000000001</v>
      </c>
      <c r="T1381" s="8">
        <v>278.09899999999999</v>
      </c>
      <c r="U1381" s="8">
        <v>182.327</v>
      </c>
      <c r="V1381" s="8">
        <v>99.947000000000003</v>
      </c>
      <c r="W1381" s="8">
        <v>69.007999999999996</v>
      </c>
      <c r="X1381" s="8">
        <v>84.941000000000003</v>
      </c>
      <c r="Y1381" s="8">
        <v>46.683999999999997</v>
      </c>
      <c r="Z1381" s="8">
        <v>19.021000000000001</v>
      </c>
      <c r="AA1381" s="8">
        <v>5.3490000000000002</v>
      </c>
      <c r="AB1381" s="8">
        <v>0.79400000000000004</v>
      </c>
      <c r="AC1381" s="8">
        <v>0.129</v>
      </c>
    </row>
    <row r="1382" spans="1:29" ht="11.65" hidden="1" x14ac:dyDescent="0.35">
      <c r="A1382" s="12">
        <v>1365</v>
      </c>
      <c r="B1382" s="10" t="s">
        <v>1015</v>
      </c>
      <c r="C1382" s="11" t="s">
        <v>1114</v>
      </c>
      <c r="D1382" s="9">
        <v>4</v>
      </c>
      <c r="E1382" s="9">
        <v>31</v>
      </c>
      <c r="F1382" s="10" t="s">
        <v>1066</v>
      </c>
      <c r="G1382" s="9">
        <v>922</v>
      </c>
      <c r="H1382" s="9">
        <v>2020</v>
      </c>
      <c r="I1382" s="8">
        <v>389.49900000000002</v>
      </c>
      <c r="J1382" s="8">
        <v>400.29399999999998</v>
      </c>
      <c r="K1382" s="8">
        <v>323.99299999999999</v>
      </c>
      <c r="L1382" s="8">
        <v>295.83300000000003</v>
      </c>
      <c r="M1382" s="8">
        <v>341.15899999999999</v>
      </c>
      <c r="N1382" s="8">
        <v>439.12599999999998</v>
      </c>
      <c r="O1382" s="8">
        <v>475.654</v>
      </c>
      <c r="P1382" s="8">
        <v>413.28399999999999</v>
      </c>
      <c r="Q1382" s="8">
        <v>336.548</v>
      </c>
      <c r="R1382" s="8">
        <v>320.49299999999999</v>
      </c>
      <c r="S1382" s="8">
        <v>331.24799999999999</v>
      </c>
      <c r="T1382" s="8">
        <v>344.75900000000001</v>
      </c>
      <c r="U1382" s="8">
        <v>265.92200000000003</v>
      </c>
      <c r="V1382" s="8">
        <v>168.97800000000001</v>
      </c>
      <c r="W1382" s="8">
        <v>87.418999999999997</v>
      </c>
      <c r="X1382" s="8">
        <v>54.219000000000001</v>
      </c>
      <c r="Y1382" s="8">
        <v>55.654000000000003</v>
      </c>
      <c r="Z1382" s="8">
        <v>23.044</v>
      </c>
      <c r="AA1382" s="8">
        <v>6.2409999999999997</v>
      </c>
      <c r="AB1382" s="8">
        <v>1.05</v>
      </c>
      <c r="AC1382" s="8">
        <v>9.4E-2</v>
      </c>
    </row>
    <row r="1383" spans="1:29" ht="11.65" hidden="1" x14ac:dyDescent="0.35">
      <c r="A1383" s="12">
        <v>1366</v>
      </c>
      <c r="B1383" s="10" t="s">
        <v>1015</v>
      </c>
      <c r="C1383" s="11" t="s">
        <v>1115</v>
      </c>
      <c r="D1383" s="9"/>
      <c r="E1383" s="9">
        <v>48</v>
      </c>
      <c r="F1383" s="10" t="s">
        <v>1066</v>
      </c>
      <c r="G1383" s="9">
        <v>922</v>
      </c>
      <c r="H1383" s="9">
        <v>1950</v>
      </c>
      <c r="I1383" s="8">
        <v>9.9450000000000003</v>
      </c>
      <c r="J1383" s="8">
        <v>7.79</v>
      </c>
      <c r="K1383" s="8">
        <v>6.2610000000000001</v>
      </c>
      <c r="L1383" s="8">
        <v>5.2140000000000004</v>
      </c>
      <c r="M1383" s="8">
        <v>4.5549999999999997</v>
      </c>
      <c r="N1383" s="8">
        <v>4.0960000000000001</v>
      </c>
      <c r="O1383" s="8">
        <v>3.3</v>
      </c>
      <c r="P1383" s="8">
        <v>2.7410000000000001</v>
      </c>
      <c r="Q1383" s="8">
        <v>2.2469999999999999</v>
      </c>
      <c r="R1383" s="8">
        <v>1.8620000000000001</v>
      </c>
      <c r="S1383" s="8">
        <v>1.534</v>
      </c>
      <c r="T1383" s="8">
        <v>1.2170000000000001</v>
      </c>
      <c r="U1383" s="8">
        <v>0.997</v>
      </c>
      <c r="V1383" s="8">
        <v>0.74399999999999999</v>
      </c>
      <c r="W1383" s="8">
        <v>0.51900000000000002</v>
      </c>
      <c r="X1383" s="8">
        <v>0.311</v>
      </c>
      <c r="Y1383" s="8">
        <v>0.123</v>
      </c>
      <c r="Z1383" s="8">
        <v>3.5999999999999997E-2</v>
      </c>
      <c r="AA1383" s="8">
        <v>5.0000000000000001E-3</v>
      </c>
      <c r="AB1383" s="8">
        <v>0</v>
      </c>
      <c r="AC1383" s="8">
        <v>0</v>
      </c>
    </row>
    <row r="1384" spans="1:29" ht="11.65" hidden="1" x14ac:dyDescent="0.35">
      <c r="A1384" s="12">
        <v>1367</v>
      </c>
      <c r="B1384" s="10" t="s">
        <v>1015</v>
      </c>
      <c r="C1384" s="11" t="s">
        <v>1115</v>
      </c>
      <c r="D1384" s="9"/>
      <c r="E1384" s="9">
        <v>48</v>
      </c>
      <c r="F1384" s="10" t="s">
        <v>1066</v>
      </c>
      <c r="G1384" s="9">
        <v>922</v>
      </c>
      <c r="H1384" s="9">
        <v>1955</v>
      </c>
      <c r="I1384" s="8">
        <v>11.167</v>
      </c>
      <c r="J1384" s="8">
        <v>9.2140000000000004</v>
      </c>
      <c r="K1384" s="8">
        <v>7.6070000000000002</v>
      </c>
      <c r="L1384" s="8">
        <v>6.1369999999999996</v>
      </c>
      <c r="M1384" s="8">
        <v>5.077</v>
      </c>
      <c r="N1384" s="8">
        <v>4.7279999999999998</v>
      </c>
      <c r="O1384" s="8">
        <v>4.26</v>
      </c>
      <c r="P1384" s="8">
        <v>3.1989999999999998</v>
      </c>
      <c r="Q1384" s="8">
        <v>2.6469999999999998</v>
      </c>
      <c r="R1384" s="8">
        <v>2.15</v>
      </c>
      <c r="S1384" s="8">
        <v>1.7609999999999999</v>
      </c>
      <c r="T1384" s="8">
        <v>1.423</v>
      </c>
      <c r="U1384" s="8">
        <v>1.083</v>
      </c>
      <c r="V1384" s="8">
        <v>0.89</v>
      </c>
      <c r="W1384" s="8">
        <v>0.60299999999999998</v>
      </c>
      <c r="X1384" s="8">
        <v>0.317</v>
      </c>
      <c r="Y1384" s="8">
        <v>0.13900000000000001</v>
      </c>
      <c r="Z1384" s="8">
        <v>3.5000000000000003E-2</v>
      </c>
      <c r="AA1384" s="8">
        <v>5.0000000000000001E-3</v>
      </c>
      <c r="AB1384" s="8">
        <v>0</v>
      </c>
      <c r="AC1384" s="8">
        <v>0</v>
      </c>
    </row>
    <row r="1385" spans="1:29" ht="11.65" hidden="1" x14ac:dyDescent="0.35">
      <c r="A1385" s="12">
        <v>1368</v>
      </c>
      <c r="B1385" s="10" t="s">
        <v>1015</v>
      </c>
      <c r="C1385" s="11" t="s">
        <v>1115</v>
      </c>
      <c r="D1385" s="9"/>
      <c r="E1385" s="9">
        <v>48</v>
      </c>
      <c r="F1385" s="10" t="s">
        <v>1066</v>
      </c>
      <c r="G1385" s="9">
        <v>922</v>
      </c>
      <c r="H1385" s="9">
        <v>1960</v>
      </c>
      <c r="I1385" s="8">
        <v>13.851000000000001</v>
      </c>
      <c r="J1385" s="8">
        <v>10.512</v>
      </c>
      <c r="K1385" s="8">
        <v>9.08</v>
      </c>
      <c r="L1385" s="8">
        <v>7.5129999999999999</v>
      </c>
      <c r="M1385" s="8">
        <v>6.0430000000000001</v>
      </c>
      <c r="N1385" s="8">
        <v>5.7640000000000002</v>
      </c>
      <c r="O1385" s="8">
        <v>5.3959999999999999</v>
      </c>
      <c r="P1385" s="8">
        <v>4.2060000000000004</v>
      </c>
      <c r="Q1385" s="8">
        <v>3.15</v>
      </c>
      <c r="R1385" s="8">
        <v>2.56</v>
      </c>
      <c r="S1385" s="8">
        <v>2.0499999999999998</v>
      </c>
      <c r="T1385" s="8">
        <v>1.6459999999999999</v>
      </c>
      <c r="U1385" s="8">
        <v>1.2789999999999999</v>
      </c>
      <c r="V1385" s="8">
        <v>1.0509999999999999</v>
      </c>
      <c r="W1385" s="8">
        <v>0.78500000000000003</v>
      </c>
      <c r="X1385" s="8">
        <v>0.38</v>
      </c>
      <c r="Y1385" s="8">
        <v>0.15</v>
      </c>
      <c r="Z1385" s="8">
        <v>4.2999999999999997E-2</v>
      </c>
      <c r="AA1385" s="8">
        <v>8.0000000000000002E-3</v>
      </c>
      <c r="AB1385" s="8">
        <v>0</v>
      </c>
      <c r="AC1385" s="8">
        <v>0</v>
      </c>
    </row>
    <row r="1386" spans="1:29" ht="11.65" hidden="1" x14ac:dyDescent="0.35">
      <c r="A1386" s="12">
        <v>1369</v>
      </c>
      <c r="B1386" s="10" t="s">
        <v>1015</v>
      </c>
      <c r="C1386" s="11" t="s">
        <v>1115</v>
      </c>
      <c r="D1386" s="9"/>
      <c r="E1386" s="9">
        <v>48</v>
      </c>
      <c r="F1386" s="10" t="s">
        <v>1066</v>
      </c>
      <c r="G1386" s="9">
        <v>922</v>
      </c>
      <c r="H1386" s="9">
        <v>1965</v>
      </c>
      <c r="I1386" s="8">
        <v>15.698</v>
      </c>
      <c r="J1386" s="8">
        <v>15.183999999999999</v>
      </c>
      <c r="K1386" s="8">
        <v>12.512</v>
      </c>
      <c r="L1386" s="8">
        <v>7.29</v>
      </c>
      <c r="M1386" s="8">
        <v>7.5449999999999999</v>
      </c>
      <c r="N1386" s="8">
        <v>6.23</v>
      </c>
      <c r="O1386" s="8">
        <v>5.1989999999999998</v>
      </c>
      <c r="P1386" s="8">
        <v>4.4950000000000001</v>
      </c>
      <c r="Q1386" s="8">
        <v>3.0190000000000001</v>
      </c>
      <c r="R1386" s="8">
        <v>2.331</v>
      </c>
      <c r="S1386" s="8">
        <v>1.738</v>
      </c>
      <c r="T1386" s="8">
        <v>1.2270000000000001</v>
      </c>
      <c r="U1386" s="8">
        <v>0.81499999999999995</v>
      </c>
      <c r="V1386" s="8">
        <v>0.58499999999999996</v>
      </c>
      <c r="W1386" s="8">
        <v>0.438</v>
      </c>
      <c r="X1386" s="8">
        <v>0.34599999999999997</v>
      </c>
      <c r="Y1386" s="8">
        <v>0.186</v>
      </c>
      <c r="Z1386" s="8">
        <v>4.9000000000000002E-2</v>
      </c>
      <c r="AA1386" s="8">
        <v>8.9999999999999993E-3</v>
      </c>
      <c r="AB1386" s="8">
        <v>0</v>
      </c>
      <c r="AC1386" s="8">
        <v>0</v>
      </c>
    </row>
    <row r="1387" spans="1:29" ht="11.65" hidden="1" x14ac:dyDescent="0.35">
      <c r="A1387" s="12">
        <v>1370</v>
      </c>
      <c r="B1387" s="10" t="s">
        <v>1015</v>
      </c>
      <c r="C1387" s="11" t="s">
        <v>1115</v>
      </c>
      <c r="D1387" s="9"/>
      <c r="E1387" s="9">
        <v>48</v>
      </c>
      <c r="F1387" s="10" t="s">
        <v>1066</v>
      </c>
      <c r="G1387" s="9">
        <v>922</v>
      </c>
      <c r="H1387" s="9">
        <v>1970</v>
      </c>
      <c r="I1387" s="8">
        <v>17.655000000000001</v>
      </c>
      <c r="J1387" s="8">
        <v>15.272</v>
      </c>
      <c r="K1387" s="8">
        <v>14.603999999999999</v>
      </c>
      <c r="L1387" s="8">
        <v>10.114000000000001</v>
      </c>
      <c r="M1387" s="8">
        <v>6.327</v>
      </c>
      <c r="N1387" s="8">
        <v>6.8470000000000004</v>
      </c>
      <c r="O1387" s="8">
        <v>5.569</v>
      </c>
      <c r="P1387" s="8">
        <v>5.327</v>
      </c>
      <c r="Q1387" s="8">
        <v>4.2919999999999998</v>
      </c>
      <c r="R1387" s="8">
        <v>3.266</v>
      </c>
      <c r="S1387" s="8">
        <v>2.798</v>
      </c>
      <c r="T1387" s="8">
        <v>1.631</v>
      </c>
      <c r="U1387" s="8">
        <v>1.4750000000000001</v>
      </c>
      <c r="V1387" s="8">
        <v>1.06</v>
      </c>
      <c r="W1387" s="8">
        <v>0.753</v>
      </c>
      <c r="X1387" s="8">
        <v>0.44</v>
      </c>
      <c r="Y1387" s="8">
        <v>0.17799999999999999</v>
      </c>
      <c r="Z1387" s="8">
        <v>6.5000000000000002E-2</v>
      </c>
      <c r="AA1387" s="8">
        <v>1.0999999999999999E-2</v>
      </c>
      <c r="AB1387" s="8">
        <v>0</v>
      </c>
      <c r="AC1387" s="8">
        <v>0</v>
      </c>
    </row>
    <row r="1388" spans="1:29" ht="11.65" hidden="1" x14ac:dyDescent="0.35">
      <c r="A1388" s="12">
        <v>1371</v>
      </c>
      <c r="B1388" s="10" t="s">
        <v>1015</v>
      </c>
      <c r="C1388" s="11" t="s">
        <v>1115</v>
      </c>
      <c r="D1388" s="9"/>
      <c r="E1388" s="9">
        <v>48</v>
      </c>
      <c r="F1388" s="10" t="s">
        <v>1066</v>
      </c>
      <c r="G1388" s="9">
        <v>922</v>
      </c>
      <c r="H1388" s="9">
        <v>1975</v>
      </c>
      <c r="I1388" s="8">
        <v>19.577000000000002</v>
      </c>
      <c r="J1388" s="8">
        <v>17.456</v>
      </c>
      <c r="K1388" s="8">
        <v>15.212999999999999</v>
      </c>
      <c r="L1388" s="8">
        <v>14.51</v>
      </c>
      <c r="M1388" s="8">
        <v>11.026</v>
      </c>
      <c r="N1388" s="8">
        <v>7.2839999999999998</v>
      </c>
      <c r="O1388" s="8">
        <v>6.7009999999999996</v>
      </c>
      <c r="P1388" s="8">
        <v>5.8220000000000001</v>
      </c>
      <c r="Q1388" s="8">
        <v>5.4340000000000002</v>
      </c>
      <c r="R1388" s="8">
        <v>4.101</v>
      </c>
      <c r="S1388" s="8">
        <v>3.2730000000000001</v>
      </c>
      <c r="T1388" s="8">
        <v>2.66</v>
      </c>
      <c r="U1388" s="8">
        <v>1.5</v>
      </c>
      <c r="V1388" s="8">
        <v>1.2989999999999999</v>
      </c>
      <c r="W1388" s="8">
        <v>0.85799999999999998</v>
      </c>
      <c r="X1388" s="8">
        <v>0.51200000000000001</v>
      </c>
      <c r="Y1388" s="8">
        <v>0.23200000000000001</v>
      </c>
      <c r="Z1388" s="8">
        <v>6.4000000000000001E-2</v>
      </c>
      <c r="AA1388" s="8">
        <v>1.4999999999999999E-2</v>
      </c>
      <c r="AB1388" s="8">
        <v>0</v>
      </c>
      <c r="AC1388" s="8">
        <v>0</v>
      </c>
    </row>
    <row r="1389" spans="1:29" ht="11.65" hidden="1" x14ac:dyDescent="0.35">
      <c r="A1389" s="12">
        <v>1372</v>
      </c>
      <c r="B1389" s="10" t="s">
        <v>1015</v>
      </c>
      <c r="C1389" s="11" t="s">
        <v>1115</v>
      </c>
      <c r="D1389" s="9"/>
      <c r="E1389" s="9">
        <v>48</v>
      </c>
      <c r="F1389" s="10" t="s">
        <v>1066</v>
      </c>
      <c r="G1389" s="9">
        <v>922</v>
      </c>
      <c r="H1389" s="9">
        <v>1980</v>
      </c>
      <c r="I1389" s="8">
        <v>24.408999999999999</v>
      </c>
      <c r="J1389" s="8">
        <v>19.460999999999999</v>
      </c>
      <c r="K1389" s="8">
        <v>17.408000000000001</v>
      </c>
      <c r="L1389" s="8">
        <v>17.753</v>
      </c>
      <c r="M1389" s="8">
        <v>16.954999999999998</v>
      </c>
      <c r="N1389" s="8">
        <v>12.897</v>
      </c>
      <c r="O1389" s="8">
        <v>9.2370000000000001</v>
      </c>
      <c r="P1389" s="8">
        <v>6.4509999999999996</v>
      </c>
      <c r="Q1389" s="8">
        <v>6.3520000000000003</v>
      </c>
      <c r="R1389" s="8">
        <v>5.6719999999999997</v>
      </c>
      <c r="S1389" s="8">
        <v>3.7589999999999999</v>
      </c>
      <c r="T1389" s="8">
        <v>3.3370000000000002</v>
      </c>
      <c r="U1389" s="8">
        <v>2.464</v>
      </c>
      <c r="V1389" s="8">
        <v>1.333</v>
      </c>
      <c r="W1389" s="8">
        <v>1.0640000000000001</v>
      </c>
      <c r="X1389" s="8">
        <v>0.59699999999999998</v>
      </c>
      <c r="Y1389" s="8">
        <v>0.28100000000000003</v>
      </c>
      <c r="Z1389" s="8">
        <v>8.8999999999999996E-2</v>
      </c>
      <c r="AA1389" s="8">
        <v>1.6E-2</v>
      </c>
      <c r="AB1389" s="8">
        <v>2E-3</v>
      </c>
      <c r="AC1389" s="8">
        <v>0</v>
      </c>
    </row>
    <row r="1390" spans="1:29" ht="11.65" hidden="1" x14ac:dyDescent="0.35">
      <c r="A1390" s="12">
        <v>1373</v>
      </c>
      <c r="B1390" s="10" t="s">
        <v>1015</v>
      </c>
      <c r="C1390" s="11" t="s">
        <v>1115</v>
      </c>
      <c r="D1390" s="9"/>
      <c r="E1390" s="9">
        <v>48</v>
      </c>
      <c r="F1390" s="10" t="s">
        <v>1066</v>
      </c>
      <c r="G1390" s="9">
        <v>922</v>
      </c>
      <c r="H1390" s="9">
        <v>1985</v>
      </c>
      <c r="I1390" s="8">
        <v>28.472000000000001</v>
      </c>
      <c r="J1390" s="8">
        <v>21.873999999999999</v>
      </c>
      <c r="K1390" s="8">
        <v>18.335999999999999</v>
      </c>
      <c r="L1390" s="8">
        <v>14.869</v>
      </c>
      <c r="M1390" s="8">
        <v>17.178000000000001</v>
      </c>
      <c r="N1390" s="8">
        <v>20.379000000000001</v>
      </c>
      <c r="O1390" s="8">
        <v>17.765000000000001</v>
      </c>
      <c r="P1390" s="8">
        <v>12.340999999999999</v>
      </c>
      <c r="Q1390" s="8">
        <v>7.0860000000000003</v>
      </c>
      <c r="R1390" s="8">
        <v>5.3959999999999999</v>
      </c>
      <c r="S1390" s="8">
        <v>4.4400000000000004</v>
      </c>
      <c r="T1390" s="8">
        <v>3.6760000000000002</v>
      </c>
      <c r="U1390" s="8">
        <v>2.8730000000000002</v>
      </c>
      <c r="V1390" s="8">
        <v>1.78</v>
      </c>
      <c r="W1390" s="8">
        <v>1.2809999999999999</v>
      </c>
      <c r="X1390" s="8">
        <v>1.298</v>
      </c>
      <c r="Y1390" s="8">
        <v>0.53100000000000003</v>
      </c>
      <c r="Z1390" s="8">
        <v>0.114</v>
      </c>
      <c r="AA1390" s="8">
        <v>2.3E-2</v>
      </c>
      <c r="AB1390" s="8">
        <v>2E-3</v>
      </c>
      <c r="AC1390" s="8">
        <v>0</v>
      </c>
    </row>
    <row r="1391" spans="1:29" ht="11.65" hidden="1" x14ac:dyDescent="0.35">
      <c r="A1391" s="12">
        <v>1374</v>
      </c>
      <c r="B1391" s="10" t="s">
        <v>1015</v>
      </c>
      <c r="C1391" s="11" t="s">
        <v>1115</v>
      </c>
      <c r="D1391" s="9"/>
      <c r="E1391" s="9">
        <v>48</v>
      </c>
      <c r="F1391" s="10" t="s">
        <v>1066</v>
      </c>
      <c r="G1391" s="9">
        <v>922</v>
      </c>
      <c r="H1391" s="9">
        <v>1990</v>
      </c>
      <c r="I1391" s="8">
        <v>32.113999999999997</v>
      </c>
      <c r="J1391" s="8">
        <v>25.664000000000001</v>
      </c>
      <c r="K1391" s="8">
        <v>21.016999999999999</v>
      </c>
      <c r="L1391" s="8">
        <v>18.38</v>
      </c>
      <c r="M1391" s="8">
        <v>20.099</v>
      </c>
      <c r="N1391" s="8">
        <v>23.286000000000001</v>
      </c>
      <c r="O1391" s="8">
        <v>21.552</v>
      </c>
      <c r="P1391" s="8">
        <v>15.324</v>
      </c>
      <c r="Q1391" s="8">
        <v>8.1080000000000005</v>
      </c>
      <c r="R1391" s="8">
        <v>6.1929999999999996</v>
      </c>
      <c r="S1391" s="8">
        <v>5.617</v>
      </c>
      <c r="T1391" s="8">
        <v>3.867</v>
      </c>
      <c r="U1391" s="8">
        <v>3.6030000000000002</v>
      </c>
      <c r="V1391" s="8">
        <v>2.0059999999999998</v>
      </c>
      <c r="W1391" s="8">
        <v>1.4810000000000001</v>
      </c>
      <c r="X1391" s="8">
        <v>0.71299999999999997</v>
      </c>
      <c r="Y1391" s="8">
        <v>0.47199999999999998</v>
      </c>
      <c r="Z1391" s="8">
        <v>0.22600000000000001</v>
      </c>
      <c r="AA1391" s="8">
        <v>3.3000000000000002E-2</v>
      </c>
      <c r="AB1391" s="8">
        <v>4.0000000000000001E-3</v>
      </c>
      <c r="AC1391" s="8">
        <v>0</v>
      </c>
    </row>
    <row r="1392" spans="1:29" ht="11.65" hidden="1" x14ac:dyDescent="0.35">
      <c r="A1392" s="12">
        <v>1375</v>
      </c>
      <c r="B1392" s="10" t="s">
        <v>1015</v>
      </c>
      <c r="C1392" s="11" t="s">
        <v>1115</v>
      </c>
      <c r="D1392" s="9"/>
      <c r="E1392" s="9">
        <v>48</v>
      </c>
      <c r="F1392" s="10" t="s">
        <v>1066</v>
      </c>
      <c r="G1392" s="9">
        <v>922</v>
      </c>
      <c r="H1392" s="9">
        <v>1995</v>
      </c>
      <c r="I1392" s="8">
        <v>29.806999999999999</v>
      </c>
      <c r="J1392" s="8">
        <v>28.085999999999999</v>
      </c>
      <c r="K1392" s="8">
        <v>25.38</v>
      </c>
      <c r="L1392" s="8">
        <v>20.248999999999999</v>
      </c>
      <c r="M1392" s="8">
        <v>23.527999999999999</v>
      </c>
      <c r="N1392" s="8">
        <v>25.053000000000001</v>
      </c>
      <c r="O1392" s="8">
        <v>24.117999999999999</v>
      </c>
      <c r="P1392" s="8">
        <v>20.015999999999998</v>
      </c>
      <c r="Q1392" s="8">
        <v>12.326000000000001</v>
      </c>
      <c r="R1392" s="8">
        <v>9.18</v>
      </c>
      <c r="S1392" s="8">
        <v>6.0819999999999999</v>
      </c>
      <c r="T1392" s="8">
        <v>4.4939999999999998</v>
      </c>
      <c r="U1392" s="8">
        <v>4.09</v>
      </c>
      <c r="V1392" s="8">
        <v>2.4449999999999998</v>
      </c>
      <c r="W1392" s="8">
        <v>1.9590000000000001</v>
      </c>
      <c r="X1392" s="8">
        <v>1.0129999999999999</v>
      </c>
      <c r="Y1392" s="8">
        <v>0.45200000000000001</v>
      </c>
      <c r="Z1392" s="8">
        <v>0.44800000000000001</v>
      </c>
      <c r="AA1392" s="8">
        <v>6.9000000000000006E-2</v>
      </c>
      <c r="AB1392" s="8">
        <v>6.0000000000000001E-3</v>
      </c>
      <c r="AC1392" s="8">
        <v>0</v>
      </c>
    </row>
    <row r="1393" spans="1:29" ht="11.65" hidden="1" x14ac:dyDescent="0.35">
      <c r="A1393" s="12">
        <v>1376</v>
      </c>
      <c r="B1393" s="10" t="s">
        <v>1015</v>
      </c>
      <c r="C1393" s="11" t="s">
        <v>1115</v>
      </c>
      <c r="D1393" s="9"/>
      <c r="E1393" s="9">
        <v>48</v>
      </c>
      <c r="F1393" s="10" t="s">
        <v>1066</v>
      </c>
      <c r="G1393" s="9">
        <v>922</v>
      </c>
      <c r="H1393" s="9">
        <v>2000</v>
      </c>
      <c r="I1393" s="8">
        <v>35.796999999999997</v>
      </c>
      <c r="J1393" s="8">
        <v>33.24</v>
      </c>
      <c r="K1393" s="8">
        <v>27.550999999999998</v>
      </c>
      <c r="L1393" s="8">
        <v>25.350999999999999</v>
      </c>
      <c r="M1393" s="8">
        <v>25.617000000000001</v>
      </c>
      <c r="N1393" s="8">
        <v>26.588000000000001</v>
      </c>
      <c r="O1393" s="8">
        <v>26.675000000000001</v>
      </c>
      <c r="P1393" s="8">
        <v>25.609000000000002</v>
      </c>
      <c r="Q1393" s="8">
        <v>20.445</v>
      </c>
      <c r="R1393" s="8">
        <v>12.178000000000001</v>
      </c>
      <c r="S1393" s="8">
        <v>6.3849999999999998</v>
      </c>
      <c r="T1393" s="8">
        <v>5.4139999999999997</v>
      </c>
      <c r="U1393" s="8">
        <v>4.5709999999999997</v>
      </c>
      <c r="V1393" s="8">
        <v>2.8719999999999999</v>
      </c>
      <c r="W1393" s="8">
        <v>2.698</v>
      </c>
      <c r="X1393" s="8">
        <v>1.0900000000000001</v>
      </c>
      <c r="Y1393" s="8">
        <v>0.70199999999999996</v>
      </c>
      <c r="Z1393" s="8">
        <v>0.44</v>
      </c>
      <c r="AA1393" s="8">
        <v>0.14599999999999999</v>
      </c>
      <c r="AB1393" s="8">
        <v>1.4999999999999999E-2</v>
      </c>
      <c r="AC1393" s="8">
        <v>1E-3</v>
      </c>
    </row>
    <row r="1394" spans="1:29" ht="11.65" hidden="1" x14ac:dyDescent="0.35">
      <c r="A1394" s="12">
        <v>1377</v>
      </c>
      <c r="B1394" s="10" t="s">
        <v>1015</v>
      </c>
      <c r="C1394" s="11" t="s">
        <v>1115</v>
      </c>
      <c r="D1394" s="9"/>
      <c r="E1394" s="9">
        <v>48</v>
      </c>
      <c r="F1394" s="10" t="s">
        <v>1066</v>
      </c>
      <c r="G1394" s="9">
        <v>922</v>
      </c>
      <c r="H1394" s="9">
        <v>2005</v>
      </c>
      <c r="I1394" s="8">
        <v>39.491</v>
      </c>
      <c r="J1394" s="8">
        <v>37.725999999999999</v>
      </c>
      <c r="K1394" s="8">
        <v>32.206000000000003</v>
      </c>
      <c r="L1394" s="8">
        <v>29.773</v>
      </c>
      <c r="M1394" s="8">
        <v>35.052</v>
      </c>
      <c r="N1394" s="8">
        <v>36.555999999999997</v>
      </c>
      <c r="O1394" s="8">
        <v>36.765000000000001</v>
      </c>
      <c r="P1394" s="8">
        <v>30.582000000000001</v>
      </c>
      <c r="Q1394" s="8">
        <v>23.998999999999999</v>
      </c>
      <c r="R1394" s="8">
        <v>19.559000000000001</v>
      </c>
      <c r="S1394" s="8">
        <v>12.031000000000001</v>
      </c>
      <c r="T1394" s="8">
        <v>6.2270000000000003</v>
      </c>
      <c r="U1394" s="8">
        <v>5.157</v>
      </c>
      <c r="V1394" s="8">
        <v>4.1849999999999996</v>
      </c>
      <c r="W1394" s="8">
        <v>2.4489999999999998</v>
      </c>
      <c r="X1394" s="8">
        <v>2.0459999999999998</v>
      </c>
      <c r="Y1394" s="8">
        <v>0.68700000000000006</v>
      </c>
      <c r="Z1394" s="8">
        <v>0.34</v>
      </c>
      <c r="AA1394" s="8">
        <v>0.151</v>
      </c>
      <c r="AB1394" s="8">
        <v>3.3000000000000002E-2</v>
      </c>
      <c r="AC1394" s="8">
        <v>2E-3</v>
      </c>
    </row>
    <row r="1395" spans="1:29" ht="11.65" hidden="1" x14ac:dyDescent="0.35">
      <c r="A1395" s="12">
        <v>1378</v>
      </c>
      <c r="B1395" s="10" t="s">
        <v>1015</v>
      </c>
      <c r="C1395" s="11" t="s">
        <v>1115</v>
      </c>
      <c r="D1395" s="9"/>
      <c r="E1395" s="9">
        <v>48</v>
      </c>
      <c r="F1395" s="10" t="s">
        <v>1066</v>
      </c>
      <c r="G1395" s="9">
        <v>922</v>
      </c>
      <c r="H1395" s="9">
        <v>2010</v>
      </c>
      <c r="I1395" s="8">
        <v>44.911000000000001</v>
      </c>
      <c r="J1395" s="8">
        <v>40.673000000000002</v>
      </c>
      <c r="K1395" s="8">
        <v>37.448</v>
      </c>
      <c r="L1395" s="8">
        <v>35.427999999999997</v>
      </c>
      <c r="M1395" s="8">
        <v>44.466000000000001</v>
      </c>
      <c r="N1395" s="8">
        <v>56.969000000000001</v>
      </c>
      <c r="O1395" s="8">
        <v>48.454999999999998</v>
      </c>
      <c r="P1395" s="8">
        <v>41.412999999999997</v>
      </c>
      <c r="Q1395" s="8">
        <v>35.936999999999998</v>
      </c>
      <c r="R1395" s="8">
        <v>27.847999999999999</v>
      </c>
      <c r="S1395" s="8">
        <v>22.084</v>
      </c>
      <c r="T1395" s="8">
        <v>11.538</v>
      </c>
      <c r="U1395" s="8">
        <v>6.4509999999999996</v>
      </c>
      <c r="V1395" s="8">
        <v>5.226</v>
      </c>
      <c r="W1395" s="8">
        <v>4.0590000000000002</v>
      </c>
      <c r="X1395" s="8">
        <v>2.0779999999999998</v>
      </c>
      <c r="Y1395" s="8">
        <v>1.3220000000000001</v>
      </c>
      <c r="Z1395" s="8">
        <v>0.34599999999999997</v>
      </c>
      <c r="AA1395" s="8">
        <v>0.123</v>
      </c>
      <c r="AB1395" s="8">
        <v>3.4000000000000002E-2</v>
      </c>
      <c r="AC1395" s="8">
        <v>4.0000000000000001E-3</v>
      </c>
    </row>
    <row r="1396" spans="1:29" ht="11.65" hidden="1" x14ac:dyDescent="0.35">
      <c r="A1396" s="12">
        <v>1379</v>
      </c>
      <c r="B1396" s="10" t="s">
        <v>1015</v>
      </c>
      <c r="C1396" s="11" t="s">
        <v>1115</v>
      </c>
      <c r="D1396" s="9"/>
      <c r="E1396" s="9">
        <v>48</v>
      </c>
      <c r="F1396" s="10" t="s">
        <v>1066</v>
      </c>
      <c r="G1396" s="9">
        <v>922</v>
      </c>
      <c r="H1396" s="9">
        <v>2015</v>
      </c>
      <c r="I1396" s="8">
        <v>51.639000000000003</v>
      </c>
      <c r="J1396" s="8">
        <v>47.097000000000001</v>
      </c>
      <c r="K1396" s="8">
        <v>40.395000000000003</v>
      </c>
      <c r="L1396" s="8">
        <v>35.917000000000002</v>
      </c>
      <c r="M1396" s="8">
        <v>42.125</v>
      </c>
      <c r="N1396" s="8">
        <v>55.378999999999998</v>
      </c>
      <c r="O1396" s="8">
        <v>60.348999999999997</v>
      </c>
      <c r="P1396" s="8">
        <v>48.83</v>
      </c>
      <c r="Q1396" s="8">
        <v>39.246000000000002</v>
      </c>
      <c r="R1396" s="8">
        <v>33.250999999999998</v>
      </c>
      <c r="S1396" s="8">
        <v>27.081</v>
      </c>
      <c r="T1396" s="8">
        <v>18.933</v>
      </c>
      <c r="U1396" s="8">
        <v>9.6300000000000008</v>
      </c>
      <c r="V1396" s="8">
        <v>5.49</v>
      </c>
      <c r="W1396" s="8">
        <v>4.3209999999999997</v>
      </c>
      <c r="X1396" s="8">
        <v>3.18</v>
      </c>
      <c r="Y1396" s="8">
        <v>1.381</v>
      </c>
      <c r="Z1396" s="8">
        <v>0.68899999999999995</v>
      </c>
      <c r="AA1396" s="8">
        <v>0.129</v>
      </c>
      <c r="AB1396" s="8">
        <v>0.03</v>
      </c>
      <c r="AC1396" s="8">
        <v>5.0000000000000001E-3</v>
      </c>
    </row>
    <row r="1397" spans="1:29" ht="11.65" hidden="1" x14ac:dyDescent="0.35">
      <c r="A1397" s="12">
        <v>1380</v>
      </c>
      <c r="B1397" s="10" t="s">
        <v>1015</v>
      </c>
      <c r="C1397" s="11" t="s">
        <v>1115</v>
      </c>
      <c r="D1397" s="9"/>
      <c r="E1397" s="9">
        <v>48</v>
      </c>
      <c r="F1397" s="10" t="s">
        <v>1066</v>
      </c>
      <c r="G1397" s="9">
        <v>922</v>
      </c>
      <c r="H1397" s="9">
        <v>2020</v>
      </c>
      <c r="I1397" s="8">
        <v>53.445999999999998</v>
      </c>
      <c r="J1397" s="8">
        <v>51.578000000000003</v>
      </c>
      <c r="K1397" s="8">
        <v>46.820999999999998</v>
      </c>
      <c r="L1397" s="8">
        <v>40.363999999999997</v>
      </c>
      <c r="M1397" s="8">
        <v>38.868000000000002</v>
      </c>
      <c r="N1397" s="8">
        <v>68.555000000000007</v>
      </c>
      <c r="O1397" s="8">
        <v>73.236999999999995</v>
      </c>
      <c r="P1397" s="8">
        <v>54.216000000000001</v>
      </c>
      <c r="Q1397" s="8">
        <v>47.006999999999998</v>
      </c>
      <c r="R1397" s="8">
        <v>34.994999999999997</v>
      </c>
      <c r="S1397" s="8">
        <v>29.193999999999999</v>
      </c>
      <c r="T1397" s="8">
        <v>24.933</v>
      </c>
      <c r="U1397" s="8">
        <v>17.463999999999999</v>
      </c>
      <c r="V1397" s="8">
        <v>8.9429999999999996</v>
      </c>
      <c r="W1397" s="8">
        <v>4.8170000000000002</v>
      </c>
      <c r="X1397" s="8">
        <v>3.4449999999999998</v>
      </c>
      <c r="Y1397" s="8">
        <v>2.1680000000000001</v>
      </c>
      <c r="Z1397" s="8">
        <v>0.746</v>
      </c>
      <c r="AA1397" s="8">
        <v>0.27200000000000002</v>
      </c>
      <c r="AB1397" s="8">
        <v>3.5000000000000003E-2</v>
      </c>
      <c r="AC1397" s="8">
        <v>5.0000000000000001E-3</v>
      </c>
    </row>
    <row r="1398" spans="1:29" ht="11.65" hidden="1" x14ac:dyDescent="0.35">
      <c r="A1398" s="12">
        <v>1381</v>
      </c>
      <c r="B1398" s="10" t="s">
        <v>1015</v>
      </c>
      <c r="C1398" s="11" t="s">
        <v>1116</v>
      </c>
      <c r="D1398" s="9">
        <v>5</v>
      </c>
      <c r="E1398" s="9">
        <v>196</v>
      </c>
      <c r="F1398" s="10" t="s">
        <v>1066</v>
      </c>
      <c r="G1398" s="9">
        <v>922</v>
      </c>
      <c r="H1398" s="9">
        <v>1950</v>
      </c>
      <c r="I1398" s="8">
        <v>32.32</v>
      </c>
      <c r="J1398" s="8">
        <v>26.109000000000002</v>
      </c>
      <c r="K1398" s="8">
        <v>24.87</v>
      </c>
      <c r="L1398" s="8">
        <v>22.87</v>
      </c>
      <c r="M1398" s="8">
        <v>21.88</v>
      </c>
      <c r="N1398" s="8">
        <v>19.331</v>
      </c>
      <c r="O1398" s="8">
        <v>17.221</v>
      </c>
      <c r="P1398" s="8">
        <v>15.849</v>
      </c>
      <c r="Q1398" s="8">
        <v>14.56</v>
      </c>
      <c r="R1398" s="8">
        <v>12.32</v>
      </c>
      <c r="S1398" s="8">
        <v>11.340999999999999</v>
      </c>
      <c r="T1398" s="8">
        <v>8.6289999999999996</v>
      </c>
      <c r="U1398" s="8">
        <v>7.7610000000000001</v>
      </c>
      <c r="V1398" s="8">
        <v>6.0410000000000004</v>
      </c>
      <c r="W1398" s="8">
        <v>4.8849999999999998</v>
      </c>
      <c r="X1398" s="8">
        <v>2.786</v>
      </c>
      <c r="Y1398" s="8">
        <v>1.1040000000000001</v>
      </c>
      <c r="Z1398" s="8">
        <v>0.41499999999999998</v>
      </c>
      <c r="AA1398" s="8">
        <v>8.1000000000000003E-2</v>
      </c>
      <c r="AB1398" s="8">
        <v>6.0000000000000001E-3</v>
      </c>
      <c r="AC1398" s="8">
        <v>0</v>
      </c>
    </row>
    <row r="1399" spans="1:29" ht="11.65" hidden="1" x14ac:dyDescent="0.35">
      <c r="A1399" s="12">
        <v>1382</v>
      </c>
      <c r="B1399" s="10" t="s">
        <v>1015</v>
      </c>
      <c r="C1399" s="11" t="s">
        <v>1116</v>
      </c>
      <c r="D1399" s="9">
        <v>5</v>
      </c>
      <c r="E1399" s="9">
        <v>196</v>
      </c>
      <c r="F1399" s="10" t="s">
        <v>1066</v>
      </c>
      <c r="G1399" s="9">
        <v>922</v>
      </c>
      <c r="H1399" s="9">
        <v>1955</v>
      </c>
      <c r="I1399" s="8">
        <v>31.622</v>
      </c>
      <c r="J1399" s="8">
        <v>31.469000000000001</v>
      </c>
      <c r="K1399" s="8">
        <v>25.433</v>
      </c>
      <c r="L1399" s="8">
        <v>23.55</v>
      </c>
      <c r="M1399" s="8">
        <v>21.548999999999999</v>
      </c>
      <c r="N1399" s="8">
        <v>20.943000000000001</v>
      </c>
      <c r="O1399" s="8">
        <v>18.709</v>
      </c>
      <c r="P1399" s="8">
        <v>17.16</v>
      </c>
      <c r="Q1399" s="8">
        <v>15.43</v>
      </c>
      <c r="R1399" s="8">
        <v>14.441000000000001</v>
      </c>
      <c r="S1399" s="8">
        <v>12.041</v>
      </c>
      <c r="T1399" s="8">
        <v>11.131</v>
      </c>
      <c r="U1399" s="8">
        <v>8.4410000000000007</v>
      </c>
      <c r="V1399" s="8">
        <v>7.2009999999999996</v>
      </c>
      <c r="W1399" s="8">
        <v>5.8310000000000004</v>
      </c>
      <c r="X1399" s="8">
        <v>3.3759999999999999</v>
      </c>
      <c r="Y1399" s="8">
        <v>1.571</v>
      </c>
      <c r="Z1399" s="8">
        <v>0.43099999999999999</v>
      </c>
      <c r="AA1399" s="8">
        <v>8.8999999999999996E-2</v>
      </c>
      <c r="AB1399" s="8">
        <v>8.0000000000000002E-3</v>
      </c>
      <c r="AC1399" s="8">
        <v>0</v>
      </c>
    </row>
    <row r="1400" spans="1:29" ht="11.65" hidden="1" x14ac:dyDescent="0.35">
      <c r="A1400" s="12">
        <v>1383</v>
      </c>
      <c r="B1400" s="10" t="s">
        <v>1015</v>
      </c>
      <c r="C1400" s="11" t="s">
        <v>1116</v>
      </c>
      <c r="D1400" s="9">
        <v>5</v>
      </c>
      <c r="E1400" s="9">
        <v>196</v>
      </c>
      <c r="F1400" s="10" t="s">
        <v>1066</v>
      </c>
      <c r="G1400" s="9">
        <v>922</v>
      </c>
      <c r="H1400" s="9">
        <v>1960</v>
      </c>
      <c r="I1400" s="8">
        <v>36.938000000000002</v>
      </c>
      <c r="J1400" s="8">
        <v>33.165999999999997</v>
      </c>
      <c r="K1400" s="8">
        <v>32.768999999999998</v>
      </c>
      <c r="L1400" s="8">
        <v>24.170999999999999</v>
      </c>
      <c r="M1400" s="8">
        <v>24.428999999999998</v>
      </c>
      <c r="N1400" s="8">
        <v>20.422000000000001</v>
      </c>
      <c r="O1400" s="8">
        <v>20.341999999999999</v>
      </c>
      <c r="P1400" s="8">
        <v>15.318</v>
      </c>
      <c r="Q1400" s="8">
        <v>17.190000000000001</v>
      </c>
      <c r="R1400" s="8">
        <v>13.571</v>
      </c>
      <c r="S1400" s="8">
        <v>15.24</v>
      </c>
      <c r="T1400" s="8">
        <v>9.09</v>
      </c>
      <c r="U1400" s="8">
        <v>11.42</v>
      </c>
      <c r="V1400" s="8">
        <v>5.2610000000000001</v>
      </c>
      <c r="W1400" s="8">
        <v>6.194</v>
      </c>
      <c r="X1400" s="8">
        <v>3.5790000000000002</v>
      </c>
      <c r="Y1400" s="8">
        <v>1.4159999999999999</v>
      </c>
      <c r="Z1400" s="8">
        <v>0.64100000000000001</v>
      </c>
      <c r="AA1400" s="8">
        <v>0.1</v>
      </c>
      <c r="AB1400" s="8">
        <v>8.9999999999999993E-3</v>
      </c>
      <c r="AC1400" s="8">
        <v>0</v>
      </c>
    </row>
    <row r="1401" spans="1:29" ht="11.65" hidden="1" x14ac:dyDescent="0.35">
      <c r="A1401" s="12">
        <v>1384</v>
      </c>
      <c r="B1401" s="10" t="s">
        <v>1015</v>
      </c>
      <c r="C1401" s="11" t="s">
        <v>1116</v>
      </c>
      <c r="D1401" s="9">
        <v>5</v>
      </c>
      <c r="E1401" s="9">
        <v>196</v>
      </c>
      <c r="F1401" s="10" t="s">
        <v>1066</v>
      </c>
      <c r="G1401" s="9">
        <v>922</v>
      </c>
      <c r="H1401" s="9">
        <v>1965</v>
      </c>
      <c r="I1401" s="8">
        <v>34.15</v>
      </c>
      <c r="J1401" s="8">
        <v>32.317</v>
      </c>
      <c r="K1401" s="8">
        <v>31.812000000000001</v>
      </c>
      <c r="L1401" s="8">
        <v>29.465</v>
      </c>
      <c r="M1401" s="8">
        <v>23.48</v>
      </c>
      <c r="N1401" s="8">
        <v>21.012</v>
      </c>
      <c r="O1401" s="8">
        <v>19.399000000000001</v>
      </c>
      <c r="P1401" s="8">
        <v>17.600999999999999</v>
      </c>
      <c r="Q1401" s="8">
        <v>15.798</v>
      </c>
      <c r="R1401" s="8">
        <v>13.4</v>
      </c>
      <c r="S1401" s="8">
        <v>14.602</v>
      </c>
      <c r="T1401" s="8">
        <v>11.500999999999999</v>
      </c>
      <c r="U1401" s="8">
        <v>11.1</v>
      </c>
      <c r="V1401" s="8">
        <v>6.9009999999999998</v>
      </c>
      <c r="W1401" s="8">
        <v>6.8049999999999997</v>
      </c>
      <c r="X1401" s="8">
        <v>3.9769999999999999</v>
      </c>
      <c r="Y1401" s="8">
        <v>1.76</v>
      </c>
      <c r="Z1401" s="8">
        <v>0.60499999999999998</v>
      </c>
      <c r="AA1401" s="8">
        <v>0.159</v>
      </c>
      <c r="AB1401" s="8">
        <v>1.2E-2</v>
      </c>
      <c r="AC1401" s="8">
        <v>1E-3</v>
      </c>
    </row>
    <row r="1402" spans="1:29" ht="11.65" hidden="1" x14ac:dyDescent="0.35">
      <c r="A1402" s="12">
        <v>1385</v>
      </c>
      <c r="B1402" s="10" t="s">
        <v>1015</v>
      </c>
      <c r="C1402" s="11" t="s">
        <v>1116</v>
      </c>
      <c r="D1402" s="9">
        <v>5</v>
      </c>
      <c r="E1402" s="9">
        <v>196</v>
      </c>
      <c r="F1402" s="10" t="s">
        <v>1066</v>
      </c>
      <c r="G1402" s="9">
        <v>922</v>
      </c>
      <c r="H1402" s="9">
        <v>1970</v>
      </c>
      <c r="I1402" s="8">
        <v>28.463000000000001</v>
      </c>
      <c r="J1402" s="8">
        <v>30.954999999999998</v>
      </c>
      <c r="K1402" s="8">
        <v>32.536000000000001</v>
      </c>
      <c r="L1402" s="8">
        <v>28.48</v>
      </c>
      <c r="M1402" s="8">
        <v>25.38</v>
      </c>
      <c r="N1402" s="8">
        <v>21.327999999999999</v>
      </c>
      <c r="O1402" s="8">
        <v>19.326000000000001</v>
      </c>
      <c r="P1402" s="8">
        <v>18.297999999999998</v>
      </c>
      <c r="Q1402" s="8">
        <v>17.282</v>
      </c>
      <c r="R1402" s="8">
        <v>15.246</v>
      </c>
      <c r="S1402" s="8">
        <v>13.215</v>
      </c>
      <c r="T1402" s="8">
        <v>14.231999999999999</v>
      </c>
      <c r="U1402" s="8">
        <v>12.198</v>
      </c>
      <c r="V1402" s="8">
        <v>11.183</v>
      </c>
      <c r="W1402" s="8">
        <v>9.1539999999999999</v>
      </c>
      <c r="X1402" s="8">
        <v>7.09</v>
      </c>
      <c r="Y1402" s="8">
        <v>5.0510000000000002</v>
      </c>
      <c r="Z1402" s="8">
        <v>0.78800000000000003</v>
      </c>
      <c r="AA1402" s="8">
        <v>0.16</v>
      </c>
      <c r="AB1402" s="8">
        <v>2.1000000000000001E-2</v>
      </c>
      <c r="AC1402" s="8">
        <v>1E-3</v>
      </c>
    </row>
    <row r="1403" spans="1:29" ht="11.65" hidden="1" x14ac:dyDescent="0.35">
      <c r="A1403" s="12">
        <v>1386</v>
      </c>
      <c r="B1403" s="10" t="s">
        <v>1015</v>
      </c>
      <c r="C1403" s="11" t="s">
        <v>1116</v>
      </c>
      <c r="D1403" s="9">
        <v>5</v>
      </c>
      <c r="E1403" s="9">
        <v>196</v>
      </c>
      <c r="F1403" s="10" t="s">
        <v>1066</v>
      </c>
      <c r="G1403" s="9">
        <v>922</v>
      </c>
      <c r="H1403" s="9">
        <v>1975</v>
      </c>
      <c r="I1403" s="8">
        <v>28.725000000000001</v>
      </c>
      <c r="J1403" s="8">
        <v>28.920999999999999</v>
      </c>
      <c r="K1403" s="8">
        <v>29.664000000000001</v>
      </c>
      <c r="L1403" s="8">
        <v>29.091999999999999</v>
      </c>
      <c r="M1403" s="8">
        <v>29.248999999999999</v>
      </c>
      <c r="N1403" s="8">
        <v>25.245000000000001</v>
      </c>
      <c r="O1403" s="8">
        <v>22.669</v>
      </c>
      <c r="P1403" s="8">
        <v>20.756</v>
      </c>
      <c r="Q1403" s="8">
        <v>18.545999999999999</v>
      </c>
      <c r="R1403" s="8">
        <v>16.428999999999998</v>
      </c>
      <c r="S1403" s="8">
        <v>14.898999999999999</v>
      </c>
      <c r="T1403" s="8">
        <v>14.257999999999999</v>
      </c>
      <c r="U1403" s="8">
        <v>12.821</v>
      </c>
      <c r="V1403" s="8">
        <v>11.445</v>
      </c>
      <c r="W1403" s="8">
        <v>9.4920000000000009</v>
      </c>
      <c r="X1403" s="8">
        <v>6.8579999999999997</v>
      </c>
      <c r="Y1403" s="8">
        <v>3.7839999999999998</v>
      </c>
      <c r="Z1403" s="8">
        <v>2.3530000000000002</v>
      </c>
      <c r="AA1403" s="8">
        <v>0.221</v>
      </c>
      <c r="AB1403" s="8">
        <v>2.3E-2</v>
      </c>
      <c r="AC1403" s="8">
        <v>1E-3</v>
      </c>
    </row>
    <row r="1404" spans="1:29" ht="11.65" hidden="1" x14ac:dyDescent="0.35">
      <c r="A1404" s="12">
        <v>1387</v>
      </c>
      <c r="B1404" s="10" t="s">
        <v>1015</v>
      </c>
      <c r="C1404" s="11" t="s">
        <v>1116</v>
      </c>
      <c r="D1404" s="9">
        <v>5</v>
      </c>
      <c r="E1404" s="9">
        <v>196</v>
      </c>
      <c r="F1404" s="10" t="s">
        <v>1066</v>
      </c>
      <c r="G1404" s="9">
        <v>922</v>
      </c>
      <c r="H1404" s="9">
        <v>1980</v>
      </c>
      <c r="I1404" s="8">
        <v>28.981999999999999</v>
      </c>
      <c r="J1404" s="8">
        <v>26.327000000000002</v>
      </c>
      <c r="K1404" s="8">
        <v>27.917000000000002</v>
      </c>
      <c r="L1404" s="8">
        <v>29.138999999999999</v>
      </c>
      <c r="M1404" s="8">
        <v>33.058999999999997</v>
      </c>
      <c r="N1404" s="8">
        <v>29.231000000000002</v>
      </c>
      <c r="O1404" s="8">
        <v>26.027999999999999</v>
      </c>
      <c r="P1404" s="8">
        <v>23.170999999999999</v>
      </c>
      <c r="Q1404" s="8">
        <v>19.824000000000002</v>
      </c>
      <c r="R1404" s="8">
        <v>17.609000000000002</v>
      </c>
      <c r="S1404" s="8">
        <v>16.585999999999999</v>
      </c>
      <c r="T1404" s="8">
        <v>14.287000000000001</v>
      </c>
      <c r="U1404" s="8">
        <v>13.445</v>
      </c>
      <c r="V1404" s="8">
        <v>11.709</v>
      </c>
      <c r="W1404" s="8">
        <v>9.82</v>
      </c>
      <c r="X1404" s="8">
        <v>6.6369999999999996</v>
      </c>
      <c r="Y1404" s="8">
        <v>3.9319999999999999</v>
      </c>
      <c r="Z1404" s="8">
        <v>1.8360000000000001</v>
      </c>
      <c r="AA1404" s="8">
        <v>0.70199999999999996</v>
      </c>
      <c r="AB1404" s="8">
        <v>3.4000000000000002E-2</v>
      </c>
      <c r="AC1404" s="8">
        <v>2E-3</v>
      </c>
    </row>
    <row r="1405" spans="1:29" ht="11.65" hidden="1" x14ac:dyDescent="0.35">
      <c r="A1405" s="12">
        <v>1388</v>
      </c>
      <c r="B1405" s="10" t="s">
        <v>1015</v>
      </c>
      <c r="C1405" s="11" t="s">
        <v>1116</v>
      </c>
      <c r="D1405" s="9">
        <v>5</v>
      </c>
      <c r="E1405" s="9">
        <v>196</v>
      </c>
      <c r="F1405" s="10" t="s">
        <v>1066</v>
      </c>
      <c r="G1405" s="9">
        <v>922</v>
      </c>
      <c r="H1405" s="9">
        <v>1985</v>
      </c>
      <c r="I1405" s="8">
        <v>30.995000000000001</v>
      </c>
      <c r="J1405" s="8">
        <v>26.974</v>
      </c>
      <c r="K1405" s="8">
        <v>26.957999999999998</v>
      </c>
      <c r="L1405" s="8">
        <v>27.704999999999998</v>
      </c>
      <c r="M1405" s="8">
        <v>31.669</v>
      </c>
      <c r="N1405" s="8">
        <v>29.155000000000001</v>
      </c>
      <c r="O1405" s="8">
        <v>27.463999999999999</v>
      </c>
      <c r="P1405" s="8">
        <v>24.181000000000001</v>
      </c>
      <c r="Q1405" s="8">
        <v>21.202999999999999</v>
      </c>
      <c r="R1405" s="8">
        <v>18.783999999999999</v>
      </c>
      <c r="S1405" s="8">
        <v>16.98</v>
      </c>
      <c r="T1405" s="8">
        <v>14.994999999999999</v>
      </c>
      <c r="U1405" s="8">
        <v>13.478</v>
      </c>
      <c r="V1405" s="8">
        <v>12.388999999999999</v>
      </c>
      <c r="W1405" s="8">
        <v>10.677</v>
      </c>
      <c r="X1405" s="8">
        <v>7.3570000000000002</v>
      </c>
      <c r="Y1405" s="8">
        <v>4.5830000000000002</v>
      </c>
      <c r="Z1405" s="8">
        <v>1.984</v>
      </c>
      <c r="AA1405" s="8">
        <v>0.58499999999999996</v>
      </c>
      <c r="AB1405" s="8">
        <v>0.11799999999999999</v>
      </c>
      <c r="AC1405" s="8">
        <v>3.0000000000000001E-3</v>
      </c>
    </row>
    <row r="1406" spans="1:29" ht="11.65" hidden="1" x14ac:dyDescent="0.35">
      <c r="A1406" s="12">
        <v>1389</v>
      </c>
      <c r="B1406" s="10" t="s">
        <v>1015</v>
      </c>
      <c r="C1406" s="11" t="s">
        <v>1116</v>
      </c>
      <c r="D1406" s="9">
        <v>5</v>
      </c>
      <c r="E1406" s="9">
        <v>196</v>
      </c>
      <c r="F1406" s="10" t="s">
        <v>1066</v>
      </c>
      <c r="G1406" s="9">
        <v>922</v>
      </c>
      <c r="H1406" s="9">
        <v>1990</v>
      </c>
      <c r="I1406" s="8">
        <v>33.817999999999998</v>
      </c>
      <c r="J1406" s="8">
        <v>31.942</v>
      </c>
      <c r="K1406" s="8">
        <v>28.591000000000001</v>
      </c>
      <c r="L1406" s="8">
        <v>27.532</v>
      </c>
      <c r="M1406" s="8">
        <v>31.765000000000001</v>
      </c>
      <c r="N1406" s="8">
        <v>30.195</v>
      </c>
      <c r="O1406" s="8">
        <v>30.013999999999999</v>
      </c>
      <c r="P1406" s="8">
        <v>26.541</v>
      </c>
      <c r="Q1406" s="8">
        <v>24.332999999999998</v>
      </c>
      <c r="R1406" s="8">
        <v>21.66</v>
      </c>
      <c r="S1406" s="8">
        <v>18.504000000000001</v>
      </c>
      <c r="T1406" s="8">
        <v>16.504000000000001</v>
      </c>
      <c r="U1406" s="8">
        <v>15.04</v>
      </c>
      <c r="V1406" s="8">
        <v>13.218999999999999</v>
      </c>
      <c r="W1406" s="8">
        <v>10.787000000000001</v>
      </c>
      <c r="X1406" s="8">
        <v>8.3000000000000007</v>
      </c>
      <c r="Y1406" s="8">
        <v>6.05</v>
      </c>
      <c r="Z1406" s="8">
        <v>2.4020000000000001</v>
      </c>
      <c r="AA1406" s="8">
        <v>0.67100000000000004</v>
      </c>
      <c r="AB1406" s="8">
        <v>0.107</v>
      </c>
      <c r="AC1406" s="8">
        <v>0.01</v>
      </c>
    </row>
    <row r="1407" spans="1:29" ht="11.65" hidden="1" x14ac:dyDescent="0.35">
      <c r="A1407" s="12">
        <v>1390</v>
      </c>
      <c r="B1407" s="10" t="s">
        <v>1015</v>
      </c>
      <c r="C1407" s="11" t="s">
        <v>1116</v>
      </c>
      <c r="D1407" s="9">
        <v>5</v>
      </c>
      <c r="E1407" s="9">
        <v>196</v>
      </c>
      <c r="F1407" s="10" t="s">
        <v>1066</v>
      </c>
      <c r="G1407" s="9">
        <v>922</v>
      </c>
      <c r="H1407" s="9">
        <v>1995</v>
      </c>
      <c r="I1407" s="8">
        <v>34.838999999999999</v>
      </c>
      <c r="J1407" s="8">
        <v>33.701000000000001</v>
      </c>
      <c r="K1407" s="8">
        <v>32.561999999999998</v>
      </c>
      <c r="L1407" s="8">
        <v>31.073</v>
      </c>
      <c r="M1407" s="8">
        <v>34.027000000000001</v>
      </c>
      <c r="N1407" s="8">
        <v>33.450000000000003</v>
      </c>
      <c r="O1407" s="8">
        <v>32.872999999999998</v>
      </c>
      <c r="P1407" s="8">
        <v>31.266999999999999</v>
      </c>
      <c r="Q1407" s="8">
        <v>28.231999999999999</v>
      </c>
      <c r="R1407" s="8">
        <v>25.87</v>
      </c>
      <c r="S1407" s="8">
        <v>22.071000000000002</v>
      </c>
      <c r="T1407" s="8">
        <v>18.994</v>
      </c>
      <c r="U1407" s="8">
        <v>16.914999999999999</v>
      </c>
      <c r="V1407" s="8">
        <v>14.994999999999999</v>
      </c>
      <c r="W1407" s="8">
        <v>11.981999999999999</v>
      </c>
      <c r="X1407" s="8">
        <v>9.0709999999999997</v>
      </c>
      <c r="Y1407" s="8">
        <v>7.383</v>
      </c>
      <c r="Z1407" s="8">
        <v>3.2869999999999999</v>
      </c>
      <c r="AA1407" s="8">
        <v>0.86</v>
      </c>
      <c r="AB1407" s="8">
        <v>0.13500000000000001</v>
      </c>
      <c r="AC1407" s="8">
        <v>1.0999999999999999E-2</v>
      </c>
    </row>
    <row r="1408" spans="1:29" ht="11.65" hidden="1" x14ac:dyDescent="0.35">
      <c r="A1408" s="12">
        <v>1391</v>
      </c>
      <c r="B1408" s="10" t="s">
        <v>1015</v>
      </c>
      <c r="C1408" s="11" t="s">
        <v>1116</v>
      </c>
      <c r="D1408" s="9">
        <v>5</v>
      </c>
      <c r="E1408" s="9">
        <v>196</v>
      </c>
      <c r="F1408" s="10" t="s">
        <v>1066</v>
      </c>
      <c r="G1408" s="9">
        <v>922</v>
      </c>
      <c r="H1408" s="9">
        <v>2000</v>
      </c>
      <c r="I1408" s="8">
        <v>33.07</v>
      </c>
      <c r="J1408" s="8">
        <v>35.383000000000003</v>
      </c>
      <c r="K1408" s="8">
        <v>34.116999999999997</v>
      </c>
      <c r="L1408" s="8">
        <v>36.896999999999998</v>
      </c>
      <c r="M1408" s="8">
        <v>38.982999999999997</v>
      </c>
      <c r="N1408" s="8">
        <v>36.634</v>
      </c>
      <c r="O1408" s="8">
        <v>34.820999999999998</v>
      </c>
      <c r="P1408" s="8">
        <v>34.207000000000001</v>
      </c>
      <c r="Q1408" s="8">
        <v>32.707999999999998</v>
      </c>
      <c r="R1408" s="8">
        <v>29.384</v>
      </c>
      <c r="S1408" s="8">
        <v>26.332000000000001</v>
      </c>
      <c r="T1408" s="8">
        <v>23.018000000000001</v>
      </c>
      <c r="U1408" s="8">
        <v>18.652000000000001</v>
      </c>
      <c r="V1408" s="8">
        <v>16.494</v>
      </c>
      <c r="W1408" s="8">
        <v>13.933</v>
      </c>
      <c r="X1408" s="8">
        <v>10.249000000000001</v>
      </c>
      <c r="Y1408" s="8">
        <v>7.3849999999999998</v>
      </c>
      <c r="Z1408" s="8">
        <v>4.1479999999999997</v>
      </c>
      <c r="AA1408" s="8">
        <v>1.244</v>
      </c>
      <c r="AB1408" s="8">
        <v>0.187</v>
      </c>
      <c r="AC1408" s="8">
        <v>1.4999999999999999E-2</v>
      </c>
    </row>
    <row r="1409" spans="1:29" ht="11.65" hidden="1" x14ac:dyDescent="0.35">
      <c r="A1409" s="12">
        <v>1392</v>
      </c>
      <c r="B1409" s="10" t="s">
        <v>1015</v>
      </c>
      <c r="C1409" s="11" t="s">
        <v>1116</v>
      </c>
      <c r="D1409" s="9">
        <v>5</v>
      </c>
      <c r="E1409" s="9">
        <v>196</v>
      </c>
      <c r="F1409" s="10" t="s">
        <v>1066</v>
      </c>
      <c r="G1409" s="9">
        <v>922</v>
      </c>
      <c r="H1409" s="9">
        <v>2005</v>
      </c>
      <c r="I1409" s="8">
        <v>29.733000000000001</v>
      </c>
      <c r="J1409" s="8">
        <v>33.701999999999998</v>
      </c>
      <c r="K1409" s="8">
        <v>36.268999999999998</v>
      </c>
      <c r="L1409" s="8">
        <v>38.228999999999999</v>
      </c>
      <c r="M1409" s="8">
        <v>43.628999999999998</v>
      </c>
      <c r="N1409" s="8">
        <v>40.542999999999999</v>
      </c>
      <c r="O1409" s="8">
        <v>37.590000000000003</v>
      </c>
      <c r="P1409" s="8">
        <v>35.904000000000003</v>
      </c>
      <c r="Q1409" s="8">
        <v>35.776000000000003</v>
      </c>
      <c r="R1409" s="8">
        <v>34.975999999999999</v>
      </c>
      <c r="S1409" s="8">
        <v>30.396000000000001</v>
      </c>
      <c r="T1409" s="8">
        <v>27.364999999999998</v>
      </c>
      <c r="U1409" s="8">
        <v>22.045000000000002</v>
      </c>
      <c r="V1409" s="8">
        <v>19.175999999999998</v>
      </c>
      <c r="W1409" s="8">
        <v>15.433999999999999</v>
      </c>
      <c r="X1409" s="8">
        <v>12.157</v>
      </c>
      <c r="Y1409" s="8">
        <v>8.0060000000000002</v>
      </c>
      <c r="Z1409" s="8">
        <v>4.2859999999999996</v>
      </c>
      <c r="AA1409" s="8">
        <v>1.655</v>
      </c>
      <c r="AB1409" s="8">
        <v>0.28999999999999998</v>
      </c>
      <c r="AC1409" s="8">
        <v>2.1999999999999999E-2</v>
      </c>
    </row>
    <row r="1410" spans="1:29" ht="11.65" hidden="1" x14ac:dyDescent="0.35">
      <c r="A1410" s="12">
        <v>1393</v>
      </c>
      <c r="B1410" s="10" t="s">
        <v>1015</v>
      </c>
      <c r="C1410" s="11" t="s">
        <v>1116</v>
      </c>
      <c r="D1410" s="9">
        <v>5</v>
      </c>
      <c r="E1410" s="9">
        <v>196</v>
      </c>
      <c r="F1410" s="10" t="s">
        <v>1066</v>
      </c>
      <c r="G1410" s="9">
        <v>922</v>
      </c>
      <c r="H1410" s="9">
        <v>2010</v>
      </c>
      <c r="I1410" s="8">
        <v>30.946999999999999</v>
      </c>
      <c r="J1410" s="8">
        <v>30.919</v>
      </c>
      <c r="K1410" s="8">
        <v>34.328000000000003</v>
      </c>
      <c r="L1410" s="8">
        <v>42.115000000000002</v>
      </c>
      <c r="M1410" s="8">
        <v>48.073</v>
      </c>
      <c r="N1410" s="8">
        <v>44.624000000000002</v>
      </c>
      <c r="O1410" s="8">
        <v>45.697000000000003</v>
      </c>
      <c r="P1410" s="8">
        <v>42.908000000000001</v>
      </c>
      <c r="Q1410" s="8">
        <v>39.927</v>
      </c>
      <c r="R1410" s="8">
        <v>36.649000000000001</v>
      </c>
      <c r="S1410" s="8">
        <v>34.558999999999997</v>
      </c>
      <c r="T1410" s="8">
        <v>29.945</v>
      </c>
      <c r="U1410" s="8">
        <v>26.581</v>
      </c>
      <c r="V1410" s="8">
        <v>21.481999999999999</v>
      </c>
      <c r="W1410" s="8">
        <v>17.855</v>
      </c>
      <c r="X1410" s="8">
        <v>13.481</v>
      </c>
      <c r="Y1410" s="8">
        <v>9.8979999999999997</v>
      </c>
      <c r="Z1410" s="8">
        <v>4.79</v>
      </c>
      <c r="AA1410" s="8">
        <v>1.8009999999999999</v>
      </c>
      <c r="AB1410" s="8">
        <v>0.41799999999999998</v>
      </c>
      <c r="AC1410" s="8">
        <v>3.7999999999999999E-2</v>
      </c>
    </row>
    <row r="1411" spans="1:29" ht="11.65" hidden="1" x14ac:dyDescent="0.35">
      <c r="A1411" s="12">
        <v>1394</v>
      </c>
      <c r="B1411" s="10" t="s">
        <v>1015</v>
      </c>
      <c r="C1411" s="11" t="s">
        <v>1116</v>
      </c>
      <c r="D1411" s="9">
        <v>5</v>
      </c>
      <c r="E1411" s="9">
        <v>196</v>
      </c>
      <c r="F1411" s="10" t="s">
        <v>1066</v>
      </c>
      <c r="G1411" s="9">
        <v>922</v>
      </c>
      <c r="H1411" s="9">
        <v>2015</v>
      </c>
      <c r="I1411" s="8">
        <v>31.957000000000001</v>
      </c>
      <c r="J1411" s="8">
        <v>31.667000000000002</v>
      </c>
      <c r="K1411" s="8">
        <v>31.279</v>
      </c>
      <c r="L1411" s="8">
        <v>37.857999999999997</v>
      </c>
      <c r="M1411" s="8">
        <v>49.662999999999997</v>
      </c>
      <c r="N1411" s="8">
        <v>49.7</v>
      </c>
      <c r="O1411" s="8">
        <v>47.835000000000001</v>
      </c>
      <c r="P1411" s="8">
        <v>44.058</v>
      </c>
      <c r="Q1411" s="8">
        <v>39.677</v>
      </c>
      <c r="R1411" s="8">
        <v>38.103000000000002</v>
      </c>
      <c r="S1411" s="8">
        <v>34.796999999999997</v>
      </c>
      <c r="T1411" s="8">
        <v>32.920999999999999</v>
      </c>
      <c r="U1411" s="8">
        <v>28.442</v>
      </c>
      <c r="V1411" s="8">
        <v>25.710999999999999</v>
      </c>
      <c r="W1411" s="8">
        <v>20.114999999999998</v>
      </c>
      <c r="X1411" s="8">
        <v>15.747999999999999</v>
      </c>
      <c r="Y1411" s="8">
        <v>11.092000000000001</v>
      </c>
      <c r="Z1411" s="8">
        <v>6.2309999999999999</v>
      </c>
      <c r="AA1411" s="8">
        <v>2.1739999999999999</v>
      </c>
      <c r="AB1411" s="8">
        <v>0.502</v>
      </c>
      <c r="AC1411" s="8">
        <v>6.2E-2</v>
      </c>
    </row>
    <row r="1412" spans="1:29" ht="11.65" hidden="1" x14ac:dyDescent="0.35">
      <c r="A1412" s="12">
        <v>1395</v>
      </c>
      <c r="B1412" s="10" t="s">
        <v>1015</v>
      </c>
      <c r="C1412" s="11" t="s">
        <v>1116</v>
      </c>
      <c r="D1412" s="9">
        <v>5</v>
      </c>
      <c r="E1412" s="9">
        <v>196</v>
      </c>
      <c r="F1412" s="10" t="s">
        <v>1066</v>
      </c>
      <c r="G1412" s="9">
        <v>922</v>
      </c>
      <c r="H1412" s="9">
        <v>2020</v>
      </c>
      <c r="I1412" s="8">
        <v>31.431000000000001</v>
      </c>
      <c r="J1412" s="8">
        <v>32.814999999999998</v>
      </c>
      <c r="K1412" s="8">
        <v>32.838000000000001</v>
      </c>
      <c r="L1412" s="8">
        <v>35.463999999999999</v>
      </c>
      <c r="M1412" s="8">
        <v>43.848999999999997</v>
      </c>
      <c r="N1412" s="8">
        <v>46.448</v>
      </c>
      <c r="O1412" s="8">
        <v>46.569000000000003</v>
      </c>
      <c r="P1412" s="8">
        <v>46.631</v>
      </c>
      <c r="Q1412" s="8">
        <v>44.923999999999999</v>
      </c>
      <c r="R1412" s="8">
        <v>40.375</v>
      </c>
      <c r="S1412" s="8">
        <v>38.863999999999997</v>
      </c>
      <c r="T1412" s="8">
        <v>35.537999999999997</v>
      </c>
      <c r="U1412" s="8">
        <v>33.494</v>
      </c>
      <c r="V1412" s="8">
        <v>28.359000000000002</v>
      </c>
      <c r="W1412" s="8">
        <v>24.216000000000001</v>
      </c>
      <c r="X1412" s="8">
        <v>17.951000000000001</v>
      </c>
      <c r="Y1412" s="8">
        <v>13.204000000000001</v>
      </c>
      <c r="Z1412" s="8">
        <v>7.1980000000000004</v>
      </c>
      <c r="AA1412" s="8">
        <v>2.9569999999999999</v>
      </c>
      <c r="AB1412" s="8">
        <v>0.64100000000000001</v>
      </c>
      <c r="AC1412" s="8">
        <v>8.1000000000000003E-2</v>
      </c>
    </row>
    <row r="1413" spans="1:29" ht="11.65" hidden="1" x14ac:dyDescent="0.35">
      <c r="A1413" s="12">
        <v>1396</v>
      </c>
      <c r="B1413" s="10" t="s">
        <v>1015</v>
      </c>
      <c r="C1413" s="11" t="s">
        <v>1117</v>
      </c>
      <c r="D1413" s="9">
        <v>6</v>
      </c>
      <c r="E1413" s="9">
        <v>268</v>
      </c>
      <c r="F1413" s="10" t="s">
        <v>1066</v>
      </c>
      <c r="G1413" s="9">
        <v>922</v>
      </c>
      <c r="H1413" s="9">
        <v>1950</v>
      </c>
      <c r="I1413" s="8">
        <v>145.78700000000001</v>
      </c>
      <c r="J1413" s="8">
        <v>143.137</v>
      </c>
      <c r="K1413" s="8">
        <v>204.196</v>
      </c>
      <c r="L1413" s="8">
        <v>169.55</v>
      </c>
      <c r="M1413" s="8">
        <v>184.316</v>
      </c>
      <c r="N1413" s="8">
        <v>128.65100000000001</v>
      </c>
      <c r="O1413" s="8">
        <v>102.524</v>
      </c>
      <c r="P1413" s="8">
        <v>142.47200000000001</v>
      </c>
      <c r="Q1413" s="8">
        <v>121.07899999999999</v>
      </c>
      <c r="R1413" s="8">
        <v>106.68899999999999</v>
      </c>
      <c r="S1413" s="8">
        <v>79.709999999999994</v>
      </c>
      <c r="T1413" s="8">
        <v>69.959000000000003</v>
      </c>
      <c r="U1413" s="8">
        <v>88.608000000000004</v>
      </c>
      <c r="V1413" s="8">
        <v>78.194999999999993</v>
      </c>
      <c r="W1413" s="8">
        <v>59.923000000000002</v>
      </c>
      <c r="X1413" s="8">
        <v>40.045000000000002</v>
      </c>
      <c r="Y1413" s="8">
        <v>20.542999999999999</v>
      </c>
      <c r="Z1413" s="8">
        <v>9.0190000000000001</v>
      </c>
      <c r="AA1413" s="8">
        <v>2.7709999999999999</v>
      </c>
      <c r="AB1413" s="8">
        <v>0.54700000000000004</v>
      </c>
      <c r="AC1413" s="8">
        <v>6.8000000000000005E-2</v>
      </c>
    </row>
    <row r="1414" spans="1:29" ht="11.65" hidden="1" x14ac:dyDescent="0.35">
      <c r="A1414" s="12">
        <v>1397</v>
      </c>
      <c r="B1414" s="10" t="s">
        <v>1015</v>
      </c>
      <c r="C1414" s="11" t="s">
        <v>1117</v>
      </c>
      <c r="D1414" s="9">
        <v>6</v>
      </c>
      <c r="E1414" s="9">
        <v>268</v>
      </c>
      <c r="F1414" s="10" t="s">
        <v>1066</v>
      </c>
      <c r="G1414" s="9">
        <v>922</v>
      </c>
      <c r="H1414" s="9">
        <v>1955</v>
      </c>
      <c r="I1414" s="8">
        <v>187.155</v>
      </c>
      <c r="J1414" s="8">
        <v>147.77600000000001</v>
      </c>
      <c r="K1414" s="8">
        <v>144.63900000000001</v>
      </c>
      <c r="L1414" s="8">
        <v>205.054</v>
      </c>
      <c r="M1414" s="8">
        <v>170.58600000000001</v>
      </c>
      <c r="N1414" s="8">
        <v>184.98599999999999</v>
      </c>
      <c r="O1414" s="8">
        <v>129.798</v>
      </c>
      <c r="P1414" s="8">
        <v>102.691</v>
      </c>
      <c r="Q1414" s="8">
        <v>140.76900000000001</v>
      </c>
      <c r="R1414" s="8">
        <v>119.221</v>
      </c>
      <c r="S1414" s="8">
        <v>104.17100000000001</v>
      </c>
      <c r="T1414" s="8">
        <v>76.692999999999998</v>
      </c>
      <c r="U1414" s="8">
        <v>65.221999999999994</v>
      </c>
      <c r="V1414" s="8">
        <v>77.747</v>
      </c>
      <c r="W1414" s="8">
        <v>62.713999999999999</v>
      </c>
      <c r="X1414" s="8">
        <v>41.524000000000001</v>
      </c>
      <c r="Y1414" s="8">
        <v>21.623999999999999</v>
      </c>
      <c r="Z1414" s="8">
        <v>7.431</v>
      </c>
      <c r="AA1414" s="8">
        <v>1.8819999999999999</v>
      </c>
      <c r="AB1414" s="8">
        <v>0.29299999999999998</v>
      </c>
      <c r="AC1414" s="8">
        <v>3.1E-2</v>
      </c>
    </row>
    <row r="1415" spans="1:29" ht="11.65" hidden="1" x14ac:dyDescent="0.35">
      <c r="A1415" s="12">
        <v>1398</v>
      </c>
      <c r="B1415" s="10" t="s">
        <v>1015</v>
      </c>
      <c r="C1415" s="11" t="s">
        <v>1117</v>
      </c>
      <c r="D1415" s="9">
        <v>6</v>
      </c>
      <c r="E1415" s="9">
        <v>268</v>
      </c>
      <c r="F1415" s="10" t="s">
        <v>1066</v>
      </c>
      <c r="G1415" s="9">
        <v>922</v>
      </c>
      <c r="H1415" s="9">
        <v>1960</v>
      </c>
      <c r="I1415" s="8">
        <v>223.20400000000001</v>
      </c>
      <c r="J1415" s="8">
        <v>192.51400000000001</v>
      </c>
      <c r="K1415" s="8">
        <v>151.49299999999999</v>
      </c>
      <c r="L1415" s="8">
        <v>146.33500000000001</v>
      </c>
      <c r="M1415" s="8">
        <v>205.852</v>
      </c>
      <c r="N1415" s="8">
        <v>172.01400000000001</v>
      </c>
      <c r="O1415" s="8">
        <v>186.042</v>
      </c>
      <c r="P1415" s="8">
        <v>131.25899999999999</v>
      </c>
      <c r="Q1415" s="8">
        <v>102.97</v>
      </c>
      <c r="R1415" s="8">
        <v>138.874</v>
      </c>
      <c r="S1415" s="8">
        <v>117.02</v>
      </c>
      <c r="T1415" s="8">
        <v>100.86499999999999</v>
      </c>
      <c r="U1415" s="8">
        <v>72.265000000000001</v>
      </c>
      <c r="V1415" s="8">
        <v>58.427999999999997</v>
      </c>
      <c r="W1415" s="8">
        <v>63.387999999999998</v>
      </c>
      <c r="X1415" s="8">
        <v>44.279000000000003</v>
      </c>
      <c r="Y1415" s="8">
        <v>23.431000000000001</v>
      </c>
      <c r="Z1415" s="8">
        <v>8.4</v>
      </c>
      <c r="AA1415" s="8">
        <v>1.71</v>
      </c>
      <c r="AB1415" s="8">
        <v>0.22500000000000001</v>
      </c>
      <c r="AC1415" s="8">
        <v>1.9E-2</v>
      </c>
    </row>
    <row r="1416" spans="1:29" ht="11.65" hidden="1" x14ac:dyDescent="0.35">
      <c r="A1416" s="12">
        <v>1399</v>
      </c>
      <c r="B1416" s="10" t="s">
        <v>1015</v>
      </c>
      <c r="C1416" s="11" t="s">
        <v>1117</v>
      </c>
      <c r="D1416" s="9">
        <v>6</v>
      </c>
      <c r="E1416" s="9">
        <v>268</v>
      </c>
      <c r="F1416" s="10" t="s">
        <v>1066</v>
      </c>
      <c r="G1416" s="9">
        <v>922</v>
      </c>
      <c r="H1416" s="9">
        <v>1965</v>
      </c>
      <c r="I1416" s="8">
        <v>239.78800000000001</v>
      </c>
      <c r="J1416" s="8">
        <v>232.077</v>
      </c>
      <c r="K1416" s="8">
        <v>199.423</v>
      </c>
      <c r="L1416" s="8">
        <v>156.52099999999999</v>
      </c>
      <c r="M1416" s="8">
        <v>147.886</v>
      </c>
      <c r="N1416" s="8">
        <v>206.78399999999999</v>
      </c>
      <c r="O1416" s="8">
        <v>173.52799999999999</v>
      </c>
      <c r="P1416" s="8">
        <v>187.13399999999999</v>
      </c>
      <c r="Q1416" s="8">
        <v>132.62799999999999</v>
      </c>
      <c r="R1416" s="8">
        <v>103.041</v>
      </c>
      <c r="S1416" s="8">
        <v>136.494</v>
      </c>
      <c r="T1416" s="8">
        <v>113.898</v>
      </c>
      <c r="U1416" s="8">
        <v>95.742999999999995</v>
      </c>
      <c r="V1416" s="8">
        <v>65.623999999999995</v>
      </c>
      <c r="W1416" s="8">
        <v>49.024999999999999</v>
      </c>
      <c r="X1416" s="8">
        <v>45.927999999999997</v>
      </c>
      <c r="Y1416" s="8">
        <v>25.731000000000002</v>
      </c>
      <c r="Z1416" s="8">
        <v>9.6940000000000008</v>
      </c>
      <c r="AA1416" s="8">
        <v>2.1379999999999999</v>
      </c>
      <c r="AB1416" s="8">
        <v>0.23400000000000001</v>
      </c>
      <c r="AC1416" s="8">
        <v>1.7000000000000001E-2</v>
      </c>
    </row>
    <row r="1417" spans="1:29" ht="11.65" hidden="1" x14ac:dyDescent="0.35">
      <c r="A1417" s="12">
        <v>1400</v>
      </c>
      <c r="B1417" s="10" t="s">
        <v>1015</v>
      </c>
      <c r="C1417" s="11" t="s">
        <v>1117</v>
      </c>
      <c r="D1417" s="9">
        <v>6</v>
      </c>
      <c r="E1417" s="9">
        <v>268</v>
      </c>
      <c r="F1417" s="10" t="s">
        <v>1066</v>
      </c>
      <c r="G1417" s="9">
        <v>922</v>
      </c>
      <c r="H1417" s="9">
        <v>1970</v>
      </c>
      <c r="I1417" s="8">
        <v>223.524</v>
      </c>
      <c r="J1417" s="8">
        <v>246.19399999999999</v>
      </c>
      <c r="K1417" s="8">
        <v>240.23699999999999</v>
      </c>
      <c r="L1417" s="8">
        <v>204.887</v>
      </c>
      <c r="M1417" s="8">
        <v>160.34399999999999</v>
      </c>
      <c r="N1417" s="8">
        <v>149.03200000000001</v>
      </c>
      <c r="O1417" s="8">
        <v>207.31800000000001</v>
      </c>
      <c r="P1417" s="8">
        <v>174.46199999999999</v>
      </c>
      <c r="Q1417" s="8">
        <v>187.50200000000001</v>
      </c>
      <c r="R1417" s="8">
        <v>133.11799999999999</v>
      </c>
      <c r="S1417" s="8">
        <v>102.363</v>
      </c>
      <c r="T1417" s="8">
        <v>132.904</v>
      </c>
      <c r="U1417" s="8">
        <v>108.667</v>
      </c>
      <c r="V1417" s="8">
        <v>87.76</v>
      </c>
      <c r="W1417" s="8">
        <v>56.16</v>
      </c>
      <c r="X1417" s="8">
        <v>37.185000000000002</v>
      </c>
      <c r="Y1417" s="8">
        <v>28.138000000000002</v>
      </c>
      <c r="Z1417" s="8">
        <v>11.535</v>
      </c>
      <c r="AA1417" s="8">
        <v>2.8479999999999999</v>
      </c>
      <c r="AB1417" s="8">
        <v>0.35499999999999998</v>
      </c>
      <c r="AC1417" s="8">
        <v>2.1000000000000001E-2</v>
      </c>
    </row>
    <row r="1418" spans="1:29" ht="11.65" hidden="1" x14ac:dyDescent="0.35">
      <c r="A1418" s="12">
        <v>1401</v>
      </c>
      <c r="B1418" s="10" t="s">
        <v>1015</v>
      </c>
      <c r="C1418" s="11" t="s">
        <v>1117</v>
      </c>
      <c r="D1418" s="9">
        <v>6</v>
      </c>
      <c r="E1418" s="9">
        <v>268</v>
      </c>
      <c r="F1418" s="10" t="s">
        <v>1066</v>
      </c>
      <c r="G1418" s="9">
        <v>922</v>
      </c>
      <c r="H1418" s="9">
        <v>1975</v>
      </c>
      <c r="I1418" s="8">
        <v>209.512</v>
      </c>
      <c r="J1418" s="8">
        <v>220.233</v>
      </c>
      <c r="K1418" s="8">
        <v>240.86</v>
      </c>
      <c r="L1418" s="8">
        <v>231.88399999999999</v>
      </c>
      <c r="M1418" s="8">
        <v>198.54900000000001</v>
      </c>
      <c r="N1418" s="8">
        <v>155.899</v>
      </c>
      <c r="O1418" s="8">
        <v>145.79900000000001</v>
      </c>
      <c r="P1418" s="8">
        <v>204.43</v>
      </c>
      <c r="Q1418" s="8">
        <v>169.14099999999999</v>
      </c>
      <c r="R1418" s="8">
        <v>183.36799999999999</v>
      </c>
      <c r="S1418" s="8">
        <v>133.95099999999999</v>
      </c>
      <c r="T1418" s="8">
        <v>104.491</v>
      </c>
      <c r="U1418" s="8">
        <v>125.355</v>
      </c>
      <c r="V1418" s="8">
        <v>96.203999999999994</v>
      </c>
      <c r="W1418" s="8">
        <v>75.222999999999999</v>
      </c>
      <c r="X1418" s="8">
        <v>43.161000000000001</v>
      </c>
      <c r="Y1418" s="8">
        <v>25.292999999999999</v>
      </c>
      <c r="Z1418" s="8">
        <v>14.3</v>
      </c>
      <c r="AA1418" s="8">
        <v>3.6930000000000001</v>
      </c>
      <c r="AB1418" s="8">
        <v>0.53200000000000003</v>
      </c>
      <c r="AC1418" s="8">
        <v>3.5999999999999997E-2</v>
      </c>
    </row>
    <row r="1419" spans="1:29" ht="11.65" hidden="1" x14ac:dyDescent="0.35">
      <c r="A1419" s="12">
        <v>1402</v>
      </c>
      <c r="B1419" s="10" t="s">
        <v>1015</v>
      </c>
      <c r="C1419" s="11" t="s">
        <v>1117</v>
      </c>
      <c r="D1419" s="9">
        <v>6</v>
      </c>
      <c r="E1419" s="9">
        <v>268</v>
      </c>
      <c r="F1419" s="10" t="s">
        <v>1066</v>
      </c>
      <c r="G1419" s="9">
        <v>922</v>
      </c>
      <c r="H1419" s="9">
        <v>1980</v>
      </c>
      <c r="I1419" s="8">
        <v>208.613</v>
      </c>
      <c r="J1419" s="8">
        <v>205.04400000000001</v>
      </c>
      <c r="K1419" s="8">
        <v>217.68299999999999</v>
      </c>
      <c r="L1419" s="8">
        <v>235.48099999999999</v>
      </c>
      <c r="M1419" s="8">
        <v>223.38200000000001</v>
      </c>
      <c r="N1419" s="8">
        <v>192.23400000000001</v>
      </c>
      <c r="O1419" s="8">
        <v>151.45699999999999</v>
      </c>
      <c r="P1419" s="8">
        <v>142.53399999999999</v>
      </c>
      <c r="Q1419" s="8">
        <v>201.36099999999999</v>
      </c>
      <c r="R1419" s="8">
        <v>163.518</v>
      </c>
      <c r="S1419" s="8">
        <v>178.65</v>
      </c>
      <c r="T1419" s="8">
        <v>133.82400000000001</v>
      </c>
      <c r="U1419" s="8">
        <v>104.92100000000001</v>
      </c>
      <c r="V1419" s="8">
        <v>114.758</v>
      </c>
      <c r="W1419" s="8">
        <v>80.673000000000002</v>
      </c>
      <c r="X1419" s="8">
        <v>59.241999999999997</v>
      </c>
      <c r="Y1419" s="8">
        <v>28.834</v>
      </c>
      <c r="Z1419" s="8">
        <v>12.925000000000001</v>
      </c>
      <c r="AA1419" s="8">
        <v>5.1269999999999998</v>
      </c>
      <c r="AB1419" s="8">
        <v>0.80800000000000005</v>
      </c>
      <c r="AC1419" s="8">
        <v>6.6000000000000003E-2</v>
      </c>
    </row>
    <row r="1420" spans="1:29" ht="11.65" hidden="1" x14ac:dyDescent="0.35">
      <c r="A1420" s="12">
        <v>1403</v>
      </c>
      <c r="B1420" s="10" t="s">
        <v>1015</v>
      </c>
      <c r="C1420" s="11" t="s">
        <v>1117</v>
      </c>
      <c r="D1420" s="9">
        <v>6</v>
      </c>
      <c r="E1420" s="9">
        <v>268</v>
      </c>
      <c r="F1420" s="10" t="s">
        <v>1066</v>
      </c>
      <c r="G1420" s="9">
        <v>922</v>
      </c>
      <c r="H1420" s="9">
        <v>1985</v>
      </c>
      <c r="I1420" s="8">
        <v>222.958</v>
      </c>
      <c r="J1420" s="8">
        <v>207.893</v>
      </c>
      <c r="K1420" s="8">
        <v>202.74199999999999</v>
      </c>
      <c r="L1420" s="8">
        <v>211.298</v>
      </c>
      <c r="M1420" s="8">
        <v>231.767</v>
      </c>
      <c r="N1420" s="8">
        <v>222.803</v>
      </c>
      <c r="O1420" s="8">
        <v>192.33600000000001</v>
      </c>
      <c r="P1420" s="8">
        <v>150.351</v>
      </c>
      <c r="Q1420" s="8">
        <v>139.47399999999999</v>
      </c>
      <c r="R1420" s="8">
        <v>195.98099999999999</v>
      </c>
      <c r="S1420" s="8">
        <v>158.517</v>
      </c>
      <c r="T1420" s="8">
        <v>176.05199999999999</v>
      </c>
      <c r="U1420" s="8">
        <v>127.45</v>
      </c>
      <c r="V1420" s="8">
        <v>94.293999999999997</v>
      </c>
      <c r="W1420" s="8">
        <v>96.406999999999996</v>
      </c>
      <c r="X1420" s="8">
        <v>60.640999999999998</v>
      </c>
      <c r="Y1420" s="8">
        <v>38.613999999999997</v>
      </c>
      <c r="Z1420" s="8">
        <v>14.596</v>
      </c>
      <c r="AA1420" s="8">
        <v>4.5229999999999997</v>
      </c>
      <c r="AB1420" s="8">
        <v>1.081</v>
      </c>
      <c r="AC1420" s="8">
        <v>9.7000000000000003E-2</v>
      </c>
    </row>
    <row r="1421" spans="1:29" ht="11.65" hidden="1" x14ac:dyDescent="0.35">
      <c r="A1421" s="12">
        <v>1404</v>
      </c>
      <c r="B1421" s="10" t="s">
        <v>1015</v>
      </c>
      <c r="C1421" s="11" t="s">
        <v>1117</v>
      </c>
      <c r="D1421" s="9">
        <v>6</v>
      </c>
      <c r="E1421" s="9">
        <v>268</v>
      </c>
      <c r="F1421" s="10" t="s">
        <v>1066</v>
      </c>
      <c r="G1421" s="9">
        <v>922</v>
      </c>
      <c r="H1421" s="9">
        <v>1990</v>
      </c>
      <c r="I1421" s="8">
        <v>224.999</v>
      </c>
      <c r="J1421" s="8">
        <v>222.29499999999999</v>
      </c>
      <c r="K1421" s="8">
        <v>208.57</v>
      </c>
      <c r="L1421" s="8">
        <v>201.24199999999999</v>
      </c>
      <c r="M1421" s="8">
        <v>204.74799999999999</v>
      </c>
      <c r="N1421" s="8">
        <v>227.99700000000001</v>
      </c>
      <c r="O1421" s="8">
        <v>222.13</v>
      </c>
      <c r="P1421" s="8">
        <v>192.29400000000001</v>
      </c>
      <c r="Q1421" s="8">
        <v>149.03299999999999</v>
      </c>
      <c r="R1421" s="8">
        <v>136.072</v>
      </c>
      <c r="S1421" s="8">
        <v>189.821</v>
      </c>
      <c r="T1421" s="8">
        <v>152.35300000000001</v>
      </c>
      <c r="U1421" s="8">
        <v>170.607</v>
      </c>
      <c r="V1421" s="8">
        <v>117.646</v>
      </c>
      <c r="W1421" s="8">
        <v>80.093999999999994</v>
      </c>
      <c r="X1421" s="8">
        <v>73.275000000000006</v>
      </c>
      <c r="Y1421" s="8">
        <v>38.628999999999998</v>
      </c>
      <c r="Z1421" s="8">
        <v>19.957999999999998</v>
      </c>
      <c r="AA1421" s="8">
        <v>5.3529999999999998</v>
      </c>
      <c r="AB1421" s="8">
        <v>1.0129999999999999</v>
      </c>
      <c r="AC1421" s="8">
        <v>0.13900000000000001</v>
      </c>
    </row>
    <row r="1422" spans="1:29" ht="11.65" hidden="1" x14ac:dyDescent="0.35">
      <c r="A1422" s="12">
        <v>1405</v>
      </c>
      <c r="B1422" s="10" t="s">
        <v>1015</v>
      </c>
      <c r="C1422" s="11" t="s">
        <v>1117</v>
      </c>
      <c r="D1422" s="9">
        <v>6</v>
      </c>
      <c r="E1422" s="9">
        <v>268</v>
      </c>
      <c r="F1422" s="10" t="s">
        <v>1066</v>
      </c>
      <c r="G1422" s="9">
        <v>922</v>
      </c>
      <c r="H1422" s="9">
        <v>1995</v>
      </c>
      <c r="I1422" s="8">
        <v>163.34399999999999</v>
      </c>
      <c r="J1422" s="8">
        <v>175.77600000000001</v>
      </c>
      <c r="K1422" s="8">
        <v>204.21899999999999</v>
      </c>
      <c r="L1422" s="8">
        <v>197.45500000000001</v>
      </c>
      <c r="M1422" s="8">
        <v>184.99700000000001</v>
      </c>
      <c r="N1422" s="8">
        <v>203.48599999999999</v>
      </c>
      <c r="O1422" s="8">
        <v>188.92</v>
      </c>
      <c r="P1422" s="8">
        <v>178.029</v>
      </c>
      <c r="Q1422" s="8">
        <v>174.59399999999999</v>
      </c>
      <c r="R1422" s="8">
        <v>160.46899999999999</v>
      </c>
      <c r="S1422" s="8">
        <v>163.41900000000001</v>
      </c>
      <c r="T1422" s="8">
        <v>119.777</v>
      </c>
      <c r="U1422" s="8">
        <v>146.27500000000001</v>
      </c>
      <c r="V1422" s="8">
        <v>142.06800000000001</v>
      </c>
      <c r="W1422" s="8">
        <v>72.787999999999997</v>
      </c>
      <c r="X1422" s="8">
        <v>88.004999999999995</v>
      </c>
      <c r="Y1422" s="8">
        <v>34.152999999999999</v>
      </c>
      <c r="Z1422" s="8">
        <v>14.407</v>
      </c>
      <c r="AA1422" s="8">
        <v>7.3029999999999999</v>
      </c>
      <c r="AB1422" s="8">
        <v>1.204</v>
      </c>
      <c r="AC1422" s="8">
        <v>0.13800000000000001</v>
      </c>
    </row>
    <row r="1423" spans="1:29" ht="11.65" hidden="1" x14ac:dyDescent="0.35">
      <c r="A1423" s="12">
        <v>1406</v>
      </c>
      <c r="B1423" s="10" t="s">
        <v>1015</v>
      </c>
      <c r="C1423" s="11" t="s">
        <v>1117</v>
      </c>
      <c r="D1423" s="9">
        <v>6</v>
      </c>
      <c r="E1423" s="9">
        <v>268</v>
      </c>
      <c r="F1423" s="10" t="s">
        <v>1066</v>
      </c>
      <c r="G1423" s="9">
        <v>922</v>
      </c>
      <c r="H1423" s="9">
        <v>2000</v>
      </c>
      <c r="I1423" s="8">
        <v>121.172</v>
      </c>
      <c r="J1423" s="8">
        <v>139.46100000000001</v>
      </c>
      <c r="K1423" s="8">
        <v>171.84200000000001</v>
      </c>
      <c r="L1423" s="8">
        <v>171.59899999999999</v>
      </c>
      <c r="M1423" s="8">
        <v>161.822</v>
      </c>
      <c r="N1423" s="8">
        <v>159.95699999999999</v>
      </c>
      <c r="O1423" s="8">
        <v>153.76900000000001</v>
      </c>
      <c r="P1423" s="8">
        <v>173.732</v>
      </c>
      <c r="Q1423" s="8">
        <v>171.90899999999999</v>
      </c>
      <c r="R1423" s="8">
        <v>152.86199999999999</v>
      </c>
      <c r="S1423" s="8">
        <v>140.357</v>
      </c>
      <c r="T1423" s="8">
        <v>84.837999999999994</v>
      </c>
      <c r="U1423" s="8">
        <v>142.27600000000001</v>
      </c>
      <c r="V1423" s="8">
        <v>116.03400000000001</v>
      </c>
      <c r="W1423" s="8">
        <v>96.831000000000003</v>
      </c>
      <c r="X1423" s="8">
        <v>79.043999999999997</v>
      </c>
      <c r="Y1423" s="8">
        <v>33.613999999999997</v>
      </c>
      <c r="Z1423" s="8">
        <v>12.289</v>
      </c>
      <c r="AA1423" s="8">
        <v>4.899</v>
      </c>
      <c r="AB1423" s="8">
        <v>1.498</v>
      </c>
      <c r="AC1423" s="8">
        <v>0.14000000000000001</v>
      </c>
    </row>
    <row r="1424" spans="1:29" ht="11.65" hidden="1" x14ac:dyDescent="0.35">
      <c r="A1424" s="12">
        <v>1407</v>
      </c>
      <c r="B1424" s="10" t="s">
        <v>1015</v>
      </c>
      <c r="C1424" s="11" t="s">
        <v>1117</v>
      </c>
      <c r="D1424" s="9">
        <v>6</v>
      </c>
      <c r="E1424" s="9">
        <v>268</v>
      </c>
      <c r="F1424" s="10" t="s">
        <v>1066</v>
      </c>
      <c r="G1424" s="9">
        <v>922</v>
      </c>
      <c r="H1424" s="9">
        <v>2005</v>
      </c>
      <c r="I1424" s="8">
        <v>109.251</v>
      </c>
      <c r="J1424" s="8">
        <v>119.61199999999999</v>
      </c>
      <c r="K1424" s="8">
        <v>148.929</v>
      </c>
      <c r="L1424" s="8">
        <v>164.239</v>
      </c>
      <c r="M1424" s="8">
        <v>158.77199999999999</v>
      </c>
      <c r="N1424" s="8">
        <v>150.483</v>
      </c>
      <c r="O1424" s="8">
        <v>147.91800000000001</v>
      </c>
      <c r="P1424" s="8">
        <v>151.196</v>
      </c>
      <c r="Q1424" s="8">
        <v>170.173</v>
      </c>
      <c r="R1424" s="8">
        <v>162.298</v>
      </c>
      <c r="S1424" s="8">
        <v>143.98400000000001</v>
      </c>
      <c r="T1424" s="8">
        <v>113.61799999999999</v>
      </c>
      <c r="U1424" s="8">
        <v>93.492999999999995</v>
      </c>
      <c r="V1424" s="8">
        <v>131.67400000000001</v>
      </c>
      <c r="W1424" s="8">
        <v>93.055999999999997</v>
      </c>
      <c r="X1424" s="8">
        <v>84.655000000000001</v>
      </c>
      <c r="Y1424" s="8">
        <v>41.673999999999999</v>
      </c>
      <c r="Z1424" s="8">
        <v>13.316000000000001</v>
      </c>
      <c r="AA1424" s="8">
        <v>3.9729999999999999</v>
      </c>
      <c r="AB1424" s="8">
        <v>0.92200000000000004</v>
      </c>
      <c r="AC1424" s="8">
        <v>0.152</v>
      </c>
    </row>
    <row r="1425" spans="1:29" ht="11.65" hidden="1" x14ac:dyDescent="0.35">
      <c r="A1425" s="12">
        <v>1408</v>
      </c>
      <c r="B1425" s="10" t="s">
        <v>1015</v>
      </c>
      <c r="C1425" s="11" t="s">
        <v>1117</v>
      </c>
      <c r="D1425" s="9">
        <v>6</v>
      </c>
      <c r="E1425" s="9">
        <v>268</v>
      </c>
      <c r="F1425" s="10" t="s">
        <v>1066</v>
      </c>
      <c r="G1425" s="9">
        <v>922</v>
      </c>
      <c r="H1425" s="9">
        <v>2010</v>
      </c>
      <c r="I1425" s="8">
        <v>123.97199999999999</v>
      </c>
      <c r="J1425" s="8">
        <v>105.48699999999999</v>
      </c>
      <c r="K1425" s="8">
        <v>116.82599999999999</v>
      </c>
      <c r="L1425" s="8">
        <v>144.39400000000001</v>
      </c>
      <c r="M1425" s="8">
        <v>157.04300000000001</v>
      </c>
      <c r="N1425" s="8">
        <v>149.68799999999999</v>
      </c>
      <c r="O1425" s="8">
        <v>143.93799999999999</v>
      </c>
      <c r="P1425" s="8">
        <v>140.881</v>
      </c>
      <c r="Q1425" s="8">
        <v>140.93700000000001</v>
      </c>
      <c r="R1425" s="8">
        <v>162.958</v>
      </c>
      <c r="S1425" s="8">
        <v>153.10400000000001</v>
      </c>
      <c r="T1425" s="8">
        <v>137.005</v>
      </c>
      <c r="U1425" s="8">
        <v>108.496</v>
      </c>
      <c r="V1425" s="8">
        <v>85.85</v>
      </c>
      <c r="W1425" s="8">
        <v>117</v>
      </c>
      <c r="X1425" s="8">
        <v>74.182000000000002</v>
      </c>
      <c r="Y1425" s="8">
        <v>56.424999999999997</v>
      </c>
      <c r="Z1425" s="8">
        <v>21.812000000000001</v>
      </c>
      <c r="AA1425" s="8">
        <v>5.0140000000000002</v>
      </c>
      <c r="AB1425" s="8">
        <v>0.94</v>
      </c>
      <c r="AC1425" s="8">
        <v>0.13400000000000001</v>
      </c>
    </row>
    <row r="1426" spans="1:29" ht="11.65" hidden="1" x14ac:dyDescent="0.35">
      <c r="A1426" s="12">
        <v>1409</v>
      </c>
      <c r="B1426" s="10" t="s">
        <v>1015</v>
      </c>
      <c r="C1426" s="11" t="s">
        <v>1117</v>
      </c>
      <c r="D1426" s="9">
        <v>6</v>
      </c>
      <c r="E1426" s="9">
        <v>268</v>
      </c>
      <c r="F1426" s="10" t="s">
        <v>1066</v>
      </c>
      <c r="G1426" s="9">
        <v>922</v>
      </c>
      <c r="H1426" s="9">
        <v>2015</v>
      </c>
      <c r="I1426" s="8">
        <v>138.185</v>
      </c>
      <c r="J1426" s="8">
        <v>120.71299999999999</v>
      </c>
      <c r="K1426" s="8">
        <v>103.899</v>
      </c>
      <c r="L1426" s="8">
        <v>114.026</v>
      </c>
      <c r="M1426" s="8">
        <v>136.57</v>
      </c>
      <c r="N1426" s="8">
        <v>149.69800000000001</v>
      </c>
      <c r="O1426" s="8">
        <v>143.036</v>
      </c>
      <c r="P1426" s="8">
        <v>138.14099999999999</v>
      </c>
      <c r="Q1426" s="8">
        <v>133.80799999999999</v>
      </c>
      <c r="R1426" s="8">
        <v>133.29599999999999</v>
      </c>
      <c r="S1426" s="8">
        <v>155.43100000000001</v>
      </c>
      <c r="T1426" s="8">
        <v>145.17699999999999</v>
      </c>
      <c r="U1426" s="8">
        <v>131.113</v>
      </c>
      <c r="V1426" s="8">
        <v>102.49</v>
      </c>
      <c r="W1426" s="8">
        <v>77.551000000000002</v>
      </c>
      <c r="X1426" s="8">
        <v>94.599000000000004</v>
      </c>
      <c r="Y1426" s="8">
        <v>47.972000000000001</v>
      </c>
      <c r="Z1426" s="8">
        <v>28.329000000000001</v>
      </c>
      <c r="AA1426" s="8">
        <v>7.3479999999999999</v>
      </c>
      <c r="AB1426" s="8">
        <v>0.95399999999999996</v>
      </c>
      <c r="AC1426" s="8">
        <v>9.6000000000000002E-2</v>
      </c>
    </row>
    <row r="1427" spans="1:29" ht="11.65" hidden="1" x14ac:dyDescent="0.35">
      <c r="A1427" s="12">
        <v>1410</v>
      </c>
      <c r="B1427" s="10" t="s">
        <v>1015</v>
      </c>
      <c r="C1427" s="11" t="s">
        <v>1117</v>
      </c>
      <c r="D1427" s="9">
        <v>6</v>
      </c>
      <c r="E1427" s="9">
        <v>268</v>
      </c>
      <c r="F1427" s="10" t="s">
        <v>1066</v>
      </c>
      <c r="G1427" s="9">
        <v>922</v>
      </c>
      <c r="H1427" s="9">
        <v>2020</v>
      </c>
      <c r="I1427" s="8">
        <v>130.08699999999999</v>
      </c>
      <c r="J1427" s="8">
        <v>137.03899999999999</v>
      </c>
      <c r="K1427" s="8">
        <v>120.041</v>
      </c>
      <c r="L1427" s="8">
        <v>102.20699999999999</v>
      </c>
      <c r="M1427" s="8">
        <v>110.22199999999999</v>
      </c>
      <c r="N1427" s="8">
        <v>131.864</v>
      </c>
      <c r="O1427" s="8">
        <v>145.58500000000001</v>
      </c>
      <c r="P1427" s="8">
        <v>139.875</v>
      </c>
      <c r="Q1427" s="8">
        <v>135.614</v>
      </c>
      <c r="R1427" s="8">
        <v>131.43</v>
      </c>
      <c r="S1427" s="8">
        <v>130.59100000000001</v>
      </c>
      <c r="T1427" s="8">
        <v>151.33799999999999</v>
      </c>
      <c r="U1427" s="8">
        <v>139.559</v>
      </c>
      <c r="V1427" s="8">
        <v>123.366</v>
      </c>
      <c r="W1427" s="8">
        <v>92.087000000000003</v>
      </c>
      <c r="X1427" s="8">
        <v>63.526000000000003</v>
      </c>
      <c r="Y1427" s="8">
        <v>65.846000000000004</v>
      </c>
      <c r="Z1427" s="8">
        <v>25.751999999999999</v>
      </c>
      <c r="AA1427" s="8">
        <v>10.273</v>
      </c>
      <c r="AB1427" s="8">
        <v>1.5409999999999999</v>
      </c>
      <c r="AC1427" s="8">
        <v>0.105</v>
      </c>
    </row>
    <row r="1428" spans="1:29" ht="11.65" hidden="1" x14ac:dyDescent="0.35">
      <c r="A1428" s="12">
        <v>1411</v>
      </c>
      <c r="B1428" s="10" t="s">
        <v>1015</v>
      </c>
      <c r="C1428" s="11" t="s">
        <v>1118</v>
      </c>
      <c r="D1428" s="9"/>
      <c r="E1428" s="9">
        <v>368</v>
      </c>
      <c r="F1428" s="10" t="s">
        <v>1066</v>
      </c>
      <c r="G1428" s="9">
        <v>922</v>
      </c>
      <c r="H1428" s="9">
        <v>1950</v>
      </c>
      <c r="I1428" s="8">
        <v>392.97699999999998</v>
      </c>
      <c r="J1428" s="8">
        <v>348.64800000000002</v>
      </c>
      <c r="K1428" s="8">
        <v>305.48</v>
      </c>
      <c r="L1428" s="8">
        <v>268.11500000000001</v>
      </c>
      <c r="M1428" s="8">
        <v>232.16499999999999</v>
      </c>
      <c r="N1428" s="8">
        <v>212.541</v>
      </c>
      <c r="O1428" s="8">
        <v>210.32400000000001</v>
      </c>
      <c r="P1428" s="8">
        <v>194.75399999999999</v>
      </c>
      <c r="Q1428" s="8">
        <v>179.00700000000001</v>
      </c>
      <c r="R1428" s="8">
        <v>161.398</v>
      </c>
      <c r="S1428" s="8">
        <v>128.643</v>
      </c>
      <c r="T1428" s="8">
        <v>95.283000000000001</v>
      </c>
      <c r="U1428" s="8">
        <v>50.307000000000002</v>
      </c>
      <c r="V1428" s="8">
        <v>36.197000000000003</v>
      </c>
      <c r="W1428" s="8">
        <v>25.675000000000001</v>
      </c>
      <c r="X1428" s="8">
        <v>15.425000000000001</v>
      </c>
      <c r="Y1428" s="8">
        <v>6.9980000000000002</v>
      </c>
      <c r="Z1428" s="8">
        <v>2.335</v>
      </c>
      <c r="AA1428" s="8">
        <v>0.505</v>
      </c>
      <c r="AB1428" s="8">
        <v>6.4000000000000001E-2</v>
      </c>
      <c r="AC1428" s="8">
        <v>6.0000000000000001E-3</v>
      </c>
    </row>
    <row r="1429" spans="1:29" ht="11.65" hidden="1" x14ac:dyDescent="0.35">
      <c r="A1429" s="12">
        <v>1412</v>
      </c>
      <c r="B1429" s="10" t="s">
        <v>1015</v>
      </c>
      <c r="C1429" s="11" t="s">
        <v>1118</v>
      </c>
      <c r="D1429" s="9"/>
      <c r="E1429" s="9">
        <v>368</v>
      </c>
      <c r="F1429" s="10" t="s">
        <v>1066</v>
      </c>
      <c r="G1429" s="9">
        <v>922</v>
      </c>
      <c r="H1429" s="9">
        <v>1955</v>
      </c>
      <c r="I1429" s="8">
        <v>591.39800000000002</v>
      </c>
      <c r="J1429" s="8">
        <v>354.79</v>
      </c>
      <c r="K1429" s="8">
        <v>338.99900000000002</v>
      </c>
      <c r="L1429" s="8">
        <v>296.97500000000002</v>
      </c>
      <c r="M1429" s="8">
        <v>258.29500000000002</v>
      </c>
      <c r="N1429" s="8">
        <v>222.10499999999999</v>
      </c>
      <c r="O1429" s="8">
        <v>202.21600000000001</v>
      </c>
      <c r="P1429" s="8">
        <v>198.898</v>
      </c>
      <c r="Q1429" s="8">
        <v>183.12100000000001</v>
      </c>
      <c r="R1429" s="8">
        <v>167.245</v>
      </c>
      <c r="S1429" s="8">
        <v>148.52500000000001</v>
      </c>
      <c r="T1429" s="8">
        <v>115.291</v>
      </c>
      <c r="U1429" s="8">
        <v>81.638999999999996</v>
      </c>
      <c r="V1429" s="8">
        <v>40.204000000000001</v>
      </c>
      <c r="W1429" s="8">
        <v>26.047999999999998</v>
      </c>
      <c r="X1429" s="8">
        <v>15.576000000000001</v>
      </c>
      <c r="Y1429" s="8">
        <v>7.2770000000000001</v>
      </c>
      <c r="Z1429" s="8">
        <v>2.3370000000000002</v>
      </c>
      <c r="AA1429" s="8">
        <v>0.505</v>
      </c>
      <c r="AB1429" s="8">
        <v>6.4000000000000001E-2</v>
      </c>
      <c r="AC1429" s="8">
        <v>6.0000000000000001E-3</v>
      </c>
    </row>
    <row r="1430" spans="1:29" ht="11.65" hidden="1" x14ac:dyDescent="0.35">
      <c r="A1430" s="12">
        <v>1413</v>
      </c>
      <c r="B1430" s="10" t="s">
        <v>1015</v>
      </c>
      <c r="C1430" s="11" t="s">
        <v>1118</v>
      </c>
      <c r="D1430" s="9"/>
      <c r="E1430" s="9">
        <v>368</v>
      </c>
      <c r="F1430" s="10" t="s">
        <v>1066</v>
      </c>
      <c r="G1430" s="9">
        <v>922</v>
      </c>
      <c r="H1430" s="9">
        <v>1960</v>
      </c>
      <c r="I1430" s="8">
        <v>580.36</v>
      </c>
      <c r="J1430" s="8">
        <v>550.18499999999995</v>
      </c>
      <c r="K1430" s="8">
        <v>346.37400000000002</v>
      </c>
      <c r="L1430" s="8">
        <v>330.88900000000001</v>
      </c>
      <c r="M1430" s="8">
        <v>287.47699999999998</v>
      </c>
      <c r="N1430" s="8">
        <v>248.50200000000001</v>
      </c>
      <c r="O1430" s="8">
        <v>212.66300000000001</v>
      </c>
      <c r="P1430" s="8">
        <v>192.58500000000001</v>
      </c>
      <c r="Q1430" s="8">
        <v>188.429</v>
      </c>
      <c r="R1430" s="8">
        <v>172.39599999999999</v>
      </c>
      <c r="S1430" s="8">
        <v>155.23699999999999</v>
      </c>
      <c r="T1430" s="8">
        <v>134.53299999999999</v>
      </c>
      <c r="U1430" s="8">
        <v>100.2</v>
      </c>
      <c r="V1430" s="8">
        <v>66.498999999999995</v>
      </c>
      <c r="W1430" s="8">
        <v>29.649000000000001</v>
      </c>
      <c r="X1430" s="8">
        <v>16.329000000000001</v>
      </c>
      <c r="Y1430" s="8">
        <v>7.6609999999999996</v>
      </c>
      <c r="Z1430" s="8">
        <v>2.5529999999999999</v>
      </c>
      <c r="AA1430" s="8">
        <v>0.53200000000000003</v>
      </c>
      <c r="AB1430" s="8">
        <v>6.8000000000000005E-2</v>
      </c>
      <c r="AC1430" s="8">
        <v>6.0000000000000001E-3</v>
      </c>
    </row>
    <row r="1431" spans="1:29" ht="11.65" hidden="1" x14ac:dyDescent="0.35">
      <c r="A1431" s="12">
        <v>1414</v>
      </c>
      <c r="B1431" s="10" t="s">
        <v>1015</v>
      </c>
      <c r="C1431" s="11" t="s">
        <v>1118</v>
      </c>
      <c r="D1431" s="9"/>
      <c r="E1431" s="9">
        <v>368</v>
      </c>
      <c r="F1431" s="10" t="s">
        <v>1066</v>
      </c>
      <c r="G1431" s="9">
        <v>922</v>
      </c>
      <c r="H1431" s="9">
        <v>1965</v>
      </c>
      <c r="I1431" s="8">
        <v>710.476</v>
      </c>
      <c r="J1431" s="8">
        <v>550.80399999999997</v>
      </c>
      <c r="K1431" s="8">
        <v>539.61400000000003</v>
      </c>
      <c r="L1431" s="8">
        <v>339.60700000000003</v>
      </c>
      <c r="M1431" s="8">
        <v>322.10000000000002</v>
      </c>
      <c r="N1431" s="8">
        <v>278.38499999999999</v>
      </c>
      <c r="O1431" s="8">
        <v>239.68600000000001</v>
      </c>
      <c r="P1431" s="8">
        <v>204.185</v>
      </c>
      <c r="Q1431" s="8">
        <v>184.02500000000001</v>
      </c>
      <c r="R1431" s="8">
        <v>178.95</v>
      </c>
      <c r="S1431" s="8">
        <v>161.60499999999999</v>
      </c>
      <c r="T1431" s="8">
        <v>142.34200000000001</v>
      </c>
      <c r="U1431" s="8">
        <v>118.848</v>
      </c>
      <c r="V1431" s="8">
        <v>83.408000000000001</v>
      </c>
      <c r="W1431" s="8">
        <v>50.420999999999999</v>
      </c>
      <c r="X1431" s="8">
        <v>19.282</v>
      </c>
      <c r="Y1431" s="8">
        <v>8.4090000000000007</v>
      </c>
      <c r="Z1431" s="8">
        <v>2.8380000000000001</v>
      </c>
      <c r="AA1431" s="8">
        <v>0.61799999999999999</v>
      </c>
      <c r="AB1431" s="8">
        <v>7.8E-2</v>
      </c>
      <c r="AC1431" s="8">
        <v>6.0000000000000001E-3</v>
      </c>
    </row>
    <row r="1432" spans="1:29" ht="11.65" hidden="1" x14ac:dyDescent="0.35">
      <c r="A1432" s="12">
        <v>1415</v>
      </c>
      <c r="B1432" s="10" t="s">
        <v>1015</v>
      </c>
      <c r="C1432" s="11" t="s">
        <v>1118</v>
      </c>
      <c r="D1432" s="9"/>
      <c r="E1432" s="9">
        <v>368</v>
      </c>
      <c r="F1432" s="10" t="s">
        <v>1066</v>
      </c>
      <c r="G1432" s="9">
        <v>922</v>
      </c>
      <c r="H1432" s="9">
        <v>1970</v>
      </c>
      <c r="I1432" s="8">
        <v>930.24599999999998</v>
      </c>
      <c r="J1432" s="8">
        <v>685.798</v>
      </c>
      <c r="K1432" s="8">
        <v>543.053</v>
      </c>
      <c r="L1432" s="8">
        <v>531.67899999999997</v>
      </c>
      <c r="M1432" s="8">
        <v>332.34300000000002</v>
      </c>
      <c r="N1432" s="8">
        <v>313.75700000000001</v>
      </c>
      <c r="O1432" s="8">
        <v>270.30799999999999</v>
      </c>
      <c r="P1432" s="8">
        <v>231.905</v>
      </c>
      <c r="Q1432" s="8">
        <v>196.72499999999999</v>
      </c>
      <c r="R1432" s="8">
        <v>176.24299999999999</v>
      </c>
      <c r="S1432" s="8">
        <v>169.346</v>
      </c>
      <c r="T1432" s="8">
        <v>149.91300000000001</v>
      </c>
      <c r="U1432" s="8">
        <v>127.70099999999999</v>
      </c>
      <c r="V1432" s="8">
        <v>100.95</v>
      </c>
      <c r="W1432" s="8">
        <v>64.861000000000004</v>
      </c>
      <c r="X1432" s="8">
        <v>33.889000000000003</v>
      </c>
      <c r="Y1432" s="8">
        <v>10.337</v>
      </c>
      <c r="Z1432" s="8">
        <v>3.2589999999999999</v>
      </c>
      <c r="AA1432" s="8">
        <v>0.71799999999999997</v>
      </c>
      <c r="AB1432" s="8">
        <v>9.2999999999999999E-2</v>
      </c>
      <c r="AC1432" s="8">
        <v>6.0000000000000001E-3</v>
      </c>
    </row>
    <row r="1433" spans="1:29" ht="11.65" hidden="1" x14ac:dyDescent="0.35">
      <c r="A1433" s="12">
        <v>1416</v>
      </c>
      <c r="B1433" s="10" t="s">
        <v>1015</v>
      </c>
      <c r="C1433" s="11" t="s">
        <v>1118</v>
      </c>
      <c r="D1433" s="9"/>
      <c r="E1433" s="9">
        <v>368</v>
      </c>
      <c r="F1433" s="10" t="s">
        <v>1066</v>
      </c>
      <c r="G1433" s="9">
        <v>922</v>
      </c>
      <c r="H1433" s="9">
        <v>1975</v>
      </c>
      <c r="I1433" s="8">
        <v>1051.2070000000001</v>
      </c>
      <c r="J1433" s="8">
        <v>906.17399999999998</v>
      </c>
      <c r="K1433" s="8">
        <v>678.23699999999997</v>
      </c>
      <c r="L1433" s="8">
        <v>536.66700000000003</v>
      </c>
      <c r="M1433" s="8">
        <v>522.56700000000001</v>
      </c>
      <c r="N1433" s="8">
        <v>325.20699999999999</v>
      </c>
      <c r="O1433" s="8">
        <v>306.23099999999999</v>
      </c>
      <c r="P1433" s="8">
        <v>262.99700000000001</v>
      </c>
      <c r="Q1433" s="8">
        <v>224.727</v>
      </c>
      <c r="R1433" s="8">
        <v>189.48400000000001</v>
      </c>
      <c r="S1433" s="8">
        <v>167.839</v>
      </c>
      <c r="T1433" s="8">
        <v>158.32</v>
      </c>
      <c r="U1433" s="8">
        <v>135.87899999999999</v>
      </c>
      <c r="V1433" s="8">
        <v>109.93600000000001</v>
      </c>
      <c r="W1433" s="8">
        <v>79.843000000000004</v>
      </c>
      <c r="X1433" s="8">
        <v>44.563000000000002</v>
      </c>
      <c r="Y1433" s="8">
        <v>18.655999999999999</v>
      </c>
      <c r="Z1433" s="8">
        <v>4.1219999999999999</v>
      </c>
      <c r="AA1433" s="8">
        <v>0.84699999999999998</v>
      </c>
      <c r="AB1433" s="8">
        <v>0.109</v>
      </c>
      <c r="AC1433" s="8">
        <v>8.9999999999999993E-3</v>
      </c>
    </row>
    <row r="1434" spans="1:29" ht="11.65" hidden="1" x14ac:dyDescent="0.35">
      <c r="A1434" s="12">
        <v>1417</v>
      </c>
      <c r="B1434" s="10" t="s">
        <v>1015</v>
      </c>
      <c r="C1434" s="11" t="s">
        <v>1118</v>
      </c>
      <c r="D1434" s="9"/>
      <c r="E1434" s="9">
        <v>368</v>
      </c>
      <c r="F1434" s="10" t="s">
        <v>1066</v>
      </c>
      <c r="G1434" s="9">
        <v>922</v>
      </c>
      <c r="H1434" s="9">
        <v>1980</v>
      </c>
      <c r="I1434" s="8">
        <v>1183.8879999999999</v>
      </c>
      <c r="J1434" s="8">
        <v>1029.8620000000001</v>
      </c>
      <c r="K1434" s="8">
        <v>897.42</v>
      </c>
      <c r="L1434" s="8">
        <v>670.54</v>
      </c>
      <c r="M1434" s="8">
        <v>526.54300000000001</v>
      </c>
      <c r="N1434" s="8">
        <v>510.452</v>
      </c>
      <c r="O1434" s="8">
        <v>316.21499999999997</v>
      </c>
      <c r="P1434" s="8">
        <v>297.44900000000001</v>
      </c>
      <c r="Q1434" s="8">
        <v>254.756</v>
      </c>
      <c r="R1434" s="8">
        <v>216.57499999999999</v>
      </c>
      <c r="S1434" s="8">
        <v>180.739</v>
      </c>
      <c r="T1434" s="8">
        <v>157.38900000000001</v>
      </c>
      <c r="U1434" s="8">
        <v>144.22499999999999</v>
      </c>
      <c r="V1434" s="8">
        <v>117.82899999999999</v>
      </c>
      <c r="W1434" s="8">
        <v>87.79</v>
      </c>
      <c r="X1434" s="8">
        <v>55.558999999999997</v>
      </c>
      <c r="Y1434" s="8">
        <v>24.91</v>
      </c>
      <c r="Z1434" s="8">
        <v>7.5640000000000001</v>
      </c>
      <c r="AA1434" s="8">
        <v>1.089</v>
      </c>
      <c r="AB1434" s="8">
        <v>0.13100000000000001</v>
      </c>
      <c r="AC1434" s="8">
        <v>1.0999999999999999E-2</v>
      </c>
    </row>
    <row r="1435" spans="1:29" ht="11.65" hidden="1" x14ac:dyDescent="0.35">
      <c r="A1435" s="12">
        <v>1418</v>
      </c>
      <c r="B1435" s="10" t="s">
        <v>1015</v>
      </c>
      <c r="C1435" s="11" t="s">
        <v>1118</v>
      </c>
      <c r="D1435" s="9"/>
      <c r="E1435" s="9">
        <v>368</v>
      </c>
      <c r="F1435" s="10" t="s">
        <v>1066</v>
      </c>
      <c r="G1435" s="9">
        <v>922</v>
      </c>
      <c r="H1435" s="9">
        <v>1985</v>
      </c>
      <c r="I1435" s="8">
        <v>1304.3140000000001</v>
      </c>
      <c r="J1435" s="8">
        <v>1164.19</v>
      </c>
      <c r="K1435" s="8">
        <v>1021.579</v>
      </c>
      <c r="L1435" s="8">
        <v>884.99900000000002</v>
      </c>
      <c r="M1435" s="8">
        <v>648.51900000000001</v>
      </c>
      <c r="N1435" s="8">
        <v>501.20299999999997</v>
      </c>
      <c r="O1435" s="8">
        <v>487.64600000000002</v>
      </c>
      <c r="P1435" s="8">
        <v>299.97199999999998</v>
      </c>
      <c r="Q1435" s="8">
        <v>284.24700000000001</v>
      </c>
      <c r="R1435" s="8">
        <v>243.523</v>
      </c>
      <c r="S1435" s="8">
        <v>205.916</v>
      </c>
      <c r="T1435" s="8">
        <v>169.732</v>
      </c>
      <c r="U1435" s="8">
        <v>144.40899999999999</v>
      </c>
      <c r="V1435" s="8">
        <v>126.80200000000001</v>
      </c>
      <c r="W1435" s="8">
        <v>95.972999999999999</v>
      </c>
      <c r="X1435" s="8">
        <v>62.781999999999996</v>
      </c>
      <c r="Y1435" s="8">
        <v>32.098999999999997</v>
      </c>
      <c r="Z1435" s="8">
        <v>10.471</v>
      </c>
      <c r="AA1435" s="8">
        <v>2.0649999999999999</v>
      </c>
      <c r="AB1435" s="8">
        <v>0.17100000000000001</v>
      </c>
      <c r="AC1435" s="8">
        <v>1.2999999999999999E-2</v>
      </c>
    </row>
    <row r="1436" spans="1:29" ht="11.65" hidden="1" x14ac:dyDescent="0.35">
      <c r="A1436" s="12">
        <v>1419</v>
      </c>
      <c r="B1436" s="10" t="s">
        <v>1015</v>
      </c>
      <c r="C1436" s="11" t="s">
        <v>1118</v>
      </c>
      <c r="D1436" s="9"/>
      <c r="E1436" s="9">
        <v>368</v>
      </c>
      <c r="F1436" s="10" t="s">
        <v>1066</v>
      </c>
      <c r="G1436" s="9">
        <v>922</v>
      </c>
      <c r="H1436" s="9">
        <v>1990</v>
      </c>
      <c r="I1436" s="8">
        <v>1450.7429999999999</v>
      </c>
      <c r="J1436" s="8">
        <v>1277.1379999999999</v>
      </c>
      <c r="K1436" s="8">
        <v>1151.671</v>
      </c>
      <c r="L1436" s="8">
        <v>994.79600000000005</v>
      </c>
      <c r="M1436" s="8">
        <v>827.85199999999998</v>
      </c>
      <c r="N1436" s="8">
        <v>580.52599999999995</v>
      </c>
      <c r="O1436" s="8">
        <v>444.31799999999998</v>
      </c>
      <c r="P1436" s="8">
        <v>445.32</v>
      </c>
      <c r="Q1436" s="8">
        <v>271.37900000000002</v>
      </c>
      <c r="R1436" s="8">
        <v>262.93200000000002</v>
      </c>
      <c r="S1436" s="8">
        <v>226.489</v>
      </c>
      <c r="T1436" s="8">
        <v>190.79599999999999</v>
      </c>
      <c r="U1436" s="8">
        <v>154.714</v>
      </c>
      <c r="V1436" s="8">
        <v>127.047</v>
      </c>
      <c r="W1436" s="8">
        <v>104.21</v>
      </c>
      <c r="X1436" s="8">
        <v>69.775999999999996</v>
      </c>
      <c r="Y1436" s="8">
        <v>37.078000000000003</v>
      </c>
      <c r="Z1436" s="8">
        <v>13.888999999999999</v>
      </c>
      <c r="AA1436" s="8">
        <v>2.9510000000000001</v>
      </c>
      <c r="AB1436" s="8">
        <v>0.33300000000000002</v>
      </c>
      <c r="AC1436" s="8">
        <v>1.7000000000000001E-2</v>
      </c>
    </row>
    <row r="1437" spans="1:29" ht="11.65" hidden="1" x14ac:dyDescent="0.35">
      <c r="A1437" s="12">
        <v>1420</v>
      </c>
      <c r="B1437" s="10" t="s">
        <v>1015</v>
      </c>
      <c r="C1437" s="11" t="s">
        <v>1118</v>
      </c>
      <c r="D1437" s="9"/>
      <c r="E1437" s="9">
        <v>368</v>
      </c>
      <c r="F1437" s="10" t="s">
        <v>1066</v>
      </c>
      <c r="G1437" s="9">
        <v>922</v>
      </c>
      <c r="H1437" s="9">
        <v>1995</v>
      </c>
      <c r="I1437" s="8">
        <v>1620.0509999999999</v>
      </c>
      <c r="J1437" s="8">
        <v>1435.58</v>
      </c>
      <c r="K1437" s="8">
        <v>1271.6400000000001</v>
      </c>
      <c r="L1437" s="8">
        <v>1142.72</v>
      </c>
      <c r="M1437" s="8">
        <v>977.81600000000003</v>
      </c>
      <c r="N1437" s="8">
        <v>807.88300000000004</v>
      </c>
      <c r="O1437" s="8">
        <v>563.91099999999994</v>
      </c>
      <c r="P1437" s="8">
        <v>431.59800000000001</v>
      </c>
      <c r="Q1437" s="8">
        <v>434.28399999999999</v>
      </c>
      <c r="R1437" s="8">
        <v>263.125</v>
      </c>
      <c r="S1437" s="8">
        <v>254.05600000000001</v>
      </c>
      <c r="T1437" s="8">
        <v>216.637</v>
      </c>
      <c r="U1437" s="8">
        <v>179.048</v>
      </c>
      <c r="V1437" s="8">
        <v>140.03100000000001</v>
      </c>
      <c r="W1437" s="8">
        <v>107.631</v>
      </c>
      <c r="X1437" s="8">
        <v>78.703999999999994</v>
      </c>
      <c r="Y1437" s="8">
        <v>43.290999999999997</v>
      </c>
      <c r="Z1437" s="8">
        <v>16.962</v>
      </c>
      <c r="AA1437" s="8">
        <v>4.1440000000000001</v>
      </c>
      <c r="AB1437" s="8">
        <v>0.502</v>
      </c>
      <c r="AC1437" s="8">
        <v>3.5000000000000003E-2</v>
      </c>
    </row>
    <row r="1438" spans="1:29" ht="11.65" hidden="1" x14ac:dyDescent="0.35">
      <c r="A1438" s="12">
        <v>1421</v>
      </c>
      <c r="B1438" s="10" t="s">
        <v>1015</v>
      </c>
      <c r="C1438" s="11" t="s">
        <v>1118</v>
      </c>
      <c r="D1438" s="9"/>
      <c r="E1438" s="9">
        <v>368</v>
      </c>
      <c r="F1438" s="10" t="s">
        <v>1066</v>
      </c>
      <c r="G1438" s="9">
        <v>922</v>
      </c>
      <c r="H1438" s="9">
        <v>2000</v>
      </c>
      <c r="I1438" s="8">
        <v>1861.6859999999999</v>
      </c>
      <c r="J1438" s="8">
        <v>1608.431</v>
      </c>
      <c r="K1438" s="8">
        <v>1432.203</v>
      </c>
      <c r="L1438" s="8">
        <v>1267.8720000000001</v>
      </c>
      <c r="M1438" s="8">
        <v>1136.9760000000001</v>
      </c>
      <c r="N1438" s="8">
        <v>971.31600000000003</v>
      </c>
      <c r="O1438" s="8">
        <v>801.68799999999999</v>
      </c>
      <c r="P1438" s="8">
        <v>558.70799999999997</v>
      </c>
      <c r="Q1438" s="8">
        <v>426.60399999999998</v>
      </c>
      <c r="R1438" s="8">
        <v>427.51400000000001</v>
      </c>
      <c r="S1438" s="8">
        <v>257.06900000000002</v>
      </c>
      <c r="T1438" s="8">
        <v>245.47399999999999</v>
      </c>
      <c r="U1438" s="8">
        <v>205.422</v>
      </c>
      <c r="V1438" s="8">
        <v>164.024</v>
      </c>
      <c r="W1438" s="8">
        <v>120.435</v>
      </c>
      <c r="X1438" s="8">
        <v>82.95</v>
      </c>
      <c r="Y1438" s="8">
        <v>50.19</v>
      </c>
      <c r="Z1438" s="8">
        <v>20.491</v>
      </c>
      <c r="AA1438" s="8">
        <v>5.2619999999999996</v>
      </c>
      <c r="AB1438" s="8">
        <v>0.73599999999999999</v>
      </c>
      <c r="AC1438" s="8">
        <v>5.3999999999999999E-2</v>
      </c>
    </row>
    <row r="1439" spans="1:29" ht="11.65" hidden="1" x14ac:dyDescent="0.35">
      <c r="A1439" s="12">
        <v>1422</v>
      </c>
      <c r="B1439" s="10" t="s">
        <v>1015</v>
      </c>
      <c r="C1439" s="11" t="s">
        <v>1118</v>
      </c>
      <c r="D1439" s="9"/>
      <c r="E1439" s="9">
        <v>368</v>
      </c>
      <c r="F1439" s="10" t="s">
        <v>1066</v>
      </c>
      <c r="G1439" s="9">
        <v>922</v>
      </c>
      <c r="H1439" s="9">
        <v>2005</v>
      </c>
      <c r="I1439" s="8">
        <v>2052.9630000000002</v>
      </c>
      <c r="J1439" s="8">
        <v>1843.7080000000001</v>
      </c>
      <c r="K1439" s="8">
        <v>1600.627</v>
      </c>
      <c r="L1439" s="8">
        <v>1418.5</v>
      </c>
      <c r="M1439" s="8">
        <v>1240.6890000000001</v>
      </c>
      <c r="N1439" s="8">
        <v>1104.2550000000001</v>
      </c>
      <c r="O1439" s="8">
        <v>942.827</v>
      </c>
      <c r="P1439" s="8">
        <v>779.39099999999996</v>
      </c>
      <c r="Q1439" s="8">
        <v>542.15</v>
      </c>
      <c r="R1439" s="8">
        <v>413.05099999999999</v>
      </c>
      <c r="S1439" s="8">
        <v>412.84</v>
      </c>
      <c r="T1439" s="8">
        <v>245.012</v>
      </c>
      <c r="U1439" s="8">
        <v>229.95099999999999</v>
      </c>
      <c r="V1439" s="8">
        <v>185.69499999999999</v>
      </c>
      <c r="W1439" s="8">
        <v>138.80500000000001</v>
      </c>
      <c r="X1439" s="8">
        <v>90.84</v>
      </c>
      <c r="Y1439" s="8">
        <v>51.402000000000001</v>
      </c>
      <c r="Z1439" s="8">
        <v>22.949000000000002</v>
      </c>
      <c r="AA1439" s="8">
        <v>6.1150000000000002</v>
      </c>
      <c r="AB1439" s="8">
        <v>0.89400000000000002</v>
      </c>
      <c r="AC1439" s="8">
        <v>7.8E-2</v>
      </c>
    </row>
    <row r="1440" spans="1:29" ht="11.65" hidden="1" x14ac:dyDescent="0.35">
      <c r="A1440" s="12">
        <v>1423</v>
      </c>
      <c r="B1440" s="10" t="s">
        <v>1015</v>
      </c>
      <c r="C1440" s="11" t="s">
        <v>1118</v>
      </c>
      <c r="D1440" s="9"/>
      <c r="E1440" s="9">
        <v>368</v>
      </c>
      <c r="F1440" s="10" t="s">
        <v>1066</v>
      </c>
      <c r="G1440" s="9">
        <v>922</v>
      </c>
      <c r="H1440" s="9">
        <v>2010</v>
      </c>
      <c r="I1440" s="8">
        <v>2204.9780000000001</v>
      </c>
      <c r="J1440" s="8">
        <v>2016.7840000000001</v>
      </c>
      <c r="K1440" s="8">
        <v>1825.0830000000001</v>
      </c>
      <c r="L1440" s="8">
        <v>1557.6379999999999</v>
      </c>
      <c r="M1440" s="8">
        <v>1324.4169999999999</v>
      </c>
      <c r="N1440" s="8">
        <v>1126.511</v>
      </c>
      <c r="O1440" s="8">
        <v>1007.669</v>
      </c>
      <c r="P1440" s="8">
        <v>872.09</v>
      </c>
      <c r="Q1440" s="8">
        <v>729.16099999999994</v>
      </c>
      <c r="R1440" s="8">
        <v>506.73099999999999</v>
      </c>
      <c r="S1440" s="8">
        <v>386.101</v>
      </c>
      <c r="T1440" s="8">
        <v>387.04599999999999</v>
      </c>
      <c r="U1440" s="8">
        <v>224.51599999999999</v>
      </c>
      <c r="V1440" s="8">
        <v>204.88200000000001</v>
      </c>
      <c r="W1440" s="8">
        <v>155.32499999999999</v>
      </c>
      <c r="X1440" s="8">
        <v>103.622</v>
      </c>
      <c r="Y1440" s="8">
        <v>55.662999999999997</v>
      </c>
      <c r="Z1440" s="8">
        <v>23.356000000000002</v>
      </c>
      <c r="AA1440" s="8">
        <v>6.8479999999999999</v>
      </c>
      <c r="AB1440" s="8">
        <v>1.0409999999999999</v>
      </c>
      <c r="AC1440" s="8">
        <v>9.6000000000000002E-2</v>
      </c>
    </row>
    <row r="1441" spans="1:29" ht="11.65" hidden="1" x14ac:dyDescent="0.35">
      <c r="A1441" s="12">
        <v>1424</v>
      </c>
      <c r="B1441" s="10" t="s">
        <v>1015</v>
      </c>
      <c r="C1441" s="11" t="s">
        <v>1118</v>
      </c>
      <c r="D1441" s="9"/>
      <c r="E1441" s="9">
        <v>368</v>
      </c>
      <c r="F1441" s="10" t="s">
        <v>1066</v>
      </c>
      <c r="G1441" s="9">
        <v>922</v>
      </c>
      <c r="H1441" s="9">
        <v>2015</v>
      </c>
      <c r="I1441" s="8">
        <v>2550.4699999999998</v>
      </c>
      <c r="J1441" s="8">
        <v>2222.4989999999998</v>
      </c>
      <c r="K1441" s="8">
        <v>2026.8920000000001</v>
      </c>
      <c r="L1441" s="8">
        <v>1864.143</v>
      </c>
      <c r="M1441" s="8">
        <v>1653.3579999999999</v>
      </c>
      <c r="N1441" s="8">
        <v>1442.354</v>
      </c>
      <c r="O1441" s="8">
        <v>1222.971</v>
      </c>
      <c r="P1441" s="8">
        <v>1072.0830000000001</v>
      </c>
      <c r="Q1441" s="8">
        <v>910.08299999999997</v>
      </c>
      <c r="R1441" s="8">
        <v>747.89599999999996</v>
      </c>
      <c r="S1441" s="8">
        <v>513.82399999999996</v>
      </c>
      <c r="T1441" s="8">
        <v>384.24900000000002</v>
      </c>
      <c r="U1441" s="8">
        <v>372.887</v>
      </c>
      <c r="V1441" s="8">
        <v>208.88</v>
      </c>
      <c r="W1441" s="8">
        <v>177.09100000000001</v>
      </c>
      <c r="X1441" s="8">
        <v>119.383</v>
      </c>
      <c r="Y1441" s="8">
        <v>65.477999999999994</v>
      </c>
      <c r="Z1441" s="8">
        <v>25.739000000000001</v>
      </c>
      <c r="AA1441" s="8">
        <v>6.97</v>
      </c>
      <c r="AB1441" s="8">
        <v>1.165</v>
      </c>
      <c r="AC1441" s="8">
        <v>0.113</v>
      </c>
    </row>
    <row r="1442" spans="1:29" ht="11.65" hidden="1" x14ac:dyDescent="0.35">
      <c r="A1442" s="12">
        <v>1425</v>
      </c>
      <c r="B1442" s="10" t="s">
        <v>1015</v>
      </c>
      <c r="C1442" s="11" t="s">
        <v>1118</v>
      </c>
      <c r="D1442" s="9"/>
      <c r="E1442" s="9">
        <v>368</v>
      </c>
      <c r="F1442" s="10" t="s">
        <v>1066</v>
      </c>
      <c r="G1442" s="9">
        <v>922</v>
      </c>
      <c r="H1442" s="9">
        <v>2020</v>
      </c>
      <c r="I1442" s="8">
        <v>2612.357</v>
      </c>
      <c r="J1442" s="8">
        <v>2542.3910000000001</v>
      </c>
      <c r="K1442" s="8">
        <v>2218.1329999999998</v>
      </c>
      <c r="L1442" s="8">
        <v>2022.7660000000001</v>
      </c>
      <c r="M1442" s="8">
        <v>1858.4459999999999</v>
      </c>
      <c r="N1442" s="8">
        <v>1646.73</v>
      </c>
      <c r="O1442" s="8">
        <v>1434.787</v>
      </c>
      <c r="P1442" s="8">
        <v>1214.222</v>
      </c>
      <c r="Q1442" s="8">
        <v>1061.171</v>
      </c>
      <c r="R1442" s="8">
        <v>896.24400000000003</v>
      </c>
      <c r="S1442" s="8">
        <v>730.58600000000001</v>
      </c>
      <c r="T1442" s="8">
        <v>495.86399999999998</v>
      </c>
      <c r="U1442" s="8">
        <v>363.39800000000002</v>
      </c>
      <c r="V1442" s="8">
        <v>339.98399999999998</v>
      </c>
      <c r="W1442" s="8">
        <v>178.363</v>
      </c>
      <c r="X1442" s="8">
        <v>134.94900000000001</v>
      </c>
      <c r="Y1442" s="8">
        <v>74.91</v>
      </c>
      <c r="Z1442" s="8">
        <v>30.321000000000002</v>
      </c>
      <c r="AA1442" s="8">
        <v>7.7729999999999997</v>
      </c>
      <c r="AB1442" s="8">
        <v>1.2030000000000001</v>
      </c>
      <c r="AC1442" s="8">
        <v>0.127</v>
      </c>
    </row>
    <row r="1443" spans="1:29" ht="11.65" hidden="1" x14ac:dyDescent="0.35">
      <c r="A1443" s="12">
        <v>1426</v>
      </c>
      <c r="B1443" s="10" t="s">
        <v>1015</v>
      </c>
      <c r="C1443" s="11" t="s">
        <v>1119</v>
      </c>
      <c r="D1443" s="9"/>
      <c r="E1443" s="9">
        <v>376</v>
      </c>
      <c r="F1443" s="10" t="s">
        <v>1066</v>
      </c>
      <c r="G1443" s="9">
        <v>922</v>
      </c>
      <c r="H1443" s="9">
        <v>1950</v>
      </c>
      <c r="I1443" s="8">
        <v>85.1</v>
      </c>
      <c r="J1443" s="8">
        <v>55.189</v>
      </c>
      <c r="K1443" s="8">
        <v>52.58</v>
      </c>
      <c r="L1443" s="8">
        <v>52.01</v>
      </c>
      <c r="M1443" s="8">
        <v>54.78</v>
      </c>
      <c r="N1443" s="8">
        <v>54.44</v>
      </c>
      <c r="O1443" s="8">
        <v>44.37</v>
      </c>
      <c r="P1443" s="8">
        <v>53.478999999999999</v>
      </c>
      <c r="Q1443" s="8">
        <v>43.52</v>
      </c>
      <c r="R1443" s="8">
        <v>32.401000000000003</v>
      </c>
      <c r="S1443" s="8">
        <v>25.129000000000001</v>
      </c>
      <c r="T1443" s="8">
        <v>16.84</v>
      </c>
      <c r="U1443" s="8">
        <v>15.17</v>
      </c>
      <c r="V1443" s="8">
        <v>11.26</v>
      </c>
      <c r="W1443" s="8">
        <v>8.3889999999999993</v>
      </c>
      <c r="X1443" s="8">
        <v>4.4050000000000002</v>
      </c>
      <c r="Y1443" s="8">
        <v>1.278</v>
      </c>
      <c r="Z1443" s="8">
        <v>0.61499999999999999</v>
      </c>
      <c r="AA1443" s="8">
        <v>0.19500000000000001</v>
      </c>
      <c r="AB1443" s="8">
        <v>3.3000000000000002E-2</v>
      </c>
      <c r="AC1443" s="8">
        <v>3.0000000000000001E-3</v>
      </c>
    </row>
    <row r="1444" spans="1:29" ht="11.65" hidden="1" x14ac:dyDescent="0.35">
      <c r="A1444" s="12">
        <v>1427</v>
      </c>
      <c r="B1444" s="10" t="s">
        <v>1015</v>
      </c>
      <c r="C1444" s="11" t="s">
        <v>1119</v>
      </c>
      <c r="D1444" s="9"/>
      <c r="E1444" s="9">
        <v>376</v>
      </c>
      <c r="F1444" s="10" t="s">
        <v>1066</v>
      </c>
      <c r="G1444" s="9">
        <v>922</v>
      </c>
      <c r="H1444" s="9">
        <v>1955</v>
      </c>
      <c r="I1444" s="8">
        <v>119.845</v>
      </c>
      <c r="J1444" s="8">
        <v>98.088999999999999</v>
      </c>
      <c r="K1444" s="8">
        <v>68.085999999999999</v>
      </c>
      <c r="L1444" s="8">
        <v>65.233000000000004</v>
      </c>
      <c r="M1444" s="8">
        <v>63.389000000000003</v>
      </c>
      <c r="N1444" s="8">
        <v>63.731000000000002</v>
      </c>
      <c r="O1444" s="8">
        <v>61.607999999999997</v>
      </c>
      <c r="P1444" s="8">
        <v>51.648000000000003</v>
      </c>
      <c r="Q1444" s="8">
        <v>61.665999999999997</v>
      </c>
      <c r="R1444" s="8">
        <v>50.872999999999998</v>
      </c>
      <c r="S1444" s="8">
        <v>38.929000000000002</v>
      </c>
      <c r="T1444" s="8">
        <v>29.84</v>
      </c>
      <c r="U1444" s="8">
        <v>20.167999999999999</v>
      </c>
      <c r="V1444" s="8">
        <v>16.864999999999998</v>
      </c>
      <c r="W1444" s="8">
        <v>10.29</v>
      </c>
      <c r="X1444" s="8">
        <v>6.6319999999999997</v>
      </c>
      <c r="Y1444" s="8">
        <v>3.5630000000000002</v>
      </c>
      <c r="Z1444" s="8">
        <v>0.88</v>
      </c>
      <c r="AA1444" s="8">
        <v>0.19700000000000001</v>
      </c>
      <c r="AB1444" s="8">
        <v>3.4000000000000002E-2</v>
      </c>
      <c r="AC1444" s="8">
        <v>3.0000000000000001E-3</v>
      </c>
    </row>
    <row r="1445" spans="1:29" ht="11.65" hidden="1" x14ac:dyDescent="0.35">
      <c r="A1445" s="12">
        <v>1428</v>
      </c>
      <c r="B1445" s="10" t="s">
        <v>1015</v>
      </c>
      <c r="C1445" s="11" t="s">
        <v>1119</v>
      </c>
      <c r="D1445" s="9"/>
      <c r="E1445" s="9">
        <v>376</v>
      </c>
      <c r="F1445" s="10" t="s">
        <v>1066</v>
      </c>
      <c r="G1445" s="9">
        <v>922</v>
      </c>
      <c r="H1445" s="9">
        <v>1960</v>
      </c>
      <c r="I1445" s="8">
        <v>125.52200000000001</v>
      </c>
      <c r="J1445" s="8">
        <v>130.74</v>
      </c>
      <c r="K1445" s="8">
        <v>107.96599999999999</v>
      </c>
      <c r="L1445" s="8">
        <v>76.149000000000001</v>
      </c>
      <c r="M1445" s="8">
        <v>72.073999999999998</v>
      </c>
      <c r="N1445" s="8">
        <v>68.835999999999999</v>
      </c>
      <c r="O1445" s="8">
        <v>69.262</v>
      </c>
      <c r="P1445" s="8">
        <v>67.146000000000001</v>
      </c>
      <c r="Q1445" s="8">
        <v>56.680999999999997</v>
      </c>
      <c r="R1445" s="8">
        <v>65.971999999999994</v>
      </c>
      <c r="S1445" s="8">
        <v>53.758000000000003</v>
      </c>
      <c r="T1445" s="8">
        <v>40.286999999999999</v>
      </c>
      <c r="U1445" s="8">
        <v>29.925000000000001</v>
      </c>
      <c r="V1445" s="8">
        <v>19.443999999999999</v>
      </c>
      <c r="W1445" s="8">
        <v>15.285</v>
      </c>
      <c r="X1445" s="8">
        <v>8.7590000000000003</v>
      </c>
      <c r="Y1445" s="8">
        <v>4.9169999999999998</v>
      </c>
      <c r="Z1445" s="8">
        <v>1.946</v>
      </c>
      <c r="AA1445" s="8">
        <v>0.29399999999999998</v>
      </c>
      <c r="AB1445" s="8">
        <v>3.4000000000000002E-2</v>
      </c>
      <c r="AC1445" s="8">
        <v>3.0000000000000001E-3</v>
      </c>
    </row>
    <row r="1446" spans="1:29" ht="11.65" hidden="1" x14ac:dyDescent="0.35">
      <c r="A1446" s="12">
        <v>1429</v>
      </c>
      <c r="B1446" s="10" t="s">
        <v>1015</v>
      </c>
      <c r="C1446" s="11" t="s">
        <v>1119</v>
      </c>
      <c r="D1446" s="9"/>
      <c r="E1446" s="9">
        <v>376</v>
      </c>
      <c r="F1446" s="10" t="s">
        <v>1066</v>
      </c>
      <c r="G1446" s="9">
        <v>922</v>
      </c>
      <c r="H1446" s="9">
        <v>1965</v>
      </c>
      <c r="I1446" s="8">
        <v>143.28299999999999</v>
      </c>
      <c r="J1446" s="8">
        <v>138.18199999999999</v>
      </c>
      <c r="K1446" s="8">
        <v>144.96199999999999</v>
      </c>
      <c r="L1446" s="8">
        <v>120.17100000000001</v>
      </c>
      <c r="M1446" s="8">
        <v>83.49</v>
      </c>
      <c r="N1446" s="8">
        <v>77.781000000000006</v>
      </c>
      <c r="O1446" s="8">
        <v>75.042000000000002</v>
      </c>
      <c r="P1446" s="8">
        <v>76.584999999999994</v>
      </c>
      <c r="Q1446" s="8">
        <v>73.524000000000001</v>
      </c>
      <c r="R1446" s="8">
        <v>61.378999999999998</v>
      </c>
      <c r="S1446" s="8">
        <v>68.760000000000005</v>
      </c>
      <c r="T1446" s="8">
        <v>55.404000000000003</v>
      </c>
      <c r="U1446" s="8">
        <v>41.42</v>
      </c>
      <c r="V1446" s="8">
        <v>29.936</v>
      </c>
      <c r="W1446" s="8">
        <v>18.853000000000002</v>
      </c>
      <c r="X1446" s="8">
        <v>13.414</v>
      </c>
      <c r="Y1446" s="8">
        <v>6.7359999999999998</v>
      </c>
      <c r="Z1446" s="8">
        <v>2.7610000000000001</v>
      </c>
      <c r="AA1446" s="8">
        <v>0.67100000000000004</v>
      </c>
      <c r="AB1446" s="8">
        <v>5.2999999999999999E-2</v>
      </c>
      <c r="AC1446" s="8">
        <v>3.0000000000000001E-3</v>
      </c>
    </row>
    <row r="1447" spans="1:29" ht="11.65" hidden="1" x14ac:dyDescent="0.35">
      <c r="A1447" s="12">
        <v>1430</v>
      </c>
      <c r="B1447" s="10" t="s">
        <v>1015</v>
      </c>
      <c r="C1447" s="11" t="s">
        <v>1119</v>
      </c>
      <c r="D1447" s="9"/>
      <c r="E1447" s="9">
        <v>376</v>
      </c>
      <c r="F1447" s="10" t="s">
        <v>1066</v>
      </c>
      <c r="G1447" s="9">
        <v>922</v>
      </c>
      <c r="H1447" s="9">
        <v>1970</v>
      </c>
      <c r="I1447" s="8">
        <v>160.49700000000001</v>
      </c>
      <c r="J1447" s="8">
        <v>146.03800000000001</v>
      </c>
      <c r="K1447" s="8">
        <v>141.459</v>
      </c>
      <c r="L1447" s="8">
        <v>148.69900000000001</v>
      </c>
      <c r="M1447" s="8">
        <v>123.55</v>
      </c>
      <c r="N1447" s="8">
        <v>86.013000000000005</v>
      </c>
      <c r="O1447" s="8">
        <v>80.105000000000004</v>
      </c>
      <c r="P1447" s="8">
        <v>77.218999999999994</v>
      </c>
      <c r="Q1447" s="8">
        <v>78.314999999999998</v>
      </c>
      <c r="R1447" s="8">
        <v>74.466999999999999</v>
      </c>
      <c r="S1447" s="8">
        <v>61.832999999999998</v>
      </c>
      <c r="T1447" s="8">
        <v>68.186999999999998</v>
      </c>
      <c r="U1447" s="8">
        <v>53.817999999999998</v>
      </c>
      <c r="V1447" s="8">
        <v>38.619</v>
      </c>
      <c r="W1447" s="8">
        <v>25.893999999999998</v>
      </c>
      <c r="X1447" s="8">
        <v>15.048999999999999</v>
      </c>
      <c r="Y1447" s="8">
        <v>9.4600000000000009</v>
      </c>
      <c r="Z1447" s="8">
        <v>3.6850000000000001</v>
      </c>
      <c r="AA1447" s="8">
        <v>0.97199999999999998</v>
      </c>
      <c r="AB1447" s="8">
        <v>0.125</v>
      </c>
      <c r="AC1447" s="8">
        <v>5.0000000000000001E-3</v>
      </c>
    </row>
    <row r="1448" spans="1:29" ht="11.65" hidden="1" x14ac:dyDescent="0.35">
      <c r="A1448" s="12">
        <v>1431</v>
      </c>
      <c r="B1448" s="10" t="s">
        <v>1015</v>
      </c>
      <c r="C1448" s="11" t="s">
        <v>1119</v>
      </c>
      <c r="D1448" s="9"/>
      <c r="E1448" s="9">
        <v>376</v>
      </c>
      <c r="F1448" s="10" t="s">
        <v>1066</v>
      </c>
      <c r="G1448" s="9">
        <v>922</v>
      </c>
      <c r="H1448" s="9">
        <v>1975</v>
      </c>
      <c r="I1448" s="8">
        <v>203.023</v>
      </c>
      <c r="J1448" s="8">
        <v>165.952</v>
      </c>
      <c r="K1448" s="8">
        <v>153.208</v>
      </c>
      <c r="L1448" s="8">
        <v>150.85</v>
      </c>
      <c r="M1448" s="8">
        <v>157.86699999999999</v>
      </c>
      <c r="N1448" s="8">
        <v>130.11799999999999</v>
      </c>
      <c r="O1448" s="8">
        <v>91.06</v>
      </c>
      <c r="P1448" s="8">
        <v>85.603999999999999</v>
      </c>
      <c r="Q1448" s="8">
        <v>82.537000000000006</v>
      </c>
      <c r="R1448" s="8">
        <v>82.951999999999998</v>
      </c>
      <c r="S1448" s="8">
        <v>77.128</v>
      </c>
      <c r="T1448" s="8">
        <v>63.631</v>
      </c>
      <c r="U1448" s="8">
        <v>69.325999999999993</v>
      </c>
      <c r="V1448" s="8">
        <v>53.195999999999998</v>
      </c>
      <c r="W1448" s="8">
        <v>36.073</v>
      </c>
      <c r="X1448" s="8">
        <v>22.376999999999999</v>
      </c>
      <c r="Y1448" s="8">
        <v>11.773</v>
      </c>
      <c r="Z1448" s="8">
        <v>5.468</v>
      </c>
      <c r="AA1448" s="8">
        <v>1.3069999999999999</v>
      </c>
      <c r="AB1448" s="8">
        <v>0.188</v>
      </c>
      <c r="AC1448" s="8">
        <v>1.2E-2</v>
      </c>
    </row>
    <row r="1449" spans="1:29" ht="11.65" hidden="1" x14ac:dyDescent="0.35">
      <c r="A1449" s="12">
        <v>1432</v>
      </c>
      <c r="B1449" s="10" t="s">
        <v>1015</v>
      </c>
      <c r="C1449" s="11" t="s">
        <v>1119</v>
      </c>
      <c r="D1449" s="9"/>
      <c r="E1449" s="9">
        <v>376</v>
      </c>
      <c r="F1449" s="10" t="s">
        <v>1066</v>
      </c>
      <c r="G1449" s="9">
        <v>922</v>
      </c>
      <c r="H1449" s="9">
        <v>1980</v>
      </c>
      <c r="I1449" s="8">
        <v>221.00700000000001</v>
      </c>
      <c r="J1449" s="8">
        <v>205.33199999999999</v>
      </c>
      <c r="K1449" s="8">
        <v>169.07499999999999</v>
      </c>
      <c r="L1449" s="8">
        <v>156.11699999999999</v>
      </c>
      <c r="M1449" s="8">
        <v>151.697</v>
      </c>
      <c r="N1449" s="8">
        <v>158.51</v>
      </c>
      <c r="O1449" s="8">
        <v>133.32900000000001</v>
      </c>
      <c r="P1449" s="8">
        <v>93.754000000000005</v>
      </c>
      <c r="Q1449" s="8">
        <v>86.387</v>
      </c>
      <c r="R1449" s="8">
        <v>83.17</v>
      </c>
      <c r="S1449" s="8">
        <v>84.123999999999995</v>
      </c>
      <c r="T1449" s="8">
        <v>78.510000000000005</v>
      </c>
      <c r="U1449" s="8">
        <v>63.192</v>
      </c>
      <c r="V1449" s="8">
        <v>66.671000000000006</v>
      </c>
      <c r="W1449" s="8">
        <v>48.366999999999997</v>
      </c>
      <c r="X1449" s="8">
        <v>29.134</v>
      </c>
      <c r="Y1449" s="8">
        <v>15.93</v>
      </c>
      <c r="Z1449" s="8">
        <v>6.51</v>
      </c>
      <c r="AA1449" s="8">
        <v>1.992</v>
      </c>
      <c r="AB1449" s="8">
        <v>0.26400000000000001</v>
      </c>
      <c r="AC1449" s="8">
        <v>1.9E-2</v>
      </c>
    </row>
    <row r="1450" spans="1:29" ht="11.65" hidden="1" x14ac:dyDescent="0.35">
      <c r="A1450" s="12">
        <v>1433</v>
      </c>
      <c r="B1450" s="10" t="s">
        <v>1015</v>
      </c>
      <c r="C1450" s="11" t="s">
        <v>1119</v>
      </c>
      <c r="D1450" s="9"/>
      <c r="E1450" s="9">
        <v>376</v>
      </c>
      <c r="F1450" s="10" t="s">
        <v>1066</v>
      </c>
      <c r="G1450" s="9">
        <v>922</v>
      </c>
      <c r="H1450" s="9">
        <v>1985</v>
      </c>
      <c r="I1450" s="8">
        <v>220.321</v>
      </c>
      <c r="J1450" s="8">
        <v>220.71899999999999</v>
      </c>
      <c r="K1450" s="8">
        <v>205.245</v>
      </c>
      <c r="L1450" s="8">
        <v>168.97900000000001</v>
      </c>
      <c r="M1450" s="8">
        <v>155.95500000000001</v>
      </c>
      <c r="N1450" s="8">
        <v>151.51599999999999</v>
      </c>
      <c r="O1450" s="8">
        <v>158.22399999999999</v>
      </c>
      <c r="P1450" s="8">
        <v>132.93700000000001</v>
      </c>
      <c r="Q1450" s="8">
        <v>93.304000000000002</v>
      </c>
      <c r="R1450" s="8">
        <v>85.656000000000006</v>
      </c>
      <c r="S1450" s="8">
        <v>81.95</v>
      </c>
      <c r="T1450" s="8">
        <v>81.975999999999999</v>
      </c>
      <c r="U1450" s="8">
        <v>75.033000000000001</v>
      </c>
      <c r="V1450" s="8">
        <v>58.415999999999997</v>
      </c>
      <c r="W1450" s="8">
        <v>58.223999999999997</v>
      </c>
      <c r="X1450" s="8">
        <v>38.338000000000001</v>
      </c>
      <c r="Y1450" s="8">
        <v>19.937000000000001</v>
      </c>
      <c r="Z1450" s="8">
        <v>8.7530000000000001</v>
      </c>
      <c r="AA1450" s="8">
        <v>2.46</v>
      </c>
      <c r="AB1450" s="8">
        <v>0.42</v>
      </c>
      <c r="AC1450" s="8">
        <v>2.9000000000000001E-2</v>
      </c>
    </row>
    <row r="1451" spans="1:29" ht="11.65" hidden="1" x14ac:dyDescent="0.35">
      <c r="A1451" s="12">
        <v>1434</v>
      </c>
      <c r="B1451" s="10" t="s">
        <v>1015</v>
      </c>
      <c r="C1451" s="11" t="s">
        <v>1119</v>
      </c>
      <c r="D1451" s="9"/>
      <c r="E1451" s="9">
        <v>376</v>
      </c>
      <c r="F1451" s="10" t="s">
        <v>1066</v>
      </c>
      <c r="G1451" s="9">
        <v>922</v>
      </c>
      <c r="H1451" s="9">
        <v>1990</v>
      </c>
      <c r="I1451" s="8">
        <v>232.875</v>
      </c>
      <c r="J1451" s="8">
        <v>222.226</v>
      </c>
      <c r="K1451" s="8">
        <v>223.02099999999999</v>
      </c>
      <c r="L1451" s="8">
        <v>207.71899999999999</v>
      </c>
      <c r="M1451" s="8">
        <v>171.779</v>
      </c>
      <c r="N1451" s="8">
        <v>158.846</v>
      </c>
      <c r="O1451" s="8">
        <v>154.83600000000001</v>
      </c>
      <c r="P1451" s="8">
        <v>161.61799999999999</v>
      </c>
      <c r="Q1451" s="8">
        <v>134.66499999999999</v>
      </c>
      <c r="R1451" s="8">
        <v>94.198999999999998</v>
      </c>
      <c r="S1451" s="8">
        <v>86.436999999999998</v>
      </c>
      <c r="T1451" s="8">
        <v>82.41</v>
      </c>
      <c r="U1451" s="8">
        <v>81.510999999999996</v>
      </c>
      <c r="V1451" s="8">
        <v>71.8</v>
      </c>
      <c r="W1451" s="8">
        <v>52.597999999999999</v>
      </c>
      <c r="X1451" s="8">
        <v>47.793999999999997</v>
      </c>
      <c r="Y1451" s="8">
        <v>27.640999999999998</v>
      </c>
      <c r="Z1451" s="8">
        <v>11.859</v>
      </c>
      <c r="AA1451" s="8">
        <v>3.7349999999999999</v>
      </c>
      <c r="AB1451" s="8">
        <v>0.66400000000000003</v>
      </c>
      <c r="AC1451" s="8">
        <v>6.0999999999999999E-2</v>
      </c>
    </row>
    <row r="1452" spans="1:29" ht="11.65" hidden="1" x14ac:dyDescent="0.35">
      <c r="A1452" s="12">
        <v>1435</v>
      </c>
      <c r="B1452" s="10" t="s">
        <v>1015</v>
      </c>
      <c r="C1452" s="11" t="s">
        <v>1119</v>
      </c>
      <c r="D1452" s="9"/>
      <c r="E1452" s="9">
        <v>376</v>
      </c>
      <c r="F1452" s="10" t="s">
        <v>1066</v>
      </c>
      <c r="G1452" s="9">
        <v>922</v>
      </c>
      <c r="H1452" s="9">
        <v>1995</v>
      </c>
      <c r="I1452" s="8">
        <v>254.161</v>
      </c>
      <c r="J1452" s="8">
        <v>246.226</v>
      </c>
      <c r="K1452" s="8">
        <v>244.893</v>
      </c>
      <c r="L1452" s="8">
        <v>238.25800000000001</v>
      </c>
      <c r="M1452" s="8">
        <v>219.095</v>
      </c>
      <c r="N1452" s="8">
        <v>188.95</v>
      </c>
      <c r="O1452" s="8">
        <v>179.11500000000001</v>
      </c>
      <c r="P1452" s="8">
        <v>174.99700000000001</v>
      </c>
      <c r="Q1452" s="8">
        <v>180.44499999999999</v>
      </c>
      <c r="R1452" s="8">
        <v>153.12100000000001</v>
      </c>
      <c r="S1452" s="8">
        <v>102.89100000000001</v>
      </c>
      <c r="T1452" s="8">
        <v>95.57</v>
      </c>
      <c r="U1452" s="8">
        <v>96.236999999999995</v>
      </c>
      <c r="V1452" s="8">
        <v>92.203999999999994</v>
      </c>
      <c r="W1452" s="8">
        <v>80.465999999999994</v>
      </c>
      <c r="X1452" s="8">
        <v>55.537999999999997</v>
      </c>
      <c r="Y1452" s="8">
        <v>40.991999999999997</v>
      </c>
      <c r="Z1452" s="8">
        <v>18.152999999999999</v>
      </c>
      <c r="AA1452" s="8">
        <v>5.4</v>
      </c>
      <c r="AB1452" s="8">
        <v>1.0589999999999999</v>
      </c>
      <c r="AC1452" s="8">
        <v>0.107</v>
      </c>
    </row>
    <row r="1453" spans="1:29" ht="11.65" hidden="1" x14ac:dyDescent="0.35">
      <c r="A1453" s="12">
        <v>1436</v>
      </c>
      <c r="B1453" s="10" t="s">
        <v>1015</v>
      </c>
      <c r="C1453" s="11" t="s">
        <v>1119</v>
      </c>
      <c r="D1453" s="9"/>
      <c r="E1453" s="9">
        <v>376</v>
      </c>
      <c r="F1453" s="10" t="s">
        <v>1066</v>
      </c>
      <c r="G1453" s="9">
        <v>922</v>
      </c>
      <c r="H1453" s="9">
        <v>2000</v>
      </c>
      <c r="I1453" s="8">
        <v>295.15899999999999</v>
      </c>
      <c r="J1453" s="8">
        <v>263.642</v>
      </c>
      <c r="K1453" s="8">
        <v>254.52099999999999</v>
      </c>
      <c r="L1453" s="8">
        <v>253.523</v>
      </c>
      <c r="M1453" s="8">
        <v>246.28399999999999</v>
      </c>
      <c r="N1453" s="8">
        <v>226.57499999999999</v>
      </c>
      <c r="O1453" s="8">
        <v>197.33799999999999</v>
      </c>
      <c r="P1453" s="8">
        <v>188.35499999999999</v>
      </c>
      <c r="Q1453" s="8">
        <v>184.238</v>
      </c>
      <c r="R1453" s="8">
        <v>190.37</v>
      </c>
      <c r="S1453" s="8">
        <v>160.75399999999999</v>
      </c>
      <c r="T1453" s="8">
        <v>110.626</v>
      </c>
      <c r="U1453" s="8">
        <v>102.913</v>
      </c>
      <c r="V1453" s="8">
        <v>99.632000000000005</v>
      </c>
      <c r="W1453" s="8">
        <v>91.617000000000004</v>
      </c>
      <c r="X1453" s="8">
        <v>72.203000000000003</v>
      </c>
      <c r="Y1453" s="8">
        <v>42.709000000000003</v>
      </c>
      <c r="Z1453" s="8">
        <v>25.606999999999999</v>
      </c>
      <c r="AA1453" s="8">
        <v>8.2680000000000007</v>
      </c>
      <c r="AB1453" s="8">
        <v>1.6180000000000001</v>
      </c>
      <c r="AC1453" s="8">
        <v>0.17100000000000001</v>
      </c>
    </row>
    <row r="1454" spans="1:29" ht="11.65" hidden="1" x14ac:dyDescent="0.35">
      <c r="A1454" s="12">
        <v>1437</v>
      </c>
      <c r="B1454" s="10" t="s">
        <v>1015</v>
      </c>
      <c r="C1454" s="11" t="s">
        <v>1119</v>
      </c>
      <c r="D1454" s="9"/>
      <c r="E1454" s="9">
        <v>376</v>
      </c>
      <c r="F1454" s="10" t="s">
        <v>1066</v>
      </c>
      <c r="G1454" s="9">
        <v>922</v>
      </c>
      <c r="H1454" s="9">
        <v>2005</v>
      </c>
      <c r="I1454" s="8">
        <v>320.93200000000002</v>
      </c>
      <c r="J1454" s="8">
        <v>297.78199999999998</v>
      </c>
      <c r="K1454" s="8">
        <v>266.69200000000001</v>
      </c>
      <c r="L1454" s="8">
        <v>259.85399999999998</v>
      </c>
      <c r="M1454" s="8">
        <v>260.92599999999999</v>
      </c>
      <c r="N1454" s="8">
        <v>252.44200000000001</v>
      </c>
      <c r="O1454" s="8">
        <v>230.70099999999999</v>
      </c>
      <c r="P1454" s="8">
        <v>200.55099999999999</v>
      </c>
      <c r="Q1454" s="8">
        <v>191.60499999999999</v>
      </c>
      <c r="R1454" s="8">
        <v>187.03700000000001</v>
      </c>
      <c r="S1454" s="8">
        <v>192.51499999999999</v>
      </c>
      <c r="T1454" s="8">
        <v>161.72200000000001</v>
      </c>
      <c r="U1454" s="8">
        <v>110.881</v>
      </c>
      <c r="V1454" s="8">
        <v>101.19</v>
      </c>
      <c r="W1454" s="8">
        <v>93.837000000000003</v>
      </c>
      <c r="X1454" s="8">
        <v>80.921999999999997</v>
      </c>
      <c r="Y1454" s="8">
        <v>57.051000000000002</v>
      </c>
      <c r="Z1454" s="8">
        <v>27.754000000000001</v>
      </c>
      <c r="AA1454" s="8">
        <v>11.792999999999999</v>
      </c>
      <c r="AB1454" s="8">
        <v>2.3889999999999998</v>
      </c>
      <c r="AC1454" s="8">
        <v>0.25900000000000001</v>
      </c>
    </row>
    <row r="1455" spans="1:29" ht="11.65" hidden="1" x14ac:dyDescent="0.35">
      <c r="A1455" s="12">
        <v>1438</v>
      </c>
      <c r="B1455" s="10" t="s">
        <v>1015</v>
      </c>
      <c r="C1455" s="11" t="s">
        <v>1119</v>
      </c>
      <c r="D1455" s="9"/>
      <c r="E1455" s="9">
        <v>376</v>
      </c>
      <c r="F1455" s="10" t="s">
        <v>1066</v>
      </c>
      <c r="G1455" s="9">
        <v>922</v>
      </c>
      <c r="H1455" s="9">
        <v>2010</v>
      </c>
      <c r="I1455" s="8">
        <v>356.57900000000001</v>
      </c>
      <c r="J1455" s="8">
        <v>320.87400000000002</v>
      </c>
      <c r="K1455" s="8">
        <v>297.92399999999998</v>
      </c>
      <c r="L1455" s="8">
        <v>271.83800000000002</v>
      </c>
      <c r="M1455" s="8">
        <v>270.82799999999997</v>
      </c>
      <c r="N1455" s="8">
        <v>274.697</v>
      </c>
      <c r="O1455" s="8">
        <v>270.96499999999997</v>
      </c>
      <c r="P1455" s="8">
        <v>247.88800000000001</v>
      </c>
      <c r="Q1455" s="8">
        <v>211.315</v>
      </c>
      <c r="R1455" s="8">
        <v>197.066</v>
      </c>
      <c r="S1455" s="8">
        <v>190.875</v>
      </c>
      <c r="T1455" s="8">
        <v>200.04900000000001</v>
      </c>
      <c r="U1455" s="8">
        <v>169.16900000000001</v>
      </c>
      <c r="V1455" s="8">
        <v>113.62</v>
      </c>
      <c r="W1455" s="8">
        <v>101.102</v>
      </c>
      <c r="X1455" s="8">
        <v>92.481999999999999</v>
      </c>
      <c r="Y1455" s="8">
        <v>72.900000000000006</v>
      </c>
      <c r="Z1455" s="8">
        <v>40.746000000000002</v>
      </c>
      <c r="AA1455" s="8">
        <v>13.62</v>
      </c>
      <c r="AB1455" s="8">
        <v>3.3239999999999998</v>
      </c>
      <c r="AC1455" s="8">
        <v>0.33700000000000002</v>
      </c>
    </row>
    <row r="1456" spans="1:29" ht="11.65" hidden="1" x14ac:dyDescent="0.35">
      <c r="A1456" s="12">
        <v>1439</v>
      </c>
      <c r="B1456" s="10" t="s">
        <v>1015</v>
      </c>
      <c r="C1456" s="11" t="s">
        <v>1119</v>
      </c>
      <c r="D1456" s="9"/>
      <c r="E1456" s="9">
        <v>376</v>
      </c>
      <c r="F1456" s="10" t="s">
        <v>1066</v>
      </c>
      <c r="G1456" s="9">
        <v>922</v>
      </c>
      <c r="H1456" s="9">
        <v>2015</v>
      </c>
      <c r="I1456" s="8">
        <v>399.57600000000002</v>
      </c>
      <c r="J1456" s="8">
        <v>358.27600000000001</v>
      </c>
      <c r="K1456" s="8">
        <v>323.18200000000002</v>
      </c>
      <c r="L1456" s="8">
        <v>300.10199999999998</v>
      </c>
      <c r="M1456" s="8">
        <v>275.27100000000002</v>
      </c>
      <c r="N1456" s="8">
        <v>275.60199999999998</v>
      </c>
      <c r="O1456" s="8">
        <v>276.45299999999997</v>
      </c>
      <c r="P1456" s="8">
        <v>272.22000000000003</v>
      </c>
      <c r="Q1456" s="8">
        <v>250.43199999999999</v>
      </c>
      <c r="R1456" s="8">
        <v>212.79</v>
      </c>
      <c r="S1456" s="8">
        <v>196.22</v>
      </c>
      <c r="T1456" s="8">
        <v>187.08799999999999</v>
      </c>
      <c r="U1456" s="8">
        <v>193.93</v>
      </c>
      <c r="V1456" s="8">
        <v>162.85499999999999</v>
      </c>
      <c r="W1456" s="8">
        <v>103.70099999999999</v>
      </c>
      <c r="X1456" s="8">
        <v>87.447000000000003</v>
      </c>
      <c r="Y1456" s="8">
        <v>72.741</v>
      </c>
      <c r="Z1456" s="8">
        <v>48.414999999999999</v>
      </c>
      <c r="AA1456" s="8">
        <v>21.096</v>
      </c>
      <c r="AB1456" s="8">
        <v>4.2699999999999996</v>
      </c>
      <c r="AC1456" s="8">
        <v>0.495</v>
      </c>
    </row>
    <row r="1457" spans="1:29" ht="11.65" hidden="1" x14ac:dyDescent="0.35">
      <c r="A1457" s="12">
        <v>1440</v>
      </c>
      <c r="B1457" s="10" t="s">
        <v>1015</v>
      </c>
      <c r="C1457" s="11" t="s">
        <v>1119</v>
      </c>
      <c r="D1457" s="9"/>
      <c r="E1457" s="9">
        <v>376</v>
      </c>
      <c r="F1457" s="10" t="s">
        <v>1066</v>
      </c>
      <c r="G1457" s="9">
        <v>922</v>
      </c>
      <c r="H1457" s="9">
        <v>2020</v>
      </c>
      <c r="I1457" s="8">
        <v>413.202</v>
      </c>
      <c r="J1457" s="8">
        <v>400.49799999999999</v>
      </c>
      <c r="K1457" s="8">
        <v>358.76900000000001</v>
      </c>
      <c r="L1457" s="8">
        <v>324.76400000000001</v>
      </c>
      <c r="M1457" s="8">
        <v>303.85199999999998</v>
      </c>
      <c r="N1457" s="8">
        <v>279.87200000000001</v>
      </c>
      <c r="O1457" s="8">
        <v>279.30399999999997</v>
      </c>
      <c r="P1457" s="8">
        <v>278.798</v>
      </c>
      <c r="Q1457" s="8">
        <v>273.33800000000002</v>
      </c>
      <c r="R1457" s="8">
        <v>250.51</v>
      </c>
      <c r="S1457" s="8">
        <v>212.03800000000001</v>
      </c>
      <c r="T1457" s="8">
        <v>194.44399999999999</v>
      </c>
      <c r="U1457" s="8">
        <v>183.87100000000001</v>
      </c>
      <c r="V1457" s="8">
        <v>188.12100000000001</v>
      </c>
      <c r="W1457" s="8">
        <v>154.27600000000001</v>
      </c>
      <c r="X1457" s="8">
        <v>93.793000000000006</v>
      </c>
      <c r="Y1457" s="8">
        <v>72.516999999999996</v>
      </c>
      <c r="Z1457" s="8">
        <v>51.177</v>
      </c>
      <c r="AA1457" s="8">
        <v>26.033000000000001</v>
      </c>
      <c r="AB1457" s="8">
        <v>7.4560000000000004</v>
      </c>
      <c r="AC1457" s="8">
        <v>0.79100000000000004</v>
      </c>
    </row>
    <row r="1458" spans="1:29" ht="11.65" hidden="1" x14ac:dyDescent="0.35">
      <c r="A1458" s="12">
        <v>1441</v>
      </c>
      <c r="B1458" s="10" t="s">
        <v>1015</v>
      </c>
      <c r="C1458" s="11" t="s">
        <v>1120</v>
      </c>
      <c r="D1458" s="9"/>
      <c r="E1458" s="9">
        <v>400</v>
      </c>
      <c r="F1458" s="10" t="s">
        <v>1066</v>
      </c>
      <c r="G1458" s="9">
        <v>922</v>
      </c>
      <c r="H1458" s="9">
        <v>1950</v>
      </c>
      <c r="I1458" s="8">
        <v>42.003999999999998</v>
      </c>
      <c r="J1458" s="8">
        <v>34.268999999999998</v>
      </c>
      <c r="K1458" s="8">
        <v>28.84</v>
      </c>
      <c r="L1458" s="8">
        <v>22.998000000000001</v>
      </c>
      <c r="M1458" s="8">
        <v>18.538</v>
      </c>
      <c r="N1458" s="8">
        <v>15.909000000000001</v>
      </c>
      <c r="O1458" s="8">
        <v>12.311999999999999</v>
      </c>
      <c r="P1458" s="8">
        <v>9.9600000000000009</v>
      </c>
      <c r="Q1458" s="8">
        <v>8.9890000000000008</v>
      </c>
      <c r="R1458" s="8">
        <v>7.6139999999999999</v>
      </c>
      <c r="S1458" s="8">
        <v>6.8150000000000004</v>
      </c>
      <c r="T1458" s="8">
        <v>6.9180000000000001</v>
      </c>
      <c r="U1458" s="8">
        <v>5.633</v>
      </c>
      <c r="V1458" s="8">
        <v>4.4470000000000001</v>
      </c>
      <c r="W1458" s="8">
        <v>3.4889999999999999</v>
      </c>
      <c r="X1458" s="8">
        <v>1.8740000000000001</v>
      </c>
      <c r="Y1458" s="8">
        <v>0.63900000000000001</v>
      </c>
      <c r="Z1458" s="8">
        <v>0.24099999999999999</v>
      </c>
      <c r="AA1458" s="8">
        <v>5.8999999999999997E-2</v>
      </c>
      <c r="AB1458" s="8">
        <v>8.9999999999999993E-3</v>
      </c>
      <c r="AC1458" s="8">
        <v>1E-3</v>
      </c>
    </row>
    <row r="1459" spans="1:29" ht="11.65" hidden="1" x14ac:dyDescent="0.35">
      <c r="A1459" s="12">
        <v>1442</v>
      </c>
      <c r="B1459" s="10" t="s">
        <v>1015</v>
      </c>
      <c r="C1459" s="11" t="s">
        <v>1120</v>
      </c>
      <c r="D1459" s="9"/>
      <c r="E1459" s="9">
        <v>400</v>
      </c>
      <c r="F1459" s="10" t="s">
        <v>1066</v>
      </c>
      <c r="G1459" s="9">
        <v>922</v>
      </c>
      <c r="H1459" s="9">
        <v>1955</v>
      </c>
      <c r="I1459" s="8">
        <v>55.216999999999999</v>
      </c>
      <c r="J1459" s="8">
        <v>44.670999999999999</v>
      </c>
      <c r="K1459" s="8">
        <v>41.904000000000003</v>
      </c>
      <c r="L1459" s="8">
        <v>35.393999999999998</v>
      </c>
      <c r="M1459" s="8">
        <v>28.504999999999999</v>
      </c>
      <c r="N1459" s="8">
        <v>23.067</v>
      </c>
      <c r="O1459" s="8">
        <v>19.64</v>
      </c>
      <c r="P1459" s="8">
        <v>15.327</v>
      </c>
      <c r="Q1459" s="8">
        <v>12.279</v>
      </c>
      <c r="R1459" s="8">
        <v>10.872999999999999</v>
      </c>
      <c r="S1459" s="8">
        <v>9.1739999999999995</v>
      </c>
      <c r="T1459" s="8">
        <v>8.0340000000000007</v>
      </c>
      <c r="U1459" s="8">
        <v>7.78</v>
      </c>
      <c r="V1459" s="8">
        <v>6.1</v>
      </c>
      <c r="W1459" s="8">
        <v>4.5750000000000002</v>
      </c>
      <c r="X1459" s="8">
        <v>2.8559999999999999</v>
      </c>
      <c r="Y1459" s="8">
        <v>1.0429999999999999</v>
      </c>
      <c r="Z1459" s="8">
        <v>0.24199999999999999</v>
      </c>
      <c r="AA1459" s="8">
        <v>5.8999999999999997E-2</v>
      </c>
      <c r="AB1459" s="8">
        <v>8.9999999999999993E-3</v>
      </c>
      <c r="AC1459" s="8">
        <v>1E-3</v>
      </c>
    </row>
    <row r="1460" spans="1:29" ht="11.65" hidden="1" x14ac:dyDescent="0.35">
      <c r="A1460" s="12">
        <v>1443</v>
      </c>
      <c r="B1460" s="10" t="s">
        <v>1015</v>
      </c>
      <c r="C1460" s="11" t="s">
        <v>1120</v>
      </c>
      <c r="D1460" s="9"/>
      <c r="E1460" s="9">
        <v>400</v>
      </c>
      <c r="F1460" s="10" t="s">
        <v>1066</v>
      </c>
      <c r="G1460" s="9">
        <v>922</v>
      </c>
      <c r="H1460" s="9">
        <v>1960</v>
      </c>
      <c r="I1460" s="8">
        <v>80.864000000000004</v>
      </c>
      <c r="J1460" s="8">
        <v>55.698</v>
      </c>
      <c r="K1460" s="8">
        <v>52.402999999999999</v>
      </c>
      <c r="L1460" s="8">
        <v>48.673999999999999</v>
      </c>
      <c r="M1460" s="8">
        <v>41.234000000000002</v>
      </c>
      <c r="N1460" s="8">
        <v>33.435000000000002</v>
      </c>
      <c r="O1460" s="8">
        <v>27.045999999999999</v>
      </c>
      <c r="P1460" s="8">
        <v>22.827999999999999</v>
      </c>
      <c r="Q1460" s="8">
        <v>17.856000000000002</v>
      </c>
      <c r="R1460" s="8">
        <v>14.212999999999999</v>
      </c>
      <c r="S1460" s="8">
        <v>12.375999999999999</v>
      </c>
      <c r="T1460" s="8">
        <v>10.333</v>
      </c>
      <c r="U1460" s="8">
        <v>8.7769999999999992</v>
      </c>
      <c r="V1460" s="8">
        <v>7.95</v>
      </c>
      <c r="W1460" s="8">
        <v>6.0119999999999996</v>
      </c>
      <c r="X1460" s="8">
        <v>3.6139999999999999</v>
      </c>
      <c r="Y1460" s="8">
        <v>1.5489999999999999</v>
      </c>
      <c r="Z1460" s="8">
        <v>0.40100000000000002</v>
      </c>
      <c r="AA1460" s="8">
        <v>0.06</v>
      </c>
      <c r="AB1460" s="8">
        <v>8.9999999999999993E-3</v>
      </c>
      <c r="AC1460" s="8">
        <v>1E-3</v>
      </c>
    </row>
    <row r="1461" spans="1:29" ht="11.65" hidden="1" x14ac:dyDescent="0.35">
      <c r="A1461" s="12">
        <v>1444</v>
      </c>
      <c r="B1461" s="10" t="s">
        <v>1015</v>
      </c>
      <c r="C1461" s="11" t="s">
        <v>1120</v>
      </c>
      <c r="D1461" s="9"/>
      <c r="E1461" s="9">
        <v>400</v>
      </c>
      <c r="F1461" s="10" t="s">
        <v>1066</v>
      </c>
      <c r="G1461" s="9">
        <v>922</v>
      </c>
      <c r="H1461" s="9">
        <v>1965</v>
      </c>
      <c r="I1461" s="8">
        <v>115.99</v>
      </c>
      <c r="J1461" s="8">
        <v>75.417000000000002</v>
      </c>
      <c r="K1461" s="8">
        <v>58.984999999999999</v>
      </c>
      <c r="L1461" s="8">
        <v>54.470999999999997</v>
      </c>
      <c r="M1461" s="8">
        <v>50.351999999999997</v>
      </c>
      <c r="N1461" s="8">
        <v>42.908000000000001</v>
      </c>
      <c r="O1461" s="8">
        <v>34.665999999999997</v>
      </c>
      <c r="P1461" s="8">
        <v>28.178999999999998</v>
      </c>
      <c r="Q1461" s="8">
        <v>23.634</v>
      </c>
      <c r="R1461" s="8">
        <v>18.452999999999999</v>
      </c>
      <c r="S1461" s="8">
        <v>14.731999999999999</v>
      </c>
      <c r="T1461" s="8">
        <v>12.565</v>
      </c>
      <c r="U1461" s="8">
        <v>10.029</v>
      </c>
      <c r="V1461" s="8">
        <v>8.0820000000000007</v>
      </c>
      <c r="W1461" s="8">
        <v>6.2569999999999997</v>
      </c>
      <c r="X1461" s="8">
        <v>4.1520000000000001</v>
      </c>
      <c r="Y1461" s="8">
        <v>2.226</v>
      </c>
      <c r="Z1461" s="8">
        <v>0.66300000000000003</v>
      </c>
      <c r="AA1461" s="8">
        <v>0.10199999999999999</v>
      </c>
      <c r="AB1461" s="8">
        <v>8.9999999999999993E-3</v>
      </c>
      <c r="AC1461" s="8">
        <v>1E-3</v>
      </c>
    </row>
    <row r="1462" spans="1:29" ht="11.65" hidden="1" x14ac:dyDescent="0.35">
      <c r="A1462" s="12">
        <v>1445</v>
      </c>
      <c r="B1462" s="10" t="s">
        <v>1015</v>
      </c>
      <c r="C1462" s="11" t="s">
        <v>1120</v>
      </c>
      <c r="D1462" s="9"/>
      <c r="E1462" s="9">
        <v>400</v>
      </c>
      <c r="F1462" s="10" t="s">
        <v>1066</v>
      </c>
      <c r="G1462" s="9">
        <v>922</v>
      </c>
      <c r="H1462" s="9">
        <v>1970</v>
      </c>
      <c r="I1462" s="8">
        <v>164.11600000000001</v>
      </c>
      <c r="J1462" s="8">
        <v>121.91200000000001</v>
      </c>
      <c r="K1462" s="8">
        <v>95.021000000000001</v>
      </c>
      <c r="L1462" s="8">
        <v>75.209999999999994</v>
      </c>
      <c r="M1462" s="8">
        <v>68.185000000000002</v>
      </c>
      <c r="N1462" s="8">
        <v>62.149000000000001</v>
      </c>
      <c r="O1462" s="8">
        <v>52.956000000000003</v>
      </c>
      <c r="P1462" s="8">
        <v>42.863999999999997</v>
      </c>
      <c r="Q1462" s="8">
        <v>34.679000000000002</v>
      </c>
      <c r="R1462" s="8">
        <v>28.815000000000001</v>
      </c>
      <c r="S1462" s="8">
        <v>22.47</v>
      </c>
      <c r="T1462" s="8">
        <v>17.609000000000002</v>
      </c>
      <c r="U1462" s="8">
        <v>14.481999999999999</v>
      </c>
      <c r="V1462" s="8">
        <v>11.032</v>
      </c>
      <c r="W1462" s="8">
        <v>8.1150000000000002</v>
      </c>
      <c r="X1462" s="8">
        <v>5.3019999999999996</v>
      </c>
      <c r="Y1462" s="8">
        <v>2.5830000000000002</v>
      </c>
      <c r="Z1462" s="8">
        <v>0.91800000000000004</v>
      </c>
      <c r="AA1462" s="8">
        <v>0.17399999999999999</v>
      </c>
      <c r="AB1462" s="8">
        <v>1.4999999999999999E-2</v>
      </c>
      <c r="AC1462" s="8">
        <v>1E-3</v>
      </c>
    </row>
    <row r="1463" spans="1:29" ht="11.65" hidden="1" x14ac:dyDescent="0.35">
      <c r="A1463" s="12">
        <v>1446</v>
      </c>
      <c r="B1463" s="10" t="s">
        <v>1015</v>
      </c>
      <c r="C1463" s="11" t="s">
        <v>1120</v>
      </c>
      <c r="D1463" s="9"/>
      <c r="E1463" s="9">
        <v>400</v>
      </c>
      <c r="F1463" s="10" t="s">
        <v>1066</v>
      </c>
      <c r="G1463" s="9">
        <v>922</v>
      </c>
      <c r="H1463" s="9">
        <v>1975</v>
      </c>
      <c r="I1463" s="8">
        <v>200.89500000000001</v>
      </c>
      <c r="J1463" s="8">
        <v>152.62200000000001</v>
      </c>
      <c r="K1463" s="8">
        <v>119.79300000000001</v>
      </c>
      <c r="L1463" s="8">
        <v>94.326999999999998</v>
      </c>
      <c r="M1463" s="8">
        <v>74.388000000000005</v>
      </c>
      <c r="N1463" s="8">
        <v>67.352999999999994</v>
      </c>
      <c r="O1463" s="8">
        <v>61.587000000000003</v>
      </c>
      <c r="P1463" s="8">
        <v>52.134</v>
      </c>
      <c r="Q1463" s="8">
        <v>42.061</v>
      </c>
      <c r="R1463" s="8">
        <v>33.889000000000003</v>
      </c>
      <c r="S1463" s="8">
        <v>28.129000000000001</v>
      </c>
      <c r="T1463" s="8">
        <v>21.867999999999999</v>
      </c>
      <c r="U1463" s="8">
        <v>16.57</v>
      </c>
      <c r="V1463" s="8">
        <v>12.776</v>
      </c>
      <c r="W1463" s="8">
        <v>9.06</v>
      </c>
      <c r="X1463" s="8">
        <v>5.9089999999999998</v>
      </c>
      <c r="Y1463" s="8">
        <v>3.0379999999999998</v>
      </c>
      <c r="Z1463" s="8">
        <v>1.075</v>
      </c>
      <c r="AA1463" s="8">
        <v>0.248</v>
      </c>
      <c r="AB1463" s="8">
        <v>2.7E-2</v>
      </c>
      <c r="AC1463" s="8">
        <v>2E-3</v>
      </c>
    </row>
    <row r="1464" spans="1:29" ht="11.65" hidden="1" x14ac:dyDescent="0.35">
      <c r="A1464" s="12">
        <v>1447</v>
      </c>
      <c r="B1464" s="10" t="s">
        <v>1015</v>
      </c>
      <c r="C1464" s="11" t="s">
        <v>1120</v>
      </c>
      <c r="D1464" s="9"/>
      <c r="E1464" s="9">
        <v>400</v>
      </c>
      <c r="F1464" s="10" t="s">
        <v>1066</v>
      </c>
      <c r="G1464" s="9">
        <v>922</v>
      </c>
      <c r="H1464" s="9">
        <v>1980</v>
      </c>
      <c r="I1464" s="8">
        <v>212.40100000000001</v>
      </c>
      <c r="J1464" s="8">
        <v>190.172</v>
      </c>
      <c r="K1464" s="8">
        <v>152.51599999999999</v>
      </c>
      <c r="L1464" s="8">
        <v>122.861</v>
      </c>
      <c r="M1464" s="8">
        <v>91.995000000000005</v>
      </c>
      <c r="N1464" s="8">
        <v>64.626999999999995</v>
      </c>
      <c r="O1464" s="8">
        <v>52.857999999999997</v>
      </c>
      <c r="P1464" s="8">
        <v>50.226999999999997</v>
      </c>
      <c r="Q1464" s="8">
        <v>46.905000000000001</v>
      </c>
      <c r="R1464" s="8">
        <v>40.255000000000003</v>
      </c>
      <c r="S1464" s="8">
        <v>31.056999999999999</v>
      </c>
      <c r="T1464" s="8">
        <v>23.917999999999999</v>
      </c>
      <c r="U1464" s="8">
        <v>17.631</v>
      </c>
      <c r="V1464" s="8">
        <v>12.86</v>
      </c>
      <c r="W1464" s="8">
        <v>11.257</v>
      </c>
      <c r="X1464" s="8">
        <v>8.42</v>
      </c>
      <c r="Y1464" s="8">
        <v>3.9020000000000001</v>
      </c>
      <c r="Z1464" s="8">
        <v>1.296</v>
      </c>
      <c r="AA1464" s="8">
        <v>0.29699999999999999</v>
      </c>
      <c r="AB1464" s="8">
        <v>3.9E-2</v>
      </c>
      <c r="AC1464" s="8">
        <v>2E-3</v>
      </c>
    </row>
    <row r="1465" spans="1:29" ht="11.65" hidden="1" x14ac:dyDescent="0.35">
      <c r="A1465" s="12">
        <v>1448</v>
      </c>
      <c r="B1465" s="10" t="s">
        <v>1015</v>
      </c>
      <c r="C1465" s="11" t="s">
        <v>1120</v>
      </c>
      <c r="D1465" s="9"/>
      <c r="E1465" s="9">
        <v>400</v>
      </c>
      <c r="F1465" s="10" t="s">
        <v>1066</v>
      </c>
      <c r="G1465" s="9">
        <v>922</v>
      </c>
      <c r="H1465" s="9">
        <v>1985</v>
      </c>
      <c r="I1465" s="8">
        <v>247.602</v>
      </c>
      <c r="J1465" s="8">
        <v>215.416</v>
      </c>
      <c r="K1465" s="8">
        <v>189.905</v>
      </c>
      <c r="L1465" s="8">
        <v>149.79300000000001</v>
      </c>
      <c r="M1465" s="8">
        <v>118.66500000000001</v>
      </c>
      <c r="N1465" s="8">
        <v>89.088999999999999</v>
      </c>
      <c r="O1465" s="8">
        <v>68.106999999999999</v>
      </c>
      <c r="P1465" s="8">
        <v>58.375</v>
      </c>
      <c r="Q1465" s="8">
        <v>52.91</v>
      </c>
      <c r="R1465" s="8">
        <v>45.826000000000001</v>
      </c>
      <c r="S1465" s="8">
        <v>36.637</v>
      </c>
      <c r="T1465" s="8">
        <v>29.196999999999999</v>
      </c>
      <c r="U1465" s="8">
        <v>23.591000000000001</v>
      </c>
      <c r="V1465" s="8">
        <v>16.533000000000001</v>
      </c>
      <c r="W1465" s="8">
        <v>13.646000000000001</v>
      </c>
      <c r="X1465" s="8">
        <v>10.705</v>
      </c>
      <c r="Y1465" s="8">
        <v>5.282</v>
      </c>
      <c r="Z1465" s="8">
        <v>1.7230000000000001</v>
      </c>
      <c r="AA1465" s="8">
        <v>0.36299999999999999</v>
      </c>
      <c r="AB1465" s="8">
        <v>4.7E-2</v>
      </c>
      <c r="AC1465" s="8">
        <v>4.0000000000000001E-3</v>
      </c>
    </row>
    <row r="1466" spans="1:29" ht="11.65" hidden="1" x14ac:dyDescent="0.35">
      <c r="A1466" s="12">
        <v>1449</v>
      </c>
      <c r="B1466" s="10" t="s">
        <v>1015</v>
      </c>
      <c r="C1466" s="11" t="s">
        <v>1120</v>
      </c>
      <c r="D1466" s="9"/>
      <c r="E1466" s="9">
        <v>400</v>
      </c>
      <c r="F1466" s="10" t="s">
        <v>1066</v>
      </c>
      <c r="G1466" s="9">
        <v>922</v>
      </c>
      <c r="H1466" s="9">
        <v>1990</v>
      </c>
      <c r="I1466" s="8">
        <v>290.51</v>
      </c>
      <c r="J1466" s="8">
        <v>269.02699999999999</v>
      </c>
      <c r="K1466" s="8">
        <v>228.01300000000001</v>
      </c>
      <c r="L1466" s="8">
        <v>199.36799999999999</v>
      </c>
      <c r="M1466" s="8">
        <v>155.304</v>
      </c>
      <c r="N1466" s="8">
        <v>120.875</v>
      </c>
      <c r="O1466" s="8">
        <v>89.138000000000005</v>
      </c>
      <c r="P1466" s="8">
        <v>68.165999999999997</v>
      </c>
      <c r="Q1466" s="8">
        <v>58.374000000000002</v>
      </c>
      <c r="R1466" s="8">
        <v>52.506999999999998</v>
      </c>
      <c r="S1466" s="8">
        <v>45.216000000000001</v>
      </c>
      <c r="T1466" s="8">
        <v>36.039000000000001</v>
      </c>
      <c r="U1466" s="8">
        <v>28.372</v>
      </c>
      <c r="V1466" s="8">
        <v>22.231999999999999</v>
      </c>
      <c r="W1466" s="8">
        <v>14.57</v>
      </c>
      <c r="X1466" s="8">
        <v>10.598000000000001</v>
      </c>
      <c r="Y1466" s="8">
        <v>6.6509999999999998</v>
      </c>
      <c r="Z1466" s="8">
        <v>2.343</v>
      </c>
      <c r="AA1466" s="8">
        <v>0.49199999999999999</v>
      </c>
      <c r="AB1466" s="8">
        <v>5.8999999999999997E-2</v>
      </c>
      <c r="AC1466" s="8">
        <v>4.0000000000000001E-3</v>
      </c>
    </row>
    <row r="1467" spans="1:29" ht="11.65" hidden="1" x14ac:dyDescent="0.35">
      <c r="A1467" s="12">
        <v>1450</v>
      </c>
      <c r="B1467" s="10" t="s">
        <v>1015</v>
      </c>
      <c r="C1467" s="11" t="s">
        <v>1120</v>
      </c>
      <c r="D1467" s="9"/>
      <c r="E1467" s="9">
        <v>400</v>
      </c>
      <c r="F1467" s="10" t="s">
        <v>1066</v>
      </c>
      <c r="G1467" s="9">
        <v>922</v>
      </c>
      <c r="H1467" s="9">
        <v>1995</v>
      </c>
      <c r="I1467" s="8">
        <v>335.267</v>
      </c>
      <c r="J1467" s="8">
        <v>293.79399999999998</v>
      </c>
      <c r="K1467" s="8">
        <v>280.41300000000001</v>
      </c>
      <c r="L1467" s="8">
        <v>247.30199999999999</v>
      </c>
      <c r="M1467" s="8">
        <v>228.07300000000001</v>
      </c>
      <c r="N1467" s="8">
        <v>190.08600000000001</v>
      </c>
      <c r="O1467" s="8">
        <v>149.05199999999999</v>
      </c>
      <c r="P1467" s="8">
        <v>106.35599999999999</v>
      </c>
      <c r="Q1467" s="8">
        <v>77.372</v>
      </c>
      <c r="R1467" s="8">
        <v>66.435000000000002</v>
      </c>
      <c r="S1467" s="8">
        <v>59.807000000000002</v>
      </c>
      <c r="T1467" s="8">
        <v>48.747</v>
      </c>
      <c r="U1467" s="8">
        <v>37.805999999999997</v>
      </c>
      <c r="V1467" s="8">
        <v>27.617000000000001</v>
      </c>
      <c r="W1467" s="8">
        <v>19.29</v>
      </c>
      <c r="X1467" s="8">
        <v>11.147</v>
      </c>
      <c r="Y1467" s="8">
        <v>6.5629999999999997</v>
      </c>
      <c r="Z1467" s="8">
        <v>3.0139999999999998</v>
      </c>
      <c r="AA1467" s="8">
        <v>0.68600000000000005</v>
      </c>
      <c r="AB1467" s="8">
        <v>8.2000000000000003E-2</v>
      </c>
      <c r="AC1467" s="8">
        <v>6.0000000000000001E-3</v>
      </c>
    </row>
    <row r="1468" spans="1:29" ht="11.65" hidden="1" x14ac:dyDescent="0.35">
      <c r="A1468" s="12">
        <v>1451</v>
      </c>
      <c r="B1468" s="10" t="s">
        <v>1015</v>
      </c>
      <c r="C1468" s="11" t="s">
        <v>1120</v>
      </c>
      <c r="D1468" s="9"/>
      <c r="E1468" s="9">
        <v>400</v>
      </c>
      <c r="F1468" s="10" t="s">
        <v>1066</v>
      </c>
      <c r="G1468" s="9">
        <v>922</v>
      </c>
      <c r="H1468" s="9">
        <v>2000</v>
      </c>
      <c r="I1468" s="8">
        <v>366.05</v>
      </c>
      <c r="J1468" s="8">
        <v>326.81200000000001</v>
      </c>
      <c r="K1468" s="8">
        <v>294.22000000000003</v>
      </c>
      <c r="L1468" s="8">
        <v>279.68099999999998</v>
      </c>
      <c r="M1468" s="8">
        <v>241.994</v>
      </c>
      <c r="N1468" s="8">
        <v>218.011</v>
      </c>
      <c r="O1468" s="8">
        <v>180.69800000000001</v>
      </c>
      <c r="P1468" s="8">
        <v>141.98400000000001</v>
      </c>
      <c r="Q1468" s="8">
        <v>100.589</v>
      </c>
      <c r="R1468" s="8">
        <v>73.14</v>
      </c>
      <c r="S1468" s="8">
        <v>63.787999999999997</v>
      </c>
      <c r="T1468" s="8">
        <v>56.917000000000002</v>
      </c>
      <c r="U1468" s="8">
        <v>44.588000000000001</v>
      </c>
      <c r="V1468" s="8">
        <v>32.71</v>
      </c>
      <c r="W1468" s="8">
        <v>21.773</v>
      </c>
      <c r="X1468" s="8">
        <v>13.592000000000001</v>
      </c>
      <c r="Y1468" s="8">
        <v>6.7709999999999999</v>
      </c>
      <c r="Z1468" s="8">
        <v>3.0249999999999999</v>
      </c>
      <c r="AA1468" s="8">
        <v>0.89800000000000002</v>
      </c>
      <c r="AB1468" s="8">
        <v>0.11600000000000001</v>
      </c>
      <c r="AC1468" s="8">
        <v>8.0000000000000002E-3</v>
      </c>
    </row>
    <row r="1469" spans="1:29" ht="11.65" hidden="1" x14ac:dyDescent="0.35">
      <c r="A1469" s="12">
        <v>1452</v>
      </c>
      <c r="B1469" s="10" t="s">
        <v>1015</v>
      </c>
      <c r="C1469" s="11" t="s">
        <v>1120</v>
      </c>
      <c r="D1469" s="9"/>
      <c r="E1469" s="9">
        <v>400</v>
      </c>
      <c r="F1469" s="10" t="s">
        <v>1066</v>
      </c>
      <c r="G1469" s="9">
        <v>922</v>
      </c>
      <c r="H1469" s="9">
        <v>2005</v>
      </c>
      <c r="I1469" s="8">
        <v>396.49200000000002</v>
      </c>
      <c r="J1469" s="8">
        <v>354.37200000000001</v>
      </c>
      <c r="K1469" s="8">
        <v>323.57499999999999</v>
      </c>
      <c r="L1469" s="8">
        <v>294.80099999999999</v>
      </c>
      <c r="M1469" s="8">
        <v>278.75799999999998</v>
      </c>
      <c r="N1469" s="8">
        <v>238.88499999999999</v>
      </c>
      <c r="O1469" s="8">
        <v>212.60900000000001</v>
      </c>
      <c r="P1469" s="8">
        <v>175.554</v>
      </c>
      <c r="Q1469" s="8">
        <v>137.845</v>
      </c>
      <c r="R1469" s="8">
        <v>96.983000000000004</v>
      </c>
      <c r="S1469" s="8">
        <v>70.152000000000001</v>
      </c>
      <c r="T1469" s="8">
        <v>61.222999999999999</v>
      </c>
      <c r="U1469" s="8">
        <v>53.704999999999998</v>
      </c>
      <c r="V1469" s="8">
        <v>40.231000000000002</v>
      </c>
      <c r="W1469" s="8">
        <v>27.385999999999999</v>
      </c>
      <c r="X1469" s="8">
        <v>16.004999999999999</v>
      </c>
      <c r="Y1469" s="8">
        <v>8.2230000000000008</v>
      </c>
      <c r="Z1469" s="8">
        <v>3.1349999999999998</v>
      </c>
      <c r="AA1469" s="8">
        <v>0.93600000000000005</v>
      </c>
      <c r="AB1469" s="8">
        <v>0.161</v>
      </c>
      <c r="AC1469" s="8">
        <v>1.2E-2</v>
      </c>
    </row>
    <row r="1470" spans="1:29" ht="11.65" hidden="1" x14ac:dyDescent="0.35">
      <c r="A1470" s="12">
        <v>1453</v>
      </c>
      <c r="B1470" s="10" t="s">
        <v>1015</v>
      </c>
      <c r="C1470" s="11" t="s">
        <v>1120</v>
      </c>
      <c r="D1470" s="9"/>
      <c r="E1470" s="9">
        <v>400</v>
      </c>
      <c r="F1470" s="10" t="s">
        <v>1066</v>
      </c>
      <c r="G1470" s="9">
        <v>922</v>
      </c>
      <c r="H1470" s="9">
        <v>2010</v>
      </c>
      <c r="I1470" s="8">
        <v>491.697</v>
      </c>
      <c r="J1470" s="8">
        <v>446.35199999999998</v>
      </c>
      <c r="K1470" s="8">
        <v>398.82900000000001</v>
      </c>
      <c r="L1470" s="8">
        <v>362.49700000000001</v>
      </c>
      <c r="M1470" s="8">
        <v>328.74799999999999</v>
      </c>
      <c r="N1470" s="8">
        <v>308.31799999999998</v>
      </c>
      <c r="O1470" s="8">
        <v>264.44799999999998</v>
      </c>
      <c r="P1470" s="8">
        <v>233.80199999999999</v>
      </c>
      <c r="Q1470" s="8">
        <v>191.36</v>
      </c>
      <c r="R1470" s="8">
        <v>148.59700000000001</v>
      </c>
      <c r="S1470" s="8">
        <v>105.887</v>
      </c>
      <c r="T1470" s="8">
        <v>76.611999999999995</v>
      </c>
      <c r="U1470" s="8">
        <v>64.540000000000006</v>
      </c>
      <c r="V1470" s="8">
        <v>54.914000000000001</v>
      </c>
      <c r="W1470" s="8">
        <v>39.052999999999997</v>
      </c>
      <c r="X1470" s="8">
        <v>24.183</v>
      </c>
      <c r="Y1470" s="8">
        <v>12.417999999999999</v>
      </c>
      <c r="Z1470" s="8">
        <v>4.577</v>
      </c>
      <c r="AA1470" s="8">
        <v>1.008</v>
      </c>
      <c r="AB1470" s="8">
        <v>0.17499999999999999</v>
      </c>
      <c r="AC1470" s="8">
        <v>1.7000000000000001E-2</v>
      </c>
    </row>
    <row r="1471" spans="1:29" ht="11.65" hidden="1" x14ac:dyDescent="0.35">
      <c r="A1471" s="12">
        <v>1454</v>
      </c>
      <c r="B1471" s="10" t="s">
        <v>1015</v>
      </c>
      <c r="C1471" s="11" t="s">
        <v>1120</v>
      </c>
      <c r="D1471" s="9"/>
      <c r="E1471" s="9">
        <v>400</v>
      </c>
      <c r="F1471" s="10" t="s">
        <v>1066</v>
      </c>
      <c r="G1471" s="9">
        <v>922</v>
      </c>
      <c r="H1471" s="9">
        <v>2015</v>
      </c>
      <c r="I1471" s="8">
        <v>566.25599999999997</v>
      </c>
      <c r="J1471" s="8">
        <v>562.9</v>
      </c>
      <c r="K1471" s="8">
        <v>514.18200000000002</v>
      </c>
      <c r="L1471" s="8">
        <v>463.07799999999997</v>
      </c>
      <c r="M1471" s="8">
        <v>424.08300000000003</v>
      </c>
      <c r="N1471" s="8">
        <v>381.78500000000003</v>
      </c>
      <c r="O1471" s="8">
        <v>348.98099999999999</v>
      </c>
      <c r="P1471" s="8">
        <v>295.60300000000001</v>
      </c>
      <c r="Q1471" s="8">
        <v>259.33800000000002</v>
      </c>
      <c r="R1471" s="8">
        <v>211.92599999999999</v>
      </c>
      <c r="S1471" s="8">
        <v>164.18600000000001</v>
      </c>
      <c r="T1471" s="8">
        <v>115.625</v>
      </c>
      <c r="U1471" s="8">
        <v>82.206000000000003</v>
      </c>
      <c r="V1471" s="8">
        <v>67.406000000000006</v>
      </c>
      <c r="W1471" s="8">
        <v>53.901000000000003</v>
      </c>
      <c r="X1471" s="8">
        <v>34.668999999999997</v>
      </c>
      <c r="Y1471" s="8">
        <v>18.359000000000002</v>
      </c>
      <c r="Z1471" s="8">
        <v>6.9130000000000003</v>
      </c>
      <c r="AA1471" s="8">
        <v>1.548</v>
      </c>
      <c r="AB1471" s="8">
        <v>0.19900000000000001</v>
      </c>
      <c r="AC1471" s="8">
        <v>1.9E-2</v>
      </c>
    </row>
    <row r="1472" spans="1:29" ht="11.65" hidden="1" x14ac:dyDescent="0.35">
      <c r="A1472" s="12">
        <v>1455</v>
      </c>
      <c r="B1472" s="10" t="s">
        <v>1015</v>
      </c>
      <c r="C1472" s="11" t="s">
        <v>1120</v>
      </c>
      <c r="D1472" s="9"/>
      <c r="E1472" s="9">
        <v>400</v>
      </c>
      <c r="F1472" s="10" t="s">
        <v>1066</v>
      </c>
      <c r="G1472" s="9">
        <v>922</v>
      </c>
      <c r="H1472" s="9">
        <v>2020</v>
      </c>
      <c r="I1472" s="8">
        <v>515.60400000000004</v>
      </c>
      <c r="J1472" s="8">
        <v>566.16</v>
      </c>
      <c r="K1472" s="8">
        <v>562.78</v>
      </c>
      <c r="L1472" s="8">
        <v>515.16899999999998</v>
      </c>
      <c r="M1472" s="8">
        <v>466.017</v>
      </c>
      <c r="N1472" s="8">
        <v>427.7</v>
      </c>
      <c r="O1472" s="8">
        <v>384.42</v>
      </c>
      <c r="P1472" s="8">
        <v>350.113</v>
      </c>
      <c r="Q1472" s="8">
        <v>295.41000000000003</v>
      </c>
      <c r="R1472" s="8">
        <v>257.74900000000002</v>
      </c>
      <c r="S1472" s="8">
        <v>209.131</v>
      </c>
      <c r="T1472" s="8">
        <v>160.417</v>
      </c>
      <c r="U1472" s="8">
        <v>111.22799999999999</v>
      </c>
      <c r="V1472" s="8">
        <v>76.808999999999997</v>
      </c>
      <c r="W1472" s="8">
        <v>59.597999999999999</v>
      </c>
      <c r="X1472" s="8">
        <v>43.265999999999998</v>
      </c>
      <c r="Y1472" s="8">
        <v>23.443999999999999</v>
      </c>
      <c r="Z1472" s="8">
        <v>9.4260000000000002</v>
      </c>
      <c r="AA1472" s="8">
        <v>2.387</v>
      </c>
      <c r="AB1472" s="8">
        <v>0.313</v>
      </c>
      <c r="AC1472" s="8">
        <v>0.02</v>
      </c>
    </row>
    <row r="1473" spans="1:29" ht="11.65" hidden="1" x14ac:dyDescent="0.35">
      <c r="A1473" s="12">
        <v>1456</v>
      </c>
      <c r="B1473" s="10" t="s">
        <v>1015</v>
      </c>
      <c r="C1473" s="11" t="s">
        <v>1121</v>
      </c>
      <c r="D1473" s="9"/>
      <c r="E1473" s="9">
        <v>414</v>
      </c>
      <c r="F1473" s="10" t="s">
        <v>1066</v>
      </c>
      <c r="G1473" s="9">
        <v>922</v>
      </c>
      <c r="H1473" s="9">
        <v>1950</v>
      </c>
      <c r="I1473" s="8">
        <v>10.851000000000001</v>
      </c>
      <c r="J1473" s="8">
        <v>8.5500000000000007</v>
      </c>
      <c r="K1473" s="8">
        <v>6.9009999999999998</v>
      </c>
      <c r="L1473" s="8">
        <v>6.75</v>
      </c>
      <c r="M1473" s="8">
        <v>5.9989999999999997</v>
      </c>
      <c r="N1473" s="8">
        <v>4.6989999999999998</v>
      </c>
      <c r="O1473" s="8">
        <v>3.95</v>
      </c>
      <c r="P1473" s="8">
        <v>2.7509999999999999</v>
      </c>
      <c r="Q1473" s="8">
        <v>2.35</v>
      </c>
      <c r="R1473" s="8">
        <v>2.2999999999999998</v>
      </c>
      <c r="S1473" s="8">
        <v>2.1989999999999998</v>
      </c>
      <c r="T1473" s="8">
        <v>1.1499999999999999</v>
      </c>
      <c r="U1473" s="8">
        <v>1.1499999999999999</v>
      </c>
      <c r="V1473" s="8">
        <v>1.1000000000000001</v>
      </c>
      <c r="W1473" s="8">
        <v>0.64400000000000002</v>
      </c>
      <c r="X1473" s="8">
        <v>0.31900000000000001</v>
      </c>
      <c r="Y1473" s="8">
        <v>0.107</v>
      </c>
      <c r="Z1473" s="8">
        <v>2.5000000000000001E-2</v>
      </c>
      <c r="AA1473" s="8">
        <v>4.0000000000000001E-3</v>
      </c>
      <c r="AB1473" s="8">
        <v>0</v>
      </c>
      <c r="AC1473" s="8">
        <v>0</v>
      </c>
    </row>
    <row r="1474" spans="1:29" ht="11.65" hidden="1" x14ac:dyDescent="0.35">
      <c r="A1474" s="12">
        <v>1457</v>
      </c>
      <c r="B1474" s="10" t="s">
        <v>1015</v>
      </c>
      <c r="C1474" s="11" t="s">
        <v>1121</v>
      </c>
      <c r="D1474" s="9"/>
      <c r="E1474" s="9">
        <v>414</v>
      </c>
      <c r="F1474" s="10" t="s">
        <v>1066</v>
      </c>
      <c r="G1474" s="9">
        <v>922</v>
      </c>
      <c r="H1474" s="9">
        <v>1955</v>
      </c>
      <c r="I1474" s="8">
        <v>14.7</v>
      </c>
      <c r="J1474" s="8">
        <v>9.0370000000000008</v>
      </c>
      <c r="K1474" s="8">
        <v>7.0910000000000002</v>
      </c>
      <c r="L1474" s="8">
        <v>6.2149999999999999</v>
      </c>
      <c r="M1474" s="8">
        <v>6.657</v>
      </c>
      <c r="N1474" s="8">
        <v>5.6479999999999997</v>
      </c>
      <c r="O1474" s="8">
        <v>4.2670000000000003</v>
      </c>
      <c r="P1474" s="8">
        <v>3.7719999999999998</v>
      </c>
      <c r="Q1474" s="8">
        <v>2.6859999999999999</v>
      </c>
      <c r="R1474" s="8">
        <v>2.2850000000000001</v>
      </c>
      <c r="S1474" s="8">
        <v>2.2189999999999999</v>
      </c>
      <c r="T1474" s="8">
        <v>2.0910000000000002</v>
      </c>
      <c r="U1474" s="8">
        <v>1.0640000000000001</v>
      </c>
      <c r="V1474" s="8">
        <v>1.014</v>
      </c>
      <c r="W1474" s="8">
        <v>0.89900000000000002</v>
      </c>
      <c r="X1474" s="8">
        <v>0.42299999999999999</v>
      </c>
      <c r="Y1474" s="8">
        <v>0.13600000000000001</v>
      </c>
      <c r="Z1474" s="8">
        <v>2.5000000000000001E-2</v>
      </c>
      <c r="AA1474" s="8">
        <v>4.0000000000000001E-3</v>
      </c>
      <c r="AB1474" s="8">
        <v>0</v>
      </c>
      <c r="AC1474" s="8">
        <v>0</v>
      </c>
    </row>
    <row r="1475" spans="1:29" ht="11.65" hidden="1" x14ac:dyDescent="0.35">
      <c r="A1475" s="12">
        <v>1458</v>
      </c>
      <c r="B1475" s="10" t="s">
        <v>1015</v>
      </c>
      <c r="C1475" s="11" t="s">
        <v>1121</v>
      </c>
      <c r="D1475" s="9"/>
      <c r="E1475" s="9">
        <v>414</v>
      </c>
      <c r="F1475" s="10" t="s">
        <v>1066</v>
      </c>
      <c r="G1475" s="9">
        <v>922</v>
      </c>
      <c r="H1475" s="9">
        <v>1960</v>
      </c>
      <c r="I1475" s="8">
        <v>20.437000000000001</v>
      </c>
      <c r="J1475" s="8">
        <v>14.352</v>
      </c>
      <c r="K1475" s="8">
        <v>8.9689999999999994</v>
      </c>
      <c r="L1475" s="8">
        <v>8.5440000000000005</v>
      </c>
      <c r="M1475" s="8">
        <v>9.1430000000000007</v>
      </c>
      <c r="N1475" s="8">
        <v>8.9339999999999993</v>
      </c>
      <c r="O1475" s="8">
        <v>6.431</v>
      </c>
      <c r="P1475" s="8">
        <v>4.1989999999999998</v>
      </c>
      <c r="Q1475" s="8">
        <v>3.6970000000000001</v>
      </c>
      <c r="R1475" s="8">
        <v>2.6190000000000002</v>
      </c>
      <c r="S1475" s="8">
        <v>2.2090000000000001</v>
      </c>
      <c r="T1475" s="8">
        <v>2.1150000000000002</v>
      </c>
      <c r="U1475" s="8">
        <v>1.9470000000000001</v>
      </c>
      <c r="V1475" s="8">
        <v>0.94199999999999995</v>
      </c>
      <c r="W1475" s="8">
        <v>0.83</v>
      </c>
      <c r="X1475" s="8">
        <v>0.59299999999999997</v>
      </c>
      <c r="Y1475" s="8">
        <v>0.184</v>
      </c>
      <c r="Z1475" s="8">
        <v>3.4000000000000002E-2</v>
      </c>
      <c r="AA1475" s="8">
        <v>4.0000000000000001E-3</v>
      </c>
      <c r="AB1475" s="8">
        <v>0</v>
      </c>
      <c r="AC1475" s="8">
        <v>0</v>
      </c>
    </row>
    <row r="1476" spans="1:29" ht="11.65" hidden="1" x14ac:dyDescent="0.35">
      <c r="A1476" s="12">
        <v>1459</v>
      </c>
      <c r="B1476" s="10" t="s">
        <v>1015</v>
      </c>
      <c r="C1476" s="11" t="s">
        <v>1121</v>
      </c>
      <c r="D1476" s="9"/>
      <c r="E1476" s="9">
        <v>414</v>
      </c>
      <c r="F1476" s="10" t="s">
        <v>1066</v>
      </c>
      <c r="G1476" s="9">
        <v>922</v>
      </c>
      <c r="H1476" s="9">
        <v>1965</v>
      </c>
      <c r="I1476" s="8">
        <v>40.468000000000004</v>
      </c>
      <c r="J1476" s="8">
        <v>28.062000000000001</v>
      </c>
      <c r="K1476" s="8">
        <v>18.498999999999999</v>
      </c>
      <c r="L1476" s="8">
        <v>15.673999999999999</v>
      </c>
      <c r="M1476" s="8">
        <v>18.696000000000002</v>
      </c>
      <c r="N1476" s="8">
        <v>17.536999999999999</v>
      </c>
      <c r="O1476" s="8">
        <v>11.79</v>
      </c>
      <c r="P1476" s="8">
        <v>7.8769999999999998</v>
      </c>
      <c r="Q1476" s="8">
        <v>6.1219999999999999</v>
      </c>
      <c r="R1476" s="8">
        <v>3.4980000000000002</v>
      </c>
      <c r="S1476" s="8">
        <v>4.1989999999999998</v>
      </c>
      <c r="T1476" s="8">
        <v>2.6480000000000001</v>
      </c>
      <c r="U1476" s="8">
        <v>2.2690000000000001</v>
      </c>
      <c r="V1476" s="8">
        <v>2.012</v>
      </c>
      <c r="W1476" s="8">
        <v>0.89400000000000002</v>
      </c>
      <c r="X1476" s="8">
        <v>0.55300000000000005</v>
      </c>
      <c r="Y1476" s="8">
        <v>0.26400000000000001</v>
      </c>
      <c r="Z1476" s="8">
        <v>4.5999999999999999E-2</v>
      </c>
      <c r="AA1476" s="8">
        <v>5.0000000000000001E-3</v>
      </c>
      <c r="AB1476" s="8">
        <v>0</v>
      </c>
      <c r="AC1476" s="8">
        <v>0</v>
      </c>
    </row>
    <row r="1477" spans="1:29" ht="11.65" hidden="1" x14ac:dyDescent="0.35">
      <c r="A1477" s="12">
        <v>1460</v>
      </c>
      <c r="B1477" s="10" t="s">
        <v>1015</v>
      </c>
      <c r="C1477" s="11" t="s">
        <v>1121</v>
      </c>
      <c r="D1477" s="9"/>
      <c r="E1477" s="9">
        <v>414</v>
      </c>
      <c r="F1477" s="10" t="s">
        <v>1066</v>
      </c>
      <c r="G1477" s="9">
        <v>922</v>
      </c>
      <c r="H1477" s="9">
        <v>1970</v>
      </c>
      <c r="I1477" s="8">
        <v>71.256</v>
      </c>
      <c r="J1477" s="8">
        <v>52.762</v>
      </c>
      <c r="K1477" s="8">
        <v>36.408999999999999</v>
      </c>
      <c r="L1477" s="8">
        <v>27.434999999999999</v>
      </c>
      <c r="M1477" s="8">
        <v>32.56</v>
      </c>
      <c r="N1477" s="8">
        <v>29.039000000000001</v>
      </c>
      <c r="O1477" s="8">
        <v>20.626999999999999</v>
      </c>
      <c r="P1477" s="8">
        <v>15.57</v>
      </c>
      <c r="Q1477" s="8">
        <v>11.122</v>
      </c>
      <c r="R1477" s="8">
        <v>6.2640000000000002</v>
      </c>
      <c r="S1477" s="8">
        <v>6.8840000000000003</v>
      </c>
      <c r="T1477" s="8">
        <v>3.9129999999999998</v>
      </c>
      <c r="U1477" s="8">
        <v>3.67</v>
      </c>
      <c r="V1477" s="8">
        <v>2.59</v>
      </c>
      <c r="W1477" s="8">
        <v>1.6879999999999999</v>
      </c>
      <c r="X1477" s="8">
        <v>2.2749999999999999</v>
      </c>
      <c r="Y1477" s="8">
        <v>0.28999999999999998</v>
      </c>
      <c r="Z1477" s="8">
        <v>6.8000000000000005E-2</v>
      </c>
      <c r="AA1477" s="8">
        <v>8.0000000000000002E-3</v>
      </c>
      <c r="AB1477" s="8">
        <v>0</v>
      </c>
      <c r="AC1477" s="8">
        <v>0</v>
      </c>
    </row>
    <row r="1478" spans="1:29" ht="11.65" hidden="1" x14ac:dyDescent="0.35">
      <c r="A1478" s="12">
        <v>1461</v>
      </c>
      <c r="B1478" s="10" t="s">
        <v>1015</v>
      </c>
      <c r="C1478" s="11" t="s">
        <v>1121</v>
      </c>
      <c r="D1478" s="9"/>
      <c r="E1478" s="9">
        <v>414</v>
      </c>
      <c r="F1478" s="10" t="s">
        <v>1066</v>
      </c>
      <c r="G1478" s="9">
        <v>922</v>
      </c>
      <c r="H1478" s="9">
        <v>1975</v>
      </c>
      <c r="I1478" s="8">
        <v>98.688000000000002</v>
      </c>
      <c r="J1478" s="8">
        <v>75.025000000000006</v>
      </c>
      <c r="K1478" s="8">
        <v>54.100999999999999</v>
      </c>
      <c r="L1478" s="8">
        <v>42.820999999999998</v>
      </c>
      <c r="M1478" s="8">
        <v>41.825000000000003</v>
      </c>
      <c r="N1478" s="8">
        <v>39.64</v>
      </c>
      <c r="O1478" s="8">
        <v>33.276000000000003</v>
      </c>
      <c r="P1478" s="8">
        <v>25.593</v>
      </c>
      <c r="Q1478" s="8">
        <v>14.653</v>
      </c>
      <c r="R1478" s="8">
        <v>12.478</v>
      </c>
      <c r="S1478" s="8">
        <v>8.5280000000000005</v>
      </c>
      <c r="T1478" s="8">
        <v>4.649</v>
      </c>
      <c r="U1478" s="8">
        <v>5.7720000000000002</v>
      </c>
      <c r="V1478" s="8">
        <v>3.1909999999999998</v>
      </c>
      <c r="W1478" s="8">
        <v>1.7789999999999999</v>
      </c>
      <c r="X1478" s="8">
        <v>2.69</v>
      </c>
      <c r="Y1478" s="8">
        <v>1.054</v>
      </c>
      <c r="Z1478" s="8">
        <v>0.09</v>
      </c>
      <c r="AA1478" s="8">
        <v>1.2E-2</v>
      </c>
      <c r="AB1478" s="8">
        <v>0</v>
      </c>
      <c r="AC1478" s="8">
        <v>0</v>
      </c>
    </row>
    <row r="1479" spans="1:29" ht="11.65" hidden="1" x14ac:dyDescent="0.35">
      <c r="A1479" s="12">
        <v>1462</v>
      </c>
      <c r="B1479" s="10" t="s">
        <v>1015</v>
      </c>
      <c r="C1479" s="11" t="s">
        <v>1121</v>
      </c>
      <c r="D1479" s="9"/>
      <c r="E1479" s="9">
        <v>414</v>
      </c>
      <c r="F1479" s="10" t="s">
        <v>1066</v>
      </c>
      <c r="G1479" s="9">
        <v>922</v>
      </c>
      <c r="H1479" s="9">
        <v>1980</v>
      </c>
      <c r="I1479" s="8">
        <v>105.506</v>
      </c>
      <c r="J1479" s="8">
        <v>92.602999999999994</v>
      </c>
      <c r="K1479" s="8">
        <v>74.355000000000004</v>
      </c>
      <c r="L1479" s="8">
        <v>57.494999999999997</v>
      </c>
      <c r="M1479" s="8">
        <v>51.712000000000003</v>
      </c>
      <c r="N1479" s="8">
        <v>51.670999999999999</v>
      </c>
      <c r="O1479" s="8">
        <v>43.71</v>
      </c>
      <c r="P1479" s="8">
        <v>35.838999999999999</v>
      </c>
      <c r="Q1479" s="8">
        <v>25.367000000000001</v>
      </c>
      <c r="R1479" s="8">
        <v>14.5</v>
      </c>
      <c r="S1479" s="8">
        <v>11.589</v>
      </c>
      <c r="T1479" s="8">
        <v>5.54</v>
      </c>
      <c r="U1479" s="8">
        <v>5.274</v>
      </c>
      <c r="V1479" s="8">
        <v>3.4590000000000001</v>
      </c>
      <c r="W1479" s="8">
        <v>2.8340000000000001</v>
      </c>
      <c r="X1479" s="8">
        <v>2.6339999999999999</v>
      </c>
      <c r="Y1479" s="8">
        <v>1.2709999999999999</v>
      </c>
      <c r="Z1479" s="8">
        <v>0.29299999999999998</v>
      </c>
      <c r="AA1479" s="8">
        <v>1.2999999999999999E-2</v>
      </c>
      <c r="AB1479" s="8">
        <v>2E-3</v>
      </c>
      <c r="AC1479" s="8">
        <v>0</v>
      </c>
    </row>
    <row r="1480" spans="1:29" ht="11.65" hidden="1" x14ac:dyDescent="0.35">
      <c r="A1480" s="12">
        <v>1463</v>
      </c>
      <c r="B1480" s="10" t="s">
        <v>1015</v>
      </c>
      <c r="C1480" s="11" t="s">
        <v>1121</v>
      </c>
      <c r="D1480" s="9"/>
      <c r="E1480" s="9">
        <v>414</v>
      </c>
      <c r="F1480" s="10" t="s">
        <v>1066</v>
      </c>
      <c r="G1480" s="9">
        <v>922</v>
      </c>
      <c r="H1480" s="9">
        <v>1985</v>
      </c>
      <c r="I1480" s="8">
        <v>132.87100000000001</v>
      </c>
      <c r="J1480" s="8">
        <v>107.121</v>
      </c>
      <c r="K1480" s="8">
        <v>84.924000000000007</v>
      </c>
      <c r="L1480" s="8">
        <v>70.751000000000005</v>
      </c>
      <c r="M1480" s="8">
        <v>74.120999999999995</v>
      </c>
      <c r="N1480" s="8">
        <v>70.281000000000006</v>
      </c>
      <c r="O1480" s="8">
        <v>65.927000000000007</v>
      </c>
      <c r="P1480" s="8">
        <v>51.805999999999997</v>
      </c>
      <c r="Q1480" s="8">
        <v>31.725000000000001</v>
      </c>
      <c r="R1480" s="8">
        <v>24.844000000000001</v>
      </c>
      <c r="S1480" s="8">
        <v>15.231</v>
      </c>
      <c r="T1480" s="8">
        <v>6.9390000000000001</v>
      </c>
      <c r="U1480" s="8">
        <v>6.7539999999999996</v>
      </c>
      <c r="V1480" s="8">
        <v>2.766</v>
      </c>
      <c r="W1480" s="8">
        <v>3.0169999999999999</v>
      </c>
      <c r="X1480" s="8">
        <v>3.778</v>
      </c>
      <c r="Y1480" s="8">
        <v>1.27</v>
      </c>
      <c r="Z1480" s="8">
        <v>0.36499999999999999</v>
      </c>
      <c r="AA1480" s="8">
        <v>5.2999999999999999E-2</v>
      </c>
      <c r="AB1480" s="8">
        <v>2E-3</v>
      </c>
      <c r="AC1480" s="8">
        <v>0</v>
      </c>
    </row>
    <row r="1481" spans="1:29" ht="11.65" hidden="1" x14ac:dyDescent="0.35">
      <c r="A1481" s="12">
        <v>1464</v>
      </c>
      <c r="B1481" s="10" t="s">
        <v>1015</v>
      </c>
      <c r="C1481" s="11" t="s">
        <v>1121</v>
      </c>
      <c r="D1481" s="9"/>
      <c r="E1481" s="9">
        <v>414</v>
      </c>
      <c r="F1481" s="10" t="s">
        <v>1066</v>
      </c>
      <c r="G1481" s="9">
        <v>922</v>
      </c>
      <c r="H1481" s="9">
        <v>1990</v>
      </c>
      <c r="I1481" s="8">
        <v>122.63</v>
      </c>
      <c r="J1481" s="8">
        <v>130.05099999999999</v>
      </c>
      <c r="K1481" s="8">
        <v>107.95099999999999</v>
      </c>
      <c r="L1481" s="8">
        <v>91.31</v>
      </c>
      <c r="M1481" s="8">
        <v>89.369</v>
      </c>
      <c r="N1481" s="8">
        <v>94.453000000000003</v>
      </c>
      <c r="O1481" s="8">
        <v>82.337999999999994</v>
      </c>
      <c r="P1481" s="8">
        <v>62.209000000000003</v>
      </c>
      <c r="Q1481" s="8">
        <v>44.063000000000002</v>
      </c>
      <c r="R1481" s="8">
        <v>28.960999999999999</v>
      </c>
      <c r="S1481" s="8">
        <v>20.544</v>
      </c>
      <c r="T1481" s="8">
        <v>11.784000000000001</v>
      </c>
      <c r="U1481" s="8">
        <v>6.7880000000000003</v>
      </c>
      <c r="V1481" s="8">
        <v>5.63</v>
      </c>
      <c r="W1481" s="8">
        <v>2.2869999999999999</v>
      </c>
      <c r="X1481" s="8">
        <v>2.0760000000000001</v>
      </c>
      <c r="Y1481" s="8">
        <v>1.8560000000000001</v>
      </c>
      <c r="Z1481" s="8">
        <v>0.377</v>
      </c>
      <c r="AA1481" s="8">
        <v>6.8000000000000005E-2</v>
      </c>
      <c r="AB1481" s="8">
        <v>8.0000000000000002E-3</v>
      </c>
      <c r="AC1481" s="8">
        <v>0</v>
      </c>
    </row>
    <row r="1482" spans="1:29" ht="11.65" hidden="1" x14ac:dyDescent="0.35">
      <c r="A1482" s="12">
        <v>1465</v>
      </c>
      <c r="B1482" s="10" t="s">
        <v>1015</v>
      </c>
      <c r="C1482" s="11" t="s">
        <v>1121</v>
      </c>
      <c r="D1482" s="9"/>
      <c r="E1482" s="9">
        <v>414</v>
      </c>
      <c r="F1482" s="10" t="s">
        <v>1066</v>
      </c>
      <c r="G1482" s="9">
        <v>922</v>
      </c>
      <c r="H1482" s="9">
        <v>1995</v>
      </c>
      <c r="I1482" s="8">
        <v>83.516000000000005</v>
      </c>
      <c r="J1482" s="8">
        <v>87.405000000000001</v>
      </c>
      <c r="K1482" s="8">
        <v>68.912000000000006</v>
      </c>
      <c r="L1482" s="8">
        <v>54.356999999999999</v>
      </c>
      <c r="M1482" s="8">
        <v>65.198999999999998</v>
      </c>
      <c r="N1482" s="8">
        <v>77.212999999999994</v>
      </c>
      <c r="O1482" s="8">
        <v>71.763999999999996</v>
      </c>
      <c r="P1482" s="8">
        <v>57.65</v>
      </c>
      <c r="Q1482" s="8">
        <v>39.460999999999999</v>
      </c>
      <c r="R1482" s="8">
        <v>24.329000000000001</v>
      </c>
      <c r="S1482" s="8">
        <v>16.094999999999999</v>
      </c>
      <c r="T1482" s="8">
        <v>11.196999999999999</v>
      </c>
      <c r="U1482" s="8">
        <v>6.7709999999999999</v>
      </c>
      <c r="V1482" s="8">
        <v>2.419</v>
      </c>
      <c r="W1482" s="8">
        <v>3.8330000000000002</v>
      </c>
      <c r="X1482" s="8">
        <v>1.583</v>
      </c>
      <c r="Y1482" s="8">
        <v>1.04</v>
      </c>
      <c r="Z1482" s="8">
        <v>0.56999999999999995</v>
      </c>
      <c r="AA1482" s="8">
        <v>7.2999999999999995E-2</v>
      </c>
      <c r="AB1482" s="8">
        <v>0.01</v>
      </c>
      <c r="AC1482" s="8">
        <v>1E-3</v>
      </c>
    </row>
    <row r="1483" spans="1:29" ht="11.65" hidden="1" x14ac:dyDescent="0.35">
      <c r="A1483" s="12">
        <v>1466</v>
      </c>
      <c r="B1483" s="10" t="s">
        <v>1015</v>
      </c>
      <c r="C1483" s="11" t="s">
        <v>1121</v>
      </c>
      <c r="D1483" s="9"/>
      <c r="E1483" s="9">
        <v>414</v>
      </c>
      <c r="F1483" s="10" t="s">
        <v>1066</v>
      </c>
      <c r="G1483" s="9">
        <v>922</v>
      </c>
      <c r="H1483" s="9">
        <v>2000</v>
      </c>
      <c r="I1483" s="8">
        <v>110.13</v>
      </c>
      <c r="J1483" s="8">
        <v>86.867000000000004</v>
      </c>
      <c r="K1483" s="8">
        <v>85.302999999999997</v>
      </c>
      <c r="L1483" s="8">
        <v>76.834999999999994</v>
      </c>
      <c r="M1483" s="8">
        <v>71.756</v>
      </c>
      <c r="N1483" s="8">
        <v>88.813999999999993</v>
      </c>
      <c r="O1483" s="8">
        <v>88.763999999999996</v>
      </c>
      <c r="P1483" s="8">
        <v>79.572999999999993</v>
      </c>
      <c r="Q1483" s="8">
        <v>62.83</v>
      </c>
      <c r="R1483" s="8">
        <v>33.722000000000001</v>
      </c>
      <c r="S1483" s="8">
        <v>24.484999999999999</v>
      </c>
      <c r="T1483" s="8">
        <v>14.977</v>
      </c>
      <c r="U1483" s="8">
        <v>11.65</v>
      </c>
      <c r="V1483" s="8">
        <v>7.5590000000000002</v>
      </c>
      <c r="W1483" s="8">
        <v>2.625</v>
      </c>
      <c r="X1483" s="8">
        <v>2.67</v>
      </c>
      <c r="Y1483" s="8">
        <v>0.80700000000000005</v>
      </c>
      <c r="Z1483" s="8">
        <v>0.33</v>
      </c>
      <c r="AA1483" s="8">
        <v>0.113</v>
      </c>
      <c r="AB1483" s="8">
        <v>0.01</v>
      </c>
      <c r="AC1483" s="8">
        <v>1E-3</v>
      </c>
    </row>
    <row r="1484" spans="1:29" ht="11.65" hidden="1" x14ac:dyDescent="0.35">
      <c r="A1484" s="12">
        <v>1467</v>
      </c>
      <c r="B1484" s="10" t="s">
        <v>1015</v>
      </c>
      <c r="C1484" s="11" t="s">
        <v>1121</v>
      </c>
      <c r="D1484" s="9"/>
      <c r="E1484" s="9">
        <v>414</v>
      </c>
      <c r="F1484" s="10" t="s">
        <v>1066</v>
      </c>
      <c r="G1484" s="9">
        <v>922</v>
      </c>
      <c r="H1484" s="9">
        <v>2005</v>
      </c>
      <c r="I1484" s="8">
        <v>104.955</v>
      </c>
      <c r="J1484" s="8">
        <v>100.97199999999999</v>
      </c>
      <c r="K1484" s="8">
        <v>80.275000000000006</v>
      </c>
      <c r="L1484" s="8">
        <v>76.953000000000003</v>
      </c>
      <c r="M1484" s="8">
        <v>91.475999999999999</v>
      </c>
      <c r="N1484" s="8">
        <v>102.09</v>
      </c>
      <c r="O1484" s="8">
        <v>100.604</v>
      </c>
      <c r="P1484" s="8">
        <v>84.997</v>
      </c>
      <c r="Q1484" s="8">
        <v>60.747999999999998</v>
      </c>
      <c r="R1484" s="8">
        <v>46.491</v>
      </c>
      <c r="S1484" s="8">
        <v>26.864000000000001</v>
      </c>
      <c r="T1484" s="8">
        <v>19.515000000000001</v>
      </c>
      <c r="U1484" s="8">
        <v>13.127000000000001</v>
      </c>
      <c r="V1484" s="8">
        <v>10.805999999999999</v>
      </c>
      <c r="W1484" s="8">
        <v>6.2729999999999997</v>
      </c>
      <c r="X1484" s="8">
        <v>1.84</v>
      </c>
      <c r="Y1484" s="8">
        <v>1.3859999999999999</v>
      </c>
      <c r="Z1484" s="8">
        <v>0.26400000000000001</v>
      </c>
      <c r="AA1484" s="8">
        <v>6.9000000000000006E-2</v>
      </c>
      <c r="AB1484" s="8">
        <v>1.4999999999999999E-2</v>
      </c>
      <c r="AC1484" s="8">
        <v>1E-3</v>
      </c>
    </row>
    <row r="1485" spans="1:29" ht="11.65" hidden="1" x14ac:dyDescent="0.35">
      <c r="A1485" s="12">
        <v>1468</v>
      </c>
      <c r="B1485" s="10" t="s">
        <v>1015</v>
      </c>
      <c r="C1485" s="11" t="s">
        <v>1121</v>
      </c>
      <c r="D1485" s="9"/>
      <c r="E1485" s="9">
        <v>414</v>
      </c>
      <c r="F1485" s="10" t="s">
        <v>1066</v>
      </c>
      <c r="G1485" s="9">
        <v>922</v>
      </c>
      <c r="H1485" s="9">
        <v>2010</v>
      </c>
      <c r="I1485" s="8">
        <v>133.548</v>
      </c>
      <c r="J1485" s="8">
        <v>105.566</v>
      </c>
      <c r="K1485" s="8">
        <v>100.86799999999999</v>
      </c>
      <c r="L1485" s="8">
        <v>94.680999999999997</v>
      </c>
      <c r="M1485" s="8">
        <v>124.321</v>
      </c>
      <c r="N1485" s="8">
        <v>153.76900000000001</v>
      </c>
      <c r="O1485" s="8">
        <v>144.32900000000001</v>
      </c>
      <c r="P1485" s="8">
        <v>130.30699999999999</v>
      </c>
      <c r="Q1485" s="8">
        <v>103.098</v>
      </c>
      <c r="R1485" s="8">
        <v>60.389000000000003</v>
      </c>
      <c r="S1485" s="8">
        <v>44.03</v>
      </c>
      <c r="T1485" s="8">
        <v>24.367000000000001</v>
      </c>
      <c r="U1485" s="8">
        <v>17.248999999999999</v>
      </c>
      <c r="V1485" s="8">
        <v>11</v>
      </c>
      <c r="W1485" s="8">
        <v>8.5609999999999999</v>
      </c>
      <c r="X1485" s="8">
        <v>4.42</v>
      </c>
      <c r="Y1485" s="8">
        <v>0.97199999999999998</v>
      </c>
      <c r="Z1485" s="8">
        <v>0.46899999999999997</v>
      </c>
      <c r="AA1485" s="8">
        <v>5.7000000000000002E-2</v>
      </c>
      <c r="AB1485" s="8">
        <v>0.01</v>
      </c>
      <c r="AC1485" s="8">
        <v>1E-3</v>
      </c>
    </row>
    <row r="1486" spans="1:29" ht="11.65" hidden="1" x14ac:dyDescent="0.35">
      <c r="A1486" s="12">
        <v>1469</v>
      </c>
      <c r="B1486" s="10" t="s">
        <v>1015</v>
      </c>
      <c r="C1486" s="11" t="s">
        <v>1121</v>
      </c>
      <c r="D1486" s="9"/>
      <c r="E1486" s="9">
        <v>414</v>
      </c>
      <c r="F1486" s="10" t="s">
        <v>1066</v>
      </c>
      <c r="G1486" s="9">
        <v>922</v>
      </c>
      <c r="H1486" s="9">
        <v>2015</v>
      </c>
      <c r="I1486" s="8">
        <v>147.643</v>
      </c>
      <c r="J1486" s="8">
        <v>134.65299999999999</v>
      </c>
      <c r="K1486" s="8">
        <v>109.47199999999999</v>
      </c>
      <c r="L1486" s="8">
        <v>103.752</v>
      </c>
      <c r="M1486" s="8">
        <v>95.555000000000007</v>
      </c>
      <c r="N1486" s="8">
        <v>147.64400000000001</v>
      </c>
      <c r="O1486" s="8">
        <v>191.00800000000001</v>
      </c>
      <c r="P1486" s="8">
        <v>179.042</v>
      </c>
      <c r="Q1486" s="8">
        <v>164.92699999999999</v>
      </c>
      <c r="R1486" s="8">
        <v>122.63800000000001</v>
      </c>
      <c r="S1486" s="8">
        <v>72.432000000000002</v>
      </c>
      <c r="T1486" s="8">
        <v>51.499000000000002</v>
      </c>
      <c r="U1486" s="8">
        <v>24.664999999999999</v>
      </c>
      <c r="V1486" s="8">
        <v>16.276</v>
      </c>
      <c r="W1486" s="8">
        <v>9.2889999999999997</v>
      </c>
      <c r="X1486" s="8">
        <v>6.2080000000000002</v>
      </c>
      <c r="Y1486" s="8">
        <v>2.4510000000000001</v>
      </c>
      <c r="Z1486" s="8">
        <v>0.35</v>
      </c>
      <c r="AA1486" s="8">
        <v>8.8999999999999996E-2</v>
      </c>
      <c r="AB1486" s="8">
        <v>5.0000000000000001E-3</v>
      </c>
      <c r="AC1486" s="8">
        <v>1E-3</v>
      </c>
    </row>
    <row r="1487" spans="1:29" ht="11.65" hidden="1" x14ac:dyDescent="0.35">
      <c r="A1487" s="12">
        <v>1470</v>
      </c>
      <c r="B1487" s="10" t="s">
        <v>1015</v>
      </c>
      <c r="C1487" s="11" t="s">
        <v>1121</v>
      </c>
      <c r="D1487" s="9"/>
      <c r="E1487" s="9">
        <v>414</v>
      </c>
      <c r="F1487" s="10" t="s">
        <v>1066</v>
      </c>
      <c r="G1487" s="9">
        <v>922</v>
      </c>
      <c r="H1487" s="9">
        <v>2020</v>
      </c>
      <c r="I1487" s="8">
        <v>141.49</v>
      </c>
      <c r="J1487" s="8">
        <v>148.00700000000001</v>
      </c>
      <c r="K1487" s="8">
        <v>135.29400000000001</v>
      </c>
      <c r="L1487" s="8">
        <v>100.703</v>
      </c>
      <c r="M1487" s="8">
        <v>93.733000000000004</v>
      </c>
      <c r="N1487" s="8">
        <v>89.429000000000002</v>
      </c>
      <c r="O1487" s="8">
        <v>139.94200000000001</v>
      </c>
      <c r="P1487" s="8">
        <v>185.93199999999999</v>
      </c>
      <c r="Q1487" s="8">
        <v>174.38499999999999</v>
      </c>
      <c r="R1487" s="8">
        <v>160.63800000000001</v>
      </c>
      <c r="S1487" s="8">
        <v>119.193</v>
      </c>
      <c r="T1487" s="8">
        <v>70</v>
      </c>
      <c r="U1487" s="8">
        <v>48.976999999999997</v>
      </c>
      <c r="V1487" s="8">
        <v>22.923999999999999</v>
      </c>
      <c r="W1487" s="8">
        <v>14.157</v>
      </c>
      <c r="X1487" s="8">
        <v>6.7919999999999998</v>
      </c>
      <c r="Y1487" s="8">
        <v>3.524</v>
      </c>
      <c r="Z1487" s="8">
        <v>0.91800000000000004</v>
      </c>
      <c r="AA1487" s="8">
        <v>7.0999999999999994E-2</v>
      </c>
      <c r="AB1487" s="8">
        <v>8.0000000000000002E-3</v>
      </c>
      <c r="AC1487" s="8">
        <v>0</v>
      </c>
    </row>
    <row r="1488" spans="1:29" ht="11.65" hidden="1" x14ac:dyDescent="0.35">
      <c r="A1488" s="12">
        <v>1471</v>
      </c>
      <c r="B1488" s="10" t="s">
        <v>1015</v>
      </c>
      <c r="C1488" s="11" t="s">
        <v>1122</v>
      </c>
      <c r="D1488" s="9"/>
      <c r="E1488" s="9">
        <v>422</v>
      </c>
      <c r="F1488" s="10" t="s">
        <v>1066</v>
      </c>
      <c r="G1488" s="9">
        <v>922</v>
      </c>
      <c r="H1488" s="9">
        <v>1950</v>
      </c>
      <c r="I1488" s="8">
        <v>88.284000000000006</v>
      </c>
      <c r="J1488" s="8">
        <v>70.941000000000003</v>
      </c>
      <c r="K1488" s="8">
        <v>68.906000000000006</v>
      </c>
      <c r="L1488" s="8">
        <v>65.629000000000005</v>
      </c>
      <c r="M1488" s="8">
        <v>60.140999999999998</v>
      </c>
      <c r="N1488" s="8">
        <v>47.765999999999998</v>
      </c>
      <c r="O1488" s="8">
        <v>33.527000000000001</v>
      </c>
      <c r="P1488" s="8">
        <v>40.566000000000003</v>
      </c>
      <c r="Q1488" s="8">
        <v>35.088000000000001</v>
      </c>
      <c r="R1488" s="8">
        <v>30.321999999999999</v>
      </c>
      <c r="S1488" s="8">
        <v>25.968</v>
      </c>
      <c r="T1488" s="8">
        <v>24.725000000000001</v>
      </c>
      <c r="U1488" s="8">
        <v>21.047000000000001</v>
      </c>
      <c r="V1488" s="8">
        <v>18.974</v>
      </c>
      <c r="W1488" s="8">
        <v>14.914</v>
      </c>
      <c r="X1488" s="8">
        <v>9.5589999999999993</v>
      </c>
      <c r="Y1488" s="8">
        <v>4.2709999999999999</v>
      </c>
      <c r="Z1488" s="8">
        <v>1.75</v>
      </c>
      <c r="AA1488" s="8">
        <v>0.46600000000000003</v>
      </c>
      <c r="AB1488" s="8">
        <v>7.1999999999999995E-2</v>
      </c>
      <c r="AC1488" s="8">
        <v>7.0000000000000001E-3</v>
      </c>
    </row>
    <row r="1489" spans="1:29" ht="11.65" hidden="1" x14ac:dyDescent="0.35">
      <c r="A1489" s="12">
        <v>1472</v>
      </c>
      <c r="B1489" s="10" t="s">
        <v>1015</v>
      </c>
      <c r="C1489" s="11" t="s">
        <v>1122</v>
      </c>
      <c r="D1489" s="9"/>
      <c r="E1489" s="9">
        <v>422</v>
      </c>
      <c r="F1489" s="10" t="s">
        <v>1066</v>
      </c>
      <c r="G1489" s="9">
        <v>922</v>
      </c>
      <c r="H1489" s="9">
        <v>1955</v>
      </c>
      <c r="I1489" s="8">
        <v>129.56100000000001</v>
      </c>
      <c r="J1489" s="8">
        <v>85.587000000000003</v>
      </c>
      <c r="K1489" s="8">
        <v>70.391999999999996</v>
      </c>
      <c r="L1489" s="8">
        <v>68.406999999999996</v>
      </c>
      <c r="M1489" s="8">
        <v>64.951999999999998</v>
      </c>
      <c r="N1489" s="8">
        <v>59.390999999999998</v>
      </c>
      <c r="O1489" s="8">
        <v>47.115000000000002</v>
      </c>
      <c r="P1489" s="8">
        <v>33.076000000000001</v>
      </c>
      <c r="Q1489" s="8">
        <v>39.869</v>
      </c>
      <c r="R1489" s="8">
        <v>34.350999999999999</v>
      </c>
      <c r="S1489" s="8">
        <v>29.452000000000002</v>
      </c>
      <c r="T1489" s="8">
        <v>23.959</v>
      </c>
      <c r="U1489" s="8">
        <v>23.047999999999998</v>
      </c>
      <c r="V1489" s="8">
        <v>19.361000000000001</v>
      </c>
      <c r="W1489" s="8">
        <v>15.282</v>
      </c>
      <c r="X1489" s="8">
        <v>10.24</v>
      </c>
      <c r="Y1489" s="8">
        <v>5.2279999999999998</v>
      </c>
      <c r="Z1489" s="8">
        <v>1.7230000000000001</v>
      </c>
      <c r="AA1489" s="8">
        <v>0.46500000000000002</v>
      </c>
      <c r="AB1489" s="8">
        <v>7.1999999999999995E-2</v>
      </c>
      <c r="AC1489" s="8">
        <v>7.0000000000000001E-3</v>
      </c>
    </row>
    <row r="1490" spans="1:29" ht="11.65" hidden="1" x14ac:dyDescent="0.35">
      <c r="A1490" s="12">
        <v>1473</v>
      </c>
      <c r="B1490" s="10" t="s">
        <v>1015</v>
      </c>
      <c r="C1490" s="11" t="s">
        <v>1122</v>
      </c>
      <c r="D1490" s="9"/>
      <c r="E1490" s="9">
        <v>422</v>
      </c>
      <c r="F1490" s="10" t="s">
        <v>1066</v>
      </c>
      <c r="G1490" s="9">
        <v>922</v>
      </c>
      <c r="H1490" s="9">
        <v>1960</v>
      </c>
      <c r="I1490" s="8">
        <v>150.97499999999999</v>
      </c>
      <c r="J1490" s="8">
        <v>130.172</v>
      </c>
      <c r="K1490" s="8">
        <v>87.242999999999995</v>
      </c>
      <c r="L1490" s="8">
        <v>71.694999999999993</v>
      </c>
      <c r="M1490" s="8">
        <v>69.358999999999995</v>
      </c>
      <c r="N1490" s="8">
        <v>65.683000000000007</v>
      </c>
      <c r="O1490" s="8">
        <v>59.905999999999999</v>
      </c>
      <c r="P1490" s="8">
        <v>47.414000000000001</v>
      </c>
      <c r="Q1490" s="8">
        <v>33.290999999999997</v>
      </c>
      <c r="R1490" s="8">
        <v>39.658000000000001</v>
      </c>
      <c r="S1490" s="8">
        <v>33.878999999999998</v>
      </c>
      <c r="T1490" s="8">
        <v>28.573</v>
      </c>
      <c r="U1490" s="8">
        <v>22.646999999999998</v>
      </c>
      <c r="V1490" s="8">
        <v>20.75</v>
      </c>
      <c r="W1490" s="8">
        <v>16.125</v>
      </c>
      <c r="X1490" s="8">
        <v>11.145</v>
      </c>
      <c r="Y1490" s="8">
        <v>6.0490000000000004</v>
      </c>
      <c r="Z1490" s="8">
        <v>2.214</v>
      </c>
      <c r="AA1490" s="8">
        <v>0.46500000000000002</v>
      </c>
      <c r="AB1490" s="8">
        <v>7.3999999999999996E-2</v>
      </c>
      <c r="AC1490" s="8">
        <v>7.0000000000000001E-3</v>
      </c>
    </row>
    <row r="1491" spans="1:29" ht="11.65" hidden="1" x14ac:dyDescent="0.35">
      <c r="A1491" s="12">
        <v>1474</v>
      </c>
      <c r="B1491" s="10" t="s">
        <v>1015</v>
      </c>
      <c r="C1491" s="11" t="s">
        <v>1122</v>
      </c>
      <c r="D1491" s="9"/>
      <c r="E1491" s="9">
        <v>422</v>
      </c>
      <c r="F1491" s="10" t="s">
        <v>1066</v>
      </c>
      <c r="G1491" s="9">
        <v>922</v>
      </c>
      <c r="H1491" s="9">
        <v>1965</v>
      </c>
      <c r="I1491" s="8">
        <v>168.04</v>
      </c>
      <c r="J1491" s="8">
        <v>149.91499999999999</v>
      </c>
      <c r="K1491" s="8">
        <v>130.42400000000001</v>
      </c>
      <c r="L1491" s="8">
        <v>87.594999999999999</v>
      </c>
      <c r="M1491" s="8">
        <v>71.721000000000004</v>
      </c>
      <c r="N1491" s="8">
        <v>69.123000000000005</v>
      </c>
      <c r="O1491" s="8">
        <v>65.319000000000003</v>
      </c>
      <c r="P1491" s="8">
        <v>59.344999999999999</v>
      </c>
      <c r="Q1491" s="8">
        <v>46.844999999999999</v>
      </c>
      <c r="R1491" s="8">
        <v>32.795000000000002</v>
      </c>
      <c r="S1491" s="8">
        <v>38.625</v>
      </c>
      <c r="T1491" s="8">
        <v>32.524000000000001</v>
      </c>
      <c r="U1491" s="8">
        <v>26.733000000000001</v>
      </c>
      <c r="V1491" s="8">
        <v>20.28</v>
      </c>
      <c r="W1491" s="8">
        <v>17.190000000000001</v>
      </c>
      <c r="X1491" s="8">
        <v>11.73</v>
      </c>
      <c r="Y1491" s="8">
        <v>6.5670000000000002</v>
      </c>
      <c r="Z1491" s="8">
        <v>2.569</v>
      </c>
      <c r="AA1491" s="8">
        <v>0.60399999999999998</v>
      </c>
      <c r="AB1491" s="8">
        <v>7.3999999999999996E-2</v>
      </c>
      <c r="AC1491" s="8">
        <v>7.0000000000000001E-3</v>
      </c>
    </row>
    <row r="1492" spans="1:29" ht="11.65" hidden="1" x14ac:dyDescent="0.35">
      <c r="A1492" s="12">
        <v>1475</v>
      </c>
      <c r="B1492" s="10" t="s">
        <v>1015</v>
      </c>
      <c r="C1492" s="11" t="s">
        <v>1122</v>
      </c>
      <c r="D1492" s="9"/>
      <c r="E1492" s="9">
        <v>422</v>
      </c>
      <c r="F1492" s="10" t="s">
        <v>1066</v>
      </c>
      <c r="G1492" s="9">
        <v>922</v>
      </c>
      <c r="H1492" s="9">
        <v>1970</v>
      </c>
      <c r="I1492" s="8">
        <v>168.333</v>
      </c>
      <c r="J1492" s="8">
        <v>159.608</v>
      </c>
      <c r="K1492" s="8">
        <v>143.83000000000001</v>
      </c>
      <c r="L1492" s="8">
        <v>123.88200000000001</v>
      </c>
      <c r="M1492" s="8">
        <v>83.197999999999993</v>
      </c>
      <c r="N1492" s="8">
        <v>70.296000000000006</v>
      </c>
      <c r="O1492" s="8">
        <v>67.281000000000006</v>
      </c>
      <c r="P1492" s="8">
        <v>63.296999999999997</v>
      </c>
      <c r="Q1492" s="8">
        <v>57.317</v>
      </c>
      <c r="R1492" s="8">
        <v>44.369</v>
      </c>
      <c r="S1492" s="8">
        <v>30.632000000000001</v>
      </c>
      <c r="T1492" s="8">
        <v>35.049999999999997</v>
      </c>
      <c r="U1492" s="8">
        <v>28.827999999999999</v>
      </c>
      <c r="V1492" s="8">
        <v>23.071000000000002</v>
      </c>
      <c r="W1492" s="8">
        <v>15.64</v>
      </c>
      <c r="X1492" s="8">
        <v>12.141</v>
      </c>
      <c r="Y1492" s="8">
        <v>6.8390000000000004</v>
      </c>
      <c r="Z1492" s="8">
        <v>2.7829999999999999</v>
      </c>
      <c r="AA1492" s="8">
        <v>0.70699999999999996</v>
      </c>
      <c r="AB1492" s="8">
        <v>9.6000000000000002E-2</v>
      </c>
      <c r="AC1492" s="8">
        <v>7.0000000000000001E-3</v>
      </c>
    </row>
    <row r="1493" spans="1:29" ht="11.65" hidden="1" x14ac:dyDescent="0.35">
      <c r="A1493" s="12">
        <v>1476</v>
      </c>
      <c r="B1493" s="10" t="s">
        <v>1015</v>
      </c>
      <c r="C1493" s="11" t="s">
        <v>1122</v>
      </c>
      <c r="D1493" s="9"/>
      <c r="E1493" s="9">
        <v>422</v>
      </c>
      <c r="F1493" s="10" t="s">
        <v>1066</v>
      </c>
      <c r="G1493" s="9">
        <v>922</v>
      </c>
      <c r="H1493" s="9">
        <v>1975</v>
      </c>
      <c r="I1493" s="8">
        <v>178.35300000000001</v>
      </c>
      <c r="J1493" s="8">
        <v>166.131</v>
      </c>
      <c r="K1493" s="8">
        <v>158.38</v>
      </c>
      <c r="L1493" s="8">
        <v>142.62299999999999</v>
      </c>
      <c r="M1493" s="8">
        <v>122.589</v>
      </c>
      <c r="N1493" s="8">
        <v>82.135999999999996</v>
      </c>
      <c r="O1493" s="8">
        <v>69.302999999999997</v>
      </c>
      <c r="P1493" s="8">
        <v>66.194999999999993</v>
      </c>
      <c r="Q1493" s="8">
        <v>62.058999999999997</v>
      </c>
      <c r="R1493" s="8">
        <v>55.871000000000002</v>
      </c>
      <c r="S1493" s="8">
        <v>42.835999999999999</v>
      </c>
      <c r="T1493" s="8">
        <v>29.129000000000001</v>
      </c>
      <c r="U1493" s="8">
        <v>32.564</v>
      </c>
      <c r="V1493" s="8">
        <v>25.664999999999999</v>
      </c>
      <c r="W1493" s="8">
        <v>19.071999999999999</v>
      </c>
      <c r="X1493" s="8">
        <v>11.395</v>
      </c>
      <c r="Y1493" s="8">
        <v>7.1760000000000002</v>
      </c>
      <c r="Z1493" s="8">
        <v>2.9369999999999998</v>
      </c>
      <c r="AA1493" s="8">
        <v>0.77400000000000002</v>
      </c>
      <c r="AB1493" s="8">
        <v>0.113</v>
      </c>
      <c r="AC1493" s="8">
        <v>8.9999999999999993E-3</v>
      </c>
    </row>
    <row r="1494" spans="1:29" ht="11.65" hidden="1" x14ac:dyDescent="0.35">
      <c r="A1494" s="12">
        <v>1477</v>
      </c>
      <c r="B1494" s="10" t="s">
        <v>1015</v>
      </c>
      <c r="C1494" s="11" t="s">
        <v>1122</v>
      </c>
      <c r="D1494" s="9"/>
      <c r="E1494" s="9">
        <v>422</v>
      </c>
      <c r="F1494" s="10" t="s">
        <v>1066</v>
      </c>
      <c r="G1494" s="9">
        <v>922</v>
      </c>
      <c r="H1494" s="9">
        <v>1980</v>
      </c>
      <c r="I1494" s="8">
        <v>178.48599999999999</v>
      </c>
      <c r="J1494" s="8">
        <v>165.489</v>
      </c>
      <c r="K1494" s="8">
        <v>153.6</v>
      </c>
      <c r="L1494" s="8">
        <v>142.93</v>
      </c>
      <c r="M1494" s="8">
        <v>124.56100000000001</v>
      </c>
      <c r="N1494" s="8">
        <v>107.386</v>
      </c>
      <c r="O1494" s="8">
        <v>72.108000000000004</v>
      </c>
      <c r="P1494" s="8">
        <v>61.137</v>
      </c>
      <c r="Q1494" s="8">
        <v>58.918999999999997</v>
      </c>
      <c r="R1494" s="8">
        <v>55.423000000000002</v>
      </c>
      <c r="S1494" s="8">
        <v>49.536999999999999</v>
      </c>
      <c r="T1494" s="8">
        <v>37.341000000000001</v>
      </c>
      <c r="U1494" s="8">
        <v>25.084</v>
      </c>
      <c r="V1494" s="8">
        <v>28.61</v>
      </c>
      <c r="W1494" s="8">
        <v>21.404</v>
      </c>
      <c r="X1494" s="8">
        <v>14.042999999999999</v>
      </c>
      <c r="Y1494" s="8">
        <v>6.8179999999999996</v>
      </c>
      <c r="Z1494" s="8">
        <v>3.1139999999999999</v>
      </c>
      <c r="AA1494" s="8">
        <v>0.82199999999999995</v>
      </c>
      <c r="AB1494" s="8">
        <v>0.123</v>
      </c>
      <c r="AC1494" s="8">
        <v>0.01</v>
      </c>
    </row>
    <row r="1495" spans="1:29" ht="11.65" hidden="1" x14ac:dyDescent="0.35">
      <c r="A1495" s="12">
        <v>1478</v>
      </c>
      <c r="B1495" s="10" t="s">
        <v>1015</v>
      </c>
      <c r="C1495" s="11" t="s">
        <v>1122</v>
      </c>
      <c r="D1495" s="9"/>
      <c r="E1495" s="9">
        <v>422</v>
      </c>
      <c r="F1495" s="10" t="s">
        <v>1066</v>
      </c>
      <c r="G1495" s="9">
        <v>922</v>
      </c>
      <c r="H1495" s="9">
        <v>1985</v>
      </c>
      <c r="I1495" s="8">
        <v>171.55199999999999</v>
      </c>
      <c r="J1495" s="8">
        <v>172.81200000000001</v>
      </c>
      <c r="K1495" s="8">
        <v>162.542</v>
      </c>
      <c r="L1495" s="8">
        <v>146.05699999999999</v>
      </c>
      <c r="M1495" s="8">
        <v>126.03400000000001</v>
      </c>
      <c r="N1495" s="8">
        <v>104.009</v>
      </c>
      <c r="O1495" s="8">
        <v>90.155000000000001</v>
      </c>
      <c r="P1495" s="8">
        <v>59.887</v>
      </c>
      <c r="Q1495" s="8">
        <v>52.758000000000003</v>
      </c>
      <c r="R1495" s="8">
        <v>52.954000000000001</v>
      </c>
      <c r="S1495" s="8">
        <v>50.805999999999997</v>
      </c>
      <c r="T1495" s="8">
        <v>45.561</v>
      </c>
      <c r="U1495" s="8">
        <v>33.783000000000001</v>
      </c>
      <c r="V1495" s="8">
        <v>21.821000000000002</v>
      </c>
      <c r="W1495" s="8">
        <v>23.498000000000001</v>
      </c>
      <c r="X1495" s="8">
        <v>15.574999999999999</v>
      </c>
      <c r="Y1495" s="8">
        <v>8.3070000000000004</v>
      </c>
      <c r="Z1495" s="8">
        <v>2.9449999999999998</v>
      </c>
      <c r="AA1495" s="8">
        <v>0.876</v>
      </c>
      <c r="AB1495" s="8">
        <v>0.13300000000000001</v>
      </c>
      <c r="AC1495" s="8">
        <v>1.0999999999999999E-2</v>
      </c>
    </row>
    <row r="1496" spans="1:29" ht="11.65" hidden="1" x14ac:dyDescent="0.35">
      <c r="A1496" s="12">
        <v>1479</v>
      </c>
      <c r="B1496" s="10" t="s">
        <v>1015</v>
      </c>
      <c r="C1496" s="11" t="s">
        <v>1122</v>
      </c>
      <c r="D1496" s="9"/>
      <c r="E1496" s="9">
        <v>422</v>
      </c>
      <c r="F1496" s="10" t="s">
        <v>1066</v>
      </c>
      <c r="G1496" s="9">
        <v>922</v>
      </c>
      <c r="H1496" s="9">
        <v>1990</v>
      </c>
      <c r="I1496" s="8">
        <v>173.512</v>
      </c>
      <c r="J1496" s="8">
        <v>167.98500000000001</v>
      </c>
      <c r="K1496" s="8">
        <v>170.947</v>
      </c>
      <c r="L1496" s="8">
        <v>157.95599999999999</v>
      </c>
      <c r="M1496" s="8">
        <v>135.93899999999999</v>
      </c>
      <c r="N1496" s="8">
        <v>113.748</v>
      </c>
      <c r="O1496" s="8">
        <v>93.686000000000007</v>
      </c>
      <c r="P1496" s="8">
        <v>82.614999999999995</v>
      </c>
      <c r="Q1496" s="8">
        <v>54.737000000000002</v>
      </c>
      <c r="R1496" s="8">
        <v>49.005000000000003</v>
      </c>
      <c r="S1496" s="8">
        <v>49.790999999999997</v>
      </c>
      <c r="T1496" s="8">
        <v>47.72</v>
      </c>
      <c r="U1496" s="8">
        <v>42.161999999999999</v>
      </c>
      <c r="V1496" s="8">
        <v>30.135999999999999</v>
      </c>
      <c r="W1496" s="8">
        <v>18.152999999999999</v>
      </c>
      <c r="X1496" s="8">
        <v>17.437000000000001</v>
      </c>
      <c r="Y1496" s="8">
        <v>9.4350000000000005</v>
      </c>
      <c r="Z1496" s="8">
        <v>3.6760000000000002</v>
      </c>
      <c r="AA1496" s="8">
        <v>0.84399999999999997</v>
      </c>
      <c r="AB1496" s="8">
        <v>0.14399999999999999</v>
      </c>
      <c r="AC1496" s="8">
        <v>1.2E-2</v>
      </c>
    </row>
    <row r="1497" spans="1:29" ht="11.65" hidden="1" x14ac:dyDescent="0.35">
      <c r="A1497" s="12">
        <v>1480</v>
      </c>
      <c r="B1497" s="10" t="s">
        <v>1015</v>
      </c>
      <c r="C1497" s="11" t="s">
        <v>1122</v>
      </c>
      <c r="D1497" s="9"/>
      <c r="E1497" s="9">
        <v>422</v>
      </c>
      <c r="F1497" s="10" t="s">
        <v>1066</v>
      </c>
      <c r="G1497" s="9">
        <v>922</v>
      </c>
      <c r="H1497" s="9">
        <v>1995</v>
      </c>
      <c r="I1497" s="8">
        <v>210.273</v>
      </c>
      <c r="J1497" s="8">
        <v>181.142</v>
      </c>
      <c r="K1497" s="8">
        <v>172.27799999999999</v>
      </c>
      <c r="L1497" s="8">
        <v>183.61500000000001</v>
      </c>
      <c r="M1497" s="8">
        <v>187.47200000000001</v>
      </c>
      <c r="N1497" s="8">
        <v>172.053</v>
      </c>
      <c r="O1497" s="8">
        <v>143.62299999999999</v>
      </c>
      <c r="P1497" s="8">
        <v>114.443</v>
      </c>
      <c r="Q1497" s="8">
        <v>95.885000000000005</v>
      </c>
      <c r="R1497" s="8">
        <v>62.960999999999999</v>
      </c>
      <c r="S1497" s="8">
        <v>53.62</v>
      </c>
      <c r="T1497" s="8">
        <v>51.673000000000002</v>
      </c>
      <c r="U1497" s="8">
        <v>47.401000000000003</v>
      </c>
      <c r="V1497" s="8">
        <v>39.841999999999999</v>
      </c>
      <c r="W1497" s="8">
        <v>26.553000000000001</v>
      </c>
      <c r="X1497" s="8">
        <v>14.297000000000001</v>
      </c>
      <c r="Y1497" s="8">
        <v>11.156000000000001</v>
      </c>
      <c r="Z1497" s="8">
        <v>4.3630000000000004</v>
      </c>
      <c r="AA1497" s="8">
        <v>1.0780000000000001</v>
      </c>
      <c r="AB1497" s="8">
        <v>0.14299999999999999</v>
      </c>
      <c r="AC1497" s="8">
        <v>1.2999999999999999E-2</v>
      </c>
    </row>
    <row r="1498" spans="1:29" ht="11.65" hidden="1" x14ac:dyDescent="0.35">
      <c r="A1498" s="12">
        <v>1481</v>
      </c>
      <c r="B1498" s="10" t="s">
        <v>1015</v>
      </c>
      <c r="C1498" s="11" t="s">
        <v>1122</v>
      </c>
      <c r="D1498" s="9"/>
      <c r="E1498" s="9">
        <v>422</v>
      </c>
      <c r="F1498" s="10" t="s">
        <v>1066</v>
      </c>
      <c r="G1498" s="9">
        <v>922</v>
      </c>
      <c r="H1498" s="9">
        <v>2000</v>
      </c>
      <c r="I1498" s="8">
        <v>202.38499999999999</v>
      </c>
      <c r="J1498" s="8">
        <v>200.33099999999999</v>
      </c>
      <c r="K1498" s="8">
        <v>179.65799999999999</v>
      </c>
      <c r="L1498" s="8">
        <v>173.03299999999999</v>
      </c>
      <c r="M1498" s="8">
        <v>183.11199999999999</v>
      </c>
      <c r="N1498" s="8">
        <v>186.96199999999999</v>
      </c>
      <c r="O1498" s="8">
        <v>171.33600000000001</v>
      </c>
      <c r="P1498" s="8">
        <v>141.78100000000001</v>
      </c>
      <c r="Q1498" s="8">
        <v>113.72199999999999</v>
      </c>
      <c r="R1498" s="8">
        <v>97.456999999999994</v>
      </c>
      <c r="S1498" s="8">
        <v>60.924999999999997</v>
      </c>
      <c r="T1498" s="8">
        <v>50.14</v>
      </c>
      <c r="U1498" s="8">
        <v>50.326000000000001</v>
      </c>
      <c r="V1498" s="8">
        <v>44.734999999999999</v>
      </c>
      <c r="W1498" s="8">
        <v>35.271000000000001</v>
      </c>
      <c r="X1498" s="8">
        <v>20.763999999999999</v>
      </c>
      <c r="Y1498" s="8">
        <v>9.0289999999999999</v>
      </c>
      <c r="Z1498" s="8">
        <v>5.47</v>
      </c>
      <c r="AA1498" s="8">
        <v>1.4079999999999999</v>
      </c>
      <c r="AB1498" s="8">
        <v>0.20300000000000001</v>
      </c>
      <c r="AC1498" s="8">
        <v>1.4999999999999999E-2</v>
      </c>
    </row>
    <row r="1499" spans="1:29" ht="11.65" hidden="1" x14ac:dyDescent="0.35">
      <c r="A1499" s="12">
        <v>1482</v>
      </c>
      <c r="B1499" s="10" t="s">
        <v>1015</v>
      </c>
      <c r="C1499" s="11" t="s">
        <v>1122</v>
      </c>
      <c r="D1499" s="9"/>
      <c r="E1499" s="9">
        <v>422</v>
      </c>
      <c r="F1499" s="10" t="s">
        <v>1066</v>
      </c>
      <c r="G1499" s="9">
        <v>922</v>
      </c>
      <c r="H1499" s="9">
        <v>2005</v>
      </c>
      <c r="I1499" s="8">
        <v>210.947</v>
      </c>
      <c r="J1499" s="8">
        <v>243.631</v>
      </c>
      <c r="K1499" s="8">
        <v>261.23200000000003</v>
      </c>
      <c r="L1499" s="8">
        <v>238.434</v>
      </c>
      <c r="M1499" s="8">
        <v>218.82900000000001</v>
      </c>
      <c r="N1499" s="8">
        <v>196.626</v>
      </c>
      <c r="O1499" s="8">
        <v>177.654</v>
      </c>
      <c r="P1499" s="8">
        <v>160.196</v>
      </c>
      <c r="Q1499" s="8">
        <v>123.667</v>
      </c>
      <c r="R1499" s="8">
        <v>106.613</v>
      </c>
      <c r="S1499" s="8">
        <v>105.148</v>
      </c>
      <c r="T1499" s="8">
        <v>71.498999999999995</v>
      </c>
      <c r="U1499" s="8">
        <v>48.613999999999997</v>
      </c>
      <c r="V1499" s="8">
        <v>54.787999999999997</v>
      </c>
      <c r="W1499" s="8">
        <v>46.433999999999997</v>
      </c>
      <c r="X1499" s="8">
        <v>23.603999999999999</v>
      </c>
      <c r="Y1499" s="8">
        <v>12.343</v>
      </c>
      <c r="Z1499" s="8">
        <v>5.5460000000000003</v>
      </c>
      <c r="AA1499" s="8">
        <v>2.0529999999999999</v>
      </c>
      <c r="AB1499" s="8">
        <v>0.32200000000000001</v>
      </c>
      <c r="AC1499" s="8">
        <v>2.5000000000000001E-2</v>
      </c>
    </row>
    <row r="1500" spans="1:29" ht="11.65" hidden="1" x14ac:dyDescent="0.35">
      <c r="A1500" s="12">
        <v>1483</v>
      </c>
      <c r="B1500" s="10" t="s">
        <v>1015</v>
      </c>
      <c r="C1500" s="11" t="s">
        <v>1122</v>
      </c>
      <c r="D1500" s="9"/>
      <c r="E1500" s="9">
        <v>422</v>
      </c>
      <c r="F1500" s="10" t="s">
        <v>1066</v>
      </c>
      <c r="G1500" s="9">
        <v>922</v>
      </c>
      <c r="H1500" s="9">
        <v>2010</v>
      </c>
      <c r="I1500" s="8">
        <v>180.864</v>
      </c>
      <c r="J1500" s="8">
        <v>209.98599999999999</v>
      </c>
      <c r="K1500" s="8">
        <v>243.101</v>
      </c>
      <c r="L1500" s="8">
        <v>260.04000000000002</v>
      </c>
      <c r="M1500" s="8">
        <v>235.92</v>
      </c>
      <c r="N1500" s="8">
        <v>215.76499999999999</v>
      </c>
      <c r="O1500" s="8">
        <v>193.95599999999999</v>
      </c>
      <c r="P1500" s="8">
        <v>175.54300000000001</v>
      </c>
      <c r="Q1500" s="8">
        <v>158.446</v>
      </c>
      <c r="R1500" s="8">
        <v>122.142</v>
      </c>
      <c r="S1500" s="8">
        <v>105.014</v>
      </c>
      <c r="T1500" s="8">
        <v>103.075</v>
      </c>
      <c r="U1500" s="8">
        <v>69.39</v>
      </c>
      <c r="V1500" s="8">
        <v>46.253999999999998</v>
      </c>
      <c r="W1500" s="8">
        <v>50.167000000000002</v>
      </c>
      <c r="X1500" s="8">
        <v>39.606000000000002</v>
      </c>
      <c r="Y1500" s="8">
        <v>17.681000000000001</v>
      </c>
      <c r="Z1500" s="8">
        <v>7.4240000000000004</v>
      </c>
      <c r="AA1500" s="8">
        <v>2.4020000000000001</v>
      </c>
      <c r="AB1500" s="8">
        <v>0.56499999999999995</v>
      </c>
      <c r="AC1500" s="8">
        <v>4.9000000000000002E-2</v>
      </c>
    </row>
    <row r="1501" spans="1:29" ht="11.65" hidden="1" x14ac:dyDescent="0.35">
      <c r="A1501" s="12">
        <v>1484</v>
      </c>
      <c r="B1501" s="10" t="s">
        <v>1015</v>
      </c>
      <c r="C1501" s="11" t="s">
        <v>1122</v>
      </c>
      <c r="D1501" s="9"/>
      <c r="E1501" s="9">
        <v>422</v>
      </c>
      <c r="F1501" s="10" t="s">
        <v>1066</v>
      </c>
      <c r="G1501" s="9">
        <v>922</v>
      </c>
      <c r="H1501" s="9">
        <v>2015</v>
      </c>
      <c r="I1501" s="8">
        <v>291.92</v>
      </c>
      <c r="J1501" s="8">
        <v>275.72899999999998</v>
      </c>
      <c r="K1501" s="8">
        <v>292.92500000000001</v>
      </c>
      <c r="L1501" s="8">
        <v>305.88900000000001</v>
      </c>
      <c r="M1501" s="8">
        <v>310.63600000000002</v>
      </c>
      <c r="N1501" s="8">
        <v>289.11399999999998</v>
      </c>
      <c r="O1501" s="8">
        <v>264.839</v>
      </c>
      <c r="P1501" s="8">
        <v>233.53700000000001</v>
      </c>
      <c r="Q1501" s="8">
        <v>206.90600000000001</v>
      </c>
      <c r="R1501" s="8">
        <v>181.47399999999999</v>
      </c>
      <c r="S1501" s="8">
        <v>140.947</v>
      </c>
      <c r="T1501" s="8">
        <v>119.381</v>
      </c>
      <c r="U1501" s="8">
        <v>112.47199999999999</v>
      </c>
      <c r="V1501" s="8">
        <v>74.820999999999998</v>
      </c>
      <c r="W1501" s="8">
        <v>48.386000000000003</v>
      </c>
      <c r="X1501" s="8">
        <v>47.494999999999997</v>
      </c>
      <c r="Y1501" s="8">
        <v>32.619999999999997</v>
      </c>
      <c r="Z1501" s="8">
        <v>11.577999999999999</v>
      </c>
      <c r="AA1501" s="8">
        <v>3.3860000000000001</v>
      </c>
      <c r="AB1501" s="8">
        <v>0.71199999999999997</v>
      </c>
      <c r="AC1501" s="8">
        <v>9.4E-2</v>
      </c>
    </row>
    <row r="1502" spans="1:29" ht="11.65" hidden="1" x14ac:dyDescent="0.35">
      <c r="A1502" s="12">
        <v>1485</v>
      </c>
      <c r="B1502" s="10" t="s">
        <v>1015</v>
      </c>
      <c r="C1502" s="11" t="s">
        <v>1122</v>
      </c>
      <c r="D1502" s="9"/>
      <c r="E1502" s="9">
        <v>422</v>
      </c>
      <c r="F1502" s="10" t="s">
        <v>1066</v>
      </c>
      <c r="G1502" s="9">
        <v>922</v>
      </c>
      <c r="H1502" s="9">
        <v>2020</v>
      </c>
      <c r="I1502" s="8">
        <v>277.05900000000003</v>
      </c>
      <c r="J1502" s="8">
        <v>279.48599999999999</v>
      </c>
      <c r="K1502" s="8">
        <v>265.065</v>
      </c>
      <c r="L1502" s="8">
        <v>284.73</v>
      </c>
      <c r="M1502" s="8">
        <v>299.03399999999999</v>
      </c>
      <c r="N1502" s="8">
        <v>303.30099999999999</v>
      </c>
      <c r="O1502" s="8">
        <v>282.214</v>
      </c>
      <c r="P1502" s="8">
        <v>259.00299999999999</v>
      </c>
      <c r="Q1502" s="8">
        <v>228.53</v>
      </c>
      <c r="R1502" s="8">
        <v>202.56800000000001</v>
      </c>
      <c r="S1502" s="8">
        <v>177.15799999999999</v>
      </c>
      <c r="T1502" s="8">
        <v>136.77600000000001</v>
      </c>
      <c r="U1502" s="8">
        <v>114.998</v>
      </c>
      <c r="V1502" s="8">
        <v>106.759</v>
      </c>
      <c r="W1502" s="8">
        <v>68.5</v>
      </c>
      <c r="X1502" s="8">
        <v>41.421999999999997</v>
      </c>
      <c r="Y1502" s="8">
        <v>36.247999999999998</v>
      </c>
      <c r="Z1502" s="8">
        <v>20.38</v>
      </c>
      <c r="AA1502" s="8">
        <v>5.327</v>
      </c>
      <c r="AB1502" s="8">
        <v>1.014</v>
      </c>
      <c r="AC1502" s="8">
        <v>0.124</v>
      </c>
    </row>
    <row r="1503" spans="1:29" ht="11.65" hidden="1" x14ac:dyDescent="0.35">
      <c r="A1503" s="12">
        <v>1486</v>
      </c>
      <c r="B1503" s="10" t="s">
        <v>1015</v>
      </c>
      <c r="C1503" s="11" t="s">
        <v>1123</v>
      </c>
      <c r="D1503" s="9"/>
      <c r="E1503" s="9">
        <v>512</v>
      </c>
      <c r="F1503" s="10" t="s">
        <v>1066</v>
      </c>
      <c r="G1503" s="9">
        <v>922</v>
      </c>
      <c r="H1503" s="9">
        <v>1950</v>
      </c>
      <c r="I1503" s="8">
        <v>38.244999999999997</v>
      </c>
      <c r="J1503" s="8">
        <v>30.396999999999998</v>
      </c>
      <c r="K1503" s="8">
        <v>26.306000000000001</v>
      </c>
      <c r="L1503" s="8">
        <v>22.911000000000001</v>
      </c>
      <c r="M1503" s="8">
        <v>19.675000000000001</v>
      </c>
      <c r="N1503" s="8">
        <v>16.800999999999998</v>
      </c>
      <c r="O1503" s="8">
        <v>14.369</v>
      </c>
      <c r="P1503" s="8">
        <v>12.38</v>
      </c>
      <c r="Q1503" s="8">
        <v>10.5</v>
      </c>
      <c r="R1503" s="8">
        <v>8.8420000000000005</v>
      </c>
      <c r="S1503" s="8">
        <v>7.2949999999999999</v>
      </c>
      <c r="T1503" s="8">
        <v>5.6360000000000001</v>
      </c>
      <c r="U1503" s="8">
        <v>4.4210000000000003</v>
      </c>
      <c r="V1503" s="8">
        <v>3.2040000000000002</v>
      </c>
      <c r="W1503" s="8">
        <v>2.1</v>
      </c>
      <c r="X1503" s="8">
        <v>1.105</v>
      </c>
      <c r="Y1503" s="8">
        <v>0.436</v>
      </c>
      <c r="Z1503" s="8">
        <v>0.10299999999999999</v>
      </c>
      <c r="AA1503" s="8">
        <v>1.4E-2</v>
      </c>
      <c r="AB1503" s="8">
        <v>0</v>
      </c>
      <c r="AC1503" s="8">
        <v>0</v>
      </c>
    </row>
    <row r="1504" spans="1:29" ht="11.65" hidden="1" x14ac:dyDescent="0.35">
      <c r="A1504" s="12">
        <v>1487</v>
      </c>
      <c r="B1504" s="10" t="s">
        <v>1015</v>
      </c>
      <c r="C1504" s="11" t="s">
        <v>1123</v>
      </c>
      <c r="D1504" s="9"/>
      <c r="E1504" s="9">
        <v>512</v>
      </c>
      <c r="F1504" s="10" t="s">
        <v>1066</v>
      </c>
      <c r="G1504" s="9">
        <v>922</v>
      </c>
      <c r="H1504" s="9">
        <v>1955</v>
      </c>
      <c r="I1504" s="8">
        <v>41.534999999999997</v>
      </c>
      <c r="J1504" s="8">
        <v>32.997</v>
      </c>
      <c r="K1504" s="8">
        <v>29.344999999999999</v>
      </c>
      <c r="L1504" s="8">
        <v>25.471</v>
      </c>
      <c r="M1504" s="8">
        <v>21.867999999999999</v>
      </c>
      <c r="N1504" s="8">
        <v>18.559999999999999</v>
      </c>
      <c r="O1504" s="8">
        <v>15.736000000000001</v>
      </c>
      <c r="P1504" s="8">
        <v>13.395</v>
      </c>
      <c r="Q1504" s="8">
        <v>11.494</v>
      </c>
      <c r="R1504" s="8">
        <v>9.8059999999999992</v>
      </c>
      <c r="S1504" s="8">
        <v>8.2629999999999999</v>
      </c>
      <c r="T1504" s="8">
        <v>6.6669999999999998</v>
      </c>
      <c r="U1504" s="8">
        <v>4.9109999999999996</v>
      </c>
      <c r="V1504" s="8">
        <v>3.5379999999999998</v>
      </c>
      <c r="W1504" s="8">
        <v>2.23</v>
      </c>
      <c r="X1504" s="8">
        <v>1.1599999999999999</v>
      </c>
      <c r="Y1504" s="8">
        <v>0.42899999999999999</v>
      </c>
      <c r="Z1504" s="8">
        <v>0.104</v>
      </c>
      <c r="AA1504" s="8">
        <v>1.4E-2</v>
      </c>
      <c r="AB1504" s="8">
        <v>0</v>
      </c>
      <c r="AC1504" s="8">
        <v>0</v>
      </c>
    </row>
    <row r="1505" spans="1:29" ht="11.65" hidden="1" x14ac:dyDescent="0.35">
      <c r="A1505" s="12">
        <v>1488</v>
      </c>
      <c r="B1505" s="10" t="s">
        <v>1015</v>
      </c>
      <c r="C1505" s="11" t="s">
        <v>1123</v>
      </c>
      <c r="D1505" s="9"/>
      <c r="E1505" s="9">
        <v>512</v>
      </c>
      <c r="F1505" s="10" t="s">
        <v>1066</v>
      </c>
      <c r="G1505" s="9">
        <v>922</v>
      </c>
      <c r="H1505" s="9">
        <v>1960</v>
      </c>
      <c r="I1505" s="8">
        <v>48.804000000000002</v>
      </c>
      <c r="J1505" s="8">
        <v>37.101999999999997</v>
      </c>
      <c r="K1505" s="8">
        <v>32.023000000000003</v>
      </c>
      <c r="L1505" s="8">
        <v>28.538</v>
      </c>
      <c r="M1505" s="8">
        <v>24.454999999999998</v>
      </c>
      <c r="N1505" s="8">
        <v>20.776</v>
      </c>
      <c r="O1505" s="8">
        <v>17.518999999999998</v>
      </c>
      <c r="P1505" s="8">
        <v>14.786</v>
      </c>
      <c r="Q1505" s="8">
        <v>12.531000000000001</v>
      </c>
      <c r="R1505" s="8">
        <v>10.807</v>
      </c>
      <c r="S1505" s="8">
        <v>9.2189999999999994</v>
      </c>
      <c r="T1505" s="8">
        <v>7.61</v>
      </c>
      <c r="U1505" s="8">
        <v>5.8760000000000003</v>
      </c>
      <c r="V1505" s="8">
        <v>4.0030000000000001</v>
      </c>
      <c r="W1505" s="8">
        <v>2.5299999999999998</v>
      </c>
      <c r="X1505" s="8">
        <v>1.2809999999999999</v>
      </c>
      <c r="Y1505" s="8">
        <v>0.47499999999999998</v>
      </c>
      <c r="Z1505" s="8">
        <v>0.109</v>
      </c>
      <c r="AA1505" s="8">
        <v>1.4999999999999999E-2</v>
      </c>
      <c r="AB1505" s="8">
        <v>0</v>
      </c>
      <c r="AC1505" s="8">
        <v>0</v>
      </c>
    </row>
    <row r="1506" spans="1:29" ht="11.65" hidden="1" x14ac:dyDescent="0.35">
      <c r="A1506" s="12">
        <v>1489</v>
      </c>
      <c r="B1506" s="10" t="s">
        <v>1015</v>
      </c>
      <c r="C1506" s="11" t="s">
        <v>1123</v>
      </c>
      <c r="D1506" s="9"/>
      <c r="E1506" s="9">
        <v>512</v>
      </c>
      <c r="F1506" s="10" t="s">
        <v>1066</v>
      </c>
      <c r="G1506" s="9">
        <v>922</v>
      </c>
      <c r="H1506" s="9">
        <v>1965</v>
      </c>
      <c r="I1506" s="8">
        <v>57.143999999999998</v>
      </c>
      <c r="J1506" s="8">
        <v>44.747</v>
      </c>
      <c r="K1506" s="8">
        <v>36.167999999999999</v>
      </c>
      <c r="L1506" s="8">
        <v>31.257999999999999</v>
      </c>
      <c r="M1506" s="8">
        <v>27.54</v>
      </c>
      <c r="N1506" s="8">
        <v>23.382000000000001</v>
      </c>
      <c r="O1506" s="8">
        <v>19.745999999999999</v>
      </c>
      <c r="P1506" s="8">
        <v>16.579999999999998</v>
      </c>
      <c r="Q1506" s="8">
        <v>13.930999999999999</v>
      </c>
      <c r="R1506" s="8">
        <v>11.853</v>
      </c>
      <c r="S1506" s="8">
        <v>10.217000000000001</v>
      </c>
      <c r="T1506" s="8">
        <v>8.5530000000000008</v>
      </c>
      <c r="U1506" s="8">
        <v>6.78</v>
      </c>
      <c r="V1506" s="8">
        <v>4.8710000000000004</v>
      </c>
      <c r="W1506" s="8">
        <v>2.9359999999999999</v>
      </c>
      <c r="X1506" s="8">
        <v>1.5089999999999999</v>
      </c>
      <c r="Y1506" s="8">
        <v>0.55200000000000005</v>
      </c>
      <c r="Z1506" s="8">
        <v>0.13</v>
      </c>
      <c r="AA1506" s="8">
        <v>1.6E-2</v>
      </c>
      <c r="AB1506" s="8">
        <v>0</v>
      </c>
      <c r="AC1506" s="8">
        <v>0</v>
      </c>
    </row>
    <row r="1507" spans="1:29" ht="11.65" hidden="1" x14ac:dyDescent="0.35">
      <c r="A1507" s="12">
        <v>1490</v>
      </c>
      <c r="B1507" s="10" t="s">
        <v>1015</v>
      </c>
      <c r="C1507" s="11" t="s">
        <v>1123</v>
      </c>
      <c r="D1507" s="9"/>
      <c r="E1507" s="9">
        <v>512</v>
      </c>
      <c r="F1507" s="10" t="s">
        <v>1066</v>
      </c>
      <c r="G1507" s="9">
        <v>922</v>
      </c>
      <c r="H1507" s="9">
        <v>1970</v>
      </c>
      <c r="I1507" s="8">
        <v>67.347999999999999</v>
      </c>
      <c r="J1507" s="8">
        <v>53.44</v>
      </c>
      <c r="K1507" s="8">
        <v>43.802999999999997</v>
      </c>
      <c r="L1507" s="8">
        <v>35.470999999999997</v>
      </c>
      <c r="M1507" s="8">
        <v>30.391999999999999</v>
      </c>
      <c r="N1507" s="8">
        <v>26.61</v>
      </c>
      <c r="O1507" s="8">
        <v>22.507000000000001</v>
      </c>
      <c r="P1507" s="8">
        <v>18.949000000000002</v>
      </c>
      <c r="Q1507" s="8">
        <v>15.852</v>
      </c>
      <c r="R1507" s="8">
        <v>13.308999999999999</v>
      </c>
      <c r="S1507" s="8">
        <v>11.262</v>
      </c>
      <c r="T1507" s="8">
        <v>9.532</v>
      </c>
      <c r="U1507" s="8">
        <v>7.6870000000000003</v>
      </c>
      <c r="V1507" s="8">
        <v>5.702</v>
      </c>
      <c r="W1507" s="8">
        <v>3.6520000000000001</v>
      </c>
      <c r="X1507" s="8">
        <v>1.8120000000000001</v>
      </c>
      <c r="Y1507" s="8">
        <v>0.68300000000000005</v>
      </c>
      <c r="Z1507" s="8">
        <v>0.158</v>
      </c>
      <c r="AA1507" s="8">
        <v>0.02</v>
      </c>
      <c r="AB1507" s="8">
        <v>0</v>
      </c>
      <c r="AC1507" s="8">
        <v>0</v>
      </c>
    </row>
    <row r="1508" spans="1:29" ht="11.65" hidden="1" x14ac:dyDescent="0.35">
      <c r="A1508" s="12">
        <v>1491</v>
      </c>
      <c r="B1508" s="10" t="s">
        <v>1015</v>
      </c>
      <c r="C1508" s="11" t="s">
        <v>1123</v>
      </c>
      <c r="D1508" s="9"/>
      <c r="E1508" s="9">
        <v>512</v>
      </c>
      <c r="F1508" s="10" t="s">
        <v>1066</v>
      </c>
      <c r="G1508" s="9">
        <v>922</v>
      </c>
      <c r="H1508" s="9">
        <v>1975</v>
      </c>
      <c r="I1508" s="8">
        <v>82.022999999999996</v>
      </c>
      <c r="J1508" s="8">
        <v>64.006</v>
      </c>
      <c r="K1508" s="8">
        <v>52.570999999999998</v>
      </c>
      <c r="L1508" s="8">
        <v>43.392000000000003</v>
      </c>
      <c r="M1508" s="8">
        <v>35.173999999999999</v>
      </c>
      <c r="N1508" s="8">
        <v>30.27</v>
      </c>
      <c r="O1508" s="8">
        <v>26.625</v>
      </c>
      <c r="P1508" s="8">
        <v>22.552</v>
      </c>
      <c r="Q1508" s="8">
        <v>18.960999999999999</v>
      </c>
      <c r="R1508" s="8">
        <v>15.585000000000001</v>
      </c>
      <c r="S1508" s="8">
        <v>12.724</v>
      </c>
      <c r="T1508" s="8">
        <v>10.561999999999999</v>
      </c>
      <c r="U1508" s="8">
        <v>8.64</v>
      </c>
      <c r="V1508" s="8">
        <v>6.55</v>
      </c>
      <c r="W1508" s="8">
        <v>4.3659999999999997</v>
      </c>
      <c r="X1508" s="8">
        <v>2.3290000000000002</v>
      </c>
      <c r="Y1508" s="8">
        <v>0.85899999999999999</v>
      </c>
      <c r="Z1508" s="8">
        <v>0.20899999999999999</v>
      </c>
      <c r="AA1508" s="8">
        <v>2.8000000000000001E-2</v>
      </c>
      <c r="AB1508" s="8">
        <v>2E-3</v>
      </c>
      <c r="AC1508" s="8">
        <v>0</v>
      </c>
    </row>
    <row r="1509" spans="1:29" ht="11.65" hidden="1" x14ac:dyDescent="0.35">
      <c r="A1509" s="12">
        <v>1492</v>
      </c>
      <c r="B1509" s="10" t="s">
        <v>1015</v>
      </c>
      <c r="C1509" s="11" t="s">
        <v>1123</v>
      </c>
      <c r="D1509" s="9"/>
      <c r="E1509" s="9">
        <v>512</v>
      </c>
      <c r="F1509" s="10" t="s">
        <v>1066</v>
      </c>
      <c r="G1509" s="9">
        <v>922</v>
      </c>
      <c r="H1509" s="9">
        <v>1980</v>
      </c>
      <c r="I1509" s="8">
        <v>112.77</v>
      </c>
      <c r="J1509" s="8">
        <v>79.402000000000001</v>
      </c>
      <c r="K1509" s="8">
        <v>63.430999999999997</v>
      </c>
      <c r="L1509" s="8">
        <v>52.77</v>
      </c>
      <c r="M1509" s="8">
        <v>44.115000000000002</v>
      </c>
      <c r="N1509" s="8">
        <v>36.476999999999997</v>
      </c>
      <c r="O1509" s="8">
        <v>31.888999999999999</v>
      </c>
      <c r="P1509" s="8">
        <v>28.155999999999999</v>
      </c>
      <c r="Q1509" s="8">
        <v>23.870999999999999</v>
      </c>
      <c r="R1509" s="8">
        <v>19.335999999999999</v>
      </c>
      <c r="S1509" s="8">
        <v>15.045</v>
      </c>
      <c r="T1509" s="8">
        <v>12.022</v>
      </c>
      <c r="U1509" s="8">
        <v>9.6639999999999997</v>
      </c>
      <c r="V1509" s="8">
        <v>7.45</v>
      </c>
      <c r="W1509" s="8">
        <v>5.1280000000000001</v>
      </c>
      <c r="X1509" s="8">
        <v>2.9129999999999998</v>
      </c>
      <c r="Y1509" s="8">
        <v>1.1950000000000001</v>
      </c>
      <c r="Z1509" s="8">
        <v>0.30299999999999999</v>
      </c>
      <c r="AA1509" s="8">
        <v>4.5999999999999999E-2</v>
      </c>
      <c r="AB1509" s="8">
        <v>3.0000000000000001E-3</v>
      </c>
      <c r="AC1509" s="8">
        <v>0</v>
      </c>
    </row>
    <row r="1510" spans="1:29" ht="11.65" hidden="1" x14ac:dyDescent="0.35">
      <c r="A1510" s="12">
        <v>1493</v>
      </c>
      <c r="B1510" s="10" t="s">
        <v>1015</v>
      </c>
      <c r="C1510" s="11" t="s">
        <v>1123</v>
      </c>
      <c r="D1510" s="9"/>
      <c r="E1510" s="9">
        <v>512</v>
      </c>
      <c r="F1510" s="10" t="s">
        <v>1066</v>
      </c>
      <c r="G1510" s="9">
        <v>922</v>
      </c>
      <c r="H1510" s="9">
        <v>1985</v>
      </c>
      <c r="I1510" s="8">
        <v>145.69499999999999</v>
      </c>
      <c r="J1510" s="8">
        <v>110.56</v>
      </c>
      <c r="K1510" s="8">
        <v>78.953999999999994</v>
      </c>
      <c r="L1510" s="8">
        <v>63.762999999999998</v>
      </c>
      <c r="M1510" s="8">
        <v>53.680999999999997</v>
      </c>
      <c r="N1510" s="8">
        <v>45.624000000000002</v>
      </c>
      <c r="O1510" s="8">
        <v>38.334000000000003</v>
      </c>
      <c r="P1510" s="8">
        <v>33.64</v>
      </c>
      <c r="Q1510" s="8">
        <v>29.635999999999999</v>
      </c>
      <c r="R1510" s="8">
        <v>24.311</v>
      </c>
      <c r="S1510" s="8">
        <v>18.78</v>
      </c>
      <c r="T1510" s="8">
        <v>14.308999999999999</v>
      </c>
      <c r="U1510" s="8">
        <v>11.095000000000001</v>
      </c>
      <c r="V1510" s="8">
        <v>8.4260000000000002</v>
      </c>
      <c r="W1510" s="8">
        <v>5.95</v>
      </c>
      <c r="X1510" s="8">
        <v>3.5680000000000001</v>
      </c>
      <c r="Y1510" s="8">
        <v>1.613</v>
      </c>
      <c r="Z1510" s="8">
        <v>0.48199999999999998</v>
      </c>
      <c r="AA1510" s="8">
        <v>8.2000000000000003E-2</v>
      </c>
      <c r="AB1510" s="8">
        <v>6.0000000000000001E-3</v>
      </c>
      <c r="AC1510" s="8">
        <v>0</v>
      </c>
    </row>
    <row r="1511" spans="1:29" ht="11.65" hidden="1" x14ac:dyDescent="0.35">
      <c r="A1511" s="12">
        <v>1494</v>
      </c>
      <c r="B1511" s="10" t="s">
        <v>1015</v>
      </c>
      <c r="C1511" s="11" t="s">
        <v>1123</v>
      </c>
      <c r="D1511" s="9"/>
      <c r="E1511" s="9">
        <v>512</v>
      </c>
      <c r="F1511" s="10" t="s">
        <v>1066</v>
      </c>
      <c r="G1511" s="9">
        <v>922</v>
      </c>
      <c r="H1511" s="9">
        <v>1990</v>
      </c>
      <c r="I1511" s="8">
        <v>157.90199999999999</v>
      </c>
      <c r="J1511" s="8">
        <v>136.55099999999999</v>
      </c>
      <c r="K1511" s="8">
        <v>107.09399999999999</v>
      </c>
      <c r="L1511" s="8">
        <v>73.218000000000004</v>
      </c>
      <c r="M1511" s="8">
        <v>60.185000000000002</v>
      </c>
      <c r="N1511" s="8">
        <v>53.084000000000003</v>
      </c>
      <c r="O1511" s="8">
        <v>46.145000000000003</v>
      </c>
      <c r="P1511" s="8">
        <v>37.128</v>
      </c>
      <c r="Q1511" s="8">
        <v>30.914999999999999</v>
      </c>
      <c r="R1511" s="8">
        <v>26.907</v>
      </c>
      <c r="S1511" s="8">
        <v>21.138999999999999</v>
      </c>
      <c r="T1511" s="8">
        <v>16.29</v>
      </c>
      <c r="U1511" s="8">
        <v>12.962</v>
      </c>
      <c r="V1511" s="8">
        <v>9.7720000000000002</v>
      </c>
      <c r="W1511" s="8">
        <v>6.8559999999999999</v>
      </c>
      <c r="X1511" s="8">
        <v>4.3</v>
      </c>
      <c r="Y1511" s="8">
        <v>2.1120000000000001</v>
      </c>
      <c r="Z1511" s="8">
        <v>0.73</v>
      </c>
      <c r="AA1511" s="8">
        <v>0.154</v>
      </c>
      <c r="AB1511" s="8">
        <v>1.7000000000000001E-2</v>
      </c>
      <c r="AC1511" s="8">
        <v>1E-3</v>
      </c>
    </row>
    <row r="1512" spans="1:29" ht="11.65" hidden="1" x14ac:dyDescent="0.35">
      <c r="A1512" s="12">
        <v>1495</v>
      </c>
      <c r="B1512" s="10" t="s">
        <v>1015</v>
      </c>
      <c r="C1512" s="11" t="s">
        <v>1123</v>
      </c>
      <c r="D1512" s="9"/>
      <c r="E1512" s="9">
        <v>512</v>
      </c>
      <c r="F1512" s="10" t="s">
        <v>1066</v>
      </c>
      <c r="G1512" s="9">
        <v>922</v>
      </c>
      <c r="H1512" s="9">
        <v>1995</v>
      </c>
      <c r="I1512" s="8">
        <v>150.86500000000001</v>
      </c>
      <c r="J1512" s="8">
        <v>144.285</v>
      </c>
      <c r="K1512" s="8">
        <v>131</v>
      </c>
      <c r="L1512" s="8">
        <v>99.656000000000006</v>
      </c>
      <c r="M1512" s="8">
        <v>61.851999999999997</v>
      </c>
      <c r="N1512" s="8">
        <v>62.81</v>
      </c>
      <c r="O1512" s="8">
        <v>60.886000000000003</v>
      </c>
      <c r="P1512" s="8">
        <v>49.738</v>
      </c>
      <c r="Q1512" s="8">
        <v>35.682000000000002</v>
      </c>
      <c r="R1512" s="8">
        <v>23.513000000000002</v>
      </c>
      <c r="S1512" s="8">
        <v>21.385999999999999</v>
      </c>
      <c r="T1512" s="8">
        <v>16.898</v>
      </c>
      <c r="U1512" s="8">
        <v>12.869</v>
      </c>
      <c r="V1512" s="8">
        <v>9.4570000000000007</v>
      </c>
      <c r="W1512" s="8">
        <v>6.9260000000000002</v>
      </c>
      <c r="X1512" s="8">
        <v>5.1219999999999999</v>
      </c>
      <c r="Y1512" s="8">
        <v>2.702</v>
      </c>
      <c r="Z1512" s="8">
        <v>1.0580000000000001</v>
      </c>
      <c r="AA1512" s="8">
        <v>0.27300000000000002</v>
      </c>
      <c r="AB1512" s="8">
        <v>4.1000000000000002E-2</v>
      </c>
      <c r="AC1512" s="8">
        <v>3.0000000000000001E-3</v>
      </c>
    </row>
    <row r="1513" spans="1:29" ht="11.65" hidden="1" x14ac:dyDescent="0.35">
      <c r="A1513" s="12">
        <v>1496</v>
      </c>
      <c r="B1513" s="10" t="s">
        <v>1015</v>
      </c>
      <c r="C1513" s="11" t="s">
        <v>1123</v>
      </c>
      <c r="D1513" s="9"/>
      <c r="E1513" s="9">
        <v>512</v>
      </c>
      <c r="F1513" s="10" t="s">
        <v>1066</v>
      </c>
      <c r="G1513" s="9">
        <v>922</v>
      </c>
      <c r="H1513" s="9">
        <v>2000</v>
      </c>
      <c r="I1513" s="8">
        <v>138.06800000000001</v>
      </c>
      <c r="J1513" s="8">
        <v>140.208</v>
      </c>
      <c r="K1513" s="8">
        <v>132.381</v>
      </c>
      <c r="L1513" s="8">
        <v>122.13800000000001</v>
      </c>
      <c r="M1513" s="8">
        <v>107.274</v>
      </c>
      <c r="N1513" s="8">
        <v>78.510999999999996</v>
      </c>
      <c r="O1513" s="8">
        <v>68.436000000000007</v>
      </c>
      <c r="P1513" s="8">
        <v>54.511000000000003</v>
      </c>
      <c r="Q1513" s="8">
        <v>39.356999999999999</v>
      </c>
      <c r="R1513" s="8">
        <v>27.82</v>
      </c>
      <c r="S1513" s="8">
        <v>20.428000000000001</v>
      </c>
      <c r="T1513" s="8">
        <v>20.27</v>
      </c>
      <c r="U1513" s="8">
        <v>15.541</v>
      </c>
      <c r="V1513" s="8">
        <v>11.212</v>
      </c>
      <c r="W1513" s="8">
        <v>7.8179999999999996</v>
      </c>
      <c r="X1513" s="8">
        <v>5.3339999999999996</v>
      </c>
      <c r="Y1513" s="8">
        <v>3.3919999999999999</v>
      </c>
      <c r="Z1513" s="8">
        <v>1.4790000000000001</v>
      </c>
      <c r="AA1513" s="8">
        <v>0.45300000000000001</v>
      </c>
      <c r="AB1513" s="8">
        <v>8.5999999999999993E-2</v>
      </c>
      <c r="AC1513" s="8">
        <v>8.9999999999999993E-3</v>
      </c>
    </row>
    <row r="1514" spans="1:29" ht="11.65" hidden="1" x14ac:dyDescent="0.35">
      <c r="A1514" s="12">
        <v>1497</v>
      </c>
      <c r="B1514" s="10" t="s">
        <v>1015</v>
      </c>
      <c r="C1514" s="11" t="s">
        <v>1123</v>
      </c>
      <c r="D1514" s="9"/>
      <c r="E1514" s="9">
        <v>512</v>
      </c>
      <c r="F1514" s="10" t="s">
        <v>1066</v>
      </c>
      <c r="G1514" s="9">
        <v>922</v>
      </c>
      <c r="H1514" s="9">
        <v>2005</v>
      </c>
      <c r="I1514" s="8">
        <v>124.813</v>
      </c>
      <c r="J1514" s="8">
        <v>130.19200000000001</v>
      </c>
      <c r="K1514" s="8">
        <v>142.18199999999999</v>
      </c>
      <c r="L1514" s="8">
        <v>138.09200000000001</v>
      </c>
      <c r="M1514" s="8">
        <v>127.798</v>
      </c>
      <c r="N1514" s="8">
        <v>110.892</v>
      </c>
      <c r="O1514" s="8">
        <v>74.216999999999999</v>
      </c>
      <c r="P1514" s="8">
        <v>62.131999999999998</v>
      </c>
      <c r="Q1514" s="8">
        <v>48.680999999999997</v>
      </c>
      <c r="R1514" s="8">
        <v>39.003</v>
      </c>
      <c r="S1514" s="8">
        <v>28.872</v>
      </c>
      <c r="T1514" s="8">
        <v>17.317</v>
      </c>
      <c r="U1514" s="8">
        <v>15.85</v>
      </c>
      <c r="V1514" s="8">
        <v>10.644</v>
      </c>
      <c r="W1514" s="8">
        <v>7.4210000000000003</v>
      </c>
      <c r="X1514" s="8">
        <v>6.1859999999999999</v>
      </c>
      <c r="Y1514" s="8">
        <v>3.702</v>
      </c>
      <c r="Z1514" s="8">
        <v>2.0070000000000001</v>
      </c>
      <c r="AA1514" s="8">
        <v>0.70899999999999996</v>
      </c>
      <c r="AB1514" s="8">
        <v>0.16900000000000001</v>
      </c>
      <c r="AC1514" s="8">
        <v>2.4E-2</v>
      </c>
    </row>
    <row r="1515" spans="1:29" ht="11.65" hidden="1" x14ac:dyDescent="0.35">
      <c r="A1515" s="12">
        <v>1498</v>
      </c>
      <c r="B1515" s="10" t="s">
        <v>1015</v>
      </c>
      <c r="C1515" s="11" t="s">
        <v>1123</v>
      </c>
      <c r="D1515" s="9"/>
      <c r="E1515" s="9">
        <v>512</v>
      </c>
      <c r="F1515" s="10" t="s">
        <v>1066</v>
      </c>
      <c r="G1515" s="9">
        <v>922</v>
      </c>
      <c r="H1515" s="9">
        <v>2010</v>
      </c>
      <c r="I1515" s="8">
        <v>142.946</v>
      </c>
      <c r="J1515" s="8">
        <v>117.343</v>
      </c>
      <c r="K1515" s="8">
        <v>120.511</v>
      </c>
      <c r="L1515" s="8">
        <v>129.97900000000001</v>
      </c>
      <c r="M1515" s="8">
        <v>139.334</v>
      </c>
      <c r="N1515" s="8">
        <v>142.476</v>
      </c>
      <c r="O1515" s="8">
        <v>125.565</v>
      </c>
      <c r="P1515" s="8">
        <v>78.941999999999993</v>
      </c>
      <c r="Q1515" s="8">
        <v>54.335999999999999</v>
      </c>
      <c r="R1515" s="8">
        <v>40.856000000000002</v>
      </c>
      <c r="S1515" s="8">
        <v>35.036999999999999</v>
      </c>
      <c r="T1515" s="8">
        <v>26.135000000000002</v>
      </c>
      <c r="U1515" s="8">
        <v>15.551</v>
      </c>
      <c r="V1515" s="8">
        <v>14.430999999999999</v>
      </c>
      <c r="W1515" s="8">
        <v>9.1850000000000005</v>
      </c>
      <c r="X1515" s="8">
        <v>6.016</v>
      </c>
      <c r="Y1515" s="8">
        <v>4.4740000000000002</v>
      </c>
      <c r="Z1515" s="8">
        <v>2.3420000000000001</v>
      </c>
      <c r="AA1515" s="8">
        <v>1.0649999999999999</v>
      </c>
      <c r="AB1515" s="8">
        <v>0.30499999999999999</v>
      </c>
      <c r="AC1515" s="8">
        <v>5.8000000000000003E-2</v>
      </c>
    </row>
    <row r="1516" spans="1:29" ht="11.65" hidden="1" x14ac:dyDescent="0.35">
      <c r="A1516" s="12">
        <v>1499</v>
      </c>
      <c r="B1516" s="10" t="s">
        <v>1015</v>
      </c>
      <c r="C1516" s="11" t="s">
        <v>1123</v>
      </c>
      <c r="D1516" s="9"/>
      <c r="E1516" s="9">
        <v>512</v>
      </c>
      <c r="F1516" s="10" t="s">
        <v>1066</v>
      </c>
      <c r="G1516" s="9">
        <v>922</v>
      </c>
      <c r="H1516" s="9">
        <v>2015</v>
      </c>
      <c r="I1516" s="8">
        <v>187.23500000000001</v>
      </c>
      <c r="J1516" s="8">
        <v>148.965</v>
      </c>
      <c r="K1516" s="8">
        <v>120.99</v>
      </c>
      <c r="L1516" s="8">
        <v>113.86199999999999</v>
      </c>
      <c r="M1516" s="8">
        <v>147.09700000000001</v>
      </c>
      <c r="N1516" s="8">
        <v>188.29300000000001</v>
      </c>
      <c r="O1516" s="8">
        <v>166.971</v>
      </c>
      <c r="P1516" s="8">
        <v>119.23699999999999</v>
      </c>
      <c r="Q1516" s="8">
        <v>78.596000000000004</v>
      </c>
      <c r="R1516" s="8">
        <v>58.289000000000001</v>
      </c>
      <c r="S1516" s="8">
        <v>41.447000000000003</v>
      </c>
      <c r="T1516" s="8">
        <v>34.503999999999998</v>
      </c>
      <c r="U1516" s="8">
        <v>27.957999999999998</v>
      </c>
      <c r="V1516" s="8">
        <v>18.776</v>
      </c>
      <c r="W1516" s="8">
        <v>15.260999999999999</v>
      </c>
      <c r="X1516" s="8">
        <v>7.6079999999999997</v>
      </c>
      <c r="Y1516" s="8">
        <v>4.4859999999999998</v>
      </c>
      <c r="Z1516" s="8">
        <v>2.94</v>
      </c>
      <c r="AA1516" s="8">
        <v>1.2989999999999999</v>
      </c>
      <c r="AB1516" s="8">
        <v>0.47299999999999998</v>
      </c>
      <c r="AC1516" s="8">
        <v>0.108</v>
      </c>
    </row>
    <row r="1517" spans="1:29" ht="11.65" hidden="1" x14ac:dyDescent="0.35">
      <c r="A1517" s="12">
        <v>1500</v>
      </c>
      <c r="B1517" s="10" t="s">
        <v>1015</v>
      </c>
      <c r="C1517" s="11" t="s">
        <v>1123</v>
      </c>
      <c r="D1517" s="9"/>
      <c r="E1517" s="9">
        <v>512</v>
      </c>
      <c r="F1517" s="10" t="s">
        <v>1066</v>
      </c>
      <c r="G1517" s="9">
        <v>922</v>
      </c>
      <c r="H1517" s="9">
        <v>2020</v>
      </c>
      <c r="I1517" s="8">
        <v>221.75399999999999</v>
      </c>
      <c r="J1517" s="8">
        <v>187.28399999999999</v>
      </c>
      <c r="K1517" s="8">
        <v>149.83099999999999</v>
      </c>
      <c r="L1517" s="8">
        <v>120.871</v>
      </c>
      <c r="M1517" s="8">
        <v>128.709</v>
      </c>
      <c r="N1517" s="8">
        <v>176.828</v>
      </c>
      <c r="O1517" s="8">
        <v>199.14400000000001</v>
      </c>
      <c r="P1517" s="8">
        <v>160.32400000000001</v>
      </c>
      <c r="Q1517" s="8">
        <v>116.303</v>
      </c>
      <c r="R1517" s="8">
        <v>78.150999999999996</v>
      </c>
      <c r="S1517" s="8">
        <v>57.707000000000001</v>
      </c>
      <c r="T1517" s="8">
        <v>40.302999999999997</v>
      </c>
      <c r="U1517" s="8">
        <v>32.773000000000003</v>
      </c>
      <c r="V1517" s="8">
        <v>25.606999999999999</v>
      </c>
      <c r="W1517" s="8">
        <v>16.515999999999998</v>
      </c>
      <c r="X1517" s="8">
        <v>12.837999999999999</v>
      </c>
      <c r="Y1517" s="8">
        <v>5.8230000000000004</v>
      </c>
      <c r="Z1517" s="8">
        <v>3.0720000000000001</v>
      </c>
      <c r="AA1517" s="8">
        <v>1.732</v>
      </c>
      <c r="AB1517" s="8">
        <v>0.628</v>
      </c>
      <c r="AC1517" s="8">
        <v>0.19400000000000001</v>
      </c>
    </row>
    <row r="1518" spans="1:29" ht="11.65" hidden="1" x14ac:dyDescent="0.35">
      <c r="A1518" s="12">
        <v>1501</v>
      </c>
      <c r="B1518" s="10" t="s">
        <v>1015</v>
      </c>
      <c r="C1518" s="11" t="s">
        <v>1124</v>
      </c>
      <c r="D1518" s="9"/>
      <c r="E1518" s="9">
        <v>634</v>
      </c>
      <c r="F1518" s="10" t="s">
        <v>1066</v>
      </c>
      <c r="G1518" s="9">
        <v>922</v>
      </c>
      <c r="H1518" s="9">
        <v>1950</v>
      </c>
      <c r="I1518" s="8">
        <v>2.1280000000000001</v>
      </c>
      <c r="J1518" s="8">
        <v>1.661</v>
      </c>
      <c r="K1518" s="8">
        <v>1.409</v>
      </c>
      <c r="L1518" s="8">
        <v>1.22</v>
      </c>
      <c r="M1518" s="8">
        <v>1.0509999999999999</v>
      </c>
      <c r="N1518" s="8">
        <v>0.89700000000000002</v>
      </c>
      <c r="O1518" s="8">
        <v>0.76300000000000001</v>
      </c>
      <c r="P1518" s="8">
        <v>0.64500000000000002</v>
      </c>
      <c r="Q1518" s="8">
        <v>0.56399999999999995</v>
      </c>
      <c r="R1518" s="8">
        <v>0.48399999999999999</v>
      </c>
      <c r="S1518" s="8">
        <v>0.41899999999999998</v>
      </c>
      <c r="T1518" s="8">
        <v>0.35399999999999998</v>
      </c>
      <c r="U1518" s="8">
        <v>0.28499999999999998</v>
      </c>
      <c r="V1518" s="8">
        <v>0.21</v>
      </c>
      <c r="W1518" s="8">
        <v>0.13600000000000001</v>
      </c>
      <c r="X1518" s="8">
        <v>7.1999999999999995E-2</v>
      </c>
      <c r="Y1518" s="8">
        <v>2.1999999999999999E-2</v>
      </c>
      <c r="Z1518" s="8">
        <v>8.9999999999999993E-3</v>
      </c>
      <c r="AA1518" s="8">
        <v>3.0000000000000001E-3</v>
      </c>
      <c r="AB1518" s="8">
        <v>0</v>
      </c>
      <c r="AC1518" s="8">
        <v>0</v>
      </c>
    </row>
    <row r="1519" spans="1:29" ht="11.65" hidden="1" x14ac:dyDescent="0.35">
      <c r="A1519" s="12">
        <v>1502</v>
      </c>
      <c r="B1519" s="10" t="s">
        <v>1015</v>
      </c>
      <c r="C1519" s="11" t="s">
        <v>1124</v>
      </c>
      <c r="D1519" s="9"/>
      <c r="E1519" s="9">
        <v>634</v>
      </c>
      <c r="F1519" s="10" t="s">
        <v>1066</v>
      </c>
      <c r="G1519" s="9">
        <v>922</v>
      </c>
      <c r="H1519" s="9">
        <v>1955</v>
      </c>
      <c r="I1519" s="8">
        <v>3.2189999999999999</v>
      </c>
      <c r="J1519" s="8">
        <v>2.2240000000000002</v>
      </c>
      <c r="K1519" s="8">
        <v>1.7929999999999999</v>
      </c>
      <c r="L1519" s="8">
        <v>1.55</v>
      </c>
      <c r="M1519" s="8">
        <v>1.385</v>
      </c>
      <c r="N1519" s="8">
        <v>1.1910000000000001</v>
      </c>
      <c r="O1519" s="8">
        <v>1.004</v>
      </c>
      <c r="P1519" s="8">
        <v>0.84</v>
      </c>
      <c r="Q1519" s="8">
        <v>0.69199999999999995</v>
      </c>
      <c r="R1519" s="8">
        <v>0.59599999999999997</v>
      </c>
      <c r="S1519" s="8">
        <v>0.498</v>
      </c>
      <c r="T1519" s="8">
        <v>0.42199999999999999</v>
      </c>
      <c r="U1519" s="8">
        <v>0.34399999999999997</v>
      </c>
      <c r="V1519" s="8">
        <v>0.25900000000000001</v>
      </c>
      <c r="W1519" s="8">
        <v>0.17299999999999999</v>
      </c>
      <c r="X1519" s="8">
        <v>9.9000000000000005E-2</v>
      </c>
      <c r="Y1519" s="8">
        <v>4.2000000000000003E-2</v>
      </c>
      <c r="Z1519" s="8">
        <v>1.0999999999999999E-2</v>
      </c>
      <c r="AA1519" s="8">
        <v>3.0000000000000001E-3</v>
      </c>
      <c r="AB1519" s="8">
        <v>0</v>
      </c>
      <c r="AC1519" s="8">
        <v>0</v>
      </c>
    </row>
    <row r="1520" spans="1:29" ht="11.65" hidden="1" x14ac:dyDescent="0.35">
      <c r="A1520" s="12">
        <v>1503</v>
      </c>
      <c r="B1520" s="10" t="s">
        <v>1015</v>
      </c>
      <c r="C1520" s="11" t="s">
        <v>1124</v>
      </c>
      <c r="D1520" s="9"/>
      <c r="E1520" s="9">
        <v>634</v>
      </c>
      <c r="F1520" s="10" t="s">
        <v>1066</v>
      </c>
      <c r="G1520" s="9">
        <v>922</v>
      </c>
      <c r="H1520" s="9">
        <v>1960</v>
      </c>
      <c r="I1520" s="8">
        <v>4.0839999999999996</v>
      </c>
      <c r="J1520" s="8">
        <v>3.1520000000000001</v>
      </c>
      <c r="K1520" s="8">
        <v>2.2429999999999999</v>
      </c>
      <c r="L1520" s="8">
        <v>1.909</v>
      </c>
      <c r="M1520" s="8">
        <v>1.7170000000000001</v>
      </c>
      <c r="N1520" s="8">
        <v>1.4830000000000001</v>
      </c>
      <c r="O1520" s="8">
        <v>1.248</v>
      </c>
      <c r="P1520" s="8">
        <v>1.0349999999999999</v>
      </c>
      <c r="Q1520" s="8">
        <v>0.84399999999999997</v>
      </c>
      <c r="R1520" s="8">
        <v>0.7</v>
      </c>
      <c r="S1520" s="8">
        <v>0.58599999999999997</v>
      </c>
      <c r="T1520" s="8">
        <v>0.48599999999999999</v>
      </c>
      <c r="U1520" s="8">
        <v>0.40100000000000002</v>
      </c>
      <c r="V1520" s="8">
        <v>0.308</v>
      </c>
      <c r="W1520" s="8">
        <v>0.21299999999999999</v>
      </c>
      <c r="X1520" s="8">
        <v>0.126</v>
      </c>
      <c r="Y1520" s="8">
        <v>6.0999999999999999E-2</v>
      </c>
      <c r="Z1520" s="8">
        <v>2.1000000000000001E-2</v>
      </c>
      <c r="AA1520" s="8">
        <v>4.0000000000000001E-3</v>
      </c>
      <c r="AB1520" s="8">
        <v>0</v>
      </c>
      <c r="AC1520" s="8">
        <v>0</v>
      </c>
    </row>
    <row r="1521" spans="1:29" ht="11.65" hidden="1" x14ac:dyDescent="0.35">
      <c r="A1521" s="12">
        <v>1504</v>
      </c>
      <c r="B1521" s="10" t="s">
        <v>1015</v>
      </c>
      <c r="C1521" s="11" t="s">
        <v>1124</v>
      </c>
      <c r="D1521" s="9"/>
      <c r="E1521" s="9">
        <v>634</v>
      </c>
      <c r="F1521" s="10" t="s">
        <v>1066</v>
      </c>
      <c r="G1521" s="9">
        <v>922</v>
      </c>
      <c r="H1521" s="9">
        <v>1965</v>
      </c>
      <c r="I1521" s="8">
        <v>5.8410000000000002</v>
      </c>
      <c r="J1521" s="8">
        <v>4.3819999999999997</v>
      </c>
      <c r="K1521" s="8">
        <v>3.3919999999999999</v>
      </c>
      <c r="L1521" s="8">
        <v>2.6720000000000002</v>
      </c>
      <c r="M1521" s="8">
        <v>2.48</v>
      </c>
      <c r="N1521" s="8">
        <v>2.125</v>
      </c>
      <c r="O1521" s="8">
        <v>1.762</v>
      </c>
      <c r="P1521" s="8">
        <v>1.429</v>
      </c>
      <c r="Q1521" s="8">
        <v>1.119</v>
      </c>
      <c r="R1521" s="8">
        <v>0.91400000000000003</v>
      </c>
      <c r="S1521" s="8">
        <v>0.71799999999999997</v>
      </c>
      <c r="T1521" s="8">
        <v>0.59599999999999997</v>
      </c>
      <c r="U1521" s="8">
        <v>0.48</v>
      </c>
      <c r="V1521" s="8">
        <v>0.371</v>
      </c>
      <c r="W1521" s="8">
        <v>0.26</v>
      </c>
      <c r="X1521" s="8">
        <v>0.158</v>
      </c>
      <c r="Y1521" s="8">
        <v>8.3000000000000004E-2</v>
      </c>
      <c r="Z1521" s="8">
        <v>3.3000000000000002E-2</v>
      </c>
      <c r="AA1521" s="8">
        <v>8.9999999999999993E-3</v>
      </c>
      <c r="AB1521" s="8">
        <v>0</v>
      </c>
      <c r="AC1521" s="8">
        <v>0</v>
      </c>
    </row>
    <row r="1522" spans="1:29" ht="11.65" hidden="1" x14ac:dyDescent="0.35">
      <c r="A1522" s="12">
        <v>1505</v>
      </c>
      <c r="B1522" s="10" t="s">
        <v>1015</v>
      </c>
      <c r="C1522" s="11" t="s">
        <v>1124</v>
      </c>
      <c r="D1522" s="9"/>
      <c r="E1522" s="9">
        <v>634</v>
      </c>
      <c r="F1522" s="10" t="s">
        <v>1066</v>
      </c>
      <c r="G1522" s="9">
        <v>922</v>
      </c>
      <c r="H1522" s="9">
        <v>1970</v>
      </c>
      <c r="I1522" s="8">
        <v>8.3209999999999997</v>
      </c>
      <c r="J1522" s="8">
        <v>6.133</v>
      </c>
      <c r="K1522" s="8">
        <v>4.5350000000000001</v>
      </c>
      <c r="L1522" s="8">
        <v>3.6850000000000001</v>
      </c>
      <c r="M1522" s="8">
        <v>3.3919999999999999</v>
      </c>
      <c r="N1522" s="8">
        <v>3.129</v>
      </c>
      <c r="O1522" s="8">
        <v>2.6309999999999998</v>
      </c>
      <c r="P1522" s="8">
        <v>2.028</v>
      </c>
      <c r="Q1522" s="8">
        <v>1.395</v>
      </c>
      <c r="R1522" s="8">
        <v>1.105</v>
      </c>
      <c r="S1522" s="8">
        <v>0.86699999999999999</v>
      </c>
      <c r="T1522" s="8">
        <v>0.70699999999999996</v>
      </c>
      <c r="U1522" s="8">
        <v>0.58499999999999996</v>
      </c>
      <c r="V1522" s="8">
        <v>0.43</v>
      </c>
      <c r="W1522" s="8">
        <v>0.316</v>
      </c>
      <c r="X1522" s="8">
        <v>0.19400000000000001</v>
      </c>
      <c r="Y1522" s="8">
        <v>0.105</v>
      </c>
      <c r="Z1522" s="8">
        <v>4.5999999999999999E-2</v>
      </c>
      <c r="AA1522" s="8">
        <v>1.4999999999999999E-2</v>
      </c>
      <c r="AB1522" s="8">
        <v>3.0000000000000001E-3</v>
      </c>
      <c r="AC1522" s="8">
        <v>0</v>
      </c>
    </row>
    <row r="1523" spans="1:29" ht="11.65" hidden="1" x14ac:dyDescent="0.35">
      <c r="A1523" s="12">
        <v>1506</v>
      </c>
      <c r="B1523" s="10" t="s">
        <v>1015</v>
      </c>
      <c r="C1523" s="11" t="s">
        <v>1124</v>
      </c>
      <c r="D1523" s="9"/>
      <c r="E1523" s="9">
        <v>634</v>
      </c>
      <c r="F1523" s="10" t="s">
        <v>1066</v>
      </c>
      <c r="G1523" s="9">
        <v>922</v>
      </c>
      <c r="H1523" s="9">
        <v>1975</v>
      </c>
      <c r="I1523" s="8">
        <v>11.12</v>
      </c>
      <c r="J1523" s="8">
        <v>8.4380000000000006</v>
      </c>
      <c r="K1523" s="8">
        <v>6.4320000000000004</v>
      </c>
      <c r="L1523" s="8">
        <v>5.3879999999999999</v>
      </c>
      <c r="M1523" s="8">
        <v>4.7290000000000001</v>
      </c>
      <c r="N1523" s="8">
        <v>4.0679999999999996</v>
      </c>
      <c r="O1523" s="8">
        <v>3.5449999999999999</v>
      </c>
      <c r="P1523" s="8">
        <v>2.8780000000000001</v>
      </c>
      <c r="Q1523" s="8">
        <v>2.198</v>
      </c>
      <c r="R1523" s="8">
        <v>1.5569999999999999</v>
      </c>
      <c r="S1523" s="8">
        <v>1.2490000000000001</v>
      </c>
      <c r="T1523" s="8">
        <v>1</v>
      </c>
      <c r="U1523" s="8">
        <v>0.82199999999999995</v>
      </c>
      <c r="V1523" s="8">
        <v>0.65900000000000003</v>
      </c>
      <c r="W1523" s="8">
        <v>0.46899999999999997</v>
      </c>
      <c r="X1523" s="8">
        <v>0.29699999999999999</v>
      </c>
      <c r="Y1523" s="8">
        <v>0.14899999999999999</v>
      </c>
      <c r="Z1523" s="8">
        <v>6.5000000000000002E-2</v>
      </c>
      <c r="AA1523" s="8">
        <v>2.5000000000000001E-2</v>
      </c>
      <c r="AB1523" s="8">
        <v>7.0000000000000001E-3</v>
      </c>
      <c r="AC1523" s="8">
        <v>1E-3</v>
      </c>
    </row>
    <row r="1524" spans="1:29" ht="11.65" hidden="1" x14ac:dyDescent="0.35">
      <c r="A1524" s="12">
        <v>1507</v>
      </c>
      <c r="B1524" s="10" t="s">
        <v>1015</v>
      </c>
      <c r="C1524" s="11" t="s">
        <v>1124</v>
      </c>
      <c r="D1524" s="9"/>
      <c r="E1524" s="9">
        <v>634</v>
      </c>
      <c r="F1524" s="10" t="s">
        <v>1066</v>
      </c>
      <c r="G1524" s="9">
        <v>922</v>
      </c>
      <c r="H1524" s="9">
        <v>1980</v>
      </c>
      <c r="I1524" s="8">
        <v>16.457000000000001</v>
      </c>
      <c r="J1524" s="8">
        <v>11.417999999999999</v>
      </c>
      <c r="K1524" s="8">
        <v>8.7330000000000005</v>
      </c>
      <c r="L1524" s="8">
        <v>7.8259999999999996</v>
      </c>
      <c r="M1524" s="8">
        <v>8.3620000000000001</v>
      </c>
      <c r="N1524" s="8">
        <v>7.9050000000000002</v>
      </c>
      <c r="O1524" s="8">
        <v>6.4930000000000003</v>
      </c>
      <c r="P1524" s="8">
        <v>5.0380000000000003</v>
      </c>
      <c r="Q1524" s="8">
        <v>3.403</v>
      </c>
      <c r="R1524" s="8">
        <v>2.2599999999999998</v>
      </c>
      <c r="S1524" s="8">
        <v>1.4319999999999999</v>
      </c>
      <c r="T1524" s="8">
        <v>0.95799999999999996</v>
      </c>
      <c r="U1524" s="8">
        <v>0.82099999999999995</v>
      </c>
      <c r="V1524" s="8">
        <v>0.622</v>
      </c>
      <c r="W1524" s="8">
        <v>0.442</v>
      </c>
      <c r="X1524" s="8">
        <v>0.28999999999999998</v>
      </c>
      <c r="Y1524" s="8">
        <v>0.17499999999999999</v>
      </c>
      <c r="Z1524" s="8">
        <v>8.5999999999999993E-2</v>
      </c>
      <c r="AA1524" s="8">
        <v>3.5000000000000003E-2</v>
      </c>
      <c r="AB1524" s="8">
        <v>1.0999999999999999E-2</v>
      </c>
      <c r="AC1524" s="8">
        <v>3.0000000000000001E-3</v>
      </c>
    </row>
    <row r="1525" spans="1:29" ht="11.65" hidden="1" x14ac:dyDescent="0.35">
      <c r="A1525" s="12">
        <v>1508</v>
      </c>
      <c r="B1525" s="10" t="s">
        <v>1015</v>
      </c>
      <c r="C1525" s="11" t="s">
        <v>1124</v>
      </c>
      <c r="D1525" s="9"/>
      <c r="E1525" s="9">
        <v>634</v>
      </c>
      <c r="F1525" s="10" t="s">
        <v>1066</v>
      </c>
      <c r="G1525" s="9">
        <v>922</v>
      </c>
      <c r="H1525" s="9">
        <v>1985</v>
      </c>
      <c r="I1525" s="8">
        <v>23.763999999999999</v>
      </c>
      <c r="J1525" s="8">
        <v>16.739999999999998</v>
      </c>
      <c r="K1525" s="8">
        <v>11.711</v>
      </c>
      <c r="L1525" s="8">
        <v>11.151999999999999</v>
      </c>
      <c r="M1525" s="8">
        <v>10.077999999999999</v>
      </c>
      <c r="N1525" s="8">
        <v>11.452</v>
      </c>
      <c r="O1525" s="8">
        <v>13.185</v>
      </c>
      <c r="P1525" s="8">
        <v>9.2690000000000001</v>
      </c>
      <c r="Q1525" s="8">
        <v>5.3129999999999997</v>
      </c>
      <c r="R1525" s="8">
        <v>3.6160000000000001</v>
      </c>
      <c r="S1525" s="8">
        <v>2.2519999999999998</v>
      </c>
      <c r="T1525" s="8">
        <v>1.401</v>
      </c>
      <c r="U1525" s="8">
        <v>0.89600000000000002</v>
      </c>
      <c r="V1525" s="8">
        <v>0.754</v>
      </c>
      <c r="W1525" s="8">
        <v>0.50800000000000001</v>
      </c>
      <c r="X1525" s="8">
        <v>0.311</v>
      </c>
      <c r="Y1525" s="8">
        <v>0.38600000000000001</v>
      </c>
      <c r="Z1525" s="8">
        <v>0.122</v>
      </c>
      <c r="AA1525" s="8">
        <v>4.8000000000000001E-2</v>
      </c>
      <c r="AB1525" s="8">
        <v>1.7999999999999999E-2</v>
      </c>
      <c r="AC1525" s="8">
        <v>7.0000000000000001E-3</v>
      </c>
    </row>
    <row r="1526" spans="1:29" ht="11.65" hidden="1" x14ac:dyDescent="0.35">
      <c r="A1526" s="12">
        <v>1509</v>
      </c>
      <c r="B1526" s="10" t="s">
        <v>1015</v>
      </c>
      <c r="C1526" s="11" t="s">
        <v>1124</v>
      </c>
      <c r="D1526" s="9"/>
      <c r="E1526" s="9">
        <v>634</v>
      </c>
      <c r="F1526" s="10" t="s">
        <v>1066</v>
      </c>
      <c r="G1526" s="9">
        <v>922</v>
      </c>
      <c r="H1526" s="9">
        <v>1990</v>
      </c>
      <c r="I1526" s="8">
        <v>25.177</v>
      </c>
      <c r="J1526" s="8">
        <v>23.815000000000001</v>
      </c>
      <c r="K1526" s="8">
        <v>16.768999999999998</v>
      </c>
      <c r="L1526" s="8">
        <v>12.411</v>
      </c>
      <c r="M1526" s="8">
        <v>13.382999999999999</v>
      </c>
      <c r="N1526" s="8">
        <v>12.768000000000001</v>
      </c>
      <c r="O1526" s="8">
        <v>13.744</v>
      </c>
      <c r="P1526" s="8">
        <v>14.702</v>
      </c>
      <c r="Q1526" s="8">
        <v>9.7720000000000002</v>
      </c>
      <c r="R1526" s="8">
        <v>5.3559999999999999</v>
      </c>
      <c r="S1526" s="8">
        <v>3.605</v>
      </c>
      <c r="T1526" s="8">
        <v>2.21</v>
      </c>
      <c r="U1526" s="8">
        <v>1.321</v>
      </c>
      <c r="V1526" s="8">
        <v>0.80600000000000005</v>
      </c>
      <c r="W1526" s="8">
        <v>0.63400000000000001</v>
      </c>
      <c r="X1526" s="8">
        <v>0.39600000000000002</v>
      </c>
      <c r="Y1526" s="8">
        <v>0.23400000000000001</v>
      </c>
      <c r="Z1526" s="8">
        <v>0.25800000000000001</v>
      </c>
      <c r="AA1526" s="8">
        <v>7.0999999999999994E-2</v>
      </c>
      <c r="AB1526" s="8">
        <v>2.5000000000000001E-2</v>
      </c>
      <c r="AC1526" s="8">
        <v>1.0999999999999999E-2</v>
      </c>
    </row>
    <row r="1527" spans="1:29" ht="11.65" hidden="1" x14ac:dyDescent="0.35">
      <c r="A1527" s="12">
        <v>1510</v>
      </c>
      <c r="B1527" s="10" t="s">
        <v>1015</v>
      </c>
      <c r="C1527" s="11" t="s">
        <v>1124</v>
      </c>
      <c r="D1527" s="9"/>
      <c r="E1527" s="9">
        <v>634</v>
      </c>
      <c r="F1527" s="10" t="s">
        <v>1066</v>
      </c>
      <c r="G1527" s="9">
        <v>922</v>
      </c>
      <c r="H1527" s="9">
        <v>1995</v>
      </c>
      <c r="I1527" s="8">
        <v>24.382999999999999</v>
      </c>
      <c r="J1527" s="8">
        <v>23.128</v>
      </c>
      <c r="K1527" s="8">
        <v>20.54</v>
      </c>
      <c r="L1527" s="8">
        <v>14.35</v>
      </c>
      <c r="M1527" s="8">
        <v>10.492000000000001</v>
      </c>
      <c r="N1527" s="8">
        <v>15.157</v>
      </c>
      <c r="O1527" s="8">
        <v>20.89</v>
      </c>
      <c r="P1527" s="8">
        <v>17.530999999999999</v>
      </c>
      <c r="Q1527" s="8">
        <v>11.356999999999999</v>
      </c>
      <c r="R1527" s="8">
        <v>6.5140000000000002</v>
      </c>
      <c r="S1527" s="8">
        <v>3.738</v>
      </c>
      <c r="T1527" s="8">
        <v>2.5169999999999999</v>
      </c>
      <c r="U1527" s="8">
        <v>1.655</v>
      </c>
      <c r="V1527" s="8">
        <v>1.0900000000000001</v>
      </c>
      <c r="W1527" s="8">
        <v>0.61799999999999999</v>
      </c>
      <c r="X1527" s="8">
        <v>0.48199999999999998</v>
      </c>
      <c r="Y1527" s="8">
        <v>0.29599999999999999</v>
      </c>
      <c r="Z1527" s="8">
        <v>0.154</v>
      </c>
      <c r="AA1527" s="8">
        <v>0.156</v>
      </c>
      <c r="AB1527" s="8">
        <v>0.04</v>
      </c>
      <c r="AC1527" s="8">
        <v>1.6E-2</v>
      </c>
    </row>
    <row r="1528" spans="1:29" ht="11.65" hidden="1" x14ac:dyDescent="0.35">
      <c r="A1528" s="12">
        <v>1511</v>
      </c>
      <c r="B1528" s="10" t="s">
        <v>1015</v>
      </c>
      <c r="C1528" s="11" t="s">
        <v>1124</v>
      </c>
      <c r="D1528" s="9"/>
      <c r="E1528" s="9">
        <v>634</v>
      </c>
      <c r="F1528" s="10" t="s">
        <v>1066</v>
      </c>
      <c r="G1528" s="9">
        <v>922</v>
      </c>
      <c r="H1528" s="9">
        <v>2000</v>
      </c>
      <c r="I1528" s="8">
        <v>26.792000000000002</v>
      </c>
      <c r="J1528" s="8">
        <v>24.594000000000001</v>
      </c>
      <c r="K1528" s="8">
        <v>22.353999999999999</v>
      </c>
      <c r="L1528" s="8">
        <v>19.515999999999998</v>
      </c>
      <c r="M1528" s="8">
        <v>16.079000000000001</v>
      </c>
      <c r="N1528" s="8">
        <v>14.513999999999999</v>
      </c>
      <c r="O1528" s="8">
        <v>18.234999999999999</v>
      </c>
      <c r="P1528" s="8">
        <v>21.829000000000001</v>
      </c>
      <c r="Q1528" s="8">
        <v>16.931000000000001</v>
      </c>
      <c r="R1528" s="8">
        <v>10.335000000000001</v>
      </c>
      <c r="S1528" s="8">
        <v>5.6669999999999998</v>
      </c>
      <c r="T1528" s="8">
        <v>3.3039999999999998</v>
      </c>
      <c r="U1528" s="8">
        <v>2.2949999999999999</v>
      </c>
      <c r="V1528" s="8">
        <v>1.488</v>
      </c>
      <c r="W1528" s="8">
        <v>0.93100000000000005</v>
      </c>
      <c r="X1528" s="8">
        <v>0.49399999999999999</v>
      </c>
      <c r="Y1528" s="8">
        <v>0.36699999999999999</v>
      </c>
      <c r="Z1528" s="8">
        <v>0.20300000000000001</v>
      </c>
      <c r="AA1528" s="8">
        <v>9.4E-2</v>
      </c>
      <c r="AB1528" s="8">
        <v>8.6999999999999994E-2</v>
      </c>
      <c r="AC1528" s="8">
        <v>2.5000000000000001E-2</v>
      </c>
    </row>
    <row r="1529" spans="1:29" ht="11.65" hidden="1" x14ac:dyDescent="0.35">
      <c r="A1529" s="12">
        <v>1512</v>
      </c>
      <c r="B1529" s="10" t="s">
        <v>1015</v>
      </c>
      <c r="C1529" s="11" t="s">
        <v>1124</v>
      </c>
      <c r="D1529" s="9"/>
      <c r="E1529" s="9">
        <v>634</v>
      </c>
      <c r="F1529" s="10" t="s">
        <v>1066</v>
      </c>
      <c r="G1529" s="9">
        <v>922</v>
      </c>
      <c r="H1529" s="9">
        <v>2005</v>
      </c>
      <c r="I1529" s="8">
        <v>33.012999999999998</v>
      </c>
      <c r="J1529" s="8">
        <v>29.504999999999999</v>
      </c>
      <c r="K1529" s="8">
        <v>27.317</v>
      </c>
      <c r="L1529" s="8">
        <v>23.577000000000002</v>
      </c>
      <c r="M1529" s="8">
        <v>22.491</v>
      </c>
      <c r="N1529" s="8">
        <v>29.053999999999998</v>
      </c>
      <c r="O1529" s="8">
        <v>32.975000000000001</v>
      </c>
      <c r="P1529" s="8">
        <v>26.183</v>
      </c>
      <c r="Q1529" s="8">
        <v>21.271000000000001</v>
      </c>
      <c r="R1529" s="8">
        <v>15.35</v>
      </c>
      <c r="S1529" s="8">
        <v>8.3979999999999997</v>
      </c>
      <c r="T1529" s="8">
        <v>4.7060000000000004</v>
      </c>
      <c r="U1529" s="8">
        <v>2.5209999999999999</v>
      </c>
      <c r="V1529" s="8">
        <v>1.8180000000000001</v>
      </c>
      <c r="W1529" s="8">
        <v>1.101</v>
      </c>
      <c r="X1529" s="8">
        <v>0.65900000000000003</v>
      </c>
      <c r="Y1529" s="8">
        <v>0.33800000000000002</v>
      </c>
      <c r="Z1529" s="8">
        <v>0.25600000000000001</v>
      </c>
      <c r="AA1529" s="8">
        <v>0.129</v>
      </c>
      <c r="AB1529" s="8">
        <v>5.2999999999999999E-2</v>
      </c>
      <c r="AC1529" s="8">
        <v>4.9000000000000002E-2</v>
      </c>
    </row>
    <row r="1530" spans="1:29" ht="11.65" hidden="1" x14ac:dyDescent="0.35">
      <c r="A1530" s="12">
        <v>1513</v>
      </c>
      <c r="B1530" s="10" t="s">
        <v>1015</v>
      </c>
      <c r="C1530" s="11" t="s">
        <v>1124</v>
      </c>
      <c r="D1530" s="9"/>
      <c r="E1530" s="9">
        <v>634</v>
      </c>
      <c r="F1530" s="10" t="s">
        <v>1066</v>
      </c>
      <c r="G1530" s="9">
        <v>922</v>
      </c>
      <c r="H1530" s="9">
        <v>2010</v>
      </c>
      <c r="I1530" s="8">
        <v>45.576000000000001</v>
      </c>
      <c r="J1530" s="8">
        <v>38.927999999999997</v>
      </c>
      <c r="K1530" s="8">
        <v>32.247999999999998</v>
      </c>
      <c r="L1530" s="8">
        <v>26.952000000000002</v>
      </c>
      <c r="M1530" s="8">
        <v>39.572000000000003</v>
      </c>
      <c r="N1530" s="8">
        <v>61.283000000000001</v>
      </c>
      <c r="O1530" s="8">
        <v>57.027999999999999</v>
      </c>
      <c r="P1530" s="8">
        <v>44.774999999999999</v>
      </c>
      <c r="Q1530" s="8">
        <v>32.85</v>
      </c>
      <c r="R1530" s="8">
        <v>23.603000000000002</v>
      </c>
      <c r="S1530" s="8">
        <v>16.298999999999999</v>
      </c>
      <c r="T1530" s="8">
        <v>7.9889999999999999</v>
      </c>
      <c r="U1530" s="8">
        <v>3.6139999999999999</v>
      </c>
      <c r="V1530" s="8">
        <v>2.2719999999999998</v>
      </c>
      <c r="W1530" s="8">
        <v>1.988</v>
      </c>
      <c r="X1530" s="8">
        <v>0.95799999999999996</v>
      </c>
      <c r="Y1530" s="8">
        <v>0.59</v>
      </c>
      <c r="Z1530" s="8">
        <v>0.23899999999999999</v>
      </c>
      <c r="AA1530" s="8">
        <v>0.161</v>
      </c>
      <c r="AB1530" s="8">
        <v>7.0999999999999994E-2</v>
      </c>
      <c r="AC1530" s="8">
        <v>4.3999999999999997E-2</v>
      </c>
    </row>
    <row r="1531" spans="1:29" ht="11.65" hidden="1" x14ac:dyDescent="0.35">
      <c r="A1531" s="12">
        <v>1514</v>
      </c>
      <c r="B1531" s="10" t="s">
        <v>1015</v>
      </c>
      <c r="C1531" s="11" t="s">
        <v>1124</v>
      </c>
      <c r="D1531" s="9"/>
      <c r="E1531" s="9">
        <v>634</v>
      </c>
      <c r="F1531" s="10" t="s">
        <v>1066</v>
      </c>
      <c r="G1531" s="9">
        <v>922</v>
      </c>
      <c r="H1531" s="9">
        <v>2015</v>
      </c>
      <c r="I1531" s="8">
        <v>62.853999999999999</v>
      </c>
      <c r="J1531" s="8">
        <v>58.037999999999997</v>
      </c>
      <c r="K1531" s="8">
        <v>47.319000000000003</v>
      </c>
      <c r="L1531" s="8">
        <v>35.668999999999997</v>
      </c>
      <c r="M1531" s="8">
        <v>48.164999999999999</v>
      </c>
      <c r="N1531" s="8">
        <v>76.668000000000006</v>
      </c>
      <c r="O1531" s="8">
        <v>87.195999999999998</v>
      </c>
      <c r="P1531" s="8">
        <v>68.186000000000007</v>
      </c>
      <c r="Q1531" s="8">
        <v>49.429000000000002</v>
      </c>
      <c r="R1531" s="8">
        <v>34.726999999999997</v>
      </c>
      <c r="S1531" s="8">
        <v>20.957000000000001</v>
      </c>
      <c r="T1531" s="8">
        <v>11.121</v>
      </c>
      <c r="U1531" s="8">
        <v>5.8140000000000001</v>
      </c>
      <c r="V1531" s="8">
        <v>4.0830000000000002</v>
      </c>
      <c r="W1531" s="8">
        <v>2.2000000000000002</v>
      </c>
      <c r="X1531" s="8">
        <v>1.6279999999999999</v>
      </c>
      <c r="Y1531" s="8">
        <v>0.74099999999999999</v>
      </c>
      <c r="Z1531" s="8">
        <v>0.41399999999999998</v>
      </c>
      <c r="AA1531" s="8">
        <v>0.15</v>
      </c>
      <c r="AB1531" s="8">
        <v>0.09</v>
      </c>
      <c r="AC1531" s="8">
        <v>0.05</v>
      </c>
    </row>
    <row r="1532" spans="1:29" ht="11.65" hidden="1" x14ac:dyDescent="0.35">
      <c r="A1532" s="12">
        <v>1515</v>
      </c>
      <c r="B1532" s="10" t="s">
        <v>1015</v>
      </c>
      <c r="C1532" s="11" t="s">
        <v>1124</v>
      </c>
      <c r="D1532" s="9"/>
      <c r="E1532" s="9">
        <v>634</v>
      </c>
      <c r="F1532" s="10" t="s">
        <v>1066</v>
      </c>
      <c r="G1532" s="9">
        <v>922</v>
      </c>
      <c r="H1532" s="9">
        <v>2020</v>
      </c>
      <c r="I1532" s="8">
        <v>65.900000000000006</v>
      </c>
      <c r="J1532" s="8">
        <v>65.778999999999996</v>
      </c>
      <c r="K1532" s="8">
        <v>59.491999999999997</v>
      </c>
      <c r="L1532" s="8">
        <v>47.786000000000001</v>
      </c>
      <c r="M1532" s="8">
        <v>48.140999999999998</v>
      </c>
      <c r="N1532" s="8">
        <v>73.111999999999995</v>
      </c>
      <c r="O1532" s="8">
        <v>94.084000000000003</v>
      </c>
      <c r="P1532" s="8">
        <v>87.084000000000003</v>
      </c>
      <c r="Q1532" s="8">
        <v>58.076999999999998</v>
      </c>
      <c r="R1532" s="8">
        <v>41.798999999999999</v>
      </c>
      <c r="S1532" s="8">
        <v>31.068999999999999</v>
      </c>
      <c r="T1532" s="8">
        <v>19.257000000000001</v>
      </c>
      <c r="U1532" s="8">
        <v>10.597</v>
      </c>
      <c r="V1532" s="8">
        <v>5.9390000000000001</v>
      </c>
      <c r="W1532" s="8">
        <v>3.8069999999999999</v>
      </c>
      <c r="X1532" s="8">
        <v>1.8160000000000001</v>
      </c>
      <c r="Y1532" s="8">
        <v>1.2649999999999999</v>
      </c>
      <c r="Z1532" s="8">
        <v>0.52</v>
      </c>
      <c r="AA1532" s="8">
        <v>0.25900000000000001</v>
      </c>
      <c r="AB1532" s="8">
        <v>8.3000000000000004E-2</v>
      </c>
      <c r="AC1532" s="8">
        <v>5.8999999999999997E-2</v>
      </c>
    </row>
    <row r="1533" spans="1:29" ht="11.65" hidden="1" x14ac:dyDescent="0.35">
      <c r="A1533" s="12">
        <v>1516</v>
      </c>
      <c r="B1533" s="10" t="s">
        <v>1015</v>
      </c>
      <c r="C1533" s="11" t="s">
        <v>1125</v>
      </c>
      <c r="D1533" s="9"/>
      <c r="E1533" s="9">
        <v>682</v>
      </c>
      <c r="F1533" s="10" t="s">
        <v>1066</v>
      </c>
      <c r="G1533" s="9">
        <v>922</v>
      </c>
      <c r="H1533" s="9">
        <v>1950</v>
      </c>
      <c r="I1533" s="8">
        <v>264.69900000000001</v>
      </c>
      <c r="J1533" s="8">
        <v>205.01900000000001</v>
      </c>
      <c r="K1533" s="8">
        <v>175.18100000000001</v>
      </c>
      <c r="L1533" s="8">
        <v>151.40100000000001</v>
      </c>
      <c r="M1533" s="8">
        <v>129.917</v>
      </c>
      <c r="N1533" s="8">
        <v>110.545</v>
      </c>
      <c r="O1533" s="8">
        <v>94.567999999999998</v>
      </c>
      <c r="P1533" s="8">
        <v>81.622</v>
      </c>
      <c r="Q1533" s="8">
        <v>71.706000000000003</v>
      </c>
      <c r="R1533" s="8">
        <v>62.71</v>
      </c>
      <c r="S1533" s="8">
        <v>53.987000000000002</v>
      </c>
      <c r="T1533" s="8">
        <v>45.356000000000002</v>
      </c>
      <c r="U1533" s="8">
        <v>36.082999999999998</v>
      </c>
      <c r="V1533" s="8">
        <v>26.259</v>
      </c>
      <c r="W1533" s="8">
        <v>16.526</v>
      </c>
      <c r="X1533" s="8">
        <v>8.1709999999999994</v>
      </c>
      <c r="Y1533" s="8">
        <v>2.3010000000000002</v>
      </c>
      <c r="Z1533" s="8">
        <v>0.85599999999999998</v>
      </c>
      <c r="AA1533" s="8">
        <v>0.20799999999999999</v>
      </c>
      <c r="AB1533" s="8">
        <v>0.03</v>
      </c>
      <c r="AC1533" s="8">
        <v>3.0000000000000001E-3</v>
      </c>
    </row>
    <row r="1534" spans="1:29" ht="11.65" hidden="1" x14ac:dyDescent="0.35">
      <c r="A1534" s="12">
        <v>1517</v>
      </c>
      <c r="B1534" s="10" t="s">
        <v>1015</v>
      </c>
      <c r="C1534" s="11" t="s">
        <v>1125</v>
      </c>
      <c r="D1534" s="9"/>
      <c r="E1534" s="9">
        <v>682</v>
      </c>
      <c r="F1534" s="10" t="s">
        <v>1066</v>
      </c>
      <c r="G1534" s="9">
        <v>922</v>
      </c>
      <c r="H1534" s="9">
        <v>1955</v>
      </c>
      <c r="I1534" s="8">
        <v>305.90199999999999</v>
      </c>
      <c r="J1534" s="8">
        <v>242.69200000000001</v>
      </c>
      <c r="K1534" s="8">
        <v>201.518</v>
      </c>
      <c r="L1534" s="8">
        <v>172.24199999999999</v>
      </c>
      <c r="M1534" s="8">
        <v>148.126</v>
      </c>
      <c r="N1534" s="8">
        <v>126.592</v>
      </c>
      <c r="O1534" s="8">
        <v>107.526</v>
      </c>
      <c r="P1534" s="8">
        <v>91.885999999999996</v>
      </c>
      <c r="Q1534" s="8">
        <v>79.209999999999994</v>
      </c>
      <c r="R1534" s="8">
        <v>69.382000000000005</v>
      </c>
      <c r="S1534" s="8">
        <v>60.095999999999997</v>
      </c>
      <c r="T1534" s="8">
        <v>50.835999999999999</v>
      </c>
      <c r="U1534" s="8">
        <v>41.216999999999999</v>
      </c>
      <c r="V1534" s="8">
        <v>30.762</v>
      </c>
      <c r="W1534" s="8">
        <v>20.128</v>
      </c>
      <c r="X1534" s="8">
        <v>10.581</v>
      </c>
      <c r="Y1534" s="8">
        <v>3.8420000000000001</v>
      </c>
      <c r="Z1534" s="8">
        <v>0.747</v>
      </c>
      <c r="AA1534" s="8">
        <v>0.20799999999999999</v>
      </c>
      <c r="AB1534" s="8">
        <v>0.03</v>
      </c>
      <c r="AC1534" s="8">
        <v>3.0000000000000001E-3</v>
      </c>
    </row>
    <row r="1535" spans="1:29" ht="11.65" hidden="1" x14ac:dyDescent="0.35">
      <c r="A1535" s="12">
        <v>1518</v>
      </c>
      <c r="B1535" s="10" t="s">
        <v>1015</v>
      </c>
      <c r="C1535" s="11" t="s">
        <v>1125</v>
      </c>
      <c r="D1535" s="9"/>
      <c r="E1535" s="9">
        <v>682</v>
      </c>
      <c r="F1535" s="10" t="s">
        <v>1066</v>
      </c>
      <c r="G1535" s="9">
        <v>922</v>
      </c>
      <c r="H1535" s="9">
        <v>1960</v>
      </c>
      <c r="I1535" s="8">
        <v>358.245</v>
      </c>
      <c r="J1535" s="8">
        <v>283.79399999999998</v>
      </c>
      <c r="K1535" s="8">
        <v>239.10499999999999</v>
      </c>
      <c r="L1535" s="8">
        <v>198.38</v>
      </c>
      <c r="M1535" s="8">
        <v>168.61199999999999</v>
      </c>
      <c r="N1535" s="8">
        <v>144.40299999999999</v>
      </c>
      <c r="O1535" s="8">
        <v>123.227</v>
      </c>
      <c r="P1535" s="8">
        <v>104.58199999999999</v>
      </c>
      <c r="Q1535" s="8">
        <v>89.221000000000004</v>
      </c>
      <c r="R1535" s="8">
        <v>76.64</v>
      </c>
      <c r="S1535" s="8">
        <v>66.477999999999994</v>
      </c>
      <c r="T1535" s="8">
        <v>56.576999999999998</v>
      </c>
      <c r="U1535" s="8">
        <v>46.274999999999999</v>
      </c>
      <c r="V1535" s="8">
        <v>35.326999999999998</v>
      </c>
      <c r="W1535" s="8">
        <v>23.8</v>
      </c>
      <c r="X1535" s="8">
        <v>13.065</v>
      </c>
      <c r="Y1535" s="8">
        <v>5.0739999999999998</v>
      </c>
      <c r="Z1535" s="8">
        <v>1.3160000000000001</v>
      </c>
      <c r="AA1535" s="8">
        <v>0.185</v>
      </c>
      <c r="AB1535" s="8">
        <v>0.03</v>
      </c>
      <c r="AC1535" s="8">
        <v>3.0000000000000001E-3</v>
      </c>
    </row>
    <row r="1536" spans="1:29" ht="11.65" hidden="1" x14ac:dyDescent="0.35">
      <c r="A1536" s="12">
        <v>1519</v>
      </c>
      <c r="B1536" s="10" t="s">
        <v>1015</v>
      </c>
      <c r="C1536" s="11" t="s">
        <v>1125</v>
      </c>
      <c r="D1536" s="9"/>
      <c r="E1536" s="9">
        <v>682</v>
      </c>
      <c r="F1536" s="10" t="s">
        <v>1066</v>
      </c>
      <c r="G1536" s="9">
        <v>922</v>
      </c>
      <c r="H1536" s="9">
        <v>1965</v>
      </c>
      <c r="I1536" s="8">
        <v>434.07499999999999</v>
      </c>
      <c r="J1536" s="8">
        <v>340.21899999999999</v>
      </c>
      <c r="K1536" s="8">
        <v>282.31400000000002</v>
      </c>
      <c r="L1536" s="8">
        <v>238.22</v>
      </c>
      <c r="M1536" s="8">
        <v>197.41200000000001</v>
      </c>
      <c r="N1536" s="8">
        <v>167.965</v>
      </c>
      <c r="O1536" s="8">
        <v>143.87200000000001</v>
      </c>
      <c r="P1536" s="8">
        <v>122.29900000000001</v>
      </c>
      <c r="Q1536" s="8">
        <v>103.342</v>
      </c>
      <c r="R1536" s="8">
        <v>87.528999999999996</v>
      </c>
      <c r="S1536" s="8">
        <v>74.400999999999996</v>
      </c>
      <c r="T1536" s="8">
        <v>63.308999999999997</v>
      </c>
      <c r="U1536" s="8">
        <v>52.125999999999998</v>
      </c>
      <c r="V1536" s="8">
        <v>40.261000000000003</v>
      </c>
      <c r="W1536" s="8">
        <v>27.7</v>
      </c>
      <c r="X1536" s="8">
        <v>15.734999999999999</v>
      </c>
      <c r="Y1536" s="8">
        <v>6.4530000000000003</v>
      </c>
      <c r="Z1536" s="8">
        <v>1.7969999999999999</v>
      </c>
      <c r="AA1536" s="8">
        <v>0.33</v>
      </c>
      <c r="AB1536" s="8">
        <v>2.8000000000000001E-2</v>
      </c>
      <c r="AC1536" s="8">
        <v>3.0000000000000001E-3</v>
      </c>
    </row>
    <row r="1537" spans="1:29" ht="11.65" hidden="1" x14ac:dyDescent="0.35">
      <c r="A1537" s="12">
        <v>1520</v>
      </c>
      <c r="B1537" s="10" t="s">
        <v>1015</v>
      </c>
      <c r="C1537" s="11" t="s">
        <v>1125</v>
      </c>
      <c r="D1537" s="9"/>
      <c r="E1537" s="9">
        <v>682</v>
      </c>
      <c r="F1537" s="10" t="s">
        <v>1066</v>
      </c>
      <c r="G1537" s="9">
        <v>922</v>
      </c>
      <c r="H1537" s="9">
        <v>1970</v>
      </c>
      <c r="I1537" s="8">
        <v>528.14300000000003</v>
      </c>
      <c r="J1537" s="8">
        <v>415.81200000000001</v>
      </c>
      <c r="K1537" s="8">
        <v>338.66199999999998</v>
      </c>
      <c r="L1537" s="8">
        <v>282.58</v>
      </c>
      <c r="M1537" s="8">
        <v>239.267</v>
      </c>
      <c r="N1537" s="8">
        <v>199.83500000000001</v>
      </c>
      <c r="O1537" s="8">
        <v>169.80799999999999</v>
      </c>
      <c r="P1537" s="8">
        <v>143.98599999999999</v>
      </c>
      <c r="Q1537" s="8">
        <v>121.672</v>
      </c>
      <c r="R1537" s="8">
        <v>101.83199999999999</v>
      </c>
      <c r="S1537" s="8">
        <v>85.543000000000006</v>
      </c>
      <c r="T1537" s="8">
        <v>71.293000000000006</v>
      </c>
      <c r="U1537" s="8">
        <v>58.814</v>
      </c>
      <c r="V1537" s="8">
        <v>45.927999999999997</v>
      </c>
      <c r="W1537" s="8">
        <v>31.942</v>
      </c>
      <c r="X1537" s="8">
        <v>18.771999999999998</v>
      </c>
      <c r="Y1537" s="8">
        <v>8.0399999999999991</v>
      </c>
      <c r="Z1537" s="8">
        <v>2.363</v>
      </c>
      <c r="AA1537" s="8">
        <v>0.46</v>
      </c>
      <c r="AB1537" s="8">
        <v>0.05</v>
      </c>
      <c r="AC1537" s="8">
        <v>3.0000000000000001E-3</v>
      </c>
    </row>
    <row r="1538" spans="1:29" ht="11.65" hidden="1" x14ac:dyDescent="0.35">
      <c r="A1538" s="12">
        <v>1521</v>
      </c>
      <c r="B1538" s="10" t="s">
        <v>1015</v>
      </c>
      <c r="C1538" s="11" t="s">
        <v>1125</v>
      </c>
      <c r="D1538" s="9"/>
      <c r="E1538" s="9">
        <v>682</v>
      </c>
      <c r="F1538" s="10" t="s">
        <v>1066</v>
      </c>
      <c r="G1538" s="9">
        <v>922</v>
      </c>
      <c r="H1538" s="9">
        <v>1975</v>
      </c>
      <c r="I1538" s="8">
        <v>674.66300000000001</v>
      </c>
      <c r="J1538" s="8">
        <v>520.80499999999995</v>
      </c>
      <c r="K1538" s="8">
        <v>425.42500000000001</v>
      </c>
      <c r="L1538" s="8">
        <v>347.53699999999998</v>
      </c>
      <c r="M1538" s="8">
        <v>293.45600000000002</v>
      </c>
      <c r="N1538" s="8">
        <v>253.83799999999999</v>
      </c>
      <c r="O1538" s="8">
        <v>212.37100000000001</v>
      </c>
      <c r="P1538" s="8">
        <v>176.89099999999999</v>
      </c>
      <c r="Q1538" s="8">
        <v>148.46700000000001</v>
      </c>
      <c r="R1538" s="8">
        <v>123.36499999999999</v>
      </c>
      <c r="S1538" s="8">
        <v>102.602</v>
      </c>
      <c r="T1538" s="8">
        <v>84.415000000000006</v>
      </c>
      <c r="U1538" s="8">
        <v>68.495999999999995</v>
      </c>
      <c r="V1538" s="8">
        <v>54.106000000000002</v>
      </c>
      <c r="W1538" s="8">
        <v>37.899000000000001</v>
      </c>
      <c r="X1538" s="8">
        <v>22.898</v>
      </c>
      <c r="Y1538" s="8">
        <v>10.209</v>
      </c>
      <c r="Z1538" s="8">
        <v>3.0979999999999999</v>
      </c>
      <c r="AA1538" s="8">
        <v>0.625</v>
      </c>
      <c r="AB1538" s="8">
        <v>7.0000000000000007E-2</v>
      </c>
      <c r="AC1538" s="8">
        <v>5.0000000000000001E-3</v>
      </c>
    </row>
    <row r="1539" spans="1:29" ht="11.65" hidden="1" x14ac:dyDescent="0.35">
      <c r="A1539" s="12">
        <v>1522</v>
      </c>
      <c r="B1539" s="10" t="s">
        <v>1015</v>
      </c>
      <c r="C1539" s="11" t="s">
        <v>1125</v>
      </c>
      <c r="D1539" s="9"/>
      <c r="E1539" s="9">
        <v>682</v>
      </c>
      <c r="F1539" s="10" t="s">
        <v>1066</v>
      </c>
      <c r="G1539" s="9">
        <v>922</v>
      </c>
      <c r="H1539" s="9">
        <v>1980</v>
      </c>
      <c r="I1539" s="8">
        <v>866.79700000000003</v>
      </c>
      <c r="J1539" s="8">
        <v>681.02300000000002</v>
      </c>
      <c r="K1539" s="8">
        <v>541.69100000000003</v>
      </c>
      <c r="L1539" s="8">
        <v>444.17700000000002</v>
      </c>
      <c r="M1539" s="8">
        <v>363.178</v>
      </c>
      <c r="N1539" s="8">
        <v>309.09399999999999</v>
      </c>
      <c r="O1539" s="8">
        <v>267.94400000000002</v>
      </c>
      <c r="P1539" s="8">
        <v>222.65199999999999</v>
      </c>
      <c r="Q1539" s="8">
        <v>183.84899999999999</v>
      </c>
      <c r="R1539" s="8">
        <v>152.584</v>
      </c>
      <c r="S1539" s="8">
        <v>124.961</v>
      </c>
      <c r="T1539" s="8">
        <v>102.279</v>
      </c>
      <c r="U1539" s="8">
        <v>81.564999999999998</v>
      </c>
      <c r="V1539" s="8">
        <v>62.905000000000001</v>
      </c>
      <c r="W1539" s="8">
        <v>46.128</v>
      </c>
      <c r="X1539" s="8">
        <v>28.573</v>
      </c>
      <c r="Y1539" s="8">
        <v>13.37</v>
      </c>
      <c r="Z1539" s="8">
        <v>4.17</v>
      </c>
      <c r="AA1539" s="8">
        <v>0.84399999999999997</v>
      </c>
      <c r="AB1539" s="8">
        <v>9.7000000000000003E-2</v>
      </c>
      <c r="AC1539" s="8">
        <v>7.0000000000000001E-3</v>
      </c>
    </row>
    <row r="1540" spans="1:29" ht="11.65" hidden="1" x14ac:dyDescent="0.35">
      <c r="A1540" s="12">
        <v>1523</v>
      </c>
      <c r="B1540" s="10" t="s">
        <v>1015</v>
      </c>
      <c r="C1540" s="11" t="s">
        <v>1125</v>
      </c>
      <c r="D1540" s="9"/>
      <c r="E1540" s="9">
        <v>682</v>
      </c>
      <c r="F1540" s="10" t="s">
        <v>1066</v>
      </c>
      <c r="G1540" s="9">
        <v>922</v>
      </c>
      <c r="H1540" s="9">
        <v>1985</v>
      </c>
      <c r="I1540" s="8">
        <v>1144.7</v>
      </c>
      <c r="J1540" s="8">
        <v>880.14099999999996</v>
      </c>
      <c r="K1540" s="8">
        <v>712.89499999999998</v>
      </c>
      <c r="L1540" s="8">
        <v>586.37300000000005</v>
      </c>
      <c r="M1540" s="8">
        <v>527.72699999999998</v>
      </c>
      <c r="N1540" s="8">
        <v>464.649</v>
      </c>
      <c r="O1540" s="8">
        <v>391.88600000000002</v>
      </c>
      <c r="P1540" s="8">
        <v>317.12400000000002</v>
      </c>
      <c r="Q1540" s="8">
        <v>227.39500000000001</v>
      </c>
      <c r="R1540" s="8">
        <v>162.898</v>
      </c>
      <c r="S1540" s="8">
        <v>127.431</v>
      </c>
      <c r="T1540" s="8">
        <v>103.015</v>
      </c>
      <c r="U1540" s="8">
        <v>89.927000000000007</v>
      </c>
      <c r="V1540" s="8">
        <v>72.945999999999998</v>
      </c>
      <c r="W1540" s="8">
        <v>52.238</v>
      </c>
      <c r="X1540" s="8">
        <v>33.771000000000001</v>
      </c>
      <c r="Y1540" s="8">
        <v>16.97</v>
      </c>
      <c r="Z1540" s="8">
        <v>5.7720000000000002</v>
      </c>
      <c r="AA1540" s="8">
        <v>1.163</v>
      </c>
      <c r="AB1540" s="8">
        <v>0.13400000000000001</v>
      </c>
      <c r="AC1540" s="8">
        <v>0.01</v>
      </c>
    </row>
    <row r="1541" spans="1:29" ht="11.65" hidden="1" x14ac:dyDescent="0.35">
      <c r="A1541" s="12">
        <v>1524</v>
      </c>
      <c r="B1541" s="10" t="s">
        <v>1015</v>
      </c>
      <c r="C1541" s="11" t="s">
        <v>1125</v>
      </c>
      <c r="D1541" s="9"/>
      <c r="E1541" s="9">
        <v>682</v>
      </c>
      <c r="F1541" s="10" t="s">
        <v>1066</v>
      </c>
      <c r="G1541" s="9">
        <v>922</v>
      </c>
      <c r="H1541" s="9">
        <v>1990</v>
      </c>
      <c r="I1541" s="8">
        <v>1331.154</v>
      </c>
      <c r="J1541" s="8">
        <v>1156.07</v>
      </c>
      <c r="K1541" s="8">
        <v>885.00599999999997</v>
      </c>
      <c r="L1541" s="8">
        <v>676.26700000000005</v>
      </c>
      <c r="M1541" s="8">
        <v>600.84</v>
      </c>
      <c r="N1541" s="8">
        <v>597.73900000000003</v>
      </c>
      <c r="O1541" s="8">
        <v>500.24</v>
      </c>
      <c r="P1541" s="8">
        <v>358.589</v>
      </c>
      <c r="Q1541" s="8">
        <v>244.94399999999999</v>
      </c>
      <c r="R1541" s="8">
        <v>189.374</v>
      </c>
      <c r="S1541" s="8">
        <v>139.178</v>
      </c>
      <c r="T1541" s="8">
        <v>117.86199999999999</v>
      </c>
      <c r="U1541" s="8">
        <v>111.19199999999999</v>
      </c>
      <c r="V1541" s="8">
        <v>99.864999999999995</v>
      </c>
      <c r="W1541" s="8">
        <v>69.605000000000004</v>
      </c>
      <c r="X1541" s="8">
        <v>38.905999999999999</v>
      </c>
      <c r="Y1541" s="8">
        <v>20.489000000000001</v>
      </c>
      <c r="Z1541" s="8">
        <v>7.5019999999999998</v>
      </c>
      <c r="AA1541" s="8">
        <v>1.643</v>
      </c>
      <c r="AB1541" s="8">
        <v>0.187</v>
      </c>
      <c r="AC1541" s="8">
        <v>1.2999999999999999E-2</v>
      </c>
    </row>
    <row r="1542" spans="1:29" ht="11.65" hidden="1" x14ac:dyDescent="0.35">
      <c r="A1542" s="12">
        <v>1525</v>
      </c>
      <c r="B1542" s="10" t="s">
        <v>1015</v>
      </c>
      <c r="C1542" s="11" t="s">
        <v>1125</v>
      </c>
      <c r="D1542" s="9"/>
      <c r="E1542" s="9">
        <v>682</v>
      </c>
      <c r="F1542" s="10" t="s">
        <v>1066</v>
      </c>
      <c r="G1542" s="9">
        <v>922</v>
      </c>
      <c r="H1542" s="9">
        <v>1995</v>
      </c>
      <c r="I1542" s="8">
        <v>1353.13</v>
      </c>
      <c r="J1542" s="8">
        <v>1298.6110000000001</v>
      </c>
      <c r="K1542" s="8">
        <v>1167.6659999999999</v>
      </c>
      <c r="L1542" s="8">
        <v>877.27300000000002</v>
      </c>
      <c r="M1542" s="8">
        <v>653.36199999999997</v>
      </c>
      <c r="N1542" s="8">
        <v>582.95100000000002</v>
      </c>
      <c r="O1542" s="8">
        <v>589.60900000000004</v>
      </c>
      <c r="P1542" s="8">
        <v>501.70299999999997</v>
      </c>
      <c r="Q1542" s="8">
        <v>347.36099999999999</v>
      </c>
      <c r="R1542" s="8">
        <v>216.422</v>
      </c>
      <c r="S1542" s="8">
        <v>178.13800000000001</v>
      </c>
      <c r="T1542" s="8">
        <v>142.49</v>
      </c>
      <c r="U1542" s="8">
        <v>117.345</v>
      </c>
      <c r="V1542" s="8">
        <v>104.348</v>
      </c>
      <c r="W1542" s="8">
        <v>84.238</v>
      </c>
      <c r="X1542" s="8">
        <v>52.247</v>
      </c>
      <c r="Y1542" s="8">
        <v>24.582000000000001</v>
      </c>
      <c r="Z1542" s="8">
        <v>9.3559999999999999</v>
      </c>
      <c r="AA1542" s="8">
        <v>2.13</v>
      </c>
      <c r="AB1542" s="8">
        <v>0.26900000000000002</v>
      </c>
      <c r="AC1542" s="8">
        <v>1.7000000000000001E-2</v>
      </c>
    </row>
    <row r="1543" spans="1:29" ht="11.65" hidden="1" x14ac:dyDescent="0.35">
      <c r="A1543" s="12">
        <v>1526</v>
      </c>
      <c r="B1543" s="10" t="s">
        <v>1015</v>
      </c>
      <c r="C1543" s="11" t="s">
        <v>1125</v>
      </c>
      <c r="D1543" s="9"/>
      <c r="E1543" s="9">
        <v>682</v>
      </c>
      <c r="F1543" s="10" t="s">
        <v>1066</v>
      </c>
      <c r="G1543" s="9">
        <v>922</v>
      </c>
      <c r="H1543" s="9">
        <v>2000</v>
      </c>
      <c r="I1543" s="8">
        <v>1329.9839999999999</v>
      </c>
      <c r="J1543" s="8">
        <v>1352.6679999999999</v>
      </c>
      <c r="K1543" s="8">
        <v>1217.5840000000001</v>
      </c>
      <c r="L1543" s="8">
        <v>977.27200000000005</v>
      </c>
      <c r="M1543" s="8">
        <v>867.05600000000004</v>
      </c>
      <c r="N1543" s="8">
        <v>780.48500000000001</v>
      </c>
      <c r="O1543" s="8">
        <v>675.49300000000005</v>
      </c>
      <c r="P1543" s="8">
        <v>623.53599999999994</v>
      </c>
      <c r="Q1543" s="8">
        <v>442.73399999999998</v>
      </c>
      <c r="R1543" s="8">
        <v>315.91199999999998</v>
      </c>
      <c r="S1543" s="8">
        <v>212.46199999999999</v>
      </c>
      <c r="T1543" s="8">
        <v>173.39099999999999</v>
      </c>
      <c r="U1543" s="8">
        <v>136.19999999999999</v>
      </c>
      <c r="V1543" s="8">
        <v>108.146</v>
      </c>
      <c r="W1543" s="8">
        <v>89.134</v>
      </c>
      <c r="X1543" s="8">
        <v>64.394000000000005</v>
      </c>
      <c r="Y1543" s="8">
        <v>33.906999999999996</v>
      </c>
      <c r="Z1543" s="8">
        <v>11.717000000000001</v>
      </c>
      <c r="AA1543" s="8">
        <v>2.8690000000000002</v>
      </c>
      <c r="AB1543" s="8">
        <v>0.38</v>
      </c>
      <c r="AC1543" s="8">
        <v>2.4E-2</v>
      </c>
    </row>
    <row r="1544" spans="1:29" ht="11.65" hidden="1" x14ac:dyDescent="0.35">
      <c r="A1544" s="12">
        <v>1527</v>
      </c>
      <c r="B1544" s="10" t="s">
        <v>1015</v>
      </c>
      <c r="C1544" s="11" t="s">
        <v>1125</v>
      </c>
      <c r="D1544" s="9"/>
      <c r="E1544" s="9">
        <v>682</v>
      </c>
      <c r="F1544" s="10" t="s">
        <v>1066</v>
      </c>
      <c r="G1544" s="9">
        <v>922</v>
      </c>
      <c r="H1544" s="9">
        <v>2005</v>
      </c>
      <c r="I1544" s="8">
        <v>1349.1510000000001</v>
      </c>
      <c r="J1544" s="8">
        <v>1305.319</v>
      </c>
      <c r="K1544" s="8">
        <v>1328.4549999999999</v>
      </c>
      <c r="L1544" s="8">
        <v>1160.53</v>
      </c>
      <c r="M1544" s="8">
        <v>953.73400000000004</v>
      </c>
      <c r="N1544" s="8">
        <v>963.84299999999996</v>
      </c>
      <c r="O1544" s="8">
        <v>882.36500000000001</v>
      </c>
      <c r="P1544" s="8">
        <v>715.62099999999998</v>
      </c>
      <c r="Q1544" s="8">
        <v>562.30499999999995</v>
      </c>
      <c r="R1544" s="8">
        <v>351.54599999999999</v>
      </c>
      <c r="S1544" s="8">
        <v>279.99700000000001</v>
      </c>
      <c r="T1544" s="8">
        <v>189.34</v>
      </c>
      <c r="U1544" s="8">
        <v>162.99600000000001</v>
      </c>
      <c r="V1544" s="8">
        <v>125.331</v>
      </c>
      <c r="W1544" s="8">
        <v>92.69</v>
      </c>
      <c r="X1544" s="8">
        <v>68.405000000000001</v>
      </c>
      <c r="Y1544" s="8">
        <v>42.064</v>
      </c>
      <c r="Z1544" s="8">
        <v>16.797000000000001</v>
      </c>
      <c r="AA1544" s="8">
        <v>4.0709999999999997</v>
      </c>
      <c r="AB1544" s="8">
        <v>0.64300000000000002</v>
      </c>
      <c r="AC1544" s="8">
        <v>5.0999999999999997E-2</v>
      </c>
    </row>
    <row r="1545" spans="1:29" ht="11.65" hidden="1" x14ac:dyDescent="0.35">
      <c r="A1545" s="12">
        <v>1528</v>
      </c>
      <c r="B1545" s="10" t="s">
        <v>1015</v>
      </c>
      <c r="C1545" s="11" t="s">
        <v>1125</v>
      </c>
      <c r="D1545" s="9"/>
      <c r="E1545" s="9">
        <v>682</v>
      </c>
      <c r="F1545" s="10" t="s">
        <v>1066</v>
      </c>
      <c r="G1545" s="9">
        <v>922</v>
      </c>
      <c r="H1545" s="9">
        <v>2010</v>
      </c>
      <c r="I1545" s="8">
        <v>1439.327</v>
      </c>
      <c r="J1545" s="8">
        <v>1313.2439999999999</v>
      </c>
      <c r="K1545" s="8">
        <v>1263.7139999999999</v>
      </c>
      <c r="L1545" s="8">
        <v>1298.9380000000001</v>
      </c>
      <c r="M1545" s="8">
        <v>1179.6869999999999</v>
      </c>
      <c r="N1545" s="8">
        <v>1053.0039999999999</v>
      </c>
      <c r="O1545" s="8">
        <v>1111.556</v>
      </c>
      <c r="P1545" s="8">
        <v>961.76900000000001</v>
      </c>
      <c r="Q1545" s="8">
        <v>688.72400000000005</v>
      </c>
      <c r="R1545" s="8">
        <v>518.88199999999995</v>
      </c>
      <c r="S1545" s="8">
        <v>328.55799999999999</v>
      </c>
      <c r="T1545" s="8">
        <v>263.58</v>
      </c>
      <c r="U1545" s="8">
        <v>174.875</v>
      </c>
      <c r="V1545" s="8">
        <v>147.00299999999999</v>
      </c>
      <c r="W1545" s="8">
        <v>107.42100000000001</v>
      </c>
      <c r="X1545" s="8">
        <v>71.057000000000002</v>
      </c>
      <c r="Y1545" s="8">
        <v>44.755000000000003</v>
      </c>
      <c r="Z1545" s="8">
        <v>20.963000000000001</v>
      </c>
      <c r="AA1545" s="8">
        <v>5.9020000000000001</v>
      </c>
      <c r="AB1545" s="8">
        <v>0.92900000000000005</v>
      </c>
      <c r="AC1545" s="8">
        <v>8.8999999999999996E-2</v>
      </c>
    </row>
    <row r="1546" spans="1:29" ht="11.65" hidden="1" x14ac:dyDescent="0.35">
      <c r="A1546" s="12">
        <v>1529</v>
      </c>
      <c r="B1546" s="10" t="s">
        <v>1015</v>
      </c>
      <c r="C1546" s="11" t="s">
        <v>1125</v>
      </c>
      <c r="D1546" s="9"/>
      <c r="E1546" s="9">
        <v>682</v>
      </c>
      <c r="F1546" s="10" t="s">
        <v>1066</v>
      </c>
      <c r="G1546" s="9">
        <v>922</v>
      </c>
      <c r="H1546" s="9">
        <v>2015</v>
      </c>
      <c r="I1546" s="8">
        <v>1470.1590000000001</v>
      </c>
      <c r="J1546" s="8">
        <v>1357.663</v>
      </c>
      <c r="K1546" s="8">
        <v>1204.279</v>
      </c>
      <c r="L1546" s="8">
        <v>1133.415</v>
      </c>
      <c r="M1546" s="8">
        <v>1214.2639999999999</v>
      </c>
      <c r="N1546" s="8">
        <v>1287.54</v>
      </c>
      <c r="O1546" s="8">
        <v>1323.462</v>
      </c>
      <c r="P1546" s="8">
        <v>1331.521</v>
      </c>
      <c r="Q1546" s="8">
        <v>1074.037</v>
      </c>
      <c r="R1546" s="8">
        <v>727.75300000000004</v>
      </c>
      <c r="S1546" s="8">
        <v>513.79899999999998</v>
      </c>
      <c r="T1546" s="8">
        <v>326.077</v>
      </c>
      <c r="U1546" s="8">
        <v>259.43599999999998</v>
      </c>
      <c r="V1546" s="8">
        <v>163.709</v>
      </c>
      <c r="W1546" s="8">
        <v>127.041</v>
      </c>
      <c r="X1546" s="8">
        <v>83.436999999999998</v>
      </c>
      <c r="Y1546" s="8">
        <v>47.298000000000002</v>
      </c>
      <c r="Z1546" s="8">
        <v>22.780999999999999</v>
      </c>
      <c r="AA1546" s="8">
        <v>7.532</v>
      </c>
      <c r="AB1546" s="8">
        <v>1.399</v>
      </c>
      <c r="AC1546" s="8">
        <v>0.14099999999999999</v>
      </c>
    </row>
    <row r="1547" spans="1:29" ht="11.65" hidden="1" x14ac:dyDescent="0.35">
      <c r="A1547" s="12">
        <v>1530</v>
      </c>
      <c r="B1547" s="10" t="s">
        <v>1015</v>
      </c>
      <c r="C1547" s="11" t="s">
        <v>1125</v>
      </c>
      <c r="D1547" s="9"/>
      <c r="E1547" s="9">
        <v>682</v>
      </c>
      <c r="F1547" s="10" t="s">
        <v>1066</v>
      </c>
      <c r="G1547" s="9">
        <v>922</v>
      </c>
      <c r="H1547" s="9">
        <v>2020</v>
      </c>
      <c r="I1547" s="8">
        <v>1467.625</v>
      </c>
      <c r="J1547" s="8">
        <v>1467.3810000000001</v>
      </c>
      <c r="K1547" s="8">
        <v>1300.6600000000001</v>
      </c>
      <c r="L1547" s="8">
        <v>1089.8219999999999</v>
      </c>
      <c r="M1547" s="8">
        <v>1105.0709999999999</v>
      </c>
      <c r="N1547" s="8">
        <v>1357.837</v>
      </c>
      <c r="O1547" s="8">
        <v>1417.027</v>
      </c>
      <c r="P1547" s="8">
        <v>1332.808</v>
      </c>
      <c r="Q1547" s="8">
        <v>1283.693</v>
      </c>
      <c r="R1547" s="8">
        <v>969.31799999999998</v>
      </c>
      <c r="S1547" s="8">
        <v>606.77099999999996</v>
      </c>
      <c r="T1547" s="8">
        <v>426.37400000000002</v>
      </c>
      <c r="U1547" s="8">
        <v>286.77100000000002</v>
      </c>
      <c r="V1547" s="8">
        <v>239.327</v>
      </c>
      <c r="W1547" s="8">
        <v>142.03</v>
      </c>
      <c r="X1547" s="8">
        <v>99.234999999999999</v>
      </c>
      <c r="Y1547" s="8">
        <v>56.036000000000001</v>
      </c>
      <c r="Z1547" s="8">
        <v>24.393999999999998</v>
      </c>
      <c r="AA1547" s="8">
        <v>8.3209999999999997</v>
      </c>
      <c r="AB1547" s="8">
        <v>1.8340000000000001</v>
      </c>
      <c r="AC1547" s="8">
        <v>0.224</v>
      </c>
    </row>
    <row r="1548" spans="1:29" ht="11.65" hidden="1" x14ac:dyDescent="0.35">
      <c r="A1548" s="12">
        <v>1531</v>
      </c>
      <c r="B1548" s="10" t="s">
        <v>1015</v>
      </c>
      <c r="C1548" s="11" t="s">
        <v>1126</v>
      </c>
      <c r="D1548" s="9">
        <v>7</v>
      </c>
      <c r="E1548" s="9">
        <v>275</v>
      </c>
      <c r="F1548" s="10" t="s">
        <v>1066</v>
      </c>
      <c r="G1548" s="9">
        <v>922</v>
      </c>
      <c r="H1548" s="9">
        <v>1950</v>
      </c>
      <c r="I1548" s="8">
        <v>80.558999999999997</v>
      </c>
      <c r="J1548" s="8">
        <v>65.724999999999994</v>
      </c>
      <c r="K1548" s="8">
        <v>55.869</v>
      </c>
      <c r="L1548" s="8">
        <v>44.767000000000003</v>
      </c>
      <c r="M1548" s="8">
        <v>36.268000000000001</v>
      </c>
      <c r="N1548" s="8">
        <v>31.277000000000001</v>
      </c>
      <c r="O1548" s="8">
        <v>24.207000000000001</v>
      </c>
      <c r="P1548" s="8">
        <v>19.579000000000001</v>
      </c>
      <c r="Q1548" s="8">
        <v>17.241</v>
      </c>
      <c r="R1548" s="8">
        <v>14.602</v>
      </c>
      <c r="S1548" s="8">
        <v>13.206</v>
      </c>
      <c r="T1548" s="8">
        <v>13.398</v>
      </c>
      <c r="U1548" s="8">
        <v>10.911</v>
      </c>
      <c r="V1548" s="8">
        <v>8.6170000000000009</v>
      </c>
      <c r="W1548" s="8">
        <v>6.7560000000000002</v>
      </c>
      <c r="X1548" s="8">
        <v>3.63</v>
      </c>
      <c r="Y1548" s="8">
        <v>1.2549999999999999</v>
      </c>
      <c r="Z1548" s="8">
        <v>0.45900000000000002</v>
      </c>
      <c r="AA1548" s="8">
        <v>0.109</v>
      </c>
      <c r="AB1548" s="8">
        <v>1.4999999999999999E-2</v>
      </c>
      <c r="AC1548" s="8">
        <v>1E-3</v>
      </c>
    </row>
    <row r="1549" spans="1:29" ht="11.65" hidden="1" x14ac:dyDescent="0.35">
      <c r="A1549" s="12">
        <v>1532</v>
      </c>
      <c r="B1549" s="10" t="s">
        <v>1015</v>
      </c>
      <c r="C1549" s="11" t="s">
        <v>1126</v>
      </c>
      <c r="D1549" s="9">
        <v>7</v>
      </c>
      <c r="E1549" s="9">
        <v>275</v>
      </c>
      <c r="F1549" s="10" t="s">
        <v>1066</v>
      </c>
      <c r="G1549" s="9">
        <v>922</v>
      </c>
      <c r="H1549" s="9">
        <v>1955</v>
      </c>
      <c r="I1549" s="8">
        <v>88.161000000000001</v>
      </c>
      <c r="J1549" s="8">
        <v>70.418000000000006</v>
      </c>
      <c r="K1549" s="8">
        <v>60.04</v>
      </c>
      <c r="L1549" s="8">
        <v>50.975999999999999</v>
      </c>
      <c r="M1549" s="8">
        <v>40.493000000000002</v>
      </c>
      <c r="N1549" s="8">
        <v>32.609000000000002</v>
      </c>
      <c r="O1549" s="8">
        <v>28.091000000000001</v>
      </c>
      <c r="P1549" s="8">
        <v>21.571000000000002</v>
      </c>
      <c r="Q1549" s="8">
        <v>17.355</v>
      </c>
      <c r="R1549" s="8">
        <v>15.225</v>
      </c>
      <c r="S1549" s="8">
        <v>12.698</v>
      </c>
      <c r="T1549" s="8">
        <v>11.215999999999999</v>
      </c>
      <c r="U1549" s="8">
        <v>11.018000000000001</v>
      </c>
      <c r="V1549" s="8">
        <v>8.4090000000000007</v>
      </c>
      <c r="W1549" s="8">
        <v>6.0380000000000003</v>
      </c>
      <c r="X1549" s="8">
        <v>4.0750000000000002</v>
      </c>
      <c r="Y1549" s="8">
        <v>1.708</v>
      </c>
      <c r="Z1549" s="8">
        <v>0.433</v>
      </c>
      <c r="AA1549" s="8">
        <v>0.11</v>
      </c>
      <c r="AB1549" s="8">
        <v>1.4999999999999999E-2</v>
      </c>
      <c r="AC1549" s="8">
        <v>1E-3</v>
      </c>
    </row>
    <row r="1550" spans="1:29" ht="11.65" hidden="1" x14ac:dyDescent="0.35">
      <c r="A1550" s="12">
        <v>1533</v>
      </c>
      <c r="B1550" s="10" t="s">
        <v>1015</v>
      </c>
      <c r="C1550" s="11" t="s">
        <v>1126</v>
      </c>
      <c r="D1550" s="9">
        <v>7</v>
      </c>
      <c r="E1550" s="9">
        <v>275</v>
      </c>
      <c r="F1550" s="10" t="s">
        <v>1066</v>
      </c>
      <c r="G1550" s="9">
        <v>922</v>
      </c>
      <c r="H1550" s="9">
        <v>1960</v>
      </c>
      <c r="I1550" s="8">
        <v>99.247</v>
      </c>
      <c r="J1550" s="8">
        <v>77.930000000000007</v>
      </c>
      <c r="K1550" s="8">
        <v>64.748999999999995</v>
      </c>
      <c r="L1550" s="8">
        <v>55.131</v>
      </c>
      <c r="M1550" s="8">
        <v>46.529000000000003</v>
      </c>
      <c r="N1550" s="8">
        <v>36.72</v>
      </c>
      <c r="O1550" s="8">
        <v>29.436</v>
      </c>
      <c r="P1550" s="8">
        <v>25.317</v>
      </c>
      <c r="Q1550" s="8">
        <v>19.291</v>
      </c>
      <c r="R1550" s="8">
        <v>15.42</v>
      </c>
      <c r="S1550" s="8">
        <v>13.385999999999999</v>
      </c>
      <c r="T1550" s="8">
        <v>10.901999999999999</v>
      </c>
      <c r="U1550" s="8">
        <v>9.2710000000000008</v>
      </c>
      <c r="V1550" s="8">
        <v>8.6370000000000005</v>
      </c>
      <c r="W1550" s="8">
        <v>5.9859999999999998</v>
      </c>
      <c r="X1550" s="8">
        <v>3.6890000000000001</v>
      </c>
      <c r="Y1550" s="8">
        <v>1.9630000000000001</v>
      </c>
      <c r="Z1550" s="8">
        <v>0.60499999999999998</v>
      </c>
      <c r="AA1550" s="8">
        <v>0.105</v>
      </c>
      <c r="AB1550" s="8">
        <v>1.4999999999999999E-2</v>
      </c>
      <c r="AC1550" s="8">
        <v>1E-3</v>
      </c>
    </row>
    <row r="1551" spans="1:29" ht="11.65" hidden="1" x14ac:dyDescent="0.35">
      <c r="A1551" s="12">
        <v>1534</v>
      </c>
      <c r="B1551" s="10" t="s">
        <v>1015</v>
      </c>
      <c r="C1551" s="11" t="s">
        <v>1126</v>
      </c>
      <c r="D1551" s="9">
        <v>7</v>
      </c>
      <c r="E1551" s="9">
        <v>275</v>
      </c>
      <c r="F1551" s="10" t="s">
        <v>1066</v>
      </c>
      <c r="G1551" s="9">
        <v>922</v>
      </c>
      <c r="H1551" s="9">
        <v>1965</v>
      </c>
      <c r="I1551" s="8">
        <v>121.732</v>
      </c>
      <c r="J1551" s="8">
        <v>88.129000000000005</v>
      </c>
      <c r="K1551" s="8">
        <v>71.626999999999995</v>
      </c>
      <c r="L1551" s="8">
        <v>59.41</v>
      </c>
      <c r="M1551" s="8">
        <v>50.283999999999999</v>
      </c>
      <c r="N1551" s="8">
        <v>42.271000000000001</v>
      </c>
      <c r="O1551" s="8">
        <v>33.191000000000003</v>
      </c>
      <c r="P1551" s="8">
        <v>26.478000000000002</v>
      </c>
      <c r="Q1551" s="8">
        <v>22.745000000000001</v>
      </c>
      <c r="R1551" s="8">
        <v>17.170000000000002</v>
      </c>
      <c r="S1551" s="8">
        <v>13.551</v>
      </c>
      <c r="T1551" s="8">
        <v>11.551</v>
      </c>
      <c r="U1551" s="8">
        <v>9.0649999999999995</v>
      </c>
      <c r="V1551" s="8">
        <v>7.2729999999999997</v>
      </c>
      <c r="W1551" s="8">
        <v>6.23</v>
      </c>
      <c r="X1551" s="8">
        <v>3.7069999999999999</v>
      </c>
      <c r="Y1551" s="8">
        <v>1.786</v>
      </c>
      <c r="Z1551" s="8">
        <v>0.71099999999999997</v>
      </c>
      <c r="AA1551" s="8">
        <v>0.15</v>
      </c>
      <c r="AB1551" s="8">
        <v>1.4999999999999999E-2</v>
      </c>
      <c r="AC1551" s="8">
        <v>1E-3</v>
      </c>
    </row>
    <row r="1552" spans="1:29" ht="11.65" hidden="1" x14ac:dyDescent="0.35">
      <c r="A1552" s="12">
        <v>1535</v>
      </c>
      <c r="B1552" s="10" t="s">
        <v>1015</v>
      </c>
      <c r="C1552" s="11" t="s">
        <v>1126</v>
      </c>
      <c r="D1552" s="9">
        <v>7</v>
      </c>
      <c r="E1552" s="9">
        <v>275</v>
      </c>
      <c r="F1552" s="10" t="s">
        <v>1066</v>
      </c>
      <c r="G1552" s="9">
        <v>922</v>
      </c>
      <c r="H1552" s="9">
        <v>1970</v>
      </c>
      <c r="I1552" s="8">
        <v>115.611</v>
      </c>
      <c r="J1552" s="8">
        <v>92.338999999999999</v>
      </c>
      <c r="K1552" s="8">
        <v>67.683999999999997</v>
      </c>
      <c r="L1552" s="8">
        <v>55.289000000000001</v>
      </c>
      <c r="M1552" s="8">
        <v>45.62</v>
      </c>
      <c r="N1552" s="8">
        <v>38.540999999999997</v>
      </c>
      <c r="O1552" s="8">
        <v>32.411000000000001</v>
      </c>
      <c r="P1552" s="8">
        <v>25.19</v>
      </c>
      <c r="Q1552" s="8">
        <v>19.948</v>
      </c>
      <c r="R1552" s="8">
        <v>17.254999999999999</v>
      </c>
      <c r="S1552" s="8">
        <v>12.702</v>
      </c>
      <c r="T1552" s="8">
        <v>9.8230000000000004</v>
      </c>
      <c r="U1552" s="8">
        <v>8.1880000000000006</v>
      </c>
      <c r="V1552" s="8">
        <v>6.0359999999999996</v>
      </c>
      <c r="W1552" s="8">
        <v>4.4180000000000001</v>
      </c>
      <c r="X1552" s="8">
        <v>3.359</v>
      </c>
      <c r="Y1552" s="8">
        <v>1.4770000000000001</v>
      </c>
      <c r="Z1552" s="8">
        <v>0.57999999999999996</v>
      </c>
      <c r="AA1552" s="8">
        <v>0.182</v>
      </c>
      <c r="AB1552" s="8">
        <v>2.3E-2</v>
      </c>
      <c r="AC1552" s="8">
        <v>1E-3</v>
      </c>
    </row>
    <row r="1553" spans="1:29" ht="11.65" hidden="1" x14ac:dyDescent="0.35">
      <c r="A1553" s="12">
        <v>1536</v>
      </c>
      <c r="B1553" s="10" t="s">
        <v>1015</v>
      </c>
      <c r="C1553" s="11" t="s">
        <v>1126</v>
      </c>
      <c r="D1553" s="9">
        <v>7</v>
      </c>
      <c r="E1553" s="9">
        <v>275</v>
      </c>
      <c r="F1553" s="10" t="s">
        <v>1066</v>
      </c>
      <c r="G1553" s="9">
        <v>922</v>
      </c>
      <c r="H1553" s="9">
        <v>1975</v>
      </c>
      <c r="I1553" s="8">
        <v>131.08000000000001</v>
      </c>
      <c r="J1553" s="8">
        <v>109.443</v>
      </c>
      <c r="K1553" s="8">
        <v>89.111000000000004</v>
      </c>
      <c r="L1553" s="8">
        <v>65.135000000000005</v>
      </c>
      <c r="M1553" s="8">
        <v>53.009</v>
      </c>
      <c r="N1553" s="8">
        <v>43.585999999999999</v>
      </c>
      <c r="O1553" s="8">
        <v>36.731999999999999</v>
      </c>
      <c r="P1553" s="8">
        <v>30.800999999999998</v>
      </c>
      <c r="Q1553" s="8">
        <v>23.817</v>
      </c>
      <c r="R1553" s="8">
        <v>18.736000000000001</v>
      </c>
      <c r="S1553" s="8">
        <v>16.048999999999999</v>
      </c>
      <c r="T1553" s="8">
        <v>11.582000000000001</v>
      </c>
      <c r="U1553" s="8">
        <v>8.6839999999999993</v>
      </c>
      <c r="V1553" s="8">
        <v>6.8890000000000002</v>
      </c>
      <c r="W1553" s="8">
        <v>4.665</v>
      </c>
      <c r="X1553" s="8">
        <v>2.9670000000000001</v>
      </c>
      <c r="Y1553" s="8">
        <v>1.8049999999999999</v>
      </c>
      <c r="Z1553" s="8">
        <v>0.57599999999999996</v>
      </c>
      <c r="AA1553" s="8">
        <v>0.152</v>
      </c>
      <c r="AB1553" s="8">
        <v>2.8000000000000001E-2</v>
      </c>
      <c r="AC1553" s="8">
        <v>2E-3</v>
      </c>
    </row>
    <row r="1554" spans="1:29" ht="11.65" hidden="1" x14ac:dyDescent="0.35">
      <c r="A1554" s="12">
        <v>1537</v>
      </c>
      <c r="B1554" s="10" t="s">
        <v>1015</v>
      </c>
      <c r="C1554" s="11" t="s">
        <v>1126</v>
      </c>
      <c r="D1554" s="9">
        <v>7</v>
      </c>
      <c r="E1554" s="9">
        <v>275</v>
      </c>
      <c r="F1554" s="10" t="s">
        <v>1066</v>
      </c>
      <c r="G1554" s="9">
        <v>922</v>
      </c>
      <c r="H1554" s="9">
        <v>1980</v>
      </c>
      <c r="I1554" s="8">
        <v>147.04599999999999</v>
      </c>
      <c r="J1554" s="8">
        <v>120.77</v>
      </c>
      <c r="K1554" s="8">
        <v>102.404</v>
      </c>
      <c r="L1554" s="8">
        <v>83.326999999999998</v>
      </c>
      <c r="M1554" s="8">
        <v>60.460999999999999</v>
      </c>
      <c r="N1554" s="8">
        <v>49.158999999999999</v>
      </c>
      <c r="O1554" s="8">
        <v>40.323</v>
      </c>
      <c r="P1554" s="8">
        <v>33.896000000000001</v>
      </c>
      <c r="Q1554" s="8">
        <v>28.332999999999998</v>
      </c>
      <c r="R1554" s="8">
        <v>21.736000000000001</v>
      </c>
      <c r="S1554" s="8">
        <v>16.899999999999999</v>
      </c>
      <c r="T1554" s="8">
        <v>14.281000000000001</v>
      </c>
      <c r="U1554" s="8">
        <v>9.9760000000000009</v>
      </c>
      <c r="V1554" s="8">
        <v>7.1280000000000001</v>
      </c>
      <c r="W1554" s="8">
        <v>5.2249999999999996</v>
      </c>
      <c r="X1554" s="8">
        <v>3.081</v>
      </c>
      <c r="Y1554" s="8">
        <v>1.552</v>
      </c>
      <c r="Z1554" s="8">
        <v>0.70699999999999996</v>
      </c>
      <c r="AA1554" s="8">
        <v>0.152</v>
      </c>
      <c r="AB1554" s="8">
        <v>2.4E-2</v>
      </c>
      <c r="AC1554" s="8">
        <v>3.0000000000000001E-3</v>
      </c>
    </row>
    <row r="1555" spans="1:29" ht="11.65" hidden="1" x14ac:dyDescent="0.35">
      <c r="A1555" s="12">
        <v>1538</v>
      </c>
      <c r="B1555" s="10" t="s">
        <v>1015</v>
      </c>
      <c r="C1555" s="11" t="s">
        <v>1126</v>
      </c>
      <c r="D1555" s="9">
        <v>7</v>
      </c>
      <c r="E1555" s="9">
        <v>275</v>
      </c>
      <c r="F1555" s="10" t="s">
        <v>1066</v>
      </c>
      <c r="G1555" s="9">
        <v>922</v>
      </c>
      <c r="H1555" s="9">
        <v>1985</v>
      </c>
      <c r="I1555" s="8">
        <v>166.154</v>
      </c>
      <c r="J1555" s="8">
        <v>139.58000000000001</v>
      </c>
      <c r="K1555" s="8">
        <v>115.639</v>
      </c>
      <c r="L1555" s="8">
        <v>98.02</v>
      </c>
      <c r="M1555" s="8">
        <v>79.545000000000002</v>
      </c>
      <c r="N1555" s="8">
        <v>57.457000000000001</v>
      </c>
      <c r="O1555" s="8">
        <v>46.691000000000003</v>
      </c>
      <c r="P1555" s="8">
        <v>38.198999999999998</v>
      </c>
      <c r="Q1555" s="8">
        <v>31.998000000000001</v>
      </c>
      <c r="R1555" s="8">
        <v>26.597999999999999</v>
      </c>
      <c r="S1555" s="8">
        <v>20.178000000000001</v>
      </c>
      <c r="T1555" s="8">
        <v>15.433999999999999</v>
      </c>
      <c r="U1555" s="8">
        <v>12.734</v>
      </c>
      <c r="V1555" s="8">
        <v>8.4809999999999999</v>
      </c>
      <c r="W1555" s="8">
        <v>5.609</v>
      </c>
      <c r="X1555" s="8">
        <v>3.6139999999999999</v>
      </c>
      <c r="Y1555" s="8">
        <v>1.704</v>
      </c>
      <c r="Z1555" s="8">
        <v>0.63200000000000001</v>
      </c>
      <c r="AA1555" s="8">
        <v>0.193</v>
      </c>
      <c r="AB1555" s="8">
        <v>2.4E-2</v>
      </c>
      <c r="AC1555" s="8">
        <v>2E-3</v>
      </c>
    </row>
    <row r="1556" spans="1:29" ht="11.65" hidden="1" x14ac:dyDescent="0.35">
      <c r="A1556" s="12">
        <v>1539</v>
      </c>
      <c r="B1556" s="10" t="s">
        <v>1015</v>
      </c>
      <c r="C1556" s="11" t="s">
        <v>1126</v>
      </c>
      <c r="D1556" s="9">
        <v>7</v>
      </c>
      <c r="E1556" s="9">
        <v>275</v>
      </c>
      <c r="F1556" s="10" t="s">
        <v>1066</v>
      </c>
      <c r="G1556" s="9">
        <v>922</v>
      </c>
      <c r="H1556" s="9">
        <v>1990</v>
      </c>
      <c r="I1556" s="8">
        <v>201.626</v>
      </c>
      <c r="J1556" s="8">
        <v>161.21700000000001</v>
      </c>
      <c r="K1556" s="8">
        <v>136.24100000000001</v>
      </c>
      <c r="L1556" s="8">
        <v>112.764</v>
      </c>
      <c r="M1556" s="8">
        <v>95.391000000000005</v>
      </c>
      <c r="N1556" s="8">
        <v>77.287999999999997</v>
      </c>
      <c r="O1556" s="8">
        <v>55.673000000000002</v>
      </c>
      <c r="P1556" s="8">
        <v>45.174999999999997</v>
      </c>
      <c r="Q1556" s="8">
        <v>36.826999999999998</v>
      </c>
      <c r="R1556" s="8">
        <v>30.672000000000001</v>
      </c>
      <c r="S1556" s="8">
        <v>25.262</v>
      </c>
      <c r="T1556" s="8">
        <v>18.873999999999999</v>
      </c>
      <c r="U1556" s="8">
        <v>14.087999999999999</v>
      </c>
      <c r="V1556" s="8">
        <v>11.153</v>
      </c>
      <c r="W1556" s="8">
        <v>6.8860000000000001</v>
      </c>
      <c r="X1556" s="8">
        <v>4.0119999999999996</v>
      </c>
      <c r="Y1556" s="8">
        <v>2.0910000000000002</v>
      </c>
      <c r="Z1556" s="8">
        <v>0.72</v>
      </c>
      <c r="AA1556" s="8">
        <v>0.17399999999999999</v>
      </c>
      <c r="AB1556" s="8">
        <v>0.03</v>
      </c>
      <c r="AC1556" s="8">
        <v>2E-3</v>
      </c>
    </row>
    <row r="1557" spans="1:29" ht="11.65" hidden="1" x14ac:dyDescent="0.35">
      <c r="A1557" s="12">
        <v>1540</v>
      </c>
      <c r="B1557" s="10" t="s">
        <v>1015</v>
      </c>
      <c r="C1557" s="11" t="s">
        <v>1126</v>
      </c>
      <c r="D1557" s="9">
        <v>7</v>
      </c>
      <c r="E1557" s="9">
        <v>275</v>
      </c>
      <c r="F1557" s="10" t="s">
        <v>1066</v>
      </c>
      <c r="G1557" s="9">
        <v>922</v>
      </c>
      <c r="H1557" s="9">
        <v>1995</v>
      </c>
      <c r="I1557" s="8">
        <v>255.667</v>
      </c>
      <c r="J1557" s="8">
        <v>203.37700000000001</v>
      </c>
      <c r="K1557" s="8">
        <v>163.239</v>
      </c>
      <c r="L1557" s="8">
        <v>137.82900000000001</v>
      </c>
      <c r="M1557" s="8">
        <v>113.887</v>
      </c>
      <c r="N1557" s="8">
        <v>96.174999999999997</v>
      </c>
      <c r="O1557" s="8">
        <v>77.81</v>
      </c>
      <c r="P1557" s="8">
        <v>55.991</v>
      </c>
      <c r="Q1557" s="8">
        <v>45.26</v>
      </c>
      <c r="R1557" s="8">
        <v>36.692</v>
      </c>
      <c r="S1557" s="8">
        <v>30.283000000000001</v>
      </c>
      <c r="T1557" s="8">
        <v>24.597000000000001</v>
      </c>
      <c r="U1557" s="8">
        <v>17.977</v>
      </c>
      <c r="V1557" s="8">
        <v>12.891</v>
      </c>
      <c r="W1557" s="8">
        <v>9.4930000000000003</v>
      </c>
      <c r="X1557" s="8">
        <v>5.1909999999999998</v>
      </c>
      <c r="Y1557" s="8">
        <v>2.4740000000000002</v>
      </c>
      <c r="Z1557" s="8">
        <v>0.93</v>
      </c>
      <c r="AA1557" s="8">
        <v>0.20399999999999999</v>
      </c>
      <c r="AB1557" s="8">
        <v>2.8000000000000001E-2</v>
      </c>
      <c r="AC1557" s="8">
        <v>3.0000000000000001E-3</v>
      </c>
    </row>
    <row r="1558" spans="1:29" ht="11.65" hidden="1" x14ac:dyDescent="0.35">
      <c r="A1558" s="12">
        <v>1541</v>
      </c>
      <c r="B1558" s="10" t="s">
        <v>1015</v>
      </c>
      <c r="C1558" s="11" t="s">
        <v>1126</v>
      </c>
      <c r="D1558" s="9">
        <v>7</v>
      </c>
      <c r="E1558" s="9">
        <v>275</v>
      </c>
      <c r="F1558" s="10" t="s">
        <v>1066</v>
      </c>
      <c r="G1558" s="9">
        <v>922</v>
      </c>
      <c r="H1558" s="9">
        <v>2000</v>
      </c>
      <c r="I1558" s="8">
        <v>285.62799999999999</v>
      </c>
      <c r="J1558" s="8">
        <v>260.45</v>
      </c>
      <c r="K1558" s="8">
        <v>207.94</v>
      </c>
      <c r="L1558" s="8">
        <v>166.85900000000001</v>
      </c>
      <c r="M1558" s="8">
        <v>140.62</v>
      </c>
      <c r="N1558" s="8">
        <v>116.077</v>
      </c>
      <c r="O1558" s="8">
        <v>97.873000000000005</v>
      </c>
      <c r="P1558" s="8">
        <v>79.027000000000001</v>
      </c>
      <c r="Q1558" s="8">
        <v>56.779000000000003</v>
      </c>
      <c r="R1558" s="8">
        <v>45.619</v>
      </c>
      <c r="S1558" s="8">
        <v>36.679000000000002</v>
      </c>
      <c r="T1558" s="8">
        <v>29.887</v>
      </c>
      <c r="U1558" s="8">
        <v>23.762</v>
      </c>
      <c r="V1558" s="8">
        <v>16.734000000000002</v>
      </c>
      <c r="W1558" s="8">
        <v>11.211</v>
      </c>
      <c r="X1558" s="8">
        <v>7.327</v>
      </c>
      <c r="Y1558" s="8">
        <v>3.3029999999999999</v>
      </c>
      <c r="Z1558" s="8">
        <v>1.137</v>
      </c>
      <c r="AA1558" s="8">
        <v>0.27</v>
      </c>
      <c r="AB1558" s="8">
        <v>3.4000000000000002E-2</v>
      </c>
      <c r="AC1558" s="8">
        <v>3.0000000000000001E-3</v>
      </c>
    </row>
    <row r="1559" spans="1:29" ht="11.65" hidden="1" x14ac:dyDescent="0.35">
      <c r="A1559" s="12">
        <v>1542</v>
      </c>
      <c r="B1559" s="10" t="s">
        <v>1015</v>
      </c>
      <c r="C1559" s="11" t="s">
        <v>1126</v>
      </c>
      <c r="D1559" s="9">
        <v>7</v>
      </c>
      <c r="E1559" s="9">
        <v>275</v>
      </c>
      <c r="F1559" s="10" t="s">
        <v>1066</v>
      </c>
      <c r="G1559" s="9">
        <v>922</v>
      </c>
      <c r="H1559" s="9">
        <v>2005</v>
      </c>
      <c r="I1559" s="8">
        <v>281.11099999999999</v>
      </c>
      <c r="J1559" s="8">
        <v>269.20999999999998</v>
      </c>
      <c r="K1559" s="8">
        <v>246.255</v>
      </c>
      <c r="L1559" s="8">
        <v>196.06700000000001</v>
      </c>
      <c r="M1559" s="8">
        <v>157.05000000000001</v>
      </c>
      <c r="N1559" s="8">
        <v>132.35499999999999</v>
      </c>
      <c r="O1559" s="8">
        <v>109.089</v>
      </c>
      <c r="P1559" s="8">
        <v>91.927000000000007</v>
      </c>
      <c r="Q1559" s="8">
        <v>74.067999999999998</v>
      </c>
      <c r="R1559" s="8">
        <v>52.78</v>
      </c>
      <c r="S1559" s="8">
        <v>42.167000000000002</v>
      </c>
      <c r="T1559" s="8">
        <v>33.503999999999998</v>
      </c>
      <c r="U1559" s="8">
        <v>26.786999999999999</v>
      </c>
      <c r="V1559" s="8">
        <v>20.574999999999999</v>
      </c>
      <c r="W1559" s="8">
        <v>13.555999999999999</v>
      </c>
      <c r="X1559" s="8">
        <v>8.1110000000000007</v>
      </c>
      <c r="Y1559" s="8">
        <v>4.3369999999999997</v>
      </c>
      <c r="Z1559" s="8">
        <v>1.4610000000000001</v>
      </c>
      <c r="AA1559" s="8">
        <v>0.34200000000000003</v>
      </c>
      <c r="AB1559" s="8">
        <v>4.7E-2</v>
      </c>
      <c r="AC1559" s="8">
        <v>3.0000000000000001E-3</v>
      </c>
    </row>
    <row r="1560" spans="1:29" ht="11.65" hidden="1" x14ac:dyDescent="0.35">
      <c r="A1560" s="12">
        <v>1543</v>
      </c>
      <c r="B1560" s="10" t="s">
        <v>1015</v>
      </c>
      <c r="C1560" s="11" t="s">
        <v>1126</v>
      </c>
      <c r="D1560" s="9">
        <v>7</v>
      </c>
      <c r="E1560" s="9">
        <v>275</v>
      </c>
      <c r="F1560" s="10" t="s">
        <v>1066</v>
      </c>
      <c r="G1560" s="9">
        <v>922</v>
      </c>
      <c r="H1560" s="9">
        <v>2010</v>
      </c>
      <c r="I1560" s="8">
        <v>305.81299999999999</v>
      </c>
      <c r="J1560" s="8">
        <v>272.20299999999997</v>
      </c>
      <c r="K1560" s="8">
        <v>261.63799999999998</v>
      </c>
      <c r="L1560" s="8">
        <v>239.83699999999999</v>
      </c>
      <c r="M1560" s="8">
        <v>190.66800000000001</v>
      </c>
      <c r="N1560" s="8">
        <v>152.45699999999999</v>
      </c>
      <c r="O1560" s="8">
        <v>128.41</v>
      </c>
      <c r="P1560" s="8">
        <v>105.673</v>
      </c>
      <c r="Q1560" s="8">
        <v>88.947999999999993</v>
      </c>
      <c r="R1560" s="8">
        <v>71.445999999999998</v>
      </c>
      <c r="S1560" s="8">
        <v>50.447000000000003</v>
      </c>
      <c r="T1560" s="8">
        <v>39.86</v>
      </c>
      <c r="U1560" s="8">
        <v>31.094999999999999</v>
      </c>
      <c r="V1560" s="8">
        <v>24.067</v>
      </c>
      <c r="W1560" s="8">
        <v>17.414000000000001</v>
      </c>
      <c r="X1560" s="8">
        <v>10.303000000000001</v>
      </c>
      <c r="Y1560" s="8">
        <v>5.0940000000000003</v>
      </c>
      <c r="Z1560" s="8">
        <v>2.0409999999999999</v>
      </c>
      <c r="AA1560" s="8">
        <v>0.46</v>
      </c>
      <c r="AB1560" s="8">
        <v>6.3E-2</v>
      </c>
      <c r="AC1560" s="8">
        <v>5.0000000000000001E-3</v>
      </c>
    </row>
    <row r="1561" spans="1:29" ht="11.65" hidden="1" x14ac:dyDescent="0.35">
      <c r="A1561" s="12">
        <v>1544</v>
      </c>
      <c r="B1561" s="10" t="s">
        <v>1015</v>
      </c>
      <c r="C1561" s="11" t="s">
        <v>1126</v>
      </c>
      <c r="D1561" s="9">
        <v>7</v>
      </c>
      <c r="E1561" s="9">
        <v>275</v>
      </c>
      <c r="F1561" s="10" t="s">
        <v>1066</v>
      </c>
      <c r="G1561" s="9">
        <v>922</v>
      </c>
      <c r="H1561" s="9">
        <v>2015</v>
      </c>
      <c r="I1561" s="8">
        <v>331.39600000000002</v>
      </c>
      <c r="J1561" s="8">
        <v>292.25299999999999</v>
      </c>
      <c r="K1561" s="8">
        <v>260.47399999999999</v>
      </c>
      <c r="L1561" s="8">
        <v>251.74600000000001</v>
      </c>
      <c r="M1561" s="8">
        <v>231.547</v>
      </c>
      <c r="N1561" s="8">
        <v>183.67500000000001</v>
      </c>
      <c r="O1561" s="8">
        <v>146.535</v>
      </c>
      <c r="P1561" s="8">
        <v>123.33199999999999</v>
      </c>
      <c r="Q1561" s="8">
        <v>101.363</v>
      </c>
      <c r="R1561" s="8">
        <v>85.242000000000004</v>
      </c>
      <c r="S1561" s="8">
        <v>68.081999999999994</v>
      </c>
      <c r="T1561" s="8">
        <v>47.381999999999998</v>
      </c>
      <c r="U1561" s="8">
        <v>36.781999999999996</v>
      </c>
      <c r="V1561" s="8">
        <v>27.802</v>
      </c>
      <c r="W1561" s="8">
        <v>20.338000000000001</v>
      </c>
      <c r="X1561" s="8">
        <v>13.304</v>
      </c>
      <c r="Y1561" s="8">
        <v>6.5289999999999999</v>
      </c>
      <c r="Z1561" s="8">
        <v>2.4380000000000002</v>
      </c>
      <c r="AA1561" s="8">
        <v>0.66200000000000003</v>
      </c>
      <c r="AB1561" s="8">
        <v>8.6999999999999994E-2</v>
      </c>
      <c r="AC1561" s="8">
        <v>6.0000000000000001E-3</v>
      </c>
    </row>
    <row r="1562" spans="1:29" ht="11.65" hidden="1" x14ac:dyDescent="0.35">
      <c r="A1562" s="12">
        <v>1545</v>
      </c>
      <c r="B1562" s="10" t="s">
        <v>1015</v>
      </c>
      <c r="C1562" s="11" t="s">
        <v>1126</v>
      </c>
      <c r="D1562" s="9">
        <v>7</v>
      </c>
      <c r="E1562" s="9">
        <v>275</v>
      </c>
      <c r="F1562" s="10" t="s">
        <v>1066</v>
      </c>
      <c r="G1562" s="9">
        <v>922</v>
      </c>
      <c r="H1562" s="9">
        <v>2020</v>
      </c>
      <c r="I1562" s="8">
        <v>338.40300000000002</v>
      </c>
      <c r="J1562" s="8">
        <v>328.255</v>
      </c>
      <c r="K1562" s="8">
        <v>289.87799999999999</v>
      </c>
      <c r="L1562" s="8">
        <v>254.25</v>
      </c>
      <c r="M1562" s="8">
        <v>245.44399999999999</v>
      </c>
      <c r="N1562" s="8">
        <v>229.279</v>
      </c>
      <c r="O1562" s="8">
        <v>181.68199999999999</v>
      </c>
      <c r="P1562" s="8">
        <v>144.75800000000001</v>
      </c>
      <c r="Q1562" s="8">
        <v>121.589</v>
      </c>
      <c r="R1562" s="8">
        <v>99.534000000000006</v>
      </c>
      <c r="S1562" s="8">
        <v>83.186999999999998</v>
      </c>
      <c r="T1562" s="8">
        <v>65.805999999999997</v>
      </c>
      <c r="U1562" s="8">
        <v>45.051000000000002</v>
      </c>
      <c r="V1562" s="8">
        <v>33.948</v>
      </c>
      <c r="W1562" s="8">
        <v>24.257999999999999</v>
      </c>
      <c r="X1562" s="8">
        <v>16.071000000000002</v>
      </c>
      <c r="Y1562" s="8">
        <v>8.8260000000000005</v>
      </c>
      <c r="Z1562" s="8">
        <v>3.2679999999999998</v>
      </c>
      <c r="AA1562" s="8">
        <v>0.81799999999999995</v>
      </c>
      <c r="AB1562" s="8">
        <v>0.13100000000000001</v>
      </c>
      <c r="AC1562" s="8">
        <v>8.9999999999999993E-3</v>
      </c>
    </row>
    <row r="1563" spans="1:29" ht="11.65" hidden="1" x14ac:dyDescent="0.35">
      <c r="A1563" s="12">
        <v>1546</v>
      </c>
      <c r="B1563" s="10" t="s">
        <v>1015</v>
      </c>
      <c r="C1563" s="11" t="s">
        <v>1127</v>
      </c>
      <c r="D1563" s="9"/>
      <c r="E1563" s="9">
        <v>760</v>
      </c>
      <c r="F1563" s="10" t="s">
        <v>1066</v>
      </c>
      <c r="G1563" s="9">
        <v>922</v>
      </c>
      <c r="H1563" s="9">
        <v>1950</v>
      </c>
      <c r="I1563" s="8">
        <v>259.97199999999998</v>
      </c>
      <c r="J1563" s="8">
        <v>200.96100000000001</v>
      </c>
      <c r="K1563" s="8">
        <v>178.18199999999999</v>
      </c>
      <c r="L1563" s="8">
        <v>180.19</v>
      </c>
      <c r="M1563" s="8">
        <v>152.91900000000001</v>
      </c>
      <c r="N1563" s="8">
        <v>125.771</v>
      </c>
      <c r="O1563" s="8">
        <v>104.73</v>
      </c>
      <c r="P1563" s="8">
        <v>87.14</v>
      </c>
      <c r="Q1563" s="8">
        <v>74.338999999999999</v>
      </c>
      <c r="R1563" s="8">
        <v>62.978999999999999</v>
      </c>
      <c r="S1563" s="8">
        <v>54.32</v>
      </c>
      <c r="T1563" s="8">
        <v>47.551000000000002</v>
      </c>
      <c r="U1563" s="8">
        <v>38.411000000000001</v>
      </c>
      <c r="V1563" s="8">
        <v>29.199000000000002</v>
      </c>
      <c r="W1563" s="8">
        <v>22.390999999999998</v>
      </c>
      <c r="X1563" s="8">
        <v>11.670999999999999</v>
      </c>
      <c r="Y1563" s="8">
        <v>3.774</v>
      </c>
      <c r="Z1563" s="8">
        <v>1.383</v>
      </c>
      <c r="AA1563" s="8">
        <v>0.33</v>
      </c>
      <c r="AB1563" s="8">
        <v>4.8000000000000001E-2</v>
      </c>
      <c r="AC1563" s="8">
        <v>4.0000000000000001E-3</v>
      </c>
    </row>
    <row r="1564" spans="1:29" ht="11.65" hidden="1" x14ac:dyDescent="0.35">
      <c r="A1564" s="12">
        <v>1547</v>
      </c>
      <c r="B1564" s="10" t="s">
        <v>1015</v>
      </c>
      <c r="C1564" s="11" t="s">
        <v>1127</v>
      </c>
      <c r="D1564" s="9"/>
      <c r="E1564" s="9">
        <v>760</v>
      </c>
      <c r="F1564" s="10" t="s">
        <v>1066</v>
      </c>
      <c r="G1564" s="9">
        <v>922</v>
      </c>
      <c r="H1564" s="9">
        <v>1955</v>
      </c>
      <c r="I1564" s="8">
        <v>383.86200000000002</v>
      </c>
      <c r="J1564" s="8">
        <v>243.45400000000001</v>
      </c>
      <c r="K1564" s="8">
        <v>196.173</v>
      </c>
      <c r="L1564" s="8">
        <v>172.53</v>
      </c>
      <c r="M1564" s="8">
        <v>170.34399999999999</v>
      </c>
      <c r="N1564" s="8">
        <v>141.709</v>
      </c>
      <c r="O1564" s="8">
        <v>115.913</v>
      </c>
      <c r="P1564" s="8">
        <v>96.89</v>
      </c>
      <c r="Q1564" s="8">
        <v>81.043999999999997</v>
      </c>
      <c r="R1564" s="8">
        <v>69.168000000000006</v>
      </c>
      <c r="S1564" s="8">
        <v>58.485999999999997</v>
      </c>
      <c r="T1564" s="8">
        <v>49.790999999999997</v>
      </c>
      <c r="U1564" s="8">
        <v>42.003999999999998</v>
      </c>
      <c r="V1564" s="8">
        <v>31.896000000000001</v>
      </c>
      <c r="W1564" s="8">
        <v>21.998999999999999</v>
      </c>
      <c r="X1564" s="8">
        <v>14.443</v>
      </c>
      <c r="Y1564" s="8">
        <v>5.95</v>
      </c>
      <c r="Z1564" s="8">
        <v>1.383</v>
      </c>
      <c r="AA1564" s="8">
        <v>0.33</v>
      </c>
      <c r="AB1564" s="8">
        <v>4.8000000000000001E-2</v>
      </c>
      <c r="AC1564" s="8">
        <v>4.0000000000000001E-3</v>
      </c>
    </row>
    <row r="1565" spans="1:29" ht="11.65" hidden="1" x14ac:dyDescent="0.35">
      <c r="A1565" s="12">
        <v>1548</v>
      </c>
      <c r="B1565" s="10" t="s">
        <v>1015</v>
      </c>
      <c r="C1565" s="11" t="s">
        <v>1127</v>
      </c>
      <c r="D1565" s="9"/>
      <c r="E1565" s="9">
        <v>760</v>
      </c>
      <c r="F1565" s="10" t="s">
        <v>1066</v>
      </c>
      <c r="G1565" s="9">
        <v>922</v>
      </c>
      <c r="H1565" s="9">
        <v>1960</v>
      </c>
      <c r="I1565" s="8">
        <v>442.21100000000001</v>
      </c>
      <c r="J1565" s="8">
        <v>364.73200000000003</v>
      </c>
      <c r="K1565" s="8">
        <v>239.14099999999999</v>
      </c>
      <c r="L1565" s="8">
        <v>192.42</v>
      </c>
      <c r="M1565" s="8">
        <v>167.61799999999999</v>
      </c>
      <c r="N1565" s="8">
        <v>164.464</v>
      </c>
      <c r="O1565" s="8">
        <v>136.30600000000001</v>
      </c>
      <c r="P1565" s="8">
        <v>111.157</v>
      </c>
      <c r="Q1565" s="8">
        <v>92.635000000000005</v>
      </c>
      <c r="R1565" s="8">
        <v>77.090999999999994</v>
      </c>
      <c r="S1565" s="8">
        <v>65.096000000000004</v>
      </c>
      <c r="T1565" s="8">
        <v>53.987000000000002</v>
      </c>
      <c r="U1565" s="8">
        <v>44.392000000000003</v>
      </c>
      <c r="V1565" s="8">
        <v>35.311</v>
      </c>
      <c r="W1565" s="8">
        <v>24.408999999999999</v>
      </c>
      <c r="X1565" s="8">
        <v>14.486000000000001</v>
      </c>
      <c r="Y1565" s="8">
        <v>7.556</v>
      </c>
      <c r="Z1565" s="8">
        <v>2.2429999999999999</v>
      </c>
      <c r="AA1565" s="8">
        <v>0.34</v>
      </c>
      <c r="AB1565" s="8">
        <v>4.9000000000000002E-2</v>
      </c>
      <c r="AC1565" s="8">
        <v>4.0000000000000001E-3</v>
      </c>
    </row>
    <row r="1566" spans="1:29" ht="11.65" hidden="1" x14ac:dyDescent="0.35">
      <c r="A1566" s="12">
        <v>1549</v>
      </c>
      <c r="B1566" s="10" t="s">
        <v>1015</v>
      </c>
      <c r="C1566" s="11" t="s">
        <v>1127</v>
      </c>
      <c r="D1566" s="9"/>
      <c r="E1566" s="9">
        <v>760</v>
      </c>
      <c r="F1566" s="10" t="s">
        <v>1066</v>
      </c>
      <c r="G1566" s="9">
        <v>922</v>
      </c>
      <c r="H1566" s="9">
        <v>1965</v>
      </c>
      <c r="I1566" s="8">
        <v>510.97199999999998</v>
      </c>
      <c r="J1566" s="8">
        <v>424.029</v>
      </c>
      <c r="K1566" s="8">
        <v>359.33600000000001</v>
      </c>
      <c r="L1566" s="8">
        <v>235.31800000000001</v>
      </c>
      <c r="M1566" s="8">
        <v>187.76300000000001</v>
      </c>
      <c r="N1566" s="8">
        <v>162.536</v>
      </c>
      <c r="O1566" s="8">
        <v>159.11699999999999</v>
      </c>
      <c r="P1566" s="8">
        <v>131.52799999999999</v>
      </c>
      <c r="Q1566" s="8">
        <v>106.93300000000001</v>
      </c>
      <c r="R1566" s="8">
        <v>88.659000000000006</v>
      </c>
      <c r="S1566" s="8">
        <v>73.037000000000006</v>
      </c>
      <c r="T1566" s="8">
        <v>60.576000000000001</v>
      </c>
      <c r="U1566" s="8">
        <v>48.665999999999997</v>
      </c>
      <c r="V1566" s="8">
        <v>37.795000000000002</v>
      </c>
      <c r="W1566" s="8">
        <v>27.384</v>
      </c>
      <c r="X1566" s="8">
        <v>16.356000000000002</v>
      </c>
      <c r="Y1566" s="8">
        <v>7.7389999999999999</v>
      </c>
      <c r="Z1566" s="8">
        <v>2.9159999999999999</v>
      </c>
      <c r="AA1566" s="8">
        <v>0.56599999999999995</v>
      </c>
      <c r="AB1566" s="8">
        <v>5.0999999999999997E-2</v>
      </c>
      <c r="AC1566" s="8">
        <v>4.0000000000000001E-3</v>
      </c>
    </row>
    <row r="1567" spans="1:29" ht="11.65" hidden="1" x14ac:dyDescent="0.35">
      <c r="A1567" s="12">
        <v>1550</v>
      </c>
      <c r="B1567" s="10" t="s">
        <v>1015</v>
      </c>
      <c r="C1567" s="11" t="s">
        <v>1127</v>
      </c>
      <c r="D1567" s="9"/>
      <c r="E1567" s="9">
        <v>760</v>
      </c>
      <c r="F1567" s="10" t="s">
        <v>1066</v>
      </c>
      <c r="G1567" s="9">
        <v>922</v>
      </c>
      <c r="H1567" s="9">
        <v>1970</v>
      </c>
      <c r="I1567" s="8">
        <v>596.45399999999995</v>
      </c>
      <c r="J1567" s="8">
        <v>494.762</v>
      </c>
      <c r="K1567" s="8">
        <v>419.02699999999999</v>
      </c>
      <c r="L1567" s="8">
        <v>354.78500000000003</v>
      </c>
      <c r="M1567" s="8">
        <v>230.667</v>
      </c>
      <c r="N1567" s="8">
        <v>183.006</v>
      </c>
      <c r="O1567" s="8">
        <v>158.00299999999999</v>
      </c>
      <c r="P1567" s="8">
        <v>154.43700000000001</v>
      </c>
      <c r="Q1567" s="8">
        <v>127.268</v>
      </c>
      <c r="R1567" s="8">
        <v>102.916</v>
      </c>
      <c r="S1567" s="8">
        <v>84.494</v>
      </c>
      <c r="T1567" s="8">
        <v>68.44</v>
      </c>
      <c r="U1567" s="8">
        <v>55.107999999999997</v>
      </c>
      <c r="V1567" s="8">
        <v>41.948</v>
      </c>
      <c r="W1567" s="8">
        <v>29.783000000000001</v>
      </c>
      <c r="X1567" s="8">
        <v>18.733000000000001</v>
      </c>
      <c r="Y1567" s="8">
        <v>8.9589999999999996</v>
      </c>
      <c r="Z1567" s="8">
        <v>3.069</v>
      </c>
      <c r="AA1567" s="8">
        <v>0.754</v>
      </c>
      <c r="AB1567" s="8">
        <v>8.5999999999999993E-2</v>
      </c>
      <c r="AC1567" s="8">
        <v>5.0000000000000001E-3</v>
      </c>
    </row>
    <row r="1568" spans="1:29" ht="11.65" hidden="1" x14ac:dyDescent="0.35">
      <c r="A1568" s="12">
        <v>1551</v>
      </c>
      <c r="B1568" s="10" t="s">
        <v>1015</v>
      </c>
      <c r="C1568" s="11" t="s">
        <v>1127</v>
      </c>
      <c r="D1568" s="9"/>
      <c r="E1568" s="9">
        <v>760</v>
      </c>
      <c r="F1568" s="10" t="s">
        <v>1066</v>
      </c>
      <c r="G1568" s="9">
        <v>922</v>
      </c>
      <c r="H1568" s="9">
        <v>1975</v>
      </c>
      <c r="I1568" s="8">
        <v>724.29499999999996</v>
      </c>
      <c r="J1568" s="8">
        <v>581.76499999999999</v>
      </c>
      <c r="K1568" s="8">
        <v>489.68099999999998</v>
      </c>
      <c r="L1568" s="8">
        <v>412.80700000000002</v>
      </c>
      <c r="M1568" s="8">
        <v>344.13099999999997</v>
      </c>
      <c r="N1568" s="8">
        <v>219.21199999999999</v>
      </c>
      <c r="O1568" s="8">
        <v>173.09200000000001</v>
      </c>
      <c r="P1568" s="8">
        <v>150.25200000000001</v>
      </c>
      <c r="Q1568" s="8">
        <v>147.99199999999999</v>
      </c>
      <c r="R1568" s="8">
        <v>121.73</v>
      </c>
      <c r="S1568" s="8">
        <v>98.162000000000006</v>
      </c>
      <c r="T1568" s="8">
        <v>79.822999999999993</v>
      </c>
      <c r="U1568" s="8">
        <v>62.933999999999997</v>
      </c>
      <c r="V1568" s="8">
        <v>48.198</v>
      </c>
      <c r="W1568" s="8">
        <v>33.69</v>
      </c>
      <c r="X1568" s="8">
        <v>20.884</v>
      </c>
      <c r="Y1568" s="8">
        <v>10.57</v>
      </c>
      <c r="Z1568" s="8">
        <v>3.6669999999999998</v>
      </c>
      <c r="AA1568" s="8">
        <v>0.81799999999999995</v>
      </c>
      <c r="AB1568" s="8">
        <v>0.11700000000000001</v>
      </c>
      <c r="AC1568" s="8">
        <v>8.0000000000000002E-3</v>
      </c>
    </row>
    <row r="1569" spans="1:29" ht="11.65" hidden="1" x14ac:dyDescent="0.35">
      <c r="A1569" s="12">
        <v>1552</v>
      </c>
      <c r="B1569" s="10" t="s">
        <v>1015</v>
      </c>
      <c r="C1569" s="11" t="s">
        <v>1127</v>
      </c>
      <c r="D1569" s="9"/>
      <c r="E1569" s="9">
        <v>760</v>
      </c>
      <c r="F1569" s="10" t="s">
        <v>1066</v>
      </c>
      <c r="G1569" s="9">
        <v>922</v>
      </c>
      <c r="H1569" s="9">
        <v>1980</v>
      </c>
      <c r="I1569" s="8">
        <v>861.90099999999995</v>
      </c>
      <c r="J1569" s="8">
        <v>710.52</v>
      </c>
      <c r="K1569" s="8">
        <v>576.57500000000005</v>
      </c>
      <c r="L1569" s="8">
        <v>481.76799999999997</v>
      </c>
      <c r="M1569" s="8">
        <v>397.22500000000002</v>
      </c>
      <c r="N1569" s="8">
        <v>325.25599999999997</v>
      </c>
      <c r="O1569" s="8">
        <v>203.66800000000001</v>
      </c>
      <c r="P1569" s="8">
        <v>161.809</v>
      </c>
      <c r="Q1569" s="8">
        <v>142.20500000000001</v>
      </c>
      <c r="R1569" s="8">
        <v>141.00899999999999</v>
      </c>
      <c r="S1569" s="8">
        <v>116.297</v>
      </c>
      <c r="T1569" s="8">
        <v>93.379000000000005</v>
      </c>
      <c r="U1569" s="8">
        <v>74.072000000000003</v>
      </c>
      <c r="V1569" s="8">
        <v>55.728000000000002</v>
      </c>
      <c r="W1569" s="8">
        <v>39.347000000000001</v>
      </c>
      <c r="X1569" s="8">
        <v>24.132000000000001</v>
      </c>
      <c r="Y1569" s="8">
        <v>12.084</v>
      </c>
      <c r="Z1569" s="8">
        <v>4.4429999999999996</v>
      </c>
      <c r="AA1569" s="8">
        <v>0.999</v>
      </c>
      <c r="AB1569" s="8">
        <v>0.129</v>
      </c>
      <c r="AC1569" s="8">
        <v>1.0999999999999999E-2</v>
      </c>
    </row>
    <row r="1570" spans="1:29" ht="11.65" hidden="1" x14ac:dyDescent="0.35">
      <c r="A1570" s="12">
        <v>1553</v>
      </c>
      <c r="B1570" s="10" t="s">
        <v>1015</v>
      </c>
      <c r="C1570" s="11" t="s">
        <v>1127</v>
      </c>
      <c r="D1570" s="9"/>
      <c r="E1570" s="9">
        <v>760</v>
      </c>
      <c r="F1570" s="10" t="s">
        <v>1066</v>
      </c>
      <c r="G1570" s="9">
        <v>922</v>
      </c>
      <c r="H1570" s="9">
        <v>1985</v>
      </c>
      <c r="I1570" s="8">
        <v>982.13099999999997</v>
      </c>
      <c r="J1570" s="8">
        <v>851.64400000000001</v>
      </c>
      <c r="K1570" s="8">
        <v>706.52800000000002</v>
      </c>
      <c r="L1570" s="8">
        <v>571.11900000000003</v>
      </c>
      <c r="M1570" s="8">
        <v>471.51600000000002</v>
      </c>
      <c r="N1570" s="8">
        <v>384.94499999999999</v>
      </c>
      <c r="O1570" s="8">
        <v>314.48399999999998</v>
      </c>
      <c r="P1570" s="8">
        <v>196.10900000000001</v>
      </c>
      <c r="Q1570" s="8">
        <v>156.274</v>
      </c>
      <c r="R1570" s="8">
        <v>137.31200000000001</v>
      </c>
      <c r="S1570" s="8">
        <v>136.148</v>
      </c>
      <c r="T1570" s="8">
        <v>111.392</v>
      </c>
      <c r="U1570" s="8">
        <v>87.477000000000004</v>
      </c>
      <c r="V1570" s="8">
        <v>66.363</v>
      </c>
      <c r="W1570" s="8">
        <v>46.116</v>
      </c>
      <c r="X1570" s="8">
        <v>28.693999999999999</v>
      </c>
      <c r="Y1570" s="8">
        <v>14.265000000000001</v>
      </c>
      <c r="Z1570" s="8">
        <v>5.1920000000000002</v>
      </c>
      <c r="AA1570" s="8">
        <v>1.2310000000000001</v>
      </c>
      <c r="AB1570" s="8">
        <v>0.159</v>
      </c>
      <c r="AC1570" s="8">
        <v>1.2E-2</v>
      </c>
    </row>
    <row r="1571" spans="1:29" ht="11.65" hidden="1" x14ac:dyDescent="0.35">
      <c r="A1571" s="12">
        <v>1554</v>
      </c>
      <c r="B1571" s="10" t="s">
        <v>1015</v>
      </c>
      <c r="C1571" s="11" t="s">
        <v>1127</v>
      </c>
      <c r="D1571" s="9"/>
      <c r="E1571" s="9">
        <v>760</v>
      </c>
      <c r="F1571" s="10" t="s">
        <v>1066</v>
      </c>
      <c r="G1571" s="9">
        <v>922</v>
      </c>
      <c r="H1571" s="9">
        <v>1990</v>
      </c>
      <c r="I1571" s="8">
        <v>1049.4100000000001</v>
      </c>
      <c r="J1571" s="8">
        <v>972.52300000000002</v>
      </c>
      <c r="K1571" s="8">
        <v>847.35799999999995</v>
      </c>
      <c r="L1571" s="8">
        <v>699.43200000000002</v>
      </c>
      <c r="M1571" s="8">
        <v>556.52099999999996</v>
      </c>
      <c r="N1571" s="8">
        <v>453.50799999999998</v>
      </c>
      <c r="O1571" s="8">
        <v>369.35300000000001</v>
      </c>
      <c r="P1571" s="8">
        <v>303.00900000000001</v>
      </c>
      <c r="Q1571" s="8">
        <v>188.59800000000001</v>
      </c>
      <c r="R1571" s="8">
        <v>150.38499999999999</v>
      </c>
      <c r="S1571" s="8">
        <v>132.785</v>
      </c>
      <c r="T1571" s="8">
        <v>131.43600000000001</v>
      </c>
      <c r="U1571" s="8">
        <v>105.557</v>
      </c>
      <c r="V1571" s="8">
        <v>79.373000000000005</v>
      </c>
      <c r="W1571" s="8">
        <v>55.584000000000003</v>
      </c>
      <c r="X1571" s="8">
        <v>34.198999999999998</v>
      </c>
      <c r="Y1571" s="8">
        <v>17.312000000000001</v>
      </c>
      <c r="Z1571" s="8">
        <v>6.2619999999999996</v>
      </c>
      <c r="AA1571" s="8">
        <v>1.4670000000000001</v>
      </c>
      <c r="AB1571" s="8">
        <v>0.19900000000000001</v>
      </c>
      <c r="AC1571" s="8">
        <v>1.4999999999999999E-2</v>
      </c>
    </row>
    <row r="1572" spans="1:29" ht="11.65" hidden="1" x14ac:dyDescent="0.35">
      <c r="A1572" s="12">
        <v>1555</v>
      </c>
      <c r="B1572" s="10" t="s">
        <v>1015</v>
      </c>
      <c r="C1572" s="11" t="s">
        <v>1127</v>
      </c>
      <c r="D1572" s="9"/>
      <c r="E1572" s="9">
        <v>760</v>
      </c>
      <c r="F1572" s="10" t="s">
        <v>1066</v>
      </c>
      <c r="G1572" s="9">
        <v>922</v>
      </c>
      <c r="H1572" s="9">
        <v>1995</v>
      </c>
      <c r="I1572" s="8">
        <v>1068.9110000000001</v>
      </c>
      <c r="J1572" s="8">
        <v>1043.0840000000001</v>
      </c>
      <c r="K1572" s="8">
        <v>969.52099999999996</v>
      </c>
      <c r="L1572" s="8">
        <v>843.04300000000001</v>
      </c>
      <c r="M1572" s="8">
        <v>691.28099999999995</v>
      </c>
      <c r="N1572" s="8">
        <v>546.69100000000003</v>
      </c>
      <c r="O1572" s="8">
        <v>444.83699999999999</v>
      </c>
      <c r="P1572" s="8">
        <v>362.62900000000002</v>
      </c>
      <c r="Q1572" s="8">
        <v>297.70100000000002</v>
      </c>
      <c r="R1572" s="8">
        <v>184.452</v>
      </c>
      <c r="S1572" s="8">
        <v>146.74700000000001</v>
      </c>
      <c r="T1572" s="8">
        <v>128.792</v>
      </c>
      <c r="U1572" s="8">
        <v>125.374</v>
      </c>
      <c r="V1572" s="8">
        <v>96.64</v>
      </c>
      <c r="W1572" s="8">
        <v>67.254000000000005</v>
      </c>
      <c r="X1572" s="8">
        <v>41.874000000000002</v>
      </c>
      <c r="Y1572" s="8">
        <v>21.038</v>
      </c>
      <c r="Z1572" s="8">
        <v>7.7619999999999996</v>
      </c>
      <c r="AA1572" s="8">
        <v>1.8029999999999999</v>
      </c>
      <c r="AB1572" s="8">
        <v>0.24</v>
      </c>
      <c r="AC1572" s="8">
        <v>1.7999999999999999E-2</v>
      </c>
    </row>
    <row r="1573" spans="1:29" ht="11.65" hidden="1" x14ac:dyDescent="0.35">
      <c r="A1573" s="12">
        <v>1556</v>
      </c>
      <c r="B1573" s="10" t="s">
        <v>1015</v>
      </c>
      <c r="C1573" s="11" t="s">
        <v>1127</v>
      </c>
      <c r="D1573" s="9"/>
      <c r="E1573" s="9">
        <v>760</v>
      </c>
      <c r="F1573" s="10" t="s">
        <v>1066</v>
      </c>
      <c r="G1573" s="9">
        <v>922</v>
      </c>
      <c r="H1573" s="9">
        <v>2000</v>
      </c>
      <c r="I1573" s="8">
        <v>1188.423</v>
      </c>
      <c r="J1573" s="8">
        <v>1062.2940000000001</v>
      </c>
      <c r="K1573" s="8">
        <v>1039.499</v>
      </c>
      <c r="L1573" s="8">
        <v>963.15599999999995</v>
      </c>
      <c r="M1573" s="8">
        <v>829.74400000000003</v>
      </c>
      <c r="N1573" s="8">
        <v>674.86599999999999</v>
      </c>
      <c r="O1573" s="8">
        <v>532.48299999999995</v>
      </c>
      <c r="P1573" s="8">
        <v>434.31700000000001</v>
      </c>
      <c r="Q1573" s="8">
        <v>354.98</v>
      </c>
      <c r="R1573" s="8">
        <v>291.14600000000002</v>
      </c>
      <c r="S1573" s="8">
        <v>179.98400000000001</v>
      </c>
      <c r="T1573" s="8">
        <v>142.77699999999999</v>
      </c>
      <c r="U1573" s="8">
        <v>123.384</v>
      </c>
      <c r="V1573" s="8">
        <v>115.968</v>
      </c>
      <c r="W1573" s="8">
        <v>83.650999999999996</v>
      </c>
      <c r="X1573" s="8">
        <v>52.347999999999999</v>
      </c>
      <c r="Y1573" s="8">
        <v>27.068000000000001</v>
      </c>
      <c r="Z1573" s="8">
        <v>10.135</v>
      </c>
      <c r="AA1573" s="8">
        <v>2.4590000000000001</v>
      </c>
      <c r="AB1573" s="8">
        <v>0.33</v>
      </c>
      <c r="AC1573" s="8">
        <v>2.5000000000000001E-2</v>
      </c>
    </row>
    <row r="1574" spans="1:29" ht="11.65" hidden="1" x14ac:dyDescent="0.35">
      <c r="A1574" s="12">
        <v>1557</v>
      </c>
      <c r="B1574" s="10" t="s">
        <v>1015</v>
      </c>
      <c r="C1574" s="11" t="s">
        <v>1127</v>
      </c>
      <c r="D1574" s="9"/>
      <c r="E1574" s="9">
        <v>760</v>
      </c>
      <c r="F1574" s="10" t="s">
        <v>1066</v>
      </c>
      <c r="G1574" s="9">
        <v>922</v>
      </c>
      <c r="H1574" s="9">
        <v>2005</v>
      </c>
      <c r="I1574" s="8">
        <v>1261.471</v>
      </c>
      <c r="J1574" s="8">
        <v>1184.4839999999999</v>
      </c>
      <c r="K1574" s="8">
        <v>1060.76</v>
      </c>
      <c r="L1574" s="8">
        <v>1031.8140000000001</v>
      </c>
      <c r="M1574" s="8">
        <v>951.18</v>
      </c>
      <c r="N1574" s="8">
        <v>772.35900000000004</v>
      </c>
      <c r="O1574" s="8">
        <v>596.62699999999995</v>
      </c>
      <c r="P1574" s="8">
        <v>493.47300000000001</v>
      </c>
      <c r="Q1574" s="8">
        <v>422.00799999999998</v>
      </c>
      <c r="R1574" s="8">
        <v>331.37799999999999</v>
      </c>
      <c r="S1574" s="8">
        <v>263.46300000000002</v>
      </c>
      <c r="T1574" s="8">
        <v>170.488</v>
      </c>
      <c r="U1574" s="8">
        <v>145.85900000000001</v>
      </c>
      <c r="V1574" s="8">
        <v>115.98</v>
      </c>
      <c r="W1574" s="8">
        <v>95.286000000000001</v>
      </c>
      <c r="X1574" s="8">
        <v>54.323</v>
      </c>
      <c r="Y1574" s="8">
        <v>25.344999999999999</v>
      </c>
      <c r="Z1574" s="8">
        <v>12.554</v>
      </c>
      <c r="AA1574" s="8">
        <v>3.508</v>
      </c>
      <c r="AB1574" s="8">
        <v>0.501</v>
      </c>
      <c r="AC1574" s="8">
        <v>3.4000000000000002E-2</v>
      </c>
    </row>
    <row r="1575" spans="1:29" ht="11.65" hidden="1" x14ac:dyDescent="0.35">
      <c r="A1575" s="12">
        <v>1558</v>
      </c>
      <c r="B1575" s="10" t="s">
        <v>1015</v>
      </c>
      <c r="C1575" s="11" t="s">
        <v>1127</v>
      </c>
      <c r="D1575" s="9"/>
      <c r="E1575" s="9">
        <v>760</v>
      </c>
      <c r="F1575" s="10" t="s">
        <v>1066</v>
      </c>
      <c r="G1575" s="9">
        <v>922</v>
      </c>
      <c r="H1575" s="9">
        <v>2010</v>
      </c>
      <c r="I1575" s="8">
        <v>1440.4649999999999</v>
      </c>
      <c r="J1575" s="8">
        <v>1270.6420000000001</v>
      </c>
      <c r="K1575" s="8">
        <v>1189.4000000000001</v>
      </c>
      <c r="L1575" s="8">
        <v>1077.8050000000001</v>
      </c>
      <c r="M1575" s="8">
        <v>1072.3889999999999</v>
      </c>
      <c r="N1575" s="8">
        <v>1000.619</v>
      </c>
      <c r="O1575" s="8">
        <v>813.024</v>
      </c>
      <c r="P1575" s="8">
        <v>624.64099999999996</v>
      </c>
      <c r="Q1575" s="8">
        <v>510.66300000000001</v>
      </c>
      <c r="R1575" s="8">
        <v>431.09199999999998</v>
      </c>
      <c r="S1575" s="8">
        <v>334.81200000000001</v>
      </c>
      <c r="T1575" s="8">
        <v>262.64499999999998</v>
      </c>
      <c r="U1575" s="8">
        <v>167.62799999999999</v>
      </c>
      <c r="V1575" s="8">
        <v>139.19399999999999</v>
      </c>
      <c r="W1575" s="8">
        <v>105.22</v>
      </c>
      <c r="X1575" s="8">
        <v>79.036000000000001</v>
      </c>
      <c r="Y1575" s="8">
        <v>38.671999999999997</v>
      </c>
      <c r="Z1575" s="8">
        <v>13.977</v>
      </c>
      <c r="AA1575" s="8">
        <v>4.7160000000000002</v>
      </c>
      <c r="AB1575" s="8">
        <v>0.79300000000000004</v>
      </c>
      <c r="AC1575" s="8">
        <v>5.8000000000000003E-2</v>
      </c>
    </row>
    <row r="1576" spans="1:29" ht="11.65" hidden="1" x14ac:dyDescent="0.35">
      <c r="A1576" s="12">
        <v>1559</v>
      </c>
      <c r="B1576" s="10" t="s">
        <v>1015</v>
      </c>
      <c r="C1576" s="11" t="s">
        <v>1127</v>
      </c>
      <c r="D1576" s="9"/>
      <c r="E1576" s="9">
        <v>760</v>
      </c>
      <c r="F1576" s="10" t="s">
        <v>1066</v>
      </c>
      <c r="G1576" s="9">
        <v>922</v>
      </c>
      <c r="H1576" s="9">
        <v>2015</v>
      </c>
      <c r="I1576" s="8">
        <v>1012.121</v>
      </c>
      <c r="J1576" s="8">
        <v>1007.933</v>
      </c>
      <c r="K1576" s="8">
        <v>891.22</v>
      </c>
      <c r="L1576" s="8">
        <v>886.15700000000004</v>
      </c>
      <c r="M1576" s="8">
        <v>822.85</v>
      </c>
      <c r="N1576" s="8">
        <v>838.38599999999997</v>
      </c>
      <c r="O1576" s="8">
        <v>777.09400000000005</v>
      </c>
      <c r="P1576" s="8">
        <v>621.93399999999997</v>
      </c>
      <c r="Q1576" s="8">
        <v>476.82900000000001</v>
      </c>
      <c r="R1576" s="8">
        <v>394.387</v>
      </c>
      <c r="S1576" s="8">
        <v>340.21600000000001</v>
      </c>
      <c r="T1576" s="8">
        <v>267.53699999999998</v>
      </c>
      <c r="U1576" s="8">
        <v>212.982</v>
      </c>
      <c r="V1576" s="8">
        <v>130.93299999999999</v>
      </c>
      <c r="W1576" s="8">
        <v>106.15</v>
      </c>
      <c r="X1576" s="8">
        <v>73.25</v>
      </c>
      <c r="Y1576" s="8">
        <v>46.863999999999997</v>
      </c>
      <c r="Z1576" s="8">
        <v>18.481999999999999</v>
      </c>
      <c r="AA1576" s="8">
        <v>5.0190000000000001</v>
      </c>
      <c r="AB1576" s="8">
        <v>1.004</v>
      </c>
      <c r="AC1576" s="8">
        <v>8.5000000000000006E-2</v>
      </c>
    </row>
    <row r="1577" spans="1:29" ht="11.65" hidden="1" x14ac:dyDescent="0.35">
      <c r="A1577" s="12">
        <v>1560</v>
      </c>
      <c r="B1577" s="10" t="s">
        <v>1015</v>
      </c>
      <c r="C1577" s="11" t="s">
        <v>1127</v>
      </c>
      <c r="D1577" s="9"/>
      <c r="E1577" s="9">
        <v>760</v>
      </c>
      <c r="F1577" s="10" t="s">
        <v>1066</v>
      </c>
      <c r="G1577" s="9">
        <v>922</v>
      </c>
      <c r="H1577" s="9">
        <v>2020</v>
      </c>
      <c r="I1577" s="8">
        <v>939.50800000000004</v>
      </c>
      <c r="J1577" s="8">
        <v>841.46600000000001</v>
      </c>
      <c r="K1577" s="8">
        <v>858.22400000000005</v>
      </c>
      <c r="L1577" s="8">
        <v>771.54399999999998</v>
      </c>
      <c r="M1577" s="8">
        <v>785.15700000000004</v>
      </c>
      <c r="N1577" s="8">
        <v>730.03399999999999</v>
      </c>
      <c r="O1577" s="8">
        <v>749.35599999999999</v>
      </c>
      <c r="P1577" s="8">
        <v>700.32500000000005</v>
      </c>
      <c r="Q1577" s="8">
        <v>561.88900000000001</v>
      </c>
      <c r="R1577" s="8">
        <v>428.86500000000001</v>
      </c>
      <c r="S1577" s="8">
        <v>355.61099999999999</v>
      </c>
      <c r="T1577" s="8">
        <v>309.44499999999999</v>
      </c>
      <c r="U1577" s="8">
        <v>242.73</v>
      </c>
      <c r="V1577" s="8">
        <v>190.50700000000001</v>
      </c>
      <c r="W1577" s="8">
        <v>110.91800000000001</v>
      </c>
      <c r="X1577" s="8">
        <v>83.021000000000001</v>
      </c>
      <c r="Y1577" s="8">
        <v>48.881</v>
      </c>
      <c r="Z1577" s="8">
        <v>24.85</v>
      </c>
      <c r="AA1577" s="8">
        <v>6.9580000000000002</v>
      </c>
      <c r="AB1577" s="8">
        <v>1.1739999999999999</v>
      </c>
      <c r="AC1577" s="8">
        <v>0.129</v>
      </c>
    </row>
    <row r="1578" spans="1:29" ht="11.65" hidden="1" x14ac:dyDescent="0.35">
      <c r="A1578" s="12">
        <v>1561</v>
      </c>
      <c r="B1578" s="10" t="s">
        <v>1015</v>
      </c>
      <c r="C1578" s="11" t="s">
        <v>1128</v>
      </c>
      <c r="D1578" s="9"/>
      <c r="E1578" s="9">
        <v>792</v>
      </c>
      <c r="F1578" s="10" t="s">
        <v>1066</v>
      </c>
      <c r="G1578" s="9">
        <v>922</v>
      </c>
      <c r="H1578" s="9">
        <v>1950</v>
      </c>
      <c r="I1578" s="8">
        <v>1642.9749999999999</v>
      </c>
      <c r="J1578" s="8">
        <v>1285.6469999999999</v>
      </c>
      <c r="K1578" s="8">
        <v>1101.694</v>
      </c>
      <c r="L1578" s="8">
        <v>1128.634</v>
      </c>
      <c r="M1578" s="8">
        <v>981.95500000000004</v>
      </c>
      <c r="N1578" s="8">
        <v>758.58799999999997</v>
      </c>
      <c r="O1578" s="8">
        <v>596.03499999999997</v>
      </c>
      <c r="P1578" s="8">
        <v>605.33399999999995</v>
      </c>
      <c r="Q1578" s="8">
        <v>600.94200000000001</v>
      </c>
      <c r="R1578" s="8">
        <v>449.36799999999999</v>
      </c>
      <c r="S1578" s="8">
        <v>475.84899999999999</v>
      </c>
      <c r="T1578" s="8">
        <v>325.44</v>
      </c>
      <c r="U1578" s="8">
        <v>299.26600000000002</v>
      </c>
      <c r="V1578" s="8">
        <v>170.00700000000001</v>
      </c>
      <c r="W1578" s="8">
        <v>132.392</v>
      </c>
      <c r="X1578" s="8">
        <v>51.423999999999999</v>
      </c>
      <c r="Y1578" s="8">
        <v>28.288</v>
      </c>
      <c r="Z1578" s="8">
        <v>8.3580000000000005</v>
      </c>
      <c r="AA1578" s="8">
        <v>1.4970000000000001</v>
      </c>
      <c r="AB1578" s="8">
        <v>0.152</v>
      </c>
      <c r="AC1578" s="8">
        <v>8.9999999999999993E-3</v>
      </c>
    </row>
    <row r="1579" spans="1:29" ht="11.65" hidden="1" x14ac:dyDescent="0.35">
      <c r="A1579" s="12">
        <v>1562</v>
      </c>
      <c r="B1579" s="10" t="s">
        <v>1015</v>
      </c>
      <c r="C1579" s="11" t="s">
        <v>1128</v>
      </c>
      <c r="D1579" s="9"/>
      <c r="E1579" s="9">
        <v>792</v>
      </c>
      <c r="F1579" s="10" t="s">
        <v>1066</v>
      </c>
      <c r="G1579" s="9">
        <v>922</v>
      </c>
      <c r="H1579" s="9">
        <v>1955</v>
      </c>
      <c r="I1579" s="8">
        <v>2170.5720000000001</v>
      </c>
      <c r="J1579" s="8">
        <v>1483.9870000000001</v>
      </c>
      <c r="K1579" s="8">
        <v>1239.7360000000001</v>
      </c>
      <c r="L1579" s="8">
        <v>1084.521</v>
      </c>
      <c r="M1579" s="8">
        <v>1099.452</v>
      </c>
      <c r="N1579" s="8">
        <v>952.03200000000004</v>
      </c>
      <c r="O1579" s="8">
        <v>735.95799999999997</v>
      </c>
      <c r="P1579" s="8">
        <v>577.846</v>
      </c>
      <c r="Q1579" s="8">
        <v>583.98199999999997</v>
      </c>
      <c r="R1579" s="8">
        <v>574.55700000000002</v>
      </c>
      <c r="S1579" s="8">
        <v>423.21100000000001</v>
      </c>
      <c r="T1579" s="8">
        <v>436.91899999999998</v>
      </c>
      <c r="U1579" s="8">
        <v>286.62200000000001</v>
      </c>
      <c r="V1579" s="8">
        <v>245.608</v>
      </c>
      <c r="W1579" s="8">
        <v>123.205</v>
      </c>
      <c r="X1579" s="8">
        <v>78.754000000000005</v>
      </c>
      <c r="Y1579" s="8">
        <v>22.791</v>
      </c>
      <c r="Z1579" s="8">
        <v>8.35</v>
      </c>
      <c r="AA1579" s="8">
        <v>1.464</v>
      </c>
      <c r="AB1579" s="8">
        <v>0.14299999999999999</v>
      </c>
      <c r="AC1579" s="8">
        <v>8.0000000000000002E-3</v>
      </c>
    </row>
    <row r="1580" spans="1:29" ht="11.65" hidden="1" x14ac:dyDescent="0.35">
      <c r="A1580" s="12">
        <v>1563</v>
      </c>
      <c r="B1580" s="10" t="s">
        <v>1015</v>
      </c>
      <c r="C1580" s="11" t="s">
        <v>1128</v>
      </c>
      <c r="D1580" s="9"/>
      <c r="E1580" s="9">
        <v>792</v>
      </c>
      <c r="F1580" s="10" t="s">
        <v>1066</v>
      </c>
      <c r="G1580" s="9">
        <v>922</v>
      </c>
      <c r="H1580" s="9">
        <v>1960</v>
      </c>
      <c r="I1580" s="8">
        <v>2379.8890000000001</v>
      </c>
      <c r="J1580" s="8">
        <v>1970.288</v>
      </c>
      <c r="K1580" s="8">
        <v>1433.4570000000001</v>
      </c>
      <c r="L1580" s="8">
        <v>1220.5450000000001</v>
      </c>
      <c r="M1580" s="8">
        <v>1059.0409999999999</v>
      </c>
      <c r="N1580" s="8">
        <v>1072.296</v>
      </c>
      <c r="O1580" s="8">
        <v>928.50400000000002</v>
      </c>
      <c r="P1580" s="8">
        <v>716.54600000000005</v>
      </c>
      <c r="Q1580" s="8">
        <v>559.78899999999999</v>
      </c>
      <c r="R1580" s="8">
        <v>561.05600000000004</v>
      </c>
      <c r="S1580" s="8">
        <v>544.34900000000005</v>
      </c>
      <c r="T1580" s="8">
        <v>391.49</v>
      </c>
      <c r="U1580" s="8">
        <v>390.202</v>
      </c>
      <c r="V1580" s="8">
        <v>241.00299999999999</v>
      </c>
      <c r="W1580" s="8">
        <v>185.15299999999999</v>
      </c>
      <c r="X1580" s="8">
        <v>78.048000000000002</v>
      </c>
      <c r="Y1580" s="8">
        <v>38.412999999999997</v>
      </c>
      <c r="Z1580" s="8">
        <v>7.7149999999999999</v>
      </c>
      <c r="AA1580" s="8">
        <v>1.7450000000000001</v>
      </c>
      <c r="AB1580" s="8">
        <v>0.17199999999999999</v>
      </c>
      <c r="AC1580" s="8">
        <v>8.9999999999999993E-3</v>
      </c>
    </row>
    <row r="1581" spans="1:29" ht="11.65" hidden="1" x14ac:dyDescent="0.35">
      <c r="A1581" s="12">
        <v>1564</v>
      </c>
      <c r="B1581" s="10" t="s">
        <v>1015</v>
      </c>
      <c r="C1581" s="11" t="s">
        <v>1128</v>
      </c>
      <c r="D1581" s="9"/>
      <c r="E1581" s="9">
        <v>792</v>
      </c>
      <c r="F1581" s="10" t="s">
        <v>1066</v>
      </c>
      <c r="G1581" s="9">
        <v>922</v>
      </c>
      <c r="H1581" s="9">
        <v>1965</v>
      </c>
      <c r="I1581" s="8">
        <v>2554.7579999999998</v>
      </c>
      <c r="J1581" s="8">
        <v>2185.578</v>
      </c>
      <c r="K1581" s="8">
        <v>1907.2560000000001</v>
      </c>
      <c r="L1581" s="8">
        <v>1406.671</v>
      </c>
      <c r="M1581" s="8">
        <v>1189.5619999999999</v>
      </c>
      <c r="N1581" s="8">
        <v>1034.684</v>
      </c>
      <c r="O1581" s="8">
        <v>1048.8789999999999</v>
      </c>
      <c r="P1581" s="8">
        <v>906.43499999999995</v>
      </c>
      <c r="Q1581" s="8">
        <v>696.00800000000004</v>
      </c>
      <c r="R1581" s="8">
        <v>539.19000000000005</v>
      </c>
      <c r="S1581" s="8">
        <v>533.67999999999995</v>
      </c>
      <c r="T1581" s="8">
        <v>506.74</v>
      </c>
      <c r="U1581" s="8">
        <v>353.55599999999998</v>
      </c>
      <c r="V1581" s="8">
        <v>334.96300000000002</v>
      </c>
      <c r="W1581" s="8">
        <v>187.69499999999999</v>
      </c>
      <c r="X1581" s="8">
        <v>124.688</v>
      </c>
      <c r="Y1581" s="8">
        <v>42.247999999999998</v>
      </c>
      <c r="Z1581" s="8">
        <v>15.444000000000001</v>
      </c>
      <c r="AA1581" s="8">
        <v>2.0670000000000002</v>
      </c>
      <c r="AB1581" s="8">
        <v>0.28199999999999997</v>
      </c>
      <c r="AC1581" s="8">
        <v>1.6E-2</v>
      </c>
    </row>
    <row r="1582" spans="1:29" ht="11.65" hidden="1" x14ac:dyDescent="0.35">
      <c r="A1582" s="12">
        <v>1565</v>
      </c>
      <c r="B1582" s="10" t="s">
        <v>1015</v>
      </c>
      <c r="C1582" s="11" t="s">
        <v>1128</v>
      </c>
      <c r="D1582" s="9"/>
      <c r="E1582" s="9">
        <v>792</v>
      </c>
      <c r="F1582" s="10" t="s">
        <v>1066</v>
      </c>
      <c r="G1582" s="9">
        <v>922</v>
      </c>
      <c r="H1582" s="9">
        <v>1970</v>
      </c>
      <c r="I1582" s="8">
        <v>2749.3649999999998</v>
      </c>
      <c r="J1582" s="8">
        <v>2383.16</v>
      </c>
      <c r="K1582" s="8">
        <v>2123.855</v>
      </c>
      <c r="L1582" s="8">
        <v>1873.6949999999999</v>
      </c>
      <c r="M1582" s="8">
        <v>1373.24</v>
      </c>
      <c r="N1582" s="8">
        <v>1164.8969999999999</v>
      </c>
      <c r="O1582" s="8">
        <v>1013.776</v>
      </c>
      <c r="P1582" s="8">
        <v>1029.3969999999999</v>
      </c>
      <c r="Q1582" s="8">
        <v>885.75</v>
      </c>
      <c r="R1582" s="8">
        <v>673.77800000000002</v>
      </c>
      <c r="S1582" s="8">
        <v>515.67899999999997</v>
      </c>
      <c r="T1582" s="8">
        <v>499.51900000000001</v>
      </c>
      <c r="U1582" s="8">
        <v>462.32900000000001</v>
      </c>
      <c r="V1582" s="8">
        <v>308.30900000000003</v>
      </c>
      <c r="W1582" s="8">
        <v>268.09899999999999</v>
      </c>
      <c r="X1582" s="8">
        <v>131.85400000000001</v>
      </c>
      <c r="Y1582" s="8">
        <v>72.076999999999998</v>
      </c>
      <c r="Z1582" s="8">
        <v>18.609000000000002</v>
      </c>
      <c r="AA1582" s="8">
        <v>4.6719999999999997</v>
      </c>
      <c r="AB1582" s="8">
        <v>0.38900000000000001</v>
      </c>
      <c r="AC1582" s="8">
        <v>3.1E-2</v>
      </c>
    </row>
    <row r="1583" spans="1:29" ht="11.65" hidden="1" x14ac:dyDescent="0.35">
      <c r="A1583" s="12">
        <v>1566</v>
      </c>
      <c r="B1583" s="10" t="s">
        <v>1015</v>
      </c>
      <c r="C1583" s="11" t="s">
        <v>1128</v>
      </c>
      <c r="D1583" s="9"/>
      <c r="E1583" s="9">
        <v>792</v>
      </c>
      <c r="F1583" s="10" t="s">
        <v>1066</v>
      </c>
      <c r="G1583" s="9">
        <v>922</v>
      </c>
      <c r="H1583" s="9">
        <v>1975</v>
      </c>
      <c r="I1583" s="8">
        <v>3023.2240000000002</v>
      </c>
      <c r="J1583" s="8">
        <v>2601.2750000000001</v>
      </c>
      <c r="K1583" s="8">
        <v>2321.46</v>
      </c>
      <c r="L1583" s="8">
        <v>2077.547</v>
      </c>
      <c r="M1583" s="8">
        <v>1803.3140000000001</v>
      </c>
      <c r="N1583" s="8">
        <v>1342.8579999999999</v>
      </c>
      <c r="O1583" s="8">
        <v>1140.9069999999999</v>
      </c>
      <c r="P1583" s="8">
        <v>991.00099999999998</v>
      </c>
      <c r="Q1583" s="8">
        <v>990.5</v>
      </c>
      <c r="R1583" s="8">
        <v>851.56200000000001</v>
      </c>
      <c r="S1583" s="8">
        <v>644.54700000000003</v>
      </c>
      <c r="T1583" s="8">
        <v>485.33</v>
      </c>
      <c r="U1583" s="8">
        <v>480.565</v>
      </c>
      <c r="V1583" s="8">
        <v>421.55799999999999</v>
      </c>
      <c r="W1583" s="8">
        <v>269.40100000000001</v>
      </c>
      <c r="X1583" s="8">
        <v>197.75299999999999</v>
      </c>
      <c r="Y1583" s="8">
        <v>79.825999999999993</v>
      </c>
      <c r="Z1583" s="8">
        <v>32.878999999999998</v>
      </c>
      <c r="AA1583" s="8">
        <v>5.7919999999999998</v>
      </c>
      <c r="AB1583" s="8">
        <v>0.89100000000000001</v>
      </c>
      <c r="AC1583" s="8">
        <v>4.2999999999999997E-2</v>
      </c>
    </row>
    <row r="1584" spans="1:29" ht="11.65" hidden="1" x14ac:dyDescent="0.35">
      <c r="A1584" s="12">
        <v>1567</v>
      </c>
      <c r="B1584" s="10" t="s">
        <v>1015</v>
      </c>
      <c r="C1584" s="11" t="s">
        <v>1128</v>
      </c>
      <c r="D1584" s="9"/>
      <c r="E1584" s="9">
        <v>792</v>
      </c>
      <c r="F1584" s="10" t="s">
        <v>1066</v>
      </c>
      <c r="G1584" s="9">
        <v>922</v>
      </c>
      <c r="H1584" s="9">
        <v>1980</v>
      </c>
      <c r="I1584" s="8">
        <v>3229.3939999999998</v>
      </c>
      <c r="J1584" s="8">
        <v>2896.99</v>
      </c>
      <c r="K1584" s="8">
        <v>2540.1379999999999</v>
      </c>
      <c r="L1584" s="8">
        <v>2276.9430000000002</v>
      </c>
      <c r="M1584" s="8">
        <v>2033.789</v>
      </c>
      <c r="N1584" s="8">
        <v>1771.7460000000001</v>
      </c>
      <c r="O1584" s="8">
        <v>1319.383</v>
      </c>
      <c r="P1584" s="8">
        <v>1118.867</v>
      </c>
      <c r="Q1584" s="8">
        <v>968.78800000000001</v>
      </c>
      <c r="R1584" s="8">
        <v>963.923</v>
      </c>
      <c r="S1584" s="8">
        <v>821.43899999999996</v>
      </c>
      <c r="T1584" s="8">
        <v>612.33699999999999</v>
      </c>
      <c r="U1584" s="8">
        <v>451.52600000000001</v>
      </c>
      <c r="V1584" s="8">
        <v>431.267</v>
      </c>
      <c r="W1584" s="8">
        <v>352.33199999999999</v>
      </c>
      <c r="X1584" s="8">
        <v>200.25700000000001</v>
      </c>
      <c r="Y1584" s="8">
        <v>122.20699999999999</v>
      </c>
      <c r="Z1584" s="8">
        <v>37.618000000000002</v>
      </c>
      <c r="AA1584" s="8">
        <v>10.503</v>
      </c>
      <c r="AB1584" s="8">
        <v>1.115</v>
      </c>
      <c r="AC1584" s="8">
        <v>9.4E-2</v>
      </c>
    </row>
    <row r="1585" spans="1:29" ht="11.65" hidden="1" x14ac:dyDescent="0.35">
      <c r="A1585" s="12">
        <v>1568</v>
      </c>
      <c r="B1585" s="10" t="s">
        <v>1015</v>
      </c>
      <c r="C1585" s="11" t="s">
        <v>1128</v>
      </c>
      <c r="D1585" s="9"/>
      <c r="E1585" s="9">
        <v>792</v>
      </c>
      <c r="F1585" s="10" t="s">
        <v>1066</v>
      </c>
      <c r="G1585" s="9">
        <v>922</v>
      </c>
      <c r="H1585" s="9">
        <v>1985</v>
      </c>
      <c r="I1585" s="8">
        <v>3327.5430000000001</v>
      </c>
      <c r="J1585" s="8">
        <v>3116.1579999999999</v>
      </c>
      <c r="K1585" s="8">
        <v>2838.248</v>
      </c>
      <c r="L1585" s="8">
        <v>2501.9810000000002</v>
      </c>
      <c r="M1585" s="8">
        <v>2237.4110000000001</v>
      </c>
      <c r="N1585" s="8">
        <v>2004.3689999999999</v>
      </c>
      <c r="O1585" s="8">
        <v>1746.761</v>
      </c>
      <c r="P1585" s="8">
        <v>1362.472</v>
      </c>
      <c r="Q1585" s="8">
        <v>1139.491</v>
      </c>
      <c r="R1585" s="8">
        <v>987.58500000000004</v>
      </c>
      <c r="S1585" s="8">
        <v>966.56200000000001</v>
      </c>
      <c r="T1585" s="8">
        <v>786.32899999999995</v>
      </c>
      <c r="U1585" s="8">
        <v>575.24099999999999</v>
      </c>
      <c r="V1585" s="8">
        <v>410.22300000000001</v>
      </c>
      <c r="W1585" s="8">
        <v>367.33699999999999</v>
      </c>
      <c r="X1585" s="8">
        <v>268.673</v>
      </c>
      <c r="Y1585" s="8">
        <v>127.55</v>
      </c>
      <c r="Z1585" s="8">
        <v>59.354999999999997</v>
      </c>
      <c r="AA1585" s="8">
        <v>12.303000000000001</v>
      </c>
      <c r="AB1585" s="8">
        <v>2.0369999999999999</v>
      </c>
      <c r="AC1585" s="8">
        <v>0.12</v>
      </c>
    </row>
    <row r="1586" spans="1:29" ht="11.65" hidden="1" x14ac:dyDescent="0.35">
      <c r="A1586" s="12">
        <v>1569</v>
      </c>
      <c r="B1586" s="10" t="s">
        <v>1015</v>
      </c>
      <c r="C1586" s="11" t="s">
        <v>1128</v>
      </c>
      <c r="D1586" s="9"/>
      <c r="E1586" s="9">
        <v>792</v>
      </c>
      <c r="F1586" s="10" t="s">
        <v>1066</v>
      </c>
      <c r="G1586" s="9">
        <v>922</v>
      </c>
      <c r="H1586" s="9">
        <v>1990</v>
      </c>
      <c r="I1586" s="8">
        <v>3242.5450000000001</v>
      </c>
      <c r="J1586" s="8">
        <v>3238.06</v>
      </c>
      <c r="K1586" s="8">
        <v>3064.799</v>
      </c>
      <c r="L1586" s="8">
        <v>2812.027</v>
      </c>
      <c r="M1586" s="8">
        <v>2476.96</v>
      </c>
      <c r="N1586" s="8">
        <v>2214.8510000000001</v>
      </c>
      <c r="O1586" s="8">
        <v>1983.076</v>
      </c>
      <c r="P1586" s="8">
        <v>1725.6949999999999</v>
      </c>
      <c r="Q1586" s="8">
        <v>1342.646</v>
      </c>
      <c r="R1586" s="8">
        <v>1118.3820000000001</v>
      </c>
      <c r="S1586" s="8">
        <v>962.79100000000005</v>
      </c>
      <c r="T1586" s="8">
        <v>931.84799999999996</v>
      </c>
      <c r="U1586" s="8">
        <v>745.41899999999998</v>
      </c>
      <c r="V1586" s="8">
        <v>529.09</v>
      </c>
      <c r="W1586" s="8">
        <v>355.71499999999997</v>
      </c>
      <c r="X1586" s="8">
        <v>286.60300000000001</v>
      </c>
      <c r="Y1586" s="8">
        <v>175.72499999999999</v>
      </c>
      <c r="Z1586" s="8">
        <v>63.21</v>
      </c>
      <c r="AA1586" s="8">
        <v>19.515000000000001</v>
      </c>
      <c r="AB1586" s="8">
        <v>2.335</v>
      </c>
      <c r="AC1586" s="8">
        <v>0.20200000000000001</v>
      </c>
    </row>
    <row r="1587" spans="1:29" ht="11.65" hidden="1" x14ac:dyDescent="0.35">
      <c r="A1587" s="12">
        <v>1570</v>
      </c>
      <c r="B1587" s="10" t="s">
        <v>1015</v>
      </c>
      <c r="C1587" s="11" t="s">
        <v>1128</v>
      </c>
      <c r="D1587" s="9"/>
      <c r="E1587" s="9">
        <v>792</v>
      </c>
      <c r="F1587" s="10" t="s">
        <v>1066</v>
      </c>
      <c r="G1587" s="9">
        <v>922</v>
      </c>
      <c r="H1587" s="9">
        <v>1995</v>
      </c>
      <c r="I1587" s="8">
        <v>3167.1610000000001</v>
      </c>
      <c r="J1587" s="8">
        <v>3173.9380000000001</v>
      </c>
      <c r="K1587" s="8">
        <v>3192.2139999999999</v>
      </c>
      <c r="L1587" s="8">
        <v>3036.0619999999999</v>
      </c>
      <c r="M1587" s="8">
        <v>2785.241</v>
      </c>
      <c r="N1587" s="8">
        <v>2454.1060000000002</v>
      </c>
      <c r="O1587" s="8">
        <v>2193.5700000000002</v>
      </c>
      <c r="P1587" s="8">
        <v>1961.509</v>
      </c>
      <c r="Q1587" s="8">
        <v>1703.4280000000001</v>
      </c>
      <c r="R1587" s="8">
        <v>1320.652</v>
      </c>
      <c r="S1587" s="8">
        <v>1093.7249999999999</v>
      </c>
      <c r="T1587" s="8">
        <v>932.47799999999995</v>
      </c>
      <c r="U1587" s="8">
        <v>889.13499999999999</v>
      </c>
      <c r="V1587" s="8">
        <v>692.22799999999995</v>
      </c>
      <c r="W1587" s="8">
        <v>465.80599999999998</v>
      </c>
      <c r="X1587" s="8">
        <v>283.18200000000002</v>
      </c>
      <c r="Y1587" s="8">
        <v>191.869</v>
      </c>
      <c r="Z1587" s="8">
        <v>88.905000000000001</v>
      </c>
      <c r="AA1587" s="8">
        <v>20.943000000000001</v>
      </c>
      <c r="AB1587" s="8">
        <v>3.637</v>
      </c>
      <c r="AC1587" s="8">
        <v>0.22600000000000001</v>
      </c>
    </row>
    <row r="1588" spans="1:29" ht="11.65" hidden="1" x14ac:dyDescent="0.35">
      <c r="A1588" s="12">
        <v>1571</v>
      </c>
      <c r="B1588" s="10" t="s">
        <v>1015</v>
      </c>
      <c r="C1588" s="11" t="s">
        <v>1128</v>
      </c>
      <c r="D1588" s="9"/>
      <c r="E1588" s="9">
        <v>792</v>
      </c>
      <c r="F1588" s="10" t="s">
        <v>1066</v>
      </c>
      <c r="G1588" s="9">
        <v>922</v>
      </c>
      <c r="H1588" s="9">
        <v>2000</v>
      </c>
      <c r="I1588" s="8">
        <v>3260.674</v>
      </c>
      <c r="J1588" s="8">
        <v>3123.6680000000001</v>
      </c>
      <c r="K1588" s="8">
        <v>3145.607</v>
      </c>
      <c r="L1588" s="8">
        <v>3164.9780000000001</v>
      </c>
      <c r="M1588" s="8">
        <v>3009</v>
      </c>
      <c r="N1588" s="8">
        <v>2761.201</v>
      </c>
      <c r="O1588" s="8">
        <v>2431.913</v>
      </c>
      <c r="P1588" s="8">
        <v>2171.721</v>
      </c>
      <c r="Q1588" s="8">
        <v>1938.925</v>
      </c>
      <c r="R1588" s="8">
        <v>1679.1769999999999</v>
      </c>
      <c r="S1588" s="8">
        <v>1295.3689999999999</v>
      </c>
      <c r="T1588" s="8">
        <v>1063.827</v>
      </c>
      <c r="U1588" s="8">
        <v>894.85199999999998</v>
      </c>
      <c r="V1588" s="8">
        <v>832.80799999999999</v>
      </c>
      <c r="W1588" s="8">
        <v>617.88300000000004</v>
      </c>
      <c r="X1588" s="8">
        <v>377.90199999999999</v>
      </c>
      <c r="Y1588" s="8">
        <v>193.821</v>
      </c>
      <c r="Z1588" s="8">
        <v>99.013999999999996</v>
      </c>
      <c r="AA1588" s="8">
        <v>29.652000000000001</v>
      </c>
      <c r="AB1588" s="8">
        <v>3.8279999999999998</v>
      </c>
      <c r="AC1588" s="8">
        <v>0.32800000000000001</v>
      </c>
    </row>
    <row r="1589" spans="1:29" ht="11.65" hidden="1" x14ac:dyDescent="0.35">
      <c r="A1589" s="12">
        <v>1572</v>
      </c>
      <c r="B1589" s="10" t="s">
        <v>1015</v>
      </c>
      <c r="C1589" s="11" t="s">
        <v>1128</v>
      </c>
      <c r="D1589" s="9"/>
      <c r="E1589" s="9">
        <v>792</v>
      </c>
      <c r="F1589" s="10" t="s">
        <v>1066</v>
      </c>
      <c r="G1589" s="9">
        <v>922</v>
      </c>
      <c r="H1589" s="9">
        <v>2005</v>
      </c>
      <c r="I1589" s="8">
        <v>3198.1410000000001</v>
      </c>
      <c r="J1589" s="8">
        <v>3231.8980000000001</v>
      </c>
      <c r="K1589" s="8">
        <v>3106.357</v>
      </c>
      <c r="L1589" s="8">
        <v>3127.82</v>
      </c>
      <c r="M1589" s="8">
        <v>3147.25</v>
      </c>
      <c r="N1589" s="8">
        <v>2991.3870000000002</v>
      </c>
      <c r="O1589" s="8">
        <v>2742.84</v>
      </c>
      <c r="P1589" s="8">
        <v>2413.1410000000001</v>
      </c>
      <c r="Q1589" s="8">
        <v>2151.663</v>
      </c>
      <c r="R1589" s="8">
        <v>1916.2829999999999</v>
      </c>
      <c r="S1589" s="8">
        <v>1652.4369999999999</v>
      </c>
      <c r="T1589" s="8">
        <v>1265.3879999999999</v>
      </c>
      <c r="U1589" s="8">
        <v>1026.588</v>
      </c>
      <c r="V1589" s="8">
        <v>844.77599999999995</v>
      </c>
      <c r="W1589" s="8">
        <v>752.59900000000005</v>
      </c>
      <c r="X1589" s="8">
        <v>510.06299999999999</v>
      </c>
      <c r="Y1589" s="8">
        <v>264.29300000000001</v>
      </c>
      <c r="Z1589" s="8">
        <v>101.991</v>
      </c>
      <c r="AA1589" s="8">
        <v>33.274000000000001</v>
      </c>
      <c r="AB1589" s="8">
        <v>5.3319999999999999</v>
      </c>
      <c r="AC1589" s="8">
        <v>0.33600000000000002</v>
      </c>
    </row>
    <row r="1590" spans="1:29" ht="11.65" hidden="1" x14ac:dyDescent="0.35">
      <c r="A1590" s="12">
        <v>1573</v>
      </c>
      <c r="B1590" s="10" t="s">
        <v>1015</v>
      </c>
      <c r="C1590" s="11" t="s">
        <v>1128</v>
      </c>
      <c r="D1590" s="9"/>
      <c r="E1590" s="9">
        <v>792</v>
      </c>
      <c r="F1590" s="10" t="s">
        <v>1066</v>
      </c>
      <c r="G1590" s="9">
        <v>922</v>
      </c>
      <c r="H1590" s="9">
        <v>2010</v>
      </c>
      <c r="I1590" s="8">
        <v>3140.4789999999998</v>
      </c>
      <c r="J1590" s="8">
        <v>3177.6990000000001</v>
      </c>
      <c r="K1590" s="8">
        <v>3218.04</v>
      </c>
      <c r="L1590" s="8">
        <v>3090.2310000000002</v>
      </c>
      <c r="M1590" s="8">
        <v>3111.0549999999998</v>
      </c>
      <c r="N1590" s="8">
        <v>3130.8739999999998</v>
      </c>
      <c r="O1590" s="8">
        <v>2973.9780000000001</v>
      </c>
      <c r="P1590" s="8">
        <v>2724.38</v>
      </c>
      <c r="Q1590" s="8">
        <v>2393.6840000000002</v>
      </c>
      <c r="R1590" s="8">
        <v>2129.6950000000002</v>
      </c>
      <c r="S1590" s="8">
        <v>1889.6079999999999</v>
      </c>
      <c r="T1590" s="8">
        <v>1619.0260000000001</v>
      </c>
      <c r="U1590" s="8">
        <v>1226.4069999999999</v>
      </c>
      <c r="V1590" s="8">
        <v>975.48800000000006</v>
      </c>
      <c r="W1590" s="8">
        <v>771.68299999999999</v>
      </c>
      <c r="X1590" s="8">
        <v>633.00400000000002</v>
      </c>
      <c r="Y1590" s="8">
        <v>367.96300000000002</v>
      </c>
      <c r="Z1590" s="8">
        <v>145.86099999999999</v>
      </c>
      <c r="AA1590" s="8">
        <v>36.622999999999998</v>
      </c>
      <c r="AB1590" s="8">
        <v>6.4740000000000002</v>
      </c>
      <c r="AC1590" s="8">
        <v>0.49399999999999999</v>
      </c>
    </row>
    <row r="1591" spans="1:29" ht="11.65" hidden="1" x14ac:dyDescent="0.35">
      <c r="A1591" s="12">
        <v>1574</v>
      </c>
      <c r="B1591" s="10" t="s">
        <v>1015</v>
      </c>
      <c r="C1591" s="11" t="s">
        <v>1128</v>
      </c>
      <c r="D1591" s="9"/>
      <c r="E1591" s="9">
        <v>792</v>
      </c>
      <c r="F1591" s="10" t="s">
        <v>1066</v>
      </c>
      <c r="G1591" s="9">
        <v>922</v>
      </c>
      <c r="H1591" s="9">
        <v>2015</v>
      </c>
      <c r="I1591" s="8">
        <v>3308.9470000000001</v>
      </c>
      <c r="J1591" s="8">
        <v>3251.605</v>
      </c>
      <c r="K1591" s="8">
        <v>3275.4009999999998</v>
      </c>
      <c r="L1591" s="8">
        <v>3283.6759999999999</v>
      </c>
      <c r="M1591" s="8">
        <v>3123.6590000000001</v>
      </c>
      <c r="N1591" s="8">
        <v>3142.9690000000001</v>
      </c>
      <c r="O1591" s="8">
        <v>3160.4110000000001</v>
      </c>
      <c r="P1591" s="8">
        <v>3002.0059999999999</v>
      </c>
      <c r="Q1591" s="8">
        <v>2750.797</v>
      </c>
      <c r="R1591" s="8">
        <v>2417.9229999999998</v>
      </c>
      <c r="S1591" s="8">
        <v>2149.3809999999999</v>
      </c>
      <c r="T1591" s="8">
        <v>1901.8309999999999</v>
      </c>
      <c r="U1591" s="8">
        <v>1587.2719999999999</v>
      </c>
      <c r="V1591" s="8">
        <v>1182.1369999999999</v>
      </c>
      <c r="W1591" s="8">
        <v>908.58</v>
      </c>
      <c r="X1591" s="8">
        <v>667.673</v>
      </c>
      <c r="Y1591" s="8">
        <v>479.43599999999998</v>
      </c>
      <c r="Z1591" s="8">
        <v>218.03</v>
      </c>
      <c r="AA1591" s="8">
        <v>58.545000000000002</v>
      </c>
      <c r="AB1591" s="8">
        <v>8.2989999999999995</v>
      </c>
      <c r="AC1591" s="8">
        <v>0.77300000000000002</v>
      </c>
    </row>
    <row r="1592" spans="1:29" ht="11.65" hidden="1" x14ac:dyDescent="0.35">
      <c r="A1592" s="12">
        <v>1575</v>
      </c>
      <c r="B1592" s="10" t="s">
        <v>1015</v>
      </c>
      <c r="C1592" s="11" t="s">
        <v>1128</v>
      </c>
      <c r="D1592" s="9"/>
      <c r="E1592" s="9">
        <v>792</v>
      </c>
      <c r="F1592" s="10" t="s">
        <v>1066</v>
      </c>
      <c r="G1592" s="9">
        <v>922</v>
      </c>
      <c r="H1592" s="9">
        <v>2020</v>
      </c>
      <c r="I1592" s="8">
        <v>3210.4180000000001</v>
      </c>
      <c r="J1592" s="8">
        <v>3349.3829999999998</v>
      </c>
      <c r="K1592" s="8">
        <v>3311.1350000000002</v>
      </c>
      <c r="L1592" s="8">
        <v>3332.9479999999999</v>
      </c>
      <c r="M1592" s="8">
        <v>3320.7530000000002</v>
      </c>
      <c r="N1592" s="8">
        <v>3159.473</v>
      </c>
      <c r="O1592" s="8">
        <v>3176.4589999999998</v>
      </c>
      <c r="P1592" s="8">
        <v>3191.5</v>
      </c>
      <c r="Q1592" s="8">
        <v>3030.8679999999999</v>
      </c>
      <c r="R1592" s="8">
        <v>2776.683</v>
      </c>
      <c r="S1592" s="8">
        <v>2439.491</v>
      </c>
      <c r="T1592" s="8">
        <v>2163.5079999999998</v>
      </c>
      <c r="U1592" s="8">
        <v>1865.4290000000001</v>
      </c>
      <c r="V1592" s="8">
        <v>1533.5730000000001</v>
      </c>
      <c r="W1592" s="8">
        <v>1108.614</v>
      </c>
      <c r="X1592" s="8">
        <v>799.19200000000001</v>
      </c>
      <c r="Y1592" s="8">
        <v>521.52599999999995</v>
      </c>
      <c r="Z1592" s="8">
        <v>300.44299999999998</v>
      </c>
      <c r="AA1592" s="8">
        <v>95.421000000000006</v>
      </c>
      <c r="AB1592" s="8">
        <v>14.981999999999999</v>
      </c>
      <c r="AC1592" s="8">
        <v>1.143</v>
      </c>
    </row>
    <row r="1593" spans="1:29" ht="11.65" hidden="1" x14ac:dyDescent="0.35">
      <c r="A1593" s="12">
        <v>1576</v>
      </c>
      <c r="B1593" s="10" t="s">
        <v>1015</v>
      </c>
      <c r="C1593" s="11" t="s">
        <v>1129</v>
      </c>
      <c r="D1593" s="9"/>
      <c r="E1593" s="9">
        <v>784</v>
      </c>
      <c r="F1593" s="10" t="s">
        <v>1066</v>
      </c>
      <c r="G1593" s="9">
        <v>922</v>
      </c>
      <c r="H1593" s="9">
        <v>1950</v>
      </c>
      <c r="I1593" s="8">
        <v>5.9249999999999998</v>
      </c>
      <c r="J1593" s="8">
        <v>4.6219999999999999</v>
      </c>
      <c r="K1593" s="8">
        <v>3.919</v>
      </c>
      <c r="L1593" s="8">
        <v>3.3980000000000001</v>
      </c>
      <c r="M1593" s="8">
        <v>2.927</v>
      </c>
      <c r="N1593" s="8">
        <v>2.4969999999999999</v>
      </c>
      <c r="O1593" s="8">
        <v>2.1230000000000002</v>
      </c>
      <c r="P1593" s="8">
        <v>1.7969999999999999</v>
      </c>
      <c r="Q1593" s="8">
        <v>1.573</v>
      </c>
      <c r="R1593" s="8">
        <v>1.347</v>
      </c>
      <c r="S1593" s="8">
        <v>1.167</v>
      </c>
      <c r="T1593" s="8">
        <v>0.98599999999999999</v>
      </c>
      <c r="U1593" s="8">
        <v>0.79200000000000004</v>
      </c>
      <c r="V1593" s="8">
        <v>0.58599999999999997</v>
      </c>
      <c r="W1593" s="8">
        <v>0.38</v>
      </c>
      <c r="X1593" s="8">
        <v>0.19700000000000001</v>
      </c>
      <c r="Y1593" s="8">
        <v>6.2E-2</v>
      </c>
      <c r="Z1593" s="8">
        <v>0.02</v>
      </c>
      <c r="AA1593" s="8">
        <v>5.0000000000000001E-3</v>
      </c>
      <c r="AB1593" s="8">
        <v>0</v>
      </c>
      <c r="AC1593" s="8">
        <v>0</v>
      </c>
    </row>
    <row r="1594" spans="1:29" ht="11.65" hidden="1" x14ac:dyDescent="0.35">
      <c r="A1594" s="12">
        <v>1577</v>
      </c>
      <c r="B1594" s="10" t="s">
        <v>1015</v>
      </c>
      <c r="C1594" s="11" t="s">
        <v>1129</v>
      </c>
      <c r="D1594" s="9"/>
      <c r="E1594" s="9">
        <v>784</v>
      </c>
      <c r="F1594" s="10" t="s">
        <v>1066</v>
      </c>
      <c r="G1594" s="9">
        <v>922</v>
      </c>
      <c r="H1594" s="9">
        <v>1955</v>
      </c>
      <c r="I1594" s="8">
        <v>7.2039999999999997</v>
      </c>
      <c r="J1594" s="8">
        <v>5.4589999999999996</v>
      </c>
      <c r="K1594" s="8">
        <v>4.4950000000000001</v>
      </c>
      <c r="L1594" s="8">
        <v>3.8260000000000001</v>
      </c>
      <c r="M1594" s="8">
        <v>3.3029999999999999</v>
      </c>
      <c r="N1594" s="8">
        <v>2.831</v>
      </c>
      <c r="O1594" s="8">
        <v>2.4129999999999998</v>
      </c>
      <c r="P1594" s="8">
        <v>2.0510000000000002</v>
      </c>
      <c r="Q1594" s="8">
        <v>1.734</v>
      </c>
      <c r="R1594" s="8">
        <v>1.514</v>
      </c>
      <c r="S1594" s="8">
        <v>1.2889999999999999</v>
      </c>
      <c r="T1594" s="8">
        <v>1.0960000000000001</v>
      </c>
      <c r="U1594" s="8">
        <v>0.89200000000000002</v>
      </c>
      <c r="V1594" s="8">
        <v>0.66900000000000004</v>
      </c>
      <c r="W1594" s="8">
        <v>0.441</v>
      </c>
      <c r="X1594" s="8">
        <v>0.23899999999999999</v>
      </c>
      <c r="Y1594" s="8">
        <v>9.4E-2</v>
      </c>
      <c r="Z1594" s="8">
        <v>2.1000000000000001E-2</v>
      </c>
      <c r="AA1594" s="8">
        <v>5.0000000000000001E-3</v>
      </c>
      <c r="AB1594" s="8">
        <v>0</v>
      </c>
      <c r="AC1594" s="8">
        <v>0</v>
      </c>
    </row>
    <row r="1595" spans="1:29" ht="11.65" hidden="1" x14ac:dyDescent="0.35">
      <c r="A1595" s="12">
        <v>1578</v>
      </c>
      <c r="B1595" s="10" t="s">
        <v>1015</v>
      </c>
      <c r="C1595" s="11" t="s">
        <v>1129</v>
      </c>
      <c r="D1595" s="9"/>
      <c r="E1595" s="9">
        <v>784</v>
      </c>
      <c r="F1595" s="10" t="s">
        <v>1066</v>
      </c>
      <c r="G1595" s="9">
        <v>922</v>
      </c>
      <c r="H1595" s="9">
        <v>1960</v>
      </c>
      <c r="I1595" s="8">
        <v>8.5039999999999996</v>
      </c>
      <c r="J1595" s="8">
        <v>6.7549999999999999</v>
      </c>
      <c r="K1595" s="8">
        <v>5.35</v>
      </c>
      <c r="L1595" s="8">
        <v>4.4130000000000003</v>
      </c>
      <c r="M1595" s="8">
        <v>3.7490000000000001</v>
      </c>
      <c r="N1595" s="8">
        <v>3.226</v>
      </c>
      <c r="O1595" s="8">
        <v>2.7589999999999999</v>
      </c>
      <c r="P1595" s="8">
        <v>2.3490000000000002</v>
      </c>
      <c r="Q1595" s="8">
        <v>1.992</v>
      </c>
      <c r="R1595" s="8">
        <v>1.677</v>
      </c>
      <c r="S1595" s="8">
        <v>1.4510000000000001</v>
      </c>
      <c r="T1595" s="8">
        <v>1.2110000000000001</v>
      </c>
      <c r="U1595" s="8">
        <v>0.99399999999999999</v>
      </c>
      <c r="V1595" s="8">
        <v>0.75900000000000001</v>
      </c>
      <c r="W1595" s="8">
        <v>0.51300000000000001</v>
      </c>
      <c r="X1595" s="8">
        <v>0.28699999999999998</v>
      </c>
      <c r="Y1595" s="8">
        <v>0.121</v>
      </c>
      <c r="Z1595" s="8">
        <v>3.4000000000000002E-2</v>
      </c>
      <c r="AA1595" s="8">
        <v>5.0000000000000001E-3</v>
      </c>
      <c r="AB1595" s="8">
        <v>0</v>
      </c>
      <c r="AC1595" s="8">
        <v>0</v>
      </c>
    </row>
    <row r="1596" spans="1:29" ht="11.65" hidden="1" x14ac:dyDescent="0.35">
      <c r="A1596" s="12">
        <v>1579</v>
      </c>
      <c r="B1596" s="10" t="s">
        <v>1015</v>
      </c>
      <c r="C1596" s="11" t="s">
        <v>1129</v>
      </c>
      <c r="D1596" s="9"/>
      <c r="E1596" s="9">
        <v>784</v>
      </c>
      <c r="F1596" s="10" t="s">
        <v>1066</v>
      </c>
      <c r="G1596" s="9">
        <v>922</v>
      </c>
      <c r="H1596" s="9">
        <v>1965</v>
      </c>
      <c r="I1596" s="8">
        <v>11.577999999999999</v>
      </c>
      <c r="J1596" s="8">
        <v>8.1929999999999996</v>
      </c>
      <c r="K1596" s="8">
        <v>7.3470000000000004</v>
      </c>
      <c r="L1596" s="8">
        <v>6.7290000000000001</v>
      </c>
      <c r="M1596" s="8">
        <v>6.1379999999999999</v>
      </c>
      <c r="N1596" s="8">
        <v>5.08</v>
      </c>
      <c r="O1596" s="8">
        <v>4.0810000000000004</v>
      </c>
      <c r="P1596" s="8">
        <v>3.2069999999999999</v>
      </c>
      <c r="Q1596" s="8">
        <v>2.46</v>
      </c>
      <c r="R1596" s="8">
        <v>1.8879999999999999</v>
      </c>
      <c r="S1596" s="8">
        <v>1.5109999999999999</v>
      </c>
      <c r="T1596" s="8">
        <v>1.056</v>
      </c>
      <c r="U1596" s="8">
        <v>0.76900000000000002</v>
      </c>
      <c r="V1596" s="8">
        <v>0.75</v>
      </c>
      <c r="W1596" s="8">
        <v>0.59199999999999997</v>
      </c>
      <c r="X1596" s="8">
        <v>0.34200000000000003</v>
      </c>
      <c r="Y1596" s="8">
        <v>0.15</v>
      </c>
      <c r="Z1596" s="8">
        <v>4.5999999999999999E-2</v>
      </c>
      <c r="AA1596" s="8">
        <v>8.9999999999999993E-3</v>
      </c>
      <c r="AB1596" s="8">
        <v>0</v>
      </c>
      <c r="AC1596" s="8">
        <v>0</v>
      </c>
    </row>
    <row r="1597" spans="1:29" ht="11.65" hidden="1" x14ac:dyDescent="0.35">
      <c r="A1597" s="12">
        <v>1580</v>
      </c>
      <c r="B1597" s="10" t="s">
        <v>1015</v>
      </c>
      <c r="C1597" s="11" t="s">
        <v>1129</v>
      </c>
      <c r="D1597" s="9"/>
      <c r="E1597" s="9">
        <v>784</v>
      </c>
      <c r="F1597" s="10" t="s">
        <v>1066</v>
      </c>
      <c r="G1597" s="9">
        <v>922</v>
      </c>
      <c r="H1597" s="9">
        <v>1970</v>
      </c>
      <c r="I1597" s="8">
        <v>17.974</v>
      </c>
      <c r="J1597" s="8">
        <v>12.071</v>
      </c>
      <c r="K1597" s="8">
        <v>8.3309999999999995</v>
      </c>
      <c r="L1597" s="8">
        <v>7.1109999999999998</v>
      </c>
      <c r="M1597" s="8">
        <v>8.1219999999999999</v>
      </c>
      <c r="N1597" s="8">
        <v>8.0879999999999992</v>
      </c>
      <c r="O1597" s="8">
        <v>6.4429999999999996</v>
      </c>
      <c r="P1597" s="8">
        <v>5.2480000000000002</v>
      </c>
      <c r="Q1597" s="8">
        <v>3.7509999999999999</v>
      </c>
      <c r="R1597" s="8">
        <v>2.7970000000000002</v>
      </c>
      <c r="S1597" s="8">
        <v>1.9890000000000001</v>
      </c>
      <c r="T1597" s="8">
        <v>1.353</v>
      </c>
      <c r="U1597" s="8">
        <v>0.75700000000000001</v>
      </c>
      <c r="V1597" s="8">
        <v>0.5</v>
      </c>
      <c r="W1597" s="8">
        <v>0.59199999999999997</v>
      </c>
      <c r="X1597" s="8">
        <v>0.40300000000000002</v>
      </c>
      <c r="Y1597" s="8">
        <v>0.186</v>
      </c>
      <c r="Z1597" s="8">
        <v>5.8999999999999997E-2</v>
      </c>
      <c r="AA1597" s="8">
        <v>1.2E-2</v>
      </c>
      <c r="AB1597" s="8">
        <v>0</v>
      </c>
      <c r="AC1597" s="8">
        <v>0</v>
      </c>
    </row>
    <row r="1598" spans="1:29" ht="11.65" hidden="1" x14ac:dyDescent="0.35">
      <c r="A1598" s="12">
        <v>1581</v>
      </c>
      <c r="B1598" s="10" t="s">
        <v>1015</v>
      </c>
      <c r="C1598" s="11" t="s">
        <v>1129</v>
      </c>
      <c r="D1598" s="9"/>
      <c r="E1598" s="9">
        <v>784</v>
      </c>
      <c r="F1598" s="10" t="s">
        <v>1066</v>
      </c>
      <c r="G1598" s="9">
        <v>922</v>
      </c>
      <c r="H1598" s="9">
        <v>1975</v>
      </c>
      <c r="I1598" s="8">
        <v>32.433999999999997</v>
      </c>
      <c r="J1598" s="8">
        <v>24.54</v>
      </c>
      <c r="K1598" s="8">
        <v>17.149000000000001</v>
      </c>
      <c r="L1598" s="8">
        <v>13.939</v>
      </c>
      <c r="M1598" s="8">
        <v>15.733000000000001</v>
      </c>
      <c r="N1598" s="8">
        <v>16.332999999999998</v>
      </c>
      <c r="O1598" s="8">
        <v>12.516</v>
      </c>
      <c r="P1598" s="8">
        <v>8.8520000000000003</v>
      </c>
      <c r="Q1598" s="8">
        <v>7.609</v>
      </c>
      <c r="R1598" s="8">
        <v>4.9909999999999997</v>
      </c>
      <c r="S1598" s="8">
        <v>4.9329999999999998</v>
      </c>
      <c r="T1598" s="8">
        <v>2.4649999999999999</v>
      </c>
      <c r="U1598" s="8">
        <v>2.7650000000000001</v>
      </c>
      <c r="V1598" s="8">
        <v>2.2589999999999999</v>
      </c>
      <c r="W1598" s="8">
        <v>0.40300000000000002</v>
      </c>
      <c r="X1598" s="8">
        <v>0.41399999999999998</v>
      </c>
      <c r="Y1598" s="8">
        <v>0.22700000000000001</v>
      </c>
      <c r="Z1598" s="8">
        <v>7.6999999999999999E-2</v>
      </c>
      <c r="AA1598" s="8">
        <v>1.6E-2</v>
      </c>
      <c r="AB1598" s="8">
        <v>2E-3</v>
      </c>
      <c r="AC1598" s="8">
        <v>0</v>
      </c>
    </row>
    <row r="1599" spans="1:29" ht="11.65" hidden="1" x14ac:dyDescent="0.35">
      <c r="A1599" s="12">
        <v>1582</v>
      </c>
      <c r="B1599" s="10" t="s">
        <v>1015</v>
      </c>
      <c r="C1599" s="11" t="s">
        <v>1129</v>
      </c>
      <c r="D1599" s="9"/>
      <c r="E1599" s="9">
        <v>784</v>
      </c>
      <c r="F1599" s="10" t="s">
        <v>1066</v>
      </c>
      <c r="G1599" s="9">
        <v>922</v>
      </c>
      <c r="H1599" s="9">
        <v>1980</v>
      </c>
      <c r="I1599" s="8">
        <v>64.936999999999998</v>
      </c>
      <c r="J1599" s="8">
        <v>47.118000000000002</v>
      </c>
      <c r="K1599" s="8">
        <v>28.251000000000001</v>
      </c>
      <c r="L1599" s="8">
        <v>24.148</v>
      </c>
      <c r="M1599" s="8">
        <v>33.720999999999997</v>
      </c>
      <c r="N1599" s="8">
        <v>35.347000000000001</v>
      </c>
      <c r="O1599" s="8">
        <v>24.782</v>
      </c>
      <c r="P1599" s="8">
        <v>16.486999999999998</v>
      </c>
      <c r="Q1599" s="8">
        <v>10.817</v>
      </c>
      <c r="R1599" s="8">
        <v>7.2</v>
      </c>
      <c r="S1599" s="8">
        <v>5.63</v>
      </c>
      <c r="T1599" s="8">
        <v>3.6930000000000001</v>
      </c>
      <c r="U1599" s="8">
        <v>2.3860000000000001</v>
      </c>
      <c r="V1599" s="8">
        <v>3.4420000000000002</v>
      </c>
      <c r="W1599" s="8">
        <v>1.841</v>
      </c>
      <c r="X1599" s="8">
        <v>0.28899999999999998</v>
      </c>
      <c r="Y1599" s="8">
        <v>0.24199999999999999</v>
      </c>
      <c r="Z1599" s="8">
        <v>9.9000000000000005E-2</v>
      </c>
      <c r="AA1599" s="8">
        <v>2.4E-2</v>
      </c>
      <c r="AB1599" s="8">
        <v>3.0000000000000001E-3</v>
      </c>
      <c r="AC1599" s="8">
        <v>0</v>
      </c>
    </row>
    <row r="1600" spans="1:29" ht="11.65" hidden="1" x14ac:dyDescent="0.35">
      <c r="A1600" s="12">
        <v>1583</v>
      </c>
      <c r="B1600" s="10" t="s">
        <v>1015</v>
      </c>
      <c r="C1600" s="11" t="s">
        <v>1129</v>
      </c>
      <c r="D1600" s="9"/>
      <c r="E1600" s="9">
        <v>784</v>
      </c>
      <c r="F1600" s="10" t="s">
        <v>1066</v>
      </c>
      <c r="G1600" s="9">
        <v>922</v>
      </c>
      <c r="H1600" s="9">
        <v>1985</v>
      </c>
      <c r="I1600" s="8">
        <v>92.534000000000006</v>
      </c>
      <c r="J1600" s="8">
        <v>73.649000000000001</v>
      </c>
      <c r="K1600" s="8">
        <v>47.985999999999997</v>
      </c>
      <c r="L1600" s="8">
        <v>33.281999999999996</v>
      </c>
      <c r="M1600" s="8">
        <v>48.119</v>
      </c>
      <c r="N1600" s="8">
        <v>57.256</v>
      </c>
      <c r="O1600" s="8">
        <v>42.71</v>
      </c>
      <c r="P1600" s="8">
        <v>29.555</v>
      </c>
      <c r="Q1600" s="8">
        <v>18.643000000000001</v>
      </c>
      <c r="R1600" s="8">
        <v>10.176</v>
      </c>
      <c r="S1600" s="8">
        <v>8.39</v>
      </c>
      <c r="T1600" s="8">
        <v>4.6150000000000002</v>
      </c>
      <c r="U1600" s="8">
        <v>3.996</v>
      </c>
      <c r="V1600" s="8">
        <v>2.9940000000000002</v>
      </c>
      <c r="W1600" s="8">
        <v>2.8420000000000001</v>
      </c>
      <c r="X1600" s="8">
        <v>1.345</v>
      </c>
      <c r="Y1600" s="8">
        <v>0.17199999999999999</v>
      </c>
      <c r="Z1600" s="8">
        <v>0.111</v>
      </c>
      <c r="AA1600" s="8">
        <v>3.3000000000000002E-2</v>
      </c>
      <c r="AB1600" s="8">
        <v>5.0000000000000001E-3</v>
      </c>
      <c r="AC1600" s="8">
        <v>0</v>
      </c>
    </row>
    <row r="1601" spans="1:29" ht="11.65" hidden="1" x14ac:dyDescent="0.35">
      <c r="A1601" s="12">
        <v>1584</v>
      </c>
      <c r="B1601" s="10" t="s">
        <v>1015</v>
      </c>
      <c r="C1601" s="11" t="s">
        <v>1129</v>
      </c>
      <c r="D1601" s="9"/>
      <c r="E1601" s="9">
        <v>784</v>
      </c>
      <c r="F1601" s="10" t="s">
        <v>1066</v>
      </c>
      <c r="G1601" s="9">
        <v>922</v>
      </c>
      <c r="H1601" s="9">
        <v>1990</v>
      </c>
      <c r="I1601" s="8">
        <v>112.151</v>
      </c>
      <c r="J1601" s="8">
        <v>93.751999999999995</v>
      </c>
      <c r="K1601" s="8">
        <v>71.799000000000007</v>
      </c>
      <c r="L1601" s="8">
        <v>57.485999999999997</v>
      </c>
      <c r="M1601" s="8">
        <v>50.314</v>
      </c>
      <c r="N1601" s="8">
        <v>54.997999999999998</v>
      </c>
      <c r="O1601" s="8">
        <v>60.18</v>
      </c>
      <c r="P1601" s="8">
        <v>46.296999999999997</v>
      </c>
      <c r="Q1601" s="8">
        <v>31.248000000000001</v>
      </c>
      <c r="R1601" s="8">
        <v>19.206</v>
      </c>
      <c r="S1601" s="8">
        <v>9.875</v>
      </c>
      <c r="T1601" s="8">
        <v>8.0380000000000003</v>
      </c>
      <c r="U1601" s="8">
        <v>4.9420000000000002</v>
      </c>
      <c r="V1601" s="8">
        <v>4.2460000000000004</v>
      </c>
      <c r="W1601" s="8">
        <v>2.5030000000000001</v>
      </c>
      <c r="X1601" s="8">
        <v>2.117</v>
      </c>
      <c r="Y1601" s="8">
        <v>0.83299999999999996</v>
      </c>
      <c r="Z1601" s="8">
        <v>8.5999999999999993E-2</v>
      </c>
      <c r="AA1601" s="8">
        <v>3.7999999999999999E-2</v>
      </c>
      <c r="AB1601" s="8">
        <v>7.0000000000000001E-3</v>
      </c>
      <c r="AC1601" s="8">
        <v>1E-3</v>
      </c>
    </row>
    <row r="1602" spans="1:29" ht="11.65" hidden="1" x14ac:dyDescent="0.35">
      <c r="A1602" s="12">
        <v>1585</v>
      </c>
      <c r="B1602" s="10" t="s">
        <v>1015</v>
      </c>
      <c r="C1602" s="11" t="s">
        <v>1129</v>
      </c>
      <c r="D1602" s="9"/>
      <c r="E1602" s="9">
        <v>784</v>
      </c>
      <c r="F1602" s="10" t="s">
        <v>1066</v>
      </c>
      <c r="G1602" s="9">
        <v>922</v>
      </c>
      <c r="H1602" s="9">
        <v>1995</v>
      </c>
      <c r="I1602" s="8">
        <v>113.72499999999999</v>
      </c>
      <c r="J1602" s="8">
        <v>110.438</v>
      </c>
      <c r="K1602" s="8">
        <v>96.903999999999996</v>
      </c>
      <c r="L1602" s="8">
        <v>74.715999999999994</v>
      </c>
      <c r="M1602" s="8">
        <v>76.84</v>
      </c>
      <c r="N1602" s="8">
        <v>86.834999999999994</v>
      </c>
      <c r="O1602" s="8">
        <v>78.813999999999993</v>
      </c>
      <c r="P1602" s="8">
        <v>65.540000000000006</v>
      </c>
      <c r="Q1602" s="8">
        <v>43.546999999999997</v>
      </c>
      <c r="R1602" s="8">
        <v>25.053999999999998</v>
      </c>
      <c r="S1602" s="8">
        <v>14.779</v>
      </c>
      <c r="T1602" s="8">
        <v>7.3970000000000002</v>
      </c>
      <c r="U1602" s="8">
        <v>6.0640000000000001</v>
      </c>
      <c r="V1602" s="8">
        <v>3.5659999999999998</v>
      </c>
      <c r="W1602" s="8">
        <v>3.59</v>
      </c>
      <c r="X1602" s="8">
        <v>1.897</v>
      </c>
      <c r="Y1602" s="8">
        <v>1.345</v>
      </c>
      <c r="Z1602" s="8">
        <v>0.41699999999999998</v>
      </c>
      <c r="AA1602" s="8">
        <v>0.03</v>
      </c>
      <c r="AB1602" s="8">
        <v>8.9999999999999993E-3</v>
      </c>
      <c r="AC1602" s="8">
        <v>1E-3</v>
      </c>
    </row>
    <row r="1603" spans="1:29" ht="11.65" hidden="1" x14ac:dyDescent="0.35">
      <c r="A1603" s="12">
        <v>1586</v>
      </c>
      <c r="B1603" s="10" t="s">
        <v>1015</v>
      </c>
      <c r="C1603" s="11" t="s">
        <v>1129</v>
      </c>
      <c r="D1603" s="9"/>
      <c r="E1603" s="9">
        <v>784</v>
      </c>
      <c r="F1603" s="10" t="s">
        <v>1066</v>
      </c>
      <c r="G1603" s="9">
        <v>922</v>
      </c>
      <c r="H1603" s="9">
        <v>2000</v>
      </c>
      <c r="I1603" s="8">
        <v>129.72900000000001</v>
      </c>
      <c r="J1603" s="8">
        <v>137.98599999999999</v>
      </c>
      <c r="K1603" s="8">
        <v>124.541</v>
      </c>
      <c r="L1603" s="8">
        <v>94.951999999999998</v>
      </c>
      <c r="M1603" s="8">
        <v>97.028999999999996</v>
      </c>
      <c r="N1603" s="8">
        <v>112.95399999999999</v>
      </c>
      <c r="O1603" s="8">
        <v>101.83499999999999</v>
      </c>
      <c r="P1603" s="8">
        <v>82.468000000000004</v>
      </c>
      <c r="Q1603" s="8">
        <v>55.531999999999996</v>
      </c>
      <c r="R1603" s="8">
        <v>30.556999999999999</v>
      </c>
      <c r="S1603" s="8">
        <v>19.155000000000001</v>
      </c>
      <c r="T1603" s="8">
        <v>9.8070000000000004</v>
      </c>
      <c r="U1603" s="8">
        <v>6.69</v>
      </c>
      <c r="V1603" s="8">
        <v>5.7850000000000001</v>
      </c>
      <c r="W1603" s="8">
        <v>3.0459999999999998</v>
      </c>
      <c r="X1603" s="8">
        <v>2.766</v>
      </c>
      <c r="Y1603" s="8">
        <v>1.2350000000000001</v>
      </c>
      <c r="Z1603" s="8">
        <v>0.69699999999999995</v>
      </c>
      <c r="AA1603" s="8">
        <v>0.158</v>
      </c>
      <c r="AB1603" s="8">
        <v>8.0000000000000002E-3</v>
      </c>
      <c r="AC1603" s="8">
        <v>2E-3</v>
      </c>
    </row>
    <row r="1604" spans="1:29" ht="11.65" hidden="1" x14ac:dyDescent="0.35">
      <c r="A1604" s="12">
        <v>1587</v>
      </c>
      <c r="B1604" s="10" t="s">
        <v>1015</v>
      </c>
      <c r="C1604" s="11" t="s">
        <v>1129</v>
      </c>
      <c r="D1604" s="9"/>
      <c r="E1604" s="9">
        <v>784</v>
      </c>
      <c r="F1604" s="10" t="s">
        <v>1066</v>
      </c>
      <c r="G1604" s="9">
        <v>922</v>
      </c>
      <c r="H1604" s="9">
        <v>2005</v>
      </c>
      <c r="I1604" s="8">
        <v>146.15899999999999</v>
      </c>
      <c r="J1604" s="8">
        <v>130.57599999999999</v>
      </c>
      <c r="K1604" s="8">
        <v>129.649</v>
      </c>
      <c r="L1604" s="8">
        <v>126.943</v>
      </c>
      <c r="M1604" s="8">
        <v>153.673</v>
      </c>
      <c r="N1604" s="8">
        <v>183.869</v>
      </c>
      <c r="O1604" s="8">
        <v>162.86799999999999</v>
      </c>
      <c r="P1604" s="8">
        <v>115.923</v>
      </c>
      <c r="Q1604" s="8">
        <v>84.209000000000003</v>
      </c>
      <c r="R1604" s="8">
        <v>54.091999999999999</v>
      </c>
      <c r="S1604" s="8">
        <v>29.087</v>
      </c>
      <c r="T1604" s="8">
        <v>17.626000000000001</v>
      </c>
      <c r="U1604" s="8">
        <v>8.2669999999999995</v>
      </c>
      <c r="V1604" s="8">
        <v>5.5869999999999997</v>
      </c>
      <c r="W1604" s="8">
        <v>4.9870000000000001</v>
      </c>
      <c r="X1604" s="8">
        <v>2.38</v>
      </c>
      <c r="Y1604" s="8">
        <v>1.84</v>
      </c>
      <c r="Z1604" s="8">
        <v>0.66300000000000003</v>
      </c>
      <c r="AA1604" s="8">
        <v>0.27900000000000003</v>
      </c>
      <c r="AB1604" s="8">
        <v>4.3999999999999997E-2</v>
      </c>
      <c r="AC1604" s="8">
        <v>2E-3</v>
      </c>
    </row>
    <row r="1605" spans="1:29" ht="11.65" hidden="1" x14ac:dyDescent="0.35">
      <c r="A1605" s="12">
        <v>1588</v>
      </c>
      <c r="B1605" s="10" t="s">
        <v>1015</v>
      </c>
      <c r="C1605" s="11" t="s">
        <v>1129</v>
      </c>
      <c r="D1605" s="9"/>
      <c r="E1605" s="9">
        <v>784</v>
      </c>
      <c r="F1605" s="10" t="s">
        <v>1066</v>
      </c>
      <c r="G1605" s="9">
        <v>922</v>
      </c>
      <c r="H1605" s="9">
        <v>2010</v>
      </c>
      <c r="I1605" s="8">
        <v>216.49299999999999</v>
      </c>
      <c r="J1605" s="8">
        <v>172.93799999999999</v>
      </c>
      <c r="K1605" s="8">
        <v>160.11500000000001</v>
      </c>
      <c r="L1605" s="8">
        <v>159.14400000000001</v>
      </c>
      <c r="M1605" s="8">
        <v>234.572</v>
      </c>
      <c r="N1605" s="8">
        <v>315.09399999999999</v>
      </c>
      <c r="O1605" s="8">
        <v>294.03199999999998</v>
      </c>
      <c r="P1605" s="8">
        <v>232.60400000000001</v>
      </c>
      <c r="Q1605" s="8">
        <v>158.67099999999999</v>
      </c>
      <c r="R1605" s="8">
        <v>99.8</v>
      </c>
      <c r="S1605" s="8">
        <v>50.776000000000003</v>
      </c>
      <c r="T1605" s="8">
        <v>25.277999999999999</v>
      </c>
      <c r="U1605" s="8">
        <v>15.676</v>
      </c>
      <c r="V1605" s="8">
        <v>7.0209999999999999</v>
      </c>
      <c r="W1605" s="8">
        <v>4.859</v>
      </c>
      <c r="X1605" s="8">
        <v>3.9510000000000001</v>
      </c>
      <c r="Y1605" s="8">
        <v>1.6160000000000001</v>
      </c>
      <c r="Z1605" s="8">
        <v>1.0209999999999999</v>
      </c>
      <c r="AA1605" s="8">
        <v>0.27900000000000003</v>
      </c>
      <c r="AB1605" s="8">
        <v>8.4000000000000005E-2</v>
      </c>
      <c r="AC1605" s="8">
        <v>8.0000000000000002E-3</v>
      </c>
    </row>
    <row r="1606" spans="1:29" ht="11.65" hidden="1" x14ac:dyDescent="0.35">
      <c r="A1606" s="12">
        <v>1589</v>
      </c>
      <c r="B1606" s="10" t="s">
        <v>1015</v>
      </c>
      <c r="C1606" s="11" t="s">
        <v>1129</v>
      </c>
      <c r="D1606" s="9"/>
      <c r="E1606" s="9">
        <v>784</v>
      </c>
      <c r="F1606" s="10" t="s">
        <v>1066</v>
      </c>
      <c r="G1606" s="9">
        <v>922</v>
      </c>
      <c r="H1606" s="9">
        <v>2015</v>
      </c>
      <c r="I1606" s="8">
        <v>247.45099999999999</v>
      </c>
      <c r="J1606" s="8">
        <v>220.03700000000001</v>
      </c>
      <c r="K1606" s="8">
        <v>175.32300000000001</v>
      </c>
      <c r="L1606" s="8">
        <v>161.208</v>
      </c>
      <c r="M1606" s="8">
        <v>233.92500000000001</v>
      </c>
      <c r="N1606" s="8">
        <v>371.71600000000001</v>
      </c>
      <c r="O1606" s="8">
        <v>417.14400000000001</v>
      </c>
      <c r="P1606" s="8">
        <v>338.572</v>
      </c>
      <c r="Q1606" s="8">
        <v>233.60300000000001</v>
      </c>
      <c r="R1606" s="8">
        <v>151.94</v>
      </c>
      <c r="S1606" s="8">
        <v>93.891000000000005</v>
      </c>
      <c r="T1606" s="8">
        <v>46.642000000000003</v>
      </c>
      <c r="U1606" s="8">
        <v>22.655000000000001</v>
      </c>
      <c r="V1606" s="8">
        <v>13.654</v>
      </c>
      <c r="W1606" s="8">
        <v>6.16</v>
      </c>
      <c r="X1606" s="8">
        <v>3.9009999999999998</v>
      </c>
      <c r="Y1606" s="8">
        <v>2.7389999999999999</v>
      </c>
      <c r="Z1606" s="8">
        <v>0.92600000000000005</v>
      </c>
      <c r="AA1606" s="8">
        <v>0.44900000000000001</v>
      </c>
      <c r="AB1606" s="8">
        <v>8.7999999999999995E-2</v>
      </c>
      <c r="AC1606" s="8">
        <v>1.7999999999999999E-2</v>
      </c>
    </row>
    <row r="1607" spans="1:29" ht="11.65" hidden="1" x14ac:dyDescent="0.35">
      <c r="A1607" s="12">
        <v>1590</v>
      </c>
      <c r="B1607" s="10" t="s">
        <v>1015</v>
      </c>
      <c r="C1607" s="11" t="s">
        <v>1129</v>
      </c>
      <c r="D1607" s="9"/>
      <c r="E1607" s="9">
        <v>784</v>
      </c>
      <c r="F1607" s="10" t="s">
        <v>1066</v>
      </c>
      <c r="G1607" s="9">
        <v>922</v>
      </c>
      <c r="H1607" s="9">
        <v>2020</v>
      </c>
      <c r="I1607" s="8">
        <v>244.29300000000001</v>
      </c>
      <c r="J1607" s="8">
        <v>251.005</v>
      </c>
      <c r="K1607" s="8">
        <v>222.416</v>
      </c>
      <c r="L1607" s="8">
        <v>188.92699999999999</v>
      </c>
      <c r="M1607" s="8">
        <v>228.50299999999999</v>
      </c>
      <c r="N1607" s="8">
        <v>351.15699999999998</v>
      </c>
      <c r="O1607" s="8">
        <v>473.80799999999999</v>
      </c>
      <c r="P1607" s="8">
        <v>406.649</v>
      </c>
      <c r="Q1607" s="8">
        <v>238.107</v>
      </c>
      <c r="R1607" s="8">
        <v>157.91499999999999</v>
      </c>
      <c r="S1607" s="8">
        <v>120.989</v>
      </c>
      <c r="T1607" s="8">
        <v>86.04</v>
      </c>
      <c r="U1607" s="8">
        <v>42.276000000000003</v>
      </c>
      <c r="V1607" s="8">
        <v>19.922999999999998</v>
      </c>
      <c r="W1607" s="8">
        <v>12.071</v>
      </c>
      <c r="X1607" s="8">
        <v>5.0060000000000002</v>
      </c>
      <c r="Y1607" s="8">
        <v>2.754</v>
      </c>
      <c r="Z1607" s="8">
        <v>1.6140000000000001</v>
      </c>
      <c r="AA1607" s="8">
        <v>0.42499999999999999</v>
      </c>
      <c r="AB1607" s="8">
        <v>0.151</v>
      </c>
      <c r="AC1607" s="8">
        <v>2.1999999999999999E-2</v>
      </c>
    </row>
    <row r="1608" spans="1:29" ht="11.65" hidden="1" x14ac:dyDescent="0.35">
      <c r="A1608" s="12">
        <v>1591</v>
      </c>
      <c r="B1608" s="10" t="s">
        <v>1015</v>
      </c>
      <c r="C1608" s="11" t="s">
        <v>1130</v>
      </c>
      <c r="D1608" s="9"/>
      <c r="E1608" s="9">
        <v>887</v>
      </c>
      <c r="F1608" s="10" t="s">
        <v>1066</v>
      </c>
      <c r="G1608" s="9">
        <v>922</v>
      </c>
      <c r="H1608" s="9">
        <v>1950</v>
      </c>
      <c r="I1608" s="8">
        <v>402.084</v>
      </c>
      <c r="J1608" s="8">
        <v>305.42399999999998</v>
      </c>
      <c r="K1608" s="8">
        <v>262.76299999999998</v>
      </c>
      <c r="L1608" s="8">
        <v>227.988</v>
      </c>
      <c r="M1608" s="8">
        <v>195.696</v>
      </c>
      <c r="N1608" s="8">
        <v>166.64500000000001</v>
      </c>
      <c r="O1608" s="8">
        <v>141.696</v>
      </c>
      <c r="P1608" s="8">
        <v>120.42</v>
      </c>
      <c r="Q1608" s="8">
        <v>102.92400000000001</v>
      </c>
      <c r="R1608" s="8">
        <v>88.236000000000004</v>
      </c>
      <c r="S1608" s="8">
        <v>76.248000000000005</v>
      </c>
      <c r="T1608" s="8">
        <v>64.043999999999997</v>
      </c>
      <c r="U1608" s="8">
        <v>55.188000000000002</v>
      </c>
      <c r="V1608" s="8">
        <v>43.414999999999999</v>
      </c>
      <c r="W1608" s="8">
        <v>30.024000000000001</v>
      </c>
      <c r="X1608" s="8">
        <v>16.741</v>
      </c>
      <c r="Y1608" s="8">
        <v>5.5579999999999998</v>
      </c>
      <c r="Z1608" s="8">
        <v>2.0369999999999999</v>
      </c>
      <c r="AA1608" s="8">
        <v>0.52</v>
      </c>
      <c r="AB1608" s="8">
        <v>8.4000000000000005E-2</v>
      </c>
      <c r="AC1608" s="8">
        <v>8.0000000000000002E-3</v>
      </c>
    </row>
    <row r="1609" spans="1:29" ht="11.65" hidden="1" x14ac:dyDescent="0.35">
      <c r="A1609" s="12">
        <v>1592</v>
      </c>
      <c r="B1609" s="10" t="s">
        <v>1015</v>
      </c>
      <c r="C1609" s="11" t="s">
        <v>1130</v>
      </c>
      <c r="D1609" s="9"/>
      <c r="E1609" s="9">
        <v>887</v>
      </c>
      <c r="F1609" s="10" t="s">
        <v>1066</v>
      </c>
      <c r="G1609" s="9">
        <v>922</v>
      </c>
      <c r="H1609" s="9">
        <v>1955</v>
      </c>
      <c r="I1609" s="8">
        <v>406.37</v>
      </c>
      <c r="J1609" s="8">
        <v>336.74700000000001</v>
      </c>
      <c r="K1609" s="8">
        <v>288.10599999999999</v>
      </c>
      <c r="L1609" s="8">
        <v>250.18799999999999</v>
      </c>
      <c r="M1609" s="8">
        <v>213.399</v>
      </c>
      <c r="N1609" s="8">
        <v>180.86099999999999</v>
      </c>
      <c r="O1609" s="8">
        <v>153.24100000000001</v>
      </c>
      <c r="P1609" s="8">
        <v>130.06200000000001</v>
      </c>
      <c r="Q1609" s="8">
        <v>110.479</v>
      </c>
      <c r="R1609" s="8">
        <v>94.519000000000005</v>
      </c>
      <c r="S1609" s="8">
        <v>80.477000000000004</v>
      </c>
      <c r="T1609" s="8">
        <v>68.087000000000003</v>
      </c>
      <c r="U1609" s="8">
        <v>54.713999999999999</v>
      </c>
      <c r="V1609" s="8">
        <v>43.938000000000002</v>
      </c>
      <c r="W1609" s="8">
        <v>30.914999999999999</v>
      </c>
      <c r="X1609" s="8">
        <v>18.146000000000001</v>
      </c>
      <c r="Y1609" s="8">
        <v>8.1440000000000001</v>
      </c>
      <c r="Z1609" s="8">
        <v>2.0299999999999998</v>
      </c>
      <c r="AA1609" s="8">
        <v>0.52</v>
      </c>
      <c r="AB1609" s="8">
        <v>8.4000000000000005E-2</v>
      </c>
      <c r="AC1609" s="8">
        <v>8.0000000000000002E-3</v>
      </c>
    </row>
    <row r="1610" spans="1:29" ht="11.65" hidden="1" x14ac:dyDescent="0.35">
      <c r="A1610" s="12">
        <v>1593</v>
      </c>
      <c r="B1610" s="10" t="s">
        <v>1015</v>
      </c>
      <c r="C1610" s="11" t="s">
        <v>1130</v>
      </c>
      <c r="D1610" s="9"/>
      <c r="E1610" s="9">
        <v>887</v>
      </c>
      <c r="F1610" s="10" t="s">
        <v>1066</v>
      </c>
      <c r="G1610" s="9">
        <v>922</v>
      </c>
      <c r="H1610" s="9">
        <v>1960</v>
      </c>
      <c r="I1610" s="8">
        <v>450.77499999999998</v>
      </c>
      <c r="J1610" s="8">
        <v>341.762</v>
      </c>
      <c r="K1610" s="8">
        <v>317.55500000000001</v>
      </c>
      <c r="L1610" s="8">
        <v>273.721</v>
      </c>
      <c r="M1610" s="8">
        <v>232.86199999999999</v>
      </c>
      <c r="N1610" s="8">
        <v>195.63300000000001</v>
      </c>
      <c r="O1610" s="8">
        <v>164.995</v>
      </c>
      <c r="P1610" s="8">
        <v>139.73099999999999</v>
      </c>
      <c r="Q1610" s="8">
        <v>118.714</v>
      </c>
      <c r="R1610" s="8">
        <v>101.05800000000001</v>
      </c>
      <c r="S1610" s="8">
        <v>85.947000000000003</v>
      </c>
      <c r="T1610" s="8">
        <v>71.691999999999993</v>
      </c>
      <c r="U1610" s="8">
        <v>58.069000000000003</v>
      </c>
      <c r="V1610" s="8">
        <v>43.500999999999998</v>
      </c>
      <c r="W1610" s="8">
        <v>31.263000000000002</v>
      </c>
      <c r="X1610" s="8">
        <v>18.678999999999998</v>
      </c>
      <c r="Y1610" s="8">
        <v>8.8249999999999993</v>
      </c>
      <c r="Z1610" s="8">
        <v>2.9780000000000002</v>
      </c>
      <c r="AA1610" s="8">
        <v>0.51900000000000002</v>
      </c>
      <c r="AB1610" s="8">
        <v>8.4000000000000005E-2</v>
      </c>
      <c r="AC1610" s="8">
        <v>8.0000000000000002E-3</v>
      </c>
    </row>
    <row r="1611" spans="1:29" ht="11.65" hidden="1" x14ac:dyDescent="0.35">
      <c r="A1611" s="12">
        <v>1594</v>
      </c>
      <c r="B1611" s="10" t="s">
        <v>1015</v>
      </c>
      <c r="C1611" s="11" t="s">
        <v>1130</v>
      </c>
      <c r="D1611" s="9"/>
      <c r="E1611" s="9">
        <v>887</v>
      </c>
      <c r="F1611" s="10" t="s">
        <v>1066</v>
      </c>
      <c r="G1611" s="9">
        <v>922</v>
      </c>
      <c r="H1611" s="9">
        <v>1965</v>
      </c>
      <c r="I1611" s="8">
        <v>504.42</v>
      </c>
      <c r="J1611" s="8">
        <v>382.255</v>
      </c>
      <c r="K1611" s="8">
        <v>322.64400000000001</v>
      </c>
      <c r="L1611" s="8">
        <v>301.52600000000001</v>
      </c>
      <c r="M1611" s="8">
        <v>253.91900000000001</v>
      </c>
      <c r="N1611" s="8">
        <v>212.36</v>
      </c>
      <c r="O1611" s="8">
        <v>177.52</v>
      </c>
      <c r="P1611" s="8">
        <v>149.80000000000001</v>
      </c>
      <c r="Q1611" s="8">
        <v>127.13200000000001</v>
      </c>
      <c r="R1611" s="8">
        <v>108.336</v>
      </c>
      <c r="S1611" s="8">
        <v>91.733999999999995</v>
      </c>
      <c r="T1611" s="8">
        <v>76.480999999999995</v>
      </c>
      <c r="U1611" s="8">
        <v>61.116</v>
      </c>
      <c r="V1611" s="8">
        <v>46.183</v>
      </c>
      <c r="W1611" s="8">
        <v>30.97</v>
      </c>
      <c r="X1611" s="8">
        <v>18.908000000000001</v>
      </c>
      <c r="Y1611" s="8">
        <v>9.0890000000000004</v>
      </c>
      <c r="Z1611" s="8">
        <v>3.2269999999999999</v>
      </c>
      <c r="AA1611" s="8">
        <v>0.76</v>
      </c>
      <c r="AB1611" s="8">
        <v>8.4000000000000005E-2</v>
      </c>
      <c r="AC1611" s="8">
        <v>8.0000000000000002E-3</v>
      </c>
    </row>
    <row r="1612" spans="1:29" ht="11.65" hidden="1" x14ac:dyDescent="0.35">
      <c r="A1612" s="12">
        <v>1595</v>
      </c>
      <c r="B1612" s="10" t="s">
        <v>1015</v>
      </c>
      <c r="C1612" s="11" t="s">
        <v>1130</v>
      </c>
      <c r="D1612" s="9"/>
      <c r="E1612" s="9">
        <v>887</v>
      </c>
      <c r="F1612" s="10" t="s">
        <v>1066</v>
      </c>
      <c r="G1612" s="9">
        <v>922</v>
      </c>
      <c r="H1612" s="9">
        <v>1970</v>
      </c>
      <c r="I1612" s="8">
        <v>588.71500000000003</v>
      </c>
      <c r="J1612" s="8">
        <v>437.51799999999997</v>
      </c>
      <c r="K1612" s="8">
        <v>358.61599999999999</v>
      </c>
      <c r="L1612" s="8">
        <v>299.565</v>
      </c>
      <c r="M1612" s="8">
        <v>276.29899999999998</v>
      </c>
      <c r="N1612" s="8">
        <v>230.44800000000001</v>
      </c>
      <c r="O1612" s="8">
        <v>191.994</v>
      </c>
      <c r="P1612" s="8">
        <v>159.89099999999999</v>
      </c>
      <c r="Q1612" s="8">
        <v>134.46700000000001</v>
      </c>
      <c r="R1612" s="8">
        <v>114.371</v>
      </c>
      <c r="S1612" s="8">
        <v>97.373000000000005</v>
      </c>
      <c r="T1612" s="8">
        <v>81.159000000000006</v>
      </c>
      <c r="U1612" s="8">
        <v>65.087999999999994</v>
      </c>
      <c r="V1612" s="8">
        <v>48.673000000000002</v>
      </c>
      <c r="W1612" s="8">
        <v>32.991999999999997</v>
      </c>
      <c r="X1612" s="8">
        <v>18.782</v>
      </c>
      <c r="Y1612" s="8">
        <v>9.1950000000000003</v>
      </c>
      <c r="Z1612" s="8">
        <v>3.323</v>
      </c>
      <c r="AA1612" s="8">
        <v>0.82499999999999996</v>
      </c>
      <c r="AB1612" s="8">
        <v>0.123</v>
      </c>
      <c r="AC1612" s="8">
        <v>8.0000000000000002E-3</v>
      </c>
    </row>
    <row r="1613" spans="1:29" ht="11.65" hidden="1" x14ac:dyDescent="0.35">
      <c r="A1613" s="12">
        <v>1596</v>
      </c>
      <c r="B1613" s="10" t="s">
        <v>1015</v>
      </c>
      <c r="C1613" s="11" t="s">
        <v>1130</v>
      </c>
      <c r="D1613" s="9"/>
      <c r="E1613" s="9">
        <v>887</v>
      </c>
      <c r="F1613" s="10" t="s">
        <v>1066</v>
      </c>
      <c r="G1613" s="9">
        <v>922</v>
      </c>
      <c r="H1613" s="9">
        <v>1975</v>
      </c>
      <c r="I1613" s="8">
        <v>683.59799999999996</v>
      </c>
      <c r="J1613" s="8">
        <v>524.96699999999998</v>
      </c>
      <c r="K1613" s="8">
        <v>414.40100000000001</v>
      </c>
      <c r="L1613" s="8">
        <v>334.38499999999999</v>
      </c>
      <c r="M1613" s="8">
        <v>271.214</v>
      </c>
      <c r="N1613" s="8">
        <v>244.685</v>
      </c>
      <c r="O1613" s="8">
        <v>203.541</v>
      </c>
      <c r="P1613" s="8">
        <v>172.155</v>
      </c>
      <c r="Q1613" s="8">
        <v>143.892</v>
      </c>
      <c r="R1613" s="8">
        <v>120.761</v>
      </c>
      <c r="S1613" s="8">
        <v>102.499</v>
      </c>
      <c r="T1613" s="8">
        <v>86.197999999999993</v>
      </c>
      <c r="U1613" s="8">
        <v>69.378</v>
      </c>
      <c r="V1613" s="8">
        <v>52.25</v>
      </c>
      <c r="W1613" s="8">
        <v>35.131</v>
      </c>
      <c r="X1613" s="8">
        <v>20.227</v>
      </c>
      <c r="Y1613" s="8">
        <v>9.1890000000000001</v>
      </c>
      <c r="Z1613" s="8">
        <v>3.3780000000000001</v>
      </c>
      <c r="AA1613" s="8">
        <v>0.85099999999999998</v>
      </c>
      <c r="AB1613" s="8">
        <v>0.13300000000000001</v>
      </c>
      <c r="AC1613" s="8">
        <v>1.2E-2</v>
      </c>
    </row>
    <row r="1614" spans="1:29" ht="11.65" hidden="1" x14ac:dyDescent="0.35">
      <c r="A1614" s="12">
        <v>1597</v>
      </c>
      <c r="B1614" s="10" t="s">
        <v>1015</v>
      </c>
      <c r="C1614" s="11" t="s">
        <v>1130</v>
      </c>
      <c r="D1614" s="9"/>
      <c r="E1614" s="9">
        <v>887</v>
      </c>
      <c r="F1614" s="10" t="s">
        <v>1066</v>
      </c>
      <c r="G1614" s="9">
        <v>922</v>
      </c>
      <c r="H1614" s="9">
        <v>1980</v>
      </c>
      <c r="I1614" s="8">
        <v>805.24599999999998</v>
      </c>
      <c r="J1614" s="8">
        <v>631.45399999999995</v>
      </c>
      <c r="K1614" s="8">
        <v>511.553</v>
      </c>
      <c r="L1614" s="8">
        <v>403.94600000000003</v>
      </c>
      <c r="M1614" s="8">
        <v>321.40100000000001</v>
      </c>
      <c r="N1614" s="8">
        <v>257.7</v>
      </c>
      <c r="O1614" s="8">
        <v>231.87799999999999</v>
      </c>
      <c r="P1614" s="8">
        <v>192.47900000000001</v>
      </c>
      <c r="Q1614" s="8">
        <v>162.43199999999999</v>
      </c>
      <c r="R1614" s="8">
        <v>135.32900000000001</v>
      </c>
      <c r="S1614" s="8">
        <v>112.545</v>
      </c>
      <c r="T1614" s="8">
        <v>93.721000000000004</v>
      </c>
      <c r="U1614" s="8">
        <v>75.903999999999996</v>
      </c>
      <c r="V1614" s="8">
        <v>57.35</v>
      </c>
      <c r="W1614" s="8">
        <v>38.887999999999998</v>
      </c>
      <c r="X1614" s="8">
        <v>22.239000000000001</v>
      </c>
      <c r="Y1614" s="8">
        <v>10.233000000000001</v>
      </c>
      <c r="Z1614" s="8">
        <v>3.4540000000000002</v>
      </c>
      <c r="AA1614" s="8">
        <v>0.872</v>
      </c>
      <c r="AB1614" s="8">
        <v>0.13700000000000001</v>
      </c>
      <c r="AC1614" s="8">
        <v>1.2999999999999999E-2</v>
      </c>
    </row>
    <row r="1615" spans="1:29" ht="11.65" hidden="1" x14ac:dyDescent="0.35">
      <c r="A1615" s="12">
        <v>1598</v>
      </c>
      <c r="B1615" s="10" t="s">
        <v>1015</v>
      </c>
      <c r="C1615" s="11" t="s">
        <v>1130</v>
      </c>
      <c r="D1615" s="9"/>
      <c r="E1615" s="9">
        <v>887</v>
      </c>
      <c r="F1615" s="10" t="s">
        <v>1066</v>
      </c>
      <c r="G1615" s="9">
        <v>922</v>
      </c>
      <c r="H1615" s="9">
        <v>1985</v>
      </c>
      <c r="I1615" s="8">
        <v>1006.29</v>
      </c>
      <c r="J1615" s="8">
        <v>763.19600000000003</v>
      </c>
      <c r="K1615" s="8">
        <v>620.96900000000005</v>
      </c>
      <c r="L1615" s="8">
        <v>503.11799999999999</v>
      </c>
      <c r="M1615" s="8">
        <v>393.83800000000002</v>
      </c>
      <c r="N1615" s="8">
        <v>311.02499999999998</v>
      </c>
      <c r="O1615" s="8">
        <v>248.387</v>
      </c>
      <c r="P1615" s="8">
        <v>223.05</v>
      </c>
      <c r="Q1615" s="8">
        <v>184.435</v>
      </c>
      <c r="R1615" s="8">
        <v>154.852</v>
      </c>
      <c r="S1615" s="8">
        <v>127.70399999999999</v>
      </c>
      <c r="T1615" s="8">
        <v>104.254</v>
      </c>
      <c r="U1615" s="8">
        <v>83.837999999999994</v>
      </c>
      <c r="V1615" s="8">
        <v>63.981000000000002</v>
      </c>
      <c r="W1615" s="8">
        <v>43.719000000000001</v>
      </c>
      <c r="X1615" s="8">
        <v>25.295999999999999</v>
      </c>
      <c r="Y1615" s="8">
        <v>11.558</v>
      </c>
      <c r="Z1615" s="8">
        <v>3.9350000000000001</v>
      </c>
      <c r="AA1615" s="8">
        <v>0.90500000000000003</v>
      </c>
      <c r="AB1615" s="8">
        <v>0.14099999999999999</v>
      </c>
      <c r="AC1615" s="8">
        <v>1.2999999999999999E-2</v>
      </c>
    </row>
    <row r="1616" spans="1:29" ht="11.65" hidden="1" x14ac:dyDescent="0.35">
      <c r="A1616" s="12">
        <v>1599</v>
      </c>
      <c r="B1616" s="10" t="s">
        <v>1015</v>
      </c>
      <c r="C1616" s="11" t="s">
        <v>1130</v>
      </c>
      <c r="D1616" s="9"/>
      <c r="E1616" s="9">
        <v>887</v>
      </c>
      <c r="F1616" s="10" t="s">
        <v>1066</v>
      </c>
      <c r="G1616" s="9">
        <v>922</v>
      </c>
      <c r="H1616" s="9">
        <v>1990</v>
      </c>
      <c r="I1616" s="8">
        <v>1249.9690000000001</v>
      </c>
      <c r="J1616" s="8">
        <v>968.72500000000002</v>
      </c>
      <c r="K1616" s="8">
        <v>754.02099999999996</v>
      </c>
      <c r="L1616" s="8">
        <v>613.18299999999999</v>
      </c>
      <c r="M1616" s="8">
        <v>493.36399999999998</v>
      </c>
      <c r="N1616" s="8">
        <v>383.83499999999998</v>
      </c>
      <c r="O1616" s="8">
        <v>302.05700000000002</v>
      </c>
      <c r="P1616" s="8">
        <v>240.50800000000001</v>
      </c>
      <c r="Q1616" s="8">
        <v>215.28</v>
      </c>
      <c r="R1616" s="8">
        <v>177.017</v>
      </c>
      <c r="S1616" s="8">
        <v>147.12899999999999</v>
      </c>
      <c r="T1616" s="8">
        <v>119.227</v>
      </c>
      <c r="U1616" s="8">
        <v>94.228999999999999</v>
      </c>
      <c r="V1616" s="8">
        <v>71.653000000000006</v>
      </c>
      <c r="W1616" s="8">
        <v>49.686</v>
      </c>
      <c r="X1616" s="8">
        <v>29.097999999999999</v>
      </c>
      <c r="Y1616" s="8">
        <v>13.475</v>
      </c>
      <c r="Z1616" s="8">
        <v>4.5469999999999997</v>
      </c>
      <c r="AA1616" s="8">
        <v>1.0489999999999999</v>
      </c>
      <c r="AB1616" s="8">
        <v>0.14799999999999999</v>
      </c>
      <c r="AC1616" s="8">
        <v>1.4E-2</v>
      </c>
    </row>
    <row r="1617" spans="1:29" ht="11.65" hidden="1" x14ac:dyDescent="0.35">
      <c r="A1617" s="12">
        <v>1600</v>
      </c>
      <c r="B1617" s="10" t="s">
        <v>1015</v>
      </c>
      <c r="C1617" s="11" t="s">
        <v>1130</v>
      </c>
      <c r="D1617" s="9"/>
      <c r="E1617" s="9">
        <v>887</v>
      </c>
      <c r="F1617" s="10" t="s">
        <v>1066</v>
      </c>
      <c r="G1617" s="9">
        <v>922</v>
      </c>
      <c r="H1617" s="9">
        <v>1995</v>
      </c>
      <c r="I1617" s="8">
        <v>1489.116</v>
      </c>
      <c r="J1617" s="8">
        <v>1227.425</v>
      </c>
      <c r="K1617" s="8">
        <v>971.58100000000002</v>
      </c>
      <c r="L1617" s="8">
        <v>734.67899999999997</v>
      </c>
      <c r="M1617" s="8">
        <v>554.11900000000003</v>
      </c>
      <c r="N1617" s="8">
        <v>471.85599999999999</v>
      </c>
      <c r="O1617" s="8">
        <v>416.37700000000001</v>
      </c>
      <c r="P1617" s="8">
        <v>334.78699999999998</v>
      </c>
      <c r="Q1617" s="8">
        <v>273.18799999999999</v>
      </c>
      <c r="R1617" s="8">
        <v>232.20699999999999</v>
      </c>
      <c r="S1617" s="8">
        <v>178.93899999999999</v>
      </c>
      <c r="T1617" s="8">
        <v>147.79499999999999</v>
      </c>
      <c r="U1617" s="8">
        <v>117.955</v>
      </c>
      <c r="V1617" s="8">
        <v>90.436999999999998</v>
      </c>
      <c r="W1617" s="8">
        <v>65.105000000000004</v>
      </c>
      <c r="X1617" s="8">
        <v>41.838000000000001</v>
      </c>
      <c r="Y1617" s="8">
        <v>20.917000000000002</v>
      </c>
      <c r="Z1617" s="8">
        <v>6.3789999999999996</v>
      </c>
      <c r="AA1617" s="8">
        <v>1.2310000000000001</v>
      </c>
      <c r="AB1617" s="8">
        <v>0.17399999999999999</v>
      </c>
      <c r="AC1617" s="8">
        <v>1.4999999999999999E-2</v>
      </c>
    </row>
    <row r="1618" spans="1:29" ht="11.65" hidden="1" x14ac:dyDescent="0.35">
      <c r="A1618" s="12">
        <v>1601</v>
      </c>
      <c r="B1618" s="10" t="s">
        <v>1015</v>
      </c>
      <c r="C1618" s="11" t="s">
        <v>1130</v>
      </c>
      <c r="D1618" s="9"/>
      <c r="E1618" s="9">
        <v>887</v>
      </c>
      <c r="F1618" s="10" t="s">
        <v>1066</v>
      </c>
      <c r="G1618" s="9">
        <v>922</v>
      </c>
      <c r="H1618" s="9">
        <v>2000</v>
      </c>
      <c r="I1618" s="8">
        <v>1517.18</v>
      </c>
      <c r="J1618" s="8">
        <v>1449.8330000000001</v>
      </c>
      <c r="K1618" s="8">
        <v>1215.778</v>
      </c>
      <c r="L1618" s="8">
        <v>960.71199999999999</v>
      </c>
      <c r="M1618" s="8">
        <v>720.46500000000003</v>
      </c>
      <c r="N1618" s="8">
        <v>539.322</v>
      </c>
      <c r="O1618" s="8">
        <v>458.18799999999999</v>
      </c>
      <c r="P1618" s="8">
        <v>403.87099999999998</v>
      </c>
      <c r="Q1618" s="8">
        <v>323.66000000000003</v>
      </c>
      <c r="R1618" s="8">
        <v>262.75400000000002</v>
      </c>
      <c r="S1618" s="8">
        <v>221.27199999999999</v>
      </c>
      <c r="T1618" s="8">
        <v>167.714</v>
      </c>
      <c r="U1618" s="8">
        <v>134.482</v>
      </c>
      <c r="V1618" s="8">
        <v>101.89</v>
      </c>
      <c r="W1618" s="8">
        <v>71.378</v>
      </c>
      <c r="X1618" s="8">
        <v>44.325000000000003</v>
      </c>
      <c r="Y1618" s="8">
        <v>22.9</v>
      </c>
      <c r="Z1618" s="8">
        <v>8.4640000000000004</v>
      </c>
      <c r="AA1618" s="8">
        <v>1.7450000000000001</v>
      </c>
      <c r="AB1618" s="8">
        <v>0.20699999999999999</v>
      </c>
      <c r="AC1618" s="8">
        <v>1.7000000000000001E-2</v>
      </c>
    </row>
    <row r="1619" spans="1:29" ht="11.65" hidden="1" x14ac:dyDescent="0.35">
      <c r="A1619" s="12">
        <v>1602</v>
      </c>
      <c r="B1619" s="10" t="s">
        <v>1015</v>
      </c>
      <c r="C1619" s="11" t="s">
        <v>1130</v>
      </c>
      <c r="D1619" s="9"/>
      <c r="E1619" s="9">
        <v>887</v>
      </c>
      <c r="F1619" s="10" t="s">
        <v>1066</v>
      </c>
      <c r="G1619" s="9">
        <v>922</v>
      </c>
      <c r="H1619" s="9">
        <v>2005</v>
      </c>
      <c r="I1619" s="8">
        <v>1621.9079999999999</v>
      </c>
      <c r="J1619" s="8">
        <v>1485.8779999999999</v>
      </c>
      <c r="K1619" s="8">
        <v>1435.7719999999999</v>
      </c>
      <c r="L1619" s="8">
        <v>1203.008</v>
      </c>
      <c r="M1619" s="8">
        <v>945.62699999999995</v>
      </c>
      <c r="N1619" s="8">
        <v>704.87699999999995</v>
      </c>
      <c r="O1619" s="8">
        <v>525.83299999999997</v>
      </c>
      <c r="P1619" s="8">
        <v>446.07499999999999</v>
      </c>
      <c r="Q1619" s="8">
        <v>392.21600000000001</v>
      </c>
      <c r="R1619" s="8">
        <v>312.62700000000001</v>
      </c>
      <c r="S1619" s="8">
        <v>251.42599999999999</v>
      </c>
      <c r="T1619" s="8">
        <v>208.489</v>
      </c>
      <c r="U1619" s="8">
        <v>153.65600000000001</v>
      </c>
      <c r="V1619" s="8">
        <v>117.319</v>
      </c>
      <c r="W1619" s="8">
        <v>81.587999999999994</v>
      </c>
      <c r="X1619" s="8">
        <v>49.575000000000003</v>
      </c>
      <c r="Y1619" s="8">
        <v>24.86</v>
      </c>
      <c r="Z1619" s="8">
        <v>9.51</v>
      </c>
      <c r="AA1619" s="8">
        <v>2.371</v>
      </c>
      <c r="AB1619" s="8">
        <v>0.29899999999999999</v>
      </c>
      <c r="AC1619" s="8">
        <v>0.02</v>
      </c>
    </row>
    <row r="1620" spans="1:29" ht="11.65" hidden="1" x14ac:dyDescent="0.35">
      <c r="A1620" s="12">
        <v>1603</v>
      </c>
      <c r="B1620" s="10" t="s">
        <v>1015</v>
      </c>
      <c r="C1620" s="11" t="s">
        <v>1130</v>
      </c>
      <c r="D1620" s="9"/>
      <c r="E1620" s="9">
        <v>887</v>
      </c>
      <c r="F1620" s="10" t="s">
        <v>1066</v>
      </c>
      <c r="G1620" s="9">
        <v>922</v>
      </c>
      <c r="H1620" s="9">
        <v>2010</v>
      </c>
      <c r="I1620" s="8">
        <v>1771.4010000000001</v>
      </c>
      <c r="J1620" s="8">
        <v>1599.0650000000001</v>
      </c>
      <c r="K1620" s="8">
        <v>1473.998</v>
      </c>
      <c r="L1620" s="8">
        <v>1424.4590000000001</v>
      </c>
      <c r="M1620" s="8">
        <v>1190.559</v>
      </c>
      <c r="N1620" s="8">
        <v>932.91300000000001</v>
      </c>
      <c r="O1620" s="8">
        <v>693.70600000000002</v>
      </c>
      <c r="P1620" s="8">
        <v>516.05200000000002</v>
      </c>
      <c r="Q1620" s="8">
        <v>436.21300000000002</v>
      </c>
      <c r="R1620" s="8">
        <v>381.37599999999998</v>
      </c>
      <c r="S1620" s="8">
        <v>300.80599999999998</v>
      </c>
      <c r="T1620" s="8">
        <v>238.02799999999999</v>
      </c>
      <c r="U1620" s="8">
        <v>192.52199999999999</v>
      </c>
      <c r="V1620" s="8">
        <v>135.71600000000001</v>
      </c>
      <c r="W1620" s="8">
        <v>95.667000000000002</v>
      </c>
      <c r="X1620" s="8">
        <v>58.148000000000003</v>
      </c>
      <c r="Y1620" s="8">
        <v>28.731999999999999</v>
      </c>
      <c r="Z1620" s="8">
        <v>10.701000000000001</v>
      </c>
      <c r="AA1620" s="8">
        <v>2.7589999999999999</v>
      </c>
      <c r="AB1620" s="8">
        <v>0.41799999999999998</v>
      </c>
      <c r="AC1620" s="8">
        <v>0.03</v>
      </c>
    </row>
    <row r="1621" spans="1:29" ht="11.65" hidden="1" x14ac:dyDescent="0.35">
      <c r="A1621" s="12">
        <v>1604</v>
      </c>
      <c r="B1621" s="10" t="s">
        <v>1015</v>
      </c>
      <c r="C1621" s="11" t="s">
        <v>1130</v>
      </c>
      <c r="D1621" s="9"/>
      <c r="E1621" s="9">
        <v>887</v>
      </c>
      <c r="F1621" s="10" t="s">
        <v>1066</v>
      </c>
      <c r="G1621" s="9">
        <v>922</v>
      </c>
      <c r="H1621" s="9">
        <v>2015</v>
      </c>
      <c r="I1621" s="8">
        <v>1941.0340000000001</v>
      </c>
      <c r="J1621" s="8">
        <v>1752.1010000000001</v>
      </c>
      <c r="K1621" s="8">
        <v>1591.1559999999999</v>
      </c>
      <c r="L1621" s="8">
        <v>1464.713</v>
      </c>
      <c r="M1621" s="8">
        <v>1410.192</v>
      </c>
      <c r="N1621" s="8">
        <v>1175.096</v>
      </c>
      <c r="O1621" s="8">
        <v>918.87400000000002</v>
      </c>
      <c r="P1621" s="8">
        <v>681.50199999999995</v>
      </c>
      <c r="Q1621" s="8">
        <v>505.07499999999999</v>
      </c>
      <c r="R1621" s="8">
        <v>424.654</v>
      </c>
      <c r="S1621" s="8">
        <v>367.988</v>
      </c>
      <c r="T1621" s="8">
        <v>286.09899999999999</v>
      </c>
      <c r="U1621" s="8">
        <v>220.87700000000001</v>
      </c>
      <c r="V1621" s="8">
        <v>171.05099999999999</v>
      </c>
      <c r="W1621" s="8">
        <v>111.65300000000001</v>
      </c>
      <c r="X1621" s="8">
        <v>69.057000000000002</v>
      </c>
      <c r="Y1621" s="8">
        <v>34.256999999999998</v>
      </c>
      <c r="Z1621" s="8">
        <v>12.603999999999999</v>
      </c>
      <c r="AA1621" s="8">
        <v>3.1640000000000001</v>
      </c>
      <c r="AB1621" s="8">
        <v>0.496</v>
      </c>
      <c r="AC1621" s="8">
        <v>4.2000000000000003E-2</v>
      </c>
    </row>
    <row r="1622" spans="1:29" ht="11.65" hidden="1" x14ac:dyDescent="0.35">
      <c r="A1622" s="12">
        <v>1605</v>
      </c>
      <c r="B1622" s="10" t="s">
        <v>1015</v>
      </c>
      <c r="C1622" s="11" t="s">
        <v>1130</v>
      </c>
      <c r="D1622" s="9"/>
      <c r="E1622" s="9">
        <v>887</v>
      </c>
      <c r="F1622" s="10" t="s">
        <v>1066</v>
      </c>
      <c r="G1622" s="9">
        <v>922</v>
      </c>
      <c r="H1622" s="9">
        <v>2020</v>
      </c>
      <c r="I1622" s="8">
        <v>2015.463</v>
      </c>
      <c r="J1622" s="8">
        <v>1919.836</v>
      </c>
      <c r="K1622" s="8">
        <v>1740.376</v>
      </c>
      <c r="L1622" s="8">
        <v>1574.0719999999999</v>
      </c>
      <c r="M1622" s="8">
        <v>1443.11</v>
      </c>
      <c r="N1622" s="8">
        <v>1388.3109999999999</v>
      </c>
      <c r="O1622" s="8">
        <v>1155.787</v>
      </c>
      <c r="P1622" s="8">
        <v>902.58699999999999</v>
      </c>
      <c r="Q1622" s="8">
        <v>667.20799999999997</v>
      </c>
      <c r="R1622" s="8">
        <v>491.43799999999999</v>
      </c>
      <c r="S1622" s="8">
        <v>409.63200000000001</v>
      </c>
      <c r="T1622" s="8">
        <v>350.03899999999999</v>
      </c>
      <c r="U1622" s="8">
        <v>265.46100000000001</v>
      </c>
      <c r="V1622" s="8">
        <v>196.233</v>
      </c>
      <c r="W1622" s="8">
        <v>140.73400000000001</v>
      </c>
      <c r="X1622" s="8">
        <v>80.597999999999999</v>
      </c>
      <c r="Y1622" s="8">
        <v>40.713999999999999</v>
      </c>
      <c r="Z1622" s="8">
        <v>15.04</v>
      </c>
      <c r="AA1622" s="8">
        <v>3.7269999999999999</v>
      </c>
      <c r="AB1622" s="8">
        <v>0.56599999999999995</v>
      </c>
      <c r="AC1622" s="8">
        <v>5.0999999999999997E-2</v>
      </c>
    </row>
    <row r="1623" spans="1:29" ht="11.65" hidden="1" x14ac:dyDescent="0.35">
      <c r="A1623" s="28">
        <v>1606</v>
      </c>
      <c r="B1623" s="26" t="s">
        <v>1015</v>
      </c>
      <c r="C1623" s="27" t="s">
        <v>1131</v>
      </c>
      <c r="D1623" s="25"/>
      <c r="E1623" s="25">
        <v>921</v>
      </c>
      <c r="F1623" s="26" t="s">
        <v>1063</v>
      </c>
      <c r="G1623" s="25">
        <v>1828</v>
      </c>
      <c r="H1623" s="25">
        <v>1950</v>
      </c>
      <c r="I1623" s="24">
        <v>36789.826000000001</v>
      </c>
      <c r="J1623" s="24">
        <v>29999.983</v>
      </c>
      <c r="K1623" s="24">
        <v>28298.103999999999</v>
      </c>
      <c r="L1623" s="24">
        <v>25308.493999999999</v>
      </c>
      <c r="M1623" s="24">
        <v>22348.643</v>
      </c>
      <c r="N1623" s="24">
        <v>19404.370999999999</v>
      </c>
      <c r="O1623" s="24">
        <v>16840.396000000001</v>
      </c>
      <c r="P1623" s="24">
        <v>14806.986999999999</v>
      </c>
      <c r="Q1623" s="24">
        <v>12895.306</v>
      </c>
      <c r="R1623" s="24">
        <v>10472.396000000001</v>
      </c>
      <c r="S1623" s="24">
        <v>9037.9660000000003</v>
      </c>
      <c r="T1623" s="24">
        <v>6485.223</v>
      </c>
      <c r="U1623" s="24">
        <v>5710.7309999999998</v>
      </c>
      <c r="V1623" s="24">
        <v>3553.2350000000001</v>
      </c>
      <c r="W1623" s="24">
        <v>2688.3040000000001</v>
      </c>
      <c r="X1623" s="24">
        <v>1663.7550000000001</v>
      </c>
      <c r="Y1623" s="24">
        <v>823.17</v>
      </c>
      <c r="Z1623" s="24">
        <v>314.88600000000002</v>
      </c>
      <c r="AA1623" s="24">
        <v>87.626999999999995</v>
      </c>
      <c r="AB1623" s="24">
        <v>18.841000000000001</v>
      </c>
      <c r="AC1623" s="24">
        <v>0.24099999999999999</v>
      </c>
    </row>
    <row r="1624" spans="1:29" ht="11.65" hidden="1" x14ac:dyDescent="0.35">
      <c r="A1624" s="28">
        <v>1607</v>
      </c>
      <c r="B1624" s="26" t="s">
        <v>1015</v>
      </c>
      <c r="C1624" s="27" t="s">
        <v>1131</v>
      </c>
      <c r="D1624" s="25"/>
      <c r="E1624" s="25">
        <v>921</v>
      </c>
      <c r="F1624" s="26" t="s">
        <v>1063</v>
      </c>
      <c r="G1624" s="25">
        <v>1828</v>
      </c>
      <c r="H1624" s="25">
        <v>1955</v>
      </c>
      <c r="I1624" s="24">
        <v>44194.894</v>
      </c>
      <c r="J1624" s="24">
        <v>33138.004999999997</v>
      </c>
      <c r="K1624" s="24">
        <v>28832.167000000001</v>
      </c>
      <c r="L1624" s="24">
        <v>27322.366999999998</v>
      </c>
      <c r="M1624" s="24">
        <v>24221.172999999999</v>
      </c>
      <c r="N1624" s="24">
        <v>21221.27</v>
      </c>
      <c r="O1624" s="24">
        <v>18261.609</v>
      </c>
      <c r="P1624" s="24">
        <v>15683.642</v>
      </c>
      <c r="Q1624" s="24">
        <v>13655.733</v>
      </c>
      <c r="R1624" s="24">
        <v>11731.654</v>
      </c>
      <c r="S1624" s="24">
        <v>9357.7659999999996</v>
      </c>
      <c r="T1624" s="24">
        <v>7832.6890000000003</v>
      </c>
      <c r="U1624" s="24">
        <v>5361.8090000000002</v>
      </c>
      <c r="V1624" s="24">
        <v>4396.2550000000001</v>
      </c>
      <c r="W1624" s="24">
        <v>2482.7089999999998</v>
      </c>
      <c r="X1624" s="24">
        <v>1615.4559999999999</v>
      </c>
      <c r="Y1624" s="24">
        <v>819</v>
      </c>
      <c r="Z1624" s="24">
        <v>318.875</v>
      </c>
      <c r="AA1624" s="24">
        <v>86.698999999999998</v>
      </c>
      <c r="AB1624" s="24">
        <v>17.402999999999999</v>
      </c>
      <c r="AC1624" s="24">
        <v>2.5470000000000002</v>
      </c>
    </row>
    <row r="1625" spans="1:29" ht="11.65" hidden="1" x14ac:dyDescent="0.35">
      <c r="A1625" s="28">
        <v>1608</v>
      </c>
      <c r="B1625" s="26" t="s">
        <v>1015</v>
      </c>
      <c r="C1625" s="27" t="s">
        <v>1131</v>
      </c>
      <c r="D1625" s="25"/>
      <c r="E1625" s="25">
        <v>921</v>
      </c>
      <c r="F1625" s="26" t="s">
        <v>1063</v>
      </c>
      <c r="G1625" s="25">
        <v>1828</v>
      </c>
      <c r="H1625" s="25">
        <v>1960</v>
      </c>
      <c r="I1625" s="24">
        <v>49557.716</v>
      </c>
      <c r="J1625" s="24">
        <v>40347.911999999997</v>
      </c>
      <c r="K1625" s="24">
        <v>32026.624</v>
      </c>
      <c r="L1625" s="24">
        <v>27992.138999999999</v>
      </c>
      <c r="M1625" s="24">
        <v>26353.066999999999</v>
      </c>
      <c r="N1625" s="24">
        <v>23188.824000000001</v>
      </c>
      <c r="O1625" s="24">
        <v>20161.341</v>
      </c>
      <c r="P1625" s="24">
        <v>17176.597000000002</v>
      </c>
      <c r="Q1625" s="24">
        <v>14587.888000000001</v>
      </c>
      <c r="R1625" s="24">
        <v>12546.178</v>
      </c>
      <c r="S1625" s="24">
        <v>10590.035</v>
      </c>
      <c r="T1625" s="24">
        <v>8246.8739999999998</v>
      </c>
      <c r="U1625" s="24">
        <v>6585.2470000000003</v>
      </c>
      <c r="V1625" s="24">
        <v>4210.7709999999997</v>
      </c>
      <c r="W1625" s="24">
        <v>3130.0990000000002</v>
      </c>
      <c r="X1625" s="24">
        <v>1541.6279999999999</v>
      </c>
      <c r="Y1625" s="24">
        <v>824.30399999999997</v>
      </c>
      <c r="Z1625" s="24">
        <v>332.72899999999998</v>
      </c>
      <c r="AA1625" s="24">
        <v>92.457999999999998</v>
      </c>
      <c r="AB1625" s="24">
        <v>18.167999999999999</v>
      </c>
      <c r="AC1625" s="24">
        <v>2.8279999999999998</v>
      </c>
    </row>
    <row r="1626" spans="1:29" ht="11.65" hidden="1" x14ac:dyDescent="0.35">
      <c r="A1626" s="28">
        <v>1609</v>
      </c>
      <c r="B1626" s="26" t="s">
        <v>1015</v>
      </c>
      <c r="C1626" s="27" t="s">
        <v>1131</v>
      </c>
      <c r="D1626" s="25"/>
      <c r="E1626" s="25">
        <v>921</v>
      </c>
      <c r="F1626" s="26" t="s">
        <v>1063</v>
      </c>
      <c r="G1626" s="25">
        <v>1828</v>
      </c>
      <c r="H1626" s="25">
        <v>1965</v>
      </c>
      <c r="I1626" s="24">
        <v>55150.915000000001</v>
      </c>
      <c r="J1626" s="24">
        <v>45724.74</v>
      </c>
      <c r="K1626" s="24">
        <v>39136.485999999997</v>
      </c>
      <c r="L1626" s="24">
        <v>31263.831999999999</v>
      </c>
      <c r="M1626" s="24">
        <v>27200.635999999999</v>
      </c>
      <c r="N1626" s="24">
        <v>25458.878000000001</v>
      </c>
      <c r="O1626" s="24">
        <v>22199.504000000001</v>
      </c>
      <c r="P1626" s="24">
        <v>19131.466</v>
      </c>
      <c r="Q1626" s="24">
        <v>16132.617</v>
      </c>
      <c r="R1626" s="24">
        <v>13528.087</v>
      </c>
      <c r="S1626" s="24">
        <v>11476.300999999999</v>
      </c>
      <c r="T1626" s="24">
        <v>9468.4009999999998</v>
      </c>
      <c r="U1626" s="24">
        <v>7046.6170000000002</v>
      </c>
      <c r="V1626" s="24">
        <v>5225.3620000000001</v>
      </c>
      <c r="W1626" s="24">
        <v>3043.6759999999999</v>
      </c>
      <c r="X1626" s="24">
        <v>1985.0519999999999</v>
      </c>
      <c r="Y1626" s="24">
        <v>811.66399999999999</v>
      </c>
      <c r="Z1626" s="24">
        <v>350.36399999999998</v>
      </c>
      <c r="AA1626" s="24">
        <v>102.51</v>
      </c>
      <c r="AB1626" s="24">
        <v>20.652999999999999</v>
      </c>
      <c r="AC1626" s="24">
        <v>3.1779999999999999</v>
      </c>
    </row>
    <row r="1627" spans="1:29" ht="11.65" hidden="1" x14ac:dyDescent="0.35">
      <c r="A1627" s="28">
        <v>1610</v>
      </c>
      <c r="B1627" s="26" t="s">
        <v>1015</v>
      </c>
      <c r="C1627" s="27" t="s">
        <v>1131</v>
      </c>
      <c r="D1627" s="25"/>
      <c r="E1627" s="25">
        <v>921</v>
      </c>
      <c r="F1627" s="26" t="s">
        <v>1063</v>
      </c>
      <c r="G1627" s="25">
        <v>1828</v>
      </c>
      <c r="H1627" s="25">
        <v>1970</v>
      </c>
      <c r="I1627" s="24">
        <v>60280.819000000003</v>
      </c>
      <c r="J1627" s="24">
        <v>51299.775999999998</v>
      </c>
      <c r="K1627" s="24">
        <v>44594.631999999998</v>
      </c>
      <c r="L1627" s="24">
        <v>38344.648000000001</v>
      </c>
      <c r="M1627" s="24">
        <v>30500.484</v>
      </c>
      <c r="N1627" s="24">
        <v>26396.683000000001</v>
      </c>
      <c r="O1627" s="24">
        <v>24586.649000000001</v>
      </c>
      <c r="P1627" s="24">
        <v>21270.512999999999</v>
      </c>
      <c r="Q1627" s="24">
        <v>18206.204000000002</v>
      </c>
      <c r="R1627" s="24">
        <v>15181.698</v>
      </c>
      <c r="S1627" s="24">
        <v>12532.038</v>
      </c>
      <c r="T1627" s="24">
        <v>10415.849</v>
      </c>
      <c r="U1627" s="24">
        <v>8223.2109999999993</v>
      </c>
      <c r="V1627" s="24">
        <v>5693.7759999999998</v>
      </c>
      <c r="W1627" s="24">
        <v>3837.4470000000001</v>
      </c>
      <c r="X1627" s="24">
        <v>1967.623</v>
      </c>
      <c r="Y1627" s="24">
        <v>1071.771</v>
      </c>
      <c r="Z1627" s="24">
        <v>352.59300000000002</v>
      </c>
      <c r="AA1627" s="24">
        <v>108.51600000000001</v>
      </c>
      <c r="AB1627" s="24">
        <v>23.475999999999999</v>
      </c>
      <c r="AC1627" s="24">
        <v>3.7879999999999998</v>
      </c>
    </row>
    <row r="1628" spans="1:29" ht="11.65" hidden="1" x14ac:dyDescent="0.35">
      <c r="A1628" s="28">
        <v>1611</v>
      </c>
      <c r="B1628" s="26" t="s">
        <v>1015</v>
      </c>
      <c r="C1628" s="27" t="s">
        <v>1131</v>
      </c>
      <c r="D1628" s="25"/>
      <c r="E1628" s="25">
        <v>921</v>
      </c>
      <c r="F1628" s="26" t="s">
        <v>1063</v>
      </c>
      <c r="G1628" s="25">
        <v>1828</v>
      </c>
      <c r="H1628" s="25">
        <v>1975</v>
      </c>
      <c r="I1628" s="24">
        <v>65978.281000000003</v>
      </c>
      <c r="J1628" s="24">
        <v>56283.044000000002</v>
      </c>
      <c r="K1628" s="24">
        <v>50150.110999999997</v>
      </c>
      <c r="L1628" s="24">
        <v>43520.413</v>
      </c>
      <c r="M1628" s="24">
        <v>37217.599999999999</v>
      </c>
      <c r="N1628" s="24">
        <v>29759.833999999999</v>
      </c>
      <c r="O1628" s="24">
        <v>25750.277999999998</v>
      </c>
      <c r="P1628" s="24">
        <v>23828.205000000002</v>
      </c>
      <c r="Q1628" s="24">
        <v>20499.237000000001</v>
      </c>
      <c r="R1628" s="24">
        <v>17401.495999999999</v>
      </c>
      <c r="S1628" s="24">
        <v>14330.552</v>
      </c>
      <c r="T1628" s="24">
        <v>11530.924999999999</v>
      </c>
      <c r="U1628" s="24">
        <v>9158.3510000000006</v>
      </c>
      <c r="V1628" s="24">
        <v>6767.8530000000001</v>
      </c>
      <c r="W1628" s="24">
        <v>4283.62</v>
      </c>
      <c r="X1628" s="24">
        <v>2531.4209999999998</v>
      </c>
      <c r="Y1628" s="24">
        <v>1095</v>
      </c>
      <c r="Z1628" s="24">
        <v>470.38299999999998</v>
      </c>
      <c r="AA1628" s="24">
        <v>111.226</v>
      </c>
      <c r="AB1628" s="24">
        <v>25.946999999999999</v>
      </c>
      <c r="AC1628" s="24">
        <v>4.718</v>
      </c>
    </row>
    <row r="1629" spans="1:29" ht="11.65" hidden="1" x14ac:dyDescent="0.35">
      <c r="A1629" s="28">
        <v>1612</v>
      </c>
      <c r="B1629" s="26" t="s">
        <v>1015</v>
      </c>
      <c r="C1629" s="27" t="s">
        <v>1131</v>
      </c>
      <c r="D1629" s="25"/>
      <c r="E1629" s="25">
        <v>921</v>
      </c>
      <c r="F1629" s="26" t="s">
        <v>1063</v>
      </c>
      <c r="G1629" s="25">
        <v>1828</v>
      </c>
      <c r="H1629" s="25">
        <v>1980</v>
      </c>
      <c r="I1629" s="24">
        <v>73013.596000000005</v>
      </c>
      <c r="J1629" s="24">
        <v>62415.025000000001</v>
      </c>
      <c r="K1629" s="24">
        <v>55331.578999999998</v>
      </c>
      <c r="L1629" s="24">
        <v>49472.7</v>
      </c>
      <c r="M1629" s="24">
        <v>42765.292000000001</v>
      </c>
      <c r="N1629" s="24">
        <v>36395.421999999999</v>
      </c>
      <c r="O1629" s="24">
        <v>29025.611000000001</v>
      </c>
      <c r="P1629" s="24">
        <v>25070.839</v>
      </c>
      <c r="Q1629" s="24">
        <v>23107.797999999999</v>
      </c>
      <c r="R1629" s="24">
        <v>19672.555</v>
      </c>
      <c r="S1629" s="24">
        <v>16479.244999999999</v>
      </c>
      <c r="T1629" s="24">
        <v>13278.642</v>
      </c>
      <c r="U1629" s="24">
        <v>10244.754000000001</v>
      </c>
      <c r="V1629" s="24">
        <v>7636.0810000000001</v>
      </c>
      <c r="W1629" s="24">
        <v>5176.2060000000001</v>
      </c>
      <c r="X1629" s="24">
        <v>2885.415</v>
      </c>
      <c r="Y1629" s="24">
        <v>1424.5170000000001</v>
      </c>
      <c r="Z1629" s="24">
        <v>490.173</v>
      </c>
      <c r="AA1629" s="24">
        <v>152.15600000000001</v>
      </c>
      <c r="AB1629" s="24">
        <v>27.83</v>
      </c>
      <c r="AC1629" s="24">
        <v>5.6289999999999996</v>
      </c>
    </row>
    <row r="1630" spans="1:29" ht="11.65" hidden="1" x14ac:dyDescent="0.35">
      <c r="A1630" s="28">
        <v>1613</v>
      </c>
      <c r="B1630" s="26" t="s">
        <v>1015</v>
      </c>
      <c r="C1630" s="27" t="s">
        <v>1131</v>
      </c>
      <c r="D1630" s="25"/>
      <c r="E1630" s="25">
        <v>921</v>
      </c>
      <c r="F1630" s="26" t="s">
        <v>1063</v>
      </c>
      <c r="G1630" s="25">
        <v>1828</v>
      </c>
      <c r="H1630" s="25">
        <v>1985</v>
      </c>
      <c r="I1630" s="24">
        <v>81608.997000000003</v>
      </c>
      <c r="J1630" s="24">
        <v>69611.998000000007</v>
      </c>
      <c r="K1630" s="24">
        <v>61407.993999999999</v>
      </c>
      <c r="L1630" s="24">
        <v>54616.379000000001</v>
      </c>
      <c r="M1630" s="24">
        <v>48662.1</v>
      </c>
      <c r="N1630" s="24">
        <v>41903.370000000003</v>
      </c>
      <c r="O1630" s="24">
        <v>35577.089</v>
      </c>
      <c r="P1630" s="24">
        <v>28356.264999999999</v>
      </c>
      <c r="Q1630" s="24">
        <v>24369.194</v>
      </c>
      <c r="R1630" s="24">
        <v>22245.063999999998</v>
      </c>
      <c r="S1630" s="24">
        <v>18699.277999999998</v>
      </c>
      <c r="T1630" s="24">
        <v>15327.647999999999</v>
      </c>
      <c r="U1630" s="24">
        <v>11856.489</v>
      </c>
      <c r="V1630" s="24">
        <v>8579.5540000000001</v>
      </c>
      <c r="W1630" s="24">
        <v>5871.9269999999997</v>
      </c>
      <c r="X1630" s="24">
        <v>3492.3229999999999</v>
      </c>
      <c r="Y1630" s="24">
        <v>1638.2270000000001</v>
      </c>
      <c r="Z1630" s="24">
        <v>642.46100000000001</v>
      </c>
      <c r="AA1630" s="24">
        <v>159.77199999999999</v>
      </c>
      <c r="AB1630" s="24">
        <v>38.357999999999997</v>
      </c>
      <c r="AC1630" s="24">
        <v>6.25</v>
      </c>
    </row>
    <row r="1631" spans="1:29" ht="11.65" hidden="1" x14ac:dyDescent="0.35">
      <c r="A1631" s="28">
        <v>1614</v>
      </c>
      <c r="B1631" s="26" t="s">
        <v>1015</v>
      </c>
      <c r="C1631" s="27" t="s">
        <v>1131</v>
      </c>
      <c r="D1631" s="25"/>
      <c r="E1631" s="25">
        <v>921</v>
      </c>
      <c r="F1631" s="26" t="s">
        <v>1063</v>
      </c>
      <c r="G1631" s="25">
        <v>1828</v>
      </c>
      <c r="H1631" s="25">
        <v>1990</v>
      </c>
      <c r="I1631" s="24">
        <v>86739.691999999995</v>
      </c>
      <c r="J1631" s="24">
        <v>78366.827000000005</v>
      </c>
      <c r="K1631" s="24">
        <v>68787.035000000003</v>
      </c>
      <c r="L1631" s="24">
        <v>60718.385999999999</v>
      </c>
      <c r="M1631" s="24">
        <v>53709.213000000003</v>
      </c>
      <c r="N1631" s="24">
        <v>47714.017</v>
      </c>
      <c r="O1631" s="24">
        <v>41110.834999999999</v>
      </c>
      <c r="P1631" s="24">
        <v>34879.387000000002</v>
      </c>
      <c r="Q1631" s="24">
        <v>27687.609</v>
      </c>
      <c r="R1631" s="24">
        <v>23604.704000000002</v>
      </c>
      <c r="S1631" s="24">
        <v>21257.544999999998</v>
      </c>
      <c r="T1631" s="24">
        <v>17479.87</v>
      </c>
      <c r="U1631" s="24">
        <v>13775.291999999999</v>
      </c>
      <c r="V1631" s="24">
        <v>10020.981</v>
      </c>
      <c r="W1631" s="24">
        <v>6635.5950000000003</v>
      </c>
      <c r="X1631" s="24">
        <v>3985.2550000000001</v>
      </c>
      <c r="Y1631" s="24">
        <v>1971.201</v>
      </c>
      <c r="Z1631" s="24">
        <v>748.82500000000005</v>
      </c>
      <c r="AA1631" s="24">
        <v>211.32599999999999</v>
      </c>
      <c r="AB1631" s="24">
        <v>40.680999999999997</v>
      </c>
      <c r="AC1631" s="24">
        <v>8.468</v>
      </c>
    </row>
    <row r="1632" spans="1:29" ht="11.65" hidden="1" x14ac:dyDescent="0.35">
      <c r="A1632" s="28">
        <v>1615</v>
      </c>
      <c r="B1632" s="26" t="s">
        <v>1015</v>
      </c>
      <c r="C1632" s="27" t="s">
        <v>1131</v>
      </c>
      <c r="D1632" s="25"/>
      <c r="E1632" s="25">
        <v>921</v>
      </c>
      <c r="F1632" s="26" t="s">
        <v>1063</v>
      </c>
      <c r="G1632" s="25">
        <v>1828</v>
      </c>
      <c r="H1632" s="25">
        <v>1995</v>
      </c>
      <c r="I1632" s="24">
        <v>88213.168999999994</v>
      </c>
      <c r="J1632" s="24">
        <v>84121.206000000006</v>
      </c>
      <c r="K1632" s="24">
        <v>77550.418000000005</v>
      </c>
      <c r="L1632" s="24">
        <v>67981.002999999997</v>
      </c>
      <c r="M1632" s="24">
        <v>59608.68</v>
      </c>
      <c r="N1632" s="24">
        <v>52613.536</v>
      </c>
      <c r="O1632" s="24">
        <v>46760.216999999997</v>
      </c>
      <c r="P1632" s="24">
        <v>40282.786</v>
      </c>
      <c r="Q1632" s="24">
        <v>34109.459000000003</v>
      </c>
      <c r="R1632" s="24">
        <v>26891.675999999999</v>
      </c>
      <c r="S1632" s="24">
        <v>22674.215</v>
      </c>
      <c r="T1632" s="24">
        <v>20025.845000000001</v>
      </c>
      <c r="U1632" s="24">
        <v>15889.642</v>
      </c>
      <c r="V1632" s="24">
        <v>11852.477999999999</v>
      </c>
      <c r="W1632" s="24">
        <v>7929.8040000000001</v>
      </c>
      <c r="X1632" s="24">
        <v>4631.5020000000004</v>
      </c>
      <c r="Y1632" s="24">
        <v>2356.7260000000001</v>
      </c>
      <c r="Z1632" s="24">
        <v>915.76800000000003</v>
      </c>
      <c r="AA1632" s="24">
        <v>245.95699999999999</v>
      </c>
      <c r="AB1632" s="24">
        <v>54.424999999999997</v>
      </c>
      <c r="AC1632" s="24">
        <v>9.7550000000000008</v>
      </c>
    </row>
    <row r="1633" spans="1:29" ht="11.65" hidden="1" x14ac:dyDescent="0.35">
      <c r="A1633" s="28">
        <v>1616</v>
      </c>
      <c r="B1633" s="26" t="s">
        <v>1015</v>
      </c>
      <c r="C1633" s="27" t="s">
        <v>1131</v>
      </c>
      <c r="D1633" s="25"/>
      <c r="E1633" s="25">
        <v>921</v>
      </c>
      <c r="F1633" s="26" t="s">
        <v>1063</v>
      </c>
      <c r="G1633" s="25">
        <v>1828</v>
      </c>
      <c r="H1633" s="25">
        <v>2000</v>
      </c>
      <c r="I1633" s="24">
        <v>89295.667000000001</v>
      </c>
      <c r="J1633" s="24">
        <v>85889.039000000004</v>
      </c>
      <c r="K1633" s="24">
        <v>83248.922000000006</v>
      </c>
      <c r="L1633" s="24">
        <v>76705.993000000002</v>
      </c>
      <c r="M1633" s="24">
        <v>66936.857000000004</v>
      </c>
      <c r="N1633" s="24">
        <v>58638.502999999997</v>
      </c>
      <c r="O1633" s="24">
        <v>51788.366999999998</v>
      </c>
      <c r="P1633" s="24">
        <v>45965.908000000003</v>
      </c>
      <c r="Q1633" s="24">
        <v>39466.283000000003</v>
      </c>
      <c r="R1633" s="24">
        <v>33253.671000000002</v>
      </c>
      <c r="S1633" s="24">
        <v>25946.493999999999</v>
      </c>
      <c r="T1633" s="24">
        <v>21491.922999999999</v>
      </c>
      <c r="U1633" s="24">
        <v>18363.803</v>
      </c>
      <c r="V1633" s="24">
        <v>13846.683000000001</v>
      </c>
      <c r="W1633" s="24">
        <v>9556.3639999999996</v>
      </c>
      <c r="X1633" s="24">
        <v>5704.9009999999998</v>
      </c>
      <c r="Y1633" s="24">
        <v>2801.1439999999998</v>
      </c>
      <c r="Z1633" s="24">
        <v>1110.73</v>
      </c>
      <c r="AA1633" s="24">
        <v>301.892</v>
      </c>
      <c r="AB1633" s="24">
        <v>62.841999999999999</v>
      </c>
      <c r="AC1633" s="24">
        <v>12.646000000000001</v>
      </c>
    </row>
    <row r="1634" spans="1:29" ht="11.65" hidden="1" x14ac:dyDescent="0.35">
      <c r="A1634" s="28">
        <v>1617</v>
      </c>
      <c r="B1634" s="26" t="s">
        <v>1015</v>
      </c>
      <c r="C1634" s="27" t="s">
        <v>1131</v>
      </c>
      <c r="D1634" s="25"/>
      <c r="E1634" s="25">
        <v>921</v>
      </c>
      <c r="F1634" s="26" t="s">
        <v>1063</v>
      </c>
      <c r="G1634" s="25">
        <v>1828</v>
      </c>
      <c r="H1634" s="25">
        <v>2005</v>
      </c>
      <c r="I1634" s="24">
        <v>90414.729000000007</v>
      </c>
      <c r="J1634" s="24">
        <v>87487.569000000003</v>
      </c>
      <c r="K1634" s="24">
        <v>85219.56</v>
      </c>
      <c r="L1634" s="24">
        <v>82377.376999999993</v>
      </c>
      <c r="M1634" s="24">
        <v>75584.195000000007</v>
      </c>
      <c r="N1634" s="24">
        <v>65879.256999999998</v>
      </c>
      <c r="O1634" s="24">
        <v>57731.639000000003</v>
      </c>
      <c r="P1634" s="24">
        <v>51027.900999999998</v>
      </c>
      <c r="Q1634" s="24">
        <v>45209.724000000002</v>
      </c>
      <c r="R1634" s="24">
        <v>38539.873</v>
      </c>
      <c r="S1634" s="24">
        <v>32046.651000000002</v>
      </c>
      <c r="T1634" s="24">
        <v>24662.612000000001</v>
      </c>
      <c r="U1634" s="24">
        <v>19797.083999999999</v>
      </c>
      <c r="V1634" s="24">
        <v>16067.046</v>
      </c>
      <c r="W1634" s="24">
        <v>11266.409</v>
      </c>
      <c r="X1634" s="24">
        <v>6975.2479999999996</v>
      </c>
      <c r="Y1634" s="24">
        <v>3539.1889999999999</v>
      </c>
      <c r="Z1634" s="24">
        <v>1349.191</v>
      </c>
      <c r="AA1634" s="24">
        <v>374.1</v>
      </c>
      <c r="AB1634" s="24">
        <v>78.835999999999999</v>
      </c>
      <c r="AC1634" s="24">
        <v>15.347</v>
      </c>
    </row>
    <row r="1635" spans="1:29" ht="11.65" hidden="1" x14ac:dyDescent="0.35">
      <c r="A1635" s="28">
        <v>1618</v>
      </c>
      <c r="B1635" s="26" t="s">
        <v>1015</v>
      </c>
      <c r="C1635" s="27" t="s">
        <v>1131</v>
      </c>
      <c r="D1635" s="25"/>
      <c r="E1635" s="25">
        <v>921</v>
      </c>
      <c r="F1635" s="26" t="s">
        <v>1063</v>
      </c>
      <c r="G1635" s="25">
        <v>1828</v>
      </c>
      <c r="H1635" s="25">
        <v>2010</v>
      </c>
      <c r="I1635" s="24">
        <v>91242.163</v>
      </c>
      <c r="J1635" s="24">
        <v>88972.888999999996</v>
      </c>
      <c r="K1635" s="24">
        <v>86893.895000000004</v>
      </c>
      <c r="L1635" s="24">
        <v>84280.993000000002</v>
      </c>
      <c r="M1635" s="24">
        <v>81052.428</v>
      </c>
      <c r="N1635" s="24">
        <v>74383.236999999994</v>
      </c>
      <c r="O1635" s="24">
        <v>64800.673999999999</v>
      </c>
      <c r="P1635" s="24">
        <v>56757.531000000003</v>
      </c>
      <c r="Q1635" s="24">
        <v>50154.535000000003</v>
      </c>
      <c r="R1635" s="24">
        <v>44172.658000000003</v>
      </c>
      <c r="S1635" s="24">
        <v>37280.322999999997</v>
      </c>
      <c r="T1635" s="24">
        <v>30502.346000000001</v>
      </c>
      <c r="U1635" s="24">
        <v>22812.194</v>
      </c>
      <c r="V1635" s="24">
        <v>17464.079000000002</v>
      </c>
      <c r="W1635" s="24">
        <v>13126.724</v>
      </c>
      <c r="X1635" s="24">
        <v>8286.1200000000008</v>
      </c>
      <c r="Y1635" s="24">
        <v>4384.2120000000004</v>
      </c>
      <c r="Z1635" s="24">
        <v>1743.605</v>
      </c>
      <c r="AA1635" s="24">
        <v>466.51799999999997</v>
      </c>
      <c r="AB1635" s="24">
        <v>100.79600000000001</v>
      </c>
      <c r="AC1635" s="24">
        <v>20.34</v>
      </c>
    </row>
    <row r="1636" spans="1:29" ht="11.65" hidden="1" x14ac:dyDescent="0.35">
      <c r="A1636" s="28">
        <v>1619</v>
      </c>
      <c r="B1636" s="26" t="s">
        <v>1015</v>
      </c>
      <c r="C1636" s="27" t="s">
        <v>1131</v>
      </c>
      <c r="D1636" s="25"/>
      <c r="E1636" s="25">
        <v>921</v>
      </c>
      <c r="F1636" s="26" t="s">
        <v>1063</v>
      </c>
      <c r="G1636" s="25">
        <v>1828</v>
      </c>
      <c r="H1636" s="25">
        <v>2015</v>
      </c>
      <c r="I1636" s="24">
        <v>88461.695999999996</v>
      </c>
      <c r="J1636" s="24">
        <v>90188.922999999995</v>
      </c>
      <c r="K1636" s="24">
        <v>88348.163</v>
      </c>
      <c r="L1636" s="24">
        <v>86146.721000000005</v>
      </c>
      <c r="M1636" s="24">
        <v>83276.282000000007</v>
      </c>
      <c r="N1636" s="24">
        <v>80077.459000000003</v>
      </c>
      <c r="O1636" s="24">
        <v>73421.811000000002</v>
      </c>
      <c r="P1636" s="24">
        <v>63917.991000000002</v>
      </c>
      <c r="Q1636" s="24">
        <v>55911.593000000001</v>
      </c>
      <c r="R1636" s="24">
        <v>49173.067000000003</v>
      </c>
      <c r="S1636" s="24">
        <v>42861.642</v>
      </c>
      <c r="T1636" s="24">
        <v>35640.034</v>
      </c>
      <c r="U1636" s="24">
        <v>28384.643</v>
      </c>
      <c r="V1636" s="24">
        <v>20267.548999999999</v>
      </c>
      <c r="W1636" s="24">
        <v>14560.121999999999</v>
      </c>
      <c r="X1636" s="24">
        <v>9877.8649999999998</v>
      </c>
      <c r="Y1636" s="24">
        <v>5342.4960000000001</v>
      </c>
      <c r="Z1636" s="24">
        <v>2201.2849999999999</v>
      </c>
      <c r="AA1636" s="24">
        <v>615.33299999999997</v>
      </c>
      <c r="AB1636" s="24">
        <v>129.011</v>
      </c>
      <c r="AC1636" s="24">
        <v>26.489000000000001</v>
      </c>
    </row>
    <row r="1637" spans="1:29" ht="11.65" hidden="1" x14ac:dyDescent="0.35">
      <c r="A1637" s="28">
        <v>1620</v>
      </c>
      <c r="B1637" s="26" t="s">
        <v>1015</v>
      </c>
      <c r="C1637" s="27" t="s">
        <v>1131</v>
      </c>
      <c r="D1637" s="25"/>
      <c r="E1637" s="25">
        <v>921</v>
      </c>
      <c r="F1637" s="26" t="s">
        <v>1063</v>
      </c>
      <c r="G1637" s="25">
        <v>1828</v>
      </c>
      <c r="H1637" s="25">
        <v>2020</v>
      </c>
      <c r="I1637" s="24">
        <v>88737.089000000007</v>
      </c>
      <c r="J1637" s="24">
        <v>87646.445999999996</v>
      </c>
      <c r="K1637" s="24">
        <v>89699.244000000006</v>
      </c>
      <c r="L1637" s="24">
        <v>87598.161999999997</v>
      </c>
      <c r="M1637" s="24">
        <v>85106.09</v>
      </c>
      <c r="N1637" s="24">
        <v>82418.606</v>
      </c>
      <c r="O1637" s="24">
        <v>79313.955000000002</v>
      </c>
      <c r="P1637" s="24">
        <v>72584.517999999996</v>
      </c>
      <c r="Q1637" s="24">
        <v>63066.847999999998</v>
      </c>
      <c r="R1637" s="24">
        <v>54901.017999999996</v>
      </c>
      <c r="S1637" s="24">
        <v>47784.754000000001</v>
      </c>
      <c r="T1637" s="24">
        <v>41042.589</v>
      </c>
      <c r="U1637" s="24">
        <v>33318.597000000002</v>
      </c>
      <c r="V1637" s="24">
        <v>25454.03</v>
      </c>
      <c r="W1637" s="24">
        <v>17071.236000000001</v>
      </c>
      <c r="X1637" s="24">
        <v>11143.17</v>
      </c>
      <c r="Y1637" s="24">
        <v>6473.8530000000001</v>
      </c>
      <c r="Z1637" s="24">
        <v>2739.694</v>
      </c>
      <c r="AA1637" s="24">
        <v>798.70699999999999</v>
      </c>
      <c r="AB1637" s="24">
        <v>176.066</v>
      </c>
      <c r="AC1637" s="24">
        <v>36.127000000000002</v>
      </c>
    </row>
    <row r="1638" spans="1:29" ht="11.65" hidden="1" x14ac:dyDescent="0.35">
      <c r="A1638" s="23">
        <v>1621</v>
      </c>
      <c r="B1638" s="21" t="s">
        <v>1015</v>
      </c>
      <c r="C1638" s="29" t="s">
        <v>1132</v>
      </c>
      <c r="D1638" s="20"/>
      <c r="E1638" s="20">
        <v>5500</v>
      </c>
      <c r="F1638" s="21" t="s">
        <v>1065</v>
      </c>
      <c r="G1638" s="20">
        <v>921</v>
      </c>
      <c r="H1638" s="20">
        <v>1950</v>
      </c>
      <c r="I1638" s="19">
        <v>943.81799999999998</v>
      </c>
      <c r="J1638" s="19">
        <v>734.45500000000004</v>
      </c>
      <c r="K1638" s="19">
        <v>1102.3589999999999</v>
      </c>
      <c r="L1638" s="19">
        <v>845.61099999999999</v>
      </c>
      <c r="M1638" s="19">
        <v>944.28300000000002</v>
      </c>
      <c r="N1638" s="19">
        <v>651.45500000000004</v>
      </c>
      <c r="O1638" s="19">
        <v>469.07799999999997</v>
      </c>
      <c r="P1638" s="19">
        <v>594.58299999999997</v>
      </c>
      <c r="Q1638" s="19">
        <v>537.25599999999997</v>
      </c>
      <c r="R1638" s="19">
        <v>585.78099999999995</v>
      </c>
      <c r="S1638" s="19">
        <v>446.59899999999999</v>
      </c>
      <c r="T1638" s="19">
        <v>317.27300000000002</v>
      </c>
      <c r="U1638" s="19">
        <v>307.48099999999999</v>
      </c>
      <c r="V1638" s="19">
        <v>229.89699999999999</v>
      </c>
      <c r="W1638" s="19">
        <v>165.40600000000001</v>
      </c>
      <c r="X1638" s="19">
        <v>101.765</v>
      </c>
      <c r="Y1638" s="19">
        <v>42.960999999999999</v>
      </c>
      <c r="Z1638" s="19">
        <v>19.414999999999999</v>
      </c>
      <c r="AA1638" s="19">
        <v>6.5949999999999998</v>
      </c>
      <c r="AB1638" s="19">
        <v>1.4990000000000001</v>
      </c>
      <c r="AC1638" s="19">
        <v>0.214</v>
      </c>
    </row>
    <row r="1639" spans="1:29" ht="11.65" hidden="1" x14ac:dyDescent="0.35">
      <c r="A1639" s="23">
        <v>1622</v>
      </c>
      <c r="B1639" s="21" t="s">
        <v>1015</v>
      </c>
      <c r="C1639" s="29" t="s">
        <v>1132</v>
      </c>
      <c r="D1639" s="20"/>
      <c r="E1639" s="20">
        <v>5500</v>
      </c>
      <c r="F1639" s="21" t="s">
        <v>1065</v>
      </c>
      <c r="G1639" s="20">
        <v>921</v>
      </c>
      <c r="H1639" s="20">
        <v>1955</v>
      </c>
      <c r="I1639" s="19">
        <v>1497.7370000000001</v>
      </c>
      <c r="J1639" s="19">
        <v>964.63300000000004</v>
      </c>
      <c r="K1639" s="19">
        <v>771.73</v>
      </c>
      <c r="L1639" s="19">
        <v>1140.9580000000001</v>
      </c>
      <c r="M1639" s="19">
        <v>877.05399999999997</v>
      </c>
      <c r="N1639" s="19">
        <v>967.97900000000004</v>
      </c>
      <c r="O1639" s="19">
        <v>671.28800000000001</v>
      </c>
      <c r="P1639" s="19">
        <v>484.71100000000001</v>
      </c>
      <c r="Q1639" s="19">
        <v>606.70899999999995</v>
      </c>
      <c r="R1639" s="19">
        <v>545.55399999999997</v>
      </c>
      <c r="S1639" s="19">
        <v>581.375</v>
      </c>
      <c r="T1639" s="19">
        <v>434.97199999999998</v>
      </c>
      <c r="U1639" s="19">
        <v>299.52</v>
      </c>
      <c r="V1639" s="19">
        <v>276.96499999999997</v>
      </c>
      <c r="W1639" s="19">
        <v>193.94900000000001</v>
      </c>
      <c r="X1639" s="19">
        <v>123.33</v>
      </c>
      <c r="Y1639" s="19">
        <v>58.969000000000001</v>
      </c>
      <c r="Z1639" s="19">
        <v>21.119</v>
      </c>
      <c r="AA1639" s="19">
        <v>7.2809999999999997</v>
      </c>
      <c r="AB1639" s="19">
        <v>1.8280000000000001</v>
      </c>
      <c r="AC1639" s="19">
        <v>0.308</v>
      </c>
    </row>
    <row r="1640" spans="1:29" ht="11.65" hidden="1" x14ac:dyDescent="0.35">
      <c r="A1640" s="23">
        <v>1623</v>
      </c>
      <c r="B1640" s="21" t="s">
        <v>1015</v>
      </c>
      <c r="C1640" s="29" t="s">
        <v>1132</v>
      </c>
      <c r="D1640" s="20"/>
      <c r="E1640" s="20">
        <v>5500</v>
      </c>
      <c r="F1640" s="21" t="s">
        <v>1065</v>
      </c>
      <c r="G1640" s="20">
        <v>921</v>
      </c>
      <c r="H1640" s="20">
        <v>1960</v>
      </c>
      <c r="I1640" s="19">
        <v>2000.5820000000001</v>
      </c>
      <c r="J1640" s="19">
        <v>1538.739</v>
      </c>
      <c r="K1640" s="19">
        <v>1017.635</v>
      </c>
      <c r="L1640" s="19">
        <v>820.93</v>
      </c>
      <c r="M1640" s="19">
        <v>1184.193</v>
      </c>
      <c r="N1640" s="19">
        <v>917.42399999999998</v>
      </c>
      <c r="O1640" s="19">
        <v>1000.692</v>
      </c>
      <c r="P1640" s="19">
        <v>697.48599999999999</v>
      </c>
      <c r="Q1640" s="19">
        <v>505.78500000000003</v>
      </c>
      <c r="R1640" s="19">
        <v>620.19799999999998</v>
      </c>
      <c r="S1640" s="19">
        <v>552.18600000000004</v>
      </c>
      <c r="T1640" s="19">
        <v>571.50699999999995</v>
      </c>
      <c r="U1640" s="19">
        <v>414.53399999999999</v>
      </c>
      <c r="V1640" s="19">
        <v>275.69299999999998</v>
      </c>
      <c r="W1640" s="19">
        <v>237.536</v>
      </c>
      <c r="X1640" s="19">
        <v>148.54599999999999</v>
      </c>
      <c r="Y1640" s="19">
        <v>72.138000000000005</v>
      </c>
      <c r="Z1640" s="19">
        <v>29.753</v>
      </c>
      <c r="AA1640" s="19">
        <v>8.2970000000000006</v>
      </c>
      <c r="AB1640" s="19">
        <v>2.1280000000000001</v>
      </c>
      <c r="AC1640" s="19">
        <v>0.41</v>
      </c>
    </row>
    <row r="1641" spans="1:29" ht="11.65" hidden="1" x14ac:dyDescent="0.35">
      <c r="A1641" s="23">
        <v>1624</v>
      </c>
      <c r="B1641" s="21" t="s">
        <v>1015</v>
      </c>
      <c r="C1641" s="29" t="s">
        <v>1132</v>
      </c>
      <c r="D1641" s="20"/>
      <c r="E1641" s="20">
        <v>5500</v>
      </c>
      <c r="F1641" s="21" t="s">
        <v>1065</v>
      </c>
      <c r="G1641" s="20">
        <v>921</v>
      </c>
      <c r="H1641" s="20">
        <v>1965</v>
      </c>
      <c r="I1641" s="19">
        <v>2378.152</v>
      </c>
      <c r="J1641" s="19">
        <v>2036.2819999999999</v>
      </c>
      <c r="K1641" s="19">
        <v>1576.1389999999999</v>
      </c>
      <c r="L1641" s="19">
        <v>1064.33</v>
      </c>
      <c r="M1641" s="19">
        <v>855.23400000000004</v>
      </c>
      <c r="N1641" s="19">
        <v>1215.559</v>
      </c>
      <c r="O1641" s="19">
        <v>929.83600000000001</v>
      </c>
      <c r="P1641" s="19">
        <v>1011.227</v>
      </c>
      <c r="Q1641" s="19">
        <v>706.56</v>
      </c>
      <c r="R1641" s="19">
        <v>518.22400000000005</v>
      </c>
      <c r="S1641" s="19">
        <v>639.11900000000003</v>
      </c>
      <c r="T1641" s="19">
        <v>561.51099999999997</v>
      </c>
      <c r="U1641" s="19">
        <v>536.80799999999999</v>
      </c>
      <c r="V1641" s="19">
        <v>367.25900000000001</v>
      </c>
      <c r="W1641" s="19">
        <v>231.959</v>
      </c>
      <c r="X1641" s="19">
        <v>181.655</v>
      </c>
      <c r="Y1641" s="19">
        <v>88.728999999999999</v>
      </c>
      <c r="Z1641" s="19">
        <v>37.503999999999998</v>
      </c>
      <c r="AA1641" s="19">
        <v>12.057</v>
      </c>
      <c r="AB1641" s="19">
        <v>2.5409999999999999</v>
      </c>
      <c r="AC1641" s="19">
        <v>0.50900000000000001</v>
      </c>
    </row>
    <row r="1642" spans="1:29" ht="11.65" hidden="1" x14ac:dyDescent="0.35">
      <c r="A1642" s="23">
        <v>1625</v>
      </c>
      <c r="B1642" s="21" t="s">
        <v>1015</v>
      </c>
      <c r="C1642" s="29" t="s">
        <v>1132</v>
      </c>
      <c r="D1642" s="20"/>
      <c r="E1642" s="20">
        <v>5500</v>
      </c>
      <c r="F1642" s="21" t="s">
        <v>1065</v>
      </c>
      <c r="G1642" s="20">
        <v>921</v>
      </c>
      <c r="H1642" s="20">
        <v>1970</v>
      </c>
      <c r="I1642" s="19">
        <v>2372.4070000000002</v>
      </c>
      <c r="J1642" s="19">
        <v>2404.9870000000001</v>
      </c>
      <c r="K1642" s="19">
        <v>2090.5259999999998</v>
      </c>
      <c r="L1642" s="19">
        <v>1597.0519999999999</v>
      </c>
      <c r="M1642" s="19">
        <v>1093.847</v>
      </c>
      <c r="N1642" s="19">
        <v>873.84799999999996</v>
      </c>
      <c r="O1642" s="19">
        <v>1232.2070000000001</v>
      </c>
      <c r="P1642" s="19">
        <v>924.19200000000001</v>
      </c>
      <c r="Q1642" s="19">
        <v>1004.866</v>
      </c>
      <c r="R1642" s="19">
        <v>699.20100000000002</v>
      </c>
      <c r="S1642" s="19">
        <v>515.83799999999997</v>
      </c>
      <c r="T1642" s="19">
        <v>640.88599999999997</v>
      </c>
      <c r="U1642" s="19">
        <v>548.81399999999996</v>
      </c>
      <c r="V1642" s="19">
        <v>478.65499999999997</v>
      </c>
      <c r="W1642" s="19">
        <v>300.85399999999998</v>
      </c>
      <c r="X1642" s="19">
        <v>173.465</v>
      </c>
      <c r="Y1642" s="19">
        <v>105.94799999999999</v>
      </c>
      <c r="Z1642" s="19">
        <v>47.389000000000003</v>
      </c>
      <c r="AA1642" s="19">
        <v>15.773</v>
      </c>
      <c r="AB1642" s="19">
        <v>3.831</v>
      </c>
      <c r="AC1642" s="19">
        <v>0.63900000000000001</v>
      </c>
    </row>
    <row r="1643" spans="1:29" ht="11.65" hidden="1" x14ac:dyDescent="0.35">
      <c r="A1643" s="23">
        <v>1626</v>
      </c>
      <c r="B1643" s="21" t="s">
        <v>1015</v>
      </c>
      <c r="C1643" s="29" t="s">
        <v>1132</v>
      </c>
      <c r="D1643" s="20"/>
      <c r="E1643" s="20">
        <v>5500</v>
      </c>
      <c r="F1643" s="21" t="s">
        <v>1065</v>
      </c>
      <c r="G1643" s="20">
        <v>921</v>
      </c>
      <c r="H1643" s="20">
        <v>1975</v>
      </c>
      <c r="I1643" s="19">
        <v>2557.404</v>
      </c>
      <c r="J1643" s="19">
        <v>2342.3130000000001</v>
      </c>
      <c r="K1643" s="19">
        <v>2376.712</v>
      </c>
      <c r="L1643" s="19">
        <v>2062.8470000000002</v>
      </c>
      <c r="M1643" s="19">
        <v>1626.2</v>
      </c>
      <c r="N1643" s="19">
        <v>1084.652</v>
      </c>
      <c r="O1643" s="19">
        <v>862.71699999999998</v>
      </c>
      <c r="P1643" s="19">
        <v>1183.7539999999999</v>
      </c>
      <c r="Q1643" s="19">
        <v>887.39099999999996</v>
      </c>
      <c r="R1643" s="19">
        <v>975.35699999999997</v>
      </c>
      <c r="S1643" s="19">
        <v>720.42</v>
      </c>
      <c r="T1643" s="19">
        <v>512.69399999999996</v>
      </c>
      <c r="U1643" s="19">
        <v>583.11400000000003</v>
      </c>
      <c r="V1643" s="19">
        <v>480.43299999999999</v>
      </c>
      <c r="W1643" s="19">
        <v>386.82799999999997</v>
      </c>
      <c r="X1643" s="19">
        <v>216.02699999999999</v>
      </c>
      <c r="Y1643" s="19">
        <v>117.286</v>
      </c>
      <c r="Z1643" s="19">
        <v>57.164999999999999</v>
      </c>
      <c r="AA1643" s="19">
        <v>20.231999999999999</v>
      </c>
      <c r="AB1643" s="19">
        <v>5.0940000000000003</v>
      </c>
      <c r="AC1643" s="19">
        <v>0.94499999999999995</v>
      </c>
    </row>
    <row r="1644" spans="1:29" ht="11.65" hidden="1" x14ac:dyDescent="0.35">
      <c r="A1644" s="23">
        <v>1627</v>
      </c>
      <c r="B1644" s="21" t="s">
        <v>1015</v>
      </c>
      <c r="C1644" s="29" t="s">
        <v>1132</v>
      </c>
      <c r="D1644" s="20"/>
      <c r="E1644" s="20">
        <v>5500</v>
      </c>
      <c r="F1644" s="21" t="s">
        <v>1065</v>
      </c>
      <c r="G1644" s="20">
        <v>921</v>
      </c>
      <c r="H1644" s="20">
        <v>1980</v>
      </c>
      <c r="I1644" s="19">
        <v>2789.7669999999998</v>
      </c>
      <c r="J1644" s="19">
        <v>2513.473</v>
      </c>
      <c r="K1644" s="19">
        <v>2319.6999999999998</v>
      </c>
      <c r="L1644" s="19">
        <v>2304.4830000000002</v>
      </c>
      <c r="M1644" s="19">
        <v>2022.078</v>
      </c>
      <c r="N1644" s="19">
        <v>1622.509</v>
      </c>
      <c r="O1644" s="19">
        <v>1094.923</v>
      </c>
      <c r="P1644" s="19">
        <v>804.01900000000001</v>
      </c>
      <c r="Q1644" s="19">
        <v>1148.1220000000001</v>
      </c>
      <c r="R1644" s="19">
        <v>855.92700000000002</v>
      </c>
      <c r="S1644" s="19">
        <v>945.32</v>
      </c>
      <c r="T1644" s="19">
        <v>701.91</v>
      </c>
      <c r="U1644" s="19">
        <v>485.24</v>
      </c>
      <c r="V1644" s="19">
        <v>509.94400000000002</v>
      </c>
      <c r="W1644" s="19">
        <v>392.47</v>
      </c>
      <c r="X1644" s="19">
        <v>296.27499999999998</v>
      </c>
      <c r="Y1644" s="19">
        <v>142.68899999999999</v>
      </c>
      <c r="Z1644" s="19">
        <v>63.537999999999997</v>
      </c>
      <c r="AA1644" s="19">
        <v>24.431999999999999</v>
      </c>
      <c r="AB1644" s="19">
        <v>6.5389999999999997</v>
      </c>
      <c r="AC1644" s="19">
        <v>1.272</v>
      </c>
    </row>
    <row r="1645" spans="1:29" ht="11.65" hidden="1" x14ac:dyDescent="0.35">
      <c r="A1645" s="23">
        <v>1628</v>
      </c>
      <c r="B1645" s="21" t="s">
        <v>1015</v>
      </c>
      <c r="C1645" s="29" t="s">
        <v>1132</v>
      </c>
      <c r="D1645" s="20"/>
      <c r="E1645" s="20">
        <v>5500</v>
      </c>
      <c r="F1645" s="21" t="s">
        <v>1065</v>
      </c>
      <c r="G1645" s="20">
        <v>921</v>
      </c>
      <c r="H1645" s="20">
        <v>1985</v>
      </c>
      <c r="I1645" s="19">
        <v>3171.8690000000001</v>
      </c>
      <c r="J1645" s="19">
        <v>2718.904</v>
      </c>
      <c r="K1645" s="19">
        <v>2482.8049999999998</v>
      </c>
      <c r="L1645" s="19">
        <v>2241.2559999999999</v>
      </c>
      <c r="M1645" s="19">
        <v>2273.3470000000002</v>
      </c>
      <c r="N1645" s="19">
        <v>1991.462</v>
      </c>
      <c r="O1645" s="19">
        <v>1578.423</v>
      </c>
      <c r="P1645" s="19">
        <v>1052.3689999999999</v>
      </c>
      <c r="Q1645" s="19">
        <v>775.33699999999999</v>
      </c>
      <c r="R1645" s="19">
        <v>1101.3710000000001</v>
      </c>
      <c r="S1645" s="19">
        <v>826.56</v>
      </c>
      <c r="T1645" s="19">
        <v>901.60699999999997</v>
      </c>
      <c r="U1645" s="19">
        <v>643.428</v>
      </c>
      <c r="V1645" s="19">
        <v>431.32799999999997</v>
      </c>
      <c r="W1645" s="19">
        <v>426.78300000000002</v>
      </c>
      <c r="X1645" s="19">
        <v>297.34699999999998</v>
      </c>
      <c r="Y1645" s="19">
        <v>196.816</v>
      </c>
      <c r="Z1645" s="19">
        <v>78.960999999999999</v>
      </c>
      <c r="AA1645" s="19">
        <v>27.795999999999999</v>
      </c>
      <c r="AB1645" s="19">
        <v>8.0670000000000002</v>
      </c>
      <c r="AC1645" s="19">
        <v>1.6819999999999999</v>
      </c>
    </row>
    <row r="1646" spans="1:29" ht="11.65" hidden="1" x14ac:dyDescent="0.35">
      <c r="A1646" s="23">
        <v>1629</v>
      </c>
      <c r="B1646" s="21" t="s">
        <v>1015</v>
      </c>
      <c r="C1646" s="29" t="s">
        <v>1132</v>
      </c>
      <c r="D1646" s="20"/>
      <c r="E1646" s="20">
        <v>5500</v>
      </c>
      <c r="F1646" s="21" t="s">
        <v>1065</v>
      </c>
      <c r="G1646" s="20">
        <v>921</v>
      </c>
      <c r="H1646" s="20">
        <v>1990</v>
      </c>
      <c r="I1646" s="19">
        <v>3549.64</v>
      </c>
      <c r="J1646" s="19">
        <v>3076.5940000000001</v>
      </c>
      <c r="K1646" s="19">
        <v>2678.4780000000001</v>
      </c>
      <c r="L1646" s="19">
        <v>2369.2359999999999</v>
      </c>
      <c r="M1646" s="19">
        <v>2143.5050000000001</v>
      </c>
      <c r="N1646" s="19">
        <v>2212.2489999999998</v>
      </c>
      <c r="O1646" s="19">
        <v>1951.95</v>
      </c>
      <c r="P1646" s="19">
        <v>1533.5909999999999</v>
      </c>
      <c r="Q1646" s="19">
        <v>1012.0549999999999</v>
      </c>
      <c r="R1646" s="19">
        <v>743.702</v>
      </c>
      <c r="S1646" s="19">
        <v>1047.3889999999999</v>
      </c>
      <c r="T1646" s="19">
        <v>779.37199999999996</v>
      </c>
      <c r="U1646" s="19">
        <v>831.91800000000001</v>
      </c>
      <c r="V1646" s="19">
        <v>564.553</v>
      </c>
      <c r="W1646" s="19">
        <v>357.904</v>
      </c>
      <c r="X1646" s="19">
        <v>320.54399999999998</v>
      </c>
      <c r="Y1646" s="19">
        <v>176.946</v>
      </c>
      <c r="Z1646" s="19">
        <v>110.047</v>
      </c>
      <c r="AA1646" s="19">
        <v>35.023000000000003</v>
      </c>
      <c r="AB1646" s="19">
        <v>9.2330000000000005</v>
      </c>
      <c r="AC1646" s="19">
        <v>2.0939999999999999</v>
      </c>
    </row>
    <row r="1647" spans="1:29" ht="11.65" hidden="1" x14ac:dyDescent="0.35">
      <c r="A1647" s="23">
        <v>1630</v>
      </c>
      <c r="B1647" s="21" t="s">
        <v>1015</v>
      </c>
      <c r="C1647" s="29" t="s">
        <v>1132</v>
      </c>
      <c r="D1647" s="20"/>
      <c r="E1647" s="20">
        <v>5500</v>
      </c>
      <c r="F1647" s="21" t="s">
        <v>1065</v>
      </c>
      <c r="G1647" s="20">
        <v>921</v>
      </c>
      <c r="H1647" s="20">
        <v>1995</v>
      </c>
      <c r="I1647" s="19">
        <v>3342.3209999999999</v>
      </c>
      <c r="J1647" s="19">
        <v>3417.569</v>
      </c>
      <c r="K1647" s="19">
        <v>2965.2950000000001</v>
      </c>
      <c r="L1647" s="19">
        <v>2558.4639999999999</v>
      </c>
      <c r="M1647" s="19">
        <v>2261.806</v>
      </c>
      <c r="N1647" s="19">
        <v>2030.452</v>
      </c>
      <c r="O1647" s="19">
        <v>2083.1489999999999</v>
      </c>
      <c r="P1647" s="19">
        <v>1831.2</v>
      </c>
      <c r="Q1647" s="19">
        <v>1445.857</v>
      </c>
      <c r="R1647" s="19">
        <v>933.39099999999996</v>
      </c>
      <c r="S1647" s="19">
        <v>678.46699999999998</v>
      </c>
      <c r="T1647" s="19">
        <v>956.46600000000001</v>
      </c>
      <c r="U1647" s="19">
        <v>683.26</v>
      </c>
      <c r="V1647" s="19">
        <v>712.25900000000001</v>
      </c>
      <c r="W1647" s="19">
        <v>452.04899999999998</v>
      </c>
      <c r="X1647" s="19">
        <v>255.435</v>
      </c>
      <c r="Y1647" s="19">
        <v>206.55</v>
      </c>
      <c r="Z1647" s="19">
        <v>93.192999999999998</v>
      </c>
      <c r="AA1647" s="19">
        <v>43.83</v>
      </c>
      <c r="AB1647" s="19">
        <v>9.6809999999999992</v>
      </c>
      <c r="AC1647" s="19">
        <v>1.93</v>
      </c>
    </row>
    <row r="1648" spans="1:29" ht="11.65" hidden="1" x14ac:dyDescent="0.35">
      <c r="A1648" s="23">
        <v>1631</v>
      </c>
      <c r="B1648" s="21" t="s">
        <v>1015</v>
      </c>
      <c r="C1648" s="29" t="s">
        <v>1132</v>
      </c>
      <c r="D1648" s="20"/>
      <c r="E1648" s="20">
        <v>5500</v>
      </c>
      <c r="F1648" s="21" t="s">
        <v>1065</v>
      </c>
      <c r="G1648" s="20">
        <v>921</v>
      </c>
      <c r="H1648" s="20">
        <v>2000</v>
      </c>
      <c r="I1648" s="19">
        <v>2867.1179999999999</v>
      </c>
      <c r="J1648" s="19">
        <v>3271.451</v>
      </c>
      <c r="K1648" s="19">
        <v>3338.4189999999999</v>
      </c>
      <c r="L1648" s="19">
        <v>2864.1860000000001</v>
      </c>
      <c r="M1648" s="19">
        <v>2445.8040000000001</v>
      </c>
      <c r="N1648" s="19">
        <v>2187.8049999999998</v>
      </c>
      <c r="O1648" s="19">
        <v>1961.088</v>
      </c>
      <c r="P1648" s="19">
        <v>1988.7819999999999</v>
      </c>
      <c r="Q1648" s="19">
        <v>1725.3150000000001</v>
      </c>
      <c r="R1648" s="19">
        <v>1360.3430000000001</v>
      </c>
      <c r="S1648" s="19">
        <v>853.15599999999995</v>
      </c>
      <c r="T1648" s="19">
        <v>615.18700000000001</v>
      </c>
      <c r="U1648" s="19">
        <v>847.02</v>
      </c>
      <c r="V1648" s="19">
        <v>571.76499999999999</v>
      </c>
      <c r="W1648" s="19">
        <v>561.40599999999995</v>
      </c>
      <c r="X1648" s="19">
        <v>320.72300000000001</v>
      </c>
      <c r="Y1648" s="19">
        <v>151.14699999999999</v>
      </c>
      <c r="Z1648" s="19">
        <v>105.00700000000001</v>
      </c>
      <c r="AA1648" s="19">
        <v>34.101999999999997</v>
      </c>
      <c r="AB1648" s="19">
        <v>10.673999999999999</v>
      </c>
      <c r="AC1648" s="19">
        <v>1.5980000000000001</v>
      </c>
    </row>
    <row r="1649" spans="1:29" ht="11.65" hidden="1" x14ac:dyDescent="0.35">
      <c r="A1649" s="23">
        <v>1632</v>
      </c>
      <c r="B1649" s="21" t="s">
        <v>1015</v>
      </c>
      <c r="C1649" s="29" t="s">
        <v>1132</v>
      </c>
      <c r="D1649" s="20"/>
      <c r="E1649" s="20">
        <v>5500</v>
      </c>
      <c r="F1649" s="21" t="s">
        <v>1065</v>
      </c>
      <c r="G1649" s="20">
        <v>921</v>
      </c>
      <c r="H1649" s="20">
        <v>2005</v>
      </c>
      <c r="I1649" s="19">
        <v>2753.2220000000002</v>
      </c>
      <c r="J1649" s="19">
        <v>2834.7869999999998</v>
      </c>
      <c r="K1649" s="19">
        <v>3257.627</v>
      </c>
      <c r="L1649" s="19">
        <v>3319.2910000000002</v>
      </c>
      <c r="M1649" s="19">
        <v>2825.9470000000001</v>
      </c>
      <c r="N1649" s="19">
        <v>2386.183</v>
      </c>
      <c r="O1649" s="19">
        <v>2137.8069999999998</v>
      </c>
      <c r="P1649" s="19">
        <v>1948.08</v>
      </c>
      <c r="Q1649" s="19">
        <v>1942.884</v>
      </c>
      <c r="R1649" s="19">
        <v>1665.769</v>
      </c>
      <c r="S1649" s="19">
        <v>1267.8689999999999</v>
      </c>
      <c r="T1649" s="19">
        <v>791.351</v>
      </c>
      <c r="U1649" s="19">
        <v>562.70799999999997</v>
      </c>
      <c r="V1649" s="19">
        <v>718.01300000000003</v>
      </c>
      <c r="W1649" s="19">
        <v>475.82400000000001</v>
      </c>
      <c r="X1649" s="19">
        <v>406.30500000000001</v>
      </c>
      <c r="Y1649" s="19">
        <v>210.94499999999999</v>
      </c>
      <c r="Z1649" s="19">
        <v>78.168000000000006</v>
      </c>
      <c r="AA1649" s="19">
        <v>39.317</v>
      </c>
      <c r="AB1649" s="19">
        <v>8.5399999999999991</v>
      </c>
      <c r="AC1649" s="19">
        <v>1.86</v>
      </c>
    </row>
    <row r="1650" spans="1:29" ht="11.65" hidden="1" x14ac:dyDescent="0.35">
      <c r="A1650" s="23">
        <v>1633</v>
      </c>
      <c r="B1650" s="21" t="s">
        <v>1015</v>
      </c>
      <c r="C1650" s="29" t="s">
        <v>1132</v>
      </c>
      <c r="D1650" s="20"/>
      <c r="E1650" s="20">
        <v>5500</v>
      </c>
      <c r="F1650" s="21" t="s">
        <v>1065</v>
      </c>
      <c r="G1650" s="20">
        <v>921</v>
      </c>
      <c r="H1650" s="20">
        <v>2010</v>
      </c>
      <c r="I1650" s="19">
        <v>3246.7689999999998</v>
      </c>
      <c r="J1650" s="19">
        <v>2709.6280000000002</v>
      </c>
      <c r="K1650" s="19">
        <v>2842.674</v>
      </c>
      <c r="L1650" s="19">
        <v>3296.29</v>
      </c>
      <c r="M1650" s="19">
        <v>3347.09</v>
      </c>
      <c r="N1650" s="19">
        <v>2758.9450000000002</v>
      </c>
      <c r="O1650" s="19">
        <v>2335.0169999999998</v>
      </c>
      <c r="P1650" s="19">
        <v>2100.8330000000001</v>
      </c>
      <c r="Q1650" s="19">
        <v>1915.1379999999999</v>
      </c>
      <c r="R1650" s="19">
        <v>1918.991</v>
      </c>
      <c r="S1650" s="19">
        <v>1583.396</v>
      </c>
      <c r="T1650" s="19">
        <v>1177.788</v>
      </c>
      <c r="U1650" s="19">
        <v>709.61599999999999</v>
      </c>
      <c r="V1650" s="19">
        <v>503.09899999999999</v>
      </c>
      <c r="W1650" s="19">
        <v>592.98599999999999</v>
      </c>
      <c r="X1650" s="19">
        <v>345.512</v>
      </c>
      <c r="Y1650" s="19">
        <v>258.45600000000002</v>
      </c>
      <c r="Z1650" s="19">
        <v>106.595</v>
      </c>
      <c r="AA1650" s="19">
        <v>28.09</v>
      </c>
      <c r="AB1650" s="19">
        <v>8.9659999999999993</v>
      </c>
      <c r="AC1650" s="19">
        <v>1.45</v>
      </c>
    </row>
    <row r="1651" spans="1:29" ht="11.65" hidden="1" x14ac:dyDescent="0.35">
      <c r="A1651" s="23">
        <v>1634</v>
      </c>
      <c r="B1651" s="21" t="s">
        <v>1015</v>
      </c>
      <c r="C1651" s="29" t="s">
        <v>1132</v>
      </c>
      <c r="D1651" s="20"/>
      <c r="E1651" s="20">
        <v>5500</v>
      </c>
      <c r="F1651" s="21" t="s">
        <v>1065</v>
      </c>
      <c r="G1651" s="20">
        <v>921</v>
      </c>
      <c r="H1651" s="20">
        <v>2015</v>
      </c>
      <c r="I1651" s="19">
        <v>3860.6030000000001</v>
      </c>
      <c r="J1651" s="19">
        <v>3239.087</v>
      </c>
      <c r="K1651" s="19">
        <v>2682.1329999999998</v>
      </c>
      <c r="L1651" s="19">
        <v>2818.373</v>
      </c>
      <c r="M1651" s="19">
        <v>3267.5619999999999</v>
      </c>
      <c r="N1651" s="19">
        <v>3323.8240000000001</v>
      </c>
      <c r="O1651" s="19">
        <v>2720.1770000000001</v>
      </c>
      <c r="P1651" s="19">
        <v>2308.6</v>
      </c>
      <c r="Q1651" s="19">
        <v>2076.9029999999998</v>
      </c>
      <c r="R1651" s="19">
        <v>1869.2149999999999</v>
      </c>
      <c r="S1651" s="19">
        <v>1893.316</v>
      </c>
      <c r="T1651" s="19">
        <v>1521.693</v>
      </c>
      <c r="U1651" s="19">
        <v>1125.03</v>
      </c>
      <c r="V1651" s="19">
        <v>607.745</v>
      </c>
      <c r="W1651" s="19">
        <v>445.755</v>
      </c>
      <c r="X1651" s="19">
        <v>465.291</v>
      </c>
      <c r="Y1651" s="19">
        <v>225.535</v>
      </c>
      <c r="Z1651" s="19">
        <v>120.851</v>
      </c>
      <c r="AA1651" s="19">
        <v>33.325000000000003</v>
      </c>
      <c r="AB1651" s="19">
        <v>5.3</v>
      </c>
      <c r="AC1651" s="19">
        <v>1.0569999999999999</v>
      </c>
    </row>
    <row r="1652" spans="1:29" ht="11.65" hidden="1" x14ac:dyDescent="0.35">
      <c r="A1652" s="23">
        <v>1635</v>
      </c>
      <c r="B1652" s="21" t="s">
        <v>1015</v>
      </c>
      <c r="C1652" s="29" t="s">
        <v>1132</v>
      </c>
      <c r="D1652" s="20"/>
      <c r="E1652" s="20">
        <v>5500</v>
      </c>
      <c r="F1652" s="21" t="s">
        <v>1065</v>
      </c>
      <c r="G1652" s="20">
        <v>921</v>
      </c>
      <c r="H1652" s="20">
        <v>2020</v>
      </c>
      <c r="I1652" s="19">
        <v>3949.37</v>
      </c>
      <c r="J1652" s="19">
        <v>3845.2979999999998</v>
      </c>
      <c r="K1652" s="19">
        <v>3231.7249999999999</v>
      </c>
      <c r="L1652" s="19">
        <v>2664.0250000000001</v>
      </c>
      <c r="M1652" s="19">
        <v>2788.1080000000002</v>
      </c>
      <c r="N1652" s="19">
        <v>3235.721</v>
      </c>
      <c r="O1652" s="19">
        <v>3294.337</v>
      </c>
      <c r="P1652" s="19">
        <v>2693.4589999999998</v>
      </c>
      <c r="Q1652" s="19">
        <v>2281.9850000000001</v>
      </c>
      <c r="R1652" s="19">
        <v>2045.9369999999999</v>
      </c>
      <c r="S1652" s="19">
        <v>1831.1320000000001</v>
      </c>
      <c r="T1652" s="19">
        <v>1834.865</v>
      </c>
      <c r="U1652" s="19">
        <v>1443.4860000000001</v>
      </c>
      <c r="V1652" s="19">
        <v>1031.3330000000001</v>
      </c>
      <c r="W1652" s="19">
        <v>526.53200000000004</v>
      </c>
      <c r="X1652" s="19">
        <v>351.21699999999998</v>
      </c>
      <c r="Y1652" s="19">
        <v>311.39499999999998</v>
      </c>
      <c r="Z1652" s="19">
        <v>115.669</v>
      </c>
      <c r="AA1652" s="19">
        <v>43.183999999999997</v>
      </c>
      <c r="AB1652" s="19">
        <v>7.2560000000000002</v>
      </c>
      <c r="AC1652" s="19">
        <v>0.71699999999999997</v>
      </c>
    </row>
    <row r="1653" spans="1:29" ht="11.65" hidden="1" x14ac:dyDescent="0.35">
      <c r="A1653" s="12">
        <v>1636</v>
      </c>
      <c r="B1653" s="10" t="s">
        <v>1015</v>
      </c>
      <c r="C1653" s="11" t="s">
        <v>1133</v>
      </c>
      <c r="D1653" s="9"/>
      <c r="E1653" s="9">
        <v>398</v>
      </c>
      <c r="F1653" s="10" t="s">
        <v>1066</v>
      </c>
      <c r="G1653" s="9">
        <v>5500</v>
      </c>
      <c r="H1653" s="9">
        <v>1950</v>
      </c>
      <c r="I1653" s="8">
        <v>358.76400000000001</v>
      </c>
      <c r="J1653" s="8">
        <v>285.04700000000003</v>
      </c>
      <c r="K1653" s="8">
        <v>475.63900000000001</v>
      </c>
      <c r="L1653" s="8">
        <v>267.98200000000003</v>
      </c>
      <c r="M1653" s="8">
        <v>378.31</v>
      </c>
      <c r="N1653" s="8">
        <v>236.72800000000001</v>
      </c>
      <c r="O1653" s="8">
        <v>178.589</v>
      </c>
      <c r="P1653" s="8">
        <v>253.892</v>
      </c>
      <c r="Q1653" s="8">
        <v>216.09100000000001</v>
      </c>
      <c r="R1653" s="8">
        <v>206.071</v>
      </c>
      <c r="S1653" s="8">
        <v>140.09200000000001</v>
      </c>
      <c r="T1653" s="8">
        <v>108.83799999999999</v>
      </c>
      <c r="U1653" s="8">
        <v>119.654</v>
      </c>
      <c r="V1653" s="8">
        <v>90.882000000000005</v>
      </c>
      <c r="W1653" s="8">
        <v>68.953999999999994</v>
      </c>
      <c r="X1653" s="8">
        <v>42.860999999999997</v>
      </c>
      <c r="Y1653" s="8">
        <v>19.167000000000002</v>
      </c>
      <c r="Z1653" s="8">
        <v>8.4019999999999992</v>
      </c>
      <c r="AA1653" s="8">
        <v>2.6680000000000001</v>
      </c>
      <c r="AB1653" s="8">
        <v>0.55400000000000005</v>
      </c>
      <c r="AC1653" s="8">
        <v>7.0999999999999994E-2</v>
      </c>
    </row>
    <row r="1654" spans="1:29" ht="11.65" hidden="1" x14ac:dyDescent="0.35">
      <c r="A1654" s="12">
        <v>1637</v>
      </c>
      <c r="B1654" s="10" t="s">
        <v>1015</v>
      </c>
      <c r="C1654" s="11" t="s">
        <v>1133</v>
      </c>
      <c r="D1654" s="9"/>
      <c r="E1654" s="9">
        <v>398</v>
      </c>
      <c r="F1654" s="10" t="s">
        <v>1066</v>
      </c>
      <c r="G1654" s="9">
        <v>5500</v>
      </c>
      <c r="H1654" s="9">
        <v>1955</v>
      </c>
      <c r="I1654" s="8">
        <v>527.42999999999995</v>
      </c>
      <c r="J1654" s="8">
        <v>384.05900000000003</v>
      </c>
      <c r="K1654" s="8">
        <v>313.40300000000002</v>
      </c>
      <c r="L1654" s="8">
        <v>504.65</v>
      </c>
      <c r="M1654" s="8">
        <v>293.40800000000002</v>
      </c>
      <c r="N1654" s="8">
        <v>399.07400000000001</v>
      </c>
      <c r="O1654" s="8">
        <v>254.85900000000001</v>
      </c>
      <c r="P1654" s="8">
        <v>193.33</v>
      </c>
      <c r="Q1654" s="8">
        <v>266.99299999999999</v>
      </c>
      <c r="R1654" s="8">
        <v>227.411</v>
      </c>
      <c r="S1654" s="8">
        <v>212.02</v>
      </c>
      <c r="T1654" s="8">
        <v>142.762</v>
      </c>
      <c r="U1654" s="8">
        <v>107.7</v>
      </c>
      <c r="V1654" s="8">
        <v>111.30200000000001</v>
      </c>
      <c r="W1654" s="8">
        <v>79.209999999999994</v>
      </c>
      <c r="X1654" s="8">
        <v>52.822000000000003</v>
      </c>
      <c r="Y1654" s="8">
        <v>24.76</v>
      </c>
      <c r="Z1654" s="8">
        <v>9.6839999999999993</v>
      </c>
      <c r="AA1654" s="8">
        <v>3.2610000000000001</v>
      </c>
      <c r="AB1654" s="8">
        <v>0.74199999999999999</v>
      </c>
      <c r="AC1654" s="8">
        <v>0.11</v>
      </c>
    </row>
    <row r="1655" spans="1:29" ht="11.65" hidden="1" x14ac:dyDescent="0.35">
      <c r="A1655" s="12">
        <v>1638</v>
      </c>
      <c r="B1655" s="10" t="s">
        <v>1015</v>
      </c>
      <c r="C1655" s="11" t="s">
        <v>1133</v>
      </c>
      <c r="D1655" s="9"/>
      <c r="E1655" s="9">
        <v>398</v>
      </c>
      <c r="F1655" s="10" t="s">
        <v>1066</v>
      </c>
      <c r="G1655" s="9">
        <v>5500</v>
      </c>
      <c r="H1655" s="9">
        <v>1960</v>
      </c>
      <c r="I1655" s="8">
        <v>739.22299999999996</v>
      </c>
      <c r="J1655" s="8">
        <v>584.01</v>
      </c>
      <c r="K1655" s="8">
        <v>431.80500000000001</v>
      </c>
      <c r="L1655" s="8">
        <v>357.95800000000003</v>
      </c>
      <c r="M1655" s="8">
        <v>547.77300000000002</v>
      </c>
      <c r="N1655" s="8">
        <v>334.45</v>
      </c>
      <c r="O1655" s="8">
        <v>434.79199999999997</v>
      </c>
      <c r="P1655" s="8">
        <v>284.10500000000002</v>
      </c>
      <c r="Q1655" s="8">
        <v>216.82599999999999</v>
      </c>
      <c r="R1655" s="8">
        <v>287.45600000000002</v>
      </c>
      <c r="S1655" s="8">
        <v>244.77600000000001</v>
      </c>
      <c r="T1655" s="8">
        <v>221.77199999999999</v>
      </c>
      <c r="U1655" s="8">
        <v>146.63800000000001</v>
      </c>
      <c r="V1655" s="8">
        <v>106.289</v>
      </c>
      <c r="W1655" s="8">
        <v>100.602</v>
      </c>
      <c r="X1655" s="8">
        <v>64.054000000000002</v>
      </c>
      <c r="Y1655" s="8">
        <v>31.550999999999998</v>
      </c>
      <c r="Z1655" s="8">
        <v>12.917</v>
      </c>
      <c r="AA1655" s="8">
        <v>3.9060000000000001</v>
      </c>
      <c r="AB1655" s="8">
        <v>0.94699999999999995</v>
      </c>
      <c r="AC1655" s="8">
        <v>0.156</v>
      </c>
    </row>
    <row r="1656" spans="1:29" ht="11.65" hidden="1" x14ac:dyDescent="0.35">
      <c r="A1656" s="12">
        <v>1639</v>
      </c>
      <c r="B1656" s="10" t="s">
        <v>1015</v>
      </c>
      <c r="C1656" s="11" t="s">
        <v>1133</v>
      </c>
      <c r="D1656" s="9"/>
      <c r="E1656" s="9">
        <v>398</v>
      </c>
      <c r="F1656" s="10" t="s">
        <v>1066</v>
      </c>
      <c r="G1656" s="9">
        <v>5500</v>
      </c>
      <c r="H1656" s="9">
        <v>1965</v>
      </c>
      <c r="I1656" s="8">
        <v>857.29399999999998</v>
      </c>
      <c r="J1656" s="8">
        <v>778.94399999999996</v>
      </c>
      <c r="K1656" s="8">
        <v>621.22799999999995</v>
      </c>
      <c r="L1656" s="8">
        <v>460.346</v>
      </c>
      <c r="M1656" s="8">
        <v>383.26299999999998</v>
      </c>
      <c r="N1656" s="8">
        <v>571.24900000000002</v>
      </c>
      <c r="O1656" s="8">
        <v>358.7</v>
      </c>
      <c r="P1656" s="8">
        <v>453.50299999999999</v>
      </c>
      <c r="Q1656" s="8">
        <v>299.24700000000001</v>
      </c>
      <c r="R1656" s="8">
        <v>227.81299999999999</v>
      </c>
      <c r="S1656" s="8">
        <v>292.892</v>
      </c>
      <c r="T1656" s="8">
        <v>247.02500000000001</v>
      </c>
      <c r="U1656" s="8">
        <v>216.18100000000001</v>
      </c>
      <c r="V1656" s="8">
        <v>138.02199999999999</v>
      </c>
      <c r="W1656" s="8">
        <v>93.971999999999994</v>
      </c>
      <c r="X1656" s="8">
        <v>78.614999999999995</v>
      </c>
      <c r="Y1656" s="8">
        <v>36.838000000000001</v>
      </c>
      <c r="Z1656" s="8">
        <v>17.001000000000001</v>
      </c>
      <c r="AA1656" s="8">
        <v>5.4169999999999998</v>
      </c>
      <c r="AB1656" s="8">
        <v>1.1850000000000001</v>
      </c>
      <c r="AC1656" s="8">
        <v>0.21099999999999999</v>
      </c>
    </row>
    <row r="1657" spans="1:29" ht="11.65" hidden="1" x14ac:dyDescent="0.35">
      <c r="A1657" s="12">
        <v>1640</v>
      </c>
      <c r="B1657" s="10" t="s">
        <v>1015</v>
      </c>
      <c r="C1657" s="11" t="s">
        <v>1133</v>
      </c>
      <c r="D1657" s="9"/>
      <c r="E1657" s="9">
        <v>398</v>
      </c>
      <c r="F1657" s="10" t="s">
        <v>1066</v>
      </c>
      <c r="G1657" s="9">
        <v>5500</v>
      </c>
      <c r="H1657" s="9">
        <v>1970</v>
      </c>
      <c r="I1657" s="8">
        <v>763.78</v>
      </c>
      <c r="J1657" s="8">
        <v>859.89200000000005</v>
      </c>
      <c r="K1657" s="8">
        <v>786.38199999999995</v>
      </c>
      <c r="L1657" s="8">
        <v>626.73800000000006</v>
      </c>
      <c r="M1657" s="8">
        <v>462.91300000000001</v>
      </c>
      <c r="N1657" s="8">
        <v>385.69</v>
      </c>
      <c r="O1657" s="8">
        <v>572.00599999999997</v>
      </c>
      <c r="P1657" s="8">
        <v>360.286</v>
      </c>
      <c r="Q1657" s="8">
        <v>451.40499999999997</v>
      </c>
      <c r="R1657" s="8">
        <v>296.26499999999999</v>
      </c>
      <c r="S1657" s="8">
        <v>223.16</v>
      </c>
      <c r="T1657" s="8">
        <v>281.40199999999999</v>
      </c>
      <c r="U1657" s="8">
        <v>231.34899999999999</v>
      </c>
      <c r="V1657" s="8">
        <v>194.33500000000001</v>
      </c>
      <c r="W1657" s="8">
        <v>116.771</v>
      </c>
      <c r="X1657" s="8">
        <v>71.510000000000005</v>
      </c>
      <c r="Y1657" s="8">
        <v>43.408999999999999</v>
      </c>
      <c r="Z1657" s="8">
        <v>20.516999999999999</v>
      </c>
      <c r="AA1657" s="8">
        <v>7.4240000000000004</v>
      </c>
      <c r="AB1657" s="8">
        <v>1.7230000000000001</v>
      </c>
      <c r="AC1657" s="8">
        <v>0.28000000000000003</v>
      </c>
    </row>
    <row r="1658" spans="1:29" ht="11.65" hidden="1" x14ac:dyDescent="0.35">
      <c r="A1658" s="12">
        <v>1641</v>
      </c>
      <c r="B1658" s="10" t="s">
        <v>1015</v>
      </c>
      <c r="C1658" s="11" t="s">
        <v>1133</v>
      </c>
      <c r="D1658" s="9"/>
      <c r="E1658" s="9">
        <v>398</v>
      </c>
      <c r="F1658" s="10" t="s">
        <v>1066</v>
      </c>
      <c r="G1658" s="9">
        <v>5500</v>
      </c>
      <c r="H1658" s="9">
        <v>1975</v>
      </c>
      <c r="I1658" s="8">
        <v>792.98099999999999</v>
      </c>
      <c r="J1658" s="8">
        <v>757.88800000000003</v>
      </c>
      <c r="K1658" s="8">
        <v>840.58600000000001</v>
      </c>
      <c r="L1658" s="8">
        <v>769.10400000000004</v>
      </c>
      <c r="M1658" s="8">
        <v>642.60599999999999</v>
      </c>
      <c r="N1658" s="8">
        <v>467.86599999999999</v>
      </c>
      <c r="O1658" s="8">
        <v>372.45</v>
      </c>
      <c r="P1658" s="8">
        <v>543.78899999999999</v>
      </c>
      <c r="Q1658" s="8">
        <v>338.85300000000001</v>
      </c>
      <c r="R1658" s="8">
        <v>431.85700000000003</v>
      </c>
      <c r="S1658" s="8">
        <v>301.20699999999999</v>
      </c>
      <c r="T1658" s="8">
        <v>219.48400000000001</v>
      </c>
      <c r="U1658" s="8">
        <v>259.50799999999998</v>
      </c>
      <c r="V1658" s="8">
        <v>206.214</v>
      </c>
      <c r="W1658" s="8">
        <v>157.11500000000001</v>
      </c>
      <c r="X1658" s="8">
        <v>85.448999999999998</v>
      </c>
      <c r="Y1658" s="8">
        <v>45.478999999999999</v>
      </c>
      <c r="Z1658" s="8">
        <v>24.587</v>
      </c>
      <c r="AA1658" s="8">
        <v>9.1489999999999991</v>
      </c>
      <c r="AB1658" s="8">
        <v>2.4209999999999998</v>
      </c>
      <c r="AC1658" s="8">
        <v>0.41099999999999998</v>
      </c>
    </row>
    <row r="1659" spans="1:29" ht="11.65" hidden="1" x14ac:dyDescent="0.35">
      <c r="A1659" s="12">
        <v>1642</v>
      </c>
      <c r="B1659" s="10" t="s">
        <v>1015</v>
      </c>
      <c r="C1659" s="11" t="s">
        <v>1133</v>
      </c>
      <c r="D1659" s="9"/>
      <c r="E1659" s="9">
        <v>398</v>
      </c>
      <c r="F1659" s="10" t="s">
        <v>1066</v>
      </c>
      <c r="G1659" s="9">
        <v>5500</v>
      </c>
      <c r="H1659" s="9">
        <v>1980</v>
      </c>
      <c r="I1659" s="8">
        <v>825.18100000000004</v>
      </c>
      <c r="J1659" s="8">
        <v>782.68600000000004</v>
      </c>
      <c r="K1659" s="8">
        <v>741.23500000000001</v>
      </c>
      <c r="L1659" s="8">
        <v>773.19100000000003</v>
      </c>
      <c r="M1659" s="8">
        <v>719.88800000000003</v>
      </c>
      <c r="N1659" s="8">
        <v>633.35</v>
      </c>
      <c r="O1659" s="8">
        <v>483.67899999999997</v>
      </c>
      <c r="P1659" s="8">
        <v>326.19400000000002</v>
      </c>
      <c r="Q1659" s="8">
        <v>529.06899999999996</v>
      </c>
      <c r="R1659" s="8">
        <v>323.41199999999998</v>
      </c>
      <c r="S1659" s="8">
        <v>409.74299999999999</v>
      </c>
      <c r="T1659" s="8">
        <v>291.11599999999999</v>
      </c>
      <c r="U1659" s="8">
        <v>200.56299999999999</v>
      </c>
      <c r="V1659" s="8">
        <v>226.773</v>
      </c>
      <c r="W1659" s="8">
        <v>170.524</v>
      </c>
      <c r="X1659" s="8">
        <v>121.467</v>
      </c>
      <c r="Y1659" s="8">
        <v>57.645000000000003</v>
      </c>
      <c r="Z1659" s="8">
        <v>25.838999999999999</v>
      </c>
      <c r="AA1659" s="8">
        <v>10.993</v>
      </c>
      <c r="AB1659" s="8">
        <v>2.988</v>
      </c>
      <c r="AC1659" s="8">
        <v>0.58099999999999996</v>
      </c>
    </row>
    <row r="1660" spans="1:29" ht="11.65" hidden="1" x14ac:dyDescent="0.35">
      <c r="A1660" s="12">
        <v>1643</v>
      </c>
      <c r="B1660" s="10" t="s">
        <v>1015</v>
      </c>
      <c r="C1660" s="11" t="s">
        <v>1133</v>
      </c>
      <c r="D1660" s="9"/>
      <c r="E1660" s="9">
        <v>398</v>
      </c>
      <c r="F1660" s="10" t="s">
        <v>1066</v>
      </c>
      <c r="G1660" s="9">
        <v>5500</v>
      </c>
      <c r="H1660" s="9">
        <v>1985</v>
      </c>
      <c r="I1660" s="8">
        <v>879.48299999999995</v>
      </c>
      <c r="J1660" s="8">
        <v>802.86500000000001</v>
      </c>
      <c r="K1660" s="8">
        <v>766.88400000000001</v>
      </c>
      <c r="L1660" s="8">
        <v>700.49199999999996</v>
      </c>
      <c r="M1660" s="8">
        <v>755.64499999999998</v>
      </c>
      <c r="N1660" s="8">
        <v>714.69299999999998</v>
      </c>
      <c r="O1660" s="8">
        <v>610.62300000000005</v>
      </c>
      <c r="P1660" s="8">
        <v>461.88</v>
      </c>
      <c r="Q1660" s="8">
        <v>311.63099999999997</v>
      </c>
      <c r="R1660" s="8">
        <v>503.35700000000003</v>
      </c>
      <c r="S1660" s="8">
        <v>307.98599999999999</v>
      </c>
      <c r="T1660" s="8">
        <v>386.74400000000003</v>
      </c>
      <c r="U1660" s="8">
        <v>266.17200000000003</v>
      </c>
      <c r="V1660" s="8">
        <v>177.36500000000001</v>
      </c>
      <c r="W1660" s="8">
        <v>189.71</v>
      </c>
      <c r="X1660" s="8">
        <v>128.70699999999999</v>
      </c>
      <c r="Y1660" s="8">
        <v>74.322999999999993</v>
      </c>
      <c r="Z1660" s="8">
        <v>33.348999999999997</v>
      </c>
      <c r="AA1660" s="8">
        <v>11.815</v>
      </c>
      <c r="AB1660" s="8">
        <v>3.6850000000000001</v>
      </c>
      <c r="AC1660" s="8">
        <v>0.751</v>
      </c>
    </row>
    <row r="1661" spans="1:29" ht="11.65" hidden="1" x14ac:dyDescent="0.35">
      <c r="A1661" s="12">
        <v>1644</v>
      </c>
      <c r="B1661" s="10" t="s">
        <v>1015</v>
      </c>
      <c r="C1661" s="11" t="s">
        <v>1133</v>
      </c>
      <c r="D1661" s="9"/>
      <c r="E1661" s="9">
        <v>398</v>
      </c>
      <c r="F1661" s="10" t="s">
        <v>1066</v>
      </c>
      <c r="G1661" s="9">
        <v>5500</v>
      </c>
      <c r="H1661" s="9">
        <v>1990</v>
      </c>
      <c r="I1661" s="8">
        <v>915.08799999999997</v>
      </c>
      <c r="J1661" s="8">
        <v>838.30100000000004</v>
      </c>
      <c r="K1661" s="8">
        <v>774.42499999999995</v>
      </c>
      <c r="L1661" s="8">
        <v>688.87699999999995</v>
      </c>
      <c r="M1661" s="8">
        <v>646.34699999999998</v>
      </c>
      <c r="N1661" s="8">
        <v>724.005</v>
      </c>
      <c r="O1661" s="8">
        <v>699.495</v>
      </c>
      <c r="P1661" s="8">
        <v>592.13800000000003</v>
      </c>
      <c r="Q1661" s="8">
        <v>445.34100000000001</v>
      </c>
      <c r="R1661" s="8">
        <v>299.31099999999998</v>
      </c>
      <c r="S1661" s="8">
        <v>480.303</v>
      </c>
      <c r="T1661" s="8">
        <v>292.83999999999997</v>
      </c>
      <c r="U1661" s="8">
        <v>361.41300000000001</v>
      </c>
      <c r="V1661" s="8">
        <v>238.059</v>
      </c>
      <c r="W1661" s="8">
        <v>150.233</v>
      </c>
      <c r="X1661" s="8">
        <v>146.84399999999999</v>
      </c>
      <c r="Y1661" s="8">
        <v>75.221000000000004</v>
      </c>
      <c r="Z1661" s="8">
        <v>43.539000000000001</v>
      </c>
      <c r="AA1661" s="8">
        <v>15.461</v>
      </c>
      <c r="AB1661" s="8">
        <v>4.0170000000000003</v>
      </c>
      <c r="AC1661" s="8">
        <v>0.94399999999999995</v>
      </c>
    </row>
    <row r="1662" spans="1:29" ht="11.65" hidden="1" x14ac:dyDescent="0.35">
      <c r="A1662" s="12">
        <v>1645</v>
      </c>
      <c r="B1662" s="10" t="s">
        <v>1015</v>
      </c>
      <c r="C1662" s="11" t="s">
        <v>1133</v>
      </c>
      <c r="D1662" s="9"/>
      <c r="E1662" s="9">
        <v>398</v>
      </c>
      <c r="F1662" s="10" t="s">
        <v>1066</v>
      </c>
      <c r="G1662" s="9">
        <v>5500</v>
      </c>
      <c r="H1662" s="9">
        <v>1995</v>
      </c>
      <c r="I1662" s="8">
        <v>708.05200000000002</v>
      </c>
      <c r="J1662" s="8">
        <v>840.67</v>
      </c>
      <c r="K1662" s="8">
        <v>755.84500000000003</v>
      </c>
      <c r="L1662" s="8">
        <v>698.39300000000003</v>
      </c>
      <c r="M1662" s="8">
        <v>637.69299999999998</v>
      </c>
      <c r="N1662" s="8">
        <v>589.74599999999998</v>
      </c>
      <c r="O1662" s="8">
        <v>651.43100000000004</v>
      </c>
      <c r="P1662" s="8">
        <v>627.83100000000002</v>
      </c>
      <c r="Q1662" s="8">
        <v>546.21699999999998</v>
      </c>
      <c r="R1662" s="8">
        <v>399.21199999999999</v>
      </c>
      <c r="S1662" s="8">
        <v>266.06799999999998</v>
      </c>
      <c r="T1662" s="8">
        <v>433.87299999999999</v>
      </c>
      <c r="U1662" s="8">
        <v>248.35400000000001</v>
      </c>
      <c r="V1662" s="8">
        <v>306.47399999999999</v>
      </c>
      <c r="W1662" s="8">
        <v>189.73400000000001</v>
      </c>
      <c r="X1662" s="8">
        <v>107.51300000000001</v>
      </c>
      <c r="Y1662" s="8">
        <v>97.194000000000003</v>
      </c>
      <c r="Z1662" s="8">
        <v>40.031999999999996</v>
      </c>
      <c r="AA1662" s="8">
        <v>17.044</v>
      </c>
      <c r="AB1662" s="8">
        <v>4.0999999999999996</v>
      </c>
      <c r="AC1662" s="8">
        <v>0.78700000000000003</v>
      </c>
    </row>
    <row r="1663" spans="1:29" ht="11.65" hidden="1" x14ac:dyDescent="0.35">
      <c r="A1663" s="12">
        <v>1646</v>
      </c>
      <c r="B1663" s="10" t="s">
        <v>1015</v>
      </c>
      <c r="C1663" s="11" t="s">
        <v>1133</v>
      </c>
      <c r="D1663" s="9"/>
      <c r="E1663" s="9">
        <v>398</v>
      </c>
      <c r="F1663" s="10" t="s">
        <v>1066</v>
      </c>
      <c r="G1663" s="9">
        <v>5500</v>
      </c>
      <c r="H1663" s="9">
        <v>2000</v>
      </c>
      <c r="I1663" s="8">
        <v>537.53800000000001</v>
      </c>
      <c r="J1663" s="8">
        <v>684.71799999999996</v>
      </c>
      <c r="K1663" s="8">
        <v>786.91099999999994</v>
      </c>
      <c r="L1663" s="8">
        <v>688.87400000000002</v>
      </c>
      <c r="M1663" s="8">
        <v>629.44100000000003</v>
      </c>
      <c r="N1663" s="8">
        <v>595.16600000000005</v>
      </c>
      <c r="O1663" s="8">
        <v>547.726</v>
      </c>
      <c r="P1663" s="8">
        <v>588.721</v>
      </c>
      <c r="Q1663" s="8">
        <v>557.92200000000003</v>
      </c>
      <c r="R1663" s="8">
        <v>497.83699999999999</v>
      </c>
      <c r="S1663" s="8">
        <v>349.90499999999997</v>
      </c>
      <c r="T1663" s="8">
        <v>233.14500000000001</v>
      </c>
      <c r="U1663" s="8">
        <v>373.315</v>
      </c>
      <c r="V1663" s="8">
        <v>197.52500000000001</v>
      </c>
      <c r="W1663" s="8">
        <v>230.06299999999999</v>
      </c>
      <c r="X1663" s="8">
        <v>125.88500000000001</v>
      </c>
      <c r="Y1663" s="8">
        <v>55.6</v>
      </c>
      <c r="Z1663" s="8">
        <v>47.542999999999999</v>
      </c>
      <c r="AA1663" s="8">
        <v>13.571999999999999</v>
      </c>
      <c r="AB1663" s="8">
        <v>3.5609999999999999</v>
      </c>
      <c r="AC1663" s="8">
        <v>0.55400000000000005</v>
      </c>
    </row>
    <row r="1664" spans="1:29" ht="11.65" hidden="1" x14ac:dyDescent="0.35">
      <c r="A1664" s="12">
        <v>1647</v>
      </c>
      <c r="B1664" s="10" t="s">
        <v>1015</v>
      </c>
      <c r="C1664" s="11" t="s">
        <v>1133</v>
      </c>
      <c r="D1664" s="9"/>
      <c r="E1664" s="9">
        <v>398</v>
      </c>
      <c r="F1664" s="10" t="s">
        <v>1066</v>
      </c>
      <c r="G1664" s="9">
        <v>5500</v>
      </c>
      <c r="H1664" s="9">
        <v>2005</v>
      </c>
      <c r="I1664" s="8">
        <v>599.68100000000004</v>
      </c>
      <c r="J1664" s="8">
        <v>558.80200000000002</v>
      </c>
      <c r="K1664" s="8">
        <v>684.60799999999995</v>
      </c>
      <c r="L1664" s="8">
        <v>794.38400000000001</v>
      </c>
      <c r="M1664" s="8">
        <v>698.85900000000004</v>
      </c>
      <c r="N1664" s="8">
        <v>626.84500000000003</v>
      </c>
      <c r="O1664" s="8">
        <v>588.69200000000001</v>
      </c>
      <c r="P1664" s="8">
        <v>556.50599999999997</v>
      </c>
      <c r="Q1664" s="8">
        <v>573.76900000000001</v>
      </c>
      <c r="R1664" s="8">
        <v>538.86699999999996</v>
      </c>
      <c r="S1664" s="8">
        <v>450.28100000000001</v>
      </c>
      <c r="T1664" s="8">
        <v>330.56799999999998</v>
      </c>
      <c r="U1664" s="8">
        <v>216.137</v>
      </c>
      <c r="V1664" s="8">
        <v>305.47000000000003</v>
      </c>
      <c r="W1664" s="8">
        <v>172.92699999999999</v>
      </c>
      <c r="X1664" s="8">
        <v>160.11600000000001</v>
      </c>
      <c r="Y1664" s="8">
        <v>79.561999999999998</v>
      </c>
      <c r="Z1664" s="8">
        <v>27.446999999999999</v>
      </c>
      <c r="AA1664" s="8">
        <v>16.545999999999999</v>
      </c>
      <c r="AB1664" s="8">
        <v>2.984</v>
      </c>
      <c r="AC1664" s="8">
        <v>0.49299999999999999</v>
      </c>
    </row>
    <row r="1665" spans="1:29" ht="11.65" hidden="1" x14ac:dyDescent="0.35">
      <c r="A1665" s="12">
        <v>1648</v>
      </c>
      <c r="B1665" s="10" t="s">
        <v>1015</v>
      </c>
      <c r="C1665" s="11" t="s">
        <v>1133</v>
      </c>
      <c r="D1665" s="9"/>
      <c r="E1665" s="9">
        <v>398</v>
      </c>
      <c r="F1665" s="10" t="s">
        <v>1066</v>
      </c>
      <c r="G1665" s="9">
        <v>5500</v>
      </c>
      <c r="H1665" s="9">
        <v>2010</v>
      </c>
      <c r="I1665" s="8">
        <v>773.34699999999998</v>
      </c>
      <c r="J1665" s="8">
        <v>575.81500000000005</v>
      </c>
      <c r="K1665" s="8">
        <v>554.54600000000005</v>
      </c>
      <c r="L1665" s="8">
        <v>731.26599999999996</v>
      </c>
      <c r="M1665" s="8">
        <v>832.60699999999997</v>
      </c>
      <c r="N1665" s="8">
        <v>690.61800000000005</v>
      </c>
      <c r="O1665" s="8">
        <v>617.54899999999998</v>
      </c>
      <c r="P1665" s="8">
        <v>583.77300000000002</v>
      </c>
      <c r="Q1665" s="8">
        <v>546.00199999999995</v>
      </c>
      <c r="R1665" s="8">
        <v>583.73</v>
      </c>
      <c r="S1665" s="8">
        <v>498.12599999999998</v>
      </c>
      <c r="T1665" s="8">
        <v>410.71100000000001</v>
      </c>
      <c r="U1665" s="8">
        <v>285.36200000000002</v>
      </c>
      <c r="V1665" s="8">
        <v>196.59899999999999</v>
      </c>
      <c r="W1665" s="8">
        <v>256.892</v>
      </c>
      <c r="X1665" s="8">
        <v>115.331</v>
      </c>
      <c r="Y1665" s="8">
        <v>97.15</v>
      </c>
      <c r="Z1665" s="8">
        <v>36.743000000000002</v>
      </c>
      <c r="AA1665" s="8">
        <v>7.7569999999999997</v>
      </c>
      <c r="AB1665" s="8">
        <v>2.552</v>
      </c>
      <c r="AC1665" s="8">
        <v>0.27900000000000003</v>
      </c>
    </row>
    <row r="1666" spans="1:29" ht="11.65" hidden="1" x14ac:dyDescent="0.35">
      <c r="A1666" s="12">
        <v>1649</v>
      </c>
      <c r="B1666" s="10" t="s">
        <v>1015</v>
      </c>
      <c r="C1666" s="11" t="s">
        <v>1133</v>
      </c>
      <c r="D1666" s="9"/>
      <c r="E1666" s="9">
        <v>398</v>
      </c>
      <c r="F1666" s="10" t="s">
        <v>1066</v>
      </c>
      <c r="G1666" s="9">
        <v>5500</v>
      </c>
      <c r="H1666" s="9">
        <v>2015</v>
      </c>
      <c r="I1666" s="8">
        <v>949.32899999999995</v>
      </c>
      <c r="J1666" s="8">
        <v>780.95699999999999</v>
      </c>
      <c r="K1666" s="8">
        <v>550.64</v>
      </c>
      <c r="L1666" s="8">
        <v>546.66</v>
      </c>
      <c r="M1666" s="8">
        <v>743.47799999999995</v>
      </c>
      <c r="N1666" s="8">
        <v>851.83600000000001</v>
      </c>
      <c r="O1666" s="8">
        <v>677.96299999999997</v>
      </c>
      <c r="P1666" s="8">
        <v>610.76700000000005</v>
      </c>
      <c r="Q1666" s="8">
        <v>577.85299999999995</v>
      </c>
      <c r="R1666" s="8">
        <v>529.45299999999997</v>
      </c>
      <c r="S1666" s="8">
        <v>592.73900000000003</v>
      </c>
      <c r="T1666" s="8">
        <v>478.03800000000001</v>
      </c>
      <c r="U1666" s="8">
        <v>406.98599999999999</v>
      </c>
      <c r="V1666" s="8">
        <v>224.61600000000001</v>
      </c>
      <c r="W1666" s="8">
        <v>191.459</v>
      </c>
      <c r="X1666" s="8">
        <v>212.28</v>
      </c>
      <c r="Y1666" s="8">
        <v>79.863</v>
      </c>
      <c r="Z1666" s="8">
        <v>45.734000000000002</v>
      </c>
      <c r="AA1666" s="8">
        <v>11.679</v>
      </c>
      <c r="AB1666" s="8">
        <v>1.51</v>
      </c>
      <c r="AC1666" s="8">
        <v>0.28199999999999997</v>
      </c>
    </row>
    <row r="1667" spans="1:29" ht="11.65" hidden="1" x14ac:dyDescent="0.35">
      <c r="A1667" s="12">
        <v>1650</v>
      </c>
      <c r="B1667" s="10" t="s">
        <v>1015</v>
      </c>
      <c r="C1667" s="11" t="s">
        <v>1133</v>
      </c>
      <c r="D1667" s="9"/>
      <c r="E1667" s="9">
        <v>398</v>
      </c>
      <c r="F1667" s="10" t="s">
        <v>1066</v>
      </c>
      <c r="G1667" s="9">
        <v>5500</v>
      </c>
      <c r="H1667" s="9">
        <v>2020</v>
      </c>
      <c r="I1667" s="8">
        <v>929.75099999999998</v>
      </c>
      <c r="J1667" s="8">
        <v>946.53</v>
      </c>
      <c r="K1667" s="8">
        <v>779.06700000000001</v>
      </c>
      <c r="L1667" s="8">
        <v>544.572</v>
      </c>
      <c r="M1667" s="8">
        <v>536.33699999999999</v>
      </c>
      <c r="N1667" s="8">
        <v>733.09199999999998</v>
      </c>
      <c r="O1667" s="8">
        <v>842.50900000000001</v>
      </c>
      <c r="P1667" s="8">
        <v>669.71799999999996</v>
      </c>
      <c r="Q1667" s="8">
        <v>602.52099999999996</v>
      </c>
      <c r="R1667" s="8">
        <v>568.80100000000004</v>
      </c>
      <c r="S1667" s="8">
        <v>518.99699999999996</v>
      </c>
      <c r="T1667" s="8">
        <v>576.48900000000003</v>
      </c>
      <c r="U1667" s="8">
        <v>457.86200000000002</v>
      </c>
      <c r="V1667" s="8">
        <v>379.72899999999998</v>
      </c>
      <c r="W1667" s="8">
        <v>201.22499999999999</v>
      </c>
      <c r="X1667" s="8">
        <v>158.52500000000001</v>
      </c>
      <c r="Y1667" s="8">
        <v>151.792</v>
      </c>
      <c r="Z1667" s="8">
        <v>45.241</v>
      </c>
      <c r="AA1667" s="8">
        <v>18.042000000000002</v>
      </c>
      <c r="AB1667" s="8">
        <v>2.7610000000000001</v>
      </c>
      <c r="AC1667" s="8">
        <v>0.20699999999999999</v>
      </c>
    </row>
    <row r="1668" spans="1:29" ht="11.65" hidden="1" x14ac:dyDescent="0.35">
      <c r="A1668" s="12">
        <v>1651</v>
      </c>
      <c r="B1668" s="10" t="s">
        <v>1015</v>
      </c>
      <c r="C1668" s="11" t="s">
        <v>1134</v>
      </c>
      <c r="D1668" s="9"/>
      <c r="E1668" s="9">
        <v>417</v>
      </c>
      <c r="F1668" s="10" t="s">
        <v>1066</v>
      </c>
      <c r="G1668" s="9">
        <v>5500</v>
      </c>
      <c r="H1668" s="9">
        <v>1950</v>
      </c>
      <c r="I1668" s="8">
        <v>87.438000000000002</v>
      </c>
      <c r="J1668" s="8">
        <v>64.658000000000001</v>
      </c>
      <c r="K1668" s="8">
        <v>100.471</v>
      </c>
      <c r="L1668" s="8">
        <v>85.25</v>
      </c>
      <c r="M1668" s="8">
        <v>93.307000000000002</v>
      </c>
      <c r="N1668" s="8">
        <v>65.355000000000004</v>
      </c>
      <c r="O1668" s="8">
        <v>46.953000000000003</v>
      </c>
      <c r="P1668" s="8">
        <v>62.668999999999997</v>
      </c>
      <c r="Q1668" s="8">
        <v>57.098999999999997</v>
      </c>
      <c r="R1668" s="8">
        <v>60.478999999999999</v>
      </c>
      <c r="S1668" s="8">
        <v>41.976999999999997</v>
      </c>
      <c r="T1668" s="8">
        <v>33.124000000000002</v>
      </c>
      <c r="U1668" s="8">
        <v>35.710999999999999</v>
      </c>
      <c r="V1668" s="8">
        <v>29.742999999999999</v>
      </c>
      <c r="W1668" s="8">
        <v>21.984000000000002</v>
      </c>
      <c r="X1668" s="8">
        <v>14.722</v>
      </c>
      <c r="Y1668" s="8">
        <v>6.0780000000000003</v>
      </c>
      <c r="Z1668" s="8">
        <v>2.879</v>
      </c>
      <c r="AA1668" s="8">
        <v>1.014</v>
      </c>
      <c r="AB1668" s="8">
        <v>0.24099999999999999</v>
      </c>
      <c r="AC1668" s="8">
        <v>3.5999999999999997E-2</v>
      </c>
    </row>
    <row r="1669" spans="1:29" ht="11.65" hidden="1" x14ac:dyDescent="0.35">
      <c r="A1669" s="12">
        <v>1652</v>
      </c>
      <c r="B1669" s="10" t="s">
        <v>1015</v>
      </c>
      <c r="C1669" s="11" t="s">
        <v>1134</v>
      </c>
      <c r="D1669" s="9"/>
      <c r="E1669" s="9">
        <v>417</v>
      </c>
      <c r="F1669" s="10" t="s">
        <v>1066</v>
      </c>
      <c r="G1669" s="9">
        <v>5500</v>
      </c>
      <c r="H1669" s="9">
        <v>1955</v>
      </c>
      <c r="I1669" s="8">
        <v>131.458</v>
      </c>
      <c r="J1669" s="8">
        <v>86.090999999999994</v>
      </c>
      <c r="K1669" s="8">
        <v>65.093000000000004</v>
      </c>
      <c r="L1669" s="8">
        <v>100.79</v>
      </c>
      <c r="M1669" s="8">
        <v>85.090999999999994</v>
      </c>
      <c r="N1669" s="8">
        <v>92.590999999999994</v>
      </c>
      <c r="O1669" s="8">
        <v>64.691999999999993</v>
      </c>
      <c r="P1669" s="8">
        <v>46.393999999999998</v>
      </c>
      <c r="Q1669" s="8">
        <v>61.493000000000002</v>
      </c>
      <c r="R1669" s="8">
        <v>55.594999999999999</v>
      </c>
      <c r="S1669" s="8">
        <v>57.993000000000002</v>
      </c>
      <c r="T1669" s="8">
        <v>39.496000000000002</v>
      </c>
      <c r="U1669" s="8">
        <v>30.196999999999999</v>
      </c>
      <c r="V1669" s="8">
        <v>31.297000000000001</v>
      </c>
      <c r="W1669" s="8">
        <v>24.396999999999998</v>
      </c>
      <c r="X1669" s="8">
        <v>15.898999999999999</v>
      </c>
      <c r="Y1669" s="8">
        <v>7.3109999999999999</v>
      </c>
      <c r="Z1669" s="8">
        <v>2.94</v>
      </c>
      <c r="AA1669" s="8">
        <v>1.093</v>
      </c>
      <c r="AB1669" s="8">
        <v>0.3</v>
      </c>
      <c r="AC1669" s="8">
        <v>5.6000000000000001E-2</v>
      </c>
    </row>
    <row r="1670" spans="1:29" ht="11.65" hidden="1" x14ac:dyDescent="0.35">
      <c r="A1670" s="12">
        <v>1653</v>
      </c>
      <c r="B1670" s="10" t="s">
        <v>1015</v>
      </c>
      <c r="C1670" s="11" t="s">
        <v>1134</v>
      </c>
      <c r="D1670" s="9"/>
      <c r="E1670" s="9">
        <v>417</v>
      </c>
      <c r="F1670" s="10" t="s">
        <v>1066</v>
      </c>
      <c r="G1670" s="9">
        <v>5500</v>
      </c>
      <c r="H1670" s="9">
        <v>1960</v>
      </c>
      <c r="I1670" s="8">
        <v>176.602</v>
      </c>
      <c r="J1670" s="8">
        <v>130.61099999999999</v>
      </c>
      <c r="K1670" s="8">
        <v>87.091999999999999</v>
      </c>
      <c r="L1670" s="8">
        <v>65.994</v>
      </c>
      <c r="M1670" s="8">
        <v>100.991</v>
      </c>
      <c r="N1670" s="8">
        <v>85.191999999999993</v>
      </c>
      <c r="O1670" s="8">
        <v>92.093000000000004</v>
      </c>
      <c r="P1670" s="8">
        <v>64.293000000000006</v>
      </c>
      <c r="Q1670" s="8">
        <v>46.095999999999997</v>
      </c>
      <c r="R1670" s="8">
        <v>60.293999999999997</v>
      </c>
      <c r="S1670" s="8">
        <v>53.893999999999998</v>
      </c>
      <c r="T1670" s="8">
        <v>55.094999999999999</v>
      </c>
      <c r="U1670" s="8">
        <v>36.497</v>
      </c>
      <c r="V1670" s="8">
        <v>26.896999999999998</v>
      </c>
      <c r="W1670" s="8">
        <v>26.097999999999999</v>
      </c>
      <c r="X1670" s="8">
        <v>17.998000000000001</v>
      </c>
      <c r="Y1670" s="8">
        <v>8.0410000000000004</v>
      </c>
      <c r="Z1670" s="8">
        <v>3.6720000000000002</v>
      </c>
      <c r="AA1670" s="8">
        <v>1.17</v>
      </c>
      <c r="AB1670" s="8">
        <v>0.34</v>
      </c>
      <c r="AC1670" s="8">
        <v>7.5999999999999998E-2</v>
      </c>
    </row>
    <row r="1671" spans="1:29" ht="11.65" hidden="1" x14ac:dyDescent="0.35">
      <c r="A1671" s="12">
        <v>1654</v>
      </c>
      <c r="B1671" s="10" t="s">
        <v>1015</v>
      </c>
      <c r="C1671" s="11" t="s">
        <v>1134</v>
      </c>
      <c r="D1671" s="9"/>
      <c r="E1671" s="9">
        <v>417</v>
      </c>
      <c r="F1671" s="10" t="s">
        <v>1066</v>
      </c>
      <c r="G1671" s="9">
        <v>5500</v>
      </c>
      <c r="H1671" s="9">
        <v>1965</v>
      </c>
      <c r="I1671" s="8">
        <v>209.85300000000001</v>
      </c>
      <c r="J1671" s="8">
        <v>180.9</v>
      </c>
      <c r="K1671" s="8">
        <v>135.92099999999999</v>
      </c>
      <c r="L1671" s="8">
        <v>90.927999999999997</v>
      </c>
      <c r="M1671" s="8">
        <v>69.093999999999994</v>
      </c>
      <c r="N1671" s="8">
        <v>103.59</v>
      </c>
      <c r="O1671" s="8">
        <v>87.938000000000002</v>
      </c>
      <c r="P1671" s="8">
        <v>94.019000000000005</v>
      </c>
      <c r="Q1671" s="8">
        <v>65.804000000000002</v>
      </c>
      <c r="R1671" s="8">
        <v>47.058999999999997</v>
      </c>
      <c r="S1671" s="8">
        <v>60.119</v>
      </c>
      <c r="T1671" s="8">
        <v>53.040999999999997</v>
      </c>
      <c r="U1671" s="8">
        <v>52.442999999999998</v>
      </c>
      <c r="V1671" s="8">
        <v>33.798999999999999</v>
      </c>
      <c r="W1671" s="8">
        <v>23.431000000000001</v>
      </c>
      <c r="X1671" s="8">
        <v>20.14</v>
      </c>
      <c r="Y1671" s="8">
        <v>9.6449999999999996</v>
      </c>
      <c r="Z1671" s="8">
        <v>4.1959999999999997</v>
      </c>
      <c r="AA1671" s="8">
        <v>1.5309999999999999</v>
      </c>
      <c r="AB1671" s="8">
        <v>0.38200000000000001</v>
      </c>
      <c r="AC1671" s="8">
        <v>9.2999999999999999E-2</v>
      </c>
    </row>
    <row r="1672" spans="1:29" ht="11.65" hidden="1" x14ac:dyDescent="0.35">
      <c r="A1672" s="12">
        <v>1655</v>
      </c>
      <c r="B1672" s="10" t="s">
        <v>1015</v>
      </c>
      <c r="C1672" s="11" t="s">
        <v>1134</v>
      </c>
      <c r="D1672" s="9"/>
      <c r="E1672" s="9">
        <v>417</v>
      </c>
      <c r="F1672" s="10" t="s">
        <v>1066</v>
      </c>
      <c r="G1672" s="9">
        <v>5500</v>
      </c>
      <c r="H1672" s="9">
        <v>1970</v>
      </c>
      <c r="I1672" s="8">
        <v>210.11799999999999</v>
      </c>
      <c r="J1672" s="8">
        <v>214.261</v>
      </c>
      <c r="K1672" s="8">
        <v>187.08199999999999</v>
      </c>
      <c r="L1672" s="8">
        <v>140.673</v>
      </c>
      <c r="M1672" s="8">
        <v>93.956000000000003</v>
      </c>
      <c r="N1672" s="8">
        <v>71.507999999999996</v>
      </c>
      <c r="O1672" s="8">
        <v>105.715</v>
      </c>
      <c r="P1672" s="8">
        <v>90.087000000000003</v>
      </c>
      <c r="Q1672" s="8">
        <v>95.483999999999995</v>
      </c>
      <c r="R1672" s="8">
        <v>66.66</v>
      </c>
      <c r="S1672" s="8">
        <v>47.372999999999998</v>
      </c>
      <c r="T1672" s="8">
        <v>58.942999999999998</v>
      </c>
      <c r="U1672" s="8">
        <v>50.944000000000003</v>
      </c>
      <c r="V1672" s="8">
        <v>48.451000000000001</v>
      </c>
      <c r="W1672" s="8">
        <v>29.498999999999999</v>
      </c>
      <c r="X1672" s="8">
        <v>18.416</v>
      </c>
      <c r="Y1672" s="8">
        <v>10.863</v>
      </c>
      <c r="Z1672" s="8">
        <v>5.2089999999999996</v>
      </c>
      <c r="AA1672" s="8">
        <v>1.8240000000000001</v>
      </c>
      <c r="AB1672" s="8">
        <v>0.52400000000000002</v>
      </c>
      <c r="AC1672" s="8">
        <v>0.111</v>
      </c>
    </row>
    <row r="1673" spans="1:29" ht="11.65" hidden="1" x14ac:dyDescent="0.35">
      <c r="A1673" s="12">
        <v>1656</v>
      </c>
      <c r="B1673" s="10" t="s">
        <v>1015</v>
      </c>
      <c r="C1673" s="11" t="s">
        <v>1134</v>
      </c>
      <c r="D1673" s="9"/>
      <c r="E1673" s="9">
        <v>417</v>
      </c>
      <c r="F1673" s="10" t="s">
        <v>1066</v>
      </c>
      <c r="G1673" s="9">
        <v>5500</v>
      </c>
      <c r="H1673" s="9">
        <v>1975</v>
      </c>
      <c r="I1673" s="8">
        <v>224.65100000000001</v>
      </c>
      <c r="J1673" s="8">
        <v>210.14</v>
      </c>
      <c r="K1673" s="8">
        <v>211.58099999999999</v>
      </c>
      <c r="L1673" s="8">
        <v>179.28299999999999</v>
      </c>
      <c r="M1673" s="8">
        <v>135.28</v>
      </c>
      <c r="N1673" s="8">
        <v>91.745999999999995</v>
      </c>
      <c r="O1673" s="8">
        <v>68.611999999999995</v>
      </c>
      <c r="P1673" s="8">
        <v>101.96299999999999</v>
      </c>
      <c r="Q1673" s="8">
        <v>85.899000000000001</v>
      </c>
      <c r="R1673" s="8">
        <v>92.948999999999998</v>
      </c>
      <c r="S1673" s="8">
        <v>69.590999999999994</v>
      </c>
      <c r="T1673" s="8">
        <v>46.993000000000002</v>
      </c>
      <c r="U1673" s="8">
        <v>52.975000000000001</v>
      </c>
      <c r="V1673" s="8">
        <v>44.73</v>
      </c>
      <c r="W1673" s="8">
        <v>37.5</v>
      </c>
      <c r="X1673" s="8">
        <v>21.68</v>
      </c>
      <c r="Y1673" s="8">
        <v>12.77</v>
      </c>
      <c r="Z1673" s="8">
        <v>5.9770000000000003</v>
      </c>
      <c r="AA1673" s="8">
        <v>2.3140000000000001</v>
      </c>
      <c r="AB1673" s="8">
        <v>0.63500000000000001</v>
      </c>
      <c r="AC1673" s="8">
        <v>0.15</v>
      </c>
    </row>
    <row r="1674" spans="1:29" ht="11.65" hidden="1" x14ac:dyDescent="0.35">
      <c r="A1674" s="12">
        <v>1657</v>
      </c>
      <c r="B1674" s="10" t="s">
        <v>1015</v>
      </c>
      <c r="C1674" s="11" t="s">
        <v>1134</v>
      </c>
      <c r="D1674" s="9"/>
      <c r="E1674" s="9">
        <v>417</v>
      </c>
      <c r="F1674" s="10" t="s">
        <v>1066</v>
      </c>
      <c r="G1674" s="9">
        <v>5500</v>
      </c>
      <c r="H1674" s="9">
        <v>1980</v>
      </c>
      <c r="I1674" s="8">
        <v>235.45699999999999</v>
      </c>
      <c r="J1674" s="8">
        <v>215.41300000000001</v>
      </c>
      <c r="K1674" s="8">
        <v>206.535</v>
      </c>
      <c r="L1674" s="8">
        <v>202.17</v>
      </c>
      <c r="M1674" s="8">
        <v>172.58699999999999</v>
      </c>
      <c r="N1674" s="8">
        <v>136.83199999999999</v>
      </c>
      <c r="O1674" s="8">
        <v>97.266000000000005</v>
      </c>
      <c r="P1674" s="8">
        <v>61.881999999999998</v>
      </c>
      <c r="Q1674" s="8">
        <v>100.911</v>
      </c>
      <c r="R1674" s="8">
        <v>81.802999999999997</v>
      </c>
      <c r="S1674" s="8">
        <v>92.114000000000004</v>
      </c>
      <c r="T1674" s="8">
        <v>68.433000000000007</v>
      </c>
      <c r="U1674" s="8">
        <v>45.645000000000003</v>
      </c>
      <c r="V1674" s="8">
        <v>47.609000000000002</v>
      </c>
      <c r="W1674" s="8">
        <v>36.503</v>
      </c>
      <c r="X1674" s="8">
        <v>29.044</v>
      </c>
      <c r="Y1674" s="8">
        <v>14.467000000000001</v>
      </c>
      <c r="Z1674" s="8">
        <v>7.0430000000000001</v>
      </c>
      <c r="AA1674" s="8">
        <v>2.6589999999999998</v>
      </c>
      <c r="AB1674" s="8">
        <v>0.80100000000000005</v>
      </c>
      <c r="AC1674" s="8">
        <v>0.184</v>
      </c>
    </row>
    <row r="1675" spans="1:29" ht="11.65" hidden="1" x14ac:dyDescent="0.35">
      <c r="A1675" s="12">
        <v>1658</v>
      </c>
      <c r="B1675" s="10" t="s">
        <v>1015</v>
      </c>
      <c r="C1675" s="11" t="s">
        <v>1134</v>
      </c>
      <c r="D1675" s="9"/>
      <c r="E1675" s="9">
        <v>417</v>
      </c>
      <c r="F1675" s="10" t="s">
        <v>1066</v>
      </c>
      <c r="G1675" s="9">
        <v>5500</v>
      </c>
      <c r="H1675" s="9">
        <v>1985</v>
      </c>
      <c r="I1675" s="8">
        <v>275.649</v>
      </c>
      <c r="J1675" s="8">
        <v>230.42</v>
      </c>
      <c r="K1675" s="8">
        <v>212.631</v>
      </c>
      <c r="L1675" s="8">
        <v>196.774</v>
      </c>
      <c r="M1675" s="8">
        <v>200.15600000000001</v>
      </c>
      <c r="N1675" s="8">
        <v>172.61500000000001</v>
      </c>
      <c r="O1675" s="8">
        <v>134.19900000000001</v>
      </c>
      <c r="P1675" s="8">
        <v>94.495000000000005</v>
      </c>
      <c r="Q1675" s="8">
        <v>60.137999999999998</v>
      </c>
      <c r="R1675" s="8">
        <v>97.578999999999994</v>
      </c>
      <c r="S1675" s="8">
        <v>79.944000000000003</v>
      </c>
      <c r="T1675" s="8">
        <v>88.147000000000006</v>
      </c>
      <c r="U1675" s="8">
        <v>62.951000000000001</v>
      </c>
      <c r="V1675" s="8">
        <v>41.081000000000003</v>
      </c>
      <c r="W1675" s="8">
        <v>40.537999999999997</v>
      </c>
      <c r="X1675" s="8">
        <v>28.047000000000001</v>
      </c>
      <c r="Y1675" s="8">
        <v>19.181000000000001</v>
      </c>
      <c r="Z1675" s="8">
        <v>8.1159999999999997</v>
      </c>
      <c r="AA1675" s="8">
        <v>3.2010000000000001</v>
      </c>
      <c r="AB1675" s="8">
        <v>0.93799999999999994</v>
      </c>
      <c r="AC1675" s="8">
        <v>0.23300000000000001</v>
      </c>
    </row>
    <row r="1676" spans="1:29" ht="11.65" hidden="1" x14ac:dyDescent="0.35">
      <c r="A1676" s="12">
        <v>1659</v>
      </c>
      <c r="B1676" s="10" t="s">
        <v>1015</v>
      </c>
      <c r="C1676" s="11" t="s">
        <v>1134</v>
      </c>
      <c r="D1676" s="9"/>
      <c r="E1676" s="9">
        <v>417</v>
      </c>
      <c r="F1676" s="10" t="s">
        <v>1066</v>
      </c>
      <c r="G1676" s="9">
        <v>5500</v>
      </c>
      <c r="H1676" s="9">
        <v>1990</v>
      </c>
      <c r="I1676" s="8">
        <v>308.73</v>
      </c>
      <c r="J1676" s="8">
        <v>269.17500000000001</v>
      </c>
      <c r="K1676" s="8">
        <v>229.15600000000001</v>
      </c>
      <c r="L1676" s="8">
        <v>205.923</v>
      </c>
      <c r="M1676" s="8">
        <v>182.84800000000001</v>
      </c>
      <c r="N1676" s="8">
        <v>189.56299999999999</v>
      </c>
      <c r="O1676" s="8">
        <v>168.965</v>
      </c>
      <c r="P1676" s="8">
        <v>130.154</v>
      </c>
      <c r="Q1676" s="8">
        <v>90.177999999999997</v>
      </c>
      <c r="R1676" s="8">
        <v>56.344000000000001</v>
      </c>
      <c r="S1676" s="8">
        <v>92.918999999999997</v>
      </c>
      <c r="T1676" s="8">
        <v>75.385999999999996</v>
      </c>
      <c r="U1676" s="8">
        <v>80.894999999999996</v>
      </c>
      <c r="V1676" s="8">
        <v>54.284999999999997</v>
      </c>
      <c r="W1676" s="8">
        <v>33.472000000000001</v>
      </c>
      <c r="X1676" s="8">
        <v>29.385999999999999</v>
      </c>
      <c r="Y1676" s="8">
        <v>14.7</v>
      </c>
      <c r="Z1676" s="8">
        <v>10.958</v>
      </c>
      <c r="AA1676" s="8">
        <v>3.7749999999999999</v>
      </c>
      <c r="AB1676" s="8">
        <v>1.149</v>
      </c>
      <c r="AC1676" s="8">
        <v>0.28100000000000003</v>
      </c>
    </row>
    <row r="1677" spans="1:29" ht="11.65" hidden="1" x14ac:dyDescent="0.35">
      <c r="A1677" s="12">
        <v>1660</v>
      </c>
      <c r="B1677" s="10" t="s">
        <v>1015</v>
      </c>
      <c r="C1677" s="11" t="s">
        <v>1134</v>
      </c>
      <c r="D1677" s="9"/>
      <c r="E1677" s="9">
        <v>417</v>
      </c>
      <c r="F1677" s="10" t="s">
        <v>1066</v>
      </c>
      <c r="G1677" s="9">
        <v>5500</v>
      </c>
      <c r="H1677" s="9">
        <v>1995</v>
      </c>
      <c r="I1677" s="8">
        <v>290.16500000000002</v>
      </c>
      <c r="J1677" s="8">
        <v>295.38799999999998</v>
      </c>
      <c r="K1677" s="8">
        <v>258.44</v>
      </c>
      <c r="L1677" s="8">
        <v>219.071</v>
      </c>
      <c r="M1677" s="8">
        <v>196.16800000000001</v>
      </c>
      <c r="N1677" s="8">
        <v>172.208</v>
      </c>
      <c r="O1677" s="8">
        <v>177.03200000000001</v>
      </c>
      <c r="P1677" s="8">
        <v>156.078</v>
      </c>
      <c r="Q1677" s="8">
        <v>118.595</v>
      </c>
      <c r="R1677" s="8">
        <v>81.248999999999995</v>
      </c>
      <c r="S1677" s="8">
        <v>46.77</v>
      </c>
      <c r="T1677" s="8">
        <v>80.289000000000001</v>
      </c>
      <c r="U1677" s="8">
        <v>63.226999999999997</v>
      </c>
      <c r="V1677" s="8">
        <v>66.629000000000005</v>
      </c>
      <c r="W1677" s="8">
        <v>40.954000000000001</v>
      </c>
      <c r="X1677" s="8">
        <v>21.507000000000001</v>
      </c>
      <c r="Y1677" s="8">
        <v>14.898</v>
      </c>
      <c r="Z1677" s="8">
        <v>8.2710000000000008</v>
      </c>
      <c r="AA1677" s="8">
        <v>4.9829999999999997</v>
      </c>
      <c r="AB1677" s="8">
        <v>1.2849999999999999</v>
      </c>
      <c r="AC1677" s="8">
        <v>0.315</v>
      </c>
    </row>
    <row r="1678" spans="1:29" ht="11.65" hidden="1" x14ac:dyDescent="0.35">
      <c r="A1678" s="12">
        <v>1661</v>
      </c>
      <c r="B1678" s="10" t="s">
        <v>1015</v>
      </c>
      <c r="C1678" s="11" t="s">
        <v>1134</v>
      </c>
      <c r="D1678" s="9"/>
      <c r="E1678" s="9">
        <v>417</v>
      </c>
      <c r="F1678" s="10" t="s">
        <v>1066</v>
      </c>
      <c r="G1678" s="9">
        <v>5500</v>
      </c>
      <c r="H1678" s="9">
        <v>2000</v>
      </c>
      <c r="I1678" s="8">
        <v>261.78500000000003</v>
      </c>
      <c r="J1678" s="8">
        <v>287.14699999999999</v>
      </c>
      <c r="K1678" s="8">
        <v>293.75799999999998</v>
      </c>
      <c r="L1678" s="8">
        <v>256.87299999999999</v>
      </c>
      <c r="M1678" s="8">
        <v>217.43899999999999</v>
      </c>
      <c r="N1678" s="8">
        <v>194.31399999999999</v>
      </c>
      <c r="O1678" s="8">
        <v>170.03800000000001</v>
      </c>
      <c r="P1678" s="8">
        <v>174.23</v>
      </c>
      <c r="Q1678" s="8">
        <v>153.011</v>
      </c>
      <c r="R1678" s="8">
        <v>115.515</v>
      </c>
      <c r="S1678" s="8">
        <v>78.165999999999997</v>
      </c>
      <c r="T1678" s="8">
        <v>43.899000000000001</v>
      </c>
      <c r="U1678" s="8">
        <v>73.988</v>
      </c>
      <c r="V1678" s="8">
        <v>56.063000000000002</v>
      </c>
      <c r="W1678" s="8">
        <v>56.241999999999997</v>
      </c>
      <c r="X1678" s="8">
        <v>31.428000000000001</v>
      </c>
      <c r="Y1678" s="8">
        <v>13.359</v>
      </c>
      <c r="Z1678" s="8">
        <v>6.9870000000000001</v>
      </c>
      <c r="AA1678" s="8">
        <v>2.5169999999999999</v>
      </c>
      <c r="AB1678" s="8">
        <v>0.83499999999999996</v>
      </c>
      <c r="AC1678" s="8">
        <v>0.13100000000000001</v>
      </c>
    </row>
    <row r="1679" spans="1:29" ht="11.65" hidden="1" x14ac:dyDescent="0.35">
      <c r="A1679" s="12">
        <v>1662</v>
      </c>
      <c r="B1679" s="10" t="s">
        <v>1015</v>
      </c>
      <c r="C1679" s="11" t="s">
        <v>1134</v>
      </c>
      <c r="D1679" s="9"/>
      <c r="E1679" s="9">
        <v>417</v>
      </c>
      <c r="F1679" s="10" t="s">
        <v>1066</v>
      </c>
      <c r="G1679" s="9">
        <v>5500</v>
      </c>
      <c r="H1679" s="9">
        <v>2005</v>
      </c>
      <c r="I1679" s="8">
        <v>236.13499999999999</v>
      </c>
      <c r="J1679" s="8">
        <v>248.70099999999999</v>
      </c>
      <c r="K1679" s="8">
        <v>286.964</v>
      </c>
      <c r="L1679" s="8">
        <v>291.72800000000001</v>
      </c>
      <c r="M1679" s="8">
        <v>244.43600000000001</v>
      </c>
      <c r="N1679" s="8">
        <v>204.66900000000001</v>
      </c>
      <c r="O1679" s="8">
        <v>182.18899999999999</v>
      </c>
      <c r="P1679" s="8">
        <v>173.37299999999999</v>
      </c>
      <c r="Q1679" s="8">
        <v>169.245</v>
      </c>
      <c r="R1679" s="8">
        <v>142.55099999999999</v>
      </c>
      <c r="S1679" s="8">
        <v>102.197</v>
      </c>
      <c r="T1679" s="8">
        <v>68.182000000000002</v>
      </c>
      <c r="U1679" s="8">
        <v>38.884999999999998</v>
      </c>
      <c r="V1679" s="8">
        <v>59.94</v>
      </c>
      <c r="W1679" s="8">
        <v>41.889000000000003</v>
      </c>
      <c r="X1679" s="8">
        <v>37.979999999999997</v>
      </c>
      <c r="Y1679" s="8">
        <v>21.661999999999999</v>
      </c>
      <c r="Z1679" s="8">
        <v>6.2560000000000002</v>
      </c>
      <c r="AA1679" s="8">
        <v>2.1219999999999999</v>
      </c>
      <c r="AB1679" s="8">
        <v>0.42299999999999999</v>
      </c>
      <c r="AC1679" s="8">
        <v>8.1000000000000003E-2</v>
      </c>
    </row>
    <row r="1680" spans="1:29" ht="11.65" hidden="1" x14ac:dyDescent="0.35">
      <c r="A1680" s="12">
        <v>1663</v>
      </c>
      <c r="B1680" s="10" t="s">
        <v>1015</v>
      </c>
      <c r="C1680" s="11" t="s">
        <v>1134</v>
      </c>
      <c r="D1680" s="9"/>
      <c r="E1680" s="9">
        <v>417</v>
      </c>
      <c r="F1680" s="10" t="s">
        <v>1066</v>
      </c>
      <c r="G1680" s="9">
        <v>5500</v>
      </c>
      <c r="H1680" s="9">
        <v>2010</v>
      </c>
      <c r="I1680" s="8">
        <v>296.34300000000002</v>
      </c>
      <c r="J1680" s="8">
        <v>242.36600000000001</v>
      </c>
      <c r="K1680" s="8">
        <v>255.465</v>
      </c>
      <c r="L1680" s="8">
        <v>296.69600000000003</v>
      </c>
      <c r="M1680" s="8">
        <v>305.35599999999999</v>
      </c>
      <c r="N1680" s="8">
        <v>225.983</v>
      </c>
      <c r="O1680" s="8">
        <v>184.69</v>
      </c>
      <c r="P1680" s="8">
        <v>169.50200000000001</v>
      </c>
      <c r="Q1680" s="8">
        <v>165.68799999999999</v>
      </c>
      <c r="R1680" s="8">
        <v>163.96</v>
      </c>
      <c r="S1680" s="8">
        <v>133.57499999999999</v>
      </c>
      <c r="T1680" s="8">
        <v>96.102000000000004</v>
      </c>
      <c r="U1680" s="8">
        <v>59.067</v>
      </c>
      <c r="V1680" s="8">
        <v>36.265999999999998</v>
      </c>
      <c r="W1680" s="8">
        <v>48.390999999999998</v>
      </c>
      <c r="X1680" s="8">
        <v>30.251000000000001</v>
      </c>
      <c r="Y1680" s="8">
        <v>20.228999999999999</v>
      </c>
      <c r="Z1680" s="8">
        <v>10.24</v>
      </c>
      <c r="AA1680" s="8">
        <v>1.9970000000000001</v>
      </c>
      <c r="AB1680" s="8">
        <v>0.40300000000000002</v>
      </c>
      <c r="AC1680" s="8">
        <v>4.9000000000000002E-2</v>
      </c>
    </row>
    <row r="1681" spans="1:29" ht="11.65" hidden="1" x14ac:dyDescent="0.35">
      <c r="A1681" s="12">
        <v>1664</v>
      </c>
      <c r="B1681" s="10" t="s">
        <v>1015</v>
      </c>
      <c r="C1681" s="11" t="s">
        <v>1134</v>
      </c>
      <c r="D1681" s="9"/>
      <c r="E1681" s="9">
        <v>417</v>
      </c>
      <c r="F1681" s="10" t="s">
        <v>1066</v>
      </c>
      <c r="G1681" s="9">
        <v>5500</v>
      </c>
      <c r="H1681" s="9">
        <v>2015</v>
      </c>
      <c r="I1681" s="8">
        <v>376.09399999999999</v>
      </c>
      <c r="J1681" s="8">
        <v>294.79199999999997</v>
      </c>
      <c r="K1681" s="8">
        <v>246.84399999999999</v>
      </c>
      <c r="L1681" s="8">
        <v>254.99199999999999</v>
      </c>
      <c r="M1681" s="8">
        <v>282.20100000000002</v>
      </c>
      <c r="N1681" s="8">
        <v>289.77499999999998</v>
      </c>
      <c r="O1681" s="8">
        <v>222.69</v>
      </c>
      <c r="P1681" s="8">
        <v>184.684</v>
      </c>
      <c r="Q1681" s="8">
        <v>170.22499999999999</v>
      </c>
      <c r="R1681" s="8">
        <v>158.08600000000001</v>
      </c>
      <c r="S1681" s="8">
        <v>157.23699999999999</v>
      </c>
      <c r="T1681" s="8">
        <v>127.227</v>
      </c>
      <c r="U1681" s="8">
        <v>88.864999999999995</v>
      </c>
      <c r="V1681" s="8">
        <v>55.503999999999998</v>
      </c>
      <c r="W1681" s="8">
        <v>28.472000000000001</v>
      </c>
      <c r="X1681" s="8">
        <v>37.968000000000004</v>
      </c>
      <c r="Y1681" s="8">
        <v>22.56</v>
      </c>
      <c r="Z1681" s="8">
        <v>9.3260000000000005</v>
      </c>
      <c r="AA1681" s="8">
        <v>2.7589999999999999</v>
      </c>
      <c r="AB1681" s="8">
        <v>0.30199999999999999</v>
      </c>
      <c r="AC1681" s="8">
        <v>3.1E-2</v>
      </c>
    </row>
    <row r="1682" spans="1:29" ht="11.65" hidden="1" x14ac:dyDescent="0.35">
      <c r="A1682" s="12">
        <v>1665</v>
      </c>
      <c r="B1682" s="10" t="s">
        <v>1015</v>
      </c>
      <c r="C1682" s="11" t="s">
        <v>1134</v>
      </c>
      <c r="D1682" s="9"/>
      <c r="E1682" s="9">
        <v>417</v>
      </c>
      <c r="F1682" s="10" t="s">
        <v>1066</v>
      </c>
      <c r="G1682" s="9">
        <v>5500</v>
      </c>
      <c r="H1682" s="9">
        <v>2020</v>
      </c>
      <c r="I1682" s="8">
        <v>370.06299999999999</v>
      </c>
      <c r="J1682" s="8">
        <v>375.101</v>
      </c>
      <c r="K1682" s="8">
        <v>294.24299999999999</v>
      </c>
      <c r="L1682" s="8">
        <v>245.291</v>
      </c>
      <c r="M1682" s="8">
        <v>252.392</v>
      </c>
      <c r="N1682" s="8">
        <v>279.55700000000002</v>
      </c>
      <c r="O1682" s="8">
        <v>287.32600000000002</v>
      </c>
      <c r="P1682" s="8">
        <v>220.49799999999999</v>
      </c>
      <c r="Q1682" s="8">
        <v>182.476</v>
      </c>
      <c r="R1682" s="8">
        <v>167.697</v>
      </c>
      <c r="S1682" s="8">
        <v>155.05699999999999</v>
      </c>
      <c r="T1682" s="8">
        <v>152.94200000000001</v>
      </c>
      <c r="U1682" s="8">
        <v>121.57</v>
      </c>
      <c r="V1682" s="8">
        <v>82.412999999999997</v>
      </c>
      <c r="W1682" s="8">
        <v>48.801000000000002</v>
      </c>
      <c r="X1682" s="8">
        <v>21.677</v>
      </c>
      <c r="Y1682" s="8">
        <v>23.622</v>
      </c>
      <c r="Z1682" s="8">
        <v>11.637</v>
      </c>
      <c r="AA1682" s="8">
        <v>3.6960000000000002</v>
      </c>
      <c r="AB1682" s="8">
        <v>0.80900000000000005</v>
      </c>
      <c r="AC1682" s="8">
        <v>5.2999999999999999E-2</v>
      </c>
    </row>
    <row r="1683" spans="1:29" ht="11.65" hidden="1" x14ac:dyDescent="0.35">
      <c r="A1683" s="12">
        <v>1666</v>
      </c>
      <c r="B1683" s="10" t="s">
        <v>1015</v>
      </c>
      <c r="C1683" s="11" t="s">
        <v>1135</v>
      </c>
      <c r="D1683" s="9"/>
      <c r="E1683" s="9">
        <v>762</v>
      </c>
      <c r="F1683" s="10" t="s">
        <v>1066</v>
      </c>
      <c r="G1683" s="9">
        <v>5500</v>
      </c>
      <c r="H1683" s="9">
        <v>1950</v>
      </c>
      <c r="I1683" s="8">
        <v>91.319000000000003</v>
      </c>
      <c r="J1683" s="8">
        <v>71.561000000000007</v>
      </c>
      <c r="K1683" s="8">
        <v>96.923000000000002</v>
      </c>
      <c r="L1683" s="8">
        <v>86.995000000000005</v>
      </c>
      <c r="M1683" s="8">
        <v>79.623000000000005</v>
      </c>
      <c r="N1683" s="8">
        <v>58.290999999999997</v>
      </c>
      <c r="O1683" s="8">
        <v>43.744</v>
      </c>
      <c r="P1683" s="8">
        <v>53.180999999999997</v>
      </c>
      <c r="Q1683" s="8">
        <v>48.854999999999997</v>
      </c>
      <c r="R1683" s="8">
        <v>46.101999999999997</v>
      </c>
      <c r="S1683" s="8">
        <v>34.600999999999999</v>
      </c>
      <c r="T1683" s="8">
        <v>22.413</v>
      </c>
      <c r="U1683" s="8">
        <v>23.492999999999999</v>
      </c>
      <c r="V1683" s="8">
        <v>15.336</v>
      </c>
      <c r="W1683" s="8">
        <v>9.4369999999999994</v>
      </c>
      <c r="X1683" s="8">
        <v>5.21</v>
      </c>
      <c r="Y1683" s="8">
        <v>1.9450000000000001</v>
      </c>
      <c r="Z1683" s="8">
        <v>0.90400000000000003</v>
      </c>
      <c r="AA1683" s="8">
        <v>0.312</v>
      </c>
      <c r="AB1683" s="8">
        <v>7.2999999999999995E-2</v>
      </c>
      <c r="AC1683" s="8">
        <v>1.0999999999999999E-2</v>
      </c>
    </row>
    <row r="1684" spans="1:29" ht="11.65" hidden="1" x14ac:dyDescent="0.35">
      <c r="A1684" s="12">
        <v>1667</v>
      </c>
      <c r="B1684" s="10" t="s">
        <v>1015</v>
      </c>
      <c r="C1684" s="11" t="s">
        <v>1135</v>
      </c>
      <c r="D1684" s="9"/>
      <c r="E1684" s="9">
        <v>762</v>
      </c>
      <c r="F1684" s="10" t="s">
        <v>1066</v>
      </c>
      <c r="G1684" s="9">
        <v>5500</v>
      </c>
      <c r="H1684" s="9">
        <v>1955</v>
      </c>
      <c r="I1684" s="8">
        <v>147.251</v>
      </c>
      <c r="J1684" s="8">
        <v>88.891999999999996</v>
      </c>
      <c r="K1684" s="8">
        <v>72.790999999999997</v>
      </c>
      <c r="L1684" s="8">
        <v>98.751000000000005</v>
      </c>
      <c r="M1684" s="8">
        <v>88.120999999999995</v>
      </c>
      <c r="N1684" s="8">
        <v>80.195999999999998</v>
      </c>
      <c r="O1684" s="8">
        <v>58.631999999999998</v>
      </c>
      <c r="P1684" s="8">
        <v>43.735999999999997</v>
      </c>
      <c r="Q1684" s="8">
        <v>52.817999999999998</v>
      </c>
      <c r="R1684" s="8">
        <v>48.273000000000003</v>
      </c>
      <c r="S1684" s="8">
        <v>44.968000000000004</v>
      </c>
      <c r="T1684" s="8">
        <v>33.265000000000001</v>
      </c>
      <c r="U1684" s="8">
        <v>20.878</v>
      </c>
      <c r="V1684" s="8">
        <v>21.058</v>
      </c>
      <c r="W1684" s="8">
        <v>12.975</v>
      </c>
      <c r="X1684" s="8">
        <v>7.0549999999999997</v>
      </c>
      <c r="Y1684" s="8">
        <v>3.835</v>
      </c>
      <c r="Z1684" s="8">
        <v>0.72299999999999998</v>
      </c>
      <c r="AA1684" s="8">
        <v>0.22500000000000001</v>
      </c>
      <c r="AB1684" s="8">
        <v>4.8000000000000001E-2</v>
      </c>
      <c r="AC1684" s="8">
        <v>7.0000000000000001E-3</v>
      </c>
    </row>
    <row r="1685" spans="1:29" ht="11.65" hidden="1" x14ac:dyDescent="0.35">
      <c r="A1685" s="12">
        <v>1668</v>
      </c>
      <c r="B1685" s="10" t="s">
        <v>1015</v>
      </c>
      <c r="C1685" s="11" t="s">
        <v>1135</v>
      </c>
      <c r="D1685" s="9"/>
      <c r="E1685" s="9">
        <v>762</v>
      </c>
      <c r="F1685" s="10" t="s">
        <v>1066</v>
      </c>
      <c r="G1685" s="9">
        <v>5500</v>
      </c>
      <c r="H1685" s="9">
        <v>1960</v>
      </c>
      <c r="I1685" s="8">
        <v>191.69300000000001</v>
      </c>
      <c r="J1685" s="8">
        <v>140.06</v>
      </c>
      <c r="K1685" s="8">
        <v>87.870999999999995</v>
      </c>
      <c r="L1685" s="8">
        <v>71.896000000000001</v>
      </c>
      <c r="M1685" s="8">
        <v>96.942999999999998</v>
      </c>
      <c r="N1685" s="8">
        <v>86.097999999999999</v>
      </c>
      <c r="O1685" s="8">
        <v>78.239000000000004</v>
      </c>
      <c r="P1685" s="8">
        <v>56.851999999999997</v>
      </c>
      <c r="Q1685" s="8">
        <v>42.179000000000002</v>
      </c>
      <c r="R1685" s="8">
        <v>50.685000000000002</v>
      </c>
      <c r="S1685" s="8">
        <v>45.677999999999997</v>
      </c>
      <c r="T1685" s="8">
        <v>42</v>
      </c>
      <c r="U1685" s="8">
        <v>30.094000000000001</v>
      </c>
      <c r="V1685" s="8">
        <v>18.207999999999998</v>
      </c>
      <c r="W1685" s="8">
        <v>17.39</v>
      </c>
      <c r="X1685" s="8">
        <v>9.4749999999999996</v>
      </c>
      <c r="Y1685" s="8">
        <v>4.9420000000000002</v>
      </c>
      <c r="Z1685" s="8">
        <v>1.4350000000000001</v>
      </c>
      <c r="AA1685" s="8">
        <v>0.18099999999999999</v>
      </c>
      <c r="AB1685" s="8">
        <v>3.5000000000000003E-2</v>
      </c>
      <c r="AC1685" s="8">
        <v>5.0000000000000001E-3</v>
      </c>
    </row>
    <row r="1686" spans="1:29" ht="11.65" hidden="1" x14ac:dyDescent="0.35">
      <c r="A1686" s="12">
        <v>1669</v>
      </c>
      <c r="B1686" s="10" t="s">
        <v>1015</v>
      </c>
      <c r="C1686" s="11" t="s">
        <v>1135</v>
      </c>
      <c r="D1686" s="9"/>
      <c r="E1686" s="9">
        <v>762</v>
      </c>
      <c r="F1686" s="10" t="s">
        <v>1066</v>
      </c>
      <c r="G1686" s="9">
        <v>5500</v>
      </c>
      <c r="H1686" s="9">
        <v>1965</v>
      </c>
      <c r="I1686" s="8">
        <v>232.15199999999999</v>
      </c>
      <c r="J1686" s="8">
        <v>186.69900000000001</v>
      </c>
      <c r="K1686" s="8">
        <v>140.63300000000001</v>
      </c>
      <c r="L1686" s="8">
        <v>88.403000000000006</v>
      </c>
      <c r="M1686" s="8">
        <v>72.022000000000006</v>
      </c>
      <c r="N1686" s="8">
        <v>96.578000000000003</v>
      </c>
      <c r="O1686" s="8">
        <v>85.63</v>
      </c>
      <c r="P1686" s="8">
        <v>77.369</v>
      </c>
      <c r="Q1686" s="8">
        <v>56.070999999999998</v>
      </c>
      <c r="R1686" s="8">
        <v>41.293999999999997</v>
      </c>
      <c r="S1686" s="8">
        <v>49.003</v>
      </c>
      <c r="T1686" s="8">
        <v>43.594000000000001</v>
      </c>
      <c r="U1686" s="8">
        <v>39.014000000000003</v>
      </c>
      <c r="V1686" s="8">
        <v>27.004000000000001</v>
      </c>
      <c r="W1686" s="8">
        <v>15.510999999999999</v>
      </c>
      <c r="X1686" s="8">
        <v>13.198</v>
      </c>
      <c r="Y1686" s="8">
        <v>7.0259999999999998</v>
      </c>
      <c r="Z1686" s="8">
        <v>1.861</v>
      </c>
      <c r="AA1686" s="8">
        <v>0.36</v>
      </c>
      <c r="AB1686" s="8">
        <v>2.8000000000000001E-2</v>
      </c>
      <c r="AC1686" s="8">
        <v>3.0000000000000001E-3</v>
      </c>
    </row>
    <row r="1687" spans="1:29" ht="11.65" hidden="1" x14ac:dyDescent="0.35">
      <c r="A1687" s="12">
        <v>1670</v>
      </c>
      <c r="B1687" s="10" t="s">
        <v>1015</v>
      </c>
      <c r="C1687" s="11" t="s">
        <v>1135</v>
      </c>
      <c r="D1687" s="9"/>
      <c r="E1687" s="9">
        <v>762</v>
      </c>
      <c r="F1687" s="10" t="s">
        <v>1066</v>
      </c>
      <c r="G1687" s="9">
        <v>5500</v>
      </c>
      <c r="H1687" s="9">
        <v>1970</v>
      </c>
      <c r="I1687" s="8">
        <v>253.667</v>
      </c>
      <c r="J1687" s="8">
        <v>227.46600000000001</v>
      </c>
      <c r="K1687" s="8">
        <v>187.685</v>
      </c>
      <c r="L1687" s="8">
        <v>141.37899999999999</v>
      </c>
      <c r="M1687" s="8">
        <v>88.569000000000003</v>
      </c>
      <c r="N1687" s="8">
        <v>72.019000000000005</v>
      </c>
      <c r="O1687" s="8">
        <v>96.126999999999995</v>
      </c>
      <c r="P1687" s="8">
        <v>85.001000000000005</v>
      </c>
      <c r="Q1687" s="8">
        <v>76.379000000000005</v>
      </c>
      <c r="R1687" s="8">
        <v>55.012</v>
      </c>
      <c r="S1687" s="8">
        <v>40.198</v>
      </c>
      <c r="T1687" s="8">
        <v>46.994</v>
      </c>
      <c r="U1687" s="8">
        <v>40.725999999999999</v>
      </c>
      <c r="V1687" s="8">
        <v>35.164000000000001</v>
      </c>
      <c r="W1687" s="8">
        <v>23.09</v>
      </c>
      <c r="X1687" s="8">
        <v>11.961</v>
      </c>
      <c r="Y1687" s="8">
        <v>9.8490000000000002</v>
      </c>
      <c r="Z1687" s="8">
        <v>2.665</v>
      </c>
      <c r="AA1687" s="8">
        <v>0.46899999999999997</v>
      </c>
      <c r="AB1687" s="8">
        <v>5.6000000000000001E-2</v>
      </c>
      <c r="AC1687" s="8">
        <v>3.0000000000000001E-3</v>
      </c>
    </row>
    <row r="1688" spans="1:29" ht="11.65" hidden="1" x14ac:dyDescent="0.35">
      <c r="A1688" s="12">
        <v>1671</v>
      </c>
      <c r="B1688" s="10" t="s">
        <v>1015</v>
      </c>
      <c r="C1688" s="11" t="s">
        <v>1135</v>
      </c>
      <c r="D1688" s="9"/>
      <c r="E1688" s="9">
        <v>762</v>
      </c>
      <c r="F1688" s="10" t="s">
        <v>1066</v>
      </c>
      <c r="G1688" s="9">
        <v>5500</v>
      </c>
      <c r="H1688" s="9">
        <v>1975</v>
      </c>
      <c r="I1688" s="8">
        <v>280.7</v>
      </c>
      <c r="J1688" s="8">
        <v>245.02500000000001</v>
      </c>
      <c r="K1688" s="8">
        <v>220.291</v>
      </c>
      <c r="L1688" s="8">
        <v>181.30199999999999</v>
      </c>
      <c r="M1688" s="8">
        <v>146.29300000000001</v>
      </c>
      <c r="N1688" s="8">
        <v>89.581000000000003</v>
      </c>
      <c r="O1688" s="8">
        <v>70.457999999999998</v>
      </c>
      <c r="P1688" s="8">
        <v>95.763999999999996</v>
      </c>
      <c r="Q1688" s="8">
        <v>81.703000000000003</v>
      </c>
      <c r="R1688" s="8">
        <v>73.456000000000003</v>
      </c>
      <c r="S1688" s="8">
        <v>63.566000000000003</v>
      </c>
      <c r="T1688" s="8">
        <v>41.447000000000003</v>
      </c>
      <c r="U1688" s="8">
        <v>41.515000000000001</v>
      </c>
      <c r="V1688" s="8">
        <v>34.601999999999997</v>
      </c>
      <c r="W1688" s="8">
        <v>27.074000000000002</v>
      </c>
      <c r="X1688" s="8">
        <v>14.898999999999999</v>
      </c>
      <c r="Y1688" s="8">
        <v>11.353</v>
      </c>
      <c r="Z1688" s="8">
        <v>3.778</v>
      </c>
      <c r="AA1688" s="8">
        <v>0.67600000000000005</v>
      </c>
      <c r="AB1688" s="8">
        <v>7.3999999999999996E-2</v>
      </c>
      <c r="AC1688" s="8">
        <v>5.0000000000000001E-3</v>
      </c>
    </row>
    <row r="1689" spans="1:29" ht="11.65" hidden="1" x14ac:dyDescent="0.35">
      <c r="A1689" s="12">
        <v>1672</v>
      </c>
      <c r="B1689" s="10" t="s">
        <v>1015</v>
      </c>
      <c r="C1689" s="11" t="s">
        <v>1135</v>
      </c>
      <c r="D1689" s="9"/>
      <c r="E1689" s="9">
        <v>762</v>
      </c>
      <c r="F1689" s="10" t="s">
        <v>1066</v>
      </c>
      <c r="G1689" s="9">
        <v>5500</v>
      </c>
      <c r="H1689" s="9">
        <v>1980</v>
      </c>
      <c r="I1689" s="8">
        <v>312.55399999999997</v>
      </c>
      <c r="J1689" s="8">
        <v>270.61700000000002</v>
      </c>
      <c r="K1689" s="8">
        <v>242.411</v>
      </c>
      <c r="L1689" s="8">
        <v>220.893</v>
      </c>
      <c r="M1689" s="8">
        <v>188.46199999999999</v>
      </c>
      <c r="N1689" s="8">
        <v>143.596</v>
      </c>
      <c r="O1689" s="8">
        <v>90.536000000000001</v>
      </c>
      <c r="P1689" s="8">
        <v>63.073999999999998</v>
      </c>
      <c r="Q1689" s="8">
        <v>92.763000000000005</v>
      </c>
      <c r="R1689" s="8">
        <v>79.191000000000003</v>
      </c>
      <c r="S1689" s="8">
        <v>72.778000000000006</v>
      </c>
      <c r="T1689" s="8">
        <v>57.911000000000001</v>
      </c>
      <c r="U1689" s="8">
        <v>40.206000000000003</v>
      </c>
      <c r="V1689" s="8">
        <v>36.267000000000003</v>
      </c>
      <c r="W1689" s="8">
        <v>28.193000000000001</v>
      </c>
      <c r="X1689" s="8">
        <v>21.209</v>
      </c>
      <c r="Y1689" s="8">
        <v>13.172000000000001</v>
      </c>
      <c r="Z1689" s="8">
        <v>4.4050000000000002</v>
      </c>
      <c r="AA1689" s="8">
        <v>0.96899999999999997</v>
      </c>
      <c r="AB1689" s="8">
        <v>0.107</v>
      </c>
      <c r="AC1689" s="8">
        <v>7.0000000000000001E-3</v>
      </c>
    </row>
    <row r="1690" spans="1:29" ht="11.65" hidden="1" x14ac:dyDescent="0.35">
      <c r="A1690" s="12">
        <v>1673</v>
      </c>
      <c r="B1690" s="10" t="s">
        <v>1015</v>
      </c>
      <c r="C1690" s="11" t="s">
        <v>1135</v>
      </c>
      <c r="D1690" s="9"/>
      <c r="E1690" s="9">
        <v>762</v>
      </c>
      <c r="F1690" s="10" t="s">
        <v>1066</v>
      </c>
      <c r="G1690" s="9">
        <v>5500</v>
      </c>
      <c r="H1690" s="9">
        <v>1985</v>
      </c>
      <c r="I1690" s="8">
        <v>386.11200000000002</v>
      </c>
      <c r="J1690" s="8">
        <v>304.90199999999999</v>
      </c>
      <c r="K1690" s="8">
        <v>269.12299999999999</v>
      </c>
      <c r="L1690" s="8">
        <v>238.399</v>
      </c>
      <c r="M1690" s="8">
        <v>218.73599999999999</v>
      </c>
      <c r="N1690" s="8">
        <v>185.48400000000001</v>
      </c>
      <c r="O1690" s="8">
        <v>139.77199999999999</v>
      </c>
      <c r="P1690" s="8">
        <v>87.292000000000002</v>
      </c>
      <c r="Q1690" s="8">
        <v>60.41</v>
      </c>
      <c r="R1690" s="8">
        <v>89.096000000000004</v>
      </c>
      <c r="S1690" s="8">
        <v>76.715999999999994</v>
      </c>
      <c r="T1690" s="8">
        <v>70.113</v>
      </c>
      <c r="U1690" s="8">
        <v>52.752000000000002</v>
      </c>
      <c r="V1690" s="8">
        <v>35.508000000000003</v>
      </c>
      <c r="W1690" s="8">
        <v>30.227</v>
      </c>
      <c r="X1690" s="8">
        <v>20.878</v>
      </c>
      <c r="Y1690" s="8">
        <v>17.855</v>
      </c>
      <c r="Z1690" s="8">
        <v>5.1390000000000002</v>
      </c>
      <c r="AA1690" s="8">
        <v>1.135</v>
      </c>
      <c r="AB1690" s="8">
        <v>0.153</v>
      </c>
      <c r="AC1690" s="8">
        <v>0.01</v>
      </c>
    </row>
    <row r="1691" spans="1:29" ht="11.65" hidden="1" x14ac:dyDescent="0.35">
      <c r="A1691" s="12">
        <v>1674</v>
      </c>
      <c r="B1691" s="10" t="s">
        <v>1015</v>
      </c>
      <c r="C1691" s="11" t="s">
        <v>1135</v>
      </c>
      <c r="D1691" s="9"/>
      <c r="E1691" s="9">
        <v>762</v>
      </c>
      <c r="F1691" s="10" t="s">
        <v>1066</v>
      </c>
      <c r="G1691" s="9">
        <v>5500</v>
      </c>
      <c r="H1691" s="9">
        <v>1990</v>
      </c>
      <c r="I1691" s="8">
        <v>462.65199999999999</v>
      </c>
      <c r="J1691" s="8">
        <v>376.78800000000001</v>
      </c>
      <c r="K1691" s="8">
        <v>302.90100000000001</v>
      </c>
      <c r="L1691" s="8">
        <v>261.92500000000001</v>
      </c>
      <c r="M1691" s="8">
        <v>235.392</v>
      </c>
      <c r="N1691" s="8">
        <v>216.465</v>
      </c>
      <c r="O1691" s="8">
        <v>182.30799999999999</v>
      </c>
      <c r="P1691" s="8">
        <v>135.279</v>
      </c>
      <c r="Q1691" s="8">
        <v>83.91</v>
      </c>
      <c r="R1691" s="8">
        <v>57.991999999999997</v>
      </c>
      <c r="S1691" s="8">
        <v>85.037000000000006</v>
      </c>
      <c r="T1691" s="8">
        <v>73.164000000000001</v>
      </c>
      <c r="U1691" s="8">
        <v>65.858000000000004</v>
      </c>
      <c r="V1691" s="8">
        <v>46.606999999999999</v>
      </c>
      <c r="W1691" s="8">
        <v>29.78</v>
      </c>
      <c r="X1691" s="8">
        <v>23.204999999999998</v>
      </c>
      <c r="Y1691" s="8">
        <v>16.747</v>
      </c>
      <c r="Z1691" s="8">
        <v>7.1070000000000002</v>
      </c>
      <c r="AA1691" s="8">
        <v>1.347</v>
      </c>
      <c r="AB1691" s="8">
        <v>0.182</v>
      </c>
      <c r="AC1691" s="8">
        <v>1.4E-2</v>
      </c>
    </row>
    <row r="1692" spans="1:29" ht="11.65" hidden="1" x14ac:dyDescent="0.35">
      <c r="A1692" s="12">
        <v>1675</v>
      </c>
      <c r="B1692" s="10" t="s">
        <v>1015</v>
      </c>
      <c r="C1692" s="11" t="s">
        <v>1135</v>
      </c>
      <c r="D1692" s="9"/>
      <c r="E1692" s="9">
        <v>762</v>
      </c>
      <c r="F1692" s="10" t="s">
        <v>1066</v>
      </c>
      <c r="G1692" s="9">
        <v>5500</v>
      </c>
      <c r="H1692" s="9">
        <v>1995</v>
      </c>
      <c r="I1692" s="8">
        <v>453.11700000000002</v>
      </c>
      <c r="J1692" s="8">
        <v>441.51799999999997</v>
      </c>
      <c r="K1692" s="8">
        <v>364.084</v>
      </c>
      <c r="L1692" s="8">
        <v>288.97500000000002</v>
      </c>
      <c r="M1692" s="8">
        <v>245.858</v>
      </c>
      <c r="N1692" s="8">
        <v>218.70099999999999</v>
      </c>
      <c r="O1692" s="8">
        <v>200.232</v>
      </c>
      <c r="P1692" s="8">
        <v>167.60599999999999</v>
      </c>
      <c r="Q1692" s="8">
        <v>122.123</v>
      </c>
      <c r="R1692" s="8">
        <v>73.959000000000003</v>
      </c>
      <c r="S1692" s="8">
        <v>50.377000000000002</v>
      </c>
      <c r="T1692" s="8">
        <v>74.524000000000001</v>
      </c>
      <c r="U1692" s="8">
        <v>60.241999999999997</v>
      </c>
      <c r="V1692" s="8">
        <v>51.951000000000001</v>
      </c>
      <c r="W1692" s="8">
        <v>34.133000000000003</v>
      </c>
      <c r="X1692" s="8">
        <v>18.698</v>
      </c>
      <c r="Y1692" s="8">
        <v>13.736000000000001</v>
      </c>
      <c r="Z1692" s="8">
        <v>6.6180000000000003</v>
      </c>
      <c r="AA1692" s="8">
        <v>1.851</v>
      </c>
      <c r="AB1692" s="8">
        <v>0.215</v>
      </c>
      <c r="AC1692" s="8">
        <v>1.7000000000000001E-2</v>
      </c>
    </row>
    <row r="1693" spans="1:29" ht="11.65" hidden="1" x14ac:dyDescent="0.35">
      <c r="A1693" s="12">
        <v>1676</v>
      </c>
      <c r="B1693" s="10" t="s">
        <v>1015</v>
      </c>
      <c r="C1693" s="11" t="s">
        <v>1135</v>
      </c>
      <c r="D1693" s="9"/>
      <c r="E1693" s="9">
        <v>762</v>
      </c>
      <c r="F1693" s="10" t="s">
        <v>1066</v>
      </c>
      <c r="G1693" s="9">
        <v>5500</v>
      </c>
      <c r="H1693" s="9">
        <v>2000</v>
      </c>
      <c r="I1693" s="8">
        <v>436.76900000000001</v>
      </c>
      <c r="J1693" s="8">
        <v>435.17</v>
      </c>
      <c r="K1693" s="8">
        <v>428.20699999999999</v>
      </c>
      <c r="L1693" s="8">
        <v>348.142</v>
      </c>
      <c r="M1693" s="8">
        <v>271.61399999999998</v>
      </c>
      <c r="N1693" s="8">
        <v>235.417</v>
      </c>
      <c r="O1693" s="8">
        <v>209.262</v>
      </c>
      <c r="P1693" s="8">
        <v>190.55199999999999</v>
      </c>
      <c r="Q1693" s="8">
        <v>152.4</v>
      </c>
      <c r="R1693" s="8">
        <v>108.57899999999999</v>
      </c>
      <c r="S1693" s="8">
        <v>63.786000000000001</v>
      </c>
      <c r="T1693" s="8">
        <v>42.631</v>
      </c>
      <c r="U1693" s="8">
        <v>61.841000000000001</v>
      </c>
      <c r="V1693" s="8">
        <v>43.008000000000003</v>
      </c>
      <c r="W1693" s="8">
        <v>35.776000000000003</v>
      </c>
      <c r="X1693" s="8">
        <v>22.234999999999999</v>
      </c>
      <c r="Y1693" s="8">
        <v>9.6890000000000001</v>
      </c>
      <c r="Z1693" s="8">
        <v>5.4740000000000002</v>
      </c>
      <c r="AA1693" s="8">
        <v>1.7370000000000001</v>
      </c>
      <c r="AB1693" s="8">
        <v>0.29699999999999999</v>
      </c>
      <c r="AC1693" s="8">
        <v>0.02</v>
      </c>
    </row>
    <row r="1694" spans="1:29" ht="11.65" hidden="1" x14ac:dyDescent="0.35">
      <c r="A1694" s="12">
        <v>1677</v>
      </c>
      <c r="B1694" s="10" t="s">
        <v>1015</v>
      </c>
      <c r="C1694" s="11" t="s">
        <v>1135</v>
      </c>
      <c r="D1694" s="9"/>
      <c r="E1694" s="9">
        <v>762</v>
      </c>
      <c r="F1694" s="10" t="s">
        <v>1066</v>
      </c>
      <c r="G1694" s="9">
        <v>5500</v>
      </c>
      <c r="H1694" s="9">
        <v>2005</v>
      </c>
      <c r="I1694" s="8">
        <v>416.74</v>
      </c>
      <c r="J1694" s="8">
        <v>414.149</v>
      </c>
      <c r="K1694" s="8">
        <v>431.93400000000003</v>
      </c>
      <c r="L1694" s="8">
        <v>423.09899999999999</v>
      </c>
      <c r="M1694" s="8">
        <v>341.50200000000001</v>
      </c>
      <c r="N1694" s="8">
        <v>256.29599999999999</v>
      </c>
      <c r="O1694" s="8">
        <v>224.298</v>
      </c>
      <c r="P1694" s="8">
        <v>201.09399999999999</v>
      </c>
      <c r="Q1694" s="8">
        <v>186.15</v>
      </c>
      <c r="R1694" s="8">
        <v>147.869</v>
      </c>
      <c r="S1694" s="8">
        <v>103.68899999999999</v>
      </c>
      <c r="T1694" s="8">
        <v>55.421999999999997</v>
      </c>
      <c r="U1694" s="8">
        <v>39.323</v>
      </c>
      <c r="V1694" s="8">
        <v>54.959000000000003</v>
      </c>
      <c r="W1694" s="8">
        <v>32.758000000000003</v>
      </c>
      <c r="X1694" s="8">
        <v>26.811</v>
      </c>
      <c r="Y1694" s="8">
        <v>14.279</v>
      </c>
      <c r="Z1694" s="8">
        <v>4.0430000000000001</v>
      </c>
      <c r="AA1694" s="8">
        <v>1.5009999999999999</v>
      </c>
      <c r="AB1694" s="8">
        <v>0.28799999999999998</v>
      </c>
      <c r="AC1694" s="8">
        <v>2.8000000000000001E-2</v>
      </c>
    </row>
    <row r="1695" spans="1:29" ht="11.65" hidden="1" x14ac:dyDescent="0.35">
      <c r="A1695" s="12">
        <v>1678</v>
      </c>
      <c r="B1695" s="10" t="s">
        <v>1015</v>
      </c>
      <c r="C1695" s="11" t="s">
        <v>1135</v>
      </c>
      <c r="D1695" s="9"/>
      <c r="E1695" s="9">
        <v>762</v>
      </c>
      <c r="F1695" s="10" t="s">
        <v>1066</v>
      </c>
      <c r="G1695" s="9">
        <v>5500</v>
      </c>
      <c r="H1695" s="9">
        <v>2010</v>
      </c>
      <c r="I1695" s="8">
        <v>479.37</v>
      </c>
      <c r="J1695" s="8">
        <v>402.35899999999998</v>
      </c>
      <c r="K1695" s="8">
        <v>425.44600000000003</v>
      </c>
      <c r="L1695" s="8">
        <v>424.91399999999999</v>
      </c>
      <c r="M1695" s="8">
        <v>414.935</v>
      </c>
      <c r="N1695" s="8">
        <v>317.14100000000002</v>
      </c>
      <c r="O1695" s="8">
        <v>249.345</v>
      </c>
      <c r="P1695" s="8">
        <v>219.13800000000001</v>
      </c>
      <c r="Q1695" s="8">
        <v>200.95500000000001</v>
      </c>
      <c r="R1695" s="8">
        <v>181.51400000000001</v>
      </c>
      <c r="S1695" s="8">
        <v>142.191</v>
      </c>
      <c r="T1695" s="8">
        <v>90.024000000000001</v>
      </c>
      <c r="U1695" s="8">
        <v>56.140999999999998</v>
      </c>
      <c r="V1695" s="8">
        <v>34.020000000000003</v>
      </c>
      <c r="W1695" s="8">
        <v>39.823999999999998</v>
      </c>
      <c r="X1695" s="8">
        <v>26.568000000000001</v>
      </c>
      <c r="Y1695" s="8">
        <v>17.876999999999999</v>
      </c>
      <c r="Z1695" s="8">
        <v>6.327</v>
      </c>
      <c r="AA1695" s="8">
        <v>1.177</v>
      </c>
      <c r="AB1695" s="8">
        <v>0.26400000000000001</v>
      </c>
      <c r="AC1695" s="8">
        <v>2.9000000000000001E-2</v>
      </c>
    </row>
    <row r="1696" spans="1:29" ht="11.65" hidden="1" x14ac:dyDescent="0.35">
      <c r="A1696" s="12">
        <v>1679</v>
      </c>
      <c r="B1696" s="10" t="s">
        <v>1015</v>
      </c>
      <c r="C1696" s="11" t="s">
        <v>1135</v>
      </c>
      <c r="D1696" s="9"/>
      <c r="E1696" s="9">
        <v>762</v>
      </c>
      <c r="F1696" s="10" t="s">
        <v>1066</v>
      </c>
      <c r="G1696" s="9">
        <v>5500</v>
      </c>
      <c r="H1696" s="9">
        <v>2015</v>
      </c>
      <c r="I1696" s="8">
        <v>596.80399999999997</v>
      </c>
      <c r="J1696" s="8">
        <v>476.00700000000001</v>
      </c>
      <c r="K1696" s="8">
        <v>400.53800000000001</v>
      </c>
      <c r="L1696" s="8">
        <v>417.33</v>
      </c>
      <c r="M1696" s="8">
        <v>410.85899999999998</v>
      </c>
      <c r="N1696" s="8">
        <v>401.50299999999999</v>
      </c>
      <c r="O1696" s="8">
        <v>306.99599999999998</v>
      </c>
      <c r="P1696" s="8">
        <v>242.005</v>
      </c>
      <c r="Q1696" s="8">
        <v>213.482</v>
      </c>
      <c r="R1696" s="8">
        <v>196.142</v>
      </c>
      <c r="S1696" s="8">
        <v>176.55</v>
      </c>
      <c r="T1696" s="8">
        <v>136.34800000000001</v>
      </c>
      <c r="U1696" s="8">
        <v>83.772000000000006</v>
      </c>
      <c r="V1696" s="8">
        <v>49.93</v>
      </c>
      <c r="W1696" s="8">
        <v>28.033000000000001</v>
      </c>
      <c r="X1696" s="8">
        <v>28.734000000000002</v>
      </c>
      <c r="Y1696" s="8">
        <v>14.532999999999999</v>
      </c>
      <c r="Z1696" s="8">
        <v>7.3019999999999996</v>
      </c>
      <c r="AA1696" s="8">
        <v>1.631</v>
      </c>
      <c r="AB1696" s="8">
        <v>0.16500000000000001</v>
      </c>
      <c r="AC1696" s="8">
        <v>1.9E-2</v>
      </c>
    </row>
    <row r="1697" spans="1:29" ht="11.65" hidden="1" x14ac:dyDescent="0.35">
      <c r="A1697" s="12">
        <v>1680</v>
      </c>
      <c r="B1697" s="10" t="s">
        <v>1015</v>
      </c>
      <c r="C1697" s="11" t="s">
        <v>1135</v>
      </c>
      <c r="D1697" s="9"/>
      <c r="E1697" s="9">
        <v>762</v>
      </c>
      <c r="F1697" s="10" t="s">
        <v>1066</v>
      </c>
      <c r="G1697" s="9">
        <v>5500</v>
      </c>
      <c r="H1697" s="9">
        <v>2020</v>
      </c>
      <c r="I1697" s="8">
        <v>659.21500000000003</v>
      </c>
      <c r="J1697" s="8">
        <v>594.21199999999999</v>
      </c>
      <c r="K1697" s="8">
        <v>474.74200000000002</v>
      </c>
      <c r="L1697" s="8">
        <v>395.36599999999999</v>
      </c>
      <c r="M1697" s="8">
        <v>408.35599999999999</v>
      </c>
      <c r="N1697" s="8">
        <v>402.20699999999999</v>
      </c>
      <c r="O1697" s="8">
        <v>394.608</v>
      </c>
      <c r="P1697" s="8">
        <v>301.815</v>
      </c>
      <c r="Q1697" s="8">
        <v>237.87700000000001</v>
      </c>
      <c r="R1697" s="8">
        <v>209.749</v>
      </c>
      <c r="S1697" s="8">
        <v>191.87299999999999</v>
      </c>
      <c r="T1697" s="8">
        <v>170.45599999999999</v>
      </c>
      <c r="U1697" s="8">
        <v>128.11500000000001</v>
      </c>
      <c r="V1697" s="8">
        <v>75.462999999999994</v>
      </c>
      <c r="W1697" s="8">
        <v>41.881</v>
      </c>
      <c r="X1697" s="8">
        <v>20.64</v>
      </c>
      <c r="Y1697" s="8">
        <v>16.933</v>
      </c>
      <c r="Z1697" s="8">
        <v>6.1710000000000003</v>
      </c>
      <c r="AA1697" s="8">
        <v>1.972</v>
      </c>
      <c r="AB1697" s="8">
        <v>0.24</v>
      </c>
      <c r="AC1697" s="8">
        <v>1.2999999999999999E-2</v>
      </c>
    </row>
    <row r="1698" spans="1:29" ht="11.65" hidden="1" x14ac:dyDescent="0.35">
      <c r="A1698" s="12">
        <v>1681</v>
      </c>
      <c r="B1698" s="10" t="s">
        <v>1015</v>
      </c>
      <c r="C1698" s="11" t="s">
        <v>1136</v>
      </c>
      <c r="D1698" s="9"/>
      <c r="E1698" s="9">
        <v>795</v>
      </c>
      <c r="F1698" s="10" t="s">
        <v>1066</v>
      </c>
      <c r="G1698" s="9">
        <v>5500</v>
      </c>
      <c r="H1698" s="9">
        <v>1950</v>
      </c>
      <c r="I1698" s="8">
        <v>68.941999999999993</v>
      </c>
      <c r="J1698" s="8">
        <v>52.856999999999999</v>
      </c>
      <c r="K1698" s="8">
        <v>70.340999999999994</v>
      </c>
      <c r="L1698" s="8">
        <v>59.25</v>
      </c>
      <c r="M1698" s="8">
        <v>60.151000000000003</v>
      </c>
      <c r="N1698" s="8">
        <v>45.162999999999997</v>
      </c>
      <c r="O1698" s="8">
        <v>35.570999999999998</v>
      </c>
      <c r="P1698" s="8">
        <v>46.362000000000002</v>
      </c>
      <c r="Q1698" s="8">
        <v>39.667000000000002</v>
      </c>
      <c r="R1698" s="8">
        <v>35.67</v>
      </c>
      <c r="S1698" s="8">
        <v>25.678999999999998</v>
      </c>
      <c r="T1698" s="8">
        <v>19.084</v>
      </c>
      <c r="U1698" s="8">
        <v>21.582000000000001</v>
      </c>
      <c r="V1698" s="8">
        <v>15.587</v>
      </c>
      <c r="W1698" s="8">
        <v>10.89</v>
      </c>
      <c r="X1698" s="8">
        <v>6.3949999999999996</v>
      </c>
      <c r="Y1698" s="8">
        <v>2.5259999999999998</v>
      </c>
      <c r="Z1698" s="8">
        <v>1.1659999999999999</v>
      </c>
      <c r="AA1698" s="8">
        <v>0.39800000000000002</v>
      </c>
      <c r="AB1698" s="8">
        <v>9.2999999999999999E-2</v>
      </c>
      <c r="AC1698" s="8">
        <v>1.2999999999999999E-2</v>
      </c>
    </row>
    <row r="1699" spans="1:29" ht="11.65" hidden="1" x14ac:dyDescent="0.35">
      <c r="A1699" s="12">
        <v>1682</v>
      </c>
      <c r="B1699" s="10" t="s">
        <v>1015</v>
      </c>
      <c r="C1699" s="11" t="s">
        <v>1136</v>
      </c>
      <c r="D1699" s="9"/>
      <c r="E1699" s="9">
        <v>795</v>
      </c>
      <c r="F1699" s="10" t="s">
        <v>1066</v>
      </c>
      <c r="G1699" s="9">
        <v>5500</v>
      </c>
      <c r="H1699" s="9">
        <v>1955</v>
      </c>
      <c r="I1699" s="8">
        <v>107.666</v>
      </c>
      <c r="J1699" s="8">
        <v>66.951999999999998</v>
      </c>
      <c r="K1699" s="8">
        <v>53.082999999999998</v>
      </c>
      <c r="L1699" s="8">
        <v>70.343999999999994</v>
      </c>
      <c r="M1699" s="8">
        <v>58.969000000000001</v>
      </c>
      <c r="N1699" s="8">
        <v>59.667999999999999</v>
      </c>
      <c r="O1699" s="8">
        <v>44.701999999999998</v>
      </c>
      <c r="P1699" s="8">
        <v>35.023000000000003</v>
      </c>
      <c r="Q1699" s="8">
        <v>45.6</v>
      </c>
      <c r="R1699" s="8">
        <v>38.814</v>
      </c>
      <c r="S1699" s="8">
        <v>33.924999999999997</v>
      </c>
      <c r="T1699" s="8">
        <v>23.747</v>
      </c>
      <c r="U1699" s="8">
        <v>16.962</v>
      </c>
      <c r="V1699" s="8">
        <v>18.359000000000002</v>
      </c>
      <c r="W1699" s="8">
        <v>12.272</v>
      </c>
      <c r="X1699" s="8">
        <v>7.5839999999999996</v>
      </c>
      <c r="Y1699" s="8">
        <v>3.601</v>
      </c>
      <c r="Z1699" s="8">
        <v>1.069</v>
      </c>
      <c r="AA1699" s="8">
        <v>0.33800000000000002</v>
      </c>
      <c r="AB1699" s="8">
        <v>7.2999999999999995E-2</v>
      </c>
      <c r="AC1699" s="8">
        <v>1.0999999999999999E-2</v>
      </c>
    </row>
    <row r="1700" spans="1:29" ht="11.65" hidden="1" x14ac:dyDescent="0.35">
      <c r="A1700" s="12">
        <v>1683</v>
      </c>
      <c r="B1700" s="10" t="s">
        <v>1015</v>
      </c>
      <c r="C1700" s="11" t="s">
        <v>1136</v>
      </c>
      <c r="D1700" s="9"/>
      <c r="E1700" s="9">
        <v>795</v>
      </c>
      <c r="F1700" s="10" t="s">
        <v>1066</v>
      </c>
      <c r="G1700" s="9">
        <v>5500</v>
      </c>
      <c r="H1700" s="9">
        <v>1960</v>
      </c>
      <c r="I1700" s="8">
        <v>142.489</v>
      </c>
      <c r="J1700" s="8">
        <v>106.12</v>
      </c>
      <c r="K1700" s="8">
        <v>67.986999999999995</v>
      </c>
      <c r="L1700" s="8">
        <v>53.988999999999997</v>
      </c>
      <c r="M1700" s="8">
        <v>70.787000000000006</v>
      </c>
      <c r="N1700" s="8">
        <v>59.488999999999997</v>
      </c>
      <c r="O1700" s="8">
        <v>59.787999999999997</v>
      </c>
      <c r="P1700" s="8">
        <v>44.692</v>
      </c>
      <c r="Q1700" s="8">
        <v>35.093000000000004</v>
      </c>
      <c r="R1700" s="8">
        <v>45.091999999999999</v>
      </c>
      <c r="S1700" s="8">
        <v>37.593000000000004</v>
      </c>
      <c r="T1700" s="8">
        <v>31.994</v>
      </c>
      <c r="U1700" s="8">
        <v>21.596</v>
      </c>
      <c r="V1700" s="8">
        <v>14.795999999999999</v>
      </c>
      <c r="W1700" s="8">
        <v>14.797000000000001</v>
      </c>
      <c r="X1700" s="8">
        <v>8.8989999999999991</v>
      </c>
      <c r="Y1700" s="8">
        <v>4.3070000000000004</v>
      </c>
      <c r="Z1700" s="8">
        <v>1.59</v>
      </c>
      <c r="AA1700" s="8">
        <v>0.32900000000000001</v>
      </c>
      <c r="AB1700" s="8">
        <v>6.4000000000000001E-2</v>
      </c>
      <c r="AC1700" s="8">
        <v>8.9999999999999993E-3</v>
      </c>
    </row>
    <row r="1701" spans="1:29" ht="11.65" hidden="1" x14ac:dyDescent="0.35">
      <c r="A1701" s="12">
        <v>1684</v>
      </c>
      <c r="B1701" s="10" t="s">
        <v>1015</v>
      </c>
      <c r="C1701" s="11" t="s">
        <v>1136</v>
      </c>
      <c r="D1701" s="9"/>
      <c r="E1701" s="9">
        <v>795</v>
      </c>
      <c r="F1701" s="10" t="s">
        <v>1066</v>
      </c>
      <c r="G1701" s="9">
        <v>5500</v>
      </c>
      <c r="H1701" s="9">
        <v>1965</v>
      </c>
      <c r="I1701" s="8">
        <v>170.65299999999999</v>
      </c>
      <c r="J1701" s="8">
        <v>140.584</v>
      </c>
      <c r="K1701" s="8">
        <v>107.15600000000001</v>
      </c>
      <c r="L1701" s="8">
        <v>68.775999999999996</v>
      </c>
      <c r="M1701" s="8">
        <v>54.381</v>
      </c>
      <c r="N1701" s="8">
        <v>70.974000000000004</v>
      </c>
      <c r="O1701" s="8">
        <v>59.576999999999998</v>
      </c>
      <c r="P1701" s="8">
        <v>59.578000000000003</v>
      </c>
      <c r="Q1701" s="8">
        <v>44.484000000000002</v>
      </c>
      <c r="R1701" s="8">
        <v>34.786000000000001</v>
      </c>
      <c r="S1701" s="8">
        <v>43.584000000000003</v>
      </c>
      <c r="T1701" s="8">
        <v>35.487000000000002</v>
      </c>
      <c r="U1701" s="8">
        <v>29.189</v>
      </c>
      <c r="V1701" s="8">
        <v>18.893000000000001</v>
      </c>
      <c r="W1701" s="8">
        <v>11.996</v>
      </c>
      <c r="X1701" s="8">
        <v>10.795999999999999</v>
      </c>
      <c r="Y1701" s="8">
        <v>5.1260000000000003</v>
      </c>
      <c r="Z1701" s="8">
        <v>1.9810000000000001</v>
      </c>
      <c r="AA1701" s="8">
        <v>0.51500000000000001</v>
      </c>
      <c r="AB1701" s="8">
        <v>6.8000000000000005E-2</v>
      </c>
      <c r="AC1701" s="8">
        <v>8.9999999999999993E-3</v>
      </c>
    </row>
    <row r="1702" spans="1:29" ht="11.65" hidden="1" x14ac:dyDescent="0.35">
      <c r="A1702" s="12">
        <v>1685</v>
      </c>
      <c r="B1702" s="10" t="s">
        <v>1015</v>
      </c>
      <c r="C1702" s="11" t="s">
        <v>1136</v>
      </c>
      <c r="D1702" s="9"/>
      <c r="E1702" s="9">
        <v>795</v>
      </c>
      <c r="F1702" s="10" t="s">
        <v>1066</v>
      </c>
      <c r="G1702" s="9">
        <v>5500</v>
      </c>
      <c r="H1702" s="9">
        <v>1970</v>
      </c>
      <c r="I1702" s="8">
        <v>177.40899999999999</v>
      </c>
      <c r="J1702" s="8">
        <v>168.864</v>
      </c>
      <c r="K1702" s="8">
        <v>141.84100000000001</v>
      </c>
      <c r="L1702" s="8">
        <v>108.08199999999999</v>
      </c>
      <c r="M1702" s="8">
        <v>69.210999999999999</v>
      </c>
      <c r="N1702" s="8">
        <v>54.752000000000002</v>
      </c>
      <c r="O1702" s="8">
        <v>71.013000000000005</v>
      </c>
      <c r="P1702" s="8">
        <v>59.508000000000003</v>
      </c>
      <c r="Q1702" s="8">
        <v>59.298000000000002</v>
      </c>
      <c r="R1702" s="8">
        <v>44.112000000000002</v>
      </c>
      <c r="S1702" s="8">
        <v>33.856999999999999</v>
      </c>
      <c r="T1702" s="8">
        <v>41.319000000000003</v>
      </c>
      <c r="U1702" s="8">
        <v>32.607999999999997</v>
      </c>
      <c r="V1702" s="8">
        <v>25.632999999999999</v>
      </c>
      <c r="W1702" s="8">
        <v>15.500999999999999</v>
      </c>
      <c r="X1702" s="8">
        <v>8.9710000000000001</v>
      </c>
      <c r="Y1702" s="8">
        <v>6.2220000000000004</v>
      </c>
      <c r="Z1702" s="8">
        <v>2.4580000000000002</v>
      </c>
      <c r="AA1702" s="8">
        <v>0.67800000000000005</v>
      </c>
      <c r="AB1702" s="8">
        <v>0.113</v>
      </c>
      <c r="AC1702" s="8">
        <v>0.01</v>
      </c>
    </row>
    <row r="1703" spans="1:29" ht="11.65" hidden="1" x14ac:dyDescent="0.35">
      <c r="A1703" s="12">
        <v>1686</v>
      </c>
      <c r="B1703" s="10" t="s">
        <v>1015</v>
      </c>
      <c r="C1703" s="11" t="s">
        <v>1136</v>
      </c>
      <c r="D1703" s="9"/>
      <c r="E1703" s="9">
        <v>795</v>
      </c>
      <c r="F1703" s="10" t="s">
        <v>1066</v>
      </c>
      <c r="G1703" s="9">
        <v>5500</v>
      </c>
      <c r="H1703" s="9">
        <v>1975</v>
      </c>
      <c r="I1703" s="8">
        <v>196.72499999999999</v>
      </c>
      <c r="J1703" s="8">
        <v>178.72200000000001</v>
      </c>
      <c r="K1703" s="8">
        <v>165.76599999999999</v>
      </c>
      <c r="L1703" s="8">
        <v>141.13</v>
      </c>
      <c r="M1703" s="8">
        <v>115.03700000000001</v>
      </c>
      <c r="N1703" s="8">
        <v>71.084000000000003</v>
      </c>
      <c r="O1703" s="8">
        <v>54.125</v>
      </c>
      <c r="P1703" s="8">
        <v>69.641999999999996</v>
      </c>
      <c r="Q1703" s="8">
        <v>56.968000000000004</v>
      </c>
      <c r="R1703" s="8">
        <v>57.613999999999997</v>
      </c>
      <c r="S1703" s="8">
        <v>45.290999999999997</v>
      </c>
      <c r="T1703" s="8">
        <v>33.615000000000002</v>
      </c>
      <c r="U1703" s="8">
        <v>35.238</v>
      </c>
      <c r="V1703" s="8">
        <v>26.998999999999999</v>
      </c>
      <c r="W1703" s="8">
        <v>19.126000000000001</v>
      </c>
      <c r="X1703" s="8">
        <v>10.818</v>
      </c>
      <c r="Y1703" s="8">
        <v>6.6849999999999996</v>
      </c>
      <c r="Z1703" s="8">
        <v>3.0430000000000001</v>
      </c>
      <c r="AA1703" s="8">
        <v>0.86</v>
      </c>
      <c r="AB1703" s="8">
        <v>0.152</v>
      </c>
      <c r="AC1703" s="8">
        <v>1.6E-2</v>
      </c>
    </row>
    <row r="1704" spans="1:29" ht="11.65" hidden="1" x14ac:dyDescent="0.35">
      <c r="A1704" s="12">
        <v>1687</v>
      </c>
      <c r="B1704" s="10" t="s">
        <v>1015</v>
      </c>
      <c r="C1704" s="11" t="s">
        <v>1136</v>
      </c>
      <c r="D1704" s="9"/>
      <c r="E1704" s="9">
        <v>795</v>
      </c>
      <c r="F1704" s="10" t="s">
        <v>1066</v>
      </c>
      <c r="G1704" s="9">
        <v>5500</v>
      </c>
      <c r="H1704" s="9">
        <v>1980</v>
      </c>
      <c r="I1704" s="8">
        <v>221.19</v>
      </c>
      <c r="J1704" s="8">
        <v>194.28299999999999</v>
      </c>
      <c r="K1704" s="8">
        <v>177.73</v>
      </c>
      <c r="L1704" s="8">
        <v>163.04400000000001</v>
      </c>
      <c r="M1704" s="8">
        <v>145.404</v>
      </c>
      <c r="N1704" s="8">
        <v>115.233</v>
      </c>
      <c r="O1704" s="8">
        <v>73.944999999999993</v>
      </c>
      <c r="P1704" s="8">
        <v>48.951000000000001</v>
      </c>
      <c r="Q1704" s="8">
        <v>68.156000000000006</v>
      </c>
      <c r="R1704" s="8">
        <v>54.000999999999998</v>
      </c>
      <c r="S1704" s="8">
        <v>55.957999999999998</v>
      </c>
      <c r="T1704" s="8">
        <v>43.01</v>
      </c>
      <c r="U1704" s="8">
        <v>31.483000000000001</v>
      </c>
      <c r="V1704" s="8">
        <v>29.385999999999999</v>
      </c>
      <c r="W1704" s="8">
        <v>20.79</v>
      </c>
      <c r="X1704" s="8">
        <v>13.8</v>
      </c>
      <c r="Y1704" s="8">
        <v>7.444</v>
      </c>
      <c r="Z1704" s="8">
        <v>3.2709999999999999</v>
      </c>
      <c r="AA1704" s="8">
        <v>1.0569999999999999</v>
      </c>
      <c r="AB1704" s="8">
        <v>0.19</v>
      </c>
      <c r="AC1704" s="8">
        <v>2.1000000000000001E-2</v>
      </c>
    </row>
    <row r="1705" spans="1:29" ht="11.65" hidden="1" x14ac:dyDescent="0.35">
      <c r="A1705" s="12">
        <v>1688</v>
      </c>
      <c r="B1705" s="10" t="s">
        <v>1015</v>
      </c>
      <c r="C1705" s="11" t="s">
        <v>1136</v>
      </c>
      <c r="D1705" s="9"/>
      <c r="E1705" s="9">
        <v>795</v>
      </c>
      <c r="F1705" s="10" t="s">
        <v>1066</v>
      </c>
      <c r="G1705" s="9">
        <v>5500</v>
      </c>
      <c r="H1705" s="9">
        <v>1985</v>
      </c>
      <c r="I1705" s="8">
        <v>245.03200000000001</v>
      </c>
      <c r="J1705" s="8">
        <v>214.934</v>
      </c>
      <c r="K1705" s="8">
        <v>191.88399999999999</v>
      </c>
      <c r="L1705" s="8">
        <v>171.55199999999999</v>
      </c>
      <c r="M1705" s="8">
        <v>165.70599999999999</v>
      </c>
      <c r="N1705" s="8">
        <v>145.93100000000001</v>
      </c>
      <c r="O1705" s="8">
        <v>112.373</v>
      </c>
      <c r="P1705" s="8">
        <v>70.668000000000006</v>
      </c>
      <c r="Q1705" s="8">
        <v>47.124000000000002</v>
      </c>
      <c r="R1705" s="8">
        <v>65.159000000000006</v>
      </c>
      <c r="S1705" s="8">
        <v>51.847999999999999</v>
      </c>
      <c r="T1705" s="8">
        <v>52.933999999999997</v>
      </c>
      <c r="U1705" s="8">
        <v>38.950000000000003</v>
      </c>
      <c r="V1705" s="8">
        <v>27.306999999999999</v>
      </c>
      <c r="W1705" s="8">
        <v>24.077999999999999</v>
      </c>
      <c r="X1705" s="8">
        <v>15.066000000000001</v>
      </c>
      <c r="Y1705" s="8">
        <v>9.3450000000000006</v>
      </c>
      <c r="Z1705" s="8">
        <v>3.7050000000000001</v>
      </c>
      <c r="AA1705" s="8">
        <v>1.157</v>
      </c>
      <c r="AB1705" s="8">
        <v>0.23899999999999999</v>
      </c>
      <c r="AC1705" s="8">
        <v>2.7E-2</v>
      </c>
    </row>
    <row r="1706" spans="1:29" ht="11.65" hidden="1" x14ac:dyDescent="0.35">
      <c r="A1706" s="12">
        <v>1689</v>
      </c>
      <c r="B1706" s="10" t="s">
        <v>1015</v>
      </c>
      <c r="C1706" s="11" t="s">
        <v>1136</v>
      </c>
      <c r="D1706" s="9"/>
      <c r="E1706" s="9">
        <v>795</v>
      </c>
      <c r="F1706" s="10" t="s">
        <v>1066</v>
      </c>
      <c r="G1706" s="9">
        <v>5500</v>
      </c>
      <c r="H1706" s="9">
        <v>1990</v>
      </c>
      <c r="I1706" s="8">
        <v>286.37299999999999</v>
      </c>
      <c r="J1706" s="8">
        <v>239.244</v>
      </c>
      <c r="K1706" s="8">
        <v>213.071</v>
      </c>
      <c r="L1706" s="8">
        <v>185.494</v>
      </c>
      <c r="M1706" s="8">
        <v>168.697</v>
      </c>
      <c r="N1706" s="8">
        <v>164.97200000000001</v>
      </c>
      <c r="O1706" s="8">
        <v>143.02799999999999</v>
      </c>
      <c r="P1706" s="8">
        <v>109.18600000000001</v>
      </c>
      <c r="Q1706" s="8">
        <v>67.831999999999994</v>
      </c>
      <c r="R1706" s="8">
        <v>45.53</v>
      </c>
      <c r="S1706" s="8">
        <v>62.107999999999997</v>
      </c>
      <c r="T1706" s="8">
        <v>48.862000000000002</v>
      </c>
      <c r="U1706" s="8">
        <v>48.405999999999999</v>
      </c>
      <c r="V1706" s="8">
        <v>34.125</v>
      </c>
      <c r="W1706" s="8">
        <v>22.376000000000001</v>
      </c>
      <c r="X1706" s="8">
        <v>18.071000000000002</v>
      </c>
      <c r="Y1706" s="8">
        <v>9.9149999999999991</v>
      </c>
      <c r="Z1706" s="8">
        <v>4.6340000000000003</v>
      </c>
      <c r="AA1706" s="8">
        <v>1.2949999999999999</v>
      </c>
      <c r="AB1706" s="8">
        <v>0.254</v>
      </c>
      <c r="AC1706" s="8">
        <v>3.2000000000000001E-2</v>
      </c>
    </row>
    <row r="1707" spans="1:29" ht="11.65" hidden="1" x14ac:dyDescent="0.35">
      <c r="A1707" s="12">
        <v>1690</v>
      </c>
      <c r="B1707" s="10" t="s">
        <v>1015</v>
      </c>
      <c r="C1707" s="11" t="s">
        <v>1136</v>
      </c>
      <c r="D1707" s="9"/>
      <c r="E1707" s="9">
        <v>795</v>
      </c>
      <c r="F1707" s="10" t="s">
        <v>1066</v>
      </c>
      <c r="G1707" s="9">
        <v>5500</v>
      </c>
      <c r="H1707" s="9">
        <v>1995</v>
      </c>
      <c r="I1707" s="8">
        <v>294.98500000000001</v>
      </c>
      <c r="J1707" s="8">
        <v>285.04399999999998</v>
      </c>
      <c r="K1707" s="8">
        <v>241.20099999999999</v>
      </c>
      <c r="L1707" s="8">
        <v>215.066</v>
      </c>
      <c r="M1707" s="8">
        <v>186.82400000000001</v>
      </c>
      <c r="N1707" s="8">
        <v>169.67599999999999</v>
      </c>
      <c r="O1707" s="8">
        <v>165.501</v>
      </c>
      <c r="P1707" s="8">
        <v>143.02099999999999</v>
      </c>
      <c r="Q1707" s="8">
        <v>108.688</v>
      </c>
      <c r="R1707" s="8">
        <v>67.135000000000005</v>
      </c>
      <c r="S1707" s="8">
        <v>44.817</v>
      </c>
      <c r="T1707" s="8">
        <v>59.987000000000002</v>
      </c>
      <c r="U1707" s="8">
        <v>46.207999999999998</v>
      </c>
      <c r="V1707" s="8">
        <v>44.073999999999998</v>
      </c>
      <c r="W1707" s="8">
        <v>29.071999999999999</v>
      </c>
      <c r="X1707" s="8">
        <v>17.024999999999999</v>
      </c>
      <c r="Y1707" s="8">
        <v>11.272</v>
      </c>
      <c r="Z1707" s="8">
        <v>4.7770000000000001</v>
      </c>
      <c r="AA1707" s="8">
        <v>1.5309999999999999</v>
      </c>
      <c r="AB1707" s="8">
        <v>0.26</v>
      </c>
      <c r="AC1707" s="8">
        <v>3.1E-2</v>
      </c>
    </row>
    <row r="1708" spans="1:29" ht="11.65" hidden="1" x14ac:dyDescent="0.35">
      <c r="A1708" s="12">
        <v>1691</v>
      </c>
      <c r="B1708" s="10" t="s">
        <v>1015</v>
      </c>
      <c r="C1708" s="11" t="s">
        <v>1136</v>
      </c>
      <c r="D1708" s="9"/>
      <c r="E1708" s="9">
        <v>795</v>
      </c>
      <c r="F1708" s="10" t="s">
        <v>1066</v>
      </c>
      <c r="G1708" s="9">
        <v>5500</v>
      </c>
      <c r="H1708" s="9">
        <v>2000</v>
      </c>
      <c r="I1708" s="8">
        <v>241.91900000000001</v>
      </c>
      <c r="J1708" s="8">
        <v>287.298</v>
      </c>
      <c r="K1708" s="8">
        <v>280.608</v>
      </c>
      <c r="L1708" s="8">
        <v>237.697</v>
      </c>
      <c r="M1708" s="8">
        <v>211.393</v>
      </c>
      <c r="N1708" s="8">
        <v>183.214</v>
      </c>
      <c r="O1708" s="8">
        <v>165.97800000000001</v>
      </c>
      <c r="P1708" s="8">
        <v>161.62299999999999</v>
      </c>
      <c r="Q1708" s="8">
        <v>139.27000000000001</v>
      </c>
      <c r="R1708" s="8">
        <v>105.20399999999999</v>
      </c>
      <c r="S1708" s="8">
        <v>64.251999999999995</v>
      </c>
      <c r="T1708" s="8">
        <v>42.011000000000003</v>
      </c>
      <c r="U1708" s="8">
        <v>55.152999999999999</v>
      </c>
      <c r="V1708" s="8">
        <v>40.988</v>
      </c>
      <c r="W1708" s="8">
        <v>36.767000000000003</v>
      </c>
      <c r="X1708" s="8">
        <v>21.731000000000002</v>
      </c>
      <c r="Y1708" s="8">
        <v>10.512</v>
      </c>
      <c r="Z1708" s="8">
        <v>5.6230000000000002</v>
      </c>
      <c r="AA1708" s="8">
        <v>1.679</v>
      </c>
      <c r="AB1708" s="8">
        <v>0.34100000000000003</v>
      </c>
      <c r="AC1708" s="8">
        <v>3.5000000000000003E-2</v>
      </c>
    </row>
    <row r="1709" spans="1:29" ht="11.65" hidden="1" x14ac:dyDescent="0.35">
      <c r="A1709" s="12">
        <v>1692</v>
      </c>
      <c r="B1709" s="10" t="s">
        <v>1015</v>
      </c>
      <c r="C1709" s="11" t="s">
        <v>1136</v>
      </c>
      <c r="D1709" s="9"/>
      <c r="E1709" s="9">
        <v>795</v>
      </c>
      <c r="F1709" s="10" t="s">
        <v>1066</v>
      </c>
      <c r="G1709" s="9">
        <v>5500</v>
      </c>
      <c r="H1709" s="9">
        <v>2005</v>
      </c>
      <c r="I1709" s="8">
        <v>247.852</v>
      </c>
      <c r="J1709" s="8">
        <v>236.19</v>
      </c>
      <c r="K1709" s="8">
        <v>281.935</v>
      </c>
      <c r="L1709" s="8">
        <v>274.17200000000003</v>
      </c>
      <c r="M1709" s="8">
        <v>229.93899999999999</v>
      </c>
      <c r="N1709" s="8">
        <v>203.24700000000001</v>
      </c>
      <c r="O1709" s="8">
        <v>175.31899999999999</v>
      </c>
      <c r="P1709" s="8">
        <v>158.50399999999999</v>
      </c>
      <c r="Q1709" s="8">
        <v>154.232</v>
      </c>
      <c r="R1709" s="8">
        <v>131.90799999999999</v>
      </c>
      <c r="S1709" s="8">
        <v>98.168999999999997</v>
      </c>
      <c r="T1709" s="8">
        <v>58.127000000000002</v>
      </c>
      <c r="U1709" s="8">
        <v>36.463999999999999</v>
      </c>
      <c r="V1709" s="8">
        <v>47.661999999999999</v>
      </c>
      <c r="W1709" s="8">
        <v>33.289000000000001</v>
      </c>
      <c r="X1709" s="8">
        <v>27.27</v>
      </c>
      <c r="Y1709" s="8">
        <v>13.82</v>
      </c>
      <c r="Z1709" s="8">
        <v>5.2640000000000002</v>
      </c>
      <c r="AA1709" s="8">
        <v>1.98</v>
      </c>
      <c r="AB1709" s="8">
        <v>0.375</v>
      </c>
      <c r="AC1709" s="8">
        <v>4.5999999999999999E-2</v>
      </c>
    </row>
    <row r="1710" spans="1:29" ht="11.65" hidden="1" x14ac:dyDescent="0.35">
      <c r="A1710" s="12">
        <v>1693</v>
      </c>
      <c r="B1710" s="10" t="s">
        <v>1015</v>
      </c>
      <c r="C1710" s="11" t="s">
        <v>1136</v>
      </c>
      <c r="D1710" s="9"/>
      <c r="E1710" s="9">
        <v>795</v>
      </c>
      <c r="F1710" s="10" t="s">
        <v>1066</v>
      </c>
      <c r="G1710" s="9">
        <v>5500</v>
      </c>
      <c r="H1710" s="9">
        <v>2010</v>
      </c>
      <c r="I1710" s="8">
        <v>264.29399999999998</v>
      </c>
      <c r="J1710" s="8">
        <v>243.85499999999999</v>
      </c>
      <c r="K1710" s="8">
        <v>233.297</v>
      </c>
      <c r="L1710" s="8">
        <v>278.31700000000001</v>
      </c>
      <c r="M1710" s="8">
        <v>269.565</v>
      </c>
      <c r="N1710" s="8">
        <v>225.542</v>
      </c>
      <c r="O1710" s="8">
        <v>198.904</v>
      </c>
      <c r="P1710" s="8">
        <v>171.16800000000001</v>
      </c>
      <c r="Q1710" s="8">
        <v>154.203</v>
      </c>
      <c r="R1710" s="8">
        <v>149.315</v>
      </c>
      <c r="S1710" s="8">
        <v>126.584</v>
      </c>
      <c r="T1710" s="8">
        <v>92.716999999999999</v>
      </c>
      <c r="U1710" s="8">
        <v>53.183</v>
      </c>
      <c r="V1710" s="8">
        <v>32.069000000000003</v>
      </c>
      <c r="W1710" s="8">
        <v>39.465000000000003</v>
      </c>
      <c r="X1710" s="8">
        <v>25.157</v>
      </c>
      <c r="Y1710" s="8">
        <v>17.741</v>
      </c>
      <c r="Z1710" s="8">
        <v>6.9640000000000004</v>
      </c>
      <c r="AA1710" s="8">
        <v>1.861</v>
      </c>
      <c r="AB1710" s="8">
        <v>0.44500000000000001</v>
      </c>
      <c r="AC1710" s="8">
        <v>5.0999999999999997E-2</v>
      </c>
    </row>
    <row r="1711" spans="1:29" ht="11.65" hidden="1" x14ac:dyDescent="0.35">
      <c r="A1711" s="12">
        <v>1694</v>
      </c>
      <c r="B1711" s="10" t="s">
        <v>1015</v>
      </c>
      <c r="C1711" s="11" t="s">
        <v>1136</v>
      </c>
      <c r="D1711" s="9"/>
      <c r="E1711" s="9">
        <v>795</v>
      </c>
      <c r="F1711" s="10" t="s">
        <v>1066</v>
      </c>
      <c r="G1711" s="9">
        <v>5500</v>
      </c>
      <c r="H1711" s="9">
        <v>2015</v>
      </c>
      <c r="I1711" s="8">
        <v>334.33300000000003</v>
      </c>
      <c r="J1711" s="8">
        <v>260.34800000000001</v>
      </c>
      <c r="K1711" s="8">
        <v>241.26300000000001</v>
      </c>
      <c r="L1711" s="8">
        <v>230.51499999999999</v>
      </c>
      <c r="M1711" s="8">
        <v>274.71800000000002</v>
      </c>
      <c r="N1711" s="8">
        <v>265.76100000000002</v>
      </c>
      <c r="O1711" s="8">
        <v>221.876</v>
      </c>
      <c r="P1711" s="8">
        <v>195.37899999999999</v>
      </c>
      <c r="Q1711" s="8">
        <v>167.53700000000001</v>
      </c>
      <c r="R1711" s="8">
        <v>150.19499999999999</v>
      </c>
      <c r="S1711" s="8">
        <v>144.321</v>
      </c>
      <c r="T1711" s="8">
        <v>120.553</v>
      </c>
      <c r="U1711" s="8">
        <v>85.816000000000003</v>
      </c>
      <c r="V1711" s="8">
        <v>47.381999999999998</v>
      </c>
      <c r="W1711" s="8">
        <v>26.46</v>
      </c>
      <c r="X1711" s="8">
        <v>30.105</v>
      </c>
      <c r="Y1711" s="8">
        <v>16.663</v>
      </c>
      <c r="Z1711" s="8">
        <v>9.0429999999999993</v>
      </c>
      <c r="AA1711" s="8">
        <v>2.4689999999999999</v>
      </c>
      <c r="AB1711" s="8">
        <v>0.41499999999999998</v>
      </c>
      <c r="AC1711" s="8">
        <v>6.0999999999999999E-2</v>
      </c>
    </row>
    <row r="1712" spans="1:29" ht="11.65" hidden="1" x14ac:dyDescent="0.35">
      <c r="A1712" s="12">
        <v>1695</v>
      </c>
      <c r="B1712" s="10" t="s">
        <v>1015</v>
      </c>
      <c r="C1712" s="11" t="s">
        <v>1136</v>
      </c>
      <c r="D1712" s="9"/>
      <c r="E1712" s="9">
        <v>795</v>
      </c>
      <c r="F1712" s="10" t="s">
        <v>1066</v>
      </c>
      <c r="G1712" s="9">
        <v>5500</v>
      </c>
      <c r="H1712" s="9">
        <v>2020</v>
      </c>
      <c r="I1712" s="8">
        <v>325.57400000000001</v>
      </c>
      <c r="J1712" s="8">
        <v>331.29</v>
      </c>
      <c r="K1712" s="8">
        <v>258.86799999999999</v>
      </c>
      <c r="L1712" s="8">
        <v>239.58099999999999</v>
      </c>
      <c r="M1712" s="8">
        <v>228.374</v>
      </c>
      <c r="N1712" s="8">
        <v>272.21899999999999</v>
      </c>
      <c r="O1712" s="8">
        <v>263.077</v>
      </c>
      <c r="P1712" s="8">
        <v>219.238</v>
      </c>
      <c r="Q1712" s="8">
        <v>192.43</v>
      </c>
      <c r="R1712" s="8">
        <v>164.173</v>
      </c>
      <c r="S1712" s="8">
        <v>146.005</v>
      </c>
      <c r="T1712" s="8">
        <v>138.40600000000001</v>
      </c>
      <c r="U1712" s="8">
        <v>112.539</v>
      </c>
      <c r="V1712" s="8">
        <v>77.328999999999994</v>
      </c>
      <c r="W1712" s="8">
        <v>39.609000000000002</v>
      </c>
      <c r="X1712" s="8">
        <v>20.361999999999998</v>
      </c>
      <c r="Y1712" s="8">
        <v>20.416</v>
      </c>
      <c r="Z1712" s="8">
        <v>8.5150000000000006</v>
      </c>
      <c r="AA1712" s="8">
        <v>3.254</v>
      </c>
      <c r="AB1712" s="8">
        <v>0.55900000000000005</v>
      </c>
      <c r="AC1712" s="8">
        <v>5.8999999999999997E-2</v>
      </c>
    </row>
    <row r="1713" spans="1:29" ht="11.65" hidden="1" x14ac:dyDescent="0.35">
      <c r="A1713" s="12">
        <v>1696</v>
      </c>
      <c r="B1713" s="10" t="s">
        <v>1015</v>
      </c>
      <c r="C1713" s="11" t="s">
        <v>1137</v>
      </c>
      <c r="D1713" s="9"/>
      <c r="E1713" s="9">
        <v>860</v>
      </c>
      <c r="F1713" s="10" t="s">
        <v>1066</v>
      </c>
      <c r="G1713" s="9">
        <v>5500</v>
      </c>
      <c r="H1713" s="9">
        <v>1950</v>
      </c>
      <c r="I1713" s="8">
        <v>337.35500000000002</v>
      </c>
      <c r="J1713" s="8">
        <v>260.33199999999999</v>
      </c>
      <c r="K1713" s="8">
        <v>358.98500000000001</v>
      </c>
      <c r="L1713" s="8">
        <v>346.13400000000001</v>
      </c>
      <c r="M1713" s="8">
        <v>332.892</v>
      </c>
      <c r="N1713" s="8">
        <v>245.91800000000001</v>
      </c>
      <c r="O1713" s="8">
        <v>164.221</v>
      </c>
      <c r="P1713" s="8">
        <v>178.47900000000001</v>
      </c>
      <c r="Q1713" s="8">
        <v>175.54400000000001</v>
      </c>
      <c r="R1713" s="8">
        <v>237.459</v>
      </c>
      <c r="S1713" s="8">
        <v>204.25</v>
      </c>
      <c r="T1713" s="8">
        <v>133.81399999999999</v>
      </c>
      <c r="U1713" s="8">
        <v>107.041</v>
      </c>
      <c r="V1713" s="8">
        <v>78.349000000000004</v>
      </c>
      <c r="W1713" s="8">
        <v>54.140999999999998</v>
      </c>
      <c r="X1713" s="8">
        <v>32.576999999999998</v>
      </c>
      <c r="Y1713" s="8">
        <v>13.244999999999999</v>
      </c>
      <c r="Z1713" s="8">
        <v>6.0640000000000001</v>
      </c>
      <c r="AA1713" s="8">
        <v>2.2029999999999998</v>
      </c>
      <c r="AB1713" s="8">
        <v>0.53800000000000003</v>
      </c>
      <c r="AC1713" s="8">
        <v>8.3000000000000004E-2</v>
      </c>
    </row>
    <row r="1714" spans="1:29" ht="11.65" hidden="1" x14ac:dyDescent="0.35">
      <c r="A1714" s="12">
        <v>1697</v>
      </c>
      <c r="B1714" s="10" t="s">
        <v>1015</v>
      </c>
      <c r="C1714" s="11" t="s">
        <v>1137</v>
      </c>
      <c r="D1714" s="9"/>
      <c r="E1714" s="9">
        <v>860</v>
      </c>
      <c r="F1714" s="10" t="s">
        <v>1066</v>
      </c>
      <c r="G1714" s="9">
        <v>5500</v>
      </c>
      <c r="H1714" s="9">
        <v>1955</v>
      </c>
      <c r="I1714" s="8">
        <v>583.93200000000002</v>
      </c>
      <c r="J1714" s="8">
        <v>338.63900000000001</v>
      </c>
      <c r="K1714" s="8">
        <v>267.36</v>
      </c>
      <c r="L1714" s="8">
        <v>366.423</v>
      </c>
      <c r="M1714" s="8">
        <v>351.46499999999997</v>
      </c>
      <c r="N1714" s="8">
        <v>336.45</v>
      </c>
      <c r="O1714" s="8">
        <v>248.40299999999999</v>
      </c>
      <c r="P1714" s="8">
        <v>166.22800000000001</v>
      </c>
      <c r="Q1714" s="8">
        <v>179.80500000000001</v>
      </c>
      <c r="R1714" s="8">
        <v>175.46100000000001</v>
      </c>
      <c r="S1714" s="8">
        <v>232.46899999999999</v>
      </c>
      <c r="T1714" s="8">
        <v>195.702</v>
      </c>
      <c r="U1714" s="8">
        <v>123.783</v>
      </c>
      <c r="V1714" s="8">
        <v>94.948999999999998</v>
      </c>
      <c r="W1714" s="8">
        <v>65.094999999999999</v>
      </c>
      <c r="X1714" s="8">
        <v>39.97</v>
      </c>
      <c r="Y1714" s="8">
        <v>19.462</v>
      </c>
      <c r="Z1714" s="8">
        <v>6.7030000000000003</v>
      </c>
      <c r="AA1714" s="8">
        <v>2.3639999999999999</v>
      </c>
      <c r="AB1714" s="8">
        <v>0.66500000000000004</v>
      </c>
      <c r="AC1714" s="8">
        <v>0.124</v>
      </c>
    </row>
    <row r="1715" spans="1:29" ht="11.65" hidden="1" x14ac:dyDescent="0.35">
      <c r="A1715" s="12">
        <v>1698</v>
      </c>
      <c r="B1715" s="10" t="s">
        <v>1015</v>
      </c>
      <c r="C1715" s="11" t="s">
        <v>1137</v>
      </c>
      <c r="D1715" s="9"/>
      <c r="E1715" s="9">
        <v>860</v>
      </c>
      <c r="F1715" s="10" t="s">
        <v>1066</v>
      </c>
      <c r="G1715" s="9">
        <v>5500</v>
      </c>
      <c r="H1715" s="9">
        <v>1960</v>
      </c>
      <c r="I1715" s="8">
        <v>750.57500000000005</v>
      </c>
      <c r="J1715" s="8">
        <v>577.93799999999999</v>
      </c>
      <c r="K1715" s="8">
        <v>342.88</v>
      </c>
      <c r="L1715" s="8">
        <v>271.09300000000002</v>
      </c>
      <c r="M1715" s="8">
        <v>367.69900000000001</v>
      </c>
      <c r="N1715" s="8">
        <v>352.19499999999999</v>
      </c>
      <c r="O1715" s="8">
        <v>335.78</v>
      </c>
      <c r="P1715" s="8">
        <v>247.54400000000001</v>
      </c>
      <c r="Q1715" s="8">
        <v>165.59100000000001</v>
      </c>
      <c r="R1715" s="8">
        <v>176.67099999999999</v>
      </c>
      <c r="S1715" s="8">
        <v>170.245</v>
      </c>
      <c r="T1715" s="8">
        <v>220.64599999999999</v>
      </c>
      <c r="U1715" s="8">
        <v>179.709</v>
      </c>
      <c r="V1715" s="8">
        <v>109.503</v>
      </c>
      <c r="W1715" s="8">
        <v>78.649000000000001</v>
      </c>
      <c r="X1715" s="8">
        <v>48.12</v>
      </c>
      <c r="Y1715" s="8">
        <v>23.297000000000001</v>
      </c>
      <c r="Z1715" s="8">
        <v>10.138999999999999</v>
      </c>
      <c r="AA1715" s="8">
        <v>2.7109999999999999</v>
      </c>
      <c r="AB1715" s="8">
        <v>0.74199999999999999</v>
      </c>
      <c r="AC1715" s="8">
        <v>0.16400000000000001</v>
      </c>
    </row>
    <row r="1716" spans="1:29" ht="11.65" hidden="1" x14ac:dyDescent="0.35">
      <c r="A1716" s="12">
        <v>1699</v>
      </c>
      <c r="B1716" s="10" t="s">
        <v>1015</v>
      </c>
      <c r="C1716" s="11" t="s">
        <v>1137</v>
      </c>
      <c r="D1716" s="9"/>
      <c r="E1716" s="9">
        <v>860</v>
      </c>
      <c r="F1716" s="10" t="s">
        <v>1066</v>
      </c>
      <c r="G1716" s="9">
        <v>5500</v>
      </c>
      <c r="H1716" s="9">
        <v>1965</v>
      </c>
      <c r="I1716" s="8">
        <v>908.2</v>
      </c>
      <c r="J1716" s="8">
        <v>749.15499999999997</v>
      </c>
      <c r="K1716" s="8">
        <v>571.20100000000002</v>
      </c>
      <c r="L1716" s="8">
        <v>355.87700000000001</v>
      </c>
      <c r="M1716" s="8">
        <v>276.47399999999999</v>
      </c>
      <c r="N1716" s="8">
        <v>373.16800000000001</v>
      </c>
      <c r="O1716" s="8">
        <v>337.99099999999999</v>
      </c>
      <c r="P1716" s="8">
        <v>326.75799999999998</v>
      </c>
      <c r="Q1716" s="8">
        <v>240.95400000000001</v>
      </c>
      <c r="R1716" s="8">
        <v>167.27199999999999</v>
      </c>
      <c r="S1716" s="8">
        <v>193.52099999999999</v>
      </c>
      <c r="T1716" s="8">
        <v>182.364</v>
      </c>
      <c r="U1716" s="8">
        <v>199.98099999999999</v>
      </c>
      <c r="V1716" s="8">
        <v>149.541</v>
      </c>
      <c r="W1716" s="8">
        <v>87.049000000000007</v>
      </c>
      <c r="X1716" s="8">
        <v>58.905999999999999</v>
      </c>
      <c r="Y1716" s="8">
        <v>30.094000000000001</v>
      </c>
      <c r="Z1716" s="8">
        <v>12.465</v>
      </c>
      <c r="AA1716" s="8">
        <v>4.234</v>
      </c>
      <c r="AB1716" s="8">
        <v>0.878</v>
      </c>
      <c r="AC1716" s="8">
        <v>0.193</v>
      </c>
    </row>
    <row r="1717" spans="1:29" ht="11.65" hidden="1" x14ac:dyDescent="0.35">
      <c r="A1717" s="12">
        <v>1700</v>
      </c>
      <c r="B1717" s="10" t="s">
        <v>1015</v>
      </c>
      <c r="C1717" s="11" t="s">
        <v>1137</v>
      </c>
      <c r="D1717" s="9"/>
      <c r="E1717" s="9">
        <v>860</v>
      </c>
      <c r="F1717" s="10" t="s">
        <v>1066</v>
      </c>
      <c r="G1717" s="9">
        <v>5500</v>
      </c>
      <c r="H1717" s="9">
        <v>1970</v>
      </c>
      <c r="I1717" s="8">
        <v>967.43299999999999</v>
      </c>
      <c r="J1717" s="8">
        <v>934.50400000000002</v>
      </c>
      <c r="K1717" s="8">
        <v>787.53599999999994</v>
      </c>
      <c r="L1717" s="8">
        <v>580.17999999999995</v>
      </c>
      <c r="M1717" s="8">
        <v>379.19799999999998</v>
      </c>
      <c r="N1717" s="8">
        <v>289.87900000000002</v>
      </c>
      <c r="O1717" s="8">
        <v>387.346</v>
      </c>
      <c r="P1717" s="8">
        <v>329.31</v>
      </c>
      <c r="Q1717" s="8">
        <v>322.3</v>
      </c>
      <c r="R1717" s="8">
        <v>237.15199999999999</v>
      </c>
      <c r="S1717" s="8">
        <v>171.25</v>
      </c>
      <c r="T1717" s="8">
        <v>212.22800000000001</v>
      </c>
      <c r="U1717" s="8">
        <v>193.18700000000001</v>
      </c>
      <c r="V1717" s="8">
        <v>175.072</v>
      </c>
      <c r="W1717" s="8">
        <v>115.99299999999999</v>
      </c>
      <c r="X1717" s="8">
        <v>62.606999999999999</v>
      </c>
      <c r="Y1717" s="8">
        <v>35.604999999999997</v>
      </c>
      <c r="Z1717" s="8">
        <v>16.54</v>
      </c>
      <c r="AA1717" s="8">
        <v>5.3780000000000001</v>
      </c>
      <c r="AB1717" s="8">
        <v>1.415</v>
      </c>
      <c r="AC1717" s="8">
        <v>0.23499999999999999</v>
      </c>
    </row>
    <row r="1718" spans="1:29" ht="11.65" hidden="1" x14ac:dyDescent="0.35">
      <c r="A1718" s="12">
        <v>1701</v>
      </c>
      <c r="B1718" s="10" t="s">
        <v>1015</v>
      </c>
      <c r="C1718" s="11" t="s">
        <v>1137</v>
      </c>
      <c r="D1718" s="9"/>
      <c r="E1718" s="9">
        <v>860</v>
      </c>
      <c r="F1718" s="10" t="s">
        <v>1066</v>
      </c>
      <c r="G1718" s="9">
        <v>5500</v>
      </c>
      <c r="H1718" s="9">
        <v>1975</v>
      </c>
      <c r="I1718" s="8">
        <v>1062.347</v>
      </c>
      <c r="J1718" s="8">
        <v>950.53800000000001</v>
      </c>
      <c r="K1718" s="8">
        <v>938.48800000000006</v>
      </c>
      <c r="L1718" s="8">
        <v>792.02800000000002</v>
      </c>
      <c r="M1718" s="8">
        <v>586.98400000000004</v>
      </c>
      <c r="N1718" s="8">
        <v>364.375</v>
      </c>
      <c r="O1718" s="8">
        <v>297.072</v>
      </c>
      <c r="P1718" s="8">
        <v>372.596</v>
      </c>
      <c r="Q1718" s="8">
        <v>323.96800000000002</v>
      </c>
      <c r="R1718" s="8">
        <v>319.48099999999999</v>
      </c>
      <c r="S1718" s="8">
        <v>240.76499999999999</v>
      </c>
      <c r="T1718" s="8">
        <v>171.155</v>
      </c>
      <c r="U1718" s="8">
        <v>193.87799999999999</v>
      </c>
      <c r="V1718" s="8">
        <v>167.88800000000001</v>
      </c>
      <c r="W1718" s="8">
        <v>146.01300000000001</v>
      </c>
      <c r="X1718" s="8">
        <v>83.180999999999997</v>
      </c>
      <c r="Y1718" s="8">
        <v>40.999000000000002</v>
      </c>
      <c r="Z1718" s="8">
        <v>19.78</v>
      </c>
      <c r="AA1718" s="8">
        <v>7.2329999999999997</v>
      </c>
      <c r="AB1718" s="8">
        <v>1.8120000000000001</v>
      </c>
      <c r="AC1718" s="8">
        <v>0.36299999999999999</v>
      </c>
    </row>
    <row r="1719" spans="1:29" ht="11.65" hidden="1" x14ac:dyDescent="0.35">
      <c r="A1719" s="12">
        <v>1702</v>
      </c>
      <c r="B1719" s="10" t="s">
        <v>1015</v>
      </c>
      <c r="C1719" s="11" t="s">
        <v>1137</v>
      </c>
      <c r="D1719" s="9"/>
      <c r="E1719" s="9">
        <v>860</v>
      </c>
      <c r="F1719" s="10" t="s">
        <v>1066</v>
      </c>
      <c r="G1719" s="9">
        <v>5500</v>
      </c>
      <c r="H1719" s="9">
        <v>1980</v>
      </c>
      <c r="I1719" s="8">
        <v>1195.385</v>
      </c>
      <c r="J1719" s="8">
        <v>1050.4739999999999</v>
      </c>
      <c r="K1719" s="8">
        <v>951.78899999999999</v>
      </c>
      <c r="L1719" s="8">
        <v>945.18499999999995</v>
      </c>
      <c r="M1719" s="8">
        <v>795.73699999999997</v>
      </c>
      <c r="N1719" s="8">
        <v>593.49800000000005</v>
      </c>
      <c r="O1719" s="8">
        <v>349.49700000000001</v>
      </c>
      <c r="P1719" s="8">
        <v>303.91800000000001</v>
      </c>
      <c r="Q1719" s="8">
        <v>357.22300000000001</v>
      </c>
      <c r="R1719" s="8">
        <v>317.52</v>
      </c>
      <c r="S1719" s="8">
        <v>314.72699999999998</v>
      </c>
      <c r="T1719" s="8">
        <v>241.44</v>
      </c>
      <c r="U1719" s="8">
        <v>167.34299999999999</v>
      </c>
      <c r="V1719" s="8">
        <v>169.90899999999999</v>
      </c>
      <c r="W1719" s="8">
        <v>136.46</v>
      </c>
      <c r="X1719" s="8">
        <v>110.755</v>
      </c>
      <c r="Y1719" s="8">
        <v>49.960999999999999</v>
      </c>
      <c r="Z1719" s="8">
        <v>22.98</v>
      </c>
      <c r="AA1719" s="8">
        <v>8.7539999999999996</v>
      </c>
      <c r="AB1719" s="8">
        <v>2.4529999999999998</v>
      </c>
      <c r="AC1719" s="8">
        <v>0.47899999999999998</v>
      </c>
    </row>
    <row r="1720" spans="1:29" ht="11.65" hidden="1" x14ac:dyDescent="0.35">
      <c r="A1720" s="12">
        <v>1703</v>
      </c>
      <c r="B1720" s="10" t="s">
        <v>1015</v>
      </c>
      <c r="C1720" s="11" t="s">
        <v>1137</v>
      </c>
      <c r="D1720" s="9"/>
      <c r="E1720" s="9">
        <v>860</v>
      </c>
      <c r="F1720" s="10" t="s">
        <v>1066</v>
      </c>
      <c r="G1720" s="9">
        <v>5500</v>
      </c>
      <c r="H1720" s="9">
        <v>1985</v>
      </c>
      <c r="I1720" s="8">
        <v>1385.5930000000001</v>
      </c>
      <c r="J1720" s="8">
        <v>1165.7829999999999</v>
      </c>
      <c r="K1720" s="8">
        <v>1042.2829999999999</v>
      </c>
      <c r="L1720" s="8">
        <v>934.03899999999999</v>
      </c>
      <c r="M1720" s="8">
        <v>933.10400000000004</v>
      </c>
      <c r="N1720" s="8">
        <v>772.73900000000003</v>
      </c>
      <c r="O1720" s="8">
        <v>581.45600000000002</v>
      </c>
      <c r="P1720" s="8">
        <v>338.03399999999999</v>
      </c>
      <c r="Q1720" s="8">
        <v>296.03399999999999</v>
      </c>
      <c r="R1720" s="8">
        <v>346.18</v>
      </c>
      <c r="S1720" s="8">
        <v>310.06599999999997</v>
      </c>
      <c r="T1720" s="8">
        <v>303.66899999999998</v>
      </c>
      <c r="U1720" s="8">
        <v>222.60300000000001</v>
      </c>
      <c r="V1720" s="8">
        <v>150.06700000000001</v>
      </c>
      <c r="W1720" s="8">
        <v>142.22999999999999</v>
      </c>
      <c r="X1720" s="8">
        <v>104.649</v>
      </c>
      <c r="Y1720" s="8">
        <v>76.111999999999995</v>
      </c>
      <c r="Z1720" s="8">
        <v>28.652000000000001</v>
      </c>
      <c r="AA1720" s="8">
        <v>10.488</v>
      </c>
      <c r="AB1720" s="8">
        <v>3.052</v>
      </c>
      <c r="AC1720" s="8">
        <v>0.66100000000000003</v>
      </c>
    </row>
    <row r="1721" spans="1:29" ht="11.65" hidden="1" x14ac:dyDescent="0.35">
      <c r="A1721" s="12">
        <v>1704</v>
      </c>
      <c r="B1721" s="10" t="s">
        <v>1015</v>
      </c>
      <c r="C1721" s="11" t="s">
        <v>1137</v>
      </c>
      <c r="D1721" s="9"/>
      <c r="E1721" s="9">
        <v>860</v>
      </c>
      <c r="F1721" s="10" t="s">
        <v>1066</v>
      </c>
      <c r="G1721" s="9">
        <v>5500</v>
      </c>
      <c r="H1721" s="9">
        <v>1990</v>
      </c>
      <c r="I1721" s="8">
        <v>1576.797</v>
      </c>
      <c r="J1721" s="8">
        <v>1353.086</v>
      </c>
      <c r="K1721" s="8">
        <v>1158.925</v>
      </c>
      <c r="L1721" s="8">
        <v>1027.0170000000001</v>
      </c>
      <c r="M1721" s="8">
        <v>910.221</v>
      </c>
      <c r="N1721" s="8">
        <v>917.24400000000003</v>
      </c>
      <c r="O1721" s="8">
        <v>758.154</v>
      </c>
      <c r="P1721" s="8">
        <v>566.83399999999995</v>
      </c>
      <c r="Q1721" s="8">
        <v>324.79399999999998</v>
      </c>
      <c r="R1721" s="8">
        <v>284.52499999999998</v>
      </c>
      <c r="S1721" s="8">
        <v>327.02199999999999</v>
      </c>
      <c r="T1721" s="8">
        <v>289.12</v>
      </c>
      <c r="U1721" s="8">
        <v>275.346</v>
      </c>
      <c r="V1721" s="8">
        <v>191.477</v>
      </c>
      <c r="W1721" s="8">
        <v>122.04300000000001</v>
      </c>
      <c r="X1721" s="8">
        <v>103.038</v>
      </c>
      <c r="Y1721" s="8">
        <v>60.363</v>
      </c>
      <c r="Z1721" s="8">
        <v>43.808999999999997</v>
      </c>
      <c r="AA1721" s="8">
        <v>13.145</v>
      </c>
      <c r="AB1721" s="8">
        <v>3.6309999999999998</v>
      </c>
      <c r="AC1721" s="8">
        <v>0.82299999999999995</v>
      </c>
    </row>
    <row r="1722" spans="1:29" ht="11.65" hidden="1" x14ac:dyDescent="0.35">
      <c r="A1722" s="12">
        <v>1705</v>
      </c>
      <c r="B1722" s="10" t="s">
        <v>1015</v>
      </c>
      <c r="C1722" s="11" t="s">
        <v>1137</v>
      </c>
      <c r="D1722" s="9"/>
      <c r="E1722" s="9">
        <v>860</v>
      </c>
      <c r="F1722" s="10" t="s">
        <v>1066</v>
      </c>
      <c r="G1722" s="9">
        <v>5500</v>
      </c>
      <c r="H1722" s="9">
        <v>1995</v>
      </c>
      <c r="I1722" s="8">
        <v>1596.002</v>
      </c>
      <c r="J1722" s="8">
        <v>1554.9490000000001</v>
      </c>
      <c r="K1722" s="8">
        <v>1345.7249999999999</v>
      </c>
      <c r="L1722" s="8">
        <v>1136.9590000000001</v>
      </c>
      <c r="M1722" s="8">
        <v>995.26300000000003</v>
      </c>
      <c r="N1722" s="8">
        <v>880.12099999999998</v>
      </c>
      <c r="O1722" s="8">
        <v>888.95299999999997</v>
      </c>
      <c r="P1722" s="8">
        <v>736.66399999999999</v>
      </c>
      <c r="Q1722" s="8">
        <v>550.23400000000004</v>
      </c>
      <c r="R1722" s="8">
        <v>311.83600000000001</v>
      </c>
      <c r="S1722" s="8">
        <v>270.435</v>
      </c>
      <c r="T1722" s="8">
        <v>307.79300000000001</v>
      </c>
      <c r="U1722" s="8">
        <v>265.22899999999998</v>
      </c>
      <c r="V1722" s="8">
        <v>243.131</v>
      </c>
      <c r="W1722" s="8">
        <v>158.15600000000001</v>
      </c>
      <c r="X1722" s="8">
        <v>90.691999999999993</v>
      </c>
      <c r="Y1722" s="8">
        <v>69.45</v>
      </c>
      <c r="Z1722" s="8">
        <v>33.494999999999997</v>
      </c>
      <c r="AA1722" s="8">
        <v>18.420999999999999</v>
      </c>
      <c r="AB1722" s="8">
        <v>3.8210000000000002</v>
      </c>
      <c r="AC1722" s="8">
        <v>0.78</v>
      </c>
    </row>
    <row r="1723" spans="1:29" ht="11.65" hidden="1" x14ac:dyDescent="0.35">
      <c r="A1723" s="12">
        <v>1706</v>
      </c>
      <c r="B1723" s="10" t="s">
        <v>1015</v>
      </c>
      <c r="C1723" s="11" t="s">
        <v>1137</v>
      </c>
      <c r="D1723" s="9"/>
      <c r="E1723" s="9">
        <v>860</v>
      </c>
      <c r="F1723" s="10" t="s">
        <v>1066</v>
      </c>
      <c r="G1723" s="9">
        <v>5500</v>
      </c>
      <c r="H1723" s="9">
        <v>2000</v>
      </c>
      <c r="I1723" s="8">
        <v>1389.107</v>
      </c>
      <c r="J1723" s="8">
        <v>1577.1179999999999</v>
      </c>
      <c r="K1723" s="8">
        <v>1548.9349999999999</v>
      </c>
      <c r="L1723" s="8">
        <v>1332.6</v>
      </c>
      <c r="M1723" s="8">
        <v>1115.9169999999999</v>
      </c>
      <c r="N1723" s="8">
        <v>979.69399999999996</v>
      </c>
      <c r="O1723" s="8">
        <v>868.08399999999995</v>
      </c>
      <c r="P1723" s="8">
        <v>873.65599999999995</v>
      </c>
      <c r="Q1723" s="8">
        <v>722.71199999999999</v>
      </c>
      <c r="R1723" s="8">
        <v>533.20799999999997</v>
      </c>
      <c r="S1723" s="8">
        <v>297.04700000000003</v>
      </c>
      <c r="T1723" s="8">
        <v>253.501</v>
      </c>
      <c r="U1723" s="8">
        <v>282.72300000000001</v>
      </c>
      <c r="V1723" s="8">
        <v>234.18100000000001</v>
      </c>
      <c r="W1723" s="8">
        <v>202.55799999999999</v>
      </c>
      <c r="X1723" s="8">
        <v>119.444</v>
      </c>
      <c r="Y1723" s="8">
        <v>61.987000000000002</v>
      </c>
      <c r="Z1723" s="8">
        <v>39.380000000000003</v>
      </c>
      <c r="AA1723" s="8">
        <v>14.597</v>
      </c>
      <c r="AB1723" s="8">
        <v>5.64</v>
      </c>
      <c r="AC1723" s="8">
        <v>0.85799999999999998</v>
      </c>
    </row>
    <row r="1724" spans="1:29" ht="11.65" hidden="1" x14ac:dyDescent="0.35">
      <c r="A1724" s="12">
        <v>1707</v>
      </c>
      <c r="B1724" s="10" t="s">
        <v>1015</v>
      </c>
      <c r="C1724" s="11" t="s">
        <v>1137</v>
      </c>
      <c r="D1724" s="9"/>
      <c r="E1724" s="9">
        <v>860</v>
      </c>
      <c r="F1724" s="10" t="s">
        <v>1066</v>
      </c>
      <c r="G1724" s="9">
        <v>5500</v>
      </c>
      <c r="H1724" s="9">
        <v>2005</v>
      </c>
      <c r="I1724" s="8">
        <v>1252.8140000000001</v>
      </c>
      <c r="J1724" s="8">
        <v>1376.9449999999999</v>
      </c>
      <c r="K1724" s="8">
        <v>1572.1859999999999</v>
      </c>
      <c r="L1724" s="8">
        <v>1535.9079999999999</v>
      </c>
      <c r="M1724" s="8">
        <v>1311.211</v>
      </c>
      <c r="N1724" s="8">
        <v>1095.126</v>
      </c>
      <c r="O1724" s="8">
        <v>967.30899999999997</v>
      </c>
      <c r="P1724" s="8">
        <v>858.60299999999995</v>
      </c>
      <c r="Q1724" s="8">
        <v>859.48800000000006</v>
      </c>
      <c r="R1724" s="8">
        <v>704.57399999999996</v>
      </c>
      <c r="S1724" s="8">
        <v>513.53300000000002</v>
      </c>
      <c r="T1724" s="8">
        <v>279.05200000000002</v>
      </c>
      <c r="U1724" s="8">
        <v>231.899</v>
      </c>
      <c r="V1724" s="8">
        <v>249.982</v>
      </c>
      <c r="W1724" s="8">
        <v>194.96100000000001</v>
      </c>
      <c r="X1724" s="8">
        <v>154.12799999999999</v>
      </c>
      <c r="Y1724" s="8">
        <v>81.622</v>
      </c>
      <c r="Z1724" s="8">
        <v>35.158000000000001</v>
      </c>
      <c r="AA1724" s="8">
        <v>17.167999999999999</v>
      </c>
      <c r="AB1724" s="8">
        <v>4.47</v>
      </c>
      <c r="AC1724" s="8">
        <v>1.212</v>
      </c>
    </row>
    <row r="1725" spans="1:29" ht="11.65" hidden="1" x14ac:dyDescent="0.35">
      <c r="A1725" s="12">
        <v>1708</v>
      </c>
      <c r="B1725" s="10" t="s">
        <v>1015</v>
      </c>
      <c r="C1725" s="11" t="s">
        <v>1137</v>
      </c>
      <c r="D1725" s="9"/>
      <c r="E1725" s="9">
        <v>860</v>
      </c>
      <c r="F1725" s="10" t="s">
        <v>1066</v>
      </c>
      <c r="G1725" s="9">
        <v>5500</v>
      </c>
      <c r="H1725" s="9">
        <v>2010</v>
      </c>
      <c r="I1725" s="8">
        <v>1433.415</v>
      </c>
      <c r="J1725" s="8">
        <v>1245.2329999999999</v>
      </c>
      <c r="K1725" s="8">
        <v>1373.92</v>
      </c>
      <c r="L1725" s="8">
        <v>1565.097</v>
      </c>
      <c r="M1725" s="8">
        <v>1524.627</v>
      </c>
      <c r="N1725" s="8">
        <v>1299.6610000000001</v>
      </c>
      <c r="O1725" s="8">
        <v>1084.529</v>
      </c>
      <c r="P1725" s="8">
        <v>957.25199999999995</v>
      </c>
      <c r="Q1725" s="8">
        <v>848.29</v>
      </c>
      <c r="R1725" s="8">
        <v>840.47199999999998</v>
      </c>
      <c r="S1725" s="8">
        <v>682.92</v>
      </c>
      <c r="T1725" s="8">
        <v>488.23399999999998</v>
      </c>
      <c r="U1725" s="8">
        <v>255.863</v>
      </c>
      <c r="V1725" s="8">
        <v>204.14500000000001</v>
      </c>
      <c r="W1725" s="8">
        <v>208.41399999999999</v>
      </c>
      <c r="X1725" s="8">
        <v>148.20500000000001</v>
      </c>
      <c r="Y1725" s="8">
        <v>105.459</v>
      </c>
      <c r="Z1725" s="8">
        <v>46.320999999999998</v>
      </c>
      <c r="AA1725" s="8">
        <v>15.298</v>
      </c>
      <c r="AB1725" s="8">
        <v>5.3019999999999996</v>
      </c>
      <c r="AC1725" s="8">
        <v>1.042</v>
      </c>
    </row>
    <row r="1726" spans="1:29" ht="11.65" hidden="1" x14ac:dyDescent="0.35">
      <c r="A1726" s="12">
        <v>1709</v>
      </c>
      <c r="B1726" s="10" t="s">
        <v>1015</v>
      </c>
      <c r="C1726" s="11" t="s">
        <v>1137</v>
      </c>
      <c r="D1726" s="9"/>
      <c r="E1726" s="9">
        <v>860</v>
      </c>
      <c r="F1726" s="10" t="s">
        <v>1066</v>
      </c>
      <c r="G1726" s="9">
        <v>5500</v>
      </c>
      <c r="H1726" s="9">
        <v>2015</v>
      </c>
      <c r="I1726" s="8">
        <v>1604.0429999999999</v>
      </c>
      <c r="J1726" s="8">
        <v>1426.9829999999999</v>
      </c>
      <c r="K1726" s="8">
        <v>1242.848</v>
      </c>
      <c r="L1726" s="8">
        <v>1368.876</v>
      </c>
      <c r="M1726" s="8">
        <v>1556.306</v>
      </c>
      <c r="N1726" s="8">
        <v>1514.9490000000001</v>
      </c>
      <c r="O1726" s="8">
        <v>1290.652</v>
      </c>
      <c r="P1726" s="8">
        <v>1075.7650000000001</v>
      </c>
      <c r="Q1726" s="8">
        <v>947.80600000000004</v>
      </c>
      <c r="R1726" s="8">
        <v>835.33900000000006</v>
      </c>
      <c r="S1726" s="8">
        <v>822.46900000000005</v>
      </c>
      <c r="T1726" s="8">
        <v>659.52700000000004</v>
      </c>
      <c r="U1726" s="8">
        <v>459.59100000000001</v>
      </c>
      <c r="V1726" s="8">
        <v>230.31299999999999</v>
      </c>
      <c r="W1726" s="8">
        <v>171.33099999999999</v>
      </c>
      <c r="X1726" s="8">
        <v>156.20400000000001</v>
      </c>
      <c r="Y1726" s="8">
        <v>91.915999999999997</v>
      </c>
      <c r="Z1726" s="8">
        <v>49.445999999999998</v>
      </c>
      <c r="AA1726" s="8">
        <v>14.787000000000001</v>
      </c>
      <c r="AB1726" s="8">
        <v>2.9079999999999999</v>
      </c>
      <c r="AC1726" s="8">
        <v>0.66400000000000003</v>
      </c>
    </row>
    <row r="1727" spans="1:29" ht="11.65" hidden="1" x14ac:dyDescent="0.35">
      <c r="A1727" s="12">
        <v>1710</v>
      </c>
      <c r="B1727" s="10" t="s">
        <v>1015</v>
      </c>
      <c r="C1727" s="11" t="s">
        <v>1137</v>
      </c>
      <c r="D1727" s="9"/>
      <c r="E1727" s="9">
        <v>860</v>
      </c>
      <c r="F1727" s="10" t="s">
        <v>1066</v>
      </c>
      <c r="G1727" s="9">
        <v>5500</v>
      </c>
      <c r="H1727" s="9">
        <v>2020</v>
      </c>
      <c r="I1727" s="8">
        <v>1664.7670000000001</v>
      </c>
      <c r="J1727" s="8">
        <v>1598.165</v>
      </c>
      <c r="K1727" s="8">
        <v>1424.8050000000001</v>
      </c>
      <c r="L1727" s="8">
        <v>1239.2149999999999</v>
      </c>
      <c r="M1727" s="8">
        <v>1362.6489999999999</v>
      </c>
      <c r="N1727" s="8">
        <v>1548.646</v>
      </c>
      <c r="O1727" s="8">
        <v>1506.817</v>
      </c>
      <c r="P1727" s="8">
        <v>1282.19</v>
      </c>
      <c r="Q1727" s="8">
        <v>1066.681</v>
      </c>
      <c r="R1727" s="8">
        <v>935.51700000000005</v>
      </c>
      <c r="S1727" s="8">
        <v>819.2</v>
      </c>
      <c r="T1727" s="8">
        <v>796.572</v>
      </c>
      <c r="U1727" s="8">
        <v>623.4</v>
      </c>
      <c r="V1727" s="8">
        <v>416.399</v>
      </c>
      <c r="W1727" s="8">
        <v>195.01599999999999</v>
      </c>
      <c r="X1727" s="8">
        <v>130.01300000000001</v>
      </c>
      <c r="Y1727" s="8">
        <v>98.632000000000005</v>
      </c>
      <c r="Z1727" s="8">
        <v>44.104999999999997</v>
      </c>
      <c r="AA1727" s="8">
        <v>16.22</v>
      </c>
      <c r="AB1727" s="8">
        <v>2.887</v>
      </c>
      <c r="AC1727" s="8">
        <v>0.38500000000000001</v>
      </c>
    </row>
    <row r="1728" spans="1:29" ht="11.65" hidden="1" x14ac:dyDescent="0.35">
      <c r="A1728" s="23">
        <v>1711</v>
      </c>
      <c r="B1728" s="21" t="s">
        <v>1015</v>
      </c>
      <c r="C1728" s="29" t="s">
        <v>1138</v>
      </c>
      <c r="D1728" s="20"/>
      <c r="E1728" s="20">
        <v>5501</v>
      </c>
      <c r="F1728" s="21" t="s">
        <v>1065</v>
      </c>
      <c r="G1728" s="20">
        <v>921</v>
      </c>
      <c r="H1728" s="20">
        <v>1950</v>
      </c>
      <c r="I1728" s="19">
        <v>35846.008000000002</v>
      </c>
      <c r="J1728" s="19">
        <v>29265.527999999998</v>
      </c>
      <c r="K1728" s="19">
        <v>27195.744999999999</v>
      </c>
      <c r="L1728" s="19">
        <v>24462.883000000002</v>
      </c>
      <c r="M1728" s="19">
        <v>21404.36</v>
      </c>
      <c r="N1728" s="19">
        <v>18752.916000000001</v>
      </c>
      <c r="O1728" s="19">
        <v>16371.317999999999</v>
      </c>
      <c r="P1728" s="19">
        <v>14212.404</v>
      </c>
      <c r="Q1728" s="19">
        <v>12358.05</v>
      </c>
      <c r="R1728" s="19">
        <v>9886.6149999999998</v>
      </c>
      <c r="S1728" s="19">
        <v>8591.3670000000002</v>
      </c>
      <c r="T1728" s="19">
        <v>6167.95</v>
      </c>
      <c r="U1728" s="19">
        <v>5403.25</v>
      </c>
      <c r="V1728" s="19">
        <v>3323.3380000000002</v>
      </c>
      <c r="W1728" s="19">
        <v>2522.8980000000001</v>
      </c>
      <c r="X1728" s="19">
        <v>1561.99</v>
      </c>
      <c r="Y1728" s="19">
        <v>780.20899999999995</v>
      </c>
      <c r="Z1728" s="19">
        <v>295.471</v>
      </c>
      <c r="AA1728" s="19">
        <v>81.031999999999996</v>
      </c>
      <c r="AB1728" s="19">
        <v>17.341999999999999</v>
      </c>
      <c r="AC1728" s="19">
        <v>2.7E-2</v>
      </c>
    </row>
    <row r="1729" spans="1:29" ht="11.65" hidden="1" x14ac:dyDescent="0.35">
      <c r="A1729" s="23">
        <v>1712</v>
      </c>
      <c r="B1729" s="21" t="s">
        <v>1015</v>
      </c>
      <c r="C1729" s="29" t="s">
        <v>1138</v>
      </c>
      <c r="D1729" s="20"/>
      <c r="E1729" s="20">
        <v>5501</v>
      </c>
      <c r="F1729" s="21" t="s">
        <v>1065</v>
      </c>
      <c r="G1729" s="20">
        <v>921</v>
      </c>
      <c r="H1729" s="20">
        <v>1955</v>
      </c>
      <c r="I1729" s="19">
        <v>42697.156999999999</v>
      </c>
      <c r="J1729" s="19">
        <v>32173.371999999999</v>
      </c>
      <c r="K1729" s="19">
        <v>28060.437000000002</v>
      </c>
      <c r="L1729" s="19">
        <v>26181.409</v>
      </c>
      <c r="M1729" s="19">
        <v>23344.118999999999</v>
      </c>
      <c r="N1729" s="19">
        <v>20253.291000000001</v>
      </c>
      <c r="O1729" s="19">
        <v>17590.321</v>
      </c>
      <c r="P1729" s="19">
        <v>15198.931</v>
      </c>
      <c r="Q1729" s="19">
        <v>13049.023999999999</v>
      </c>
      <c r="R1729" s="19">
        <v>11186.1</v>
      </c>
      <c r="S1729" s="19">
        <v>8776.3909999999996</v>
      </c>
      <c r="T1729" s="19">
        <v>7397.7169999999996</v>
      </c>
      <c r="U1729" s="19">
        <v>5062.2889999999998</v>
      </c>
      <c r="V1729" s="19">
        <v>4119.29</v>
      </c>
      <c r="W1729" s="19">
        <v>2288.7600000000002</v>
      </c>
      <c r="X1729" s="19">
        <v>1492.126</v>
      </c>
      <c r="Y1729" s="19">
        <v>760.03099999999995</v>
      </c>
      <c r="Z1729" s="19">
        <v>297.75599999999997</v>
      </c>
      <c r="AA1729" s="19">
        <v>79.418000000000006</v>
      </c>
      <c r="AB1729" s="19">
        <v>15.574999999999999</v>
      </c>
      <c r="AC1729" s="19">
        <v>2.2389999999999999</v>
      </c>
    </row>
    <row r="1730" spans="1:29" ht="11.65" hidden="1" x14ac:dyDescent="0.35">
      <c r="A1730" s="23">
        <v>1713</v>
      </c>
      <c r="B1730" s="21" t="s">
        <v>1015</v>
      </c>
      <c r="C1730" s="29" t="s">
        <v>1138</v>
      </c>
      <c r="D1730" s="20"/>
      <c r="E1730" s="20">
        <v>5501</v>
      </c>
      <c r="F1730" s="21" t="s">
        <v>1065</v>
      </c>
      <c r="G1730" s="20">
        <v>921</v>
      </c>
      <c r="H1730" s="20">
        <v>1960</v>
      </c>
      <c r="I1730" s="19">
        <v>47557.133999999998</v>
      </c>
      <c r="J1730" s="19">
        <v>38809.173000000003</v>
      </c>
      <c r="K1730" s="19">
        <v>31008.989000000001</v>
      </c>
      <c r="L1730" s="19">
        <v>27171.208999999999</v>
      </c>
      <c r="M1730" s="19">
        <v>25168.874</v>
      </c>
      <c r="N1730" s="19">
        <v>22271.4</v>
      </c>
      <c r="O1730" s="19">
        <v>19160.649000000001</v>
      </c>
      <c r="P1730" s="19">
        <v>16479.111000000001</v>
      </c>
      <c r="Q1730" s="19">
        <v>14082.102999999999</v>
      </c>
      <c r="R1730" s="19">
        <v>11925.98</v>
      </c>
      <c r="S1730" s="19">
        <v>10037.849</v>
      </c>
      <c r="T1730" s="19">
        <v>7675.3670000000002</v>
      </c>
      <c r="U1730" s="19">
        <v>6170.7129999999997</v>
      </c>
      <c r="V1730" s="19">
        <v>3935.078</v>
      </c>
      <c r="W1730" s="19">
        <v>2892.5630000000001</v>
      </c>
      <c r="X1730" s="19">
        <v>1393.0820000000001</v>
      </c>
      <c r="Y1730" s="19">
        <v>752.16600000000005</v>
      </c>
      <c r="Z1730" s="19">
        <v>302.976</v>
      </c>
      <c r="AA1730" s="19">
        <v>84.161000000000001</v>
      </c>
      <c r="AB1730" s="19">
        <v>16.04</v>
      </c>
      <c r="AC1730" s="19">
        <v>2.4180000000000001</v>
      </c>
    </row>
    <row r="1731" spans="1:29" ht="11.65" hidden="1" x14ac:dyDescent="0.35">
      <c r="A1731" s="23">
        <v>1714</v>
      </c>
      <c r="B1731" s="21" t="s">
        <v>1015</v>
      </c>
      <c r="C1731" s="29" t="s">
        <v>1138</v>
      </c>
      <c r="D1731" s="20"/>
      <c r="E1731" s="20">
        <v>5501</v>
      </c>
      <c r="F1731" s="21" t="s">
        <v>1065</v>
      </c>
      <c r="G1731" s="20">
        <v>921</v>
      </c>
      <c r="H1731" s="20">
        <v>1965</v>
      </c>
      <c r="I1731" s="19">
        <v>52772.762999999999</v>
      </c>
      <c r="J1731" s="19">
        <v>43688.457999999999</v>
      </c>
      <c r="K1731" s="19">
        <v>37560.347000000002</v>
      </c>
      <c r="L1731" s="19">
        <v>30199.502</v>
      </c>
      <c r="M1731" s="19">
        <v>26345.401999999998</v>
      </c>
      <c r="N1731" s="19">
        <v>24243.319</v>
      </c>
      <c r="O1731" s="19">
        <v>21269.668000000001</v>
      </c>
      <c r="P1731" s="19">
        <v>18120.239000000001</v>
      </c>
      <c r="Q1731" s="19">
        <v>15426.057000000001</v>
      </c>
      <c r="R1731" s="19">
        <v>13009.862999999999</v>
      </c>
      <c r="S1731" s="19">
        <v>10837.182000000001</v>
      </c>
      <c r="T1731" s="19">
        <v>8906.89</v>
      </c>
      <c r="U1731" s="19">
        <v>6509.8090000000002</v>
      </c>
      <c r="V1731" s="19">
        <v>4858.1030000000001</v>
      </c>
      <c r="W1731" s="19">
        <v>2811.7170000000001</v>
      </c>
      <c r="X1731" s="19">
        <v>1803.3969999999999</v>
      </c>
      <c r="Y1731" s="19">
        <v>722.93499999999995</v>
      </c>
      <c r="Z1731" s="19">
        <v>312.86</v>
      </c>
      <c r="AA1731" s="19">
        <v>90.453000000000003</v>
      </c>
      <c r="AB1731" s="19">
        <v>18.111999999999998</v>
      </c>
      <c r="AC1731" s="19">
        <v>2.669</v>
      </c>
    </row>
    <row r="1732" spans="1:29" ht="11.65" hidden="1" x14ac:dyDescent="0.35">
      <c r="A1732" s="23">
        <v>1715</v>
      </c>
      <c r="B1732" s="21" t="s">
        <v>1015</v>
      </c>
      <c r="C1732" s="29" t="s">
        <v>1138</v>
      </c>
      <c r="D1732" s="20"/>
      <c r="E1732" s="20">
        <v>5501</v>
      </c>
      <c r="F1732" s="21" t="s">
        <v>1065</v>
      </c>
      <c r="G1732" s="20">
        <v>921</v>
      </c>
      <c r="H1732" s="20">
        <v>1970</v>
      </c>
      <c r="I1732" s="19">
        <v>57908.411999999997</v>
      </c>
      <c r="J1732" s="19">
        <v>48894.788999999997</v>
      </c>
      <c r="K1732" s="19">
        <v>42504.106</v>
      </c>
      <c r="L1732" s="19">
        <v>36747.595999999998</v>
      </c>
      <c r="M1732" s="19">
        <v>29406.636999999999</v>
      </c>
      <c r="N1732" s="19">
        <v>25522.834999999999</v>
      </c>
      <c r="O1732" s="19">
        <v>23354.441999999999</v>
      </c>
      <c r="P1732" s="19">
        <v>20346.321</v>
      </c>
      <c r="Q1732" s="19">
        <v>17201.338</v>
      </c>
      <c r="R1732" s="19">
        <v>14482.496999999999</v>
      </c>
      <c r="S1732" s="19">
        <v>12016.2</v>
      </c>
      <c r="T1732" s="19">
        <v>9774.9629999999997</v>
      </c>
      <c r="U1732" s="19">
        <v>7674.3969999999999</v>
      </c>
      <c r="V1732" s="19">
        <v>5215.1210000000001</v>
      </c>
      <c r="W1732" s="19">
        <v>3536.5929999999998</v>
      </c>
      <c r="X1732" s="19">
        <v>1794.1579999999999</v>
      </c>
      <c r="Y1732" s="19">
        <v>965.82299999999998</v>
      </c>
      <c r="Z1732" s="19">
        <v>305.20400000000001</v>
      </c>
      <c r="AA1732" s="19">
        <v>92.742999999999995</v>
      </c>
      <c r="AB1732" s="19">
        <v>19.645</v>
      </c>
      <c r="AC1732" s="19">
        <v>3.149</v>
      </c>
    </row>
    <row r="1733" spans="1:29" ht="11.65" hidden="1" x14ac:dyDescent="0.35">
      <c r="A1733" s="23">
        <v>1716</v>
      </c>
      <c r="B1733" s="21" t="s">
        <v>1015</v>
      </c>
      <c r="C1733" s="29" t="s">
        <v>1138</v>
      </c>
      <c r="D1733" s="20"/>
      <c r="E1733" s="20">
        <v>5501</v>
      </c>
      <c r="F1733" s="21" t="s">
        <v>1065</v>
      </c>
      <c r="G1733" s="20">
        <v>921</v>
      </c>
      <c r="H1733" s="20">
        <v>1975</v>
      </c>
      <c r="I1733" s="19">
        <v>63420.877</v>
      </c>
      <c r="J1733" s="19">
        <v>53940.731</v>
      </c>
      <c r="K1733" s="19">
        <v>47773.398999999998</v>
      </c>
      <c r="L1733" s="19">
        <v>41457.565999999999</v>
      </c>
      <c r="M1733" s="19">
        <v>35591.4</v>
      </c>
      <c r="N1733" s="19">
        <v>28675.182000000001</v>
      </c>
      <c r="O1733" s="19">
        <v>24887.561000000002</v>
      </c>
      <c r="P1733" s="19">
        <v>22644.451000000001</v>
      </c>
      <c r="Q1733" s="19">
        <v>19611.846000000001</v>
      </c>
      <c r="R1733" s="19">
        <v>16426.138999999999</v>
      </c>
      <c r="S1733" s="19">
        <v>13610.132</v>
      </c>
      <c r="T1733" s="19">
        <v>11018.231</v>
      </c>
      <c r="U1733" s="19">
        <v>8575.2369999999992</v>
      </c>
      <c r="V1733" s="19">
        <v>6287.42</v>
      </c>
      <c r="W1733" s="19">
        <v>3896.7919999999999</v>
      </c>
      <c r="X1733" s="19">
        <v>2315.3939999999998</v>
      </c>
      <c r="Y1733" s="19">
        <v>977.71400000000006</v>
      </c>
      <c r="Z1733" s="19">
        <v>413.21800000000002</v>
      </c>
      <c r="AA1733" s="19">
        <v>90.994</v>
      </c>
      <c r="AB1733" s="19">
        <v>20.853000000000002</v>
      </c>
      <c r="AC1733" s="19">
        <v>3.7730000000000001</v>
      </c>
    </row>
    <row r="1734" spans="1:29" ht="11.65" hidden="1" x14ac:dyDescent="0.35">
      <c r="A1734" s="23">
        <v>1717</v>
      </c>
      <c r="B1734" s="21" t="s">
        <v>1015</v>
      </c>
      <c r="C1734" s="29" t="s">
        <v>1138</v>
      </c>
      <c r="D1734" s="20"/>
      <c r="E1734" s="20">
        <v>5501</v>
      </c>
      <c r="F1734" s="21" t="s">
        <v>1065</v>
      </c>
      <c r="G1734" s="20">
        <v>921</v>
      </c>
      <c r="H1734" s="20">
        <v>1980</v>
      </c>
      <c r="I1734" s="19">
        <v>70223.828999999998</v>
      </c>
      <c r="J1734" s="19">
        <v>59901.552000000003</v>
      </c>
      <c r="K1734" s="19">
        <v>53011.879000000001</v>
      </c>
      <c r="L1734" s="19">
        <v>47168.216999999997</v>
      </c>
      <c r="M1734" s="19">
        <v>40743.214</v>
      </c>
      <c r="N1734" s="19">
        <v>34772.913</v>
      </c>
      <c r="O1734" s="19">
        <v>27930.687999999998</v>
      </c>
      <c r="P1734" s="19">
        <v>24266.82</v>
      </c>
      <c r="Q1734" s="19">
        <v>21959.675999999999</v>
      </c>
      <c r="R1734" s="19">
        <v>18816.628000000001</v>
      </c>
      <c r="S1734" s="19">
        <v>15533.924999999999</v>
      </c>
      <c r="T1734" s="19">
        <v>12576.732</v>
      </c>
      <c r="U1734" s="19">
        <v>9759.5139999999992</v>
      </c>
      <c r="V1734" s="19">
        <v>7126.1369999999997</v>
      </c>
      <c r="W1734" s="19">
        <v>4783.7359999999999</v>
      </c>
      <c r="X1734" s="19">
        <v>2589.14</v>
      </c>
      <c r="Y1734" s="19">
        <v>1281.828</v>
      </c>
      <c r="Z1734" s="19">
        <v>426.63499999999999</v>
      </c>
      <c r="AA1734" s="19">
        <v>127.724</v>
      </c>
      <c r="AB1734" s="19">
        <v>21.291</v>
      </c>
      <c r="AC1734" s="19">
        <v>4.3570000000000002</v>
      </c>
    </row>
    <row r="1735" spans="1:29" ht="11.65" hidden="1" x14ac:dyDescent="0.35">
      <c r="A1735" s="23">
        <v>1718</v>
      </c>
      <c r="B1735" s="21" t="s">
        <v>1015</v>
      </c>
      <c r="C1735" s="29" t="s">
        <v>1138</v>
      </c>
      <c r="D1735" s="20"/>
      <c r="E1735" s="20">
        <v>5501</v>
      </c>
      <c r="F1735" s="21" t="s">
        <v>1065</v>
      </c>
      <c r="G1735" s="20">
        <v>921</v>
      </c>
      <c r="H1735" s="20">
        <v>1985</v>
      </c>
      <c r="I1735" s="19">
        <v>78437.127999999997</v>
      </c>
      <c r="J1735" s="19">
        <v>66893.093999999997</v>
      </c>
      <c r="K1735" s="19">
        <v>58925.188999999998</v>
      </c>
      <c r="L1735" s="19">
        <v>52375.123</v>
      </c>
      <c r="M1735" s="19">
        <v>46388.752999999997</v>
      </c>
      <c r="N1735" s="19">
        <v>39911.908000000003</v>
      </c>
      <c r="O1735" s="19">
        <v>33998.665999999997</v>
      </c>
      <c r="P1735" s="19">
        <v>27303.896000000001</v>
      </c>
      <c r="Q1735" s="19">
        <v>23593.857</v>
      </c>
      <c r="R1735" s="19">
        <v>21143.692999999999</v>
      </c>
      <c r="S1735" s="19">
        <v>17872.718000000001</v>
      </c>
      <c r="T1735" s="19">
        <v>14426.040999999999</v>
      </c>
      <c r="U1735" s="19">
        <v>11213.061</v>
      </c>
      <c r="V1735" s="19">
        <v>8148.2259999999997</v>
      </c>
      <c r="W1735" s="19">
        <v>5445.1440000000002</v>
      </c>
      <c r="X1735" s="19">
        <v>3194.9760000000001</v>
      </c>
      <c r="Y1735" s="19">
        <v>1441.4110000000001</v>
      </c>
      <c r="Z1735" s="19">
        <v>563.5</v>
      </c>
      <c r="AA1735" s="19">
        <v>131.976</v>
      </c>
      <c r="AB1735" s="19">
        <v>30.291</v>
      </c>
      <c r="AC1735" s="19">
        <v>4.5679999999999996</v>
      </c>
    </row>
    <row r="1736" spans="1:29" ht="11.65" hidden="1" x14ac:dyDescent="0.35">
      <c r="A1736" s="23">
        <v>1719</v>
      </c>
      <c r="B1736" s="21" t="s">
        <v>1015</v>
      </c>
      <c r="C1736" s="29" t="s">
        <v>1138</v>
      </c>
      <c r="D1736" s="20"/>
      <c r="E1736" s="20">
        <v>5501</v>
      </c>
      <c r="F1736" s="21" t="s">
        <v>1065</v>
      </c>
      <c r="G1736" s="20">
        <v>921</v>
      </c>
      <c r="H1736" s="20">
        <v>1990</v>
      </c>
      <c r="I1736" s="19">
        <v>83190.051999999996</v>
      </c>
      <c r="J1736" s="19">
        <v>75290.232999999993</v>
      </c>
      <c r="K1736" s="19">
        <v>66108.557000000001</v>
      </c>
      <c r="L1736" s="19">
        <v>58349.15</v>
      </c>
      <c r="M1736" s="19">
        <v>51565.707999999999</v>
      </c>
      <c r="N1736" s="19">
        <v>45501.767999999996</v>
      </c>
      <c r="O1736" s="19">
        <v>39158.885000000002</v>
      </c>
      <c r="P1736" s="19">
        <v>33345.796000000002</v>
      </c>
      <c r="Q1736" s="19">
        <v>26675.554</v>
      </c>
      <c r="R1736" s="19">
        <v>22861.002</v>
      </c>
      <c r="S1736" s="19">
        <v>20210.155999999999</v>
      </c>
      <c r="T1736" s="19">
        <v>16700.498</v>
      </c>
      <c r="U1736" s="19">
        <v>12943.374</v>
      </c>
      <c r="V1736" s="19">
        <v>9456.4279999999999</v>
      </c>
      <c r="W1736" s="19">
        <v>6277.6909999999998</v>
      </c>
      <c r="X1736" s="19">
        <v>3664.7109999999998</v>
      </c>
      <c r="Y1736" s="19">
        <v>1794.2550000000001</v>
      </c>
      <c r="Z1736" s="19">
        <v>638.77800000000002</v>
      </c>
      <c r="AA1736" s="19">
        <v>176.303</v>
      </c>
      <c r="AB1736" s="19">
        <v>31.448</v>
      </c>
      <c r="AC1736" s="19">
        <v>6.3739999999999997</v>
      </c>
    </row>
    <row r="1737" spans="1:29" ht="11.65" hidden="1" x14ac:dyDescent="0.35">
      <c r="A1737" s="23">
        <v>1720</v>
      </c>
      <c r="B1737" s="21" t="s">
        <v>1015</v>
      </c>
      <c r="C1737" s="29" t="s">
        <v>1138</v>
      </c>
      <c r="D1737" s="20"/>
      <c r="E1737" s="20">
        <v>5501</v>
      </c>
      <c r="F1737" s="21" t="s">
        <v>1065</v>
      </c>
      <c r="G1737" s="20">
        <v>921</v>
      </c>
      <c r="H1737" s="20">
        <v>1995</v>
      </c>
      <c r="I1737" s="19">
        <v>84870.847999999998</v>
      </c>
      <c r="J1737" s="19">
        <v>80703.637000000002</v>
      </c>
      <c r="K1737" s="19">
        <v>74585.123000000007</v>
      </c>
      <c r="L1737" s="19">
        <v>65422.538999999997</v>
      </c>
      <c r="M1737" s="19">
        <v>57346.874000000003</v>
      </c>
      <c r="N1737" s="19">
        <v>50583.084000000003</v>
      </c>
      <c r="O1737" s="19">
        <v>44677.067999999999</v>
      </c>
      <c r="P1737" s="19">
        <v>38451.586000000003</v>
      </c>
      <c r="Q1737" s="19">
        <v>32663.601999999999</v>
      </c>
      <c r="R1737" s="19">
        <v>25958.285</v>
      </c>
      <c r="S1737" s="19">
        <v>21995.748</v>
      </c>
      <c r="T1737" s="19">
        <v>19069.379000000001</v>
      </c>
      <c r="U1737" s="19">
        <v>15206.382</v>
      </c>
      <c r="V1737" s="19">
        <v>11140.218999999999</v>
      </c>
      <c r="W1737" s="19">
        <v>7477.7550000000001</v>
      </c>
      <c r="X1737" s="19">
        <v>4376.067</v>
      </c>
      <c r="Y1737" s="19">
        <v>2150.1759999999999</v>
      </c>
      <c r="Z1737" s="19">
        <v>822.57500000000005</v>
      </c>
      <c r="AA1737" s="19">
        <v>202.12700000000001</v>
      </c>
      <c r="AB1737" s="19">
        <v>44.744</v>
      </c>
      <c r="AC1737" s="19">
        <v>7.8250000000000002</v>
      </c>
    </row>
    <row r="1738" spans="1:29" ht="11.65" hidden="1" x14ac:dyDescent="0.35">
      <c r="A1738" s="23">
        <v>1721</v>
      </c>
      <c r="B1738" s="21" t="s">
        <v>1015</v>
      </c>
      <c r="C1738" s="29" t="s">
        <v>1138</v>
      </c>
      <c r="D1738" s="20"/>
      <c r="E1738" s="20">
        <v>5501</v>
      </c>
      <c r="F1738" s="21" t="s">
        <v>1065</v>
      </c>
      <c r="G1738" s="20">
        <v>921</v>
      </c>
      <c r="H1738" s="20">
        <v>2000</v>
      </c>
      <c r="I1738" s="19">
        <v>86428.548999999999</v>
      </c>
      <c r="J1738" s="19">
        <v>82617.588000000003</v>
      </c>
      <c r="K1738" s="19">
        <v>79910.502999999997</v>
      </c>
      <c r="L1738" s="19">
        <v>73841.807000000001</v>
      </c>
      <c r="M1738" s="19">
        <v>64491.053</v>
      </c>
      <c r="N1738" s="19">
        <v>56450.697999999997</v>
      </c>
      <c r="O1738" s="19">
        <v>49827.279000000002</v>
      </c>
      <c r="P1738" s="19">
        <v>43977.125999999997</v>
      </c>
      <c r="Q1738" s="19">
        <v>37740.968000000001</v>
      </c>
      <c r="R1738" s="19">
        <v>31893.328000000001</v>
      </c>
      <c r="S1738" s="19">
        <v>25093.338</v>
      </c>
      <c r="T1738" s="19">
        <v>20876.736000000001</v>
      </c>
      <c r="U1738" s="19">
        <v>17516.782999999999</v>
      </c>
      <c r="V1738" s="19">
        <v>13274.918</v>
      </c>
      <c r="W1738" s="19">
        <v>8994.9580000000005</v>
      </c>
      <c r="X1738" s="19">
        <v>5384.1779999999999</v>
      </c>
      <c r="Y1738" s="19">
        <v>2649.9969999999998</v>
      </c>
      <c r="Z1738" s="19">
        <v>1005.723</v>
      </c>
      <c r="AA1738" s="19">
        <v>267.79000000000002</v>
      </c>
      <c r="AB1738" s="19">
        <v>52.167999999999999</v>
      </c>
      <c r="AC1738" s="19">
        <v>11.048</v>
      </c>
    </row>
    <row r="1739" spans="1:29" ht="11.65" hidden="1" x14ac:dyDescent="0.35">
      <c r="A1739" s="23">
        <v>1722</v>
      </c>
      <c r="B1739" s="21" t="s">
        <v>1015</v>
      </c>
      <c r="C1739" s="29" t="s">
        <v>1138</v>
      </c>
      <c r="D1739" s="20"/>
      <c r="E1739" s="20">
        <v>5501</v>
      </c>
      <c r="F1739" s="21" t="s">
        <v>1065</v>
      </c>
      <c r="G1739" s="20">
        <v>921</v>
      </c>
      <c r="H1739" s="20">
        <v>2005</v>
      </c>
      <c r="I1739" s="19">
        <v>87661.506999999998</v>
      </c>
      <c r="J1739" s="19">
        <v>84652.782000000007</v>
      </c>
      <c r="K1739" s="19">
        <v>81961.933000000005</v>
      </c>
      <c r="L1739" s="19">
        <v>79058.085999999996</v>
      </c>
      <c r="M1739" s="19">
        <v>72758.248000000007</v>
      </c>
      <c r="N1739" s="19">
        <v>63493.074000000001</v>
      </c>
      <c r="O1739" s="19">
        <v>55593.832000000002</v>
      </c>
      <c r="P1739" s="19">
        <v>49079.821000000004</v>
      </c>
      <c r="Q1739" s="19">
        <v>43266.84</v>
      </c>
      <c r="R1739" s="19">
        <v>36874.103999999999</v>
      </c>
      <c r="S1739" s="19">
        <v>30778.781999999999</v>
      </c>
      <c r="T1739" s="19">
        <v>23871.260999999999</v>
      </c>
      <c r="U1739" s="19">
        <v>19234.376</v>
      </c>
      <c r="V1739" s="19">
        <v>15349.032999999999</v>
      </c>
      <c r="W1739" s="19">
        <v>10790.584999999999</v>
      </c>
      <c r="X1739" s="19">
        <v>6568.9430000000002</v>
      </c>
      <c r="Y1739" s="19">
        <v>3328.2440000000001</v>
      </c>
      <c r="Z1739" s="19">
        <v>1271.0229999999999</v>
      </c>
      <c r="AA1739" s="19">
        <v>334.78300000000002</v>
      </c>
      <c r="AB1739" s="19">
        <v>70.296000000000006</v>
      </c>
      <c r="AC1739" s="19">
        <v>13.487</v>
      </c>
    </row>
    <row r="1740" spans="1:29" ht="11.65" hidden="1" x14ac:dyDescent="0.35">
      <c r="A1740" s="23">
        <v>1723</v>
      </c>
      <c r="B1740" s="21" t="s">
        <v>1015</v>
      </c>
      <c r="C1740" s="29" t="s">
        <v>1138</v>
      </c>
      <c r="D1740" s="20"/>
      <c r="E1740" s="20">
        <v>5501</v>
      </c>
      <c r="F1740" s="21" t="s">
        <v>1065</v>
      </c>
      <c r="G1740" s="20">
        <v>921</v>
      </c>
      <c r="H1740" s="20">
        <v>2010</v>
      </c>
      <c r="I1740" s="19">
        <v>87995.394</v>
      </c>
      <c r="J1740" s="19">
        <v>86263.260999999999</v>
      </c>
      <c r="K1740" s="19">
        <v>84051.221000000005</v>
      </c>
      <c r="L1740" s="19">
        <v>80984.702999999994</v>
      </c>
      <c r="M1740" s="19">
        <v>77705.338000000003</v>
      </c>
      <c r="N1740" s="19">
        <v>71624.292000000001</v>
      </c>
      <c r="O1740" s="19">
        <v>62465.656999999999</v>
      </c>
      <c r="P1740" s="19">
        <v>54656.697999999997</v>
      </c>
      <c r="Q1740" s="19">
        <v>48239.396999999997</v>
      </c>
      <c r="R1740" s="19">
        <v>42253.667000000001</v>
      </c>
      <c r="S1740" s="19">
        <v>35696.927000000003</v>
      </c>
      <c r="T1740" s="19">
        <v>29324.558000000001</v>
      </c>
      <c r="U1740" s="19">
        <v>22102.578000000001</v>
      </c>
      <c r="V1740" s="19">
        <v>16960.98</v>
      </c>
      <c r="W1740" s="19">
        <v>12533.737999999999</v>
      </c>
      <c r="X1740" s="19">
        <v>7940.6080000000002</v>
      </c>
      <c r="Y1740" s="19">
        <v>4125.7560000000003</v>
      </c>
      <c r="Z1740" s="19">
        <v>1637.01</v>
      </c>
      <c r="AA1740" s="19">
        <v>438.428</v>
      </c>
      <c r="AB1740" s="19">
        <v>91.83</v>
      </c>
      <c r="AC1740" s="19">
        <v>18.89</v>
      </c>
    </row>
    <row r="1741" spans="1:29" ht="11.65" hidden="1" x14ac:dyDescent="0.35">
      <c r="A1741" s="23">
        <v>1724</v>
      </c>
      <c r="B1741" s="21" t="s">
        <v>1015</v>
      </c>
      <c r="C1741" s="29" t="s">
        <v>1138</v>
      </c>
      <c r="D1741" s="20"/>
      <c r="E1741" s="20">
        <v>5501</v>
      </c>
      <c r="F1741" s="21" t="s">
        <v>1065</v>
      </c>
      <c r="G1741" s="20">
        <v>921</v>
      </c>
      <c r="H1741" s="20">
        <v>2015</v>
      </c>
      <c r="I1741" s="19">
        <v>84601.092999999993</v>
      </c>
      <c r="J1741" s="19">
        <v>86949.835999999996</v>
      </c>
      <c r="K1741" s="19">
        <v>85666.03</v>
      </c>
      <c r="L1741" s="19">
        <v>83328.347999999998</v>
      </c>
      <c r="M1741" s="19">
        <v>80008.72</v>
      </c>
      <c r="N1741" s="19">
        <v>76753.634999999995</v>
      </c>
      <c r="O1741" s="19">
        <v>70701.634000000005</v>
      </c>
      <c r="P1741" s="19">
        <v>61609.391000000003</v>
      </c>
      <c r="Q1741" s="19">
        <v>53834.69</v>
      </c>
      <c r="R1741" s="19">
        <v>47303.851999999999</v>
      </c>
      <c r="S1741" s="19">
        <v>40968.326000000001</v>
      </c>
      <c r="T1741" s="19">
        <v>34118.341</v>
      </c>
      <c r="U1741" s="19">
        <v>27259.613000000001</v>
      </c>
      <c r="V1741" s="19">
        <v>19659.804</v>
      </c>
      <c r="W1741" s="19">
        <v>14114.367</v>
      </c>
      <c r="X1741" s="19">
        <v>9412.5740000000005</v>
      </c>
      <c r="Y1741" s="19">
        <v>5116.9610000000002</v>
      </c>
      <c r="Z1741" s="19">
        <v>2080.4340000000002</v>
      </c>
      <c r="AA1741" s="19">
        <v>582.00800000000004</v>
      </c>
      <c r="AB1741" s="19">
        <v>123.711</v>
      </c>
      <c r="AC1741" s="19">
        <v>25.431999999999999</v>
      </c>
    </row>
    <row r="1742" spans="1:29" ht="11.65" hidden="1" x14ac:dyDescent="0.35">
      <c r="A1742" s="23">
        <v>1725</v>
      </c>
      <c r="B1742" s="21" t="s">
        <v>1015</v>
      </c>
      <c r="C1742" s="29" t="s">
        <v>1138</v>
      </c>
      <c r="D1742" s="20"/>
      <c r="E1742" s="20">
        <v>5501</v>
      </c>
      <c r="F1742" s="21" t="s">
        <v>1065</v>
      </c>
      <c r="G1742" s="20">
        <v>921</v>
      </c>
      <c r="H1742" s="20">
        <v>2020</v>
      </c>
      <c r="I1742" s="19">
        <v>84787.718999999997</v>
      </c>
      <c r="J1742" s="19">
        <v>83801.148000000001</v>
      </c>
      <c r="K1742" s="19">
        <v>86467.519</v>
      </c>
      <c r="L1742" s="19">
        <v>84934.137000000002</v>
      </c>
      <c r="M1742" s="19">
        <v>82317.982000000004</v>
      </c>
      <c r="N1742" s="19">
        <v>79182.884999999995</v>
      </c>
      <c r="O1742" s="19">
        <v>76019.618000000002</v>
      </c>
      <c r="P1742" s="19">
        <v>69891.058999999994</v>
      </c>
      <c r="Q1742" s="19">
        <v>60784.862999999998</v>
      </c>
      <c r="R1742" s="19">
        <v>52855.080999999998</v>
      </c>
      <c r="S1742" s="19">
        <v>45953.622000000003</v>
      </c>
      <c r="T1742" s="19">
        <v>39207.724000000002</v>
      </c>
      <c r="U1742" s="19">
        <v>31875.111000000001</v>
      </c>
      <c r="V1742" s="19">
        <v>24422.697</v>
      </c>
      <c r="W1742" s="19">
        <v>16544.704000000002</v>
      </c>
      <c r="X1742" s="19">
        <v>10791.953</v>
      </c>
      <c r="Y1742" s="19">
        <v>6162.4579999999996</v>
      </c>
      <c r="Z1742" s="19">
        <v>2624.0250000000001</v>
      </c>
      <c r="AA1742" s="19">
        <v>755.52300000000002</v>
      </c>
      <c r="AB1742" s="19">
        <v>168.81</v>
      </c>
      <c r="AC1742" s="19">
        <v>35.409999999999997</v>
      </c>
    </row>
    <row r="1743" spans="1:29" ht="11.65" hidden="1" x14ac:dyDescent="0.35">
      <c r="A1743" s="12">
        <v>1726</v>
      </c>
      <c r="B1743" s="10" t="s">
        <v>1015</v>
      </c>
      <c r="C1743" s="11" t="s">
        <v>1139</v>
      </c>
      <c r="D1743" s="9"/>
      <c r="E1743" s="9">
        <v>4</v>
      </c>
      <c r="F1743" s="10" t="s">
        <v>1066</v>
      </c>
      <c r="G1743" s="9">
        <v>5501</v>
      </c>
      <c r="H1743" s="9">
        <v>1950</v>
      </c>
      <c r="I1743" s="8">
        <v>661.57799999999997</v>
      </c>
      <c r="J1743" s="8">
        <v>487.33499999999998</v>
      </c>
      <c r="K1743" s="8">
        <v>423.32600000000002</v>
      </c>
      <c r="L1743" s="8">
        <v>369.363</v>
      </c>
      <c r="M1743" s="8">
        <v>318.392</v>
      </c>
      <c r="N1743" s="8">
        <v>272.29899999999998</v>
      </c>
      <c r="O1743" s="8">
        <v>232.16800000000001</v>
      </c>
      <c r="P1743" s="8">
        <v>197.32599999999999</v>
      </c>
      <c r="Q1743" s="8">
        <v>167.179</v>
      </c>
      <c r="R1743" s="8">
        <v>141.22</v>
      </c>
      <c r="S1743" s="8">
        <v>117.7</v>
      </c>
      <c r="T1743" s="8">
        <v>95.305000000000007</v>
      </c>
      <c r="U1743" s="8">
        <v>72.748000000000005</v>
      </c>
      <c r="V1743" s="8">
        <v>50.042999999999999</v>
      </c>
      <c r="W1743" s="8">
        <v>29.216999999999999</v>
      </c>
      <c r="X1743" s="8">
        <v>13.085000000000001</v>
      </c>
      <c r="Y1743" s="8">
        <v>3.863</v>
      </c>
      <c r="Z1743" s="8">
        <v>0.66300000000000003</v>
      </c>
      <c r="AA1743" s="8">
        <v>6.0999999999999999E-2</v>
      </c>
      <c r="AB1743" s="8">
        <v>3.0000000000000001E-3</v>
      </c>
      <c r="AC1743" s="8">
        <v>0</v>
      </c>
    </row>
    <row r="1744" spans="1:29" ht="11.65" hidden="1" x14ac:dyDescent="0.35">
      <c r="A1744" s="12">
        <v>1727</v>
      </c>
      <c r="B1744" s="10" t="s">
        <v>1015</v>
      </c>
      <c r="C1744" s="11" t="s">
        <v>1139</v>
      </c>
      <c r="D1744" s="9"/>
      <c r="E1744" s="9">
        <v>4</v>
      </c>
      <c r="F1744" s="10" t="s">
        <v>1066</v>
      </c>
      <c r="G1744" s="9">
        <v>5501</v>
      </c>
      <c r="H1744" s="9">
        <v>1955</v>
      </c>
      <c r="I1744" s="8">
        <v>671.61300000000006</v>
      </c>
      <c r="J1744" s="8">
        <v>565.60799999999995</v>
      </c>
      <c r="K1744" s="8">
        <v>467.02800000000002</v>
      </c>
      <c r="L1744" s="8">
        <v>404.24200000000002</v>
      </c>
      <c r="M1744" s="8">
        <v>347.62</v>
      </c>
      <c r="N1744" s="8">
        <v>296.36200000000002</v>
      </c>
      <c r="O1744" s="8">
        <v>251.21199999999999</v>
      </c>
      <c r="P1744" s="8">
        <v>212.16900000000001</v>
      </c>
      <c r="Q1744" s="8">
        <v>178.93700000000001</v>
      </c>
      <c r="R1744" s="8">
        <v>150.57599999999999</v>
      </c>
      <c r="S1744" s="8">
        <v>124.676</v>
      </c>
      <c r="T1744" s="8">
        <v>100.17700000000001</v>
      </c>
      <c r="U1744" s="8">
        <v>76.14</v>
      </c>
      <c r="V1744" s="8">
        <v>52.887</v>
      </c>
      <c r="W1744" s="8">
        <v>31.82</v>
      </c>
      <c r="X1744" s="8">
        <v>14.958</v>
      </c>
      <c r="Y1744" s="8">
        <v>4.9400000000000004</v>
      </c>
      <c r="Z1744" s="8">
        <v>0.97199999999999998</v>
      </c>
      <c r="AA1744" s="8">
        <v>0.104</v>
      </c>
      <c r="AB1744" s="8">
        <v>6.0000000000000001E-3</v>
      </c>
      <c r="AC1744" s="8">
        <v>0</v>
      </c>
    </row>
    <row r="1745" spans="1:29" ht="11.65" hidden="1" x14ac:dyDescent="0.35">
      <c r="A1745" s="12">
        <v>1728</v>
      </c>
      <c r="B1745" s="10" t="s">
        <v>1015</v>
      </c>
      <c r="C1745" s="11" t="s">
        <v>1139</v>
      </c>
      <c r="D1745" s="9"/>
      <c r="E1745" s="9">
        <v>4</v>
      </c>
      <c r="F1745" s="10" t="s">
        <v>1066</v>
      </c>
      <c r="G1745" s="9">
        <v>5501</v>
      </c>
      <c r="H1745" s="9">
        <v>1960</v>
      </c>
      <c r="I1745" s="8">
        <v>760.93700000000001</v>
      </c>
      <c r="J1745" s="8">
        <v>583.95299999999997</v>
      </c>
      <c r="K1745" s="8">
        <v>544.19399999999996</v>
      </c>
      <c r="L1745" s="8">
        <v>447.87200000000001</v>
      </c>
      <c r="M1745" s="8">
        <v>382.54199999999997</v>
      </c>
      <c r="N1745" s="8">
        <v>325.66399999999999</v>
      </c>
      <c r="O1745" s="8">
        <v>275.40100000000001</v>
      </c>
      <c r="P1745" s="8">
        <v>231.43100000000001</v>
      </c>
      <c r="Q1745" s="8">
        <v>194.047</v>
      </c>
      <c r="R1745" s="8">
        <v>162.56200000000001</v>
      </c>
      <c r="S1745" s="8">
        <v>134.24</v>
      </c>
      <c r="T1745" s="8">
        <v>107.41800000000001</v>
      </c>
      <c r="U1745" s="8">
        <v>81.378</v>
      </c>
      <c r="V1745" s="8">
        <v>56.624000000000002</v>
      </c>
      <c r="W1745" s="8">
        <v>34.655000000000001</v>
      </c>
      <c r="X1745" s="8">
        <v>16.989999999999998</v>
      </c>
      <c r="Y1745" s="8">
        <v>5.9740000000000002</v>
      </c>
      <c r="Z1745" s="8">
        <v>1.337</v>
      </c>
      <c r="AA1745" s="8">
        <v>0.16500000000000001</v>
      </c>
      <c r="AB1745" s="8">
        <v>0.01</v>
      </c>
      <c r="AC1745" s="8">
        <v>0</v>
      </c>
    </row>
    <row r="1746" spans="1:29" ht="11.65" hidden="1" x14ac:dyDescent="0.35">
      <c r="A1746" s="12">
        <v>1729</v>
      </c>
      <c r="B1746" s="10" t="s">
        <v>1015</v>
      </c>
      <c r="C1746" s="11" t="s">
        <v>1139</v>
      </c>
      <c r="D1746" s="9"/>
      <c r="E1746" s="9">
        <v>4</v>
      </c>
      <c r="F1746" s="10" t="s">
        <v>1066</v>
      </c>
      <c r="G1746" s="9">
        <v>5501</v>
      </c>
      <c r="H1746" s="9">
        <v>1965</v>
      </c>
      <c r="I1746" s="8">
        <v>872.77099999999996</v>
      </c>
      <c r="J1746" s="8">
        <v>672.14400000000001</v>
      </c>
      <c r="K1746" s="8">
        <v>563.99900000000002</v>
      </c>
      <c r="L1746" s="8">
        <v>524.01099999999997</v>
      </c>
      <c r="M1746" s="8">
        <v>426.07</v>
      </c>
      <c r="N1746" s="8">
        <v>360.61500000000001</v>
      </c>
      <c r="O1746" s="8">
        <v>304.75200000000001</v>
      </c>
      <c r="P1746" s="8">
        <v>255.68700000000001</v>
      </c>
      <c r="Q1746" s="8">
        <v>213.40799999999999</v>
      </c>
      <c r="R1746" s="8">
        <v>177.755</v>
      </c>
      <c r="S1746" s="8">
        <v>146.29300000000001</v>
      </c>
      <c r="T1746" s="8">
        <v>117.017</v>
      </c>
      <c r="U1746" s="8">
        <v>88.653999999999996</v>
      </c>
      <c r="V1746" s="8">
        <v>61.837000000000003</v>
      </c>
      <c r="W1746" s="8">
        <v>38.165999999999997</v>
      </c>
      <c r="X1746" s="8">
        <v>19.241</v>
      </c>
      <c r="Y1746" s="8">
        <v>7.1449999999999996</v>
      </c>
      <c r="Z1746" s="8">
        <v>1.7250000000000001</v>
      </c>
      <c r="AA1746" s="8">
        <v>0.24399999999999999</v>
      </c>
      <c r="AB1746" s="8">
        <v>1.7999999999999999E-2</v>
      </c>
      <c r="AC1746" s="8">
        <v>1E-3</v>
      </c>
    </row>
    <row r="1747" spans="1:29" ht="11.65" hidden="1" x14ac:dyDescent="0.35">
      <c r="A1747" s="12">
        <v>1730</v>
      </c>
      <c r="B1747" s="10" t="s">
        <v>1015</v>
      </c>
      <c r="C1747" s="11" t="s">
        <v>1139</v>
      </c>
      <c r="D1747" s="9"/>
      <c r="E1747" s="9">
        <v>4</v>
      </c>
      <c r="F1747" s="10" t="s">
        <v>1066</v>
      </c>
      <c r="G1747" s="9">
        <v>5501</v>
      </c>
      <c r="H1747" s="9">
        <v>1970</v>
      </c>
      <c r="I1747" s="8">
        <v>1004.622</v>
      </c>
      <c r="J1747" s="8">
        <v>780.93799999999999</v>
      </c>
      <c r="K1747" s="8">
        <v>651.27300000000002</v>
      </c>
      <c r="L1747" s="8">
        <v>544.94899999999996</v>
      </c>
      <c r="M1747" s="8">
        <v>500.714</v>
      </c>
      <c r="N1747" s="8">
        <v>403.74</v>
      </c>
      <c r="O1747" s="8">
        <v>339.44</v>
      </c>
      <c r="P1747" s="8">
        <v>284.77499999999998</v>
      </c>
      <c r="Q1747" s="8">
        <v>237.393</v>
      </c>
      <c r="R1747" s="8">
        <v>196.84800000000001</v>
      </c>
      <c r="S1747" s="8">
        <v>161.22499999999999</v>
      </c>
      <c r="T1747" s="8">
        <v>128.77000000000001</v>
      </c>
      <c r="U1747" s="8">
        <v>97.855000000000004</v>
      </c>
      <c r="V1747" s="8">
        <v>68.576999999999998</v>
      </c>
      <c r="W1747" s="8">
        <v>42.661000000000001</v>
      </c>
      <c r="X1747" s="8">
        <v>21.873999999999999</v>
      </c>
      <c r="Y1747" s="8">
        <v>8.4350000000000005</v>
      </c>
      <c r="Z1747" s="8">
        <v>2.1739999999999999</v>
      </c>
      <c r="AA1747" s="8">
        <v>0.33600000000000002</v>
      </c>
      <c r="AB1747" s="8">
        <v>0.03</v>
      </c>
      <c r="AC1747" s="8">
        <v>1E-3</v>
      </c>
    </row>
    <row r="1748" spans="1:29" ht="11.65" hidden="1" x14ac:dyDescent="0.35">
      <c r="A1748" s="12">
        <v>1731</v>
      </c>
      <c r="B1748" s="10" t="s">
        <v>1015</v>
      </c>
      <c r="C1748" s="11" t="s">
        <v>1139</v>
      </c>
      <c r="D1748" s="9"/>
      <c r="E1748" s="9">
        <v>4</v>
      </c>
      <c r="F1748" s="10" t="s">
        <v>1066</v>
      </c>
      <c r="G1748" s="9">
        <v>5501</v>
      </c>
      <c r="H1748" s="9">
        <v>1975</v>
      </c>
      <c r="I1748" s="8">
        <v>1157.742</v>
      </c>
      <c r="J1748" s="8">
        <v>910.29600000000005</v>
      </c>
      <c r="K1748" s="8">
        <v>759.12599999999998</v>
      </c>
      <c r="L1748" s="8">
        <v>631.43600000000004</v>
      </c>
      <c r="M1748" s="8">
        <v>523.02599999999995</v>
      </c>
      <c r="N1748" s="8">
        <v>476.93900000000002</v>
      </c>
      <c r="O1748" s="8">
        <v>382.25200000000001</v>
      </c>
      <c r="P1748" s="8">
        <v>319.24400000000003</v>
      </c>
      <c r="Q1748" s="8">
        <v>266.20999999999998</v>
      </c>
      <c r="R1748" s="8">
        <v>220.48500000000001</v>
      </c>
      <c r="S1748" s="8">
        <v>179.93600000000001</v>
      </c>
      <c r="T1748" s="8">
        <v>143.28800000000001</v>
      </c>
      <c r="U1748" s="8">
        <v>109.098</v>
      </c>
      <c r="V1748" s="8">
        <v>77.033000000000001</v>
      </c>
      <c r="W1748" s="8">
        <v>48.398000000000003</v>
      </c>
      <c r="X1748" s="8">
        <v>25.213000000000001</v>
      </c>
      <c r="Y1748" s="8">
        <v>9.9809999999999999</v>
      </c>
      <c r="Z1748" s="8">
        <v>2.6960000000000002</v>
      </c>
      <c r="AA1748" s="8">
        <v>0.44800000000000001</v>
      </c>
      <c r="AB1748" s="8">
        <v>4.2000000000000003E-2</v>
      </c>
      <c r="AC1748" s="8">
        <v>2E-3</v>
      </c>
    </row>
    <row r="1749" spans="1:29" ht="11.65" hidden="1" x14ac:dyDescent="0.35">
      <c r="A1749" s="12">
        <v>1732</v>
      </c>
      <c r="B1749" s="10" t="s">
        <v>1015</v>
      </c>
      <c r="C1749" s="11" t="s">
        <v>1139</v>
      </c>
      <c r="D1749" s="9"/>
      <c r="E1749" s="9">
        <v>4</v>
      </c>
      <c r="F1749" s="10" t="s">
        <v>1066</v>
      </c>
      <c r="G1749" s="9">
        <v>5501</v>
      </c>
      <c r="H1749" s="9">
        <v>1980</v>
      </c>
      <c r="I1749" s="8">
        <v>1234.896</v>
      </c>
      <c r="J1749" s="8">
        <v>974.68299999999999</v>
      </c>
      <c r="K1749" s="8">
        <v>810.78099999999995</v>
      </c>
      <c r="L1749" s="8">
        <v>674.34</v>
      </c>
      <c r="M1749" s="8">
        <v>558.66600000000005</v>
      </c>
      <c r="N1749" s="8">
        <v>462.709</v>
      </c>
      <c r="O1749" s="8">
        <v>420.63200000000001</v>
      </c>
      <c r="P1749" s="8">
        <v>329.31</v>
      </c>
      <c r="Q1749" s="8">
        <v>270.88400000000001</v>
      </c>
      <c r="R1749" s="8">
        <v>223.023</v>
      </c>
      <c r="S1749" s="8">
        <v>182.81700000000001</v>
      </c>
      <c r="T1749" s="8">
        <v>147.11699999999999</v>
      </c>
      <c r="U1749" s="8">
        <v>111.57</v>
      </c>
      <c r="V1749" s="8">
        <v>78.367000000000004</v>
      </c>
      <c r="W1749" s="8">
        <v>49.424999999999997</v>
      </c>
      <c r="X1749" s="8">
        <v>25.798999999999999</v>
      </c>
      <c r="Y1749" s="8">
        <v>9.6829999999999998</v>
      </c>
      <c r="Z1749" s="8">
        <v>2.8769999999999998</v>
      </c>
      <c r="AA1749" s="8">
        <v>0.58599999999999997</v>
      </c>
      <c r="AB1749" s="8">
        <v>5.8999999999999997E-2</v>
      </c>
      <c r="AC1749" s="8">
        <v>3.0000000000000001E-3</v>
      </c>
    </row>
    <row r="1750" spans="1:29" ht="11.65" hidden="1" x14ac:dyDescent="0.35">
      <c r="A1750" s="12">
        <v>1733</v>
      </c>
      <c r="B1750" s="10" t="s">
        <v>1015</v>
      </c>
      <c r="C1750" s="11" t="s">
        <v>1139</v>
      </c>
      <c r="D1750" s="9"/>
      <c r="E1750" s="9">
        <v>4</v>
      </c>
      <c r="F1750" s="10" t="s">
        <v>1066</v>
      </c>
      <c r="G1750" s="9">
        <v>5501</v>
      </c>
      <c r="H1750" s="9">
        <v>1985</v>
      </c>
      <c r="I1750" s="8">
        <v>1132.5809999999999</v>
      </c>
      <c r="J1750" s="8">
        <v>899.27300000000002</v>
      </c>
      <c r="K1750" s="8">
        <v>731.64</v>
      </c>
      <c r="L1750" s="8">
        <v>599.33399999999995</v>
      </c>
      <c r="M1750" s="8">
        <v>492.94900000000001</v>
      </c>
      <c r="N1750" s="8">
        <v>412.86200000000002</v>
      </c>
      <c r="O1750" s="8">
        <v>348.33100000000002</v>
      </c>
      <c r="P1750" s="8">
        <v>317.55</v>
      </c>
      <c r="Q1750" s="8">
        <v>231.98</v>
      </c>
      <c r="R1750" s="8">
        <v>182.91300000000001</v>
      </c>
      <c r="S1750" s="8">
        <v>144.92099999999999</v>
      </c>
      <c r="T1750" s="8">
        <v>118.27</v>
      </c>
      <c r="U1750" s="8">
        <v>95.819000000000003</v>
      </c>
      <c r="V1750" s="8">
        <v>66.965000000000003</v>
      </c>
      <c r="W1750" s="8">
        <v>40.514000000000003</v>
      </c>
      <c r="X1750" s="8">
        <v>20.731000000000002</v>
      </c>
      <c r="Y1750" s="8">
        <v>6.7560000000000002</v>
      </c>
      <c r="Z1750" s="8">
        <v>2.1779999999999999</v>
      </c>
      <c r="AA1750" s="8">
        <v>0.66100000000000003</v>
      </c>
      <c r="AB1750" s="8">
        <v>8.2000000000000003E-2</v>
      </c>
      <c r="AC1750" s="8">
        <v>5.0000000000000001E-3</v>
      </c>
    </row>
    <row r="1751" spans="1:29" ht="11.65" hidden="1" x14ac:dyDescent="0.35">
      <c r="A1751" s="12">
        <v>1734</v>
      </c>
      <c r="B1751" s="10" t="s">
        <v>1015</v>
      </c>
      <c r="C1751" s="11" t="s">
        <v>1139</v>
      </c>
      <c r="D1751" s="9"/>
      <c r="E1751" s="9">
        <v>4</v>
      </c>
      <c r="F1751" s="10" t="s">
        <v>1066</v>
      </c>
      <c r="G1751" s="9">
        <v>5501</v>
      </c>
      <c r="H1751" s="9">
        <v>1990</v>
      </c>
      <c r="I1751" s="8">
        <v>1178.171</v>
      </c>
      <c r="J1751" s="8">
        <v>951.09500000000003</v>
      </c>
      <c r="K1751" s="8">
        <v>785.34299999999996</v>
      </c>
      <c r="L1751" s="8">
        <v>631.18200000000002</v>
      </c>
      <c r="M1751" s="8">
        <v>509.197</v>
      </c>
      <c r="N1751" s="8">
        <v>415.68400000000003</v>
      </c>
      <c r="O1751" s="8">
        <v>350.137</v>
      </c>
      <c r="P1751" s="8">
        <v>297.97800000000001</v>
      </c>
      <c r="Q1751" s="8">
        <v>271.60399999999998</v>
      </c>
      <c r="R1751" s="8">
        <v>189.92599999999999</v>
      </c>
      <c r="S1751" s="8">
        <v>144.47499999999999</v>
      </c>
      <c r="T1751" s="8">
        <v>110.15</v>
      </c>
      <c r="U1751" s="8">
        <v>87.709000000000003</v>
      </c>
      <c r="V1751" s="8">
        <v>69.009</v>
      </c>
      <c r="W1751" s="8">
        <v>43.488999999999997</v>
      </c>
      <c r="X1751" s="8">
        <v>21.812999999999999</v>
      </c>
      <c r="Y1751" s="8">
        <v>8.1340000000000003</v>
      </c>
      <c r="Z1751" s="8">
        <v>1.9690000000000001</v>
      </c>
      <c r="AA1751" s="8">
        <v>0.52600000000000002</v>
      </c>
      <c r="AB1751" s="8">
        <v>9.6000000000000002E-2</v>
      </c>
      <c r="AC1751" s="8">
        <v>7.0000000000000001E-3</v>
      </c>
    </row>
    <row r="1752" spans="1:29" ht="11.65" hidden="1" x14ac:dyDescent="0.35">
      <c r="A1752" s="12">
        <v>1735</v>
      </c>
      <c r="B1752" s="10" t="s">
        <v>1015</v>
      </c>
      <c r="C1752" s="11" t="s">
        <v>1139</v>
      </c>
      <c r="D1752" s="9"/>
      <c r="E1752" s="9">
        <v>4</v>
      </c>
      <c r="F1752" s="10" t="s">
        <v>1066</v>
      </c>
      <c r="G1752" s="9">
        <v>5501</v>
      </c>
      <c r="H1752" s="9">
        <v>1995</v>
      </c>
      <c r="I1752" s="8">
        <v>1703.4179999999999</v>
      </c>
      <c r="J1752" s="8">
        <v>1345.9490000000001</v>
      </c>
      <c r="K1752" s="8">
        <v>1113.7339999999999</v>
      </c>
      <c r="L1752" s="8">
        <v>918.84500000000003</v>
      </c>
      <c r="M1752" s="8">
        <v>744.53899999999999</v>
      </c>
      <c r="N1752" s="8">
        <v>604.64200000000005</v>
      </c>
      <c r="O1752" s="8">
        <v>493.33100000000002</v>
      </c>
      <c r="P1752" s="8">
        <v>408.26600000000002</v>
      </c>
      <c r="Q1752" s="8">
        <v>339.43200000000002</v>
      </c>
      <c r="R1752" s="8">
        <v>305.38900000000001</v>
      </c>
      <c r="S1752" s="8">
        <v>222.51300000000001</v>
      </c>
      <c r="T1752" s="8">
        <v>171.35400000000001</v>
      </c>
      <c r="U1752" s="8">
        <v>129.33099999999999</v>
      </c>
      <c r="V1752" s="8">
        <v>95.626000000000005</v>
      </c>
      <c r="W1752" s="8">
        <v>65.558000000000007</v>
      </c>
      <c r="X1752" s="8">
        <v>35.951000000000001</v>
      </c>
      <c r="Y1752" s="8">
        <v>15.624000000000001</v>
      </c>
      <c r="Z1752" s="8">
        <v>3.956</v>
      </c>
      <c r="AA1752" s="8">
        <v>0.49</v>
      </c>
      <c r="AB1752" s="8">
        <v>7.8E-2</v>
      </c>
      <c r="AC1752" s="8">
        <v>8.9999999999999993E-3</v>
      </c>
    </row>
    <row r="1753" spans="1:29" ht="11.65" hidden="1" x14ac:dyDescent="0.35">
      <c r="A1753" s="12">
        <v>1736</v>
      </c>
      <c r="B1753" s="10" t="s">
        <v>1015</v>
      </c>
      <c r="C1753" s="11" t="s">
        <v>1139</v>
      </c>
      <c r="D1753" s="9"/>
      <c r="E1753" s="9">
        <v>4</v>
      </c>
      <c r="F1753" s="10" t="s">
        <v>1066</v>
      </c>
      <c r="G1753" s="9">
        <v>5501</v>
      </c>
      <c r="H1753" s="9">
        <v>2000</v>
      </c>
      <c r="I1753" s="8">
        <v>2042.0840000000001</v>
      </c>
      <c r="J1753" s="8">
        <v>1603.4449999999999</v>
      </c>
      <c r="K1753" s="8">
        <v>1296.308</v>
      </c>
      <c r="L1753" s="8">
        <v>1042.9849999999999</v>
      </c>
      <c r="M1753" s="8">
        <v>831.93</v>
      </c>
      <c r="N1753" s="8">
        <v>680.89200000000005</v>
      </c>
      <c r="O1753" s="8">
        <v>562.95600000000002</v>
      </c>
      <c r="P1753" s="8">
        <v>461.89499999999998</v>
      </c>
      <c r="Q1753" s="8">
        <v>381.65</v>
      </c>
      <c r="R1753" s="8">
        <v>314.363</v>
      </c>
      <c r="S1753" s="8">
        <v>279.11900000000003</v>
      </c>
      <c r="T1753" s="8">
        <v>198.274</v>
      </c>
      <c r="U1753" s="8">
        <v>147.83099999999999</v>
      </c>
      <c r="V1753" s="8">
        <v>105.589</v>
      </c>
      <c r="W1753" s="8">
        <v>72.078000000000003</v>
      </c>
      <c r="X1753" s="8">
        <v>43.206000000000003</v>
      </c>
      <c r="Y1753" s="8">
        <v>18.797999999999998</v>
      </c>
      <c r="Z1753" s="8">
        <v>5.9569999999999999</v>
      </c>
      <c r="AA1753" s="8">
        <v>1.0069999999999999</v>
      </c>
      <c r="AB1753" s="8">
        <v>7.4999999999999997E-2</v>
      </c>
      <c r="AC1753" s="8">
        <v>7.0000000000000001E-3</v>
      </c>
    </row>
    <row r="1754" spans="1:29" ht="11.65" hidden="1" x14ac:dyDescent="0.35">
      <c r="A1754" s="12">
        <v>1737</v>
      </c>
      <c r="B1754" s="10" t="s">
        <v>1015</v>
      </c>
      <c r="C1754" s="11" t="s">
        <v>1139</v>
      </c>
      <c r="D1754" s="9"/>
      <c r="E1754" s="9">
        <v>4</v>
      </c>
      <c r="F1754" s="10" t="s">
        <v>1066</v>
      </c>
      <c r="G1754" s="9">
        <v>5501</v>
      </c>
      <c r="H1754" s="9">
        <v>2005</v>
      </c>
      <c r="I1754" s="8">
        <v>2380.9929999999999</v>
      </c>
      <c r="J1754" s="8">
        <v>1992.3879999999999</v>
      </c>
      <c r="K1754" s="8">
        <v>1602.704</v>
      </c>
      <c r="L1754" s="8">
        <v>1336</v>
      </c>
      <c r="M1754" s="8">
        <v>1106.633</v>
      </c>
      <c r="N1754" s="8">
        <v>864.81500000000005</v>
      </c>
      <c r="O1754" s="8">
        <v>687.74300000000005</v>
      </c>
      <c r="P1754" s="8">
        <v>560.71400000000006</v>
      </c>
      <c r="Q1754" s="8">
        <v>455.79599999999999</v>
      </c>
      <c r="R1754" s="8">
        <v>374.26100000000002</v>
      </c>
      <c r="S1754" s="8">
        <v>305.73500000000001</v>
      </c>
      <c r="T1754" s="8">
        <v>265.88900000000001</v>
      </c>
      <c r="U1754" s="8">
        <v>183.25200000000001</v>
      </c>
      <c r="V1754" s="8">
        <v>130.43799999999999</v>
      </c>
      <c r="W1754" s="8">
        <v>84.796000000000006</v>
      </c>
      <c r="X1754" s="8">
        <v>49.481000000000002</v>
      </c>
      <c r="Y1754" s="8">
        <v>23.777000000000001</v>
      </c>
      <c r="Z1754" s="8">
        <v>7.4720000000000004</v>
      </c>
      <c r="AA1754" s="8">
        <v>1.5429999999999999</v>
      </c>
      <c r="AB1754" s="8">
        <v>0.153</v>
      </c>
      <c r="AC1754" s="8">
        <v>7.0000000000000001E-3</v>
      </c>
    </row>
    <row r="1755" spans="1:29" ht="11.65" hidden="1" x14ac:dyDescent="0.35">
      <c r="A1755" s="12">
        <v>1738</v>
      </c>
      <c r="B1755" s="10" t="s">
        <v>1015</v>
      </c>
      <c r="C1755" s="11" t="s">
        <v>1139</v>
      </c>
      <c r="D1755" s="9"/>
      <c r="E1755" s="9">
        <v>4</v>
      </c>
      <c r="F1755" s="10" t="s">
        <v>1066</v>
      </c>
      <c r="G1755" s="9">
        <v>5501</v>
      </c>
      <c r="H1755" s="9">
        <v>2010</v>
      </c>
      <c r="I1755" s="8">
        <v>2600.5349999999999</v>
      </c>
      <c r="J1755" s="8">
        <v>2309.2860000000001</v>
      </c>
      <c r="K1755" s="8">
        <v>1959.068</v>
      </c>
      <c r="L1755" s="8">
        <v>1503.682</v>
      </c>
      <c r="M1755" s="8">
        <v>1188.683</v>
      </c>
      <c r="N1755" s="8">
        <v>1013.511</v>
      </c>
      <c r="O1755" s="8">
        <v>819.30700000000002</v>
      </c>
      <c r="P1755" s="8">
        <v>657.69200000000001</v>
      </c>
      <c r="Q1755" s="8">
        <v>536.59100000000001</v>
      </c>
      <c r="R1755" s="8">
        <v>433.27800000000002</v>
      </c>
      <c r="S1755" s="8">
        <v>350.36399999999998</v>
      </c>
      <c r="T1755" s="8">
        <v>281.45400000000001</v>
      </c>
      <c r="U1755" s="8">
        <v>238.88300000000001</v>
      </c>
      <c r="V1755" s="8">
        <v>155.75899999999999</v>
      </c>
      <c r="W1755" s="8">
        <v>102.913</v>
      </c>
      <c r="X1755" s="8">
        <v>59.128999999999998</v>
      </c>
      <c r="Y1755" s="8">
        <v>27.742999999999999</v>
      </c>
      <c r="Z1755" s="8">
        <v>9.6479999999999997</v>
      </c>
      <c r="AA1755" s="8">
        <v>1.974</v>
      </c>
      <c r="AB1755" s="8">
        <v>0.24099999999999999</v>
      </c>
      <c r="AC1755" s="8">
        <v>1.4E-2</v>
      </c>
    </row>
    <row r="1756" spans="1:29" ht="11.65" hidden="1" x14ac:dyDescent="0.35">
      <c r="A1756" s="12">
        <v>1739</v>
      </c>
      <c r="B1756" s="10" t="s">
        <v>1015</v>
      </c>
      <c r="C1756" s="11" t="s">
        <v>1139</v>
      </c>
      <c r="D1756" s="9"/>
      <c r="E1756" s="9">
        <v>4</v>
      </c>
      <c r="F1756" s="10" t="s">
        <v>1066</v>
      </c>
      <c r="G1756" s="9">
        <v>5501</v>
      </c>
      <c r="H1756" s="9">
        <v>2015</v>
      </c>
      <c r="I1756" s="8">
        <v>2681.8519999999999</v>
      </c>
      <c r="J1756" s="8">
        <v>2557.5590000000002</v>
      </c>
      <c r="K1756" s="8">
        <v>2298.7570000000001</v>
      </c>
      <c r="L1756" s="8">
        <v>1980.5730000000001</v>
      </c>
      <c r="M1756" s="8">
        <v>1545.4</v>
      </c>
      <c r="N1756" s="8">
        <v>1204.5909999999999</v>
      </c>
      <c r="O1756" s="8">
        <v>1008.2619999999999</v>
      </c>
      <c r="P1756" s="8">
        <v>809.01800000000003</v>
      </c>
      <c r="Q1756" s="8">
        <v>646.06799999999998</v>
      </c>
      <c r="R1756" s="8">
        <v>523.92600000000004</v>
      </c>
      <c r="S1756" s="8">
        <v>419.245</v>
      </c>
      <c r="T1756" s="8">
        <v>333.33499999999998</v>
      </c>
      <c r="U1756" s="8">
        <v>260.02699999999999</v>
      </c>
      <c r="V1756" s="8">
        <v>210.71100000000001</v>
      </c>
      <c r="W1756" s="8">
        <v>126.72799999999999</v>
      </c>
      <c r="X1756" s="8">
        <v>73.066000000000003</v>
      </c>
      <c r="Y1756" s="8">
        <v>33.875999999999998</v>
      </c>
      <c r="Z1756" s="8">
        <v>11.513</v>
      </c>
      <c r="AA1756" s="8">
        <v>2.5979999999999999</v>
      </c>
      <c r="AB1756" s="8">
        <v>0.31</v>
      </c>
      <c r="AC1756" s="8">
        <v>2.1999999999999999E-2</v>
      </c>
    </row>
    <row r="1757" spans="1:29" ht="11.65" hidden="1" x14ac:dyDescent="0.35">
      <c r="A1757" s="12">
        <v>1740</v>
      </c>
      <c r="B1757" s="10" t="s">
        <v>1015</v>
      </c>
      <c r="C1757" s="11" t="s">
        <v>1139</v>
      </c>
      <c r="D1757" s="9"/>
      <c r="E1757" s="9">
        <v>4</v>
      </c>
      <c r="F1757" s="10" t="s">
        <v>1066</v>
      </c>
      <c r="G1757" s="9">
        <v>5501</v>
      </c>
      <c r="H1757" s="9">
        <v>2020</v>
      </c>
      <c r="I1757" s="8">
        <v>2765.1030000000001</v>
      </c>
      <c r="J1757" s="8">
        <v>2641.5929999999998</v>
      </c>
      <c r="K1757" s="8">
        <v>2540.4499999999998</v>
      </c>
      <c r="L1757" s="8">
        <v>2251.5039999999999</v>
      </c>
      <c r="M1757" s="8">
        <v>1909.2059999999999</v>
      </c>
      <c r="N1757" s="8">
        <v>1498.59</v>
      </c>
      <c r="O1757" s="8">
        <v>1179.1379999999999</v>
      </c>
      <c r="P1757" s="8">
        <v>988.22</v>
      </c>
      <c r="Q1757" s="8">
        <v>790.70299999999997</v>
      </c>
      <c r="R1757" s="8">
        <v>627.51</v>
      </c>
      <c r="S1757" s="8">
        <v>503.17099999999999</v>
      </c>
      <c r="T1757" s="8">
        <v>396.46</v>
      </c>
      <c r="U1757" s="8">
        <v>307.55700000000002</v>
      </c>
      <c r="V1757" s="8">
        <v>229.221</v>
      </c>
      <c r="W1757" s="8">
        <v>172.197</v>
      </c>
      <c r="X1757" s="8">
        <v>91.106999999999999</v>
      </c>
      <c r="Y1757" s="8">
        <v>42.49</v>
      </c>
      <c r="Z1757" s="8">
        <v>14.275</v>
      </c>
      <c r="AA1757" s="8">
        <v>3.1389999999999998</v>
      </c>
      <c r="AB1757" s="8">
        <v>0.41399999999999998</v>
      </c>
      <c r="AC1757" s="8">
        <v>2.8000000000000001E-2</v>
      </c>
    </row>
    <row r="1758" spans="1:29" ht="11.65" hidden="1" x14ac:dyDescent="0.35">
      <c r="A1758" s="12">
        <v>1741</v>
      </c>
      <c r="B1758" s="10" t="s">
        <v>1015</v>
      </c>
      <c r="C1758" s="11" t="s">
        <v>1140</v>
      </c>
      <c r="D1758" s="9"/>
      <c r="E1758" s="9">
        <v>50</v>
      </c>
      <c r="F1758" s="10" t="s">
        <v>1066</v>
      </c>
      <c r="G1758" s="9">
        <v>5501</v>
      </c>
      <c r="H1758" s="9">
        <v>1950</v>
      </c>
      <c r="I1758" s="8">
        <v>3068.5309999999999</v>
      </c>
      <c r="J1758" s="8">
        <v>2440.7240000000002</v>
      </c>
      <c r="K1758" s="8">
        <v>2105.2339999999999</v>
      </c>
      <c r="L1758" s="8">
        <v>1836.5229999999999</v>
      </c>
      <c r="M1758" s="8">
        <v>1596.395</v>
      </c>
      <c r="N1758" s="8">
        <v>1377.365</v>
      </c>
      <c r="O1758" s="8">
        <v>1163.8820000000001</v>
      </c>
      <c r="P1758" s="8">
        <v>979.70600000000002</v>
      </c>
      <c r="Q1758" s="8">
        <v>799.12</v>
      </c>
      <c r="R1758" s="8">
        <v>687.21699999999998</v>
      </c>
      <c r="S1758" s="8">
        <v>570.10400000000004</v>
      </c>
      <c r="T1758" s="8">
        <v>453.82</v>
      </c>
      <c r="U1758" s="8">
        <v>340.3</v>
      </c>
      <c r="V1758" s="8">
        <v>273.464</v>
      </c>
      <c r="W1758" s="8">
        <v>224.47800000000001</v>
      </c>
      <c r="X1758" s="8">
        <v>134.964</v>
      </c>
      <c r="Y1758" s="8">
        <v>46.838000000000001</v>
      </c>
      <c r="Z1758" s="8">
        <v>10.215999999999999</v>
      </c>
      <c r="AA1758" s="8">
        <v>1.2450000000000001</v>
      </c>
      <c r="AB1758" s="8">
        <v>7.5999999999999998E-2</v>
      </c>
      <c r="AC1758" s="8">
        <v>3.0000000000000001E-3</v>
      </c>
    </row>
    <row r="1759" spans="1:29" ht="11.65" hidden="1" x14ac:dyDescent="0.35">
      <c r="A1759" s="12">
        <v>1742</v>
      </c>
      <c r="B1759" s="10" t="s">
        <v>1015</v>
      </c>
      <c r="C1759" s="11" t="s">
        <v>1140</v>
      </c>
      <c r="D1759" s="9"/>
      <c r="E1759" s="9">
        <v>50</v>
      </c>
      <c r="F1759" s="10" t="s">
        <v>1066</v>
      </c>
      <c r="G1759" s="9">
        <v>5501</v>
      </c>
      <c r="H1759" s="9">
        <v>1955</v>
      </c>
      <c r="I1759" s="8">
        <v>3406.056</v>
      </c>
      <c r="J1759" s="8">
        <v>2736.7350000000001</v>
      </c>
      <c r="K1759" s="8">
        <v>2361.549</v>
      </c>
      <c r="L1759" s="8">
        <v>2056.846</v>
      </c>
      <c r="M1759" s="8">
        <v>1782.519</v>
      </c>
      <c r="N1759" s="8">
        <v>1544.5239999999999</v>
      </c>
      <c r="O1759" s="8">
        <v>1328.287</v>
      </c>
      <c r="P1759" s="8">
        <v>1116.9280000000001</v>
      </c>
      <c r="Q1759" s="8">
        <v>935.60900000000004</v>
      </c>
      <c r="R1759" s="8">
        <v>757.72799999999995</v>
      </c>
      <c r="S1759" s="8">
        <v>642.80999999999995</v>
      </c>
      <c r="T1759" s="8">
        <v>521.61199999999997</v>
      </c>
      <c r="U1759" s="8">
        <v>384.52300000000002</v>
      </c>
      <c r="V1759" s="8">
        <v>252.59800000000001</v>
      </c>
      <c r="W1759" s="8">
        <v>173.07599999999999</v>
      </c>
      <c r="X1759" s="8">
        <v>109.91</v>
      </c>
      <c r="Y1759" s="8">
        <v>46.837000000000003</v>
      </c>
      <c r="Z1759" s="8">
        <v>10.218</v>
      </c>
      <c r="AA1759" s="8">
        <v>1.2450000000000001</v>
      </c>
      <c r="AB1759" s="8">
        <v>7.5999999999999998E-2</v>
      </c>
      <c r="AC1759" s="8">
        <v>3.0000000000000001E-3</v>
      </c>
    </row>
    <row r="1760" spans="1:29" ht="11.65" hidden="1" x14ac:dyDescent="0.35">
      <c r="A1760" s="12">
        <v>1743</v>
      </c>
      <c r="B1760" s="10" t="s">
        <v>1015</v>
      </c>
      <c r="C1760" s="11" t="s">
        <v>1140</v>
      </c>
      <c r="D1760" s="9"/>
      <c r="E1760" s="9">
        <v>50</v>
      </c>
      <c r="F1760" s="10" t="s">
        <v>1066</v>
      </c>
      <c r="G1760" s="9">
        <v>5501</v>
      </c>
      <c r="H1760" s="9">
        <v>1960</v>
      </c>
      <c r="I1760" s="8">
        <v>4168.2950000000001</v>
      </c>
      <c r="J1760" s="8">
        <v>3091.3429999999998</v>
      </c>
      <c r="K1760" s="8">
        <v>2656.9180000000001</v>
      </c>
      <c r="L1760" s="8">
        <v>2315.6869999999999</v>
      </c>
      <c r="M1760" s="8">
        <v>2005.5129999999999</v>
      </c>
      <c r="N1760" s="8">
        <v>1731.729</v>
      </c>
      <c r="O1760" s="8">
        <v>1495.164</v>
      </c>
      <c r="P1760" s="8">
        <v>1279.559</v>
      </c>
      <c r="Q1760" s="8">
        <v>1070.221</v>
      </c>
      <c r="R1760" s="8">
        <v>889.76499999999999</v>
      </c>
      <c r="S1760" s="8">
        <v>712.13499999999999</v>
      </c>
      <c r="T1760" s="8">
        <v>592.053</v>
      </c>
      <c r="U1760" s="8">
        <v>447.58</v>
      </c>
      <c r="V1760" s="8">
        <v>292.07499999999999</v>
      </c>
      <c r="W1760" s="8">
        <v>164.91</v>
      </c>
      <c r="X1760" s="8">
        <v>88.405000000000001</v>
      </c>
      <c r="Y1760" s="8">
        <v>40.207000000000001</v>
      </c>
      <c r="Z1760" s="8">
        <v>10.91</v>
      </c>
      <c r="AA1760" s="8">
        <v>1.345</v>
      </c>
      <c r="AB1760" s="8">
        <v>8.3000000000000004E-2</v>
      </c>
      <c r="AC1760" s="8">
        <v>3.0000000000000001E-3</v>
      </c>
    </row>
    <row r="1761" spans="1:29" ht="11.65" hidden="1" x14ac:dyDescent="0.35">
      <c r="A1761" s="12">
        <v>1744</v>
      </c>
      <c r="B1761" s="10" t="s">
        <v>1015</v>
      </c>
      <c r="C1761" s="11" t="s">
        <v>1140</v>
      </c>
      <c r="D1761" s="9"/>
      <c r="E1761" s="9">
        <v>50</v>
      </c>
      <c r="F1761" s="10" t="s">
        <v>1066</v>
      </c>
      <c r="G1761" s="9">
        <v>5501</v>
      </c>
      <c r="H1761" s="9">
        <v>1965</v>
      </c>
      <c r="I1761" s="8">
        <v>4972.3040000000001</v>
      </c>
      <c r="J1761" s="8">
        <v>3831.616</v>
      </c>
      <c r="K1761" s="8">
        <v>3005.1709999999998</v>
      </c>
      <c r="L1761" s="8">
        <v>2601.0590000000002</v>
      </c>
      <c r="M1761" s="8">
        <v>2254.991</v>
      </c>
      <c r="N1761" s="8">
        <v>1949.2249999999999</v>
      </c>
      <c r="O1761" s="8">
        <v>1679.8320000000001</v>
      </c>
      <c r="P1761" s="8">
        <v>1444.6990000000001</v>
      </c>
      <c r="Q1761" s="8">
        <v>1229.796</v>
      </c>
      <c r="R1761" s="8">
        <v>1020.67</v>
      </c>
      <c r="S1761" s="8">
        <v>839.923</v>
      </c>
      <c r="T1761" s="8">
        <v>659.76099999999997</v>
      </c>
      <c r="U1761" s="8">
        <v>513.82500000000005</v>
      </c>
      <c r="V1761" s="8">
        <v>347.40199999999999</v>
      </c>
      <c r="W1761" s="8">
        <v>196.54400000000001</v>
      </c>
      <c r="X1761" s="8">
        <v>87.94</v>
      </c>
      <c r="Y1761" s="8">
        <v>34.225000000000001</v>
      </c>
      <c r="Z1761" s="8">
        <v>10.084</v>
      </c>
      <c r="AA1761" s="8">
        <v>1.575</v>
      </c>
      <c r="AB1761" s="8">
        <v>9.9000000000000005E-2</v>
      </c>
      <c r="AC1761" s="8">
        <v>4.0000000000000001E-3</v>
      </c>
    </row>
    <row r="1762" spans="1:29" ht="11.65" hidden="1" x14ac:dyDescent="0.35">
      <c r="A1762" s="12">
        <v>1745</v>
      </c>
      <c r="B1762" s="10" t="s">
        <v>1015</v>
      </c>
      <c r="C1762" s="11" t="s">
        <v>1140</v>
      </c>
      <c r="D1762" s="9"/>
      <c r="E1762" s="9">
        <v>50</v>
      </c>
      <c r="F1762" s="10" t="s">
        <v>1066</v>
      </c>
      <c r="G1762" s="9">
        <v>5501</v>
      </c>
      <c r="H1762" s="9">
        <v>1970</v>
      </c>
      <c r="I1762" s="8">
        <v>5786.0820000000003</v>
      </c>
      <c r="J1762" s="8">
        <v>4603.7290000000003</v>
      </c>
      <c r="K1762" s="8">
        <v>3731.6909999999998</v>
      </c>
      <c r="L1762" s="8">
        <v>2939.1750000000002</v>
      </c>
      <c r="M1762" s="8">
        <v>2531.1550000000002</v>
      </c>
      <c r="N1762" s="8">
        <v>2193.4090000000001</v>
      </c>
      <c r="O1762" s="8">
        <v>1894.904</v>
      </c>
      <c r="P1762" s="8">
        <v>1628.068</v>
      </c>
      <c r="Q1762" s="8">
        <v>1392.777</v>
      </c>
      <c r="R1762" s="8">
        <v>1176.2439999999999</v>
      </c>
      <c r="S1762" s="8">
        <v>967.476</v>
      </c>
      <c r="T1762" s="8">
        <v>782.38800000000003</v>
      </c>
      <c r="U1762" s="8">
        <v>578.90700000000004</v>
      </c>
      <c r="V1762" s="8">
        <v>407.31799999999998</v>
      </c>
      <c r="W1762" s="8">
        <v>240.66200000000001</v>
      </c>
      <c r="X1762" s="8">
        <v>109.19499999999999</v>
      </c>
      <c r="Y1762" s="8">
        <v>35.984000000000002</v>
      </c>
      <c r="Z1762" s="8">
        <v>9.2539999999999996</v>
      </c>
      <c r="AA1762" s="8">
        <v>1.6080000000000001</v>
      </c>
      <c r="AB1762" s="8">
        <v>0.13100000000000001</v>
      </c>
      <c r="AC1762" s="8">
        <v>5.0000000000000001E-3</v>
      </c>
    </row>
    <row r="1763" spans="1:29" ht="11.65" hidden="1" x14ac:dyDescent="0.35">
      <c r="A1763" s="12">
        <v>1746</v>
      </c>
      <c r="B1763" s="10" t="s">
        <v>1015</v>
      </c>
      <c r="C1763" s="11" t="s">
        <v>1140</v>
      </c>
      <c r="D1763" s="9"/>
      <c r="E1763" s="9">
        <v>50</v>
      </c>
      <c r="F1763" s="10" t="s">
        <v>1066</v>
      </c>
      <c r="G1763" s="9">
        <v>5501</v>
      </c>
      <c r="H1763" s="9">
        <v>1975</v>
      </c>
      <c r="I1763" s="8">
        <v>6023.7849999999999</v>
      </c>
      <c r="J1763" s="8">
        <v>5110.3540000000003</v>
      </c>
      <c r="K1763" s="8">
        <v>4325.5870000000004</v>
      </c>
      <c r="L1763" s="8">
        <v>3218.0369999999998</v>
      </c>
      <c r="M1763" s="8">
        <v>2362.5309999999999</v>
      </c>
      <c r="N1763" s="8">
        <v>2341.2649999999999</v>
      </c>
      <c r="O1763" s="8">
        <v>2140.701</v>
      </c>
      <c r="P1763" s="8">
        <v>1842.2090000000001</v>
      </c>
      <c r="Q1763" s="8">
        <v>1572.9090000000001</v>
      </c>
      <c r="R1763" s="8">
        <v>1333.346</v>
      </c>
      <c r="S1763" s="8">
        <v>1115.3610000000001</v>
      </c>
      <c r="T1763" s="8">
        <v>901.82299999999998</v>
      </c>
      <c r="U1763" s="8">
        <v>692.226</v>
      </c>
      <c r="V1763" s="8">
        <v>468.52199999999999</v>
      </c>
      <c r="W1763" s="8">
        <v>290.07299999999998</v>
      </c>
      <c r="X1763" s="8">
        <v>138.96799999999999</v>
      </c>
      <c r="Y1763" s="8">
        <v>47.128999999999998</v>
      </c>
      <c r="Z1763" s="8">
        <v>10.493</v>
      </c>
      <c r="AA1763" s="8">
        <v>1.6359999999999999</v>
      </c>
      <c r="AB1763" s="8">
        <v>0.152</v>
      </c>
      <c r="AC1763" s="8">
        <v>7.0000000000000001E-3</v>
      </c>
    </row>
    <row r="1764" spans="1:29" ht="11.65" hidden="1" x14ac:dyDescent="0.35">
      <c r="A1764" s="12">
        <v>1747</v>
      </c>
      <c r="B1764" s="10" t="s">
        <v>1015</v>
      </c>
      <c r="C1764" s="11" t="s">
        <v>1140</v>
      </c>
      <c r="D1764" s="9"/>
      <c r="E1764" s="9">
        <v>50</v>
      </c>
      <c r="F1764" s="10" t="s">
        <v>1066</v>
      </c>
      <c r="G1764" s="9">
        <v>5501</v>
      </c>
      <c r="H1764" s="9">
        <v>1980</v>
      </c>
      <c r="I1764" s="8">
        <v>6805.6580000000004</v>
      </c>
      <c r="J1764" s="8">
        <v>5663.5870000000004</v>
      </c>
      <c r="K1764" s="8">
        <v>5015.6080000000002</v>
      </c>
      <c r="L1764" s="8">
        <v>4271.6040000000003</v>
      </c>
      <c r="M1764" s="8">
        <v>3130.57</v>
      </c>
      <c r="N1764" s="8">
        <v>2186.7919999999999</v>
      </c>
      <c r="O1764" s="8">
        <v>2174.192</v>
      </c>
      <c r="P1764" s="8">
        <v>2090.3290000000002</v>
      </c>
      <c r="Q1764" s="8">
        <v>1764.4570000000001</v>
      </c>
      <c r="R1764" s="8">
        <v>1434.6379999999999</v>
      </c>
      <c r="S1764" s="8">
        <v>1206.8399999999999</v>
      </c>
      <c r="T1764" s="8">
        <v>997.90200000000004</v>
      </c>
      <c r="U1764" s="8">
        <v>764.48800000000006</v>
      </c>
      <c r="V1764" s="8">
        <v>536.84900000000005</v>
      </c>
      <c r="W1764" s="8">
        <v>324.233</v>
      </c>
      <c r="X1764" s="8">
        <v>167.05500000000001</v>
      </c>
      <c r="Y1764" s="8">
        <v>61.997</v>
      </c>
      <c r="Z1764" s="8">
        <v>14.366</v>
      </c>
      <c r="AA1764" s="8">
        <v>1.966</v>
      </c>
      <c r="AB1764" s="8">
        <v>0.16700000000000001</v>
      </c>
      <c r="AC1764" s="8">
        <v>8.9999999999999993E-3</v>
      </c>
    </row>
    <row r="1765" spans="1:29" ht="11.65" hidden="1" x14ac:dyDescent="0.35">
      <c r="A1765" s="12">
        <v>1748</v>
      </c>
      <c r="B1765" s="10" t="s">
        <v>1015</v>
      </c>
      <c r="C1765" s="11" t="s">
        <v>1140</v>
      </c>
      <c r="D1765" s="9"/>
      <c r="E1765" s="9">
        <v>50</v>
      </c>
      <c r="F1765" s="10" t="s">
        <v>1066</v>
      </c>
      <c r="G1765" s="9">
        <v>5501</v>
      </c>
      <c r="H1765" s="9">
        <v>1985</v>
      </c>
      <c r="I1765" s="8">
        <v>7453.4129999999996</v>
      </c>
      <c r="J1765" s="8">
        <v>6453.8590000000004</v>
      </c>
      <c r="K1765" s="8">
        <v>5574.2150000000001</v>
      </c>
      <c r="L1765" s="8">
        <v>4961.0870000000004</v>
      </c>
      <c r="M1765" s="8">
        <v>4170.915</v>
      </c>
      <c r="N1765" s="8">
        <v>2984.444</v>
      </c>
      <c r="O1765" s="8">
        <v>2065.65</v>
      </c>
      <c r="P1765" s="8">
        <v>2123.6379999999999</v>
      </c>
      <c r="Q1765" s="8">
        <v>1999.952</v>
      </c>
      <c r="R1765" s="8">
        <v>1610.211</v>
      </c>
      <c r="S1765" s="8">
        <v>1298.7629999999999</v>
      </c>
      <c r="T1765" s="8">
        <v>1081.248</v>
      </c>
      <c r="U1765" s="8">
        <v>850.27599999999995</v>
      </c>
      <c r="V1765" s="8">
        <v>598.07299999999998</v>
      </c>
      <c r="W1765" s="8">
        <v>376.87599999999998</v>
      </c>
      <c r="X1765" s="8">
        <v>189.91800000000001</v>
      </c>
      <c r="Y1765" s="8">
        <v>76.007000000000005</v>
      </c>
      <c r="Z1765" s="8">
        <v>19.306000000000001</v>
      </c>
      <c r="AA1765" s="8">
        <v>2.75</v>
      </c>
      <c r="AB1765" s="8">
        <v>0.20399999999999999</v>
      </c>
      <c r="AC1765" s="8">
        <v>0.01</v>
      </c>
    </row>
    <row r="1766" spans="1:29" ht="11.65" hidden="1" x14ac:dyDescent="0.35">
      <c r="A1766" s="12">
        <v>1749</v>
      </c>
      <c r="B1766" s="10" t="s">
        <v>1015</v>
      </c>
      <c r="C1766" s="11" t="s">
        <v>1140</v>
      </c>
      <c r="D1766" s="9"/>
      <c r="E1766" s="9">
        <v>50</v>
      </c>
      <c r="F1766" s="10" t="s">
        <v>1066</v>
      </c>
      <c r="G1766" s="9">
        <v>5501</v>
      </c>
      <c r="H1766" s="9">
        <v>1990</v>
      </c>
      <c r="I1766" s="8">
        <v>7802.6689999999999</v>
      </c>
      <c r="J1766" s="8">
        <v>7124.0010000000002</v>
      </c>
      <c r="K1766" s="8">
        <v>6369.3779999999997</v>
      </c>
      <c r="L1766" s="8">
        <v>5521.9870000000001</v>
      </c>
      <c r="M1766" s="8">
        <v>4893.6620000000003</v>
      </c>
      <c r="N1766" s="8">
        <v>4083.7440000000001</v>
      </c>
      <c r="O1766" s="8">
        <v>2911.386</v>
      </c>
      <c r="P1766" s="8">
        <v>2026.779</v>
      </c>
      <c r="Q1766" s="8">
        <v>2066.6060000000002</v>
      </c>
      <c r="R1766" s="8">
        <v>1918.326</v>
      </c>
      <c r="S1766" s="8">
        <v>1533.0139999999999</v>
      </c>
      <c r="T1766" s="8">
        <v>1219.45</v>
      </c>
      <c r="U1766" s="8">
        <v>971.92700000000002</v>
      </c>
      <c r="V1766" s="8">
        <v>710.07600000000002</v>
      </c>
      <c r="W1766" s="8">
        <v>447.745</v>
      </c>
      <c r="X1766" s="8">
        <v>234.68600000000001</v>
      </c>
      <c r="Y1766" s="8">
        <v>90.828999999999994</v>
      </c>
      <c r="Z1766" s="8">
        <v>25.228999999999999</v>
      </c>
      <c r="AA1766" s="8">
        <v>3.9969999999999999</v>
      </c>
      <c r="AB1766" s="8">
        <v>0.314</v>
      </c>
      <c r="AC1766" s="8">
        <v>1.2999999999999999E-2</v>
      </c>
    </row>
    <row r="1767" spans="1:29" ht="11.65" hidden="1" x14ac:dyDescent="0.35">
      <c r="A1767" s="12">
        <v>1750</v>
      </c>
      <c r="B1767" s="10" t="s">
        <v>1015</v>
      </c>
      <c r="C1767" s="11" t="s">
        <v>1140</v>
      </c>
      <c r="D1767" s="9"/>
      <c r="E1767" s="9">
        <v>50</v>
      </c>
      <c r="F1767" s="10" t="s">
        <v>1066</v>
      </c>
      <c r="G1767" s="9">
        <v>5501</v>
      </c>
      <c r="H1767" s="9">
        <v>1995</v>
      </c>
      <c r="I1767" s="8">
        <v>7883.6809999999996</v>
      </c>
      <c r="J1767" s="8">
        <v>7541.1229999999996</v>
      </c>
      <c r="K1767" s="8">
        <v>7016.45</v>
      </c>
      <c r="L1767" s="8">
        <v>6245.3720000000003</v>
      </c>
      <c r="M1767" s="8">
        <v>5387.933</v>
      </c>
      <c r="N1767" s="8">
        <v>4772.857</v>
      </c>
      <c r="O1767" s="8">
        <v>3978.893</v>
      </c>
      <c r="P1767" s="8">
        <v>2842.3409999999999</v>
      </c>
      <c r="Q1767" s="8">
        <v>1973.6379999999999</v>
      </c>
      <c r="R1767" s="8">
        <v>1979.0920000000001</v>
      </c>
      <c r="S1767" s="8">
        <v>1829.6130000000001</v>
      </c>
      <c r="T1767" s="8">
        <v>1454.232</v>
      </c>
      <c r="U1767" s="8">
        <v>1118.528</v>
      </c>
      <c r="V1767" s="8">
        <v>839.18200000000002</v>
      </c>
      <c r="W1767" s="8">
        <v>555.44200000000001</v>
      </c>
      <c r="X1767" s="8">
        <v>296.16000000000003</v>
      </c>
      <c r="Y1767" s="8">
        <v>121.471</v>
      </c>
      <c r="Z1767" s="8">
        <v>33.552</v>
      </c>
      <c r="AA1767" s="8">
        <v>6.0030000000000001</v>
      </c>
      <c r="AB1767" s="8">
        <v>0.54500000000000004</v>
      </c>
      <c r="AC1767" s="8">
        <v>2.4E-2</v>
      </c>
    </row>
    <row r="1768" spans="1:29" ht="11.65" hidden="1" x14ac:dyDescent="0.35">
      <c r="A1768" s="12">
        <v>1751</v>
      </c>
      <c r="B1768" s="10" t="s">
        <v>1015</v>
      </c>
      <c r="C1768" s="11" t="s">
        <v>1140</v>
      </c>
      <c r="D1768" s="9"/>
      <c r="E1768" s="9">
        <v>50</v>
      </c>
      <c r="F1768" s="10" t="s">
        <v>1066</v>
      </c>
      <c r="G1768" s="9">
        <v>5501</v>
      </c>
      <c r="H1768" s="9">
        <v>2000</v>
      </c>
      <c r="I1768" s="8">
        <v>7979.2049999999999</v>
      </c>
      <c r="J1768" s="8">
        <v>7696.6790000000001</v>
      </c>
      <c r="K1768" s="8">
        <v>7443.9979999999996</v>
      </c>
      <c r="L1768" s="8">
        <v>6913.2049999999999</v>
      </c>
      <c r="M1768" s="8">
        <v>6147.64</v>
      </c>
      <c r="N1768" s="8">
        <v>5292.6440000000002</v>
      </c>
      <c r="O1768" s="8">
        <v>4678.268</v>
      </c>
      <c r="P1768" s="8">
        <v>3886.3510000000001</v>
      </c>
      <c r="Q1768" s="8">
        <v>2770.9259999999999</v>
      </c>
      <c r="R1768" s="8">
        <v>1912.6769999999999</v>
      </c>
      <c r="S1768" s="8">
        <v>1898.3979999999999</v>
      </c>
      <c r="T1768" s="8">
        <v>1739.7660000000001</v>
      </c>
      <c r="U1768" s="8">
        <v>1348.8440000000001</v>
      </c>
      <c r="V1768" s="8">
        <v>995.63499999999999</v>
      </c>
      <c r="W1768" s="8">
        <v>693.93499999999995</v>
      </c>
      <c r="X1768" s="8">
        <v>412.84500000000003</v>
      </c>
      <c r="Y1768" s="8">
        <v>184.90199999999999</v>
      </c>
      <c r="Z1768" s="8">
        <v>54.892000000000003</v>
      </c>
      <c r="AA1768" s="8">
        <v>10.622</v>
      </c>
      <c r="AB1768" s="8">
        <v>1.353</v>
      </c>
      <c r="AC1768" s="8">
        <v>7.9000000000000001E-2</v>
      </c>
    </row>
    <row r="1769" spans="1:29" ht="11.65" hidden="1" x14ac:dyDescent="0.35">
      <c r="A1769" s="12">
        <v>1752</v>
      </c>
      <c r="B1769" s="10" t="s">
        <v>1015</v>
      </c>
      <c r="C1769" s="11" t="s">
        <v>1140</v>
      </c>
      <c r="D1769" s="9"/>
      <c r="E1769" s="9">
        <v>50</v>
      </c>
      <c r="F1769" s="10" t="s">
        <v>1066</v>
      </c>
      <c r="G1769" s="9">
        <v>5501</v>
      </c>
      <c r="H1769" s="9">
        <v>2005</v>
      </c>
      <c r="I1769" s="8">
        <v>7912.8209999999999</v>
      </c>
      <c r="J1769" s="8">
        <v>7850.6610000000001</v>
      </c>
      <c r="K1769" s="8">
        <v>7647.0349999999999</v>
      </c>
      <c r="L1769" s="8">
        <v>7320.0649999999996</v>
      </c>
      <c r="M1769" s="8">
        <v>6782.2579999999998</v>
      </c>
      <c r="N1769" s="8">
        <v>6098.3360000000002</v>
      </c>
      <c r="O1769" s="8">
        <v>5199.4269999999997</v>
      </c>
      <c r="P1769" s="8">
        <v>4561.3630000000003</v>
      </c>
      <c r="Q1769" s="8">
        <v>3773.9720000000002</v>
      </c>
      <c r="R1769" s="8">
        <v>2632.7379999999998</v>
      </c>
      <c r="S1769" s="8">
        <v>1803.913</v>
      </c>
      <c r="T1769" s="8">
        <v>1786.7539999999999</v>
      </c>
      <c r="U1769" s="8">
        <v>1572.421</v>
      </c>
      <c r="V1769" s="8">
        <v>1157.9639999999999</v>
      </c>
      <c r="W1769" s="8">
        <v>809.09100000000001</v>
      </c>
      <c r="X1769" s="8">
        <v>525.27499999999998</v>
      </c>
      <c r="Y1769" s="8">
        <v>267.44299999999998</v>
      </c>
      <c r="Z1769" s="8">
        <v>89.971000000000004</v>
      </c>
      <c r="AA1769" s="8">
        <v>19.417000000000002</v>
      </c>
      <c r="AB1769" s="8">
        <v>2.7480000000000002</v>
      </c>
      <c r="AC1769" s="8">
        <v>0.23799999999999999</v>
      </c>
    </row>
    <row r="1770" spans="1:29" ht="11.65" hidden="1" x14ac:dyDescent="0.35">
      <c r="A1770" s="12">
        <v>1753</v>
      </c>
      <c r="B1770" s="10" t="s">
        <v>1015</v>
      </c>
      <c r="C1770" s="11" t="s">
        <v>1140</v>
      </c>
      <c r="D1770" s="9"/>
      <c r="E1770" s="9">
        <v>50</v>
      </c>
      <c r="F1770" s="10" t="s">
        <v>1066</v>
      </c>
      <c r="G1770" s="9">
        <v>5501</v>
      </c>
      <c r="H1770" s="9">
        <v>2010</v>
      </c>
      <c r="I1770" s="8">
        <v>7483.66</v>
      </c>
      <c r="J1770" s="8">
        <v>7827.6779999999999</v>
      </c>
      <c r="K1770" s="8">
        <v>7810.9369999999999</v>
      </c>
      <c r="L1770" s="8">
        <v>7460.424</v>
      </c>
      <c r="M1770" s="8">
        <v>7126.625</v>
      </c>
      <c r="N1770" s="8">
        <v>6737.6989999999996</v>
      </c>
      <c r="O1770" s="8">
        <v>5970.4489999999996</v>
      </c>
      <c r="P1770" s="8">
        <v>5031.0839999999998</v>
      </c>
      <c r="Q1770" s="8">
        <v>4403.0479999999998</v>
      </c>
      <c r="R1770" s="8">
        <v>3559.1280000000002</v>
      </c>
      <c r="S1770" s="8">
        <v>2465.6909999999998</v>
      </c>
      <c r="T1770" s="8">
        <v>1673.989</v>
      </c>
      <c r="U1770" s="8">
        <v>1583.6890000000001</v>
      </c>
      <c r="V1770" s="8">
        <v>1326.0139999999999</v>
      </c>
      <c r="W1770" s="8">
        <v>937.07399999999996</v>
      </c>
      <c r="X1770" s="8">
        <v>625.15300000000002</v>
      </c>
      <c r="Y1770" s="8">
        <v>353.88799999999998</v>
      </c>
      <c r="Z1770" s="8">
        <v>141.197</v>
      </c>
      <c r="AA1770" s="8">
        <v>35.9</v>
      </c>
      <c r="AB1770" s="8">
        <v>5.8179999999999996</v>
      </c>
      <c r="AC1770" s="8">
        <v>0.59599999999999997</v>
      </c>
    </row>
    <row r="1771" spans="1:29" ht="11.65" hidden="1" x14ac:dyDescent="0.35">
      <c r="A1771" s="12">
        <v>1754</v>
      </c>
      <c r="B1771" s="10" t="s">
        <v>1015</v>
      </c>
      <c r="C1771" s="11" t="s">
        <v>1140</v>
      </c>
      <c r="D1771" s="9"/>
      <c r="E1771" s="9">
        <v>50</v>
      </c>
      <c r="F1771" s="10" t="s">
        <v>1066</v>
      </c>
      <c r="G1771" s="9">
        <v>5501</v>
      </c>
      <c r="H1771" s="9">
        <v>2015</v>
      </c>
      <c r="I1771" s="8">
        <v>7188.77</v>
      </c>
      <c r="J1771" s="8">
        <v>7430.5249999999996</v>
      </c>
      <c r="K1771" s="8">
        <v>7773.8429999999998</v>
      </c>
      <c r="L1771" s="8">
        <v>7628.808</v>
      </c>
      <c r="M1771" s="8">
        <v>7280.451</v>
      </c>
      <c r="N1771" s="8">
        <v>7060.3559999999998</v>
      </c>
      <c r="O1771" s="8">
        <v>6607.4129999999996</v>
      </c>
      <c r="P1771" s="8">
        <v>5807.433</v>
      </c>
      <c r="Q1771" s="8">
        <v>4887.241</v>
      </c>
      <c r="R1771" s="8">
        <v>4216.3249999999998</v>
      </c>
      <c r="S1771" s="8">
        <v>3390.8629999999998</v>
      </c>
      <c r="T1771" s="8">
        <v>2327.643</v>
      </c>
      <c r="U1771" s="8">
        <v>1508.4190000000001</v>
      </c>
      <c r="V1771" s="8">
        <v>1370.0050000000001</v>
      </c>
      <c r="W1771" s="8">
        <v>1104.1199999999999</v>
      </c>
      <c r="X1771" s="8">
        <v>739.53</v>
      </c>
      <c r="Y1771" s="8">
        <v>437.77100000000002</v>
      </c>
      <c r="Z1771" s="8">
        <v>202.38399999999999</v>
      </c>
      <c r="AA1771" s="8">
        <v>63.296999999999997</v>
      </c>
      <c r="AB1771" s="8">
        <v>12.398999999999999</v>
      </c>
      <c r="AC1771" s="8">
        <v>1.534</v>
      </c>
    </row>
    <row r="1772" spans="1:29" ht="11.65" hidden="1" x14ac:dyDescent="0.35">
      <c r="A1772" s="12">
        <v>1755</v>
      </c>
      <c r="B1772" s="10" t="s">
        <v>1015</v>
      </c>
      <c r="C1772" s="11" t="s">
        <v>1140</v>
      </c>
      <c r="D1772" s="9"/>
      <c r="E1772" s="9">
        <v>50</v>
      </c>
      <c r="F1772" s="10" t="s">
        <v>1066</v>
      </c>
      <c r="G1772" s="9">
        <v>5501</v>
      </c>
      <c r="H1772" s="9">
        <v>2020</v>
      </c>
      <c r="I1772" s="8">
        <v>7007.9859999999999</v>
      </c>
      <c r="J1772" s="8">
        <v>7167.4740000000002</v>
      </c>
      <c r="K1772" s="8">
        <v>7381.8419999999996</v>
      </c>
      <c r="L1772" s="8">
        <v>7609.85</v>
      </c>
      <c r="M1772" s="8">
        <v>7496.7560000000003</v>
      </c>
      <c r="N1772" s="8">
        <v>7268.12</v>
      </c>
      <c r="O1772" s="8">
        <v>6984.1289999999999</v>
      </c>
      <c r="P1772" s="8">
        <v>6477.3670000000002</v>
      </c>
      <c r="Q1772" s="8">
        <v>5671.7650000000003</v>
      </c>
      <c r="R1772" s="8">
        <v>4707.6040000000003</v>
      </c>
      <c r="S1772" s="8">
        <v>4040.0650000000001</v>
      </c>
      <c r="T1772" s="8">
        <v>3221.413</v>
      </c>
      <c r="U1772" s="8">
        <v>2128.5340000000001</v>
      </c>
      <c r="V1772" s="8">
        <v>1306.8389999999999</v>
      </c>
      <c r="W1772" s="8">
        <v>1150.261</v>
      </c>
      <c r="X1772" s="8">
        <v>883.53200000000004</v>
      </c>
      <c r="Y1772" s="8">
        <v>533.68499999999995</v>
      </c>
      <c r="Z1772" s="8">
        <v>265.96499999999997</v>
      </c>
      <c r="AA1772" s="8">
        <v>98.95</v>
      </c>
      <c r="AB1772" s="8">
        <v>24.318000000000001</v>
      </c>
      <c r="AC1772" s="8">
        <v>3.82</v>
      </c>
    </row>
    <row r="1773" spans="1:29" ht="11.65" hidden="1" x14ac:dyDescent="0.35">
      <c r="A1773" s="12">
        <v>1756</v>
      </c>
      <c r="B1773" s="10" t="s">
        <v>1015</v>
      </c>
      <c r="C1773" s="11" t="s">
        <v>1141</v>
      </c>
      <c r="D1773" s="9"/>
      <c r="E1773" s="9">
        <v>64</v>
      </c>
      <c r="F1773" s="10" t="s">
        <v>1066</v>
      </c>
      <c r="G1773" s="9">
        <v>5501</v>
      </c>
      <c r="H1773" s="9">
        <v>1950</v>
      </c>
      <c r="I1773" s="8">
        <v>15.548999999999999</v>
      </c>
      <c r="J1773" s="8">
        <v>11.988</v>
      </c>
      <c r="K1773" s="8">
        <v>10.211</v>
      </c>
      <c r="L1773" s="8">
        <v>8.8019999999999996</v>
      </c>
      <c r="M1773" s="8">
        <v>7.5679999999999996</v>
      </c>
      <c r="N1773" s="8">
        <v>6.4630000000000001</v>
      </c>
      <c r="O1773" s="8">
        <v>5.4720000000000004</v>
      </c>
      <c r="P1773" s="8">
        <v>4.5910000000000002</v>
      </c>
      <c r="Q1773" s="8">
        <v>3.823</v>
      </c>
      <c r="R1773" s="8">
        <v>3.1659999999999999</v>
      </c>
      <c r="S1773" s="8">
        <v>2.5910000000000002</v>
      </c>
      <c r="T1773" s="8">
        <v>2.0649999999999999</v>
      </c>
      <c r="U1773" s="8">
        <v>1.569</v>
      </c>
      <c r="V1773" s="8">
        <v>1.1000000000000001</v>
      </c>
      <c r="W1773" s="8">
        <v>0.67500000000000004</v>
      </c>
      <c r="X1773" s="8">
        <v>0.34300000000000003</v>
      </c>
      <c r="Y1773" s="8">
        <v>0.129</v>
      </c>
      <c r="Z1773" s="8">
        <v>3.4000000000000002E-2</v>
      </c>
      <c r="AA1773" s="8">
        <v>4.0000000000000001E-3</v>
      </c>
      <c r="AB1773" s="8">
        <v>0</v>
      </c>
      <c r="AC1773" s="8">
        <v>0</v>
      </c>
    </row>
    <row r="1774" spans="1:29" ht="11.65" hidden="1" x14ac:dyDescent="0.35">
      <c r="A1774" s="12">
        <v>1757</v>
      </c>
      <c r="B1774" s="10" t="s">
        <v>1015</v>
      </c>
      <c r="C1774" s="11" t="s">
        <v>1141</v>
      </c>
      <c r="D1774" s="9"/>
      <c r="E1774" s="9">
        <v>64</v>
      </c>
      <c r="F1774" s="10" t="s">
        <v>1066</v>
      </c>
      <c r="G1774" s="9">
        <v>5501</v>
      </c>
      <c r="H1774" s="9">
        <v>1955</v>
      </c>
      <c r="I1774" s="8">
        <v>15.847</v>
      </c>
      <c r="J1774" s="8">
        <v>13.773999999999999</v>
      </c>
      <c r="K1774" s="8">
        <v>11.612</v>
      </c>
      <c r="L1774" s="8">
        <v>10.044</v>
      </c>
      <c r="M1774" s="8">
        <v>8.7870000000000008</v>
      </c>
      <c r="N1774" s="8">
        <v>7.5990000000000002</v>
      </c>
      <c r="O1774" s="8">
        <v>6.4219999999999997</v>
      </c>
      <c r="P1774" s="8">
        <v>5.3140000000000001</v>
      </c>
      <c r="Q1774" s="8">
        <v>4.3369999999999997</v>
      </c>
      <c r="R1774" s="8">
        <v>3.5089999999999999</v>
      </c>
      <c r="S1774" s="8">
        <v>2.8519999999999999</v>
      </c>
      <c r="T1774" s="8">
        <v>2.2759999999999998</v>
      </c>
      <c r="U1774" s="8">
        <v>1.706</v>
      </c>
      <c r="V1774" s="8">
        <v>1.1859999999999999</v>
      </c>
      <c r="W1774" s="8">
        <v>0.73099999999999998</v>
      </c>
      <c r="X1774" s="8">
        <v>0.36699999999999999</v>
      </c>
      <c r="Y1774" s="8">
        <v>0.14000000000000001</v>
      </c>
      <c r="Z1774" s="8">
        <v>3.5999999999999997E-2</v>
      </c>
      <c r="AA1774" s="8">
        <v>6.0000000000000001E-3</v>
      </c>
      <c r="AB1774" s="8">
        <v>0</v>
      </c>
      <c r="AC1774" s="8">
        <v>0</v>
      </c>
    </row>
    <row r="1775" spans="1:29" ht="11.65" hidden="1" x14ac:dyDescent="0.35">
      <c r="A1775" s="12">
        <v>1758</v>
      </c>
      <c r="B1775" s="10" t="s">
        <v>1015</v>
      </c>
      <c r="C1775" s="11" t="s">
        <v>1141</v>
      </c>
      <c r="D1775" s="9"/>
      <c r="E1775" s="9">
        <v>64</v>
      </c>
      <c r="F1775" s="10" t="s">
        <v>1066</v>
      </c>
      <c r="G1775" s="9">
        <v>5501</v>
      </c>
      <c r="H1775" s="9">
        <v>1960</v>
      </c>
      <c r="I1775" s="8">
        <v>18.838000000000001</v>
      </c>
      <c r="J1775" s="8">
        <v>14.106</v>
      </c>
      <c r="K1775" s="8">
        <v>13.353</v>
      </c>
      <c r="L1775" s="8">
        <v>11.414999999999999</v>
      </c>
      <c r="M1775" s="8">
        <v>9.9909999999999997</v>
      </c>
      <c r="N1775" s="8">
        <v>8.77</v>
      </c>
      <c r="O1775" s="8">
        <v>7.5019999999999998</v>
      </c>
      <c r="P1775" s="8">
        <v>6.21</v>
      </c>
      <c r="Q1775" s="8">
        <v>5.0129999999999999</v>
      </c>
      <c r="R1775" s="8">
        <v>3.9849999999999999</v>
      </c>
      <c r="S1775" s="8">
        <v>3.1680000000000001</v>
      </c>
      <c r="T1775" s="8">
        <v>2.5129999999999999</v>
      </c>
      <c r="U1775" s="8">
        <v>1.889</v>
      </c>
      <c r="V1775" s="8">
        <v>1.3009999999999999</v>
      </c>
      <c r="W1775" s="8">
        <v>0.80300000000000005</v>
      </c>
      <c r="X1775" s="8">
        <v>0.40899999999999997</v>
      </c>
      <c r="Y1775" s="8">
        <v>0.158</v>
      </c>
      <c r="Z1775" s="8">
        <v>4.2000000000000003E-2</v>
      </c>
      <c r="AA1775" s="8">
        <v>7.0000000000000001E-3</v>
      </c>
      <c r="AB1775" s="8">
        <v>0</v>
      </c>
      <c r="AC1775" s="8">
        <v>0</v>
      </c>
    </row>
    <row r="1776" spans="1:29" ht="11.65" hidden="1" x14ac:dyDescent="0.35">
      <c r="A1776" s="12">
        <v>1759</v>
      </c>
      <c r="B1776" s="10" t="s">
        <v>1015</v>
      </c>
      <c r="C1776" s="11" t="s">
        <v>1141</v>
      </c>
      <c r="D1776" s="9"/>
      <c r="E1776" s="9">
        <v>64</v>
      </c>
      <c r="F1776" s="10" t="s">
        <v>1066</v>
      </c>
      <c r="G1776" s="9">
        <v>5501</v>
      </c>
      <c r="H1776" s="9">
        <v>1965</v>
      </c>
      <c r="I1776" s="8">
        <v>22.093</v>
      </c>
      <c r="J1776" s="8">
        <v>16.881</v>
      </c>
      <c r="K1776" s="8">
        <v>13.66</v>
      </c>
      <c r="L1776" s="8">
        <v>13.108000000000001</v>
      </c>
      <c r="M1776" s="8">
        <v>11.327999999999999</v>
      </c>
      <c r="N1776" s="8">
        <v>9.9339999999999993</v>
      </c>
      <c r="O1776" s="8">
        <v>8.6159999999999997</v>
      </c>
      <c r="P1776" s="8">
        <v>7.2229999999999999</v>
      </c>
      <c r="Q1776" s="8">
        <v>5.843</v>
      </c>
      <c r="R1776" s="8">
        <v>4.6070000000000002</v>
      </c>
      <c r="S1776" s="8">
        <v>3.6030000000000002</v>
      </c>
      <c r="T1776" s="8">
        <v>2.7959999999999998</v>
      </c>
      <c r="U1776" s="8">
        <v>2.0990000000000002</v>
      </c>
      <c r="V1776" s="8">
        <v>1.4610000000000001</v>
      </c>
      <c r="W1776" s="8">
        <v>0.90200000000000002</v>
      </c>
      <c r="X1776" s="8">
        <v>0.46700000000000003</v>
      </c>
      <c r="Y1776" s="8">
        <v>0.188</v>
      </c>
      <c r="Z1776" s="8">
        <v>5.1999999999999998E-2</v>
      </c>
      <c r="AA1776" s="8">
        <v>8.9999999999999993E-3</v>
      </c>
      <c r="AB1776" s="8">
        <v>0</v>
      </c>
      <c r="AC1776" s="8">
        <v>0</v>
      </c>
    </row>
    <row r="1777" spans="1:29" ht="11.65" hidden="1" x14ac:dyDescent="0.35">
      <c r="A1777" s="12">
        <v>1760</v>
      </c>
      <c r="B1777" s="10" t="s">
        <v>1015</v>
      </c>
      <c r="C1777" s="11" t="s">
        <v>1141</v>
      </c>
      <c r="D1777" s="9"/>
      <c r="E1777" s="9">
        <v>64</v>
      </c>
      <c r="F1777" s="10" t="s">
        <v>1066</v>
      </c>
      <c r="G1777" s="9">
        <v>5501</v>
      </c>
      <c r="H1777" s="9">
        <v>1970</v>
      </c>
      <c r="I1777" s="8">
        <v>26.544</v>
      </c>
      <c r="J1777" s="8">
        <v>20.138999999999999</v>
      </c>
      <c r="K1777" s="8">
        <v>16.423999999999999</v>
      </c>
      <c r="L1777" s="8">
        <v>13.611000000000001</v>
      </c>
      <c r="M1777" s="8">
        <v>13.4</v>
      </c>
      <c r="N1777" s="8">
        <v>11.734999999999999</v>
      </c>
      <c r="O1777" s="8">
        <v>10.151</v>
      </c>
      <c r="P1777" s="8">
        <v>8.5730000000000004</v>
      </c>
      <c r="Q1777" s="8">
        <v>6.9889999999999999</v>
      </c>
      <c r="R1777" s="8">
        <v>5.508</v>
      </c>
      <c r="S1777" s="8">
        <v>4.2560000000000002</v>
      </c>
      <c r="T1777" s="8">
        <v>3.2389999999999999</v>
      </c>
      <c r="U1777" s="8">
        <v>2.383</v>
      </c>
      <c r="V1777" s="8">
        <v>1.665</v>
      </c>
      <c r="W1777" s="8">
        <v>1.0469999999999999</v>
      </c>
      <c r="X1777" s="8">
        <v>0.55100000000000005</v>
      </c>
      <c r="Y1777" s="8">
        <v>0.22900000000000001</v>
      </c>
      <c r="Z1777" s="8">
        <v>6.8000000000000005E-2</v>
      </c>
      <c r="AA1777" s="8">
        <v>1.2999999999999999E-2</v>
      </c>
      <c r="AB1777" s="8">
        <v>0</v>
      </c>
      <c r="AC1777" s="8">
        <v>0</v>
      </c>
    </row>
    <row r="1778" spans="1:29" ht="11.65" hidden="1" x14ac:dyDescent="0.35">
      <c r="A1778" s="12">
        <v>1761</v>
      </c>
      <c r="B1778" s="10" t="s">
        <v>1015</v>
      </c>
      <c r="C1778" s="11" t="s">
        <v>1141</v>
      </c>
      <c r="D1778" s="9"/>
      <c r="E1778" s="9">
        <v>64</v>
      </c>
      <c r="F1778" s="10" t="s">
        <v>1066</v>
      </c>
      <c r="G1778" s="9">
        <v>5501</v>
      </c>
      <c r="H1778" s="9">
        <v>1975</v>
      </c>
      <c r="I1778" s="8">
        <v>31.094000000000001</v>
      </c>
      <c r="J1778" s="8">
        <v>24.352</v>
      </c>
      <c r="K1778" s="8">
        <v>19.55</v>
      </c>
      <c r="L1778" s="8">
        <v>16.163</v>
      </c>
      <c r="M1778" s="8">
        <v>13.548</v>
      </c>
      <c r="N1778" s="8">
        <v>13.303000000000001</v>
      </c>
      <c r="O1778" s="8">
        <v>11.521000000000001</v>
      </c>
      <c r="P1778" s="8">
        <v>9.7840000000000007</v>
      </c>
      <c r="Q1778" s="8">
        <v>8.1059999999999999</v>
      </c>
      <c r="R1778" s="8">
        <v>6.4850000000000003</v>
      </c>
      <c r="S1778" s="8">
        <v>5.0259999999999998</v>
      </c>
      <c r="T1778" s="8">
        <v>3.7909999999999999</v>
      </c>
      <c r="U1778" s="8">
        <v>2.7559999999999998</v>
      </c>
      <c r="V1778" s="8">
        <v>1.901</v>
      </c>
      <c r="W1778" s="8">
        <v>1.2070000000000001</v>
      </c>
      <c r="X1778" s="8">
        <v>0.65400000000000003</v>
      </c>
      <c r="Y1778" s="8">
        <v>0.28000000000000003</v>
      </c>
      <c r="Z1778" s="8">
        <v>8.8999999999999996E-2</v>
      </c>
      <c r="AA1778" s="8">
        <v>1.9E-2</v>
      </c>
      <c r="AB1778" s="8">
        <v>2E-3</v>
      </c>
      <c r="AC1778" s="8">
        <v>0</v>
      </c>
    </row>
    <row r="1779" spans="1:29" ht="11.65" hidden="1" x14ac:dyDescent="0.35">
      <c r="A1779" s="12">
        <v>1762</v>
      </c>
      <c r="B1779" s="10" t="s">
        <v>1015</v>
      </c>
      <c r="C1779" s="11" t="s">
        <v>1141</v>
      </c>
      <c r="D1779" s="9"/>
      <c r="E1779" s="9">
        <v>64</v>
      </c>
      <c r="F1779" s="10" t="s">
        <v>1066</v>
      </c>
      <c r="G1779" s="9">
        <v>5501</v>
      </c>
      <c r="H1779" s="9">
        <v>1980</v>
      </c>
      <c r="I1779" s="8">
        <v>35.561999999999998</v>
      </c>
      <c r="J1779" s="8">
        <v>28.774999999999999</v>
      </c>
      <c r="K1779" s="8">
        <v>23.681000000000001</v>
      </c>
      <c r="L1779" s="8">
        <v>19.254999999999999</v>
      </c>
      <c r="M1779" s="8">
        <v>16.074999999999999</v>
      </c>
      <c r="N1779" s="8">
        <v>13.509</v>
      </c>
      <c r="O1779" s="8">
        <v>13.071999999999999</v>
      </c>
      <c r="P1779" s="8">
        <v>11.125</v>
      </c>
      <c r="Q1779" s="8">
        <v>9.2840000000000007</v>
      </c>
      <c r="R1779" s="8">
        <v>7.5570000000000004</v>
      </c>
      <c r="S1779" s="8">
        <v>5.9409999999999998</v>
      </c>
      <c r="T1779" s="8">
        <v>4.4889999999999999</v>
      </c>
      <c r="U1779" s="8">
        <v>3.2429999999999999</v>
      </c>
      <c r="V1779" s="8">
        <v>2.218</v>
      </c>
      <c r="W1779" s="8">
        <v>1.401</v>
      </c>
      <c r="X1779" s="8">
        <v>0.77400000000000002</v>
      </c>
      <c r="Y1779" s="8">
        <v>0.34499999999999997</v>
      </c>
      <c r="Z1779" s="8">
        <v>0.11600000000000001</v>
      </c>
      <c r="AA1779" s="8">
        <v>2.7E-2</v>
      </c>
      <c r="AB1779" s="8">
        <v>4.0000000000000001E-3</v>
      </c>
      <c r="AC1779" s="8">
        <v>0</v>
      </c>
    </row>
    <row r="1780" spans="1:29" ht="11.65" hidden="1" x14ac:dyDescent="0.35">
      <c r="A1780" s="12">
        <v>1763</v>
      </c>
      <c r="B1780" s="10" t="s">
        <v>1015</v>
      </c>
      <c r="C1780" s="11" t="s">
        <v>1141</v>
      </c>
      <c r="D1780" s="9"/>
      <c r="E1780" s="9">
        <v>64</v>
      </c>
      <c r="F1780" s="10" t="s">
        <v>1066</v>
      </c>
      <c r="G1780" s="9">
        <v>5501</v>
      </c>
      <c r="H1780" s="9">
        <v>1985</v>
      </c>
      <c r="I1780" s="8">
        <v>39.677999999999997</v>
      </c>
      <c r="J1780" s="8">
        <v>33.279000000000003</v>
      </c>
      <c r="K1780" s="8">
        <v>28.036000000000001</v>
      </c>
      <c r="L1780" s="8">
        <v>23.216999999999999</v>
      </c>
      <c r="M1780" s="8">
        <v>18.815000000000001</v>
      </c>
      <c r="N1780" s="8">
        <v>15.606</v>
      </c>
      <c r="O1780" s="8">
        <v>13.002000000000001</v>
      </c>
      <c r="P1780" s="8">
        <v>12.435</v>
      </c>
      <c r="Q1780" s="8">
        <v>10.459</v>
      </c>
      <c r="R1780" s="8">
        <v>8.6140000000000008</v>
      </c>
      <c r="S1780" s="8">
        <v>6.9059999999999997</v>
      </c>
      <c r="T1780" s="8">
        <v>5.3049999999999997</v>
      </c>
      <c r="U1780" s="8">
        <v>3.8540000000000001</v>
      </c>
      <c r="V1780" s="8">
        <v>2.6349999999999998</v>
      </c>
      <c r="W1780" s="8">
        <v>1.66</v>
      </c>
      <c r="X1780" s="8">
        <v>0.92200000000000004</v>
      </c>
      <c r="Y1780" s="8">
        <v>0.42499999999999999</v>
      </c>
      <c r="Z1780" s="8">
        <v>0.152</v>
      </c>
      <c r="AA1780" s="8">
        <v>0.04</v>
      </c>
      <c r="AB1780" s="8">
        <v>7.0000000000000001E-3</v>
      </c>
      <c r="AC1780" s="8">
        <v>1E-3</v>
      </c>
    </row>
    <row r="1781" spans="1:29" ht="11.65" hidden="1" x14ac:dyDescent="0.35">
      <c r="A1781" s="12">
        <v>1764</v>
      </c>
      <c r="B1781" s="10" t="s">
        <v>1015</v>
      </c>
      <c r="C1781" s="11" t="s">
        <v>1141</v>
      </c>
      <c r="D1781" s="9"/>
      <c r="E1781" s="9">
        <v>64</v>
      </c>
      <c r="F1781" s="10" t="s">
        <v>1066</v>
      </c>
      <c r="G1781" s="9">
        <v>5501</v>
      </c>
      <c r="H1781" s="9">
        <v>1990</v>
      </c>
      <c r="I1781" s="8">
        <v>43.845999999999997</v>
      </c>
      <c r="J1781" s="8">
        <v>37.633000000000003</v>
      </c>
      <c r="K1781" s="8">
        <v>32.558</v>
      </c>
      <c r="L1781" s="8">
        <v>27.59</v>
      </c>
      <c r="M1781" s="8">
        <v>22.818000000000001</v>
      </c>
      <c r="N1781" s="8">
        <v>18.411000000000001</v>
      </c>
      <c r="O1781" s="8">
        <v>15.151</v>
      </c>
      <c r="P1781" s="8">
        <v>12.488</v>
      </c>
      <c r="Q1781" s="8">
        <v>11.8</v>
      </c>
      <c r="R1781" s="8">
        <v>9.8010000000000002</v>
      </c>
      <c r="S1781" s="8">
        <v>7.95</v>
      </c>
      <c r="T1781" s="8">
        <v>6.2249999999999996</v>
      </c>
      <c r="U1781" s="8">
        <v>4.6070000000000002</v>
      </c>
      <c r="V1781" s="8">
        <v>3.1789999999999998</v>
      </c>
      <c r="W1781" s="8">
        <v>2.0110000000000001</v>
      </c>
      <c r="X1781" s="8">
        <v>1.127</v>
      </c>
      <c r="Y1781" s="8">
        <v>0.53100000000000003</v>
      </c>
      <c r="Z1781" s="8">
        <v>0.19900000000000001</v>
      </c>
      <c r="AA1781" s="8">
        <v>5.3999999999999999E-2</v>
      </c>
      <c r="AB1781" s="8">
        <v>0.01</v>
      </c>
      <c r="AC1781" s="8">
        <v>1E-3</v>
      </c>
    </row>
    <row r="1782" spans="1:29" ht="11.65" hidden="1" x14ac:dyDescent="0.35">
      <c r="A1782" s="12">
        <v>1765</v>
      </c>
      <c r="B1782" s="10" t="s">
        <v>1015</v>
      </c>
      <c r="C1782" s="11" t="s">
        <v>1141</v>
      </c>
      <c r="D1782" s="9"/>
      <c r="E1782" s="9">
        <v>64</v>
      </c>
      <c r="F1782" s="10" t="s">
        <v>1066</v>
      </c>
      <c r="G1782" s="9">
        <v>5501</v>
      </c>
      <c r="H1782" s="9">
        <v>1995</v>
      </c>
      <c r="I1782" s="8">
        <v>41.034999999999997</v>
      </c>
      <c r="J1782" s="8">
        <v>38.722999999999999</v>
      </c>
      <c r="K1782" s="8">
        <v>33.341999999999999</v>
      </c>
      <c r="L1782" s="8">
        <v>27.823</v>
      </c>
      <c r="M1782" s="8">
        <v>22.922999999999998</v>
      </c>
      <c r="N1782" s="8">
        <v>19.917999999999999</v>
      </c>
      <c r="O1782" s="8">
        <v>15.318</v>
      </c>
      <c r="P1782" s="8">
        <v>13.144</v>
      </c>
      <c r="Q1782" s="8">
        <v>10.153</v>
      </c>
      <c r="R1782" s="8">
        <v>9.157</v>
      </c>
      <c r="S1782" s="8">
        <v>8.3620000000000001</v>
      </c>
      <c r="T1782" s="8">
        <v>6.7869999999999999</v>
      </c>
      <c r="U1782" s="8">
        <v>5.2930000000000001</v>
      </c>
      <c r="V1782" s="8">
        <v>3.8090000000000002</v>
      </c>
      <c r="W1782" s="8">
        <v>2.4790000000000001</v>
      </c>
      <c r="X1782" s="8">
        <v>1.407</v>
      </c>
      <c r="Y1782" s="8">
        <v>0.67600000000000005</v>
      </c>
      <c r="Z1782" s="8">
        <v>0.26400000000000001</v>
      </c>
      <c r="AA1782" s="8">
        <v>7.8E-2</v>
      </c>
      <c r="AB1782" s="8">
        <v>1.4999999999999999E-2</v>
      </c>
      <c r="AC1782" s="8">
        <v>2E-3</v>
      </c>
    </row>
    <row r="1783" spans="1:29" ht="11.65" hidden="1" x14ac:dyDescent="0.35">
      <c r="A1783" s="12">
        <v>1766</v>
      </c>
      <c r="B1783" s="10" t="s">
        <v>1015</v>
      </c>
      <c r="C1783" s="11" t="s">
        <v>1141</v>
      </c>
      <c r="D1783" s="9"/>
      <c r="E1783" s="9">
        <v>64</v>
      </c>
      <c r="F1783" s="10" t="s">
        <v>1066</v>
      </c>
      <c r="G1783" s="9">
        <v>5501</v>
      </c>
      <c r="H1783" s="9">
        <v>2000</v>
      </c>
      <c r="I1783" s="8">
        <v>38.238999999999997</v>
      </c>
      <c r="J1783" s="8">
        <v>39.747</v>
      </c>
      <c r="K1783" s="8">
        <v>38.152000000000001</v>
      </c>
      <c r="L1783" s="8">
        <v>32.966000000000001</v>
      </c>
      <c r="M1783" s="8">
        <v>27.46</v>
      </c>
      <c r="N1783" s="8">
        <v>22.526</v>
      </c>
      <c r="O1783" s="8">
        <v>19.457000000000001</v>
      </c>
      <c r="P1783" s="8">
        <v>14.849</v>
      </c>
      <c r="Q1783" s="8">
        <v>12.63</v>
      </c>
      <c r="R1783" s="8">
        <v>9.6579999999999995</v>
      </c>
      <c r="S1783" s="8">
        <v>8.5920000000000005</v>
      </c>
      <c r="T1783" s="8">
        <v>7.6820000000000004</v>
      </c>
      <c r="U1783" s="8">
        <v>6.0449999999999999</v>
      </c>
      <c r="V1783" s="8">
        <v>4.5090000000000003</v>
      </c>
      <c r="W1783" s="8">
        <v>3.0379999999999998</v>
      </c>
      <c r="X1783" s="8">
        <v>1.7949999999999999</v>
      </c>
      <c r="Y1783" s="8">
        <v>0.88700000000000001</v>
      </c>
      <c r="Z1783" s="8">
        <v>0.35899999999999999</v>
      </c>
      <c r="AA1783" s="8">
        <v>0.111</v>
      </c>
      <c r="AB1783" s="8">
        <v>2.5000000000000001E-2</v>
      </c>
      <c r="AC1783" s="8">
        <v>4.0000000000000001E-3</v>
      </c>
    </row>
    <row r="1784" spans="1:29" ht="11.65" hidden="1" x14ac:dyDescent="0.35">
      <c r="A1784" s="12">
        <v>1767</v>
      </c>
      <c r="B1784" s="10" t="s">
        <v>1015</v>
      </c>
      <c r="C1784" s="11" t="s">
        <v>1141</v>
      </c>
      <c r="D1784" s="9"/>
      <c r="E1784" s="9">
        <v>64</v>
      </c>
      <c r="F1784" s="10" t="s">
        <v>1066</v>
      </c>
      <c r="G1784" s="9">
        <v>5501</v>
      </c>
      <c r="H1784" s="9">
        <v>2005</v>
      </c>
      <c r="I1784" s="8">
        <v>35.206000000000003</v>
      </c>
      <c r="J1784" s="8">
        <v>37.631</v>
      </c>
      <c r="K1784" s="8">
        <v>39.402000000000001</v>
      </c>
      <c r="L1784" s="8">
        <v>37.883000000000003</v>
      </c>
      <c r="M1784" s="8">
        <v>31.64</v>
      </c>
      <c r="N1784" s="8">
        <v>25.29</v>
      </c>
      <c r="O1784" s="8">
        <v>20.562999999999999</v>
      </c>
      <c r="P1784" s="8">
        <v>17.63</v>
      </c>
      <c r="Q1784" s="8">
        <v>13.839</v>
      </c>
      <c r="R1784" s="8">
        <v>12.2</v>
      </c>
      <c r="S1784" s="8">
        <v>9.1950000000000003</v>
      </c>
      <c r="T1784" s="8">
        <v>8.0139999999999993</v>
      </c>
      <c r="U1784" s="8">
        <v>6.97</v>
      </c>
      <c r="V1784" s="8">
        <v>5.2530000000000001</v>
      </c>
      <c r="W1784" s="8">
        <v>3.6819999999999999</v>
      </c>
      <c r="X1784" s="8">
        <v>2.274</v>
      </c>
      <c r="Y1784" s="8">
        <v>1.1879999999999999</v>
      </c>
      <c r="Z1784" s="8">
        <v>0.50600000000000001</v>
      </c>
      <c r="AA1784" s="8">
        <v>0.16900000000000001</v>
      </c>
      <c r="AB1784" s="8">
        <v>0.04</v>
      </c>
      <c r="AC1784" s="8">
        <v>7.0000000000000001E-3</v>
      </c>
    </row>
    <row r="1785" spans="1:29" ht="11.65" hidden="1" x14ac:dyDescent="0.35">
      <c r="A1785" s="12">
        <v>1768</v>
      </c>
      <c r="B1785" s="10" t="s">
        <v>1015</v>
      </c>
      <c r="C1785" s="11" t="s">
        <v>1141</v>
      </c>
      <c r="D1785" s="9"/>
      <c r="E1785" s="9">
        <v>64</v>
      </c>
      <c r="F1785" s="10" t="s">
        <v>1066</v>
      </c>
      <c r="G1785" s="9">
        <v>5501</v>
      </c>
      <c r="H1785" s="9">
        <v>2010</v>
      </c>
      <c r="I1785" s="8">
        <v>32.954000000000001</v>
      </c>
      <c r="J1785" s="8">
        <v>34.886000000000003</v>
      </c>
      <c r="K1785" s="8">
        <v>37.448999999999998</v>
      </c>
      <c r="L1785" s="8">
        <v>38.692999999999998</v>
      </c>
      <c r="M1785" s="8">
        <v>36.167999999999999</v>
      </c>
      <c r="N1785" s="8">
        <v>29.468</v>
      </c>
      <c r="O1785" s="8">
        <v>23.283999999999999</v>
      </c>
      <c r="P1785" s="8">
        <v>18.925000000000001</v>
      </c>
      <c r="Q1785" s="8">
        <v>16.646999999999998</v>
      </c>
      <c r="R1785" s="8">
        <v>13.343999999999999</v>
      </c>
      <c r="S1785" s="8">
        <v>11.632999999999999</v>
      </c>
      <c r="T1785" s="8">
        <v>8.6180000000000003</v>
      </c>
      <c r="U1785" s="8">
        <v>7.3220000000000001</v>
      </c>
      <c r="V1785" s="8">
        <v>6.1369999999999996</v>
      </c>
      <c r="W1785" s="8">
        <v>4.3879999999999999</v>
      </c>
      <c r="X1785" s="8">
        <v>2.8540000000000001</v>
      </c>
      <c r="Y1785" s="8">
        <v>1.585</v>
      </c>
      <c r="Z1785" s="8">
        <v>0.72099999999999997</v>
      </c>
      <c r="AA1785" s="8">
        <v>0.26</v>
      </c>
      <c r="AB1785" s="8">
        <v>6.9000000000000006E-2</v>
      </c>
      <c r="AC1785" s="8">
        <v>1.4E-2</v>
      </c>
    </row>
    <row r="1786" spans="1:29" ht="11.65" hidden="1" x14ac:dyDescent="0.35">
      <c r="A1786" s="12">
        <v>1769</v>
      </c>
      <c r="B1786" s="10" t="s">
        <v>1015</v>
      </c>
      <c r="C1786" s="11" t="s">
        <v>1141</v>
      </c>
      <c r="D1786" s="9"/>
      <c r="E1786" s="9">
        <v>64</v>
      </c>
      <c r="F1786" s="10" t="s">
        <v>1066</v>
      </c>
      <c r="G1786" s="9">
        <v>5501</v>
      </c>
      <c r="H1786" s="9">
        <v>2015</v>
      </c>
      <c r="I1786" s="8">
        <v>30.648</v>
      </c>
      <c r="J1786" s="8">
        <v>32.746000000000002</v>
      </c>
      <c r="K1786" s="8">
        <v>34.744999999999997</v>
      </c>
      <c r="L1786" s="8">
        <v>36.804000000000002</v>
      </c>
      <c r="M1786" s="8">
        <v>37.067</v>
      </c>
      <c r="N1786" s="8">
        <v>34.933999999999997</v>
      </c>
      <c r="O1786" s="8">
        <v>29.059000000000001</v>
      </c>
      <c r="P1786" s="8">
        <v>22.837</v>
      </c>
      <c r="Q1786" s="8">
        <v>18.446999999999999</v>
      </c>
      <c r="R1786" s="8">
        <v>16.105</v>
      </c>
      <c r="S1786" s="8">
        <v>12.769</v>
      </c>
      <c r="T1786" s="8">
        <v>10.945</v>
      </c>
      <c r="U1786" s="8">
        <v>7.9249999999999998</v>
      </c>
      <c r="V1786" s="8">
        <v>6.5209999999999999</v>
      </c>
      <c r="W1786" s="8">
        <v>5.2140000000000004</v>
      </c>
      <c r="X1786" s="8">
        <v>3.484</v>
      </c>
      <c r="Y1786" s="8">
        <v>2.0619999999999998</v>
      </c>
      <c r="Z1786" s="8">
        <v>1.016</v>
      </c>
      <c r="AA1786" s="8">
        <v>0.39600000000000002</v>
      </c>
      <c r="AB1786" s="8">
        <v>0.11700000000000001</v>
      </c>
      <c r="AC1786" s="8">
        <v>2.5999999999999999E-2</v>
      </c>
    </row>
    <row r="1787" spans="1:29" ht="11.65" hidden="1" x14ac:dyDescent="0.35">
      <c r="A1787" s="12">
        <v>1770</v>
      </c>
      <c r="B1787" s="10" t="s">
        <v>1015</v>
      </c>
      <c r="C1787" s="11" t="s">
        <v>1141</v>
      </c>
      <c r="D1787" s="9"/>
      <c r="E1787" s="9">
        <v>64</v>
      </c>
      <c r="F1787" s="10" t="s">
        <v>1066</v>
      </c>
      <c r="G1787" s="9">
        <v>5501</v>
      </c>
      <c r="H1787" s="9">
        <v>2020</v>
      </c>
      <c r="I1787" s="8">
        <v>31.391999999999999</v>
      </c>
      <c r="J1787" s="8">
        <v>30.498000000000001</v>
      </c>
      <c r="K1787" s="8">
        <v>32.637</v>
      </c>
      <c r="L1787" s="8">
        <v>34.130000000000003</v>
      </c>
      <c r="M1787" s="8">
        <v>34.722000000000001</v>
      </c>
      <c r="N1787" s="8">
        <v>35.390999999999998</v>
      </c>
      <c r="O1787" s="8">
        <v>34.545000000000002</v>
      </c>
      <c r="P1787" s="8">
        <v>28.597999999999999</v>
      </c>
      <c r="Q1787" s="8">
        <v>22.349</v>
      </c>
      <c r="R1787" s="8">
        <v>17.923999999999999</v>
      </c>
      <c r="S1787" s="8">
        <v>15.488</v>
      </c>
      <c r="T1787" s="8">
        <v>12.086</v>
      </c>
      <c r="U1787" s="8">
        <v>10.135999999999999</v>
      </c>
      <c r="V1787" s="8">
        <v>7.12</v>
      </c>
      <c r="W1787" s="8">
        <v>5.6020000000000003</v>
      </c>
      <c r="X1787" s="8">
        <v>4.202</v>
      </c>
      <c r="Y1787" s="8">
        <v>2.5609999999999999</v>
      </c>
      <c r="Z1787" s="8">
        <v>1.3480000000000001</v>
      </c>
      <c r="AA1787" s="8">
        <v>0.56999999999999995</v>
      </c>
      <c r="AB1787" s="8">
        <v>0.18099999999999999</v>
      </c>
      <c r="AC1787" s="8">
        <v>4.4999999999999998E-2</v>
      </c>
    </row>
    <row r="1788" spans="1:29" ht="11.65" hidden="1" x14ac:dyDescent="0.35">
      <c r="A1788" s="12">
        <v>1771</v>
      </c>
      <c r="B1788" s="10" t="s">
        <v>1015</v>
      </c>
      <c r="C1788" s="11" t="s">
        <v>1142</v>
      </c>
      <c r="D1788" s="9"/>
      <c r="E1788" s="9">
        <v>356</v>
      </c>
      <c r="F1788" s="10" t="s">
        <v>1066</v>
      </c>
      <c r="G1788" s="9">
        <v>5501</v>
      </c>
      <c r="H1788" s="9">
        <v>1950</v>
      </c>
      <c r="I1788" s="8">
        <v>26837.78</v>
      </c>
      <c r="J1788" s="8">
        <v>22004.7</v>
      </c>
      <c r="K1788" s="8">
        <v>20831.585999999999</v>
      </c>
      <c r="L1788" s="8">
        <v>18852.415000000001</v>
      </c>
      <c r="M1788" s="8">
        <v>16511.007000000001</v>
      </c>
      <c r="N1788" s="8">
        <v>14497.087</v>
      </c>
      <c r="O1788" s="8">
        <v>12870.514999999999</v>
      </c>
      <c r="P1788" s="8">
        <v>11276.947</v>
      </c>
      <c r="Q1788" s="8">
        <v>9879.0519999999997</v>
      </c>
      <c r="R1788" s="8">
        <v>7784.4650000000001</v>
      </c>
      <c r="S1788" s="8">
        <v>6867.6019999999999</v>
      </c>
      <c r="T1788" s="8">
        <v>4753.1310000000003</v>
      </c>
      <c r="U1788" s="8">
        <v>4243.2960000000003</v>
      </c>
      <c r="V1788" s="8">
        <v>2384.866</v>
      </c>
      <c r="W1788" s="8">
        <v>1803.1790000000001</v>
      </c>
      <c r="X1788" s="8">
        <v>1059.336</v>
      </c>
      <c r="Y1788" s="8">
        <v>510.24400000000003</v>
      </c>
      <c r="Z1788" s="8">
        <v>188.6</v>
      </c>
      <c r="AA1788" s="8">
        <v>49.917000000000002</v>
      </c>
      <c r="AB1788" s="8">
        <v>11.377000000000001</v>
      </c>
      <c r="AC1788" s="8">
        <v>0</v>
      </c>
    </row>
    <row r="1789" spans="1:29" ht="11.65" hidden="1" x14ac:dyDescent="0.35">
      <c r="A1789" s="12">
        <v>1772</v>
      </c>
      <c r="B1789" s="10" t="s">
        <v>1015</v>
      </c>
      <c r="C1789" s="11" t="s">
        <v>1142</v>
      </c>
      <c r="D1789" s="9"/>
      <c r="E1789" s="9">
        <v>356</v>
      </c>
      <c r="F1789" s="10" t="s">
        <v>1066</v>
      </c>
      <c r="G1789" s="9">
        <v>5501</v>
      </c>
      <c r="H1789" s="9">
        <v>1955</v>
      </c>
      <c r="I1789" s="8">
        <v>32555.395</v>
      </c>
      <c r="J1789" s="8">
        <v>24108.62</v>
      </c>
      <c r="K1789" s="8">
        <v>21047.350999999999</v>
      </c>
      <c r="L1789" s="8">
        <v>20015.955999999998</v>
      </c>
      <c r="M1789" s="8">
        <v>17939.262999999999</v>
      </c>
      <c r="N1789" s="8">
        <v>15552.647000000001</v>
      </c>
      <c r="O1789" s="8">
        <v>13521.947</v>
      </c>
      <c r="P1789" s="8">
        <v>11872.911</v>
      </c>
      <c r="Q1789" s="8">
        <v>10278.466</v>
      </c>
      <c r="R1789" s="8">
        <v>8866.5969999999998</v>
      </c>
      <c r="S1789" s="8">
        <v>6838.2950000000001</v>
      </c>
      <c r="T1789" s="8">
        <v>5847.8239999999996</v>
      </c>
      <c r="U1789" s="8">
        <v>3851.4140000000002</v>
      </c>
      <c r="V1789" s="8">
        <v>3195.3649999999998</v>
      </c>
      <c r="W1789" s="8">
        <v>1620.5229999999999</v>
      </c>
      <c r="X1789" s="8">
        <v>1060.6320000000001</v>
      </c>
      <c r="Y1789" s="8">
        <v>513.40499999999997</v>
      </c>
      <c r="Z1789" s="8">
        <v>194.2</v>
      </c>
      <c r="AA1789" s="8">
        <v>48.423000000000002</v>
      </c>
      <c r="AB1789" s="8">
        <v>9.0709999999999997</v>
      </c>
      <c r="AC1789" s="8">
        <v>1.476</v>
      </c>
    </row>
    <row r="1790" spans="1:29" ht="11.65" hidden="1" x14ac:dyDescent="0.35">
      <c r="A1790" s="12">
        <v>1773</v>
      </c>
      <c r="B1790" s="10" t="s">
        <v>1015</v>
      </c>
      <c r="C1790" s="11" t="s">
        <v>1142</v>
      </c>
      <c r="D1790" s="9"/>
      <c r="E1790" s="9">
        <v>356</v>
      </c>
      <c r="F1790" s="10" t="s">
        <v>1066</v>
      </c>
      <c r="G1790" s="9">
        <v>5501</v>
      </c>
      <c r="H1790" s="9">
        <v>1960</v>
      </c>
      <c r="I1790" s="8">
        <v>35572.817999999999</v>
      </c>
      <c r="J1790" s="8">
        <v>29566.25</v>
      </c>
      <c r="K1790" s="8">
        <v>23182.201000000001</v>
      </c>
      <c r="L1790" s="8">
        <v>20348.260999999999</v>
      </c>
      <c r="M1790" s="8">
        <v>19208.535</v>
      </c>
      <c r="N1790" s="8">
        <v>17061.903999999999</v>
      </c>
      <c r="O1790" s="8">
        <v>14648.328</v>
      </c>
      <c r="P1790" s="8">
        <v>12594.186</v>
      </c>
      <c r="Q1790" s="8">
        <v>10926.762000000001</v>
      </c>
      <c r="R1790" s="8">
        <v>9319.232</v>
      </c>
      <c r="S1790" s="8">
        <v>7886.3</v>
      </c>
      <c r="T1790" s="8">
        <v>5919.451</v>
      </c>
      <c r="U1790" s="8">
        <v>4831.8339999999998</v>
      </c>
      <c r="V1790" s="8">
        <v>2961.5070000000001</v>
      </c>
      <c r="W1790" s="8">
        <v>2222.9340000000002</v>
      </c>
      <c r="X1790" s="8">
        <v>981.93799999999999</v>
      </c>
      <c r="Y1790" s="8">
        <v>536.48199999999997</v>
      </c>
      <c r="Z1790" s="8">
        <v>208.08199999999999</v>
      </c>
      <c r="AA1790" s="8">
        <v>54.628999999999998</v>
      </c>
      <c r="AB1790" s="8">
        <v>9.7870000000000008</v>
      </c>
      <c r="AC1790" s="8">
        <v>1.5149999999999999</v>
      </c>
    </row>
    <row r="1791" spans="1:29" ht="11.65" hidden="1" x14ac:dyDescent="0.35">
      <c r="A1791" s="12">
        <v>1774</v>
      </c>
      <c r="B1791" s="10" t="s">
        <v>1015</v>
      </c>
      <c r="C1791" s="11" t="s">
        <v>1142</v>
      </c>
      <c r="D1791" s="9"/>
      <c r="E1791" s="9">
        <v>356</v>
      </c>
      <c r="F1791" s="10" t="s">
        <v>1066</v>
      </c>
      <c r="G1791" s="9">
        <v>5501</v>
      </c>
      <c r="H1791" s="9">
        <v>1965</v>
      </c>
      <c r="I1791" s="8">
        <v>38905.245000000003</v>
      </c>
      <c r="J1791" s="8">
        <v>32599.958999999999</v>
      </c>
      <c r="K1791" s="8">
        <v>28555.875</v>
      </c>
      <c r="L1791" s="8">
        <v>22561.697</v>
      </c>
      <c r="M1791" s="8">
        <v>19731.519</v>
      </c>
      <c r="N1791" s="8">
        <v>18479.294000000002</v>
      </c>
      <c r="O1791" s="8">
        <v>16245.259</v>
      </c>
      <c r="P1791" s="8">
        <v>13787.723</v>
      </c>
      <c r="Q1791" s="8">
        <v>11718.13</v>
      </c>
      <c r="R1791" s="8">
        <v>10022.781999999999</v>
      </c>
      <c r="S1791" s="8">
        <v>8400.7350000000006</v>
      </c>
      <c r="T1791" s="8">
        <v>6941.1880000000001</v>
      </c>
      <c r="U1791" s="8">
        <v>4976.4620000000004</v>
      </c>
      <c r="V1791" s="8">
        <v>3769.8670000000002</v>
      </c>
      <c r="W1791" s="8">
        <v>2099.096</v>
      </c>
      <c r="X1791" s="8">
        <v>1386.002</v>
      </c>
      <c r="Y1791" s="8">
        <v>515.79200000000003</v>
      </c>
      <c r="Z1791" s="8">
        <v>228.976</v>
      </c>
      <c r="AA1791" s="8">
        <v>62.96</v>
      </c>
      <c r="AB1791" s="8">
        <v>12.077</v>
      </c>
      <c r="AC1791" s="8">
        <v>1.7809999999999999</v>
      </c>
    </row>
    <row r="1792" spans="1:29" ht="11.65" hidden="1" x14ac:dyDescent="0.35">
      <c r="A1792" s="12">
        <v>1775</v>
      </c>
      <c r="B1792" s="10" t="s">
        <v>1015</v>
      </c>
      <c r="C1792" s="11" t="s">
        <v>1142</v>
      </c>
      <c r="D1792" s="9"/>
      <c r="E1792" s="9">
        <v>356</v>
      </c>
      <c r="F1792" s="10" t="s">
        <v>1066</v>
      </c>
      <c r="G1792" s="9">
        <v>5501</v>
      </c>
      <c r="H1792" s="9">
        <v>1970</v>
      </c>
      <c r="I1792" s="8">
        <v>42075.374000000003</v>
      </c>
      <c r="J1792" s="8">
        <v>35932.428999999996</v>
      </c>
      <c r="K1792" s="8">
        <v>31660.083999999999</v>
      </c>
      <c r="L1792" s="8">
        <v>27940.21</v>
      </c>
      <c r="M1792" s="8">
        <v>21984.812999999998</v>
      </c>
      <c r="N1792" s="8">
        <v>19104.397000000001</v>
      </c>
      <c r="O1792" s="8">
        <v>17766.550999999999</v>
      </c>
      <c r="P1792" s="8">
        <v>15493.897999999999</v>
      </c>
      <c r="Q1792" s="8">
        <v>13041.785</v>
      </c>
      <c r="R1792" s="8">
        <v>10951.179</v>
      </c>
      <c r="S1792" s="8">
        <v>9205.5310000000009</v>
      </c>
      <c r="T1792" s="8">
        <v>7529.9520000000002</v>
      </c>
      <c r="U1792" s="8">
        <v>5939.7340000000004</v>
      </c>
      <c r="V1792" s="8">
        <v>3951.076</v>
      </c>
      <c r="W1792" s="8">
        <v>2728.6179999999999</v>
      </c>
      <c r="X1792" s="8">
        <v>1343.2940000000001</v>
      </c>
      <c r="Y1792" s="8">
        <v>752.38099999999997</v>
      </c>
      <c r="Z1792" s="8">
        <v>225.22399999999999</v>
      </c>
      <c r="AA1792" s="8">
        <v>69.412000000000006</v>
      </c>
      <c r="AB1792" s="8">
        <v>14.433999999999999</v>
      </c>
      <c r="AC1792" s="8">
        <v>2.371</v>
      </c>
    </row>
    <row r="1793" spans="1:29" ht="11.65" hidden="1" x14ac:dyDescent="0.35">
      <c r="A1793" s="12">
        <v>1776</v>
      </c>
      <c r="B1793" s="10" t="s">
        <v>1015</v>
      </c>
      <c r="C1793" s="11" t="s">
        <v>1142</v>
      </c>
      <c r="D1793" s="9"/>
      <c r="E1793" s="9">
        <v>356</v>
      </c>
      <c r="F1793" s="10" t="s">
        <v>1066</v>
      </c>
      <c r="G1793" s="9">
        <v>5501</v>
      </c>
      <c r="H1793" s="9">
        <v>1975</v>
      </c>
      <c r="I1793" s="8">
        <v>46106.220999999998</v>
      </c>
      <c r="J1793" s="8">
        <v>39310.222000000002</v>
      </c>
      <c r="K1793" s="8">
        <v>35230.167999999998</v>
      </c>
      <c r="L1793" s="8">
        <v>31255.973000000002</v>
      </c>
      <c r="M1793" s="8">
        <v>27503.295999999998</v>
      </c>
      <c r="N1793" s="8">
        <v>21574.594000000001</v>
      </c>
      <c r="O1793" s="8">
        <v>18643.931</v>
      </c>
      <c r="P1793" s="8">
        <v>17228.853999999999</v>
      </c>
      <c r="Q1793" s="8">
        <v>14935.075999999999</v>
      </c>
      <c r="R1793" s="8">
        <v>12449.011</v>
      </c>
      <c r="S1793" s="8">
        <v>10273.567999999999</v>
      </c>
      <c r="T1793" s="8">
        <v>8415.5470000000005</v>
      </c>
      <c r="U1793" s="8">
        <v>6576.1130000000003</v>
      </c>
      <c r="V1793" s="8">
        <v>4837.4790000000003</v>
      </c>
      <c r="W1793" s="8">
        <v>2940.2510000000002</v>
      </c>
      <c r="X1793" s="8">
        <v>1793.0830000000001</v>
      </c>
      <c r="Y1793" s="8">
        <v>741.97400000000005</v>
      </c>
      <c r="Z1793" s="8">
        <v>328.51400000000001</v>
      </c>
      <c r="AA1793" s="8">
        <v>68.286000000000001</v>
      </c>
      <c r="AB1793" s="8">
        <v>16.378</v>
      </c>
      <c r="AC1793" s="8">
        <v>3.0859999999999999</v>
      </c>
    </row>
    <row r="1794" spans="1:29" ht="11.65" hidden="1" x14ac:dyDescent="0.35">
      <c r="A1794" s="12">
        <v>1777</v>
      </c>
      <c r="B1794" s="10" t="s">
        <v>1015</v>
      </c>
      <c r="C1794" s="11" t="s">
        <v>1142</v>
      </c>
      <c r="D1794" s="9"/>
      <c r="E1794" s="9">
        <v>356</v>
      </c>
      <c r="F1794" s="10" t="s">
        <v>1066</v>
      </c>
      <c r="G1794" s="9">
        <v>5501</v>
      </c>
      <c r="H1794" s="9">
        <v>1980</v>
      </c>
      <c r="I1794" s="8">
        <v>50216.082999999999</v>
      </c>
      <c r="J1794" s="8">
        <v>43499.758999999998</v>
      </c>
      <c r="K1794" s="8">
        <v>38664.394</v>
      </c>
      <c r="L1794" s="8">
        <v>34812.142</v>
      </c>
      <c r="M1794" s="8">
        <v>30738.595000000001</v>
      </c>
      <c r="N1794" s="8">
        <v>26968.277999999998</v>
      </c>
      <c r="O1794" s="8">
        <v>21121.558000000001</v>
      </c>
      <c r="P1794" s="8">
        <v>18204.577000000001</v>
      </c>
      <c r="Q1794" s="8">
        <v>16749.659</v>
      </c>
      <c r="R1794" s="8">
        <v>14406.981</v>
      </c>
      <c r="S1794" s="8">
        <v>11822.222</v>
      </c>
      <c r="T1794" s="8">
        <v>9515.4240000000009</v>
      </c>
      <c r="U1794" s="8">
        <v>7462.1779999999999</v>
      </c>
      <c r="V1794" s="8">
        <v>5471.59</v>
      </c>
      <c r="W1794" s="8">
        <v>3688.8719999999998</v>
      </c>
      <c r="X1794" s="8">
        <v>1967.164</v>
      </c>
      <c r="Y1794" s="8">
        <v>1007.371</v>
      </c>
      <c r="Z1794" s="8">
        <v>332.49299999999999</v>
      </c>
      <c r="AA1794" s="8">
        <v>103.416</v>
      </c>
      <c r="AB1794" s="8">
        <v>16.887</v>
      </c>
      <c r="AC1794" s="8">
        <v>3.7589999999999999</v>
      </c>
    </row>
    <row r="1795" spans="1:29" ht="11.65" hidden="1" x14ac:dyDescent="0.35">
      <c r="A1795" s="12">
        <v>1778</v>
      </c>
      <c r="B1795" s="10" t="s">
        <v>1015</v>
      </c>
      <c r="C1795" s="11" t="s">
        <v>1142</v>
      </c>
      <c r="D1795" s="9"/>
      <c r="E1795" s="9">
        <v>356</v>
      </c>
      <c r="F1795" s="10" t="s">
        <v>1066</v>
      </c>
      <c r="G1795" s="9">
        <v>5501</v>
      </c>
      <c r="H1795" s="9">
        <v>1985</v>
      </c>
      <c r="I1795" s="8">
        <v>55400.822</v>
      </c>
      <c r="J1795" s="8">
        <v>47811.908000000003</v>
      </c>
      <c r="K1795" s="8">
        <v>42849.622000000003</v>
      </c>
      <c r="L1795" s="8">
        <v>38225.095000000001</v>
      </c>
      <c r="M1795" s="8">
        <v>34239.351000000002</v>
      </c>
      <c r="N1795" s="8">
        <v>30164.081999999999</v>
      </c>
      <c r="O1795" s="8">
        <v>26452.339</v>
      </c>
      <c r="P1795" s="8">
        <v>20690.671999999999</v>
      </c>
      <c r="Q1795" s="8">
        <v>17766.097000000002</v>
      </c>
      <c r="R1795" s="8">
        <v>16228.609</v>
      </c>
      <c r="S1795" s="8">
        <v>13749.407999999999</v>
      </c>
      <c r="T1795" s="8">
        <v>11005.576999999999</v>
      </c>
      <c r="U1795" s="8">
        <v>8477.7939999999999</v>
      </c>
      <c r="V1795" s="8">
        <v>6235.0039999999999</v>
      </c>
      <c r="W1795" s="8">
        <v>4184.3220000000001</v>
      </c>
      <c r="X1795" s="8">
        <v>2470.8249999999998</v>
      </c>
      <c r="Y1795" s="8">
        <v>1107.5740000000001</v>
      </c>
      <c r="Z1795" s="8">
        <v>452.88099999999997</v>
      </c>
      <c r="AA1795" s="8">
        <v>105.191</v>
      </c>
      <c r="AB1795" s="8">
        <v>25.733000000000001</v>
      </c>
      <c r="AC1795" s="8">
        <v>4.0140000000000002</v>
      </c>
    </row>
    <row r="1796" spans="1:29" ht="11.65" hidden="1" x14ac:dyDescent="0.35">
      <c r="A1796" s="12">
        <v>1779</v>
      </c>
      <c r="B1796" s="10" t="s">
        <v>1015</v>
      </c>
      <c r="C1796" s="11" t="s">
        <v>1142</v>
      </c>
      <c r="D1796" s="9"/>
      <c r="E1796" s="9">
        <v>356</v>
      </c>
      <c r="F1796" s="10" t="s">
        <v>1066</v>
      </c>
      <c r="G1796" s="9">
        <v>5501</v>
      </c>
      <c r="H1796" s="9">
        <v>1990</v>
      </c>
      <c r="I1796" s="8">
        <v>58215.64</v>
      </c>
      <c r="J1796" s="8">
        <v>53136.474999999999</v>
      </c>
      <c r="K1796" s="8">
        <v>47144.322999999997</v>
      </c>
      <c r="L1796" s="8">
        <v>42364.281999999999</v>
      </c>
      <c r="M1796" s="8">
        <v>37586.629000000001</v>
      </c>
      <c r="N1796" s="8">
        <v>33604.688999999998</v>
      </c>
      <c r="O1796" s="8">
        <v>29615.845000000001</v>
      </c>
      <c r="P1796" s="8">
        <v>25949.197</v>
      </c>
      <c r="Q1796" s="8">
        <v>20228.439999999999</v>
      </c>
      <c r="R1796" s="8">
        <v>17248.458999999999</v>
      </c>
      <c r="S1796" s="8">
        <v>15524.102999999999</v>
      </c>
      <c r="T1796" s="8">
        <v>12831.996999999999</v>
      </c>
      <c r="U1796" s="8">
        <v>9835.857</v>
      </c>
      <c r="V1796" s="8">
        <v>7099.0860000000002</v>
      </c>
      <c r="W1796" s="8">
        <v>4768.232</v>
      </c>
      <c r="X1796" s="8">
        <v>2802.5390000000002</v>
      </c>
      <c r="Y1796" s="8">
        <v>1391.2</v>
      </c>
      <c r="Z1796" s="8">
        <v>498.072</v>
      </c>
      <c r="AA1796" s="8">
        <v>143.37299999999999</v>
      </c>
      <c r="AB1796" s="8">
        <v>26.193999999999999</v>
      </c>
      <c r="AC1796" s="8">
        <v>5.7880000000000003</v>
      </c>
    </row>
    <row r="1797" spans="1:29" ht="11.65" hidden="1" x14ac:dyDescent="0.35">
      <c r="A1797" s="12">
        <v>1780</v>
      </c>
      <c r="B1797" s="10" t="s">
        <v>1015</v>
      </c>
      <c r="C1797" s="11" t="s">
        <v>1142</v>
      </c>
      <c r="D1797" s="9"/>
      <c r="E1797" s="9">
        <v>356</v>
      </c>
      <c r="F1797" s="10" t="s">
        <v>1066</v>
      </c>
      <c r="G1797" s="9">
        <v>5501</v>
      </c>
      <c r="H1797" s="9">
        <v>1995</v>
      </c>
      <c r="I1797" s="8">
        <v>59141.281000000003</v>
      </c>
      <c r="J1797" s="8">
        <v>56236.955000000002</v>
      </c>
      <c r="K1797" s="8">
        <v>52507.652000000002</v>
      </c>
      <c r="L1797" s="8">
        <v>46653.582999999999</v>
      </c>
      <c r="M1797" s="8">
        <v>41703.328999999998</v>
      </c>
      <c r="N1797" s="8">
        <v>36938.724000000002</v>
      </c>
      <c r="O1797" s="8">
        <v>33052.902999999998</v>
      </c>
      <c r="P1797" s="8">
        <v>29115.815999999999</v>
      </c>
      <c r="Q1797" s="8">
        <v>25440.749</v>
      </c>
      <c r="R1797" s="8">
        <v>19709.625</v>
      </c>
      <c r="S1797" s="8">
        <v>16587.912</v>
      </c>
      <c r="T1797" s="8">
        <v>14603.227000000001</v>
      </c>
      <c r="U1797" s="8">
        <v>11617.096</v>
      </c>
      <c r="V1797" s="8">
        <v>8394.9680000000008</v>
      </c>
      <c r="W1797" s="8">
        <v>5569.924</v>
      </c>
      <c r="X1797" s="8">
        <v>3313.5129999999999</v>
      </c>
      <c r="Y1797" s="8">
        <v>1654.0360000000001</v>
      </c>
      <c r="Z1797" s="8">
        <v>646.67600000000004</v>
      </c>
      <c r="AA1797" s="8">
        <v>158.75</v>
      </c>
      <c r="AB1797" s="8">
        <v>38.116999999999997</v>
      </c>
      <c r="AC1797" s="8">
        <v>7.1520000000000001</v>
      </c>
    </row>
    <row r="1798" spans="1:29" ht="11.65" hidden="1" x14ac:dyDescent="0.35">
      <c r="A1798" s="12">
        <v>1781</v>
      </c>
      <c r="B1798" s="10" t="s">
        <v>1015</v>
      </c>
      <c r="C1798" s="11" t="s">
        <v>1142</v>
      </c>
      <c r="D1798" s="9"/>
      <c r="E1798" s="9">
        <v>356</v>
      </c>
      <c r="F1798" s="10" t="s">
        <v>1066</v>
      </c>
      <c r="G1798" s="9">
        <v>5501</v>
      </c>
      <c r="H1798" s="9">
        <v>2000</v>
      </c>
      <c r="I1798" s="8">
        <v>60373.447999999997</v>
      </c>
      <c r="J1798" s="8">
        <v>57517.067000000003</v>
      </c>
      <c r="K1798" s="8">
        <v>55697.837</v>
      </c>
      <c r="L1798" s="8">
        <v>52032.525999999998</v>
      </c>
      <c r="M1798" s="8">
        <v>46014.11</v>
      </c>
      <c r="N1798" s="8">
        <v>41069.625</v>
      </c>
      <c r="O1798" s="8">
        <v>36403.315000000002</v>
      </c>
      <c r="P1798" s="8">
        <v>32559.309000000001</v>
      </c>
      <c r="Q1798" s="8">
        <v>28613.687999999998</v>
      </c>
      <c r="R1798" s="8">
        <v>24864.643</v>
      </c>
      <c r="S1798" s="8">
        <v>19046.684000000001</v>
      </c>
      <c r="T1798" s="8">
        <v>15717.391</v>
      </c>
      <c r="U1798" s="8">
        <v>13375.035</v>
      </c>
      <c r="V1798" s="8">
        <v>10091.037</v>
      </c>
      <c r="W1798" s="8">
        <v>6743</v>
      </c>
      <c r="X1798" s="8">
        <v>4005.357</v>
      </c>
      <c r="Y1798" s="8">
        <v>2014.596</v>
      </c>
      <c r="Z1798" s="8">
        <v>782.89</v>
      </c>
      <c r="AA1798" s="8">
        <v>212.595</v>
      </c>
      <c r="AB1798" s="8">
        <v>43.295999999999999</v>
      </c>
      <c r="AC1798" s="8">
        <v>10.234999999999999</v>
      </c>
    </row>
    <row r="1799" spans="1:29" ht="11.65" hidden="1" x14ac:dyDescent="0.35">
      <c r="A1799" s="12">
        <v>1782</v>
      </c>
      <c r="B1799" s="10" t="s">
        <v>1015</v>
      </c>
      <c r="C1799" s="11" t="s">
        <v>1142</v>
      </c>
      <c r="D1799" s="9"/>
      <c r="E1799" s="9">
        <v>356</v>
      </c>
      <c r="F1799" s="10" t="s">
        <v>1066</v>
      </c>
      <c r="G1799" s="9">
        <v>5501</v>
      </c>
      <c r="H1799" s="9">
        <v>2005</v>
      </c>
      <c r="I1799" s="8">
        <v>61151.110999999997</v>
      </c>
      <c r="J1799" s="8">
        <v>59066.974999999999</v>
      </c>
      <c r="K1799" s="8">
        <v>57010.813999999998</v>
      </c>
      <c r="L1799" s="8">
        <v>55186.49</v>
      </c>
      <c r="M1799" s="8">
        <v>51305.025000000001</v>
      </c>
      <c r="N1799" s="8">
        <v>45301.095999999998</v>
      </c>
      <c r="O1799" s="8">
        <v>40477.175000000003</v>
      </c>
      <c r="P1799" s="8">
        <v>35872.212</v>
      </c>
      <c r="Q1799" s="8">
        <v>32018.517</v>
      </c>
      <c r="R1799" s="8">
        <v>27994.492999999999</v>
      </c>
      <c r="S1799" s="8">
        <v>24078.952000000001</v>
      </c>
      <c r="T1799" s="8">
        <v>18106.791000000001</v>
      </c>
      <c r="U1799" s="8">
        <v>14464.460999999999</v>
      </c>
      <c r="V1799" s="8">
        <v>11695.731</v>
      </c>
      <c r="W1799" s="8">
        <v>8164.6940000000004</v>
      </c>
      <c r="X1799" s="8">
        <v>4890.6809999999996</v>
      </c>
      <c r="Y1799" s="8">
        <v>2464.3679999999999</v>
      </c>
      <c r="Z1799" s="8">
        <v>971.20100000000002</v>
      </c>
      <c r="AA1799" s="8">
        <v>264.51400000000001</v>
      </c>
      <c r="AB1799" s="8">
        <v>59.896000000000001</v>
      </c>
      <c r="AC1799" s="8">
        <v>12.513999999999999</v>
      </c>
    </row>
    <row r="1800" spans="1:29" ht="11.65" hidden="1" x14ac:dyDescent="0.35">
      <c r="A1800" s="12">
        <v>1783</v>
      </c>
      <c r="B1800" s="10" t="s">
        <v>1015</v>
      </c>
      <c r="C1800" s="11" t="s">
        <v>1142</v>
      </c>
      <c r="D1800" s="9"/>
      <c r="E1800" s="9">
        <v>356</v>
      </c>
      <c r="F1800" s="10" t="s">
        <v>1066</v>
      </c>
      <c r="G1800" s="9">
        <v>5501</v>
      </c>
      <c r="H1800" s="9">
        <v>2010</v>
      </c>
      <c r="I1800" s="8">
        <v>60884.091</v>
      </c>
      <c r="J1800" s="8">
        <v>60140.17</v>
      </c>
      <c r="K1800" s="8">
        <v>58599.851000000002</v>
      </c>
      <c r="L1800" s="8">
        <v>56502.951999999997</v>
      </c>
      <c r="M1800" s="8">
        <v>54443.207999999999</v>
      </c>
      <c r="N1800" s="8">
        <v>50548.934000000001</v>
      </c>
      <c r="O1800" s="8">
        <v>44686.027999999998</v>
      </c>
      <c r="P1800" s="8">
        <v>39923.21</v>
      </c>
      <c r="Q1800" s="8">
        <v>35305.1</v>
      </c>
      <c r="R1800" s="8">
        <v>31359.091</v>
      </c>
      <c r="S1800" s="8">
        <v>27146.307000000001</v>
      </c>
      <c r="T1800" s="8">
        <v>22943.952000000001</v>
      </c>
      <c r="U1800" s="8">
        <v>16728.932000000001</v>
      </c>
      <c r="V1800" s="8">
        <v>12717.545</v>
      </c>
      <c r="W1800" s="8">
        <v>9531.8559999999998</v>
      </c>
      <c r="X1800" s="8">
        <v>5971.0990000000002</v>
      </c>
      <c r="Y1800" s="8">
        <v>3044.1570000000002</v>
      </c>
      <c r="Z1800" s="8">
        <v>1209.248</v>
      </c>
      <c r="AA1800" s="8">
        <v>336.88099999999997</v>
      </c>
      <c r="AB1800" s="8">
        <v>76.888999999999996</v>
      </c>
      <c r="AC1800" s="8">
        <v>17.481000000000002</v>
      </c>
    </row>
    <row r="1801" spans="1:29" ht="11.65" hidden="1" x14ac:dyDescent="0.35">
      <c r="A1801" s="12">
        <v>1784</v>
      </c>
      <c r="B1801" s="10" t="s">
        <v>1015</v>
      </c>
      <c r="C1801" s="11" t="s">
        <v>1142</v>
      </c>
      <c r="D1801" s="9"/>
      <c r="E1801" s="9">
        <v>356</v>
      </c>
      <c r="F1801" s="10" t="s">
        <v>1066</v>
      </c>
      <c r="G1801" s="9">
        <v>5501</v>
      </c>
      <c r="H1801" s="9">
        <v>2015</v>
      </c>
      <c r="I1801" s="8">
        <v>56617.737000000001</v>
      </c>
      <c r="J1801" s="8">
        <v>60178.745999999999</v>
      </c>
      <c r="K1801" s="8">
        <v>59760.885000000002</v>
      </c>
      <c r="L1801" s="8">
        <v>58205.67</v>
      </c>
      <c r="M1801" s="8">
        <v>55949.146000000001</v>
      </c>
      <c r="N1801" s="8">
        <v>53820.135999999999</v>
      </c>
      <c r="O1801" s="8">
        <v>49976.466999999997</v>
      </c>
      <c r="P1801" s="8">
        <v>44166.159</v>
      </c>
      <c r="Q1801" s="8">
        <v>39371.659</v>
      </c>
      <c r="R1801" s="8">
        <v>34660.631000000001</v>
      </c>
      <c r="S1801" s="8">
        <v>30468.817999999999</v>
      </c>
      <c r="T1801" s="8">
        <v>25936.429</v>
      </c>
      <c r="U1801" s="8">
        <v>21335.021000000001</v>
      </c>
      <c r="V1801" s="8">
        <v>14868.579</v>
      </c>
      <c r="W1801" s="8">
        <v>10545.786</v>
      </c>
      <c r="X1801" s="8">
        <v>7144.3010000000004</v>
      </c>
      <c r="Y1801" s="8">
        <v>3829.288</v>
      </c>
      <c r="Z1801" s="8">
        <v>1536.4549999999999</v>
      </c>
      <c r="AA1801" s="8">
        <v>433.31</v>
      </c>
      <c r="AB1801" s="8">
        <v>100.747</v>
      </c>
      <c r="AC1801" s="8">
        <v>23.09</v>
      </c>
    </row>
    <row r="1802" spans="1:29" ht="11.65" hidden="1" x14ac:dyDescent="0.35">
      <c r="A1802" s="12">
        <v>1785</v>
      </c>
      <c r="B1802" s="10" t="s">
        <v>1015</v>
      </c>
      <c r="C1802" s="11" t="s">
        <v>1142</v>
      </c>
      <c r="D1802" s="9"/>
      <c r="E1802" s="9">
        <v>356</v>
      </c>
      <c r="F1802" s="10" t="s">
        <v>1066</v>
      </c>
      <c r="G1802" s="9">
        <v>5501</v>
      </c>
      <c r="H1802" s="9">
        <v>2020</v>
      </c>
      <c r="I1802" s="8">
        <v>55651.093000000001</v>
      </c>
      <c r="J1802" s="8">
        <v>56104.957999999999</v>
      </c>
      <c r="K1802" s="8">
        <v>59853.324000000001</v>
      </c>
      <c r="L1802" s="8">
        <v>59374.711000000003</v>
      </c>
      <c r="M1802" s="8">
        <v>57638.993000000002</v>
      </c>
      <c r="N1802" s="8">
        <v>55357.93</v>
      </c>
      <c r="O1802" s="8">
        <v>53301.21</v>
      </c>
      <c r="P1802" s="8">
        <v>49466.26</v>
      </c>
      <c r="Q1802" s="8">
        <v>43588.650999999998</v>
      </c>
      <c r="R1802" s="8">
        <v>38683.675000000003</v>
      </c>
      <c r="S1802" s="8">
        <v>33673.298999999999</v>
      </c>
      <c r="T1802" s="8">
        <v>29105.995999999999</v>
      </c>
      <c r="U1802" s="8">
        <v>24195.856</v>
      </c>
      <c r="V1802" s="8">
        <v>19092.153999999999</v>
      </c>
      <c r="W1802" s="8">
        <v>12463.535</v>
      </c>
      <c r="X1802" s="8">
        <v>8020.9560000000001</v>
      </c>
      <c r="Y1802" s="8">
        <v>4657.5479999999998</v>
      </c>
      <c r="Z1802" s="8">
        <v>1955.5550000000001</v>
      </c>
      <c r="AA1802" s="8">
        <v>555.79700000000003</v>
      </c>
      <c r="AB1802" s="8">
        <v>131.21600000000001</v>
      </c>
      <c r="AC1802" s="8">
        <v>30.698</v>
      </c>
    </row>
    <row r="1803" spans="1:29" ht="11.65" hidden="1" x14ac:dyDescent="0.35">
      <c r="A1803" s="12">
        <v>1786</v>
      </c>
      <c r="B1803" s="10" t="s">
        <v>1015</v>
      </c>
      <c r="C1803" s="11" t="s">
        <v>1143</v>
      </c>
      <c r="D1803" s="9"/>
      <c r="E1803" s="9">
        <v>364</v>
      </c>
      <c r="F1803" s="10" t="s">
        <v>1066</v>
      </c>
      <c r="G1803" s="9">
        <v>5501</v>
      </c>
      <c r="H1803" s="9">
        <v>1950</v>
      </c>
      <c r="I1803" s="8">
        <v>1258.2</v>
      </c>
      <c r="J1803" s="8">
        <v>918</v>
      </c>
      <c r="K1803" s="8">
        <v>900.9</v>
      </c>
      <c r="L1803" s="8">
        <v>861.75</v>
      </c>
      <c r="M1803" s="8">
        <v>775.101</v>
      </c>
      <c r="N1803" s="8">
        <v>712.80100000000004</v>
      </c>
      <c r="O1803" s="8">
        <v>520</v>
      </c>
      <c r="P1803" s="8">
        <v>422.72500000000002</v>
      </c>
      <c r="Q1803" s="8">
        <v>417</v>
      </c>
      <c r="R1803" s="8">
        <v>369.99900000000002</v>
      </c>
      <c r="S1803" s="8">
        <v>317.99900000000002</v>
      </c>
      <c r="T1803" s="8">
        <v>266.99900000000002</v>
      </c>
      <c r="U1803" s="8">
        <v>235.99799999999999</v>
      </c>
      <c r="V1803" s="8">
        <v>181.999</v>
      </c>
      <c r="W1803" s="8">
        <v>127.998</v>
      </c>
      <c r="X1803" s="8">
        <v>77.998999999999995</v>
      </c>
      <c r="Y1803" s="8">
        <v>31.385999999999999</v>
      </c>
      <c r="Z1803" s="8">
        <v>10.135</v>
      </c>
      <c r="AA1803" s="8">
        <v>2.1659999999999999</v>
      </c>
      <c r="AB1803" s="8">
        <v>0.28299999999999997</v>
      </c>
      <c r="AC1803" s="8">
        <v>2.4E-2</v>
      </c>
    </row>
    <row r="1804" spans="1:29" ht="11.65" hidden="1" x14ac:dyDescent="0.35">
      <c r="A1804" s="12">
        <v>1787</v>
      </c>
      <c r="B1804" s="10" t="s">
        <v>1015</v>
      </c>
      <c r="C1804" s="11" t="s">
        <v>1143</v>
      </c>
      <c r="D1804" s="9"/>
      <c r="E1804" s="9">
        <v>364</v>
      </c>
      <c r="F1804" s="10" t="s">
        <v>1066</v>
      </c>
      <c r="G1804" s="9">
        <v>5501</v>
      </c>
      <c r="H1804" s="9">
        <v>1955</v>
      </c>
      <c r="I1804" s="8">
        <v>1686.943</v>
      </c>
      <c r="J1804" s="8">
        <v>1134.722</v>
      </c>
      <c r="K1804" s="8">
        <v>875.98299999999995</v>
      </c>
      <c r="L1804" s="8">
        <v>875.86699999999996</v>
      </c>
      <c r="M1804" s="8">
        <v>842.60400000000004</v>
      </c>
      <c r="N1804" s="8">
        <v>756.86199999999997</v>
      </c>
      <c r="O1804" s="8">
        <v>689.45799999999997</v>
      </c>
      <c r="P1804" s="8">
        <v>497.202</v>
      </c>
      <c r="Q1804" s="8">
        <v>398.47399999999999</v>
      </c>
      <c r="R1804" s="8">
        <v>386.91699999999997</v>
      </c>
      <c r="S1804" s="8">
        <v>336.45100000000002</v>
      </c>
      <c r="T1804" s="8">
        <v>279.483</v>
      </c>
      <c r="U1804" s="8">
        <v>223.71899999999999</v>
      </c>
      <c r="V1804" s="8">
        <v>188.02799999999999</v>
      </c>
      <c r="W1804" s="8">
        <v>128.75299999999999</v>
      </c>
      <c r="X1804" s="8">
        <v>73.055999999999997</v>
      </c>
      <c r="Y1804" s="8">
        <v>34.856000000000002</v>
      </c>
      <c r="Z1804" s="8">
        <v>10.134</v>
      </c>
      <c r="AA1804" s="8">
        <v>2.1659999999999999</v>
      </c>
      <c r="AB1804" s="8">
        <v>0.28299999999999997</v>
      </c>
      <c r="AC1804" s="8">
        <v>2.4E-2</v>
      </c>
    </row>
    <row r="1805" spans="1:29" ht="11.65" hidden="1" x14ac:dyDescent="0.35">
      <c r="A1805" s="12">
        <v>1788</v>
      </c>
      <c r="B1805" s="10" t="s">
        <v>1015</v>
      </c>
      <c r="C1805" s="11" t="s">
        <v>1143</v>
      </c>
      <c r="D1805" s="9"/>
      <c r="E1805" s="9">
        <v>364</v>
      </c>
      <c r="F1805" s="10" t="s">
        <v>1066</v>
      </c>
      <c r="G1805" s="9">
        <v>5501</v>
      </c>
      <c r="H1805" s="9">
        <v>1960</v>
      </c>
      <c r="I1805" s="8">
        <v>1908.442</v>
      </c>
      <c r="J1805" s="8">
        <v>1547.4459999999999</v>
      </c>
      <c r="K1805" s="8">
        <v>1094.116</v>
      </c>
      <c r="L1805" s="8">
        <v>855.48099999999999</v>
      </c>
      <c r="M1805" s="8">
        <v>857.99199999999996</v>
      </c>
      <c r="N1805" s="8">
        <v>824.24300000000005</v>
      </c>
      <c r="O1805" s="8">
        <v>734.77700000000004</v>
      </c>
      <c r="P1805" s="8">
        <v>663.05700000000002</v>
      </c>
      <c r="Q1805" s="8">
        <v>472.40800000000002</v>
      </c>
      <c r="R1805" s="8">
        <v>373.24299999999999</v>
      </c>
      <c r="S1805" s="8">
        <v>355.41</v>
      </c>
      <c r="T1805" s="8">
        <v>299.26600000000002</v>
      </c>
      <c r="U1805" s="8">
        <v>237.286</v>
      </c>
      <c r="V1805" s="8">
        <v>179.93600000000001</v>
      </c>
      <c r="W1805" s="8">
        <v>135.98699999999999</v>
      </c>
      <c r="X1805" s="8">
        <v>77.022000000000006</v>
      </c>
      <c r="Y1805" s="8">
        <v>34.057000000000002</v>
      </c>
      <c r="Z1805" s="8">
        <v>11.657999999999999</v>
      </c>
      <c r="AA1805" s="8">
        <v>2.2440000000000002</v>
      </c>
      <c r="AB1805" s="8">
        <v>0.28899999999999998</v>
      </c>
      <c r="AC1805" s="8">
        <v>2.4E-2</v>
      </c>
    </row>
    <row r="1806" spans="1:29" ht="11.65" hidden="1" x14ac:dyDescent="0.35">
      <c r="A1806" s="12">
        <v>1789</v>
      </c>
      <c r="B1806" s="10" t="s">
        <v>1015</v>
      </c>
      <c r="C1806" s="11" t="s">
        <v>1143</v>
      </c>
      <c r="D1806" s="9"/>
      <c r="E1806" s="9">
        <v>364</v>
      </c>
      <c r="F1806" s="10" t="s">
        <v>1066</v>
      </c>
      <c r="G1806" s="9">
        <v>5501</v>
      </c>
      <c r="H1806" s="9">
        <v>1965</v>
      </c>
      <c r="I1806" s="8">
        <v>2125.1860000000001</v>
      </c>
      <c r="J1806" s="8">
        <v>1777.4169999999999</v>
      </c>
      <c r="K1806" s="8">
        <v>1504.232</v>
      </c>
      <c r="L1806" s="8">
        <v>1072.3440000000001</v>
      </c>
      <c r="M1806" s="8">
        <v>839.01499999999999</v>
      </c>
      <c r="N1806" s="8">
        <v>840.303</v>
      </c>
      <c r="O1806" s="8">
        <v>802.56500000000005</v>
      </c>
      <c r="P1806" s="8">
        <v>710.05</v>
      </c>
      <c r="Q1806" s="8">
        <v>634.29700000000003</v>
      </c>
      <c r="R1806" s="8">
        <v>446.16399999999999</v>
      </c>
      <c r="S1806" s="8">
        <v>345.97300000000001</v>
      </c>
      <c r="T1806" s="8">
        <v>319.642</v>
      </c>
      <c r="U1806" s="8">
        <v>257.30799999999999</v>
      </c>
      <c r="V1806" s="8">
        <v>192.785</v>
      </c>
      <c r="W1806" s="8">
        <v>131.6</v>
      </c>
      <c r="X1806" s="8">
        <v>82.043000000000006</v>
      </c>
      <c r="Y1806" s="8">
        <v>35.875999999999998</v>
      </c>
      <c r="Z1806" s="8">
        <v>11.286</v>
      </c>
      <c r="AA1806" s="8">
        <v>2.488</v>
      </c>
      <c r="AB1806" s="8">
        <v>0.28100000000000003</v>
      </c>
      <c r="AC1806" s="8">
        <v>2.3E-2</v>
      </c>
    </row>
    <row r="1807" spans="1:29" ht="11.65" hidden="1" x14ac:dyDescent="0.35">
      <c r="A1807" s="12">
        <v>1790</v>
      </c>
      <c r="B1807" s="10" t="s">
        <v>1015</v>
      </c>
      <c r="C1807" s="11" t="s">
        <v>1143</v>
      </c>
      <c r="D1807" s="9"/>
      <c r="E1807" s="9">
        <v>364</v>
      </c>
      <c r="F1807" s="10" t="s">
        <v>1066</v>
      </c>
      <c r="G1807" s="9">
        <v>5501</v>
      </c>
      <c r="H1807" s="9">
        <v>1970</v>
      </c>
      <c r="I1807" s="8">
        <v>2351.7190000000001</v>
      </c>
      <c r="J1807" s="8">
        <v>2009.2719999999999</v>
      </c>
      <c r="K1807" s="8">
        <v>1741.895</v>
      </c>
      <c r="L1807" s="8">
        <v>1482.4380000000001</v>
      </c>
      <c r="M1807" s="8">
        <v>1057.1600000000001</v>
      </c>
      <c r="N1807" s="8">
        <v>826.19799999999998</v>
      </c>
      <c r="O1807" s="8">
        <v>822.96100000000001</v>
      </c>
      <c r="P1807" s="8">
        <v>780.44299999999998</v>
      </c>
      <c r="Q1807" s="8">
        <v>684.197</v>
      </c>
      <c r="R1807" s="8">
        <v>604.12400000000002</v>
      </c>
      <c r="S1807" s="8">
        <v>417.44099999999997</v>
      </c>
      <c r="T1807" s="8">
        <v>314.66399999999999</v>
      </c>
      <c r="U1807" s="8">
        <v>278.35500000000002</v>
      </c>
      <c r="V1807" s="8">
        <v>211.363</v>
      </c>
      <c r="W1807" s="8">
        <v>142.941</v>
      </c>
      <c r="X1807" s="8">
        <v>81.688000000000002</v>
      </c>
      <c r="Y1807" s="8">
        <v>39.515000000000001</v>
      </c>
      <c r="Z1807" s="8">
        <v>12.225</v>
      </c>
      <c r="AA1807" s="8">
        <v>2.4830000000000001</v>
      </c>
      <c r="AB1807" s="8">
        <v>0.31900000000000001</v>
      </c>
      <c r="AC1807" s="8">
        <v>2.3E-2</v>
      </c>
    </row>
    <row r="1808" spans="1:29" ht="11.65" hidden="1" x14ac:dyDescent="0.35">
      <c r="A1808" s="12">
        <v>1791</v>
      </c>
      <c r="B1808" s="10" t="s">
        <v>1015</v>
      </c>
      <c r="C1808" s="11" t="s">
        <v>1143</v>
      </c>
      <c r="D1808" s="9"/>
      <c r="E1808" s="9">
        <v>364</v>
      </c>
      <c r="F1808" s="10" t="s">
        <v>1066</v>
      </c>
      <c r="G1808" s="9">
        <v>5501</v>
      </c>
      <c r="H1808" s="9">
        <v>1975</v>
      </c>
      <c r="I1808" s="8">
        <v>2656.98</v>
      </c>
      <c r="J1808" s="8">
        <v>2247.8130000000001</v>
      </c>
      <c r="K1808" s="8">
        <v>1979.7</v>
      </c>
      <c r="L1808" s="8">
        <v>1722.1189999999999</v>
      </c>
      <c r="M1808" s="8">
        <v>1464.0119999999999</v>
      </c>
      <c r="N1808" s="8">
        <v>1043.2059999999999</v>
      </c>
      <c r="O1808" s="8">
        <v>812.22699999999998</v>
      </c>
      <c r="P1808" s="8">
        <v>803.84900000000005</v>
      </c>
      <c r="Q1808" s="8">
        <v>756.16200000000003</v>
      </c>
      <c r="R1808" s="8">
        <v>655.95</v>
      </c>
      <c r="S1808" s="8">
        <v>569.39700000000005</v>
      </c>
      <c r="T1808" s="8">
        <v>383.18700000000001</v>
      </c>
      <c r="U1808" s="8">
        <v>277.04000000000002</v>
      </c>
      <c r="V1808" s="8">
        <v>230.756</v>
      </c>
      <c r="W1808" s="8">
        <v>159.47300000000001</v>
      </c>
      <c r="X1808" s="8">
        <v>91.59</v>
      </c>
      <c r="Y1808" s="8">
        <v>40.935000000000002</v>
      </c>
      <c r="Z1808" s="8">
        <v>14.102</v>
      </c>
      <c r="AA1808" s="8">
        <v>2.774</v>
      </c>
      <c r="AB1808" s="8">
        <v>0.32300000000000001</v>
      </c>
      <c r="AC1808" s="8">
        <v>2.5000000000000001E-2</v>
      </c>
    </row>
    <row r="1809" spans="1:29" ht="11.65" hidden="1" x14ac:dyDescent="0.35">
      <c r="A1809" s="12">
        <v>1792</v>
      </c>
      <c r="B1809" s="10" t="s">
        <v>1015</v>
      </c>
      <c r="C1809" s="11" t="s">
        <v>1143</v>
      </c>
      <c r="D1809" s="9"/>
      <c r="E1809" s="9">
        <v>364</v>
      </c>
      <c r="F1809" s="10" t="s">
        <v>1066</v>
      </c>
      <c r="G1809" s="9">
        <v>5501</v>
      </c>
      <c r="H1809" s="9">
        <v>1980</v>
      </c>
      <c r="I1809" s="8">
        <v>3346.3989999999999</v>
      </c>
      <c r="J1809" s="8">
        <v>2597.0450000000001</v>
      </c>
      <c r="K1809" s="8">
        <v>2235.4209999999998</v>
      </c>
      <c r="L1809" s="8">
        <v>1972.6959999999999</v>
      </c>
      <c r="M1809" s="8">
        <v>1707.252</v>
      </c>
      <c r="N1809" s="8">
        <v>1448.614</v>
      </c>
      <c r="O1809" s="8">
        <v>1029.931</v>
      </c>
      <c r="P1809" s="8">
        <v>798.41</v>
      </c>
      <c r="Q1809" s="8">
        <v>785.024</v>
      </c>
      <c r="R1809" s="8">
        <v>732.44100000000003</v>
      </c>
      <c r="S1809" s="8">
        <v>626.36099999999999</v>
      </c>
      <c r="T1809" s="8">
        <v>531.375</v>
      </c>
      <c r="U1809" s="8">
        <v>346.02800000000002</v>
      </c>
      <c r="V1809" s="8">
        <v>232.08199999999999</v>
      </c>
      <c r="W1809" s="8">
        <v>176.268</v>
      </c>
      <c r="X1809" s="8">
        <v>104.86199999999999</v>
      </c>
      <c r="Y1809" s="8">
        <v>47.183</v>
      </c>
      <c r="Z1809" s="8">
        <v>14.77</v>
      </c>
      <c r="AA1809" s="8">
        <v>3.2160000000000002</v>
      </c>
      <c r="AB1809" s="8">
        <v>0.35399999999999998</v>
      </c>
      <c r="AC1809" s="8">
        <v>2.5000000000000001E-2</v>
      </c>
    </row>
    <row r="1810" spans="1:29" ht="11.65" hidden="1" x14ac:dyDescent="0.35">
      <c r="A1810" s="12">
        <v>1793</v>
      </c>
      <c r="B1810" s="10" t="s">
        <v>1015</v>
      </c>
      <c r="C1810" s="11" t="s">
        <v>1143</v>
      </c>
      <c r="D1810" s="9"/>
      <c r="E1810" s="9">
        <v>364</v>
      </c>
      <c r="F1810" s="10" t="s">
        <v>1066</v>
      </c>
      <c r="G1810" s="9">
        <v>5501</v>
      </c>
      <c r="H1810" s="9">
        <v>1985</v>
      </c>
      <c r="I1810" s="8">
        <v>4472.1809999999996</v>
      </c>
      <c r="J1810" s="8">
        <v>3410.047</v>
      </c>
      <c r="K1810" s="8">
        <v>2669.933</v>
      </c>
      <c r="L1810" s="8">
        <v>2305.5680000000002</v>
      </c>
      <c r="M1810" s="8">
        <v>1999.5530000000001</v>
      </c>
      <c r="N1810" s="8">
        <v>1723.2670000000001</v>
      </c>
      <c r="O1810" s="8">
        <v>1455.8119999999999</v>
      </c>
      <c r="P1810" s="8">
        <v>1032.1020000000001</v>
      </c>
      <c r="Q1810" s="8">
        <v>798.56200000000001</v>
      </c>
      <c r="R1810" s="8">
        <v>782.62199999999996</v>
      </c>
      <c r="S1810" s="8">
        <v>723.87300000000005</v>
      </c>
      <c r="T1810" s="8">
        <v>610.13199999999995</v>
      </c>
      <c r="U1810" s="8">
        <v>508.02199999999999</v>
      </c>
      <c r="V1810" s="8">
        <v>294.05399999999997</v>
      </c>
      <c r="W1810" s="8">
        <v>181.328</v>
      </c>
      <c r="X1810" s="8">
        <v>119.21899999999999</v>
      </c>
      <c r="Y1810" s="8">
        <v>56.146999999999998</v>
      </c>
      <c r="Z1810" s="8">
        <v>18.271999999999998</v>
      </c>
      <c r="AA1810" s="8">
        <v>3.6829999999999998</v>
      </c>
      <c r="AB1810" s="8">
        <v>0.46100000000000002</v>
      </c>
      <c r="AC1810" s="8">
        <v>0.03</v>
      </c>
    </row>
    <row r="1811" spans="1:29" ht="11.65" hidden="1" x14ac:dyDescent="0.35">
      <c r="A1811" s="12">
        <v>1794</v>
      </c>
      <c r="B1811" s="10" t="s">
        <v>1015</v>
      </c>
      <c r="C1811" s="11" t="s">
        <v>1143</v>
      </c>
      <c r="D1811" s="9"/>
      <c r="E1811" s="9">
        <v>364</v>
      </c>
      <c r="F1811" s="10" t="s">
        <v>1066</v>
      </c>
      <c r="G1811" s="9">
        <v>5501</v>
      </c>
      <c r="H1811" s="9">
        <v>1990</v>
      </c>
      <c r="I1811" s="8">
        <v>4571.1030000000001</v>
      </c>
      <c r="J1811" s="8">
        <v>4427.3339999999998</v>
      </c>
      <c r="K1811" s="8">
        <v>3565.3919999999998</v>
      </c>
      <c r="L1811" s="8">
        <v>2793.32</v>
      </c>
      <c r="M1811" s="8">
        <v>2365.6469999999999</v>
      </c>
      <c r="N1811" s="8">
        <v>1989.1559999999999</v>
      </c>
      <c r="O1811" s="8">
        <v>1730.7840000000001</v>
      </c>
      <c r="P1811" s="8">
        <v>1465.7280000000001</v>
      </c>
      <c r="Q1811" s="8">
        <v>1036.3150000000001</v>
      </c>
      <c r="R1811" s="8">
        <v>781.80600000000004</v>
      </c>
      <c r="S1811" s="8">
        <v>753.84500000000003</v>
      </c>
      <c r="T1811" s="8">
        <v>685.24199999999996</v>
      </c>
      <c r="U1811" s="8">
        <v>558.16999999999996</v>
      </c>
      <c r="V1811" s="8">
        <v>440.53300000000002</v>
      </c>
      <c r="W1811" s="8">
        <v>234.83699999999999</v>
      </c>
      <c r="X1811" s="8">
        <v>126.286</v>
      </c>
      <c r="Y1811" s="8">
        <v>66.816000000000003</v>
      </c>
      <c r="Z1811" s="8">
        <v>23.477</v>
      </c>
      <c r="AA1811" s="8">
        <v>5.1479999999999997</v>
      </c>
      <c r="AB1811" s="8">
        <v>0.624</v>
      </c>
      <c r="AC1811" s="8">
        <v>4.5999999999999999E-2</v>
      </c>
    </row>
    <row r="1812" spans="1:29" ht="11.65" hidden="1" x14ac:dyDescent="0.35">
      <c r="A1812" s="12">
        <v>1795</v>
      </c>
      <c r="B1812" s="10" t="s">
        <v>1015</v>
      </c>
      <c r="C1812" s="11" t="s">
        <v>1143</v>
      </c>
      <c r="D1812" s="9"/>
      <c r="E1812" s="9">
        <v>364</v>
      </c>
      <c r="F1812" s="10" t="s">
        <v>1066</v>
      </c>
      <c r="G1812" s="9">
        <v>5501</v>
      </c>
      <c r="H1812" s="9">
        <v>1995</v>
      </c>
      <c r="I1812" s="8">
        <v>3597.0189999999998</v>
      </c>
      <c r="J1812" s="8">
        <v>4512.7259999999997</v>
      </c>
      <c r="K1812" s="8">
        <v>4393.72</v>
      </c>
      <c r="L1812" s="8">
        <v>3493.0219999999999</v>
      </c>
      <c r="M1812" s="8">
        <v>2680.0749999999998</v>
      </c>
      <c r="N1812" s="8">
        <v>2260.556</v>
      </c>
      <c r="O1812" s="8">
        <v>1909.076</v>
      </c>
      <c r="P1812" s="8">
        <v>1670.4079999999999</v>
      </c>
      <c r="Q1812" s="8">
        <v>1418.069</v>
      </c>
      <c r="R1812" s="8">
        <v>998.47900000000004</v>
      </c>
      <c r="S1812" s="8">
        <v>746.76499999999999</v>
      </c>
      <c r="T1812" s="8">
        <v>711.62400000000002</v>
      </c>
      <c r="U1812" s="8">
        <v>630.44299999999998</v>
      </c>
      <c r="V1812" s="8">
        <v>489.25400000000002</v>
      </c>
      <c r="W1812" s="8">
        <v>353.85399999999998</v>
      </c>
      <c r="X1812" s="8">
        <v>164.792</v>
      </c>
      <c r="Y1812" s="8">
        <v>72.150000000000006</v>
      </c>
      <c r="Z1812" s="8">
        <v>28.591999999999999</v>
      </c>
      <c r="AA1812" s="8">
        <v>6.8710000000000004</v>
      </c>
      <c r="AB1812" s="8">
        <v>0.90600000000000003</v>
      </c>
      <c r="AC1812" s="8">
        <v>6.4000000000000001E-2</v>
      </c>
    </row>
    <row r="1813" spans="1:29" ht="11.65" hidden="1" x14ac:dyDescent="0.35">
      <c r="A1813" s="12">
        <v>1796</v>
      </c>
      <c r="B1813" s="10" t="s">
        <v>1015</v>
      </c>
      <c r="C1813" s="11" t="s">
        <v>1143</v>
      </c>
      <c r="D1813" s="9"/>
      <c r="E1813" s="9">
        <v>364</v>
      </c>
      <c r="F1813" s="10" t="s">
        <v>1066</v>
      </c>
      <c r="G1813" s="9">
        <v>5501</v>
      </c>
      <c r="H1813" s="9">
        <v>2000</v>
      </c>
      <c r="I1813" s="8">
        <v>2867.8180000000002</v>
      </c>
      <c r="J1813" s="8">
        <v>3568.7020000000002</v>
      </c>
      <c r="K1813" s="8">
        <v>4492.7780000000002</v>
      </c>
      <c r="L1813" s="8">
        <v>4361.7479999999996</v>
      </c>
      <c r="M1813" s="8">
        <v>3448.0070000000001</v>
      </c>
      <c r="N1813" s="8">
        <v>2640.1709999999998</v>
      </c>
      <c r="O1813" s="8">
        <v>2228.701</v>
      </c>
      <c r="P1813" s="8">
        <v>1882.28</v>
      </c>
      <c r="Q1813" s="8">
        <v>1644.9680000000001</v>
      </c>
      <c r="R1813" s="8">
        <v>1390.9970000000001</v>
      </c>
      <c r="S1813" s="8">
        <v>970.3</v>
      </c>
      <c r="T1813" s="8">
        <v>715.77</v>
      </c>
      <c r="U1813" s="8">
        <v>665.96100000000001</v>
      </c>
      <c r="V1813" s="8">
        <v>564.303</v>
      </c>
      <c r="W1813" s="8">
        <v>403.63600000000002</v>
      </c>
      <c r="X1813" s="8">
        <v>250.43700000000001</v>
      </c>
      <c r="Y1813" s="8">
        <v>95.813999999999993</v>
      </c>
      <c r="Z1813" s="8">
        <v>32.914999999999999</v>
      </c>
      <c r="AA1813" s="8">
        <v>9.0440000000000005</v>
      </c>
      <c r="AB1813" s="8">
        <v>1.385</v>
      </c>
      <c r="AC1813" s="8">
        <v>0.11</v>
      </c>
    </row>
    <row r="1814" spans="1:29" ht="11.65" hidden="1" x14ac:dyDescent="0.35">
      <c r="A1814" s="12">
        <v>1797</v>
      </c>
      <c r="B1814" s="10" t="s">
        <v>1015</v>
      </c>
      <c r="C1814" s="11" t="s">
        <v>1143</v>
      </c>
      <c r="D1814" s="9"/>
      <c r="E1814" s="9">
        <v>364</v>
      </c>
      <c r="F1814" s="10" t="s">
        <v>1066</v>
      </c>
      <c r="G1814" s="9">
        <v>5501</v>
      </c>
      <c r="H1814" s="9">
        <v>2005</v>
      </c>
      <c r="I1814" s="8">
        <v>2798.085</v>
      </c>
      <c r="J1814" s="8">
        <v>2850.346</v>
      </c>
      <c r="K1814" s="8">
        <v>3555.62</v>
      </c>
      <c r="L1814" s="8">
        <v>4390.9650000000001</v>
      </c>
      <c r="M1814" s="8">
        <v>4308.5749999999998</v>
      </c>
      <c r="N1814" s="8">
        <v>3350.8870000000002</v>
      </c>
      <c r="O1814" s="8">
        <v>2604.9740000000002</v>
      </c>
      <c r="P1814" s="8">
        <v>2276.8760000000002</v>
      </c>
      <c r="Q1814" s="8">
        <v>1953.384</v>
      </c>
      <c r="R1814" s="8">
        <v>1679.556</v>
      </c>
      <c r="S1814" s="8">
        <v>1301.8030000000001</v>
      </c>
      <c r="T1814" s="8">
        <v>936.88099999999997</v>
      </c>
      <c r="U1814" s="8">
        <v>676.995</v>
      </c>
      <c r="V1814" s="8">
        <v>605.77800000000002</v>
      </c>
      <c r="W1814" s="8">
        <v>476.49099999999999</v>
      </c>
      <c r="X1814" s="8">
        <v>294.428</v>
      </c>
      <c r="Y1814" s="8">
        <v>151.69399999999999</v>
      </c>
      <c r="Z1814" s="8">
        <v>46.161000000000001</v>
      </c>
      <c r="AA1814" s="8">
        <v>11.096</v>
      </c>
      <c r="AB1814" s="8">
        <v>1.9590000000000001</v>
      </c>
      <c r="AC1814" s="8">
        <v>0.182</v>
      </c>
    </row>
    <row r="1815" spans="1:29" ht="11.65" hidden="1" x14ac:dyDescent="0.35">
      <c r="A1815" s="12">
        <v>1798</v>
      </c>
      <c r="B1815" s="10" t="s">
        <v>1015</v>
      </c>
      <c r="C1815" s="11" t="s">
        <v>1143</v>
      </c>
      <c r="D1815" s="9"/>
      <c r="E1815" s="9">
        <v>364</v>
      </c>
      <c r="F1815" s="10" t="s">
        <v>1066</v>
      </c>
      <c r="G1815" s="9">
        <v>5501</v>
      </c>
      <c r="H1815" s="9">
        <v>2010</v>
      </c>
      <c r="I1815" s="8">
        <v>3052.03</v>
      </c>
      <c r="J1815" s="8">
        <v>2787.2330000000002</v>
      </c>
      <c r="K1815" s="8">
        <v>2843.183</v>
      </c>
      <c r="L1815" s="8">
        <v>3526.4920000000002</v>
      </c>
      <c r="M1815" s="8">
        <v>4348.5259999999998</v>
      </c>
      <c r="N1815" s="8">
        <v>4217.4579999999996</v>
      </c>
      <c r="O1815" s="8">
        <v>3267.3679999999999</v>
      </c>
      <c r="P1815" s="8">
        <v>2574.933</v>
      </c>
      <c r="Q1815" s="8">
        <v>2299.9349999999999</v>
      </c>
      <c r="R1815" s="8">
        <v>1964.973</v>
      </c>
      <c r="S1815" s="8">
        <v>1672.9670000000001</v>
      </c>
      <c r="T1815" s="8">
        <v>1280.4870000000001</v>
      </c>
      <c r="U1815" s="8">
        <v>909.20500000000004</v>
      </c>
      <c r="V1815" s="8">
        <v>649.98400000000004</v>
      </c>
      <c r="W1815" s="8">
        <v>541.702</v>
      </c>
      <c r="X1815" s="8">
        <v>357.66699999999997</v>
      </c>
      <c r="Y1815" s="8">
        <v>188.48699999999999</v>
      </c>
      <c r="Z1815" s="8">
        <v>79.591999999999999</v>
      </c>
      <c r="AA1815" s="8">
        <v>17.106000000000002</v>
      </c>
      <c r="AB1815" s="8">
        <v>2.7069999999999999</v>
      </c>
      <c r="AC1815" s="8">
        <v>0.29399999999999998</v>
      </c>
    </row>
    <row r="1816" spans="1:29" ht="11.65" hidden="1" x14ac:dyDescent="0.35">
      <c r="A1816" s="12">
        <v>1799</v>
      </c>
      <c r="B1816" s="10" t="s">
        <v>1015</v>
      </c>
      <c r="C1816" s="11" t="s">
        <v>1143</v>
      </c>
      <c r="D1816" s="9"/>
      <c r="E1816" s="9">
        <v>364</v>
      </c>
      <c r="F1816" s="10" t="s">
        <v>1066</v>
      </c>
      <c r="G1816" s="9">
        <v>5501</v>
      </c>
      <c r="H1816" s="9">
        <v>2015</v>
      </c>
      <c r="I1816" s="8">
        <v>3370.614</v>
      </c>
      <c r="J1816" s="8">
        <v>3037.4079999999999</v>
      </c>
      <c r="K1816" s="8">
        <v>2718.7910000000002</v>
      </c>
      <c r="L1816" s="8">
        <v>2787.7190000000001</v>
      </c>
      <c r="M1816" s="8">
        <v>3436.0949999999998</v>
      </c>
      <c r="N1816" s="8">
        <v>4280.0720000000001</v>
      </c>
      <c r="O1816" s="8">
        <v>4173.2569999999996</v>
      </c>
      <c r="P1816" s="8">
        <v>3238.7359999999999</v>
      </c>
      <c r="Q1816" s="8">
        <v>2573.7579999999998</v>
      </c>
      <c r="R1816" s="8">
        <v>2320.4659999999999</v>
      </c>
      <c r="S1816" s="8">
        <v>1882.191</v>
      </c>
      <c r="T1816" s="8">
        <v>1618.5409999999999</v>
      </c>
      <c r="U1816" s="8">
        <v>1205.703</v>
      </c>
      <c r="V1816" s="8">
        <v>826.04200000000003</v>
      </c>
      <c r="W1816" s="8">
        <v>557.65300000000002</v>
      </c>
      <c r="X1816" s="8">
        <v>383.92399999999998</v>
      </c>
      <c r="Y1816" s="8">
        <v>231.00800000000001</v>
      </c>
      <c r="Z1816" s="8">
        <v>91.527000000000001</v>
      </c>
      <c r="AA1816" s="8">
        <v>25.207999999999998</v>
      </c>
      <c r="AB1816" s="8">
        <v>3.081</v>
      </c>
      <c r="AC1816" s="8">
        <v>0.27100000000000002</v>
      </c>
    </row>
    <row r="1817" spans="1:29" ht="11.65" hidden="1" x14ac:dyDescent="0.35">
      <c r="A1817" s="12">
        <v>1800</v>
      </c>
      <c r="B1817" s="10" t="s">
        <v>1015</v>
      </c>
      <c r="C1817" s="11" t="s">
        <v>1143</v>
      </c>
      <c r="D1817" s="9"/>
      <c r="E1817" s="9">
        <v>364</v>
      </c>
      <c r="F1817" s="10" t="s">
        <v>1066</v>
      </c>
      <c r="G1817" s="9">
        <v>5501</v>
      </c>
      <c r="H1817" s="9">
        <v>2020</v>
      </c>
      <c r="I1817" s="8">
        <v>3724.2620000000002</v>
      </c>
      <c r="J1817" s="8">
        <v>3361.5929999999998</v>
      </c>
      <c r="K1817" s="8">
        <v>3032.12</v>
      </c>
      <c r="L1817" s="8">
        <v>2700.2379999999998</v>
      </c>
      <c r="M1817" s="8">
        <v>2755.0659999999998</v>
      </c>
      <c r="N1817" s="8">
        <v>3404.2330000000002</v>
      </c>
      <c r="O1817" s="8">
        <v>4254.8620000000001</v>
      </c>
      <c r="P1817" s="8">
        <v>4152.3389999999999</v>
      </c>
      <c r="Q1817" s="8">
        <v>3220.3649999999998</v>
      </c>
      <c r="R1817" s="8">
        <v>2556.2469999999998</v>
      </c>
      <c r="S1817" s="8">
        <v>2296.8919999999998</v>
      </c>
      <c r="T1817" s="8">
        <v>1850.729</v>
      </c>
      <c r="U1817" s="8">
        <v>1572.4770000000001</v>
      </c>
      <c r="V1817" s="8">
        <v>1135.905</v>
      </c>
      <c r="W1817" s="8">
        <v>738.06799999999998</v>
      </c>
      <c r="X1817" s="8">
        <v>435.16500000000002</v>
      </c>
      <c r="Y1817" s="8">
        <v>244.76499999999999</v>
      </c>
      <c r="Z1817" s="8">
        <v>115.36</v>
      </c>
      <c r="AA1817" s="8">
        <v>29.181000000000001</v>
      </c>
      <c r="AB1817" s="8">
        <v>4.4000000000000004</v>
      </c>
      <c r="AC1817" s="8">
        <v>0.28000000000000003</v>
      </c>
    </row>
    <row r="1818" spans="1:29" ht="11.65" hidden="1" x14ac:dyDescent="0.35">
      <c r="A1818" s="12">
        <v>1801</v>
      </c>
      <c r="B1818" s="10" t="s">
        <v>1015</v>
      </c>
      <c r="C1818" s="11" t="s">
        <v>1144</v>
      </c>
      <c r="D1818" s="9"/>
      <c r="E1818" s="9">
        <v>462</v>
      </c>
      <c r="F1818" s="10" t="s">
        <v>1066</v>
      </c>
      <c r="G1818" s="9">
        <v>5501</v>
      </c>
      <c r="H1818" s="9">
        <v>1950</v>
      </c>
      <c r="I1818" s="8">
        <v>4.8929999999999998</v>
      </c>
      <c r="J1818" s="8">
        <v>4.9720000000000004</v>
      </c>
      <c r="K1818" s="8">
        <v>4.7859999999999996</v>
      </c>
      <c r="L1818" s="8">
        <v>3.956</v>
      </c>
      <c r="M1818" s="8">
        <v>3.0070000000000001</v>
      </c>
      <c r="N1818" s="8">
        <v>2.4319999999999999</v>
      </c>
      <c r="O1818" s="8">
        <v>1.9319999999999999</v>
      </c>
      <c r="P1818" s="8">
        <v>1.5149999999999999</v>
      </c>
      <c r="Q1818" s="8">
        <v>1.1339999999999999</v>
      </c>
      <c r="R1818" s="8">
        <v>0.81799999999999995</v>
      </c>
      <c r="S1818" s="8">
        <v>0.71799999999999997</v>
      </c>
      <c r="T1818" s="8">
        <v>0.60799999999999998</v>
      </c>
      <c r="U1818" s="8">
        <v>0.48499999999999999</v>
      </c>
      <c r="V1818" s="8">
        <v>0.35599999999999998</v>
      </c>
      <c r="W1818" s="8">
        <v>0.23200000000000001</v>
      </c>
      <c r="X1818" s="8">
        <v>0.126</v>
      </c>
      <c r="Y1818" s="8">
        <v>5.6000000000000001E-2</v>
      </c>
      <c r="Z1818" s="8">
        <v>1.7000000000000001E-2</v>
      </c>
      <c r="AA1818" s="8">
        <v>4.0000000000000001E-3</v>
      </c>
      <c r="AB1818" s="8">
        <v>0</v>
      </c>
      <c r="AC1818" s="8">
        <v>0</v>
      </c>
    </row>
    <row r="1819" spans="1:29" ht="11.65" hidden="1" x14ac:dyDescent="0.35">
      <c r="A1819" s="12">
        <v>1802</v>
      </c>
      <c r="B1819" s="10" t="s">
        <v>1015</v>
      </c>
      <c r="C1819" s="11" t="s">
        <v>1144</v>
      </c>
      <c r="D1819" s="9"/>
      <c r="E1819" s="9">
        <v>462</v>
      </c>
      <c r="F1819" s="10" t="s">
        <v>1066</v>
      </c>
      <c r="G1819" s="9">
        <v>5501</v>
      </c>
      <c r="H1819" s="9">
        <v>1955</v>
      </c>
      <c r="I1819" s="8">
        <v>5.7130000000000001</v>
      </c>
      <c r="J1819" s="8">
        <v>4.2910000000000004</v>
      </c>
      <c r="K1819" s="8">
        <v>4.7880000000000003</v>
      </c>
      <c r="L1819" s="8">
        <v>4.68</v>
      </c>
      <c r="M1819" s="8">
        <v>3.8570000000000002</v>
      </c>
      <c r="N1819" s="8">
        <v>2.9020000000000001</v>
      </c>
      <c r="O1819" s="8">
        <v>2.3149999999999999</v>
      </c>
      <c r="P1819" s="8">
        <v>1.83</v>
      </c>
      <c r="Q1819" s="8">
        <v>1.427</v>
      </c>
      <c r="R1819" s="8">
        <v>1.046</v>
      </c>
      <c r="S1819" s="8">
        <v>0.73299999999999998</v>
      </c>
      <c r="T1819" s="8">
        <v>0.61699999999999999</v>
      </c>
      <c r="U1819" s="8">
        <v>0.49299999999999999</v>
      </c>
      <c r="V1819" s="8">
        <v>0.35699999999999998</v>
      </c>
      <c r="W1819" s="8">
        <v>0.23100000000000001</v>
      </c>
      <c r="X1819" s="8">
        <v>0.124</v>
      </c>
      <c r="Y1819" s="8">
        <v>5.2999999999999999E-2</v>
      </c>
      <c r="Z1819" s="8">
        <v>1.6E-2</v>
      </c>
      <c r="AA1819" s="8">
        <v>4.0000000000000001E-3</v>
      </c>
      <c r="AB1819" s="8">
        <v>0</v>
      </c>
      <c r="AC1819" s="8">
        <v>0</v>
      </c>
    </row>
    <row r="1820" spans="1:29" ht="11.65" hidden="1" x14ac:dyDescent="0.35">
      <c r="A1820" s="12">
        <v>1803</v>
      </c>
      <c r="B1820" s="10" t="s">
        <v>1015</v>
      </c>
      <c r="C1820" s="11" t="s">
        <v>1144</v>
      </c>
      <c r="D1820" s="9"/>
      <c r="E1820" s="9">
        <v>462</v>
      </c>
      <c r="F1820" s="10" t="s">
        <v>1066</v>
      </c>
      <c r="G1820" s="9">
        <v>5501</v>
      </c>
      <c r="H1820" s="9">
        <v>1960</v>
      </c>
      <c r="I1820" s="8">
        <v>7.8579999999999997</v>
      </c>
      <c r="J1820" s="8">
        <v>5.0309999999999997</v>
      </c>
      <c r="K1820" s="8">
        <v>4.1559999999999997</v>
      </c>
      <c r="L1820" s="8">
        <v>4.6980000000000004</v>
      </c>
      <c r="M1820" s="8">
        <v>4.5720000000000001</v>
      </c>
      <c r="N1820" s="8">
        <v>3.7240000000000002</v>
      </c>
      <c r="O1820" s="8">
        <v>2.7610000000000001</v>
      </c>
      <c r="P1820" s="8">
        <v>2.1949999999999998</v>
      </c>
      <c r="Q1820" s="8">
        <v>1.726</v>
      </c>
      <c r="R1820" s="8">
        <v>1.319</v>
      </c>
      <c r="S1820" s="8">
        <v>0.94099999999999995</v>
      </c>
      <c r="T1820" s="8">
        <v>0.63500000000000001</v>
      </c>
      <c r="U1820" s="8">
        <v>0.50900000000000001</v>
      </c>
      <c r="V1820" s="8">
        <v>0.372</v>
      </c>
      <c r="W1820" s="8">
        <v>0.23599999999999999</v>
      </c>
      <c r="X1820" s="8">
        <v>0.127</v>
      </c>
      <c r="Y1820" s="8">
        <v>5.2999999999999999E-2</v>
      </c>
      <c r="Z1820" s="8">
        <v>1.6E-2</v>
      </c>
      <c r="AA1820" s="8">
        <v>4.0000000000000001E-3</v>
      </c>
      <c r="AB1820" s="8">
        <v>0</v>
      </c>
      <c r="AC1820" s="8">
        <v>0</v>
      </c>
    </row>
    <row r="1821" spans="1:29" ht="11.65" hidden="1" x14ac:dyDescent="0.35">
      <c r="A1821" s="12">
        <v>1804</v>
      </c>
      <c r="B1821" s="10" t="s">
        <v>1015</v>
      </c>
      <c r="C1821" s="11" t="s">
        <v>1144</v>
      </c>
      <c r="D1821" s="9"/>
      <c r="E1821" s="9">
        <v>462</v>
      </c>
      <c r="F1821" s="10" t="s">
        <v>1066</v>
      </c>
      <c r="G1821" s="9">
        <v>5501</v>
      </c>
      <c r="H1821" s="9">
        <v>1965</v>
      </c>
      <c r="I1821" s="8">
        <v>9.5760000000000005</v>
      </c>
      <c r="J1821" s="8">
        <v>7.0350000000000001</v>
      </c>
      <c r="K1821" s="8">
        <v>4.899</v>
      </c>
      <c r="L1821" s="8">
        <v>4.0890000000000004</v>
      </c>
      <c r="M1821" s="8">
        <v>4.5990000000000002</v>
      </c>
      <c r="N1821" s="8">
        <v>4.4160000000000004</v>
      </c>
      <c r="O1821" s="8">
        <v>3.5419999999999998</v>
      </c>
      <c r="P1821" s="8">
        <v>2.617</v>
      </c>
      <c r="Q1821" s="8">
        <v>2.073</v>
      </c>
      <c r="R1821" s="8">
        <v>1.601</v>
      </c>
      <c r="S1821" s="8">
        <v>1.194</v>
      </c>
      <c r="T1821" s="8">
        <v>0.82399999999999995</v>
      </c>
      <c r="U1821" s="8">
        <v>0.53</v>
      </c>
      <c r="V1821" s="8">
        <v>0.39300000000000002</v>
      </c>
      <c r="W1821" s="8">
        <v>0.252</v>
      </c>
      <c r="X1821" s="8">
        <v>0.13400000000000001</v>
      </c>
      <c r="Y1821" s="8">
        <v>5.6000000000000001E-2</v>
      </c>
      <c r="Z1821" s="8">
        <v>1.6E-2</v>
      </c>
      <c r="AA1821" s="8">
        <v>4.0000000000000001E-3</v>
      </c>
      <c r="AB1821" s="8">
        <v>0</v>
      </c>
      <c r="AC1821" s="8">
        <v>0</v>
      </c>
    </row>
    <row r="1822" spans="1:29" ht="11.65" hidden="1" x14ac:dyDescent="0.35">
      <c r="A1822" s="12">
        <v>1805</v>
      </c>
      <c r="B1822" s="10" t="s">
        <v>1015</v>
      </c>
      <c r="C1822" s="11" t="s">
        <v>1144</v>
      </c>
      <c r="D1822" s="9"/>
      <c r="E1822" s="9">
        <v>462</v>
      </c>
      <c r="F1822" s="10" t="s">
        <v>1066</v>
      </c>
      <c r="G1822" s="9">
        <v>5501</v>
      </c>
      <c r="H1822" s="9">
        <v>1970</v>
      </c>
      <c r="I1822" s="8">
        <v>10.901999999999999</v>
      </c>
      <c r="J1822" s="8">
        <v>8.734</v>
      </c>
      <c r="K1822" s="8">
        <v>6.88</v>
      </c>
      <c r="L1822" s="8">
        <v>4.8339999999999996</v>
      </c>
      <c r="M1822" s="8">
        <v>4.0110000000000001</v>
      </c>
      <c r="N1822" s="8">
        <v>4.444</v>
      </c>
      <c r="O1822" s="8">
        <v>4.2009999999999996</v>
      </c>
      <c r="P1822" s="8">
        <v>3.359</v>
      </c>
      <c r="Q1822" s="8">
        <v>2.4740000000000002</v>
      </c>
      <c r="R1822" s="8">
        <v>1.929</v>
      </c>
      <c r="S1822" s="8">
        <v>1.456</v>
      </c>
      <c r="T1822" s="8">
        <v>1.0549999999999999</v>
      </c>
      <c r="U1822" s="8">
        <v>0.7</v>
      </c>
      <c r="V1822" s="8">
        <v>0.42</v>
      </c>
      <c r="W1822" s="8">
        <v>0.27400000000000002</v>
      </c>
      <c r="X1822" s="8">
        <v>0.14799999999999999</v>
      </c>
      <c r="Y1822" s="8">
        <v>5.8999999999999997E-2</v>
      </c>
      <c r="Z1822" s="8">
        <v>1.7999999999999999E-2</v>
      </c>
      <c r="AA1822" s="8">
        <v>4.0000000000000001E-3</v>
      </c>
      <c r="AB1822" s="8">
        <v>0</v>
      </c>
      <c r="AC1822" s="8">
        <v>0</v>
      </c>
    </row>
    <row r="1823" spans="1:29" ht="11.65" hidden="1" x14ac:dyDescent="0.35">
      <c r="A1823" s="12">
        <v>1806</v>
      </c>
      <c r="B1823" s="10" t="s">
        <v>1015</v>
      </c>
      <c r="C1823" s="11" t="s">
        <v>1144</v>
      </c>
      <c r="D1823" s="9"/>
      <c r="E1823" s="9">
        <v>462</v>
      </c>
      <c r="F1823" s="10" t="s">
        <v>1066</v>
      </c>
      <c r="G1823" s="9">
        <v>5501</v>
      </c>
      <c r="H1823" s="9">
        <v>1975</v>
      </c>
      <c r="I1823" s="8">
        <v>12.147</v>
      </c>
      <c r="J1823" s="8">
        <v>10.14</v>
      </c>
      <c r="K1823" s="8">
        <v>8.5730000000000004</v>
      </c>
      <c r="L1823" s="8">
        <v>6.8029999999999999</v>
      </c>
      <c r="M1823" s="8">
        <v>4.4619999999999997</v>
      </c>
      <c r="N1823" s="8">
        <v>3.4940000000000002</v>
      </c>
      <c r="O1823" s="8">
        <v>4.2050000000000001</v>
      </c>
      <c r="P1823" s="8">
        <v>4.2030000000000003</v>
      </c>
      <c r="Q1823" s="8">
        <v>3.2269999999999999</v>
      </c>
      <c r="R1823" s="8">
        <v>2.3029999999999999</v>
      </c>
      <c r="S1823" s="8">
        <v>1.8340000000000001</v>
      </c>
      <c r="T1823" s="8">
        <v>1.2969999999999999</v>
      </c>
      <c r="U1823" s="8">
        <v>0.90900000000000003</v>
      </c>
      <c r="V1823" s="8">
        <v>0.56499999999999995</v>
      </c>
      <c r="W1823" s="8">
        <v>0.3</v>
      </c>
      <c r="X1823" s="8">
        <v>0.16300000000000001</v>
      </c>
      <c r="Y1823" s="8">
        <v>6.8000000000000005E-2</v>
      </c>
      <c r="Z1823" s="8">
        <v>1.7999999999999999E-2</v>
      </c>
      <c r="AA1823" s="8">
        <v>4.0000000000000001E-3</v>
      </c>
      <c r="AB1823" s="8">
        <v>0</v>
      </c>
      <c r="AC1823" s="8">
        <v>0</v>
      </c>
    </row>
    <row r="1824" spans="1:29" ht="11.65" hidden="1" x14ac:dyDescent="0.35">
      <c r="A1824" s="12">
        <v>1807</v>
      </c>
      <c r="B1824" s="10" t="s">
        <v>1015</v>
      </c>
      <c r="C1824" s="11" t="s">
        <v>1144</v>
      </c>
      <c r="D1824" s="9"/>
      <c r="E1824" s="9">
        <v>462</v>
      </c>
      <c r="F1824" s="10" t="s">
        <v>1066</v>
      </c>
      <c r="G1824" s="9">
        <v>5501</v>
      </c>
      <c r="H1824" s="9">
        <v>1980</v>
      </c>
      <c r="I1824" s="8">
        <v>13.831</v>
      </c>
      <c r="J1824" s="8">
        <v>11.525</v>
      </c>
      <c r="K1824" s="8">
        <v>9.9860000000000007</v>
      </c>
      <c r="L1824" s="8">
        <v>8.4949999999999992</v>
      </c>
      <c r="M1824" s="8">
        <v>6.6950000000000003</v>
      </c>
      <c r="N1824" s="8">
        <v>4.3159999999999998</v>
      </c>
      <c r="O1824" s="8">
        <v>3.323</v>
      </c>
      <c r="P1824" s="8">
        <v>3.9849999999999999</v>
      </c>
      <c r="Q1824" s="8">
        <v>3.984</v>
      </c>
      <c r="R1824" s="8">
        <v>3.0230000000000001</v>
      </c>
      <c r="S1824" s="8">
        <v>2.1179999999999999</v>
      </c>
      <c r="T1824" s="8">
        <v>1.65</v>
      </c>
      <c r="U1824" s="8">
        <v>1.1240000000000001</v>
      </c>
      <c r="V1824" s="8">
        <v>0.74</v>
      </c>
      <c r="W1824" s="8">
        <v>0.41699999999999998</v>
      </c>
      <c r="X1824" s="8">
        <v>0.193</v>
      </c>
      <c r="Y1824" s="8">
        <v>8.5000000000000006E-2</v>
      </c>
      <c r="Z1824" s="8">
        <v>2.8000000000000001E-2</v>
      </c>
      <c r="AA1824" s="8">
        <v>6.0000000000000001E-3</v>
      </c>
      <c r="AB1824" s="8">
        <v>0</v>
      </c>
      <c r="AC1824" s="8">
        <v>0</v>
      </c>
    </row>
    <row r="1825" spans="1:29" ht="11.65" hidden="1" x14ac:dyDescent="0.35">
      <c r="A1825" s="12">
        <v>1808</v>
      </c>
      <c r="B1825" s="10" t="s">
        <v>1015</v>
      </c>
      <c r="C1825" s="11" t="s">
        <v>1144</v>
      </c>
      <c r="D1825" s="9"/>
      <c r="E1825" s="9">
        <v>462</v>
      </c>
      <c r="F1825" s="10" t="s">
        <v>1066</v>
      </c>
      <c r="G1825" s="9">
        <v>5501</v>
      </c>
      <c r="H1825" s="9">
        <v>1985</v>
      </c>
      <c r="I1825" s="8">
        <v>18.332000000000001</v>
      </c>
      <c r="J1825" s="8">
        <v>13.308999999999999</v>
      </c>
      <c r="K1825" s="8">
        <v>11.379</v>
      </c>
      <c r="L1825" s="8">
        <v>9.9190000000000005</v>
      </c>
      <c r="M1825" s="8">
        <v>8.4079999999999995</v>
      </c>
      <c r="N1825" s="8">
        <v>6.5670000000000002</v>
      </c>
      <c r="O1825" s="8">
        <v>4.1619999999999999</v>
      </c>
      <c r="P1825" s="8">
        <v>3.173</v>
      </c>
      <c r="Q1825" s="8">
        <v>3.802</v>
      </c>
      <c r="R1825" s="8">
        <v>3.7879999999999998</v>
      </c>
      <c r="S1825" s="8">
        <v>2.819</v>
      </c>
      <c r="T1825" s="8">
        <v>1.9350000000000001</v>
      </c>
      <c r="U1825" s="8">
        <v>1.4650000000000001</v>
      </c>
      <c r="V1825" s="8">
        <v>0.92600000000000005</v>
      </c>
      <c r="W1825" s="8">
        <v>0.54600000000000004</v>
      </c>
      <c r="X1825" s="8">
        <v>0.26100000000000001</v>
      </c>
      <c r="Y1825" s="8">
        <v>9.0999999999999998E-2</v>
      </c>
      <c r="Z1825" s="8">
        <v>2.7E-2</v>
      </c>
      <c r="AA1825" s="8">
        <v>5.0000000000000001E-3</v>
      </c>
      <c r="AB1825" s="8">
        <v>0</v>
      </c>
      <c r="AC1825" s="8">
        <v>0</v>
      </c>
    </row>
    <row r="1826" spans="1:29" ht="11.65" hidden="1" x14ac:dyDescent="0.35">
      <c r="A1826" s="12">
        <v>1809</v>
      </c>
      <c r="B1826" s="10" t="s">
        <v>1015</v>
      </c>
      <c r="C1826" s="11" t="s">
        <v>1144</v>
      </c>
      <c r="D1826" s="9"/>
      <c r="E1826" s="9">
        <v>462</v>
      </c>
      <c r="F1826" s="10" t="s">
        <v>1066</v>
      </c>
      <c r="G1826" s="9">
        <v>5501</v>
      </c>
      <c r="H1826" s="9">
        <v>1990</v>
      </c>
      <c r="I1826" s="8">
        <v>20.838999999999999</v>
      </c>
      <c r="J1826" s="8">
        <v>17.888000000000002</v>
      </c>
      <c r="K1826" s="8">
        <v>13.222</v>
      </c>
      <c r="L1826" s="8">
        <v>11.305</v>
      </c>
      <c r="M1826" s="8">
        <v>9.7889999999999997</v>
      </c>
      <c r="N1826" s="8">
        <v>8.2390000000000008</v>
      </c>
      <c r="O1826" s="8">
        <v>6.4050000000000002</v>
      </c>
      <c r="P1826" s="8">
        <v>4.056</v>
      </c>
      <c r="Q1826" s="8">
        <v>3.0790000000000002</v>
      </c>
      <c r="R1826" s="8">
        <v>3.657</v>
      </c>
      <c r="S1826" s="8">
        <v>3.5840000000000001</v>
      </c>
      <c r="T1826" s="8">
        <v>2.5939999999999999</v>
      </c>
      <c r="U1826" s="8">
        <v>1.72</v>
      </c>
      <c r="V1826" s="8">
        <v>1.2050000000000001</v>
      </c>
      <c r="W1826" s="8">
        <v>0.67600000000000005</v>
      </c>
      <c r="X1826" s="8">
        <v>0.35299999999999998</v>
      </c>
      <c r="Y1826" s="8">
        <v>0.122</v>
      </c>
      <c r="Z1826" s="8">
        <v>2.4E-2</v>
      </c>
      <c r="AA1826" s="8">
        <v>4.0000000000000001E-3</v>
      </c>
      <c r="AB1826" s="8">
        <v>0</v>
      </c>
      <c r="AC1826" s="8">
        <v>0</v>
      </c>
    </row>
    <row r="1827" spans="1:29" ht="11.65" hidden="1" x14ac:dyDescent="0.35">
      <c r="A1827" s="12">
        <v>1810</v>
      </c>
      <c r="B1827" s="10" t="s">
        <v>1015</v>
      </c>
      <c r="C1827" s="11" t="s">
        <v>1144</v>
      </c>
      <c r="D1827" s="9"/>
      <c r="E1827" s="9">
        <v>462</v>
      </c>
      <c r="F1827" s="10" t="s">
        <v>1066</v>
      </c>
      <c r="G1827" s="9">
        <v>5501</v>
      </c>
      <c r="H1827" s="9">
        <v>1995</v>
      </c>
      <c r="I1827" s="8">
        <v>19.271999999999998</v>
      </c>
      <c r="J1827" s="8">
        <v>20.504999999999999</v>
      </c>
      <c r="K1827" s="8">
        <v>17.815000000000001</v>
      </c>
      <c r="L1827" s="8">
        <v>13.178000000000001</v>
      </c>
      <c r="M1827" s="8">
        <v>11.249000000000001</v>
      </c>
      <c r="N1827" s="8">
        <v>9.7149999999999999</v>
      </c>
      <c r="O1827" s="8">
        <v>8.1509999999999998</v>
      </c>
      <c r="P1827" s="8">
        <v>6.2939999999999996</v>
      </c>
      <c r="Q1827" s="8">
        <v>3.9740000000000002</v>
      </c>
      <c r="R1827" s="8">
        <v>3.016</v>
      </c>
      <c r="S1827" s="8">
        <v>3.5270000000000001</v>
      </c>
      <c r="T1827" s="8">
        <v>3.3759999999999999</v>
      </c>
      <c r="U1827" s="8">
        <v>2.351</v>
      </c>
      <c r="V1827" s="8">
        <v>1.45</v>
      </c>
      <c r="W1827" s="8">
        <v>0.94299999999999995</v>
      </c>
      <c r="X1827" s="8">
        <v>0.47099999999999997</v>
      </c>
      <c r="Y1827" s="8">
        <v>0.185</v>
      </c>
      <c r="Z1827" s="8">
        <v>0.04</v>
      </c>
      <c r="AA1827" s="8">
        <v>3.0000000000000001E-3</v>
      </c>
      <c r="AB1827" s="8">
        <v>0</v>
      </c>
      <c r="AC1827" s="8">
        <v>0</v>
      </c>
    </row>
    <row r="1828" spans="1:29" ht="11.65" hidden="1" x14ac:dyDescent="0.35">
      <c r="A1828" s="12">
        <v>1811</v>
      </c>
      <c r="B1828" s="10" t="s">
        <v>1015</v>
      </c>
      <c r="C1828" s="11" t="s">
        <v>1144</v>
      </c>
      <c r="D1828" s="9"/>
      <c r="E1828" s="9">
        <v>462</v>
      </c>
      <c r="F1828" s="10" t="s">
        <v>1066</v>
      </c>
      <c r="G1828" s="9">
        <v>5501</v>
      </c>
      <c r="H1828" s="9">
        <v>2000</v>
      </c>
      <c r="I1828" s="8">
        <v>15.510999999999999</v>
      </c>
      <c r="J1828" s="8">
        <v>19.091999999999999</v>
      </c>
      <c r="K1828" s="8">
        <v>20.454000000000001</v>
      </c>
      <c r="L1828" s="8">
        <v>17.728999999999999</v>
      </c>
      <c r="M1828" s="8">
        <v>12.78</v>
      </c>
      <c r="N1828" s="8">
        <v>10.708</v>
      </c>
      <c r="O1828" s="8">
        <v>9.4730000000000008</v>
      </c>
      <c r="P1828" s="8">
        <v>8.1349999999999998</v>
      </c>
      <c r="Q1828" s="8">
        <v>6.4089999999999998</v>
      </c>
      <c r="R1828" s="8">
        <v>4.0449999999999999</v>
      </c>
      <c r="S1828" s="8">
        <v>2.9369999999999998</v>
      </c>
      <c r="T1828" s="8">
        <v>3.375</v>
      </c>
      <c r="U1828" s="8">
        <v>3.1190000000000002</v>
      </c>
      <c r="V1828" s="8">
        <v>2.0659999999999998</v>
      </c>
      <c r="W1828" s="8">
        <v>1.179</v>
      </c>
      <c r="X1828" s="8">
        <v>0.65400000000000003</v>
      </c>
      <c r="Y1828" s="8">
        <v>0.28000000000000003</v>
      </c>
      <c r="Z1828" s="8">
        <v>9.4E-2</v>
      </c>
      <c r="AA1828" s="8">
        <v>1.6E-2</v>
      </c>
      <c r="AB1828" s="8">
        <v>0</v>
      </c>
      <c r="AC1828" s="8">
        <v>0</v>
      </c>
    </row>
    <row r="1829" spans="1:29" ht="11.65" hidden="1" x14ac:dyDescent="0.35">
      <c r="A1829" s="12">
        <v>1812</v>
      </c>
      <c r="B1829" s="10" t="s">
        <v>1015</v>
      </c>
      <c r="C1829" s="11" t="s">
        <v>1144</v>
      </c>
      <c r="D1829" s="9"/>
      <c r="E1829" s="9">
        <v>462</v>
      </c>
      <c r="F1829" s="10" t="s">
        <v>1066</v>
      </c>
      <c r="G1829" s="9">
        <v>5501</v>
      </c>
      <c r="H1829" s="9">
        <v>2005</v>
      </c>
      <c r="I1829" s="8">
        <v>13.861000000000001</v>
      </c>
      <c r="J1829" s="8">
        <v>15.577999999999999</v>
      </c>
      <c r="K1829" s="8">
        <v>19.13</v>
      </c>
      <c r="L1829" s="8">
        <v>20.629000000000001</v>
      </c>
      <c r="M1829" s="8">
        <v>18.172999999999998</v>
      </c>
      <c r="N1829" s="8">
        <v>13.331</v>
      </c>
      <c r="O1829" s="8">
        <v>11.159000000000001</v>
      </c>
      <c r="P1829" s="8">
        <v>9.7720000000000002</v>
      </c>
      <c r="Q1829" s="8">
        <v>8.2970000000000006</v>
      </c>
      <c r="R1829" s="8">
        <v>6.4889999999999999</v>
      </c>
      <c r="S1829" s="8">
        <v>4.0519999999999996</v>
      </c>
      <c r="T1829" s="8">
        <v>2.887</v>
      </c>
      <c r="U1829" s="8">
        <v>3.2069999999999999</v>
      </c>
      <c r="V1829" s="8">
        <v>2.8290000000000002</v>
      </c>
      <c r="W1829" s="8">
        <v>1.746</v>
      </c>
      <c r="X1829" s="8">
        <v>0.88</v>
      </c>
      <c r="Y1829" s="8">
        <v>0.434</v>
      </c>
      <c r="Z1829" s="8">
        <v>0.157</v>
      </c>
      <c r="AA1829" s="8">
        <v>0.04</v>
      </c>
      <c r="AB1829" s="8">
        <v>5.0000000000000001E-3</v>
      </c>
      <c r="AC1829" s="8">
        <v>0</v>
      </c>
    </row>
    <row r="1830" spans="1:29" ht="11.65" hidden="1" x14ac:dyDescent="0.35">
      <c r="A1830" s="12">
        <v>1813</v>
      </c>
      <c r="B1830" s="10" t="s">
        <v>1015</v>
      </c>
      <c r="C1830" s="11" t="s">
        <v>1144</v>
      </c>
      <c r="D1830" s="9"/>
      <c r="E1830" s="9">
        <v>462</v>
      </c>
      <c r="F1830" s="10" t="s">
        <v>1066</v>
      </c>
      <c r="G1830" s="9">
        <v>5501</v>
      </c>
      <c r="H1830" s="9">
        <v>2010</v>
      </c>
      <c r="I1830" s="8">
        <v>16.494</v>
      </c>
      <c r="J1830" s="8">
        <v>13.375999999999999</v>
      </c>
      <c r="K1830" s="8">
        <v>14.951000000000001</v>
      </c>
      <c r="L1830" s="8">
        <v>19.048999999999999</v>
      </c>
      <c r="M1830" s="8">
        <v>21.088999999999999</v>
      </c>
      <c r="N1830" s="8">
        <v>18.616</v>
      </c>
      <c r="O1830" s="8">
        <v>13.451000000000001</v>
      </c>
      <c r="P1830" s="8">
        <v>11.21</v>
      </c>
      <c r="Q1830" s="8">
        <v>9.7260000000000009</v>
      </c>
      <c r="R1830" s="8">
        <v>8.2710000000000008</v>
      </c>
      <c r="S1830" s="8">
        <v>6.4409999999999998</v>
      </c>
      <c r="T1830" s="8">
        <v>3.9460000000000002</v>
      </c>
      <c r="U1830" s="8">
        <v>2.7570000000000001</v>
      </c>
      <c r="V1830" s="8">
        <v>2.956</v>
      </c>
      <c r="W1830" s="8">
        <v>2.4460000000000002</v>
      </c>
      <c r="X1830" s="8">
        <v>1.345</v>
      </c>
      <c r="Y1830" s="8">
        <v>0.58899999999999997</v>
      </c>
      <c r="Z1830" s="8">
        <v>0.23899999999999999</v>
      </c>
      <c r="AA1830" s="8">
        <v>6.5000000000000002E-2</v>
      </c>
      <c r="AB1830" s="8">
        <v>1.0999999999999999E-2</v>
      </c>
      <c r="AC1830" s="8">
        <v>1E-3</v>
      </c>
    </row>
    <row r="1831" spans="1:29" ht="11.65" hidden="1" x14ac:dyDescent="0.35">
      <c r="A1831" s="12">
        <v>1814</v>
      </c>
      <c r="B1831" s="10" t="s">
        <v>1015</v>
      </c>
      <c r="C1831" s="11" t="s">
        <v>1144</v>
      </c>
      <c r="D1831" s="9"/>
      <c r="E1831" s="9">
        <v>462</v>
      </c>
      <c r="F1831" s="10" t="s">
        <v>1066</v>
      </c>
      <c r="G1831" s="9">
        <v>5501</v>
      </c>
      <c r="H1831" s="9">
        <v>2015</v>
      </c>
      <c r="I1831" s="8">
        <v>17.946000000000002</v>
      </c>
      <c r="J1831" s="8">
        <v>16.192</v>
      </c>
      <c r="K1831" s="8">
        <v>12.756</v>
      </c>
      <c r="L1831" s="8">
        <v>14.679</v>
      </c>
      <c r="M1831" s="8">
        <v>19.43</v>
      </c>
      <c r="N1831" s="8">
        <v>21.978000000000002</v>
      </c>
      <c r="O1831" s="8">
        <v>19.242000000000001</v>
      </c>
      <c r="P1831" s="8">
        <v>13.504</v>
      </c>
      <c r="Q1831" s="8">
        <v>11.175000000000001</v>
      </c>
      <c r="R1831" s="8">
        <v>9.7070000000000007</v>
      </c>
      <c r="S1831" s="8">
        <v>8.2370000000000001</v>
      </c>
      <c r="T1831" s="8">
        <v>6.3239999999999998</v>
      </c>
      <c r="U1831" s="8">
        <v>3.8140000000000001</v>
      </c>
      <c r="V1831" s="8">
        <v>2.593</v>
      </c>
      <c r="W1831" s="8">
        <v>2.6280000000000001</v>
      </c>
      <c r="X1831" s="8">
        <v>1.952</v>
      </c>
      <c r="Y1831" s="8">
        <v>0.92100000000000004</v>
      </c>
      <c r="Z1831" s="8">
        <v>0.33400000000000002</v>
      </c>
      <c r="AA1831" s="8">
        <v>0.109</v>
      </c>
      <c r="AB1831" s="8">
        <v>2.3E-2</v>
      </c>
      <c r="AC1831" s="8">
        <v>3.0000000000000001E-3</v>
      </c>
    </row>
    <row r="1832" spans="1:29" ht="11.65" hidden="1" x14ac:dyDescent="0.35">
      <c r="A1832" s="12">
        <v>1815</v>
      </c>
      <c r="B1832" s="10" t="s">
        <v>1015</v>
      </c>
      <c r="C1832" s="11" t="s">
        <v>1144</v>
      </c>
      <c r="D1832" s="9"/>
      <c r="E1832" s="9">
        <v>462</v>
      </c>
      <c r="F1832" s="10" t="s">
        <v>1066</v>
      </c>
      <c r="G1832" s="9">
        <v>5501</v>
      </c>
      <c r="H1832" s="9">
        <v>2020</v>
      </c>
      <c r="I1832" s="8">
        <v>17.184000000000001</v>
      </c>
      <c r="J1832" s="8">
        <v>17.925000000000001</v>
      </c>
      <c r="K1832" s="8">
        <v>16.172000000000001</v>
      </c>
      <c r="L1832" s="8">
        <v>12.79</v>
      </c>
      <c r="M1832" s="8">
        <v>14.944000000000001</v>
      </c>
      <c r="N1832" s="8">
        <v>20.053000000000001</v>
      </c>
      <c r="O1832" s="8">
        <v>22.411000000000001</v>
      </c>
      <c r="P1832" s="8">
        <v>19.18</v>
      </c>
      <c r="Q1832" s="8">
        <v>13.343999999999999</v>
      </c>
      <c r="R1832" s="8">
        <v>11.031000000000001</v>
      </c>
      <c r="S1832" s="8">
        <v>9.3450000000000006</v>
      </c>
      <c r="T1832" s="8">
        <v>7.835</v>
      </c>
      <c r="U1832" s="8">
        <v>5.9210000000000003</v>
      </c>
      <c r="V1832" s="8">
        <v>3.2530000000000001</v>
      </c>
      <c r="W1832" s="8">
        <v>2.1</v>
      </c>
      <c r="X1832" s="8">
        <v>2.02</v>
      </c>
      <c r="Y1832" s="8">
        <v>1.3380000000000001</v>
      </c>
      <c r="Z1832" s="8">
        <v>0.56000000000000005</v>
      </c>
      <c r="AA1832" s="8">
        <v>0.16300000000000001</v>
      </c>
      <c r="AB1832" s="8">
        <v>3.9E-2</v>
      </c>
      <c r="AC1832" s="8">
        <v>6.0000000000000001E-3</v>
      </c>
    </row>
    <row r="1833" spans="1:29" ht="11.65" hidden="1" x14ac:dyDescent="0.35">
      <c r="A1833" s="12">
        <v>1816</v>
      </c>
      <c r="B1833" s="10" t="s">
        <v>1015</v>
      </c>
      <c r="C1833" s="11" t="s">
        <v>1145</v>
      </c>
      <c r="D1833" s="9"/>
      <c r="E1833" s="9">
        <v>524</v>
      </c>
      <c r="F1833" s="10" t="s">
        <v>1066</v>
      </c>
      <c r="G1833" s="9">
        <v>5501</v>
      </c>
      <c r="H1833" s="9">
        <v>1950</v>
      </c>
      <c r="I1833" s="8">
        <v>599.95699999999999</v>
      </c>
      <c r="J1833" s="8">
        <v>521.51800000000003</v>
      </c>
      <c r="K1833" s="8">
        <v>485.48700000000002</v>
      </c>
      <c r="L1833" s="8">
        <v>441.81700000000001</v>
      </c>
      <c r="M1833" s="8">
        <v>413.94900000000001</v>
      </c>
      <c r="N1833" s="8">
        <v>370.98200000000003</v>
      </c>
      <c r="O1833" s="8">
        <v>316.80200000000002</v>
      </c>
      <c r="P1833" s="8">
        <v>275.40699999999998</v>
      </c>
      <c r="Q1833" s="8">
        <v>233.99799999999999</v>
      </c>
      <c r="R1833" s="8">
        <v>191.041</v>
      </c>
      <c r="S1833" s="8">
        <v>146.072</v>
      </c>
      <c r="T1833" s="8">
        <v>112.851</v>
      </c>
      <c r="U1833" s="8">
        <v>84.153999999999996</v>
      </c>
      <c r="V1833" s="8">
        <v>60.076999999999998</v>
      </c>
      <c r="W1833" s="8">
        <v>13.644</v>
      </c>
      <c r="X1833" s="8">
        <v>7.14</v>
      </c>
      <c r="Y1833" s="8">
        <v>4.1459999999999999</v>
      </c>
      <c r="Z1833" s="8">
        <v>0.96699999999999997</v>
      </c>
      <c r="AA1833" s="8">
        <v>0.182</v>
      </c>
      <c r="AB1833" s="8">
        <v>2.1000000000000001E-2</v>
      </c>
      <c r="AC1833" s="8">
        <v>0</v>
      </c>
    </row>
    <row r="1834" spans="1:29" ht="11.65" hidden="1" x14ac:dyDescent="0.35">
      <c r="A1834" s="12">
        <v>1817</v>
      </c>
      <c r="B1834" s="10" t="s">
        <v>1015</v>
      </c>
      <c r="C1834" s="11" t="s">
        <v>1145</v>
      </c>
      <c r="D1834" s="9"/>
      <c r="E1834" s="9">
        <v>524</v>
      </c>
      <c r="F1834" s="10" t="s">
        <v>1066</v>
      </c>
      <c r="G1834" s="9">
        <v>5501</v>
      </c>
      <c r="H1834" s="9">
        <v>1955</v>
      </c>
      <c r="I1834" s="8">
        <v>766.83399999999995</v>
      </c>
      <c r="J1834" s="8">
        <v>529.63</v>
      </c>
      <c r="K1834" s="8">
        <v>503.56700000000001</v>
      </c>
      <c r="L1834" s="8">
        <v>467.08100000000002</v>
      </c>
      <c r="M1834" s="8">
        <v>419.58800000000002</v>
      </c>
      <c r="N1834" s="8">
        <v>389.60599999999999</v>
      </c>
      <c r="O1834" s="8">
        <v>346.77600000000001</v>
      </c>
      <c r="P1834" s="8">
        <v>293.84500000000003</v>
      </c>
      <c r="Q1834" s="8">
        <v>253.73599999999999</v>
      </c>
      <c r="R1834" s="8">
        <v>214.173</v>
      </c>
      <c r="S1834" s="8">
        <v>171.786</v>
      </c>
      <c r="T1834" s="8">
        <v>127.229</v>
      </c>
      <c r="U1834" s="8">
        <v>93.061999999999998</v>
      </c>
      <c r="V1834" s="8">
        <v>63.887999999999998</v>
      </c>
      <c r="W1834" s="8">
        <v>40.451000000000001</v>
      </c>
      <c r="X1834" s="8">
        <v>7.5579999999999998</v>
      </c>
      <c r="Y1834" s="8">
        <v>2.992</v>
      </c>
      <c r="Z1834" s="8">
        <v>1.194</v>
      </c>
      <c r="AA1834" s="8">
        <v>0.17699999999999999</v>
      </c>
      <c r="AB1834" s="8">
        <v>0.02</v>
      </c>
      <c r="AC1834" s="8">
        <v>1E-3</v>
      </c>
    </row>
    <row r="1835" spans="1:29" ht="11.65" hidden="1" x14ac:dyDescent="0.35">
      <c r="A1835" s="12">
        <v>1818</v>
      </c>
      <c r="B1835" s="10" t="s">
        <v>1015</v>
      </c>
      <c r="C1835" s="11" t="s">
        <v>1145</v>
      </c>
      <c r="D1835" s="9"/>
      <c r="E1835" s="9">
        <v>524</v>
      </c>
      <c r="F1835" s="10" t="s">
        <v>1066</v>
      </c>
      <c r="G1835" s="9">
        <v>5501</v>
      </c>
      <c r="H1835" s="9">
        <v>1960</v>
      </c>
      <c r="I1835" s="8">
        <v>804.35799999999995</v>
      </c>
      <c r="J1835" s="8">
        <v>677.03099999999995</v>
      </c>
      <c r="K1835" s="8">
        <v>510.75700000000001</v>
      </c>
      <c r="L1835" s="8">
        <v>481.048</v>
      </c>
      <c r="M1835" s="8">
        <v>437.01299999999998</v>
      </c>
      <c r="N1835" s="8">
        <v>389.46199999999999</v>
      </c>
      <c r="O1835" s="8">
        <v>361.13400000000001</v>
      </c>
      <c r="P1835" s="8">
        <v>319.649</v>
      </c>
      <c r="Q1835" s="8">
        <v>269.21199999999999</v>
      </c>
      <c r="R1835" s="8">
        <v>231.12</v>
      </c>
      <c r="S1835" s="8">
        <v>191.833</v>
      </c>
      <c r="T1835" s="8">
        <v>149.17599999999999</v>
      </c>
      <c r="U1835" s="8">
        <v>104.682</v>
      </c>
      <c r="V1835" s="8">
        <v>70.555999999999997</v>
      </c>
      <c r="W1835" s="8">
        <v>42.994</v>
      </c>
      <c r="X1835" s="8">
        <v>22.434999999999999</v>
      </c>
      <c r="Y1835" s="8">
        <v>3.1230000000000002</v>
      </c>
      <c r="Z1835" s="8">
        <v>0.85799999999999998</v>
      </c>
      <c r="AA1835" s="8">
        <v>0.221</v>
      </c>
      <c r="AB1835" s="8">
        <v>0.02</v>
      </c>
      <c r="AC1835" s="8">
        <v>1E-3</v>
      </c>
    </row>
    <row r="1836" spans="1:29" ht="11.65" hidden="1" x14ac:dyDescent="0.35">
      <c r="A1836" s="12">
        <v>1819</v>
      </c>
      <c r="B1836" s="10" t="s">
        <v>1015</v>
      </c>
      <c r="C1836" s="11" t="s">
        <v>1145</v>
      </c>
      <c r="D1836" s="9"/>
      <c r="E1836" s="9">
        <v>524</v>
      </c>
      <c r="F1836" s="10" t="s">
        <v>1066</v>
      </c>
      <c r="G1836" s="9">
        <v>5501</v>
      </c>
      <c r="H1836" s="9">
        <v>1965</v>
      </c>
      <c r="I1836" s="8">
        <v>854.36699999999996</v>
      </c>
      <c r="J1836" s="8">
        <v>717.64800000000002</v>
      </c>
      <c r="K1836" s="8">
        <v>655.42700000000002</v>
      </c>
      <c r="L1836" s="8">
        <v>492.53800000000001</v>
      </c>
      <c r="M1836" s="8">
        <v>458.08800000000002</v>
      </c>
      <c r="N1836" s="8">
        <v>412.7</v>
      </c>
      <c r="O1836" s="8">
        <v>365.589</v>
      </c>
      <c r="P1836" s="8">
        <v>336.62599999999998</v>
      </c>
      <c r="Q1836" s="8">
        <v>296.06200000000001</v>
      </c>
      <c r="R1836" s="8">
        <v>247.74199999999999</v>
      </c>
      <c r="S1836" s="8">
        <v>209.124</v>
      </c>
      <c r="T1836" s="8">
        <v>168.405</v>
      </c>
      <c r="U1836" s="8">
        <v>124.339</v>
      </c>
      <c r="V1836" s="8">
        <v>80.634</v>
      </c>
      <c r="W1836" s="8">
        <v>48.412999999999997</v>
      </c>
      <c r="X1836" s="8">
        <v>24.465</v>
      </c>
      <c r="Y1836" s="8">
        <v>9.7420000000000009</v>
      </c>
      <c r="Z1836" s="8">
        <v>1.0149999999999999</v>
      </c>
      <c r="AA1836" s="8">
        <v>0.16600000000000001</v>
      </c>
      <c r="AB1836" s="8">
        <v>2.5999999999999999E-2</v>
      </c>
      <c r="AC1836" s="8">
        <v>1E-3</v>
      </c>
    </row>
    <row r="1837" spans="1:29" ht="11.65" hidden="1" x14ac:dyDescent="0.35">
      <c r="A1837" s="12">
        <v>1820</v>
      </c>
      <c r="B1837" s="10" t="s">
        <v>1015</v>
      </c>
      <c r="C1837" s="11" t="s">
        <v>1145</v>
      </c>
      <c r="D1837" s="9"/>
      <c r="E1837" s="9">
        <v>524</v>
      </c>
      <c r="F1837" s="10" t="s">
        <v>1066</v>
      </c>
      <c r="G1837" s="9">
        <v>5501</v>
      </c>
      <c r="H1837" s="9">
        <v>1970</v>
      </c>
      <c r="I1837" s="8">
        <v>944.73</v>
      </c>
      <c r="J1837" s="8">
        <v>774.50699999999995</v>
      </c>
      <c r="K1837" s="8">
        <v>697.93</v>
      </c>
      <c r="L1837" s="8">
        <v>635.01599999999996</v>
      </c>
      <c r="M1837" s="8">
        <v>474.18799999999999</v>
      </c>
      <c r="N1837" s="8">
        <v>442.036</v>
      </c>
      <c r="O1837" s="8">
        <v>397.49400000000003</v>
      </c>
      <c r="P1837" s="8">
        <v>348.56900000000002</v>
      </c>
      <c r="Q1837" s="8">
        <v>317.31200000000001</v>
      </c>
      <c r="R1837" s="8">
        <v>276.28800000000001</v>
      </c>
      <c r="S1837" s="8">
        <v>227.04</v>
      </c>
      <c r="T1837" s="8">
        <v>186.06299999999999</v>
      </c>
      <c r="U1837" s="8">
        <v>142.68600000000001</v>
      </c>
      <c r="V1837" s="8">
        <v>97.816000000000003</v>
      </c>
      <c r="W1837" s="8">
        <v>56.835999999999999</v>
      </c>
      <c r="X1837" s="8">
        <v>28.553000000000001</v>
      </c>
      <c r="Y1837" s="8">
        <v>11.129</v>
      </c>
      <c r="Z1837" s="8">
        <v>3.1030000000000002</v>
      </c>
      <c r="AA1837" s="8">
        <v>0.191</v>
      </c>
      <c r="AB1837" s="8">
        <v>0.02</v>
      </c>
      <c r="AC1837" s="8">
        <v>2E-3</v>
      </c>
    </row>
    <row r="1838" spans="1:29" ht="11.65" hidden="1" x14ac:dyDescent="0.35">
      <c r="A1838" s="12">
        <v>1821</v>
      </c>
      <c r="B1838" s="10" t="s">
        <v>1015</v>
      </c>
      <c r="C1838" s="11" t="s">
        <v>1145</v>
      </c>
      <c r="D1838" s="9"/>
      <c r="E1838" s="9">
        <v>524</v>
      </c>
      <c r="F1838" s="10" t="s">
        <v>1066</v>
      </c>
      <c r="G1838" s="9">
        <v>5501</v>
      </c>
      <c r="H1838" s="9">
        <v>1975</v>
      </c>
      <c r="I1838" s="8">
        <v>1060.4290000000001</v>
      </c>
      <c r="J1838" s="8">
        <v>866.80399999999997</v>
      </c>
      <c r="K1838" s="8">
        <v>755.40099999999995</v>
      </c>
      <c r="L1838" s="8">
        <v>678.68</v>
      </c>
      <c r="M1838" s="8">
        <v>612.41700000000003</v>
      </c>
      <c r="N1838" s="8">
        <v>455.96699999999998</v>
      </c>
      <c r="O1838" s="8">
        <v>423.41399999999999</v>
      </c>
      <c r="P1838" s="8">
        <v>377.98899999999998</v>
      </c>
      <c r="Q1838" s="8">
        <v>329.02</v>
      </c>
      <c r="R1838" s="8">
        <v>297.20699999999999</v>
      </c>
      <c r="S1838" s="8">
        <v>254.71199999999999</v>
      </c>
      <c r="T1838" s="8">
        <v>203.79599999999999</v>
      </c>
      <c r="U1838" s="8">
        <v>159.68299999999999</v>
      </c>
      <c r="V1838" s="8">
        <v>114.261</v>
      </c>
      <c r="W1838" s="8">
        <v>70.573999999999998</v>
      </c>
      <c r="X1838" s="8">
        <v>34.594000000000001</v>
      </c>
      <c r="Y1838" s="8">
        <v>13.532</v>
      </c>
      <c r="Z1838" s="8">
        <v>3.726</v>
      </c>
      <c r="AA1838" s="8">
        <v>0.67300000000000004</v>
      </c>
      <c r="AB1838" s="8">
        <v>2.5999999999999999E-2</v>
      </c>
      <c r="AC1838" s="8">
        <v>2E-3</v>
      </c>
    </row>
    <row r="1839" spans="1:29" ht="11.65" hidden="1" x14ac:dyDescent="0.35">
      <c r="A1839" s="12">
        <v>1822</v>
      </c>
      <c r="B1839" s="10" t="s">
        <v>1015</v>
      </c>
      <c r="C1839" s="11" t="s">
        <v>1145</v>
      </c>
      <c r="D1839" s="9"/>
      <c r="E1839" s="9">
        <v>524</v>
      </c>
      <c r="F1839" s="10" t="s">
        <v>1066</v>
      </c>
      <c r="G1839" s="9">
        <v>5501</v>
      </c>
      <c r="H1839" s="9">
        <v>1980</v>
      </c>
      <c r="I1839" s="8">
        <v>1207.336</v>
      </c>
      <c r="J1839" s="8">
        <v>983.84799999999996</v>
      </c>
      <c r="K1839" s="8">
        <v>847.80799999999999</v>
      </c>
      <c r="L1839" s="8">
        <v>736.94500000000005</v>
      </c>
      <c r="M1839" s="8">
        <v>656.31200000000001</v>
      </c>
      <c r="N1839" s="8">
        <v>588.67999999999995</v>
      </c>
      <c r="O1839" s="8">
        <v>436.26600000000002</v>
      </c>
      <c r="P1839" s="8">
        <v>403.00299999999999</v>
      </c>
      <c r="Q1839" s="8">
        <v>357.87099999999998</v>
      </c>
      <c r="R1839" s="8">
        <v>309.56</v>
      </c>
      <c r="S1839" s="8">
        <v>275.70100000000002</v>
      </c>
      <c r="T1839" s="8">
        <v>230.572</v>
      </c>
      <c r="U1839" s="8">
        <v>176.994</v>
      </c>
      <c r="V1839" s="8">
        <v>129.953</v>
      </c>
      <c r="W1839" s="8">
        <v>84.180999999999997</v>
      </c>
      <c r="X1839" s="8">
        <v>44.182000000000002</v>
      </c>
      <c r="Y1839" s="8">
        <v>16.992000000000001</v>
      </c>
      <c r="Z1839" s="8">
        <v>4.7300000000000004</v>
      </c>
      <c r="AA1839" s="8">
        <v>0.84699999999999998</v>
      </c>
      <c r="AB1839" s="8">
        <v>9.1999999999999998E-2</v>
      </c>
      <c r="AC1839" s="8">
        <v>2E-3</v>
      </c>
    </row>
    <row r="1840" spans="1:29" ht="11.65" hidden="1" x14ac:dyDescent="0.35">
      <c r="A1840" s="12">
        <v>1823</v>
      </c>
      <c r="B1840" s="10" t="s">
        <v>1015</v>
      </c>
      <c r="C1840" s="11" t="s">
        <v>1145</v>
      </c>
      <c r="D1840" s="9"/>
      <c r="E1840" s="9">
        <v>524</v>
      </c>
      <c r="F1840" s="10" t="s">
        <v>1066</v>
      </c>
      <c r="G1840" s="9">
        <v>5501</v>
      </c>
      <c r="H1840" s="9">
        <v>1985</v>
      </c>
      <c r="I1840" s="8">
        <v>1359.0740000000001</v>
      </c>
      <c r="J1840" s="8">
        <v>1134.5450000000001</v>
      </c>
      <c r="K1840" s="8">
        <v>965.62400000000002</v>
      </c>
      <c r="L1840" s="8">
        <v>829.88599999999997</v>
      </c>
      <c r="M1840" s="8">
        <v>715.84199999999998</v>
      </c>
      <c r="N1840" s="8">
        <v>634.83600000000001</v>
      </c>
      <c r="O1840" s="8">
        <v>567.58000000000004</v>
      </c>
      <c r="P1840" s="8">
        <v>418.62</v>
      </c>
      <c r="Q1840" s="8">
        <v>384.59100000000001</v>
      </c>
      <c r="R1840" s="8">
        <v>339.28399999999999</v>
      </c>
      <c r="S1840" s="8">
        <v>289.55399999999997</v>
      </c>
      <c r="T1840" s="8">
        <v>252.108</v>
      </c>
      <c r="U1840" s="8">
        <v>202.95699999999999</v>
      </c>
      <c r="V1840" s="8">
        <v>146.636</v>
      </c>
      <c r="W1840" s="8">
        <v>97.948999999999998</v>
      </c>
      <c r="X1840" s="8">
        <v>54.319000000000003</v>
      </c>
      <c r="Y1840" s="8">
        <v>22.541</v>
      </c>
      <c r="Z1840" s="8">
        <v>6.2140000000000004</v>
      </c>
      <c r="AA1840" s="8">
        <v>1.1279999999999999</v>
      </c>
      <c r="AB1840" s="8">
        <v>0.122</v>
      </c>
      <c r="AC1840" s="8">
        <v>8.0000000000000002E-3</v>
      </c>
    </row>
    <row r="1841" spans="1:29" ht="11.65" hidden="1" x14ac:dyDescent="0.35">
      <c r="A1841" s="12">
        <v>1824</v>
      </c>
      <c r="B1841" s="10" t="s">
        <v>1015</v>
      </c>
      <c r="C1841" s="11" t="s">
        <v>1145</v>
      </c>
      <c r="D1841" s="9"/>
      <c r="E1841" s="9">
        <v>524</v>
      </c>
      <c r="F1841" s="10" t="s">
        <v>1066</v>
      </c>
      <c r="G1841" s="9">
        <v>5501</v>
      </c>
      <c r="H1841" s="9">
        <v>1990</v>
      </c>
      <c r="I1841" s="8">
        <v>1510.5150000000001</v>
      </c>
      <c r="J1841" s="8">
        <v>1295.114</v>
      </c>
      <c r="K1841" s="8">
        <v>1117.6600000000001</v>
      </c>
      <c r="L1841" s="8">
        <v>948.66800000000001</v>
      </c>
      <c r="M1841" s="8">
        <v>809.42200000000003</v>
      </c>
      <c r="N1841" s="8">
        <v>695.80100000000004</v>
      </c>
      <c r="O1841" s="8">
        <v>615.64200000000005</v>
      </c>
      <c r="P1841" s="8">
        <v>548.09699999999998</v>
      </c>
      <c r="Q1841" s="8">
        <v>402.23599999999999</v>
      </c>
      <c r="R1841" s="8">
        <v>367.13200000000001</v>
      </c>
      <c r="S1841" s="8">
        <v>319.78199999999998</v>
      </c>
      <c r="T1841" s="8">
        <v>267.24700000000001</v>
      </c>
      <c r="U1841" s="8">
        <v>224.67</v>
      </c>
      <c r="V1841" s="8">
        <v>170.89699999999999</v>
      </c>
      <c r="W1841" s="8">
        <v>112.79900000000001</v>
      </c>
      <c r="X1841" s="8">
        <v>64.923000000000002</v>
      </c>
      <c r="Y1841" s="8">
        <v>28.652000000000001</v>
      </c>
      <c r="Z1841" s="8">
        <v>8.5640000000000001</v>
      </c>
      <c r="AA1841" s="8">
        <v>1.5429999999999999</v>
      </c>
      <c r="AB1841" s="8">
        <v>0.16800000000000001</v>
      </c>
      <c r="AC1841" s="8">
        <v>1.0999999999999999E-2</v>
      </c>
    </row>
    <row r="1842" spans="1:29" ht="11.65" hidden="1" x14ac:dyDescent="0.35">
      <c r="A1842" s="12">
        <v>1825</v>
      </c>
      <c r="B1842" s="10" t="s">
        <v>1015</v>
      </c>
      <c r="C1842" s="11" t="s">
        <v>1145</v>
      </c>
      <c r="D1842" s="9"/>
      <c r="E1842" s="9">
        <v>524</v>
      </c>
      <c r="F1842" s="10" t="s">
        <v>1066</v>
      </c>
      <c r="G1842" s="9">
        <v>5501</v>
      </c>
      <c r="H1842" s="9">
        <v>1995</v>
      </c>
      <c r="I1842" s="8">
        <v>1648.9829999999999</v>
      </c>
      <c r="J1842" s="8">
        <v>1456.4960000000001</v>
      </c>
      <c r="K1842" s="8">
        <v>1279.269</v>
      </c>
      <c r="L1842" s="8">
        <v>1103.941</v>
      </c>
      <c r="M1842" s="8">
        <v>926.24900000000002</v>
      </c>
      <c r="N1842" s="8">
        <v>774.18600000000004</v>
      </c>
      <c r="O1842" s="8">
        <v>658.13199999999995</v>
      </c>
      <c r="P1842" s="8">
        <v>583.81600000000003</v>
      </c>
      <c r="Q1842" s="8">
        <v>522.05399999999997</v>
      </c>
      <c r="R1842" s="8">
        <v>382.44400000000002</v>
      </c>
      <c r="S1842" s="8">
        <v>346.75400000000002</v>
      </c>
      <c r="T1842" s="8">
        <v>297.13299999999998</v>
      </c>
      <c r="U1842" s="8">
        <v>240.88</v>
      </c>
      <c r="V1842" s="8">
        <v>192.28100000000001</v>
      </c>
      <c r="W1842" s="8">
        <v>134.26400000000001</v>
      </c>
      <c r="X1842" s="8">
        <v>76.867000000000004</v>
      </c>
      <c r="Y1842" s="8">
        <v>35.427</v>
      </c>
      <c r="Z1842" s="8">
        <v>11.289</v>
      </c>
      <c r="AA1842" s="8">
        <v>2.2000000000000002</v>
      </c>
      <c r="AB1842" s="8">
        <v>0.23699999999999999</v>
      </c>
      <c r="AC1842" s="8">
        <v>1.4999999999999999E-2</v>
      </c>
    </row>
    <row r="1843" spans="1:29" ht="11.65" hidden="1" x14ac:dyDescent="0.35">
      <c r="A1843" s="12">
        <v>1826</v>
      </c>
      <c r="B1843" s="10" t="s">
        <v>1015</v>
      </c>
      <c r="C1843" s="11" t="s">
        <v>1145</v>
      </c>
      <c r="D1843" s="9"/>
      <c r="E1843" s="9">
        <v>524</v>
      </c>
      <c r="F1843" s="10" t="s">
        <v>1066</v>
      </c>
      <c r="G1843" s="9">
        <v>5501</v>
      </c>
      <c r="H1843" s="9">
        <v>2000</v>
      </c>
      <c r="I1843" s="8">
        <v>1739.58</v>
      </c>
      <c r="J1843" s="8">
        <v>1610.875</v>
      </c>
      <c r="K1843" s="8">
        <v>1439.171</v>
      </c>
      <c r="L1843" s="8">
        <v>1265.53</v>
      </c>
      <c r="M1843" s="8">
        <v>1100.338</v>
      </c>
      <c r="N1843" s="8">
        <v>931.75900000000001</v>
      </c>
      <c r="O1843" s="8">
        <v>781.83900000000006</v>
      </c>
      <c r="P1843" s="8">
        <v>647.54399999999998</v>
      </c>
      <c r="Q1843" s="8">
        <v>545.42700000000002</v>
      </c>
      <c r="R1843" s="8">
        <v>481.79399999999998</v>
      </c>
      <c r="S1843" s="8">
        <v>360.59500000000003</v>
      </c>
      <c r="T1843" s="8">
        <v>326.33600000000001</v>
      </c>
      <c r="U1843" s="8">
        <v>271.62700000000001</v>
      </c>
      <c r="V1843" s="8">
        <v>209.69200000000001</v>
      </c>
      <c r="W1843" s="8">
        <v>154.22800000000001</v>
      </c>
      <c r="X1843" s="8">
        <v>93.945999999999998</v>
      </c>
      <c r="Y1843" s="8">
        <v>43.279000000000003</v>
      </c>
      <c r="Z1843" s="8">
        <v>14.435</v>
      </c>
      <c r="AA1843" s="8">
        <v>2.9910000000000001</v>
      </c>
      <c r="AB1843" s="8">
        <v>0.34300000000000003</v>
      </c>
      <c r="AC1843" s="8">
        <v>2.1000000000000001E-2</v>
      </c>
    </row>
    <row r="1844" spans="1:29" ht="11.65" hidden="1" x14ac:dyDescent="0.35">
      <c r="A1844" s="12">
        <v>1827</v>
      </c>
      <c r="B1844" s="10" t="s">
        <v>1015</v>
      </c>
      <c r="C1844" s="11" t="s">
        <v>1145</v>
      </c>
      <c r="D1844" s="9"/>
      <c r="E1844" s="9">
        <v>524</v>
      </c>
      <c r="F1844" s="10" t="s">
        <v>1066</v>
      </c>
      <c r="G1844" s="9">
        <v>5501</v>
      </c>
      <c r="H1844" s="9">
        <v>2005</v>
      </c>
      <c r="I1844" s="8">
        <v>1615.0650000000001</v>
      </c>
      <c r="J1844" s="8">
        <v>1712.79</v>
      </c>
      <c r="K1844" s="8">
        <v>1599.232</v>
      </c>
      <c r="L1844" s="8">
        <v>1374.646</v>
      </c>
      <c r="M1844" s="8">
        <v>1170.9190000000001</v>
      </c>
      <c r="N1844" s="8">
        <v>1053.355</v>
      </c>
      <c r="O1844" s="8">
        <v>882.78800000000001</v>
      </c>
      <c r="P1844" s="8">
        <v>729.25400000000002</v>
      </c>
      <c r="Q1844" s="8">
        <v>617.54399999999998</v>
      </c>
      <c r="R1844" s="8">
        <v>502.18200000000002</v>
      </c>
      <c r="S1844" s="8">
        <v>452.09500000000003</v>
      </c>
      <c r="T1844" s="8">
        <v>345.12599999999998</v>
      </c>
      <c r="U1844" s="8">
        <v>305.16699999999997</v>
      </c>
      <c r="V1844" s="8">
        <v>239.333</v>
      </c>
      <c r="W1844" s="8">
        <v>166.88900000000001</v>
      </c>
      <c r="X1844" s="8">
        <v>112.52200000000001</v>
      </c>
      <c r="Y1844" s="8">
        <v>55.100999999999999</v>
      </c>
      <c r="Z1844" s="8">
        <v>18.132000000000001</v>
      </c>
      <c r="AA1844" s="8">
        <v>3.919</v>
      </c>
      <c r="AB1844" s="8">
        <v>0.47399999999999998</v>
      </c>
      <c r="AC1844" s="8">
        <v>3.1E-2</v>
      </c>
    </row>
    <row r="1845" spans="1:29" ht="11.65" hidden="1" x14ac:dyDescent="0.35">
      <c r="A1845" s="12">
        <v>1828</v>
      </c>
      <c r="B1845" s="10" t="s">
        <v>1015</v>
      </c>
      <c r="C1845" s="11" t="s">
        <v>1145</v>
      </c>
      <c r="D1845" s="9"/>
      <c r="E1845" s="9">
        <v>524</v>
      </c>
      <c r="F1845" s="10" t="s">
        <v>1066</v>
      </c>
      <c r="G1845" s="9">
        <v>5501</v>
      </c>
      <c r="H1845" s="9">
        <v>2010</v>
      </c>
      <c r="I1845" s="8">
        <v>1475.9580000000001</v>
      </c>
      <c r="J1845" s="8">
        <v>1598.7380000000001</v>
      </c>
      <c r="K1845" s="8">
        <v>1714.213</v>
      </c>
      <c r="L1845" s="8">
        <v>1490.8969999999999</v>
      </c>
      <c r="M1845" s="8">
        <v>1248.5930000000001</v>
      </c>
      <c r="N1845" s="8">
        <v>1148.6220000000001</v>
      </c>
      <c r="O1845" s="8">
        <v>978.529</v>
      </c>
      <c r="P1845" s="8">
        <v>816.37300000000005</v>
      </c>
      <c r="Q1845" s="8">
        <v>721.02800000000002</v>
      </c>
      <c r="R1845" s="8">
        <v>589.63</v>
      </c>
      <c r="S1845" s="8">
        <v>479.69299999999998</v>
      </c>
      <c r="T1845" s="8">
        <v>416.36399999999998</v>
      </c>
      <c r="U1845" s="8">
        <v>347.78300000000002</v>
      </c>
      <c r="V1845" s="8">
        <v>297.95999999999998</v>
      </c>
      <c r="W1845" s="8">
        <v>182.08</v>
      </c>
      <c r="X1845" s="8">
        <v>116.262</v>
      </c>
      <c r="Y1845" s="8">
        <v>64.605999999999995</v>
      </c>
      <c r="Z1845" s="8">
        <v>23.588999999999999</v>
      </c>
      <c r="AA1845" s="8">
        <v>5.01</v>
      </c>
      <c r="AB1845" s="8">
        <v>0.626</v>
      </c>
      <c r="AC1845" s="8">
        <v>4.2999999999999997E-2</v>
      </c>
    </row>
    <row r="1846" spans="1:29" ht="11.65" hidden="1" x14ac:dyDescent="0.35">
      <c r="A1846" s="12">
        <v>1829</v>
      </c>
      <c r="B1846" s="10" t="s">
        <v>1015</v>
      </c>
      <c r="C1846" s="11" t="s">
        <v>1145</v>
      </c>
      <c r="D1846" s="9"/>
      <c r="E1846" s="9">
        <v>524</v>
      </c>
      <c r="F1846" s="10" t="s">
        <v>1066</v>
      </c>
      <c r="G1846" s="9">
        <v>5501</v>
      </c>
      <c r="H1846" s="9">
        <v>2015</v>
      </c>
      <c r="I1846" s="8">
        <v>1379.7529999999999</v>
      </c>
      <c r="J1846" s="8">
        <v>1461.375</v>
      </c>
      <c r="K1846" s="8">
        <v>1591.6030000000001</v>
      </c>
      <c r="L1846" s="8">
        <v>1701.0820000000001</v>
      </c>
      <c r="M1846" s="8">
        <v>1466.434</v>
      </c>
      <c r="N1846" s="8">
        <v>1219.9280000000001</v>
      </c>
      <c r="O1846" s="8">
        <v>1122.5360000000001</v>
      </c>
      <c r="P1846" s="8">
        <v>956.82899999999995</v>
      </c>
      <c r="Q1846" s="8">
        <v>797.649</v>
      </c>
      <c r="R1846" s="8">
        <v>702.33699999999999</v>
      </c>
      <c r="S1846" s="8">
        <v>570.00099999999998</v>
      </c>
      <c r="T1846" s="8">
        <v>457.87799999999999</v>
      </c>
      <c r="U1846" s="8">
        <v>388.85899999999998</v>
      </c>
      <c r="V1846" s="8">
        <v>312.077</v>
      </c>
      <c r="W1846" s="8">
        <v>248.869</v>
      </c>
      <c r="X1846" s="8">
        <v>134.40299999999999</v>
      </c>
      <c r="Y1846" s="8">
        <v>69.805000000000007</v>
      </c>
      <c r="Z1846" s="8">
        <v>28.164999999999999</v>
      </c>
      <c r="AA1846" s="8">
        <v>6.6230000000000002</v>
      </c>
      <c r="AB1846" s="8">
        <v>0.80800000000000005</v>
      </c>
      <c r="AC1846" s="8">
        <v>5.6000000000000001E-2</v>
      </c>
    </row>
    <row r="1847" spans="1:29" ht="11.65" hidden="1" x14ac:dyDescent="0.35">
      <c r="A1847" s="12">
        <v>1830</v>
      </c>
      <c r="B1847" s="10" t="s">
        <v>1015</v>
      </c>
      <c r="C1847" s="11" t="s">
        <v>1145</v>
      </c>
      <c r="D1847" s="9"/>
      <c r="E1847" s="9">
        <v>524</v>
      </c>
      <c r="F1847" s="10" t="s">
        <v>1066</v>
      </c>
      <c r="G1847" s="9">
        <v>5501</v>
      </c>
      <c r="H1847" s="9">
        <v>2020</v>
      </c>
      <c r="I1847" s="8">
        <v>1321.0650000000001</v>
      </c>
      <c r="J1847" s="8">
        <v>1370.347</v>
      </c>
      <c r="K1847" s="8">
        <v>1457.1189999999999</v>
      </c>
      <c r="L1847" s="8">
        <v>1584.067</v>
      </c>
      <c r="M1847" s="8">
        <v>1685.2260000000001</v>
      </c>
      <c r="N1847" s="8">
        <v>1529.827</v>
      </c>
      <c r="O1847" s="8">
        <v>1293.059</v>
      </c>
      <c r="P1847" s="8">
        <v>1119.7139999999999</v>
      </c>
      <c r="Q1847" s="8">
        <v>991.33600000000001</v>
      </c>
      <c r="R1847" s="8">
        <v>826.07399999999996</v>
      </c>
      <c r="S1847" s="8">
        <v>683.96400000000006</v>
      </c>
      <c r="T1847" s="8">
        <v>558.89599999999996</v>
      </c>
      <c r="U1847" s="8">
        <v>440.78800000000001</v>
      </c>
      <c r="V1847" s="8">
        <v>352.428</v>
      </c>
      <c r="W1847" s="8">
        <v>264.09899999999999</v>
      </c>
      <c r="X1847" s="8">
        <v>187.11799999999999</v>
      </c>
      <c r="Y1847" s="8">
        <v>82.646000000000001</v>
      </c>
      <c r="Z1847" s="8">
        <v>31.29</v>
      </c>
      <c r="AA1847" s="8">
        <v>8.1389999999999993</v>
      </c>
      <c r="AB1847" s="8">
        <v>1.097</v>
      </c>
      <c r="AC1847" s="8">
        <v>7.3999999999999996E-2</v>
      </c>
    </row>
    <row r="1848" spans="1:29" ht="11.65" hidden="1" x14ac:dyDescent="0.35">
      <c r="A1848" s="12">
        <v>1831</v>
      </c>
      <c r="B1848" s="10" t="s">
        <v>1015</v>
      </c>
      <c r="C1848" s="11" t="s">
        <v>1146</v>
      </c>
      <c r="D1848" s="9"/>
      <c r="E1848" s="9">
        <v>586</v>
      </c>
      <c r="F1848" s="10" t="s">
        <v>1066</v>
      </c>
      <c r="G1848" s="9">
        <v>5501</v>
      </c>
      <c r="H1848" s="9">
        <v>1950</v>
      </c>
      <c r="I1848" s="8">
        <v>2780.259</v>
      </c>
      <c r="J1848" s="8">
        <v>2397.6889999999999</v>
      </c>
      <c r="K1848" s="8">
        <v>2029.9490000000001</v>
      </c>
      <c r="L1848" s="8">
        <v>1736.3530000000001</v>
      </c>
      <c r="M1848" s="8">
        <v>1465.49</v>
      </c>
      <c r="N1848" s="8">
        <v>1245.0530000000001</v>
      </c>
      <c r="O1848" s="8">
        <v>1042.8489999999999</v>
      </c>
      <c r="P1848" s="8">
        <v>872.947</v>
      </c>
      <c r="Q1848" s="8">
        <v>707.93100000000004</v>
      </c>
      <c r="R1848" s="8">
        <v>585.84</v>
      </c>
      <c r="S1848" s="8">
        <v>471.41800000000001</v>
      </c>
      <c r="T1848" s="8">
        <v>400.82299999999998</v>
      </c>
      <c r="U1848" s="8">
        <v>354.93200000000002</v>
      </c>
      <c r="V1848" s="8">
        <v>304.50400000000002</v>
      </c>
      <c r="W1848" s="8">
        <v>255.45699999999999</v>
      </c>
      <c r="X1848" s="8">
        <v>207.797</v>
      </c>
      <c r="Y1848" s="8">
        <v>129.37200000000001</v>
      </c>
      <c r="Z1848" s="8">
        <v>64.486999999999995</v>
      </c>
      <c r="AA1848" s="8">
        <v>22.92</v>
      </c>
      <c r="AB1848" s="8">
        <v>5.0650000000000004</v>
      </c>
      <c r="AC1848" s="8">
        <v>0</v>
      </c>
    </row>
    <row r="1849" spans="1:29" ht="11.65" hidden="1" x14ac:dyDescent="0.35">
      <c r="A1849" s="12">
        <v>1832</v>
      </c>
      <c r="B1849" s="10" t="s">
        <v>1015</v>
      </c>
      <c r="C1849" s="11" t="s">
        <v>1146</v>
      </c>
      <c r="D1849" s="9"/>
      <c r="E1849" s="9">
        <v>586</v>
      </c>
      <c r="F1849" s="10" t="s">
        <v>1066</v>
      </c>
      <c r="G1849" s="9">
        <v>5501</v>
      </c>
      <c r="H1849" s="9">
        <v>1955</v>
      </c>
      <c r="I1849" s="8">
        <v>2900.03</v>
      </c>
      <c r="J1849" s="8">
        <v>2491.5140000000001</v>
      </c>
      <c r="K1849" s="8">
        <v>2317.4670000000001</v>
      </c>
      <c r="L1849" s="8">
        <v>1946.9849999999999</v>
      </c>
      <c r="M1849" s="8">
        <v>1654.337</v>
      </c>
      <c r="N1849" s="8">
        <v>1397.2860000000001</v>
      </c>
      <c r="O1849" s="8">
        <v>1183.135</v>
      </c>
      <c r="P1849" s="8">
        <v>987.73099999999999</v>
      </c>
      <c r="Q1849" s="8">
        <v>822.51599999999996</v>
      </c>
      <c r="R1849" s="8">
        <v>661.77700000000004</v>
      </c>
      <c r="S1849" s="8">
        <v>541.15200000000004</v>
      </c>
      <c r="T1849" s="8">
        <v>426.97899999999998</v>
      </c>
      <c r="U1849" s="8">
        <v>355.67</v>
      </c>
      <c r="V1849" s="8">
        <v>304.02100000000002</v>
      </c>
      <c r="W1849" s="8">
        <v>239.976</v>
      </c>
      <c r="X1849" s="8">
        <v>177.608</v>
      </c>
      <c r="Y1849" s="8">
        <v>122.258</v>
      </c>
      <c r="Z1849" s="8">
        <v>60.744999999999997</v>
      </c>
      <c r="AA1849" s="8">
        <v>22.757999999999999</v>
      </c>
      <c r="AB1849" s="8">
        <v>5.6</v>
      </c>
      <c r="AC1849" s="8">
        <v>0.73099999999999998</v>
      </c>
    </row>
    <row r="1850" spans="1:29" ht="11.65" hidden="1" x14ac:dyDescent="0.35">
      <c r="A1850" s="12">
        <v>1833</v>
      </c>
      <c r="B1850" s="10" t="s">
        <v>1015</v>
      </c>
      <c r="C1850" s="11" t="s">
        <v>1146</v>
      </c>
      <c r="D1850" s="9"/>
      <c r="E1850" s="9">
        <v>586</v>
      </c>
      <c r="F1850" s="10" t="s">
        <v>1066</v>
      </c>
      <c r="G1850" s="9">
        <v>5501</v>
      </c>
      <c r="H1850" s="9">
        <v>1960</v>
      </c>
      <c r="I1850" s="8">
        <v>3510.8330000000001</v>
      </c>
      <c r="J1850" s="8">
        <v>2664.67</v>
      </c>
      <c r="K1850" s="8">
        <v>2424.1840000000002</v>
      </c>
      <c r="L1850" s="8">
        <v>2242.1350000000002</v>
      </c>
      <c r="M1850" s="8">
        <v>1870.9110000000001</v>
      </c>
      <c r="N1850" s="8">
        <v>1589.797</v>
      </c>
      <c r="O1850" s="8">
        <v>1339.395</v>
      </c>
      <c r="P1850" s="8">
        <v>1130.3889999999999</v>
      </c>
      <c r="Q1850" s="8">
        <v>938.76300000000003</v>
      </c>
      <c r="R1850" s="8">
        <v>775.52499999999998</v>
      </c>
      <c r="S1850" s="8">
        <v>616.45299999999997</v>
      </c>
      <c r="T1850" s="8">
        <v>494.22899999999998</v>
      </c>
      <c r="U1850" s="8">
        <v>381.49200000000002</v>
      </c>
      <c r="V1850" s="8">
        <v>306.17500000000001</v>
      </c>
      <c r="W1850" s="8">
        <v>240.703</v>
      </c>
      <c r="X1850" s="8">
        <v>167.113</v>
      </c>
      <c r="Y1850" s="8">
        <v>103.89100000000001</v>
      </c>
      <c r="Z1850" s="8">
        <v>56.466999999999999</v>
      </c>
      <c r="AA1850" s="8">
        <v>20.78</v>
      </c>
      <c r="AB1850" s="8">
        <v>5.3049999999999997</v>
      </c>
      <c r="AC1850" s="8">
        <v>0.85599999999999998</v>
      </c>
    </row>
    <row r="1851" spans="1:29" ht="11.65" hidden="1" x14ac:dyDescent="0.35">
      <c r="A1851" s="12">
        <v>1834</v>
      </c>
      <c r="B1851" s="10" t="s">
        <v>1015</v>
      </c>
      <c r="C1851" s="11" t="s">
        <v>1146</v>
      </c>
      <c r="D1851" s="9"/>
      <c r="E1851" s="9">
        <v>586</v>
      </c>
      <c r="F1851" s="10" t="s">
        <v>1066</v>
      </c>
      <c r="G1851" s="9">
        <v>5501</v>
      </c>
      <c r="H1851" s="9">
        <v>1965</v>
      </c>
      <c r="I1851" s="8">
        <v>4169.3540000000003</v>
      </c>
      <c r="J1851" s="8">
        <v>3283.0949999999998</v>
      </c>
      <c r="K1851" s="8">
        <v>2605.558</v>
      </c>
      <c r="L1851" s="8">
        <v>2357.3820000000001</v>
      </c>
      <c r="M1851" s="8">
        <v>2162.25</v>
      </c>
      <c r="N1851" s="8">
        <v>1803.35</v>
      </c>
      <c r="O1851" s="8">
        <v>1531.2090000000001</v>
      </c>
      <c r="P1851" s="8">
        <v>1286.7529999999999</v>
      </c>
      <c r="Q1851" s="8">
        <v>1080.8330000000001</v>
      </c>
      <c r="R1851" s="8">
        <v>890.97900000000004</v>
      </c>
      <c r="S1851" s="8">
        <v>727.67499999999995</v>
      </c>
      <c r="T1851" s="8">
        <v>567.24800000000005</v>
      </c>
      <c r="U1851" s="8">
        <v>444.33699999999999</v>
      </c>
      <c r="V1851" s="8">
        <v>330.06799999999998</v>
      </c>
      <c r="W1851" s="8">
        <v>243.816</v>
      </c>
      <c r="X1851" s="8">
        <v>168.38</v>
      </c>
      <c r="Y1851" s="8">
        <v>97.673000000000002</v>
      </c>
      <c r="Z1851" s="8">
        <v>47.603000000000002</v>
      </c>
      <c r="AA1851" s="8">
        <v>18.968</v>
      </c>
      <c r="AB1851" s="8">
        <v>4.6989999999999998</v>
      </c>
      <c r="AC1851" s="8">
        <v>0.8</v>
      </c>
    </row>
    <row r="1852" spans="1:29" ht="11.65" hidden="1" x14ac:dyDescent="0.35">
      <c r="A1852" s="12">
        <v>1835</v>
      </c>
      <c r="B1852" s="10" t="s">
        <v>1015</v>
      </c>
      <c r="C1852" s="11" t="s">
        <v>1146</v>
      </c>
      <c r="D1852" s="9"/>
      <c r="E1852" s="9">
        <v>586</v>
      </c>
      <c r="F1852" s="10" t="s">
        <v>1066</v>
      </c>
      <c r="G1852" s="9">
        <v>5501</v>
      </c>
      <c r="H1852" s="9">
        <v>1970</v>
      </c>
      <c r="I1852" s="8">
        <v>4820.4840000000004</v>
      </c>
      <c r="J1852" s="8">
        <v>3942.0329999999999</v>
      </c>
      <c r="K1852" s="8">
        <v>3222.74</v>
      </c>
      <c r="L1852" s="8">
        <v>2541.2759999999998</v>
      </c>
      <c r="M1852" s="8">
        <v>2274.721</v>
      </c>
      <c r="N1852" s="8">
        <v>2086.7539999999999</v>
      </c>
      <c r="O1852" s="8">
        <v>1742.1210000000001</v>
      </c>
      <c r="P1852" s="8">
        <v>1476.76</v>
      </c>
      <c r="Q1852" s="8">
        <v>1235.7660000000001</v>
      </c>
      <c r="R1852" s="8">
        <v>1031.009</v>
      </c>
      <c r="S1852" s="8">
        <v>840.85500000000002</v>
      </c>
      <c r="T1852" s="8">
        <v>673.89700000000005</v>
      </c>
      <c r="U1852" s="8">
        <v>512.72799999999995</v>
      </c>
      <c r="V1852" s="8">
        <v>386.15499999999997</v>
      </c>
      <c r="W1852" s="8">
        <v>264.11599999999999</v>
      </c>
      <c r="X1852" s="8">
        <v>171.12100000000001</v>
      </c>
      <c r="Y1852" s="8">
        <v>98.238</v>
      </c>
      <c r="Z1852" s="8">
        <v>44.408000000000001</v>
      </c>
      <c r="AA1852" s="8">
        <v>15.733000000000001</v>
      </c>
      <c r="AB1852" s="8">
        <v>4.1719999999999997</v>
      </c>
      <c r="AC1852" s="8">
        <v>0.68300000000000005</v>
      </c>
    </row>
    <row r="1853" spans="1:29" ht="11.65" hidden="1" x14ac:dyDescent="0.35">
      <c r="A1853" s="12">
        <v>1836</v>
      </c>
      <c r="B1853" s="10" t="s">
        <v>1015</v>
      </c>
      <c r="C1853" s="11" t="s">
        <v>1146</v>
      </c>
      <c r="D1853" s="9"/>
      <c r="E1853" s="9">
        <v>586</v>
      </c>
      <c r="F1853" s="10" t="s">
        <v>1066</v>
      </c>
      <c r="G1853" s="9">
        <v>5501</v>
      </c>
      <c r="H1853" s="9">
        <v>1975</v>
      </c>
      <c r="I1853" s="8">
        <v>5493.0020000000004</v>
      </c>
      <c r="J1853" s="8">
        <v>4592.7979999999998</v>
      </c>
      <c r="K1853" s="8">
        <v>3884.26</v>
      </c>
      <c r="L1853" s="8">
        <v>3163.8649999999998</v>
      </c>
      <c r="M1853" s="8">
        <v>2473.6579999999999</v>
      </c>
      <c r="N1853" s="8">
        <v>2212.9569999999999</v>
      </c>
      <c r="O1853" s="8">
        <v>2031.1579999999999</v>
      </c>
      <c r="P1853" s="8">
        <v>1692.326</v>
      </c>
      <c r="Q1853" s="8">
        <v>1428.819</v>
      </c>
      <c r="R1853" s="8">
        <v>1187.874</v>
      </c>
      <c r="S1853" s="8">
        <v>980.80600000000004</v>
      </c>
      <c r="T1853" s="8">
        <v>785.197</v>
      </c>
      <c r="U1853" s="8">
        <v>614.08900000000006</v>
      </c>
      <c r="V1853" s="8">
        <v>449.166</v>
      </c>
      <c r="W1853" s="8">
        <v>311.774</v>
      </c>
      <c r="X1853" s="8">
        <v>186.95</v>
      </c>
      <c r="Y1853" s="8">
        <v>100.502</v>
      </c>
      <c r="Z1853" s="8">
        <v>44.823</v>
      </c>
      <c r="AA1853" s="8">
        <v>14.656000000000001</v>
      </c>
      <c r="AB1853" s="8">
        <v>3.4359999999999999</v>
      </c>
      <c r="AC1853" s="8">
        <v>0.59599999999999997</v>
      </c>
    </row>
    <row r="1854" spans="1:29" ht="11.65" hidden="1" x14ac:dyDescent="0.35">
      <c r="A1854" s="12">
        <v>1837</v>
      </c>
      <c r="B1854" s="10" t="s">
        <v>1015</v>
      </c>
      <c r="C1854" s="11" t="s">
        <v>1146</v>
      </c>
      <c r="D1854" s="9"/>
      <c r="E1854" s="9">
        <v>586</v>
      </c>
      <c r="F1854" s="10" t="s">
        <v>1066</v>
      </c>
      <c r="G1854" s="9">
        <v>5501</v>
      </c>
      <c r="H1854" s="9">
        <v>1980</v>
      </c>
      <c r="I1854" s="8">
        <v>6425.1229999999996</v>
      </c>
      <c r="J1854" s="8">
        <v>5279.7560000000003</v>
      </c>
      <c r="K1854" s="8">
        <v>4549.0420000000004</v>
      </c>
      <c r="L1854" s="8">
        <v>3875.3449999999998</v>
      </c>
      <c r="M1854" s="8">
        <v>3184.2640000000001</v>
      </c>
      <c r="N1854" s="8">
        <v>2488.732</v>
      </c>
      <c r="O1854" s="8">
        <v>2203.0419999999999</v>
      </c>
      <c r="P1854" s="8">
        <v>2009.6859999999999</v>
      </c>
      <c r="Q1854" s="8">
        <v>1667.309</v>
      </c>
      <c r="R1854" s="8">
        <v>1397.8920000000001</v>
      </c>
      <c r="S1854" s="8">
        <v>1149.278</v>
      </c>
      <c r="T1854" s="8">
        <v>930.91</v>
      </c>
      <c r="U1854" s="8">
        <v>726.75199999999995</v>
      </c>
      <c r="V1854" s="8">
        <v>546.13900000000001</v>
      </c>
      <c r="W1854" s="8">
        <v>368.34699999999998</v>
      </c>
      <c r="X1854" s="8">
        <v>224.09800000000001</v>
      </c>
      <c r="Y1854" s="8">
        <v>111.77200000000001</v>
      </c>
      <c r="Z1854" s="8">
        <v>46.433</v>
      </c>
      <c r="AA1854" s="8">
        <v>14.813000000000001</v>
      </c>
      <c r="AB1854" s="8">
        <v>3.1920000000000002</v>
      </c>
      <c r="AC1854" s="8">
        <v>0.49199999999999999</v>
      </c>
    </row>
    <row r="1855" spans="1:29" ht="11.65" hidden="1" x14ac:dyDescent="0.35">
      <c r="A1855" s="12">
        <v>1838</v>
      </c>
      <c r="B1855" s="10" t="s">
        <v>1015</v>
      </c>
      <c r="C1855" s="11" t="s">
        <v>1146</v>
      </c>
      <c r="D1855" s="9"/>
      <c r="E1855" s="9">
        <v>586</v>
      </c>
      <c r="F1855" s="10" t="s">
        <v>1066</v>
      </c>
      <c r="G1855" s="9">
        <v>5501</v>
      </c>
      <c r="H1855" s="9">
        <v>1985</v>
      </c>
      <c r="I1855" s="8">
        <v>7610.0469999999996</v>
      </c>
      <c r="J1855" s="8">
        <v>6215.6139999999996</v>
      </c>
      <c r="K1855" s="8">
        <v>5248.366</v>
      </c>
      <c r="L1855" s="8">
        <v>4585</v>
      </c>
      <c r="M1855" s="8">
        <v>3973.8960000000002</v>
      </c>
      <c r="N1855" s="8">
        <v>3259.819</v>
      </c>
      <c r="O1855" s="8">
        <v>2516.6120000000001</v>
      </c>
      <c r="P1855" s="8">
        <v>2209.3679999999999</v>
      </c>
      <c r="Q1855" s="8">
        <v>2003.038</v>
      </c>
      <c r="R1855" s="8">
        <v>1650.365</v>
      </c>
      <c r="S1855" s="8">
        <v>1367.6769999999999</v>
      </c>
      <c r="T1855" s="8">
        <v>1102.7190000000001</v>
      </c>
      <c r="U1855" s="8">
        <v>870.48099999999999</v>
      </c>
      <c r="V1855" s="8">
        <v>652.98599999999999</v>
      </c>
      <c r="W1855" s="8">
        <v>452.77199999999999</v>
      </c>
      <c r="X1855" s="8">
        <v>267.88600000000002</v>
      </c>
      <c r="Y1855" s="8">
        <v>135.821</v>
      </c>
      <c r="Z1855" s="8">
        <v>52.27</v>
      </c>
      <c r="AA1855" s="8">
        <v>15.425000000000001</v>
      </c>
      <c r="AB1855" s="8">
        <v>3.2370000000000001</v>
      </c>
      <c r="AC1855" s="8">
        <v>0.45</v>
      </c>
    </row>
    <row r="1856" spans="1:29" ht="11.65" hidden="1" x14ac:dyDescent="0.35">
      <c r="A1856" s="12">
        <v>1839</v>
      </c>
      <c r="B1856" s="10" t="s">
        <v>1015</v>
      </c>
      <c r="C1856" s="11" t="s">
        <v>1146</v>
      </c>
      <c r="D1856" s="9"/>
      <c r="E1856" s="9">
        <v>586</v>
      </c>
      <c r="F1856" s="10" t="s">
        <v>1066</v>
      </c>
      <c r="G1856" s="9">
        <v>5501</v>
      </c>
      <c r="H1856" s="9">
        <v>1990</v>
      </c>
      <c r="I1856" s="8">
        <v>8975.8989999999994</v>
      </c>
      <c r="J1856" s="8">
        <v>7358.1760000000004</v>
      </c>
      <c r="K1856" s="8">
        <v>6165.759</v>
      </c>
      <c r="L1856" s="8">
        <v>5212.201</v>
      </c>
      <c r="M1856" s="8">
        <v>4546.7479999999996</v>
      </c>
      <c r="N1856" s="8">
        <v>3935.8719999999998</v>
      </c>
      <c r="O1856" s="8">
        <v>3221.4479999999999</v>
      </c>
      <c r="P1856" s="8">
        <v>2480.8530000000001</v>
      </c>
      <c r="Q1856" s="8">
        <v>2169.69</v>
      </c>
      <c r="R1856" s="8">
        <v>1954.9349999999999</v>
      </c>
      <c r="S1856" s="8">
        <v>1594.9860000000001</v>
      </c>
      <c r="T1856" s="8">
        <v>1299.1759999999999</v>
      </c>
      <c r="U1856" s="8">
        <v>1023.172</v>
      </c>
      <c r="V1856" s="8">
        <v>777.39200000000005</v>
      </c>
      <c r="W1856" s="8">
        <v>538.90499999999997</v>
      </c>
      <c r="X1856" s="8">
        <v>327.60399999999998</v>
      </c>
      <c r="Y1856" s="8">
        <v>160.4</v>
      </c>
      <c r="Z1856" s="8">
        <v>62.838000000000001</v>
      </c>
      <c r="AA1856" s="8">
        <v>17.315000000000001</v>
      </c>
      <c r="AB1856" s="8">
        <v>3.3410000000000002</v>
      </c>
      <c r="AC1856" s="8">
        <v>0.44800000000000001</v>
      </c>
    </row>
    <row r="1857" spans="1:29" ht="11.65" hidden="1" x14ac:dyDescent="0.35">
      <c r="A1857" s="12">
        <v>1840</v>
      </c>
      <c r="B1857" s="10" t="s">
        <v>1015</v>
      </c>
      <c r="C1857" s="11" t="s">
        <v>1146</v>
      </c>
      <c r="D1857" s="9"/>
      <c r="E1857" s="9">
        <v>586</v>
      </c>
      <c r="F1857" s="10" t="s">
        <v>1066</v>
      </c>
      <c r="G1857" s="9">
        <v>5501</v>
      </c>
      <c r="H1857" s="9">
        <v>1995</v>
      </c>
      <c r="I1857" s="8">
        <v>9992.5310000000009</v>
      </c>
      <c r="J1857" s="8">
        <v>8688.2260000000006</v>
      </c>
      <c r="K1857" s="8">
        <v>7289.19</v>
      </c>
      <c r="L1857" s="8">
        <v>6063.2830000000004</v>
      </c>
      <c r="M1857" s="8">
        <v>5052.8890000000001</v>
      </c>
      <c r="N1857" s="8">
        <v>4410.1369999999997</v>
      </c>
      <c r="O1857" s="8">
        <v>3840.4609999999998</v>
      </c>
      <c r="P1857" s="8">
        <v>3142.4169999999999</v>
      </c>
      <c r="Q1857" s="8">
        <v>2409.9749999999999</v>
      </c>
      <c r="R1857" s="8">
        <v>2097.33</v>
      </c>
      <c r="S1857" s="8">
        <v>1874.5129999999999</v>
      </c>
      <c r="T1857" s="8">
        <v>1505.2670000000001</v>
      </c>
      <c r="U1857" s="8">
        <v>1198.99</v>
      </c>
      <c r="V1857" s="8">
        <v>909.25099999999998</v>
      </c>
      <c r="W1857" s="8">
        <v>638.67999999999995</v>
      </c>
      <c r="X1857" s="8">
        <v>387.60399999999998</v>
      </c>
      <c r="Y1857" s="8">
        <v>193.626</v>
      </c>
      <c r="Z1857" s="8">
        <v>72.998999999999995</v>
      </c>
      <c r="AA1857" s="8">
        <v>20.452000000000002</v>
      </c>
      <c r="AB1857" s="8">
        <v>3.6469999999999998</v>
      </c>
      <c r="AC1857" s="8">
        <v>0.433</v>
      </c>
    </row>
    <row r="1858" spans="1:29" ht="11.65" hidden="1" x14ac:dyDescent="0.35">
      <c r="A1858" s="12">
        <v>1841</v>
      </c>
      <c r="B1858" s="10" t="s">
        <v>1015</v>
      </c>
      <c r="C1858" s="11" t="s">
        <v>1146</v>
      </c>
      <c r="D1858" s="9"/>
      <c r="E1858" s="9">
        <v>586</v>
      </c>
      <c r="F1858" s="10" t="s">
        <v>1066</v>
      </c>
      <c r="G1858" s="9">
        <v>5501</v>
      </c>
      <c r="H1858" s="9">
        <v>2000</v>
      </c>
      <c r="I1858" s="8">
        <v>10568.504999999999</v>
      </c>
      <c r="J1858" s="8">
        <v>9750.1419999999998</v>
      </c>
      <c r="K1858" s="8">
        <v>8634.2459999999992</v>
      </c>
      <c r="L1858" s="8">
        <v>7259.2430000000004</v>
      </c>
      <c r="M1858" s="8">
        <v>6048.0060000000003</v>
      </c>
      <c r="N1858" s="8">
        <v>5049.2759999999998</v>
      </c>
      <c r="O1858" s="8">
        <v>4401.049</v>
      </c>
      <c r="P1858" s="8">
        <v>3817.5430000000001</v>
      </c>
      <c r="Q1858" s="8">
        <v>3108.098</v>
      </c>
      <c r="R1858" s="8">
        <v>2367.34</v>
      </c>
      <c r="S1858" s="8">
        <v>2037.684</v>
      </c>
      <c r="T1858" s="8">
        <v>1789.675</v>
      </c>
      <c r="U1858" s="8">
        <v>1403.356</v>
      </c>
      <c r="V1858" s="8">
        <v>1074.6020000000001</v>
      </c>
      <c r="W1858" s="8">
        <v>752.78399999999999</v>
      </c>
      <c r="X1858" s="8">
        <v>462.30900000000003</v>
      </c>
      <c r="Y1858" s="8">
        <v>230.38800000000001</v>
      </c>
      <c r="Z1858" s="8">
        <v>87.793999999999997</v>
      </c>
      <c r="AA1858" s="8">
        <v>23.251000000000001</v>
      </c>
      <c r="AB1858" s="8">
        <v>4.1619999999999999</v>
      </c>
      <c r="AC1858" s="8">
        <v>0.437</v>
      </c>
    </row>
    <row r="1859" spans="1:29" ht="11.65" hidden="1" x14ac:dyDescent="0.35">
      <c r="A1859" s="12">
        <v>1842</v>
      </c>
      <c r="B1859" s="10" t="s">
        <v>1015</v>
      </c>
      <c r="C1859" s="11" t="s">
        <v>1146</v>
      </c>
      <c r="D1859" s="9"/>
      <c r="E1859" s="9">
        <v>586</v>
      </c>
      <c r="F1859" s="10" t="s">
        <v>1066</v>
      </c>
      <c r="G1859" s="9">
        <v>5501</v>
      </c>
      <c r="H1859" s="9">
        <v>2005</v>
      </c>
      <c r="I1859" s="8">
        <v>10897.203</v>
      </c>
      <c r="J1859" s="8">
        <v>10330.304</v>
      </c>
      <c r="K1859" s="8">
        <v>9681.5509999999995</v>
      </c>
      <c r="L1859" s="8">
        <v>8555.2860000000001</v>
      </c>
      <c r="M1859" s="8">
        <v>7145.52</v>
      </c>
      <c r="N1859" s="8">
        <v>5949.2830000000004</v>
      </c>
      <c r="O1859" s="8">
        <v>4977.2070000000003</v>
      </c>
      <c r="P1859" s="8">
        <v>4332.7179999999998</v>
      </c>
      <c r="Q1859" s="8">
        <v>3745.268</v>
      </c>
      <c r="R1859" s="8">
        <v>3030.895</v>
      </c>
      <c r="S1859" s="8">
        <v>2285.6480000000001</v>
      </c>
      <c r="T1859" s="8">
        <v>1936.701</v>
      </c>
      <c r="U1859" s="8">
        <v>1657.405</v>
      </c>
      <c r="V1859" s="8">
        <v>1244.8820000000001</v>
      </c>
      <c r="W1859" s="8">
        <v>888.44399999999996</v>
      </c>
      <c r="X1859" s="8">
        <v>554.71100000000001</v>
      </c>
      <c r="Y1859" s="8">
        <v>282.08499999999998</v>
      </c>
      <c r="Z1859" s="8">
        <v>103.633</v>
      </c>
      <c r="AA1859" s="8">
        <v>25.021000000000001</v>
      </c>
      <c r="AB1859" s="8">
        <v>3.6240000000000001</v>
      </c>
      <c r="AC1859" s="8">
        <v>0.39</v>
      </c>
    </row>
    <row r="1860" spans="1:29" ht="11.65" hidden="1" x14ac:dyDescent="0.35">
      <c r="A1860" s="12">
        <v>1843</v>
      </c>
      <c r="B1860" s="10" t="s">
        <v>1015</v>
      </c>
      <c r="C1860" s="11" t="s">
        <v>1146</v>
      </c>
      <c r="D1860" s="9"/>
      <c r="E1860" s="9">
        <v>586</v>
      </c>
      <c r="F1860" s="10" t="s">
        <v>1066</v>
      </c>
      <c r="G1860" s="9">
        <v>5501</v>
      </c>
      <c r="H1860" s="9">
        <v>2010</v>
      </c>
      <c r="I1860" s="8">
        <v>11566.352999999999</v>
      </c>
      <c r="J1860" s="8">
        <v>10692.129000000001</v>
      </c>
      <c r="K1860" s="8">
        <v>10268.578</v>
      </c>
      <c r="L1860" s="8">
        <v>9627.2129999999997</v>
      </c>
      <c r="M1860" s="8">
        <v>8479.8510000000006</v>
      </c>
      <c r="N1860" s="8">
        <v>7069.8530000000001</v>
      </c>
      <c r="O1860" s="8">
        <v>5884.3609999999999</v>
      </c>
      <c r="P1860" s="8">
        <v>4913.4250000000002</v>
      </c>
      <c r="Q1860" s="8">
        <v>4263.6729999999998</v>
      </c>
      <c r="R1860" s="8">
        <v>3664.605</v>
      </c>
      <c r="S1860" s="8">
        <v>2936.6179999999999</v>
      </c>
      <c r="T1860" s="8">
        <v>2178.674</v>
      </c>
      <c r="U1860" s="8">
        <v>1797.4960000000001</v>
      </c>
      <c r="V1860" s="8">
        <v>1472.5889999999999</v>
      </c>
      <c r="W1860" s="8">
        <v>1029.952</v>
      </c>
      <c r="X1860" s="8">
        <v>654.40899999999999</v>
      </c>
      <c r="Y1860" s="8">
        <v>338.10599999999999</v>
      </c>
      <c r="Z1860" s="8">
        <v>126.355</v>
      </c>
      <c r="AA1860" s="8">
        <v>29.234999999999999</v>
      </c>
      <c r="AB1860" s="8">
        <v>3.843</v>
      </c>
      <c r="AC1860" s="8">
        <v>0.33600000000000002</v>
      </c>
    </row>
    <row r="1861" spans="1:29" ht="11.65" hidden="1" x14ac:dyDescent="0.35">
      <c r="A1861" s="12">
        <v>1844</v>
      </c>
      <c r="B1861" s="10" t="s">
        <v>1015</v>
      </c>
      <c r="C1861" s="11" t="s">
        <v>1146</v>
      </c>
      <c r="D1861" s="9"/>
      <c r="E1861" s="9">
        <v>586</v>
      </c>
      <c r="F1861" s="10" t="s">
        <v>1066</v>
      </c>
      <c r="G1861" s="9">
        <v>5501</v>
      </c>
      <c r="H1861" s="9">
        <v>2015</v>
      </c>
      <c r="I1861" s="8">
        <v>12462.875</v>
      </c>
      <c r="J1861" s="8">
        <v>11365.781999999999</v>
      </c>
      <c r="K1861" s="8">
        <v>10624.888999999999</v>
      </c>
      <c r="L1861" s="8">
        <v>10182.669</v>
      </c>
      <c r="M1861" s="8">
        <v>9489.0380000000005</v>
      </c>
      <c r="N1861" s="8">
        <v>8341.2829999999994</v>
      </c>
      <c r="O1861" s="8">
        <v>6957.866</v>
      </c>
      <c r="P1861" s="8">
        <v>5789.5590000000002</v>
      </c>
      <c r="Q1861" s="8">
        <v>4828.5259999999998</v>
      </c>
      <c r="R1861" s="8">
        <v>4174.6139999999996</v>
      </c>
      <c r="S1861" s="8">
        <v>3558.877</v>
      </c>
      <c r="T1861" s="8">
        <v>2809.8110000000001</v>
      </c>
      <c r="U1861" s="8">
        <v>2028.2760000000001</v>
      </c>
      <c r="V1861" s="8">
        <v>1603.4179999999999</v>
      </c>
      <c r="W1861" s="8">
        <v>1225.403</v>
      </c>
      <c r="X1861" s="8">
        <v>761.41600000000005</v>
      </c>
      <c r="Y1861" s="8">
        <v>396.654</v>
      </c>
      <c r="Z1861" s="8">
        <v>147.58500000000001</v>
      </c>
      <c r="AA1861" s="8">
        <v>33.448999999999998</v>
      </c>
      <c r="AB1861" s="8">
        <v>3.9750000000000001</v>
      </c>
      <c r="AC1861" s="8">
        <v>0.29699999999999999</v>
      </c>
    </row>
    <row r="1862" spans="1:29" ht="11.65" hidden="1" x14ac:dyDescent="0.35">
      <c r="A1862" s="12">
        <v>1845</v>
      </c>
      <c r="B1862" s="10" t="s">
        <v>1015</v>
      </c>
      <c r="C1862" s="11" t="s">
        <v>1146</v>
      </c>
      <c r="D1862" s="9"/>
      <c r="E1862" s="9">
        <v>586</v>
      </c>
      <c r="F1862" s="10" t="s">
        <v>1066</v>
      </c>
      <c r="G1862" s="9">
        <v>5501</v>
      </c>
      <c r="H1862" s="9">
        <v>2020</v>
      </c>
      <c r="I1862" s="8">
        <v>13453.556</v>
      </c>
      <c r="J1862" s="8">
        <v>12273.189</v>
      </c>
      <c r="K1862" s="8">
        <v>11296.757</v>
      </c>
      <c r="L1862" s="8">
        <v>10532.903</v>
      </c>
      <c r="M1862" s="8">
        <v>10030.306</v>
      </c>
      <c r="N1862" s="8">
        <v>9337.0969999999998</v>
      </c>
      <c r="O1862" s="8">
        <v>8221.1589999999997</v>
      </c>
      <c r="P1862" s="8">
        <v>6853.3940000000002</v>
      </c>
      <c r="Q1862" s="8">
        <v>5692.6040000000003</v>
      </c>
      <c r="R1862" s="8">
        <v>4728.0450000000001</v>
      </c>
      <c r="S1862" s="8">
        <v>4054.0230000000001</v>
      </c>
      <c r="T1862" s="8">
        <v>3405.944</v>
      </c>
      <c r="U1862" s="8">
        <v>2613.0810000000001</v>
      </c>
      <c r="V1862" s="8">
        <v>1801.8610000000001</v>
      </c>
      <c r="W1862" s="8">
        <v>1333.665</v>
      </c>
      <c r="X1862" s="8">
        <v>913.61400000000003</v>
      </c>
      <c r="Y1862" s="8">
        <v>466.96899999999999</v>
      </c>
      <c r="Z1862" s="8">
        <v>171.74</v>
      </c>
      <c r="AA1862" s="8">
        <v>36.341000000000001</v>
      </c>
      <c r="AB1862" s="8">
        <v>3.8090000000000002</v>
      </c>
      <c r="AC1862" s="8">
        <v>0.26700000000000002</v>
      </c>
    </row>
    <row r="1863" spans="1:29" ht="11.65" hidden="1" x14ac:dyDescent="0.35">
      <c r="A1863" s="12">
        <v>1846</v>
      </c>
      <c r="B1863" s="10" t="s">
        <v>1015</v>
      </c>
      <c r="C1863" s="11" t="s">
        <v>1147</v>
      </c>
      <c r="D1863" s="9"/>
      <c r="E1863" s="9">
        <v>144</v>
      </c>
      <c r="F1863" s="10" t="s">
        <v>1066</v>
      </c>
      <c r="G1863" s="9">
        <v>5501</v>
      </c>
      <c r="H1863" s="9">
        <v>1950</v>
      </c>
      <c r="I1863" s="8">
        <v>619.26099999999997</v>
      </c>
      <c r="J1863" s="8">
        <v>478.60199999999998</v>
      </c>
      <c r="K1863" s="8">
        <v>404.26600000000002</v>
      </c>
      <c r="L1863" s="8">
        <v>351.904</v>
      </c>
      <c r="M1863" s="8">
        <v>313.45100000000002</v>
      </c>
      <c r="N1863" s="8">
        <v>268.43400000000003</v>
      </c>
      <c r="O1863" s="8">
        <v>217.69800000000001</v>
      </c>
      <c r="P1863" s="8">
        <v>181.24</v>
      </c>
      <c r="Q1863" s="8">
        <v>148.81299999999999</v>
      </c>
      <c r="R1863" s="8">
        <v>122.849</v>
      </c>
      <c r="S1863" s="8">
        <v>97.162999999999997</v>
      </c>
      <c r="T1863" s="8">
        <v>82.347999999999999</v>
      </c>
      <c r="U1863" s="8">
        <v>69.768000000000001</v>
      </c>
      <c r="V1863" s="8">
        <v>66.929000000000002</v>
      </c>
      <c r="W1863" s="8">
        <v>68.018000000000001</v>
      </c>
      <c r="X1863" s="8">
        <v>61.2</v>
      </c>
      <c r="Y1863" s="8">
        <v>54.174999999999997</v>
      </c>
      <c r="Z1863" s="8">
        <v>20.352</v>
      </c>
      <c r="AA1863" s="8">
        <v>4.5330000000000004</v>
      </c>
      <c r="AB1863" s="8">
        <v>0.51700000000000002</v>
      </c>
      <c r="AC1863" s="8">
        <v>0</v>
      </c>
    </row>
    <row r="1864" spans="1:29" ht="11.65" hidden="1" x14ac:dyDescent="0.35">
      <c r="A1864" s="12">
        <v>1847</v>
      </c>
      <c r="B1864" s="10" t="s">
        <v>1015</v>
      </c>
      <c r="C1864" s="11" t="s">
        <v>1147</v>
      </c>
      <c r="D1864" s="9"/>
      <c r="E1864" s="9">
        <v>144</v>
      </c>
      <c r="F1864" s="10" t="s">
        <v>1066</v>
      </c>
      <c r="G1864" s="9">
        <v>5501</v>
      </c>
      <c r="H1864" s="9">
        <v>1955</v>
      </c>
      <c r="I1864" s="8">
        <v>688.726</v>
      </c>
      <c r="J1864" s="8">
        <v>588.47799999999995</v>
      </c>
      <c r="K1864" s="8">
        <v>471.09199999999998</v>
      </c>
      <c r="L1864" s="8">
        <v>399.70800000000003</v>
      </c>
      <c r="M1864" s="8">
        <v>345.54399999999998</v>
      </c>
      <c r="N1864" s="8">
        <v>305.50299999999999</v>
      </c>
      <c r="O1864" s="8">
        <v>260.76900000000001</v>
      </c>
      <c r="P1864" s="8">
        <v>211.001</v>
      </c>
      <c r="Q1864" s="8">
        <v>175.52199999999999</v>
      </c>
      <c r="R1864" s="8">
        <v>143.77699999999999</v>
      </c>
      <c r="S1864" s="8">
        <v>117.636</v>
      </c>
      <c r="T1864" s="8">
        <v>91.52</v>
      </c>
      <c r="U1864" s="8">
        <v>75.561999999999998</v>
      </c>
      <c r="V1864" s="8">
        <v>60.96</v>
      </c>
      <c r="W1864" s="8">
        <v>53.198999999999998</v>
      </c>
      <c r="X1864" s="8">
        <v>47.912999999999997</v>
      </c>
      <c r="Y1864" s="8">
        <v>34.549999999999997</v>
      </c>
      <c r="Z1864" s="8">
        <v>20.241</v>
      </c>
      <c r="AA1864" s="8">
        <v>4.5350000000000001</v>
      </c>
      <c r="AB1864" s="8">
        <v>0.51900000000000002</v>
      </c>
      <c r="AC1864" s="8">
        <v>4.0000000000000001E-3</v>
      </c>
    </row>
    <row r="1865" spans="1:29" ht="11.65" hidden="1" x14ac:dyDescent="0.35">
      <c r="A1865" s="12">
        <v>1848</v>
      </c>
      <c r="B1865" s="10" t="s">
        <v>1015</v>
      </c>
      <c r="C1865" s="11" t="s">
        <v>1147</v>
      </c>
      <c r="D1865" s="9"/>
      <c r="E1865" s="9">
        <v>144</v>
      </c>
      <c r="F1865" s="10" t="s">
        <v>1066</v>
      </c>
      <c r="G1865" s="9">
        <v>5501</v>
      </c>
      <c r="H1865" s="9">
        <v>1960</v>
      </c>
      <c r="I1865" s="8">
        <v>804.755</v>
      </c>
      <c r="J1865" s="8">
        <v>659.34299999999996</v>
      </c>
      <c r="K1865" s="8">
        <v>579.11</v>
      </c>
      <c r="L1865" s="8">
        <v>464.61200000000002</v>
      </c>
      <c r="M1865" s="8">
        <v>391.80500000000001</v>
      </c>
      <c r="N1865" s="8">
        <v>336.10700000000003</v>
      </c>
      <c r="O1865" s="8">
        <v>296.18700000000001</v>
      </c>
      <c r="P1865" s="8">
        <v>252.435</v>
      </c>
      <c r="Q1865" s="8">
        <v>203.95099999999999</v>
      </c>
      <c r="R1865" s="8">
        <v>169.22900000000001</v>
      </c>
      <c r="S1865" s="8">
        <v>137.369</v>
      </c>
      <c r="T1865" s="8">
        <v>110.626</v>
      </c>
      <c r="U1865" s="8">
        <v>84.063000000000002</v>
      </c>
      <c r="V1865" s="8">
        <v>66.531999999999996</v>
      </c>
      <c r="W1865" s="8">
        <v>49.341000000000001</v>
      </c>
      <c r="X1865" s="8">
        <v>38.643000000000001</v>
      </c>
      <c r="Y1865" s="8">
        <v>28.221</v>
      </c>
      <c r="Z1865" s="8">
        <v>13.606</v>
      </c>
      <c r="AA1865" s="8">
        <v>4.766</v>
      </c>
      <c r="AB1865" s="8">
        <v>0.54600000000000004</v>
      </c>
      <c r="AC1865" s="8">
        <v>1.9E-2</v>
      </c>
    </row>
    <row r="1866" spans="1:29" ht="11.65" hidden="1" x14ac:dyDescent="0.35">
      <c r="A1866" s="12">
        <v>1849</v>
      </c>
      <c r="B1866" s="10" t="s">
        <v>1015</v>
      </c>
      <c r="C1866" s="11" t="s">
        <v>1147</v>
      </c>
      <c r="D1866" s="9"/>
      <c r="E1866" s="9">
        <v>144</v>
      </c>
      <c r="F1866" s="10" t="s">
        <v>1066</v>
      </c>
      <c r="G1866" s="9">
        <v>5501</v>
      </c>
      <c r="H1866" s="9">
        <v>1965</v>
      </c>
      <c r="I1866" s="8">
        <v>841.86699999999996</v>
      </c>
      <c r="J1866" s="8">
        <v>782.66300000000001</v>
      </c>
      <c r="K1866" s="8">
        <v>651.52599999999995</v>
      </c>
      <c r="L1866" s="8">
        <v>573.274</v>
      </c>
      <c r="M1866" s="8">
        <v>457.54199999999997</v>
      </c>
      <c r="N1866" s="8">
        <v>383.48200000000003</v>
      </c>
      <c r="O1866" s="8">
        <v>328.30399999999997</v>
      </c>
      <c r="P1866" s="8">
        <v>288.86099999999999</v>
      </c>
      <c r="Q1866" s="8">
        <v>245.61500000000001</v>
      </c>
      <c r="R1866" s="8">
        <v>197.56299999999999</v>
      </c>
      <c r="S1866" s="8">
        <v>162.66200000000001</v>
      </c>
      <c r="T1866" s="8">
        <v>130.00899999999999</v>
      </c>
      <c r="U1866" s="8">
        <v>102.255</v>
      </c>
      <c r="V1866" s="8">
        <v>73.656000000000006</v>
      </c>
      <c r="W1866" s="8">
        <v>52.927999999999997</v>
      </c>
      <c r="X1866" s="8">
        <v>34.725000000000001</v>
      </c>
      <c r="Y1866" s="8">
        <v>22.238</v>
      </c>
      <c r="Z1866" s="8">
        <v>12.103</v>
      </c>
      <c r="AA1866" s="8">
        <v>4.0389999999999997</v>
      </c>
      <c r="AB1866" s="8">
        <v>0.91200000000000003</v>
      </c>
      <c r="AC1866" s="8">
        <v>5.8999999999999997E-2</v>
      </c>
    </row>
    <row r="1867" spans="1:29" ht="11.65" hidden="1" x14ac:dyDescent="0.35">
      <c r="A1867" s="12">
        <v>1850</v>
      </c>
      <c r="B1867" s="10" t="s">
        <v>1015</v>
      </c>
      <c r="C1867" s="11" t="s">
        <v>1147</v>
      </c>
      <c r="D1867" s="9"/>
      <c r="E1867" s="9">
        <v>144</v>
      </c>
      <c r="F1867" s="10" t="s">
        <v>1066</v>
      </c>
      <c r="G1867" s="9">
        <v>5501</v>
      </c>
      <c r="H1867" s="9">
        <v>1970</v>
      </c>
      <c r="I1867" s="8">
        <v>887.95500000000004</v>
      </c>
      <c r="J1867" s="8">
        <v>823.00800000000004</v>
      </c>
      <c r="K1867" s="8">
        <v>775.18899999999996</v>
      </c>
      <c r="L1867" s="8">
        <v>646.08699999999999</v>
      </c>
      <c r="M1867" s="8">
        <v>566.47500000000002</v>
      </c>
      <c r="N1867" s="8">
        <v>450.12200000000001</v>
      </c>
      <c r="O1867" s="8">
        <v>376.61900000000003</v>
      </c>
      <c r="P1867" s="8">
        <v>321.87599999999998</v>
      </c>
      <c r="Q1867" s="8">
        <v>282.64499999999998</v>
      </c>
      <c r="R1867" s="8">
        <v>239.36799999999999</v>
      </c>
      <c r="S1867" s="8">
        <v>190.92</v>
      </c>
      <c r="T1867" s="8">
        <v>154.935</v>
      </c>
      <c r="U1867" s="8">
        <v>121.04900000000001</v>
      </c>
      <c r="V1867" s="8">
        <v>90.730999999999995</v>
      </c>
      <c r="W1867" s="8">
        <v>59.438000000000002</v>
      </c>
      <c r="X1867" s="8">
        <v>37.734000000000002</v>
      </c>
      <c r="Y1867" s="8">
        <v>19.853000000000002</v>
      </c>
      <c r="Z1867" s="8">
        <v>8.73</v>
      </c>
      <c r="AA1867" s="8">
        <v>2.9630000000000001</v>
      </c>
      <c r="AB1867" s="8">
        <v>0.53900000000000003</v>
      </c>
      <c r="AC1867" s="8">
        <v>6.4000000000000001E-2</v>
      </c>
    </row>
    <row r="1868" spans="1:29" ht="11.65" hidden="1" x14ac:dyDescent="0.35">
      <c r="A1868" s="12">
        <v>1851</v>
      </c>
      <c r="B1868" s="10" t="s">
        <v>1015</v>
      </c>
      <c r="C1868" s="11" t="s">
        <v>1147</v>
      </c>
      <c r="D1868" s="9"/>
      <c r="E1868" s="9">
        <v>144</v>
      </c>
      <c r="F1868" s="10" t="s">
        <v>1066</v>
      </c>
      <c r="G1868" s="9">
        <v>5501</v>
      </c>
      <c r="H1868" s="9">
        <v>1975</v>
      </c>
      <c r="I1868" s="8">
        <v>879.47699999999998</v>
      </c>
      <c r="J1868" s="8">
        <v>867.952</v>
      </c>
      <c r="K1868" s="8">
        <v>811.03399999999999</v>
      </c>
      <c r="L1868" s="8">
        <v>764.49</v>
      </c>
      <c r="M1868" s="8">
        <v>634.45000000000005</v>
      </c>
      <c r="N1868" s="8">
        <v>553.45699999999999</v>
      </c>
      <c r="O1868" s="8">
        <v>438.15199999999999</v>
      </c>
      <c r="P1868" s="8">
        <v>365.99299999999999</v>
      </c>
      <c r="Q1868" s="8">
        <v>312.31700000000001</v>
      </c>
      <c r="R1868" s="8">
        <v>273.47800000000001</v>
      </c>
      <c r="S1868" s="8">
        <v>229.49199999999999</v>
      </c>
      <c r="T1868" s="8">
        <v>180.30500000000001</v>
      </c>
      <c r="U1868" s="8">
        <v>143.32300000000001</v>
      </c>
      <c r="V1868" s="8">
        <v>107.73699999999999</v>
      </c>
      <c r="W1868" s="8">
        <v>74.742000000000004</v>
      </c>
      <c r="X1868" s="8">
        <v>44.179000000000002</v>
      </c>
      <c r="Y1868" s="8">
        <v>23.312999999999999</v>
      </c>
      <c r="Z1868" s="8">
        <v>8.7569999999999997</v>
      </c>
      <c r="AA1868" s="8">
        <v>2.4980000000000002</v>
      </c>
      <c r="AB1868" s="8">
        <v>0.49399999999999999</v>
      </c>
      <c r="AC1868" s="8">
        <v>5.5E-2</v>
      </c>
    </row>
    <row r="1869" spans="1:29" ht="11.65" hidden="1" x14ac:dyDescent="0.35">
      <c r="A1869" s="12">
        <v>1852</v>
      </c>
      <c r="B1869" s="10" t="s">
        <v>1015</v>
      </c>
      <c r="C1869" s="11" t="s">
        <v>1147</v>
      </c>
      <c r="D1869" s="9"/>
      <c r="E1869" s="9">
        <v>144</v>
      </c>
      <c r="F1869" s="10" t="s">
        <v>1066</v>
      </c>
      <c r="G1869" s="9">
        <v>5501</v>
      </c>
      <c r="H1869" s="9">
        <v>1980</v>
      </c>
      <c r="I1869" s="8">
        <v>938.94100000000003</v>
      </c>
      <c r="J1869" s="8">
        <v>862.57399999999996</v>
      </c>
      <c r="K1869" s="8">
        <v>855.15800000000002</v>
      </c>
      <c r="L1869" s="8">
        <v>797.39499999999998</v>
      </c>
      <c r="M1869" s="8">
        <v>744.78499999999997</v>
      </c>
      <c r="N1869" s="8">
        <v>611.28300000000002</v>
      </c>
      <c r="O1869" s="8">
        <v>528.67200000000003</v>
      </c>
      <c r="P1869" s="8">
        <v>416.39499999999998</v>
      </c>
      <c r="Q1869" s="8">
        <v>351.20400000000001</v>
      </c>
      <c r="R1869" s="8">
        <v>301.51299999999998</v>
      </c>
      <c r="S1869" s="8">
        <v>262.64699999999999</v>
      </c>
      <c r="T1869" s="8">
        <v>217.29300000000001</v>
      </c>
      <c r="U1869" s="8">
        <v>167.137</v>
      </c>
      <c r="V1869" s="8">
        <v>128.19900000000001</v>
      </c>
      <c r="W1869" s="8">
        <v>90.591999999999999</v>
      </c>
      <c r="X1869" s="8">
        <v>55.012999999999998</v>
      </c>
      <c r="Y1869" s="8">
        <v>26.4</v>
      </c>
      <c r="Z1869" s="8">
        <v>10.821999999999999</v>
      </c>
      <c r="AA1869" s="8">
        <v>2.847</v>
      </c>
      <c r="AB1869" s="8">
        <v>0.53600000000000003</v>
      </c>
      <c r="AC1869" s="8">
        <v>6.7000000000000004E-2</v>
      </c>
    </row>
    <row r="1870" spans="1:29" ht="11.65" hidden="1" x14ac:dyDescent="0.35">
      <c r="A1870" s="12">
        <v>1853</v>
      </c>
      <c r="B1870" s="10" t="s">
        <v>1015</v>
      </c>
      <c r="C1870" s="11" t="s">
        <v>1147</v>
      </c>
      <c r="D1870" s="9"/>
      <c r="E1870" s="9">
        <v>144</v>
      </c>
      <c r="F1870" s="10" t="s">
        <v>1066</v>
      </c>
      <c r="G1870" s="9">
        <v>5501</v>
      </c>
      <c r="H1870" s="9">
        <v>1985</v>
      </c>
      <c r="I1870" s="8">
        <v>951</v>
      </c>
      <c r="J1870" s="8">
        <v>921.26</v>
      </c>
      <c r="K1870" s="8">
        <v>846.37400000000002</v>
      </c>
      <c r="L1870" s="8">
        <v>836.01700000000005</v>
      </c>
      <c r="M1870" s="8">
        <v>769.024</v>
      </c>
      <c r="N1870" s="8">
        <v>710.42499999999995</v>
      </c>
      <c r="O1870" s="8">
        <v>575.178</v>
      </c>
      <c r="P1870" s="8">
        <v>496.33800000000002</v>
      </c>
      <c r="Q1870" s="8">
        <v>395.37599999999998</v>
      </c>
      <c r="R1870" s="8">
        <v>337.28699999999998</v>
      </c>
      <c r="S1870" s="8">
        <v>288.79700000000003</v>
      </c>
      <c r="T1870" s="8">
        <v>248.74700000000001</v>
      </c>
      <c r="U1870" s="8">
        <v>202.393</v>
      </c>
      <c r="V1870" s="8">
        <v>150.947</v>
      </c>
      <c r="W1870" s="8">
        <v>109.17700000000001</v>
      </c>
      <c r="X1870" s="8">
        <v>70.894999999999996</v>
      </c>
      <c r="Y1870" s="8">
        <v>36.048999999999999</v>
      </c>
      <c r="Z1870" s="8">
        <v>12.2</v>
      </c>
      <c r="AA1870" s="8">
        <v>3.093</v>
      </c>
      <c r="AB1870" s="8">
        <v>0.44500000000000001</v>
      </c>
      <c r="AC1870" s="8">
        <v>0.05</v>
      </c>
    </row>
    <row r="1871" spans="1:29" ht="11.65" hidden="1" x14ac:dyDescent="0.35">
      <c r="A1871" s="12">
        <v>1854</v>
      </c>
      <c r="B1871" s="10" t="s">
        <v>1015</v>
      </c>
      <c r="C1871" s="11" t="s">
        <v>1147</v>
      </c>
      <c r="D1871" s="9"/>
      <c r="E1871" s="9">
        <v>144</v>
      </c>
      <c r="F1871" s="10" t="s">
        <v>1066</v>
      </c>
      <c r="G1871" s="9">
        <v>5501</v>
      </c>
      <c r="H1871" s="9">
        <v>1990</v>
      </c>
      <c r="I1871" s="8">
        <v>871.37</v>
      </c>
      <c r="J1871" s="8">
        <v>942.51700000000005</v>
      </c>
      <c r="K1871" s="8">
        <v>914.92200000000003</v>
      </c>
      <c r="L1871" s="8">
        <v>838.61500000000001</v>
      </c>
      <c r="M1871" s="8">
        <v>821.79600000000005</v>
      </c>
      <c r="N1871" s="8">
        <v>750.17200000000003</v>
      </c>
      <c r="O1871" s="8">
        <v>692.08699999999999</v>
      </c>
      <c r="P1871" s="8">
        <v>560.62</v>
      </c>
      <c r="Q1871" s="8">
        <v>485.78399999999999</v>
      </c>
      <c r="R1871" s="8">
        <v>386.96</v>
      </c>
      <c r="S1871" s="8">
        <v>328.41699999999997</v>
      </c>
      <c r="T1871" s="8">
        <v>278.41699999999997</v>
      </c>
      <c r="U1871" s="8">
        <v>235.542</v>
      </c>
      <c r="V1871" s="8">
        <v>185.05099999999999</v>
      </c>
      <c r="W1871" s="8">
        <v>128.99700000000001</v>
      </c>
      <c r="X1871" s="8">
        <v>85.38</v>
      </c>
      <c r="Y1871" s="8">
        <v>47.570999999999998</v>
      </c>
      <c r="Z1871" s="8">
        <v>18.405999999999999</v>
      </c>
      <c r="AA1871" s="8">
        <v>4.343</v>
      </c>
      <c r="AB1871" s="8">
        <v>0.70099999999999996</v>
      </c>
      <c r="AC1871" s="8">
        <v>0.06</v>
      </c>
    </row>
    <row r="1872" spans="1:29" ht="11.65" hidden="1" x14ac:dyDescent="0.35">
      <c r="A1872" s="12">
        <v>1855</v>
      </c>
      <c r="B1872" s="10" t="s">
        <v>1015</v>
      </c>
      <c r="C1872" s="11" t="s">
        <v>1147</v>
      </c>
      <c r="D1872" s="9"/>
      <c r="E1872" s="9">
        <v>144</v>
      </c>
      <c r="F1872" s="10" t="s">
        <v>1066</v>
      </c>
      <c r="G1872" s="9">
        <v>5501</v>
      </c>
      <c r="H1872" s="9">
        <v>1995</v>
      </c>
      <c r="I1872" s="8">
        <v>843.62800000000004</v>
      </c>
      <c r="J1872" s="8">
        <v>862.93399999999997</v>
      </c>
      <c r="K1872" s="8">
        <v>933.95100000000002</v>
      </c>
      <c r="L1872" s="8">
        <v>903.49199999999996</v>
      </c>
      <c r="M1872" s="8">
        <v>817.68799999999999</v>
      </c>
      <c r="N1872" s="8">
        <v>792.34900000000005</v>
      </c>
      <c r="O1872" s="8">
        <v>720.803</v>
      </c>
      <c r="P1872" s="8">
        <v>669.08399999999995</v>
      </c>
      <c r="Q1872" s="8">
        <v>545.55799999999999</v>
      </c>
      <c r="R1872" s="8">
        <v>473.75299999999999</v>
      </c>
      <c r="S1872" s="8">
        <v>375.78899999999999</v>
      </c>
      <c r="T1872" s="8">
        <v>316.37900000000002</v>
      </c>
      <c r="U1872" s="8">
        <v>263.47000000000003</v>
      </c>
      <c r="V1872" s="8">
        <v>214.398</v>
      </c>
      <c r="W1872" s="8">
        <v>156.61099999999999</v>
      </c>
      <c r="X1872" s="8">
        <v>99.302000000000007</v>
      </c>
      <c r="Y1872" s="8">
        <v>56.981000000000002</v>
      </c>
      <c r="Z1872" s="8">
        <v>25.207000000000001</v>
      </c>
      <c r="AA1872" s="8">
        <v>7.28</v>
      </c>
      <c r="AB1872" s="8">
        <v>1.1990000000000001</v>
      </c>
      <c r="AC1872" s="8">
        <v>0.126</v>
      </c>
    </row>
    <row r="1873" spans="1:29" ht="11.65" hidden="1" x14ac:dyDescent="0.35">
      <c r="A1873" s="12">
        <v>1856</v>
      </c>
      <c r="B1873" s="10" t="s">
        <v>1015</v>
      </c>
      <c r="C1873" s="11" t="s">
        <v>1147</v>
      </c>
      <c r="D1873" s="9"/>
      <c r="E1873" s="9">
        <v>144</v>
      </c>
      <c r="F1873" s="10" t="s">
        <v>1066</v>
      </c>
      <c r="G1873" s="9">
        <v>5501</v>
      </c>
      <c r="H1873" s="9">
        <v>2000</v>
      </c>
      <c r="I1873" s="8">
        <v>804.15899999999999</v>
      </c>
      <c r="J1873" s="8">
        <v>811.83900000000006</v>
      </c>
      <c r="K1873" s="8">
        <v>847.55899999999997</v>
      </c>
      <c r="L1873" s="8">
        <v>915.875</v>
      </c>
      <c r="M1873" s="8">
        <v>860.78200000000004</v>
      </c>
      <c r="N1873" s="8">
        <v>753.09699999999998</v>
      </c>
      <c r="O1873" s="8">
        <v>742.221</v>
      </c>
      <c r="P1873" s="8">
        <v>699.22</v>
      </c>
      <c r="Q1873" s="8">
        <v>657.17200000000003</v>
      </c>
      <c r="R1873" s="8">
        <v>547.81100000000004</v>
      </c>
      <c r="S1873" s="8">
        <v>489.029</v>
      </c>
      <c r="T1873" s="8">
        <v>378.46699999999998</v>
      </c>
      <c r="U1873" s="8">
        <v>294.96499999999997</v>
      </c>
      <c r="V1873" s="8">
        <v>227.48500000000001</v>
      </c>
      <c r="W1873" s="8">
        <v>171.08</v>
      </c>
      <c r="X1873" s="8">
        <v>113.629</v>
      </c>
      <c r="Y1873" s="8">
        <v>61.052999999999997</v>
      </c>
      <c r="Z1873" s="8">
        <v>26.387</v>
      </c>
      <c r="AA1873" s="8">
        <v>8.1530000000000005</v>
      </c>
      <c r="AB1873" s="8">
        <v>1.5289999999999999</v>
      </c>
      <c r="AC1873" s="8">
        <v>0.155</v>
      </c>
    </row>
    <row r="1874" spans="1:29" ht="11.65" hidden="1" x14ac:dyDescent="0.35">
      <c r="A1874" s="12">
        <v>1857</v>
      </c>
      <c r="B1874" s="10" t="s">
        <v>1015</v>
      </c>
      <c r="C1874" s="11" t="s">
        <v>1147</v>
      </c>
      <c r="D1874" s="9"/>
      <c r="E1874" s="9">
        <v>144</v>
      </c>
      <c r="F1874" s="10" t="s">
        <v>1066</v>
      </c>
      <c r="G1874" s="9">
        <v>5501</v>
      </c>
      <c r="H1874" s="9">
        <v>2005</v>
      </c>
      <c r="I1874" s="8">
        <v>857.16200000000003</v>
      </c>
      <c r="J1874" s="8">
        <v>796.10900000000004</v>
      </c>
      <c r="K1874" s="8">
        <v>806.44500000000005</v>
      </c>
      <c r="L1874" s="8">
        <v>836.12199999999996</v>
      </c>
      <c r="M1874" s="8">
        <v>889.505</v>
      </c>
      <c r="N1874" s="8">
        <v>836.68100000000004</v>
      </c>
      <c r="O1874" s="8">
        <v>732.79600000000005</v>
      </c>
      <c r="P1874" s="8">
        <v>719.28200000000004</v>
      </c>
      <c r="Q1874" s="8">
        <v>680.22299999999996</v>
      </c>
      <c r="R1874" s="8">
        <v>641.29</v>
      </c>
      <c r="S1874" s="8">
        <v>537.38900000000001</v>
      </c>
      <c r="T1874" s="8">
        <v>482.21800000000002</v>
      </c>
      <c r="U1874" s="8">
        <v>364.49799999999999</v>
      </c>
      <c r="V1874" s="8">
        <v>266.82499999999999</v>
      </c>
      <c r="W1874" s="8">
        <v>194.75200000000001</v>
      </c>
      <c r="X1874" s="8">
        <v>138.691</v>
      </c>
      <c r="Y1874" s="8">
        <v>82.153999999999996</v>
      </c>
      <c r="Z1874" s="8">
        <v>33.79</v>
      </c>
      <c r="AA1874" s="8">
        <v>9.0640000000000001</v>
      </c>
      <c r="AB1874" s="8">
        <v>1.397</v>
      </c>
      <c r="AC1874" s="8">
        <v>0.11799999999999999</v>
      </c>
    </row>
    <row r="1875" spans="1:29" ht="11.65" hidden="1" x14ac:dyDescent="0.35">
      <c r="A1875" s="12">
        <v>1858</v>
      </c>
      <c r="B1875" s="10" t="s">
        <v>1015</v>
      </c>
      <c r="C1875" s="11" t="s">
        <v>1147</v>
      </c>
      <c r="D1875" s="9"/>
      <c r="E1875" s="9">
        <v>144</v>
      </c>
      <c r="F1875" s="10" t="s">
        <v>1066</v>
      </c>
      <c r="G1875" s="9">
        <v>5501</v>
      </c>
      <c r="H1875" s="9">
        <v>2010</v>
      </c>
      <c r="I1875" s="8">
        <v>883.31899999999996</v>
      </c>
      <c r="J1875" s="8">
        <v>859.76499999999999</v>
      </c>
      <c r="K1875" s="8">
        <v>802.99099999999999</v>
      </c>
      <c r="L1875" s="8">
        <v>815.30100000000004</v>
      </c>
      <c r="M1875" s="8">
        <v>812.59500000000003</v>
      </c>
      <c r="N1875" s="8">
        <v>840.13099999999997</v>
      </c>
      <c r="O1875" s="8">
        <v>822.88</v>
      </c>
      <c r="P1875" s="8">
        <v>709.846</v>
      </c>
      <c r="Q1875" s="8">
        <v>683.649</v>
      </c>
      <c r="R1875" s="8">
        <v>661.34699999999998</v>
      </c>
      <c r="S1875" s="8">
        <v>627.21299999999997</v>
      </c>
      <c r="T1875" s="8">
        <v>537.07399999999996</v>
      </c>
      <c r="U1875" s="8">
        <v>486.51100000000002</v>
      </c>
      <c r="V1875" s="8">
        <v>332.036</v>
      </c>
      <c r="W1875" s="8">
        <v>201.327</v>
      </c>
      <c r="X1875" s="8">
        <v>152.69</v>
      </c>
      <c r="Y1875" s="8">
        <v>106.595</v>
      </c>
      <c r="Z1875" s="8">
        <v>46.420999999999999</v>
      </c>
      <c r="AA1875" s="8">
        <v>11.997</v>
      </c>
      <c r="AB1875" s="8">
        <v>1.6259999999999999</v>
      </c>
      <c r="AC1875" s="8">
        <v>0.111</v>
      </c>
    </row>
    <row r="1876" spans="1:29" ht="11.65" hidden="1" x14ac:dyDescent="0.35">
      <c r="A1876" s="12">
        <v>1859</v>
      </c>
      <c r="B1876" s="10" t="s">
        <v>1015</v>
      </c>
      <c r="C1876" s="11" t="s">
        <v>1147</v>
      </c>
      <c r="D1876" s="9"/>
      <c r="E1876" s="9">
        <v>144</v>
      </c>
      <c r="F1876" s="10" t="s">
        <v>1066</v>
      </c>
      <c r="G1876" s="9">
        <v>5501</v>
      </c>
      <c r="H1876" s="9">
        <v>2015</v>
      </c>
      <c r="I1876" s="8">
        <v>850.89800000000002</v>
      </c>
      <c r="J1876" s="8">
        <v>869.50300000000004</v>
      </c>
      <c r="K1876" s="8">
        <v>849.76099999999997</v>
      </c>
      <c r="L1876" s="8">
        <v>790.34400000000005</v>
      </c>
      <c r="M1876" s="8">
        <v>785.65899999999999</v>
      </c>
      <c r="N1876" s="8">
        <v>770.35699999999997</v>
      </c>
      <c r="O1876" s="8">
        <v>807.53200000000004</v>
      </c>
      <c r="P1876" s="8">
        <v>805.31600000000003</v>
      </c>
      <c r="Q1876" s="8">
        <v>700.16700000000003</v>
      </c>
      <c r="R1876" s="8">
        <v>679.74099999999999</v>
      </c>
      <c r="S1876" s="8">
        <v>657.32500000000005</v>
      </c>
      <c r="T1876" s="8">
        <v>617.43499999999995</v>
      </c>
      <c r="U1876" s="8">
        <v>521.56899999999996</v>
      </c>
      <c r="V1876" s="8">
        <v>459.858</v>
      </c>
      <c r="W1876" s="8">
        <v>297.96600000000001</v>
      </c>
      <c r="X1876" s="8">
        <v>170.49799999999999</v>
      </c>
      <c r="Y1876" s="8">
        <v>115.57599999999999</v>
      </c>
      <c r="Z1876" s="8">
        <v>61.454999999999998</v>
      </c>
      <c r="AA1876" s="8">
        <v>17.018000000000001</v>
      </c>
      <c r="AB1876" s="8">
        <v>2.2509999999999999</v>
      </c>
      <c r="AC1876" s="8">
        <v>0.13300000000000001</v>
      </c>
    </row>
    <row r="1877" spans="1:29" ht="11.65" hidden="1" x14ac:dyDescent="0.35">
      <c r="A1877" s="12">
        <v>1860</v>
      </c>
      <c r="B1877" s="10" t="s">
        <v>1015</v>
      </c>
      <c r="C1877" s="11" t="s">
        <v>1147</v>
      </c>
      <c r="D1877" s="9"/>
      <c r="E1877" s="9">
        <v>144</v>
      </c>
      <c r="F1877" s="10" t="s">
        <v>1066</v>
      </c>
      <c r="G1877" s="9">
        <v>5501</v>
      </c>
      <c r="H1877" s="9">
        <v>2020</v>
      </c>
      <c r="I1877" s="8">
        <v>816.07799999999997</v>
      </c>
      <c r="J1877" s="8">
        <v>833.57100000000003</v>
      </c>
      <c r="K1877" s="8">
        <v>857.09799999999996</v>
      </c>
      <c r="L1877" s="8">
        <v>833.94399999999996</v>
      </c>
      <c r="M1877" s="8">
        <v>752.76300000000003</v>
      </c>
      <c r="N1877" s="8">
        <v>731.64400000000001</v>
      </c>
      <c r="O1877" s="8">
        <v>729.10500000000002</v>
      </c>
      <c r="P1877" s="8">
        <v>785.98699999999997</v>
      </c>
      <c r="Q1877" s="8">
        <v>793.74599999999998</v>
      </c>
      <c r="R1877" s="8">
        <v>696.971</v>
      </c>
      <c r="S1877" s="8">
        <v>677.375</v>
      </c>
      <c r="T1877" s="8">
        <v>648.36500000000001</v>
      </c>
      <c r="U1877" s="8">
        <v>600.76099999999997</v>
      </c>
      <c r="V1877" s="8">
        <v>493.916</v>
      </c>
      <c r="W1877" s="8">
        <v>415.17700000000002</v>
      </c>
      <c r="X1877" s="8">
        <v>254.239</v>
      </c>
      <c r="Y1877" s="8">
        <v>130.45599999999999</v>
      </c>
      <c r="Z1877" s="8">
        <v>67.932000000000002</v>
      </c>
      <c r="AA1877" s="8">
        <v>23.242999999999999</v>
      </c>
      <c r="AB1877" s="8">
        <v>3.3359999999999999</v>
      </c>
      <c r="AC1877" s="8">
        <v>0.192</v>
      </c>
    </row>
    <row r="1878" spans="1:29" ht="11.65" hidden="1" x14ac:dyDescent="0.35">
      <c r="A1878" s="28">
        <v>1861</v>
      </c>
      <c r="B1878" s="26" t="s">
        <v>1015</v>
      </c>
      <c r="C1878" s="27" t="s">
        <v>1148</v>
      </c>
      <c r="D1878" s="25"/>
      <c r="E1878" s="25">
        <v>1832</v>
      </c>
      <c r="F1878" s="26" t="s">
        <v>1063</v>
      </c>
      <c r="G1878" s="25">
        <v>1828</v>
      </c>
      <c r="H1878" s="25">
        <v>1950</v>
      </c>
      <c r="I1878" s="24">
        <v>57645.796999999999</v>
      </c>
      <c r="J1878" s="24">
        <v>44431.622000000003</v>
      </c>
      <c r="K1878" s="24">
        <v>41731.949999999997</v>
      </c>
      <c r="L1878" s="24">
        <v>39492.249000000003</v>
      </c>
      <c r="M1878" s="24">
        <v>34709.148000000001</v>
      </c>
      <c r="N1878" s="24">
        <v>31146.646000000001</v>
      </c>
      <c r="O1878" s="24">
        <v>29102.656999999999</v>
      </c>
      <c r="P1878" s="24">
        <v>26455.412</v>
      </c>
      <c r="Q1878" s="24">
        <v>23054.272000000001</v>
      </c>
      <c r="R1878" s="24">
        <v>20348.493999999999</v>
      </c>
      <c r="S1878" s="24">
        <v>16550.897000000001</v>
      </c>
      <c r="T1878" s="24">
        <v>14895.288</v>
      </c>
      <c r="U1878" s="24">
        <v>12136.079</v>
      </c>
      <c r="V1878" s="24">
        <v>9569.14</v>
      </c>
      <c r="W1878" s="24">
        <v>5959.0749999999998</v>
      </c>
      <c r="X1878" s="24">
        <v>3322.4059999999999</v>
      </c>
      <c r="Y1878" s="24">
        <v>1306.664</v>
      </c>
      <c r="Z1878" s="24">
        <v>324.07799999999997</v>
      </c>
      <c r="AA1878" s="24">
        <v>69.301000000000002</v>
      </c>
      <c r="AB1878" s="24">
        <v>11.074999999999999</v>
      </c>
      <c r="AC1878" s="24">
        <v>1.6559999999999999</v>
      </c>
    </row>
    <row r="1879" spans="1:29" ht="11.65" hidden="1" x14ac:dyDescent="0.35">
      <c r="A1879" s="28">
        <v>1862</v>
      </c>
      <c r="B1879" s="26" t="s">
        <v>1015</v>
      </c>
      <c r="C1879" s="27" t="s">
        <v>1148</v>
      </c>
      <c r="D1879" s="25"/>
      <c r="E1879" s="25">
        <v>1832</v>
      </c>
      <c r="F1879" s="26" t="s">
        <v>1063</v>
      </c>
      <c r="G1879" s="25">
        <v>1828</v>
      </c>
      <c r="H1879" s="25">
        <v>1955</v>
      </c>
      <c r="I1879" s="24">
        <v>73806.06</v>
      </c>
      <c r="J1879" s="24">
        <v>53929.525000000001</v>
      </c>
      <c r="K1879" s="24">
        <v>43280.383999999998</v>
      </c>
      <c r="L1879" s="24">
        <v>40882.567999999999</v>
      </c>
      <c r="M1879" s="24">
        <v>38522.735999999997</v>
      </c>
      <c r="N1879" s="24">
        <v>33640.201000000001</v>
      </c>
      <c r="O1879" s="24">
        <v>30015.305</v>
      </c>
      <c r="P1879" s="24">
        <v>27917.253000000001</v>
      </c>
      <c r="Q1879" s="24">
        <v>25106.93</v>
      </c>
      <c r="R1879" s="24">
        <v>21611.106</v>
      </c>
      <c r="S1879" s="24">
        <v>18929.382000000001</v>
      </c>
      <c r="T1879" s="24">
        <v>15115.956</v>
      </c>
      <c r="U1879" s="24">
        <v>12745.636</v>
      </c>
      <c r="V1879" s="24">
        <v>9433.3790000000008</v>
      </c>
      <c r="W1879" s="24">
        <v>6688.9870000000001</v>
      </c>
      <c r="X1879" s="24">
        <v>3464.2429999999999</v>
      </c>
      <c r="Y1879" s="24">
        <v>1462.16</v>
      </c>
      <c r="Z1879" s="24">
        <v>421.36</v>
      </c>
      <c r="AA1879" s="24">
        <v>74.906000000000006</v>
      </c>
      <c r="AB1879" s="24">
        <v>11.023999999999999</v>
      </c>
      <c r="AC1879" s="24">
        <v>1.5589999999999999</v>
      </c>
    </row>
    <row r="1880" spans="1:29" ht="11.65" hidden="1" x14ac:dyDescent="0.35">
      <c r="A1880" s="28">
        <v>1863</v>
      </c>
      <c r="B1880" s="26" t="s">
        <v>1015</v>
      </c>
      <c r="C1880" s="27" t="s">
        <v>1148</v>
      </c>
      <c r="D1880" s="25"/>
      <c r="E1880" s="25">
        <v>1832</v>
      </c>
      <c r="F1880" s="26" t="s">
        <v>1063</v>
      </c>
      <c r="G1880" s="25">
        <v>1828</v>
      </c>
      <c r="H1880" s="25">
        <v>1960</v>
      </c>
      <c r="I1880" s="24">
        <v>74024.415999999997</v>
      </c>
      <c r="J1880" s="24">
        <v>69503.562999999995</v>
      </c>
      <c r="K1880" s="24">
        <v>52713.699000000001</v>
      </c>
      <c r="L1880" s="24">
        <v>42433.47</v>
      </c>
      <c r="M1880" s="24">
        <v>40005.618999999999</v>
      </c>
      <c r="N1880" s="24">
        <v>37586.241999999998</v>
      </c>
      <c r="O1880" s="24">
        <v>32587.190999999999</v>
      </c>
      <c r="P1880" s="24">
        <v>28933.778999999999</v>
      </c>
      <c r="Q1880" s="24">
        <v>26677.370999999999</v>
      </c>
      <c r="R1880" s="24">
        <v>23817.317999999999</v>
      </c>
      <c r="S1880" s="24">
        <v>20231.749</v>
      </c>
      <c r="T1880" s="24">
        <v>17240.510999999999</v>
      </c>
      <c r="U1880" s="24">
        <v>13006.405000000001</v>
      </c>
      <c r="V1880" s="24">
        <v>10000.093000000001</v>
      </c>
      <c r="W1880" s="24">
        <v>6593.56</v>
      </c>
      <c r="X1880" s="24">
        <v>3797.25</v>
      </c>
      <c r="Y1880" s="24">
        <v>1446.6279999999999</v>
      </c>
      <c r="Z1880" s="24">
        <v>412.78100000000001</v>
      </c>
      <c r="AA1880" s="24">
        <v>78.227000000000004</v>
      </c>
      <c r="AB1880" s="24">
        <v>10.114000000000001</v>
      </c>
      <c r="AC1880" s="24">
        <v>1.3360000000000001</v>
      </c>
    </row>
    <row r="1881" spans="1:29" ht="11.65" hidden="1" x14ac:dyDescent="0.35">
      <c r="A1881" s="28">
        <v>1864</v>
      </c>
      <c r="B1881" s="26" t="s">
        <v>1015</v>
      </c>
      <c r="C1881" s="27" t="s">
        <v>1148</v>
      </c>
      <c r="D1881" s="25"/>
      <c r="E1881" s="25">
        <v>1832</v>
      </c>
      <c r="F1881" s="26" t="s">
        <v>1063</v>
      </c>
      <c r="G1881" s="25">
        <v>1828</v>
      </c>
      <c r="H1881" s="25">
        <v>1965</v>
      </c>
      <c r="I1881" s="24">
        <v>84489.671000000002</v>
      </c>
      <c r="J1881" s="24">
        <v>69760.212</v>
      </c>
      <c r="K1881" s="24">
        <v>67860.233999999997</v>
      </c>
      <c r="L1881" s="24">
        <v>51722.199000000001</v>
      </c>
      <c r="M1881" s="24">
        <v>41458.942000000003</v>
      </c>
      <c r="N1881" s="24">
        <v>38986.864999999998</v>
      </c>
      <c r="O1881" s="24">
        <v>36444.33</v>
      </c>
      <c r="P1881" s="24">
        <v>31426.875</v>
      </c>
      <c r="Q1881" s="24">
        <v>27712.949000000001</v>
      </c>
      <c r="R1881" s="24">
        <v>25341.828000000001</v>
      </c>
      <c r="S1881" s="24">
        <v>22345.137999999999</v>
      </c>
      <c r="T1881" s="24">
        <v>18477.628000000001</v>
      </c>
      <c r="U1881" s="24">
        <v>14918.91</v>
      </c>
      <c r="V1881" s="24">
        <v>10371.27</v>
      </c>
      <c r="W1881" s="24">
        <v>7112.5780000000004</v>
      </c>
      <c r="X1881" s="24">
        <v>3990.8180000000002</v>
      </c>
      <c r="Y1881" s="24">
        <v>1779.1469999999999</v>
      </c>
      <c r="Z1881" s="24">
        <v>495.65899999999999</v>
      </c>
      <c r="AA1881" s="24">
        <v>98.665000000000006</v>
      </c>
      <c r="AB1881" s="24">
        <v>11.673999999999999</v>
      </c>
      <c r="AC1881" s="24">
        <v>1.2330000000000001</v>
      </c>
    </row>
    <row r="1882" spans="1:29" ht="11.65" hidden="1" x14ac:dyDescent="0.35">
      <c r="A1882" s="28">
        <v>1865</v>
      </c>
      <c r="B1882" s="26" t="s">
        <v>1015</v>
      </c>
      <c r="C1882" s="27" t="s">
        <v>1148</v>
      </c>
      <c r="D1882" s="25"/>
      <c r="E1882" s="25">
        <v>1832</v>
      </c>
      <c r="F1882" s="26" t="s">
        <v>1063</v>
      </c>
      <c r="G1882" s="25">
        <v>1828</v>
      </c>
      <c r="H1882" s="25">
        <v>1970</v>
      </c>
      <c r="I1882" s="24">
        <v>98531.423999999999</v>
      </c>
      <c r="J1882" s="24">
        <v>81743.032000000007</v>
      </c>
      <c r="K1882" s="24">
        <v>69091.293999999994</v>
      </c>
      <c r="L1882" s="24">
        <v>67236.194000000003</v>
      </c>
      <c r="M1882" s="24">
        <v>51039.076999999997</v>
      </c>
      <c r="N1882" s="24">
        <v>40837.610999999997</v>
      </c>
      <c r="O1882" s="24">
        <v>38308.767999999996</v>
      </c>
      <c r="P1882" s="24">
        <v>35669.095999999998</v>
      </c>
      <c r="Q1882" s="24">
        <v>30583.876</v>
      </c>
      <c r="R1882" s="24">
        <v>26748.448</v>
      </c>
      <c r="S1882" s="24">
        <v>24126.850999999999</v>
      </c>
      <c r="T1882" s="24">
        <v>20888.021000000001</v>
      </c>
      <c r="U1882" s="24">
        <v>16714.736000000001</v>
      </c>
      <c r="V1882" s="24">
        <v>12820.187</v>
      </c>
      <c r="W1882" s="24">
        <v>8268.5869999999995</v>
      </c>
      <c r="X1882" s="24">
        <v>4903.9489999999996</v>
      </c>
      <c r="Y1882" s="24">
        <v>2193.4409999999998</v>
      </c>
      <c r="Z1882" s="24">
        <v>711.33900000000006</v>
      </c>
      <c r="AA1882" s="24">
        <v>135.405</v>
      </c>
      <c r="AB1882" s="24">
        <v>17.529</v>
      </c>
      <c r="AC1882" s="24">
        <v>1.4810000000000001</v>
      </c>
    </row>
    <row r="1883" spans="1:29" ht="11.65" hidden="1" x14ac:dyDescent="0.35">
      <c r="A1883" s="28">
        <v>1866</v>
      </c>
      <c r="B1883" s="26" t="s">
        <v>1015</v>
      </c>
      <c r="C1883" s="27" t="s">
        <v>1148</v>
      </c>
      <c r="D1883" s="25"/>
      <c r="E1883" s="25">
        <v>1832</v>
      </c>
      <c r="F1883" s="26" t="s">
        <v>1063</v>
      </c>
      <c r="G1883" s="25">
        <v>1828</v>
      </c>
      <c r="H1883" s="25">
        <v>1975</v>
      </c>
      <c r="I1883" s="24">
        <v>96648.846000000005</v>
      </c>
      <c r="J1883" s="24">
        <v>96260.44</v>
      </c>
      <c r="K1883" s="24">
        <v>81009.52</v>
      </c>
      <c r="L1883" s="24">
        <v>68571.157000000007</v>
      </c>
      <c r="M1883" s="24">
        <v>66662.777000000002</v>
      </c>
      <c r="N1883" s="24">
        <v>50519.192000000003</v>
      </c>
      <c r="O1883" s="24">
        <v>40325.851000000002</v>
      </c>
      <c r="P1883" s="24">
        <v>37731.32</v>
      </c>
      <c r="Q1883" s="24">
        <v>34978.665999999997</v>
      </c>
      <c r="R1883" s="24">
        <v>29813.61</v>
      </c>
      <c r="S1883" s="24">
        <v>25813.285</v>
      </c>
      <c r="T1883" s="24">
        <v>22847.502</v>
      </c>
      <c r="U1883" s="24">
        <v>19196.272000000001</v>
      </c>
      <c r="V1883" s="24">
        <v>14631.108</v>
      </c>
      <c r="W1883" s="24">
        <v>10370.120000000001</v>
      </c>
      <c r="X1883" s="24">
        <v>5820.5820000000003</v>
      </c>
      <c r="Y1883" s="24">
        <v>2762.1579999999999</v>
      </c>
      <c r="Z1883" s="24">
        <v>899.81600000000003</v>
      </c>
      <c r="AA1883" s="24">
        <v>193.52199999999999</v>
      </c>
      <c r="AB1883" s="24">
        <v>22.946999999999999</v>
      </c>
      <c r="AC1883" s="24">
        <v>1.98</v>
      </c>
    </row>
    <row r="1884" spans="1:29" ht="11.65" hidden="1" x14ac:dyDescent="0.35">
      <c r="A1884" s="28">
        <v>1867</v>
      </c>
      <c r="B1884" s="26" t="s">
        <v>1015</v>
      </c>
      <c r="C1884" s="27" t="s">
        <v>1148</v>
      </c>
      <c r="D1884" s="25"/>
      <c r="E1884" s="25">
        <v>1832</v>
      </c>
      <c r="F1884" s="26" t="s">
        <v>1063</v>
      </c>
      <c r="G1884" s="25">
        <v>1828</v>
      </c>
      <c r="H1884" s="25">
        <v>1980</v>
      </c>
      <c r="I1884" s="24">
        <v>83369.213000000003</v>
      </c>
      <c r="J1884" s="24">
        <v>94919.032000000007</v>
      </c>
      <c r="K1884" s="24">
        <v>95542.487999999998</v>
      </c>
      <c r="L1884" s="24">
        <v>80460.865000000005</v>
      </c>
      <c r="M1884" s="24">
        <v>67923.236000000004</v>
      </c>
      <c r="N1884" s="24">
        <v>65910.467999999993</v>
      </c>
      <c r="O1884" s="24">
        <v>49891.864999999998</v>
      </c>
      <c r="P1884" s="24">
        <v>39748.286</v>
      </c>
      <c r="Q1884" s="24">
        <v>37090.476000000002</v>
      </c>
      <c r="R1884" s="24">
        <v>34235.535000000003</v>
      </c>
      <c r="S1884" s="24">
        <v>28946.647000000001</v>
      </c>
      <c r="T1884" s="24">
        <v>24717.58</v>
      </c>
      <c r="U1884" s="24">
        <v>21354.423999999999</v>
      </c>
      <c r="V1884" s="24">
        <v>17183.38</v>
      </c>
      <c r="W1884" s="24">
        <v>12115.409</v>
      </c>
      <c r="X1884" s="24">
        <v>7531.4070000000002</v>
      </c>
      <c r="Y1884" s="24">
        <v>3458.3240000000001</v>
      </c>
      <c r="Z1884" s="24">
        <v>1198.0260000000001</v>
      </c>
      <c r="AA1884" s="24">
        <v>266.24799999999999</v>
      </c>
      <c r="AB1884" s="24">
        <v>36.781999999999996</v>
      </c>
      <c r="AC1884" s="24">
        <v>2.964</v>
      </c>
    </row>
    <row r="1885" spans="1:29" ht="11.65" hidden="1" x14ac:dyDescent="0.35">
      <c r="A1885" s="28">
        <v>1868</v>
      </c>
      <c r="B1885" s="26" t="s">
        <v>1015</v>
      </c>
      <c r="C1885" s="27" t="s">
        <v>1148</v>
      </c>
      <c r="D1885" s="25"/>
      <c r="E1885" s="25">
        <v>1832</v>
      </c>
      <c r="F1885" s="26" t="s">
        <v>1063</v>
      </c>
      <c r="G1885" s="25">
        <v>1828</v>
      </c>
      <c r="H1885" s="25">
        <v>1985</v>
      </c>
      <c r="I1885" s="24">
        <v>85838.115000000005</v>
      </c>
      <c r="J1885" s="24">
        <v>82363.013999999996</v>
      </c>
      <c r="K1885" s="24">
        <v>94415.604000000007</v>
      </c>
      <c r="L1885" s="24">
        <v>95066.198000000004</v>
      </c>
      <c r="M1885" s="24">
        <v>79872.428</v>
      </c>
      <c r="N1885" s="24">
        <v>67429.070999999996</v>
      </c>
      <c r="O1885" s="24">
        <v>65434.616999999998</v>
      </c>
      <c r="P1885" s="24">
        <v>49431.159</v>
      </c>
      <c r="Q1885" s="24">
        <v>39264.233</v>
      </c>
      <c r="R1885" s="24">
        <v>36478.201999999997</v>
      </c>
      <c r="S1885" s="24">
        <v>33392.06</v>
      </c>
      <c r="T1885" s="24">
        <v>27861.382000000001</v>
      </c>
      <c r="U1885" s="24">
        <v>23250.504000000001</v>
      </c>
      <c r="V1885" s="24">
        <v>19316.856</v>
      </c>
      <c r="W1885" s="24">
        <v>14525.646000000001</v>
      </c>
      <c r="X1885" s="24">
        <v>9042.2739999999994</v>
      </c>
      <c r="Y1885" s="24">
        <v>4639.835</v>
      </c>
      <c r="Z1885" s="24">
        <v>1588.2190000000001</v>
      </c>
      <c r="AA1885" s="24">
        <v>376.12</v>
      </c>
      <c r="AB1885" s="24">
        <v>54.115000000000002</v>
      </c>
      <c r="AC1885" s="24">
        <v>4.7350000000000003</v>
      </c>
    </row>
    <row r="1886" spans="1:29" ht="11.65" hidden="1" x14ac:dyDescent="0.35">
      <c r="A1886" s="28">
        <v>1869</v>
      </c>
      <c r="B1886" s="26" t="s">
        <v>1015</v>
      </c>
      <c r="C1886" s="27" t="s">
        <v>1148</v>
      </c>
      <c r="D1886" s="25"/>
      <c r="E1886" s="25">
        <v>1832</v>
      </c>
      <c r="F1886" s="26" t="s">
        <v>1063</v>
      </c>
      <c r="G1886" s="25">
        <v>1828</v>
      </c>
      <c r="H1886" s="25">
        <v>1990</v>
      </c>
      <c r="I1886" s="24">
        <v>98722.894</v>
      </c>
      <c r="J1886" s="24">
        <v>84907.775999999998</v>
      </c>
      <c r="K1886" s="24">
        <v>82028.600999999995</v>
      </c>
      <c r="L1886" s="24">
        <v>93940.566999999995</v>
      </c>
      <c r="M1886" s="24">
        <v>94369.251999999993</v>
      </c>
      <c r="N1886" s="24">
        <v>79269.850000000006</v>
      </c>
      <c r="O1886" s="24">
        <v>67000.36</v>
      </c>
      <c r="P1886" s="24">
        <v>64923.519999999997</v>
      </c>
      <c r="Q1886" s="24">
        <v>48940.417999999998</v>
      </c>
      <c r="R1886" s="24">
        <v>38732.296999999999</v>
      </c>
      <c r="S1886" s="24">
        <v>35681.633999999998</v>
      </c>
      <c r="T1886" s="24">
        <v>32298.593000000001</v>
      </c>
      <c r="U1886" s="24">
        <v>26382.312999999998</v>
      </c>
      <c r="V1886" s="24">
        <v>21202.674999999999</v>
      </c>
      <c r="W1886" s="24">
        <v>16500.422999999999</v>
      </c>
      <c r="X1886" s="24">
        <v>11104.07</v>
      </c>
      <c r="Y1886" s="24">
        <v>5800.3890000000001</v>
      </c>
      <c r="Z1886" s="24">
        <v>2247.8009999999999</v>
      </c>
      <c r="AA1886" s="24">
        <v>548.73900000000003</v>
      </c>
      <c r="AB1886" s="24">
        <v>85.480999999999995</v>
      </c>
      <c r="AC1886" s="24">
        <v>7.86</v>
      </c>
    </row>
    <row r="1887" spans="1:29" ht="11.65" hidden="1" x14ac:dyDescent="0.35">
      <c r="A1887" s="28">
        <v>1870</v>
      </c>
      <c r="B1887" s="26" t="s">
        <v>1015</v>
      </c>
      <c r="C1887" s="27" t="s">
        <v>1148</v>
      </c>
      <c r="D1887" s="25"/>
      <c r="E1887" s="25">
        <v>1832</v>
      </c>
      <c r="F1887" s="26" t="s">
        <v>1063</v>
      </c>
      <c r="G1887" s="25">
        <v>1828</v>
      </c>
      <c r="H1887" s="25">
        <v>1995</v>
      </c>
      <c r="I1887" s="24">
        <v>82180.442999999999</v>
      </c>
      <c r="J1887" s="24">
        <v>97979.573000000004</v>
      </c>
      <c r="K1887" s="24">
        <v>84694.701000000001</v>
      </c>
      <c r="L1887" s="24">
        <v>81711.475000000006</v>
      </c>
      <c r="M1887" s="24">
        <v>93274.644</v>
      </c>
      <c r="N1887" s="24">
        <v>93603.925000000003</v>
      </c>
      <c r="O1887" s="24">
        <v>78635.615000000005</v>
      </c>
      <c r="P1887" s="24">
        <v>66400.41</v>
      </c>
      <c r="Q1887" s="24">
        <v>64227.44</v>
      </c>
      <c r="R1887" s="24">
        <v>48227.805999999997</v>
      </c>
      <c r="S1887" s="24">
        <v>37881.900999999998</v>
      </c>
      <c r="T1887" s="24">
        <v>34526.898999999998</v>
      </c>
      <c r="U1887" s="24">
        <v>30636.269</v>
      </c>
      <c r="V1887" s="24">
        <v>24178.102999999999</v>
      </c>
      <c r="W1887" s="24">
        <v>18281.012999999999</v>
      </c>
      <c r="X1887" s="24">
        <v>12848.833000000001</v>
      </c>
      <c r="Y1887" s="24">
        <v>7366.4549999999999</v>
      </c>
      <c r="Z1887" s="24">
        <v>2949.971</v>
      </c>
      <c r="AA1887" s="24">
        <v>824.18600000000004</v>
      </c>
      <c r="AB1887" s="24">
        <v>135.15600000000001</v>
      </c>
      <c r="AC1887" s="24">
        <v>13.417</v>
      </c>
    </row>
    <row r="1888" spans="1:29" ht="11.65" hidden="1" x14ac:dyDescent="0.35">
      <c r="A1888" s="28">
        <v>1871</v>
      </c>
      <c r="B1888" s="26" t="s">
        <v>1015</v>
      </c>
      <c r="C1888" s="27" t="s">
        <v>1148</v>
      </c>
      <c r="D1888" s="25"/>
      <c r="E1888" s="25">
        <v>1832</v>
      </c>
      <c r="F1888" s="26" t="s">
        <v>1063</v>
      </c>
      <c r="G1888" s="25">
        <v>1828</v>
      </c>
      <c r="H1888" s="25">
        <v>2000</v>
      </c>
      <c r="I1888" s="24">
        <v>74698.5</v>
      </c>
      <c r="J1888" s="24">
        <v>81635.399000000005</v>
      </c>
      <c r="K1888" s="24">
        <v>97716.338000000003</v>
      </c>
      <c r="L1888" s="24">
        <v>84385.077000000005</v>
      </c>
      <c r="M1888" s="24">
        <v>80864.282999999996</v>
      </c>
      <c r="N1888" s="24">
        <v>92596.775999999998</v>
      </c>
      <c r="O1888" s="24">
        <v>93200.08</v>
      </c>
      <c r="P1888" s="24">
        <v>78363.637000000002</v>
      </c>
      <c r="Q1888" s="24">
        <v>66022.031000000003</v>
      </c>
      <c r="R1888" s="24">
        <v>63489.769</v>
      </c>
      <c r="S1888" s="24">
        <v>47280.300999999999</v>
      </c>
      <c r="T1888" s="24">
        <v>36694.834000000003</v>
      </c>
      <c r="U1888" s="24">
        <v>32823.752</v>
      </c>
      <c r="V1888" s="24">
        <v>28252.733</v>
      </c>
      <c r="W1888" s="24">
        <v>21128.59</v>
      </c>
      <c r="X1888" s="24">
        <v>14514.039000000001</v>
      </c>
      <c r="Y1888" s="24">
        <v>8729.7630000000008</v>
      </c>
      <c r="Z1888" s="24">
        <v>3920.9259999999999</v>
      </c>
      <c r="AA1888" s="24">
        <v>1166.635</v>
      </c>
      <c r="AB1888" s="24">
        <v>224.99</v>
      </c>
      <c r="AC1888" s="24">
        <v>23.532</v>
      </c>
    </row>
    <row r="1889" spans="1:29" ht="11.65" hidden="1" x14ac:dyDescent="0.35">
      <c r="A1889" s="28">
        <v>1872</v>
      </c>
      <c r="B1889" s="26" t="s">
        <v>1015</v>
      </c>
      <c r="C1889" s="27" t="s">
        <v>1148</v>
      </c>
      <c r="D1889" s="25"/>
      <c r="E1889" s="25">
        <v>1832</v>
      </c>
      <c r="F1889" s="26" t="s">
        <v>1063</v>
      </c>
      <c r="G1889" s="25">
        <v>1828</v>
      </c>
      <c r="H1889" s="25">
        <v>2005</v>
      </c>
      <c r="I1889" s="24">
        <v>71235.998999999996</v>
      </c>
      <c r="J1889" s="24">
        <v>75008.991999999998</v>
      </c>
      <c r="K1889" s="24">
        <v>81826.720000000001</v>
      </c>
      <c r="L1889" s="24">
        <v>97347.157000000007</v>
      </c>
      <c r="M1889" s="24">
        <v>83247.638000000006</v>
      </c>
      <c r="N1889" s="24">
        <v>80228.835000000006</v>
      </c>
      <c r="O1889" s="24">
        <v>91785.415999999997</v>
      </c>
      <c r="P1889" s="24">
        <v>92283.585000000006</v>
      </c>
      <c r="Q1889" s="24">
        <v>77364.104999999996</v>
      </c>
      <c r="R1889" s="24">
        <v>64777.300999999999</v>
      </c>
      <c r="S1889" s="24">
        <v>62362.097999999998</v>
      </c>
      <c r="T1889" s="24">
        <v>46135.514999999999</v>
      </c>
      <c r="U1889" s="24">
        <v>35014.565999999999</v>
      </c>
      <c r="V1889" s="24">
        <v>30124.785</v>
      </c>
      <c r="W1889" s="24">
        <v>24641.266</v>
      </c>
      <c r="X1889" s="24">
        <v>16776.04</v>
      </c>
      <c r="Y1889" s="24">
        <v>10010.387000000001</v>
      </c>
      <c r="Z1889" s="24">
        <v>4783.4009999999998</v>
      </c>
      <c r="AA1889" s="24">
        <v>1648.7339999999999</v>
      </c>
      <c r="AB1889" s="24">
        <v>341.02199999999999</v>
      </c>
      <c r="AC1889" s="24">
        <v>42.180999999999997</v>
      </c>
    </row>
    <row r="1890" spans="1:29" ht="11.65" hidden="1" x14ac:dyDescent="0.35">
      <c r="A1890" s="28">
        <v>1873</v>
      </c>
      <c r="B1890" s="26" t="s">
        <v>1015</v>
      </c>
      <c r="C1890" s="27" t="s">
        <v>1148</v>
      </c>
      <c r="D1890" s="25"/>
      <c r="E1890" s="25">
        <v>1832</v>
      </c>
      <c r="F1890" s="26" t="s">
        <v>1063</v>
      </c>
      <c r="G1890" s="25">
        <v>1828</v>
      </c>
      <c r="H1890" s="25">
        <v>2010</v>
      </c>
      <c r="I1890" s="24">
        <v>71488.489000000001</v>
      </c>
      <c r="J1890" s="24">
        <v>71121.025999999998</v>
      </c>
      <c r="K1890" s="24">
        <v>74763.775999999998</v>
      </c>
      <c r="L1890" s="24">
        <v>80941.433000000005</v>
      </c>
      <c r="M1890" s="24">
        <v>95679.592999999993</v>
      </c>
      <c r="N1890" s="24">
        <v>82945.744000000006</v>
      </c>
      <c r="O1890" s="24">
        <v>79487.103000000003</v>
      </c>
      <c r="P1890" s="24">
        <v>91312.728000000003</v>
      </c>
      <c r="Q1890" s="24">
        <v>91748.543999999994</v>
      </c>
      <c r="R1890" s="24">
        <v>76615.937999999995</v>
      </c>
      <c r="S1890" s="24">
        <v>63895.156000000003</v>
      </c>
      <c r="T1890" s="24">
        <v>60406.641000000003</v>
      </c>
      <c r="U1890" s="24">
        <v>44065.32</v>
      </c>
      <c r="V1890" s="24">
        <v>32340.238000000001</v>
      </c>
      <c r="W1890" s="24">
        <v>26662.593000000001</v>
      </c>
      <c r="X1890" s="24">
        <v>19870.273000000001</v>
      </c>
      <c r="Y1890" s="24">
        <v>11974.458000000001</v>
      </c>
      <c r="Z1890" s="24">
        <v>5801.3770000000004</v>
      </c>
      <c r="AA1890" s="24">
        <v>2113.116</v>
      </c>
      <c r="AB1890" s="24">
        <v>513.72500000000002</v>
      </c>
      <c r="AC1890" s="24">
        <v>69.010000000000005</v>
      </c>
    </row>
    <row r="1891" spans="1:29" ht="11.65" hidden="1" x14ac:dyDescent="0.35">
      <c r="A1891" s="28">
        <v>1874</v>
      </c>
      <c r="B1891" s="26" t="s">
        <v>1015</v>
      </c>
      <c r="C1891" s="27" t="s">
        <v>1148</v>
      </c>
      <c r="D1891" s="25"/>
      <c r="E1891" s="25">
        <v>1832</v>
      </c>
      <c r="F1891" s="26" t="s">
        <v>1063</v>
      </c>
      <c r="G1891" s="25">
        <v>1828</v>
      </c>
      <c r="H1891" s="25">
        <v>2015</v>
      </c>
      <c r="I1891" s="24">
        <v>73807.252999999997</v>
      </c>
      <c r="J1891" s="24">
        <v>71304.453999999998</v>
      </c>
      <c r="K1891" s="24">
        <v>71014.587</v>
      </c>
      <c r="L1891" s="24">
        <v>74609.028999999995</v>
      </c>
      <c r="M1891" s="24">
        <v>80400.016000000003</v>
      </c>
      <c r="N1891" s="24">
        <v>95119.606</v>
      </c>
      <c r="O1891" s="24">
        <v>82310.883000000002</v>
      </c>
      <c r="P1891" s="24">
        <v>78945.991999999998</v>
      </c>
      <c r="Q1891" s="24">
        <v>90639.71</v>
      </c>
      <c r="R1891" s="24">
        <v>90837.562000000005</v>
      </c>
      <c r="S1891" s="24">
        <v>75515.289000000004</v>
      </c>
      <c r="T1891" s="24">
        <v>62412.936000000002</v>
      </c>
      <c r="U1891" s="24">
        <v>58166.991999999998</v>
      </c>
      <c r="V1891" s="24">
        <v>41285.144</v>
      </c>
      <c r="W1891" s="24">
        <v>28992.726999999999</v>
      </c>
      <c r="X1891" s="24">
        <v>22059.588</v>
      </c>
      <c r="Y1891" s="24">
        <v>14523.067999999999</v>
      </c>
      <c r="Z1891" s="24">
        <v>7322.799</v>
      </c>
      <c r="AA1891" s="24">
        <v>2755.9490000000001</v>
      </c>
      <c r="AB1891" s="24">
        <v>705.99400000000003</v>
      </c>
      <c r="AC1891" s="24">
        <v>110.96299999999999</v>
      </c>
    </row>
    <row r="1892" spans="1:29" ht="11.65" hidden="1" x14ac:dyDescent="0.35">
      <c r="A1892" s="28">
        <v>1875</v>
      </c>
      <c r="B1892" s="26" t="s">
        <v>1015</v>
      </c>
      <c r="C1892" s="27" t="s">
        <v>1148</v>
      </c>
      <c r="D1892" s="25"/>
      <c r="E1892" s="25">
        <v>1832</v>
      </c>
      <c r="F1892" s="26" t="s">
        <v>1063</v>
      </c>
      <c r="G1892" s="25">
        <v>1828</v>
      </c>
      <c r="H1892" s="25">
        <v>2020</v>
      </c>
      <c r="I1892" s="24">
        <v>71643.937000000005</v>
      </c>
      <c r="J1892" s="24">
        <v>73581.063999999998</v>
      </c>
      <c r="K1892" s="24">
        <v>71147.941999999995</v>
      </c>
      <c r="L1892" s="24">
        <v>70705.62</v>
      </c>
      <c r="M1892" s="24">
        <v>74080.247000000003</v>
      </c>
      <c r="N1892" s="24">
        <v>79863.097999999998</v>
      </c>
      <c r="O1892" s="24">
        <v>94589.73</v>
      </c>
      <c r="P1892" s="24">
        <v>81820.311000000002</v>
      </c>
      <c r="Q1892" s="24">
        <v>78365.084000000003</v>
      </c>
      <c r="R1892" s="24">
        <v>89807.365000000005</v>
      </c>
      <c r="S1892" s="24">
        <v>89665.964000000007</v>
      </c>
      <c r="T1892" s="24">
        <v>73990.082999999999</v>
      </c>
      <c r="U1892" s="24">
        <v>60327.828000000001</v>
      </c>
      <c r="V1892" s="24">
        <v>54923.074999999997</v>
      </c>
      <c r="W1892" s="24">
        <v>37438.379999999997</v>
      </c>
      <c r="X1892" s="24">
        <v>24529.977999999999</v>
      </c>
      <c r="Y1892" s="24">
        <v>16682.878000000001</v>
      </c>
      <c r="Z1892" s="24">
        <v>9271.5360000000001</v>
      </c>
      <c r="AA1892" s="24">
        <v>3701.252</v>
      </c>
      <c r="AB1892" s="24">
        <v>998.26400000000001</v>
      </c>
      <c r="AC1892" s="24">
        <v>168.40199999999999</v>
      </c>
    </row>
    <row r="1893" spans="1:29" ht="11.65" hidden="1" x14ac:dyDescent="0.35">
      <c r="A1893" s="23">
        <v>1876</v>
      </c>
      <c r="B1893" s="21" t="s">
        <v>1015</v>
      </c>
      <c r="C1893" s="29" t="s">
        <v>1149</v>
      </c>
      <c r="D1893" s="20"/>
      <c r="E1893" s="20">
        <v>906</v>
      </c>
      <c r="F1893" s="21" t="s">
        <v>1065</v>
      </c>
      <c r="G1893" s="20">
        <v>1832</v>
      </c>
      <c r="H1893" s="20">
        <v>1950</v>
      </c>
      <c r="I1893" s="19">
        <v>45386.500999999997</v>
      </c>
      <c r="J1893" s="19">
        <v>34160.129000000001</v>
      </c>
      <c r="K1893" s="19">
        <v>32117.878000000001</v>
      </c>
      <c r="L1893" s="19">
        <v>30796.050999999999</v>
      </c>
      <c r="M1893" s="19">
        <v>27302.726999999999</v>
      </c>
      <c r="N1893" s="19">
        <v>24917.954000000002</v>
      </c>
      <c r="O1893" s="19">
        <v>23728.053</v>
      </c>
      <c r="P1893" s="19">
        <v>21612.826000000001</v>
      </c>
      <c r="Q1893" s="19">
        <v>18853.964</v>
      </c>
      <c r="R1893" s="19">
        <v>16836.168000000001</v>
      </c>
      <c r="S1893" s="19">
        <v>13725.335999999999</v>
      </c>
      <c r="T1893" s="19">
        <v>12529.859</v>
      </c>
      <c r="U1893" s="19">
        <v>10203.257</v>
      </c>
      <c r="V1893" s="19">
        <v>8091.4</v>
      </c>
      <c r="W1893" s="19">
        <v>4967.4409999999998</v>
      </c>
      <c r="X1893" s="19">
        <v>2738.23</v>
      </c>
      <c r="Y1893" s="19">
        <v>1085.259</v>
      </c>
      <c r="Z1893" s="19">
        <v>240.85599999999999</v>
      </c>
      <c r="AA1893" s="19">
        <v>45.947000000000003</v>
      </c>
      <c r="AB1893" s="19">
        <v>6.06</v>
      </c>
      <c r="AC1893" s="19">
        <v>0.66900000000000004</v>
      </c>
    </row>
    <row r="1894" spans="1:29" ht="11.65" hidden="1" x14ac:dyDescent="0.35">
      <c r="A1894" s="23">
        <v>1877</v>
      </c>
      <c r="B1894" s="21" t="s">
        <v>1015</v>
      </c>
      <c r="C1894" s="29" t="s">
        <v>1149</v>
      </c>
      <c r="D1894" s="20"/>
      <c r="E1894" s="20">
        <v>906</v>
      </c>
      <c r="F1894" s="21" t="s">
        <v>1065</v>
      </c>
      <c r="G1894" s="20">
        <v>1832</v>
      </c>
      <c r="H1894" s="20">
        <v>1955</v>
      </c>
      <c r="I1894" s="19">
        <v>58400.612999999998</v>
      </c>
      <c r="J1894" s="19">
        <v>42496.123</v>
      </c>
      <c r="K1894" s="19">
        <v>33241.430999999997</v>
      </c>
      <c r="L1894" s="19">
        <v>31428.757000000001</v>
      </c>
      <c r="M1894" s="19">
        <v>30018.008000000002</v>
      </c>
      <c r="N1894" s="19">
        <v>26443.384999999998</v>
      </c>
      <c r="O1894" s="19">
        <v>23988.507000000001</v>
      </c>
      <c r="P1894" s="19">
        <v>22742.245999999999</v>
      </c>
      <c r="Q1894" s="19">
        <v>20456.786</v>
      </c>
      <c r="R1894" s="19">
        <v>17595.683000000001</v>
      </c>
      <c r="S1894" s="19">
        <v>15612.741</v>
      </c>
      <c r="T1894" s="19">
        <v>12501.186</v>
      </c>
      <c r="U1894" s="19">
        <v>10633</v>
      </c>
      <c r="V1894" s="19">
        <v>7811.1239999999998</v>
      </c>
      <c r="W1894" s="19">
        <v>5562.8440000000001</v>
      </c>
      <c r="X1894" s="19">
        <v>2812.4110000000001</v>
      </c>
      <c r="Y1894" s="19">
        <v>1155.3810000000001</v>
      </c>
      <c r="Z1894" s="19">
        <v>341.88</v>
      </c>
      <c r="AA1894" s="19">
        <v>52.728000000000002</v>
      </c>
      <c r="AB1894" s="19">
        <v>6.2569999999999997</v>
      </c>
      <c r="AC1894" s="19">
        <v>0.59299999999999997</v>
      </c>
    </row>
    <row r="1895" spans="1:29" ht="11.65" hidden="1" x14ac:dyDescent="0.35">
      <c r="A1895" s="23">
        <v>1878</v>
      </c>
      <c r="B1895" s="21" t="s">
        <v>1015</v>
      </c>
      <c r="C1895" s="29" t="s">
        <v>1149</v>
      </c>
      <c r="D1895" s="20"/>
      <c r="E1895" s="20">
        <v>906</v>
      </c>
      <c r="F1895" s="21" t="s">
        <v>1065</v>
      </c>
      <c r="G1895" s="20">
        <v>1832</v>
      </c>
      <c r="H1895" s="20">
        <v>1960</v>
      </c>
      <c r="I1895" s="19">
        <v>55575.726999999999</v>
      </c>
      <c r="J1895" s="19">
        <v>54919.987999999998</v>
      </c>
      <c r="K1895" s="19">
        <v>41505.459000000003</v>
      </c>
      <c r="L1895" s="19">
        <v>32548.677</v>
      </c>
      <c r="M1895" s="19">
        <v>30746.333999999999</v>
      </c>
      <c r="N1895" s="19">
        <v>29296.608</v>
      </c>
      <c r="O1895" s="19">
        <v>25602.518</v>
      </c>
      <c r="P1895" s="19">
        <v>23113.100999999999</v>
      </c>
      <c r="Q1895" s="19">
        <v>21701.18</v>
      </c>
      <c r="R1895" s="19">
        <v>19366.61</v>
      </c>
      <c r="S1895" s="19">
        <v>16435.135999999999</v>
      </c>
      <c r="T1895" s="19">
        <v>14165.99</v>
      </c>
      <c r="U1895" s="19">
        <v>10660.184999999999</v>
      </c>
      <c r="V1895" s="19">
        <v>8207.5720000000001</v>
      </c>
      <c r="W1895" s="19">
        <v>5341.2550000000001</v>
      </c>
      <c r="X1895" s="19">
        <v>3039.317</v>
      </c>
      <c r="Y1895" s="19">
        <v>1090.4010000000001</v>
      </c>
      <c r="Z1895" s="19">
        <v>296.86599999999999</v>
      </c>
      <c r="AA1895" s="19">
        <v>56.534999999999997</v>
      </c>
      <c r="AB1895" s="19">
        <v>5.5819999999999999</v>
      </c>
      <c r="AC1895" s="19">
        <v>0.45200000000000001</v>
      </c>
    </row>
    <row r="1896" spans="1:29" ht="11.65" hidden="1" x14ac:dyDescent="0.35">
      <c r="A1896" s="23">
        <v>1879</v>
      </c>
      <c r="B1896" s="21" t="s">
        <v>1015</v>
      </c>
      <c r="C1896" s="29" t="s">
        <v>1149</v>
      </c>
      <c r="D1896" s="20"/>
      <c r="E1896" s="20">
        <v>906</v>
      </c>
      <c r="F1896" s="21" t="s">
        <v>1065</v>
      </c>
      <c r="G1896" s="20">
        <v>1832</v>
      </c>
      <c r="H1896" s="20">
        <v>1965</v>
      </c>
      <c r="I1896" s="19">
        <v>63545.938999999998</v>
      </c>
      <c r="J1896" s="19">
        <v>52107.224000000002</v>
      </c>
      <c r="K1896" s="19">
        <v>53517.065000000002</v>
      </c>
      <c r="L1896" s="19">
        <v>40660.976999999999</v>
      </c>
      <c r="M1896" s="19">
        <v>31767.591</v>
      </c>
      <c r="N1896" s="19">
        <v>29945.654999999999</v>
      </c>
      <c r="O1896" s="19">
        <v>28378.363000000001</v>
      </c>
      <c r="P1896" s="19">
        <v>24661.121999999999</v>
      </c>
      <c r="Q1896" s="19">
        <v>22100.558000000001</v>
      </c>
      <c r="R1896" s="19">
        <v>20570.868999999999</v>
      </c>
      <c r="S1896" s="19">
        <v>18121.900000000001</v>
      </c>
      <c r="T1896" s="19">
        <v>14945.233</v>
      </c>
      <c r="U1896" s="19">
        <v>12141.261</v>
      </c>
      <c r="V1896" s="19">
        <v>8357.85</v>
      </c>
      <c r="W1896" s="19">
        <v>5701.5110000000004</v>
      </c>
      <c r="X1896" s="19">
        <v>3124.3739999999998</v>
      </c>
      <c r="Y1896" s="19">
        <v>1350.768</v>
      </c>
      <c r="Z1896" s="19">
        <v>356.91899999999998</v>
      </c>
      <c r="AA1896" s="19">
        <v>65.400000000000006</v>
      </c>
      <c r="AB1896" s="19">
        <v>7.3319999999999999</v>
      </c>
      <c r="AC1896" s="19">
        <v>0.47</v>
      </c>
    </row>
    <row r="1897" spans="1:29" ht="11.65" hidden="1" x14ac:dyDescent="0.35">
      <c r="A1897" s="23">
        <v>1880</v>
      </c>
      <c r="B1897" s="21" t="s">
        <v>1015</v>
      </c>
      <c r="C1897" s="29" t="s">
        <v>1149</v>
      </c>
      <c r="D1897" s="20"/>
      <c r="E1897" s="20">
        <v>906</v>
      </c>
      <c r="F1897" s="21" t="s">
        <v>1065</v>
      </c>
      <c r="G1897" s="20">
        <v>1832</v>
      </c>
      <c r="H1897" s="20">
        <v>1970</v>
      </c>
      <c r="I1897" s="19">
        <v>75395.710000000006</v>
      </c>
      <c r="J1897" s="19">
        <v>61552.459000000003</v>
      </c>
      <c r="K1897" s="19">
        <v>51714.714999999997</v>
      </c>
      <c r="L1897" s="19">
        <v>53099.864999999998</v>
      </c>
      <c r="M1897" s="19">
        <v>40198.955000000002</v>
      </c>
      <c r="N1897" s="19">
        <v>31384.51</v>
      </c>
      <c r="O1897" s="19">
        <v>29506.346000000001</v>
      </c>
      <c r="P1897" s="19">
        <v>27845.642</v>
      </c>
      <c r="Q1897" s="19">
        <v>24050.839</v>
      </c>
      <c r="R1897" s="19">
        <v>21358.59</v>
      </c>
      <c r="S1897" s="19">
        <v>19596.076000000001</v>
      </c>
      <c r="T1897" s="19">
        <v>16949.86</v>
      </c>
      <c r="U1897" s="19">
        <v>13517.748</v>
      </c>
      <c r="V1897" s="19">
        <v>10419.107</v>
      </c>
      <c r="W1897" s="19">
        <v>6658.4380000000001</v>
      </c>
      <c r="X1897" s="19">
        <v>3907.4949999999999</v>
      </c>
      <c r="Y1897" s="19">
        <v>1687.7370000000001</v>
      </c>
      <c r="Z1897" s="19">
        <v>534.44299999999998</v>
      </c>
      <c r="AA1897" s="19">
        <v>92.781000000000006</v>
      </c>
      <c r="AB1897" s="19">
        <v>10.06</v>
      </c>
      <c r="AC1897" s="19">
        <v>0.71599999999999997</v>
      </c>
    </row>
    <row r="1898" spans="1:29" ht="11.65" hidden="1" x14ac:dyDescent="0.35">
      <c r="A1898" s="23">
        <v>1881</v>
      </c>
      <c r="B1898" s="21" t="s">
        <v>1015</v>
      </c>
      <c r="C1898" s="29" t="s">
        <v>1149</v>
      </c>
      <c r="D1898" s="20"/>
      <c r="E1898" s="20">
        <v>906</v>
      </c>
      <c r="F1898" s="21" t="s">
        <v>1065</v>
      </c>
      <c r="G1898" s="20">
        <v>1832</v>
      </c>
      <c r="H1898" s="20">
        <v>1975</v>
      </c>
      <c r="I1898" s="19">
        <v>71810.748000000007</v>
      </c>
      <c r="J1898" s="19">
        <v>73789.297999999995</v>
      </c>
      <c r="K1898" s="19">
        <v>61109.226000000002</v>
      </c>
      <c r="L1898" s="19">
        <v>51387.741999999998</v>
      </c>
      <c r="M1898" s="19">
        <v>52708.321000000004</v>
      </c>
      <c r="N1898" s="19">
        <v>39867.641000000003</v>
      </c>
      <c r="O1898" s="19">
        <v>31086.112000000001</v>
      </c>
      <c r="P1898" s="19">
        <v>29159.870999999999</v>
      </c>
      <c r="Q1898" s="19">
        <v>27399.645</v>
      </c>
      <c r="R1898" s="19">
        <v>23526.884999999998</v>
      </c>
      <c r="S1898" s="19">
        <v>20687.352999999999</v>
      </c>
      <c r="T1898" s="19">
        <v>18623.858</v>
      </c>
      <c r="U1898" s="19">
        <v>15629.566000000001</v>
      </c>
      <c r="V1898" s="19">
        <v>11879.013000000001</v>
      </c>
      <c r="W1898" s="19">
        <v>8475.9969999999994</v>
      </c>
      <c r="X1898" s="19">
        <v>4705.4520000000002</v>
      </c>
      <c r="Y1898" s="19">
        <v>2201.6610000000001</v>
      </c>
      <c r="Z1898" s="19">
        <v>703.952</v>
      </c>
      <c r="AA1898" s="19">
        <v>145.57599999999999</v>
      </c>
      <c r="AB1898" s="19">
        <v>15.382</v>
      </c>
      <c r="AC1898" s="19">
        <v>1.0349999999999999</v>
      </c>
    </row>
    <row r="1899" spans="1:29" ht="11.65" hidden="1" x14ac:dyDescent="0.35">
      <c r="A1899" s="23">
        <v>1882</v>
      </c>
      <c r="B1899" s="21" t="s">
        <v>1015</v>
      </c>
      <c r="C1899" s="29" t="s">
        <v>1149</v>
      </c>
      <c r="D1899" s="20"/>
      <c r="E1899" s="20">
        <v>906</v>
      </c>
      <c r="F1899" s="21" t="s">
        <v>1065</v>
      </c>
      <c r="G1899" s="20">
        <v>1832</v>
      </c>
      <c r="H1899" s="20">
        <v>1980</v>
      </c>
      <c r="I1899" s="19">
        <v>57449.949000000001</v>
      </c>
      <c r="J1899" s="19">
        <v>70746.650999999998</v>
      </c>
      <c r="K1899" s="19">
        <v>73379.892000000007</v>
      </c>
      <c r="L1899" s="19">
        <v>60863.409</v>
      </c>
      <c r="M1899" s="19">
        <v>51086.38</v>
      </c>
      <c r="N1899" s="19">
        <v>52311.73</v>
      </c>
      <c r="O1899" s="19">
        <v>39570.267999999996</v>
      </c>
      <c r="P1899" s="19">
        <v>30812.616000000002</v>
      </c>
      <c r="Q1899" s="19">
        <v>28816.232</v>
      </c>
      <c r="R1899" s="19">
        <v>26950.192999999999</v>
      </c>
      <c r="S1899" s="19">
        <v>22961.879000000001</v>
      </c>
      <c r="T1899" s="19">
        <v>19915.313999999998</v>
      </c>
      <c r="U1899" s="19">
        <v>17500.179</v>
      </c>
      <c r="V1899" s="19">
        <v>14068.857</v>
      </c>
      <c r="W1899" s="19">
        <v>9887.8320000000003</v>
      </c>
      <c r="X1899" s="19">
        <v>6165.8410000000003</v>
      </c>
      <c r="Y1899" s="19">
        <v>2790.4380000000001</v>
      </c>
      <c r="Z1899" s="19">
        <v>956.19500000000005</v>
      </c>
      <c r="AA1899" s="19">
        <v>203.63900000000001</v>
      </c>
      <c r="AB1899" s="19">
        <v>25.763999999999999</v>
      </c>
      <c r="AC1899" s="19">
        <v>1.679</v>
      </c>
    </row>
    <row r="1900" spans="1:29" ht="11.65" hidden="1" x14ac:dyDescent="0.35">
      <c r="A1900" s="23">
        <v>1883</v>
      </c>
      <c r="B1900" s="21" t="s">
        <v>1015</v>
      </c>
      <c r="C1900" s="29" t="s">
        <v>1149</v>
      </c>
      <c r="D1900" s="20"/>
      <c r="E1900" s="20">
        <v>906</v>
      </c>
      <c r="F1900" s="21" t="s">
        <v>1065</v>
      </c>
      <c r="G1900" s="20">
        <v>1832</v>
      </c>
      <c r="H1900" s="20">
        <v>1985</v>
      </c>
      <c r="I1900" s="19">
        <v>58438.303999999996</v>
      </c>
      <c r="J1900" s="19">
        <v>56907.955000000002</v>
      </c>
      <c r="K1900" s="19">
        <v>70462.635999999999</v>
      </c>
      <c r="L1900" s="19">
        <v>73135.733999999997</v>
      </c>
      <c r="M1900" s="19">
        <v>60571.813000000002</v>
      </c>
      <c r="N1900" s="19">
        <v>50827.927000000003</v>
      </c>
      <c r="O1900" s="19">
        <v>52002.853000000003</v>
      </c>
      <c r="P1900" s="19">
        <v>39273.576999999997</v>
      </c>
      <c r="Q1900" s="19">
        <v>30503.776000000002</v>
      </c>
      <c r="R1900" s="19">
        <v>28411.580999999998</v>
      </c>
      <c r="S1900" s="19">
        <v>26365.087</v>
      </c>
      <c r="T1900" s="19">
        <v>22181.786</v>
      </c>
      <c r="U1900" s="19">
        <v>18815.343000000001</v>
      </c>
      <c r="V1900" s="19">
        <v>15917.071</v>
      </c>
      <c r="W1900" s="19">
        <v>11965.195</v>
      </c>
      <c r="X1900" s="19">
        <v>7402.1030000000001</v>
      </c>
      <c r="Y1900" s="19">
        <v>3791.8670000000002</v>
      </c>
      <c r="Z1900" s="19">
        <v>1284.442</v>
      </c>
      <c r="AA1900" s="19">
        <v>295.392</v>
      </c>
      <c r="AB1900" s="19">
        <v>39.601999999999997</v>
      </c>
      <c r="AC1900" s="19">
        <v>3.0310000000000001</v>
      </c>
    </row>
    <row r="1901" spans="1:29" ht="11.65" hidden="1" x14ac:dyDescent="0.35">
      <c r="A1901" s="23">
        <v>1884</v>
      </c>
      <c r="B1901" s="21" t="s">
        <v>1015</v>
      </c>
      <c r="C1901" s="29" t="s">
        <v>1149</v>
      </c>
      <c r="D1901" s="20"/>
      <c r="E1901" s="20">
        <v>906</v>
      </c>
      <c r="F1901" s="21" t="s">
        <v>1065</v>
      </c>
      <c r="G1901" s="20">
        <v>1832</v>
      </c>
      <c r="H1901" s="20">
        <v>1990</v>
      </c>
      <c r="I1901" s="19">
        <v>70935.899999999994</v>
      </c>
      <c r="J1901" s="19">
        <v>57936.563000000002</v>
      </c>
      <c r="K1901" s="19">
        <v>56788.069000000003</v>
      </c>
      <c r="L1901" s="19">
        <v>70247.115000000005</v>
      </c>
      <c r="M1901" s="19">
        <v>72805.508000000002</v>
      </c>
      <c r="N1901" s="19">
        <v>60240.311000000002</v>
      </c>
      <c r="O1901" s="19">
        <v>50556.279000000002</v>
      </c>
      <c r="P1901" s="19">
        <v>51635.173000000003</v>
      </c>
      <c r="Q1901" s="19">
        <v>38944.453000000001</v>
      </c>
      <c r="R1901" s="19">
        <v>30164.019</v>
      </c>
      <c r="S1901" s="19">
        <v>27875.636999999999</v>
      </c>
      <c r="T1901" s="19">
        <v>25601.218000000001</v>
      </c>
      <c r="U1901" s="19">
        <v>21091.146000000001</v>
      </c>
      <c r="V1901" s="19">
        <v>17250.334999999999</v>
      </c>
      <c r="W1901" s="19">
        <v>13679.769</v>
      </c>
      <c r="X1901" s="19">
        <v>9187.9310000000005</v>
      </c>
      <c r="Y1901" s="19">
        <v>4763.8050000000003</v>
      </c>
      <c r="Z1901" s="19">
        <v>1844.386</v>
      </c>
      <c r="AA1901" s="19">
        <v>436.31200000000001</v>
      </c>
      <c r="AB1901" s="19">
        <v>63.621000000000002</v>
      </c>
      <c r="AC1901" s="19">
        <v>5.0350000000000001</v>
      </c>
    </row>
    <row r="1902" spans="1:29" ht="11.65" hidden="1" x14ac:dyDescent="0.35">
      <c r="A1902" s="23">
        <v>1885</v>
      </c>
      <c r="B1902" s="21" t="s">
        <v>1015</v>
      </c>
      <c r="C1902" s="29" t="s">
        <v>1149</v>
      </c>
      <c r="D1902" s="20"/>
      <c r="E1902" s="20">
        <v>906</v>
      </c>
      <c r="F1902" s="21" t="s">
        <v>1065</v>
      </c>
      <c r="G1902" s="20">
        <v>1832</v>
      </c>
      <c r="H1902" s="20">
        <v>1995</v>
      </c>
      <c r="I1902" s="19">
        <v>54300.288999999997</v>
      </c>
      <c r="J1902" s="19">
        <v>70417.883000000002</v>
      </c>
      <c r="K1902" s="19">
        <v>57790.591999999997</v>
      </c>
      <c r="L1902" s="19">
        <v>56632.188999999998</v>
      </c>
      <c r="M1902" s="19">
        <v>69980.565000000002</v>
      </c>
      <c r="N1902" s="19">
        <v>72471.482999999993</v>
      </c>
      <c r="O1902" s="19">
        <v>59916.601999999999</v>
      </c>
      <c r="P1902" s="19">
        <v>50228.239000000001</v>
      </c>
      <c r="Q1902" s="19">
        <v>51204.571000000004</v>
      </c>
      <c r="R1902" s="19">
        <v>38489.139000000003</v>
      </c>
      <c r="S1902" s="19">
        <v>29611.536</v>
      </c>
      <c r="T1902" s="19">
        <v>27090.421999999999</v>
      </c>
      <c r="U1902" s="19">
        <v>24395.187000000002</v>
      </c>
      <c r="V1902" s="19">
        <v>19439.697</v>
      </c>
      <c r="W1902" s="19">
        <v>14961.596</v>
      </c>
      <c r="X1902" s="19">
        <v>10710.832</v>
      </c>
      <c r="Y1902" s="19">
        <v>6137.2690000000002</v>
      </c>
      <c r="Z1902" s="19">
        <v>2452.2440000000001</v>
      </c>
      <c r="AA1902" s="19">
        <v>669.30399999999997</v>
      </c>
      <c r="AB1902" s="19">
        <v>102.6</v>
      </c>
      <c r="AC1902" s="19">
        <v>8.8780000000000001</v>
      </c>
    </row>
    <row r="1903" spans="1:29" ht="11.65" hidden="1" x14ac:dyDescent="0.35">
      <c r="A1903" s="23">
        <v>1886</v>
      </c>
      <c r="B1903" s="21" t="s">
        <v>1015</v>
      </c>
      <c r="C1903" s="29" t="s">
        <v>1149</v>
      </c>
      <c r="D1903" s="20"/>
      <c r="E1903" s="20">
        <v>906</v>
      </c>
      <c r="F1903" s="21" t="s">
        <v>1065</v>
      </c>
      <c r="G1903" s="20">
        <v>1832</v>
      </c>
      <c r="H1903" s="20">
        <v>2000</v>
      </c>
      <c r="I1903" s="19">
        <v>47923.288999999997</v>
      </c>
      <c r="J1903" s="19">
        <v>53996.385000000002</v>
      </c>
      <c r="K1903" s="19">
        <v>70277.906000000003</v>
      </c>
      <c r="L1903" s="19">
        <v>57647.504999999997</v>
      </c>
      <c r="M1903" s="19">
        <v>56401.144999999997</v>
      </c>
      <c r="N1903" s="19">
        <v>69740.320000000007</v>
      </c>
      <c r="O1903" s="19">
        <v>72152.130999999994</v>
      </c>
      <c r="P1903" s="19">
        <v>59593.499000000003</v>
      </c>
      <c r="Q1903" s="19">
        <v>49854.394999999997</v>
      </c>
      <c r="R1903" s="19">
        <v>50650.213000000003</v>
      </c>
      <c r="S1903" s="19">
        <v>37859.826999999997</v>
      </c>
      <c r="T1903" s="19">
        <v>28841.135999999999</v>
      </c>
      <c r="U1903" s="19">
        <v>25892.577000000001</v>
      </c>
      <c r="V1903" s="19">
        <v>22614.544999999998</v>
      </c>
      <c r="W1903" s="19">
        <v>17083.042000000001</v>
      </c>
      <c r="X1903" s="19">
        <v>11916.123</v>
      </c>
      <c r="Y1903" s="19">
        <v>7292.1239999999998</v>
      </c>
      <c r="Z1903" s="19">
        <v>3308.002</v>
      </c>
      <c r="AA1903" s="19">
        <v>972.53200000000004</v>
      </c>
      <c r="AB1903" s="19">
        <v>177.54499999999999</v>
      </c>
      <c r="AC1903" s="19">
        <v>16.259</v>
      </c>
    </row>
    <row r="1904" spans="1:29" ht="11.65" hidden="1" x14ac:dyDescent="0.35">
      <c r="A1904" s="23">
        <v>1887</v>
      </c>
      <c r="B1904" s="21" t="s">
        <v>1015</v>
      </c>
      <c r="C1904" s="29" t="s">
        <v>1149</v>
      </c>
      <c r="D1904" s="20"/>
      <c r="E1904" s="20">
        <v>906</v>
      </c>
      <c r="F1904" s="21" t="s">
        <v>1065</v>
      </c>
      <c r="G1904" s="20">
        <v>1832</v>
      </c>
      <c r="H1904" s="20">
        <v>2005</v>
      </c>
      <c r="I1904" s="19">
        <v>44271.031000000003</v>
      </c>
      <c r="J1904" s="19">
        <v>47732.921999999999</v>
      </c>
      <c r="K1904" s="19">
        <v>53897.593999999997</v>
      </c>
      <c r="L1904" s="19">
        <v>70073.521999999997</v>
      </c>
      <c r="M1904" s="19">
        <v>57351.96</v>
      </c>
      <c r="N1904" s="19">
        <v>56108.076000000001</v>
      </c>
      <c r="O1904" s="19">
        <v>69383.179999999993</v>
      </c>
      <c r="P1904" s="19">
        <v>71737.320000000007</v>
      </c>
      <c r="Q1904" s="19">
        <v>59140.324999999997</v>
      </c>
      <c r="R1904" s="19">
        <v>49327.756999999998</v>
      </c>
      <c r="S1904" s="19">
        <v>49886.406999999999</v>
      </c>
      <c r="T1904" s="19">
        <v>36962.455999999998</v>
      </c>
      <c r="U1904" s="19">
        <v>27692.856</v>
      </c>
      <c r="V1904" s="19">
        <v>24127.395</v>
      </c>
      <c r="W1904" s="19">
        <v>19974.593000000001</v>
      </c>
      <c r="X1904" s="19">
        <v>13779.898999999999</v>
      </c>
      <c r="Y1904" s="19">
        <v>8286.6620000000003</v>
      </c>
      <c r="Z1904" s="19">
        <v>4041.4859999999999</v>
      </c>
      <c r="AA1904" s="19">
        <v>1399.5050000000001</v>
      </c>
      <c r="AB1904" s="19">
        <v>280.95600000000002</v>
      </c>
      <c r="AC1904" s="19">
        <v>31.077999999999999</v>
      </c>
    </row>
    <row r="1905" spans="1:29" ht="11.65" hidden="1" x14ac:dyDescent="0.35">
      <c r="A1905" s="23">
        <v>1888</v>
      </c>
      <c r="B1905" s="21" t="s">
        <v>1015</v>
      </c>
      <c r="C1905" s="29" t="s">
        <v>1149</v>
      </c>
      <c r="D1905" s="20"/>
      <c r="E1905" s="20">
        <v>906</v>
      </c>
      <c r="F1905" s="21" t="s">
        <v>1065</v>
      </c>
      <c r="G1905" s="20">
        <v>1832</v>
      </c>
      <c r="H1905" s="20">
        <v>2010</v>
      </c>
      <c r="I1905" s="19">
        <v>44433.849000000002</v>
      </c>
      <c r="J1905" s="19">
        <v>44141.26</v>
      </c>
      <c r="K1905" s="19">
        <v>47642.703999999998</v>
      </c>
      <c r="L1905" s="19">
        <v>53721.714999999997</v>
      </c>
      <c r="M1905" s="19">
        <v>69727.267999999996</v>
      </c>
      <c r="N1905" s="19">
        <v>57061.296999999999</v>
      </c>
      <c r="O1905" s="19">
        <v>55829.618999999999</v>
      </c>
      <c r="P1905" s="19">
        <v>69009.495999999999</v>
      </c>
      <c r="Q1905" s="19">
        <v>71258.918000000005</v>
      </c>
      <c r="R1905" s="19">
        <v>58585.756999999998</v>
      </c>
      <c r="S1905" s="19">
        <v>48628.991000000002</v>
      </c>
      <c r="T1905" s="19">
        <v>48806.862000000001</v>
      </c>
      <c r="U1905" s="19">
        <v>35613.730000000003</v>
      </c>
      <c r="V1905" s="19">
        <v>25958.751</v>
      </c>
      <c r="W1905" s="19">
        <v>21481.192999999999</v>
      </c>
      <c r="X1905" s="19">
        <v>16289.742</v>
      </c>
      <c r="Y1905" s="19">
        <v>9876.9259999999995</v>
      </c>
      <c r="Z1905" s="19">
        <v>4858.1589999999997</v>
      </c>
      <c r="AA1905" s="19">
        <v>1800.203</v>
      </c>
      <c r="AB1905" s="19">
        <v>433.09100000000001</v>
      </c>
      <c r="AC1905" s="19">
        <v>54.078000000000003</v>
      </c>
    </row>
    <row r="1906" spans="1:29" ht="11.65" hidden="1" x14ac:dyDescent="0.35">
      <c r="A1906" s="23">
        <v>1889</v>
      </c>
      <c r="B1906" s="21" t="s">
        <v>1015</v>
      </c>
      <c r="C1906" s="29" t="s">
        <v>1149</v>
      </c>
      <c r="D1906" s="20"/>
      <c r="E1906" s="20">
        <v>906</v>
      </c>
      <c r="F1906" s="21" t="s">
        <v>1065</v>
      </c>
      <c r="G1906" s="20">
        <v>1832</v>
      </c>
      <c r="H1906" s="20">
        <v>2015</v>
      </c>
      <c r="I1906" s="19">
        <v>45865.525000000001</v>
      </c>
      <c r="J1906" s="19">
        <v>44354.894999999997</v>
      </c>
      <c r="K1906" s="19">
        <v>44063.786</v>
      </c>
      <c r="L1906" s="19">
        <v>47536.63</v>
      </c>
      <c r="M1906" s="19">
        <v>53489.067000000003</v>
      </c>
      <c r="N1906" s="19">
        <v>69604.786999999997</v>
      </c>
      <c r="O1906" s="19">
        <v>56883.286</v>
      </c>
      <c r="P1906" s="19">
        <v>55615.262999999999</v>
      </c>
      <c r="Q1906" s="19">
        <v>68593.971000000005</v>
      </c>
      <c r="R1906" s="19">
        <v>70705.269</v>
      </c>
      <c r="S1906" s="19">
        <v>57913.220999999998</v>
      </c>
      <c r="T1906" s="19">
        <v>47686.712</v>
      </c>
      <c r="U1906" s="19">
        <v>47176.241000000002</v>
      </c>
      <c r="V1906" s="19">
        <v>33525.767999999996</v>
      </c>
      <c r="W1906" s="19">
        <v>23405.327000000001</v>
      </c>
      <c r="X1906" s="19">
        <v>17909.931</v>
      </c>
      <c r="Y1906" s="19">
        <v>12025.338</v>
      </c>
      <c r="Z1906" s="19">
        <v>6106.9719999999998</v>
      </c>
      <c r="AA1906" s="19">
        <v>2334.87</v>
      </c>
      <c r="AB1906" s="19">
        <v>601.721</v>
      </c>
      <c r="AC1906" s="19">
        <v>90.046999999999997</v>
      </c>
    </row>
    <row r="1907" spans="1:29" ht="11.65" hidden="1" x14ac:dyDescent="0.35">
      <c r="A1907" s="23">
        <v>1890</v>
      </c>
      <c r="B1907" s="21" t="s">
        <v>1015</v>
      </c>
      <c r="C1907" s="29" t="s">
        <v>1149</v>
      </c>
      <c r="D1907" s="20"/>
      <c r="E1907" s="20">
        <v>906</v>
      </c>
      <c r="F1907" s="21" t="s">
        <v>1065</v>
      </c>
      <c r="G1907" s="20">
        <v>1832</v>
      </c>
      <c r="H1907" s="20">
        <v>2020</v>
      </c>
      <c r="I1907" s="19">
        <v>44439.633999999998</v>
      </c>
      <c r="J1907" s="19">
        <v>45800.474000000002</v>
      </c>
      <c r="K1907" s="19">
        <v>44301.803</v>
      </c>
      <c r="L1907" s="19">
        <v>43949.462</v>
      </c>
      <c r="M1907" s="19">
        <v>47323.874000000003</v>
      </c>
      <c r="N1907" s="19">
        <v>53280.366000000002</v>
      </c>
      <c r="O1907" s="19">
        <v>69366.891000000003</v>
      </c>
      <c r="P1907" s="19">
        <v>56675.745999999999</v>
      </c>
      <c r="Q1907" s="19">
        <v>55328.620999999999</v>
      </c>
      <c r="R1907" s="19">
        <v>68111.350999999995</v>
      </c>
      <c r="S1907" s="19">
        <v>69970.103000000003</v>
      </c>
      <c r="T1907" s="19">
        <v>56943.595999999998</v>
      </c>
      <c r="U1907" s="19">
        <v>46293.663999999997</v>
      </c>
      <c r="V1907" s="19">
        <v>44712.194000000003</v>
      </c>
      <c r="W1907" s="19">
        <v>30543.594000000001</v>
      </c>
      <c r="X1907" s="19">
        <v>19953.844000000001</v>
      </c>
      <c r="Y1907" s="19">
        <v>13704.326999999999</v>
      </c>
      <c r="Z1907" s="19">
        <v>7781.6689999999999</v>
      </c>
      <c r="AA1907" s="19">
        <v>3139.471</v>
      </c>
      <c r="AB1907" s="19">
        <v>852.76800000000003</v>
      </c>
      <c r="AC1907" s="19">
        <v>140.43899999999999</v>
      </c>
    </row>
    <row r="1908" spans="1:29" ht="11.65" hidden="1" x14ac:dyDescent="0.35">
      <c r="A1908" s="12">
        <v>1891</v>
      </c>
      <c r="B1908" s="10" t="s">
        <v>1015</v>
      </c>
      <c r="C1908" s="11" t="s">
        <v>1150</v>
      </c>
      <c r="D1908" s="9">
        <v>8</v>
      </c>
      <c r="E1908" s="9">
        <v>156</v>
      </c>
      <c r="F1908" s="10" t="s">
        <v>1066</v>
      </c>
      <c r="G1908" s="9">
        <v>906</v>
      </c>
      <c r="H1908" s="9">
        <v>1950</v>
      </c>
      <c r="I1908" s="8">
        <v>36834.184000000001</v>
      </c>
      <c r="J1908" s="8">
        <v>26816.395</v>
      </c>
      <c r="K1908" s="8">
        <v>25332.923999999999</v>
      </c>
      <c r="L1908" s="8">
        <v>24438.98</v>
      </c>
      <c r="M1908" s="8">
        <v>21571.526999999998</v>
      </c>
      <c r="N1908" s="8">
        <v>19977.099999999999</v>
      </c>
      <c r="O1908" s="8">
        <v>19584.18</v>
      </c>
      <c r="P1908" s="8">
        <v>17816.822</v>
      </c>
      <c r="Q1908" s="8">
        <v>15599.842000000001</v>
      </c>
      <c r="R1908" s="8">
        <v>14081.686</v>
      </c>
      <c r="S1908" s="8">
        <v>11367.061</v>
      </c>
      <c r="T1908" s="8">
        <v>10566.709000000001</v>
      </c>
      <c r="U1908" s="8">
        <v>8549.7929999999997</v>
      </c>
      <c r="V1908" s="8">
        <v>6805.9639999999999</v>
      </c>
      <c r="W1908" s="8">
        <v>4041.1219999999998</v>
      </c>
      <c r="X1908" s="8">
        <v>2234.0659999999998</v>
      </c>
      <c r="Y1908" s="8">
        <v>854.07600000000002</v>
      </c>
      <c r="Z1908" s="8">
        <v>170.77199999999999</v>
      </c>
      <c r="AA1908" s="8">
        <v>31.832999999999998</v>
      </c>
      <c r="AB1908" s="8">
        <v>3.9540000000000002</v>
      </c>
      <c r="AC1908" s="8">
        <v>0.41399999999999998</v>
      </c>
    </row>
    <row r="1909" spans="1:29" ht="11.65" hidden="1" x14ac:dyDescent="0.35">
      <c r="A1909" s="12">
        <v>1892</v>
      </c>
      <c r="B1909" s="10" t="s">
        <v>1015</v>
      </c>
      <c r="C1909" s="11" t="s">
        <v>1150</v>
      </c>
      <c r="D1909" s="9">
        <v>8</v>
      </c>
      <c r="E1909" s="9">
        <v>156</v>
      </c>
      <c r="F1909" s="10" t="s">
        <v>1066</v>
      </c>
      <c r="G1909" s="9">
        <v>906</v>
      </c>
      <c r="H1909" s="9">
        <v>1955</v>
      </c>
      <c r="I1909" s="8">
        <v>50408.845000000001</v>
      </c>
      <c r="J1909" s="8">
        <v>34202.17</v>
      </c>
      <c r="K1909" s="8">
        <v>25985.605</v>
      </c>
      <c r="L1909" s="8">
        <v>24744.378000000001</v>
      </c>
      <c r="M1909" s="8">
        <v>23812.240000000002</v>
      </c>
      <c r="N1909" s="8">
        <v>20875.272000000001</v>
      </c>
      <c r="O1909" s="8">
        <v>19192.407999999999</v>
      </c>
      <c r="P1909" s="8">
        <v>18730.517</v>
      </c>
      <c r="Q1909" s="8">
        <v>16790.11</v>
      </c>
      <c r="R1909" s="8">
        <v>14450.816999999999</v>
      </c>
      <c r="S1909" s="8">
        <v>12982.075000000001</v>
      </c>
      <c r="T1909" s="8">
        <v>10286.828</v>
      </c>
      <c r="U1909" s="8">
        <v>8856.393</v>
      </c>
      <c r="V1909" s="8">
        <v>6387.6540000000005</v>
      </c>
      <c r="W1909" s="8">
        <v>4534.12</v>
      </c>
      <c r="X1909" s="8">
        <v>2164.3589999999999</v>
      </c>
      <c r="Y1909" s="8">
        <v>868.57399999999996</v>
      </c>
      <c r="Z1909" s="8">
        <v>249.756</v>
      </c>
      <c r="AA1909" s="8">
        <v>35.137</v>
      </c>
      <c r="AB1909" s="8">
        <v>4.3170000000000002</v>
      </c>
      <c r="AC1909" s="8">
        <v>0.435</v>
      </c>
    </row>
    <row r="1910" spans="1:29" ht="11.65" hidden="1" x14ac:dyDescent="0.35">
      <c r="A1910" s="12">
        <v>1893</v>
      </c>
      <c r="B1910" s="10" t="s">
        <v>1015</v>
      </c>
      <c r="C1910" s="11" t="s">
        <v>1150</v>
      </c>
      <c r="D1910" s="9">
        <v>8</v>
      </c>
      <c r="E1910" s="9">
        <v>156</v>
      </c>
      <c r="F1910" s="10" t="s">
        <v>1066</v>
      </c>
      <c r="G1910" s="9">
        <v>906</v>
      </c>
      <c r="H1910" s="9">
        <v>1960</v>
      </c>
      <c r="I1910" s="8">
        <v>47186.883000000002</v>
      </c>
      <c r="J1910" s="8">
        <v>47005.601000000002</v>
      </c>
      <c r="K1910" s="8">
        <v>33264.529000000002</v>
      </c>
      <c r="L1910" s="8">
        <v>25452.955999999998</v>
      </c>
      <c r="M1910" s="8">
        <v>24191.226999999999</v>
      </c>
      <c r="N1910" s="8">
        <v>23130.394</v>
      </c>
      <c r="O1910" s="8">
        <v>20107.691999999999</v>
      </c>
      <c r="P1910" s="8">
        <v>18363.669000000002</v>
      </c>
      <c r="Q1910" s="8">
        <v>17766.213</v>
      </c>
      <c r="R1910" s="8">
        <v>15785.361000000001</v>
      </c>
      <c r="S1910" s="8">
        <v>13404.331</v>
      </c>
      <c r="T1910" s="8">
        <v>11670.562</v>
      </c>
      <c r="U1910" s="8">
        <v>8620.0709999999999</v>
      </c>
      <c r="V1910" s="8">
        <v>6643.4290000000001</v>
      </c>
      <c r="W1910" s="8">
        <v>4178.3549999999996</v>
      </c>
      <c r="X1910" s="8">
        <v>2306.9250000000002</v>
      </c>
      <c r="Y1910" s="8">
        <v>714.029</v>
      </c>
      <c r="Z1910" s="8">
        <v>177.893</v>
      </c>
      <c r="AA1910" s="8">
        <v>32.637999999999998</v>
      </c>
      <c r="AB1910" s="8">
        <v>3.0830000000000002</v>
      </c>
      <c r="AC1910" s="8">
        <v>0.30499999999999999</v>
      </c>
    </row>
    <row r="1911" spans="1:29" ht="11.65" hidden="1" x14ac:dyDescent="0.35">
      <c r="A1911" s="12">
        <v>1894</v>
      </c>
      <c r="B1911" s="10" t="s">
        <v>1015</v>
      </c>
      <c r="C1911" s="11" t="s">
        <v>1150</v>
      </c>
      <c r="D1911" s="9">
        <v>8</v>
      </c>
      <c r="E1911" s="9">
        <v>156</v>
      </c>
      <c r="F1911" s="10" t="s">
        <v>1066</v>
      </c>
      <c r="G1911" s="9">
        <v>906</v>
      </c>
      <c r="H1911" s="9">
        <v>1965</v>
      </c>
      <c r="I1911" s="8">
        <v>55034.413999999997</v>
      </c>
      <c r="J1911" s="8">
        <v>43857.394999999997</v>
      </c>
      <c r="K1911" s="8">
        <v>45682.614000000001</v>
      </c>
      <c r="L1911" s="8">
        <v>32525.976999999999</v>
      </c>
      <c r="M1911" s="8">
        <v>24777.308000000001</v>
      </c>
      <c r="N1911" s="8">
        <v>23437.016</v>
      </c>
      <c r="O1911" s="8">
        <v>22263.407999999999</v>
      </c>
      <c r="P1911" s="8">
        <v>19215.120999999999</v>
      </c>
      <c r="Q1911" s="8">
        <v>17407.364000000001</v>
      </c>
      <c r="R1911" s="8">
        <v>16710.177</v>
      </c>
      <c r="S1911" s="8">
        <v>14647.567999999999</v>
      </c>
      <c r="T1911" s="8">
        <v>12043.877</v>
      </c>
      <c r="U1911" s="8">
        <v>9820.93</v>
      </c>
      <c r="V1911" s="8">
        <v>6534.2240000000002</v>
      </c>
      <c r="W1911" s="8">
        <v>4399.8670000000002</v>
      </c>
      <c r="X1911" s="8">
        <v>2273.8229999999999</v>
      </c>
      <c r="Y1911" s="8">
        <v>920.36800000000005</v>
      </c>
      <c r="Z1911" s="8">
        <v>200.10599999999999</v>
      </c>
      <c r="AA1911" s="8">
        <v>33.936</v>
      </c>
      <c r="AB1911" s="8">
        <v>3.9089999999999998</v>
      </c>
      <c r="AC1911" s="8">
        <v>0.28499999999999998</v>
      </c>
    </row>
    <row r="1912" spans="1:29" ht="11.65" hidden="1" x14ac:dyDescent="0.35">
      <c r="A1912" s="12">
        <v>1895</v>
      </c>
      <c r="B1912" s="10" t="s">
        <v>1015</v>
      </c>
      <c r="C1912" s="11" t="s">
        <v>1150</v>
      </c>
      <c r="D1912" s="9">
        <v>8</v>
      </c>
      <c r="E1912" s="9">
        <v>156</v>
      </c>
      <c r="F1912" s="10" t="s">
        <v>1066</v>
      </c>
      <c r="G1912" s="9">
        <v>906</v>
      </c>
      <c r="H1912" s="9">
        <v>1970</v>
      </c>
      <c r="I1912" s="8">
        <v>66328.638000000006</v>
      </c>
      <c r="J1912" s="8">
        <v>53081.152000000002</v>
      </c>
      <c r="K1912" s="8">
        <v>43429.752</v>
      </c>
      <c r="L1912" s="8">
        <v>45290.224000000002</v>
      </c>
      <c r="M1912" s="8">
        <v>32136.409</v>
      </c>
      <c r="N1912" s="8">
        <v>24407.984</v>
      </c>
      <c r="O1912" s="8">
        <v>23003.611000000001</v>
      </c>
      <c r="P1912" s="8">
        <v>21742.010999999999</v>
      </c>
      <c r="Q1912" s="8">
        <v>18638.142</v>
      </c>
      <c r="R1912" s="8">
        <v>16723.256000000001</v>
      </c>
      <c r="S1912" s="8">
        <v>15821.540999999999</v>
      </c>
      <c r="T1912" s="8">
        <v>13575.172</v>
      </c>
      <c r="U1912" s="8">
        <v>10776.32</v>
      </c>
      <c r="V1912" s="8">
        <v>8306.7080000000005</v>
      </c>
      <c r="W1912" s="8">
        <v>5099.875</v>
      </c>
      <c r="X1912" s="8">
        <v>2915.8380000000002</v>
      </c>
      <c r="Y1912" s="8">
        <v>1160.136</v>
      </c>
      <c r="Z1912" s="8">
        <v>345.14800000000002</v>
      </c>
      <c r="AA1912" s="8">
        <v>48.466000000000001</v>
      </c>
      <c r="AB1912" s="8">
        <v>5.0979999999999999</v>
      </c>
      <c r="AC1912" s="8">
        <v>0.44800000000000001</v>
      </c>
    </row>
    <row r="1913" spans="1:29" ht="11.65" hidden="1" x14ac:dyDescent="0.35">
      <c r="A1913" s="12">
        <v>1896</v>
      </c>
      <c r="B1913" s="10" t="s">
        <v>1015</v>
      </c>
      <c r="C1913" s="11" t="s">
        <v>1150</v>
      </c>
      <c r="D1913" s="9">
        <v>8</v>
      </c>
      <c r="E1913" s="9">
        <v>156</v>
      </c>
      <c r="F1913" s="10" t="s">
        <v>1066</v>
      </c>
      <c r="G1913" s="9">
        <v>906</v>
      </c>
      <c r="H1913" s="9">
        <v>1975</v>
      </c>
      <c r="I1913" s="8">
        <v>62256.076000000001</v>
      </c>
      <c r="J1913" s="8">
        <v>64772.483999999997</v>
      </c>
      <c r="K1913" s="8">
        <v>52644.002</v>
      </c>
      <c r="L1913" s="8">
        <v>43166.281999999999</v>
      </c>
      <c r="M1913" s="8">
        <v>44947.307999999997</v>
      </c>
      <c r="N1913" s="8">
        <v>31819.394</v>
      </c>
      <c r="O1913" s="8">
        <v>24120.780999999999</v>
      </c>
      <c r="P1913" s="8">
        <v>22677.455999999998</v>
      </c>
      <c r="Q1913" s="8">
        <v>21337.671999999999</v>
      </c>
      <c r="R1913" s="8">
        <v>18173.452000000001</v>
      </c>
      <c r="S1913" s="8">
        <v>16131.004999999999</v>
      </c>
      <c r="T1913" s="8">
        <v>14952.277</v>
      </c>
      <c r="U1913" s="8">
        <v>12400.94</v>
      </c>
      <c r="V1913" s="8">
        <v>9340.7559999999994</v>
      </c>
      <c r="W1913" s="8">
        <v>6621.5330000000004</v>
      </c>
      <c r="X1913" s="8">
        <v>3483.9059999999999</v>
      </c>
      <c r="Y1913" s="8">
        <v>1559.9290000000001</v>
      </c>
      <c r="Z1913" s="8">
        <v>449.25</v>
      </c>
      <c r="AA1913" s="8">
        <v>86.298000000000002</v>
      </c>
      <c r="AB1913" s="8">
        <v>7.6459999999999999</v>
      </c>
      <c r="AC1913" s="8">
        <v>0.60899999999999999</v>
      </c>
    </row>
    <row r="1914" spans="1:29" ht="11.65" hidden="1" x14ac:dyDescent="0.35">
      <c r="A1914" s="12">
        <v>1897</v>
      </c>
      <c r="B1914" s="10" t="s">
        <v>1015</v>
      </c>
      <c r="C1914" s="11" t="s">
        <v>1150</v>
      </c>
      <c r="D1914" s="9">
        <v>8</v>
      </c>
      <c r="E1914" s="9">
        <v>156</v>
      </c>
      <c r="F1914" s="10" t="s">
        <v>1066</v>
      </c>
      <c r="G1914" s="9">
        <v>906</v>
      </c>
      <c r="H1914" s="9">
        <v>1980</v>
      </c>
      <c r="I1914" s="8">
        <v>49227.644</v>
      </c>
      <c r="J1914" s="8">
        <v>61282.502999999997</v>
      </c>
      <c r="K1914" s="8">
        <v>64390.578999999998</v>
      </c>
      <c r="L1914" s="8">
        <v>52436.684999999998</v>
      </c>
      <c r="M1914" s="8">
        <v>42955.05</v>
      </c>
      <c r="N1914" s="8">
        <v>44666.519</v>
      </c>
      <c r="O1914" s="8">
        <v>31569.844000000001</v>
      </c>
      <c r="P1914" s="8">
        <v>23887.151999999998</v>
      </c>
      <c r="Q1914" s="8">
        <v>22389.812999999998</v>
      </c>
      <c r="R1914" s="8">
        <v>20970.701000000001</v>
      </c>
      <c r="S1914" s="8">
        <v>17684.958999999999</v>
      </c>
      <c r="T1914" s="8">
        <v>15450.08</v>
      </c>
      <c r="U1914" s="8">
        <v>13932.151</v>
      </c>
      <c r="V1914" s="8">
        <v>11019.941999999999</v>
      </c>
      <c r="W1914" s="8">
        <v>7611.3040000000001</v>
      </c>
      <c r="X1914" s="8">
        <v>4652.7529999999997</v>
      </c>
      <c r="Y1914" s="8">
        <v>1951.7249999999999</v>
      </c>
      <c r="Z1914" s="8">
        <v>624.53300000000002</v>
      </c>
      <c r="AA1914" s="8">
        <v>116.08199999999999</v>
      </c>
      <c r="AB1914" s="8">
        <v>14.108000000000001</v>
      </c>
      <c r="AC1914" s="8">
        <v>0.93200000000000005</v>
      </c>
    </row>
    <row r="1915" spans="1:29" ht="11.65" hidden="1" x14ac:dyDescent="0.35">
      <c r="A1915" s="12">
        <v>1898</v>
      </c>
      <c r="B1915" s="10" t="s">
        <v>1015</v>
      </c>
      <c r="C1915" s="11" t="s">
        <v>1150</v>
      </c>
      <c r="D1915" s="9">
        <v>8</v>
      </c>
      <c r="E1915" s="9">
        <v>156</v>
      </c>
      <c r="F1915" s="10" t="s">
        <v>1066</v>
      </c>
      <c r="G1915" s="9">
        <v>906</v>
      </c>
      <c r="H1915" s="9">
        <v>1985</v>
      </c>
      <c r="I1915" s="8">
        <v>50640.29</v>
      </c>
      <c r="J1915" s="8">
        <v>48703.654999999999</v>
      </c>
      <c r="K1915" s="8">
        <v>61006.27</v>
      </c>
      <c r="L1915" s="8">
        <v>64166.326999999997</v>
      </c>
      <c r="M1915" s="8">
        <v>52194.813999999998</v>
      </c>
      <c r="N1915" s="8">
        <v>42711.781000000003</v>
      </c>
      <c r="O1915" s="8">
        <v>44360.065000000002</v>
      </c>
      <c r="P1915" s="8">
        <v>31301.927</v>
      </c>
      <c r="Q1915" s="8">
        <v>23622.992999999999</v>
      </c>
      <c r="R1915" s="8">
        <v>22048.021000000001</v>
      </c>
      <c r="S1915" s="8">
        <v>20474.135999999999</v>
      </c>
      <c r="T1915" s="8">
        <v>17027.677</v>
      </c>
      <c r="U1915" s="8">
        <v>14508.496999999999</v>
      </c>
      <c r="V1915" s="8">
        <v>12560.296</v>
      </c>
      <c r="W1915" s="8">
        <v>9209.482</v>
      </c>
      <c r="X1915" s="8">
        <v>5509.3220000000001</v>
      </c>
      <c r="Y1915" s="8">
        <v>2701.2089999999998</v>
      </c>
      <c r="Z1915" s="8">
        <v>815.62599999999998</v>
      </c>
      <c r="AA1915" s="8">
        <v>168.62899999999999</v>
      </c>
      <c r="AB1915" s="8">
        <v>19.928999999999998</v>
      </c>
      <c r="AC1915" s="8">
        <v>1.7310000000000001</v>
      </c>
    </row>
    <row r="1916" spans="1:29" ht="11.65" hidden="1" x14ac:dyDescent="0.35">
      <c r="A1916" s="12">
        <v>1899</v>
      </c>
      <c r="B1916" s="10" t="s">
        <v>1015</v>
      </c>
      <c r="C1916" s="11" t="s">
        <v>1150</v>
      </c>
      <c r="D1916" s="9">
        <v>8</v>
      </c>
      <c r="E1916" s="9">
        <v>156</v>
      </c>
      <c r="F1916" s="10" t="s">
        <v>1066</v>
      </c>
      <c r="G1916" s="9">
        <v>906</v>
      </c>
      <c r="H1916" s="9">
        <v>1990</v>
      </c>
      <c r="I1916" s="8">
        <v>64094.588000000003</v>
      </c>
      <c r="J1916" s="8">
        <v>50169.756000000001</v>
      </c>
      <c r="K1916" s="8">
        <v>48525.603999999999</v>
      </c>
      <c r="L1916" s="8">
        <v>60807.019</v>
      </c>
      <c r="M1916" s="8">
        <v>63877.294999999998</v>
      </c>
      <c r="N1916" s="8">
        <v>51907.908000000003</v>
      </c>
      <c r="O1916" s="8">
        <v>42432.932000000001</v>
      </c>
      <c r="P1916" s="8">
        <v>44018.788999999997</v>
      </c>
      <c r="Q1916" s="8">
        <v>30995.258000000002</v>
      </c>
      <c r="R1916" s="8">
        <v>23303.843000000001</v>
      </c>
      <c r="S1916" s="8">
        <v>21598.087</v>
      </c>
      <c r="T1916" s="8">
        <v>19828.966</v>
      </c>
      <c r="U1916" s="8">
        <v>16091.508</v>
      </c>
      <c r="V1916" s="8">
        <v>13151.297</v>
      </c>
      <c r="W1916" s="8">
        <v>10593.782999999999</v>
      </c>
      <c r="X1916" s="8">
        <v>6823.9840000000004</v>
      </c>
      <c r="Y1916" s="8">
        <v>3334.7159999999999</v>
      </c>
      <c r="Z1916" s="8">
        <v>1193.395</v>
      </c>
      <c r="AA1916" s="8">
        <v>240.71600000000001</v>
      </c>
      <c r="AB1916" s="8">
        <v>32.154000000000003</v>
      </c>
      <c r="AC1916" s="8">
        <v>2.6080000000000001</v>
      </c>
    </row>
    <row r="1917" spans="1:29" ht="11.65" hidden="1" x14ac:dyDescent="0.35">
      <c r="A1917" s="12">
        <v>1900</v>
      </c>
      <c r="B1917" s="10" t="s">
        <v>1015</v>
      </c>
      <c r="C1917" s="11" t="s">
        <v>1150</v>
      </c>
      <c r="D1917" s="9">
        <v>8</v>
      </c>
      <c r="E1917" s="9">
        <v>156</v>
      </c>
      <c r="F1917" s="10" t="s">
        <v>1066</v>
      </c>
      <c r="G1917" s="9">
        <v>906</v>
      </c>
      <c r="H1917" s="9">
        <v>1995</v>
      </c>
      <c r="I1917" s="8">
        <v>47584.432999999997</v>
      </c>
      <c r="J1917" s="8">
        <v>63594.495000000003</v>
      </c>
      <c r="K1917" s="8">
        <v>50022.703000000001</v>
      </c>
      <c r="L1917" s="8">
        <v>48364.665000000001</v>
      </c>
      <c r="M1917" s="8">
        <v>60522.794999999998</v>
      </c>
      <c r="N1917" s="8">
        <v>63533.612999999998</v>
      </c>
      <c r="O1917" s="8">
        <v>51584.925000000003</v>
      </c>
      <c r="P1917" s="8">
        <v>42127.194000000003</v>
      </c>
      <c r="Q1917" s="8">
        <v>43621.614999999998</v>
      </c>
      <c r="R1917" s="8">
        <v>30596.097000000002</v>
      </c>
      <c r="S1917" s="8">
        <v>22844</v>
      </c>
      <c r="T1917" s="8">
        <v>20933.187999999998</v>
      </c>
      <c r="U1917" s="8">
        <v>18787.100999999999</v>
      </c>
      <c r="V1917" s="8">
        <v>14660.518</v>
      </c>
      <c r="W1917" s="8">
        <v>11167.962</v>
      </c>
      <c r="X1917" s="8">
        <v>8021.0810000000001</v>
      </c>
      <c r="Y1917" s="8">
        <v>4295.3190000000004</v>
      </c>
      <c r="Z1917" s="8">
        <v>1545.173</v>
      </c>
      <c r="AA1917" s="8">
        <v>373.66500000000002</v>
      </c>
      <c r="AB1917" s="8">
        <v>48.61</v>
      </c>
      <c r="AC1917" s="8">
        <v>4.5220000000000002</v>
      </c>
    </row>
    <row r="1918" spans="1:29" ht="11.65" hidden="1" x14ac:dyDescent="0.35">
      <c r="A1918" s="12">
        <v>1901</v>
      </c>
      <c r="B1918" s="10" t="s">
        <v>1015</v>
      </c>
      <c r="C1918" s="11" t="s">
        <v>1150</v>
      </c>
      <c r="D1918" s="9">
        <v>8</v>
      </c>
      <c r="E1918" s="9">
        <v>156</v>
      </c>
      <c r="F1918" s="10" t="s">
        <v>1066</v>
      </c>
      <c r="G1918" s="9">
        <v>906</v>
      </c>
      <c r="H1918" s="9">
        <v>2000</v>
      </c>
      <c r="I1918" s="8">
        <v>41568.116999999998</v>
      </c>
      <c r="J1918" s="8">
        <v>47273.938000000002</v>
      </c>
      <c r="K1918" s="8">
        <v>63443.076999999997</v>
      </c>
      <c r="L1918" s="8">
        <v>49887.01</v>
      </c>
      <c r="M1918" s="8">
        <v>48167.364999999998</v>
      </c>
      <c r="N1918" s="8">
        <v>60244.381999999998</v>
      </c>
      <c r="O1918" s="8">
        <v>63202.883000000002</v>
      </c>
      <c r="P1918" s="8">
        <v>51265.264999999999</v>
      </c>
      <c r="Q1918" s="8">
        <v>41786.171000000002</v>
      </c>
      <c r="R1918" s="8">
        <v>43122.864000000001</v>
      </c>
      <c r="S1918" s="8">
        <v>30052.659</v>
      </c>
      <c r="T1918" s="8">
        <v>22197.438999999998</v>
      </c>
      <c r="U1918" s="8">
        <v>19905.628000000001</v>
      </c>
      <c r="V1918" s="8">
        <v>17246.936000000002</v>
      </c>
      <c r="W1918" s="8">
        <v>12628.008</v>
      </c>
      <c r="X1918" s="8">
        <v>8565.2009999999991</v>
      </c>
      <c r="Y1918" s="8">
        <v>5136.7969999999996</v>
      </c>
      <c r="Z1918" s="8">
        <v>2062.9560000000001</v>
      </c>
      <c r="AA1918" s="8">
        <v>516.59799999999996</v>
      </c>
      <c r="AB1918" s="8">
        <v>82.453000000000003</v>
      </c>
      <c r="AC1918" s="8">
        <v>7.2629999999999999</v>
      </c>
    </row>
    <row r="1919" spans="1:29" ht="11.65" hidden="1" x14ac:dyDescent="0.35">
      <c r="A1919" s="12">
        <v>1902</v>
      </c>
      <c r="B1919" s="10" t="s">
        <v>1015</v>
      </c>
      <c r="C1919" s="11" t="s">
        <v>1150</v>
      </c>
      <c r="D1919" s="9">
        <v>8</v>
      </c>
      <c r="E1919" s="9">
        <v>156</v>
      </c>
      <c r="F1919" s="10" t="s">
        <v>1066</v>
      </c>
      <c r="G1919" s="9">
        <v>906</v>
      </c>
      <c r="H1919" s="9">
        <v>2005</v>
      </c>
      <c r="I1919" s="8">
        <v>38582.614000000001</v>
      </c>
      <c r="J1919" s="8">
        <v>41359.080999999998</v>
      </c>
      <c r="K1919" s="8">
        <v>47158.082000000002</v>
      </c>
      <c r="L1919" s="8">
        <v>63226.932999999997</v>
      </c>
      <c r="M1919" s="8">
        <v>49592.563999999998</v>
      </c>
      <c r="N1919" s="8">
        <v>47851.059000000001</v>
      </c>
      <c r="O1919" s="8">
        <v>59874.754999999997</v>
      </c>
      <c r="P1919" s="8">
        <v>62786.771000000001</v>
      </c>
      <c r="Q1919" s="8">
        <v>50836.824999999997</v>
      </c>
      <c r="R1919" s="8">
        <v>41311.51</v>
      </c>
      <c r="S1919" s="8">
        <v>42397.298999999999</v>
      </c>
      <c r="T1919" s="8">
        <v>29254.43</v>
      </c>
      <c r="U1919" s="8">
        <v>21184.995999999999</v>
      </c>
      <c r="V1919" s="8">
        <v>18350.002</v>
      </c>
      <c r="W1919" s="8">
        <v>14911.884</v>
      </c>
      <c r="X1919" s="8">
        <v>9762.4599999999991</v>
      </c>
      <c r="Y1919" s="8">
        <v>5510.6869999999999</v>
      </c>
      <c r="Z1919" s="8">
        <v>2502.904</v>
      </c>
      <c r="AA1919" s="8">
        <v>710.27499999999998</v>
      </c>
      <c r="AB1919" s="8">
        <v>113.131</v>
      </c>
      <c r="AC1919" s="8">
        <v>12.218</v>
      </c>
    </row>
    <row r="1920" spans="1:29" ht="11.65" hidden="1" x14ac:dyDescent="0.35">
      <c r="A1920" s="12">
        <v>1903</v>
      </c>
      <c r="B1920" s="10" t="s">
        <v>1015</v>
      </c>
      <c r="C1920" s="11" t="s">
        <v>1150</v>
      </c>
      <c r="D1920" s="9">
        <v>8</v>
      </c>
      <c r="E1920" s="9">
        <v>156</v>
      </c>
      <c r="F1920" s="10" t="s">
        <v>1066</v>
      </c>
      <c r="G1920" s="9">
        <v>906</v>
      </c>
      <c r="H1920" s="9">
        <v>2010</v>
      </c>
      <c r="I1920" s="8">
        <v>39073.481</v>
      </c>
      <c r="J1920" s="8">
        <v>38444.847999999998</v>
      </c>
      <c r="K1920" s="8">
        <v>41263.154999999999</v>
      </c>
      <c r="L1920" s="8">
        <v>46974.733</v>
      </c>
      <c r="M1920" s="8">
        <v>62891.110999999997</v>
      </c>
      <c r="N1920" s="8">
        <v>49265.226999999999</v>
      </c>
      <c r="O1920" s="8">
        <v>47534.857000000004</v>
      </c>
      <c r="P1920" s="8">
        <v>59488.495000000003</v>
      </c>
      <c r="Q1920" s="8">
        <v>62300.887999999999</v>
      </c>
      <c r="R1920" s="8">
        <v>50298.02</v>
      </c>
      <c r="S1920" s="8">
        <v>40681.21</v>
      </c>
      <c r="T1920" s="8">
        <v>41401.387999999999</v>
      </c>
      <c r="U1920" s="8">
        <v>28062.025000000001</v>
      </c>
      <c r="V1920" s="8">
        <v>19662.485000000001</v>
      </c>
      <c r="W1920" s="8">
        <v>15998.44</v>
      </c>
      <c r="X1920" s="8">
        <v>11674.464</v>
      </c>
      <c r="Y1920" s="8">
        <v>6473.183</v>
      </c>
      <c r="Z1920" s="8">
        <v>2813.6460000000002</v>
      </c>
      <c r="AA1920" s="8">
        <v>911.08100000000002</v>
      </c>
      <c r="AB1920" s="8">
        <v>165.21</v>
      </c>
      <c r="AC1920" s="8">
        <v>18.638000000000002</v>
      </c>
    </row>
    <row r="1921" spans="1:29" ht="11.65" hidden="1" x14ac:dyDescent="0.35">
      <c r="A1921" s="12">
        <v>1904</v>
      </c>
      <c r="B1921" s="10" t="s">
        <v>1015</v>
      </c>
      <c r="C1921" s="11" t="s">
        <v>1150</v>
      </c>
      <c r="D1921" s="9">
        <v>8</v>
      </c>
      <c r="E1921" s="9">
        <v>156</v>
      </c>
      <c r="F1921" s="10" t="s">
        <v>1066</v>
      </c>
      <c r="G1921" s="9">
        <v>906</v>
      </c>
      <c r="H1921" s="9">
        <v>2015</v>
      </c>
      <c r="I1921" s="8">
        <v>40500.635999999999</v>
      </c>
      <c r="J1921" s="8">
        <v>38976.430999999997</v>
      </c>
      <c r="K1921" s="8">
        <v>38373.648999999998</v>
      </c>
      <c r="L1921" s="8">
        <v>41121.099000000002</v>
      </c>
      <c r="M1921" s="8">
        <v>46729.764000000003</v>
      </c>
      <c r="N1921" s="8">
        <v>62590.786999999997</v>
      </c>
      <c r="O1921" s="8">
        <v>48999.500999999997</v>
      </c>
      <c r="P1921" s="8">
        <v>47266.94</v>
      </c>
      <c r="Q1921" s="8">
        <v>59110.474000000002</v>
      </c>
      <c r="R1921" s="8">
        <v>61773.461000000003</v>
      </c>
      <c r="S1921" s="8">
        <v>49666.375</v>
      </c>
      <c r="T1921" s="8">
        <v>39852.703999999998</v>
      </c>
      <c r="U1921" s="8">
        <v>39907.887000000002</v>
      </c>
      <c r="V1921" s="8">
        <v>26217.513999999999</v>
      </c>
      <c r="W1921" s="8">
        <v>17360.440999999999</v>
      </c>
      <c r="X1921" s="8">
        <v>12847.147000000001</v>
      </c>
      <c r="Y1921" s="8">
        <v>8076.8609999999999</v>
      </c>
      <c r="Z1921" s="8">
        <v>3544.5859999999998</v>
      </c>
      <c r="AA1921" s="8">
        <v>1134.2370000000001</v>
      </c>
      <c r="AB1921" s="8">
        <v>254.93100000000001</v>
      </c>
      <c r="AC1921" s="8">
        <v>34.436999999999998</v>
      </c>
    </row>
    <row r="1922" spans="1:29" ht="11.65" hidden="1" x14ac:dyDescent="0.35">
      <c r="A1922" s="12">
        <v>1905</v>
      </c>
      <c r="B1922" s="10" t="s">
        <v>1015</v>
      </c>
      <c r="C1922" s="11" t="s">
        <v>1150</v>
      </c>
      <c r="D1922" s="9">
        <v>8</v>
      </c>
      <c r="E1922" s="9">
        <v>156</v>
      </c>
      <c r="F1922" s="10" t="s">
        <v>1066</v>
      </c>
      <c r="G1922" s="9">
        <v>906</v>
      </c>
      <c r="H1922" s="9">
        <v>2020</v>
      </c>
      <c r="I1922" s="8">
        <v>39476.105000000003</v>
      </c>
      <c r="J1922" s="8">
        <v>40415.038999999997</v>
      </c>
      <c r="K1922" s="8">
        <v>38912.828000000001</v>
      </c>
      <c r="L1922" s="8">
        <v>38238.737000000001</v>
      </c>
      <c r="M1922" s="8">
        <v>40884.302000000003</v>
      </c>
      <c r="N1922" s="8">
        <v>46466.16</v>
      </c>
      <c r="O1922" s="8">
        <v>62295.741999999998</v>
      </c>
      <c r="P1922" s="8">
        <v>48745.947999999997</v>
      </c>
      <c r="Q1922" s="8">
        <v>46984.786999999997</v>
      </c>
      <c r="R1922" s="8">
        <v>58664.267999999996</v>
      </c>
      <c r="S1922" s="8">
        <v>61097.362000000001</v>
      </c>
      <c r="T1922" s="8">
        <v>48782.446000000004</v>
      </c>
      <c r="U1922" s="8">
        <v>38596.853999999999</v>
      </c>
      <c r="V1922" s="8">
        <v>37622.978000000003</v>
      </c>
      <c r="W1922" s="8">
        <v>23524.526000000002</v>
      </c>
      <c r="X1922" s="8">
        <v>14337.34</v>
      </c>
      <c r="Y1922" s="8">
        <v>9297.7880000000005</v>
      </c>
      <c r="Z1922" s="8">
        <v>4738.6930000000002</v>
      </c>
      <c r="AA1922" s="8">
        <v>1573.796</v>
      </c>
      <c r="AB1922" s="8">
        <v>358.81599999999997</v>
      </c>
      <c r="AC1922" s="8">
        <v>61.918999999999997</v>
      </c>
    </row>
    <row r="1923" spans="1:29" ht="11.65" hidden="1" x14ac:dyDescent="0.35">
      <c r="A1923" s="12">
        <v>1906</v>
      </c>
      <c r="B1923" s="10" t="s">
        <v>1015</v>
      </c>
      <c r="C1923" s="11" t="s">
        <v>1151</v>
      </c>
      <c r="D1923" s="9">
        <v>9</v>
      </c>
      <c r="E1923" s="9">
        <v>344</v>
      </c>
      <c r="F1923" s="10" t="s">
        <v>1066</v>
      </c>
      <c r="G1923" s="9">
        <v>906</v>
      </c>
      <c r="H1923" s="9">
        <v>1950</v>
      </c>
      <c r="I1923" s="8">
        <v>149.30000000000001</v>
      </c>
      <c r="J1923" s="8">
        <v>58.000999999999998</v>
      </c>
      <c r="K1923" s="8">
        <v>74.498999999999995</v>
      </c>
      <c r="L1923" s="8">
        <v>99.2</v>
      </c>
      <c r="M1923" s="8">
        <v>107.501</v>
      </c>
      <c r="N1923" s="8">
        <v>98.8</v>
      </c>
      <c r="O1923" s="8">
        <v>85.400999999999996</v>
      </c>
      <c r="P1923" s="8">
        <v>72.5</v>
      </c>
      <c r="Q1923" s="8">
        <v>57.1</v>
      </c>
      <c r="R1923" s="8">
        <v>44.201000000000001</v>
      </c>
      <c r="S1923" s="8">
        <v>35.801000000000002</v>
      </c>
      <c r="T1923" s="8">
        <v>25.4</v>
      </c>
      <c r="U1923" s="8">
        <v>15.8</v>
      </c>
      <c r="V1923" s="8">
        <v>13.6</v>
      </c>
      <c r="W1923" s="8">
        <v>12</v>
      </c>
      <c r="X1923" s="8">
        <v>6.4989999999999997</v>
      </c>
      <c r="Y1923" s="8">
        <v>2.7480000000000002</v>
      </c>
      <c r="Z1923" s="8">
        <v>1.1100000000000001</v>
      </c>
      <c r="AA1923" s="8">
        <v>0.29099999999999998</v>
      </c>
      <c r="AB1923" s="8">
        <v>4.3999999999999997E-2</v>
      </c>
      <c r="AC1923" s="8">
        <v>5.0000000000000001E-3</v>
      </c>
    </row>
    <row r="1924" spans="1:29" ht="11.65" hidden="1" x14ac:dyDescent="0.35">
      <c r="A1924" s="12">
        <v>1907</v>
      </c>
      <c r="B1924" s="10" t="s">
        <v>1015</v>
      </c>
      <c r="C1924" s="11" t="s">
        <v>1151</v>
      </c>
      <c r="D1924" s="9">
        <v>9</v>
      </c>
      <c r="E1924" s="9">
        <v>344</v>
      </c>
      <c r="F1924" s="10" t="s">
        <v>1066</v>
      </c>
      <c r="G1924" s="9">
        <v>906</v>
      </c>
      <c r="H1924" s="9">
        <v>1955</v>
      </c>
      <c r="I1924" s="8">
        <v>194.661</v>
      </c>
      <c r="J1924" s="8">
        <v>153.441</v>
      </c>
      <c r="K1924" s="8">
        <v>66.347999999999999</v>
      </c>
      <c r="L1924" s="8">
        <v>79.89</v>
      </c>
      <c r="M1924" s="8">
        <v>106.926</v>
      </c>
      <c r="N1924" s="8">
        <v>113.574</v>
      </c>
      <c r="O1924" s="8">
        <v>104.221</v>
      </c>
      <c r="P1924" s="8">
        <v>89.998000000000005</v>
      </c>
      <c r="Q1924" s="8">
        <v>76.087999999999994</v>
      </c>
      <c r="R1924" s="8">
        <v>60.05</v>
      </c>
      <c r="S1924" s="8">
        <v>46.676000000000002</v>
      </c>
      <c r="T1924" s="8">
        <v>37.801000000000002</v>
      </c>
      <c r="U1924" s="8">
        <v>27.027000000000001</v>
      </c>
      <c r="V1924" s="8">
        <v>16.547999999999998</v>
      </c>
      <c r="W1924" s="8">
        <v>14.664</v>
      </c>
      <c r="X1924" s="8">
        <v>6.742</v>
      </c>
      <c r="Y1924" s="8">
        <v>3.5840000000000001</v>
      </c>
      <c r="Z1924" s="8">
        <v>1.296</v>
      </c>
      <c r="AA1924" s="8">
        <v>0.316</v>
      </c>
      <c r="AB1924" s="8">
        <v>3.3000000000000002E-2</v>
      </c>
      <c r="AC1924" s="8">
        <v>1E-3</v>
      </c>
    </row>
    <row r="1925" spans="1:29" ht="11.65" hidden="1" x14ac:dyDescent="0.35">
      <c r="A1925" s="12">
        <v>1908</v>
      </c>
      <c r="B1925" s="10" t="s">
        <v>1015</v>
      </c>
      <c r="C1925" s="11" t="s">
        <v>1151</v>
      </c>
      <c r="D1925" s="9">
        <v>9</v>
      </c>
      <c r="E1925" s="9">
        <v>344</v>
      </c>
      <c r="F1925" s="10" t="s">
        <v>1066</v>
      </c>
      <c r="G1925" s="9">
        <v>906</v>
      </c>
      <c r="H1925" s="9">
        <v>1960</v>
      </c>
      <c r="I1925" s="8">
        <v>234.423</v>
      </c>
      <c r="J1925" s="8">
        <v>198.43899999999999</v>
      </c>
      <c r="K1925" s="8">
        <v>156.542</v>
      </c>
      <c r="L1925" s="8">
        <v>65.126000000000005</v>
      </c>
      <c r="M1925" s="8">
        <v>95.317999999999998</v>
      </c>
      <c r="N1925" s="8">
        <v>117.38500000000001</v>
      </c>
      <c r="O1925" s="8">
        <v>121.042</v>
      </c>
      <c r="P1925" s="8">
        <v>109.13</v>
      </c>
      <c r="Q1925" s="8">
        <v>93.287999999999997</v>
      </c>
      <c r="R1925" s="8">
        <v>78.486000000000004</v>
      </c>
      <c r="S1925" s="8">
        <v>61.523000000000003</v>
      </c>
      <c r="T1925" s="8">
        <v>48.268000000000001</v>
      </c>
      <c r="U1925" s="8">
        <v>38.804000000000002</v>
      </c>
      <c r="V1925" s="8">
        <v>26.538</v>
      </c>
      <c r="W1925" s="8">
        <v>17.550999999999998</v>
      </c>
      <c r="X1925" s="8">
        <v>8.5950000000000006</v>
      </c>
      <c r="Y1925" s="8">
        <v>3.6309999999999998</v>
      </c>
      <c r="Z1925" s="8">
        <v>1.7430000000000001</v>
      </c>
      <c r="AA1925" s="8">
        <v>0.376</v>
      </c>
      <c r="AB1925" s="8">
        <v>3.5999999999999997E-2</v>
      </c>
      <c r="AC1925" s="8">
        <v>1E-3</v>
      </c>
    </row>
    <row r="1926" spans="1:29" ht="11.65" hidden="1" x14ac:dyDescent="0.35">
      <c r="A1926" s="12">
        <v>1909</v>
      </c>
      <c r="B1926" s="10" t="s">
        <v>1015</v>
      </c>
      <c r="C1926" s="11" t="s">
        <v>1151</v>
      </c>
      <c r="D1926" s="9">
        <v>9</v>
      </c>
      <c r="E1926" s="9">
        <v>344</v>
      </c>
      <c r="F1926" s="10" t="s">
        <v>1066</v>
      </c>
      <c r="G1926" s="9">
        <v>906</v>
      </c>
      <c r="H1926" s="9">
        <v>1965</v>
      </c>
      <c r="I1926" s="8">
        <v>245.619</v>
      </c>
      <c r="J1926" s="8">
        <v>228.892</v>
      </c>
      <c r="K1926" s="8">
        <v>186.566</v>
      </c>
      <c r="L1926" s="8">
        <v>143.029</v>
      </c>
      <c r="M1926" s="8">
        <v>78.771000000000001</v>
      </c>
      <c r="N1926" s="8">
        <v>103.73099999999999</v>
      </c>
      <c r="O1926" s="8">
        <v>119.78</v>
      </c>
      <c r="P1926" s="8">
        <v>119.773</v>
      </c>
      <c r="Q1926" s="8">
        <v>106.627</v>
      </c>
      <c r="R1926" s="8">
        <v>90.215000000000003</v>
      </c>
      <c r="S1926" s="8">
        <v>74.462999999999994</v>
      </c>
      <c r="T1926" s="8">
        <v>58.348999999999997</v>
      </c>
      <c r="U1926" s="8">
        <v>44.75</v>
      </c>
      <c r="V1926" s="8">
        <v>34.295999999999999</v>
      </c>
      <c r="W1926" s="8">
        <v>21.798999999999999</v>
      </c>
      <c r="X1926" s="8">
        <v>12.406000000000001</v>
      </c>
      <c r="Y1926" s="8">
        <v>5.2409999999999997</v>
      </c>
      <c r="Z1926" s="8">
        <v>1.847</v>
      </c>
      <c r="AA1926" s="8">
        <v>0.54700000000000004</v>
      </c>
      <c r="AB1926" s="8">
        <v>4.3999999999999997E-2</v>
      </c>
      <c r="AC1926" s="8">
        <v>1E-3</v>
      </c>
    </row>
    <row r="1927" spans="1:29" ht="11.65" hidden="1" x14ac:dyDescent="0.35">
      <c r="A1927" s="12">
        <v>1910</v>
      </c>
      <c r="B1927" s="10" t="s">
        <v>1015</v>
      </c>
      <c r="C1927" s="11" t="s">
        <v>1151</v>
      </c>
      <c r="D1927" s="9">
        <v>9</v>
      </c>
      <c r="E1927" s="9">
        <v>344</v>
      </c>
      <c r="F1927" s="10" t="s">
        <v>1066</v>
      </c>
      <c r="G1927" s="9">
        <v>906</v>
      </c>
      <c r="H1927" s="9">
        <v>1970</v>
      </c>
      <c r="I1927" s="8">
        <v>189.22499999999999</v>
      </c>
      <c r="J1927" s="8">
        <v>246.08099999999999</v>
      </c>
      <c r="K1927" s="8">
        <v>246.91</v>
      </c>
      <c r="L1927" s="8">
        <v>196.00200000000001</v>
      </c>
      <c r="M1927" s="8">
        <v>153.30000000000001</v>
      </c>
      <c r="N1927" s="8">
        <v>80.031000000000006</v>
      </c>
      <c r="O1927" s="8">
        <v>99.361999999999995</v>
      </c>
      <c r="P1927" s="8">
        <v>116.184</v>
      </c>
      <c r="Q1927" s="8">
        <v>120.605</v>
      </c>
      <c r="R1927" s="8">
        <v>101.93</v>
      </c>
      <c r="S1927" s="8">
        <v>91.933000000000007</v>
      </c>
      <c r="T1927" s="8">
        <v>72.304000000000002</v>
      </c>
      <c r="U1927" s="8">
        <v>61.255000000000003</v>
      </c>
      <c r="V1927" s="8">
        <v>42.767000000000003</v>
      </c>
      <c r="W1927" s="8">
        <v>34.360999999999997</v>
      </c>
      <c r="X1927" s="8">
        <v>17.329999999999998</v>
      </c>
      <c r="Y1927" s="8">
        <v>7.9829999999999997</v>
      </c>
      <c r="Z1927" s="8">
        <v>2.8180000000000001</v>
      </c>
      <c r="AA1927" s="8">
        <v>0.61899999999999999</v>
      </c>
      <c r="AB1927" s="8">
        <v>6.8000000000000005E-2</v>
      </c>
      <c r="AC1927" s="8">
        <v>1E-3</v>
      </c>
    </row>
    <row r="1928" spans="1:29" ht="11.65" hidden="1" x14ac:dyDescent="0.35">
      <c r="A1928" s="12">
        <v>1911</v>
      </c>
      <c r="B1928" s="10" t="s">
        <v>1015</v>
      </c>
      <c r="C1928" s="11" t="s">
        <v>1151</v>
      </c>
      <c r="D1928" s="9">
        <v>9</v>
      </c>
      <c r="E1928" s="9">
        <v>344</v>
      </c>
      <c r="F1928" s="10" t="s">
        <v>1066</v>
      </c>
      <c r="G1928" s="9">
        <v>906</v>
      </c>
      <c r="H1928" s="9">
        <v>1975</v>
      </c>
      <c r="I1928" s="8">
        <v>186.04900000000001</v>
      </c>
      <c r="J1928" s="8">
        <v>189.858</v>
      </c>
      <c r="K1928" s="8">
        <v>263.238</v>
      </c>
      <c r="L1928" s="8">
        <v>259.33300000000003</v>
      </c>
      <c r="M1928" s="8">
        <v>206.392</v>
      </c>
      <c r="N1928" s="8">
        <v>154.64400000000001</v>
      </c>
      <c r="O1928" s="8">
        <v>75.706000000000003</v>
      </c>
      <c r="P1928" s="8">
        <v>95.76</v>
      </c>
      <c r="Q1928" s="8">
        <v>113.514</v>
      </c>
      <c r="R1928" s="8">
        <v>116.134</v>
      </c>
      <c r="S1928" s="8">
        <v>101.301</v>
      </c>
      <c r="T1928" s="8">
        <v>89.858000000000004</v>
      </c>
      <c r="U1928" s="8">
        <v>74.69</v>
      </c>
      <c r="V1928" s="8">
        <v>58.853000000000002</v>
      </c>
      <c r="W1928" s="8">
        <v>41.298999999999999</v>
      </c>
      <c r="X1928" s="8">
        <v>29.279</v>
      </c>
      <c r="Y1928" s="8">
        <v>12.904</v>
      </c>
      <c r="Z1928" s="8">
        <v>4.51</v>
      </c>
      <c r="AA1928" s="8">
        <v>1.002</v>
      </c>
      <c r="AB1928" s="8">
        <v>8.8999999999999996E-2</v>
      </c>
      <c r="AC1928" s="8">
        <v>3.0000000000000001E-3</v>
      </c>
    </row>
    <row r="1929" spans="1:29" ht="11.65" hidden="1" x14ac:dyDescent="0.35">
      <c r="A1929" s="12">
        <v>1912</v>
      </c>
      <c r="B1929" s="10" t="s">
        <v>1015</v>
      </c>
      <c r="C1929" s="11" t="s">
        <v>1151</v>
      </c>
      <c r="D1929" s="9">
        <v>9</v>
      </c>
      <c r="E1929" s="9">
        <v>344</v>
      </c>
      <c r="F1929" s="10" t="s">
        <v>1066</v>
      </c>
      <c r="G1929" s="9">
        <v>906</v>
      </c>
      <c r="H1929" s="9">
        <v>1980</v>
      </c>
      <c r="I1929" s="8">
        <v>184.72300000000001</v>
      </c>
      <c r="J1929" s="8">
        <v>193.76599999999999</v>
      </c>
      <c r="K1929" s="8">
        <v>214.69800000000001</v>
      </c>
      <c r="L1929" s="8">
        <v>273.31400000000002</v>
      </c>
      <c r="M1929" s="8">
        <v>265.863</v>
      </c>
      <c r="N1929" s="8">
        <v>210.98599999999999</v>
      </c>
      <c r="O1929" s="8">
        <v>168.26400000000001</v>
      </c>
      <c r="P1929" s="8">
        <v>91.466999999999999</v>
      </c>
      <c r="Q1929" s="8">
        <v>110.861</v>
      </c>
      <c r="R1929" s="8">
        <v>117.666</v>
      </c>
      <c r="S1929" s="8">
        <v>117.825</v>
      </c>
      <c r="T1929" s="8">
        <v>99.897000000000006</v>
      </c>
      <c r="U1929" s="8">
        <v>87.941000000000003</v>
      </c>
      <c r="V1929" s="8">
        <v>70.593999999999994</v>
      </c>
      <c r="W1929" s="8">
        <v>52.624000000000002</v>
      </c>
      <c r="X1929" s="8">
        <v>34.622</v>
      </c>
      <c r="Y1929" s="8">
        <v>21.382000000000001</v>
      </c>
      <c r="Z1929" s="8">
        <v>7.343</v>
      </c>
      <c r="AA1929" s="8">
        <v>1.6839999999999999</v>
      </c>
      <c r="AB1929" s="8">
        <v>0.183</v>
      </c>
      <c r="AC1929" s="8">
        <v>5.0000000000000001E-3</v>
      </c>
    </row>
    <row r="1930" spans="1:29" ht="11.65" hidden="1" x14ac:dyDescent="0.35">
      <c r="A1930" s="12">
        <v>1913</v>
      </c>
      <c r="B1930" s="10" t="s">
        <v>1015</v>
      </c>
      <c r="C1930" s="11" t="s">
        <v>1151</v>
      </c>
      <c r="D1930" s="9">
        <v>9</v>
      </c>
      <c r="E1930" s="9">
        <v>344</v>
      </c>
      <c r="F1930" s="10" t="s">
        <v>1066</v>
      </c>
      <c r="G1930" s="9">
        <v>906</v>
      </c>
      <c r="H1930" s="9">
        <v>1985</v>
      </c>
      <c r="I1930" s="8">
        <v>186.922</v>
      </c>
      <c r="J1930" s="8">
        <v>198.84100000000001</v>
      </c>
      <c r="K1930" s="8">
        <v>206.524</v>
      </c>
      <c r="L1930" s="8">
        <v>214.821</v>
      </c>
      <c r="M1930" s="8">
        <v>275.346</v>
      </c>
      <c r="N1930" s="8">
        <v>283.32499999999999</v>
      </c>
      <c r="O1930" s="8">
        <v>225.69300000000001</v>
      </c>
      <c r="P1930" s="8">
        <v>179.715</v>
      </c>
      <c r="Q1930" s="8">
        <v>100.07</v>
      </c>
      <c r="R1930" s="8">
        <v>119.348</v>
      </c>
      <c r="S1930" s="8">
        <v>123.95399999999999</v>
      </c>
      <c r="T1930" s="8">
        <v>117.13500000000001</v>
      </c>
      <c r="U1930" s="8">
        <v>102.93899999999999</v>
      </c>
      <c r="V1930" s="8">
        <v>80.281999999999996</v>
      </c>
      <c r="W1930" s="8">
        <v>62.231999999999999</v>
      </c>
      <c r="X1930" s="8">
        <v>42.627000000000002</v>
      </c>
      <c r="Y1930" s="8">
        <v>25.516999999999999</v>
      </c>
      <c r="Z1930" s="8">
        <v>13.015000000000001</v>
      </c>
      <c r="AA1930" s="8">
        <v>3.1459999999999999</v>
      </c>
      <c r="AB1930" s="8">
        <v>0.39700000000000002</v>
      </c>
      <c r="AC1930" s="8">
        <v>1.4999999999999999E-2</v>
      </c>
    </row>
    <row r="1931" spans="1:29" ht="11.65" hidden="1" x14ac:dyDescent="0.35">
      <c r="A1931" s="12">
        <v>1914</v>
      </c>
      <c r="B1931" s="10" t="s">
        <v>1015</v>
      </c>
      <c r="C1931" s="11" t="s">
        <v>1151</v>
      </c>
      <c r="D1931" s="9">
        <v>9</v>
      </c>
      <c r="E1931" s="9">
        <v>344</v>
      </c>
      <c r="F1931" s="10" t="s">
        <v>1066</v>
      </c>
      <c r="G1931" s="9">
        <v>906</v>
      </c>
      <c r="H1931" s="9">
        <v>1990</v>
      </c>
      <c r="I1931" s="8">
        <v>177.465</v>
      </c>
      <c r="J1931" s="8">
        <v>193.62200000000001</v>
      </c>
      <c r="K1931" s="8">
        <v>199.86199999999999</v>
      </c>
      <c r="L1931" s="8">
        <v>212.523</v>
      </c>
      <c r="M1931" s="8">
        <v>249.44499999999999</v>
      </c>
      <c r="N1931" s="8">
        <v>315.14299999999997</v>
      </c>
      <c r="O1931" s="8">
        <v>302.315</v>
      </c>
      <c r="P1931" s="8">
        <v>232.768</v>
      </c>
      <c r="Q1931" s="8">
        <v>182.535</v>
      </c>
      <c r="R1931" s="8">
        <v>106.855</v>
      </c>
      <c r="S1931" s="8">
        <v>119.681</v>
      </c>
      <c r="T1931" s="8">
        <v>122.831</v>
      </c>
      <c r="U1931" s="8">
        <v>114.928</v>
      </c>
      <c r="V1931" s="8">
        <v>99.414000000000001</v>
      </c>
      <c r="W1931" s="8">
        <v>77.444999999999993</v>
      </c>
      <c r="X1931" s="8">
        <v>53.411999999999999</v>
      </c>
      <c r="Y1931" s="8">
        <v>35.151000000000003</v>
      </c>
      <c r="Z1931" s="8">
        <v>15.843999999999999</v>
      </c>
      <c r="AA1931" s="8">
        <v>5.7779999999999996</v>
      </c>
      <c r="AB1931" s="8">
        <v>0.80100000000000005</v>
      </c>
      <c r="AC1931" s="8">
        <v>3.7999999999999999E-2</v>
      </c>
    </row>
    <row r="1932" spans="1:29" ht="11.65" hidden="1" x14ac:dyDescent="0.35">
      <c r="A1932" s="12">
        <v>1915</v>
      </c>
      <c r="B1932" s="10" t="s">
        <v>1015</v>
      </c>
      <c r="C1932" s="11" t="s">
        <v>1151</v>
      </c>
      <c r="D1932" s="9">
        <v>9</v>
      </c>
      <c r="E1932" s="9">
        <v>344</v>
      </c>
      <c r="F1932" s="10" t="s">
        <v>1066</v>
      </c>
      <c r="G1932" s="9">
        <v>906</v>
      </c>
      <c r="H1932" s="9">
        <v>1995</v>
      </c>
      <c r="I1932" s="8">
        <v>156.785</v>
      </c>
      <c r="J1932" s="8">
        <v>181.73500000000001</v>
      </c>
      <c r="K1932" s="8">
        <v>206.32900000000001</v>
      </c>
      <c r="L1932" s="8">
        <v>192.357</v>
      </c>
      <c r="M1932" s="8">
        <v>222.816</v>
      </c>
      <c r="N1932" s="8">
        <v>286.19099999999997</v>
      </c>
      <c r="O1932" s="8">
        <v>342.39499999999998</v>
      </c>
      <c r="P1932" s="8">
        <v>315.91699999999997</v>
      </c>
      <c r="Q1932" s="8">
        <v>244.595</v>
      </c>
      <c r="R1932" s="8">
        <v>191.822</v>
      </c>
      <c r="S1932" s="8">
        <v>106.71</v>
      </c>
      <c r="T1932" s="8">
        <v>120.86</v>
      </c>
      <c r="U1932" s="8">
        <v>123.59099999999999</v>
      </c>
      <c r="V1932" s="8">
        <v>113.80800000000001</v>
      </c>
      <c r="W1932" s="8">
        <v>89.616</v>
      </c>
      <c r="X1932" s="8">
        <v>63.988</v>
      </c>
      <c r="Y1932" s="8">
        <v>40.585999999999999</v>
      </c>
      <c r="Z1932" s="8">
        <v>22.664999999999999</v>
      </c>
      <c r="AA1932" s="8">
        <v>7.5119999999999996</v>
      </c>
      <c r="AB1932" s="8">
        <v>1.645</v>
      </c>
      <c r="AC1932" s="8">
        <v>9.1999999999999998E-2</v>
      </c>
    </row>
    <row r="1933" spans="1:29" ht="11.65" hidden="1" x14ac:dyDescent="0.35">
      <c r="A1933" s="12">
        <v>1916</v>
      </c>
      <c r="B1933" s="10" t="s">
        <v>1015</v>
      </c>
      <c r="C1933" s="11" t="s">
        <v>1151</v>
      </c>
      <c r="D1933" s="9">
        <v>9</v>
      </c>
      <c r="E1933" s="9">
        <v>344</v>
      </c>
      <c r="F1933" s="10" t="s">
        <v>1066</v>
      </c>
      <c r="G1933" s="9">
        <v>906</v>
      </c>
      <c r="H1933" s="9">
        <v>2000</v>
      </c>
      <c r="I1933" s="8">
        <v>136.95400000000001</v>
      </c>
      <c r="J1933" s="8">
        <v>191.334</v>
      </c>
      <c r="K1933" s="8">
        <v>206.28399999999999</v>
      </c>
      <c r="L1933" s="8">
        <v>214.85300000000001</v>
      </c>
      <c r="M1933" s="8">
        <v>241.96700000000001</v>
      </c>
      <c r="N1933" s="8">
        <v>282.34800000000001</v>
      </c>
      <c r="O1933" s="8">
        <v>325.21199999999999</v>
      </c>
      <c r="P1933" s="8">
        <v>366.24599999999998</v>
      </c>
      <c r="Q1933" s="8">
        <v>328.154</v>
      </c>
      <c r="R1933" s="8">
        <v>249.83</v>
      </c>
      <c r="S1933" s="8">
        <v>193.60599999999999</v>
      </c>
      <c r="T1933" s="8">
        <v>106.256</v>
      </c>
      <c r="U1933" s="8">
        <v>120.32</v>
      </c>
      <c r="V1933" s="8">
        <v>118.6</v>
      </c>
      <c r="W1933" s="8">
        <v>104.813</v>
      </c>
      <c r="X1933" s="8">
        <v>76.691000000000003</v>
      </c>
      <c r="Y1933" s="8">
        <v>49.71</v>
      </c>
      <c r="Z1933" s="8">
        <v>27.962</v>
      </c>
      <c r="AA1933" s="8">
        <v>12.302</v>
      </c>
      <c r="AB1933" s="8">
        <v>2.831</v>
      </c>
      <c r="AC1933" s="8">
        <v>0.33900000000000002</v>
      </c>
    </row>
    <row r="1934" spans="1:29" ht="11.65" hidden="1" x14ac:dyDescent="0.35">
      <c r="A1934" s="12">
        <v>1917</v>
      </c>
      <c r="B1934" s="10" t="s">
        <v>1015</v>
      </c>
      <c r="C1934" s="11" t="s">
        <v>1151</v>
      </c>
      <c r="D1934" s="9">
        <v>9</v>
      </c>
      <c r="E1934" s="9">
        <v>344</v>
      </c>
      <c r="F1934" s="10" t="s">
        <v>1066</v>
      </c>
      <c r="G1934" s="9">
        <v>906</v>
      </c>
      <c r="H1934" s="9">
        <v>2005</v>
      </c>
      <c r="I1934" s="8">
        <v>104.803</v>
      </c>
      <c r="J1934" s="8">
        <v>158.85499999999999</v>
      </c>
      <c r="K1934" s="8">
        <v>203.92099999999999</v>
      </c>
      <c r="L1934" s="8">
        <v>212.31899999999999</v>
      </c>
      <c r="M1934" s="8">
        <v>234.733</v>
      </c>
      <c r="N1934" s="8">
        <v>272.3</v>
      </c>
      <c r="O1934" s="8">
        <v>309.91500000000002</v>
      </c>
      <c r="P1934" s="8">
        <v>332.94600000000003</v>
      </c>
      <c r="Q1934" s="8">
        <v>367.45299999999997</v>
      </c>
      <c r="R1934" s="8">
        <v>322.27699999999999</v>
      </c>
      <c r="S1934" s="8">
        <v>251.63900000000001</v>
      </c>
      <c r="T1934" s="8">
        <v>191.886</v>
      </c>
      <c r="U1934" s="8">
        <v>107.386</v>
      </c>
      <c r="V1934" s="8">
        <v>119.17400000000001</v>
      </c>
      <c r="W1934" s="8">
        <v>114.45099999999999</v>
      </c>
      <c r="X1934" s="8">
        <v>92.427999999999997</v>
      </c>
      <c r="Y1934" s="8">
        <v>62.668999999999997</v>
      </c>
      <c r="Z1934" s="8">
        <v>36.064</v>
      </c>
      <c r="AA1934" s="8">
        <v>16.379000000000001</v>
      </c>
      <c r="AB1934" s="8">
        <v>5.1479999999999997</v>
      </c>
      <c r="AC1934" s="8">
        <v>0.69099999999999995</v>
      </c>
    </row>
    <row r="1935" spans="1:29" ht="11.65" hidden="1" x14ac:dyDescent="0.35">
      <c r="A1935" s="12">
        <v>1918</v>
      </c>
      <c r="B1935" s="10" t="s">
        <v>1015</v>
      </c>
      <c r="C1935" s="11" t="s">
        <v>1151</v>
      </c>
      <c r="D1935" s="9">
        <v>9</v>
      </c>
      <c r="E1935" s="9">
        <v>344</v>
      </c>
      <c r="F1935" s="10" t="s">
        <v>1066</v>
      </c>
      <c r="G1935" s="9">
        <v>906</v>
      </c>
      <c r="H1935" s="9">
        <v>2010</v>
      </c>
      <c r="I1935" s="8">
        <v>106.863</v>
      </c>
      <c r="J1935" s="8">
        <v>119.851</v>
      </c>
      <c r="K1935" s="8">
        <v>167.12100000000001</v>
      </c>
      <c r="L1935" s="8">
        <v>208.23699999999999</v>
      </c>
      <c r="M1935" s="8">
        <v>227.834</v>
      </c>
      <c r="N1935" s="8">
        <v>306.70499999999998</v>
      </c>
      <c r="O1935" s="8">
        <v>317.87599999999998</v>
      </c>
      <c r="P1935" s="8">
        <v>325.09699999999998</v>
      </c>
      <c r="Q1935" s="8">
        <v>330.88499999999999</v>
      </c>
      <c r="R1935" s="8">
        <v>354.98500000000001</v>
      </c>
      <c r="S1935" s="8">
        <v>310.779</v>
      </c>
      <c r="T1935" s="8">
        <v>244.23</v>
      </c>
      <c r="U1935" s="8">
        <v>187.65299999999999</v>
      </c>
      <c r="V1935" s="8">
        <v>101.943</v>
      </c>
      <c r="W1935" s="8">
        <v>117.68600000000001</v>
      </c>
      <c r="X1935" s="8">
        <v>105.782</v>
      </c>
      <c r="Y1935" s="8">
        <v>79.436000000000007</v>
      </c>
      <c r="Z1935" s="8">
        <v>46.597000000000001</v>
      </c>
      <c r="AA1935" s="8">
        <v>21.797999999999998</v>
      </c>
      <c r="AB1935" s="8">
        <v>7.1180000000000003</v>
      </c>
      <c r="AC1935" s="8">
        <v>1.321</v>
      </c>
    </row>
    <row r="1936" spans="1:29" ht="11.65" hidden="1" x14ac:dyDescent="0.35">
      <c r="A1936" s="12">
        <v>1919</v>
      </c>
      <c r="B1936" s="10" t="s">
        <v>1015</v>
      </c>
      <c r="C1936" s="11" t="s">
        <v>1151</v>
      </c>
      <c r="D1936" s="9">
        <v>9</v>
      </c>
      <c r="E1936" s="9">
        <v>344</v>
      </c>
      <c r="F1936" s="10" t="s">
        <v>1066</v>
      </c>
      <c r="G1936" s="9">
        <v>906</v>
      </c>
      <c r="H1936" s="9">
        <v>2015</v>
      </c>
      <c r="I1936" s="8">
        <v>126.642</v>
      </c>
      <c r="J1936" s="8">
        <v>127.072</v>
      </c>
      <c r="K1936" s="8">
        <v>124.554</v>
      </c>
      <c r="L1936" s="8">
        <v>170.38200000000001</v>
      </c>
      <c r="M1936" s="8">
        <v>224.49700000000001</v>
      </c>
      <c r="N1936" s="8">
        <v>277.16199999999998</v>
      </c>
      <c r="O1936" s="8">
        <v>337.79899999999998</v>
      </c>
      <c r="P1936" s="8">
        <v>332.928</v>
      </c>
      <c r="Q1936" s="8">
        <v>331.05900000000003</v>
      </c>
      <c r="R1936" s="8">
        <v>326.93</v>
      </c>
      <c r="S1936" s="8">
        <v>349.63499999999999</v>
      </c>
      <c r="T1936" s="8">
        <v>303.04300000000001</v>
      </c>
      <c r="U1936" s="8">
        <v>239.71299999999999</v>
      </c>
      <c r="V1936" s="8">
        <v>181.94800000000001</v>
      </c>
      <c r="W1936" s="8">
        <v>97.629000000000005</v>
      </c>
      <c r="X1936" s="8">
        <v>109.05800000000001</v>
      </c>
      <c r="Y1936" s="8">
        <v>90.727000000000004</v>
      </c>
      <c r="Z1936" s="8">
        <v>60.811999999999998</v>
      </c>
      <c r="AA1936" s="8">
        <v>29.204000000000001</v>
      </c>
      <c r="AB1936" s="8">
        <v>9.8789999999999996</v>
      </c>
      <c r="AC1936" s="8">
        <v>1.9510000000000001</v>
      </c>
    </row>
    <row r="1937" spans="1:29" ht="11.65" hidden="1" x14ac:dyDescent="0.35">
      <c r="A1937" s="12">
        <v>1920</v>
      </c>
      <c r="B1937" s="10" t="s">
        <v>1015</v>
      </c>
      <c r="C1937" s="11" t="s">
        <v>1151</v>
      </c>
      <c r="D1937" s="9">
        <v>9</v>
      </c>
      <c r="E1937" s="9">
        <v>344</v>
      </c>
      <c r="F1937" s="10" t="s">
        <v>1066</v>
      </c>
      <c r="G1937" s="9">
        <v>906</v>
      </c>
      <c r="H1937" s="9">
        <v>2020</v>
      </c>
      <c r="I1937" s="8">
        <v>174.03399999999999</v>
      </c>
      <c r="J1937" s="8">
        <v>141.047</v>
      </c>
      <c r="K1937" s="8">
        <v>134.85599999999999</v>
      </c>
      <c r="L1937" s="8">
        <v>129.001</v>
      </c>
      <c r="M1937" s="8">
        <v>185.45</v>
      </c>
      <c r="N1937" s="8">
        <v>265.87599999999998</v>
      </c>
      <c r="O1937" s="8">
        <v>308.97300000000001</v>
      </c>
      <c r="P1937" s="8">
        <v>354.21499999999997</v>
      </c>
      <c r="Q1937" s="8">
        <v>339.87400000000002</v>
      </c>
      <c r="R1937" s="8">
        <v>330.27300000000002</v>
      </c>
      <c r="S1937" s="8">
        <v>323.67599999999999</v>
      </c>
      <c r="T1937" s="8">
        <v>343.99900000000002</v>
      </c>
      <c r="U1937" s="8">
        <v>296.89</v>
      </c>
      <c r="V1937" s="8">
        <v>236.06100000000001</v>
      </c>
      <c r="W1937" s="8">
        <v>176.06700000000001</v>
      </c>
      <c r="X1937" s="8">
        <v>91.698999999999998</v>
      </c>
      <c r="Y1937" s="8">
        <v>96.421999999999997</v>
      </c>
      <c r="Z1937" s="8">
        <v>71.632999999999996</v>
      </c>
      <c r="AA1937" s="8">
        <v>40.026000000000003</v>
      </c>
      <c r="AB1937" s="8">
        <v>14.25</v>
      </c>
      <c r="AC1937" s="8">
        <v>3</v>
      </c>
    </row>
    <row r="1938" spans="1:29" ht="11.65" hidden="1" x14ac:dyDescent="0.35">
      <c r="A1938" s="12">
        <v>1921</v>
      </c>
      <c r="B1938" s="10" t="s">
        <v>1015</v>
      </c>
      <c r="C1938" s="11" t="s">
        <v>1152</v>
      </c>
      <c r="D1938" s="9">
        <v>10</v>
      </c>
      <c r="E1938" s="9">
        <v>446</v>
      </c>
      <c r="F1938" s="10" t="s">
        <v>1066</v>
      </c>
      <c r="G1938" s="9">
        <v>906</v>
      </c>
      <c r="H1938" s="9">
        <v>1950</v>
      </c>
      <c r="I1938" s="8">
        <v>10.877000000000001</v>
      </c>
      <c r="J1938" s="8">
        <v>7.5679999999999996</v>
      </c>
      <c r="K1938" s="8">
        <v>7.8819999999999997</v>
      </c>
      <c r="L1938" s="8">
        <v>9.86</v>
      </c>
      <c r="M1938" s="8">
        <v>9.3160000000000007</v>
      </c>
      <c r="N1938" s="8">
        <v>9.0779999999999994</v>
      </c>
      <c r="O1938" s="8">
        <v>8.0809999999999995</v>
      </c>
      <c r="P1938" s="8">
        <v>7.9690000000000003</v>
      </c>
      <c r="Q1938" s="8">
        <v>6.2089999999999996</v>
      </c>
      <c r="R1938" s="8">
        <v>5.2770000000000001</v>
      </c>
      <c r="S1938" s="8">
        <v>4.2039999999999997</v>
      </c>
      <c r="T1938" s="8">
        <v>3.45</v>
      </c>
      <c r="U1938" s="8">
        <v>2.105</v>
      </c>
      <c r="V1938" s="8">
        <v>1.617</v>
      </c>
      <c r="W1938" s="8">
        <v>1.2909999999999999</v>
      </c>
      <c r="X1938" s="8">
        <v>0.78</v>
      </c>
      <c r="Y1938" s="8">
        <v>0.372</v>
      </c>
      <c r="Z1938" s="8">
        <v>0.14399999999999999</v>
      </c>
      <c r="AA1938" s="8">
        <v>3.6999999999999998E-2</v>
      </c>
      <c r="AB1938" s="8">
        <v>7.0000000000000001E-3</v>
      </c>
      <c r="AC1938" s="8">
        <v>1E-3</v>
      </c>
    </row>
    <row r="1939" spans="1:29" ht="11.65" hidden="1" x14ac:dyDescent="0.35">
      <c r="A1939" s="12">
        <v>1922</v>
      </c>
      <c r="B1939" s="10" t="s">
        <v>1015</v>
      </c>
      <c r="C1939" s="11" t="s">
        <v>1152</v>
      </c>
      <c r="D1939" s="9">
        <v>10</v>
      </c>
      <c r="E1939" s="9">
        <v>446</v>
      </c>
      <c r="F1939" s="10" t="s">
        <v>1066</v>
      </c>
      <c r="G1939" s="9">
        <v>906</v>
      </c>
      <c r="H1939" s="9">
        <v>1955</v>
      </c>
      <c r="I1939" s="8">
        <v>14.173</v>
      </c>
      <c r="J1939" s="8">
        <v>10.192</v>
      </c>
      <c r="K1939" s="8">
        <v>7.3639999999999999</v>
      </c>
      <c r="L1939" s="8">
        <v>6.4930000000000003</v>
      </c>
      <c r="M1939" s="8">
        <v>7.7320000000000002</v>
      </c>
      <c r="N1939" s="8">
        <v>7.8710000000000004</v>
      </c>
      <c r="O1939" s="8">
        <v>7.7380000000000004</v>
      </c>
      <c r="P1939" s="8">
        <v>6.915</v>
      </c>
      <c r="Q1939" s="8">
        <v>6.5519999999999996</v>
      </c>
      <c r="R1939" s="8">
        <v>5.2830000000000004</v>
      </c>
      <c r="S1939" s="8">
        <v>4.4630000000000001</v>
      </c>
      <c r="T1939" s="8">
        <v>3.7210000000000001</v>
      </c>
      <c r="U1939" s="8">
        <v>2.96</v>
      </c>
      <c r="V1939" s="8">
        <v>2.04</v>
      </c>
      <c r="W1939" s="8">
        <v>1.4</v>
      </c>
      <c r="X1939" s="8">
        <v>0.89900000000000002</v>
      </c>
      <c r="Y1939" s="8">
        <v>0.40799999999999997</v>
      </c>
      <c r="Z1939" s="8">
        <v>0.113</v>
      </c>
      <c r="AA1939" s="8">
        <v>1.6E-2</v>
      </c>
      <c r="AB1939" s="8">
        <v>2E-3</v>
      </c>
      <c r="AC1939" s="8">
        <v>0</v>
      </c>
    </row>
    <row r="1940" spans="1:29" ht="11.65" hidden="1" x14ac:dyDescent="0.35">
      <c r="A1940" s="12">
        <v>1923</v>
      </c>
      <c r="B1940" s="10" t="s">
        <v>1015</v>
      </c>
      <c r="C1940" s="11" t="s">
        <v>1152</v>
      </c>
      <c r="D1940" s="9">
        <v>10</v>
      </c>
      <c r="E1940" s="9">
        <v>446</v>
      </c>
      <c r="F1940" s="10" t="s">
        <v>1066</v>
      </c>
      <c r="G1940" s="9">
        <v>906</v>
      </c>
      <c r="H1940" s="9">
        <v>1960</v>
      </c>
      <c r="I1940" s="8">
        <v>11.491</v>
      </c>
      <c r="J1940" s="8">
        <v>12.303000000000001</v>
      </c>
      <c r="K1940" s="8">
        <v>10.005000000000001</v>
      </c>
      <c r="L1940" s="8">
        <v>5.57</v>
      </c>
      <c r="M1940" s="8">
        <v>4.4429999999999996</v>
      </c>
      <c r="N1940" s="8">
        <v>5.1230000000000002</v>
      </c>
      <c r="O1940" s="8">
        <v>5.694</v>
      </c>
      <c r="P1940" s="8">
        <v>5.6210000000000004</v>
      </c>
      <c r="Q1940" s="8">
        <v>5.0640000000000001</v>
      </c>
      <c r="R1940" s="8">
        <v>4.5990000000000002</v>
      </c>
      <c r="S1940" s="8">
        <v>3.8140000000000001</v>
      </c>
      <c r="T1940" s="8">
        <v>3.2330000000000001</v>
      </c>
      <c r="U1940" s="8">
        <v>2.855</v>
      </c>
      <c r="V1940" s="8">
        <v>2.1920000000000002</v>
      </c>
      <c r="W1940" s="8">
        <v>1.66</v>
      </c>
      <c r="X1940" s="8">
        <v>1.012</v>
      </c>
      <c r="Y1940" s="8">
        <v>0.50700000000000001</v>
      </c>
      <c r="Z1940" s="8">
        <v>0.13400000000000001</v>
      </c>
      <c r="AA1940" s="8">
        <v>1.6E-2</v>
      </c>
      <c r="AB1940" s="8">
        <v>0</v>
      </c>
      <c r="AC1940" s="8">
        <v>0</v>
      </c>
    </row>
    <row r="1941" spans="1:29" ht="11.65" hidden="1" x14ac:dyDescent="0.35">
      <c r="A1941" s="12">
        <v>1924</v>
      </c>
      <c r="B1941" s="10" t="s">
        <v>1015</v>
      </c>
      <c r="C1941" s="11" t="s">
        <v>1152</v>
      </c>
      <c r="D1941" s="9">
        <v>10</v>
      </c>
      <c r="E1941" s="9">
        <v>446</v>
      </c>
      <c r="F1941" s="10" t="s">
        <v>1066</v>
      </c>
      <c r="G1941" s="9">
        <v>906</v>
      </c>
      <c r="H1941" s="9">
        <v>1965</v>
      </c>
      <c r="I1941" s="8">
        <v>13.882</v>
      </c>
      <c r="J1941" s="8">
        <v>14.537000000000001</v>
      </c>
      <c r="K1941" s="8">
        <v>15.718</v>
      </c>
      <c r="L1941" s="8">
        <v>9.4380000000000006</v>
      </c>
      <c r="M1941" s="8">
        <v>5.149</v>
      </c>
      <c r="N1941" s="8">
        <v>3.9169999999999998</v>
      </c>
      <c r="O1941" s="8">
        <v>5.7869999999999999</v>
      </c>
      <c r="P1941" s="8">
        <v>6.181</v>
      </c>
      <c r="Q1941" s="8">
        <v>5.6429999999999998</v>
      </c>
      <c r="R1941" s="8">
        <v>4.57</v>
      </c>
      <c r="S1941" s="8">
        <v>3.9849999999999999</v>
      </c>
      <c r="T1941" s="8">
        <v>3.51</v>
      </c>
      <c r="U1941" s="8">
        <v>2.8780000000000001</v>
      </c>
      <c r="V1941" s="8">
        <v>2.4420000000000002</v>
      </c>
      <c r="W1941" s="8">
        <v>1.66</v>
      </c>
      <c r="X1941" s="8">
        <v>1.169</v>
      </c>
      <c r="Y1941" s="8">
        <v>0.53600000000000003</v>
      </c>
      <c r="Z1941" s="8">
        <v>0.17899999999999999</v>
      </c>
      <c r="AA1941" s="8">
        <v>2.1000000000000001E-2</v>
      </c>
      <c r="AB1941" s="8">
        <v>0</v>
      </c>
      <c r="AC1941" s="8">
        <v>0</v>
      </c>
    </row>
    <row r="1942" spans="1:29" ht="11.65" hidden="1" x14ac:dyDescent="0.35">
      <c r="A1942" s="12">
        <v>1925</v>
      </c>
      <c r="B1942" s="10" t="s">
        <v>1015</v>
      </c>
      <c r="C1942" s="11" t="s">
        <v>1152</v>
      </c>
      <c r="D1942" s="9">
        <v>10</v>
      </c>
      <c r="E1942" s="9">
        <v>446</v>
      </c>
      <c r="F1942" s="10" t="s">
        <v>1066</v>
      </c>
      <c r="G1942" s="9">
        <v>906</v>
      </c>
      <c r="H1942" s="9">
        <v>1970</v>
      </c>
      <c r="I1942" s="8">
        <v>9.3699999999999992</v>
      </c>
      <c r="J1942" s="8">
        <v>15.994999999999999</v>
      </c>
      <c r="K1942" s="8">
        <v>19.145</v>
      </c>
      <c r="L1942" s="8">
        <v>18.518999999999998</v>
      </c>
      <c r="M1942" s="8">
        <v>9.5950000000000006</v>
      </c>
      <c r="N1942" s="8">
        <v>4.6379999999999999</v>
      </c>
      <c r="O1942" s="8">
        <v>5.5380000000000003</v>
      </c>
      <c r="P1942" s="8">
        <v>6.67</v>
      </c>
      <c r="Q1942" s="8">
        <v>6.7759999999999998</v>
      </c>
      <c r="R1942" s="8">
        <v>5.6440000000000001</v>
      </c>
      <c r="S1942" s="8">
        <v>4.12</v>
      </c>
      <c r="T1942" s="8">
        <v>3.4430000000000001</v>
      </c>
      <c r="U1942" s="8">
        <v>3.2919999999999998</v>
      </c>
      <c r="V1942" s="8">
        <v>2.569</v>
      </c>
      <c r="W1942" s="8">
        <v>2.1280000000000001</v>
      </c>
      <c r="X1942" s="8">
        <v>1.155</v>
      </c>
      <c r="Y1942" s="8">
        <v>0.73699999999999999</v>
      </c>
      <c r="Z1942" s="8">
        <v>0.20200000000000001</v>
      </c>
      <c r="AA1942" s="8">
        <v>3.2000000000000001E-2</v>
      </c>
      <c r="AB1942" s="8">
        <v>0</v>
      </c>
      <c r="AC1942" s="8">
        <v>0</v>
      </c>
    </row>
    <row r="1943" spans="1:29" ht="11.65" hidden="1" x14ac:dyDescent="0.35">
      <c r="A1943" s="12">
        <v>1926</v>
      </c>
      <c r="B1943" s="10" t="s">
        <v>1015</v>
      </c>
      <c r="C1943" s="11" t="s">
        <v>1152</v>
      </c>
      <c r="D1943" s="9">
        <v>10</v>
      </c>
      <c r="E1943" s="9">
        <v>446</v>
      </c>
      <c r="F1943" s="10" t="s">
        <v>1066</v>
      </c>
      <c r="G1943" s="9">
        <v>906</v>
      </c>
      <c r="H1943" s="9">
        <v>1975</v>
      </c>
      <c r="I1943" s="8">
        <v>7.7140000000000004</v>
      </c>
      <c r="J1943" s="8">
        <v>9.5570000000000004</v>
      </c>
      <c r="K1943" s="8">
        <v>14.952</v>
      </c>
      <c r="L1943" s="8">
        <v>17.617000000000001</v>
      </c>
      <c r="M1943" s="8">
        <v>15.327</v>
      </c>
      <c r="N1943" s="8">
        <v>8.8079999999999998</v>
      </c>
      <c r="O1943" s="8">
        <v>4.7050000000000001</v>
      </c>
      <c r="P1943" s="8">
        <v>4.9109999999999996</v>
      </c>
      <c r="Q1943" s="8">
        <v>5.907</v>
      </c>
      <c r="R1943" s="8">
        <v>6.3970000000000002</v>
      </c>
      <c r="S1943" s="8">
        <v>5.3819999999999997</v>
      </c>
      <c r="T1943" s="8">
        <v>4.4340000000000002</v>
      </c>
      <c r="U1943" s="8">
        <v>3.6080000000000001</v>
      </c>
      <c r="V1943" s="8">
        <v>3.2850000000000001</v>
      </c>
      <c r="W1943" s="8">
        <v>2.323</v>
      </c>
      <c r="X1943" s="8">
        <v>1.61</v>
      </c>
      <c r="Y1943" s="8">
        <v>0.7</v>
      </c>
      <c r="Z1943" s="8">
        <v>0.315</v>
      </c>
      <c r="AA1943" s="8">
        <v>4.3999999999999997E-2</v>
      </c>
      <c r="AB1943" s="8">
        <v>3.0000000000000001E-3</v>
      </c>
      <c r="AC1943" s="8">
        <v>0</v>
      </c>
    </row>
    <row r="1944" spans="1:29" ht="11.65" hidden="1" x14ac:dyDescent="0.35">
      <c r="A1944" s="12">
        <v>1927</v>
      </c>
      <c r="B1944" s="10" t="s">
        <v>1015</v>
      </c>
      <c r="C1944" s="11" t="s">
        <v>1152</v>
      </c>
      <c r="D1944" s="9">
        <v>10</v>
      </c>
      <c r="E1944" s="9">
        <v>446</v>
      </c>
      <c r="F1944" s="10" t="s">
        <v>1066</v>
      </c>
      <c r="G1944" s="9">
        <v>906</v>
      </c>
      <c r="H1944" s="9">
        <v>1980</v>
      </c>
      <c r="I1944" s="8">
        <v>7.8159999999999998</v>
      </c>
      <c r="J1944" s="8">
        <v>9.1460000000000008</v>
      </c>
      <c r="K1944" s="8">
        <v>9.9239999999999995</v>
      </c>
      <c r="L1944" s="8">
        <v>13.318</v>
      </c>
      <c r="M1944" s="8">
        <v>15.323</v>
      </c>
      <c r="N1944" s="8">
        <v>11.981999999999999</v>
      </c>
      <c r="O1944" s="8">
        <v>7.6269999999999998</v>
      </c>
      <c r="P1944" s="8">
        <v>4.5720000000000001</v>
      </c>
      <c r="Q1944" s="8">
        <v>4.1719999999999997</v>
      </c>
      <c r="R1944" s="8">
        <v>5.4109999999999996</v>
      </c>
      <c r="S1944" s="8">
        <v>6.0209999999999999</v>
      </c>
      <c r="T1944" s="8">
        <v>5.08</v>
      </c>
      <c r="U1944" s="8">
        <v>4.8390000000000004</v>
      </c>
      <c r="V1944" s="8">
        <v>3.7370000000000001</v>
      </c>
      <c r="W1944" s="8">
        <v>3.234</v>
      </c>
      <c r="X1944" s="8">
        <v>2.077</v>
      </c>
      <c r="Y1944" s="8">
        <v>1.3859999999999999</v>
      </c>
      <c r="Z1944" s="8">
        <v>0.33100000000000002</v>
      </c>
      <c r="AA1944" s="8">
        <v>8.3000000000000004E-2</v>
      </c>
      <c r="AB1944" s="8">
        <v>5.0000000000000001E-3</v>
      </c>
      <c r="AC1944" s="8">
        <v>0</v>
      </c>
    </row>
    <row r="1945" spans="1:29" ht="11.65" hidden="1" x14ac:dyDescent="0.35">
      <c r="A1945" s="12">
        <v>1928</v>
      </c>
      <c r="B1945" s="10" t="s">
        <v>1015</v>
      </c>
      <c r="C1945" s="11" t="s">
        <v>1152</v>
      </c>
      <c r="D1945" s="9">
        <v>10</v>
      </c>
      <c r="E1945" s="9">
        <v>446</v>
      </c>
      <c r="F1945" s="10" t="s">
        <v>1066</v>
      </c>
      <c r="G1945" s="9">
        <v>906</v>
      </c>
      <c r="H1945" s="9">
        <v>1985</v>
      </c>
      <c r="I1945" s="8">
        <v>13.731</v>
      </c>
      <c r="J1945" s="8">
        <v>7.9669999999999996</v>
      </c>
      <c r="K1945" s="8">
        <v>10.971</v>
      </c>
      <c r="L1945" s="8">
        <v>12.739000000000001</v>
      </c>
      <c r="M1945" s="8">
        <v>16.358000000000001</v>
      </c>
      <c r="N1945" s="8">
        <v>17.53</v>
      </c>
      <c r="O1945" s="8">
        <v>13.984999999999999</v>
      </c>
      <c r="P1945" s="8">
        <v>8.8680000000000003</v>
      </c>
      <c r="Q1945" s="8">
        <v>5.0890000000000004</v>
      </c>
      <c r="R1945" s="8">
        <v>4.3520000000000003</v>
      </c>
      <c r="S1945" s="8">
        <v>5.5960000000000001</v>
      </c>
      <c r="T1945" s="8">
        <v>6.0179999999999998</v>
      </c>
      <c r="U1945" s="8">
        <v>5.0439999999999996</v>
      </c>
      <c r="V1945" s="8">
        <v>4.3490000000000002</v>
      </c>
      <c r="W1945" s="8">
        <v>3.0779999999999998</v>
      </c>
      <c r="X1945" s="8">
        <v>2.6320000000000001</v>
      </c>
      <c r="Y1945" s="8">
        <v>1.4670000000000001</v>
      </c>
      <c r="Z1945" s="8">
        <v>0.7</v>
      </c>
      <c r="AA1945" s="8">
        <v>9.8000000000000004E-2</v>
      </c>
      <c r="AB1945" s="8">
        <v>1.0999999999999999E-2</v>
      </c>
      <c r="AC1945" s="8">
        <v>0</v>
      </c>
    </row>
    <row r="1946" spans="1:29" ht="11.65" hidden="1" x14ac:dyDescent="0.35">
      <c r="A1946" s="12">
        <v>1929</v>
      </c>
      <c r="B1946" s="10" t="s">
        <v>1015</v>
      </c>
      <c r="C1946" s="11" t="s">
        <v>1152</v>
      </c>
      <c r="D1946" s="9">
        <v>10</v>
      </c>
      <c r="E1946" s="9">
        <v>446</v>
      </c>
      <c r="F1946" s="10" t="s">
        <v>1066</v>
      </c>
      <c r="G1946" s="9">
        <v>906</v>
      </c>
      <c r="H1946" s="9">
        <v>1990</v>
      </c>
      <c r="I1946" s="8">
        <v>17.158000000000001</v>
      </c>
      <c r="J1946" s="8">
        <v>15.321999999999999</v>
      </c>
      <c r="K1946" s="8">
        <v>10.067</v>
      </c>
      <c r="L1946" s="8">
        <v>13.317</v>
      </c>
      <c r="M1946" s="8">
        <v>16.446999999999999</v>
      </c>
      <c r="N1946" s="8">
        <v>20.585000000000001</v>
      </c>
      <c r="O1946" s="8">
        <v>21.353999999999999</v>
      </c>
      <c r="P1946" s="8">
        <v>15.287000000000001</v>
      </c>
      <c r="Q1946" s="8">
        <v>9.6460000000000008</v>
      </c>
      <c r="R1946" s="8">
        <v>5.12</v>
      </c>
      <c r="S1946" s="8">
        <v>4.7619999999999996</v>
      </c>
      <c r="T1946" s="8">
        <v>5.6680000000000001</v>
      </c>
      <c r="U1946" s="8">
        <v>5.7880000000000003</v>
      </c>
      <c r="V1946" s="8">
        <v>4.7649999999999997</v>
      </c>
      <c r="W1946" s="8">
        <v>3.6589999999999998</v>
      </c>
      <c r="X1946" s="8">
        <v>2.3149999999999999</v>
      </c>
      <c r="Y1946" s="8">
        <v>1.6759999999999999</v>
      </c>
      <c r="Z1946" s="8">
        <v>0.79700000000000004</v>
      </c>
      <c r="AA1946" s="8">
        <v>0.23400000000000001</v>
      </c>
      <c r="AB1946" s="8">
        <v>1.4999999999999999E-2</v>
      </c>
      <c r="AC1946" s="8">
        <v>1E-3</v>
      </c>
    </row>
    <row r="1947" spans="1:29" ht="11.65" hidden="1" x14ac:dyDescent="0.35">
      <c r="A1947" s="12">
        <v>1930</v>
      </c>
      <c r="B1947" s="10" t="s">
        <v>1015</v>
      </c>
      <c r="C1947" s="11" t="s">
        <v>1152</v>
      </c>
      <c r="D1947" s="9">
        <v>10</v>
      </c>
      <c r="E1947" s="9">
        <v>446</v>
      </c>
      <c r="F1947" s="10" t="s">
        <v>1066</v>
      </c>
      <c r="G1947" s="9">
        <v>906</v>
      </c>
      <c r="H1947" s="9">
        <v>1995</v>
      </c>
      <c r="I1947" s="8">
        <v>14.831</v>
      </c>
      <c r="J1947" s="8">
        <v>17.582999999999998</v>
      </c>
      <c r="K1947" s="8">
        <v>15.553000000000001</v>
      </c>
      <c r="L1947" s="8">
        <v>12.417999999999999</v>
      </c>
      <c r="M1947" s="8">
        <v>16.050999999999998</v>
      </c>
      <c r="N1947" s="8">
        <v>19.68</v>
      </c>
      <c r="O1947" s="8">
        <v>23.707000000000001</v>
      </c>
      <c r="P1947" s="8">
        <v>21.818999999999999</v>
      </c>
      <c r="Q1947" s="8">
        <v>15.4</v>
      </c>
      <c r="R1947" s="8">
        <v>9.7080000000000002</v>
      </c>
      <c r="S1947" s="8">
        <v>5.1820000000000004</v>
      </c>
      <c r="T1947" s="8">
        <v>4.766</v>
      </c>
      <c r="U1947" s="8">
        <v>5.5730000000000004</v>
      </c>
      <c r="V1947" s="8">
        <v>5.5590000000000002</v>
      </c>
      <c r="W1947" s="8">
        <v>4.4349999999999996</v>
      </c>
      <c r="X1947" s="8">
        <v>3.1989999999999998</v>
      </c>
      <c r="Y1947" s="8">
        <v>1.8660000000000001</v>
      </c>
      <c r="Z1947" s="8">
        <v>0.98299999999999998</v>
      </c>
      <c r="AA1947" s="8">
        <v>0.30599999999999999</v>
      </c>
      <c r="AB1947" s="8">
        <v>4.8000000000000001E-2</v>
      </c>
      <c r="AC1947" s="8">
        <v>2E-3</v>
      </c>
    </row>
    <row r="1948" spans="1:29" ht="11.65" hidden="1" x14ac:dyDescent="0.35">
      <c r="A1948" s="12">
        <v>1931</v>
      </c>
      <c r="B1948" s="10" t="s">
        <v>1015</v>
      </c>
      <c r="C1948" s="11" t="s">
        <v>1152</v>
      </c>
      <c r="D1948" s="9">
        <v>10</v>
      </c>
      <c r="E1948" s="9">
        <v>446</v>
      </c>
      <c r="F1948" s="10" t="s">
        <v>1066</v>
      </c>
      <c r="G1948" s="9">
        <v>906</v>
      </c>
      <c r="H1948" s="9">
        <v>2000</v>
      </c>
      <c r="I1948" s="8">
        <v>11.093</v>
      </c>
      <c r="J1948" s="8">
        <v>16.364000000000001</v>
      </c>
      <c r="K1948" s="8">
        <v>19.84</v>
      </c>
      <c r="L1948" s="8">
        <v>16.675000000000001</v>
      </c>
      <c r="M1948" s="8">
        <v>16.468</v>
      </c>
      <c r="N1948" s="8">
        <v>18.044</v>
      </c>
      <c r="O1948" s="8">
        <v>20.88</v>
      </c>
      <c r="P1948" s="8">
        <v>25.745999999999999</v>
      </c>
      <c r="Q1948" s="8">
        <v>21.869</v>
      </c>
      <c r="R1948" s="8">
        <v>16.57</v>
      </c>
      <c r="S1948" s="8">
        <v>10.461</v>
      </c>
      <c r="T1948" s="8">
        <v>5.4909999999999997</v>
      </c>
      <c r="U1948" s="8">
        <v>4.72</v>
      </c>
      <c r="V1948" s="8">
        <v>5.63</v>
      </c>
      <c r="W1948" s="8">
        <v>5.3529999999999998</v>
      </c>
      <c r="X1948" s="8">
        <v>3.7410000000000001</v>
      </c>
      <c r="Y1948" s="8">
        <v>2.25</v>
      </c>
      <c r="Z1948" s="8">
        <v>1.173</v>
      </c>
      <c r="AA1948" s="8">
        <v>0.42499999999999999</v>
      </c>
      <c r="AB1948" s="8">
        <v>7.2999999999999995E-2</v>
      </c>
      <c r="AC1948" s="8">
        <v>6.0000000000000001E-3</v>
      </c>
    </row>
    <row r="1949" spans="1:29" ht="11.65" hidden="1" x14ac:dyDescent="0.35">
      <c r="A1949" s="12">
        <v>1932</v>
      </c>
      <c r="B1949" s="10" t="s">
        <v>1015</v>
      </c>
      <c r="C1949" s="11" t="s">
        <v>1152</v>
      </c>
      <c r="D1949" s="9">
        <v>10</v>
      </c>
      <c r="E1949" s="9">
        <v>446</v>
      </c>
      <c r="F1949" s="10" t="s">
        <v>1066</v>
      </c>
      <c r="G1949" s="9">
        <v>906</v>
      </c>
      <c r="H1949" s="9">
        <v>2005</v>
      </c>
      <c r="I1949" s="8">
        <v>8.8179999999999996</v>
      </c>
      <c r="J1949" s="8">
        <v>12.369</v>
      </c>
      <c r="K1949" s="8">
        <v>18.858000000000001</v>
      </c>
      <c r="L1949" s="8">
        <v>25.300999999999998</v>
      </c>
      <c r="M1949" s="8">
        <v>23.06</v>
      </c>
      <c r="N1949" s="8">
        <v>18.498000000000001</v>
      </c>
      <c r="O1949" s="8">
        <v>22.234000000000002</v>
      </c>
      <c r="P1949" s="8">
        <v>23.231999999999999</v>
      </c>
      <c r="Q1949" s="8">
        <v>26.134</v>
      </c>
      <c r="R1949" s="8">
        <v>22.831</v>
      </c>
      <c r="S1949" s="8">
        <v>16.433</v>
      </c>
      <c r="T1949" s="8">
        <v>9.7729999999999997</v>
      </c>
      <c r="U1949" s="8">
        <v>6.02</v>
      </c>
      <c r="V1949" s="8">
        <v>5.2080000000000002</v>
      </c>
      <c r="W1949" s="8">
        <v>5.2469999999999999</v>
      </c>
      <c r="X1949" s="8">
        <v>4.4139999999999997</v>
      </c>
      <c r="Y1949" s="8">
        <v>2.8439999999999999</v>
      </c>
      <c r="Z1949" s="8">
        <v>1.4950000000000001</v>
      </c>
      <c r="AA1949" s="8">
        <v>0.56100000000000005</v>
      </c>
      <c r="AB1949" s="8">
        <v>0.12</v>
      </c>
      <c r="AC1949" s="8">
        <v>1.0999999999999999E-2</v>
      </c>
    </row>
    <row r="1950" spans="1:29" ht="11.65" hidden="1" x14ac:dyDescent="0.35">
      <c r="A1950" s="12">
        <v>1933</v>
      </c>
      <c r="B1950" s="10" t="s">
        <v>1015</v>
      </c>
      <c r="C1950" s="11" t="s">
        <v>1152</v>
      </c>
      <c r="D1950" s="9">
        <v>10</v>
      </c>
      <c r="E1950" s="9">
        <v>446</v>
      </c>
      <c r="F1950" s="10" t="s">
        <v>1066</v>
      </c>
      <c r="G1950" s="9">
        <v>906</v>
      </c>
      <c r="H1950" s="9">
        <v>2010</v>
      </c>
      <c r="I1950" s="8">
        <v>11.071</v>
      </c>
      <c r="J1950" s="8">
        <v>9.2089999999999996</v>
      </c>
      <c r="K1950" s="8">
        <v>13.429</v>
      </c>
      <c r="L1950" s="8">
        <v>20.797000000000001</v>
      </c>
      <c r="M1950" s="8">
        <v>29.66</v>
      </c>
      <c r="N1950" s="8">
        <v>26.358000000000001</v>
      </c>
      <c r="O1950" s="8">
        <v>19.888999999999999</v>
      </c>
      <c r="P1950" s="8">
        <v>24.902999999999999</v>
      </c>
      <c r="Q1950" s="8">
        <v>25.861000000000001</v>
      </c>
      <c r="R1950" s="8">
        <v>28.341999999999999</v>
      </c>
      <c r="S1950" s="8">
        <v>22.280999999999999</v>
      </c>
      <c r="T1950" s="8">
        <v>17.177</v>
      </c>
      <c r="U1950" s="8">
        <v>10.388</v>
      </c>
      <c r="V1950" s="8">
        <v>5.1980000000000004</v>
      </c>
      <c r="W1950" s="8">
        <v>4.4189999999999996</v>
      </c>
      <c r="X1950" s="8">
        <v>4.4729999999999999</v>
      </c>
      <c r="Y1950" s="8">
        <v>3.488</v>
      </c>
      <c r="Z1950" s="8">
        <v>1.9750000000000001</v>
      </c>
      <c r="AA1950" s="8">
        <v>0.77400000000000002</v>
      </c>
      <c r="AB1950" s="8">
        <v>0.17899999999999999</v>
      </c>
      <c r="AC1950" s="8">
        <v>2.1000000000000001E-2</v>
      </c>
    </row>
    <row r="1951" spans="1:29" ht="11.65" hidden="1" x14ac:dyDescent="0.35">
      <c r="A1951" s="12">
        <v>1934</v>
      </c>
      <c r="B1951" s="10" t="s">
        <v>1015</v>
      </c>
      <c r="C1951" s="11" t="s">
        <v>1152</v>
      </c>
      <c r="D1951" s="9">
        <v>10</v>
      </c>
      <c r="E1951" s="9">
        <v>446</v>
      </c>
      <c r="F1951" s="10" t="s">
        <v>1066</v>
      </c>
      <c r="G1951" s="9">
        <v>906</v>
      </c>
      <c r="H1951" s="9">
        <v>2015</v>
      </c>
      <c r="I1951" s="8">
        <v>15.645</v>
      </c>
      <c r="J1951" s="8">
        <v>11.534000000000001</v>
      </c>
      <c r="K1951" s="8">
        <v>9.57</v>
      </c>
      <c r="L1951" s="8">
        <v>15.257999999999999</v>
      </c>
      <c r="M1951" s="8">
        <v>24.074999999999999</v>
      </c>
      <c r="N1951" s="8">
        <v>34.284999999999997</v>
      </c>
      <c r="O1951" s="8">
        <v>30.914000000000001</v>
      </c>
      <c r="P1951" s="8">
        <v>21.527000000000001</v>
      </c>
      <c r="Q1951" s="8">
        <v>27.332999999999998</v>
      </c>
      <c r="R1951" s="8">
        <v>27.143999999999998</v>
      </c>
      <c r="S1951" s="8">
        <v>28.698</v>
      </c>
      <c r="T1951" s="8">
        <v>22.533000000000001</v>
      </c>
      <c r="U1951" s="8">
        <v>17.317</v>
      </c>
      <c r="V1951" s="8">
        <v>10.303000000000001</v>
      </c>
      <c r="W1951" s="8">
        <v>5.0949999999999998</v>
      </c>
      <c r="X1951" s="8">
        <v>4.1520000000000001</v>
      </c>
      <c r="Y1951" s="8">
        <v>3.879</v>
      </c>
      <c r="Z1951" s="8">
        <v>2.552</v>
      </c>
      <c r="AA1951" s="8">
        <v>1.115</v>
      </c>
      <c r="AB1951" s="8">
        <v>0.28399999999999997</v>
      </c>
      <c r="AC1951" s="8">
        <v>3.9E-2</v>
      </c>
    </row>
    <row r="1952" spans="1:29" ht="11.65" hidden="1" x14ac:dyDescent="0.35">
      <c r="A1952" s="12">
        <v>1935</v>
      </c>
      <c r="B1952" s="10" t="s">
        <v>1015</v>
      </c>
      <c r="C1952" s="11" t="s">
        <v>1152</v>
      </c>
      <c r="D1952" s="9">
        <v>10</v>
      </c>
      <c r="E1952" s="9">
        <v>446</v>
      </c>
      <c r="F1952" s="10" t="s">
        <v>1066</v>
      </c>
      <c r="G1952" s="9">
        <v>906</v>
      </c>
      <c r="H1952" s="9">
        <v>2020</v>
      </c>
      <c r="I1952" s="8">
        <v>17.565999999999999</v>
      </c>
      <c r="J1952" s="8">
        <v>15.971</v>
      </c>
      <c r="K1952" s="8">
        <v>11.789</v>
      </c>
      <c r="L1952" s="8">
        <v>10.875999999999999</v>
      </c>
      <c r="M1952" s="8">
        <v>17.597000000000001</v>
      </c>
      <c r="N1952" s="8">
        <v>26.309000000000001</v>
      </c>
      <c r="O1952" s="8">
        <v>35.966000000000001</v>
      </c>
      <c r="P1952" s="8">
        <v>32.061999999999998</v>
      </c>
      <c r="Q1952" s="8">
        <v>22.283999999999999</v>
      </c>
      <c r="R1952" s="8">
        <v>27.788</v>
      </c>
      <c r="S1952" s="8">
        <v>27.369</v>
      </c>
      <c r="T1952" s="8">
        <v>28.731000000000002</v>
      </c>
      <c r="U1952" s="8">
        <v>22.443999999999999</v>
      </c>
      <c r="V1952" s="8">
        <v>17.102</v>
      </c>
      <c r="W1952" s="8">
        <v>10.016</v>
      </c>
      <c r="X1952" s="8">
        <v>4.8010000000000002</v>
      </c>
      <c r="Y1952" s="8">
        <v>3.645</v>
      </c>
      <c r="Z1952" s="8">
        <v>2.9180000000000001</v>
      </c>
      <c r="AA1952" s="8">
        <v>1.5049999999999999</v>
      </c>
      <c r="AB1952" s="8">
        <v>0.436</v>
      </c>
      <c r="AC1952" s="8">
        <v>6.7000000000000004E-2</v>
      </c>
    </row>
    <row r="1953" spans="1:29" ht="11.65" hidden="1" x14ac:dyDescent="0.35">
      <c r="A1953" s="12">
        <v>1936</v>
      </c>
      <c r="B1953" s="10" t="s">
        <v>1015</v>
      </c>
      <c r="C1953" s="11" t="s">
        <v>1153</v>
      </c>
      <c r="D1953" s="9">
        <v>11</v>
      </c>
      <c r="E1953" s="9">
        <v>158</v>
      </c>
      <c r="F1953" s="10" t="s">
        <v>1066</v>
      </c>
      <c r="G1953" s="9">
        <v>906</v>
      </c>
      <c r="H1953" s="9">
        <v>1950</v>
      </c>
      <c r="I1953" s="8">
        <v>619.74099999999999</v>
      </c>
      <c r="J1953" s="8">
        <v>500.21300000000002</v>
      </c>
      <c r="K1953" s="8">
        <v>461.983</v>
      </c>
      <c r="L1953" s="8">
        <v>393.56099999999998</v>
      </c>
      <c r="M1953" s="8">
        <v>340.88499999999999</v>
      </c>
      <c r="N1953" s="8">
        <v>281.59199999999998</v>
      </c>
      <c r="O1953" s="8">
        <v>240.98699999999999</v>
      </c>
      <c r="P1953" s="8">
        <v>206.779</v>
      </c>
      <c r="Q1953" s="8">
        <v>159.262</v>
      </c>
      <c r="R1953" s="8">
        <v>131.91900000000001</v>
      </c>
      <c r="S1953" s="8">
        <v>100.096</v>
      </c>
      <c r="T1953" s="8">
        <v>81.534999999999997</v>
      </c>
      <c r="U1953" s="8">
        <v>67.423000000000002</v>
      </c>
      <c r="V1953" s="8">
        <v>49.439</v>
      </c>
      <c r="W1953" s="8">
        <v>32.313000000000002</v>
      </c>
      <c r="X1953" s="8">
        <v>17.327000000000002</v>
      </c>
      <c r="Y1953" s="8">
        <v>8.3350000000000009</v>
      </c>
      <c r="Z1953" s="8">
        <v>0.746</v>
      </c>
      <c r="AA1953" s="8">
        <v>5.7000000000000002E-2</v>
      </c>
      <c r="AB1953" s="8">
        <v>6.0000000000000001E-3</v>
      </c>
      <c r="AC1953" s="8">
        <v>0</v>
      </c>
    </row>
    <row r="1954" spans="1:29" ht="11.65" hidden="1" x14ac:dyDescent="0.35">
      <c r="A1954" s="12">
        <v>1937</v>
      </c>
      <c r="B1954" s="10" t="s">
        <v>1015</v>
      </c>
      <c r="C1954" s="11" t="s">
        <v>1153</v>
      </c>
      <c r="D1954" s="9">
        <v>11</v>
      </c>
      <c r="E1954" s="9">
        <v>158</v>
      </c>
      <c r="F1954" s="10" t="s">
        <v>1066</v>
      </c>
      <c r="G1954" s="9">
        <v>906</v>
      </c>
      <c r="H1954" s="9">
        <v>1955</v>
      </c>
      <c r="I1954" s="8">
        <v>872.16899999999998</v>
      </c>
      <c r="J1954" s="8">
        <v>617.22199999999998</v>
      </c>
      <c r="K1954" s="8">
        <v>506.53</v>
      </c>
      <c r="L1954" s="8">
        <v>463.78399999999999</v>
      </c>
      <c r="M1954" s="8">
        <v>393.88099999999997</v>
      </c>
      <c r="N1954" s="8">
        <v>339.25799999999998</v>
      </c>
      <c r="O1954" s="8">
        <v>280.80900000000003</v>
      </c>
      <c r="P1954" s="8">
        <v>230.059</v>
      </c>
      <c r="Q1954" s="8">
        <v>192.12200000000001</v>
      </c>
      <c r="R1954" s="8">
        <v>162.25800000000001</v>
      </c>
      <c r="S1954" s="8">
        <v>128.988</v>
      </c>
      <c r="T1954" s="8">
        <v>100.758</v>
      </c>
      <c r="U1954" s="8">
        <v>72.066000000000003</v>
      </c>
      <c r="V1954" s="8">
        <v>55.545000000000002</v>
      </c>
      <c r="W1954" s="8">
        <v>41.948999999999998</v>
      </c>
      <c r="X1954" s="8">
        <v>24.588999999999999</v>
      </c>
      <c r="Y1954" s="8">
        <v>10.271000000000001</v>
      </c>
      <c r="Z1954" s="8">
        <v>3.2149999999999999</v>
      </c>
      <c r="AA1954" s="8">
        <v>0.108</v>
      </c>
      <c r="AB1954" s="8">
        <v>6.0000000000000001E-3</v>
      </c>
      <c r="AC1954" s="8">
        <v>0</v>
      </c>
    </row>
    <row r="1955" spans="1:29" ht="11.65" hidden="1" x14ac:dyDescent="0.35">
      <c r="A1955" s="12">
        <v>1938</v>
      </c>
      <c r="B1955" s="10" t="s">
        <v>1015</v>
      </c>
      <c r="C1955" s="11" t="s">
        <v>1153</v>
      </c>
      <c r="D1955" s="9">
        <v>11</v>
      </c>
      <c r="E1955" s="9">
        <v>158</v>
      </c>
      <c r="F1955" s="10" t="s">
        <v>1066</v>
      </c>
      <c r="G1955" s="9">
        <v>906</v>
      </c>
      <c r="H1955" s="9">
        <v>1960</v>
      </c>
      <c r="I1955" s="8">
        <v>953.12400000000002</v>
      </c>
      <c r="J1955" s="8">
        <v>864.66</v>
      </c>
      <c r="K1955" s="8">
        <v>609.98</v>
      </c>
      <c r="L1955" s="8">
        <v>500.55700000000002</v>
      </c>
      <c r="M1955" s="8">
        <v>455.16699999999997</v>
      </c>
      <c r="N1955" s="8">
        <v>389.93200000000002</v>
      </c>
      <c r="O1955" s="8">
        <v>336.33300000000003</v>
      </c>
      <c r="P1955" s="8">
        <v>276.916</v>
      </c>
      <c r="Q1955" s="8">
        <v>226.57400000000001</v>
      </c>
      <c r="R1955" s="8">
        <v>189.33199999999999</v>
      </c>
      <c r="S1955" s="8">
        <v>157.161</v>
      </c>
      <c r="T1955" s="8">
        <v>123.383</v>
      </c>
      <c r="U1955" s="8">
        <v>92.844999999999999</v>
      </c>
      <c r="V1955" s="8">
        <v>63.658999999999999</v>
      </c>
      <c r="W1955" s="8">
        <v>45.360999999999997</v>
      </c>
      <c r="X1955" s="8">
        <v>30.01</v>
      </c>
      <c r="Y1955" s="8">
        <v>14.127000000000001</v>
      </c>
      <c r="Z1955" s="8">
        <v>4.1879999999999997</v>
      </c>
      <c r="AA1955" s="8">
        <v>0.79200000000000004</v>
      </c>
      <c r="AB1955" s="8">
        <v>1.4999999999999999E-2</v>
      </c>
      <c r="AC1955" s="8">
        <v>0</v>
      </c>
    </row>
    <row r="1956" spans="1:29" ht="11.65" hidden="1" x14ac:dyDescent="0.35">
      <c r="A1956" s="12">
        <v>1939</v>
      </c>
      <c r="B1956" s="10" t="s">
        <v>1015</v>
      </c>
      <c r="C1956" s="11" t="s">
        <v>1153</v>
      </c>
      <c r="D1956" s="9">
        <v>11</v>
      </c>
      <c r="E1956" s="9">
        <v>158</v>
      </c>
      <c r="F1956" s="10" t="s">
        <v>1066</v>
      </c>
      <c r="G1956" s="9">
        <v>906</v>
      </c>
      <c r="H1956" s="9">
        <v>1965</v>
      </c>
      <c r="I1956" s="8">
        <v>1009.84</v>
      </c>
      <c r="J1956" s="8">
        <v>953.82299999999998</v>
      </c>
      <c r="K1956" s="8">
        <v>872.60299999999995</v>
      </c>
      <c r="L1956" s="8">
        <v>598.43299999999999</v>
      </c>
      <c r="M1956" s="8">
        <v>474.197</v>
      </c>
      <c r="N1956" s="8">
        <v>455.74799999999999</v>
      </c>
      <c r="O1956" s="8">
        <v>393.62700000000001</v>
      </c>
      <c r="P1956" s="8">
        <v>348.37299999999999</v>
      </c>
      <c r="Q1956" s="8">
        <v>290.053</v>
      </c>
      <c r="R1956" s="8">
        <v>231.322</v>
      </c>
      <c r="S1956" s="8">
        <v>186.928</v>
      </c>
      <c r="T1956" s="8">
        <v>157.477</v>
      </c>
      <c r="U1956" s="8">
        <v>111.19</v>
      </c>
      <c r="V1956" s="8">
        <v>84.096000000000004</v>
      </c>
      <c r="W1956" s="8">
        <v>53.057000000000002</v>
      </c>
      <c r="X1956" s="8">
        <v>34.970999999999997</v>
      </c>
      <c r="Y1956" s="8">
        <v>17.654</v>
      </c>
      <c r="Z1956" s="8">
        <v>5.5970000000000004</v>
      </c>
      <c r="AA1956" s="8">
        <v>0.95</v>
      </c>
      <c r="AB1956" s="8">
        <v>0.08</v>
      </c>
      <c r="AC1956" s="8">
        <v>1E-3</v>
      </c>
    </row>
    <row r="1957" spans="1:29" ht="11.65" hidden="1" x14ac:dyDescent="0.35">
      <c r="A1957" s="12">
        <v>1940</v>
      </c>
      <c r="B1957" s="10" t="s">
        <v>1015</v>
      </c>
      <c r="C1957" s="11" t="s">
        <v>1153</v>
      </c>
      <c r="D1957" s="9">
        <v>11</v>
      </c>
      <c r="E1957" s="9">
        <v>158</v>
      </c>
      <c r="F1957" s="10" t="s">
        <v>1066</v>
      </c>
      <c r="G1957" s="9">
        <v>906</v>
      </c>
      <c r="H1957" s="9">
        <v>1970</v>
      </c>
      <c r="I1957" s="8">
        <v>979.97400000000005</v>
      </c>
      <c r="J1957" s="8">
        <v>1014.904</v>
      </c>
      <c r="K1957" s="8">
        <v>961.38199999999995</v>
      </c>
      <c r="L1957" s="8">
        <v>897.53</v>
      </c>
      <c r="M1957" s="8">
        <v>580.66</v>
      </c>
      <c r="N1957" s="8">
        <v>458.08699999999999</v>
      </c>
      <c r="O1957" s="8">
        <v>455.60399999999998</v>
      </c>
      <c r="P1957" s="8">
        <v>397.30500000000001</v>
      </c>
      <c r="Q1957" s="8">
        <v>352.22</v>
      </c>
      <c r="R1957" s="8">
        <v>290.14100000000002</v>
      </c>
      <c r="S1957" s="8">
        <v>213.03100000000001</v>
      </c>
      <c r="T1957" s="8">
        <v>193.38900000000001</v>
      </c>
      <c r="U1957" s="8">
        <v>138.767</v>
      </c>
      <c r="V1957" s="8">
        <v>92.572999999999993</v>
      </c>
      <c r="W1957" s="8">
        <v>62.511000000000003</v>
      </c>
      <c r="X1957" s="8">
        <v>46.423999999999999</v>
      </c>
      <c r="Y1957" s="8">
        <v>23.527999999999999</v>
      </c>
      <c r="Z1957" s="8">
        <v>7.173</v>
      </c>
      <c r="AA1957" s="8">
        <v>1.3149999999999999</v>
      </c>
      <c r="AB1957" s="8">
        <v>9.9000000000000005E-2</v>
      </c>
      <c r="AC1957" s="8">
        <v>4.0000000000000001E-3</v>
      </c>
    </row>
    <row r="1958" spans="1:29" ht="11.65" hidden="1" x14ac:dyDescent="0.35">
      <c r="A1958" s="12">
        <v>1941</v>
      </c>
      <c r="B1958" s="10" t="s">
        <v>1015</v>
      </c>
      <c r="C1958" s="11" t="s">
        <v>1153</v>
      </c>
      <c r="D1958" s="9">
        <v>11</v>
      </c>
      <c r="E1958" s="9">
        <v>158</v>
      </c>
      <c r="F1958" s="10" t="s">
        <v>1066</v>
      </c>
      <c r="G1958" s="9">
        <v>906</v>
      </c>
      <c r="H1958" s="9">
        <v>1975</v>
      </c>
      <c r="I1958" s="8">
        <v>928.8</v>
      </c>
      <c r="J1958" s="8">
        <v>977.71</v>
      </c>
      <c r="K1958" s="8">
        <v>1014.829</v>
      </c>
      <c r="L1958" s="8">
        <v>958.529</v>
      </c>
      <c r="M1958" s="8">
        <v>889.83900000000006</v>
      </c>
      <c r="N1958" s="8">
        <v>578.56299999999999</v>
      </c>
      <c r="O1958" s="8">
        <v>458.60399999999998</v>
      </c>
      <c r="P1958" s="8">
        <v>453.94900000000001</v>
      </c>
      <c r="Q1958" s="8">
        <v>392.721</v>
      </c>
      <c r="R1958" s="8">
        <v>345.33499999999998</v>
      </c>
      <c r="S1958" s="8">
        <v>280.16300000000001</v>
      </c>
      <c r="T1958" s="8">
        <v>202.417</v>
      </c>
      <c r="U1958" s="8">
        <v>180.39400000000001</v>
      </c>
      <c r="V1958" s="8">
        <v>123.541</v>
      </c>
      <c r="W1958" s="8">
        <v>76.603999999999999</v>
      </c>
      <c r="X1958" s="8">
        <v>46.006999999999998</v>
      </c>
      <c r="Y1958" s="8">
        <v>28.291</v>
      </c>
      <c r="Z1958" s="8">
        <v>11.156000000000001</v>
      </c>
      <c r="AA1958" s="8">
        <v>2.339</v>
      </c>
      <c r="AB1958" s="8">
        <v>0.23499999999999999</v>
      </c>
      <c r="AC1958" s="8">
        <v>8.9999999999999993E-3</v>
      </c>
    </row>
    <row r="1959" spans="1:29" ht="11.65" hidden="1" x14ac:dyDescent="0.35">
      <c r="A1959" s="12">
        <v>1942</v>
      </c>
      <c r="B1959" s="10" t="s">
        <v>1015</v>
      </c>
      <c r="C1959" s="11" t="s">
        <v>1153</v>
      </c>
      <c r="D1959" s="9">
        <v>11</v>
      </c>
      <c r="E1959" s="9">
        <v>158</v>
      </c>
      <c r="F1959" s="10" t="s">
        <v>1066</v>
      </c>
      <c r="G1959" s="9">
        <v>906</v>
      </c>
      <c r="H1959" s="9">
        <v>1980</v>
      </c>
      <c r="I1959" s="8">
        <v>940.58</v>
      </c>
      <c r="J1959" s="8">
        <v>877.59500000000003</v>
      </c>
      <c r="K1959" s="8">
        <v>941.101</v>
      </c>
      <c r="L1959" s="8">
        <v>1033.241</v>
      </c>
      <c r="M1959" s="8">
        <v>936.25599999999997</v>
      </c>
      <c r="N1959" s="8">
        <v>832.44399999999996</v>
      </c>
      <c r="O1959" s="8">
        <v>556.33000000000004</v>
      </c>
      <c r="P1959" s="8">
        <v>433.68599999999998</v>
      </c>
      <c r="Q1959" s="8">
        <v>436.30599999999998</v>
      </c>
      <c r="R1959" s="8">
        <v>375.33100000000002</v>
      </c>
      <c r="S1959" s="8">
        <v>332.62299999999999</v>
      </c>
      <c r="T1959" s="8">
        <v>283.108</v>
      </c>
      <c r="U1959" s="8">
        <v>223.58699999999999</v>
      </c>
      <c r="V1959" s="8">
        <v>184.96199999999999</v>
      </c>
      <c r="W1959" s="8">
        <v>114.133</v>
      </c>
      <c r="X1959" s="8">
        <v>66.804000000000002</v>
      </c>
      <c r="Y1959" s="8">
        <v>33.119999999999997</v>
      </c>
      <c r="Z1959" s="8">
        <v>13.938000000000001</v>
      </c>
      <c r="AA1959" s="8">
        <v>3.8540000000000001</v>
      </c>
      <c r="AB1959" s="8">
        <v>0.57599999999999996</v>
      </c>
      <c r="AC1959" s="8">
        <v>3.7999999999999999E-2</v>
      </c>
    </row>
    <row r="1960" spans="1:29" ht="11.65" hidden="1" x14ac:dyDescent="0.35">
      <c r="A1960" s="12">
        <v>1943</v>
      </c>
      <c r="B1960" s="10" t="s">
        <v>1015</v>
      </c>
      <c r="C1960" s="11" t="s">
        <v>1153</v>
      </c>
      <c r="D1960" s="9">
        <v>11</v>
      </c>
      <c r="E1960" s="9">
        <v>158</v>
      </c>
      <c r="F1960" s="10" t="s">
        <v>1066</v>
      </c>
      <c r="G1960" s="9">
        <v>906</v>
      </c>
      <c r="H1960" s="9">
        <v>1985</v>
      </c>
      <c r="I1960" s="8">
        <v>938.255</v>
      </c>
      <c r="J1960" s="8">
        <v>939.96</v>
      </c>
      <c r="K1960" s="8">
        <v>875.41200000000003</v>
      </c>
      <c r="L1960" s="8">
        <v>934.38099999999997</v>
      </c>
      <c r="M1960" s="8">
        <v>1017.688</v>
      </c>
      <c r="N1960" s="8">
        <v>914.98500000000001</v>
      </c>
      <c r="O1960" s="8">
        <v>816.77200000000005</v>
      </c>
      <c r="P1960" s="8">
        <v>547.74300000000005</v>
      </c>
      <c r="Q1960" s="8">
        <v>425.541</v>
      </c>
      <c r="R1960" s="8">
        <v>427.21</v>
      </c>
      <c r="S1960" s="8">
        <v>365.90199999999999</v>
      </c>
      <c r="T1960" s="8">
        <v>320.28300000000002</v>
      </c>
      <c r="U1960" s="8">
        <v>267.74299999999999</v>
      </c>
      <c r="V1960" s="8">
        <v>205.09299999999999</v>
      </c>
      <c r="W1960" s="8">
        <v>160.35400000000001</v>
      </c>
      <c r="X1960" s="8">
        <v>85.343000000000004</v>
      </c>
      <c r="Y1960" s="8">
        <v>47.610999999999997</v>
      </c>
      <c r="Z1960" s="8">
        <v>16.983000000000001</v>
      </c>
      <c r="AA1960" s="8">
        <v>5.1130000000000004</v>
      </c>
      <c r="AB1960" s="8">
        <v>0.90300000000000002</v>
      </c>
      <c r="AC1960" s="8">
        <v>7.3999999999999996E-2</v>
      </c>
    </row>
    <row r="1961" spans="1:29" ht="11.65" hidden="1" x14ac:dyDescent="0.35">
      <c r="A1961" s="12">
        <v>1944</v>
      </c>
      <c r="B1961" s="10" t="s">
        <v>1015</v>
      </c>
      <c r="C1961" s="11" t="s">
        <v>1153</v>
      </c>
      <c r="D1961" s="9">
        <v>11</v>
      </c>
      <c r="E1961" s="9">
        <v>158</v>
      </c>
      <c r="F1961" s="10" t="s">
        <v>1066</v>
      </c>
      <c r="G1961" s="9">
        <v>906</v>
      </c>
      <c r="H1961" s="9">
        <v>1990</v>
      </c>
      <c r="I1961" s="8">
        <v>770.779</v>
      </c>
      <c r="J1961" s="8">
        <v>922.32299999999998</v>
      </c>
      <c r="K1961" s="8">
        <v>993.71799999999996</v>
      </c>
      <c r="L1961" s="8">
        <v>873.43600000000004</v>
      </c>
      <c r="M1961" s="8">
        <v>921.69200000000001</v>
      </c>
      <c r="N1961" s="8">
        <v>983.36900000000003</v>
      </c>
      <c r="O1961" s="8">
        <v>909.39499999999998</v>
      </c>
      <c r="P1961" s="8">
        <v>815.06399999999996</v>
      </c>
      <c r="Q1961" s="8">
        <v>560.226</v>
      </c>
      <c r="R1961" s="8">
        <v>444.09100000000001</v>
      </c>
      <c r="S1961" s="8">
        <v>419.892</v>
      </c>
      <c r="T1961" s="8">
        <v>357.14100000000002</v>
      </c>
      <c r="U1961" s="8">
        <v>313.18700000000001</v>
      </c>
      <c r="V1961" s="8">
        <v>255.327</v>
      </c>
      <c r="W1961" s="8">
        <v>182.441</v>
      </c>
      <c r="X1961" s="8">
        <v>127.402</v>
      </c>
      <c r="Y1961" s="8">
        <v>62.6</v>
      </c>
      <c r="Z1961" s="8">
        <v>24.824000000000002</v>
      </c>
      <c r="AA1961" s="8">
        <v>6.3849999999999998</v>
      </c>
      <c r="AB1961" s="8">
        <v>1.202</v>
      </c>
      <c r="AC1961" s="8">
        <v>0.11600000000000001</v>
      </c>
    </row>
    <row r="1962" spans="1:29" ht="11.65" hidden="1" x14ac:dyDescent="0.35">
      <c r="A1962" s="12">
        <v>1945</v>
      </c>
      <c r="B1962" s="10" t="s">
        <v>1015</v>
      </c>
      <c r="C1962" s="11" t="s">
        <v>1153</v>
      </c>
      <c r="D1962" s="9">
        <v>11</v>
      </c>
      <c r="E1962" s="9">
        <v>158</v>
      </c>
      <c r="F1962" s="10" t="s">
        <v>1066</v>
      </c>
      <c r="G1962" s="9">
        <v>906</v>
      </c>
      <c r="H1962" s="9">
        <v>1995</v>
      </c>
      <c r="I1962" s="8">
        <v>770.57</v>
      </c>
      <c r="J1962" s="8">
        <v>767.45</v>
      </c>
      <c r="K1962" s="8">
        <v>919.63199999999995</v>
      </c>
      <c r="L1962" s="8">
        <v>989.69</v>
      </c>
      <c r="M1962" s="8">
        <v>868.39200000000005</v>
      </c>
      <c r="N1962" s="8">
        <v>910.51800000000003</v>
      </c>
      <c r="O1962" s="8">
        <v>972.81500000000005</v>
      </c>
      <c r="P1962" s="8">
        <v>898.59299999999996</v>
      </c>
      <c r="Q1962" s="8">
        <v>805.32799999999997</v>
      </c>
      <c r="R1962" s="8">
        <v>552.93399999999997</v>
      </c>
      <c r="S1962" s="8">
        <v>436.68099999999998</v>
      </c>
      <c r="T1962" s="8">
        <v>409.96499999999997</v>
      </c>
      <c r="U1962" s="8">
        <v>343.41</v>
      </c>
      <c r="V1962" s="8">
        <v>292.66300000000001</v>
      </c>
      <c r="W1962" s="8">
        <v>226.13200000000001</v>
      </c>
      <c r="X1962" s="8">
        <v>146.44399999999999</v>
      </c>
      <c r="Y1962" s="8">
        <v>86.561000000000007</v>
      </c>
      <c r="Z1962" s="8">
        <v>34.682000000000002</v>
      </c>
      <c r="AA1962" s="8">
        <v>9.9109999999999996</v>
      </c>
      <c r="AB1962" s="8">
        <v>1.6539999999999999</v>
      </c>
      <c r="AC1962" s="8">
        <v>0.18099999999999999</v>
      </c>
    </row>
    <row r="1963" spans="1:29" ht="11.65" hidden="1" x14ac:dyDescent="0.35">
      <c r="A1963" s="12">
        <v>1946</v>
      </c>
      <c r="B1963" s="10" t="s">
        <v>1015</v>
      </c>
      <c r="C1963" s="11" t="s">
        <v>1153</v>
      </c>
      <c r="D1963" s="9">
        <v>11</v>
      </c>
      <c r="E1963" s="9">
        <v>158</v>
      </c>
      <c r="F1963" s="10" t="s">
        <v>1066</v>
      </c>
      <c r="G1963" s="9">
        <v>906</v>
      </c>
      <c r="H1963" s="9">
        <v>2000</v>
      </c>
      <c r="I1963" s="8">
        <v>713.80100000000004</v>
      </c>
      <c r="J1963" s="8">
        <v>762.50300000000004</v>
      </c>
      <c r="K1963" s="8">
        <v>758.58799999999997</v>
      </c>
      <c r="L1963" s="8">
        <v>911.13900000000001</v>
      </c>
      <c r="M1963" s="8">
        <v>984.62800000000004</v>
      </c>
      <c r="N1963" s="8">
        <v>853.48599999999999</v>
      </c>
      <c r="O1963" s="8">
        <v>904.87</v>
      </c>
      <c r="P1963" s="8">
        <v>967.16499999999996</v>
      </c>
      <c r="Q1963" s="8">
        <v>889.05600000000004</v>
      </c>
      <c r="R1963" s="8">
        <v>793.94600000000003</v>
      </c>
      <c r="S1963" s="8">
        <v>535.13400000000001</v>
      </c>
      <c r="T1963" s="8">
        <v>413.59399999999999</v>
      </c>
      <c r="U1963" s="8">
        <v>388.15100000000001</v>
      </c>
      <c r="V1963" s="8">
        <v>317.084</v>
      </c>
      <c r="W1963" s="8">
        <v>258.01900000000001</v>
      </c>
      <c r="X1963" s="8">
        <v>184.011</v>
      </c>
      <c r="Y1963" s="8">
        <v>104.81699999999999</v>
      </c>
      <c r="Z1963" s="8">
        <v>50.466000000000001</v>
      </c>
      <c r="AA1963" s="8">
        <v>14.484999999999999</v>
      </c>
      <c r="AB1963" s="8">
        <v>2.7069999999999999</v>
      </c>
      <c r="AC1963" s="8">
        <v>0.27</v>
      </c>
    </row>
    <row r="1964" spans="1:29" ht="11.65" hidden="1" x14ac:dyDescent="0.35">
      <c r="A1964" s="12">
        <v>1947</v>
      </c>
      <c r="B1964" s="10" t="s">
        <v>1015</v>
      </c>
      <c r="C1964" s="11" t="s">
        <v>1153</v>
      </c>
      <c r="D1964" s="9">
        <v>11</v>
      </c>
      <c r="E1964" s="9">
        <v>158</v>
      </c>
      <c r="F1964" s="10" t="s">
        <v>1066</v>
      </c>
      <c r="G1964" s="9">
        <v>906</v>
      </c>
      <c r="H1964" s="9">
        <v>2005</v>
      </c>
      <c r="I1964" s="8">
        <v>576.40099999999995</v>
      </c>
      <c r="J1964" s="8">
        <v>718.70399999999995</v>
      </c>
      <c r="K1964" s="8">
        <v>771.84</v>
      </c>
      <c r="L1964" s="8">
        <v>768.726</v>
      </c>
      <c r="M1964" s="8">
        <v>915.54200000000003</v>
      </c>
      <c r="N1964" s="8">
        <v>984.30100000000004</v>
      </c>
      <c r="O1964" s="8">
        <v>852.73299999999995</v>
      </c>
      <c r="P1964" s="8">
        <v>914.59500000000003</v>
      </c>
      <c r="Q1964" s="8">
        <v>972.19899999999996</v>
      </c>
      <c r="R1964" s="8">
        <v>889.351</v>
      </c>
      <c r="S1964" s="8">
        <v>788.86099999999999</v>
      </c>
      <c r="T1964" s="8">
        <v>526.16300000000001</v>
      </c>
      <c r="U1964" s="8">
        <v>407.74400000000003</v>
      </c>
      <c r="V1964" s="8">
        <v>371.40600000000001</v>
      </c>
      <c r="W1964" s="8">
        <v>292.89299999999997</v>
      </c>
      <c r="X1964" s="8">
        <v>223.65100000000001</v>
      </c>
      <c r="Y1964" s="8">
        <v>141.93199999999999</v>
      </c>
      <c r="Z1964" s="8">
        <v>66.010999999999996</v>
      </c>
      <c r="AA1964" s="8">
        <v>23.542000000000002</v>
      </c>
      <c r="AB1964" s="8">
        <v>4.524</v>
      </c>
      <c r="AC1964" s="8">
        <v>0.49099999999999999</v>
      </c>
    </row>
    <row r="1965" spans="1:29" ht="11.65" hidden="1" x14ac:dyDescent="0.35">
      <c r="A1965" s="12">
        <v>1948</v>
      </c>
      <c r="B1965" s="10" t="s">
        <v>1015</v>
      </c>
      <c r="C1965" s="11" t="s">
        <v>1153</v>
      </c>
      <c r="D1965" s="9">
        <v>11</v>
      </c>
      <c r="E1965" s="9">
        <v>158</v>
      </c>
      <c r="F1965" s="10" t="s">
        <v>1066</v>
      </c>
      <c r="G1965" s="9">
        <v>906</v>
      </c>
      <c r="H1965" s="9">
        <v>2010</v>
      </c>
      <c r="I1965" s="8">
        <v>462.13299999999998</v>
      </c>
      <c r="J1965" s="8">
        <v>576.54300000000001</v>
      </c>
      <c r="K1965" s="8">
        <v>719.74199999999996</v>
      </c>
      <c r="L1965" s="8">
        <v>773.43399999999997</v>
      </c>
      <c r="M1965" s="8">
        <v>768.65</v>
      </c>
      <c r="N1965" s="8">
        <v>937.41499999999996</v>
      </c>
      <c r="O1965" s="8">
        <v>1014.5069999999999</v>
      </c>
      <c r="P1965" s="8">
        <v>884.49900000000002</v>
      </c>
      <c r="Q1965" s="8">
        <v>922.05499999999995</v>
      </c>
      <c r="R1965" s="8">
        <v>966.98099999999999</v>
      </c>
      <c r="S1965" s="8">
        <v>886.61</v>
      </c>
      <c r="T1965" s="8">
        <v>790.27099999999996</v>
      </c>
      <c r="U1965" s="8">
        <v>515.31799999999998</v>
      </c>
      <c r="V1965" s="8">
        <v>393.12900000000002</v>
      </c>
      <c r="W1965" s="8">
        <v>347.86</v>
      </c>
      <c r="X1965" s="8">
        <v>257.96600000000001</v>
      </c>
      <c r="Y1965" s="8">
        <v>179.16300000000001</v>
      </c>
      <c r="Z1965" s="8">
        <v>95.200999999999993</v>
      </c>
      <c r="AA1965" s="8">
        <v>33.11</v>
      </c>
      <c r="AB1965" s="8">
        <v>7.859</v>
      </c>
      <c r="AC1965" s="8">
        <v>0.872</v>
      </c>
    </row>
    <row r="1966" spans="1:29" ht="11.65" hidden="1" x14ac:dyDescent="0.35">
      <c r="A1966" s="12">
        <v>1949</v>
      </c>
      <c r="B1966" s="10" t="s">
        <v>1015</v>
      </c>
      <c r="C1966" s="11" t="s">
        <v>1153</v>
      </c>
      <c r="D1966" s="9">
        <v>11</v>
      </c>
      <c r="E1966" s="9">
        <v>158</v>
      </c>
      <c r="F1966" s="10" t="s">
        <v>1066</v>
      </c>
      <c r="G1966" s="9">
        <v>906</v>
      </c>
      <c r="H1966" s="9">
        <v>2015</v>
      </c>
      <c r="I1966" s="8">
        <v>494.04899999999998</v>
      </c>
      <c r="J1966" s="8">
        <v>466.32600000000002</v>
      </c>
      <c r="K1966" s="8">
        <v>579.79399999999998</v>
      </c>
      <c r="L1966" s="8">
        <v>720.74300000000005</v>
      </c>
      <c r="M1966" s="8">
        <v>773.40899999999999</v>
      </c>
      <c r="N1966" s="8">
        <v>782.16700000000003</v>
      </c>
      <c r="O1966" s="8">
        <v>954.50199999999995</v>
      </c>
      <c r="P1966" s="8">
        <v>1024.644</v>
      </c>
      <c r="Q1966" s="8">
        <v>888.48699999999997</v>
      </c>
      <c r="R1966" s="8">
        <v>919.83399999999995</v>
      </c>
      <c r="S1966" s="8">
        <v>960.95699999999999</v>
      </c>
      <c r="T1966" s="8">
        <v>879.49300000000005</v>
      </c>
      <c r="U1966" s="8">
        <v>775.971</v>
      </c>
      <c r="V1966" s="8">
        <v>497.64600000000002</v>
      </c>
      <c r="W1966" s="8">
        <v>369.221</v>
      </c>
      <c r="X1966" s="8">
        <v>308.61900000000003</v>
      </c>
      <c r="Y1966" s="8">
        <v>209.36</v>
      </c>
      <c r="Z1966" s="8">
        <v>123.336</v>
      </c>
      <c r="AA1966" s="8">
        <v>49.631999999999998</v>
      </c>
      <c r="AB1966" s="8">
        <v>11.683999999999999</v>
      </c>
      <c r="AC1966" s="8">
        <v>1.6180000000000001</v>
      </c>
    </row>
    <row r="1967" spans="1:29" ht="11.65" hidden="1" x14ac:dyDescent="0.35">
      <c r="A1967" s="12">
        <v>1950</v>
      </c>
      <c r="B1967" s="10" t="s">
        <v>1015</v>
      </c>
      <c r="C1967" s="11" t="s">
        <v>1153</v>
      </c>
      <c r="D1967" s="9">
        <v>11</v>
      </c>
      <c r="E1967" s="9">
        <v>158</v>
      </c>
      <c r="F1967" s="10" t="s">
        <v>1066</v>
      </c>
      <c r="G1967" s="9">
        <v>906</v>
      </c>
      <c r="H1967" s="9">
        <v>2020</v>
      </c>
      <c r="I1967" s="8">
        <v>487.13799999999998</v>
      </c>
      <c r="J1967" s="8">
        <v>500.80900000000003</v>
      </c>
      <c r="K1967" s="8">
        <v>469.05599999999998</v>
      </c>
      <c r="L1967" s="8">
        <v>580.68600000000004</v>
      </c>
      <c r="M1967" s="8">
        <v>720.69600000000003</v>
      </c>
      <c r="N1967" s="8">
        <v>784.46799999999996</v>
      </c>
      <c r="O1967" s="8">
        <v>796.45899999999995</v>
      </c>
      <c r="P1967" s="8">
        <v>962.73900000000003</v>
      </c>
      <c r="Q1967" s="8">
        <v>1026.8330000000001</v>
      </c>
      <c r="R1967" s="8">
        <v>886.11400000000003</v>
      </c>
      <c r="S1967" s="8">
        <v>914.15700000000004</v>
      </c>
      <c r="T1967" s="8">
        <v>952.39099999999996</v>
      </c>
      <c r="U1967" s="8">
        <v>863.471</v>
      </c>
      <c r="V1967" s="8">
        <v>749.35699999999997</v>
      </c>
      <c r="W1967" s="8">
        <v>468.59800000000001</v>
      </c>
      <c r="X1967" s="8">
        <v>330.41300000000001</v>
      </c>
      <c r="Y1967" s="8">
        <v>254.04</v>
      </c>
      <c r="Z1967" s="8">
        <v>147.58000000000001</v>
      </c>
      <c r="AA1967" s="8">
        <v>66.578999999999994</v>
      </c>
      <c r="AB1967" s="8">
        <v>18.315999999999999</v>
      </c>
      <c r="AC1967" s="8">
        <v>2.5619999999999998</v>
      </c>
    </row>
    <row r="1968" spans="1:29" ht="11.65" hidden="1" x14ac:dyDescent="0.35">
      <c r="A1968" s="12">
        <v>1951</v>
      </c>
      <c r="B1968" s="10" t="s">
        <v>1015</v>
      </c>
      <c r="C1968" s="11" t="s">
        <v>1154</v>
      </c>
      <c r="D1968" s="9"/>
      <c r="E1968" s="9">
        <v>408</v>
      </c>
      <c r="F1968" s="10" t="s">
        <v>1066</v>
      </c>
      <c r="G1968" s="9">
        <v>906</v>
      </c>
      <c r="H1968" s="9">
        <v>1950</v>
      </c>
      <c r="I1968" s="8">
        <v>786.82399999999996</v>
      </c>
      <c r="J1968" s="8">
        <v>797.18399999999997</v>
      </c>
      <c r="K1968" s="8">
        <v>772.197</v>
      </c>
      <c r="L1968" s="8">
        <v>640.20799999999997</v>
      </c>
      <c r="M1968" s="8">
        <v>526.03399999999999</v>
      </c>
      <c r="N1968" s="8">
        <v>426.61900000000003</v>
      </c>
      <c r="O1968" s="8">
        <v>334.06200000000001</v>
      </c>
      <c r="P1968" s="8">
        <v>266.15899999999999</v>
      </c>
      <c r="Q1968" s="8">
        <v>241.64</v>
      </c>
      <c r="R1968" s="8">
        <v>216.804</v>
      </c>
      <c r="S1968" s="8">
        <v>187.827</v>
      </c>
      <c r="T1968" s="8">
        <v>167.64699999999999</v>
      </c>
      <c r="U1968" s="8">
        <v>124.7</v>
      </c>
      <c r="V1968" s="8">
        <v>95.724000000000004</v>
      </c>
      <c r="W1968" s="8">
        <v>50.19</v>
      </c>
      <c r="X1968" s="8">
        <v>29.494</v>
      </c>
      <c r="Y1968" s="8">
        <v>9.8309999999999995</v>
      </c>
      <c r="Z1968" s="8">
        <v>3.621</v>
      </c>
      <c r="AA1968" s="8">
        <v>0.78500000000000003</v>
      </c>
      <c r="AB1968" s="8">
        <v>8.8999999999999996E-2</v>
      </c>
      <c r="AC1968" s="8">
        <v>7.0000000000000001E-3</v>
      </c>
    </row>
    <row r="1969" spans="1:29" ht="11.65" hidden="1" x14ac:dyDescent="0.35">
      <c r="A1969" s="12">
        <v>1952</v>
      </c>
      <c r="B1969" s="10" t="s">
        <v>1015</v>
      </c>
      <c r="C1969" s="11" t="s">
        <v>1154</v>
      </c>
      <c r="D1969" s="9"/>
      <c r="E1969" s="9">
        <v>408</v>
      </c>
      <c r="F1969" s="10" t="s">
        <v>1066</v>
      </c>
      <c r="G1969" s="9">
        <v>906</v>
      </c>
      <c r="H1969" s="9">
        <v>1955</v>
      </c>
      <c r="I1969" s="8">
        <v>524.94299999999998</v>
      </c>
      <c r="J1969" s="8">
        <v>721.26900000000001</v>
      </c>
      <c r="K1969" s="8">
        <v>754.697</v>
      </c>
      <c r="L1969" s="8">
        <v>711.476</v>
      </c>
      <c r="M1969" s="8">
        <v>550.44000000000005</v>
      </c>
      <c r="N1969" s="8">
        <v>440.66899999999998</v>
      </c>
      <c r="O1969" s="8">
        <v>357.06</v>
      </c>
      <c r="P1969" s="8">
        <v>282.38299999999998</v>
      </c>
      <c r="Q1969" s="8">
        <v>229.53100000000001</v>
      </c>
      <c r="R1969" s="8">
        <v>215.035</v>
      </c>
      <c r="S1969" s="8">
        <v>194.631</v>
      </c>
      <c r="T1969" s="8">
        <v>164.75299999999999</v>
      </c>
      <c r="U1969" s="8">
        <v>137.036</v>
      </c>
      <c r="V1969" s="8">
        <v>95.576999999999998</v>
      </c>
      <c r="W1969" s="8">
        <v>68.653999999999996</v>
      </c>
      <c r="X1969" s="8">
        <v>29.157</v>
      </c>
      <c r="Y1969" s="8">
        <v>12.247999999999999</v>
      </c>
      <c r="Z1969" s="8">
        <v>2.8959999999999999</v>
      </c>
      <c r="AA1969" s="8">
        <v>0.63100000000000001</v>
      </c>
      <c r="AB1969" s="8">
        <v>8.1000000000000003E-2</v>
      </c>
      <c r="AC1969" s="8">
        <v>6.0000000000000001E-3</v>
      </c>
    </row>
    <row r="1970" spans="1:29" ht="11.65" hidden="1" x14ac:dyDescent="0.35">
      <c r="A1970" s="12">
        <v>1953</v>
      </c>
      <c r="B1970" s="10" t="s">
        <v>1015</v>
      </c>
      <c r="C1970" s="11" t="s">
        <v>1154</v>
      </c>
      <c r="D1970" s="9"/>
      <c r="E1970" s="9">
        <v>408</v>
      </c>
      <c r="F1970" s="10" t="s">
        <v>1066</v>
      </c>
      <c r="G1970" s="9">
        <v>906</v>
      </c>
      <c r="H1970" s="9">
        <v>1960</v>
      </c>
      <c r="I1970" s="8">
        <v>965.09900000000005</v>
      </c>
      <c r="J1970" s="8">
        <v>505.80900000000003</v>
      </c>
      <c r="K1970" s="8">
        <v>704.21100000000001</v>
      </c>
      <c r="L1970" s="8">
        <v>733.96600000000001</v>
      </c>
      <c r="M1970" s="8">
        <v>683.25800000000004</v>
      </c>
      <c r="N1970" s="8">
        <v>525.33900000000006</v>
      </c>
      <c r="O1970" s="8">
        <v>420.197</v>
      </c>
      <c r="P1970" s="8">
        <v>341.21</v>
      </c>
      <c r="Q1970" s="8">
        <v>270.64400000000001</v>
      </c>
      <c r="R1970" s="8">
        <v>219.41900000000001</v>
      </c>
      <c r="S1970" s="8">
        <v>204.18</v>
      </c>
      <c r="T1970" s="8">
        <v>179.988</v>
      </c>
      <c r="U1970" s="8">
        <v>143.03899999999999</v>
      </c>
      <c r="V1970" s="8">
        <v>112.31399999999999</v>
      </c>
      <c r="W1970" s="8">
        <v>73.578999999999994</v>
      </c>
      <c r="X1970" s="8">
        <v>44.176000000000002</v>
      </c>
      <c r="Y1970" s="8">
        <v>13.923</v>
      </c>
      <c r="Z1970" s="8">
        <v>4.0170000000000003</v>
      </c>
      <c r="AA1970" s="8">
        <v>0.56699999999999995</v>
      </c>
      <c r="AB1970" s="8">
        <v>7.1999999999999995E-2</v>
      </c>
      <c r="AC1970" s="8">
        <v>6.0000000000000001E-3</v>
      </c>
    </row>
    <row r="1971" spans="1:29" ht="11.65" hidden="1" x14ac:dyDescent="0.35">
      <c r="A1971" s="12">
        <v>1954</v>
      </c>
      <c r="B1971" s="10" t="s">
        <v>1015</v>
      </c>
      <c r="C1971" s="11" t="s">
        <v>1154</v>
      </c>
      <c r="D1971" s="9"/>
      <c r="E1971" s="9">
        <v>408</v>
      </c>
      <c r="F1971" s="10" t="s">
        <v>1066</v>
      </c>
      <c r="G1971" s="9">
        <v>906</v>
      </c>
      <c r="H1971" s="9">
        <v>1965</v>
      </c>
      <c r="I1971" s="8">
        <v>873.05700000000002</v>
      </c>
      <c r="J1971" s="8">
        <v>933.33699999999999</v>
      </c>
      <c r="K1971" s="8">
        <v>495.63200000000001</v>
      </c>
      <c r="L1971" s="8">
        <v>687.76900000000001</v>
      </c>
      <c r="M1971" s="8">
        <v>709.29600000000005</v>
      </c>
      <c r="N1971" s="8">
        <v>656.71199999999999</v>
      </c>
      <c r="O1971" s="8">
        <v>504.351</v>
      </c>
      <c r="P1971" s="8">
        <v>403.97300000000001</v>
      </c>
      <c r="Q1971" s="8">
        <v>328.654</v>
      </c>
      <c r="R1971" s="8">
        <v>259.89800000000002</v>
      </c>
      <c r="S1971" s="8">
        <v>209.30699999999999</v>
      </c>
      <c r="T1971" s="8">
        <v>189.995</v>
      </c>
      <c r="U1971" s="8">
        <v>157.82900000000001</v>
      </c>
      <c r="V1971" s="8">
        <v>118.697</v>
      </c>
      <c r="W1971" s="8">
        <v>87.71</v>
      </c>
      <c r="X1971" s="8">
        <v>48.353999999999999</v>
      </c>
      <c r="Y1971" s="8">
        <v>21.637</v>
      </c>
      <c r="Z1971" s="8">
        <v>4.6859999999999999</v>
      </c>
      <c r="AA1971" s="8">
        <v>0.81299999999999994</v>
      </c>
      <c r="AB1971" s="8">
        <v>6.6000000000000003E-2</v>
      </c>
      <c r="AC1971" s="8">
        <v>5.0000000000000001E-3</v>
      </c>
    </row>
    <row r="1972" spans="1:29" ht="11.65" hidden="1" x14ac:dyDescent="0.35">
      <c r="A1972" s="12">
        <v>1955</v>
      </c>
      <c r="B1972" s="10" t="s">
        <v>1015</v>
      </c>
      <c r="C1972" s="11" t="s">
        <v>1154</v>
      </c>
      <c r="D1972" s="9"/>
      <c r="E1972" s="9">
        <v>408</v>
      </c>
      <c r="F1972" s="10" t="s">
        <v>1066</v>
      </c>
      <c r="G1972" s="9">
        <v>906</v>
      </c>
      <c r="H1972" s="9">
        <v>1970</v>
      </c>
      <c r="I1972" s="8">
        <v>1190.788</v>
      </c>
      <c r="J1972" s="8">
        <v>854.31200000000001</v>
      </c>
      <c r="K1972" s="8">
        <v>920.41</v>
      </c>
      <c r="L1972" s="8">
        <v>487.68099999999998</v>
      </c>
      <c r="M1972" s="8">
        <v>672.01</v>
      </c>
      <c r="N1972" s="8">
        <v>690.30799999999999</v>
      </c>
      <c r="O1972" s="8">
        <v>638.24</v>
      </c>
      <c r="P1972" s="8">
        <v>490.255</v>
      </c>
      <c r="Q1972" s="8">
        <v>392.75799999999998</v>
      </c>
      <c r="R1972" s="8">
        <v>318.38900000000001</v>
      </c>
      <c r="S1972" s="8">
        <v>250.19900000000001</v>
      </c>
      <c r="T1972" s="8">
        <v>197.21899999999999</v>
      </c>
      <c r="U1972" s="8">
        <v>170.047</v>
      </c>
      <c r="V1972" s="8">
        <v>134.40700000000001</v>
      </c>
      <c r="W1972" s="8">
        <v>95.545000000000002</v>
      </c>
      <c r="X1972" s="8">
        <v>60.295000000000002</v>
      </c>
      <c r="Y1972" s="8">
        <v>25.276</v>
      </c>
      <c r="Z1972" s="8">
        <v>7.8380000000000001</v>
      </c>
      <c r="AA1972" s="8">
        <v>1.02</v>
      </c>
      <c r="AB1972" s="8">
        <v>0.10100000000000001</v>
      </c>
      <c r="AC1972" s="8">
        <v>5.0000000000000001E-3</v>
      </c>
    </row>
    <row r="1973" spans="1:29" ht="11.65" hidden="1" x14ac:dyDescent="0.35">
      <c r="A1973" s="12">
        <v>1956</v>
      </c>
      <c r="B1973" s="10" t="s">
        <v>1015</v>
      </c>
      <c r="C1973" s="11" t="s">
        <v>1154</v>
      </c>
      <c r="D1973" s="9"/>
      <c r="E1973" s="9">
        <v>408</v>
      </c>
      <c r="F1973" s="10" t="s">
        <v>1066</v>
      </c>
      <c r="G1973" s="9">
        <v>906</v>
      </c>
      <c r="H1973" s="9">
        <v>1975</v>
      </c>
      <c r="I1973" s="8">
        <v>1164.2550000000001</v>
      </c>
      <c r="J1973" s="8">
        <v>1173.5820000000001</v>
      </c>
      <c r="K1973" s="8">
        <v>846.375</v>
      </c>
      <c r="L1973" s="8">
        <v>910.53499999999997</v>
      </c>
      <c r="M1973" s="8">
        <v>480.28399999999999</v>
      </c>
      <c r="N1973" s="8">
        <v>659.95600000000002</v>
      </c>
      <c r="O1973" s="8">
        <v>676.98500000000001</v>
      </c>
      <c r="P1973" s="8">
        <v>625.63499999999999</v>
      </c>
      <c r="Q1973" s="8">
        <v>480.19499999999999</v>
      </c>
      <c r="R1973" s="8">
        <v>383.28</v>
      </c>
      <c r="S1973" s="8">
        <v>308.911</v>
      </c>
      <c r="T1973" s="8">
        <v>238.35599999999999</v>
      </c>
      <c r="U1973" s="8">
        <v>179.798</v>
      </c>
      <c r="V1973" s="8">
        <v>148.309</v>
      </c>
      <c r="W1973" s="8">
        <v>111.32299999999999</v>
      </c>
      <c r="X1973" s="8">
        <v>68.614999999999995</v>
      </c>
      <c r="Y1973" s="8">
        <v>33.518999999999998</v>
      </c>
      <c r="Z1973" s="8">
        <v>9.8239999999999998</v>
      </c>
      <c r="AA1973" s="8">
        <v>1.845</v>
      </c>
      <c r="AB1973" s="8">
        <v>0.13600000000000001</v>
      </c>
      <c r="AC1973" s="8">
        <v>8.0000000000000002E-3</v>
      </c>
    </row>
    <row r="1974" spans="1:29" ht="11.65" hidden="1" x14ac:dyDescent="0.35">
      <c r="A1974" s="12">
        <v>1957</v>
      </c>
      <c r="B1974" s="10" t="s">
        <v>1015</v>
      </c>
      <c r="C1974" s="11" t="s">
        <v>1154</v>
      </c>
      <c r="D1974" s="9"/>
      <c r="E1974" s="9">
        <v>408</v>
      </c>
      <c r="F1974" s="10" t="s">
        <v>1066</v>
      </c>
      <c r="G1974" s="9">
        <v>906</v>
      </c>
      <c r="H1974" s="9">
        <v>1980</v>
      </c>
      <c r="I1974" s="8">
        <v>825.03899999999999</v>
      </c>
      <c r="J1974" s="8">
        <v>1152.287</v>
      </c>
      <c r="K1974" s="8">
        <v>1165.848</v>
      </c>
      <c r="L1974" s="8">
        <v>839.96</v>
      </c>
      <c r="M1974" s="8">
        <v>900.85599999999999</v>
      </c>
      <c r="N1974" s="8">
        <v>474.18299999999999</v>
      </c>
      <c r="O1974" s="8">
        <v>650.76300000000003</v>
      </c>
      <c r="P1974" s="8">
        <v>667.07600000000002</v>
      </c>
      <c r="Q1974" s="8">
        <v>615.74400000000003</v>
      </c>
      <c r="R1974" s="8">
        <v>470.91800000000001</v>
      </c>
      <c r="S1974" s="8">
        <v>373.89400000000001</v>
      </c>
      <c r="T1974" s="8">
        <v>296.60700000000003</v>
      </c>
      <c r="U1974" s="8">
        <v>220.244</v>
      </c>
      <c r="V1974" s="8">
        <v>159.63</v>
      </c>
      <c r="W1974" s="8">
        <v>125.535</v>
      </c>
      <c r="X1974" s="8">
        <v>82.715999999999994</v>
      </c>
      <c r="Y1974" s="8">
        <v>40.073</v>
      </c>
      <c r="Z1974" s="8">
        <v>13.803000000000001</v>
      </c>
      <c r="AA1974" s="8">
        <v>2.4649999999999999</v>
      </c>
      <c r="AB1974" s="8">
        <v>0.26200000000000001</v>
      </c>
      <c r="AC1974" s="8">
        <v>1.0999999999999999E-2</v>
      </c>
    </row>
    <row r="1975" spans="1:29" ht="11.65" hidden="1" x14ac:dyDescent="0.35">
      <c r="A1975" s="12">
        <v>1958</v>
      </c>
      <c r="B1975" s="10" t="s">
        <v>1015</v>
      </c>
      <c r="C1975" s="11" t="s">
        <v>1154</v>
      </c>
      <c r="D1975" s="9"/>
      <c r="E1975" s="9">
        <v>408</v>
      </c>
      <c r="F1975" s="10" t="s">
        <v>1066</v>
      </c>
      <c r="G1975" s="9">
        <v>906</v>
      </c>
      <c r="H1975" s="9">
        <v>1985</v>
      </c>
      <c r="I1975" s="8">
        <v>930.65499999999997</v>
      </c>
      <c r="J1975" s="8">
        <v>818.34100000000001</v>
      </c>
      <c r="K1975" s="8">
        <v>1146.2940000000001</v>
      </c>
      <c r="L1975" s="8">
        <v>1158.8879999999999</v>
      </c>
      <c r="M1975" s="8">
        <v>832.97900000000004</v>
      </c>
      <c r="N1975" s="8">
        <v>891.85599999999999</v>
      </c>
      <c r="O1975" s="8">
        <v>468.911</v>
      </c>
      <c r="P1975" s="8">
        <v>643.01800000000003</v>
      </c>
      <c r="Q1975" s="8">
        <v>658.26400000000001</v>
      </c>
      <c r="R1975" s="8">
        <v>605.54</v>
      </c>
      <c r="S1975" s="8">
        <v>460.839</v>
      </c>
      <c r="T1975" s="8">
        <v>360.68099999999998</v>
      </c>
      <c r="U1975" s="8">
        <v>276.315</v>
      </c>
      <c r="V1975" s="8">
        <v>197.697</v>
      </c>
      <c r="W1975" s="8">
        <v>136.97300000000001</v>
      </c>
      <c r="X1975" s="8">
        <v>95.325999999999993</v>
      </c>
      <c r="Y1975" s="8">
        <v>49.886000000000003</v>
      </c>
      <c r="Z1975" s="8">
        <v>17.146999999999998</v>
      </c>
      <c r="AA1975" s="8">
        <v>3.6190000000000002</v>
      </c>
      <c r="AB1975" s="8">
        <v>0.36299999999999999</v>
      </c>
      <c r="AC1975" s="8">
        <v>2.1000000000000001E-2</v>
      </c>
    </row>
    <row r="1976" spans="1:29" ht="11.65" hidden="1" x14ac:dyDescent="0.35">
      <c r="A1976" s="12">
        <v>1959</v>
      </c>
      <c r="B1976" s="10" t="s">
        <v>1015</v>
      </c>
      <c r="C1976" s="11" t="s">
        <v>1154</v>
      </c>
      <c r="D1976" s="9"/>
      <c r="E1976" s="9">
        <v>408</v>
      </c>
      <c r="F1976" s="10" t="s">
        <v>1066</v>
      </c>
      <c r="G1976" s="9">
        <v>906</v>
      </c>
      <c r="H1976" s="9">
        <v>1990</v>
      </c>
      <c r="I1976" s="8">
        <v>952.39</v>
      </c>
      <c r="J1976" s="8">
        <v>924.45699999999999</v>
      </c>
      <c r="K1976" s="8">
        <v>814.85500000000002</v>
      </c>
      <c r="L1976" s="8">
        <v>1140.701</v>
      </c>
      <c r="M1976" s="8">
        <v>1151.0530000000001</v>
      </c>
      <c r="N1976" s="8">
        <v>826.17399999999998</v>
      </c>
      <c r="O1976" s="8">
        <v>883.65200000000004</v>
      </c>
      <c r="P1976" s="8">
        <v>464.22699999999998</v>
      </c>
      <c r="Q1976" s="8">
        <v>635.71900000000005</v>
      </c>
      <c r="R1976" s="8">
        <v>648.68499999999995</v>
      </c>
      <c r="S1976" s="8">
        <v>593.98199999999997</v>
      </c>
      <c r="T1976" s="8">
        <v>446.12099999999998</v>
      </c>
      <c r="U1976" s="8">
        <v>338.11099999999999</v>
      </c>
      <c r="V1976" s="8">
        <v>250.143</v>
      </c>
      <c r="W1976" s="8">
        <v>171.45500000000001</v>
      </c>
      <c r="X1976" s="8">
        <v>105.821</v>
      </c>
      <c r="Y1976" s="8">
        <v>58.997</v>
      </c>
      <c r="Z1976" s="8">
        <v>22.027999999999999</v>
      </c>
      <c r="AA1976" s="8">
        <v>4.6580000000000004</v>
      </c>
      <c r="AB1976" s="8">
        <v>0.54900000000000004</v>
      </c>
      <c r="AC1976" s="8">
        <v>0.03</v>
      </c>
    </row>
    <row r="1977" spans="1:29" ht="11.65" hidden="1" x14ac:dyDescent="0.35">
      <c r="A1977" s="12">
        <v>1960</v>
      </c>
      <c r="B1977" s="10" t="s">
        <v>1015</v>
      </c>
      <c r="C1977" s="11" t="s">
        <v>1154</v>
      </c>
      <c r="D1977" s="9"/>
      <c r="E1977" s="9">
        <v>408</v>
      </c>
      <c r="F1977" s="10" t="s">
        <v>1066</v>
      </c>
      <c r="G1977" s="9">
        <v>906</v>
      </c>
      <c r="H1977" s="9">
        <v>1995</v>
      </c>
      <c r="I1977" s="8">
        <v>1014.966</v>
      </c>
      <c r="J1977" s="8">
        <v>943.43700000000001</v>
      </c>
      <c r="K1977" s="8">
        <v>922.57100000000003</v>
      </c>
      <c r="L1977" s="8">
        <v>812.96500000000003</v>
      </c>
      <c r="M1977" s="8">
        <v>1137.1189999999999</v>
      </c>
      <c r="N1977" s="8">
        <v>1146.587</v>
      </c>
      <c r="O1977" s="8">
        <v>822.40800000000002</v>
      </c>
      <c r="P1977" s="8">
        <v>879.01300000000003</v>
      </c>
      <c r="Q1977" s="8">
        <v>461.22</v>
      </c>
      <c r="R1977" s="8">
        <v>629.98599999999999</v>
      </c>
      <c r="S1977" s="8">
        <v>640.54899999999998</v>
      </c>
      <c r="T1977" s="8">
        <v>580.93200000000002</v>
      </c>
      <c r="U1977" s="8">
        <v>426.077</v>
      </c>
      <c r="V1977" s="8">
        <v>314.14800000000002</v>
      </c>
      <c r="W1977" s="8">
        <v>224.33099999999999</v>
      </c>
      <c r="X1977" s="8">
        <v>140.02600000000001</v>
      </c>
      <c r="Y1977" s="8">
        <v>71.384</v>
      </c>
      <c r="Z1977" s="8">
        <v>29.047999999999998</v>
      </c>
      <c r="AA1977" s="8">
        <v>6.7770000000000001</v>
      </c>
      <c r="AB1977" s="8">
        <v>0.79800000000000004</v>
      </c>
      <c r="AC1977" s="8">
        <v>4.9000000000000002E-2</v>
      </c>
    </row>
    <row r="1978" spans="1:29" ht="11.65" hidden="1" x14ac:dyDescent="0.35">
      <c r="A1978" s="12">
        <v>1961</v>
      </c>
      <c r="B1978" s="10" t="s">
        <v>1015</v>
      </c>
      <c r="C1978" s="11" t="s">
        <v>1154</v>
      </c>
      <c r="D1978" s="9"/>
      <c r="E1978" s="9">
        <v>408</v>
      </c>
      <c r="F1978" s="10" t="s">
        <v>1066</v>
      </c>
      <c r="G1978" s="9">
        <v>906</v>
      </c>
      <c r="H1978" s="9">
        <v>2000</v>
      </c>
      <c r="I1978" s="8">
        <v>968.85400000000004</v>
      </c>
      <c r="J1978" s="8">
        <v>998.87599999999998</v>
      </c>
      <c r="K1978" s="8">
        <v>940.82899999999995</v>
      </c>
      <c r="L1978" s="8">
        <v>918.07</v>
      </c>
      <c r="M1978" s="8">
        <v>806.06100000000004</v>
      </c>
      <c r="N1978" s="8">
        <v>1124.4849999999999</v>
      </c>
      <c r="O1978" s="8">
        <v>1132.6310000000001</v>
      </c>
      <c r="P1978" s="8">
        <v>812.60900000000004</v>
      </c>
      <c r="Q1978" s="8">
        <v>867.56799999999998</v>
      </c>
      <c r="R1978" s="8">
        <v>453.70699999999999</v>
      </c>
      <c r="S1978" s="8">
        <v>616.86699999999996</v>
      </c>
      <c r="T1978" s="8">
        <v>618.56600000000003</v>
      </c>
      <c r="U1978" s="8">
        <v>542.274</v>
      </c>
      <c r="V1978" s="8">
        <v>383.51499999999999</v>
      </c>
      <c r="W1978" s="8">
        <v>270.49799999999999</v>
      </c>
      <c r="X1978" s="8">
        <v>171.32300000000001</v>
      </c>
      <c r="Y1978" s="8">
        <v>85.049000000000007</v>
      </c>
      <c r="Z1978" s="8">
        <v>30.798999999999999</v>
      </c>
      <c r="AA1978" s="8">
        <v>7.6879999999999997</v>
      </c>
      <c r="AB1978" s="8">
        <v>1.014</v>
      </c>
      <c r="AC1978" s="8">
        <v>6.7000000000000004E-2</v>
      </c>
    </row>
    <row r="1979" spans="1:29" ht="11.65" hidden="1" x14ac:dyDescent="0.35">
      <c r="A1979" s="12">
        <v>1962</v>
      </c>
      <c r="B1979" s="10" t="s">
        <v>1015</v>
      </c>
      <c r="C1979" s="11" t="s">
        <v>1154</v>
      </c>
      <c r="D1979" s="9"/>
      <c r="E1979" s="9">
        <v>408</v>
      </c>
      <c r="F1979" s="10" t="s">
        <v>1066</v>
      </c>
      <c r="G1979" s="9">
        <v>906</v>
      </c>
      <c r="H1979" s="9">
        <v>2005</v>
      </c>
      <c r="I1979" s="8">
        <v>932.78899999999999</v>
      </c>
      <c r="J1979" s="8">
        <v>962.37199999999996</v>
      </c>
      <c r="K1979" s="8">
        <v>994.58100000000002</v>
      </c>
      <c r="L1979" s="8">
        <v>935.79499999999996</v>
      </c>
      <c r="M1979" s="8">
        <v>911.47900000000004</v>
      </c>
      <c r="N1979" s="8">
        <v>796.91700000000003</v>
      </c>
      <c r="O1979" s="8">
        <v>1111.674</v>
      </c>
      <c r="P1979" s="8">
        <v>1120.885</v>
      </c>
      <c r="Q1979" s="8">
        <v>803.08299999999997</v>
      </c>
      <c r="R1979" s="8">
        <v>854.88800000000003</v>
      </c>
      <c r="S1979" s="8">
        <v>444.99400000000003</v>
      </c>
      <c r="T1979" s="8">
        <v>597.26099999999997</v>
      </c>
      <c r="U1979" s="8">
        <v>580.11400000000003</v>
      </c>
      <c r="V1979" s="8">
        <v>491.238</v>
      </c>
      <c r="W1979" s="8">
        <v>332.89699999999999</v>
      </c>
      <c r="X1979" s="8">
        <v>209.279</v>
      </c>
      <c r="Y1979" s="8">
        <v>106.267</v>
      </c>
      <c r="Z1979" s="8">
        <v>37.661999999999999</v>
      </c>
      <c r="AA1979" s="8">
        <v>8.391</v>
      </c>
      <c r="AB1979" s="8">
        <v>1.1719999999999999</v>
      </c>
      <c r="AC1979" s="8">
        <v>8.5000000000000006E-2</v>
      </c>
    </row>
    <row r="1980" spans="1:29" ht="11.65" hidden="1" x14ac:dyDescent="0.35">
      <c r="A1980" s="12">
        <v>1963</v>
      </c>
      <c r="B1980" s="10" t="s">
        <v>1015</v>
      </c>
      <c r="C1980" s="11" t="s">
        <v>1154</v>
      </c>
      <c r="D1980" s="9"/>
      <c r="E1980" s="9">
        <v>408</v>
      </c>
      <c r="F1980" s="10" t="s">
        <v>1066</v>
      </c>
      <c r="G1980" s="9">
        <v>906</v>
      </c>
      <c r="H1980" s="9">
        <v>2010</v>
      </c>
      <c r="I1980" s="8">
        <v>831.54700000000003</v>
      </c>
      <c r="J1980" s="8">
        <v>926.69299999999998</v>
      </c>
      <c r="K1980" s="8">
        <v>958.31899999999996</v>
      </c>
      <c r="L1980" s="8">
        <v>989.16899999999998</v>
      </c>
      <c r="M1980" s="8">
        <v>929.04399999999998</v>
      </c>
      <c r="N1980" s="8">
        <v>900.90700000000004</v>
      </c>
      <c r="O1980" s="8">
        <v>786.47</v>
      </c>
      <c r="P1980" s="8">
        <v>1100.143</v>
      </c>
      <c r="Q1980" s="8">
        <v>1108.038</v>
      </c>
      <c r="R1980" s="8">
        <v>791.50800000000004</v>
      </c>
      <c r="S1980" s="8">
        <v>838.88499999999999</v>
      </c>
      <c r="T1980" s="8">
        <v>431.07100000000003</v>
      </c>
      <c r="U1980" s="8">
        <v>560.77700000000004</v>
      </c>
      <c r="V1980" s="8">
        <v>526.37</v>
      </c>
      <c r="W1980" s="8">
        <v>427.29</v>
      </c>
      <c r="X1980" s="8">
        <v>258.43200000000002</v>
      </c>
      <c r="Y1980" s="8">
        <v>130.47999999999999</v>
      </c>
      <c r="Z1980" s="8">
        <v>47.359000000000002</v>
      </c>
      <c r="AA1980" s="8">
        <v>10.334</v>
      </c>
      <c r="AB1980" s="8">
        <v>1.2869999999999999</v>
      </c>
      <c r="AC1980" s="8">
        <v>9.9000000000000005E-2</v>
      </c>
    </row>
    <row r="1981" spans="1:29" ht="11.65" hidden="1" x14ac:dyDescent="0.35">
      <c r="A1981" s="12">
        <v>1964</v>
      </c>
      <c r="B1981" s="10" t="s">
        <v>1015</v>
      </c>
      <c r="C1981" s="11" t="s">
        <v>1154</v>
      </c>
      <c r="D1981" s="9"/>
      <c r="E1981" s="9">
        <v>408</v>
      </c>
      <c r="F1981" s="10" t="s">
        <v>1066</v>
      </c>
      <c r="G1981" s="9">
        <v>906</v>
      </c>
      <c r="H1981" s="9">
        <v>2015</v>
      </c>
      <c r="I1981" s="8">
        <v>826.38900000000001</v>
      </c>
      <c r="J1981" s="8">
        <v>827.09199999999998</v>
      </c>
      <c r="K1981" s="8">
        <v>923.15800000000002</v>
      </c>
      <c r="L1981" s="8">
        <v>953.39700000000005</v>
      </c>
      <c r="M1981" s="8">
        <v>982.97699999999998</v>
      </c>
      <c r="N1981" s="8">
        <v>920.28800000000001</v>
      </c>
      <c r="O1981" s="8">
        <v>891.71500000000003</v>
      </c>
      <c r="P1981" s="8">
        <v>779.03800000000001</v>
      </c>
      <c r="Q1981" s="8">
        <v>1089.2639999999999</v>
      </c>
      <c r="R1981" s="8">
        <v>1094.5309999999999</v>
      </c>
      <c r="S1981" s="8">
        <v>778.60199999999998</v>
      </c>
      <c r="T1981" s="8">
        <v>816.79200000000003</v>
      </c>
      <c r="U1981" s="8">
        <v>408.41800000000001</v>
      </c>
      <c r="V1981" s="8">
        <v>515.01300000000003</v>
      </c>
      <c r="W1981" s="8">
        <v>465.64</v>
      </c>
      <c r="X1981" s="8">
        <v>342.27100000000002</v>
      </c>
      <c r="Y1981" s="8">
        <v>171.78100000000001</v>
      </c>
      <c r="Z1981" s="8">
        <v>65.266999999999996</v>
      </c>
      <c r="AA1981" s="8">
        <v>15.715</v>
      </c>
      <c r="AB1981" s="8">
        <v>2.0910000000000002</v>
      </c>
      <c r="AC1981" s="8">
        <v>0.14299999999999999</v>
      </c>
    </row>
    <row r="1982" spans="1:29" ht="11.65" hidden="1" x14ac:dyDescent="0.35">
      <c r="A1982" s="12">
        <v>1965</v>
      </c>
      <c r="B1982" s="10" t="s">
        <v>1015</v>
      </c>
      <c r="C1982" s="11" t="s">
        <v>1154</v>
      </c>
      <c r="D1982" s="9"/>
      <c r="E1982" s="9">
        <v>408</v>
      </c>
      <c r="F1982" s="10" t="s">
        <v>1066</v>
      </c>
      <c r="G1982" s="9">
        <v>906</v>
      </c>
      <c r="H1982" s="9">
        <v>2020</v>
      </c>
      <c r="I1982" s="8">
        <v>852.19399999999996</v>
      </c>
      <c r="J1982" s="8">
        <v>822.73599999999999</v>
      </c>
      <c r="K1982" s="8">
        <v>824.28499999999997</v>
      </c>
      <c r="L1982" s="8">
        <v>918.76800000000003</v>
      </c>
      <c r="M1982" s="8">
        <v>947.84400000000005</v>
      </c>
      <c r="N1982" s="8">
        <v>974.40700000000004</v>
      </c>
      <c r="O1982" s="8">
        <v>911.47799999999995</v>
      </c>
      <c r="P1982" s="8">
        <v>884.03499999999997</v>
      </c>
      <c r="Q1982" s="8">
        <v>771.59900000000005</v>
      </c>
      <c r="R1982" s="8">
        <v>1077.0239999999999</v>
      </c>
      <c r="S1982" s="8">
        <v>1078.271</v>
      </c>
      <c r="T1982" s="8">
        <v>759.81299999999999</v>
      </c>
      <c r="U1982" s="8">
        <v>777.625</v>
      </c>
      <c r="V1982" s="8">
        <v>377.90699999999998</v>
      </c>
      <c r="W1982" s="8">
        <v>460.541</v>
      </c>
      <c r="X1982" s="8">
        <v>380.07</v>
      </c>
      <c r="Y1982" s="8">
        <v>234.92500000000001</v>
      </c>
      <c r="Z1982" s="8">
        <v>90.149000000000001</v>
      </c>
      <c r="AA1982" s="8">
        <v>23.094999999999999</v>
      </c>
      <c r="AB1982" s="8">
        <v>3.4220000000000002</v>
      </c>
      <c r="AC1982" s="8">
        <v>0.248</v>
      </c>
    </row>
    <row r="1983" spans="1:29" ht="11.65" hidden="1" x14ac:dyDescent="0.35">
      <c r="A1983" s="12">
        <v>1966</v>
      </c>
      <c r="B1983" s="10" t="s">
        <v>1015</v>
      </c>
      <c r="C1983" s="11" t="s">
        <v>1155</v>
      </c>
      <c r="D1983" s="9"/>
      <c r="E1983" s="9">
        <v>392</v>
      </c>
      <c r="F1983" s="10" t="s">
        <v>1066</v>
      </c>
      <c r="G1983" s="9">
        <v>906</v>
      </c>
      <c r="H1983" s="9">
        <v>1950</v>
      </c>
      <c r="I1983" s="8">
        <v>5486.9679999999998</v>
      </c>
      <c r="J1983" s="8">
        <v>4661.6980000000003</v>
      </c>
      <c r="K1983" s="8">
        <v>4268.9629999999997</v>
      </c>
      <c r="L1983" s="8">
        <v>4210.7569999999996</v>
      </c>
      <c r="M1983" s="8">
        <v>3889.7269999999999</v>
      </c>
      <c r="N1983" s="8">
        <v>3363.2220000000002</v>
      </c>
      <c r="O1983" s="8">
        <v>2841.9969999999998</v>
      </c>
      <c r="P1983" s="8">
        <v>2671.9679999999998</v>
      </c>
      <c r="Q1983" s="8">
        <v>2284.0230000000001</v>
      </c>
      <c r="R1983" s="8">
        <v>1964.693</v>
      </c>
      <c r="S1983" s="8">
        <v>1653.97</v>
      </c>
      <c r="T1983" s="8">
        <v>1363.251</v>
      </c>
      <c r="U1983" s="8">
        <v>1182.1020000000001</v>
      </c>
      <c r="V1983" s="8">
        <v>968.87699999999995</v>
      </c>
      <c r="W1983" s="8">
        <v>735.57299999999998</v>
      </c>
      <c r="X1983" s="8">
        <v>411.43799999999999</v>
      </c>
      <c r="Y1983" s="8">
        <v>175.73099999999999</v>
      </c>
      <c r="Z1983" s="8">
        <v>53.204999999999998</v>
      </c>
      <c r="AA1983" s="8">
        <v>10.19</v>
      </c>
      <c r="AB1983" s="8">
        <v>1.149</v>
      </c>
      <c r="AC1983" s="8">
        <v>8.3000000000000004E-2</v>
      </c>
    </row>
    <row r="1984" spans="1:29" ht="11.65" hidden="1" x14ac:dyDescent="0.35">
      <c r="A1984" s="12">
        <v>1967</v>
      </c>
      <c r="B1984" s="10" t="s">
        <v>1015</v>
      </c>
      <c r="C1984" s="11" t="s">
        <v>1155</v>
      </c>
      <c r="D1984" s="9"/>
      <c r="E1984" s="9">
        <v>392</v>
      </c>
      <c r="F1984" s="10" t="s">
        <v>1066</v>
      </c>
      <c r="G1984" s="9">
        <v>906</v>
      </c>
      <c r="H1984" s="9">
        <v>1955</v>
      </c>
      <c r="I1984" s="8">
        <v>4657.518</v>
      </c>
      <c r="J1984" s="8">
        <v>5377.5569999999998</v>
      </c>
      <c r="K1984" s="8">
        <v>4638.4830000000002</v>
      </c>
      <c r="L1984" s="8">
        <v>4245.7389999999996</v>
      </c>
      <c r="M1984" s="8">
        <v>4165.24</v>
      </c>
      <c r="N1984" s="8">
        <v>3830.76</v>
      </c>
      <c r="O1984" s="8">
        <v>3306.7530000000002</v>
      </c>
      <c r="P1984" s="8">
        <v>2790.415</v>
      </c>
      <c r="Q1984" s="8">
        <v>2615.4560000000001</v>
      </c>
      <c r="R1984" s="8">
        <v>2223.3609999999999</v>
      </c>
      <c r="S1984" s="8">
        <v>1892.2349999999999</v>
      </c>
      <c r="T1984" s="8">
        <v>1567.434</v>
      </c>
      <c r="U1984" s="8">
        <v>1258.3219999999999</v>
      </c>
      <c r="V1984" s="8">
        <v>1039.8489999999999</v>
      </c>
      <c r="W1984" s="8">
        <v>784.51900000000001</v>
      </c>
      <c r="X1984" s="8">
        <v>523.04300000000001</v>
      </c>
      <c r="Y1984" s="8">
        <v>238.11199999999999</v>
      </c>
      <c r="Z1984" s="8">
        <v>73.816999999999993</v>
      </c>
      <c r="AA1984" s="8">
        <v>14.268000000000001</v>
      </c>
      <c r="AB1984" s="8">
        <v>1.508</v>
      </c>
      <c r="AC1984" s="8">
        <v>9.1999999999999998E-2</v>
      </c>
    </row>
    <row r="1985" spans="1:29" ht="11.65" hidden="1" x14ac:dyDescent="0.35">
      <c r="A1985" s="12">
        <v>1968</v>
      </c>
      <c r="B1985" s="10" t="s">
        <v>1015</v>
      </c>
      <c r="C1985" s="11" t="s">
        <v>1155</v>
      </c>
      <c r="D1985" s="9"/>
      <c r="E1985" s="9">
        <v>392</v>
      </c>
      <c r="F1985" s="10" t="s">
        <v>1066</v>
      </c>
      <c r="G1985" s="9">
        <v>906</v>
      </c>
      <c r="H1985" s="9">
        <v>1960</v>
      </c>
      <c r="I1985" s="8">
        <v>3895.973</v>
      </c>
      <c r="J1985" s="8">
        <v>4606.8559999999998</v>
      </c>
      <c r="K1985" s="8">
        <v>5358.9849999999997</v>
      </c>
      <c r="L1985" s="8">
        <v>4617.1549999999997</v>
      </c>
      <c r="M1985" s="8">
        <v>4207.2209999999995</v>
      </c>
      <c r="N1985" s="8">
        <v>4118.049</v>
      </c>
      <c r="O1985" s="8">
        <v>3784.422</v>
      </c>
      <c r="P1985" s="8">
        <v>3261.8690000000001</v>
      </c>
      <c r="Q1985" s="8">
        <v>2745.4540000000002</v>
      </c>
      <c r="R1985" s="8">
        <v>2560.2750000000001</v>
      </c>
      <c r="S1985" s="8">
        <v>2155.1559999999999</v>
      </c>
      <c r="T1985" s="8">
        <v>1807.915</v>
      </c>
      <c r="U1985" s="8">
        <v>1462.67</v>
      </c>
      <c r="V1985" s="8">
        <v>1125.654</v>
      </c>
      <c r="W1985" s="8">
        <v>858.721</v>
      </c>
      <c r="X1985" s="8">
        <v>567.15499999999997</v>
      </c>
      <c r="Y1985" s="8">
        <v>306.74</v>
      </c>
      <c r="Z1985" s="8">
        <v>101.898</v>
      </c>
      <c r="AA1985" s="8">
        <v>20.085999999999999</v>
      </c>
      <c r="AB1985" s="8">
        <v>2.145</v>
      </c>
      <c r="AC1985" s="8">
        <v>0.12</v>
      </c>
    </row>
    <row r="1986" spans="1:29" ht="11.65" hidden="1" x14ac:dyDescent="0.35">
      <c r="A1986" s="12">
        <v>1969</v>
      </c>
      <c r="B1986" s="10" t="s">
        <v>1015</v>
      </c>
      <c r="C1986" s="11" t="s">
        <v>1155</v>
      </c>
      <c r="D1986" s="9"/>
      <c r="E1986" s="9">
        <v>392</v>
      </c>
      <c r="F1986" s="10" t="s">
        <v>1066</v>
      </c>
      <c r="G1986" s="9">
        <v>906</v>
      </c>
      <c r="H1986" s="9">
        <v>1965</v>
      </c>
      <c r="I1986" s="8">
        <v>3987.6320000000001</v>
      </c>
      <c r="J1986" s="8">
        <v>3874.3879999999999</v>
      </c>
      <c r="K1986" s="8">
        <v>4570.0039999999999</v>
      </c>
      <c r="L1986" s="8">
        <v>5324.6639999999998</v>
      </c>
      <c r="M1986" s="8">
        <v>4588.6279999999997</v>
      </c>
      <c r="N1986" s="8">
        <v>4182.7340000000004</v>
      </c>
      <c r="O1986" s="8">
        <v>4089.6770000000001</v>
      </c>
      <c r="P1986" s="8">
        <v>3751.991</v>
      </c>
      <c r="Q1986" s="8">
        <v>3224.5859999999998</v>
      </c>
      <c r="R1986" s="8">
        <v>2700.5929999999998</v>
      </c>
      <c r="S1986" s="8">
        <v>2496.5010000000002</v>
      </c>
      <c r="T1986" s="8">
        <v>2074.5079999999998</v>
      </c>
      <c r="U1986" s="8">
        <v>1704.124</v>
      </c>
      <c r="V1986" s="8">
        <v>1326.6120000000001</v>
      </c>
      <c r="W1986" s="8">
        <v>950.27499999999998</v>
      </c>
      <c r="X1986" s="8">
        <v>634.67999999999995</v>
      </c>
      <c r="Y1986" s="8">
        <v>336.42399999999998</v>
      </c>
      <c r="Z1986" s="8">
        <v>131.84299999999999</v>
      </c>
      <c r="AA1986" s="8">
        <v>27.693999999999999</v>
      </c>
      <c r="AB1986" s="8">
        <v>3.004</v>
      </c>
      <c r="AC1986" s="8">
        <v>0.16400000000000001</v>
      </c>
    </row>
    <row r="1987" spans="1:29" ht="11.65" hidden="1" x14ac:dyDescent="0.35">
      <c r="A1987" s="12">
        <v>1970</v>
      </c>
      <c r="B1987" s="10" t="s">
        <v>1015</v>
      </c>
      <c r="C1987" s="11" t="s">
        <v>1155</v>
      </c>
      <c r="D1987" s="9"/>
      <c r="E1987" s="9">
        <v>392</v>
      </c>
      <c r="F1987" s="10" t="s">
        <v>1066</v>
      </c>
      <c r="G1987" s="9">
        <v>906</v>
      </c>
      <c r="H1987" s="9">
        <v>1970</v>
      </c>
      <c r="I1987" s="8">
        <v>4396.05</v>
      </c>
      <c r="J1987" s="8">
        <v>4015.4</v>
      </c>
      <c r="K1987" s="8">
        <v>3921.3470000000002</v>
      </c>
      <c r="L1987" s="8">
        <v>4564.7129999999997</v>
      </c>
      <c r="M1987" s="8">
        <v>5321.2070000000003</v>
      </c>
      <c r="N1987" s="8">
        <v>4606.4549999999999</v>
      </c>
      <c r="O1987" s="8">
        <v>4199.8620000000001</v>
      </c>
      <c r="P1987" s="8">
        <v>4097.5110000000004</v>
      </c>
      <c r="Q1987" s="8">
        <v>3742.25</v>
      </c>
      <c r="R1987" s="8">
        <v>3204.1570000000002</v>
      </c>
      <c r="S1987" s="8">
        <v>2665.6880000000001</v>
      </c>
      <c r="T1987" s="8">
        <v>2435.4340000000002</v>
      </c>
      <c r="U1987" s="8">
        <v>1986.39</v>
      </c>
      <c r="V1987" s="8">
        <v>1577.3389999999999</v>
      </c>
      <c r="W1987" s="8">
        <v>1152.0440000000001</v>
      </c>
      <c r="X1987" s="8">
        <v>728.34299999999996</v>
      </c>
      <c r="Y1987" s="8">
        <v>397.27</v>
      </c>
      <c r="Z1987" s="8">
        <v>153.76300000000001</v>
      </c>
      <c r="AA1987" s="8">
        <v>38.552</v>
      </c>
      <c r="AB1987" s="8">
        <v>4.5229999999999997</v>
      </c>
      <c r="AC1987" s="8">
        <v>0.24299999999999999</v>
      </c>
    </row>
    <row r="1988" spans="1:29" ht="11.65" hidden="1" x14ac:dyDescent="0.35">
      <c r="A1988" s="12">
        <v>1971</v>
      </c>
      <c r="B1988" s="10" t="s">
        <v>1015</v>
      </c>
      <c r="C1988" s="11" t="s">
        <v>1155</v>
      </c>
      <c r="D1988" s="9"/>
      <c r="E1988" s="9">
        <v>392</v>
      </c>
      <c r="F1988" s="10" t="s">
        <v>1066</v>
      </c>
      <c r="G1988" s="9">
        <v>906</v>
      </c>
      <c r="H1988" s="9">
        <v>1975</v>
      </c>
      <c r="I1988" s="8">
        <v>4956.518</v>
      </c>
      <c r="J1988" s="8">
        <v>4395.4579999999996</v>
      </c>
      <c r="K1988" s="8">
        <v>4021.39</v>
      </c>
      <c r="L1988" s="8">
        <v>3923.7849999999999</v>
      </c>
      <c r="M1988" s="8">
        <v>4576.4390000000003</v>
      </c>
      <c r="N1988" s="8">
        <v>5355.2759999999998</v>
      </c>
      <c r="O1988" s="8">
        <v>4629.1469999999999</v>
      </c>
      <c r="P1988" s="8">
        <v>4215.0860000000002</v>
      </c>
      <c r="Q1988" s="8">
        <v>4092.848</v>
      </c>
      <c r="R1988" s="8">
        <v>3724.78</v>
      </c>
      <c r="S1988" s="8">
        <v>3170.7860000000001</v>
      </c>
      <c r="T1988" s="8">
        <v>2614.1819999999998</v>
      </c>
      <c r="U1988" s="8">
        <v>2350.768</v>
      </c>
      <c r="V1988" s="8">
        <v>1862.076</v>
      </c>
      <c r="W1988" s="8">
        <v>1400.114</v>
      </c>
      <c r="X1988" s="8">
        <v>914.61199999999997</v>
      </c>
      <c r="Y1988" s="8">
        <v>479.30599999999998</v>
      </c>
      <c r="Z1988" s="8">
        <v>194.07</v>
      </c>
      <c r="AA1988" s="8">
        <v>48.337000000000003</v>
      </c>
      <c r="AB1988" s="8">
        <v>6.7249999999999996</v>
      </c>
      <c r="AC1988" s="8">
        <v>0.38800000000000001</v>
      </c>
    </row>
    <row r="1989" spans="1:29" ht="11.65" hidden="1" x14ac:dyDescent="0.35">
      <c r="A1989" s="12">
        <v>1972</v>
      </c>
      <c r="B1989" s="10" t="s">
        <v>1015</v>
      </c>
      <c r="C1989" s="11" t="s">
        <v>1155</v>
      </c>
      <c r="D1989" s="9"/>
      <c r="E1989" s="9">
        <v>392</v>
      </c>
      <c r="F1989" s="10" t="s">
        <v>1066</v>
      </c>
      <c r="G1989" s="9">
        <v>906</v>
      </c>
      <c r="H1989" s="9">
        <v>1980</v>
      </c>
      <c r="I1989" s="8">
        <v>4196.2169999999996</v>
      </c>
      <c r="J1989" s="8">
        <v>4946.3069999999998</v>
      </c>
      <c r="K1989" s="8">
        <v>4402.107</v>
      </c>
      <c r="L1989" s="8">
        <v>4027.9090000000001</v>
      </c>
      <c r="M1989" s="8">
        <v>3916.4070000000002</v>
      </c>
      <c r="N1989" s="8">
        <v>4565.1809999999996</v>
      </c>
      <c r="O1989" s="8">
        <v>5338.942</v>
      </c>
      <c r="P1989" s="8">
        <v>4610.0290000000005</v>
      </c>
      <c r="Q1989" s="8">
        <v>4189.6689999999999</v>
      </c>
      <c r="R1989" s="8">
        <v>4054.9059999999999</v>
      </c>
      <c r="S1989" s="8">
        <v>3693.5430000000001</v>
      </c>
      <c r="T1989" s="8">
        <v>3121.1469999999999</v>
      </c>
      <c r="U1989" s="8">
        <v>2542.5529999999999</v>
      </c>
      <c r="V1989" s="8">
        <v>2233.2339999999999</v>
      </c>
      <c r="W1989" s="8">
        <v>1689.6320000000001</v>
      </c>
      <c r="X1989" s="8">
        <v>1155.8589999999999</v>
      </c>
      <c r="Y1989" s="8">
        <v>638.84199999999998</v>
      </c>
      <c r="Z1989" s="8">
        <v>252.86699999999999</v>
      </c>
      <c r="AA1989" s="8">
        <v>67.236000000000004</v>
      </c>
      <c r="AB1989" s="8">
        <v>9.3800000000000008</v>
      </c>
      <c r="AC1989" s="8">
        <v>0.63</v>
      </c>
    </row>
    <row r="1990" spans="1:29" ht="11.65" hidden="1" x14ac:dyDescent="0.35">
      <c r="A1990" s="12">
        <v>1973</v>
      </c>
      <c r="B1990" s="10" t="s">
        <v>1015</v>
      </c>
      <c r="C1990" s="11" t="s">
        <v>1155</v>
      </c>
      <c r="D1990" s="9"/>
      <c r="E1990" s="9">
        <v>392</v>
      </c>
      <c r="F1990" s="10" t="s">
        <v>1066</v>
      </c>
      <c r="G1990" s="9">
        <v>906</v>
      </c>
      <c r="H1990" s="9">
        <v>1985</v>
      </c>
      <c r="I1990" s="8">
        <v>3717.9209999999998</v>
      </c>
      <c r="J1990" s="8">
        <v>4190.2979999999998</v>
      </c>
      <c r="K1990" s="8">
        <v>4943.2430000000004</v>
      </c>
      <c r="L1990" s="8">
        <v>4400.9080000000004</v>
      </c>
      <c r="M1990" s="8">
        <v>4026.6619999999998</v>
      </c>
      <c r="N1990" s="8">
        <v>3913.3969999999999</v>
      </c>
      <c r="O1990" s="8">
        <v>4557.08</v>
      </c>
      <c r="P1990" s="8">
        <v>5322.4210000000003</v>
      </c>
      <c r="Q1990" s="8">
        <v>4587.7550000000001</v>
      </c>
      <c r="R1990" s="8">
        <v>4157.3410000000003</v>
      </c>
      <c r="S1990" s="8">
        <v>4005.1419999999998</v>
      </c>
      <c r="T1990" s="8">
        <v>3626.1819999999998</v>
      </c>
      <c r="U1990" s="8">
        <v>3033.0279999999998</v>
      </c>
      <c r="V1990" s="8">
        <v>2424.6790000000001</v>
      </c>
      <c r="W1990" s="8">
        <v>2053.7559999999999</v>
      </c>
      <c r="X1990" s="8">
        <v>1442.0609999999999</v>
      </c>
      <c r="Y1990" s="8">
        <v>853.40899999999999</v>
      </c>
      <c r="Z1990" s="8">
        <v>366.37700000000001</v>
      </c>
      <c r="AA1990" s="8">
        <v>98.114999999999995</v>
      </c>
      <c r="AB1990" s="8">
        <v>14.925000000000001</v>
      </c>
      <c r="AC1990" s="8">
        <v>1.0149999999999999</v>
      </c>
    </row>
    <row r="1991" spans="1:29" ht="11.65" hidden="1" x14ac:dyDescent="0.35">
      <c r="A1991" s="12">
        <v>1974</v>
      </c>
      <c r="B1991" s="10" t="s">
        <v>1015</v>
      </c>
      <c r="C1991" s="11" t="s">
        <v>1155</v>
      </c>
      <c r="D1991" s="9"/>
      <c r="E1991" s="9">
        <v>392</v>
      </c>
      <c r="F1991" s="10" t="s">
        <v>1066</v>
      </c>
      <c r="G1991" s="9">
        <v>906</v>
      </c>
      <c r="H1991" s="9">
        <v>1990</v>
      </c>
      <c r="I1991" s="8">
        <v>3299.6149999999998</v>
      </c>
      <c r="J1991" s="8">
        <v>3713.2750000000001</v>
      </c>
      <c r="K1991" s="8">
        <v>4187.7420000000002</v>
      </c>
      <c r="L1991" s="8">
        <v>4922.0249999999996</v>
      </c>
      <c r="M1991" s="8">
        <v>4330.7790000000005</v>
      </c>
      <c r="N1991" s="8">
        <v>3979.8789999999999</v>
      </c>
      <c r="O1991" s="8">
        <v>3915.0210000000002</v>
      </c>
      <c r="P1991" s="8">
        <v>4539.49</v>
      </c>
      <c r="Q1991" s="8">
        <v>5294.0370000000003</v>
      </c>
      <c r="R1991" s="8">
        <v>4555.5029999999997</v>
      </c>
      <c r="S1991" s="8">
        <v>4112.1499999999996</v>
      </c>
      <c r="T1991" s="8">
        <v>3940.2190000000001</v>
      </c>
      <c r="U1991" s="8">
        <v>3538.2109999999998</v>
      </c>
      <c r="V1991" s="8">
        <v>2915.1950000000002</v>
      </c>
      <c r="W1991" s="8">
        <v>2263.6089999999999</v>
      </c>
      <c r="X1991" s="8">
        <v>1807.327</v>
      </c>
      <c r="Y1991" s="8">
        <v>1120.366</v>
      </c>
      <c r="Z1991" s="8">
        <v>528.44799999999998</v>
      </c>
      <c r="AA1991" s="8">
        <v>158.23099999999999</v>
      </c>
      <c r="AB1991" s="8">
        <v>24.991</v>
      </c>
      <c r="AC1991" s="8">
        <v>1.8540000000000001</v>
      </c>
    </row>
    <row r="1992" spans="1:29" ht="11.65" hidden="1" x14ac:dyDescent="0.35">
      <c r="A1992" s="12">
        <v>1975</v>
      </c>
      <c r="B1992" s="10" t="s">
        <v>1015</v>
      </c>
      <c r="C1992" s="11" t="s">
        <v>1155</v>
      </c>
      <c r="D1992" s="9"/>
      <c r="E1992" s="9">
        <v>392</v>
      </c>
      <c r="F1992" s="10" t="s">
        <v>1066</v>
      </c>
      <c r="G1992" s="9">
        <v>906</v>
      </c>
      <c r="H1992" s="9">
        <v>1995</v>
      </c>
      <c r="I1992" s="8">
        <v>2986.9160000000002</v>
      </c>
      <c r="J1992" s="8">
        <v>3295.6210000000001</v>
      </c>
      <c r="K1992" s="8">
        <v>3711.0830000000001</v>
      </c>
      <c r="L1992" s="8">
        <v>4207.799</v>
      </c>
      <c r="M1992" s="8">
        <v>4940.2520000000004</v>
      </c>
      <c r="N1992" s="8">
        <v>4324.24</v>
      </c>
      <c r="O1992" s="8">
        <v>3972.1979999999999</v>
      </c>
      <c r="P1992" s="8">
        <v>3904.569</v>
      </c>
      <c r="Q1992" s="8">
        <v>4520.9229999999998</v>
      </c>
      <c r="R1992" s="8">
        <v>5259.2560000000003</v>
      </c>
      <c r="S1992" s="8">
        <v>4500.3440000000001</v>
      </c>
      <c r="T1992" s="8">
        <v>4044.8159999999998</v>
      </c>
      <c r="U1992" s="8">
        <v>3847.0070000000001</v>
      </c>
      <c r="V1992" s="8">
        <v>3411.3209999999999</v>
      </c>
      <c r="W1992" s="8">
        <v>2741.942</v>
      </c>
      <c r="X1992" s="8">
        <v>2023.117</v>
      </c>
      <c r="Y1992" s="8">
        <v>1454.511</v>
      </c>
      <c r="Z1992" s="8">
        <v>735.40800000000002</v>
      </c>
      <c r="AA1992" s="8">
        <v>246.75899999999999</v>
      </c>
      <c r="AB1992" s="8">
        <v>44.374000000000002</v>
      </c>
      <c r="AC1992" s="8">
        <v>3.4249999999999998</v>
      </c>
    </row>
    <row r="1993" spans="1:29" ht="11.65" hidden="1" x14ac:dyDescent="0.35">
      <c r="A1993" s="12">
        <v>1976</v>
      </c>
      <c r="B1993" s="10" t="s">
        <v>1015</v>
      </c>
      <c r="C1993" s="11" t="s">
        <v>1155</v>
      </c>
      <c r="D1993" s="9"/>
      <c r="E1993" s="9">
        <v>392</v>
      </c>
      <c r="F1993" s="10" t="s">
        <v>1066</v>
      </c>
      <c r="G1993" s="9">
        <v>906</v>
      </c>
      <c r="H1993" s="9">
        <v>2000</v>
      </c>
      <c r="I1993" s="8">
        <v>2897.5070000000001</v>
      </c>
      <c r="J1993" s="8">
        <v>2983.8969999999999</v>
      </c>
      <c r="K1993" s="8">
        <v>3293.9409999999998</v>
      </c>
      <c r="L1993" s="8">
        <v>3708.4490000000001</v>
      </c>
      <c r="M1993" s="8">
        <v>4134.9989999999998</v>
      </c>
      <c r="N1993" s="8">
        <v>4932.9399999999996</v>
      </c>
      <c r="O1993" s="8">
        <v>4316.0219999999999</v>
      </c>
      <c r="P1993" s="8">
        <v>3961.79</v>
      </c>
      <c r="Q1993" s="8">
        <v>3889.5360000000001</v>
      </c>
      <c r="R1993" s="8">
        <v>4493.0739999999996</v>
      </c>
      <c r="S1993" s="8">
        <v>5219.335</v>
      </c>
      <c r="T1993" s="8">
        <v>4445.2110000000002</v>
      </c>
      <c r="U1993" s="8">
        <v>3967.9180000000001</v>
      </c>
      <c r="V1993" s="8">
        <v>3728.212</v>
      </c>
      <c r="W1993" s="8">
        <v>3238.1460000000002</v>
      </c>
      <c r="X1993" s="8">
        <v>2495.4160000000002</v>
      </c>
      <c r="Y1993" s="8">
        <v>1690.0129999999999</v>
      </c>
      <c r="Z1993" s="8">
        <v>1027.5530000000001</v>
      </c>
      <c r="AA1993" s="8">
        <v>386.12599999999998</v>
      </c>
      <c r="AB1993" s="8">
        <v>82.015000000000001</v>
      </c>
      <c r="AC1993" s="8">
        <v>7.4960000000000004</v>
      </c>
    </row>
    <row r="1994" spans="1:29" ht="11.65" hidden="1" x14ac:dyDescent="0.35">
      <c r="A1994" s="12">
        <v>1977</v>
      </c>
      <c r="B1994" s="10" t="s">
        <v>1015</v>
      </c>
      <c r="C1994" s="11" t="s">
        <v>1155</v>
      </c>
      <c r="D1994" s="9"/>
      <c r="E1994" s="9">
        <v>392</v>
      </c>
      <c r="F1994" s="10" t="s">
        <v>1066</v>
      </c>
      <c r="G1994" s="9">
        <v>906</v>
      </c>
      <c r="H1994" s="9">
        <v>2005</v>
      </c>
      <c r="I1994" s="8">
        <v>2758.1990000000001</v>
      </c>
      <c r="J1994" s="8">
        <v>2895.2179999999998</v>
      </c>
      <c r="K1994" s="8">
        <v>2982.645</v>
      </c>
      <c r="L1994" s="8">
        <v>3291.8670000000002</v>
      </c>
      <c r="M1994" s="8">
        <v>3704.0720000000001</v>
      </c>
      <c r="N1994" s="8">
        <v>4129.0039999999999</v>
      </c>
      <c r="O1994" s="8">
        <v>4923.9629999999997</v>
      </c>
      <c r="P1994" s="8">
        <v>4305.1030000000001</v>
      </c>
      <c r="Q1994" s="8">
        <v>3947.2890000000002</v>
      </c>
      <c r="R1994" s="8">
        <v>3867.8690000000001</v>
      </c>
      <c r="S1994" s="8">
        <v>4482.2259999999997</v>
      </c>
      <c r="T1994" s="8">
        <v>5170.2169999999996</v>
      </c>
      <c r="U1994" s="8">
        <v>4378.2150000000001</v>
      </c>
      <c r="V1994" s="8">
        <v>3867.9119999999998</v>
      </c>
      <c r="W1994" s="8">
        <v>3566.373</v>
      </c>
      <c r="X1994" s="8">
        <v>2993.654</v>
      </c>
      <c r="Y1994" s="8">
        <v>2150.415</v>
      </c>
      <c r="Z1994" s="8">
        <v>1265.8869999999999</v>
      </c>
      <c r="AA1994" s="8">
        <v>595.83699999999999</v>
      </c>
      <c r="AB1994" s="8">
        <v>147.90199999999999</v>
      </c>
      <c r="AC1994" s="8">
        <v>16.661999999999999</v>
      </c>
    </row>
    <row r="1995" spans="1:29" ht="11.65" hidden="1" x14ac:dyDescent="0.35">
      <c r="A1995" s="12">
        <v>1978</v>
      </c>
      <c r="B1995" s="10" t="s">
        <v>1015</v>
      </c>
      <c r="C1995" s="11" t="s">
        <v>1155</v>
      </c>
      <c r="D1995" s="9"/>
      <c r="E1995" s="9">
        <v>392</v>
      </c>
      <c r="F1995" s="10" t="s">
        <v>1066</v>
      </c>
      <c r="G1995" s="9">
        <v>906</v>
      </c>
      <c r="H1995" s="9">
        <v>2010</v>
      </c>
      <c r="I1995" s="8">
        <v>2702.0309999999999</v>
      </c>
      <c r="J1995" s="8">
        <v>2756.2959999999998</v>
      </c>
      <c r="K1995" s="8">
        <v>2894.1759999999999</v>
      </c>
      <c r="L1995" s="8">
        <v>2980.9760000000001</v>
      </c>
      <c r="M1995" s="8">
        <v>3287.982</v>
      </c>
      <c r="N1995" s="8">
        <v>3698.5549999999998</v>
      </c>
      <c r="O1995" s="8">
        <v>4133.0420000000004</v>
      </c>
      <c r="P1995" s="8">
        <v>4932.402</v>
      </c>
      <c r="Q1995" s="8">
        <v>4323.4849999999997</v>
      </c>
      <c r="R1995" s="8">
        <v>3970.2330000000002</v>
      </c>
      <c r="S1995" s="8">
        <v>3847.5079999999998</v>
      </c>
      <c r="T1995" s="8">
        <v>4436.3980000000001</v>
      </c>
      <c r="U1995" s="8">
        <v>5087.7079999999996</v>
      </c>
      <c r="V1995" s="8">
        <v>4273.924</v>
      </c>
      <c r="W1995" s="8">
        <v>3716.92</v>
      </c>
      <c r="X1995" s="8">
        <v>3322.049</v>
      </c>
      <c r="Y1995" s="8">
        <v>2620.319</v>
      </c>
      <c r="Z1995" s="8">
        <v>1652.077</v>
      </c>
      <c r="AA1995" s="8">
        <v>761.76</v>
      </c>
      <c r="AB1995" s="8">
        <v>238.31100000000001</v>
      </c>
      <c r="AC1995" s="8">
        <v>31.687999999999999</v>
      </c>
    </row>
    <row r="1996" spans="1:29" ht="11.65" hidden="1" x14ac:dyDescent="0.35">
      <c r="A1996" s="12">
        <v>1979</v>
      </c>
      <c r="B1996" s="10" t="s">
        <v>1015</v>
      </c>
      <c r="C1996" s="11" t="s">
        <v>1155</v>
      </c>
      <c r="D1996" s="9"/>
      <c r="E1996" s="9">
        <v>392</v>
      </c>
      <c r="F1996" s="10" t="s">
        <v>1066</v>
      </c>
      <c r="G1996" s="9">
        <v>906</v>
      </c>
      <c r="H1996" s="9">
        <v>2015</v>
      </c>
      <c r="I1996" s="8">
        <v>2624.7550000000001</v>
      </c>
      <c r="J1996" s="8">
        <v>2704.942</v>
      </c>
      <c r="K1996" s="8">
        <v>2758.8110000000001</v>
      </c>
      <c r="L1996" s="8">
        <v>2910.9589999999998</v>
      </c>
      <c r="M1996" s="8">
        <v>2990.8629999999998</v>
      </c>
      <c r="N1996" s="8">
        <v>3295.0610000000001</v>
      </c>
      <c r="O1996" s="8">
        <v>3716.3359999999998</v>
      </c>
      <c r="P1996" s="8">
        <v>4162.3440000000001</v>
      </c>
      <c r="Q1996" s="8">
        <v>4927.277</v>
      </c>
      <c r="R1996" s="8">
        <v>4312.7250000000004</v>
      </c>
      <c r="S1996" s="8">
        <v>3950.663</v>
      </c>
      <c r="T1996" s="8">
        <v>3811.806</v>
      </c>
      <c r="U1996" s="8">
        <v>4370.6180000000004</v>
      </c>
      <c r="V1996" s="8">
        <v>4971.24</v>
      </c>
      <c r="W1996" s="8">
        <v>4120.1530000000002</v>
      </c>
      <c r="X1996" s="8">
        <v>3486.9029999999998</v>
      </c>
      <c r="Y1996" s="8">
        <v>2937.192</v>
      </c>
      <c r="Z1996" s="8">
        <v>2040.731</v>
      </c>
      <c r="AA1996" s="8">
        <v>1002.498</v>
      </c>
      <c r="AB1996" s="8">
        <v>302.97500000000002</v>
      </c>
      <c r="AC1996" s="8">
        <v>49.542000000000002</v>
      </c>
    </row>
    <row r="1997" spans="1:29" ht="11.65" hidden="1" x14ac:dyDescent="0.35">
      <c r="A1997" s="12">
        <v>1980</v>
      </c>
      <c r="B1997" s="10" t="s">
        <v>1015</v>
      </c>
      <c r="C1997" s="11" t="s">
        <v>1155</v>
      </c>
      <c r="D1997" s="9"/>
      <c r="E1997" s="9">
        <v>392</v>
      </c>
      <c r="F1997" s="10" t="s">
        <v>1066</v>
      </c>
      <c r="G1997" s="9">
        <v>906</v>
      </c>
      <c r="H1997" s="9">
        <v>2020</v>
      </c>
      <c r="I1997" s="8">
        <v>2324.6469999999999</v>
      </c>
      <c r="J1997" s="8">
        <v>2628.0059999999999</v>
      </c>
      <c r="K1997" s="8">
        <v>2707.6379999999999</v>
      </c>
      <c r="L1997" s="8">
        <v>2775.8580000000002</v>
      </c>
      <c r="M1997" s="8">
        <v>2921.297</v>
      </c>
      <c r="N1997" s="8">
        <v>2998.8919999999998</v>
      </c>
      <c r="O1997" s="8">
        <v>3314.2190000000001</v>
      </c>
      <c r="P1997" s="8">
        <v>3747.5859999999998</v>
      </c>
      <c r="Q1997" s="8">
        <v>4161.2219999999998</v>
      </c>
      <c r="R1997" s="8">
        <v>4915.9570000000003</v>
      </c>
      <c r="S1997" s="8">
        <v>4293.8190000000004</v>
      </c>
      <c r="T1997" s="8">
        <v>3918.3470000000002</v>
      </c>
      <c r="U1997" s="8">
        <v>3762.6680000000001</v>
      </c>
      <c r="V1997" s="8">
        <v>4283.1629999999996</v>
      </c>
      <c r="W1997" s="8">
        <v>4814.8559999999998</v>
      </c>
      <c r="X1997" s="8">
        <v>3897.2930000000001</v>
      </c>
      <c r="Y1997" s="8">
        <v>3129.2080000000001</v>
      </c>
      <c r="Z1997" s="8">
        <v>2347.5509999999999</v>
      </c>
      <c r="AA1997" s="8">
        <v>1290.191</v>
      </c>
      <c r="AB1997" s="8">
        <v>422.13099999999997</v>
      </c>
      <c r="AC1997" s="8">
        <v>68.864000000000004</v>
      </c>
    </row>
    <row r="1998" spans="1:29" ht="11.65" hidden="1" x14ac:dyDescent="0.35">
      <c r="A1998" s="12">
        <v>1981</v>
      </c>
      <c r="B1998" s="10" t="s">
        <v>1015</v>
      </c>
      <c r="C1998" s="11" t="s">
        <v>1156</v>
      </c>
      <c r="D1998" s="9"/>
      <c r="E1998" s="9">
        <v>496</v>
      </c>
      <c r="F1998" s="10" t="s">
        <v>1066</v>
      </c>
      <c r="G1998" s="9">
        <v>906</v>
      </c>
      <c r="H1998" s="9">
        <v>1950</v>
      </c>
      <c r="I1998" s="8">
        <v>47.68</v>
      </c>
      <c r="J1998" s="8">
        <v>40.817999999999998</v>
      </c>
      <c r="K1998" s="8">
        <v>38.637999999999998</v>
      </c>
      <c r="L1998" s="8">
        <v>35.329000000000001</v>
      </c>
      <c r="M1998" s="8">
        <v>32.249000000000002</v>
      </c>
      <c r="N1998" s="8">
        <v>29.314</v>
      </c>
      <c r="O1998" s="8">
        <v>29.280999999999999</v>
      </c>
      <c r="P1998" s="8">
        <v>23.259</v>
      </c>
      <c r="Q1998" s="8">
        <v>27.943000000000001</v>
      </c>
      <c r="R1998" s="8">
        <v>21.885999999999999</v>
      </c>
      <c r="S1998" s="8">
        <v>21.513000000000002</v>
      </c>
      <c r="T1998" s="8">
        <v>17.521000000000001</v>
      </c>
      <c r="U1998" s="8">
        <v>12.698</v>
      </c>
      <c r="V1998" s="8">
        <v>9.5039999999999996</v>
      </c>
      <c r="W1998" s="8">
        <v>5.5410000000000004</v>
      </c>
      <c r="X1998" s="8">
        <v>2.2970000000000002</v>
      </c>
      <c r="Y1998" s="8">
        <v>0.91400000000000003</v>
      </c>
      <c r="Z1998" s="8">
        <v>0.28599999999999998</v>
      </c>
      <c r="AA1998" s="8">
        <v>5.2999999999999999E-2</v>
      </c>
      <c r="AB1998" s="8">
        <v>5.0000000000000001E-3</v>
      </c>
      <c r="AC1998" s="8">
        <v>0</v>
      </c>
    </row>
    <row r="1999" spans="1:29" ht="11.65" hidden="1" x14ac:dyDescent="0.35">
      <c r="A1999" s="12">
        <v>1982</v>
      </c>
      <c r="B1999" s="10" t="s">
        <v>1015</v>
      </c>
      <c r="C1999" s="11" t="s">
        <v>1156</v>
      </c>
      <c r="D1999" s="9"/>
      <c r="E1999" s="9">
        <v>496</v>
      </c>
      <c r="F1999" s="10" t="s">
        <v>1066</v>
      </c>
      <c r="G1999" s="9">
        <v>906</v>
      </c>
      <c r="H1999" s="9">
        <v>1955</v>
      </c>
      <c r="I1999" s="8">
        <v>63.542000000000002</v>
      </c>
      <c r="J1999" s="8">
        <v>43.121000000000002</v>
      </c>
      <c r="K1999" s="8">
        <v>39.991</v>
      </c>
      <c r="L1999" s="8">
        <v>38.167999999999999</v>
      </c>
      <c r="M1999" s="8">
        <v>34.637</v>
      </c>
      <c r="N1999" s="8">
        <v>31.52</v>
      </c>
      <c r="O1999" s="8">
        <v>28.577999999999999</v>
      </c>
      <c r="P1999" s="8">
        <v>28.437999999999999</v>
      </c>
      <c r="Q1999" s="8">
        <v>22.481000000000002</v>
      </c>
      <c r="R1999" s="8">
        <v>26.785</v>
      </c>
      <c r="S1999" s="8">
        <v>20.620999999999999</v>
      </c>
      <c r="T1999" s="8">
        <v>19.638999999999999</v>
      </c>
      <c r="U1999" s="8">
        <v>15.212</v>
      </c>
      <c r="V1999" s="8">
        <v>10.257</v>
      </c>
      <c r="W1999" s="8">
        <v>6.7519999999999998</v>
      </c>
      <c r="X1999" s="8">
        <v>3.1579999999999999</v>
      </c>
      <c r="Y1999" s="8">
        <v>1.0069999999999999</v>
      </c>
      <c r="Z1999" s="8">
        <v>0.28799999999999998</v>
      </c>
      <c r="AA1999" s="8">
        <v>5.1999999999999998E-2</v>
      </c>
      <c r="AB1999" s="8">
        <v>5.0000000000000001E-3</v>
      </c>
      <c r="AC1999" s="8">
        <v>0</v>
      </c>
    </row>
    <row r="2000" spans="1:29" ht="11.65" hidden="1" x14ac:dyDescent="0.35">
      <c r="A2000" s="12">
        <v>1983</v>
      </c>
      <c r="B2000" s="10" t="s">
        <v>1015</v>
      </c>
      <c r="C2000" s="11" t="s">
        <v>1156</v>
      </c>
      <c r="D2000" s="9"/>
      <c r="E2000" s="9">
        <v>496</v>
      </c>
      <c r="F2000" s="10" t="s">
        <v>1066</v>
      </c>
      <c r="G2000" s="9">
        <v>906</v>
      </c>
      <c r="H2000" s="9">
        <v>1960</v>
      </c>
      <c r="I2000" s="8">
        <v>77.807000000000002</v>
      </c>
      <c r="J2000" s="8">
        <v>58.5</v>
      </c>
      <c r="K2000" s="8">
        <v>42.468000000000004</v>
      </c>
      <c r="L2000" s="8">
        <v>39.597999999999999</v>
      </c>
      <c r="M2000" s="8">
        <v>37.567999999999998</v>
      </c>
      <c r="N2000" s="8">
        <v>34.003999999999998</v>
      </c>
      <c r="O2000" s="8">
        <v>30.873000000000001</v>
      </c>
      <c r="P2000" s="8">
        <v>27.893000000000001</v>
      </c>
      <c r="Q2000" s="8">
        <v>27.628</v>
      </c>
      <c r="R2000" s="8">
        <v>21.667000000000002</v>
      </c>
      <c r="S2000" s="8">
        <v>25.408999999999999</v>
      </c>
      <c r="T2000" s="8">
        <v>19.001000000000001</v>
      </c>
      <c r="U2000" s="8">
        <v>17.271000000000001</v>
      </c>
      <c r="V2000" s="8">
        <v>12.497</v>
      </c>
      <c r="W2000" s="8">
        <v>7.4989999999999997</v>
      </c>
      <c r="X2000" s="8">
        <v>4.109</v>
      </c>
      <c r="Y2000" s="8">
        <v>1.4930000000000001</v>
      </c>
      <c r="Z2000" s="8">
        <v>0.32400000000000001</v>
      </c>
      <c r="AA2000" s="8">
        <v>5.2999999999999999E-2</v>
      </c>
      <c r="AB2000" s="8">
        <v>5.0000000000000001E-3</v>
      </c>
      <c r="AC2000" s="8">
        <v>0</v>
      </c>
    </row>
    <row r="2001" spans="1:29" ht="11.65" hidden="1" x14ac:dyDescent="0.35">
      <c r="A2001" s="12">
        <v>1984</v>
      </c>
      <c r="B2001" s="10" t="s">
        <v>1015</v>
      </c>
      <c r="C2001" s="11" t="s">
        <v>1156</v>
      </c>
      <c r="D2001" s="9"/>
      <c r="E2001" s="9">
        <v>496</v>
      </c>
      <c r="F2001" s="10" t="s">
        <v>1066</v>
      </c>
      <c r="G2001" s="9">
        <v>906</v>
      </c>
      <c r="H2001" s="9">
        <v>1965</v>
      </c>
      <c r="I2001" s="8">
        <v>103.458</v>
      </c>
      <c r="J2001" s="8">
        <v>73.010000000000005</v>
      </c>
      <c r="K2001" s="8">
        <v>57.616</v>
      </c>
      <c r="L2001" s="8">
        <v>42.131999999999998</v>
      </c>
      <c r="M2001" s="8">
        <v>39.098999999999997</v>
      </c>
      <c r="N2001" s="8">
        <v>37.017000000000003</v>
      </c>
      <c r="O2001" s="8">
        <v>33.436999999999998</v>
      </c>
      <c r="P2001" s="8">
        <v>30.259</v>
      </c>
      <c r="Q2001" s="8">
        <v>27.216999999999999</v>
      </c>
      <c r="R2001" s="8">
        <v>26.756</v>
      </c>
      <c r="S2001" s="8">
        <v>20.678999999999998</v>
      </c>
      <c r="T2001" s="8">
        <v>23.611999999999998</v>
      </c>
      <c r="U2001" s="8">
        <v>16.911999999999999</v>
      </c>
      <c r="V2001" s="8">
        <v>14.416</v>
      </c>
      <c r="W2001" s="8">
        <v>9.35</v>
      </c>
      <c r="X2001" s="8">
        <v>4.6820000000000004</v>
      </c>
      <c r="Y2001" s="8">
        <v>1.9870000000000001</v>
      </c>
      <c r="Z2001" s="8">
        <v>0.48899999999999999</v>
      </c>
      <c r="AA2001" s="8">
        <v>5.8999999999999997E-2</v>
      </c>
      <c r="AB2001" s="8">
        <v>5.0000000000000001E-3</v>
      </c>
      <c r="AC2001" s="8">
        <v>0</v>
      </c>
    </row>
    <row r="2002" spans="1:29" ht="11.65" hidden="1" x14ac:dyDescent="0.35">
      <c r="A2002" s="12">
        <v>1985</v>
      </c>
      <c r="B2002" s="10" t="s">
        <v>1015</v>
      </c>
      <c r="C2002" s="11" t="s">
        <v>1156</v>
      </c>
      <c r="D2002" s="9"/>
      <c r="E2002" s="9">
        <v>496</v>
      </c>
      <c r="F2002" s="10" t="s">
        <v>1066</v>
      </c>
      <c r="G2002" s="9">
        <v>906</v>
      </c>
      <c r="H2002" s="9">
        <v>1970</v>
      </c>
      <c r="I2002" s="8">
        <v>114.47799999999999</v>
      </c>
      <c r="J2002" s="8">
        <v>98.28</v>
      </c>
      <c r="K2002" s="8">
        <v>72.183000000000007</v>
      </c>
      <c r="L2002" s="8">
        <v>57.256999999999998</v>
      </c>
      <c r="M2002" s="8">
        <v>41.715000000000003</v>
      </c>
      <c r="N2002" s="8">
        <v>38.646000000000001</v>
      </c>
      <c r="O2002" s="8">
        <v>36.521000000000001</v>
      </c>
      <c r="P2002" s="8">
        <v>32.893000000000001</v>
      </c>
      <c r="Q2002" s="8">
        <v>29.645</v>
      </c>
      <c r="R2002" s="8">
        <v>26.478000000000002</v>
      </c>
      <c r="S2002" s="8">
        <v>25.686</v>
      </c>
      <c r="T2002" s="8">
        <v>19.375</v>
      </c>
      <c r="U2002" s="8">
        <v>21.259</v>
      </c>
      <c r="V2002" s="8">
        <v>14.337999999999999</v>
      </c>
      <c r="W2002" s="8">
        <v>11.05</v>
      </c>
      <c r="X2002" s="8">
        <v>6.0750000000000002</v>
      </c>
      <c r="Y2002" s="8">
        <v>2.3380000000000001</v>
      </c>
      <c r="Z2002" s="8">
        <v>0.65200000000000002</v>
      </c>
      <c r="AA2002" s="8">
        <v>9.0999999999999998E-2</v>
      </c>
      <c r="AB2002" s="8">
        <v>6.0000000000000001E-3</v>
      </c>
      <c r="AC2002" s="8">
        <v>0</v>
      </c>
    </row>
    <row r="2003" spans="1:29" ht="11.65" hidden="1" x14ac:dyDescent="0.35">
      <c r="A2003" s="12">
        <v>1986</v>
      </c>
      <c r="B2003" s="10" t="s">
        <v>1015</v>
      </c>
      <c r="C2003" s="11" t="s">
        <v>1156</v>
      </c>
      <c r="D2003" s="9"/>
      <c r="E2003" s="9">
        <v>496</v>
      </c>
      <c r="F2003" s="10" t="s">
        <v>1066</v>
      </c>
      <c r="G2003" s="9">
        <v>906</v>
      </c>
      <c r="H2003" s="9">
        <v>1975</v>
      </c>
      <c r="I2003" s="8">
        <v>129.34399999999999</v>
      </c>
      <c r="J2003" s="8">
        <v>109.703</v>
      </c>
      <c r="K2003" s="8">
        <v>97.397000000000006</v>
      </c>
      <c r="L2003" s="8">
        <v>71.813000000000002</v>
      </c>
      <c r="M2003" s="8">
        <v>56.793999999999997</v>
      </c>
      <c r="N2003" s="8">
        <v>41.317999999999998</v>
      </c>
      <c r="O2003" s="8">
        <v>38.216999999999999</v>
      </c>
      <c r="P2003" s="8">
        <v>36.020000000000003</v>
      </c>
      <c r="Q2003" s="8">
        <v>32.316000000000003</v>
      </c>
      <c r="R2003" s="8">
        <v>28.934999999999999</v>
      </c>
      <c r="S2003" s="8">
        <v>25.529</v>
      </c>
      <c r="T2003" s="8">
        <v>24.215</v>
      </c>
      <c r="U2003" s="8">
        <v>17.602</v>
      </c>
      <c r="V2003" s="8">
        <v>18.242999999999999</v>
      </c>
      <c r="W2003" s="8">
        <v>11.257</v>
      </c>
      <c r="X2003" s="8">
        <v>7.444</v>
      </c>
      <c r="Y2003" s="8">
        <v>3.2240000000000002</v>
      </c>
      <c r="Z2003" s="8">
        <v>0.84899999999999998</v>
      </c>
      <c r="AA2003" s="8">
        <v>0.13100000000000001</v>
      </c>
      <c r="AB2003" s="8">
        <v>8.9999999999999993E-3</v>
      </c>
      <c r="AC2003" s="8">
        <v>0</v>
      </c>
    </row>
    <row r="2004" spans="1:29" ht="11.65" hidden="1" x14ac:dyDescent="0.35">
      <c r="A2004" s="12">
        <v>1987</v>
      </c>
      <c r="B2004" s="10" t="s">
        <v>1015</v>
      </c>
      <c r="C2004" s="11" t="s">
        <v>1156</v>
      </c>
      <c r="D2004" s="9"/>
      <c r="E2004" s="9">
        <v>496</v>
      </c>
      <c r="F2004" s="10" t="s">
        <v>1066</v>
      </c>
      <c r="G2004" s="9">
        <v>906</v>
      </c>
      <c r="H2004" s="9">
        <v>1980</v>
      </c>
      <c r="I2004" s="8">
        <v>137.06299999999999</v>
      </c>
      <c r="J2004" s="8">
        <v>124.158</v>
      </c>
      <c r="K2004" s="8">
        <v>108.758</v>
      </c>
      <c r="L2004" s="8">
        <v>96.918000000000006</v>
      </c>
      <c r="M2004" s="8">
        <v>71.257000000000005</v>
      </c>
      <c r="N2004" s="8">
        <v>56.274000000000001</v>
      </c>
      <c r="O2004" s="8">
        <v>40.875</v>
      </c>
      <c r="P2004" s="8">
        <v>37.710999999999999</v>
      </c>
      <c r="Q2004" s="8">
        <v>35.406999999999996</v>
      </c>
      <c r="R2004" s="8">
        <v>31.562999999999999</v>
      </c>
      <c r="S2004" s="8">
        <v>27.922000000000001</v>
      </c>
      <c r="T2004" s="8">
        <v>24.096</v>
      </c>
      <c r="U2004" s="8">
        <v>22.038</v>
      </c>
      <c r="V2004" s="8">
        <v>15.144</v>
      </c>
      <c r="W2004" s="8">
        <v>14.348000000000001</v>
      </c>
      <c r="X2004" s="8">
        <v>7.5810000000000004</v>
      </c>
      <c r="Y2004" s="8">
        <v>3.9510000000000001</v>
      </c>
      <c r="Z2004" s="8">
        <v>1.171</v>
      </c>
      <c r="AA2004" s="8">
        <v>0.16900000000000001</v>
      </c>
      <c r="AB2004" s="8">
        <v>1.4E-2</v>
      </c>
      <c r="AC2004" s="8">
        <v>0</v>
      </c>
    </row>
    <row r="2005" spans="1:29" ht="11.65" hidden="1" x14ac:dyDescent="0.35">
      <c r="A2005" s="12">
        <v>1988</v>
      </c>
      <c r="B2005" s="10" t="s">
        <v>1015</v>
      </c>
      <c r="C2005" s="11" t="s">
        <v>1156</v>
      </c>
      <c r="D2005" s="9"/>
      <c r="E2005" s="9">
        <v>496</v>
      </c>
      <c r="F2005" s="10" t="s">
        <v>1066</v>
      </c>
      <c r="G2005" s="9">
        <v>906</v>
      </c>
      <c r="H2005" s="9">
        <v>1985</v>
      </c>
      <c r="I2005" s="8">
        <v>150.83699999999999</v>
      </c>
      <c r="J2005" s="8">
        <v>131.78700000000001</v>
      </c>
      <c r="K2005" s="8">
        <v>123.13200000000001</v>
      </c>
      <c r="L2005" s="8">
        <v>108.246</v>
      </c>
      <c r="M2005" s="8">
        <v>96.2</v>
      </c>
      <c r="N2005" s="8">
        <v>70.632000000000005</v>
      </c>
      <c r="O2005" s="8">
        <v>55.697000000000003</v>
      </c>
      <c r="P2005" s="8">
        <v>40.353999999999999</v>
      </c>
      <c r="Q2005" s="8">
        <v>37.090000000000003</v>
      </c>
      <c r="R2005" s="8">
        <v>34.604999999999997</v>
      </c>
      <c r="S2005" s="8">
        <v>30.481999999999999</v>
      </c>
      <c r="T2005" s="8">
        <v>26.388000000000002</v>
      </c>
      <c r="U2005" s="8">
        <v>21.97</v>
      </c>
      <c r="V2005" s="8">
        <v>19.009</v>
      </c>
      <c r="W2005" s="8">
        <v>11.930999999999999</v>
      </c>
      <c r="X2005" s="8">
        <v>9.6620000000000008</v>
      </c>
      <c r="Y2005" s="8">
        <v>4.0250000000000004</v>
      </c>
      <c r="Z2005" s="8">
        <v>1.4359999999999999</v>
      </c>
      <c r="AA2005" s="8">
        <v>0.23599999999999999</v>
      </c>
      <c r="AB2005" s="8">
        <v>1.4999999999999999E-2</v>
      </c>
      <c r="AC2005" s="8">
        <v>1E-3</v>
      </c>
    </row>
    <row r="2006" spans="1:29" ht="11.65" hidden="1" x14ac:dyDescent="0.35">
      <c r="A2006" s="12">
        <v>1989</v>
      </c>
      <c r="B2006" s="10" t="s">
        <v>1015</v>
      </c>
      <c r="C2006" s="11" t="s">
        <v>1156</v>
      </c>
      <c r="D2006" s="9"/>
      <c r="E2006" s="9">
        <v>496</v>
      </c>
      <c r="F2006" s="10" t="s">
        <v>1066</v>
      </c>
      <c r="G2006" s="9">
        <v>906</v>
      </c>
      <c r="H2006" s="9">
        <v>1990</v>
      </c>
      <c r="I2006" s="8">
        <v>165.46899999999999</v>
      </c>
      <c r="J2006" s="8">
        <v>146.03899999999999</v>
      </c>
      <c r="K2006" s="8">
        <v>130.89400000000001</v>
      </c>
      <c r="L2006" s="8">
        <v>122.658</v>
      </c>
      <c r="M2006" s="8">
        <v>107.59099999999999</v>
      </c>
      <c r="N2006" s="8">
        <v>95.51</v>
      </c>
      <c r="O2006" s="8">
        <v>70.03</v>
      </c>
      <c r="P2006" s="8">
        <v>55.097000000000001</v>
      </c>
      <c r="Q2006" s="8">
        <v>39.780999999999999</v>
      </c>
      <c r="R2006" s="8">
        <v>36.35</v>
      </c>
      <c r="S2006" s="8">
        <v>33.543999999999997</v>
      </c>
      <c r="T2006" s="8">
        <v>28.963000000000001</v>
      </c>
      <c r="U2006" s="8">
        <v>24.248999999999999</v>
      </c>
      <c r="V2006" s="8">
        <v>19.163</v>
      </c>
      <c r="W2006" s="8">
        <v>15.250999999999999</v>
      </c>
      <c r="X2006" s="8">
        <v>8.2859999999999996</v>
      </c>
      <c r="Y2006" s="8">
        <v>5.2409999999999997</v>
      </c>
      <c r="Z2006" s="8">
        <v>1.46</v>
      </c>
      <c r="AA2006" s="8">
        <v>0.28699999999999998</v>
      </c>
      <c r="AB2006" s="8">
        <v>2.3E-2</v>
      </c>
      <c r="AC2006" s="8">
        <v>1E-3</v>
      </c>
    </row>
    <row r="2007" spans="1:29" ht="11.65" hidden="1" x14ac:dyDescent="0.35">
      <c r="A2007" s="12">
        <v>1990</v>
      </c>
      <c r="B2007" s="10" t="s">
        <v>1015</v>
      </c>
      <c r="C2007" s="11" t="s">
        <v>1156</v>
      </c>
      <c r="D2007" s="9"/>
      <c r="E2007" s="9">
        <v>496</v>
      </c>
      <c r="F2007" s="10" t="s">
        <v>1066</v>
      </c>
      <c r="G2007" s="9">
        <v>906</v>
      </c>
      <c r="H2007" s="9">
        <v>1995</v>
      </c>
      <c r="I2007" s="8">
        <v>139.61600000000001</v>
      </c>
      <c r="J2007" s="8">
        <v>162.17099999999999</v>
      </c>
      <c r="K2007" s="8">
        <v>139.96299999999999</v>
      </c>
      <c r="L2007" s="8">
        <v>124.86499999999999</v>
      </c>
      <c r="M2007" s="8">
        <v>116.40600000000001</v>
      </c>
      <c r="N2007" s="8">
        <v>101.17100000000001</v>
      </c>
      <c r="O2007" s="8">
        <v>91.168000000000006</v>
      </c>
      <c r="P2007" s="8">
        <v>67.599000000000004</v>
      </c>
      <c r="Q2007" s="8">
        <v>50.281999999999996</v>
      </c>
      <c r="R2007" s="8">
        <v>34.790999999999997</v>
      </c>
      <c r="S2007" s="8">
        <v>31.876999999999999</v>
      </c>
      <c r="T2007" s="8">
        <v>26.577999999999999</v>
      </c>
      <c r="U2007" s="8">
        <v>24.57</v>
      </c>
      <c r="V2007" s="8">
        <v>19.145</v>
      </c>
      <c r="W2007" s="8">
        <v>13.209</v>
      </c>
      <c r="X2007" s="8">
        <v>9.9930000000000003</v>
      </c>
      <c r="Y2007" s="8">
        <v>4.13</v>
      </c>
      <c r="Z2007" s="8">
        <v>1.722</v>
      </c>
      <c r="AA2007" s="8">
        <v>0.27600000000000002</v>
      </c>
      <c r="AB2007" s="8">
        <v>2.9000000000000001E-2</v>
      </c>
      <c r="AC2007" s="8">
        <v>1E-3</v>
      </c>
    </row>
    <row r="2008" spans="1:29" ht="11.65" hidden="1" x14ac:dyDescent="0.35">
      <c r="A2008" s="12">
        <v>1991</v>
      </c>
      <c r="B2008" s="10" t="s">
        <v>1015</v>
      </c>
      <c r="C2008" s="11" t="s">
        <v>1156</v>
      </c>
      <c r="D2008" s="9"/>
      <c r="E2008" s="9">
        <v>496</v>
      </c>
      <c r="F2008" s="10" t="s">
        <v>1066</v>
      </c>
      <c r="G2008" s="9">
        <v>906</v>
      </c>
      <c r="H2008" s="9">
        <v>2000</v>
      </c>
      <c r="I2008" s="8">
        <v>115.887</v>
      </c>
      <c r="J2008" s="8">
        <v>138.00200000000001</v>
      </c>
      <c r="K2008" s="8">
        <v>160.07400000000001</v>
      </c>
      <c r="L2008" s="8">
        <v>132.28899999999999</v>
      </c>
      <c r="M2008" s="8">
        <v>118.965</v>
      </c>
      <c r="N2008" s="8">
        <v>108.96899999999999</v>
      </c>
      <c r="O2008" s="8">
        <v>96.254999999999995</v>
      </c>
      <c r="P2008" s="8">
        <v>89.406000000000006</v>
      </c>
      <c r="Q2008" s="8">
        <v>65.718999999999994</v>
      </c>
      <c r="R2008" s="8">
        <v>44.771000000000001</v>
      </c>
      <c r="S2008" s="8">
        <v>31.030999999999999</v>
      </c>
      <c r="T2008" s="8">
        <v>27.603999999999999</v>
      </c>
      <c r="U2008" s="8">
        <v>23.268000000000001</v>
      </c>
      <c r="V2008" s="8">
        <v>20.216999999999999</v>
      </c>
      <c r="W2008" s="8">
        <v>14.076000000000001</v>
      </c>
      <c r="X2008" s="8">
        <v>8.5820000000000007</v>
      </c>
      <c r="Y2008" s="8">
        <v>4.9889999999999999</v>
      </c>
      <c r="Z2008" s="8">
        <v>1.3580000000000001</v>
      </c>
      <c r="AA2008" s="8">
        <v>0.32300000000000001</v>
      </c>
      <c r="AB2008" s="8">
        <v>2.7E-2</v>
      </c>
      <c r="AC2008" s="8">
        <v>2E-3</v>
      </c>
    </row>
    <row r="2009" spans="1:29" ht="11.65" hidden="1" x14ac:dyDescent="0.35">
      <c r="A2009" s="12">
        <v>1992</v>
      </c>
      <c r="B2009" s="10" t="s">
        <v>1015</v>
      </c>
      <c r="C2009" s="11" t="s">
        <v>1156</v>
      </c>
      <c r="D2009" s="9"/>
      <c r="E2009" s="9">
        <v>496</v>
      </c>
      <c r="F2009" s="10" t="s">
        <v>1066</v>
      </c>
      <c r="G2009" s="9">
        <v>906</v>
      </c>
      <c r="H2009" s="9">
        <v>2005</v>
      </c>
      <c r="I2009" s="8">
        <v>109.619</v>
      </c>
      <c r="J2009" s="8">
        <v>114.925</v>
      </c>
      <c r="K2009" s="8">
        <v>137.565</v>
      </c>
      <c r="L2009" s="8">
        <v>158.66399999999999</v>
      </c>
      <c r="M2009" s="8">
        <v>129.90299999999999</v>
      </c>
      <c r="N2009" s="8">
        <v>116.554</v>
      </c>
      <c r="O2009" s="8">
        <v>106.849</v>
      </c>
      <c r="P2009" s="8">
        <v>94.381</v>
      </c>
      <c r="Q2009" s="8">
        <v>87.42</v>
      </c>
      <c r="R2009" s="8">
        <v>63.633000000000003</v>
      </c>
      <c r="S2009" s="8">
        <v>42.625999999999998</v>
      </c>
      <c r="T2009" s="8">
        <v>28.981000000000002</v>
      </c>
      <c r="U2009" s="8">
        <v>25.12</v>
      </c>
      <c r="V2009" s="8">
        <v>20.29</v>
      </c>
      <c r="W2009" s="8">
        <v>16.280999999999999</v>
      </c>
      <c r="X2009" s="8">
        <v>9.7260000000000009</v>
      </c>
      <c r="Y2009" s="8">
        <v>4.6849999999999996</v>
      </c>
      <c r="Z2009" s="8">
        <v>1.929</v>
      </c>
      <c r="AA2009" s="8">
        <v>0.317</v>
      </c>
      <c r="AB2009" s="8">
        <v>3.9E-2</v>
      </c>
      <c r="AC2009" s="8">
        <v>2E-3</v>
      </c>
    </row>
    <row r="2010" spans="1:29" ht="11.65" hidden="1" x14ac:dyDescent="0.35">
      <c r="A2010" s="12">
        <v>1993</v>
      </c>
      <c r="B2010" s="10" t="s">
        <v>1015</v>
      </c>
      <c r="C2010" s="11" t="s">
        <v>1156</v>
      </c>
      <c r="D2010" s="9"/>
      <c r="E2010" s="9">
        <v>496</v>
      </c>
      <c r="F2010" s="10" t="s">
        <v>1066</v>
      </c>
      <c r="G2010" s="9">
        <v>906</v>
      </c>
      <c r="H2010" s="9">
        <v>2010</v>
      </c>
      <c r="I2010" s="8">
        <v>140.25299999999999</v>
      </c>
      <c r="J2010" s="8">
        <v>108.913</v>
      </c>
      <c r="K2010" s="8">
        <v>114.592</v>
      </c>
      <c r="L2010" s="8">
        <v>136.499</v>
      </c>
      <c r="M2010" s="8">
        <v>156.76599999999999</v>
      </c>
      <c r="N2010" s="8">
        <v>127.986</v>
      </c>
      <c r="O2010" s="8">
        <v>114.86799999999999</v>
      </c>
      <c r="P2010" s="8">
        <v>105.29900000000001</v>
      </c>
      <c r="Q2010" s="8">
        <v>92.68</v>
      </c>
      <c r="R2010" s="8">
        <v>85.23</v>
      </c>
      <c r="S2010" s="8">
        <v>61.31</v>
      </c>
      <c r="T2010" s="8">
        <v>40.426000000000002</v>
      </c>
      <c r="U2010" s="8">
        <v>26.882000000000001</v>
      </c>
      <c r="V2010" s="8">
        <v>22.474</v>
      </c>
      <c r="W2010" s="8">
        <v>16.763999999999999</v>
      </c>
      <c r="X2010" s="8">
        <v>11.718999999999999</v>
      </c>
      <c r="Y2010" s="8">
        <v>5.702</v>
      </c>
      <c r="Z2010" s="8">
        <v>1.998</v>
      </c>
      <c r="AA2010" s="8">
        <v>0.52900000000000003</v>
      </c>
      <c r="AB2010" s="8">
        <v>4.9000000000000002E-2</v>
      </c>
      <c r="AC2010" s="8">
        <v>3.0000000000000001E-3</v>
      </c>
    </row>
    <row r="2011" spans="1:29" ht="11.65" hidden="1" x14ac:dyDescent="0.35">
      <c r="A2011" s="12">
        <v>1994</v>
      </c>
      <c r="B2011" s="10" t="s">
        <v>1015</v>
      </c>
      <c r="C2011" s="11" t="s">
        <v>1156</v>
      </c>
      <c r="D2011" s="9"/>
      <c r="E2011" s="9">
        <v>496</v>
      </c>
      <c r="F2011" s="10" t="s">
        <v>1066</v>
      </c>
      <c r="G2011" s="9">
        <v>906</v>
      </c>
      <c r="H2011" s="9">
        <v>2015</v>
      </c>
      <c r="I2011" s="8">
        <v>179.42699999999999</v>
      </c>
      <c r="J2011" s="8">
        <v>139.64400000000001</v>
      </c>
      <c r="K2011" s="8">
        <v>108.69</v>
      </c>
      <c r="L2011" s="8">
        <v>114.19</v>
      </c>
      <c r="M2011" s="8">
        <v>135.786</v>
      </c>
      <c r="N2011" s="8">
        <v>155.91499999999999</v>
      </c>
      <c r="O2011" s="8">
        <v>127.203</v>
      </c>
      <c r="P2011" s="8">
        <v>113.996</v>
      </c>
      <c r="Q2011" s="8">
        <v>104.16</v>
      </c>
      <c r="R2011" s="8">
        <v>90.977999999999994</v>
      </c>
      <c r="S2011" s="8">
        <v>82.617000000000004</v>
      </c>
      <c r="T2011" s="8">
        <v>58.619</v>
      </c>
      <c r="U2011" s="8">
        <v>37.790999999999997</v>
      </c>
      <c r="V2011" s="8">
        <v>24.28</v>
      </c>
      <c r="W2011" s="8">
        <v>19.012</v>
      </c>
      <c r="X2011" s="8">
        <v>12.683</v>
      </c>
      <c r="Y2011" s="8">
        <v>7.577</v>
      </c>
      <c r="Z2011" s="8">
        <v>2.9140000000000001</v>
      </c>
      <c r="AA2011" s="8">
        <v>0.74</v>
      </c>
      <c r="AB2011" s="8">
        <v>0.129</v>
      </c>
      <c r="AC2011" s="8">
        <v>7.0000000000000001E-3</v>
      </c>
    </row>
    <row r="2012" spans="1:29" ht="11.65" hidden="1" x14ac:dyDescent="0.35">
      <c r="A2012" s="12">
        <v>1995</v>
      </c>
      <c r="B2012" s="10" t="s">
        <v>1015</v>
      </c>
      <c r="C2012" s="11" t="s">
        <v>1156</v>
      </c>
      <c r="D2012" s="9"/>
      <c r="E2012" s="9">
        <v>496</v>
      </c>
      <c r="F2012" s="10" t="s">
        <v>1066</v>
      </c>
      <c r="G2012" s="9">
        <v>906</v>
      </c>
      <c r="H2012" s="9">
        <v>2020</v>
      </c>
      <c r="I2012" s="8">
        <v>185.239</v>
      </c>
      <c r="J2012" s="8">
        <v>178.815</v>
      </c>
      <c r="K2012" s="8">
        <v>139.41300000000001</v>
      </c>
      <c r="L2012" s="8">
        <v>108.32899999999999</v>
      </c>
      <c r="M2012" s="8">
        <v>113.57299999999999</v>
      </c>
      <c r="N2012" s="8">
        <v>135.06299999999999</v>
      </c>
      <c r="O2012" s="8">
        <v>155.11600000000001</v>
      </c>
      <c r="P2012" s="8">
        <v>126.36</v>
      </c>
      <c r="Q2012" s="8">
        <v>112.901</v>
      </c>
      <c r="R2012" s="8">
        <v>102.43899999999999</v>
      </c>
      <c r="S2012" s="8">
        <v>88.418000000000006</v>
      </c>
      <c r="T2012" s="8">
        <v>79.260000000000005</v>
      </c>
      <c r="U2012" s="8">
        <v>55.05</v>
      </c>
      <c r="V2012" s="8">
        <v>34.347000000000001</v>
      </c>
      <c r="W2012" s="8">
        <v>20.72</v>
      </c>
      <c r="X2012" s="8">
        <v>14.573</v>
      </c>
      <c r="Y2012" s="8">
        <v>8.3559999999999999</v>
      </c>
      <c r="Z2012" s="8">
        <v>3.9630000000000001</v>
      </c>
      <c r="AA2012" s="8">
        <v>1.109</v>
      </c>
      <c r="AB2012" s="8">
        <v>0.19</v>
      </c>
      <c r="AC2012" s="8">
        <v>1.9E-2</v>
      </c>
    </row>
    <row r="2013" spans="1:29" ht="11.65" hidden="1" x14ac:dyDescent="0.35">
      <c r="A2013" s="12">
        <v>1996</v>
      </c>
      <c r="B2013" s="10" t="s">
        <v>1015</v>
      </c>
      <c r="C2013" s="11" t="s">
        <v>1157</v>
      </c>
      <c r="D2013" s="9"/>
      <c r="E2013" s="9">
        <v>410</v>
      </c>
      <c r="F2013" s="10" t="s">
        <v>1066</v>
      </c>
      <c r="G2013" s="9">
        <v>906</v>
      </c>
      <c r="H2013" s="9">
        <v>1950</v>
      </c>
      <c r="I2013" s="8">
        <v>1450.9269999999999</v>
      </c>
      <c r="J2013" s="8">
        <v>1278.252</v>
      </c>
      <c r="K2013" s="8">
        <v>1160.7919999999999</v>
      </c>
      <c r="L2013" s="8">
        <v>968.15599999999995</v>
      </c>
      <c r="M2013" s="8">
        <v>825.48800000000006</v>
      </c>
      <c r="N2013" s="8">
        <v>732.22900000000004</v>
      </c>
      <c r="O2013" s="8">
        <v>604.06399999999996</v>
      </c>
      <c r="P2013" s="8">
        <v>547.37</v>
      </c>
      <c r="Q2013" s="8">
        <v>477.94499999999999</v>
      </c>
      <c r="R2013" s="8">
        <v>369.702</v>
      </c>
      <c r="S2013" s="8">
        <v>354.86399999999998</v>
      </c>
      <c r="T2013" s="8">
        <v>304.346</v>
      </c>
      <c r="U2013" s="8">
        <v>248.636</v>
      </c>
      <c r="V2013" s="8">
        <v>146.67500000000001</v>
      </c>
      <c r="W2013" s="8">
        <v>89.411000000000001</v>
      </c>
      <c r="X2013" s="8">
        <v>36.329000000000001</v>
      </c>
      <c r="Y2013" s="8">
        <v>33.252000000000002</v>
      </c>
      <c r="Z2013" s="8">
        <v>10.972</v>
      </c>
      <c r="AA2013" s="8">
        <v>2.7010000000000001</v>
      </c>
      <c r="AB2013" s="8">
        <v>0.80600000000000005</v>
      </c>
      <c r="AC2013" s="8">
        <v>0.159</v>
      </c>
    </row>
    <row r="2014" spans="1:29" ht="11.65" hidden="1" x14ac:dyDescent="0.35">
      <c r="A2014" s="12">
        <v>1997</v>
      </c>
      <c r="B2014" s="10" t="s">
        <v>1015</v>
      </c>
      <c r="C2014" s="11" t="s">
        <v>1157</v>
      </c>
      <c r="D2014" s="9"/>
      <c r="E2014" s="9">
        <v>410</v>
      </c>
      <c r="F2014" s="10" t="s">
        <v>1066</v>
      </c>
      <c r="G2014" s="9">
        <v>906</v>
      </c>
      <c r="H2014" s="9">
        <v>1955</v>
      </c>
      <c r="I2014" s="8">
        <v>1664.7619999999999</v>
      </c>
      <c r="J2014" s="8">
        <v>1371.1510000000001</v>
      </c>
      <c r="K2014" s="8">
        <v>1242.413</v>
      </c>
      <c r="L2014" s="8">
        <v>1138.829</v>
      </c>
      <c r="M2014" s="8">
        <v>946.91200000000003</v>
      </c>
      <c r="N2014" s="8">
        <v>804.46100000000001</v>
      </c>
      <c r="O2014" s="8">
        <v>710.94</v>
      </c>
      <c r="P2014" s="8">
        <v>583.52099999999996</v>
      </c>
      <c r="Q2014" s="8">
        <v>524.44600000000003</v>
      </c>
      <c r="R2014" s="8">
        <v>452.09399999999999</v>
      </c>
      <c r="S2014" s="8">
        <v>343.05200000000002</v>
      </c>
      <c r="T2014" s="8">
        <v>320.25200000000001</v>
      </c>
      <c r="U2014" s="8">
        <v>263.98399999999998</v>
      </c>
      <c r="V2014" s="8">
        <v>203.654</v>
      </c>
      <c r="W2014" s="8">
        <v>110.786</v>
      </c>
      <c r="X2014" s="8">
        <v>60.463999999999999</v>
      </c>
      <c r="Y2014" s="8">
        <v>21.177</v>
      </c>
      <c r="Z2014" s="8">
        <v>10.499000000000001</v>
      </c>
      <c r="AA2014" s="8">
        <v>2.2000000000000002</v>
      </c>
      <c r="AB2014" s="8">
        <v>0.30499999999999999</v>
      </c>
      <c r="AC2014" s="8">
        <v>5.8999999999999997E-2</v>
      </c>
    </row>
    <row r="2015" spans="1:29" ht="11.65" hidden="1" x14ac:dyDescent="0.35">
      <c r="A2015" s="12">
        <v>1998</v>
      </c>
      <c r="B2015" s="10" t="s">
        <v>1015</v>
      </c>
      <c r="C2015" s="11" t="s">
        <v>1157</v>
      </c>
      <c r="D2015" s="9"/>
      <c r="E2015" s="9">
        <v>410</v>
      </c>
      <c r="F2015" s="10" t="s">
        <v>1066</v>
      </c>
      <c r="G2015" s="9">
        <v>906</v>
      </c>
      <c r="H2015" s="9">
        <v>1960</v>
      </c>
      <c r="I2015" s="8">
        <v>2250.9270000000001</v>
      </c>
      <c r="J2015" s="8">
        <v>1667.82</v>
      </c>
      <c r="K2015" s="8">
        <v>1358.739</v>
      </c>
      <c r="L2015" s="8">
        <v>1133.749</v>
      </c>
      <c r="M2015" s="8">
        <v>1072.1320000000001</v>
      </c>
      <c r="N2015" s="8">
        <v>976.38199999999995</v>
      </c>
      <c r="O2015" s="8">
        <v>796.26499999999999</v>
      </c>
      <c r="P2015" s="8">
        <v>726.79300000000001</v>
      </c>
      <c r="Q2015" s="8">
        <v>566.31500000000005</v>
      </c>
      <c r="R2015" s="8">
        <v>507.471</v>
      </c>
      <c r="S2015" s="8">
        <v>423.56200000000001</v>
      </c>
      <c r="T2015" s="8">
        <v>313.64</v>
      </c>
      <c r="U2015" s="8">
        <v>282.63</v>
      </c>
      <c r="V2015" s="8">
        <v>221.28899999999999</v>
      </c>
      <c r="W2015" s="8">
        <v>158.529</v>
      </c>
      <c r="X2015" s="8">
        <v>77.334999999999994</v>
      </c>
      <c r="Y2015" s="8">
        <v>35.951000000000001</v>
      </c>
      <c r="Z2015" s="8">
        <v>6.6689999999999996</v>
      </c>
      <c r="AA2015" s="8">
        <v>2.0070000000000001</v>
      </c>
      <c r="AB2015" s="8">
        <v>0.22600000000000001</v>
      </c>
      <c r="AC2015" s="8">
        <v>0.02</v>
      </c>
    </row>
    <row r="2016" spans="1:29" ht="11.65" hidden="1" x14ac:dyDescent="0.35">
      <c r="A2016" s="12">
        <v>1999</v>
      </c>
      <c r="B2016" s="10" t="s">
        <v>1015</v>
      </c>
      <c r="C2016" s="11" t="s">
        <v>1157</v>
      </c>
      <c r="D2016" s="9"/>
      <c r="E2016" s="9">
        <v>410</v>
      </c>
      <c r="F2016" s="10" t="s">
        <v>1066</v>
      </c>
      <c r="G2016" s="9">
        <v>906</v>
      </c>
      <c r="H2016" s="9">
        <v>1965</v>
      </c>
      <c r="I2016" s="8">
        <v>2278.0369999999998</v>
      </c>
      <c r="J2016" s="8">
        <v>2171.8420000000001</v>
      </c>
      <c r="K2016" s="8">
        <v>1636.3119999999999</v>
      </c>
      <c r="L2016" s="8">
        <v>1329.5350000000001</v>
      </c>
      <c r="M2016" s="8">
        <v>1095.143</v>
      </c>
      <c r="N2016" s="8">
        <v>1068.78</v>
      </c>
      <c r="O2016" s="8">
        <v>968.29600000000005</v>
      </c>
      <c r="P2016" s="8">
        <v>785.45100000000002</v>
      </c>
      <c r="Q2016" s="8">
        <v>710.41399999999999</v>
      </c>
      <c r="R2016" s="8">
        <v>547.33799999999997</v>
      </c>
      <c r="S2016" s="8">
        <v>482.46899999999999</v>
      </c>
      <c r="T2016" s="8">
        <v>393.90499999999997</v>
      </c>
      <c r="U2016" s="8">
        <v>282.64800000000002</v>
      </c>
      <c r="V2016" s="8">
        <v>243.06700000000001</v>
      </c>
      <c r="W2016" s="8">
        <v>177.79300000000001</v>
      </c>
      <c r="X2016" s="8">
        <v>114.289</v>
      </c>
      <c r="Y2016" s="8">
        <v>46.920999999999999</v>
      </c>
      <c r="Z2016" s="8">
        <v>12.172000000000001</v>
      </c>
      <c r="AA2016" s="8">
        <v>1.38</v>
      </c>
      <c r="AB2016" s="8">
        <v>0.224</v>
      </c>
      <c r="AC2016" s="8">
        <v>1.4E-2</v>
      </c>
    </row>
    <row r="2017" spans="1:29" ht="11.65" hidden="1" x14ac:dyDescent="0.35">
      <c r="A2017" s="12">
        <v>2000</v>
      </c>
      <c r="B2017" s="10" t="s">
        <v>1015</v>
      </c>
      <c r="C2017" s="11" t="s">
        <v>1157</v>
      </c>
      <c r="D2017" s="9"/>
      <c r="E2017" s="9">
        <v>410</v>
      </c>
      <c r="F2017" s="10" t="s">
        <v>1066</v>
      </c>
      <c r="G2017" s="9">
        <v>906</v>
      </c>
      <c r="H2017" s="9">
        <v>1970</v>
      </c>
      <c r="I2017" s="8">
        <v>2187.1869999999999</v>
      </c>
      <c r="J2017" s="8">
        <v>2226.335</v>
      </c>
      <c r="K2017" s="8">
        <v>2143.5859999999998</v>
      </c>
      <c r="L2017" s="8">
        <v>1587.9390000000001</v>
      </c>
      <c r="M2017" s="8">
        <v>1284.059</v>
      </c>
      <c r="N2017" s="8">
        <v>1098.3610000000001</v>
      </c>
      <c r="O2017" s="8">
        <v>1067.6079999999999</v>
      </c>
      <c r="P2017" s="8">
        <v>962.81299999999999</v>
      </c>
      <c r="Q2017" s="8">
        <v>768.44299999999998</v>
      </c>
      <c r="R2017" s="8">
        <v>688.59500000000003</v>
      </c>
      <c r="S2017" s="8">
        <v>523.87800000000004</v>
      </c>
      <c r="T2017" s="8">
        <v>453.524</v>
      </c>
      <c r="U2017" s="8">
        <v>360.41800000000001</v>
      </c>
      <c r="V2017" s="8">
        <v>248.40600000000001</v>
      </c>
      <c r="W2017" s="8">
        <v>200.92400000000001</v>
      </c>
      <c r="X2017" s="8">
        <v>132.035</v>
      </c>
      <c r="Y2017" s="8">
        <v>70.468999999999994</v>
      </c>
      <c r="Z2017" s="8">
        <v>16.849</v>
      </c>
      <c r="AA2017" s="8">
        <v>2.6859999999999999</v>
      </c>
      <c r="AB2017" s="8">
        <v>0.16500000000000001</v>
      </c>
      <c r="AC2017" s="8">
        <v>1.4999999999999999E-2</v>
      </c>
    </row>
    <row r="2018" spans="1:29" ht="11.65" hidden="1" x14ac:dyDescent="0.35">
      <c r="A2018" s="12">
        <v>2001</v>
      </c>
      <c r="B2018" s="10" t="s">
        <v>1015</v>
      </c>
      <c r="C2018" s="11" t="s">
        <v>1157</v>
      </c>
      <c r="D2018" s="9"/>
      <c r="E2018" s="9">
        <v>410</v>
      </c>
      <c r="F2018" s="10" t="s">
        <v>1066</v>
      </c>
      <c r="G2018" s="9">
        <v>906</v>
      </c>
      <c r="H2018" s="9">
        <v>1975</v>
      </c>
      <c r="I2018" s="8">
        <v>2181.9920000000002</v>
      </c>
      <c r="J2018" s="8">
        <v>2160.9459999999999</v>
      </c>
      <c r="K2018" s="8">
        <v>2207.0430000000001</v>
      </c>
      <c r="L2018" s="8">
        <v>2079.848</v>
      </c>
      <c r="M2018" s="8">
        <v>1535.9380000000001</v>
      </c>
      <c r="N2018" s="8">
        <v>1249.682</v>
      </c>
      <c r="O2018" s="8">
        <v>1081.9670000000001</v>
      </c>
      <c r="P2018" s="8">
        <v>1051.0540000000001</v>
      </c>
      <c r="Q2018" s="8">
        <v>944.47199999999998</v>
      </c>
      <c r="R2018" s="8">
        <v>748.572</v>
      </c>
      <c r="S2018" s="8">
        <v>664.27599999999995</v>
      </c>
      <c r="T2018" s="8">
        <v>498.11900000000003</v>
      </c>
      <c r="U2018" s="8">
        <v>421.76600000000002</v>
      </c>
      <c r="V2018" s="8">
        <v>323.95</v>
      </c>
      <c r="W2018" s="8">
        <v>211.54400000000001</v>
      </c>
      <c r="X2018" s="8">
        <v>153.97900000000001</v>
      </c>
      <c r="Y2018" s="8">
        <v>83.787999999999997</v>
      </c>
      <c r="Z2018" s="8">
        <v>33.978000000000002</v>
      </c>
      <c r="AA2018" s="8">
        <v>5.58</v>
      </c>
      <c r="AB2018" s="8">
        <v>0.53900000000000003</v>
      </c>
      <c r="AC2018" s="8">
        <v>1.7999999999999999E-2</v>
      </c>
    </row>
    <row r="2019" spans="1:29" ht="11.65" hidden="1" x14ac:dyDescent="0.35">
      <c r="A2019" s="12">
        <v>2002</v>
      </c>
      <c r="B2019" s="10" t="s">
        <v>1015</v>
      </c>
      <c r="C2019" s="11" t="s">
        <v>1157</v>
      </c>
      <c r="D2019" s="9"/>
      <c r="E2019" s="9">
        <v>410</v>
      </c>
      <c r="F2019" s="10" t="s">
        <v>1066</v>
      </c>
      <c r="G2019" s="9">
        <v>906</v>
      </c>
      <c r="H2019" s="9">
        <v>1980</v>
      </c>
      <c r="I2019" s="8">
        <v>1930.867</v>
      </c>
      <c r="J2019" s="8">
        <v>2160.8890000000001</v>
      </c>
      <c r="K2019" s="8">
        <v>2146.877</v>
      </c>
      <c r="L2019" s="8">
        <v>2142.0639999999999</v>
      </c>
      <c r="M2019" s="8">
        <v>2025.3679999999999</v>
      </c>
      <c r="N2019" s="8">
        <v>1494.1610000000001</v>
      </c>
      <c r="O2019" s="8">
        <v>1237.623</v>
      </c>
      <c r="P2019" s="8">
        <v>1080.923</v>
      </c>
      <c r="Q2019" s="8">
        <v>1034.26</v>
      </c>
      <c r="R2019" s="8">
        <v>923.697</v>
      </c>
      <c r="S2019" s="8">
        <v>725.09199999999998</v>
      </c>
      <c r="T2019" s="8">
        <v>635.29899999999998</v>
      </c>
      <c r="U2019" s="8">
        <v>466.82600000000002</v>
      </c>
      <c r="V2019" s="8">
        <v>381.61399999999998</v>
      </c>
      <c r="W2019" s="8">
        <v>277.02199999999999</v>
      </c>
      <c r="X2019" s="8">
        <v>163.429</v>
      </c>
      <c r="Y2019" s="8">
        <v>99.959000000000003</v>
      </c>
      <c r="Z2019" s="8">
        <v>42.209000000000003</v>
      </c>
      <c r="AA2019" s="8">
        <v>12.066000000000001</v>
      </c>
      <c r="AB2019" s="8">
        <v>1.236</v>
      </c>
      <c r="AC2019" s="8">
        <v>6.3E-2</v>
      </c>
    </row>
    <row r="2020" spans="1:29" ht="11.65" hidden="1" x14ac:dyDescent="0.35">
      <c r="A2020" s="12">
        <v>2003</v>
      </c>
      <c r="B2020" s="10" t="s">
        <v>1015</v>
      </c>
      <c r="C2020" s="11" t="s">
        <v>1157</v>
      </c>
      <c r="D2020" s="9"/>
      <c r="E2020" s="9">
        <v>410</v>
      </c>
      <c r="F2020" s="10" t="s">
        <v>1066</v>
      </c>
      <c r="G2020" s="9">
        <v>906</v>
      </c>
      <c r="H2020" s="9">
        <v>1985</v>
      </c>
      <c r="I2020" s="8">
        <v>1859.693</v>
      </c>
      <c r="J2020" s="8">
        <v>1917.106</v>
      </c>
      <c r="K2020" s="8">
        <v>2150.79</v>
      </c>
      <c r="L2020" s="8">
        <v>2139.424</v>
      </c>
      <c r="M2020" s="8">
        <v>2111.7660000000001</v>
      </c>
      <c r="N2020" s="8">
        <v>2024.421</v>
      </c>
      <c r="O2020" s="8">
        <v>1504.65</v>
      </c>
      <c r="P2020" s="8">
        <v>1229.5309999999999</v>
      </c>
      <c r="Q2020" s="8">
        <v>1066.9739999999999</v>
      </c>
      <c r="R2020" s="8">
        <v>1015.164</v>
      </c>
      <c r="S2020" s="8">
        <v>899.03599999999994</v>
      </c>
      <c r="T2020" s="8">
        <v>697.42200000000003</v>
      </c>
      <c r="U2020" s="8">
        <v>599.80700000000002</v>
      </c>
      <c r="V2020" s="8">
        <v>425.666</v>
      </c>
      <c r="W2020" s="8">
        <v>327.38900000000001</v>
      </c>
      <c r="X2020" s="8">
        <v>215.13</v>
      </c>
      <c r="Y2020" s="8">
        <v>108.74299999999999</v>
      </c>
      <c r="Z2020" s="8">
        <v>53.158000000000001</v>
      </c>
      <c r="AA2020" s="8">
        <v>16.436</v>
      </c>
      <c r="AB2020" s="8">
        <v>3.0590000000000002</v>
      </c>
      <c r="AC2020" s="8">
        <v>0.17399999999999999</v>
      </c>
    </row>
    <row r="2021" spans="1:29" ht="11.65" hidden="1" x14ac:dyDescent="0.35">
      <c r="A2021" s="12">
        <v>2004</v>
      </c>
      <c r="B2021" s="10" t="s">
        <v>1015</v>
      </c>
      <c r="C2021" s="11" t="s">
        <v>1157</v>
      </c>
      <c r="D2021" s="9"/>
      <c r="E2021" s="9">
        <v>410</v>
      </c>
      <c r="F2021" s="10" t="s">
        <v>1066</v>
      </c>
      <c r="G2021" s="9">
        <v>906</v>
      </c>
      <c r="H2021" s="9">
        <v>1990</v>
      </c>
      <c r="I2021" s="8">
        <v>1458.4359999999999</v>
      </c>
      <c r="J2021" s="8">
        <v>1851.769</v>
      </c>
      <c r="K2021" s="8">
        <v>1925.327</v>
      </c>
      <c r="L2021" s="8">
        <v>2155.4360000000001</v>
      </c>
      <c r="M2021" s="8">
        <v>2151.2060000000001</v>
      </c>
      <c r="N2021" s="8">
        <v>2111.7429999999999</v>
      </c>
      <c r="O2021" s="8">
        <v>2021.58</v>
      </c>
      <c r="P2021" s="8">
        <v>1494.451</v>
      </c>
      <c r="Q2021" s="8">
        <v>1227.251</v>
      </c>
      <c r="R2021" s="8">
        <v>1063.5719999999999</v>
      </c>
      <c r="S2021" s="8">
        <v>993.53899999999999</v>
      </c>
      <c r="T2021" s="8">
        <v>871.30899999999997</v>
      </c>
      <c r="U2021" s="8">
        <v>665.16399999999999</v>
      </c>
      <c r="V2021" s="8">
        <v>555.03099999999995</v>
      </c>
      <c r="W2021" s="8">
        <v>372.12599999999998</v>
      </c>
      <c r="X2021" s="8">
        <v>259.38400000000001</v>
      </c>
      <c r="Y2021" s="8">
        <v>145.05799999999999</v>
      </c>
      <c r="Z2021" s="8">
        <v>57.59</v>
      </c>
      <c r="AA2021" s="8">
        <v>20.023</v>
      </c>
      <c r="AB2021" s="8">
        <v>3.8860000000000001</v>
      </c>
      <c r="AC2021" s="8">
        <v>0.38700000000000001</v>
      </c>
    </row>
    <row r="2022" spans="1:29" ht="11.65" hidden="1" x14ac:dyDescent="0.35">
      <c r="A2022" s="12">
        <v>2005</v>
      </c>
      <c r="B2022" s="10" t="s">
        <v>1015</v>
      </c>
      <c r="C2022" s="11" t="s">
        <v>1157</v>
      </c>
      <c r="D2022" s="9"/>
      <c r="E2022" s="9">
        <v>410</v>
      </c>
      <c r="F2022" s="10" t="s">
        <v>1066</v>
      </c>
      <c r="G2022" s="9">
        <v>906</v>
      </c>
      <c r="H2022" s="9">
        <v>1995</v>
      </c>
      <c r="I2022" s="8">
        <v>1632.172</v>
      </c>
      <c r="J2022" s="8">
        <v>1455.3910000000001</v>
      </c>
      <c r="K2022" s="8">
        <v>1852.758</v>
      </c>
      <c r="L2022" s="8">
        <v>1927.43</v>
      </c>
      <c r="M2022" s="8">
        <v>2156.7339999999999</v>
      </c>
      <c r="N2022" s="8">
        <v>2149.4830000000002</v>
      </c>
      <c r="O2022" s="8">
        <v>2106.9859999999999</v>
      </c>
      <c r="P2022" s="8">
        <v>2013.5350000000001</v>
      </c>
      <c r="Q2022" s="8">
        <v>1485.2080000000001</v>
      </c>
      <c r="R2022" s="8">
        <v>1214.5450000000001</v>
      </c>
      <c r="S2022" s="8">
        <v>1046.193</v>
      </c>
      <c r="T2022" s="8">
        <v>969.31700000000001</v>
      </c>
      <c r="U2022" s="8">
        <v>837.85799999999995</v>
      </c>
      <c r="V2022" s="8">
        <v>622.53499999999997</v>
      </c>
      <c r="W2022" s="8">
        <v>493.96899999999999</v>
      </c>
      <c r="X2022" s="8">
        <v>302.98399999999998</v>
      </c>
      <c r="Y2022" s="8">
        <v>182.91200000000001</v>
      </c>
      <c r="Z2022" s="8">
        <v>82.563000000000002</v>
      </c>
      <c r="AA2022" s="8">
        <v>24.097999999999999</v>
      </c>
      <c r="AB2022" s="8">
        <v>5.4420000000000002</v>
      </c>
      <c r="AC2022" s="8">
        <v>0.60599999999999998</v>
      </c>
    </row>
    <row r="2023" spans="1:29" ht="11.65" hidden="1" x14ac:dyDescent="0.35">
      <c r="A2023" s="12">
        <v>2006</v>
      </c>
      <c r="B2023" s="10" t="s">
        <v>1015</v>
      </c>
      <c r="C2023" s="11" t="s">
        <v>1157</v>
      </c>
      <c r="D2023" s="9"/>
      <c r="E2023" s="9">
        <v>410</v>
      </c>
      <c r="F2023" s="10" t="s">
        <v>1066</v>
      </c>
      <c r="G2023" s="9">
        <v>906</v>
      </c>
      <c r="H2023" s="9">
        <v>2000</v>
      </c>
      <c r="I2023" s="8">
        <v>1511.076</v>
      </c>
      <c r="J2023" s="8">
        <v>1631.471</v>
      </c>
      <c r="K2023" s="8">
        <v>1455.2729999999999</v>
      </c>
      <c r="L2023" s="8">
        <v>1859.02</v>
      </c>
      <c r="M2023" s="8">
        <v>1930.692</v>
      </c>
      <c r="N2023" s="8">
        <v>2175.6660000000002</v>
      </c>
      <c r="O2023" s="8">
        <v>2153.3780000000002</v>
      </c>
      <c r="P2023" s="8">
        <v>2105.2719999999999</v>
      </c>
      <c r="Q2023" s="8">
        <v>2006.3219999999999</v>
      </c>
      <c r="R2023" s="8">
        <v>1475.451</v>
      </c>
      <c r="S2023" s="8">
        <v>1200.7339999999999</v>
      </c>
      <c r="T2023" s="8">
        <v>1026.9749999999999</v>
      </c>
      <c r="U2023" s="8">
        <v>940.298</v>
      </c>
      <c r="V2023" s="8">
        <v>794.351</v>
      </c>
      <c r="W2023" s="8">
        <v>564.12900000000002</v>
      </c>
      <c r="X2023" s="8">
        <v>411.15800000000002</v>
      </c>
      <c r="Y2023" s="8">
        <v>218.499</v>
      </c>
      <c r="Z2023" s="8">
        <v>105.735</v>
      </c>
      <c r="AA2023" s="8">
        <v>34.585000000000001</v>
      </c>
      <c r="AB2023" s="8">
        <v>6.4249999999999998</v>
      </c>
      <c r="AC2023" s="8">
        <v>0.81599999999999995</v>
      </c>
    </row>
    <row r="2024" spans="1:29" ht="11.65" hidden="1" x14ac:dyDescent="0.35">
      <c r="A2024" s="12">
        <v>2007</v>
      </c>
      <c r="B2024" s="10" t="s">
        <v>1015</v>
      </c>
      <c r="C2024" s="11" t="s">
        <v>1157</v>
      </c>
      <c r="D2024" s="9"/>
      <c r="E2024" s="9">
        <v>410</v>
      </c>
      <c r="F2024" s="10" t="s">
        <v>1066</v>
      </c>
      <c r="G2024" s="9">
        <v>906</v>
      </c>
      <c r="H2024" s="9">
        <v>2005</v>
      </c>
      <c r="I2024" s="8">
        <v>1197.788</v>
      </c>
      <c r="J2024" s="8">
        <v>1511.3979999999999</v>
      </c>
      <c r="K2024" s="8">
        <v>1630.1020000000001</v>
      </c>
      <c r="L2024" s="8">
        <v>1453.9169999999999</v>
      </c>
      <c r="M2024" s="8">
        <v>1840.607</v>
      </c>
      <c r="N2024" s="8">
        <v>1939.443</v>
      </c>
      <c r="O2024" s="8">
        <v>2181.0569999999998</v>
      </c>
      <c r="P2024" s="8">
        <v>2159.4070000000002</v>
      </c>
      <c r="Q2024" s="8">
        <v>2099.922</v>
      </c>
      <c r="R2024" s="8">
        <v>1995.3979999999999</v>
      </c>
      <c r="S2024" s="8">
        <v>1462.329</v>
      </c>
      <c r="T2024" s="8">
        <v>1183.7449999999999</v>
      </c>
      <c r="U2024" s="8">
        <v>1003.261</v>
      </c>
      <c r="V2024" s="8">
        <v>902.16499999999996</v>
      </c>
      <c r="W2024" s="8">
        <v>734.56700000000001</v>
      </c>
      <c r="X2024" s="8">
        <v>484.28699999999998</v>
      </c>
      <c r="Y2024" s="8">
        <v>307.16300000000001</v>
      </c>
      <c r="Z2024" s="8">
        <v>129.53399999999999</v>
      </c>
      <c r="AA2024" s="8">
        <v>44.203000000000003</v>
      </c>
      <c r="AB2024" s="8">
        <v>8.92</v>
      </c>
      <c r="AC2024" s="8">
        <v>0.91800000000000004</v>
      </c>
    </row>
    <row r="2025" spans="1:29" ht="11.65" hidden="1" x14ac:dyDescent="0.35">
      <c r="A2025" s="12">
        <v>2008</v>
      </c>
      <c r="B2025" s="10" t="s">
        <v>1015</v>
      </c>
      <c r="C2025" s="11" t="s">
        <v>1157</v>
      </c>
      <c r="D2025" s="9"/>
      <c r="E2025" s="9">
        <v>410</v>
      </c>
      <c r="F2025" s="10" t="s">
        <v>1066</v>
      </c>
      <c r="G2025" s="9">
        <v>906</v>
      </c>
      <c r="H2025" s="9">
        <v>2010</v>
      </c>
      <c r="I2025" s="8">
        <v>1106.47</v>
      </c>
      <c r="J2025" s="8">
        <v>1198.9069999999999</v>
      </c>
      <c r="K2025" s="8">
        <v>1512.17</v>
      </c>
      <c r="L2025" s="8">
        <v>1637.87</v>
      </c>
      <c r="M2025" s="8">
        <v>1436.221</v>
      </c>
      <c r="N2025" s="8">
        <v>1798.144</v>
      </c>
      <c r="O2025" s="8">
        <v>1908.11</v>
      </c>
      <c r="P2025" s="8">
        <v>2148.6579999999999</v>
      </c>
      <c r="Q2025" s="8">
        <v>2155.0259999999998</v>
      </c>
      <c r="R2025" s="8">
        <v>2090.4580000000001</v>
      </c>
      <c r="S2025" s="8">
        <v>1980.4079999999999</v>
      </c>
      <c r="T2025" s="8">
        <v>1445.9010000000001</v>
      </c>
      <c r="U2025" s="8">
        <v>1162.979</v>
      </c>
      <c r="V2025" s="8">
        <v>973.22799999999995</v>
      </c>
      <c r="W2025" s="8">
        <v>851.81399999999996</v>
      </c>
      <c r="X2025" s="8">
        <v>654.85699999999997</v>
      </c>
      <c r="Y2025" s="8">
        <v>385.15499999999997</v>
      </c>
      <c r="Z2025" s="8">
        <v>199.30600000000001</v>
      </c>
      <c r="AA2025" s="8">
        <v>60.817</v>
      </c>
      <c r="AB2025" s="8">
        <v>13.077999999999999</v>
      </c>
      <c r="AC2025" s="8">
        <v>1.4359999999999999</v>
      </c>
    </row>
    <row r="2026" spans="1:29" ht="11.65" hidden="1" x14ac:dyDescent="0.35">
      <c r="A2026" s="12">
        <v>2009</v>
      </c>
      <c r="B2026" s="10" t="s">
        <v>1015</v>
      </c>
      <c r="C2026" s="11" t="s">
        <v>1157</v>
      </c>
      <c r="D2026" s="9"/>
      <c r="E2026" s="9">
        <v>410</v>
      </c>
      <c r="F2026" s="10" t="s">
        <v>1066</v>
      </c>
      <c r="G2026" s="9">
        <v>906</v>
      </c>
      <c r="H2026" s="9">
        <v>2015</v>
      </c>
      <c r="I2026" s="8">
        <v>1097.982</v>
      </c>
      <c r="J2026" s="8">
        <v>1101.854</v>
      </c>
      <c r="K2026" s="8">
        <v>1185.56</v>
      </c>
      <c r="L2026" s="8">
        <v>1530.6020000000001</v>
      </c>
      <c r="M2026" s="8">
        <v>1627.6959999999999</v>
      </c>
      <c r="N2026" s="8">
        <v>1549.1220000000001</v>
      </c>
      <c r="O2026" s="8">
        <v>1825.316</v>
      </c>
      <c r="P2026" s="8">
        <v>1913.846</v>
      </c>
      <c r="Q2026" s="8">
        <v>2115.9169999999999</v>
      </c>
      <c r="R2026" s="8">
        <v>2159.6660000000002</v>
      </c>
      <c r="S2026" s="8">
        <v>2095.674</v>
      </c>
      <c r="T2026" s="8">
        <v>1941.722</v>
      </c>
      <c r="U2026" s="8">
        <v>1418.5260000000001</v>
      </c>
      <c r="V2026" s="8">
        <v>1107.8240000000001</v>
      </c>
      <c r="W2026" s="8">
        <v>968.13599999999997</v>
      </c>
      <c r="X2026" s="8">
        <v>799.09799999999996</v>
      </c>
      <c r="Y2026" s="8">
        <v>527.96100000000001</v>
      </c>
      <c r="Z2026" s="8">
        <v>266.774</v>
      </c>
      <c r="AA2026" s="8">
        <v>101.729</v>
      </c>
      <c r="AB2026" s="8">
        <v>19.748000000000001</v>
      </c>
      <c r="AC2026" s="8">
        <v>2.31</v>
      </c>
    </row>
    <row r="2027" spans="1:29" ht="11.65" hidden="1" x14ac:dyDescent="0.35">
      <c r="A2027" s="12">
        <v>2010</v>
      </c>
      <c r="B2027" s="10" t="s">
        <v>1015</v>
      </c>
      <c r="C2027" s="11" t="s">
        <v>1157</v>
      </c>
      <c r="D2027" s="9"/>
      <c r="E2027" s="9">
        <v>410</v>
      </c>
      <c r="F2027" s="10" t="s">
        <v>1066</v>
      </c>
      <c r="G2027" s="9">
        <v>906</v>
      </c>
      <c r="H2027" s="9">
        <v>2020</v>
      </c>
      <c r="I2027" s="8">
        <v>922.71100000000001</v>
      </c>
      <c r="J2027" s="8">
        <v>1098.0509999999999</v>
      </c>
      <c r="K2027" s="8">
        <v>1101.9380000000001</v>
      </c>
      <c r="L2027" s="8">
        <v>1187.2070000000001</v>
      </c>
      <c r="M2027" s="8">
        <v>1533.115</v>
      </c>
      <c r="N2027" s="8">
        <v>1629.191</v>
      </c>
      <c r="O2027" s="8">
        <v>1548.9380000000001</v>
      </c>
      <c r="P2027" s="8">
        <v>1822.8009999999999</v>
      </c>
      <c r="Q2027" s="8">
        <v>1909.1210000000001</v>
      </c>
      <c r="R2027" s="8">
        <v>2107.4879999999998</v>
      </c>
      <c r="S2027" s="8">
        <v>2147.0309999999999</v>
      </c>
      <c r="T2027" s="8">
        <v>2078.6089999999999</v>
      </c>
      <c r="U2027" s="8">
        <v>1918.662</v>
      </c>
      <c r="V2027" s="8">
        <v>1391.279</v>
      </c>
      <c r="W2027" s="8">
        <v>1068.27</v>
      </c>
      <c r="X2027" s="8">
        <v>897.65499999999997</v>
      </c>
      <c r="Y2027" s="8">
        <v>679.94299999999998</v>
      </c>
      <c r="Z2027" s="8">
        <v>379.18200000000002</v>
      </c>
      <c r="AA2027" s="8">
        <v>143.16999999999999</v>
      </c>
      <c r="AB2027" s="8">
        <v>35.207000000000001</v>
      </c>
      <c r="AC2027" s="8">
        <v>3.76</v>
      </c>
    </row>
    <row r="2028" spans="1:29" ht="11.65" hidden="1" x14ac:dyDescent="0.35">
      <c r="A2028" s="23">
        <v>2011</v>
      </c>
      <c r="B2028" s="21" t="s">
        <v>1015</v>
      </c>
      <c r="C2028" s="29" t="s">
        <v>1158</v>
      </c>
      <c r="D2028" s="20"/>
      <c r="E2028" s="20">
        <v>920</v>
      </c>
      <c r="F2028" s="21" t="s">
        <v>1065</v>
      </c>
      <c r="G2028" s="20">
        <v>1832</v>
      </c>
      <c r="H2028" s="20">
        <v>1950</v>
      </c>
      <c r="I2028" s="19">
        <v>12259.296</v>
      </c>
      <c r="J2028" s="19">
        <v>10271.493</v>
      </c>
      <c r="K2028" s="19">
        <v>9614.0720000000001</v>
      </c>
      <c r="L2028" s="19">
        <v>8696.1980000000003</v>
      </c>
      <c r="M2028" s="19">
        <v>7406.4210000000003</v>
      </c>
      <c r="N2028" s="19">
        <v>6228.692</v>
      </c>
      <c r="O2028" s="19">
        <v>5374.6040000000003</v>
      </c>
      <c r="P2028" s="19">
        <v>4842.5860000000002</v>
      </c>
      <c r="Q2028" s="19">
        <v>4200.308</v>
      </c>
      <c r="R2028" s="19">
        <v>3512.326</v>
      </c>
      <c r="S2028" s="19">
        <v>2825.5610000000001</v>
      </c>
      <c r="T2028" s="19">
        <v>2365.4290000000001</v>
      </c>
      <c r="U2028" s="19">
        <v>1932.8219999999999</v>
      </c>
      <c r="V2028" s="19">
        <v>1477.74</v>
      </c>
      <c r="W2028" s="19">
        <v>991.63400000000001</v>
      </c>
      <c r="X2028" s="19">
        <v>584.17600000000004</v>
      </c>
      <c r="Y2028" s="19">
        <v>221.405</v>
      </c>
      <c r="Z2028" s="19">
        <v>83.221999999999994</v>
      </c>
      <c r="AA2028" s="19">
        <v>23.353999999999999</v>
      </c>
      <c r="AB2028" s="19">
        <v>5.0149999999999997</v>
      </c>
      <c r="AC2028" s="19">
        <v>0.98699999999999999</v>
      </c>
    </row>
    <row r="2029" spans="1:29" ht="11.65" hidden="1" x14ac:dyDescent="0.35">
      <c r="A2029" s="23">
        <v>2012</v>
      </c>
      <c r="B2029" s="21" t="s">
        <v>1015</v>
      </c>
      <c r="C2029" s="29" t="s">
        <v>1158</v>
      </c>
      <c r="D2029" s="20"/>
      <c r="E2029" s="20">
        <v>920</v>
      </c>
      <c r="F2029" s="21" t="s">
        <v>1065</v>
      </c>
      <c r="G2029" s="20">
        <v>1832</v>
      </c>
      <c r="H2029" s="20">
        <v>1955</v>
      </c>
      <c r="I2029" s="19">
        <v>15405.447</v>
      </c>
      <c r="J2029" s="19">
        <v>11433.402</v>
      </c>
      <c r="K2029" s="19">
        <v>10038.953</v>
      </c>
      <c r="L2029" s="19">
        <v>9453.8109999999997</v>
      </c>
      <c r="M2029" s="19">
        <v>8504.7279999999992</v>
      </c>
      <c r="N2029" s="19">
        <v>7196.8159999999998</v>
      </c>
      <c r="O2029" s="19">
        <v>6026.7979999999998</v>
      </c>
      <c r="P2029" s="19">
        <v>5175.0069999999996</v>
      </c>
      <c r="Q2029" s="19">
        <v>4650.1440000000002</v>
      </c>
      <c r="R2029" s="19">
        <v>4015.4229999999998</v>
      </c>
      <c r="S2029" s="19">
        <v>3316.6410000000001</v>
      </c>
      <c r="T2029" s="19">
        <v>2614.77</v>
      </c>
      <c r="U2029" s="19">
        <v>2112.636</v>
      </c>
      <c r="V2029" s="19">
        <v>1622.2550000000001</v>
      </c>
      <c r="W2029" s="19">
        <v>1126.143</v>
      </c>
      <c r="X2029" s="19">
        <v>651.83199999999999</v>
      </c>
      <c r="Y2029" s="19">
        <v>306.779</v>
      </c>
      <c r="Z2029" s="19">
        <v>79.48</v>
      </c>
      <c r="AA2029" s="19">
        <v>22.178000000000001</v>
      </c>
      <c r="AB2029" s="19">
        <v>4.7670000000000003</v>
      </c>
      <c r="AC2029" s="19">
        <v>0.96599999999999997</v>
      </c>
    </row>
    <row r="2030" spans="1:29" ht="11.65" hidden="1" x14ac:dyDescent="0.35">
      <c r="A2030" s="23">
        <v>2013</v>
      </c>
      <c r="B2030" s="21" t="s">
        <v>1015</v>
      </c>
      <c r="C2030" s="29" t="s">
        <v>1158</v>
      </c>
      <c r="D2030" s="20"/>
      <c r="E2030" s="20">
        <v>920</v>
      </c>
      <c r="F2030" s="21" t="s">
        <v>1065</v>
      </c>
      <c r="G2030" s="20">
        <v>1832</v>
      </c>
      <c r="H2030" s="20">
        <v>1960</v>
      </c>
      <c r="I2030" s="19">
        <v>18448.688999999998</v>
      </c>
      <c r="J2030" s="19">
        <v>14583.575000000001</v>
      </c>
      <c r="K2030" s="19">
        <v>11208.24</v>
      </c>
      <c r="L2030" s="19">
        <v>9884.7929999999997</v>
      </c>
      <c r="M2030" s="19">
        <v>9259.2849999999999</v>
      </c>
      <c r="N2030" s="19">
        <v>8289.634</v>
      </c>
      <c r="O2030" s="19">
        <v>6984.6729999999998</v>
      </c>
      <c r="P2030" s="19">
        <v>5820.6779999999999</v>
      </c>
      <c r="Q2030" s="19">
        <v>4976.1909999999998</v>
      </c>
      <c r="R2030" s="19">
        <v>4450.7079999999996</v>
      </c>
      <c r="S2030" s="19">
        <v>3796.6129999999998</v>
      </c>
      <c r="T2030" s="19">
        <v>3074.5210000000002</v>
      </c>
      <c r="U2030" s="19">
        <v>2346.2199999999998</v>
      </c>
      <c r="V2030" s="19">
        <v>1792.521</v>
      </c>
      <c r="W2030" s="19">
        <v>1252.3050000000001</v>
      </c>
      <c r="X2030" s="19">
        <v>757.93299999999999</v>
      </c>
      <c r="Y2030" s="19">
        <v>356.22699999999998</v>
      </c>
      <c r="Z2030" s="19">
        <v>115.91500000000001</v>
      </c>
      <c r="AA2030" s="19">
        <v>21.692</v>
      </c>
      <c r="AB2030" s="19">
        <v>4.532</v>
      </c>
      <c r="AC2030" s="19">
        <v>0.88400000000000001</v>
      </c>
    </row>
    <row r="2031" spans="1:29" ht="11.65" hidden="1" x14ac:dyDescent="0.35">
      <c r="A2031" s="23">
        <v>2014</v>
      </c>
      <c r="B2031" s="21" t="s">
        <v>1015</v>
      </c>
      <c r="C2031" s="29" t="s">
        <v>1158</v>
      </c>
      <c r="D2031" s="20"/>
      <c r="E2031" s="20">
        <v>920</v>
      </c>
      <c r="F2031" s="21" t="s">
        <v>1065</v>
      </c>
      <c r="G2031" s="20">
        <v>1832</v>
      </c>
      <c r="H2031" s="20">
        <v>1965</v>
      </c>
      <c r="I2031" s="19">
        <v>20943.732</v>
      </c>
      <c r="J2031" s="19">
        <v>17652.988000000001</v>
      </c>
      <c r="K2031" s="19">
        <v>14343.169</v>
      </c>
      <c r="L2031" s="19">
        <v>11061.222</v>
      </c>
      <c r="M2031" s="19">
        <v>9691.3510000000006</v>
      </c>
      <c r="N2031" s="19">
        <v>9041.2099999999991</v>
      </c>
      <c r="O2031" s="19">
        <v>8065.9669999999996</v>
      </c>
      <c r="P2031" s="19">
        <v>6765.7529999999997</v>
      </c>
      <c r="Q2031" s="19">
        <v>5612.3909999999996</v>
      </c>
      <c r="R2031" s="19">
        <v>4770.9589999999998</v>
      </c>
      <c r="S2031" s="19">
        <v>4223.2380000000003</v>
      </c>
      <c r="T2031" s="19">
        <v>3532.395</v>
      </c>
      <c r="U2031" s="19">
        <v>2777.6489999999999</v>
      </c>
      <c r="V2031" s="19">
        <v>2013.42</v>
      </c>
      <c r="W2031" s="19">
        <v>1411.067</v>
      </c>
      <c r="X2031" s="19">
        <v>866.44399999999996</v>
      </c>
      <c r="Y2031" s="19">
        <v>428.37900000000002</v>
      </c>
      <c r="Z2031" s="19">
        <v>138.74</v>
      </c>
      <c r="AA2031" s="19">
        <v>33.265000000000001</v>
      </c>
      <c r="AB2031" s="19">
        <v>4.3419999999999996</v>
      </c>
      <c r="AC2031" s="19">
        <v>0.76300000000000001</v>
      </c>
    </row>
    <row r="2032" spans="1:29" ht="11.65" hidden="1" x14ac:dyDescent="0.35">
      <c r="A2032" s="23">
        <v>2015</v>
      </c>
      <c r="B2032" s="21" t="s">
        <v>1015</v>
      </c>
      <c r="C2032" s="29" t="s">
        <v>1158</v>
      </c>
      <c r="D2032" s="20"/>
      <c r="E2032" s="20">
        <v>920</v>
      </c>
      <c r="F2032" s="21" t="s">
        <v>1065</v>
      </c>
      <c r="G2032" s="20">
        <v>1832</v>
      </c>
      <c r="H2032" s="20">
        <v>1970</v>
      </c>
      <c r="I2032" s="19">
        <v>23135.714</v>
      </c>
      <c r="J2032" s="19">
        <v>20190.573</v>
      </c>
      <c r="K2032" s="19">
        <v>17376.579000000002</v>
      </c>
      <c r="L2032" s="19">
        <v>14136.329</v>
      </c>
      <c r="M2032" s="19">
        <v>10840.121999999999</v>
      </c>
      <c r="N2032" s="19">
        <v>9453.1010000000006</v>
      </c>
      <c r="O2032" s="19">
        <v>8802.4220000000005</v>
      </c>
      <c r="P2032" s="19">
        <v>7823.4539999999997</v>
      </c>
      <c r="Q2032" s="19">
        <v>6533.0370000000003</v>
      </c>
      <c r="R2032" s="19">
        <v>5389.8580000000002</v>
      </c>
      <c r="S2032" s="19">
        <v>4530.7749999999996</v>
      </c>
      <c r="T2032" s="19">
        <v>3938.1610000000001</v>
      </c>
      <c r="U2032" s="19">
        <v>3196.9879999999998</v>
      </c>
      <c r="V2032" s="19">
        <v>2401.08</v>
      </c>
      <c r="W2032" s="19">
        <v>1610.1489999999999</v>
      </c>
      <c r="X2032" s="19">
        <v>996.45399999999995</v>
      </c>
      <c r="Y2032" s="19">
        <v>505.70400000000001</v>
      </c>
      <c r="Z2032" s="19">
        <v>176.89599999999999</v>
      </c>
      <c r="AA2032" s="19">
        <v>42.624000000000002</v>
      </c>
      <c r="AB2032" s="19">
        <v>7.4690000000000003</v>
      </c>
      <c r="AC2032" s="19">
        <v>0.76500000000000001</v>
      </c>
    </row>
    <row r="2033" spans="1:29" ht="11.65" hidden="1" x14ac:dyDescent="0.35">
      <c r="A2033" s="23">
        <v>2016</v>
      </c>
      <c r="B2033" s="21" t="s">
        <v>1015</v>
      </c>
      <c r="C2033" s="29" t="s">
        <v>1158</v>
      </c>
      <c r="D2033" s="20"/>
      <c r="E2033" s="20">
        <v>920</v>
      </c>
      <c r="F2033" s="21" t="s">
        <v>1065</v>
      </c>
      <c r="G2033" s="20">
        <v>1832</v>
      </c>
      <c r="H2033" s="20">
        <v>1975</v>
      </c>
      <c r="I2033" s="19">
        <v>24838.098000000002</v>
      </c>
      <c r="J2033" s="19">
        <v>22471.142</v>
      </c>
      <c r="K2033" s="19">
        <v>19900.294000000002</v>
      </c>
      <c r="L2033" s="19">
        <v>17183.415000000001</v>
      </c>
      <c r="M2033" s="19">
        <v>13954.456</v>
      </c>
      <c r="N2033" s="19">
        <v>10651.550999999999</v>
      </c>
      <c r="O2033" s="19">
        <v>9239.7389999999996</v>
      </c>
      <c r="P2033" s="19">
        <v>8571.4490000000005</v>
      </c>
      <c r="Q2033" s="19">
        <v>7579.0209999999997</v>
      </c>
      <c r="R2033" s="19">
        <v>6286.7250000000004</v>
      </c>
      <c r="S2033" s="19">
        <v>5125.9319999999998</v>
      </c>
      <c r="T2033" s="19">
        <v>4223.6440000000002</v>
      </c>
      <c r="U2033" s="19">
        <v>3566.7060000000001</v>
      </c>
      <c r="V2033" s="19">
        <v>2752.0949999999998</v>
      </c>
      <c r="W2033" s="19">
        <v>1894.123</v>
      </c>
      <c r="X2033" s="19">
        <v>1115.1300000000001</v>
      </c>
      <c r="Y2033" s="19">
        <v>560.49699999999996</v>
      </c>
      <c r="Z2033" s="19">
        <v>195.864</v>
      </c>
      <c r="AA2033" s="19">
        <v>47.945999999999998</v>
      </c>
      <c r="AB2033" s="19">
        <v>7.5650000000000004</v>
      </c>
      <c r="AC2033" s="19">
        <v>0.94499999999999995</v>
      </c>
    </row>
    <row r="2034" spans="1:29" ht="11.65" hidden="1" x14ac:dyDescent="0.35">
      <c r="A2034" s="23">
        <v>2017</v>
      </c>
      <c r="B2034" s="21" t="s">
        <v>1015</v>
      </c>
      <c r="C2034" s="29" t="s">
        <v>1158</v>
      </c>
      <c r="D2034" s="20"/>
      <c r="E2034" s="20">
        <v>920</v>
      </c>
      <c r="F2034" s="21" t="s">
        <v>1065</v>
      </c>
      <c r="G2034" s="20">
        <v>1832</v>
      </c>
      <c r="H2034" s="20">
        <v>1980</v>
      </c>
      <c r="I2034" s="19">
        <v>25919.263999999999</v>
      </c>
      <c r="J2034" s="19">
        <v>24172.381000000001</v>
      </c>
      <c r="K2034" s="19">
        <v>22162.596000000001</v>
      </c>
      <c r="L2034" s="19">
        <v>19597.455999999998</v>
      </c>
      <c r="M2034" s="19">
        <v>16836.856</v>
      </c>
      <c r="N2034" s="19">
        <v>13598.737999999999</v>
      </c>
      <c r="O2034" s="19">
        <v>10321.597</v>
      </c>
      <c r="P2034" s="19">
        <v>8935.67</v>
      </c>
      <c r="Q2034" s="19">
        <v>8274.2440000000006</v>
      </c>
      <c r="R2034" s="19">
        <v>7285.3419999999996</v>
      </c>
      <c r="S2034" s="19">
        <v>5984.768</v>
      </c>
      <c r="T2034" s="19">
        <v>4802.2659999999996</v>
      </c>
      <c r="U2034" s="19">
        <v>3854.2449999999999</v>
      </c>
      <c r="V2034" s="19">
        <v>3114.5230000000001</v>
      </c>
      <c r="W2034" s="19">
        <v>2227.5770000000002</v>
      </c>
      <c r="X2034" s="19">
        <v>1365.566</v>
      </c>
      <c r="Y2034" s="19">
        <v>667.88599999999997</v>
      </c>
      <c r="Z2034" s="19">
        <v>241.83099999999999</v>
      </c>
      <c r="AA2034" s="19">
        <v>62.609000000000002</v>
      </c>
      <c r="AB2034" s="19">
        <v>11.018000000000001</v>
      </c>
      <c r="AC2034" s="19">
        <v>1.2849999999999999</v>
      </c>
    </row>
    <row r="2035" spans="1:29" ht="11.65" hidden="1" x14ac:dyDescent="0.35">
      <c r="A2035" s="23">
        <v>2018</v>
      </c>
      <c r="B2035" s="21" t="s">
        <v>1015</v>
      </c>
      <c r="C2035" s="29" t="s">
        <v>1158</v>
      </c>
      <c r="D2035" s="20"/>
      <c r="E2035" s="20">
        <v>920</v>
      </c>
      <c r="F2035" s="21" t="s">
        <v>1065</v>
      </c>
      <c r="G2035" s="20">
        <v>1832</v>
      </c>
      <c r="H2035" s="20">
        <v>1985</v>
      </c>
      <c r="I2035" s="19">
        <v>27399.811000000002</v>
      </c>
      <c r="J2035" s="19">
        <v>25455.059000000001</v>
      </c>
      <c r="K2035" s="19">
        <v>23952.968000000001</v>
      </c>
      <c r="L2035" s="19">
        <v>21930.464</v>
      </c>
      <c r="M2035" s="19">
        <v>19300.615000000002</v>
      </c>
      <c r="N2035" s="19">
        <v>16601.144</v>
      </c>
      <c r="O2035" s="19">
        <v>13431.763999999999</v>
      </c>
      <c r="P2035" s="19">
        <v>10157.582</v>
      </c>
      <c r="Q2035" s="19">
        <v>8760.4570000000003</v>
      </c>
      <c r="R2035" s="19">
        <v>8066.6210000000001</v>
      </c>
      <c r="S2035" s="19">
        <v>7026.973</v>
      </c>
      <c r="T2035" s="19">
        <v>5679.5959999999995</v>
      </c>
      <c r="U2035" s="19">
        <v>4435.1610000000001</v>
      </c>
      <c r="V2035" s="19">
        <v>3399.7849999999999</v>
      </c>
      <c r="W2035" s="19">
        <v>2560.451</v>
      </c>
      <c r="X2035" s="19">
        <v>1640.171</v>
      </c>
      <c r="Y2035" s="19">
        <v>847.96799999999996</v>
      </c>
      <c r="Z2035" s="19">
        <v>303.77699999999999</v>
      </c>
      <c r="AA2035" s="19">
        <v>80.727999999999994</v>
      </c>
      <c r="AB2035" s="19">
        <v>14.513</v>
      </c>
      <c r="AC2035" s="19">
        <v>1.704</v>
      </c>
    </row>
    <row r="2036" spans="1:29" ht="11.65" hidden="1" x14ac:dyDescent="0.35">
      <c r="A2036" s="23">
        <v>2019</v>
      </c>
      <c r="B2036" s="21" t="s">
        <v>1015</v>
      </c>
      <c r="C2036" s="29" t="s">
        <v>1158</v>
      </c>
      <c r="D2036" s="20"/>
      <c r="E2036" s="20">
        <v>920</v>
      </c>
      <c r="F2036" s="21" t="s">
        <v>1065</v>
      </c>
      <c r="G2036" s="20">
        <v>1832</v>
      </c>
      <c r="H2036" s="20">
        <v>1990</v>
      </c>
      <c r="I2036" s="19">
        <v>27786.993999999999</v>
      </c>
      <c r="J2036" s="19">
        <v>26971.213</v>
      </c>
      <c r="K2036" s="19">
        <v>25240.531999999999</v>
      </c>
      <c r="L2036" s="19">
        <v>23693.452000000001</v>
      </c>
      <c r="M2036" s="19">
        <v>21563.743999999999</v>
      </c>
      <c r="N2036" s="19">
        <v>19029.539000000001</v>
      </c>
      <c r="O2036" s="19">
        <v>16444.080999999998</v>
      </c>
      <c r="P2036" s="19">
        <v>13288.347</v>
      </c>
      <c r="Q2036" s="19">
        <v>9995.9650000000001</v>
      </c>
      <c r="R2036" s="19">
        <v>8568.2780000000002</v>
      </c>
      <c r="S2036" s="19">
        <v>7805.9970000000003</v>
      </c>
      <c r="T2036" s="19">
        <v>6697.375</v>
      </c>
      <c r="U2036" s="19">
        <v>5291.1670000000004</v>
      </c>
      <c r="V2036" s="19">
        <v>3952.34</v>
      </c>
      <c r="W2036" s="19">
        <v>2820.654</v>
      </c>
      <c r="X2036" s="19">
        <v>1916.1389999999999</v>
      </c>
      <c r="Y2036" s="19">
        <v>1036.5840000000001</v>
      </c>
      <c r="Z2036" s="19">
        <v>403.41500000000002</v>
      </c>
      <c r="AA2036" s="19">
        <v>112.42700000000001</v>
      </c>
      <c r="AB2036" s="19">
        <v>21.86</v>
      </c>
      <c r="AC2036" s="19">
        <v>2.8250000000000002</v>
      </c>
    </row>
    <row r="2037" spans="1:29" ht="11.65" hidden="1" x14ac:dyDescent="0.35">
      <c r="A2037" s="23">
        <v>2020</v>
      </c>
      <c r="B2037" s="21" t="s">
        <v>1015</v>
      </c>
      <c r="C2037" s="29" t="s">
        <v>1158</v>
      </c>
      <c r="D2037" s="20"/>
      <c r="E2037" s="20">
        <v>920</v>
      </c>
      <c r="F2037" s="21" t="s">
        <v>1065</v>
      </c>
      <c r="G2037" s="20">
        <v>1832</v>
      </c>
      <c r="H2037" s="20">
        <v>1995</v>
      </c>
      <c r="I2037" s="19">
        <v>27880.153999999999</v>
      </c>
      <c r="J2037" s="19">
        <v>27561.69</v>
      </c>
      <c r="K2037" s="19">
        <v>26904.109</v>
      </c>
      <c r="L2037" s="19">
        <v>25079.286</v>
      </c>
      <c r="M2037" s="19">
        <v>23294.079000000002</v>
      </c>
      <c r="N2037" s="19">
        <v>21132.441999999999</v>
      </c>
      <c r="O2037" s="19">
        <v>18719.012999999999</v>
      </c>
      <c r="P2037" s="19">
        <v>16172.171</v>
      </c>
      <c r="Q2037" s="19">
        <v>13022.869000000001</v>
      </c>
      <c r="R2037" s="19">
        <v>9738.6669999999995</v>
      </c>
      <c r="S2037" s="19">
        <v>8270.3649999999998</v>
      </c>
      <c r="T2037" s="19">
        <v>7436.4769999999999</v>
      </c>
      <c r="U2037" s="19">
        <v>6241.0820000000003</v>
      </c>
      <c r="V2037" s="19">
        <v>4738.4059999999999</v>
      </c>
      <c r="W2037" s="19">
        <v>3319.4169999999999</v>
      </c>
      <c r="X2037" s="19">
        <v>2138.0010000000002</v>
      </c>
      <c r="Y2037" s="19">
        <v>1229.1859999999999</v>
      </c>
      <c r="Z2037" s="19">
        <v>497.72699999999998</v>
      </c>
      <c r="AA2037" s="19">
        <v>154.88200000000001</v>
      </c>
      <c r="AB2037" s="19">
        <v>32.555999999999997</v>
      </c>
      <c r="AC2037" s="19">
        <v>4.5389999999999997</v>
      </c>
    </row>
    <row r="2038" spans="1:29" ht="11.65" hidden="1" x14ac:dyDescent="0.35">
      <c r="A2038" s="23">
        <v>2021</v>
      </c>
      <c r="B2038" s="21" t="s">
        <v>1015</v>
      </c>
      <c r="C2038" s="29" t="s">
        <v>1158</v>
      </c>
      <c r="D2038" s="20"/>
      <c r="E2038" s="20">
        <v>920</v>
      </c>
      <c r="F2038" s="21" t="s">
        <v>1065</v>
      </c>
      <c r="G2038" s="20">
        <v>1832</v>
      </c>
      <c r="H2038" s="20">
        <v>2000</v>
      </c>
      <c r="I2038" s="19">
        <v>26775.210999999999</v>
      </c>
      <c r="J2038" s="19">
        <v>27639.013999999999</v>
      </c>
      <c r="K2038" s="19">
        <v>27438.432000000001</v>
      </c>
      <c r="L2038" s="19">
        <v>26737.572</v>
      </c>
      <c r="M2038" s="19">
        <v>24463.137999999999</v>
      </c>
      <c r="N2038" s="19">
        <v>22856.455999999998</v>
      </c>
      <c r="O2038" s="19">
        <v>21047.949000000001</v>
      </c>
      <c r="P2038" s="19">
        <v>18770.137999999999</v>
      </c>
      <c r="Q2038" s="19">
        <v>16167.636</v>
      </c>
      <c r="R2038" s="19">
        <v>12839.556</v>
      </c>
      <c r="S2038" s="19">
        <v>9420.4740000000002</v>
      </c>
      <c r="T2038" s="19">
        <v>7853.6980000000003</v>
      </c>
      <c r="U2038" s="19">
        <v>6931.1750000000002</v>
      </c>
      <c r="V2038" s="19">
        <v>5638.1880000000001</v>
      </c>
      <c r="W2038" s="19">
        <v>4045.5479999999998</v>
      </c>
      <c r="X2038" s="19">
        <v>2597.9160000000002</v>
      </c>
      <c r="Y2038" s="19">
        <v>1437.6389999999999</v>
      </c>
      <c r="Z2038" s="19">
        <v>612.92399999999998</v>
      </c>
      <c r="AA2038" s="19">
        <v>194.10300000000001</v>
      </c>
      <c r="AB2038" s="19">
        <v>47.445</v>
      </c>
      <c r="AC2038" s="19">
        <v>7.2729999999999997</v>
      </c>
    </row>
    <row r="2039" spans="1:29" ht="11.65" hidden="1" x14ac:dyDescent="0.35">
      <c r="A2039" s="23">
        <v>2022</v>
      </c>
      <c r="B2039" s="21" t="s">
        <v>1015</v>
      </c>
      <c r="C2039" s="29" t="s">
        <v>1158</v>
      </c>
      <c r="D2039" s="20"/>
      <c r="E2039" s="20">
        <v>920</v>
      </c>
      <c r="F2039" s="21" t="s">
        <v>1065</v>
      </c>
      <c r="G2039" s="20">
        <v>1832</v>
      </c>
      <c r="H2039" s="20">
        <v>2005</v>
      </c>
      <c r="I2039" s="19">
        <v>26964.968000000001</v>
      </c>
      <c r="J2039" s="19">
        <v>27276.07</v>
      </c>
      <c r="K2039" s="19">
        <v>27929.126</v>
      </c>
      <c r="L2039" s="19">
        <v>27273.634999999998</v>
      </c>
      <c r="M2039" s="19">
        <v>25895.678</v>
      </c>
      <c r="N2039" s="19">
        <v>24120.758999999998</v>
      </c>
      <c r="O2039" s="19">
        <v>22402.236000000001</v>
      </c>
      <c r="P2039" s="19">
        <v>20546.264999999999</v>
      </c>
      <c r="Q2039" s="19">
        <v>18223.78</v>
      </c>
      <c r="R2039" s="19">
        <v>15449.544</v>
      </c>
      <c r="S2039" s="19">
        <v>12475.691000000001</v>
      </c>
      <c r="T2039" s="19">
        <v>9173.0589999999993</v>
      </c>
      <c r="U2039" s="19">
        <v>7321.71</v>
      </c>
      <c r="V2039" s="19">
        <v>5997.39</v>
      </c>
      <c r="W2039" s="19">
        <v>4666.6729999999998</v>
      </c>
      <c r="X2039" s="19">
        <v>2996.1410000000001</v>
      </c>
      <c r="Y2039" s="19">
        <v>1723.7249999999999</v>
      </c>
      <c r="Z2039" s="19">
        <v>741.91499999999996</v>
      </c>
      <c r="AA2039" s="19">
        <v>249.22900000000001</v>
      </c>
      <c r="AB2039" s="19">
        <v>60.066000000000003</v>
      </c>
      <c r="AC2039" s="19">
        <v>11.103</v>
      </c>
    </row>
    <row r="2040" spans="1:29" ht="11.65" hidden="1" x14ac:dyDescent="0.35">
      <c r="A2040" s="23">
        <v>2023</v>
      </c>
      <c r="B2040" s="21" t="s">
        <v>1015</v>
      </c>
      <c r="C2040" s="29" t="s">
        <v>1158</v>
      </c>
      <c r="D2040" s="20"/>
      <c r="E2040" s="20">
        <v>920</v>
      </c>
      <c r="F2040" s="21" t="s">
        <v>1065</v>
      </c>
      <c r="G2040" s="20">
        <v>1832</v>
      </c>
      <c r="H2040" s="20">
        <v>2010</v>
      </c>
      <c r="I2040" s="19">
        <v>27054.639999999999</v>
      </c>
      <c r="J2040" s="19">
        <v>26979.766</v>
      </c>
      <c r="K2040" s="19">
        <v>27121.072</v>
      </c>
      <c r="L2040" s="19">
        <v>27219.718000000001</v>
      </c>
      <c r="M2040" s="19">
        <v>25952.325000000001</v>
      </c>
      <c r="N2040" s="19">
        <v>25884.447</v>
      </c>
      <c r="O2040" s="19">
        <v>23657.484</v>
      </c>
      <c r="P2040" s="19">
        <v>22303.232</v>
      </c>
      <c r="Q2040" s="19">
        <v>20489.626</v>
      </c>
      <c r="R2040" s="19">
        <v>18030.181</v>
      </c>
      <c r="S2040" s="19">
        <v>15266.165000000001</v>
      </c>
      <c r="T2040" s="19">
        <v>11599.779</v>
      </c>
      <c r="U2040" s="19">
        <v>8451.59</v>
      </c>
      <c r="V2040" s="19">
        <v>6381.4870000000001</v>
      </c>
      <c r="W2040" s="19">
        <v>5181.3999999999996</v>
      </c>
      <c r="X2040" s="19">
        <v>3580.5309999999999</v>
      </c>
      <c r="Y2040" s="19">
        <v>2097.5320000000002</v>
      </c>
      <c r="Z2040" s="19">
        <v>943.21799999999996</v>
      </c>
      <c r="AA2040" s="19">
        <v>312.91300000000001</v>
      </c>
      <c r="AB2040" s="19">
        <v>80.634</v>
      </c>
      <c r="AC2040" s="19">
        <v>14.932</v>
      </c>
    </row>
    <row r="2041" spans="1:29" ht="11.65" hidden="1" x14ac:dyDescent="0.35">
      <c r="A2041" s="23">
        <v>2024</v>
      </c>
      <c r="B2041" s="21" t="s">
        <v>1015</v>
      </c>
      <c r="C2041" s="29" t="s">
        <v>1158</v>
      </c>
      <c r="D2041" s="20"/>
      <c r="E2041" s="20">
        <v>920</v>
      </c>
      <c r="F2041" s="21" t="s">
        <v>1065</v>
      </c>
      <c r="G2041" s="20">
        <v>1832</v>
      </c>
      <c r="H2041" s="20">
        <v>2015</v>
      </c>
      <c r="I2041" s="19">
        <v>27941.727999999999</v>
      </c>
      <c r="J2041" s="19">
        <v>26949.559000000001</v>
      </c>
      <c r="K2041" s="19">
        <v>26950.800999999999</v>
      </c>
      <c r="L2041" s="19">
        <v>27072.399000000001</v>
      </c>
      <c r="M2041" s="19">
        <v>26910.949000000001</v>
      </c>
      <c r="N2041" s="19">
        <v>25514.819</v>
      </c>
      <c r="O2041" s="19">
        <v>25427.597000000002</v>
      </c>
      <c r="P2041" s="19">
        <v>23330.728999999999</v>
      </c>
      <c r="Q2041" s="19">
        <v>22045.739000000001</v>
      </c>
      <c r="R2041" s="19">
        <v>20132.293000000001</v>
      </c>
      <c r="S2041" s="19">
        <v>17602.067999999999</v>
      </c>
      <c r="T2041" s="19">
        <v>14726.224</v>
      </c>
      <c r="U2041" s="19">
        <v>10990.751</v>
      </c>
      <c r="V2041" s="19">
        <v>7759.3760000000002</v>
      </c>
      <c r="W2041" s="19">
        <v>5587.4</v>
      </c>
      <c r="X2041" s="19">
        <v>4149.6570000000002</v>
      </c>
      <c r="Y2041" s="19">
        <v>2497.73</v>
      </c>
      <c r="Z2041" s="19">
        <v>1215.827</v>
      </c>
      <c r="AA2041" s="19">
        <v>421.07900000000001</v>
      </c>
      <c r="AB2041" s="19">
        <v>104.273</v>
      </c>
      <c r="AC2041" s="19">
        <v>20.916</v>
      </c>
    </row>
    <row r="2042" spans="1:29" ht="11.65" hidden="1" x14ac:dyDescent="0.35">
      <c r="A2042" s="23">
        <v>2025</v>
      </c>
      <c r="B2042" s="21" t="s">
        <v>1015</v>
      </c>
      <c r="C2042" s="29" t="s">
        <v>1158</v>
      </c>
      <c r="D2042" s="20"/>
      <c r="E2042" s="20">
        <v>920</v>
      </c>
      <c r="F2042" s="21" t="s">
        <v>1065</v>
      </c>
      <c r="G2042" s="20">
        <v>1832</v>
      </c>
      <c r="H2042" s="20">
        <v>2020</v>
      </c>
      <c r="I2042" s="19">
        <v>27204.303</v>
      </c>
      <c r="J2042" s="19">
        <v>27780.59</v>
      </c>
      <c r="K2042" s="19">
        <v>26846.138999999999</v>
      </c>
      <c r="L2042" s="19">
        <v>26756.157999999999</v>
      </c>
      <c r="M2042" s="19">
        <v>26756.373</v>
      </c>
      <c r="N2042" s="19">
        <v>26582.732</v>
      </c>
      <c r="O2042" s="19">
        <v>25222.839</v>
      </c>
      <c r="P2042" s="19">
        <v>25144.564999999999</v>
      </c>
      <c r="Q2042" s="19">
        <v>23036.463</v>
      </c>
      <c r="R2042" s="19">
        <v>21696.013999999999</v>
      </c>
      <c r="S2042" s="19">
        <v>19695.861000000001</v>
      </c>
      <c r="T2042" s="19">
        <v>17046.487000000001</v>
      </c>
      <c r="U2042" s="19">
        <v>14034.164000000001</v>
      </c>
      <c r="V2042" s="19">
        <v>10210.880999999999</v>
      </c>
      <c r="W2042" s="19">
        <v>6894.7860000000001</v>
      </c>
      <c r="X2042" s="19">
        <v>4576.134</v>
      </c>
      <c r="Y2042" s="19">
        <v>2978.5509999999999</v>
      </c>
      <c r="Z2042" s="19">
        <v>1489.867</v>
      </c>
      <c r="AA2042" s="19">
        <v>561.78099999999995</v>
      </c>
      <c r="AB2042" s="19">
        <v>145.49600000000001</v>
      </c>
      <c r="AC2042" s="19">
        <v>27.963000000000001</v>
      </c>
    </row>
    <row r="2043" spans="1:29" ht="11.65" hidden="1" x14ac:dyDescent="0.35">
      <c r="A2043" s="12">
        <v>2026</v>
      </c>
      <c r="B2043" s="10" t="s">
        <v>1015</v>
      </c>
      <c r="C2043" s="11" t="s">
        <v>1159</v>
      </c>
      <c r="D2043" s="9"/>
      <c r="E2043" s="9">
        <v>96</v>
      </c>
      <c r="F2043" s="10" t="s">
        <v>1066</v>
      </c>
      <c r="G2043" s="9">
        <v>920</v>
      </c>
      <c r="H2043" s="9">
        <v>1950</v>
      </c>
      <c r="I2043" s="8">
        <v>3.181</v>
      </c>
      <c r="J2043" s="8">
        <v>2.7370000000000001</v>
      </c>
      <c r="K2043" s="8">
        <v>2.4510000000000001</v>
      </c>
      <c r="L2043" s="8">
        <v>2.2010000000000001</v>
      </c>
      <c r="M2043" s="8">
        <v>1.9710000000000001</v>
      </c>
      <c r="N2043" s="8">
        <v>1.7649999999999999</v>
      </c>
      <c r="O2043" s="8">
        <v>1.5760000000000001</v>
      </c>
      <c r="P2043" s="8">
        <v>1.403</v>
      </c>
      <c r="Q2043" s="8">
        <v>1.2450000000000001</v>
      </c>
      <c r="R2043" s="8">
        <v>1.097</v>
      </c>
      <c r="S2043" s="8">
        <v>0.95299999999999996</v>
      </c>
      <c r="T2043" s="8">
        <v>0.80900000000000005</v>
      </c>
      <c r="U2043" s="8">
        <v>0.66</v>
      </c>
      <c r="V2043" s="8">
        <v>0.51</v>
      </c>
      <c r="W2043" s="8">
        <v>0.35599999999999998</v>
      </c>
      <c r="X2043" s="8">
        <v>0.19600000000000001</v>
      </c>
      <c r="Y2043" s="8">
        <v>0.123</v>
      </c>
      <c r="Z2043" s="8">
        <v>5.1999999999999998E-2</v>
      </c>
      <c r="AA2043" s="8">
        <v>1.4999999999999999E-2</v>
      </c>
      <c r="AB2043" s="8">
        <v>3.0000000000000001E-3</v>
      </c>
      <c r="AC2043" s="8">
        <v>0</v>
      </c>
    </row>
    <row r="2044" spans="1:29" ht="11.65" hidden="1" x14ac:dyDescent="0.35">
      <c r="A2044" s="12">
        <v>2027</v>
      </c>
      <c r="B2044" s="10" t="s">
        <v>1015</v>
      </c>
      <c r="C2044" s="11" t="s">
        <v>1159</v>
      </c>
      <c r="D2044" s="9"/>
      <c r="E2044" s="9">
        <v>96</v>
      </c>
      <c r="F2044" s="10" t="s">
        <v>1066</v>
      </c>
      <c r="G2044" s="9">
        <v>920</v>
      </c>
      <c r="H2044" s="9">
        <v>1955</v>
      </c>
      <c r="I2044" s="8">
        <v>6.181</v>
      </c>
      <c r="J2044" s="8">
        <v>3.2069999999999999</v>
      </c>
      <c r="K2044" s="8">
        <v>2.7949999999999999</v>
      </c>
      <c r="L2044" s="8">
        <v>2.6</v>
      </c>
      <c r="M2044" s="8">
        <v>2.5019999999999998</v>
      </c>
      <c r="N2044" s="8">
        <v>2.4</v>
      </c>
      <c r="O2044" s="8">
        <v>2.101</v>
      </c>
      <c r="P2044" s="8">
        <v>1.8009999999999999</v>
      </c>
      <c r="Q2044" s="8">
        <v>1.5</v>
      </c>
      <c r="R2044" s="8">
        <v>1.3009999999999999</v>
      </c>
      <c r="S2044" s="8">
        <v>1.0980000000000001</v>
      </c>
      <c r="T2044" s="8">
        <v>0.89900000000000002</v>
      </c>
      <c r="U2044" s="8">
        <v>0.80100000000000005</v>
      </c>
      <c r="V2044" s="8">
        <v>0.6</v>
      </c>
      <c r="W2044" s="8">
        <v>0.4</v>
      </c>
      <c r="X2044" s="8">
        <v>0.30199999999999999</v>
      </c>
      <c r="Y2044" s="8">
        <v>0.123</v>
      </c>
      <c r="Z2044" s="8">
        <v>2.8000000000000001E-2</v>
      </c>
      <c r="AA2044" s="8">
        <v>7.0000000000000001E-3</v>
      </c>
      <c r="AB2044" s="8">
        <v>0</v>
      </c>
      <c r="AC2044" s="8">
        <v>0</v>
      </c>
    </row>
    <row r="2045" spans="1:29" ht="11.65" hidden="1" x14ac:dyDescent="0.35">
      <c r="A2045" s="12">
        <v>2028</v>
      </c>
      <c r="B2045" s="10" t="s">
        <v>1015</v>
      </c>
      <c r="C2045" s="11" t="s">
        <v>1159</v>
      </c>
      <c r="D2045" s="9"/>
      <c r="E2045" s="9">
        <v>96</v>
      </c>
      <c r="F2045" s="10" t="s">
        <v>1066</v>
      </c>
      <c r="G2045" s="9">
        <v>920</v>
      </c>
      <c r="H2045" s="9">
        <v>1960</v>
      </c>
      <c r="I2045" s="8">
        <v>7.8780000000000001</v>
      </c>
      <c r="J2045" s="8">
        <v>6.194</v>
      </c>
      <c r="K2045" s="8">
        <v>3.2</v>
      </c>
      <c r="L2045" s="8">
        <v>2.895</v>
      </c>
      <c r="M2045" s="8">
        <v>2.9</v>
      </c>
      <c r="N2045" s="8">
        <v>3.0019999999999998</v>
      </c>
      <c r="O2045" s="8">
        <v>2.7</v>
      </c>
      <c r="P2045" s="8">
        <v>2.2989999999999999</v>
      </c>
      <c r="Q2045" s="8">
        <v>1.9</v>
      </c>
      <c r="R2045" s="8">
        <v>1.6</v>
      </c>
      <c r="S2045" s="8">
        <v>1.3</v>
      </c>
      <c r="T2045" s="8">
        <v>1.097</v>
      </c>
      <c r="U2045" s="8">
        <v>0.9</v>
      </c>
      <c r="V2045" s="8">
        <v>0.7</v>
      </c>
      <c r="W2045" s="8">
        <v>0.499</v>
      </c>
      <c r="X2045" s="8">
        <v>0.29899999999999999</v>
      </c>
      <c r="Y2045" s="8">
        <v>0.14199999999999999</v>
      </c>
      <c r="Z2045" s="8">
        <v>3.2000000000000001E-2</v>
      </c>
      <c r="AA2045" s="8">
        <v>4.0000000000000001E-3</v>
      </c>
      <c r="AB2045" s="8">
        <v>0</v>
      </c>
      <c r="AC2045" s="8">
        <v>0</v>
      </c>
    </row>
    <row r="2046" spans="1:29" ht="11.65" hidden="1" x14ac:dyDescent="0.35">
      <c r="A2046" s="12">
        <v>2029</v>
      </c>
      <c r="B2046" s="10" t="s">
        <v>1015</v>
      </c>
      <c r="C2046" s="11" t="s">
        <v>1159</v>
      </c>
      <c r="D2046" s="9"/>
      <c r="E2046" s="9">
        <v>96</v>
      </c>
      <c r="F2046" s="10" t="s">
        <v>1066</v>
      </c>
      <c r="G2046" s="9">
        <v>920</v>
      </c>
      <c r="H2046" s="9">
        <v>1965</v>
      </c>
      <c r="I2046" s="8">
        <v>9.1199999999999992</v>
      </c>
      <c r="J2046" s="8">
        <v>7.8890000000000002</v>
      </c>
      <c r="K2046" s="8">
        <v>6.1859999999999999</v>
      </c>
      <c r="L2046" s="8">
        <v>3.399</v>
      </c>
      <c r="M2046" s="8">
        <v>3.1949999999999998</v>
      </c>
      <c r="N2046" s="8">
        <v>3.3010000000000002</v>
      </c>
      <c r="O2046" s="8">
        <v>3.3</v>
      </c>
      <c r="P2046" s="8">
        <v>2.899</v>
      </c>
      <c r="Q2046" s="8">
        <v>2.3980000000000001</v>
      </c>
      <c r="R2046" s="8">
        <v>1.998</v>
      </c>
      <c r="S2046" s="8">
        <v>1.6</v>
      </c>
      <c r="T2046" s="8">
        <v>1.2989999999999999</v>
      </c>
      <c r="U2046" s="8">
        <v>1</v>
      </c>
      <c r="V2046" s="8">
        <v>0.80100000000000005</v>
      </c>
      <c r="W2046" s="8">
        <v>0.60099999999999998</v>
      </c>
      <c r="X2046" s="8">
        <v>0.40300000000000002</v>
      </c>
      <c r="Y2046" s="8">
        <v>0.13900000000000001</v>
      </c>
      <c r="Z2046" s="8">
        <v>4.1000000000000002E-2</v>
      </c>
      <c r="AA2046" s="8">
        <v>5.0000000000000001E-3</v>
      </c>
      <c r="AB2046" s="8">
        <v>0</v>
      </c>
      <c r="AC2046" s="8">
        <v>0</v>
      </c>
    </row>
    <row r="2047" spans="1:29" ht="11.65" hidden="1" x14ac:dyDescent="0.35">
      <c r="A2047" s="12">
        <v>2030</v>
      </c>
      <c r="B2047" s="10" t="s">
        <v>1015</v>
      </c>
      <c r="C2047" s="11" t="s">
        <v>1159</v>
      </c>
      <c r="D2047" s="9"/>
      <c r="E2047" s="9">
        <v>96</v>
      </c>
      <c r="F2047" s="10" t="s">
        <v>1066</v>
      </c>
      <c r="G2047" s="9">
        <v>920</v>
      </c>
      <c r="H2047" s="9">
        <v>1970</v>
      </c>
      <c r="I2047" s="8">
        <v>10.167999999999999</v>
      </c>
      <c r="J2047" s="8">
        <v>9.1270000000000007</v>
      </c>
      <c r="K2047" s="8">
        <v>7.7809999999999997</v>
      </c>
      <c r="L2047" s="8">
        <v>6.4880000000000004</v>
      </c>
      <c r="M2047" s="8">
        <v>4.0990000000000002</v>
      </c>
      <c r="N2047" s="8">
        <v>4.0940000000000003</v>
      </c>
      <c r="O2047" s="8">
        <v>3.9990000000000001</v>
      </c>
      <c r="P2047" s="8">
        <v>3.8010000000000002</v>
      </c>
      <c r="Q2047" s="8">
        <v>3.1989999999999998</v>
      </c>
      <c r="R2047" s="8">
        <v>2.6</v>
      </c>
      <c r="S2047" s="8">
        <v>2.1</v>
      </c>
      <c r="T2047" s="8">
        <v>1.6</v>
      </c>
      <c r="U2047" s="8">
        <v>1.298</v>
      </c>
      <c r="V2047" s="8">
        <v>1</v>
      </c>
      <c r="W2047" s="8">
        <v>0.70099999999999996</v>
      </c>
      <c r="X2047" s="8">
        <v>0.40300000000000002</v>
      </c>
      <c r="Y2047" s="8">
        <v>0.22600000000000001</v>
      </c>
      <c r="Z2047" s="8">
        <v>4.4999999999999998E-2</v>
      </c>
      <c r="AA2047" s="8">
        <v>8.9999999999999993E-3</v>
      </c>
      <c r="AB2047" s="8">
        <v>0</v>
      </c>
      <c r="AC2047" s="8">
        <v>0</v>
      </c>
    </row>
    <row r="2048" spans="1:29" ht="11.65" hidden="1" x14ac:dyDescent="0.35">
      <c r="A2048" s="12">
        <v>2031</v>
      </c>
      <c r="B2048" s="10" t="s">
        <v>1015</v>
      </c>
      <c r="C2048" s="11" t="s">
        <v>1159</v>
      </c>
      <c r="D2048" s="9"/>
      <c r="E2048" s="9">
        <v>96</v>
      </c>
      <c r="F2048" s="10" t="s">
        <v>1066</v>
      </c>
      <c r="G2048" s="9">
        <v>920</v>
      </c>
      <c r="H2048" s="9">
        <v>1975</v>
      </c>
      <c r="I2048" s="8">
        <v>12.593</v>
      </c>
      <c r="J2048" s="8">
        <v>10.173</v>
      </c>
      <c r="K2048" s="8">
        <v>9.2210000000000001</v>
      </c>
      <c r="L2048" s="8">
        <v>8.0790000000000006</v>
      </c>
      <c r="M2048" s="8">
        <v>7.1890000000000001</v>
      </c>
      <c r="N2048" s="8">
        <v>5</v>
      </c>
      <c r="O2048" s="8">
        <v>4.7949999999999999</v>
      </c>
      <c r="P2048" s="8">
        <v>4.5</v>
      </c>
      <c r="Q2048" s="8">
        <v>4.101</v>
      </c>
      <c r="R2048" s="8">
        <v>3.4</v>
      </c>
      <c r="S2048" s="8">
        <v>2.7010000000000001</v>
      </c>
      <c r="T2048" s="8">
        <v>2.101</v>
      </c>
      <c r="U2048" s="8">
        <v>1.601</v>
      </c>
      <c r="V2048" s="8">
        <v>1.198</v>
      </c>
      <c r="W2048" s="8">
        <v>0.79900000000000004</v>
      </c>
      <c r="X2048" s="8">
        <v>0.503</v>
      </c>
      <c r="Y2048" s="8">
        <v>0.26500000000000001</v>
      </c>
      <c r="Z2048" s="8">
        <v>7.9000000000000001E-2</v>
      </c>
      <c r="AA2048" s="8">
        <v>0.01</v>
      </c>
      <c r="AB2048" s="8">
        <v>0</v>
      </c>
      <c r="AC2048" s="8">
        <v>0</v>
      </c>
    </row>
    <row r="2049" spans="1:29" ht="11.65" hidden="1" x14ac:dyDescent="0.35">
      <c r="A2049" s="12">
        <v>2032</v>
      </c>
      <c r="B2049" s="10" t="s">
        <v>1015</v>
      </c>
      <c r="C2049" s="11" t="s">
        <v>1159</v>
      </c>
      <c r="D2049" s="9"/>
      <c r="E2049" s="9">
        <v>96</v>
      </c>
      <c r="F2049" s="10" t="s">
        <v>1066</v>
      </c>
      <c r="G2049" s="9">
        <v>920</v>
      </c>
      <c r="H2049" s="9">
        <v>1980</v>
      </c>
      <c r="I2049" s="8">
        <v>13.984999999999999</v>
      </c>
      <c r="J2049" s="8">
        <v>12.356</v>
      </c>
      <c r="K2049" s="8">
        <v>10.589</v>
      </c>
      <c r="L2049" s="8">
        <v>9.7110000000000003</v>
      </c>
      <c r="M2049" s="8">
        <v>10.356999999999999</v>
      </c>
      <c r="N2049" s="8">
        <v>9.1240000000000006</v>
      </c>
      <c r="O2049" s="8">
        <v>6.4480000000000004</v>
      </c>
      <c r="P2049" s="8">
        <v>4.0060000000000002</v>
      </c>
      <c r="Q2049" s="8">
        <v>3.5609999999999999</v>
      </c>
      <c r="R2049" s="8">
        <v>3.1709999999999998</v>
      </c>
      <c r="S2049" s="8">
        <v>2.1640000000000001</v>
      </c>
      <c r="T2049" s="8">
        <v>1.577</v>
      </c>
      <c r="U2049" s="8">
        <v>1.143</v>
      </c>
      <c r="V2049" s="8">
        <v>1.0069999999999999</v>
      </c>
      <c r="W2049" s="8">
        <v>0.70399999999999996</v>
      </c>
      <c r="X2049" s="8">
        <v>0.48499999999999999</v>
      </c>
      <c r="Y2049" s="8">
        <v>0.28899999999999998</v>
      </c>
      <c r="Z2049" s="8">
        <v>9.8000000000000004E-2</v>
      </c>
      <c r="AA2049" s="8">
        <v>1.6E-2</v>
      </c>
      <c r="AB2049" s="8">
        <v>0</v>
      </c>
      <c r="AC2049" s="8">
        <v>0</v>
      </c>
    </row>
    <row r="2050" spans="1:29" ht="11.65" hidden="1" x14ac:dyDescent="0.35">
      <c r="A2050" s="12">
        <v>2033</v>
      </c>
      <c r="B2050" s="10" t="s">
        <v>1015</v>
      </c>
      <c r="C2050" s="11" t="s">
        <v>1159</v>
      </c>
      <c r="D2050" s="9"/>
      <c r="E2050" s="9">
        <v>96</v>
      </c>
      <c r="F2050" s="10" t="s">
        <v>1066</v>
      </c>
      <c r="G2050" s="9">
        <v>920</v>
      </c>
      <c r="H2050" s="9">
        <v>1985</v>
      </c>
      <c r="I2050" s="8">
        <v>15.337</v>
      </c>
      <c r="J2050" s="8">
        <v>13.968999999999999</v>
      </c>
      <c r="K2050" s="8">
        <v>12.388999999999999</v>
      </c>
      <c r="L2050" s="8">
        <v>10.667999999999999</v>
      </c>
      <c r="M2050" s="8">
        <v>9.9190000000000005</v>
      </c>
      <c r="N2050" s="8">
        <v>10.58</v>
      </c>
      <c r="O2050" s="8">
        <v>9.2889999999999997</v>
      </c>
      <c r="P2050" s="8">
        <v>6.5</v>
      </c>
      <c r="Q2050" s="8">
        <v>4.093</v>
      </c>
      <c r="R2050" s="8">
        <v>3.6</v>
      </c>
      <c r="S2050" s="8">
        <v>3.1</v>
      </c>
      <c r="T2050" s="8">
        <v>2.0990000000000002</v>
      </c>
      <c r="U2050" s="8">
        <v>1.4990000000000001</v>
      </c>
      <c r="V2050" s="8">
        <v>0.997</v>
      </c>
      <c r="W2050" s="8">
        <v>0.89900000000000002</v>
      </c>
      <c r="X2050" s="8">
        <v>0.501</v>
      </c>
      <c r="Y2050" s="8">
        <v>0.314</v>
      </c>
      <c r="Z2050" s="8">
        <v>0.114</v>
      </c>
      <c r="AA2050" s="8">
        <v>2.1000000000000001E-2</v>
      </c>
      <c r="AB2050" s="8">
        <v>2E-3</v>
      </c>
      <c r="AC2050" s="8">
        <v>0</v>
      </c>
    </row>
    <row r="2051" spans="1:29" ht="11.65" hidden="1" x14ac:dyDescent="0.35">
      <c r="A2051" s="12">
        <v>2034</v>
      </c>
      <c r="B2051" s="10" t="s">
        <v>1015</v>
      </c>
      <c r="C2051" s="11" t="s">
        <v>1159</v>
      </c>
      <c r="D2051" s="9"/>
      <c r="E2051" s="9">
        <v>96</v>
      </c>
      <c r="F2051" s="10" t="s">
        <v>1066</v>
      </c>
      <c r="G2051" s="9">
        <v>920</v>
      </c>
      <c r="H2051" s="9">
        <v>1990</v>
      </c>
      <c r="I2051" s="8">
        <v>16.597000000000001</v>
      </c>
      <c r="J2051" s="8">
        <v>14.574999999999999</v>
      </c>
      <c r="K2051" s="8">
        <v>12.429</v>
      </c>
      <c r="L2051" s="8">
        <v>11.333</v>
      </c>
      <c r="M2051" s="8">
        <v>12.686</v>
      </c>
      <c r="N2051" s="8">
        <v>12.768000000000001</v>
      </c>
      <c r="O2051" s="8">
        <v>12.129</v>
      </c>
      <c r="P2051" s="8">
        <v>9.4160000000000004</v>
      </c>
      <c r="Q2051" s="8">
        <v>6.1609999999999996</v>
      </c>
      <c r="R2051" s="8">
        <v>3.6480000000000001</v>
      </c>
      <c r="S2051" s="8">
        <v>3.117</v>
      </c>
      <c r="T2051" s="8">
        <v>2.5579999999999998</v>
      </c>
      <c r="U2051" s="8">
        <v>1.64</v>
      </c>
      <c r="V2051" s="8">
        <v>1.2370000000000001</v>
      </c>
      <c r="W2051" s="8">
        <v>0.79800000000000004</v>
      </c>
      <c r="X2051" s="8">
        <v>0.59199999999999997</v>
      </c>
      <c r="Y2051" s="8">
        <v>0.432</v>
      </c>
      <c r="Z2051" s="8">
        <v>0.129</v>
      </c>
      <c r="AA2051" s="8">
        <v>2.7E-2</v>
      </c>
      <c r="AB2051" s="8">
        <v>3.0000000000000001E-3</v>
      </c>
      <c r="AC2051" s="8">
        <v>0</v>
      </c>
    </row>
    <row r="2052" spans="1:29" ht="11.65" hidden="1" x14ac:dyDescent="0.35">
      <c r="A2052" s="12">
        <v>2035</v>
      </c>
      <c r="B2052" s="10" t="s">
        <v>1015</v>
      </c>
      <c r="C2052" s="11" t="s">
        <v>1159</v>
      </c>
      <c r="D2052" s="9"/>
      <c r="E2052" s="9">
        <v>96</v>
      </c>
      <c r="F2052" s="10" t="s">
        <v>1066</v>
      </c>
      <c r="G2052" s="9">
        <v>920</v>
      </c>
      <c r="H2052" s="9">
        <v>1995</v>
      </c>
      <c r="I2052" s="8">
        <v>18.245000000000001</v>
      </c>
      <c r="J2052" s="8">
        <v>15.782</v>
      </c>
      <c r="K2052" s="8">
        <v>13.760999999999999</v>
      </c>
      <c r="L2052" s="8">
        <v>13.324</v>
      </c>
      <c r="M2052" s="8">
        <v>14.223000000000001</v>
      </c>
      <c r="N2052" s="8">
        <v>16.64</v>
      </c>
      <c r="O2052" s="8">
        <v>13.019</v>
      </c>
      <c r="P2052" s="8">
        <v>11.476000000000001</v>
      </c>
      <c r="Q2052" s="8">
        <v>8.5109999999999992</v>
      </c>
      <c r="R2052" s="8">
        <v>5.2590000000000003</v>
      </c>
      <c r="S2052" s="8">
        <v>3.0939999999999999</v>
      </c>
      <c r="T2052" s="8">
        <v>2.33</v>
      </c>
      <c r="U2052" s="8">
        <v>2.3730000000000002</v>
      </c>
      <c r="V2052" s="8">
        <v>1.4430000000000001</v>
      </c>
      <c r="W2052" s="8">
        <v>1.0509999999999999</v>
      </c>
      <c r="X2052" s="8">
        <v>0.61499999999999999</v>
      </c>
      <c r="Y2052" s="8">
        <v>0.40799999999999997</v>
      </c>
      <c r="Z2052" s="8">
        <v>0.18</v>
      </c>
      <c r="AA2052" s="8">
        <v>3.1E-2</v>
      </c>
      <c r="AB2052" s="8">
        <v>3.0000000000000001E-3</v>
      </c>
      <c r="AC2052" s="8">
        <v>0</v>
      </c>
    </row>
    <row r="2053" spans="1:29" ht="11.65" hidden="1" x14ac:dyDescent="0.35">
      <c r="A2053" s="12">
        <v>2036</v>
      </c>
      <c r="B2053" s="10" t="s">
        <v>1015</v>
      </c>
      <c r="C2053" s="11" t="s">
        <v>1159</v>
      </c>
      <c r="D2053" s="9"/>
      <c r="E2053" s="9">
        <v>96</v>
      </c>
      <c r="F2053" s="10" t="s">
        <v>1066</v>
      </c>
      <c r="G2053" s="9">
        <v>920</v>
      </c>
      <c r="H2053" s="9">
        <v>2000</v>
      </c>
      <c r="I2053" s="8">
        <v>16.984000000000002</v>
      </c>
      <c r="J2053" s="8">
        <v>16.966999999999999</v>
      </c>
      <c r="K2053" s="8">
        <v>15.843999999999999</v>
      </c>
      <c r="L2053" s="8">
        <v>14.154999999999999</v>
      </c>
      <c r="M2053" s="8">
        <v>17.186</v>
      </c>
      <c r="N2053" s="8">
        <v>18.202999999999999</v>
      </c>
      <c r="O2053" s="8">
        <v>17.420999999999999</v>
      </c>
      <c r="P2053" s="8">
        <v>14.1</v>
      </c>
      <c r="Q2053" s="8">
        <v>11.145</v>
      </c>
      <c r="R2053" s="8">
        <v>7.9720000000000004</v>
      </c>
      <c r="S2053" s="8">
        <v>5.1219999999999999</v>
      </c>
      <c r="T2053" s="8">
        <v>2.8719999999999999</v>
      </c>
      <c r="U2053" s="8">
        <v>2.5030000000000001</v>
      </c>
      <c r="V2053" s="8">
        <v>1.9870000000000001</v>
      </c>
      <c r="W2053" s="8">
        <v>0.71499999999999997</v>
      </c>
      <c r="X2053" s="8">
        <v>0.56599999999999995</v>
      </c>
      <c r="Y2053" s="8">
        <v>0.45300000000000001</v>
      </c>
      <c r="Z2053" s="8">
        <v>0.17299999999999999</v>
      </c>
      <c r="AA2053" s="8">
        <v>4.3999999999999997E-2</v>
      </c>
      <c r="AB2053" s="8">
        <v>4.0000000000000001E-3</v>
      </c>
      <c r="AC2053" s="8">
        <v>0</v>
      </c>
    </row>
    <row r="2054" spans="1:29" ht="11.65" hidden="1" x14ac:dyDescent="0.35">
      <c r="A2054" s="12">
        <v>2037</v>
      </c>
      <c r="B2054" s="10" t="s">
        <v>1015</v>
      </c>
      <c r="C2054" s="11" t="s">
        <v>1159</v>
      </c>
      <c r="D2054" s="9"/>
      <c r="E2054" s="9">
        <v>96</v>
      </c>
      <c r="F2054" s="10" t="s">
        <v>1066</v>
      </c>
      <c r="G2054" s="9">
        <v>920</v>
      </c>
      <c r="H2054" s="9">
        <v>2005</v>
      </c>
      <c r="I2054" s="8">
        <v>16.038</v>
      </c>
      <c r="J2054" s="8">
        <v>17.015000000000001</v>
      </c>
      <c r="K2054" s="8">
        <v>16.475999999999999</v>
      </c>
      <c r="L2054" s="8">
        <v>15.897</v>
      </c>
      <c r="M2054" s="8">
        <v>17.922999999999998</v>
      </c>
      <c r="N2054" s="8">
        <v>18.146999999999998</v>
      </c>
      <c r="O2054" s="8">
        <v>17.966000000000001</v>
      </c>
      <c r="P2054" s="8">
        <v>15.321999999999999</v>
      </c>
      <c r="Q2054" s="8">
        <v>13.013</v>
      </c>
      <c r="R2054" s="8">
        <v>9.8490000000000002</v>
      </c>
      <c r="S2054" s="8">
        <v>7.2789999999999999</v>
      </c>
      <c r="T2054" s="8">
        <v>4.875</v>
      </c>
      <c r="U2054" s="8">
        <v>3.4239999999999999</v>
      </c>
      <c r="V2054" s="8">
        <v>2.2429999999999999</v>
      </c>
      <c r="W2054" s="8">
        <v>1.399</v>
      </c>
      <c r="X2054" s="8">
        <v>0.98399999999999999</v>
      </c>
      <c r="Y2054" s="8">
        <v>0.57599999999999996</v>
      </c>
      <c r="Z2054" s="8">
        <v>0.20300000000000001</v>
      </c>
      <c r="AA2054" s="8">
        <v>4.8000000000000001E-2</v>
      </c>
      <c r="AB2054" s="8">
        <v>6.0000000000000001E-3</v>
      </c>
      <c r="AC2054" s="8">
        <v>0</v>
      </c>
    </row>
    <row r="2055" spans="1:29" ht="11.65" hidden="1" x14ac:dyDescent="0.35">
      <c r="A2055" s="12">
        <v>2038</v>
      </c>
      <c r="B2055" s="10" t="s">
        <v>1015</v>
      </c>
      <c r="C2055" s="11" t="s">
        <v>1159</v>
      </c>
      <c r="D2055" s="9"/>
      <c r="E2055" s="9">
        <v>96</v>
      </c>
      <c r="F2055" s="10" t="s">
        <v>1066</v>
      </c>
      <c r="G2055" s="9">
        <v>920</v>
      </c>
      <c r="H2055" s="9">
        <v>2010</v>
      </c>
      <c r="I2055" s="8">
        <v>15.281000000000001</v>
      </c>
      <c r="J2055" s="8">
        <v>16.507000000000001</v>
      </c>
      <c r="K2055" s="8">
        <v>17.062999999999999</v>
      </c>
      <c r="L2055" s="8">
        <v>17.047000000000001</v>
      </c>
      <c r="M2055" s="8">
        <v>18.423999999999999</v>
      </c>
      <c r="N2055" s="8">
        <v>18.297999999999998</v>
      </c>
      <c r="O2055" s="8">
        <v>17.375</v>
      </c>
      <c r="P2055" s="8">
        <v>16.245000000000001</v>
      </c>
      <c r="Q2055" s="8">
        <v>14.34</v>
      </c>
      <c r="R2055" s="8">
        <v>11.223000000000001</v>
      </c>
      <c r="S2055" s="8">
        <v>9.0289999999999999</v>
      </c>
      <c r="T2055" s="8">
        <v>6.4210000000000003</v>
      </c>
      <c r="U2055" s="8">
        <v>3.944</v>
      </c>
      <c r="V2055" s="8">
        <v>2.3029999999999999</v>
      </c>
      <c r="W2055" s="8">
        <v>2.0670000000000002</v>
      </c>
      <c r="X2055" s="8">
        <v>1.34</v>
      </c>
      <c r="Y2055" s="8">
        <v>0.65400000000000003</v>
      </c>
      <c r="Z2055" s="8">
        <v>0.28299999999999997</v>
      </c>
      <c r="AA2055" s="8">
        <v>6.3E-2</v>
      </c>
      <c r="AB2055" s="8">
        <v>8.0000000000000002E-3</v>
      </c>
      <c r="AC2055" s="8">
        <v>0</v>
      </c>
    </row>
    <row r="2056" spans="1:29" ht="11.65" hidden="1" x14ac:dyDescent="0.35">
      <c r="A2056" s="12">
        <v>2039</v>
      </c>
      <c r="B2056" s="10" t="s">
        <v>1015</v>
      </c>
      <c r="C2056" s="11" t="s">
        <v>1159</v>
      </c>
      <c r="D2056" s="9"/>
      <c r="E2056" s="9">
        <v>96</v>
      </c>
      <c r="F2056" s="10" t="s">
        <v>1066</v>
      </c>
      <c r="G2056" s="9">
        <v>920</v>
      </c>
      <c r="H2056" s="9">
        <v>2015</v>
      </c>
      <c r="I2056" s="8">
        <v>16.803000000000001</v>
      </c>
      <c r="J2056" s="8">
        <v>15.193</v>
      </c>
      <c r="K2056" s="8">
        <v>16.431999999999999</v>
      </c>
      <c r="L2056" s="8">
        <v>16.751000000000001</v>
      </c>
      <c r="M2056" s="8">
        <v>16.509</v>
      </c>
      <c r="N2056" s="8">
        <v>17.908000000000001</v>
      </c>
      <c r="O2056" s="8">
        <v>17.888999999999999</v>
      </c>
      <c r="P2056" s="8">
        <v>17.055</v>
      </c>
      <c r="Q2056" s="8">
        <v>15.965999999999999</v>
      </c>
      <c r="R2056" s="8">
        <v>14.066000000000001</v>
      </c>
      <c r="S2056" s="8">
        <v>10.952</v>
      </c>
      <c r="T2056" s="8">
        <v>8.7379999999999995</v>
      </c>
      <c r="U2056" s="8">
        <v>6.1159999999999997</v>
      </c>
      <c r="V2056" s="8">
        <v>3.6469999999999998</v>
      </c>
      <c r="W2056" s="8">
        <v>2.0259999999999998</v>
      </c>
      <c r="X2056" s="8">
        <v>1.665</v>
      </c>
      <c r="Y2056" s="8">
        <v>0.92</v>
      </c>
      <c r="Z2056" s="8">
        <v>0.34100000000000003</v>
      </c>
      <c r="AA2056" s="8">
        <v>9.6000000000000002E-2</v>
      </c>
      <c r="AB2056" s="8">
        <v>1.2E-2</v>
      </c>
      <c r="AC2056" s="8">
        <v>1E-3</v>
      </c>
    </row>
    <row r="2057" spans="1:29" ht="11.65" hidden="1" x14ac:dyDescent="0.35">
      <c r="A2057" s="12">
        <v>2040</v>
      </c>
      <c r="B2057" s="10" t="s">
        <v>1015</v>
      </c>
      <c r="C2057" s="11" t="s">
        <v>1159</v>
      </c>
      <c r="D2057" s="9"/>
      <c r="E2057" s="9">
        <v>96</v>
      </c>
      <c r="F2057" s="10" t="s">
        <v>1066</v>
      </c>
      <c r="G2057" s="9">
        <v>920</v>
      </c>
      <c r="H2057" s="9">
        <v>2020</v>
      </c>
      <c r="I2057" s="8">
        <v>15.42</v>
      </c>
      <c r="J2057" s="8">
        <v>16.776</v>
      </c>
      <c r="K2057" s="8">
        <v>15.173</v>
      </c>
      <c r="L2057" s="8">
        <v>16.401</v>
      </c>
      <c r="M2057" s="8">
        <v>16.698</v>
      </c>
      <c r="N2057" s="8">
        <v>16.45</v>
      </c>
      <c r="O2057" s="8">
        <v>17.829999999999998</v>
      </c>
      <c r="P2057" s="8">
        <v>17.786000000000001</v>
      </c>
      <c r="Q2057" s="8">
        <v>16.911000000000001</v>
      </c>
      <c r="R2057" s="8">
        <v>15.765000000000001</v>
      </c>
      <c r="S2057" s="8">
        <v>13.801</v>
      </c>
      <c r="T2057" s="8">
        <v>10.646000000000001</v>
      </c>
      <c r="U2057" s="8">
        <v>8.3650000000000002</v>
      </c>
      <c r="V2057" s="8">
        <v>5.7060000000000004</v>
      </c>
      <c r="W2057" s="8">
        <v>3.258</v>
      </c>
      <c r="X2057" s="8">
        <v>1.67</v>
      </c>
      <c r="Y2057" s="8">
        <v>1.1850000000000001</v>
      </c>
      <c r="Z2057" s="8">
        <v>0.50700000000000001</v>
      </c>
      <c r="AA2057" s="8">
        <v>0.126</v>
      </c>
      <c r="AB2057" s="8">
        <v>2.1000000000000001E-2</v>
      </c>
      <c r="AC2057" s="8">
        <v>1E-3</v>
      </c>
    </row>
    <row r="2058" spans="1:29" ht="11.65" hidden="1" x14ac:dyDescent="0.35">
      <c r="A2058" s="12">
        <v>2041</v>
      </c>
      <c r="B2058" s="10" t="s">
        <v>1015</v>
      </c>
      <c r="C2058" s="11" t="s">
        <v>1160</v>
      </c>
      <c r="D2058" s="9"/>
      <c r="E2058" s="9">
        <v>116</v>
      </c>
      <c r="F2058" s="10" t="s">
        <v>1066</v>
      </c>
      <c r="G2058" s="9">
        <v>920</v>
      </c>
      <c r="H2058" s="9">
        <v>1950</v>
      </c>
      <c r="I2058" s="8">
        <v>366.995</v>
      </c>
      <c r="J2058" s="8">
        <v>299.87900000000002</v>
      </c>
      <c r="K2058" s="8">
        <v>261.63099999999997</v>
      </c>
      <c r="L2058" s="8">
        <v>228.27600000000001</v>
      </c>
      <c r="M2058" s="8">
        <v>197.37</v>
      </c>
      <c r="N2058" s="8">
        <v>169.321</v>
      </c>
      <c r="O2058" s="8">
        <v>144.22900000000001</v>
      </c>
      <c r="P2058" s="8">
        <v>122.196</v>
      </c>
      <c r="Q2058" s="8">
        <v>102.91800000000001</v>
      </c>
      <c r="R2058" s="8">
        <v>86.19</v>
      </c>
      <c r="S2058" s="8">
        <v>70.483000000000004</v>
      </c>
      <c r="T2058" s="8">
        <v>56.813000000000002</v>
      </c>
      <c r="U2058" s="8">
        <v>43.35</v>
      </c>
      <c r="V2058" s="8">
        <v>29.986999999999998</v>
      </c>
      <c r="W2058" s="8">
        <v>19.89</v>
      </c>
      <c r="X2058" s="8">
        <v>11.119</v>
      </c>
      <c r="Y2058" s="8">
        <v>4.141</v>
      </c>
      <c r="Z2058" s="8">
        <v>1.349</v>
      </c>
      <c r="AA2058" s="8">
        <v>0.28599999999999998</v>
      </c>
      <c r="AB2058" s="8">
        <v>3.6999999999999998E-2</v>
      </c>
      <c r="AC2058" s="8">
        <v>3.0000000000000001E-3</v>
      </c>
    </row>
    <row r="2059" spans="1:29" ht="11.65" hidden="1" x14ac:dyDescent="0.35">
      <c r="A2059" s="12">
        <v>2042</v>
      </c>
      <c r="B2059" s="10" t="s">
        <v>1015</v>
      </c>
      <c r="C2059" s="11" t="s">
        <v>1160</v>
      </c>
      <c r="D2059" s="9"/>
      <c r="E2059" s="9">
        <v>116</v>
      </c>
      <c r="F2059" s="10" t="s">
        <v>1066</v>
      </c>
      <c r="G2059" s="9">
        <v>920</v>
      </c>
      <c r="H2059" s="9">
        <v>1955</v>
      </c>
      <c r="I2059" s="8">
        <v>478.32600000000002</v>
      </c>
      <c r="J2059" s="8">
        <v>341.32799999999997</v>
      </c>
      <c r="K2059" s="8">
        <v>288.00200000000001</v>
      </c>
      <c r="L2059" s="8">
        <v>250.44</v>
      </c>
      <c r="M2059" s="8">
        <v>215.79599999999999</v>
      </c>
      <c r="N2059" s="8">
        <v>184.934</v>
      </c>
      <c r="O2059" s="8">
        <v>158.006</v>
      </c>
      <c r="P2059" s="8">
        <v>134.34</v>
      </c>
      <c r="Q2059" s="8">
        <v>113.9</v>
      </c>
      <c r="R2059" s="8">
        <v>95.626000000000005</v>
      </c>
      <c r="S2059" s="8">
        <v>78.631</v>
      </c>
      <c r="T2059" s="8">
        <v>62.47</v>
      </c>
      <c r="U2059" s="8">
        <v>48.171999999999997</v>
      </c>
      <c r="V2059" s="8">
        <v>34.031999999999996</v>
      </c>
      <c r="W2059" s="8">
        <v>21.175000000000001</v>
      </c>
      <c r="X2059" s="8">
        <v>12.135999999999999</v>
      </c>
      <c r="Y2059" s="8">
        <v>5.5380000000000003</v>
      </c>
      <c r="Z2059" s="8">
        <v>1.53</v>
      </c>
      <c r="AA2059" s="8">
        <v>0.33200000000000002</v>
      </c>
      <c r="AB2059" s="8">
        <v>4.2999999999999997E-2</v>
      </c>
      <c r="AC2059" s="8">
        <v>4.0000000000000001E-3</v>
      </c>
    </row>
    <row r="2060" spans="1:29" ht="11.65" hidden="1" x14ac:dyDescent="0.35">
      <c r="A2060" s="12">
        <v>2043</v>
      </c>
      <c r="B2060" s="10" t="s">
        <v>1015</v>
      </c>
      <c r="C2060" s="11" t="s">
        <v>1160</v>
      </c>
      <c r="D2060" s="9"/>
      <c r="E2060" s="9">
        <v>116</v>
      </c>
      <c r="F2060" s="10" t="s">
        <v>1066</v>
      </c>
      <c r="G2060" s="9">
        <v>920</v>
      </c>
      <c r="H2060" s="9">
        <v>1960</v>
      </c>
      <c r="I2060" s="8">
        <v>529.64599999999996</v>
      </c>
      <c r="J2060" s="8">
        <v>446.459</v>
      </c>
      <c r="K2060" s="8">
        <v>327.82799999999997</v>
      </c>
      <c r="L2060" s="8">
        <v>275.70999999999998</v>
      </c>
      <c r="M2060" s="8">
        <v>236.89500000000001</v>
      </c>
      <c r="N2060" s="8">
        <v>202.41</v>
      </c>
      <c r="O2060" s="8">
        <v>172.792</v>
      </c>
      <c r="P2060" s="8">
        <v>147.404</v>
      </c>
      <c r="Q2060" s="8">
        <v>125.395</v>
      </c>
      <c r="R2060" s="8">
        <v>105.982</v>
      </c>
      <c r="S2060" s="8">
        <v>87.561999999999998</v>
      </c>
      <c r="T2060" s="8">
        <v>70.094999999999999</v>
      </c>
      <c r="U2060" s="8">
        <v>53.392000000000003</v>
      </c>
      <c r="V2060" s="8">
        <v>38.356999999999999</v>
      </c>
      <c r="W2060" s="8">
        <v>24.506</v>
      </c>
      <c r="X2060" s="8">
        <v>13.231999999999999</v>
      </c>
      <c r="Y2060" s="8">
        <v>6.1449999999999996</v>
      </c>
      <c r="Z2060" s="8">
        <v>2.052</v>
      </c>
      <c r="AA2060" s="8">
        <v>0.379</v>
      </c>
      <c r="AB2060" s="8">
        <v>4.9000000000000002E-2</v>
      </c>
      <c r="AC2060" s="8">
        <v>4.0000000000000001E-3</v>
      </c>
    </row>
    <row r="2061" spans="1:29" ht="11.65" hidden="1" x14ac:dyDescent="0.35">
      <c r="A2061" s="12">
        <v>2044</v>
      </c>
      <c r="B2061" s="10" t="s">
        <v>1015</v>
      </c>
      <c r="C2061" s="11" t="s">
        <v>1160</v>
      </c>
      <c r="D2061" s="9"/>
      <c r="E2061" s="9">
        <v>116</v>
      </c>
      <c r="F2061" s="10" t="s">
        <v>1066</v>
      </c>
      <c r="G2061" s="9">
        <v>920</v>
      </c>
      <c r="H2061" s="9">
        <v>1965</v>
      </c>
      <c r="I2061" s="8">
        <v>584.12199999999996</v>
      </c>
      <c r="J2061" s="8">
        <v>494.80099999999999</v>
      </c>
      <c r="K2061" s="8">
        <v>428.90899999999999</v>
      </c>
      <c r="L2061" s="8">
        <v>313.96699999999998</v>
      </c>
      <c r="M2061" s="8">
        <v>261.09100000000001</v>
      </c>
      <c r="N2061" s="8">
        <v>222.55199999999999</v>
      </c>
      <c r="O2061" s="8">
        <v>189.45</v>
      </c>
      <c r="P2061" s="8">
        <v>161.51499999999999</v>
      </c>
      <c r="Q2061" s="8">
        <v>137.822</v>
      </c>
      <c r="R2061" s="8">
        <v>116.873</v>
      </c>
      <c r="S2061" s="8">
        <v>97.406000000000006</v>
      </c>
      <c r="T2061" s="8">
        <v>78.506</v>
      </c>
      <c r="U2061" s="8">
        <v>60.387999999999998</v>
      </c>
      <c r="V2061" s="8">
        <v>43.106000000000002</v>
      </c>
      <c r="W2061" s="8">
        <v>28.126000000000001</v>
      </c>
      <c r="X2061" s="8">
        <v>15.5</v>
      </c>
      <c r="Y2061" s="8">
        <v>6.7140000000000004</v>
      </c>
      <c r="Z2061" s="8">
        <v>2.2799999999999998</v>
      </c>
      <c r="AA2061" s="8">
        <v>0.50700000000000001</v>
      </c>
      <c r="AB2061" s="8">
        <v>5.8000000000000003E-2</v>
      </c>
      <c r="AC2061" s="8">
        <v>5.0000000000000001E-3</v>
      </c>
    </row>
    <row r="2062" spans="1:29" ht="11.65" hidden="1" x14ac:dyDescent="0.35">
      <c r="A2062" s="12">
        <v>2045</v>
      </c>
      <c r="B2062" s="10" t="s">
        <v>1015</v>
      </c>
      <c r="C2062" s="11" t="s">
        <v>1160</v>
      </c>
      <c r="D2062" s="9"/>
      <c r="E2062" s="9">
        <v>116</v>
      </c>
      <c r="F2062" s="10" t="s">
        <v>1066</v>
      </c>
      <c r="G2062" s="9">
        <v>920</v>
      </c>
      <c r="H2062" s="9">
        <v>1970</v>
      </c>
      <c r="I2062" s="8">
        <v>599.29</v>
      </c>
      <c r="J2062" s="8">
        <v>528.23699999999997</v>
      </c>
      <c r="K2062" s="8">
        <v>460.37700000000001</v>
      </c>
      <c r="L2062" s="8">
        <v>398.54700000000003</v>
      </c>
      <c r="M2062" s="8">
        <v>287.96800000000002</v>
      </c>
      <c r="N2062" s="8">
        <v>237.68</v>
      </c>
      <c r="O2062" s="8">
        <v>201.49100000000001</v>
      </c>
      <c r="P2062" s="8">
        <v>170.976</v>
      </c>
      <c r="Q2062" s="8">
        <v>145.691</v>
      </c>
      <c r="R2062" s="8">
        <v>124.092</v>
      </c>
      <c r="S2062" s="8">
        <v>104.029</v>
      </c>
      <c r="T2062" s="8">
        <v>84.712000000000003</v>
      </c>
      <c r="U2062" s="8">
        <v>65.790999999999997</v>
      </c>
      <c r="V2062" s="8">
        <v>47.692</v>
      </c>
      <c r="W2062" s="8">
        <v>30.878</v>
      </c>
      <c r="X2062" s="8">
        <v>16.949000000000002</v>
      </c>
      <c r="Y2062" s="8">
        <v>7.9089999999999998</v>
      </c>
      <c r="Z2062" s="8">
        <v>2.5030000000000001</v>
      </c>
      <c r="AA2062" s="8">
        <v>0.56699999999999995</v>
      </c>
      <c r="AB2062" s="8">
        <v>7.5999999999999998E-2</v>
      </c>
      <c r="AC2062" s="8">
        <v>5.0000000000000001E-3</v>
      </c>
    </row>
    <row r="2063" spans="1:29" ht="11.65" hidden="1" x14ac:dyDescent="0.35">
      <c r="A2063" s="12">
        <v>2046</v>
      </c>
      <c r="B2063" s="10" t="s">
        <v>1015</v>
      </c>
      <c r="C2063" s="11" t="s">
        <v>1160</v>
      </c>
      <c r="D2063" s="9"/>
      <c r="E2063" s="9">
        <v>116</v>
      </c>
      <c r="F2063" s="10" t="s">
        <v>1066</v>
      </c>
      <c r="G2063" s="9">
        <v>920</v>
      </c>
      <c r="H2063" s="9">
        <v>1975</v>
      </c>
      <c r="I2063" s="8">
        <v>622.01499999999999</v>
      </c>
      <c r="J2063" s="8">
        <v>544.81899999999996</v>
      </c>
      <c r="K2063" s="8">
        <v>491.25200000000001</v>
      </c>
      <c r="L2063" s="8">
        <v>427.89499999999998</v>
      </c>
      <c r="M2063" s="8">
        <v>368.38600000000002</v>
      </c>
      <c r="N2063" s="8">
        <v>264.01</v>
      </c>
      <c r="O2063" s="8">
        <v>217.17400000000001</v>
      </c>
      <c r="P2063" s="8">
        <v>184.08799999999999</v>
      </c>
      <c r="Q2063" s="8">
        <v>156.40299999999999</v>
      </c>
      <c r="R2063" s="8">
        <v>133.03299999999999</v>
      </c>
      <c r="S2063" s="8">
        <v>112.11499999999999</v>
      </c>
      <c r="T2063" s="8">
        <v>91.965999999999994</v>
      </c>
      <c r="U2063" s="8">
        <v>71.906000000000006</v>
      </c>
      <c r="V2063" s="8">
        <v>52.3</v>
      </c>
      <c r="W2063" s="8">
        <v>34.19</v>
      </c>
      <c r="X2063" s="8">
        <v>18.709</v>
      </c>
      <c r="Y2063" s="8">
        <v>8.44</v>
      </c>
      <c r="Z2063" s="8">
        <v>2.8889999999999998</v>
      </c>
      <c r="AA2063" s="8">
        <v>0.61599999999999999</v>
      </c>
      <c r="AB2063" s="8">
        <v>8.5000000000000006E-2</v>
      </c>
      <c r="AC2063" s="8">
        <v>6.0000000000000001E-3</v>
      </c>
    </row>
    <row r="2064" spans="1:29" ht="11.65" hidden="1" x14ac:dyDescent="0.35">
      <c r="A2064" s="12">
        <v>2047</v>
      </c>
      <c r="B2064" s="10" t="s">
        <v>1015</v>
      </c>
      <c r="C2064" s="11" t="s">
        <v>1160</v>
      </c>
      <c r="D2064" s="9"/>
      <c r="E2064" s="9">
        <v>116</v>
      </c>
      <c r="F2064" s="10" t="s">
        <v>1066</v>
      </c>
      <c r="G2064" s="9">
        <v>920</v>
      </c>
      <c r="H2064" s="9">
        <v>1980</v>
      </c>
      <c r="I2064" s="8">
        <v>455.12900000000002</v>
      </c>
      <c r="J2064" s="8">
        <v>491.03300000000002</v>
      </c>
      <c r="K2064" s="8">
        <v>455.49900000000002</v>
      </c>
      <c r="L2064" s="8">
        <v>404.53500000000003</v>
      </c>
      <c r="M2064" s="8">
        <v>351.86700000000002</v>
      </c>
      <c r="N2064" s="8">
        <v>306.536</v>
      </c>
      <c r="O2064" s="8">
        <v>220.87</v>
      </c>
      <c r="P2064" s="8">
        <v>180.93899999999999</v>
      </c>
      <c r="Q2064" s="8">
        <v>152.46899999999999</v>
      </c>
      <c r="R2064" s="8">
        <v>129.422</v>
      </c>
      <c r="S2064" s="8">
        <v>110.223</v>
      </c>
      <c r="T2064" s="8">
        <v>92.721000000000004</v>
      </c>
      <c r="U2064" s="8">
        <v>73.968000000000004</v>
      </c>
      <c r="V2064" s="8">
        <v>54.093000000000004</v>
      </c>
      <c r="W2064" s="8">
        <v>35.472999999999999</v>
      </c>
      <c r="X2064" s="8">
        <v>19.402999999999999</v>
      </c>
      <c r="Y2064" s="8">
        <v>7.968</v>
      </c>
      <c r="Z2064" s="8">
        <v>2.19</v>
      </c>
      <c r="AA2064" s="8">
        <v>0.38300000000000001</v>
      </c>
      <c r="AB2064" s="8">
        <v>4.4999999999999998E-2</v>
      </c>
      <c r="AC2064" s="8">
        <v>2E-3</v>
      </c>
    </row>
    <row r="2065" spans="1:29" ht="11.65" hidden="1" x14ac:dyDescent="0.35">
      <c r="A2065" s="12">
        <v>2048</v>
      </c>
      <c r="B2065" s="10" t="s">
        <v>1015</v>
      </c>
      <c r="C2065" s="11" t="s">
        <v>1160</v>
      </c>
      <c r="D2065" s="9"/>
      <c r="E2065" s="9">
        <v>116</v>
      </c>
      <c r="F2065" s="10" t="s">
        <v>1066</v>
      </c>
      <c r="G2065" s="9">
        <v>920</v>
      </c>
      <c r="H2065" s="9">
        <v>1985</v>
      </c>
      <c r="I2065" s="8">
        <v>741.53300000000002</v>
      </c>
      <c r="J2065" s="8">
        <v>427.62799999999999</v>
      </c>
      <c r="K2065" s="8">
        <v>468.33699999999999</v>
      </c>
      <c r="L2065" s="8">
        <v>434.40699999999998</v>
      </c>
      <c r="M2065" s="8">
        <v>383.50900000000001</v>
      </c>
      <c r="N2065" s="8">
        <v>332.065</v>
      </c>
      <c r="O2065" s="8">
        <v>288.32799999999997</v>
      </c>
      <c r="P2065" s="8">
        <v>207.19</v>
      </c>
      <c r="Q2065" s="8">
        <v>169.23</v>
      </c>
      <c r="R2065" s="8">
        <v>141.95400000000001</v>
      </c>
      <c r="S2065" s="8">
        <v>119.14100000000001</v>
      </c>
      <c r="T2065" s="8">
        <v>99.763000000000005</v>
      </c>
      <c r="U2065" s="8">
        <v>80.695999999999998</v>
      </c>
      <c r="V2065" s="8">
        <v>60.314</v>
      </c>
      <c r="W2065" s="8">
        <v>39.848999999999997</v>
      </c>
      <c r="X2065" s="8">
        <v>21.956</v>
      </c>
      <c r="Y2065" s="8">
        <v>9.89</v>
      </c>
      <c r="Z2065" s="8">
        <v>2.9670000000000001</v>
      </c>
      <c r="AA2065" s="8">
        <v>0.54400000000000004</v>
      </c>
      <c r="AB2065" s="8">
        <v>5.8000000000000003E-2</v>
      </c>
      <c r="AC2065" s="8">
        <v>4.0000000000000001E-3</v>
      </c>
    </row>
    <row r="2066" spans="1:29" ht="11.65" hidden="1" x14ac:dyDescent="0.35">
      <c r="A2066" s="12">
        <v>2049</v>
      </c>
      <c r="B2066" s="10" t="s">
        <v>1015</v>
      </c>
      <c r="C2066" s="11" t="s">
        <v>1160</v>
      </c>
      <c r="D2066" s="9"/>
      <c r="E2066" s="9">
        <v>116</v>
      </c>
      <c r="F2066" s="10" t="s">
        <v>1066</v>
      </c>
      <c r="G2066" s="9">
        <v>920</v>
      </c>
      <c r="H2066" s="9">
        <v>1990</v>
      </c>
      <c r="I2066" s="8">
        <v>854.56399999999996</v>
      </c>
      <c r="J2066" s="8">
        <v>714.51700000000005</v>
      </c>
      <c r="K2066" s="8">
        <v>408.8</v>
      </c>
      <c r="L2066" s="8">
        <v>450.166</v>
      </c>
      <c r="M2066" s="8">
        <v>416.35</v>
      </c>
      <c r="N2066" s="8">
        <v>366.58800000000002</v>
      </c>
      <c r="O2066" s="8">
        <v>315.97699999999998</v>
      </c>
      <c r="P2066" s="8">
        <v>274.10199999999998</v>
      </c>
      <c r="Q2066" s="8">
        <v>195.72499999999999</v>
      </c>
      <c r="R2066" s="8">
        <v>158.97300000000001</v>
      </c>
      <c r="S2066" s="8">
        <v>131.93199999999999</v>
      </c>
      <c r="T2066" s="8">
        <v>109.033</v>
      </c>
      <c r="U2066" s="8">
        <v>88.224999999999994</v>
      </c>
      <c r="V2066" s="8">
        <v>67.447000000000003</v>
      </c>
      <c r="W2066" s="8">
        <v>46.046999999999997</v>
      </c>
      <c r="X2066" s="8">
        <v>25.983000000000001</v>
      </c>
      <c r="Y2066" s="8">
        <v>11.77</v>
      </c>
      <c r="Z2066" s="8">
        <v>3.8650000000000002</v>
      </c>
      <c r="AA2066" s="8">
        <v>0.76400000000000001</v>
      </c>
      <c r="AB2066" s="8">
        <v>8.4000000000000005E-2</v>
      </c>
      <c r="AC2066" s="8">
        <v>5.0000000000000001E-3</v>
      </c>
    </row>
    <row r="2067" spans="1:29" ht="11.65" hidden="1" x14ac:dyDescent="0.35">
      <c r="A2067" s="12">
        <v>2050</v>
      </c>
      <c r="B2067" s="10" t="s">
        <v>1015</v>
      </c>
      <c r="C2067" s="11" t="s">
        <v>1160</v>
      </c>
      <c r="D2067" s="9"/>
      <c r="E2067" s="9">
        <v>116</v>
      </c>
      <c r="F2067" s="10" t="s">
        <v>1066</v>
      </c>
      <c r="G2067" s="9">
        <v>920</v>
      </c>
      <c r="H2067" s="9">
        <v>1995</v>
      </c>
      <c r="I2067" s="8">
        <v>874.399</v>
      </c>
      <c r="J2067" s="8">
        <v>855.94399999999996</v>
      </c>
      <c r="K2067" s="8">
        <v>724.13300000000004</v>
      </c>
      <c r="L2067" s="8">
        <v>419.86799999999999</v>
      </c>
      <c r="M2067" s="8">
        <v>458.584</v>
      </c>
      <c r="N2067" s="8">
        <v>422.053</v>
      </c>
      <c r="O2067" s="8">
        <v>369.68700000000001</v>
      </c>
      <c r="P2067" s="8">
        <v>316.80399999999997</v>
      </c>
      <c r="Q2067" s="8">
        <v>273.04300000000001</v>
      </c>
      <c r="R2067" s="8">
        <v>194.60499999999999</v>
      </c>
      <c r="S2067" s="8">
        <v>156.917</v>
      </c>
      <c r="T2067" s="8">
        <v>128.38200000000001</v>
      </c>
      <c r="U2067" s="8">
        <v>102.678</v>
      </c>
      <c r="V2067" s="8">
        <v>78.430000000000007</v>
      </c>
      <c r="W2067" s="8">
        <v>54.688000000000002</v>
      </c>
      <c r="X2067" s="8">
        <v>32.860999999999997</v>
      </c>
      <c r="Y2067" s="8">
        <v>13.973000000000001</v>
      </c>
      <c r="Z2067" s="8">
        <v>4.6120000000000001</v>
      </c>
      <c r="AA2067" s="8">
        <v>1</v>
      </c>
      <c r="AB2067" s="8">
        <v>0.11799999999999999</v>
      </c>
      <c r="AC2067" s="8">
        <v>8.0000000000000002E-3</v>
      </c>
    </row>
    <row r="2068" spans="1:29" ht="11.65" hidden="1" x14ac:dyDescent="0.35">
      <c r="A2068" s="12">
        <v>2051</v>
      </c>
      <c r="B2068" s="10" t="s">
        <v>1015</v>
      </c>
      <c r="C2068" s="11" t="s">
        <v>1160</v>
      </c>
      <c r="D2068" s="9"/>
      <c r="E2068" s="9">
        <v>116</v>
      </c>
      <c r="F2068" s="10" t="s">
        <v>1066</v>
      </c>
      <c r="G2068" s="9">
        <v>920</v>
      </c>
      <c r="H2068" s="9">
        <v>2000</v>
      </c>
      <c r="I2068" s="8">
        <v>779.56600000000003</v>
      </c>
      <c r="J2068" s="8">
        <v>855.84199999999998</v>
      </c>
      <c r="K2068" s="8">
        <v>852.55399999999997</v>
      </c>
      <c r="L2068" s="8">
        <v>812.30899999999997</v>
      </c>
      <c r="M2068" s="8">
        <v>399.78699999999998</v>
      </c>
      <c r="N2068" s="8">
        <v>468.58800000000002</v>
      </c>
      <c r="O2068" s="8">
        <v>428.09500000000003</v>
      </c>
      <c r="P2068" s="8">
        <v>383.97800000000001</v>
      </c>
      <c r="Q2068" s="8">
        <v>312.49799999999999</v>
      </c>
      <c r="R2068" s="8">
        <v>273.22800000000001</v>
      </c>
      <c r="S2068" s="8">
        <v>192.81399999999999</v>
      </c>
      <c r="T2068" s="8">
        <v>154.31800000000001</v>
      </c>
      <c r="U2068" s="8">
        <v>122.104</v>
      </c>
      <c r="V2068" s="8">
        <v>94.504999999999995</v>
      </c>
      <c r="W2068" s="8">
        <v>61.398000000000003</v>
      </c>
      <c r="X2068" s="8">
        <v>34.695</v>
      </c>
      <c r="Y2068" s="8">
        <v>14.645</v>
      </c>
      <c r="Z2068" s="8">
        <v>5.4880000000000004</v>
      </c>
      <c r="AA2068" s="8">
        <v>1.1950000000000001</v>
      </c>
      <c r="AB2068" s="8">
        <v>0.153</v>
      </c>
      <c r="AC2068" s="8">
        <v>1.0999999999999999E-2</v>
      </c>
    </row>
    <row r="2069" spans="1:29" ht="11.65" hidden="1" x14ac:dyDescent="0.35">
      <c r="A2069" s="12">
        <v>2052</v>
      </c>
      <c r="B2069" s="10" t="s">
        <v>1015</v>
      </c>
      <c r="C2069" s="11" t="s">
        <v>1160</v>
      </c>
      <c r="D2069" s="9"/>
      <c r="E2069" s="9">
        <v>116</v>
      </c>
      <c r="F2069" s="10" t="s">
        <v>1066</v>
      </c>
      <c r="G2069" s="9">
        <v>920</v>
      </c>
      <c r="H2069" s="9">
        <v>2005</v>
      </c>
      <c r="I2069" s="8">
        <v>758.39800000000002</v>
      </c>
      <c r="J2069" s="8">
        <v>780.22299999999996</v>
      </c>
      <c r="K2069" s="8">
        <v>880.60599999999999</v>
      </c>
      <c r="L2069" s="8">
        <v>784.17100000000005</v>
      </c>
      <c r="M2069" s="8">
        <v>805.19100000000003</v>
      </c>
      <c r="N2069" s="8">
        <v>377.995</v>
      </c>
      <c r="O2069" s="8">
        <v>448.24900000000002</v>
      </c>
      <c r="P2069" s="8">
        <v>427.19200000000001</v>
      </c>
      <c r="Q2069" s="8">
        <v>387.62200000000001</v>
      </c>
      <c r="R2069" s="8">
        <v>313.56900000000002</v>
      </c>
      <c r="S2069" s="8">
        <v>269.97800000000001</v>
      </c>
      <c r="T2069" s="8">
        <v>191.28700000000001</v>
      </c>
      <c r="U2069" s="8">
        <v>147.62</v>
      </c>
      <c r="V2069" s="8">
        <v>110.157</v>
      </c>
      <c r="W2069" s="8">
        <v>79.125</v>
      </c>
      <c r="X2069" s="8">
        <v>42.844000000000001</v>
      </c>
      <c r="Y2069" s="8">
        <v>19.45</v>
      </c>
      <c r="Z2069" s="8">
        <v>5.9930000000000003</v>
      </c>
      <c r="AA2069" s="8">
        <v>1.476</v>
      </c>
      <c r="AB2069" s="8">
        <v>0.19</v>
      </c>
      <c r="AC2069" s="8">
        <v>1.4E-2</v>
      </c>
    </row>
    <row r="2070" spans="1:29" ht="11.65" hidden="1" x14ac:dyDescent="0.35">
      <c r="A2070" s="12">
        <v>2053</v>
      </c>
      <c r="B2070" s="10" t="s">
        <v>1015</v>
      </c>
      <c r="C2070" s="11" t="s">
        <v>1160</v>
      </c>
      <c r="D2070" s="9"/>
      <c r="E2070" s="9">
        <v>116</v>
      </c>
      <c r="F2070" s="10" t="s">
        <v>1066</v>
      </c>
      <c r="G2070" s="9">
        <v>920</v>
      </c>
      <c r="H2070" s="9">
        <v>2010</v>
      </c>
      <c r="I2070" s="8">
        <v>813.846</v>
      </c>
      <c r="J2070" s="8">
        <v>743.64800000000002</v>
      </c>
      <c r="K2070" s="8">
        <v>779.39599999999996</v>
      </c>
      <c r="L2070" s="8">
        <v>809.42</v>
      </c>
      <c r="M2070" s="8">
        <v>665.63900000000001</v>
      </c>
      <c r="N2070" s="8">
        <v>880.19899999999996</v>
      </c>
      <c r="O2070" s="8">
        <v>350.50400000000002</v>
      </c>
      <c r="P2070" s="8">
        <v>441.69099999999997</v>
      </c>
      <c r="Q2070" s="8">
        <v>412.69400000000002</v>
      </c>
      <c r="R2070" s="8">
        <v>381.43400000000003</v>
      </c>
      <c r="S2070" s="8">
        <v>306.67200000000003</v>
      </c>
      <c r="T2070" s="8">
        <v>259.91800000000001</v>
      </c>
      <c r="U2070" s="8">
        <v>178.58699999999999</v>
      </c>
      <c r="V2070" s="8">
        <v>131.78299999999999</v>
      </c>
      <c r="W2070" s="8">
        <v>91.284000000000006</v>
      </c>
      <c r="X2070" s="8">
        <v>57.591000000000001</v>
      </c>
      <c r="Y2070" s="8">
        <v>25.385999999999999</v>
      </c>
      <c r="Z2070" s="8">
        <v>8.4809999999999999</v>
      </c>
      <c r="AA2070" s="8">
        <v>1.7170000000000001</v>
      </c>
      <c r="AB2070" s="8">
        <v>0.247</v>
      </c>
      <c r="AC2070" s="8">
        <v>1.7999999999999999E-2</v>
      </c>
    </row>
    <row r="2071" spans="1:29" ht="11.65" hidden="1" x14ac:dyDescent="0.35">
      <c r="A2071" s="12">
        <v>2054</v>
      </c>
      <c r="B2071" s="10" t="s">
        <v>1015</v>
      </c>
      <c r="C2071" s="11" t="s">
        <v>1160</v>
      </c>
      <c r="D2071" s="9"/>
      <c r="E2071" s="9">
        <v>116</v>
      </c>
      <c r="F2071" s="10" t="s">
        <v>1066</v>
      </c>
      <c r="G2071" s="9">
        <v>920</v>
      </c>
      <c r="H2071" s="9">
        <v>2015</v>
      </c>
      <c r="I2071" s="8">
        <v>864.71799999999996</v>
      </c>
      <c r="J2071" s="8">
        <v>806.471</v>
      </c>
      <c r="K2071" s="8">
        <v>736.87199999999996</v>
      </c>
      <c r="L2071" s="8">
        <v>768.53599999999994</v>
      </c>
      <c r="M2071" s="8">
        <v>794.02</v>
      </c>
      <c r="N2071" s="8">
        <v>651.09100000000001</v>
      </c>
      <c r="O2071" s="8">
        <v>864.755</v>
      </c>
      <c r="P2071" s="8">
        <v>341.44499999999999</v>
      </c>
      <c r="Q2071" s="8">
        <v>431.58499999999998</v>
      </c>
      <c r="R2071" s="8">
        <v>402.209</v>
      </c>
      <c r="S2071" s="8">
        <v>369.85599999999999</v>
      </c>
      <c r="T2071" s="8">
        <v>294.11700000000002</v>
      </c>
      <c r="U2071" s="8">
        <v>242.965</v>
      </c>
      <c r="V2071" s="8">
        <v>159.34299999999999</v>
      </c>
      <c r="W2071" s="8">
        <v>108.752</v>
      </c>
      <c r="X2071" s="8">
        <v>65.84</v>
      </c>
      <c r="Y2071" s="8">
        <v>34.049999999999997</v>
      </c>
      <c r="Z2071" s="8">
        <v>11.391</v>
      </c>
      <c r="AA2071" s="8">
        <v>2.6309999999999998</v>
      </c>
      <c r="AB2071" s="8">
        <v>0.32400000000000001</v>
      </c>
      <c r="AC2071" s="8">
        <v>2.3E-2</v>
      </c>
    </row>
    <row r="2072" spans="1:29" ht="11.65" hidden="1" x14ac:dyDescent="0.35">
      <c r="A2072" s="12">
        <v>2055</v>
      </c>
      <c r="B2072" s="10" t="s">
        <v>1015</v>
      </c>
      <c r="C2072" s="11" t="s">
        <v>1160</v>
      </c>
      <c r="D2072" s="9"/>
      <c r="E2072" s="9">
        <v>116</v>
      </c>
      <c r="F2072" s="10" t="s">
        <v>1066</v>
      </c>
      <c r="G2072" s="9">
        <v>920</v>
      </c>
      <c r="H2072" s="9">
        <v>2020</v>
      </c>
      <c r="I2072" s="8">
        <v>871.69</v>
      </c>
      <c r="J2072" s="8">
        <v>858.56</v>
      </c>
      <c r="K2072" s="8">
        <v>800.69299999999998</v>
      </c>
      <c r="L2072" s="8">
        <v>727.375</v>
      </c>
      <c r="M2072" s="8">
        <v>754.48800000000006</v>
      </c>
      <c r="N2072" s="8">
        <v>779.85299999999995</v>
      </c>
      <c r="O2072" s="8">
        <v>639.16999999999996</v>
      </c>
      <c r="P2072" s="8">
        <v>851.36400000000003</v>
      </c>
      <c r="Q2072" s="8">
        <v>333.86799999999999</v>
      </c>
      <c r="R2072" s="8">
        <v>422.00799999999998</v>
      </c>
      <c r="S2072" s="8">
        <v>391.38499999999999</v>
      </c>
      <c r="T2072" s="8">
        <v>356.34300000000002</v>
      </c>
      <c r="U2072" s="8">
        <v>276.71100000000001</v>
      </c>
      <c r="V2072" s="8">
        <v>218.964</v>
      </c>
      <c r="W2072" s="8">
        <v>133.48099999999999</v>
      </c>
      <c r="X2072" s="8">
        <v>80.238</v>
      </c>
      <c r="Y2072" s="8">
        <v>40.200000000000003</v>
      </c>
      <c r="Z2072" s="8">
        <v>15.909000000000001</v>
      </c>
      <c r="AA2072" s="8">
        <v>3.6949999999999998</v>
      </c>
      <c r="AB2072" s="8">
        <v>0.52100000000000002</v>
      </c>
      <c r="AC2072" s="8">
        <v>3.1E-2</v>
      </c>
    </row>
    <row r="2073" spans="1:29" ht="11.65" hidden="1" x14ac:dyDescent="0.35">
      <c r="A2073" s="12">
        <v>2056</v>
      </c>
      <c r="B2073" s="10" t="s">
        <v>1015</v>
      </c>
      <c r="C2073" s="11" t="s">
        <v>1161</v>
      </c>
      <c r="D2073" s="9"/>
      <c r="E2073" s="9">
        <v>360</v>
      </c>
      <c r="F2073" s="10" t="s">
        <v>1066</v>
      </c>
      <c r="G2073" s="9">
        <v>920</v>
      </c>
      <c r="H2073" s="9">
        <v>1950</v>
      </c>
      <c r="I2073" s="8">
        <v>5100.6419999999998</v>
      </c>
      <c r="J2073" s="8">
        <v>4563.8879999999999</v>
      </c>
      <c r="K2073" s="8">
        <v>4307.0020000000004</v>
      </c>
      <c r="L2073" s="8">
        <v>3797.3519999999999</v>
      </c>
      <c r="M2073" s="8">
        <v>3189.6849999999999</v>
      </c>
      <c r="N2073" s="8">
        <v>2522.9960000000001</v>
      </c>
      <c r="O2073" s="8">
        <v>2167.0569999999998</v>
      </c>
      <c r="P2073" s="8">
        <v>1994.2809999999999</v>
      </c>
      <c r="Q2073" s="8">
        <v>1727.174</v>
      </c>
      <c r="R2073" s="8">
        <v>1393.4369999999999</v>
      </c>
      <c r="S2073" s="8">
        <v>1086.1030000000001</v>
      </c>
      <c r="T2073" s="8">
        <v>966.31700000000001</v>
      </c>
      <c r="U2073" s="8">
        <v>795.03700000000003</v>
      </c>
      <c r="V2073" s="8">
        <v>628.82299999999998</v>
      </c>
      <c r="W2073" s="8">
        <v>427.553</v>
      </c>
      <c r="X2073" s="8">
        <v>249.971</v>
      </c>
      <c r="Y2073" s="8">
        <v>93.3</v>
      </c>
      <c r="Z2073" s="8">
        <v>28.951000000000001</v>
      </c>
      <c r="AA2073" s="8">
        <v>5.7910000000000004</v>
      </c>
      <c r="AB2073" s="8">
        <v>0.69699999999999995</v>
      </c>
      <c r="AC2073" s="8">
        <v>4.9000000000000002E-2</v>
      </c>
    </row>
    <row r="2074" spans="1:29" ht="11.65" hidden="1" x14ac:dyDescent="0.35">
      <c r="A2074" s="12">
        <v>2057</v>
      </c>
      <c r="B2074" s="10" t="s">
        <v>1015</v>
      </c>
      <c r="C2074" s="11" t="s">
        <v>1161</v>
      </c>
      <c r="D2074" s="9"/>
      <c r="E2074" s="9">
        <v>360</v>
      </c>
      <c r="F2074" s="10" t="s">
        <v>1066</v>
      </c>
      <c r="G2074" s="9">
        <v>920</v>
      </c>
      <c r="H2074" s="9">
        <v>1955</v>
      </c>
      <c r="I2074" s="8">
        <v>5932.44</v>
      </c>
      <c r="J2074" s="8">
        <v>4660.2510000000002</v>
      </c>
      <c r="K2074" s="8">
        <v>4462.8710000000001</v>
      </c>
      <c r="L2074" s="8">
        <v>4242.1059999999998</v>
      </c>
      <c r="M2074" s="8">
        <v>3713.0479999999998</v>
      </c>
      <c r="N2074" s="8">
        <v>3093.4940000000001</v>
      </c>
      <c r="O2074" s="8">
        <v>2436.0140000000001</v>
      </c>
      <c r="P2074" s="8">
        <v>2087.7860000000001</v>
      </c>
      <c r="Q2074" s="8">
        <v>1919.3579999999999</v>
      </c>
      <c r="R2074" s="8">
        <v>1657.2570000000001</v>
      </c>
      <c r="S2074" s="8">
        <v>1321.43</v>
      </c>
      <c r="T2074" s="8">
        <v>1007.375</v>
      </c>
      <c r="U2074" s="8">
        <v>860.07299999999998</v>
      </c>
      <c r="V2074" s="8">
        <v>659.32799999999997</v>
      </c>
      <c r="W2074" s="8">
        <v>466.34300000000002</v>
      </c>
      <c r="X2074" s="8">
        <v>265.04199999999997</v>
      </c>
      <c r="Y2074" s="8">
        <v>117.786</v>
      </c>
      <c r="Z2074" s="8">
        <v>24.858000000000001</v>
      </c>
      <c r="AA2074" s="8">
        <v>4.6319999999999997</v>
      </c>
      <c r="AB2074" s="8">
        <v>0.49399999999999999</v>
      </c>
      <c r="AC2074" s="8">
        <v>3.5999999999999997E-2</v>
      </c>
    </row>
    <row r="2075" spans="1:29" ht="11.65" hidden="1" x14ac:dyDescent="0.35">
      <c r="A2075" s="12">
        <v>2058</v>
      </c>
      <c r="B2075" s="10" t="s">
        <v>1015</v>
      </c>
      <c r="C2075" s="11" t="s">
        <v>1161</v>
      </c>
      <c r="D2075" s="9"/>
      <c r="E2075" s="9">
        <v>360</v>
      </c>
      <c r="F2075" s="10" t="s">
        <v>1066</v>
      </c>
      <c r="G2075" s="9">
        <v>920</v>
      </c>
      <c r="H2075" s="9">
        <v>1960</v>
      </c>
      <c r="I2075" s="8">
        <v>7350.2</v>
      </c>
      <c r="J2075" s="8">
        <v>5544.5810000000001</v>
      </c>
      <c r="K2075" s="8">
        <v>4572.0929999999998</v>
      </c>
      <c r="L2075" s="8">
        <v>4398.2259999999997</v>
      </c>
      <c r="M2075" s="8">
        <v>4148.5659999999998</v>
      </c>
      <c r="N2075" s="8">
        <v>3607.5160000000001</v>
      </c>
      <c r="O2075" s="8">
        <v>2991.9479999999999</v>
      </c>
      <c r="P2075" s="8">
        <v>2346.1779999999999</v>
      </c>
      <c r="Q2075" s="8">
        <v>2003.546</v>
      </c>
      <c r="R2075" s="8">
        <v>1833.07</v>
      </c>
      <c r="S2075" s="8">
        <v>1562.5239999999999</v>
      </c>
      <c r="T2075" s="8">
        <v>1217.4829999999999</v>
      </c>
      <c r="U2075" s="8">
        <v>891.90200000000004</v>
      </c>
      <c r="V2075" s="8">
        <v>714.62900000000002</v>
      </c>
      <c r="W2075" s="8">
        <v>496.69600000000003</v>
      </c>
      <c r="X2075" s="8">
        <v>299.21199999999999</v>
      </c>
      <c r="Y2075" s="8">
        <v>133.15299999999999</v>
      </c>
      <c r="Z2075" s="8">
        <v>32.96</v>
      </c>
      <c r="AA2075" s="8">
        <v>4.2039999999999997</v>
      </c>
      <c r="AB2075" s="8">
        <v>0.42</v>
      </c>
      <c r="AC2075" s="8">
        <v>2.7E-2</v>
      </c>
    </row>
    <row r="2076" spans="1:29" ht="11.65" hidden="1" x14ac:dyDescent="0.35">
      <c r="A2076" s="12">
        <v>2059</v>
      </c>
      <c r="B2076" s="10" t="s">
        <v>1015</v>
      </c>
      <c r="C2076" s="11" t="s">
        <v>1161</v>
      </c>
      <c r="D2076" s="9"/>
      <c r="E2076" s="9">
        <v>360</v>
      </c>
      <c r="F2076" s="10" t="s">
        <v>1066</v>
      </c>
      <c r="G2076" s="9">
        <v>920</v>
      </c>
      <c r="H2076" s="9">
        <v>1965</v>
      </c>
      <c r="I2076" s="8">
        <v>8444.2739999999994</v>
      </c>
      <c r="J2076" s="8">
        <v>6978.3969999999999</v>
      </c>
      <c r="K2076" s="8">
        <v>5457.1319999999996</v>
      </c>
      <c r="L2076" s="8">
        <v>4512.1850000000004</v>
      </c>
      <c r="M2076" s="8">
        <v>4306.38</v>
      </c>
      <c r="N2076" s="8">
        <v>4037.9270000000001</v>
      </c>
      <c r="O2076" s="8">
        <v>3497.1089999999999</v>
      </c>
      <c r="P2076" s="8">
        <v>2888.2060000000001</v>
      </c>
      <c r="Q2076" s="8">
        <v>2255.2600000000002</v>
      </c>
      <c r="R2076" s="8">
        <v>1915.307</v>
      </c>
      <c r="S2076" s="8">
        <v>1730.3240000000001</v>
      </c>
      <c r="T2076" s="8">
        <v>1442.54</v>
      </c>
      <c r="U2076" s="8">
        <v>1082.134</v>
      </c>
      <c r="V2076" s="8">
        <v>746.17399999999998</v>
      </c>
      <c r="W2076" s="8">
        <v>543.99199999999996</v>
      </c>
      <c r="X2076" s="8">
        <v>323.76299999999998</v>
      </c>
      <c r="Y2076" s="8">
        <v>154.28100000000001</v>
      </c>
      <c r="Z2076" s="8">
        <v>38.753999999999998</v>
      </c>
      <c r="AA2076" s="8">
        <v>5.8239999999999998</v>
      </c>
      <c r="AB2076" s="8">
        <v>0.39900000000000002</v>
      </c>
      <c r="AC2076" s="8">
        <v>2.3E-2</v>
      </c>
    </row>
    <row r="2077" spans="1:29" ht="11.65" hidden="1" x14ac:dyDescent="0.35">
      <c r="A2077" s="12">
        <v>2060</v>
      </c>
      <c r="B2077" s="10" t="s">
        <v>1015</v>
      </c>
      <c r="C2077" s="11" t="s">
        <v>1161</v>
      </c>
      <c r="D2077" s="9"/>
      <c r="E2077" s="9">
        <v>360</v>
      </c>
      <c r="F2077" s="10" t="s">
        <v>1066</v>
      </c>
      <c r="G2077" s="9">
        <v>920</v>
      </c>
      <c r="H2077" s="9">
        <v>1970</v>
      </c>
      <c r="I2077" s="8">
        <v>9488.9500000000007</v>
      </c>
      <c r="J2077" s="8">
        <v>8102.3959999999997</v>
      </c>
      <c r="K2077" s="8">
        <v>6889.1189999999997</v>
      </c>
      <c r="L2077" s="8">
        <v>5399.3040000000001</v>
      </c>
      <c r="M2077" s="8">
        <v>4433.91</v>
      </c>
      <c r="N2077" s="8">
        <v>4210.7960000000003</v>
      </c>
      <c r="O2077" s="8">
        <v>3934.4450000000002</v>
      </c>
      <c r="P2077" s="8">
        <v>3392.6329999999998</v>
      </c>
      <c r="Q2077" s="8">
        <v>2787.732</v>
      </c>
      <c r="R2077" s="8">
        <v>2162.3670000000002</v>
      </c>
      <c r="S2077" s="8">
        <v>1812.79</v>
      </c>
      <c r="T2077" s="8">
        <v>1602.2919999999999</v>
      </c>
      <c r="U2077" s="8">
        <v>1289.088</v>
      </c>
      <c r="V2077" s="8">
        <v>913.303</v>
      </c>
      <c r="W2077" s="8">
        <v>574.39200000000005</v>
      </c>
      <c r="X2077" s="8">
        <v>360.44499999999999</v>
      </c>
      <c r="Y2077" s="8">
        <v>170.76</v>
      </c>
      <c r="Z2077" s="8">
        <v>46.81</v>
      </c>
      <c r="AA2077" s="8">
        <v>7.17</v>
      </c>
      <c r="AB2077" s="8">
        <v>0.58299999999999996</v>
      </c>
      <c r="AC2077" s="8">
        <v>2.3E-2</v>
      </c>
    </row>
    <row r="2078" spans="1:29" ht="11.65" hidden="1" x14ac:dyDescent="0.35">
      <c r="A2078" s="12">
        <v>2061</v>
      </c>
      <c r="B2078" s="10" t="s">
        <v>1015</v>
      </c>
      <c r="C2078" s="11" t="s">
        <v>1161</v>
      </c>
      <c r="D2078" s="9"/>
      <c r="E2078" s="9">
        <v>360</v>
      </c>
      <c r="F2078" s="10" t="s">
        <v>1066</v>
      </c>
      <c r="G2078" s="9">
        <v>920</v>
      </c>
      <c r="H2078" s="9">
        <v>1975</v>
      </c>
      <c r="I2078" s="8">
        <v>10244.397000000001</v>
      </c>
      <c r="J2078" s="8">
        <v>9188.7340000000004</v>
      </c>
      <c r="K2078" s="8">
        <v>8013.924</v>
      </c>
      <c r="L2078" s="8">
        <v>6824.884</v>
      </c>
      <c r="M2078" s="8">
        <v>5318.4319999999998</v>
      </c>
      <c r="N2078" s="8">
        <v>4349.9830000000002</v>
      </c>
      <c r="O2078" s="8">
        <v>4117.6210000000001</v>
      </c>
      <c r="P2078" s="8">
        <v>3830.2959999999998</v>
      </c>
      <c r="Q2078" s="8">
        <v>3284.2910000000002</v>
      </c>
      <c r="R2078" s="8">
        <v>2678.9670000000001</v>
      </c>
      <c r="S2078" s="8">
        <v>2051.2049999999999</v>
      </c>
      <c r="T2078" s="8">
        <v>1683.4880000000001</v>
      </c>
      <c r="U2078" s="8">
        <v>1438.5409999999999</v>
      </c>
      <c r="V2078" s="8">
        <v>1095.7940000000001</v>
      </c>
      <c r="W2078" s="8">
        <v>709.77099999999996</v>
      </c>
      <c r="X2078" s="8">
        <v>385.91199999999998</v>
      </c>
      <c r="Y2078" s="8">
        <v>193.756</v>
      </c>
      <c r="Z2078" s="8">
        <v>53.637999999999998</v>
      </c>
      <c r="AA2078" s="8">
        <v>8.9760000000000009</v>
      </c>
      <c r="AB2078" s="8">
        <v>0.74399999999999999</v>
      </c>
      <c r="AC2078" s="8">
        <v>3.4000000000000002E-2</v>
      </c>
    </row>
    <row r="2079" spans="1:29" ht="11.65" hidden="1" x14ac:dyDescent="0.35">
      <c r="A2079" s="12">
        <v>2062</v>
      </c>
      <c r="B2079" s="10" t="s">
        <v>1015</v>
      </c>
      <c r="C2079" s="11" t="s">
        <v>1161</v>
      </c>
      <c r="D2079" s="9"/>
      <c r="E2079" s="9">
        <v>360</v>
      </c>
      <c r="F2079" s="10" t="s">
        <v>1066</v>
      </c>
      <c r="G2079" s="9">
        <v>920</v>
      </c>
      <c r="H2079" s="9">
        <v>1980</v>
      </c>
      <c r="I2079" s="8">
        <v>10811.54</v>
      </c>
      <c r="J2079" s="8">
        <v>9990.616</v>
      </c>
      <c r="K2079" s="8">
        <v>9096.1919999999991</v>
      </c>
      <c r="L2079" s="8">
        <v>7941.15</v>
      </c>
      <c r="M2079" s="8">
        <v>6729.15</v>
      </c>
      <c r="N2079" s="8">
        <v>5225.4340000000002</v>
      </c>
      <c r="O2079" s="8">
        <v>4261.5110000000004</v>
      </c>
      <c r="P2079" s="8">
        <v>4017.5639999999999</v>
      </c>
      <c r="Q2079" s="8">
        <v>3717.1819999999998</v>
      </c>
      <c r="R2079" s="8">
        <v>3163.9920000000002</v>
      </c>
      <c r="S2079" s="8">
        <v>2548.7840000000001</v>
      </c>
      <c r="T2079" s="8">
        <v>1913.0319999999999</v>
      </c>
      <c r="U2079" s="8">
        <v>1520.5530000000001</v>
      </c>
      <c r="V2079" s="8">
        <v>1232.6969999999999</v>
      </c>
      <c r="W2079" s="8">
        <v>860.68700000000001</v>
      </c>
      <c r="X2079" s="8">
        <v>483.56599999999997</v>
      </c>
      <c r="Y2079" s="8">
        <v>210.916</v>
      </c>
      <c r="Z2079" s="8">
        <v>62.566000000000003</v>
      </c>
      <c r="AA2079" s="8">
        <v>10.564</v>
      </c>
      <c r="AB2079" s="8">
        <v>0.95499999999999996</v>
      </c>
      <c r="AC2079" s="8">
        <v>4.3999999999999997E-2</v>
      </c>
    </row>
    <row r="2080" spans="1:29" ht="11.65" hidden="1" x14ac:dyDescent="0.35">
      <c r="A2080" s="12">
        <v>2063</v>
      </c>
      <c r="B2080" s="10" t="s">
        <v>1015</v>
      </c>
      <c r="C2080" s="11" t="s">
        <v>1161</v>
      </c>
      <c r="D2080" s="9"/>
      <c r="E2080" s="9">
        <v>360</v>
      </c>
      <c r="F2080" s="10" t="s">
        <v>1066</v>
      </c>
      <c r="G2080" s="9">
        <v>920</v>
      </c>
      <c r="H2080" s="9">
        <v>1985</v>
      </c>
      <c r="I2080" s="8">
        <v>11223.489</v>
      </c>
      <c r="J2080" s="8">
        <v>10618.931</v>
      </c>
      <c r="K2080" s="8">
        <v>9914.9750000000004</v>
      </c>
      <c r="L2080" s="8">
        <v>9032.9590000000007</v>
      </c>
      <c r="M2080" s="8">
        <v>7851.7020000000002</v>
      </c>
      <c r="N2080" s="8">
        <v>6633.4269999999997</v>
      </c>
      <c r="O2080" s="8">
        <v>5137.9620000000004</v>
      </c>
      <c r="P2080" s="8">
        <v>4174.3879999999999</v>
      </c>
      <c r="Q2080" s="8">
        <v>3914.8290000000002</v>
      </c>
      <c r="R2080" s="8">
        <v>3595.636</v>
      </c>
      <c r="S2080" s="8">
        <v>3023.72</v>
      </c>
      <c r="T2080" s="8">
        <v>2390.1019999999999</v>
      </c>
      <c r="U2080" s="8">
        <v>1740.682</v>
      </c>
      <c r="V2080" s="8">
        <v>1316.6990000000001</v>
      </c>
      <c r="W2080" s="8">
        <v>982.67899999999997</v>
      </c>
      <c r="X2080" s="8">
        <v>598.74400000000003</v>
      </c>
      <c r="Y2080" s="8">
        <v>271.40199999999999</v>
      </c>
      <c r="Z2080" s="8">
        <v>69.494</v>
      </c>
      <c r="AA2080" s="8">
        <v>12.534000000000001</v>
      </c>
      <c r="AB2080" s="8">
        <v>1.135</v>
      </c>
      <c r="AC2080" s="8">
        <v>5.6000000000000001E-2</v>
      </c>
    </row>
    <row r="2081" spans="1:29" ht="11.65" hidden="1" x14ac:dyDescent="0.35">
      <c r="A2081" s="12">
        <v>2064</v>
      </c>
      <c r="B2081" s="10" t="s">
        <v>1015</v>
      </c>
      <c r="C2081" s="11" t="s">
        <v>1161</v>
      </c>
      <c r="D2081" s="9"/>
      <c r="E2081" s="9">
        <v>360</v>
      </c>
      <c r="F2081" s="10" t="s">
        <v>1066</v>
      </c>
      <c r="G2081" s="9">
        <v>920</v>
      </c>
      <c r="H2081" s="9">
        <v>1990</v>
      </c>
      <c r="I2081" s="8">
        <v>10888.275</v>
      </c>
      <c r="J2081" s="8">
        <v>11021.683999999999</v>
      </c>
      <c r="K2081" s="8">
        <v>10506.375</v>
      </c>
      <c r="L2081" s="8">
        <v>9809.6299999999992</v>
      </c>
      <c r="M2081" s="8">
        <v>8897.643</v>
      </c>
      <c r="N2081" s="8">
        <v>7713.0020000000004</v>
      </c>
      <c r="O2081" s="8">
        <v>6502.1009999999997</v>
      </c>
      <c r="P2081" s="8">
        <v>5017.2439999999997</v>
      </c>
      <c r="Q2081" s="8">
        <v>4054.482</v>
      </c>
      <c r="R2081" s="8">
        <v>3774.0320000000002</v>
      </c>
      <c r="S2081" s="8">
        <v>3425.5810000000001</v>
      </c>
      <c r="T2081" s="8">
        <v>2828.1779999999999</v>
      </c>
      <c r="U2081" s="8">
        <v>2172.5140000000001</v>
      </c>
      <c r="V2081" s="8">
        <v>1509.8879999999999</v>
      </c>
      <c r="W2081" s="8">
        <v>1055.0920000000001</v>
      </c>
      <c r="X2081" s="8">
        <v>691.17499999999995</v>
      </c>
      <c r="Y2081" s="8">
        <v>342.24400000000003</v>
      </c>
      <c r="Z2081" s="8">
        <v>92.108999999999995</v>
      </c>
      <c r="AA2081" s="8">
        <v>14.332000000000001</v>
      </c>
      <c r="AB2081" s="8">
        <v>1.3839999999999999</v>
      </c>
      <c r="AC2081" s="8">
        <v>6.8000000000000005E-2</v>
      </c>
    </row>
    <row r="2082" spans="1:29" ht="11.65" hidden="1" x14ac:dyDescent="0.35">
      <c r="A2082" s="12">
        <v>2065</v>
      </c>
      <c r="B2082" s="10" t="s">
        <v>1015</v>
      </c>
      <c r="C2082" s="11" t="s">
        <v>1161</v>
      </c>
      <c r="D2082" s="9"/>
      <c r="E2082" s="9">
        <v>360</v>
      </c>
      <c r="F2082" s="10" t="s">
        <v>1066</v>
      </c>
      <c r="G2082" s="9">
        <v>920</v>
      </c>
      <c r="H2082" s="9">
        <v>1995</v>
      </c>
      <c r="I2082" s="8">
        <v>10747.346</v>
      </c>
      <c r="J2082" s="8">
        <v>10831.343000000001</v>
      </c>
      <c r="K2082" s="8">
        <v>11035.954</v>
      </c>
      <c r="L2082" s="8">
        <v>10481.437</v>
      </c>
      <c r="M2082" s="8">
        <v>9716.6389999999992</v>
      </c>
      <c r="N2082" s="8">
        <v>8809.3970000000008</v>
      </c>
      <c r="O2082" s="8">
        <v>7628.3019999999997</v>
      </c>
      <c r="P2082" s="8">
        <v>6409.5789999999997</v>
      </c>
      <c r="Q2082" s="8">
        <v>4917.4769999999999</v>
      </c>
      <c r="R2082" s="8">
        <v>3942.3739999999998</v>
      </c>
      <c r="S2082" s="8">
        <v>3627.0540000000001</v>
      </c>
      <c r="T2082" s="8">
        <v>3233.1280000000002</v>
      </c>
      <c r="U2082" s="8">
        <v>2597.3420000000001</v>
      </c>
      <c r="V2082" s="8">
        <v>1909.0920000000001</v>
      </c>
      <c r="W2082" s="8">
        <v>1230.1079999999999</v>
      </c>
      <c r="X2082" s="8">
        <v>759.58399999999995</v>
      </c>
      <c r="Y2082" s="8">
        <v>408.40899999999999</v>
      </c>
      <c r="Z2082" s="8">
        <v>118.881</v>
      </c>
      <c r="AA2082" s="8">
        <v>19.309999999999999</v>
      </c>
      <c r="AB2082" s="8">
        <v>1.589</v>
      </c>
      <c r="AC2082" s="8">
        <v>8.2000000000000003E-2</v>
      </c>
    </row>
    <row r="2083" spans="1:29" ht="11.65" hidden="1" x14ac:dyDescent="0.35">
      <c r="A2083" s="12">
        <v>2066</v>
      </c>
      <c r="B2083" s="10" t="s">
        <v>1015</v>
      </c>
      <c r="C2083" s="11" t="s">
        <v>1161</v>
      </c>
      <c r="D2083" s="9"/>
      <c r="E2083" s="9">
        <v>360</v>
      </c>
      <c r="F2083" s="10" t="s">
        <v>1066</v>
      </c>
      <c r="G2083" s="9">
        <v>920</v>
      </c>
      <c r="H2083" s="9">
        <v>2000</v>
      </c>
      <c r="I2083" s="8">
        <v>10483.366</v>
      </c>
      <c r="J2083" s="8">
        <v>10674.026</v>
      </c>
      <c r="K2083" s="8">
        <v>10786.177</v>
      </c>
      <c r="L2083" s="8">
        <v>10966.779</v>
      </c>
      <c r="M2083" s="8">
        <v>10348.255999999999</v>
      </c>
      <c r="N2083" s="8">
        <v>9573.74</v>
      </c>
      <c r="O2083" s="8">
        <v>8670.2279999999992</v>
      </c>
      <c r="P2083" s="8">
        <v>7486.3159999999998</v>
      </c>
      <c r="Q2083" s="8">
        <v>6258.1049999999996</v>
      </c>
      <c r="R2083" s="8">
        <v>4753.9440000000004</v>
      </c>
      <c r="S2083" s="8">
        <v>3757.5279999999998</v>
      </c>
      <c r="T2083" s="8">
        <v>3390.5439999999999</v>
      </c>
      <c r="U2083" s="8">
        <v>2966.3</v>
      </c>
      <c r="V2083" s="8">
        <v>2316.7370000000001</v>
      </c>
      <c r="W2083" s="8">
        <v>1606.61</v>
      </c>
      <c r="X2083" s="8">
        <v>947.00900000000001</v>
      </c>
      <c r="Y2083" s="8">
        <v>498.89100000000002</v>
      </c>
      <c r="Z2083" s="8">
        <v>147.29300000000001</v>
      </c>
      <c r="AA2083" s="8">
        <v>25.844000000000001</v>
      </c>
      <c r="AB2083" s="8">
        <v>2.2069999999999999</v>
      </c>
      <c r="AC2083" s="8">
        <v>9.5000000000000001E-2</v>
      </c>
    </row>
    <row r="2084" spans="1:29" ht="11.65" hidden="1" x14ac:dyDescent="0.35">
      <c r="A2084" s="12">
        <v>2067</v>
      </c>
      <c r="B2084" s="10" t="s">
        <v>1015</v>
      </c>
      <c r="C2084" s="11" t="s">
        <v>1161</v>
      </c>
      <c r="D2084" s="9"/>
      <c r="E2084" s="9">
        <v>360</v>
      </c>
      <c r="F2084" s="10" t="s">
        <v>1066</v>
      </c>
      <c r="G2084" s="9">
        <v>920</v>
      </c>
      <c r="H2084" s="9">
        <v>2005</v>
      </c>
      <c r="I2084" s="8">
        <v>10872.666999999999</v>
      </c>
      <c r="J2084" s="8">
        <v>11142.495000000001</v>
      </c>
      <c r="K2084" s="8">
        <v>11091.725</v>
      </c>
      <c r="L2084" s="8">
        <v>10901.483</v>
      </c>
      <c r="M2084" s="8">
        <v>10444.025</v>
      </c>
      <c r="N2084" s="8">
        <v>10212.040999999999</v>
      </c>
      <c r="O2084" s="8">
        <v>9329.4159999999993</v>
      </c>
      <c r="P2084" s="8">
        <v>8318.5110000000004</v>
      </c>
      <c r="Q2084" s="8">
        <v>7170.3959999999997</v>
      </c>
      <c r="R2084" s="8">
        <v>5768.058</v>
      </c>
      <c r="S2084" s="8">
        <v>4634.1620000000003</v>
      </c>
      <c r="T2084" s="8">
        <v>3734.3710000000001</v>
      </c>
      <c r="U2084" s="8">
        <v>3051.6309999999999</v>
      </c>
      <c r="V2084" s="8">
        <v>2403.0940000000001</v>
      </c>
      <c r="W2084" s="8">
        <v>1765.3130000000001</v>
      </c>
      <c r="X2084" s="8">
        <v>1041.1489999999999</v>
      </c>
      <c r="Y2084" s="8">
        <v>576.06700000000001</v>
      </c>
      <c r="Z2084" s="8">
        <v>199.91</v>
      </c>
      <c r="AA2084" s="8">
        <v>36.875</v>
      </c>
      <c r="AB2084" s="8">
        <v>3.536</v>
      </c>
      <c r="AC2084" s="8">
        <v>0.156</v>
      </c>
    </row>
    <row r="2085" spans="1:29" ht="11.65" hidden="1" x14ac:dyDescent="0.35">
      <c r="A2085" s="12">
        <v>2068</v>
      </c>
      <c r="B2085" s="10" t="s">
        <v>1015</v>
      </c>
      <c r="C2085" s="11" t="s">
        <v>1161</v>
      </c>
      <c r="D2085" s="9"/>
      <c r="E2085" s="9">
        <v>360</v>
      </c>
      <c r="F2085" s="10" t="s">
        <v>1066</v>
      </c>
      <c r="G2085" s="9">
        <v>920</v>
      </c>
      <c r="H2085" s="9">
        <v>2010</v>
      </c>
      <c r="I2085" s="8">
        <v>11264.62</v>
      </c>
      <c r="J2085" s="8">
        <v>11420.244000000001</v>
      </c>
      <c r="K2085" s="8">
        <v>11219.562</v>
      </c>
      <c r="L2085" s="8">
        <v>10513.416999999999</v>
      </c>
      <c r="M2085" s="8">
        <v>10248.949000000001</v>
      </c>
      <c r="N2085" s="8">
        <v>10843.123</v>
      </c>
      <c r="O2085" s="8">
        <v>10042.623</v>
      </c>
      <c r="P2085" s="8">
        <v>9297.7019999999993</v>
      </c>
      <c r="Q2085" s="8">
        <v>8314.8150000000005</v>
      </c>
      <c r="R2085" s="8">
        <v>7104.1239999999998</v>
      </c>
      <c r="S2085" s="8">
        <v>5771.0519999999997</v>
      </c>
      <c r="T2085" s="8">
        <v>4141.0469999999996</v>
      </c>
      <c r="U2085" s="8">
        <v>3189.8</v>
      </c>
      <c r="V2085" s="8">
        <v>2490.9450000000002</v>
      </c>
      <c r="W2085" s="8">
        <v>1957.577</v>
      </c>
      <c r="X2085" s="8">
        <v>1183.259</v>
      </c>
      <c r="Y2085" s="8">
        <v>686.71600000000001</v>
      </c>
      <c r="Z2085" s="8">
        <v>259.14999999999998</v>
      </c>
      <c r="AA2085" s="8">
        <v>58.518000000000001</v>
      </c>
      <c r="AB2085" s="8">
        <v>6.17</v>
      </c>
      <c r="AC2085" s="8">
        <v>0.308</v>
      </c>
    </row>
    <row r="2086" spans="1:29" ht="11.65" hidden="1" x14ac:dyDescent="0.35">
      <c r="A2086" s="12">
        <v>2069</v>
      </c>
      <c r="B2086" s="10" t="s">
        <v>1015</v>
      </c>
      <c r="C2086" s="11" t="s">
        <v>1161</v>
      </c>
      <c r="D2086" s="9"/>
      <c r="E2086" s="9">
        <v>360</v>
      </c>
      <c r="F2086" s="10" t="s">
        <v>1066</v>
      </c>
      <c r="G2086" s="9">
        <v>920</v>
      </c>
      <c r="H2086" s="9">
        <v>2015</v>
      </c>
      <c r="I2086" s="8">
        <v>11948.475</v>
      </c>
      <c r="J2086" s="8">
        <v>11207.107</v>
      </c>
      <c r="K2086" s="8">
        <v>11382.38</v>
      </c>
      <c r="L2086" s="8">
        <v>11145.324000000001</v>
      </c>
      <c r="M2086" s="8">
        <v>10395.75</v>
      </c>
      <c r="N2086" s="8">
        <v>10127.415000000001</v>
      </c>
      <c r="O2086" s="8">
        <v>10721.206</v>
      </c>
      <c r="P2086" s="8">
        <v>9919.3809999999994</v>
      </c>
      <c r="Q2086" s="8">
        <v>9159.616</v>
      </c>
      <c r="R2086" s="8">
        <v>8151.4049999999997</v>
      </c>
      <c r="S2086" s="8">
        <v>6909.067</v>
      </c>
      <c r="T2086" s="8">
        <v>5545.0720000000001</v>
      </c>
      <c r="U2086" s="8">
        <v>3898.0569999999998</v>
      </c>
      <c r="V2086" s="8">
        <v>2902.5430000000001</v>
      </c>
      <c r="W2086" s="8">
        <v>2138.6060000000002</v>
      </c>
      <c r="X2086" s="8">
        <v>1509.9369999999999</v>
      </c>
      <c r="Y2086" s="8">
        <v>761.08299999999997</v>
      </c>
      <c r="Z2086" s="8">
        <v>332.584</v>
      </c>
      <c r="AA2086" s="8">
        <v>83.704999999999998</v>
      </c>
      <c r="AB2086" s="8">
        <v>11.084</v>
      </c>
      <c r="AC2086" s="8">
        <v>0.61799999999999999</v>
      </c>
    </row>
    <row r="2087" spans="1:29" ht="11.65" hidden="1" x14ac:dyDescent="0.35">
      <c r="A2087" s="12">
        <v>2070</v>
      </c>
      <c r="B2087" s="10" t="s">
        <v>1015</v>
      </c>
      <c r="C2087" s="11" t="s">
        <v>1161</v>
      </c>
      <c r="D2087" s="9"/>
      <c r="E2087" s="9">
        <v>360</v>
      </c>
      <c r="F2087" s="10" t="s">
        <v>1066</v>
      </c>
      <c r="G2087" s="9">
        <v>920</v>
      </c>
      <c r="H2087" s="9">
        <v>2020</v>
      </c>
      <c r="I2087" s="8">
        <v>11565.56</v>
      </c>
      <c r="J2087" s="8">
        <v>11886.87</v>
      </c>
      <c r="K2087" s="8">
        <v>11174.785</v>
      </c>
      <c r="L2087" s="8">
        <v>11310.294</v>
      </c>
      <c r="M2087" s="8">
        <v>11027.508</v>
      </c>
      <c r="N2087" s="8">
        <v>10278.030000000001</v>
      </c>
      <c r="O2087" s="8">
        <v>10018.019</v>
      </c>
      <c r="P2087" s="8">
        <v>10603.161</v>
      </c>
      <c r="Q2087" s="8">
        <v>9787.2180000000008</v>
      </c>
      <c r="R2087" s="8">
        <v>8996.8909999999996</v>
      </c>
      <c r="S2087" s="8">
        <v>7947.0469999999996</v>
      </c>
      <c r="T2087" s="8">
        <v>6659.9279999999999</v>
      </c>
      <c r="U2087" s="8">
        <v>5245.4889999999996</v>
      </c>
      <c r="V2087" s="8">
        <v>3575.8939999999998</v>
      </c>
      <c r="W2087" s="8">
        <v>2525.4879999999998</v>
      </c>
      <c r="X2087" s="8">
        <v>1685.01</v>
      </c>
      <c r="Y2087" s="8">
        <v>1002.254</v>
      </c>
      <c r="Z2087" s="8">
        <v>384.79599999999999</v>
      </c>
      <c r="AA2087" s="8">
        <v>113.431</v>
      </c>
      <c r="AB2087" s="8">
        <v>16.898</v>
      </c>
      <c r="AC2087" s="8">
        <v>1.1890000000000001</v>
      </c>
    </row>
    <row r="2088" spans="1:29" ht="11.65" hidden="1" x14ac:dyDescent="0.35">
      <c r="A2088" s="12">
        <v>2071</v>
      </c>
      <c r="B2088" s="10" t="s">
        <v>1015</v>
      </c>
      <c r="C2088" s="11" t="s">
        <v>1162</v>
      </c>
      <c r="D2088" s="9"/>
      <c r="E2088" s="9">
        <v>418</v>
      </c>
      <c r="F2088" s="10" t="s">
        <v>1066</v>
      </c>
      <c r="G2088" s="9">
        <v>920</v>
      </c>
      <c r="H2088" s="9">
        <v>1950</v>
      </c>
      <c r="I2088" s="8">
        <v>141.63999999999999</v>
      </c>
      <c r="J2088" s="8">
        <v>110.571</v>
      </c>
      <c r="K2088" s="8">
        <v>95.260999999999996</v>
      </c>
      <c r="L2088" s="8">
        <v>84.131</v>
      </c>
      <c r="M2088" s="8">
        <v>77.572000000000003</v>
      </c>
      <c r="N2088" s="8">
        <v>69.323999999999998</v>
      </c>
      <c r="O2088" s="8">
        <v>61.287999999999997</v>
      </c>
      <c r="P2088" s="8">
        <v>53.003</v>
      </c>
      <c r="Q2088" s="8">
        <v>44.101999999999997</v>
      </c>
      <c r="R2088" s="8">
        <v>36.945999999999998</v>
      </c>
      <c r="S2088" s="8">
        <v>28.542000000000002</v>
      </c>
      <c r="T2088" s="8">
        <v>21.658000000000001</v>
      </c>
      <c r="U2088" s="8">
        <v>14.933</v>
      </c>
      <c r="V2088" s="8">
        <v>8.9169999999999998</v>
      </c>
      <c r="W2088" s="8">
        <v>5.0960000000000001</v>
      </c>
      <c r="X2088" s="8">
        <v>0.79400000000000004</v>
      </c>
      <c r="Y2088" s="8">
        <v>1.0999999999999999E-2</v>
      </c>
      <c r="Z2088" s="8">
        <v>1.0999999999999999E-2</v>
      </c>
      <c r="AA2088" s="8">
        <v>0</v>
      </c>
      <c r="AB2088" s="8">
        <v>0</v>
      </c>
      <c r="AC2088" s="8">
        <v>0</v>
      </c>
    </row>
    <row r="2089" spans="1:29" ht="11.65" hidden="1" x14ac:dyDescent="0.35">
      <c r="A2089" s="12">
        <v>2072</v>
      </c>
      <c r="B2089" s="10" t="s">
        <v>1015</v>
      </c>
      <c r="C2089" s="11" t="s">
        <v>1162</v>
      </c>
      <c r="D2089" s="9"/>
      <c r="E2089" s="9">
        <v>418</v>
      </c>
      <c r="F2089" s="10" t="s">
        <v>1066</v>
      </c>
      <c r="G2089" s="9">
        <v>920</v>
      </c>
      <c r="H2089" s="9">
        <v>1955</v>
      </c>
      <c r="I2089" s="8">
        <v>159.613</v>
      </c>
      <c r="J2089" s="8">
        <v>130.16300000000001</v>
      </c>
      <c r="K2089" s="8">
        <v>107.88200000000001</v>
      </c>
      <c r="L2089" s="8">
        <v>92.724000000000004</v>
      </c>
      <c r="M2089" s="8">
        <v>81.153999999999996</v>
      </c>
      <c r="N2089" s="8">
        <v>74.328000000000003</v>
      </c>
      <c r="O2089" s="8">
        <v>66.072000000000003</v>
      </c>
      <c r="P2089" s="8">
        <v>58.064999999999998</v>
      </c>
      <c r="Q2089" s="8">
        <v>49.933999999999997</v>
      </c>
      <c r="R2089" s="8">
        <v>41.286000000000001</v>
      </c>
      <c r="S2089" s="8">
        <v>34.073999999999998</v>
      </c>
      <c r="T2089" s="8">
        <v>25.645</v>
      </c>
      <c r="U2089" s="8">
        <v>18.622</v>
      </c>
      <c r="V2089" s="8">
        <v>11.99</v>
      </c>
      <c r="W2089" s="8">
        <v>6.4580000000000002</v>
      </c>
      <c r="X2089" s="8">
        <v>3.117</v>
      </c>
      <c r="Y2089" s="8">
        <v>0.39100000000000001</v>
      </c>
      <c r="Z2089" s="8">
        <v>1.0999999999999999E-2</v>
      </c>
      <c r="AA2089" s="8">
        <v>0</v>
      </c>
      <c r="AB2089" s="8">
        <v>0</v>
      </c>
      <c r="AC2089" s="8">
        <v>0</v>
      </c>
    </row>
    <row r="2090" spans="1:29" ht="11.65" hidden="1" x14ac:dyDescent="0.35">
      <c r="A2090" s="12">
        <v>2073</v>
      </c>
      <c r="B2090" s="10" t="s">
        <v>1015</v>
      </c>
      <c r="C2090" s="11" t="s">
        <v>1162</v>
      </c>
      <c r="D2090" s="9"/>
      <c r="E2090" s="9">
        <v>418</v>
      </c>
      <c r="F2090" s="10" t="s">
        <v>1066</v>
      </c>
      <c r="G2090" s="9">
        <v>920</v>
      </c>
      <c r="H2090" s="9">
        <v>1960</v>
      </c>
      <c r="I2090" s="8">
        <v>175.04</v>
      </c>
      <c r="J2090" s="8">
        <v>147.47399999999999</v>
      </c>
      <c r="K2090" s="8">
        <v>127.179</v>
      </c>
      <c r="L2090" s="8">
        <v>105.17</v>
      </c>
      <c r="M2090" s="8">
        <v>89.623999999999995</v>
      </c>
      <c r="N2090" s="8">
        <v>77.944999999999993</v>
      </c>
      <c r="O2090" s="8">
        <v>71.028999999999996</v>
      </c>
      <c r="P2090" s="8">
        <v>62.780999999999999</v>
      </c>
      <c r="Q2090" s="8">
        <v>54.87</v>
      </c>
      <c r="R2090" s="8">
        <v>46.887999999999998</v>
      </c>
      <c r="S2090" s="8">
        <v>38.204999999999998</v>
      </c>
      <c r="T2090" s="8">
        <v>30.747</v>
      </c>
      <c r="U2090" s="8">
        <v>22.177</v>
      </c>
      <c r="V2090" s="8">
        <v>15.066000000000001</v>
      </c>
      <c r="W2090" s="8">
        <v>8.766</v>
      </c>
      <c r="X2090" s="8">
        <v>4.0010000000000003</v>
      </c>
      <c r="Y2090" s="8">
        <v>1.5109999999999999</v>
      </c>
      <c r="Z2090" s="8">
        <v>0.14799999999999999</v>
      </c>
      <c r="AA2090" s="8">
        <v>0</v>
      </c>
      <c r="AB2090" s="8">
        <v>0</v>
      </c>
      <c r="AC2090" s="8">
        <v>0</v>
      </c>
    </row>
    <row r="2091" spans="1:29" ht="11.65" hidden="1" x14ac:dyDescent="0.35">
      <c r="A2091" s="12">
        <v>2074</v>
      </c>
      <c r="B2091" s="10" t="s">
        <v>1015</v>
      </c>
      <c r="C2091" s="11" t="s">
        <v>1162</v>
      </c>
      <c r="D2091" s="9"/>
      <c r="E2091" s="9">
        <v>418</v>
      </c>
      <c r="F2091" s="10" t="s">
        <v>1066</v>
      </c>
      <c r="G2091" s="9">
        <v>920</v>
      </c>
      <c r="H2091" s="9">
        <v>1965</v>
      </c>
      <c r="I2091" s="8">
        <v>194.953</v>
      </c>
      <c r="J2091" s="8">
        <v>162.602</v>
      </c>
      <c r="K2091" s="8">
        <v>144.304</v>
      </c>
      <c r="L2091" s="8">
        <v>124.176</v>
      </c>
      <c r="M2091" s="8">
        <v>101.858</v>
      </c>
      <c r="N2091" s="8">
        <v>86.284000000000006</v>
      </c>
      <c r="O2091" s="8">
        <v>74.683999999999997</v>
      </c>
      <c r="P2091" s="8">
        <v>67.691000000000003</v>
      </c>
      <c r="Q2091" s="8">
        <v>59.511000000000003</v>
      </c>
      <c r="R2091" s="8">
        <v>51.682000000000002</v>
      </c>
      <c r="S2091" s="8">
        <v>43.54</v>
      </c>
      <c r="T2091" s="8">
        <v>34.625</v>
      </c>
      <c r="U2091" s="8">
        <v>26.742999999999999</v>
      </c>
      <c r="V2091" s="8">
        <v>18.081</v>
      </c>
      <c r="W2091" s="8">
        <v>11.122999999999999</v>
      </c>
      <c r="X2091" s="8">
        <v>5.5039999999999996</v>
      </c>
      <c r="Y2091" s="8">
        <v>1.9710000000000001</v>
      </c>
      <c r="Z2091" s="8">
        <v>0.53</v>
      </c>
      <c r="AA2091" s="8">
        <v>3.1E-2</v>
      </c>
      <c r="AB2091" s="8">
        <v>0</v>
      </c>
      <c r="AC2091" s="8">
        <v>0</v>
      </c>
    </row>
    <row r="2092" spans="1:29" ht="11.65" hidden="1" x14ac:dyDescent="0.35">
      <c r="A2092" s="12">
        <v>2075</v>
      </c>
      <c r="B2092" s="10" t="s">
        <v>1015</v>
      </c>
      <c r="C2092" s="11" t="s">
        <v>1162</v>
      </c>
      <c r="D2092" s="9"/>
      <c r="E2092" s="9">
        <v>418</v>
      </c>
      <c r="F2092" s="10" t="s">
        <v>1066</v>
      </c>
      <c r="G2092" s="9">
        <v>920</v>
      </c>
      <c r="H2092" s="9">
        <v>1970</v>
      </c>
      <c r="I2092" s="8">
        <v>221.57499999999999</v>
      </c>
      <c r="J2092" s="8">
        <v>182.00200000000001</v>
      </c>
      <c r="K2092" s="8">
        <v>159.321</v>
      </c>
      <c r="L2092" s="8">
        <v>141.09700000000001</v>
      </c>
      <c r="M2092" s="8">
        <v>120.48399999999999</v>
      </c>
      <c r="N2092" s="8">
        <v>98.268000000000001</v>
      </c>
      <c r="O2092" s="8">
        <v>82.87</v>
      </c>
      <c r="P2092" s="8">
        <v>71.361999999999995</v>
      </c>
      <c r="Q2092" s="8">
        <v>64.343999999999994</v>
      </c>
      <c r="R2092" s="8">
        <v>56.212000000000003</v>
      </c>
      <c r="S2092" s="8">
        <v>48.151000000000003</v>
      </c>
      <c r="T2092" s="8">
        <v>39.619</v>
      </c>
      <c r="U2092" s="8">
        <v>30.274000000000001</v>
      </c>
      <c r="V2092" s="8">
        <v>21.957999999999998</v>
      </c>
      <c r="W2092" s="8">
        <v>13.471</v>
      </c>
      <c r="X2092" s="8">
        <v>7.07</v>
      </c>
      <c r="Y2092" s="8">
        <v>2.7549999999999999</v>
      </c>
      <c r="Z2092" s="8">
        <v>0.70499999999999996</v>
      </c>
      <c r="AA2092" s="8">
        <v>0.123</v>
      </c>
      <c r="AB2092" s="8">
        <v>3.0000000000000001E-3</v>
      </c>
      <c r="AC2092" s="8">
        <v>0</v>
      </c>
    </row>
    <row r="2093" spans="1:29" ht="11.65" hidden="1" x14ac:dyDescent="0.35">
      <c r="A2093" s="12">
        <v>2076</v>
      </c>
      <c r="B2093" s="10" t="s">
        <v>1015</v>
      </c>
      <c r="C2093" s="11" t="s">
        <v>1162</v>
      </c>
      <c r="D2093" s="9"/>
      <c r="E2093" s="9">
        <v>418</v>
      </c>
      <c r="F2093" s="10" t="s">
        <v>1066</v>
      </c>
      <c r="G2093" s="9">
        <v>920</v>
      </c>
      <c r="H2093" s="9">
        <v>1975</v>
      </c>
      <c r="I2093" s="8">
        <v>255.16200000000001</v>
      </c>
      <c r="J2093" s="8">
        <v>207.928</v>
      </c>
      <c r="K2093" s="8">
        <v>178.57599999999999</v>
      </c>
      <c r="L2093" s="8">
        <v>156.011</v>
      </c>
      <c r="M2093" s="8">
        <v>137.16200000000001</v>
      </c>
      <c r="N2093" s="8">
        <v>116.497</v>
      </c>
      <c r="O2093" s="8">
        <v>94.614000000000004</v>
      </c>
      <c r="P2093" s="8">
        <v>79.400999999999996</v>
      </c>
      <c r="Q2093" s="8">
        <v>68.03</v>
      </c>
      <c r="R2093" s="8">
        <v>60.957000000000001</v>
      </c>
      <c r="S2093" s="8">
        <v>52.542999999999999</v>
      </c>
      <c r="T2093" s="8">
        <v>43.991</v>
      </c>
      <c r="U2093" s="8">
        <v>34.831000000000003</v>
      </c>
      <c r="V2093" s="8">
        <v>25.039000000000001</v>
      </c>
      <c r="W2093" s="8">
        <v>16.513000000000002</v>
      </c>
      <c r="X2093" s="8">
        <v>8.6660000000000004</v>
      </c>
      <c r="Y2093" s="8">
        <v>3.593</v>
      </c>
      <c r="Z2093" s="8">
        <v>1.002</v>
      </c>
      <c r="AA2093" s="8">
        <v>0.16600000000000001</v>
      </c>
      <c r="AB2093" s="8">
        <v>1.7999999999999999E-2</v>
      </c>
      <c r="AC2093" s="8">
        <v>0</v>
      </c>
    </row>
    <row r="2094" spans="1:29" ht="11.65" hidden="1" x14ac:dyDescent="0.35">
      <c r="A2094" s="12">
        <v>2077</v>
      </c>
      <c r="B2094" s="10" t="s">
        <v>1015</v>
      </c>
      <c r="C2094" s="11" t="s">
        <v>1162</v>
      </c>
      <c r="D2094" s="9"/>
      <c r="E2094" s="9">
        <v>418</v>
      </c>
      <c r="F2094" s="10" t="s">
        <v>1066</v>
      </c>
      <c r="G2094" s="9">
        <v>920</v>
      </c>
      <c r="H2094" s="9">
        <v>1980</v>
      </c>
      <c r="I2094" s="8">
        <v>278.15800000000002</v>
      </c>
      <c r="J2094" s="8">
        <v>236.07300000000001</v>
      </c>
      <c r="K2094" s="8">
        <v>199.87899999999999</v>
      </c>
      <c r="L2094" s="8">
        <v>168.50800000000001</v>
      </c>
      <c r="M2094" s="8">
        <v>136.94300000000001</v>
      </c>
      <c r="N2094" s="8">
        <v>111.878</v>
      </c>
      <c r="O2094" s="8">
        <v>91.441999999999993</v>
      </c>
      <c r="P2094" s="8">
        <v>76.207999999999998</v>
      </c>
      <c r="Q2094" s="8">
        <v>69.457999999999998</v>
      </c>
      <c r="R2094" s="8">
        <v>62.51</v>
      </c>
      <c r="S2094" s="8">
        <v>57.128999999999998</v>
      </c>
      <c r="T2094" s="8">
        <v>48.161999999999999</v>
      </c>
      <c r="U2094" s="8">
        <v>38.844000000000001</v>
      </c>
      <c r="V2094" s="8">
        <v>28.974</v>
      </c>
      <c r="W2094" s="8">
        <v>18.97</v>
      </c>
      <c r="X2094" s="8">
        <v>10.727</v>
      </c>
      <c r="Y2094" s="8">
        <v>4.4589999999999996</v>
      </c>
      <c r="Z2094" s="8">
        <v>1.327</v>
      </c>
      <c r="AA2094" s="8">
        <v>0.24199999999999999</v>
      </c>
      <c r="AB2094" s="8">
        <v>2.4E-2</v>
      </c>
      <c r="AC2094" s="8">
        <v>1E-3</v>
      </c>
    </row>
    <row r="2095" spans="1:29" ht="11.65" hidden="1" x14ac:dyDescent="0.35">
      <c r="A2095" s="12">
        <v>2078</v>
      </c>
      <c r="B2095" s="10" t="s">
        <v>1015</v>
      </c>
      <c r="C2095" s="11" t="s">
        <v>1162</v>
      </c>
      <c r="D2095" s="9"/>
      <c r="E2095" s="9">
        <v>418</v>
      </c>
      <c r="F2095" s="10" t="s">
        <v>1066</v>
      </c>
      <c r="G2095" s="9">
        <v>920</v>
      </c>
      <c r="H2095" s="9">
        <v>1985</v>
      </c>
      <c r="I2095" s="8">
        <v>313.45400000000001</v>
      </c>
      <c r="J2095" s="8">
        <v>262.78199999999998</v>
      </c>
      <c r="K2095" s="8">
        <v>231.453</v>
      </c>
      <c r="L2095" s="8">
        <v>195.09</v>
      </c>
      <c r="M2095" s="8">
        <v>161.68700000000001</v>
      </c>
      <c r="N2095" s="8">
        <v>129.178</v>
      </c>
      <c r="O2095" s="8">
        <v>104.45</v>
      </c>
      <c r="P2095" s="8">
        <v>85.423000000000002</v>
      </c>
      <c r="Q2095" s="8">
        <v>71.87</v>
      </c>
      <c r="R2095" s="8">
        <v>65.759</v>
      </c>
      <c r="S2095" s="8">
        <v>58.758000000000003</v>
      </c>
      <c r="T2095" s="8">
        <v>52.555</v>
      </c>
      <c r="U2095" s="8">
        <v>42.726999999999997</v>
      </c>
      <c r="V2095" s="8">
        <v>32.512999999999998</v>
      </c>
      <c r="W2095" s="8">
        <v>22.12</v>
      </c>
      <c r="X2095" s="8">
        <v>12.448</v>
      </c>
      <c r="Y2095" s="8">
        <v>5.59</v>
      </c>
      <c r="Z2095" s="8">
        <v>1.67</v>
      </c>
      <c r="AA2095" s="8">
        <v>0.32500000000000001</v>
      </c>
      <c r="AB2095" s="8">
        <v>3.5000000000000003E-2</v>
      </c>
      <c r="AC2095" s="8">
        <v>2E-3</v>
      </c>
    </row>
    <row r="2096" spans="1:29" ht="11.65" hidden="1" x14ac:dyDescent="0.35">
      <c r="A2096" s="12">
        <v>2079</v>
      </c>
      <c r="B2096" s="10" t="s">
        <v>1015</v>
      </c>
      <c r="C2096" s="11" t="s">
        <v>1162</v>
      </c>
      <c r="D2096" s="9"/>
      <c r="E2096" s="9">
        <v>418</v>
      </c>
      <c r="F2096" s="10" t="s">
        <v>1066</v>
      </c>
      <c r="G2096" s="9">
        <v>920</v>
      </c>
      <c r="H2096" s="9">
        <v>1990</v>
      </c>
      <c r="I2096" s="8">
        <v>368.32400000000001</v>
      </c>
      <c r="J2096" s="8">
        <v>299.52499999999998</v>
      </c>
      <c r="K2096" s="8">
        <v>259.08199999999999</v>
      </c>
      <c r="L2096" s="8">
        <v>227.791</v>
      </c>
      <c r="M2096" s="8">
        <v>190.79599999999999</v>
      </c>
      <c r="N2096" s="8">
        <v>157.40299999999999</v>
      </c>
      <c r="O2096" s="8">
        <v>125.327</v>
      </c>
      <c r="P2096" s="8">
        <v>100.931</v>
      </c>
      <c r="Q2096" s="8">
        <v>82.171000000000006</v>
      </c>
      <c r="R2096" s="8">
        <v>68.706000000000003</v>
      </c>
      <c r="S2096" s="8">
        <v>62.087000000000003</v>
      </c>
      <c r="T2096" s="8">
        <v>54.345999999999997</v>
      </c>
      <c r="U2096" s="8">
        <v>46.959000000000003</v>
      </c>
      <c r="V2096" s="8">
        <v>36.098999999999997</v>
      </c>
      <c r="W2096" s="8">
        <v>25.113</v>
      </c>
      <c r="X2096" s="8">
        <v>14.739000000000001</v>
      </c>
      <c r="Y2096" s="8">
        <v>6.61</v>
      </c>
      <c r="Z2096" s="8">
        <v>2.137</v>
      </c>
      <c r="AA2096" s="8">
        <v>0.41599999999999998</v>
      </c>
      <c r="AB2096" s="8">
        <v>4.9000000000000002E-2</v>
      </c>
      <c r="AC2096" s="8">
        <v>3.0000000000000001E-3</v>
      </c>
    </row>
    <row r="2097" spans="1:29" ht="11.65" hidden="1" x14ac:dyDescent="0.35">
      <c r="A2097" s="12">
        <v>2080</v>
      </c>
      <c r="B2097" s="10" t="s">
        <v>1015</v>
      </c>
      <c r="C2097" s="11" t="s">
        <v>1162</v>
      </c>
      <c r="D2097" s="9"/>
      <c r="E2097" s="9">
        <v>418</v>
      </c>
      <c r="F2097" s="10" t="s">
        <v>1066</v>
      </c>
      <c r="G2097" s="9">
        <v>920</v>
      </c>
      <c r="H2097" s="9">
        <v>1995</v>
      </c>
      <c r="I2097" s="8">
        <v>411.98500000000001</v>
      </c>
      <c r="J2097" s="8">
        <v>354.18099999999998</v>
      </c>
      <c r="K2097" s="8">
        <v>295.37299999999999</v>
      </c>
      <c r="L2097" s="8">
        <v>254.04300000000001</v>
      </c>
      <c r="M2097" s="8">
        <v>219.90700000000001</v>
      </c>
      <c r="N2097" s="8">
        <v>182.345</v>
      </c>
      <c r="O2097" s="8">
        <v>149.774</v>
      </c>
      <c r="P2097" s="8">
        <v>119.134</v>
      </c>
      <c r="Q2097" s="8">
        <v>96.421000000000006</v>
      </c>
      <c r="R2097" s="8">
        <v>78.531999999999996</v>
      </c>
      <c r="S2097" s="8">
        <v>65.174000000000007</v>
      </c>
      <c r="T2097" s="8">
        <v>57.750999999999998</v>
      </c>
      <c r="U2097" s="8">
        <v>48.917999999999999</v>
      </c>
      <c r="V2097" s="8">
        <v>40.055</v>
      </c>
      <c r="W2097" s="8">
        <v>28.22</v>
      </c>
      <c r="X2097" s="8">
        <v>16.995000000000001</v>
      </c>
      <c r="Y2097" s="8">
        <v>7.9729999999999999</v>
      </c>
      <c r="Z2097" s="8">
        <v>2.58</v>
      </c>
      <c r="AA2097" s="8">
        <v>0.54500000000000004</v>
      </c>
      <c r="AB2097" s="8">
        <v>6.4000000000000001E-2</v>
      </c>
      <c r="AC2097" s="8">
        <v>4.0000000000000001E-3</v>
      </c>
    </row>
    <row r="2098" spans="1:29" ht="11.65" hidden="1" x14ac:dyDescent="0.35">
      <c r="A2098" s="12">
        <v>2081</v>
      </c>
      <c r="B2098" s="10" t="s">
        <v>1015</v>
      </c>
      <c r="C2098" s="11" t="s">
        <v>1162</v>
      </c>
      <c r="D2098" s="9"/>
      <c r="E2098" s="9">
        <v>418</v>
      </c>
      <c r="F2098" s="10" t="s">
        <v>1066</v>
      </c>
      <c r="G2098" s="9">
        <v>920</v>
      </c>
      <c r="H2098" s="9">
        <v>2000</v>
      </c>
      <c r="I2098" s="8">
        <v>392.43299999999999</v>
      </c>
      <c r="J2098" s="8">
        <v>397.66300000000001</v>
      </c>
      <c r="K2098" s="8">
        <v>348.28800000000001</v>
      </c>
      <c r="L2098" s="8">
        <v>287.64400000000001</v>
      </c>
      <c r="M2098" s="8">
        <v>240.85</v>
      </c>
      <c r="N2098" s="8">
        <v>203.77500000000001</v>
      </c>
      <c r="O2098" s="8">
        <v>166.458</v>
      </c>
      <c r="P2098" s="8">
        <v>137.661</v>
      </c>
      <c r="Q2098" s="8">
        <v>111.998</v>
      </c>
      <c r="R2098" s="8">
        <v>91.825000000000003</v>
      </c>
      <c r="S2098" s="8">
        <v>74.903000000000006</v>
      </c>
      <c r="T2098" s="8">
        <v>61.029000000000003</v>
      </c>
      <c r="U2098" s="8">
        <v>52.445</v>
      </c>
      <c r="V2098" s="8">
        <v>42.215000000000003</v>
      </c>
      <c r="W2098" s="8">
        <v>31.774000000000001</v>
      </c>
      <c r="X2098" s="8">
        <v>19.463000000000001</v>
      </c>
      <c r="Y2098" s="8">
        <v>9.4049999999999994</v>
      </c>
      <c r="Z2098" s="8">
        <v>3.1890000000000001</v>
      </c>
      <c r="AA2098" s="8">
        <v>0.67100000000000004</v>
      </c>
      <c r="AB2098" s="8">
        <v>8.3000000000000004E-2</v>
      </c>
      <c r="AC2098" s="8">
        <v>6.0000000000000001E-3</v>
      </c>
    </row>
    <row r="2099" spans="1:29" ht="11.65" hidden="1" x14ac:dyDescent="0.35">
      <c r="A2099" s="12">
        <v>2082</v>
      </c>
      <c r="B2099" s="10" t="s">
        <v>1015</v>
      </c>
      <c r="C2099" s="11" t="s">
        <v>1162</v>
      </c>
      <c r="D2099" s="9"/>
      <c r="E2099" s="9">
        <v>418</v>
      </c>
      <c r="F2099" s="10" t="s">
        <v>1066</v>
      </c>
      <c r="G2099" s="9">
        <v>920</v>
      </c>
      <c r="H2099" s="9">
        <v>2005</v>
      </c>
      <c r="I2099" s="8">
        <v>372.53300000000002</v>
      </c>
      <c r="J2099" s="8">
        <v>381.27199999999999</v>
      </c>
      <c r="K2099" s="8">
        <v>392.16199999999998</v>
      </c>
      <c r="L2099" s="8">
        <v>341.49599999999998</v>
      </c>
      <c r="M2099" s="8">
        <v>275.11200000000002</v>
      </c>
      <c r="N2099" s="8">
        <v>224.34800000000001</v>
      </c>
      <c r="O2099" s="8">
        <v>189.39699999999999</v>
      </c>
      <c r="P2099" s="8">
        <v>157.172</v>
      </c>
      <c r="Q2099" s="8">
        <v>132.05600000000001</v>
      </c>
      <c r="R2099" s="8">
        <v>107.828</v>
      </c>
      <c r="S2099" s="8">
        <v>88.034000000000006</v>
      </c>
      <c r="T2099" s="8">
        <v>70.584999999999994</v>
      </c>
      <c r="U2099" s="8">
        <v>55.887</v>
      </c>
      <c r="V2099" s="8">
        <v>45.759</v>
      </c>
      <c r="W2099" s="8">
        <v>33.957999999999998</v>
      </c>
      <c r="X2099" s="8">
        <v>22.317</v>
      </c>
      <c r="Y2099" s="8">
        <v>11.007</v>
      </c>
      <c r="Z2099" s="8">
        <v>3.851</v>
      </c>
      <c r="AA2099" s="8">
        <v>0.85</v>
      </c>
      <c r="AB2099" s="8">
        <v>0.104</v>
      </c>
      <c r="AC2099" s="8">
        <v>8.0000000000000002E-3</v>
      </c>
    </row>
    <row r="2100" spans="1:29" ht="11.65" hidden="1" x14ac:dyDescent="0.35">
      <c r="A2100" s="12">
        <v>2083</v>
      </c>
      <c r="B2100" s="10" t="s">
        <v>1015</v>
      </c>
      <c r="C2100" s="11" t="s">
        <v>1162</v>
      </c>
      <c r="D2100" s="9"/>
      <c r="E2100" s="9">
        <v>418</v>
      </c>
      <c r="F2100" s="10" t="s">
        <v>1066</v>
      </c>
      <c r="G2100" s="9">
        <v>920</v>
      </c>
      <c r="H2100" s="9">
        <v>2010</v>
      </c>
      <c r="I2100" s="8">
        <v>385.26799999999997</v>
      </c>
      <c r="J2100" s="8">
        <v>362.88499999999999</v>
      </c>
      <c r="K2100" s="8">
        <v>373.95299999999997</v>
      </c>
      <c r="L2100" s="8">
        <v>377.51100000000002</v>
      </c>
      <c r="M2100" s="8">
        <v>323.44799999999998</v>
      </c>
      <c r="N2100" s="8">
        <v>261.32799999999997</v>
      </c>
      <c r="O2100" s="8">
        <v>216.34200000000001</v>
      </c>
      <c r="P2100" s="8">
        <v>184.96100000000001</v>
      </c>
      <c r="Q2100" s="8">
        <v>153.51599999999999</v>
      </c>
      <c r="R2100" s="8">
        <v>128.536</v>
      </c>
      <c r="S2100" s="8">
        <v>103.875</v>
      </c>
      <c r="T2100" s="8">
        <v>83.453000000000003</v>
      </c>
      <c r="U2100" s="8">
        <v>65.146000000000001</v>
      </c>
      <c r="V2100" s="8">
        <v>49.271000000000001</v>
      </c>
      <c r="W2100" s="8">
        <v>37.301000000000002</v>
      </c>
      <c r="X2100" s="8">
        <v>24.266999999999999</v>
      </c>
      <c r="Y2100" s="8">
        <v>12.884</v>
      </c>
      <c r="Z2100" s="8">
        <v>4.6040000000000001</v>
      </c>
      <c r="AA2100" s="8">
        <v>1.0429999999999999</v>
      </c>
      <c r="AB2100" s="8">
        <v>0.13500000000000001</v>
      </c>
      <c r="AC2100" s="8">
        <v>0.01</v>
      </c>
    </row>
    <row r="2101" spans="1:29" ht="11.65" hidden="1" x14ac:dyDescent="0.35">
      <c r="A2101" s="12">
        <v>2084</v>
      </c>
      <c r="B2101" s="10" t="s">
        <v>1015</v>
      </c>
      <c r="C2101" s="11" t="s">
        <v>1162</v>
      </c>
      <c r="D2101" s="9"/>
      <c r="E2101" s="9">
        <v>418</v>
      </c>
      <c r="F2101" s="10" t="s">
        <v>1066</v>
      </c>
      <c r="G2101" s="9">
        <v>920</v>
      </c>
      <c r="H2101" s="9">
        <v>2015</v>
      </c>
      <c r="I2101" s="8">
        <v>383.05200000000002</v>
      </c>
      <c r="J2101" s="8">
        <v>375.29599999999999</v>
      </c>
      <c r="K2101" s="8">
        <v>355.53899999999999</v>
      </c>
      <c r="L2101" s="8">
        <v>354.16800000000001</v>
      </c>
      <c r="M2101" s="8">
        <v>345.72199999999998</v>
      </c>
      <c r="N2101" s="8">
        <v>301.60300000000001</v>
      </c>
      <c r="O2101" s="8">
        <v>253.547</v>
      </c>
      <c r="P2101" s="8">
        <v>212.14500000000001</v>
      </c>
      <c r="Q2101" s="8">
        <v>181.36</v>
      </c>
      <c r="R2101" s="8">
        <v>149.96700000000001</v>
      </c>
      <c r="S2101" s="8">
        <v>124.33799999999999</v>
      </c>
      <c r="T2101" s="8">
        <v>98.977999999999994</v>
      </c>
      <c r="U2101" s="8">
        <v>77.555000000000007</v>
      </c>
      <c r="V2101" s="8">
        <v>57.962000000000003</v>
      </c>
      <c r="W2101" s="8">
        <v>40.639000000000003</v>
      </c>
      <c r="X2101" s="8">
        <v>27.067</v>
      </c>
      <c r="Y2101" s="8">
        <v>14.271000000000001</v>
      </c>
      <c r="Z2101" s="8">
        <v>5.4909999999999997</v>
      </c>
      <c r="AA2101" s="8">
        <v>1.268</v>
      </c>
      <c r="AB2101" s="8">
        <v>0.16700000000000001</v>
      </c>
      <c r="AC2101" s="8">
        <v>1.2E-2</v>
      </c>
    </row>
    <row r="2102" spans="1:29" ht="11.65" hidden="1" x14ac:dyDescent="0.35">
      <c r="A2102" s="12">
        <v>2085</v>
      </c>
      <c r="B2102" s="10" t="s">
        <v>1015</v>
      </c>
      <c r="C2102" s="11" t="s">
        <v>1162</v>
      </c>
      <c r="D2102" s="9"/>
      <c r="E2102" s="9">
        <v>418</v>
      </c>
      <c r="F2102" s="10" t="s">
        <v>1066</v>
      </c>
      <c r="G2102" s="9">
        <v>920</v>
      </c>
      <c r="H2102" s="9">
        <v>2020</v>
      </c>
      <c r="I2102" s="8">
        <v>390.55099999999999</v>
      </c>
      <c r="J2102" s="8">
        <v>377.84199999999998</v>
      </c>
      <c r="K2102" s="8">
        <v>372.41500000000002</v>
      </c>
      <c r="L2102" s="8">
        <v>349.642</v>
      </c>
      <c r="M2102" s="8">
        <v>343.13900000000001</v>
      </c>
      <c r="N2102" s="8">
        <v>333.83100000000002</v>
      </c>
      <c r="O2102" s="8">
        <v>292.85399999999998</v>
      </c>
      <c r="P2102" s="8">
        <v>248.297</v>
      </c>
      <c r="Q2102" s="8">
        <v>208.63800000000001</v>
      </c>
      <c r="R2102" s="8">
        <v>177.68700000000001</v>
      </c>
      <c r="S2102" s="8">
        <v>145.56100000000001</v>
      </c>
      <c r="T2102" s="8">
        <v>118.982</v>
      </c>
      <c r="U2102" s="8">
        <v>92.509</v>
      </c>
      <c r="V2102" s="8">
        <v>69.531999999999996</v>
      </c>
      <c r="W2102" s="8">
        <v>48.29</v>
      </c>
      <c r="X2102" s="8">
        <v>29.882999999999999</v>
      </c>
      <c r="Y2102" s="8">
        <v>16.172999999999998</v>
      </c>
      <c r="Z2102" s="8">
        <v>6.1829999999999998</v>
      </c>
      <c r="AA2102" s="8">
        <v>1.534</v>
      </c>
      <c r="AB2102" s="8">
        <v>0.20399999999999999</v>
      </c>
      <c r="AC2102" s="8">
        <v>1.4999999999999999E-2</v>
      </c>
    </row>
    <row r="2103" spans="1:29" ht="11.65" hidden="1" x14ac:dyDescent="0.35">
      <c r="A2103" s="12">
        <v>2086</v>
      </c>
      <c r="B2103" s="10" t="s">
        <v>1015</v>
      </c>
      <c r="C2103" s="11" t="s">
        <v>1163</v>
      </c>
      <c r="D2103" s="9">
        <v>12</v>
      </c>
      <c r="E2103" s="9">
        <v>458</v>
      </c>
      <c r="F2103" s="10" t="s">
        <v>1066</v>
      </c>
      <c r="G2103" s="9">
        <v>920</v>
      </c>
      <c r="H2103" s="9">
        <v>1950</v>
      </c>
      <c r="I2103" s="8">
        <v>511.2</v>
      </c>
      <c r="J2103" s="8">
        <v>373</v>
      </c>
      <c r="K2103" s="8">
        <v>358.30099999999999</v>
      </c>
      <c r="L2103" s="8">
        <v>292.5</v>
      </c>
      <c r="M2103" s="8">
        <v>254.5</v>
      </c>
      <c r="N2103" s="8">
        <v>218.69900000000001</v>
      </c>
      <c r="O2103" s="8">
        <v>194.30099999999999</v>
      </c>
      <c r="P2103" s="8">
        <v>156</v>
      </c>
      <c r="Q2103" s="8">
        <v>146.69900000000001</v>
      </c>
      <c r="R2103" s="8">
        <v>95</v>
      </c>
      <c r="S2103" s="8">
        <v>88.1</v>
      </c>
      <c r="T2103" s="8">
        <v>64.001000000000005</v>
      </c>
      <c r="U2103" s="8">
        <v>66.599000000000004</v>
      </c>
      <c r="V2103" s="8">
        <v>50</v>
      </c>
      <c r="W2103" s="8">
        <v>46.399000000000001</v>
      </c>
      <c r="X2103" s="8">
        <v>30.899000000000001</v>
      </c>
      <c r="Y2103" s="8">
        <v>12.808</v>
      </c>
      <c r="Z2103" s="8">
        <v>4.968</v>
      </c>
      <c r="AA2103" s="8">
        <v>1.3540000000000001</v>
      </c>
      <c r="AB2103" s="8">
        <v>0.24099999999999999</v>
      </c>
      <c r="AC2103" s="8">
        <v>2.9000000000000001E-2</v>
      </c>
    </row>
    <row r="2104" spans="1:29" ht="11.65" hidden="1" x14ac:dyDescent="0.35">
      <c r="A2104" s="12">
        <v>2087</v>
      </c>
      <c r="B2104" s="10" t="s">
        <v>1015</v>
      </c>
      <c r="C2104" s="11" t="s">
        <v>1163</v>
      </c>
      <c r="D2104" s="9">
        <v>12</v>
      </c>
      <c r="E2104" s="9">
        <v>458</v>
      </c>
      <c r="F2104" s="10" t="s">
        <v>1066</v>
      </c>
      <c r="G2104" s="9">
        <v>920</v>
      </c>
      <c r="H2104" s="9">
        <v>1955</v>
      </c>
      <c r="I2104" s="8">
        <v>640.37</v>
      </c>
      <c r="J2104" s="8">
        <v>507.99099999999999</v>
      </c>
      <c r="K2104" s="8">
        <v>360.97</v>
      </c>
      <c r="L2104" s="8">
        <v>351.17599999999999</v>
      </c>
      <c r="M2104" s="8">
        <v>284.78800000000001</v>
      </c>
      <c r="N2104" s="8">
        <v>246.881</v>
      </c>
      <c r="O2104" s="8">
        <v>211.39599999999999</v>
      </c>
      <c r="P2104" s="8">
        <v>186.797</v>
      </c>
      <c r="Q2104" s="8">
        <v>148.876</v>
      </c>
      <c r="R2104" s="8">
        <v>139.03700000000001</v>
      </c>
      <c r="S2104" s="8">
        <v>88.751999999999995</v>
      </c>
      <c r="T2104" s="8">
        <v>80.658000000000001</v>
      </c>
      <c r="U2104" s="8">
        <v>56.524999999999999</v>
      </c>
      <c r="V2104" s="8">
        <v>53.101999999999997</v>
      </c>
      <c r="W2104" s="8">
        <v>37.689</v>
      </c>
      <c r="X2104" s="8">
        <v>32.433</v>
      </c>
      <c r="Y2104" s="8">
        <v>16.047000000000001</v>
      </c>
      <c r="Z2104" s="8">
        <v>4.774</v>
      </c>
      <c r="AA2104" s="8">
        <v>1.21</v>
      </c>
      <c r="AB2104" s="8">
        <v>0.192</v>
      </c>
      <c r="AC2104" s="8">
        <v>2.1000000000000001E-2</v>
      </c>
    </row>
    <row r="2105" spans="1:29" ht="11.65" hidden="1" x14ac:dyDescent="0.35">
      <c r="A2105" s="12">
        <v>2088</v>
      </c>
      <c r="B2105" s="10" t="s">
        <v>1015</v>
      </c>
      <c r="C2105" s="11" t="s">
        <v>1163</v>
      </c>
      <c r="D2105" s="9">
        <v>12</v>
      </c>
      <c r="E2105" s="9">
        <v>458</v>
      </c>
      <c r="F2105" s="10" t="s">
        <v>1066</v>
      </c>
      <c r="G2105" s="9">
        <v>920</v>
      </c>
      <c r="H2105" s="9">
        <v>1960</v>
      </c>
      <c r="I2105" s="8">
        <v>721.88199999999995</v>
      </c>
      <c r="J2105" s="8">
        <v>626.33600000000001</v>
      </c>
      <c r="K2105" s="8">
        <v>495.315</v>
      </c>
      <c r="L2105" s="8">
        <v>354.637</v>
      </c>
      <c r="M2105" s="8">
        <v>343.61099999999999</v>
      </c>
      <c r="N2105" s="8">
        <v>277.41300000000001</v>
      </c>
      <c r="O2105" s="8">
        <v>239.774</v>
      </c>
      <c r="P2105" s="8">
        <v>204.249</v>
      </c>
      <c r="Q2105" s="8">
        <v>179.46799999999999</v>
      </c>
      <c r="R2105" s="8">
        <v>141.86500000000001</v>
      </c>
      <c r="S2105" s="8">
        <v>130.96700000000001</v>
      </c>
      <c r="T2105" s="8">
        <v>81.849999999999994</v>
      </c>
      <c r="U2105" s="8">
        <v>71.935000000000002</v>
      </c>
      <c r="V2105" s="8">
        <v>47.792000000000002</v>
      </c>
      <c r="W2105" s="8">
        <v>38.520000000000003</v>
      </c>
      <c r="X2105" s="8">
        <v>24.899000000000001</v>
      </c>
      <c r="Y2105" s="8">
        <v>17.114999999999998</v>
      </c>
      <c r="Z2105" s="8">
        <v>6.1050000000000004</v>
      </c>
      <c r="AA2105" s="8">
        <v>1.1759999999999999</v>
      </c>
      <c r="AB2105" s="8">
        <v>0.17299999999999999</v>
      </c>
      <c r="AC2105" s="8">
        <v>1.6E-2</v>
      </c>
    </row>
    <row r="2106" spans="1:29" ht="11.65" hidden="1" x14ac:dyDescent="0.35">
      <c r="A2106" s="12">
        <v>2089</v>
      </c>
      <c r="B2106" s="10" t="s">
        <v>1015</v>
      </c>
      <c r="C2106" s="11" t="s">
        <v>1163</v>
      </c>
      <c r="D2106" s="9">
        <v>12</v>
      </c>
      <c r="E2106" s="9">
        <v>458</v>
      </c>
      <c r="F2106" s="10" t="s">
        <v>1066</v>
      </c>
      <c r="G2106" s="9">
        <v>920</v>
      </c>
      <c r="H2106" s="9">
        <v>1965</v>
      </c>
      <c r="I2106" s="8">
        <v>834.51</v>
      </c>
      <c r="J2106" s="8">
        <v>709.601</v>
      </c>
      <c r="K2106" s="8">
        <v>614.33600000000001</v>
      </c>
      <c r="L2106" s="8">
        <v>488.62599999999998</v>
      </c>
      <c r="M2106" s="8">
        <v>348.27499999999998</v>
      </c>
      <c r="N2106" s="8">
        <v>336.529</v>
      </c>
      <c r="O2106" s="8">
        <v>270.65199999999999</v>
      </c>
      <c r="P2106" s="8">
        <v>232.93700000000001</v>
      </c>
      <c r="Q2106" s="8">
        <v>197.40700000000001</v>
      </c>
      <c r="R2106" s="8">
        <v>172.31299999999999</v>
      </c>
      <c r="S2106" s="8">
        <v>134.6</v>
      </c>
      <c r="T2106" s="8">
        <v>121.84</v>
      </c>
      <c r="U2106" s="8">
        <v>73.739999999999995</v>
      </c>
      <c r="V2106" s="8">
        <v>61.415999999999997</v>
      </c>
      <c r="W2106" s="8">
        <v>37.564999999999998</v>
      </c>
      <c r="X2106" s="8">
        <v>28.105</v>
      </c>
      <c r="Y2106" s="8">
        <v>14.364000000000001</v>
      </c>
      <c r="Z2106" s="8">
        <v>6.633</v>
      </c>
      <c r="AA2106" s="8">
        <v>1.51</v>
      </c>
      <c r="AB2106" s="8">
        <v>0.16400000000000001</v>
      </c>
      <c r="AC2106" s="8">
        <v>1.4E-2</v>
      </c>
    </row>
    <row r="2107" spans="1:29" ht="11.65" hidden="1" x14ac:dyDescent="0.35">
      <c r="A2107" s="12">
        <v>2090</v>
      </c>
      <c r="B2107" s="10" t="s">
        <v>1015</v>
      </c>
      <c r="C2107" s="11" t="s">
        <v>1163</v>
      </c>
      <c r="D2107" s="9">
        <v>12</v>
      </c>
      <c r="E2107" s="9">
        <v>458</v>
      </c>
      <c r="F2107" s="10" t="s">
        <v>1066</v>
      </c>
      <c r="G2107" s="9">
        <v>920</v>
      </c>
      <c r="H2107" s="9">
        <v>1970</v>
      </c>
      <c r="I2107" s="8">
        <v>827.77</v>
      </c>
      <c r="J2107" s="8">
        <v>819.053</v>
      </c>
      <c r="K2107" s="8">
        <v>696.76</v>
      </c>
      <c r="L2107" s="8">
        <v>601.11199999999997</v>
      </c>
      <c r="M2107" s="8">
        <v>473.38200000000001</v>
      </c>
      <c r="N2107" s="8">
        <v>338.01299999999998</v>
      </c>
      <c r="O2107" s="8">
        <v>326.56099999999998</v>
      </c>
      <c r="P2107" s="8">
        <v>259.947</v>
      </c>
      <c r="Q2107" s="8">
        <v>224.17599999999999</v>
      </c>
      <c r="R2107" s="8">
        <v>189.16499999999999</v>
      </c>
      <c r="S2107" s="8">
        <v>163.88</v>
      </c>
      <c r="T2107" s="8">
        <v>125.56399999999999</v>
      </c>
      <c r="U2107" s="8">
        <v>109.163</v>
      </c>
      <c r="V2107" s="8">
        <v>64.12</v>
      </c>
      <c r="W2107" s="8">
        <v>53.368000000000002</v>
      </c>
      <c r="X2107" s="8">
        <v>30.850999999999999</v>
      </c>
      <c r="Y2107" s="8">
        <v>18.154</v>
      </c>
      <c r="Z2107" s="8">
        <v>5.6749999999999998</v>
      </c>
      <c r="AA2107" s="8">
        <v>1.655</v>
      </c>
      <c r="AB2107" s="8">
        <v>0.21</v>
      </c>
      <c r="AC2107" s="8">
        <v>1.2999999999999999E-2</v>
      </c>
    </row>
    <row r="2108" spans="1:29" ht="11.65" hidden="1" x14ac:dyDescent="0.35">
      <c r="A2108" s="12">
        <v>2091</v>
      </c>
      <c r="B2108" s="10" t="s">
        <v>1015</v>
      </c>
      <c r="C2108" s="11" t="s">
        <v>1163</v>
      </c>
      <c r="D2108" s="9">
        <v>12</v>
      </c>
      <c r="E2108" s="9">
        <v>458</v>
      </c>
      <c r="F2108" s="10" t="s">
        <v>1066</v>
      </c>
      <c r="G2108" s="9">
        <v>920</v>
      </c>
      <c r="H2108" s="9">
        <v>1975</v>
      </c>
      <c r="I2108" s="8">
        <v>877.67899999999997</v>
      </c>
      <c r="J2108" s="8">
        <v>820.12</v>
      </c>
      <c r="K2108" s="8">
        <v>792.66399999999999</v>
      </c>
      <c r="L2108" s="8">
        <v>680.66600000000005</v>
      </c>
      <c r="M2108" s="8">
        <v>585.08299999999997</v>
      </c>
      <c r="N2108" s="8">
        <v>463.00799999999998</v>
      </c>
      <c r="O2108" s="8">
        <v>337.25599999999997</v>
      </c>
      <c r="P2108" s="8">
        <v>324.59800000000001</v>
      </c>
      <c r="Q2108" s="8">
        <v>254.74600000000001</v>
      </c>
      <c r="R2108" s="8">
        <v>218.09399999999999</v>
      </c>
      <c r="S2108" s="8">
        <v>180.91800000000001</v>
      </c>
      <c r="T2108" s="8">
        <v>152.15799999999999</v>
      </c>
      <c r="U2108" s="8">
        <v>112.63200000000001</v>
      </c>
      <c r="V2108" s="8">
        <v>92.56</v>
      </c>
      <c r="W2108" s="8">
        <v>51.42</v>
      </c>
      <c r="X2108" s="8">
        <v>40.991999999999997</v>
      </c>
      <c r="Y2108" s="8">
        <v>20.494</v>
      </c>
      <c r="Z2108" s="8">
        <v>7.1840000000000002</v>
      </c>
      <c r="AA2108" s="8">
        <v>1.397</v>
      </c>
      <c r="AB2108" s="8">
        <v>0.221</v>
      </c>
      <c r="AC2108" s="8">
        <v>1.4999999999999999E-2</v>
      </c>
    </row>
    <row r="2109" spans="1:29" ht="11.65" hidden="1" x14ac:dyDescent="0.35">
      <c r="A2109" s="12">
        <v>2092</v>
      </c>
      <c r="B2109" s="10" t="s">
        <v>1015</v>
      </c>
      <c r="C2109" s="11" t="s">
        <v>1163</v>
      </c>
      <c r="D2109" s="9">
        <v>12</v>
      </c>
      <c r="E2109" s="9">
        <v>458</v>
      </c>
      <c r="F2109" s="10" t="s">
        <v>1066</v>
      </c>
      <c r="G2109" s="9">
        <v>920</v>
      </c>
      <c r="H2109" s="9">
        <v>1980</v>
      </c>
      <c r="I2109" s="8">
        <v>964.54399999999998</v>
      </c>
      <c r="J2109" s="8">
        <v>875.80200000000002</v>
      </c>
      <c r="K2109" s="8">
        <v>814.27499999999998</v>
      </c>
      <c r="L2109" s="8">
        <v>788.10299999999995</v>
      </c>
      <c r="M2109" s="8">
        <v>675.25199999999995</v>
      </c>
      <c r="N2109" s="8">
        <v>579.26400000000001</v>
      </c>
      <c r="O2109" s="8">
        <v>457.41399999999999</v>
      </c>
      <c r="P2109" s="8">
        <v>332.12200000000001</v>
      </c>
      <c r="Q2109" s="8">
        <v>318.58300000000003</v>
      </c>
      <c r="R2109" s="8">
        <v>248.49700000000001</v>
      </c>
      <c r="S2109" s="8">
        <v>210.72300000000001</v>
      </c>
      <c r="T2109" s="8">
        <v>171.851</v>
      </c>
      <c r="U2109" s="8">
        <v>140.58000000000001</v>
      </c>
      <c r="V2109" s="8">
        <v>99.460999999999999</v>
      </c>
      <c r="W2109" s="8">
        <v>76.182000000000002</v>
      </c>
      <c r="X2109" s="8">
        <v>37.603999999999999</v>
      </c>
      <c r="Y2109" s="8">
        <v>22.818000000000001</v>
      </c>
      <c r="Z2109" s="8">
        <v>8.2469999999999999</v>
      </c>
      <c r="AA2109" s="8">
        <v>1.774</v>
      </c>
      <c r="AB2109" s="8">
        <v>0.184</v>
      </c>
      <c r="AC2109" s="8">
        <v>1.4999999999999999E-2</v>
      </c>
    </row>
    <row r="2110" spans="1:29" ht="11.65" hidden="1" x14ac:dyDescent="0.35">
      <c r="A2110" s="12">
        <v>2093</v>
      </c>
      <c r="B2110" s="10" t="s">
        <v>1015</v>
      </c>
      <c r="C2110" s="11" t="s">
        <v>1163</v>
      </c>
      <c r="D2110" s="9">
        <v>12</v>
      </c>
      <c r="E2110" s="9">
        <v>458</v>
      </c>
      <c r="F2110" s="10" t="s">
        <v>1066</v>
      </c>
      <c r="G2110" s="9">
        <v>920</v>
      </c>
      <c r="H2110" s="9">
        <v>1985</v>
      </c>
      <c r="I2110" s="8">
        <v>1082.9639999999999</v>
      </c>
      <c r="J2110" s="8">
        <v>959.59</v>
      </c>
      <c r="K2110" s="8">
        <v>867.24300000000005</v>
      </c>
      <c r="L2110" s="8">
        <v>807.03800000000001</v>
      </c>
      <c r="M2110" s="8">
        <v>780.19799999999998</v>
      </c>
      <c r="N2110" s="8">
        <v>667.34400000000005</v>
      </c>
      <c r="O2110" s="8">
        <v>571.68700000000001</v>
      </c>
      <c r="P2110" s="8">
        <v>450.197</v>
      </c>
      <c r="Q2110" s="8">
        <v>325.447</v>
      </c>
      <c r="R2110" s="8">
        <v>310.61200000000002</v>
      </c>
      <c r="S2110" s="8">
        <v>239.648</v>
      </c>
      <c r="T2110" s="8">
        <v>199.42599999999999</v>
      </c>
      <c r="U2110" s="8">
        <v>157.52500000000001</v>
      </c>
      <c r="V2110" s="8">
        <v>122.262</v>
      </c>
      <c r="W2110" s="8">
        <v>80.396000000000001</v>
      </c>
      <c r="X2110" s="8">
        <v>56.750999999999998</v>
      </c>
      <c r="Y2110" s="8">
        <v>23.295999999999999</v>
      </c>
      <c r="Z2110" s="8">
        <v>9.0920000000000005</v>
      </c>
      <c r="AA2110" s="8">
        <v>1.948</v>
      </c>
      <c r="AB2110" s="8">
        <v>0.21</v>
      </c>
      <c r="AC2110" s="8">
        <v>1.0999999999999999E-2</v>
      </c>
    </row>
    <row r="2111" spans="1:29" ht="11.65" hidden="1" x14ac:dyDescent="0.35">
      <c r="A2111" s="12">
        <v>2094</v>
      </c>
      <c r="B2111" s="10" t="s">
        <v>1015</v>
      </c>
      <c r="C2111" s="11" t="s">
        <v>1163</v>
      </c>
      <c r="D2111" s="9">
        <v>12</v>
      </c>
      <c r="E2111" s="9">
        <v>458</v>
      </c>
      <c r="F2111" s="10" t="s">
        <v>1066</v>
      </c>
      <c r="G2111" s="9">
        <v>920</v>
      </c>
      <c r="H2111" s="9">
        <v>1990</v>
      </c>
      <c r="I2111" s="8">
        <v>1183.5</v>
      </c>
      <c r="J2111" s="8">
        <v>1091.3399999999999</v>
      </c>
      <c r="K2111" s="8">
        <v>979.654</v>
      </c>
      <c r="L2111" s="8">
        <v>899.41399999999999</v>
      </c>
      <c r="M2111" s="8">
        <v>804.03599999999994</v>
      </c>
      <c r="N2111" s="8">
        <v>787.32100000000003</v>
      </c>
      <c r="O2111" s="8">
        <v>681.50900000000001</v>
      </c>
      <c r="P2111" s="8">
        <v>585.73500000000001</v>
      </c>
      <c r="Q2111" s="8">
        <v>459.536</v>
      </c>
      <c r="R2111" s="8">
        <v>325.19900000000001</v>
      </c>
      <c r="S2111" s="8">
        <v>301.09300000000002</v>
      </c>
      <c r="T2111" s="8">
        <v>229.536</v>
      </c>
      <c r="U2111" s="8">
        <v>186.21799999999999</v>
      </c>
      <c r="V2111" s="8">
        <v>135.35599999999999</v>
      </c>
      <c r="W2111" s="8">
        <v>99.587999999999994</v>
      </c>
      <c r="X2111" s="8">
        <v>62.387</v>
      </c>
      <c r="Y2111" s="8">
        <v>34.853000000000002</v>
      </c>
      <c r="Z2111" s="8">
        <v>9.1910000000000007</v>
      </c>
      <c r="AA2111" s="8">
        <v>2.06</v>
      </c>
      <c r="AB2111" s="8">
        <v>0.21</v>
      </c>
      <c r="AC2111" s="8">
        <v>0.01</v>
      </c>
    </row>
    <row r="2112" spans="1:29" ht="11.65" hidden="1" x14ac:dyDescent="0.35">
      <c r="A2112" s="12">
        <v>2095</v>
      </c>
      <c r="B2112" s="10" t="s">
        <v>1015</v>
      </c>
      <c r="C2112" s="11" t="s">
        <v>1163</v>
      </c>
      <c r="D2112" s="9">
        <v>12</v>
      </c>
      <c r="E2112" s="9">
        <v>458</v>
      </c>
      <c r="F2112" s="10" t="s">
        <v>1066</v>
      </c>
      <c r="G2112" s="9">
        <v>920</v>
      </c>
      <c r="H2112" s="9">
        <v>1995</v>
      </c>
      <c r="I2112" s="8">
        <v>1262.797</v>
      </c>
      <c r="J2112" s="8">
        <v>1192.1089999999999</v>
      </c>
      <c r="K2112" s="8">
        <v>1094.0129999999999</v>
      </c>
      <c r="L2112" s="8">
        <v>991.08</v>
      </c>
      <c r="M2112" s="8">
        <v>917.25800000000004</v>
      </c>
      <c r="N2112" s="8">
        <v>824.62599999999998</v>
      </c>
      <c r="O2112" s="8">
        <v>806.37800000000004</v>
      </c>
      <c r="P2112" s="8">
        <v>695.40599999999995</v>
      </c>
      <c r="Q2112" s="8">
        <v>592.08900000000006</v>
      </c>
      <c r="R2112" s="8">
        <v>458.57900000000001</v>
      </c>
      <c r="S2112" s="8">
        <v>319.12299999999999</v>
      </c>
      <c r="T2112" s="8">
        <v>289.17599999999999</v>
      </c>
      <c r="U2112" s="8">
        <v>213.607</v>
      </c>
      <c r="V2112" s="8">
        <v>164.43899999999999</v>
      </c>
      <c r="W2112" s="8">
        <v>111.49299999999999</v>
      </c>
      <c r="X2112" s="8">
        <v>73.790999999999997</v>
      </c>
      <c r="Y2112" s="8">
        <v>36.386000000000003</v>
      </c>
      <c r="Z2112" s="8">
        <v>14.412000000000001</v>
      </c>
      <c r="AA2112" s="8">
        <v>2.1970000000000001</v>
      </c>
      <c r="AB2112" s="8">
        <v>0.23200000000000001</v>
      </c>
      <c r="AC2112" s="8">
        <v>0.01</v>
      </c>
    </row>
    <row r="2113" spans="1:29" ht="11.65" hidden="1" x14ac:dyDescent="0.35">
      <c r="A2113" s="12">
        <v>2096</v>
      </c>
      <c r="B2113" s="10" t="s">
        <v>1015</v>
      </c>
      <c r="C2113" s="11" t="s">
        <v>1163</v>
      </c>
      <c r="D2113" s="9">
        <v>12</v>
      </c>
      <c r="E2113" s="9">
        <v>458</v>
      </c>
      <c r="F2113" s="10" t="s">
        <v>1066</v>
      </c>
      <c r="G2113" s="9">
        <v>920</v>
      </c>
      <c r="H2113" s="9">
        <v>2000</v>
      </c>
      <c r="I2113" s="8">
        <v>1304.597</v>
      </c>
      <c r="J2113" s="8">
        <v>1260.038</v>
      </c>
      <c r="K2113" s="8">
        <v>1201.1990000000001</v>
      </c>
      <c r="L2113" s="8">
        <v>1119.3720000000001</v>
      </c>
      <c r="M2113" s="8">
        <v>1027.78</v>
      </c>
      <c r="N2113" s="8">
        <v>958.79300000000001</v>
      </c>
      <c r="O2113" s="8">
        <v>864.16300000000001</v>
      </c>
      <c r="P2113" s="8">
        <v>836.76700000000005</v>
      </c>
      <c r="Q2113" s="8">
        <v>712.03200000000004</v>
      </c>
      <c r="R2113" s="8">
        <v>593.90099999999995</v>
      </c>
      <c r="S2113" s="8">
        <v>450.27100000000002</v>
      </c>
      <c r="T2113" s="8">
        <v>305.95999999999998</v>
      </c>
      <c r="U2113" s="8">
        <v>269.89800000000002</v>
      </c>
      <c r="V2113" s="8">
        <v>188.84399999999999</v>
      </c>
      <c r="W2113" s="8">
        <v>135.447</v>
      </c>
      <c r="X2113" s="8">
        <v>83.364999999999995</v>
      </c>
      <c r="Y2113" s="8">
        <v>44.566000000000003</v>
      </c>
      <c r="Z2113" s="8">
        <v>15.459</v>
      </c>
      <c r="AA2113" s="8">
        <v>3.5339999999999998</v>
      </c>
      <c r="AB2113" s="8">
        <v>0.25</v>
      </c>
      <c r="AC2113" s="8">
        <v>1.0999999999999999E-2</v>
      </c>
    </row>
    <row r="2114" spans="1:29" ht="11.65" hidden="1" x14ac:dyDescent="0.35">
      <c r="A2114" s="12">
        <v>2097</v>
      </c>
      <c r="B2114" s="10" t="s">
        <v>1015</v>
      </c>
      <c r="C2114" s="11" t="s">
        <v>1163</v>
      </c>
      <c r="D2114" s="9">
        <v>12</v>
      </c>
      <c r="E2114" s="9">
        <v>458</v>
      </c>
      <c r="F2114" s="10" t="s">
        <v>1066</v>
      </c>
      <c r="G2114" s="9">
        <v>920</v>
      </c>
      <c r="H2114" s="9">
        <v>2005</v>
      </c>
      <c r="I2114" s="8">
        <v>1241.6210000000001</v>
      </c>
      <c r="J2114" s="8">
        <v>1312.72</v>
      </c>
      <c r="K2114" s="8">
        <v>1253.4190000000001</v>
      </c>
      <c r="L2114" s="8">
        <v>1259.3979999999999</v>
      </c>
      <c r="M2114" s="8">
        <v>1192.9269999999999</v>
      </c>
      <c r="N2114" s="8">
        <v>1113.5809999999999</v>
      </c>
      <c r="O2114" s="8">
        <v>943.77700000000004</v>
      </c>
      <c r="P2114" s="8">
        <v>873.745</v>
      </c>
      <c r="Q2114" s="8">
        <v>770.26599999999996</v>
      </c>
      <c r="R2114" s="8">
        <v>665.13</v>
      </c>
      <c r="S2114" s="8">
        <v>556.00199999999995</v>
      </c>
      <c r="T2114" s="8">
        <v>413.733</v>
      </c>
      <c r="U2114" s="8">
        <v>340.05599999999998</v>
      </c>
      <c r="V2114" s="8">
        <v>228.45099999999999</v>
      </c>
      <c r="W2114" s="8">
        <v>172.739</v>
      </c>
      <c r="X2114" s="8">
        <v>107.416</v>
      </c>
      <c r="Y2114" s="8">
        <v>51.878999999999998</v>
      </c>
      <c r="Z2114" s="8">
        <v>20.446000000000002</v>
      </c>
      <c r="AA2114" s="8">
        <v>4.6210000000000004</v>
      </c>
      <c r="AB2114" s="8">
        <v>0.61099999999999999</v>
      </c>
      <c r="AC2114" s="8">
        <v>2.5000000000000001E-2</v>
      </c>
    </row>
    <row r="2115" spans="1:29" ht="11.65" hidden="1" x14ac:dyDescent="0.35">
      <c r="A2115" s="12">
        <v>2098</v>
      </c>
      <c r="B2115" s="10" t="s">
        <v>1015</v>
      </c>
      <c r="C2115" s="11" t="s">
        <v>1163</v>
      </c>
      <c r="D2115" s="9">
        <v>12</v>
      </c>
      <c r="E2115" s="9">
        <v>458</v>
      </c>
      <c r="F2115" s="10" t="s">
        <v>1066</v>
      </c>
      <c r="G2115" s="9">
        <v>920</v>
      </c>
      <c r="H2115" s="9">
        <v>2010</v>
      </c>
      <c r="I2115" s="8">
        <v>1185.3209999999999</v>
      </c>
      <c r="J2115" s="8">
        <v>1281.9469999999999</v>
      </c>
      <c r="K2115" s="8">
        <v>1361.325</v>
      </c>
      <c r="L2115" s="8">
        <v>1380.069</v>
      </c>
      <c r="M2115" s="8">
        <v>1391.182</v>
      </c>
      <c r="N2115" s="8">
        <v>1271.6949999999999</v>
      </c>
      <c r="O2115" s="8">
        <v>983.73900000000003</v>
      </c>
      <c r="P2115" s="8">
        <v>926.40200000000004</v>
      </c>
      <c r="Q2115" s="8">
        <v>851.77499999999998</v>
      </c>
      <c r="R2115" s="8">
        <v>737.82299999999998</v>
      </c>
      <c r="S2115" s="8">
        <v>645.91399999999999</v>
      </c>
      <c r="T2115" s="8">
        <v>517.65700000000004</v>
      </c>
      <c r="U2115" s="8">
        <v>410.03199999999998</v>
      </c>
      <c r="V2115" s="8">
        <v>265.92399999999998</v>
      </c>
      <c r="W2115" s="8">
        <v>210.20599999999999</v>
      </c>
      <c r="X2115" s="8">
        <v>135.29900000000001</v>
      </c>
      <c r="Y2115" s="8">
        <v>68.08</v>
      </c>
      <c r="Z2115" s="8">
        <v>25.663</v>
      </c>
      <c r="AA2115" s="8">
        <v>6.8369999999999997</v>
      </c>
      <c r="AB2115" s="8">
        <v>0.94199999999999995</v>
      </c>
      <c r="AC2115" s="8">
        <v>6.9000000000000006E-2</v>
      </c>
    </row>
    <row r="2116" spans="1:29" ht="11.65" hidden="1" x14ac:dyDescent="0.35">
      <c r="A2116" s="12">
        <v>2099</v>
      </c>
      <c r="B2116" s="10" t="s">
        <v>1015</v>
      </c>
      <c r="C2116" s="11" t="s">
        <v>1163</v>
      </c>
      <c r="D2116" s="9">
        <v>12</v>
      </c>
      <c r="E2116" s="9">
        <v>458</v>
      </c>
      <c r="F2116" s="10" t="s">
        <v>1066</v>
      </c>
      <c r="G2116" s="9">
        <v>920</v>
      </c>
      <c r="H2116" s="9">
        <v>2015</v>
      </c>
      <c r="I2116" s="8">
        <v>1215.068</v>
      </c>
      <c r="J2116" s="8">
        <v>1186.5999999999999</v>
      </c>
      <c r="K2116" s="8">
        <v>1282.9059999999999</v>
      </c>
      <c r="L2116" s="8">
        <v>1371.23</v>
      </c>
      <c r="M2116" s="8">
        <v>1397.845</v>
      </c>
      <c r="N2116" s="8">
        <v>1406.874</v>
      </c>
      <c r="O2116" s="8">
        <v>1281.7280000000001</v>
      </c>
      <c r="P2116" s="8">
        <v>988.88900000000001</v>
      </c>
      <c r="Q2116" s="8">
        <v>926.60799999999995</v>
      </c>
      <c r="R2116" s="8">
        <v>846.61199999999997</v>
      </c>
      <c r="S2116" s="8">
        <v>727.18700000000001</v>
      </c>
      <c r="T2116" s="8">
        <v>629.44899999999996</v>
      </c>
      <c r="U2116" s="8">
        <v>496.88400000000001</v>
      </c>
      <c r="V2116" s="8">
        <v>383.4</v>
      </c>
      <c r="W2116" s="8">
        <v>235.64699999999999</v>
      </c>
      <c r="X2116" s="8">
        <v>169.023</v>
      </c>
      <c r="Y2116" s="8">
        <v>92.56</v>
      </c>
      <c r="Z2116" s="8">
        <v>36.049999999999997</v>
      </c>
      <c r="AA2116" s="8">
        <v>9.5</v>
      </c>
      <c r="AB2116" s="8">
        <v>1.615</v>
      </c>
      <c r="AC2116" s="8">
        <v>0.123</v>
      </c>
    </row>
    <row r="2117" spans="1:29" ht="11.65" hidden="1" x14ac:dyDescent="0.35">
      <c r="A2117" s="12">
        <v>2100</v>
      </c>
      <c r="B2117" s="10" t="s">
        <v>1015</v>
      </c>
      <c r="C2117" s="11" t="s">
        <v>1163</v>
      </c>
      <c r="D2117" s="9">
        <v>12</v>
      </c>
      <c r="E2117" s="9">
        <v>458</v>
      </c>
      <c r="F2117" s="10" t="s">
        <v>1066</v>
      </c>
      <c r="G2117" s="9">
        <v>920</v>
      </c>
      <c r="H2117" s="9">
        <v>2020</v>
      </c>
      <c r="I2117" s="8">
        <v>1278.6310000000001</v>
      </c>
      <c r="J2117" s="8">
        <v>1216.604</v>
      </c>
      <c r="K2117" s="8">
        <v>1187.8620000000001</v>
      </c>
      <c r="L2117" s="8">
        <v>1293.1500000000001</v>
      </c>
      <c r="M2117" s="8">
        <v>1389.2929999999999</v>
      </c>
      <c r="N2117" s="8">
        <v>1413.8150000000001</v>
      </c>
      <c r="O2117" s="8">
        <v>1416.8789999999999</v>
      </c>
      <c r="P2117" s="8">
        <v>1286.136</v>
      </c>
      <c r="Q2117" s="8">
        <v>989.06</v>
      </c>
      <c r="R2117" s="8">
        <v>920.66</v>
      </c>
      <c r="S2117" s="8">
        <v>833.95500000000004</v>
      </c>
      <c r="T2117" s="8">
        <v>709.19500000000005</v>
      </c>
      <c r="U2117" s="8">
        <v>606.34199999999998</v>
      </c>
      <c r="V2117" s="8">
        <v>468.24900000000002</v>
      </c>
      <c r="W2117" s="8">
        <v>343.03699999999998</v>
      </c>
      <c r="X2117" s="8">
        <v>192.791</v>
      </c>
      <c r="Y2117" s="8">
        <v>119.976</v>
      </c>
      <c r="Z2117" s="8">
        <v>52.115000000000002</v>
      </c>
      <c r="AA2117" s="8">
        <v>14.63</v>
      </c>
      <c r="AB2117" s="8">
        <v>2.569</v>
      </c>
      <c r="AC2117" s="8">
        <v>0.23599999999999999</v>
      </c>
    </row>
    <row r="2118" spans="1:29" ht="11.65" hidden="1" x14ac:dyDescent="0.35">
      <c r="A2118" s="12">
        <v>2101</v>
      </c>
      <c r="B2118" s="10" t="s">
        <v>1015</v>
      </c>
      <c r="C2118" s="11" t="s">
        <v>1164</v>
      </c>
      <c r="D2118" s="9"/>
      <c r="E2118" s="9">
        <v>104</v>
      </c>
      <c r="F2118" s="10" t="s">
        <v>1066</v>
      </c>
      <c r="G2118" s="9">
        <v>920</v>
      </c>
      <c r="H2118" s="9">
        <v>1950</v>
      </c>
      <c r="I2118" s="8">
        <v>1223.3900000000001</v>
      </c>
      <c r="J2118" s="8">
        <v>976.87400000000002</v>
      </c>
      <c r="K2118" s="8">
        <v>929.98299999999995</v>
      </c>
      <c r="L2118" s="8">
        <v>910.31799999999998</v>
      </c>
      <c r="M2118" s="8">
        <v>845.322</v>
      </c>
      <c r="N2118" s="8">
        <v>728.94100000000003</v>
      </c>
      <c r="O2118" s="8">
        <v>660.75599999999997</v>
      </c>
      <c r="P2118" s="8">
        <v>553.12699999999995</v>
      </c>
      <c r="Q2118" s="8">
        <v>483.75799999999998</v>
      </c>
      <c r="R2118" s="8">
        <v>422.02499999999998</v>
      </c>
      <c r="S2118" s="8">
        <v>343.38400000000001</v>
      </c>
      <c r="T2118" s="8">
        <v>276.03300000000002</v>
      </c>
      <c r="U2118" s="8">
        <v>212.48099999999999</v>
      </c>
      <c r="V2118" s="8">
        <v>149.87100000000001</v>
      </c>
      <c r="W2118" s="8">
        <v>95.353999999999999</v>
      </c>
      <c r="X2118" s="8">
        <v>51.127000000000002</v>
      </c>
      <c r="Y2118" s="8">
        <v>20.154</v>
      </c>
      <c r="Z2118" s="8">
        <v>6.3929999999999998</v>
      </c>
      <c r="AA2118" s="8">
        <v>1.3029999999999999</v>
      </c>
      <c r="AB2118" s="8">
        <v>0.16200000000000001</v>
      </c>
      <c r="AC2118" s="8">
        <v>1.4E-2</v>
      </c>
    </row>
    <row r="2119" spans="1:29" ht="11.65" hidden="1" x14ac:dyDescent="0.35">
      <c r="A2119" s="12">
        <v>2102</v>
      </c>
      <c r="B2119" s="10" t="s">
        <v>1015</v>
      </c>
      <c r="C2119" s="11" t="s">
        <v>1164</v>
      </c>
      <c r="D2119" s="9"/>
      <c r="E2119" s="9">
        <v>104</v>
      </c>
      <c r="F2119" s="10" t="s">
        <v>1066</v>
      </c>
      <c r="G2119" s="9">
        <v>920</v>
      </c>
      <c r="H2119" s="9">
        <v>1955</v>
      </c>
      <c r="I2119" s="8">
        <v>1669.16</v>
      </c>
      <c r="J2119" s="8">
        <v>1109.7850000000001</v>
      </c>
      <c r="K2119" s="8">
        <v>946.53099999999995</v>
      </c>
      <c r="L2119" s="8">
        <v>901.16200000000003</v>
      </c>
      <c r="M2119" s="8">
        <v>873.096</v>
      </c>
      <c r="N2119" s="8">
        <v>804.54499999999996</v>
      </c>
      <c r="O2119" s="8">
        <v>689.51900000000001</v>
      </c>
      <c r="P2119" s="8">
        <v>620.81899999999996</v>
      </c>
      <c r="Q2119" s="8">
        <v>516.52200000000005</v>
      </c>
      <c r="R2119" s="8">
        <v>448.82600000000002</v>
      </c>
      <c r="S2119" s="8">
        <v>385.29899999999998</v>
      </c>
      <c r="T2119" s="8">
        <v>304.726</v>
      </c>
      <c r="U2119" s="8">
        <v>233.38800000000001</v>
      </c>
      <c r="V2119" s="8">
        <v>166.80799999999999</v>
      </c>
      <c r="W2119" s="8">
        <v>105.398</v>
      </c>
      <c r="X2119" s="8">
        <v>56.085999999999999</v>
      </c>
      <c r="Y2119" s="8">
        <v>23.186</v>
      </c>
      <c r="Z2119" s="8">
        <v>6.3940000000000001</v>
      </c>
      <c r="AA2119" s="8">
        <v>1.302</v>
      </c>
      <c r="AB2119" s="8">
        <v>0.16200000000000001</v>
      </c>
      <c r="AC2119" s="8">
        <v>1.4E-2</v>
      </c>
    </row>
    <row r="2120" spans="1:29" ht="11.65" hidden="1" x14ac:dyDescent="0.35">
      <c r="A2120" s="12">
        <v>2103</v>
      </c>
      <c r="B2120" s="10" t="s">
        <v>1015</v>
      </c>
      <c r="C2120" s="11" t="s">
        <v>1164</v>
      </c>
      <c r="D2120" s="9"/>
      <c r="E2120" s="9">
        <v>104</v>
      </c>
      <c r="F2120" s="10" t="s">
        <v>1066</v>
      </c>
      <c r="G2120" s="9">
        <v>920</v>
      </c>
      <c r="H2120" s="9">
        <v>1960</v>
      </c>
      <c r="I2120" s="8">
        <v>1848.8040000000001</v>
      </c>
      <c r="J2120" s="8">
        <v>1545.1790000000001</v>
      </c>
      <c r="K2120" s="8">
        <v>1081.1310000000001</v>
      </c>
      <c r="L2120" s="8">
        <v>922.04499999999996</v>
      </c>
      <c r="M2120" s="8">
        <v>870.12599999999998</v>
      </c>
      <c r="N2120" s="8">
        <v>837.53499999999997</v>
      </c>
      <c r="O2120" s="8">
        <v>767.77599999999995</v>
      </c>
      <c r="P2120" s="8">
        <v>654.202</v>
      </c>
      <c r="Q2120" s="8">
        <v>585.74300000000005</v>
      </c>
      <c r="R2120" s="8">
        <v>484.24400000000003</v>
      </c>
      <c r="S2120" s="8">
        <v>414.62099999999998</v>
      </c>
      <c r="T2120" s="8">
        <v>346.94400000000002</v>
      </c>
      <c r="U2120" s="8">
        <v>262.74099999999999</v>
      </c>
      <c r="V2120" s="8">
        <v>188.09200000000001</v>
      </c>
      <c r="W2120" s="8">
        <v>121.348</v>
      </c>
      <c r="X2120" s="8">
        <v>64.876999999999995</v>
      </c>
      <c r="Y2120" s="8">
        <v>26.963000000000001</v>
      </c>
      <c r="Z2120" s="8">
        <v>7.8970000000000002</v>
      </c>
      <c r="AA2120" s="8">
        <v>1.41</v>
      </c>
      <c r="AB2120" s="8">
        <v>0.17699999999999999</v>
      </c>
      <c r="AC2120" s="8">
        <v>1.4E-2</v>
      </c>
    </row>
    <row r="2121" spans="1:29" ht="11.65" hidden="1" x14ac:dyDescent="0.35">
      <c r="A2121" s="12">
        <v>2104</v>
      </c>
      <c r="B2121" s="10" t="s">
        <v>1015</v>
      </c>
      <c r="C2121" s="11" t="s">
        <v>1164</v>
      </c>
      <c r="D2121" s="9"/>
      <c r="E2121" s="9">
        <v>104</v>
      </c>
      <c r="F2121" s="10" t="s">
        <v>1066</v>
      </c>
      <c r="G2121" s="9">
        <v>920</v>
      </c>
      <c r="H2121" s="9">
        <v>1965</v>
      </c>
      <c r="I2121" s="8">
        <v>2021.855</v>
      </c>
      <c r="J2121" s="8">
        <v>1729.1310000000001</v>
      </c>
      <c r="K2121" s="8">
        <v>1509.8389999999999</v>
      </c>
      <c r="L2121" s="8">
        <v>1056.2639999999999</v>
      </c>
      <c r="M2121" s="8">
        <v>893.64700000000005</v>
      </c>
      <c r="N2121" s="8">
        <v>838.375</v>
      </c>
      <c r="O2121" s="8">
        <v>803.22</v>
      </c>
      <c r="P2121" s="8">
        <v>732.44200000000001</v>
      </c>
      <c r="Q2121" s="8">
        <v>620.82000000000005</v>
      </c>
      <c r="R2121" s="8">
        <v>552.35599999999999</v>
      </c>
      <c r="S2121" s="8">
        <v>450.28800000000001</v>
      </c>
      <c r="T2121" s="8">
        <v>376.39400000000001</v>
      </c>
      <c r="U2121" s="8">
        <v>302.41199999999998</v>
      </c>
      <c r="V2121" s="8">
        <v>214.84200000000001</v>
      </c>
      <c r="W2121" s="8">
        <v>139.40100000000001</v>
      </c>
      <c r="X2121" s="8">
        <v>76.567999999999998</v>
      </c>
      <c r="Y2121" s="8">
        <v>32.183999999999997</v>
      </c>
      <c r="Z2121" s="8">
        <v>9.5359999999999996</v>
      </c>
      <c r="AA2121" s="8">
        <v>1.8149999999999999</v>
      </c>
      <c r="AB2121" s="8">
        <v>0.19800000000000001</v>
      </c>
      <c r="AC2121" s="8">
        <v>1.6E-2</v>
      </c>
    </row>
    <row r="2122" spans="1:29" ht="11.65" hidden="1" x14ac:dyDescent="0.35">
      <c r="A2122" s="12">
        <v>2105</v>
      </c>
      <c r="B2122" s="10" t="s">
        <v>1015</v>
      </c>
      <c r="C2122" s="11" t="s">
        <v>1164</v>
      </c>
      <c r="D2122" s="9"/>
      <c r="E2122" s="9">
        <v>104</v>
      </c>
      <c r="F2122" s="10" t="s">
        <v>1066</v>
      </c>
      <c r="G2122" s="9">
        <v>920</v>
      </c>
      <c r="H2122" s="9">
        <v>1970</v>
      </c>
      <c r="I2122" s="8">
        <v>2263.1039999999998</v>
      </c>
      <c r="J2122" s="8">
        <v>1921.8330000000001</v>
      </c>
      <c r="K2122" s="8">
        <v>1693.771</v>
      </c>
      <c r="L2122" s="8">
        <v>1478.751</v>
      </c>
      <c r="M2122" s="8">
        <v>1026.7950000000001</v>
      </c>
      <c r="N2122" s="8">
        <v>864.06600000000003</v>
      </c>
      <c r="O2122" s="8">
        <v>807.197</v>
      </c>
      <c r="P2122" s="8">
        <v>769.596</v>
      </c>
      <c r="Q2122" s="8">
        <v>698.25900000000001</v>
      </c>
      <c r="R2122" s="8">
        <v>588.15800000000002</v>
      </c>
      <c r="S2122" s="8">
        <v>516.32100000000003</v>
      </c>
      <c r="T2122" s="8">
        <v>411.41899999999998</v>
      </c>
      <c r="U2122" s="8">
        <v>330.92099999999999</v>
      </c>
      <c r="V2122" s="8">
        <v>250.12899999999999</v>
      </c>
      <c r="W2122" s="8">
        <v>161.57499999999999</v>
      </c>
      <c r="X2122" s="8">
        <v>89.685000000000002</v>
      </c>
      <c r="Y2122" s="8">
        <v>38.924999999999997</v>
      </c>
      <c r="Z2122" s="8">
        <v>11.715</v>
      </c>
      <c r="AA2122" s="8">
        <v>2.2610000000000001</v>
      </c>
      <c r="AB2122" s="8">
        <v>0.26500000000000001</v>
      </c>
      <c r="AC2122" s="8">
        <v>1.7999999999999999E-2</v>
      </c>
    </row>
    <row r="2123" spans="1:29" ht="11.65" hidden="1" x14ac:dyDescent="0.35">
      <c r="A2123" s="12">
        <v>2106</v>
      </c>
      <c r="B2123" s="10" t="s">
        <v>1015</v>
      </c>
      <c r="C2123" s="11" t="s">
        <v>1164</v>
      </c>
      <c r="D2123" s="9"/>
      <c r="E2123" s="9">
        <v>104</v>
      </c>
      <c r="F2123" s="10" t="s">
        <v>1066</v>
      </c>
      <c r="G2123" s="9">
        <v>920</v>
      </c>
      <c r="H2123" s="9">
        <v>1975</v>
      </c>
      <c r="I2123" s="8">
        <v>2448.0439999999999</v>
      </c>
      <c r="J2123" s="8">
        <v>2167.0129999999999</v>
      </c>
      <c r="K2123" s="8">
        <v>1888.337</v>
      </c>
      <c r="L2123" s="8">
        <v>1663.74</v>
      </c>
      <c r="M2123" s="8">
        <v>1442.4770000000001</v>
      </c>
      <c r="N2123" s="8">
        <v>996.68799999999999</v>
      </c>
      <c r="O2123" s="8">
        <v>835.596</v>
      </c>
      <c r="P2123" s="8">
        <v>777.24900000000002</v>
      </c>
      <c r="Q2123" s="8">
        <v>737.59</v>
      </c>
      <c r="R2123" s="8">
        <v>665.11400000000003</v>
      </c>
      <c r="S2123" s="8">
        <v>553.13400000000001</v>
      </c>
      <c r="T2123" s="8">
        <v>475.274</v>
      </c>
      <c r="U2123" s="8">
        <v>365.30700000000002</v>
      </c>
      <c r="V2123" s="8">
        <v>277.29199999999997</v>
      </c>
      <c r="W2123" s="8">
        <v>191.22499999999999</v>
      </c>
      <c r="X2123" s="8">
        <v>106.226</v>
      </c>
      <c r="Y2123" s="8">
        <v>46.844000000000001</v>
      </c>
      <c r="Z2123" s="8">
        <v>14.62</v>
      </c>
      <c r="AA2123" s="8">
        <v>2.871</v>
      </c>
      <c r="AB2123" s="8">
        <v>0.33700000000000002</v>
      </c>
      <c r="AC2123" s="8">
        <v>2.3E-2</v>
      </c>
    </row>
    <row r="2124" spans="1:29" ht="11.65" hidden="1" x14ac:dyDescent="0.35">
      <c r="A2124" s="12">
        <v>2107</v>
      </c>
      <c r="B2124" s="10" t="s">
        <v>1015</v>
      </c>
      <c r="C2124" s="11" t="s">
        <v>1164</v>
      </c>
      <c r="D2124" s="9"/>
      <c r="E2124" s="9">
        <v>104</v>
      </c>
      <c r="F2124" s="10" t="s">
        <v>1066</v>
      </c>
      <c r="G2124" s="9">
        <v>920</v>
      </c>
      <c r="H2124" s="9">
        <v>1980</v>
      </c>
      <c r="I2124" s="8">
        <v>2612.11</v>
      </c>
      <c r="J2124" s="8">
        <v>2359.1550000000002</v>
      </c>
      <c r="K2124" s="8">
        <v>2134.5729999999999</v>
      </c>
      <c r="L2124" s="8">
        <v>1859.3109999999999</v>
      </c>
      <c r="M2124" s="8">
        <v>1627.771</v>
      </c>
      <c r="N2124" s="8">
        <v>1404.915</v>
      </c>
      <c r="O2124" s="8">
        <v>967.43499999999995</v>
      </c>
      <c r="P2124" s="8">
        <v>807.88699999999994</v>
      </c>
      <c r="Q2124" s="8">
        <v>748.09400000000005</v>
      </c>
      <c r="R2124" s="8">
        <v>705.54899999999998</v>
      </c>
      <c r="S2124" s="8">
        <v>628.42100000000005</v>
      </c>
      <c r="T2124" s="8">
        <v>512.03</v>
      </c>
      <c r="U2124" s="8">
        <v>425.13200000000001</v>
      </c>
      <c r="V2124" s="8">
        <v>309.06099999999998</v>
      </c>
      <c r="W2124" s="8">
        <v>214.553</v>
      </c>
      <c r="X2124" s="8">
        <v>127.70099999999999</v>
      </c>
      <c r="Y2124" s="8">
        <v>56.548999999999999</v>
      </c>
      <c r="Z2124" s="8">
        <v>17.969000000000001</v>
      </c>
      <c r="AA2124" s="8">
        <v>3.657</v>
      </c>
      <c r="AB2124" s="8">
        <v>0.436</v>
      </c>
      <c r="AC2124" s="8">
        <v>0.03</v>
      </c>
    </row>
    <row r="2125" spans="1:29" ht="11.65" hidden="1" x14ac:dyDescent="0.35">
      <c r="A2125" s="12">
        <v>2108</v>
      </c>
      <c r="B2125" s="10" t="s">
        <v>1015</v>
      </c>
      <c r="C2125" s="11" t="s">
        <v>1164</v>
      </c>
      <c r="D2125" s="9"/>
      <c r="E2125" s="9">
        <v>104</v>
      </c>
      <c r="F2125" s="10" t="s">
        <v>1066</v>
      </c>
      <c r="G2125" s="9">
        <v>920</v>
      </c>
      <c r="H2125" s="9">
        <v>1985</v>
      </c>
      <c r="I2125" s="8">
        <v>2736.915</v>
      </c>
      <c r="J2125" s="8">
        <v>2530.7359999999999</v>
      </c>
      <c r="K2125" s="8">
        <v>2328.5230000000001</v>
      </c>
      <c r="L2125" s="8">
        <v>2104.11</v>
      </c>
      <c r="M2125" s="8">
        <v>1820.636</v>
      </c>
      <c r="N2125" s="8">
        <v>1587.29</v>
      </c>
      <c r="O2125" s="8">
        <v>1366.2329999999999</v>
      </c>
      <c r="P2125" s="8">
        <v>937.38800000000003</v>
      </c>
      <c r="Q2125" s="8">
        <v>779.65200000000004</v>
      </c>
      <c r="R2125" s="8">
        <v>717.74800000000005</v>
      </c>
      <c r="S2125" s="8">
        <v>669.08699999999999</v>
      </c>
      <c r="T2125" s="8">
        <v>584.52200000000005</v>
      </c>
      <c r="U2125" s="8">
        <v>461.01600000000002</v>
      </c>
      <c r="V2125" s="8">
        <v>362.83300000000003</v>
      </c>
      <c r="W2125" s="8">
        <v>241.79900000000001</v>
      </c>
      <c r="X2125" s="8">
        <v>145.35599999999999</v>
      </c>
      <c r="Y2125" s="8">
        <v>69.149000000000001</v>
      </c>
      <c r="Z2125" s="8">
        <v>22.113</v>
      </c>
      <c r="AA2125" s="8">
        <v>4.58</v>
      </c>
      <c r="AB2125" s="8">
        <v>0.56399999999999995</v>
      </c>
      <c r="AC2125" s="8">
        <v>3.9E-2</v>
      </c>
    </row>
    <row r="2126" spans="1:29" ht="11.65" hidden="1" x14ac:dyDescent="0.35">
      <c r="A2126" s="12">
        <v>2109</v>
      </c>
      <c r="B2126" s="10" t="s">
        <v>1015</v>
      </c>
      <c r="C2126" s="11" t="s">
        <v>1164</v>
      </c>
      <c r="D2126" s="9"/>
      <c r="E2126" s="9">
        <v>104</v>
      </c>
      <c r="F2126" s="10" t="s">
        <v>1066</v>
      </c>
      <c r="G2126" s="9">
        <v>920</v>
      </c>
      <c r="H2126" s="9">
        <v>1990</v>
      </c>
      <c r="I2126" s="8">
        <v>2629.79</v>
      </c>
      <c r="J2126" s="8">
        <v>2662.42</v>
      </c>
      <c r="K2126" s="8">
        <v>2501.1880000000001</v>
      </c>
      <c r="L2126" s="8">
        <v>2290.6770000000001</v>
      </c>
      <c r="M2126" s="8">
        <v>2050.107</v>
      </c>
      <c r="N2126" s="8">
        <v>1766.3520000000001</v>
      </c>
      <c r="O2126" s="8">
        <v>1538.3340000000001</v>
      </c>
      <c r="P2126" s="8">
        <v>1322.184</v>
      </c>
      <c r="Q2126" s="8">
        <v>903.59699999999998</v>
      </c>
      <c r="R2126" s="8">
        <v>747.93100000000004</v>
      </c>
      <c r="S2126" s="8">
        <v>681.66800000000001</v>
      </c>
      <c r="T2126" s="8">
        <v>624.428</v>
      </c>
      <c r="U2126" s="8">
        <v>529.18600000000004</v>
      </c>
      <c r="V2126" s="8">
        <v>396.56200000000001</v>
      </c>
      <c r="W2126" s="8">
        <v>286.83300000000003</v>
      </c>
      <c r="X2126" s="8">
        <v>166.06800000000001</v>
      </c>
      <c r="Y2126" s="8">
        <v>80.022000000000006</v>
      </c>
      <c r="Z2126" s="8">
        <v>27.567</v>
      </c>
      <c r="AA2126" s="8">
        <v>5.7380000000000004</v>
      </c>
      <c r="AB2126" s="8">
        <v>0.71499999999999997</v>
      </c>
      <c r="AC2126" s="8">
        <v>0.05</v>
      </c>
    </row>
    <row r="2127" spans="1:29" ht="11.65" hidden="1" x14ac:dyDescent="0.35">
      <c r="A2127" s="12">
        <v>2110</v>
      </c>
      <c r="B2127" s="10" t="s">
        <v>1015</v>
      </c>
      <c r="C2127" s="11" t="s">
        <v>1164</v>
      </c>
      <c r="D2127" s="9"/>
      <c r="E2127" s="9">
        <v>104</v>
      </c>
      <c r="F2127" s="10" t="s">
        <v>1066</v>
      </c>
      <c r="G2127" s="9">
        <v>920</v>
      </c>
      <c r="H2127" s="9">
        <v>1995</v>
      </c>
      <c r="I2127" s="8">
        <v>2509.4659999999999</v>
      </c>
      <c r="J2127" s="8">
        <v>2561.3290000000002</v>
      </c>
      <c r="K2127" s="8">
        <v>2628.8589999999999</v>
      </c>
      <c r="L2127" s="8">
        <v>2434.5100000000002</v>
      </c>
      <c r="M2127" s="8">
        <v>2185.384</v>
      </c>
      <c r="N2127" s="8">
        <v>1947.086</v>
      </c>
      <c r="O2127" s="8">
        <v>1681.941</v>
      </c>
      <c r="P2127" s="8">
        <v>1469.8209999999999</v>
      </c>
      <c r="Q2127" s="8">
        <v>1264.7660000000001</v>
      </c>
      <c r="R2127" s="8">
        <v>859.78700000000003</v>
      </c>
      <c r="S2127" s="8">
        <v>706.13499999999999</v>
      </c>
      <c r="T2127" s="8">
        <v>634.31399999999996</v>
      </c>
      <c r="U2127" s="8">
        <v>565.26599999999996</v>
      </c>
      <c r="V2127" s="8">
        <v>456.22699999999998</v>
      </c>
      <c r="W2127" s="8">
        <v>314.72800000000001</v>
      </c>
      <c r="X2127" s="8">
        <v>198.19800000000001</v>
      </c>
      <c r="Y2127" s="8">
        <v>92.045000000000002</v>
      </c>
      <c r="Z2127" s="8">
        <v>32.273000000000003</v>
      </c>
      <c r="AA2127" s="8">
        <v>7.2290000000000001</v>
      </c>
      <c r="AB2127" s="8">
        <v>0.90300000000000002</v>
      </c>
      <c r="AC2127" s="8">
        <v>6.4000000000000001E-2</v>
      </c>
    </row>
    <row r="2128" spans="1:29" ht="11.65" hidden="1" x14ac:dyDescent="0.35">
      <c r="A2128" s="12">
        <v>2111</v>
      </c>
      <c r="B2128" s="10" t="s">
        <v>1015</v>
      </c>
      <c r="C2128" s="11" t="s">
        <v>1164</v>
      </c>
      <c r="D2128" s="9"/>
      <c r="E2128" s="9">
        <v>104</v>
      </c>
      <c r="F2128" s="10" t="s">
        <v>1066</v>
      </c>
      <c r="G2128" s="9">
        <v>920</v>
      </c>
      <c r="H2128" s="9">
        <v>2000</v>
      </c>
      <c r="I2128" s="8">
        <v>2588.16</v>
      </c>
      <c r="J2128" s="8">
        <v>2456.623</v>
      </c>
      <c r="K2128" s="8">
        <v>2535.2440000000001</v>
      </c>
      <c r="L2128" s="8">
        <v>2583.1030000000001</v>
      </c>
      <c r="M2128" s="8">
        <v>2364.3000000000002</v>
      </c>
      <c r="N2128" s="8">
        <v>2114.855</v>
      </c>
      <c r="O2128" s="8">
        <v>1885.4359999999999</v>
      </c>
      <c r="P2128" s="8">
        <v>1628.723</v>
      </c>
      <c r="Q2128" s="8">
        <v>1421.3430000000001</v>
      </c>
      <c r="R2128" s="8">
        <v>1217.8340000000001</v>
      </c>
      <c r="S2128" s="8">
        <v>819.08900000000006</v>
      </c>
      <c r="T2128" s="8">
        <v>661.87400000000002</v>
      </c>
      <c r="U2128" s="8">
        <v>578.26300000000003</v>
      </c>
      <c r="V2128" s="8">
        <v>491.16899999999998</v>
      </c>
      <c r="W2128" s="8">
        <v>365.44400000000002</v>
      </c>
      <c r="X2128" s="8">
        <v>219.93299999999999</v>
      </c>
      <c r="Y2128" s="8">
        <v>111.246</v>
      </c>
      <c r="Z2128" s="8">
        <v>37.545000000000002</v>
      </c>
      <c r="AA2128" s="8">
        <v>8.5489999999999995</v>
      </c>
      <c r="AB2128" s="8">
        <v>1.1459999999999999</v>
      </c>
      <c r="AC2128" s="8">
        <v>8.1000000000000003E-2</v>
      </c>
    </row>
    <row r="2129" spans="1:29" ht="11.65" hidden="1" x14ac:dyDescent="0.35">
      <c r="A2129" s="12">
        <v>2112</v>
      </c>
      <c r="B2129" s="10" t="s">
        <v>1015</v>
      </c>
      <c r="C2129" s="11" t="s">
        <v>1164</v>
      </c>
      <c r="D2129" s="9"/>
      <c r="E2129" s="9">
        <v>104</v>
      </c>
      <c r="F2129" s="10" t="s">
        <v>1066</v>
      </c>
      <c r="G2129" s="9">
        <v>920</v>
      </c>
      <c r="H2129" s="9">
        <v>2005</v>
      </c>
      <c r="I2129" s="8">
        <v>2645.3270000000002</v>
      </c>
      <c r="J2129" s="8">
        <v>2532.34</v>
      </c>
      <c r="K2129" s="8">
        <v>2426.2449999999999</v>
      </c>
      <c r="L2129" s="8">
        <v>2445.6619999999998</v>
      </c>
      <c r="M2129" s="8">
        <v>2434.12</v>
      </c>
      <c r="N2129" s="8">
        <v>2219.6619999999998</v>
      </c>
      <c r="O2129" s="8">
        <v>1996.8150000000001</v>
      </c>
      <c r="P2129" s="8">
        <v>1799.3589999999999</v>
      </c>
      <c r="Q2129" s="8">
        <v>1558.7739999999999</v>
      </c>
      <c r="R2129" s="8">
        <v>1359.1969999999999</v>
      </c>
      <c r="S2129" s="8">
        <v>1156.5260000000001</v>
      </c>
      <c r="T2129" s="8">
        <v>765.22</v>
      </c>
      <c r="U2129" s="8">
        <v>602.53599999999994</v>
      </c>
      <c r="V2129" s="8">
        <v>503.06</v>
      </c>
      <c r="W2129" s="8">
        <v>394.84800000000001</v>
      </c>
      <c r="X2129" s="8">
        <v>256.89</v>
      </c>
      <c r="Y2129" s="8">
        <v>123.976</v>
      </c>
      <c r="Z2129" s="8">
        <v>45.895000000000003</v>
      </c>
      <c r="AA2129" s="8">
        <v>10.045999999999999</v>
      </c>
      <c r="AB2129" s="8">
        <v>1.3660000000000001</v>
      </c>
      <c r="AC2129" s="8">
        <v>0.10199999999999999</v>
      </c>
    </row>
    <row r="2130" spans="1:29" ht="11.65" hidden="1" x14ac:dyDescent="0.35">
      <c r="A2130" s="12">
        <v>2113</v>
      </c>
      <c r="B2130" s="10" t="s">
        <v>1015</v>
      </c>
      <c r="C2130" s="11" t="s">
        <v>1164</v>
      </c>
      <c r="D2130" s="9"/>
      <c r="E2130" s="9">
        <v>104</v>
      </c>
      <c r="F2130" s="10" t="s">
        <v>1066</v>
      </c>
      <c r="G2130" s="9">
        <v>920</v>
      </c>
      <c r="H2130" s="9">
        <v>2010</v>
      </c>
      <c r="I2130" s="8">
        <v>2453.2399999999998</v>
      </c>
      <c r="J2130" s="8">
        <v>2601.4380000000001</v>
      </c>
      <c r="K2130" s="8">
        <v>2509.5770000000002</v>
      </c>
      <c r="L2130" s="8">
        <v>2368.3780000000002</v>
      </c>
      <c r="M2130" s="8">
        <v>2256.2220000000002</v>
      </c>
      <c r="N2130" s="8">
        <v>2182.1759999999999</v>
      </c>
      <c r="O2130" s="8">
        <v>2118.2150000000001</v>
      </c>
      <c r="P2130" s="8">
        <v>1931.307</v>
      </c>
      <c r="Q2130" s="8">
        <v>1742.1389999999999</v>
      </c>
      <c r="R2130" s="8">
        <v>1504.807</v>
      </c>
      <c r="S2130" s="8">
        <v>1301.9490000000001</v>
      </c>
      <c r="T2130" s="8">
        <v>1092.174</v>
      </c>
      <c r="U2130" s="8">
        <v>703.94399999999996</v>
      </c>
      <c r="V2130" s="8">
        <v>530.17200000000003</v>
      </c>
      <c r="W2130" s="8">
        <v>409.84100000000001</v>
      </c>
      <c r="X2130" s="8">
        <v>282.31700000000001</v>
      </c>
      <c r="Y2130" s="8">
        <v>148.10300000000001</v>
      </c>
      <c r="Z2130" s="8">
        <v>52.101999999999997</v>
      </c>
      <c r="AA2130" s="8">
        <v>12.477</v>
      </c>
      <c r="AB2130" s="8">
        <v>1.62</v>
      </c>
      <c r="AC2130" s="8">
        <v>0.121</v>
      </c>
    </row>
    <row r="2131" spans="1:29" ht="11.65" hidden="1" x14ac:dyDescent="0.35">
      <c r="A2131" s="12">
        <v>2114</v>
      </c>
      <c r="B2131" s="10" t="s">
        <v>1015</v>
      </c>
      <c r="C2131" s="11" t="s">
        <v>1164</v>
      </c>
      <c r="D2131" s="9"/>
      <c r="E2131" s="9">
        <v>104</v>
      </c>
      <c r="F2131" s="10" t="s">
        <v>1066</v>
      </c>
      <c r="G2131" s="9">
        <v>920</v>
      </c>
      <c r="H2131" s="9">
        <v>2015</v>
      </c>
      <c r="I2131" s="8">
        <v>2268.6799999999998</v>
      </c>
      <c r="J2131" s="8">
        <v>2428.7890000000002</v>
      </c>
      <c r="K2131" s="8">
        <v>2588.9259999999999</v>
      </c>
      <c r="L2131" s="8">
        <v>2490.373</v>
      </c>
      <c r="M2131" s="8">
        <v>2328.3690000000001</v>
      </c>
      <c r="N2131" s="8">
        <v>2193.0059999999999</v>
      </c>
      <c r="O2131" s="8">
        <v>2076.4760000000001</v>
      </c>
      <c r="P2131" s="8">
        <v>2008.2850000000001</v>
      </c>
      <c r="Q2131" s="8">
        <v>1882.127</v>
      </c>
      <c r="R2131" s="8">
        <v>1700.9269999999999</v>
      </c>
      <c r="S2131" s="8">
        <v>1455.5730000000001</v>
      </c>
      <c r="T2131" s="8">
        <v>1241.1310000000001</v>
      </c>
      <c r="U2131" s="8">
        <v>1016.023</v>
      </c>
      <c r="V2131" s="8">
        <v>627.28099999999995</v>
      </c>
      <c r="W2131" s="8">
        <v>438.27199999999999</v>
      </c>
      <c r="X2131" s="8">
        <v>298.33999999999997</v>
      </c>
      <c r="Y2131" s="8">
        <v>166.60499999999999</v>
      </c>
      <c r="Z2131" s="8">
        <v>63.414000000000001</v>
      </c>
      <c r="AA2131" s="8">
        <v>14.38</v>
      </c>
      <c r="AB2131" s="8">
        <v>2.028</v>
      </c>
      <c r="AC2131" s="8">
        <v>0.14199999999999999</v>
      </c>
    </row>
    <row r="2132" spans="1:29" ht="11.65" hidden="1" x14ac:dyDescent="0.35">
      <c r="A2132" s="12">
        <v>2115</v>
      </c>
      <c r="B2132" s="10" t="s">
        <v>1015</v>
      </c>
      <c r="C2132" s="11" t="s">
        <v>1164</v>
      </c>
      <c r="D2132" s="9"/>
      <c r="E2132" s="9">
        <v>104</v>
      </c>
      <c r="F2132" s="10" t="s">
        <v>1066</v>
      </c>
      <c r="G2132" s="9">
        <v>920</v>
      </c>
      <c r="H2132" s="9">
        <v>2020</v>
      </c>
      <c r="I2132" s="8">
        <v>2231.9760000000001</v>
      </c>
      <c r="J2132" s="8">
        <v>2241.0610000000001</v>
      </c>
      <c r="K2132" s="8">
        <v>2412.701</v>
      </c>
      <c r="L2132" s="8">
        <v>2530.6039999999998</v>
      </c>
      <c r="M2132" s="8">
        <v>2392.4850000000001</v>
      </c>
      <c r="N2132" s="8">
        <v>2233.5889999999999</v>
      </c>
      <c r="O2132" s="8">
        <v>2115.857</v>
      </c>
      <c r="P2132" s="8">
        <v>2019.9</v>
      </c>
      <c r="Q2132" s="8">
        <v>1958.2270000000001</v>
      </c>
      <c r="R2132" s="8">
        <v>1831.54</v>
      </c>
      <c r="S2132" s="8">
        <v>1643.9459999999999</v>
      </c>
      <c r="T2132" s="8">
        <v>1389.376</v>
      </c>
      <c r="U2132" s="8">
        <v>1158.96</v>
      </c>
      <c r="V2132" s="8">
        <v>911.43200000000002</v>
      </c>
      <c r="W2132" s="8">
        <v>523.303</v>
      </c>
      <c r="X2132" s="8">
        <v>323.12200000000001</v>
      </c>
      <c r="Y2132" s="8">
        <v>178.52799999999999</v>
      </c>
      <c r="Z2132" s="8">
        <v>72.691000000000003</v>
      </c>
      <c r="AA2132" s="8">
        <v>17.774999999999999</v>
      </c>
      <c r="AB2132" s="8">
        <v>2.3580000000000001</v>
      </c>
      <c r="AC2132" s="8">
        <v>0.17299999999999999</v>
      </c>
    </row>
    <row r="2133" spans="1:29" ht="11.65" hidden="1" x14ac:dyDescent="0.35">
      <c r="A2133" s="12">
        <v>2116</v>
      </c>
      <c r="B2133" s="10" t="s">
        <v>1015</v>
      </c>
      <c r="C2133" s="11" t="s">
        <v>1165</v>
      </c>
      <c r="D2133" s="9"/>
      <c r="E2133" s="9">
        <v>608</v>
      </c>
      <c r="F2133" s="10" t="s">
        <v>1066</v>
      </c>
      <c r="G2133" s="9">
        <v>920</v>
      </c>
      <c r="H2133" s="9">
        <v>1950</v>
      </c>
      <c r="I2133" s="8">
        <v>1567.8389999999999</v>
      </c>
      <c r="J2133" s="8">
        <v>1285.527</v>
      </c>
      <c r="K2133" s="8">
        <v>1088.346</v>
      </c>
      <c r="L2133" s="8">
        <v>914.32399999999996</v>
      </c>
      <c r="M2133" s="8">
        <v>733.45100000000002</v>
      </c>
      <c r="N2133" s="8">
        <v>686.83399999999995</v>
      </c>
      <c r="O2133" s="8">
        <v>585.048</v>
      </c>
      <c r="P2133" s="8">
        <v>532.89700000000005</v>
      </c>
      <c r="Q2133" s="8">
        <v>445.12799999999999</v>
      </c>
      <c r="R2133" s="8">
        <v>333.01400000000001</v>
      </c>
      <c r="S2133" s="8">
        <v>281.75799999999998</v>
      </c>
      <c r="T2133" s="8">
        <v>253.18899999999999</v>
      </c>
      <c r="U2133" s="8">
        <v>215.857</v>
      </c>
      <c r="V2133" s="8">
        <v>173.52799999999999</v>
      </c>
      <c r="W2133" s="8">
        <v>122.70099999999999</v>
      </c>
      <c r="X2133" s="8">
        <v>76.792000000000002</v>
      </c>
      <c r="Y2133" s="8">
        <v>30.428000000000001</v>
      </c>
      <c r="Z2133" s="8">
        <v>11.205</v>
      </c>
      <c r="AA2133" s="8">
        <v>2.7069999999999999</v>
      </c>
      <c r="AB2133" s="8">
        <v>0.39100000000000001</v>
      </c>
      <c r="AC2133" s="8">
        <v>3.3000000000000002E-2</v>
      </c>
    </row>
    <row r="2134" spans="1:29" ht="11.65" hidden="1" x14ac:dyDescent="0.35">
      <c r="A2134" s="12">
        <v>2117</v>
      </c>
      <c r="B2134" s="10" t="s">
        <v>1015</v>
      </c>
      <c r="C2134" s="11" t="s">
        <v>1165</v>
      </c>
      <c r="D2134" s="9"/>
      <c r="E2134" s="9">
        <v>608</v>
      </c>
      <c r="F2134" s="10" t="s">
        <v>1066</v>
      </c>
      <c r="G2134" s="9">
        <v>920</v>
      </c>
      <c r="H2134" s="9">
        <v>1955</v>
      </c>
      <c r="I2134" s="8">
        <v>2148.5790000000002</v>
      </c>
      <c r="J2134" s="8">
        <v>1515.338</v>
      </c>
      <c r="K2134" s="8">
        <v>1266.836</v>
      </c>
      <c r="L2134" s="8">
        <v>1074.2650000000001</v>
      </c>
      <c r="M2134" s="8">
        <v>897.30600000000004</v>
      </c>
      <c r="N2134" s="8">
        <v>717.03700000000003</v>
      </c>
      <c r="O2134" s="8">
        <v>669.78700000000003</v>
      </c>
      <c r="P2134" s="8">
        <v>568.91499999999996</v>
      </c>
      <c r="Q2134" s="8">
        <v>516.19899999999996</v>
      </c>
      <c r="R2134" s="8">
        <v>428.63799999999998</v>
      </c>
      <c r="S2134" s="8">
        <v>317.05200000000002</v>
      </c>
      <c r="T2134" s="8">
        <v>263.21499999999997</v>
      </c>
      <c r="U2134" s="8">
        <v>229.14500000000001</v>
      </c>
      <c r="V2134" s="8">
        <v>185.44499999999999</v>
      </c>
      <c r="W2134" s="8">
        <v>136.51599999999999</v>
      </c>
      <c r="X2134" s="8">
        <v>83.394000000000005</v>
      </c>
      <c r="Y2134" s="8">
        <v>41.923000000000002</v>
      </c>
      <c r="Z2134" s="8">
        <v>11.478999999999999</v>
      </c>
      <c r="AA2134" s="8">
        <v>2.7650000000000001</v>
      </c>
      <c r="AB2134" s="8">
        <v>0.39100000000000001</v>
      </c>
      <c r="AC2134" s="8">
        <v>3.3000000000000002E-2</v>
      </c>
    </row>
    <row r="2135" spans="1:29" ht="11.65" hidden="1" x14ac:dyDescent="0.35">
      <c r="A2135" s="12">
        <v>2118</v>
      </c>
      <c r="B2135" s="10" t="s">
        <v>1015</v>
      </c>
      <c r="C2135" s="11" t="s">
        <v>1165</v>
      </c>
      <c r="D2135" s="9"/>
      <c r="E2135" s="9">
        <v>608</v>
      </c>
      <c r="F2135" s="10" t="s">
        <v>1066</v>
      </c>
      <c r="G2135" s="9">
        <v>920</v>
      </c>
      <c r="H2135" s="9">
        <v>1960</v>
      </c>
      <c r="I2135" s="8">
        <v>2429.1660000000002</v>
      </c>
      <c r="J2135" s="8">
        <v>2086.3939999999998</v>
      </c>
      <c r="K2135" s="8">
        <v>1495.973</v>
      </c>
      <c r="L2135" s="8">
        <v>1252.1379999999999</v>
      </c>
      <c r="M2135" s="8">
        <v>1056.3789999999999</v>
      </c>
      <c r="N2135" s="8">
        <v>879.21100000000001</v>
      </c>
      <c r="O2135" s="8">
        <v>700.78899999999999</v>
      </c>
      <c r="P2135" s="8">
        <v>652.61</v>
      </c>
      <c r="Q2135" s="8">
        <v>552.08299999999997</v>
      </c>
      <c r="R2135" s="8">
        <v>497.86799999999999</v>
      </c>
      <c r="S2135" s="8">
        <v>408.76</v>
      </c>
      <c r="T2135" s="8">
        <v>296.80099999999999</v>
      </c>
      <c r="U2135" s="8">
        <v>238.9</v>
      </c>
      <c r="V2135" s="8">
        <v>197.596</v>
      </c>
      <c r="W2135" s="8">
        <v>146.768</v>
      </c>
      <c r="X2135" s="8">
        <v>93.686000000000007</v>
      </c>
      <c r="Y2135" s="8">
        <v>45.968000000000004</v>
      </c>
      <c r="Z2135" s="8">
        <v>15.406000000000001</v>
      </c>
      <c r="AA2135" s="8">
        <v>2.6909999999999998</v>
      </c>
      <c r="AB2135" s="8">
        <v>0.36799999999999999</v>
      </c>
      <c r="AC2135" s="8">
        <v>0.03</v>
      </c>
    </row>
    <row r="2136" spans="1:29" ht="11.65" hidden="1" x14ac:dyDescent="0.35">
      <c r="A2136" s="12">
        <v>2119</v>
      </c>
      <c r="B2136" s="10" t="s">
        <v>1015</v>
      </c>
      <c r="C2136" s="11" t="s">
        <v>1165</v>
      </c>
      <c r="D2136" s="9"/>
      <c r="E2136" s="9">
        <v>608</v>
      </c>
      <c r="F2136" s="10" t="s">
        <v>1066</v>
      </c>
      <c r="G2136" s="9">
        <v>920</v>
      </c>
      <c r="H2136" s="9">
        <v>1965</v>
      </c>
      <c r="I2136" s="8">
        <v>2731.5650000000001</v>
      </c>
      <c r="J2136" s="8">
        <v>2368.5340000000001</v>
      </c>
      <c r="K2136" s="8">
        <v>2062.8240000000001</v>
      </c>
      <c r="L2136" s="8">
        <v>1480.4749999999999</v>
      </c>
      <c r="M2136" s="8">
        <v>1233.5119999999999</v>
      </c>
      <c r="N2136" s="8">
        <v>1037.2429999999999</v>
      </c>
      <c r="O2136" s="8">
        <v>861.07299999999998</v>
      </c>
      <c r="P2136" s="8">
        <v>684.11500000000001</v>
      </c>
      <c r="Q2136" s="8">
        <v>634.39200000000005</v>
      </c>
      <c r="R2136" s="8">
        <v>533.32399999999996</v>
      </c>
      <c r="S2136" s="8">
        <v>475.55399999999997</v>
      </c>
      <c r="T2136" s="8">
        <v>383.43599999999998</v>
      </c>
      <c r="U2136" s="8">
        <v>270.149</v>
      </c>
      <c r="V2136" s="8">
        <v>206.767</v>
      </c>
      <c r="W2136" s="8">
        <v>157.298</v>
      </c>
      <c r="X2136" s="8">
        <v>101.65900000000001</v>
      </c>
      <c r="Y2136" s="8">
        <v>52.12</v>
      </c>
      <c r="Z2136" s="8">
        <v>16.79</v>
      </c>
      <c r="AA2136" s="8">
        <v>3.5390000000000001</v>
      </c>
      <c r="AB2136" s="8">
        <v>0.34300000000000003</v>
      </c>
      <c r="AC2136" s="8">
        <v>2.5999999999999999E-2</v>
      </c>
    </row>
    <row r="2137" spans="1:29" ht="11.65" hidden="1" x14ac:dyDescent="0.35">
      <c r="A2137" s="12">
        <v>2120</v>
      </c>
      <c r="B2137" s="10" t="s">
        <v>1015</v>
      </c>
      <c r="C2137" s="11" t="s">
        <v>1165</v>
      </c>
      <c r="D2137" s="9"/>
      <c r="E2137" s="9">
        <v>608</v>
      </c>
      <c r="F2137" s="10" t="s">
        <v>1066</v>
      </c>
      <c r="G2137" s="9">
        <v>920</v>
      </c>
      <c r="H2137" s="9">
        <v>1970</v>
      </c>
      <c r="I2137" s="8">
        <v>3023.252</v>
      </c>
      <c r="J2137" s="8">
        <v>2672.0970000000002</v>
      </c>
      <c r="K2137" s="8">
        <v>2342.6709999999998</v>
      </c>
      <c r="L2137" s="8">
        <v>2030.163</v>
      </c>
      <c r="M2137" s="8">
        <v>1436.97</v>
      </c>
      <c r="N2137" s="8">
        <v>1191.318</v>
      </c>
      <c r="O2137" s="8">
        <v>1001.67</v>
      </c>
      <c r="P2137" s="8">
        <v>831.37300000000005</v>
      </c>
      <c r="Q2137" s="8">
        <v>659.23800000000006</v>
      </c>
      <c r="R2137" s="8">
        <v>609.43399999999997</v>
      </c>
      <c r="S2137" s="8">
        <v>507.51600000000002</v>
      </c>
      <c r="T2137" s="8">
        <v>445.363</v>
      </c>
      <c r="U2137" s="8">
        <v>349.03100000000001</v>
      </c>
      <c r="V2137" s="8">
        <v>234.12899999999999</v>
      </c>
      <c r="W2137" s="8">
        <v>165.32300000000001</v>
      </c>
      <c r="X2137" s="8">
        <v>109.928</v>
      </c>
      <c r="Y2137" s="8">
        <v>56.93</v>
      </c>
      <c r="Z2137" s="8">
        <v>19.361000000000001</v>
      </c>
      <c r="AA2137" s="8">
        <v>3.92</v>
      </c>
      <c r="AB2137" s="8">
        <v>0.45800000000000002</v>
      </c>
      <c r="AC2137" s="8">
        <v>2.5000000000000001E-2</v>
      </c>
    </row>
    <row r="2138" spans="1:29" ht="11.65" hidden="1" x14ac:dyDescent="0.35">
      <c r="A2138" s="12">
        <v>2121</v>
      </c>
      <c r="B2138" s="10" t="s">
        <v>1015</v>
      </c>
      <c r="C2138" s="11" t="s">
        <v>1165</v>
      </c>
      <c r="D2138" s="9"/>
      <c r="E2138" s="9">
        <v>608</v>
      </c>
      <c r="F2138" s="10" t="s">
        <v>1066</v>
      </c>
      <c r="G2138" s="9">
        <v>920</v>
      </c>
      <c r="H2138" s="9">
        <v>1975</v>
      </c>
      <c r="I2138" s="8">
        <v>3347.433</v>
      </c>
      <c r="J2138" s="8">
        <v>2969.4259999999999</v>
      </c>
      <c r="K2138" s="8">
        <v>2646.6219999999998</v>
      </c>
      <c r="L2138" s="8">
        <v>2311.3879999999999</v>
      </c>
      <c r="M2138" s="8">
        <v>1985.212</v>
      </c>
      <c r="N2138" s="8">
        <v>1396.422</v>
      </c>
      <c r="O2138" s="8">
        <v>1156.7090000000001</v>
      </c>
      <c r="P2138" s="8">
        <v>971.73599999999999</v>
      </c>
      <c r="Q2138" s="8">
        <v>804.71</v>
      </c>
      <c r="R2138" s="8">
        <v>634.89700000000005</v>
      </c>
      <c r="S2138" s="8">
        <v>581.53800000000001</v>
      </c>
      <c r="T2138" s="8">
        <v>476.55799999999999</v>
      </c>
      <c r="U2138" s="8">
        <v>406.90800000000002</v>
      </c>
      <c r="V2138" s="8">
        <v>304.06099999999998</v>
      </c>
      <c r="W2138" s="8">
        <v>188.71100000000001</v>
      </c>
      <c r="X2138" s="8">
        <v>117.056</v>
      </c>
      <c r="Y2138" s="8">
        <v>62.454000000000001</v>
      </c>
      <c r="Z2138" s="8">
        <v>21.795999999999999</v>
      </c>
      <c r="AA2138" s="8">
        <v>4.7069999999999999</v>
      </c>
      <c r="AB2138" s="8">
        <v>0.53400000000000003</v>
      </c>
      <c r="AC2138" s="8">
        <v>3.4000000000000002E-2</v>
      </c>
    </row>
    <row r="2139" spans="1:29" ht="11.65" hidden="1" x14ac:dyDescent="0.35">
      <c r="A2139" s="12">
        <v>2122</v>
      </c>
      <c r="B2139" s="10" t="s">
        <v>1015</v>
      </c>
      <c r="C2139" s="11" t="s">
        <v>1165</v>
      </c>
      <c r="D2139" s="9"/>
      <c r="E2139" s="9">
        <v>608</v>
      </c>
      <c r="F2139" s="10" t="s">
        <v>1066</v>
      </c>
      <c r="G2139" s="9">
        <v>920</v>
      </c>
      <c r="H2139" s="9">
        <v>1980</v>
      </c>
      <c r="I2139" s="8">
        <v>3747.5169999999998</v>
      </c>
      <c r="J2139" s="8">
        <v>3288.9169999999999</v>
      </c>
      <c r="K2139" s="8">
        <v>2943.3939999999998</v>
      </c>
      <c r="L2139" s="8">
        <v>2610.8809999999999</v>
      </c>
      <c r="M2139" s="8">
        <v>2258.4639999999999</v>
      </c>
      <c r="N2139" s="8">
        <v>1932.789</v>
      </c>
      <c r="O2139" s="8">
        <v>1355.3579999999999</v>
      </c>
      <c r="P2139" s="8">
        <v>1121.895</v>
      </c>
      <c r="Q2139" s="8">
        <v>940.79100000000005</v>
      </c>
      <c r="R2139" s="8">
        <v>775.55200000000002</v>
      </c>
      <c r="S2139" s="8">
        <v>605.91600000000005</v>
      </c>
      <c r="T2139" s="8">
        <v>546.78499999999997</v>
      </c>
      <c r="U2139" s="8">
        <v>436.34500000000003</v>
      </c>
      <c r="V2139" s="8">
        <v>355.791</v>
      </c>
      <c r="W2139" s="8">
        <v>246.80799999999999</v>
      </c>
      <c r="X2139" s="8">
        <v>135.20400000000001</v>
      </c>
      <c r="Y2139" s="8">
        <v>67.290999999999997</v>
      </c>
      <c r="Z2139" s="8">
        <v>24.689</v>
      </c>
      <c r="AA2139" s="8">
        <v>5.5460000000000003</v>
      </c>
      <c r="AB2139" s="8">
        <v>0.68200000000000005</v>
      </c>
      <c r="AC2139" s="8">
        <v>4.2999999999999997E-2</v>
      </c>
    </row>
    <row r="2140" spans="1:29" ht="11.65" hidden="1" x14ac:dyDescent="0.35">
      <c r="A2140" s="12">
        <v>2123</v>
      </c>
      <c r="B2140" s="10" t="s">
        <v>1015</v>
      </c>
      <c r="C2140" s="11" t="s">
        <v>1165</v>
      </c>
      <c r="D2140" s="9"/>
      <c r="E2140" s="9">
        <v>608</v>
      </c>
      <c r="F2140" s="10" t="s">
        <v>1066</v>
      </c>
      <c r="G2140" s="9">
        <v>920</v>
      </c>
      <c r="H2140" s="9">
        <v>1985</v>
      </c>
      <c r="I2140" s="8">
        <v>4150.9889999999996</v>
      </c>
      <c r="J2140" s="8">
        <v>3694.826</v>
      </c>
      <c r="K2140" s="8">
        <v>3265.9290000000001</v>
      </c>
      <c r="L2140" s="8">
        <v>2916.7429999999999</v>
      </c>
      <c r="M2140" s="8">
        <v>2573.067</v>
      </c>
      <c r="N2140" s="8">
        <v>2219.8249999999998</v>
      </c>
      <c r="O2140" s="8">
        <v>1897.01</v>
      </c>
      <c r="P2140" s="8">
        <v>1325.9690000000001</v>
      </c>
      <c r="Q2140" s="8">
        <v>1093.8599999999999</v>
      </c>
      <c r="R2140" s="8">
        <v>912.15200000000004</v>
      </c>
      <c r="S2140" s="8">
        <v>744.29100000000005</v>
      </c>
      <c r="T2140" s="8">
        <v>572.50599999999997</v>
      </c>
      <c r="U2140" s="8">
        <v>503.43799999999999</v>
      </c>
      <c r="V2140" s="8">
        <v>383.81599999999997</v>
      </c>
      <c r="W2140" s="8">
        <v>291.03800000000001</v>
      </c>
      <c r="X2140" s="8">
        <v>178.715</v>
      </c>
      <c r="Y2140" s="8">
        <v>78.626000000000005</v>
      </c>
      <c r="Z2140" s="8">
        <v>26.523</v>
      </c>
      <c r="AA2140" s="8">
        <v>6.2240000000000002</v>
      </c>
      <c r="AB2140" s="8">
        <v>0.78700000000000003</v>
      </c>
      <c r="AC2140" s="8">
        <v>5.2999999999999999E-2</v>
      </c>
    </row>
    <row r="2141" spans="1:29" ht="11.65" hidden="1" x14ac:dyDescent="0.35">
      <c r="A2141" s="12">
        <v>2124</v>
      </c>
      <c r="B2141" s="10" t="s">
        <v>1015</v>
      </c>
      <c r="C2141" s="11" t="s">
        <v>1165</v>
      </c>
      <c r="D2141" s="9"/>
      <c r="E2141" s="9">
        <v>608</v>
      </c>
      <c r="F2141" s="10" t="s">
        <v>1066</v>
      </c>
      <c r="G2141" s="9">
        <v>920</v>
      </c>
      <c r="H2141" s="9">
        <v>1990</v>
      </c>
      <c r="I2141" s="8">
        <v>4608.7700000000004</v>
      </c>
      <c r="J2141" s="8">
        <v>4108.4260000000004</v>
      </c>
      <c r="K2141" s="8">
        <v>3671.3910000000001</v>
      </c>
      <c r="L2141" s="8">
        <v>3233.6</v>
      </c>
      <c r="M2141" s="8">
        <v>2868.63</v>
      </c>
      <c r="N2141" s="8">
        <v>2524.3690000000001</v>
      </c>
      <c r="O2141" s="8">
        <v>2176.116</v>
      </c>
      <c r="P2141" s="8">
        <v>1856.587</v>
      </c>
      <c r="Q2141" s="8">
        <v>1292.4680000000001</v>
      </c>
      <c r="R2141" s="8">
        <v>1060.5740000000001</v>
      </c>
      <c r="S2141" s="8">
        <v>875.875</v>
      </c>
      <c r="T2141" s="8">
        <v>704.19100000000003</v>
      </c>
      <c r="U2141" s="8">
        <v>528.21500000000003</v>
      </c>
      <c r="V2141" s="8">
        <v>444.37299999999999</v>
      </c>
      <c r="W2141" s="8">
        <v>315.82799999999997</v>
      </c>
      <c r="X2141" s="8">
        <v>212.87200000000001</v>
      </c>
      <c r="Y2141" s="8">
        <v>105.02800000000001</v>
      </c>
      <c r="Z2141" s="8">
        <v>32.040999999999997</v>
      </c>
      <c r="AA2141" s="8">
        <v>6.9470000000000001</v>
      </c>
      <c r="AB2141" s="8">
        <v>0.92400000000000004</v>
      </c>
      <c r="AC2141" s="8">
        <v>6.4000000000000001E-2</v>
      </c>
    </row>
    <row r="2142" spans="1:29" ht="11.65" hidden="1" x14ac:dyDescent="0.35">
      <c r="A2142" s="12">
        <v>2125</v>
      </c>
      <c r="B2142" s="10" t="s">
        <v>1015</v>
      </c>
      <c r="C2142" s="11" t="s">
        <v>1165</v>
      </c>
      <c r="D2142" s="9"/>
      <c r="E2142" s="9">
        <v>608</v>
      </c>
      <c r="F2142" s="10" t="s">
        <v>1066</v>
      </c>
      <c r="G2142" s="9">
        <v>920</v>
      </c>
      <c r="H2142" s="9">
        <v>1995</v>
      </c>
      <c r="I2142" s="8">
        <v>4908.5749999999998</v>
      </c>
      <c r="J2142" s="8">
        <v>4566.3450000000003</v>
      </c>
      <c r="K2142" s="8">
        <v>4084.9090000000001</v>
      </c>
      <c r="L2142" s="8">
        <v>3630.665</v>
      </c>
      <c r="M2142" s="8">
        <v>3170.944</v>
      </c>
      <c r="N2142" s="8">
        <v>2806.357</v>
      </c>
      <c r="O2142" s="8">
        <v>2470.145</v>
      </c>
      <c r="P2142" s="8">
        <v>2127.7910000000002</v>
      </c>
      <c r="Q2142" s="8">
        <v>1811.232</v>
      </c>
      <c r="R2142" s="8">
        <v>1253.27</v>
      </c>
      <c r="S2142" s="8">
        <v>1018.943</v>
      </c>
      <c r="T2142" s="8">
        <v>829.89400000000001</v>
      </c>
      <c r="U2142" s="8">
        <v>651.46900000000005</v>
      </c>
      <c r="V2142" s="8">
        <v>467.964</v>
      </c>
      <c r="W2142" s="8">
        <v>368.065</v>
      </c>
      <c r="X2142" s="8">
        <v>233.45500000000001</v>
      </c>
      <c r="Y2142" s="8">
        <v>126.509</v>
      </c>
      <c r="Z2142" s="8">
        <v>45.923999999999999</v>
      </c>
      <c r="AA2142" s="8">
        <v>9.1519999999999992</v>
      </c>
      <c r="AB2142" s="8">
        <v>1.1419999999999999</v>
      </c>
      <c r="AC2142" s="8">
        <v>8.3000000000000004E-2</v>
      </c>
    </row>
    <row r="2143" spans="1:29" ht="11.65" hidden="1" x14ac:dyDescent="0.35">
      <c r="A2143" s="12">
        <v>2126</v>
      </c>
      <c r="B2143" s="10" t="s">
        <v>1015</v>
      </c>
      <c r="C2143" s="11" t="s">
        <v>1165</v>
      </c>
      <c r="D2143" s="9"/>
      <c r="E2143" s="9">
        <v>608</v>
      </c>
      <c r="F2143" s="10" t="s">
        <v>1066</v>
      </c>
      <c r="G2143" s="9">
        <v>920</v>
      </c>
      <c r="H2143" s="9">
        <v>2000</v>
      </c>
      <c r="I2143" s="8">
        <v>5243.2240000000002</v>
      </c>
      <c r="J2143" s="8">
        <v>4868.5640000000003</v>
      </c>
      <c r="K2143" s="8">
        <v>4541.0910000000003</v>
      </c>
      <c r="L2143" s="8">
        <v>4031.3919999999998</v>
      </c>
      <c r="M2143" s="8">
        <v>3545.183</v>
      </c>
      <c r="N2143" s="8">
        <v>3088.0160000000001</v>
      </c>
      <c r="O2143" s="8">
        <v>2737.1039999999998</v>
      </c>
      <c r="P2143" s="8">
        <v>2411.1</v>
      </c>
      <c r="Q2143" s="8">
        <v>2074.5250000000001</v>
      </c>
      <c r="R2143" s="8">
        <v>1758.8019999999999</v>
      </c>
      <c r="S2143" s="8">
        <v>1205.412</v>
      </c>
      <c r="T2143" s="8">
        <v>967.654</v>
      </c>
      <c r="U2143" s="8">
        <v>770.94899999999996</v>
      </c>
      <c r="V2143" s="8">
        <v>581.16</v>
      </c>
      <c r="W2143" s="8">
        <v>391.84800000000001</v>
      </c>
      <c r="X2143" s="8">
        <v>277.053</v>
      </c>
      <c r="Y2143" s="8">
        <v>142.61699999999999</v>
      </c>
      <c r="Z2143" s="8">
        <v>59.116</v>
      </c>
      <c r="AA2143" s="8">
        <v>14.316000000000001</v>
      </c>
      <c r="AB2143" s="8">
        <v>1.681</v>
      </c>
      <c r="AC2143" s="8">
        <v>0.11600000000000001</v>
      </c>
    </row>
    <row r="2144" spans="1:29" ht="11.65" hidden="1" x14ac:dyDescent="0.35">
      <c r="A2144" s="12">
        <v>2127</v>
      </c>
      <c r="B2144" s="10" t="s">
        <v>1015</v>
      </c>
      <c r="C2144" s="11" t="s">
        <v>1165</v>
      </c>
      <c r="D2144" s="9"/>
      <c r="E2144" s="9">
        <v>608</v>
      </c>
      <c r="F2144" s="10" t="s">
        <v>1066</v>
      </c>
      <c r="G2144" s="9">
        <v>920</v>
      </c>
      <c r="H2144" s="9">
        <v>2005</v>
      </c>
      <c r="I2144" s="8">
        <v>5574.7719999999999</v>
      </c>
      <c r="J2144" s="8">
        <v>5203.0609999999997</v>
      </c>
      <c r="K2144" s="8">
        <v>4841.1390000000001</v>
      </c>
      <c r="L2144" s="8">
        <v>4469.7169999999996</v>
      </c>
      <c r="M2144" s="8">
        <v>3914.6309999999999</v>
      </c>
      <c r="N2144" s="8">
        <v>3433.1239999999998</v>
      </c>
      <c r="O2144" s="8">
        <v>2997.652</v>
      </c>
      <c r="P2144" s="8">
        <v>2663.43</v>
      </c>
      <c r="Q2144" s="8">
        <v>2346.817</v>
      </c>
      <c r="R2144" s="8">
        <v>2012.9110000000001</v>
      </c>
      <c r="S2144" s="8">
        <v>1693.5820000000001</v>
      </c>
      <c r="T2144" s="8">
        <v>1145.5909999999999</v>
      </c>
      <c r="U2144" s="8">
        <v>900.596</v>
      </c>
      <c r="V2144" s="8">
        <v>690.15300000000002</v>
      </c>
      <c r="W2144" s="8">
        <v>489.93099999999998</v>
      </c>
      <c r="X2144" s="8">
        <v>298.31099999999998</v>
      </c>
      <c r="Y2144" s="8">
        <v>171.79300000000001</v>
      </c>
      <c r="Z2144" s="8">
        <v>69.748999999999995</v>
      </c>
      <c r="AA2144" s="8">
        <v>19.600999999999999</v>
      </c>
      <c r="AB2144" s="8">
        <v>2.8519999999999999</v>
      </c>
      <c r="AC2144" s="8">
        <v>0.186</v>
      </c>
    </row>
    <row r="2145" spans="1:29" ht="11.65" hidden="1" x14ac:dyDescent="0.35">
      <c r="A2145" s="12">
        <v>2128</v>
      </c>
      <c r="B2145" s="10" t="s">
        <v>1015</v>
      </c>
      <c r="C2145" s="11" t="s">
        <v>1165</v>
      </c>
      <c r="D2145" s="9"/>
      <c r="E2145" s="9">
        <v>608</v>
      </c>
      <c r="F2145" s="10" t="s">
        <v>1066</v>
      </c>
      <c r="G2145" s="9">
        <v>920</v>
      </c>
      <c r="H2145" s="9">
        <v>2010</v>
      </c>
      <c r="I2145" s="8">
        <v>5377.3909999999996</v>
      </c>
      <c r="J2145" s="8">
        <v>5113.09</v>
      </c>
      <c r="K2145" s="8">
        <v>5020.1080000000002</v>
      </c>
      <c r="L2145" s="8">
        <v>4808.5050000000001</v>
      </c>
      <c r="M2145" s="8">
        <v>4208.1769999999997</v>
      </c>
      <c r="N2145" s="8">
        <v>3723.9290000000001</v>
      </c>
      <c r="O2145" s="8">
        <v>3364.2449999999999</v>
      </c>
      <c r="P2145" s="8">
        <v>2990.6909999999998</v>
      </c>
      <c r="Q2145" s="8">
        <v>2712.7089999999998</v>
      </c>
      <c r="R2145" s="8">
        <v>2334.165</v>
      </c>
      <c r="S2145" s="8">
        <v>1961.076</v>
      </c>
      <c r="T2145" s="8">
        <v>1542.2719999999999</v>
      </c>
      <c r="U2145" s="8">
        <v>1163.884</v>
      </c>
      <c r="V2145" s="8">
        <v>826.54399999999998</v>
      </c>
      <c r="W2145" s="8">
        <v>653.24900000000002</v>
      </c>
      <c r="X2145" s="8">
        <v>425.72699999999998</v>
      </c>
      <c r="Y2145" s="8">
        <v>219.648</v>
      </c>
      <c r="Z2145" s="8">
        <v>92.1</v>
      </c>
      <c r="AA2145" s="8">
        <v>26.454000000000001</v>
      </c>
      <c r="AB2145" s="8">
        <v>4.7169999999999996</v>
      </c>
      <c r="AC2145" s="8">
        <v>0.39700000000000002</v>
      </c>
    </row>
    <row r="2146" spans="1:29" ht="11.65" hidden="1" x14ac:dyDescent="0.35">
      <c r="A2146" s="12">
        <v>2129</v>
      </c>
      <c r="B2146" s="10" t="s">
        <v>1015</v>
      </c>
      <c r="C2146" s="11" t="s">
        <v>1165</v>
      </c>
      <c r="D2146" s="9"/>
      <c r="E2146" s="9">
        <v>608</v>
      </c>
      <c r="F2146" s="10" t="s">
        <v>1066</v>
      </c>
      <c r="G2146" s="9">
        <v>920</v>
      </c>
      <c r="H2146" s="9">
        <v>2015</v>
      </c>
      <c r="I2146" s="8">
        <v>5587.8779999999997</v>
      </c>
      <c r="J2146" s="8">
        <v>5345.8019999999997</v>
      </c>
      <c r="K2146" s="8">
        <v>5094.0749999999998</v>
      </c>
      <c r="L2146" s="8">
        <v>4976.4210000000003</v>
      </c>
      <c r="M2146" s="8">
        <v>4735.866</v>
      </c>
      <c r="N2146" s="8">
        <v>4135.1390000000001</v>
      </c>
      <c r="O2146" s="8">
        <v>3659.9319999999998</v>
      </c>
      <c r="P2146" s="8">
        <v>3305.6550000000002</v>
      </c>
      <c r="Q2146" s="8">
        <v>2933.0520000000001</v>
      </c>
      <c r="R2146" s="8">
        <v>2648.848</v>
      </c>
      <c r="S2146" s="8">
        <v>2260.136</v>
      </c>
      <c r="T2146" s="8">
        <v>1876.0719999999999</v>
      </c>
      <c r="U2146" s="8">
        <v>1446.252</v>
      </c>
      <c r="V2146" s="8">
        <v>1052.0889999999999</v>
      </c>
      <c r="W2146" s="8">
        <v>707.42499999999995</v>
      </c>
      <c r="X2146" s="8">
        <v>509.11900000000003</v>
      </c>
      <c r="Y2146" s="8">
        <v>272.30599999999998</v>
      </c>
      <c r="Z2146" s="8">
        <v>129.471</v>
      </c>
      <c r="AA2146" s="8">
        <v>40.247</v>
      </c>
      <c r="AB2146" s="8">
        <v>7.7960000000000003</v>
      </c>
      <c r="AC2146" s="8">
        <v>0.86499999999999999</v>
      </c>
    </row>
    <row r="2147" spans="1:29" ht="11.65" hidden="1" x14ac:dyDescent="0.35">
      <c r="A2147" s="12">
        <v>2130</v>
      </c>
      <c r="B2147" s="10" t="s">
        <v>1015</v>
      </c>
      <c r="C2147" s="11" t="s">
        <v>1165</v>
      </c>
      <c r="D2147" s="9"/>
      <c r="E2147" s="9">
        <v>608</v>
      </c>
      <c r="F2147" s="10" t="s">
        <v>1066</v>
      </c>
      <c r="G2147" s="9">
        <v>920</v>
      </c>
      <c r="H2147" s="9">
        <v>2020</v>
      </c>
      <c r="I2147" s="8">
        <v>5165.7089999999998</v>
      </c>
      <c r="J2147" s="8">
        <v>5551.88</v>
      </c>
      <c r="K2147" s="8">
        <v>5328.55</v>
      </c>
      <c r="L2147" s="8">
        <v>5055.2349999999997</v>
      </c>
      <c r="M2147" s="8">
        <v>4912.5789999999997</v>
      </c>
      <c r="N2147" s="8">
        <v>4672.1689999999999</v>
      </c>
      <c r="O2147" s="8">
        <v>4080.4189999999999</v>
      </c>
      <c r="P2147" s="8">
        <v>3610.181</v>
      </c>
      <c r="Q2147" s="8">
        <v>3254.6219999999998</v>
      </c>
      <c r="R2147" s="8">
        <v>2875.5419999999999</v>
      </c>
      <c r="S2147" s="8">
        <v>2578.0540000000001</v>
      </c>
      <c r="T2147" s="8">
        <v>2174.0610000000001</v>
      </c>
      <c r="U2147" s="8">
        <v>1778.415</v>
      </c>
      <c r="V2147" s="8">
        <v>1348.6679999999999</v>
      </c>
      <c r="W2147" s="8">
        <v>951.81299999999999</v>
      </c>
      <c r="X2147" s="8">
        <v>597.11</v>
      </c>
      <c r="Y2147" s="8">
        <v>378.173</v>
      </c>
      <c r="Z2147" s="8">
        <v>165.69800000000001</v>
      </c>
      <c r="AA2147" s="8">
        <v>59.191000000000003</v>
      </c>
      <c r="AB2147" s="8">
        <v>12.613</v>
      </c>
      <c r="AC2147" s="8">
        <v>1.5780000000000001</v>
      </c>
    </row>
    <row r="2148" spans="1:29" ht="11.65" hidden="1" x14ac:dyDescent="0.35">
      <c r="A2148" s="12">
        <v>2131</v>
      </c>
      <c r="B2148" s="10" t="s">
        <v>1015</v>
      </c>
      <c r="C2148" s="11" t="s">
        <v>1166</v>
      </c>
      <c r="D2148" s="9"/>
      <c r="E2148" s="9">
        <v>702</v>
      </c>
      <c r="F2148" s="10" t="s">
        <v>1066</v>
      </c>
      <c r="G2148" s="9">
        <v>920</v>
      </c>
      <c r="H2148" s="9">
        <v>1950</v>
      </c>
      <c r="I2148" s="8">
        <v>79.599999999999994</v>
      </c>
      <c r="J2148" s="8">
        <v>64.8</v>
      </c>
      <c r="K2148" s="8">
        <v>59.5</v>
      </c>
      <c r="L2148" s="8">
        <v>48.7</v>
      </c>
      <c r="M2148" s="8">
        <v>40.5</v>
      </c>
      <c r="N2148" s="8">
        <v>37.298999999999999</v>
      </c>
      <c r="O2148" s="8">
        <v>35.901000000000003</v>
      </c>
      <c r="P2148" s="8">
        <v>31.199000000000002</v>
      </c>
      <c r="Q2148" s="8">
        <v>26.4</v>
      </c>
      <c r="R2148" s="8">
        <v>20.399000000000001</v>
      </c>
      <c r="S2148" s="8">
        <v>15.997999999999999</v>
      </c>
      <c r="T2148" s="8">
        <v>9.6</v>
      </c>
      <c r="U2148" s="8">
        <v>7.7990000000000004</v>
      </c>
      <c r="V2148" s="8">
        <v>6.2</v>
      </c>
      <c r="W2148" s="8">
        <v>3.4990000000000001</v>
      </c>
      <c r="X2148" s="8">
        <v>2.7</v>
      </c>
      <c r="Y2148" s="8">
        <v>1.792</v>
      </c>
      <c r="Z2148" s="8">
        <v>0.69799999999999995</v>
      </c>
      <c r="AA2148" s="8">
        <v>0.17699999999999999</v>
      </c>
      <c r="AB2148" s="8">
        <v>2.7E-2</v>
      </c>
      <c r="AC2148" s="8">
        <v>3.0000000000000001E-3</v>
      </c>
    </row>
    <row r="2149" spans="1:29" ht="11.65" hidden="1" x14ac:dyDescent="0.35">
      <c r="A2149" s="12">
        <v>2132</v>
      </c>
      <c r="B2149" s="10" t="s">
        <v>1015</v>
      </c>
      <c r="C2149" s="11" t="s">
        <v>1166</v>
      </c>
      <c r="D2149" s="9"/>
      <c r="E2149" s="9">
        <v>702</v>
      </c>
      <c r="F2149" s="10" t="s">
        <v>1066</v>
      </c>
      <c r="G2149" s="9">
        <v>920</v>
      </c>
      <c r="H2149" s="9">
        <v>1955</v>
      </c>
      <c r="I2149" s="8">
        <v>113.691</v>
      </c>
      <c r="J2149" s="8">
        <v>81.28</v>
      </c>
      <c r="K2149" s="8">
        <v>67.628</v>
      </c>
      <c r="L2149" s="8">
        <v>62.203000000000003</v>
      </c>
      <c r="M2149" s="8">
        <v>52.301000000000002</v>
      </c>
      <c r="N2149" s="8">
        <v>43.9</v>
      </c>
      <c r="O2149" s="8">
        <v>39.402000000000001</v>
      </c>
      <c r="P2149" s="8">
        <v>37.301000000000002</v>
      </c>
      <c r="Q2149" s="8">
        <v>31.899000000000001</v>
      </c>
      <c r="R2149" s="8">
        <v>26.9</v>
      </c>
      <c r="S2149" s="8">
        <v>20.100000000000001</v>
      </c>
      <c r="T2149" s="8">
        <v>15.502000000000001</v>
      </c>
      <c r="U2149" s="8">
        <v>9.1</v>
      </c>
      <c r="V2149" s="8">
        <v>7.1</v>
      </c>
      <c r="W2149" s="8">
        <v>4.3</v>
      </c>
      <c r="X2149" s="8">
        <v>3.0990000000000002</v>
      </c>
      <c r="Y2149" s="8">
        <v>1.9239999999999999</v>
      </c>
      <c r="Z2149" s="8">
        <v>0.78400000000000003</v>
      </c>
      <c r="AA2149" s="8">
        <v>0.193</v>
      </c>
      <c r="AB2149" s="8">
        <v>2.8000000000000001E-2</v>
      </c>
      <c r="AC2149" s="8">
        <v>2E-3</v>
      </c>
    </row>
    <row r="2150" spans="1:29" ht="11.65" hidden="1" x14ac:dyDescent="0.35">
      <c r="A2150" s="12">
        <v>2133</v>
      </c>
      <c r="B2150" s="10" t="s">
        <v>1015</v>
      </c>
      <c r="C2150" s="11" t="s">
        <v>1166</v>
      </c>
      <c r="D2150" s="9"/>
      <c r="E2150" s="9">
        <v>702</v>
      </c>
      <c r="F2150" s="10" t="s">
        <v>1066</v>
      </c>
      <c r="G2150" s="9">
        <v>920</v>
      </c>
      <c r="H2150" s="9">
        <v>1960</v>
      </c>
      <c r="I2150" s="8">
        <v>146.196</v>
      </c>
      <c r="J2150" s="8">
        <v>113.38800000000001</v>
      </c>
      <c r="K2150" s="8">
        <v>82.513999999999996</v>
      </c>
      <c r="L2150" s="8">
        <v>70.525000000000006</v>
      </c>
      <c r="M2150" s="8">
        <v>66.704999999999998</v>
      </c>
      <c r="N2150" s="8">
        <v>56.600999999999999</v>
      </c>
      <c r="O2150" s="8">
        <v>46.6</v>
      </c>
      <c r="P2150" s="8">
        <v>40.600999999999999</v>
      </c>
      <c r="Q2150" s="8">
        <v>37.801000000000002</v>
      </c>
      <c r="R2150" s="8">
        <v>31.9</v>
      </c>
      <c r="S2150" s="8">
        <v>26.100999999999999</v>
      </c>
      <c r="T2150" s="8">
        <v>19.202000000000002</v>
      </c>
      <c r="U2150" s="8">
        <v>14.500999999999999</v>
      </c>
      <c r="V2150" s="8">
        <v>8.1</v>
      </c>
      <c r="W2150" s="8">
        <v>5.2009999999999996</v>
      </c>
      <c r="X2150" s="8">
        <v>3.6019999999999999</v>
      </c>
      <c r="Y2150" s="8">
        <v>2.0609999999999999</v>
      </c>
      <c r="Z2150" s="8">
        <v>0.92300000000000004</v>
      </c>
      <c r="AA2150" s="8">
        <v>0.25</v>
      </c>
      <c r="AB2150" s="8">
        <v>3.5999999999999997E-2</v>
      </c>
      <c r="AC2150" s="8">
        <v>3.0000000000000001E-3</v>
      </c>
    </row>
    <row r="2151" spans="1:29" ht="11.65" hidden="1" x14ac:dyDescent="0.35">
      <c r="A2151" s="12">
        <v>2134</v>
      </c>
      <c r="B2151" s="10" t="s">
        <v>1015</v>
      </c>
      <c r="C2151" s="11" t="s">
        <v>1166</v>
      </c>
      <c r="D2151" s="9"/>
      <c r="E2151" s="9">
        <v>702</v>
      </c>
      <c r="F2151" s="10" t="s">
        <v>1066</v>
      </c>
      <c r="G2151" s="9">
        <v>920</v>
      </c>
      <c r="H2151" s="9">
        <v>1965</v>
      </c>
      <c r="I2151" s="8">
        <v>136.93</v>
      </c>
      <c r="J2151" s="8">
        <v>143.84899999999999</v>
      </c>
      <c r="K2151" s="8">
        <v>117.245</v>
      </c>
      <c r="L2151" s="8">
        <v>93.111000000000004</v>
      </c>
      <c r="M2151" s="8">
        <v>69.525999999999996</v>
      </c>
      <c r="N2151" s="8">
        <v>68.504999999999995</v>
      </c>
      <c r="O2151" s="8">
        <v>54.999000000000002</v>
      </c>
      <c r="P2151" s="8">
        <v>46.901000000000003</v>
      </c>
      <c r="Q2151" s="8">
        <v>38.302</v>
      </c>
      <c r="R2151" s="8">
        <v>34.398000000000003</v>
      </c>
      <c r="S2151" s="8">
        <v>31.701000000000001</v>
      </c>
      <c r="T2151" s="8">
        <v>25.600999999999999</v>
      </c>
      <c r="U2151" s="8">
        <v>18.899999999999999</v>
      </c>
      <c r="V2151" s="8">
        <v>12.699</v>
      </c>
      <c r="W2151" s="8">
        <v>7.4989999999999997</v>
      </c>
      <c r="X2151" s="8">
        <v>5.101</v>
      </c>
      <c r="Y2151" s="8">
        <v>2.9710000000000001</v>
      </c>
      <c r="Z2151" s="8">
        <v>0.88100000000000001</v>
      </c>
      <c r="AA2151" s="8">
        <v>0.25</v>
      </c>
      <c r="AB2151" s="8">
        <v>3.6999999999999998E-2</v>
      </c>
      <c r="AC2151" s="8">
        <v>3.0000000000000001E-3</v>
      </c>
    </row>
    <row r="2152" spans="1:29" ht="11.65" hidden="1" x14ac:dyDescent="0.35">
      <c r="A2152" s="12">
        <v>2135</v>
      </c>
      <c r="B2152" s="10" t="s">
        <v>1015</v>
      </c>
      <c r="C2152" s="11" t="s">
        <v>1166</v>
      </c>
      <c r="D2152" s="9"/>
      <c r="E2152" s="9">
        <v>702</v>
      </c>
      <c r="F2152" s="10" t="s">
        <v>1066</v>
      </c>
      <c r="G2152" s="9">
        <v>920</v>
      </c>
      <c r="H2152" s="9">
        <v>1970</v>
      </c>
      <c r="I2152" s="8">
        <v>114.36</v>
      </c>
      <c r="J2152" s="8">
        <v>136.072</v>
      </c>
      <c r="K2152" s="8">
        <v>140.303</v>
      </c>
      <c r="L2152" s="8">
        <v>119.85</v>
      </c>
      <c r="M2152" s="8">
        <v>100.611</v>
      </c>
      <c r="N2152" s="8">
        <v>66.028000000000006</v>
      </c>
      <c r="O2152" s="8">
        <v>67.903999999999996</v>
      </c>
      <c r="P2152" s="8">
        <v>54.500999999999998</v>
      </c>
      <c r="Q2152" s="8">
        <v>46.9</v>
      </c>
      <c r="R2152" s="8">
        <v>37.600999999999999</v>
      </c>
      <c r="S2152" s="8">
        <v>33.497999999999998</v>
      </c>
      <c r="T2152" s="8">
        <v>31.302</v>
      </c>
      <c r="U2152" s="8">
        <v>23.901</v>
      </c>
      <c r="V2152" s="8">
        <v>17.001000000000001</v>
      </c>
      <c r="W2152" s="8">
        <v>10.6</v>
      </c>
      <c r="X2152" s="8">
        <v>6.3019999999999996</v>
      </c>
      <c r="Y2152" s="8">
        <v>3.1760000000000002</v>
      </c>
      <c r="Z2152" s="8">
        <v>1.1950000000000001</v>
      </c>
      <c r="AA2152" s="8">
        <v>0.21</v>
      </c>
      <c r="AB2152" s="8">
        <v>0.03</v>
      </c>
      <c r="AC2152" s="8">
        <v>2E-3</v>
      </c>
    </row>
    <row r="2153" spans="1:29" ht="11.65" hidden="1" x14ac:dyDescent="0.35">
      <c r="A2153" s="12">
        <v>2136</v>
      </c>
      <c r="B2153" s="10" t="s">
        <v>1015</v>
      </c>
      <c r="C2153" s="11" t="s">
        <v>1166</v>
      </c>
      <c r="D2153" s="9"/>
      <c r="E2153" s="9">
        <v>702</v>
      </c>
      <c r="F2153" s="10" t="s">
        <v>1066</v>
      </c>
      <c r="G2153" s="9">
        <v>920</v>
      </c>
      <c r="H2153" s="9">
        <v>1975</v>
      </c>
      <c r="I2153" s="8">
        <v>108.464</v>
      </c>
      <c r="J2153" s="8">
        <v>114.285</v>
      </c>
      <c r="K2153" s="8">
        <v>137.24199999999999</v>
      </c>
      <c r="L2153" s="8">
        <v>141.702</v>
      </c>
      <c r="M2153" s="8">
        <v>121.753</v>
      </c>
      <c r="N2153" s="8">
        <v>102.012</v>
      </c>
      <c r="O2153" s="8">
        <v>66.325999999999993</v>
      </c>
      <c r="P2153" s="8">
        <v>66.403999999999996</v>
      </c>
      <c r="Q2153" s="8">
        <v>53.499000000000002</v>
      </c>
      <c r="R2153" s="8">
        <v>46</v>
      </c>
      <c r="S2153" s="8">
        <v>36.201000000000001</v>
      </c>
      <c r="T2153" s="8">
        <v>31.998999999999999</v>
      </c>
      <c r="U2153" s="8">
        <v>28.901</v>
      </c>
      <c r="V2153" s="8">
        <v>21.800999999999998</v>
      </c>
      <c r="W2153" s="8">
        <v>14.1</v>
      </c>
      <c r="X2153" s="8">
        <v>8.2989999999999995</v>
      </c>
      <c r="Y2153" s="8">
        <v>4.1470000000000002</v>
      </c>
      <c r="Z2153" s="8">
        <v>1.649</v>
      </c>
      <c r="AA2153" s="8">
        <v>0.46800000000000003</v>
      </c>
      <c r="AB2153" s="8">
        <v>5.5E-2</v>
      </c>
      <c r="AC2153" s="8">
        <v>5.0000000000000001E-3</v>
      </c>
    </row>
    <row r="2154" spans="1:29" ht="11.65" hidden="1" x14ac:dyDescent="0.35">
      <c r="A2154" s="12">
        <v>2137</v>
      </c>
      <c r="B2154" s="10" t="s">
        <v>1015</v>
      </c>
      <c r="C2154" s="11" t="s">
        <v>1166</v>
      </c>
      <c r="D2154" s="9"/>
      <c r="E2154" s="9">
        <v>702</v>
      </c>
      <c r="F2154" s="10" t="s">
        <v>1066</v>
      </c>
      <c r="G2154" s="9">
        <v>920</v>
      </c>
      <c r="H2154" s="9">
        <v>1980</v>
      </c>
      <c r="I2154" s="8">
        <v>92.738</v>
      </c>
      <c r="J2154" s="8">
        <v>107.70099999999999</v>
      </c>
      <c r="K2154" s="8">
        <v>114.69499999999999</v>
      </c>
      <c r="L2154" s="8">
        <v>138.69</v>
      </c>
      <c r="M2154" s="8">
        <v>143.434</v>
      </c>
      <c r="N2154" s="8">
        <v>123.886</v>
      </c>
      <c r="O2154" s="8">
        <v>103.739</v>
      </c>
      <c r="P2154" s="8">
        <v>66.844999999999999</v>
      </c>
      <c r="Q2154" s="8">
        <v>65.021000000000001</v>
      </c>
      <c r="R2154" s="8">
        <v>52.512</v>
      </c>
      <c r="S2154" s="8">
        <v>44.81</v>
      </c>
      <c r="T2154" s="8">
        <v>34.408000000000001</v>
      </c>
      <c r="U2154" s="8">
        <v>29.908999999999999</v>
      </c>
      <c r="V2154" s="8">
        <v>25.609000000000002</v>
      </c>
      <c r="W2154" s="8">
        <v>18.555</v>
      </c>
      <c r="X2154" s="8">
        <v>10.558</v>
      </c>
      <c r="Y2154" s="8">
        <v>5.5069999999999997</v>
      </c>
      <c r="Z2154" s="8">
        <v>2.1459999999999999</v>
      </c>
      <c r="AA2154" s="8">
        <v>0.60799999999999998</v>
      </c>
      <c r="AB2154" s="8">
        <v>0.106</v>
      </c>
      <c r="AC2154" s="8">
        <v>7.0000000000000001E-3</v>
      </c>
    </row>
    <row r="2155" spans="1:29" ht="11.65" hidden="1" x14ac:dyDescent="0.35">
      <c r="A2155" s="12">
        <v>2138</v>
      </c>
      <c r="B2155" s="10" t="s">
        <v>1015</v>
      </c>
      <c r="C2155" s="11" t="s">
        <v>1166</v>
      </c>
      <c r="D2155" s="9"/>
      <c r="E2155" s="9">
        <v>702</v>
      </c>
      <c r="F2155" s="10" t="s">
        <v>1066</v>
      </c>
      <c r="G2155" s="9">
        <v>920</v>
      </c>
      <c r="H2155" s="9">
        <v>1985</v>
      </c>
      <c r="I2155" s="8">
        <v>104.783</v>
      </c>
      <c r="J2155" s="8">
        <v>98.426000000000002</v>
      </c>
      <c r="K2155" s="8">
        <v>113.961</v>
      </c>
      <c r="L2155" s="8">
        <v>121.57</v>
      </c>
      <c r="M2155" s="8">
        <v>146.15700000000001</v>
      </c>
      <c r="N2155" s="8">
        <v>151.1</v>
      </c>
      <c r="O2155" s="8">
        <v>130.756</v>
      </c>
      <c r="P2155" s="8">
        <v>109.01300000000001</v>
      </c>
      <c r="Q2155" s="8">
        <v>70.727999999999994</v>
      </c>
      <c r="R2155" s="8">
        <v>67.804000000000002</v>
      </c>
      <c r="S2155" s="8">
        <v>54.595999999999997</v>
      </c>
      <c r="T2155" s="8">
        <v>45.9</v>
      </c>
      <c r="U2155" s="8">
        <v>34.499000000000002</v>
      </c>
      <c r="V2155" s="8">
        <v>28.702999999999999</v>
      </c>
      <c r="W2155" s="8">
        <v>23.100999999999999</v>
      </c>
      <c r="X2155" s="8">
        <v>15.497999999999999</v>
      </c>
      <c r="Y2155" s="8">
        <v>7.2089999999999996</v>
      </c>
      <c r="Z2155" s="8">
        <v>2.9209999999999998</v>
      </c>
      <c r="AA2155" s="8">
        <v>0.80300000000000005</v>
      </c>
      <c r="AB2155" s="8">
        <v>0.14000000000000001</v>
      </c>
      <c r="AC2155" s="8">
        <v>1.2999999999999999E-2</v>
      </c>
    </row>
    <row r="2156" spans="1:29" ht="11.65" hidden="1" x14ac:dyDescent="0.35">
      <c r="A2156" s="12">
        <v>2139</v>
      </c>
      <c r="B2156" s="10" t="s">
        <v>1015</v>
      </c>
      <c r="C2156" s="11" t="s">
        <v>1166</v>
      </c>
      <c r="D2156" s="9"/>
      <c r="E2156" s="9">
        <v>702</v>
      </c>
      <c r="F2156" s="10" t="s">
        <v>1066</v>
      </c>
      <c r="G2156" s="9">
        <v>920</v>
      </c>
      <c r="H2156" s="9">
        <v>1990</v>
      </c>
      <c r="I2156" s="8">
        <v>110.059</v>
      </c>
      <c r="J2156" s="8">
        <v>101.752</v>
      </c>
      <c r="K2156" s="8">
        <v>99.56</v>
      </c>
      <c r="L2156" s="8">
        <v>123.242</v>
      </c>
      <c r="M2156" s="8">
        <v>157.096</v>
      </c>
      <c r="N2156" s="8">
        <v>171.459</v>
      </c>
      <c r="O2156" s="8">
        <v>167.62700000000001</v>
      </c>
      <c r="P2156" s="8">
        <v>139.17699999999999</v>
      </c>
      <c r="Q2156" s="8">
        <v>109.96599999999999</v>
      </c>
      <c r="R2156" s="8">
        <v>67.641000000000005</v>
      </c>
      <c r="S2156" s="8">
        <v>61.067</v>
      </c>
      <c r="T2156" s="8">
        <v>51.853999999999999</v>
      </c>
      <c r="U2156" s="8">
        <v>43.171999999999997</v>
      </c>
      <c r="V2156" s="8">
        <v>31.436</v>
      </c>
      <c r="W2156" s="8">
        <v>25.364000000000001</v>
      </c>
      <c r="X2156" s="8">
        <v>19.02</v>
      </c>
      <c r="Y2156" s="8">
        <v>12.113</v>
      </c>
      <c r="Z2156" s="8">
        <v>4.0830000000000002</v>
      </c>
      <c r="AA2156" s="8">
        <v>1.2110000000000001</v>
      </c>
      <c r="AB2156" s="8">
        <v>0.214</v>
      </c>
      <c r="AC2156" s="8">
        <v>2.1000000000000001E-2</v>
      </c>
    </row>
    <row r="2157" spans="1:29" ht="11.65" hidden="1" x14ac:dyDescent="0.35">
      <c r="A2157" s="12">
        <v>2140</v>
      </c>
      <c r="B2157" s="10" t="s">
        <v>1015</v>
      </c>
      <c r="C2157" s="11" t="s">
        <v>1166</v>
      </c>
      <c r="D2157" s="9"/>
      <c r="E2157" s="9">
        <v>702</v>
      </c>
      <c r="F2157" s="10" t="s">
        <v>1066</v>
      </c>
      <c r="G2157" s="9">
        <v>920</v>
      </c>
      <c r="H2157" s="9">
        <v>1995</v>
      </c>
      <c r="I2157" s="8">
        <v>125.69799999999999</v>
      </c>
      <c r="J2157" s="8">
        <v>116.486</v>
      </c>
      <c r="K2157" s="8">
        <v>105.66</v>
      </c>
      <c r="L2157" s="8">
        <v>116.224</v>
      </c>
      <c r="M2157" s="8">
        <v>142.458</v>
      </c>
      <c r="N2157" s="8">
        <v>162.95400000000001</v>
      </c>
      <c r="O2157" s="8">
        <v>184.839</v>
      </c>
      <c r="P2157" s="8">
        <v>182.46</v>
      </c>
      <c r="Q2157" s="8">
        <v>154.54</v>
      </c>
      <c r="R2157" s="8">
        <v>123.70699999999999</v>
      </c>
      <c r="S2157" s="8">
        <v>76.742999999999995</v>
      </c>
      <c r="T2157" s="8">
        <v>69.619</v>
      </c>
      <c r="U2157" s="8">
        <v>58.506999999999998</v>
      </c>
      <c r="V2157" s="8">
        <v>41.953000000000003</v>
      </c>
      <c r="W2157" s="8">
        <v>28.417000000000002</v>
      </c>
      <c r="X2157" s="8">
        <v>20.774999999999999</v>
      </c>
      <c r="Y2157" s="8">
        <v>13.895</v>
      </c>
      <c r="Z2157" s="8">
        <v>8.0380000000000003</v>
      </c>
      <c r="AA2157" s="8">
        <v>2.169</v>
      </c>
      <c r="AB2157" s="8">
        <v>0.42499999999999999</v>
      </c>
      <c r="AC2157" s="8">
        <v>4.5999999999999999E-2</v>
      </c>
    </row>
    <row r="2158" spans="1:29" ht="11.65" hidden="1" x14ac:dyDescent="0.35">
      <c r="A2158" s="12">
        <v>2141</v>
      </c>
      <c r="B2158" s="10" t="s">
        <v>1015</v>
      </c>
      <c r="C2158" s="11" t="s">
        <v>1166</v>
      </c>
      <c r="D2158" s="9"/>
      <c r="E2158" s="9">
        <v>702</v>
      </c>
      <c r="F2158" s="10" t="s">
        <v>1066</v>
      </c>
      <c r="G2158" s="9">
        <v>920</v>
      </c>
      <c r="H2158" s="9">
        <v>2000</v>
      </c>
      <c r="I2158" s="8">
        <v>114.398</v>
      </c>
      <c r="J2158" s="8">
        <v>130.6</v>
      </c>
      <c r="K2158" s="8">
        <v>119.407</v>
      </c>
      <c r="L2158" s="8">
        <v>128.06100000000001</v>
      </c>
      <c r="M2158" s="8">
        <v>132.69399999999999</v>
      </c>
      <c r="N2158" s="8">
        <v>172.60300000000001</v>
      </c>
      <c r="O2158" s="8">
        <v>185.85400000000001</v>
      </c>
      <c r="P2158" s="8">
        <v>201.04</v>
      </c>
      <c r="Q2158" s="8">
        <v>193.77099999999999</v>
      </c>
      <c r="R2158" s="8">
        <v>162.47499999999999</v>
      </c>
      <c r="S2158" s="8">
        <v>128.81899999999999</v>
      </c>
      <c r="T2158" s="8">
        <v>78.995999999999995</v>
      </c>
      <c r="U2158" s="8">
        <v>70.710999999999999</v>
      </c>
      <c r="V2158" s="8">
        <v>50.728000000000002</v>
      </c>
      <c r="W2158" s="8">
        <v>39.378999999999998</v>
      </c>
      <c r="X2158" s="8">
        <v>24.227</v>
      </c>
      <c r="Y2158" s="8">
        <v>15.391999999999999</v>
      </c>
      <c r="Z2158" s="8">
        <v>8.7309999999999999</v>
      </c>
      <c r="AA2158" s="8">
        <v>3.9750000000000001</v>
      </c>
      <c r="AB2158" s="8">
        <v>0.746</v>
      </c>
      <c r="AC2158" s="8">
        <v>8.8999999999999996E-2</v>
      </c>
    </row>
    <row r="2159" spans="1:29" ht="11.65" hidden="1" x14ac:dyDescent="0.35">
      <c r="A2159" s="12">
        <v>2142</v>
      </c>
      <c r="B2159" s="10" t="s">
        <v>1015</v>
      </c>
      <c r="C2159" s="11" t="s">
        <v>1166</v>
      </c>
      <c r="D2159" s="9"/>
      <c r="E2159" s="9">
        <v>702</v>
      </c>
      <c r="F2159" s="10" t="s">
        <v>1066</v>
      </c>
      <c r="G2159" s="9">
        <v>920</v>
      </c>
      <c r="H2159" s="9">
        <v>2005</v>
      </c>
      <c r="I2159" s="8">
        <v>102.22499999999999</v>
      </c>
      <c r="J2159" s="8">
        <v>121.27800000000001</v>
      </c>
      <c r="K2159" s="8">
        <v>132.56</v>
      </c>
      <c r="L2159" s="8">
        <v>143.93199999999999</v>
      </c>
      <c r="M2159" s="8">
        <v>136.75800000000001</v>
      </c>
      <c r="N2159" s="8">
        <v>163.54900000000001</v>
      </c>
      <c r="O2159" s="8">
        <v>191.785</v>
      </c>
      <c r="P2159" s="8">
        <v>191.89</v>
      </c>
      <c r="Q2159" s="8">
        <v>201.29300000000001</v>
      </c>
      <c r="R2159" s="8">
        <v>192.11</v>
      </c>
      <c r="S2159" s="8">
        <v>159.054</v>
      </c>
      <c r="T2159" s="8">
        <v>125.25</v>
      </c>
      <c r="U2159" s="8">
        <v>76.063000000000002</v>
      </c>
      <c r="V2159" s="8">
        <v>58.234999999999999</v>
      </c>
      <c r="W2159" s="8">
        <v>45.905999999999999</v>
      </c>
      <c r="X2159" s="8">
        <v>32.843000000000004</v>
      </c>
      <c r="Y2159" s="8">
        <v>18.559999999999999</v>
      </c>
      <c r="Z2159" s="8">
        <v>10.122999999999999</v>
      </c>
      <c r="AA2159" s="8">
        <v>4.5590000000000002</v>
      </c>
      <c r="AB2159" s="8">
        <v>1.4850000000000001</v>
      </c>
      <c r="AC2159" s="8">
        <v>0.17499999999999999</v>
      </c>
    </row>
    <row r="2160" spans="1:29" ht="11.65" hidden="1" x14ac:dyDescent="0.35">
      <c r="A2160" s="12">
        <v>2143</v>
      </c>
      <c r="B2160" s="10" t="s">
        <v>1015</v>
      </c>
      <c r="C2160" s="11" t="s">
        <v>1166</v>
      </c>
      <c r="D2160" s="9"/>
      <c r="E2160" s="9">
        <v>702</v>
      </c>
      <c r="F2160" s="10" t="s">
        <v>1066</v>
      </c>
      <c r="G2160" s="9">
        <v>920</v>
      </c>
      <c r="H2160" s="9">
        <v>2010</v>
      </c>
      <c r="I2160" s="8">
        <v>103.92100000000001</v>
      </c>
      <c r="J2160" s="8">
        <v>115.43300000000001</v>
      </c>
      <c r="K2160" s="8">
        <v>129.81700000000001</v>
      </c>
      <c r="L2160" s="8">
        <v>177.036</v>
      </c>
      <c r="M2160" s="8">
        <v>166.77099999999999</v>
      </c>
      <c r="N2160" s="8">
        <v>193.48099999999999</v>
      </c>
      <c r="O2160" s="8">
        <v>212.035</v>
      </c>
      <c r="P2160" s="8">
        <v>221.46799999999999</v>
      </c>
      <c r="Q2160" s="8">
        <v>210.99299999999999</v>
      </c>
      <c r="R2160" s="8">
        <v>215.75299999999999</v>
      </c>
      <c r="S2160" s="8">
        <v>202.214</v>
      </c>
      <c r="T2160" s="8">
        <v>166.68600000000001</v>
      </c>
      <c r="U2160" s="8">
        <v>130.81700000000001</v>
      </c>
      <c r="V2160" s="8">
        <v>64.135999999999996</v>
      </c>
      <c r="W2160" s="8">
        <v>55.491999999999997</v>
      </c>
      <c r="X2160" s="8">
        <v>41.228999999999999</v>
      </c>
      <c r="Y2160" s="8">
        <v>27.11</v>
      </c>
      <c r="Z2160" s="8">
        <v>13.156000000000001</v>
      </c>
      <c r="AA2160" s="8">
        <v>5.952</v>
      </c>
      <c r="AB2160" s="8">
        <v>2.0779999999999998</v>
      </c>
      <c r="AC2160" s="8">
        <v>0.45100000000000001</v>
      </c>
    </row>
    <row r="2161" spans="1:29" ht="11.65" hidden="1" x14ac:dyDescent="0.35">
      <c r="A2161" s="12">
        <v>2144</v>
      </c>
      <c r="B2161" s="10" t="s">
        <v>1015</v>
      </c>
      <c r="C2161" s="11" t="s">
        <v>1166</v>
      </c>
      <c r="D2161" s="9"/>
      <c r="E2161" s="9">
        <v>702</v>
      </c>
      <c r="F2161" s="10" t="s">
        <v>1066</v>
      </c>
      <c r="G2161" s="9">
        <v>920</v>
      </c>
      <c r="H2161" s="9">
        <v>2015</v>
      </c>
      <c r="I2161" s="8">
        <v>105.551</v>
      </c>
      <c r="J2161" s="8">
        <v>116.44499999999999</v>
      </c>
      <c r="K2161" s="8">
        <v>122.26900000000001</v>
      </c>
      <c r="L2161" s="8">
        <v>167.375</v>
      </c>
      <c r="M2161" s="8">
        <v>186.87899999999999</v>
      </c>
      <c r="N2161" s="8">
        <v>196.417</v>
      </c>
      <c r="O2161" s="8">
        <v>218.91499999999999</v>
      </c>
      <c r="P2161" s="8">
        <v>224.64099999999999</v>
      </c>
      <c r="Q2161" s="8">
        <v>230.32900000000001</v>
      </c>
      <c r="R2161" s="8">
        <v>217.64699999999999</v>
      </c>
      <c r="S2161" s="8">
        <v>221.30699999999999</v>
      </c>
      <c r="T2161" s="8">
        <v>207.78</v>
      </c>
      <c r="U2161" s="8">
        <v>170.60599999999999</v>
      </c>
      <c r="V2161" s="8">
        <v>104.788</v>
      </c>
      <c r="W2161" s="8">
        <v>60.317</v>
      </c>
      <c r="X2161" s="8">
        <v>50.194000000000003</v>
      </c>
      <c r="Y2161" s="8">
        <v>34.335000000000001</v>
      </c>
      <c r="Z2161" s="8">
        <v>19.588999999999999</v>
      </c>
      <c r="AA2161" s="8">
        <v>7.4630000000000001</v>
      </c>
      <c r="AB2161" s="8">
        <v>2.3050000000000002</v>
      </c>
      <c r="AC2161" s="8">
        <v>0.50700000000000001</v>
      </c>
    </row>
    <row r="2162" spans="1:29" ht="11.65" hidden="1" x14ac:dyDescent="0.35">
      <c r="A2162" s="12">
        <v>2145</v>
      </c>
      <c r="B2162" s="10" t="s">
        <v>1015</v>
      </c>
      <c r="C2162" s="11" t="s">
        <v>1166</v>
      </c>
      <c r="D2162" s="9"/>
      <c r="E2162" s="9">
        <v>702</v>
      </c>
      <c r="F2162" s="10" t="s">
        <v>1066</v>
      </c>
      <c r="G2162" s="9">
        <v>920</v>
      </c>
      <c r="H2162" s="9">
        <v>2020</v>
      </c>
      <c r="I2162" s="8">
        <v>124.111</v>
      </c>
      <c r="J2162" s="8">
        <v>107.07599999999999</v>
      </c>
      <c r="K2162" s="8">
        <v>117.608</v>
      </c>
      <c r="L2162" s="8">
        <v>128.297</v>
      </c>
      <c r="M2162" s="8">
        <v>178.21700000000001</v>
      </c>
      <c r="N2162" s="8">
        <v>197.273</v>
      </c>
      <c r="O2162" s="8">
        <v>204.20099999999999</v>
      </c>
      <c r="P2162" s="8">
        <v>224.124</v>
      </c>
      <c r="Q2162" s="8">
        <v>227.84</v>
      </c>
      <c r="R2162" s="8">
        <v>231.857</v>
      </c>
      <c r="S2162" s="8">
        <v>217.75800000000001</v>
      </c>
      <c r="T2162" s="8">
        <v>219.91800000000001</v>
      </c>
      <c r="U2162" s="8">
        <v>204.85400000000001</v>
      </c>
      <c r="V2162" s="8">
        <v>166.29900000000001</v>
      </c>
      <c r="W2162" s="8">
        <v>100.077</v>
      </c>
      <c r="X2162" s="8">
        <v>55.267000000000003</v>
      </c>
      <c r="Y2162" s="8">
        <v>42.636000000000003</v>
      </c>
      <c r="Z2162" s="8">
        <v>25.481000000000002</v>
      </c>
      <c r="AA2162" s="8">
        <v>11.547000000000001</v>
      </c>
      <c r="AB2162" s="8">
        <v>3.0470000000000002</v>
      </c>
      <c r="AC2162" s="8">
        <v>0.59799999999999998</v>
      </c>
    </row>
    <row r="2163" spans="1:29" ht="11.65" hidden="1" x14ac:dyDescent="0.35">
      <c r="A2163" s="12">
        <v>2146</v>
      </c>
      <c r="B2163" s="10" t="s">
        <v>1015</v>
      </c>
      <c r="C2163" s="11" t="s">
        <v>1167</v>
      </c>
      <c r="D2163" s="9"/>
      <c r="E2163" s="9">
        <v>764</v>
      </c>
      <c r="F2163" s="10" t="s">
        <v>1066</v>
      </c>
      <c r="G2163" s="9">
        <v>920</v>
      </c>
      <c r="H2163" s="9">
        <v>1950</v>
      </c>
      <c r="I2163" s="8">
        <v>1675.231</v>
      </c>
      <c r="J2163" s="8">
        <v>1331.962</v>
      </c>
      <c r="K2163" s="8">
        <v>1293.123</v>
      </c>
      <c r="L2163" s="8">
        <v>1131.521</v>
      </c>
      <c r="M2163" s="8">
        <v>950.14200000000005</v>
      </c>
      <c r="N2163" s="8">
        <v>748.90700000000004</v>
      </c>
      <c r="O2163" s="8">
        <v>626.71100000000001</v>
      </c>
      <c r="P2163" s="8">
        <v>541.31200000000001</v>
      </c>
      <c r="Q2163" s="8">
        <v>480.31900000000002</v>
      </c>
      <c r="R2163" s="8">
        <v>396.726</v>
      </c>
      <c r="S2163" s="8">
        <v>327.39499999999998</v>
      </c>
      <c r="T2163" s="8">
        <v>238.364</v>
      </c>
      <c r="U2163" s="8">
        <v>203.303</v>
      </c>
      <c r="V2163" s="8">
        <v>163.059</v>
      </c>
      <c r="W2163" s="8">
        <v>95.787000000000006</v>
      </c>
      <c r="X2163" s="8">
        <v>66.159000000000006</v>
      </c>
      <c r="Y2163" s="8">
        <v>26.739000000000001</v>
      </c>
      <c r="Z2163" s="8">
        <v>14.901</v>
      </c>
      <c r="AA2163" s="8">
        <v>6.8380000000000001</v>
      </c>
      <c r="AB2163" s="8">
        <v>2.3839999999999999</v>
      </c>
      <c r="AC2163" s="8">
        <v>0.70299999999999996</v>
      </c>
    </row>
    <row r="2164" spans="1:29" ht="11.65" hidden="1" x14ac:dyDescent="0.35">
      <c r="A2164" s="12">
        <v>2147</v>
      </c>
      <c r="B2164" s="10" t="s">
        <v>1015</v>
      </c>
      <c r="C2164" s="11" t="s">
        <v>1167</v>
      </c>
      <c r="D2164" s="9"/>
      <c r="E2164" s="9">
        <v>764</v>
      </c>
      <c r="F2164" s="10" t="s">
        <v>1066</v>
      </c>
      <c r="G2164" s="9">
        <v>920</v>
      </c>
      <c r="H2164" s="9">
        <v>1955</v>
      </c>
      <c r="I2164" s="8">
        <v>1976.4459999999999</v>
      </c>
      <c r="J2164" s="8">
        <v>1583.6289999999999</v>
      </c>
      <c r="K2164" s="8">
        <v>1305.682</v>
      </c>
      <c r="L2164" s="8">
        <v>1274.954</v>
      </c>
      <c r="M2164" s="8">
        <v>1110.645</v>
      </c>
      <c r="N2164" s="8">
        <v>925.13499999999999</v>
      </c>
      <c r="O2164" s="8">
        <v>724.95</v>
      </c>
      <c r="P2164" s="8">
        <v>602.93399999999997</v>
      </c>
      <c r="Q2164" s="8">
        <v>518.10500000000002</v>
      </c>
      <c r="R2164" s="8">
        <v>458.33499999999998</v>
      </c>
      <c r="S2164" s="8">
        <v>376.10300000000001</v>
      </c>
      <c r="T2164" s="8">
        <v>306.59899999999999</v>
      </c>
      <c r="U2164" s="8">
        <v>217.84</v>
      </c>
      <c r="V2164" s="8">
        <v>179.387</v>
      </c>
      <c r="W2164" s="8">
        <v>136.06</v>
      </c>
      <c r="X2164" s="8">
        <v>73.147999999999996</v>
      </c>
      <c r="Y2164" s="8">
        <v>44.08</v>
      </c>
      <c r="Z2164" s="8">
        <v>14.901</v>
      </c>
      <c r="AA2164" s="8">
        <v>6.8369999999999997</v>
      </c>
      <c r="AB2164" s="8">
        <v>2.3839999999999999</v>
      </c>
      <c r="AC2164" s="8">
        <v>0.70299999999999996</v>
      </c>
    </row>
    <row r="2165" spans="1:29" ht="11.65" hidden="1" x14ac:dyDescent="0.35">
      <c r="A2165" s="12">
        <v>2148</v>
      </c>
      <c r="B2165" s="10" t="s">
        <v>1015</v>
      </c>
      <c r="C2165" s="11" t="s">
        <v>1167</v>
      </c>
      <c r="D2165" s="9"/>
      <c r="E2165" s="9">
        <v>764</v>
      </c>
      <c r="F2165" s="10" t="s">
        <v>1066</v>
      </c>
      <c r="G2165" s="9">
        <v>920</v>
      </c>
      <c r="H2165" s="9">
        <v>1960</v>
      </c>
      <c r="I2165" s="8">
        <v>2354.011</v>
      </c>
      <c r="J2165" s="8">
        <v>1885.9269999999999</v>
      </c>
      <c r="K2165" s="8">
        <v>1554.174</v>
      </c>
      <c r="L2165" s="8">
        <v>1288.787</v>
      </c>
      <c r="M2165" s="8">
        <v>1253.2670000000001</v>
      </c>
      <c r="N2165" s="8">
        <v>1085.4110000000001</v>
      </c>
      <c r="O2165" s="8">
        <v>899.66499999999996</v>
      </c>
      <c r="P2165" s="8">
        <v>699.62</v>
      </c>
      <c r="Q2165" s="8">
        <v>578.50900000000001</v>
      </c>
      <c r="R2165" s="8">
        <v>495.48599999999999</v>
      </c>
      <c r="S2165" s="8">
        <v>435.07</v>
      </c>
      <c r="T2165" s="8">
        <v>352.44</v>
      </c>
      <c r="U2165" s="8">
        <v>280.64400000000001</v>
      </c>
      <c r="V2165" s="8">
        <v>191.83600000000001</v>
      </c>
      <c r="W2165" s="8">
        <v>145.17400000000001</v>
      </c>
      <c r="X2165" s="8">
        <v>99.335999999999999</v>
      </c>
      <c r="Y2165" s="8">
        <v>46.746000000000002</v>
      </c>
      <c r="Z2165" s="8">
        <v>22.92</v>
      </c>
      <c r="AA2165" s="8">
        <v>6.3090000000000002</v>
      </c>
      <c r="AB2165" s="8">
        <v>2.1469999999999998</v>
      </c>
      <c r="AC2165" s="8">
        <v>0.624</v>
      </c>
    </row>
    <row r="2166" spans="1:29" ht="11.65" hidden="1" x14ac:dyDescent="0.35">
      <c r="A2166" s="12">
        <v>2149</v>
      </c>
      <c r="B2166" s="10" t="s">
        <v>1015</v>
      </c>
      <c r="C2166" s="11" t="s">
        <v>1167</v>
      </c>
      <c r="D2166" s="9"/>
      <c r="E2166" s="9">
        <v>764</v>
      </c>
      <c r="F2166" s="10" t="s">
        <v>1066</v>
      </c>
      <c r="G2166" s="9">
        <v>920</v>
      </c>
      <c r="H2166" s="9">
        <v>1965</v>
      </c>
      <c r="I2166" s="8">
        <v>2740.8939999999998</v>
      </c>
      <c r="J2166" s="8">
        <v>2269.7379999999998</v>
      </c>
      <c r="K2166" s="8">
        <v>1858.259</v>
      </c>
      <c r="L2166" s="8">
        <v>1536.4559999999999</v>
      </c>
      <c r="M2166" s="8">
        <v>1269.222</v>
      </c>
      <c r="N2166" s="8">
        <v>1228.8409999999999</v>
      </c>
      <c r="O2166" s="8">
        <v>1060.326</v>
      </c>
      <c r="P2166" s="8">
        <v>873.03499999999997</v>
      </c>
      <c r="Q2166" s="8">
        <v>673.93</v>
      </c>
      <c r="R2166" s="8">
        <v>554.61099999999999</v>
      </c>
      <c r="S2166" s="8">
        <v>471.37</v>
      </c>
      <c r="T2166" s="8">
        <v>407.73500000000001</v>
      </c>
      <c r="U2166" s="8">
        <v>323.68</v>
      </c>
      <c r="V2166" s="8">
        <v>249.17500000000001</v>
      </c>
      <c r="W2166" s="8">
        <v>158.94499999999999</v>
      </c>
      <c r="X2166" s="8">
        <v>109.434</v>
      </c>
      <c r="Y2166" s="8">
        <v>62.831000000000003</v>
      </c>
      <c r="Z2166" s="8">
        <v>23.294</v>
      </c>
      <c r="AA2166" s="8">
        <v>9.1509999999999998</v>
      </c>
      <c r="AB2166" s="8">
        <v>1.782</v>
      </c>
      <c r="AC2166" s="8">
        <v>0.48</v>
      </c>
    </row>
    <row r="2167" spans="1:29" ht="11.65" hidden="1" x14ac:dyDescent="0.35">
      <c r="A2167" s="12">
        <v>2150</v>
      </c>
      <c r="B2167" s="10" t="s">
        <v>1015</v>
      </c>
      <c r="C2167" s="11" t="s">
        <v>1167</v>
      </c>
      <c r="D2167" s="9"/>
      <c r="E2167" s="9">
        <v>764</v>
      </c>
      <c r="F2167" s="10" t="s">
        <v>1066</v>
      </c>
      <c r="G2167" s="9">
        <v>920</v>
      </c>
      <c r="H2167" s="9">
        <v>1970</v>
      </c>
      <c r="I2167" s="8">
        <v>3097.6750000000002</v>
      </c>
      <c r="J2167" s="8">
        <v>2660.9160000000002</v>
      </c>
      <c r="K2167" s="8">
        <v>2240.3220000000001</v>
      </c>
      <c r="L2167" s="8">
        <v>1839.3050000000001</v>
      </c>
      <c r="M2167" s="8">
        <v>1514.777</v>
      </c>
      <c r="N2167" s="8">
        <v>1247.366</v>
      </c>
      <c r="O2167" s="8">
        <v>1204.3979999999999</v>
      </c>
      <c r="P2167" s="8">
        <v>1033.309</v>
      </c>
      <c r="Q2167" s="8">
        <v>844.83799999999997</v>
      </c>
      <c r="R2167" s="8">
        <v>647.55899999999997</v>
      </c>
      <c r="S2167" s="8">
        <v>527.78</v>
      </c>
      <c r="T2167" s="8">
        <v>442.29599999999999</v>
      </c>
      <c r="U2167" s="8">
        <v>373.75400000000002</v>
      </c>
      <c r="V2167" s="8">
        <v>286.34300000000002</v>
      </c>
      <c r="W2167" s="8">
        <v>206.24</v>
      </c>
      <c r="X2167" s="8">
        <v>118.854</v>
      </c>
      <c r="Y2167" s="8">
        <v>69.085999999999999</v>
      </c>
      <c r="Z2167" s="8">
        <v>31.640999999999998</v>
      </c>
      <c r="AA2167" s="8">
        <v>9.36</v>
      </c>
      <c r="AB2167" s="8">
        <v>2.6309999999999998</v>
      </c>
      <c r="AC2167" s="8">
        <v>0.40400000000000003</v>
      </c>
    </row>
    <row r="2168" spans="1:29" ht="11.65" hidden="1" x14ac:dyDescent="0.35">
      <c r="A2168" s="12">
        <v>2151</v>
      </c>
      <c r="B2168" s="10" t="s">
        <v>1015</v>
      </c>
      <c r="C2168" s="11" t="s">
        <v>1167</v>
      </c>
      <c r="D2168" s="9"/>
      <c r="E2168" s="9">
        <v>764</v>
      </c>
      <c r="F2168" s="10" t="s">
        <v>1066</v>
      </c>
      <c r="G2168" s="9">
        <v>920</v>
      </c>
      <c r="H2168" s="9">
        <v>1975</v>
      </c>
      <c r="I2168" s="8">
        <v>3141.5450000000001</v>
      </c>
      <c r="J2168" s="8">
        <v>3049.8420000000001</v>
      </c>
      <c r="K2168" s="8">
        <v>2642.614</v>
      </c>
      <c r="L2168" s="8">
        <v>2260.9549999999999</v>
      </c>
      <c r="M2168" s="8">
        <v>1888.4469999999999</v>
      </c>
      <c r="N2168" s="8">
        <v>1530.7650000000001</v>
      </c>
      <c r="O2168" s="8">
        <v>1226.46</v>
      </c>
      <c r="P2168" s="8">
        <v>1178.7929999999999</v>
      </c>
      <c r="Q2168" s="8">
        <v>1004.872</v>
      </c>
      <c r="R2168" s="8">
        <v>815.31700000000001</v>
      </c>
      <c r="S2168" s="8">
        <v>617.92700000000002</v>
      </c>
      <c r="T2168" s="8">
        <v>495.76900000000001</v>
      </c>
      <c r="U2168" s="8">
        <v>406.952</v>
      </c>
      <c r="V2168" s="8">
        <v>332.19900000000001</v>
      </c>
      <c r="W2168" s="8">
        <v>238.33799999999999</v>
      </c>
      <c r="X2168" s="8">
        <v>155.63900000000001</v>
      </c>
      <c r="Y2168" s="8">
        <v>75.664000000000001</v>
      </c>
      <c r="Z2168" s="8">
        <v>34.969000000000001</v>
      </c>
      <c r="AA2168" s="8">
        <v>12.551</v>
      </c>
      <c r="AB2168" s="8">
        <v>2.609</v>
      </c>
      <c r="AC2168" s="8">
        <v>0.51500000000000001</v>
      </c>
    </row>
    <row r="2169" spans="1:29" ht="11.65" hidden="1" x14ac:dyDescent="0.35">
      <c r="A2169" s="12">
        <v>2152</v>
      </c>
      <c r="B2169" s="10" t="s">
        <v>1015</v>
      </c>
      <c r="C2169" s="11" t="s">
        <v>1167</v>
      </c>
      <c r="D2169" s="9"/>
      <c r="E2169" s="9">
        <v>764</v>
      </c>
      <c r="F2169" s="10" t="s">
        <v>1066</v>
      </c>
      <c r="G2169" s="9">
        <v>920</v>
      </c>
      <c r="H2169" s="9">
        <v>1980</v>
      </c>
      <c r="I2169" s="8">
        <v>3024.0149999999999</v>
      </c>
      <c r="J2169" s="8">
        <v>3118.2280000000001</v>
      </c>
      <c r="K2169" s="8">
        <v>3040.77</v>
      </c>
      <c r="L2169" s="8">
        <v>2632.0279999999998</v>
      </c>
      <c r="M2169" s="8">
        <v>2279.6370000000002</v>
      </c>
      <c r="N2169" s="8">
        <v>1900.277</v>
      </c>
      <c r="O2169" s="8">
        <v>1510.0840000000001</v>
      </c>
      <c r="P2169" s="8">
        <v>1205.5360000000001</v>
      </c>
      <c r="Q2169" s="8">
        <v>1152.0940000000001</v>
      </c>
      <c r="R2169" s="8">
        <v>974.23199999999997</v>
      </c>
      <c r="S2169" s="8">
        <v>781.96299999999997</v>
      </c>
      <c r="T2169" s="8">
        <v>583.79899999999998</v>
      </c>
      <c r="U2169" s="8">
        <v>458.01600000000002</v>
      </c>
      <c r="V2169" s="8">
        <v>364.36900000000003</v>
      </c>
      <c r="W2169" s="8">
        <v>279.952</v>
      </c>
      <c r="X2169" s="8">
        <v>183.39599999999999</v>
      </c>
      <c r="Y2169" s="8">
        <v>102.291</v>
      </c>
      <c r="Z2169" s="8">
        <v>40.087000000000003</v>
      </c>
      <c r="AA2169" s="8">
        <v>15.039</v>
      </c>
      <c r="AB2169" s="8">
        <v>3.9460000000000002</v>
      </c>
      <c r="AC2169" s="8">
        <v>0.61799999999999999</v>
      </c>
    </row>
    <row r="2170" spans="1:29" ht="11.65" hidden="1" x14ac:dyDescent="0.35">
      <c r="A2170" s="12">
        <v>2153</v>
      </c>
      <c r="B2170" s="10" t="s">
        <v>1015</v>
      </c>
      <c r="C2170" s="11" t="s">
        <v>1167</v>
      </c>
      <c r="D2170" s="9"/>
      <c r="E2170" s="9">
        <v>764</v>
      </c>
      <c r="F2170" s="10" t="s">
        <v>1066</v>
      </c>
      <c r="G2170" s="9">
        <v>920</v>
      </c>
      <c r="H2170" s="9">
        <v>1985</v>
      </c>
      <c r="I2170" s="8">
        <v>2810.9560000000001</v>
      </c>
      <c r="J2170" s="8">
        <v>2990.8429999999998</v>
      </c>
      <c r="K2170" s="8">
        <v>3097.9279999999999</v>
      </c>
      <c r="L2170" s="8">
        <v>2994.6460000000002</v>
      </c>
      <c r="M2170" s="8">
        <v>2563.8209999999999</v>
      </c>
      <c r="N2170" s="8">
        <v>2278.8069999999998</v>
      </c>
      <c r="O2170" s="8">
        <v>1950.7940000000001</v>
      </c>
      <c r="P2170" s="8">
        <v>1541.963</v>
      </c>
      <c r="Q2170" s="8">
        <v>1235.5119999999999</v>
      </c>
      <c r="R2170" s="8">
        <v>1170.056</v>
      </c>
      <c r="S2170" s="8">
        <v>974.43299999999999</v>
      </c>
      <c r="T2170" s="8">
        <v>772.73599999999999</v>
      </c>
      <c r="U2170" s="8">
        <v>555.61300000000006</v>
      </c>
      <c r="V2170" s="8">
        <v>414.15300000000002</v>
      </c>
      <c r="W2170" s="8">
        <v>312.95</v>
      </c>
      <c r="X2170" s="8">
        <v>223.06800000000001</v>
      </c>
      <c r="Y2170" s="8">
        <v>125.43</v>
      </c>
      <c r="Z2170" s="8">
        <v>55.110999999999997</v>
      </c>
      <c r="AA2170" s="8">
        <v>15.89</v>
      </c>
      <c r="AB2170" s="8">
        <v>3.7789999999999999</v>
      </c>
      <c r="AC2170" s="8">
        <v>0.61</v>
      </c>
    </row>
    <row r="2171" spans="1:29" ht="11.65" hidden="1" x14ac:dyDescent="0.35">
      <c r="A2171" s="12">
        <v>2154</v>
      </c>
      <c r="B2171" s="10" t="s">
        <v>1015</v>
      </c>
      <c r="C2171" s="11" t="s">
        <v>1167</v>
      </c>
      <c r="D2171" s="9"/>
      <c r="E2171" s="9">
        <v>764</v>
      </c>
      <c r="F2171" s="10" t="s">
        <v>1066</v>
      </c>
      <c r="G2171" s="9">
        <v>920</v>
      </c>
      <c r="H2171" s="9">
        <v>1990</v>
      </c>
      <c r="I2171" s="8">
        <v>2622.88</v>
      </c>
      <c r="J2171" s="8">
        <v>2791.223</v>
      </c>
      <c r="K2171" s="8">
        <v>2978.8180000000002</v>
      </c>
      <c r="L2171" s="8">
        <v>3032.1779999999999</v>
      </c>
      <c r="M2171" s="8">
        <v>2886.9609999999998</v>
      </c>
      <c r="N2171" s="8">
        <v>2553.2860000000001</v>
      </c>
      <c r="O2171" s="8">
        <v>2364.7220000000002</v>
      </c>
      <c r="P2171" s="8">
        <v>2038.058</v>
      </c>
      <c r="Q2171" s="8">
        <v>1600.279</v>
      </c>
      <c r="R2171" s="8">
        <v>1290.367</v>
      </c>
      <c r="S2171" s="8">
        <v>1208.546</v>
      </c>
      <c r="T2171" s="8">
        <v>988.87199999999996</v>
      </c>
      <c r="U2171" s="8">
        <v>775.38400000000001</v>
      </c>
      <c r="V2171" s="8">
        <v>529.29600000000005</v>
      </c>
      <c r="W2171" s="8">
        <v>363.95100000000002</v>
      </c>
      <c r="X2171" s="8">
        <v>254.809</v>
      </c>
      <c r="Y2171" s="8">
        <v>156.77099999999999</v>
      </c>
      <c r="Z2171" s="8">
        <v>71.697999999999993</v>
      </c>
      <c r="AA2171" s="8">
        <v>25.484999999999999</v>
      </c>
      <c r="AB2171" s="8">
        <v>5.319</v>
      </c>
      <c r="AC2171" s="8">
        <v>0.89500000000000002</v>
      </c>
    </row>
    <row r="2172" spans="1:29" ht="11.65" hidden="1" x14ac:dyDescent="0.35">
      <c r="A2172" s="12">
        <v>2155</v>
      </c>
      <c r="B2172" s="10" t="s">
        <v>1015</v>
      </c>
      <c r="C2172" s="11" t="s">
        <v>1167</v>
      </c>
      <c r="D2172" s="9"/>
      <c r="E2172" s="9">
        <v>764</v>
      </c>
      <c r="F2172" s="10" t="s">
        <v>1066</v>
      </c>
      <c r="G2172" s="9">
        <v>920</v>
      </c>
      <c r="H2172" s="9">
        <v>1995</v>
      </c>
      <c r="I2172" s="8">
        <v>2503.4119999999998</v>
      </c>
      <c r="J2172" s="8">
        <v>2611.261</v>
      </c>
      <c r="K2172" s="8">
        <v>2782.8490000000002</v>
      </c>
      <c r="L2172" s="8">
        <v>2940.3939999999998</v>
      </c>
      <c r="M2172" s="8">
        <v>2910.788</v>
      </c>
      <c r="N2172" s="8">
        <v>2755.5630000000001</v>
      </c>
      <c r="O2172" s="8">
        <v>2476.377</v>
      </c>
      <c r="P2172" s="8">
        <v>2297.8139999999999</v>
      </c>
      <c r="Q2172" s="8">
        <v>1978.932</v>
      </c>
      <c r="R2172" s="8">
        <v>1548.9949999999999</v>
      </c>
      <c r="S2172" s="8">
        <v>1245.5530000000001</v>
      </c>
      <c r="T2172" s="8">
        <v>1164.155</v>
      </c>
      <c r="U2172" s="8">
        <v>937.13300000000004</v>
      </c>
      <c r="V2172" s="8">
        <v>714.51599999999996</v>
      </c>
      <c r="W2172" s="8">
        <v>464.42500000000001</v>
      </c>
      <c r="X2172" s="8">
        <v>296.47000000000003</v>
      </c>
      <c r="Y2172" s="8">
        <v>175.96899999999999</v>
      </c>
      <c r="Z2172" s="8">
        <v>85.706999999999994</v>
      </c>
      <c r="AA2172" s="8">
        <v>30.709</v>
      </c>
      <c r="AB2172" s="8">
        <v>7.5220000000000002</v>
      </c>
      <c r="AC2172" s="8">
        <v>1.0660000000000001</v>
      </c>
    </row>
    <row r="2173" spans="1:29" ht="11.65" hidden="1" x14ac:dyDescent="0.35">
      <c r="A2173" s="12">
        <v>2156</v>
      </c>
      <c r="B2173" s="10" t="s">
        <v>1015</v>
      </c>
      <c r="C2173" s="11" t="s">
        <v>1167</v>
      </c>
      <c r="D2173" s="9"/>
      <c r="E2173" s="9">
        <v>764</v>
      </c>
      <c r="F2173" s="10" t="s">
        <v>1066</v>
      </c>
      <c r="G2173" s="9">
        <v>920</v>
      </c>
      <c r="H2173" s="9">
        <v>2000</v>
      </c>
      <c r="I2173" s="8">
        <v>2281.2449999999999</v>
      </c>
      <c r="J2173" s="8">
        <v>2493.5239999999999</v>
      </c>
      <c r="K2173" s="8">
        <v>2604.471</v>
      </c>
      <c r="L2173" s="8">
        <v>2675.6590000000001</v>
      </c>
      <c r="M2173" s="8">
        <v>2625.5160000000001</v>
      </c>
      <c r="N2173" s="8">
        <v>2750.2629999999999</v>
      </c>
      <c r="O2173" s="8">
        <v>2928.828</v>
      </c>
      <c r="P2173" s="8">
        <v>2762.7310000000002</v>
      </c>
      <c r="Q2173" s="8">
        <v>2555.7020000000002</v>
      </c>
      <c r="R2173" s="8">
        <v>2078.5610000000001</v>
      </c>
      <c r="S2173" s="8">
        <v>1535.37</v>
      </c>
      <c r="T2173" s="8">
        <v>1205.5619999999999</v>
      </c>
      <c r="U2173" s="8">
        <v>1107.3219999999999</v>
      </c>
      <c r="V2173" s="8">
        <v>868.90099999999995</v>
      </c>
      <c r="W2173" s="8">
        <v>634.06899999999996</v>
      </c>
      <c r="X2173" s="8">
        <v>383.83800000000002</v>
      </c>
      <c r="Y2173" s="8">
        <v>213.642</v>
      </c>
      <c r="Z2173" s="8">
        <v>103.14</v>
      </c>
      <c r="AA2173" s="8">
        <v>38.75</v>
      </c>
      <c r="AB2173" s="8">
        <v>9.5609999999999999</v>
      </c>
      <c r="AC2173" s="8">
        <v>1.524</v>
      </c>
    </row>
    <row r="2174" spans="1:29" ht="11.65" hidden="1" x14ac:dyDescent="0.35">
      <c r="A2174" s="12">
        <v>2157</v>
      </c>
      <c r="B2174" s="10" t="s">
        <v>1015</v>
      </c>
      <c r="C2174" s="11" t="s">
        <v>1167</v>
      </c>
      <c r="D2174" s="9"/>
      <c r="E2174" s="9">
        <v>764</v>
      </c>
      <c r="F2174" s="10" t="s">
        <v>1066</v>
      </c>
      <c r="G2174" s="9">
        <v>920</v>
      </c>
      <c r="H2174" s="9">
        <v>2005</v>
      </c>
      <c r="I2174" s="8">
        <v>2061.893</v>
      </c>
      <c r="J2174" s="8">
        <v>2262.922</v>
      </c>
      <c r="K2174" s="8">
        <v>2473.1480000000001</v>
      </c>
      <c r="L2174" s="8">
        <v>2528.3879999999999</v>
      </c>
      <c r="M2174" s="8">
        <v>2614.029</v>
      </c>
      <c r="N2174" s="8">
        <v>2663.37</v>
      </c>
      <c r="O2174" s="8">
        <v>2835.56</v>
      </c>
      <c r="P2174" s="8">
        <v>2990.9929999999999</v>
      </c>
      <c r="Q2174" s="8">
        <v>2787.6</v>
      </c>
      <c r="R2174" s="8">
        <v>2534.1660000000002</v>
      </c>
      <c r="S2174" s="8">
        <v>2019.723</v>
      </c>
      <c r="T2174" s="8">
        <v>1498.076</v>
      </c>
      <c r="U2174" s="8">
        <v>1169.8</v>
      </c>
      <c r="V2174" s="8">
        <v>1031.625</v>
      </c>
      <c r="W2174" s="8">
        <v>775.65899999999999</v>
      </c>
      <c r="X2174" s="8">
        <v>526.899</v>
      </c>
      <c r="Y2174" s="8">
        <v>280.52800000000002</v>
      </c>
      <c r="Z2174" s="8">
        <v>128.04599999999999</v>
      </c>
      <c r="AA2174" s="8">
        <v>46.527999999999999</v>
      </c>
      <c r="AB2174" s="8">
        <v>11.709</v>
      </c>
      <c r="AC2174" s="8">
        <v>1.835</v>
      </c>
    </row>
    <row r="2175" spans="1:29" ht="11.65" hidden="1" x14ac:dyDescent="0.35">
      <c r="A2175" s="12">
        <v>2158</v>
      </c>
      <c r="B2175" s="10" t="s">
        <v>1015</v>
      </c>
      <c r="C2175" s="11" t="s">
        <v>1167</v>
      </c>
      <c r="D2175" s="9"/>
      <c r="E2175" s="9">
        <v>764</v>
      </c>
      <c r="F2175" s="10" t="s">
        <v>1066</v>
      </c>
      <c r="G2175" s="9">
        <v>920</v>
      </c>
      <c r="H2175" s="9">
        <v>2010</v>
      </c>
      <c r="I2175" s="8">
        <v>1957.7629999999999</v>
      </c>
      <c r="J2175" s="8">
        <v>2057.4180000000001</v>
      </c>
      <c r="K2175" s="8">
        <v>2257.4940000000001</v>
      </c>
      <c r="L2175" s="8">
        <v>2404.5259999999998</v>
      </c>
      <c r="M2175" s="8">
        <v>2366.1210000000001</v>
      </c>
      <c r="N2175" s="8">
        <v>2537.4650000000001</v>
      </c>
      <c r="O2175" s="8">
        <v>2742.7379999999998</v>
      </c>
      <c r="P2175" s="8">
        <v>2925.712</v>
      </c>
      <c r="Q2175" s="8">
        <v>3028.43</v>
      </c>
      <c r="R2175" s="8">
        <v>2789.5709999999999</v>
      </c>
      <c r="S2175" s="8">
        <v>2490.3429999999998</v>
      </c>
      <c r="T2175" s="8">
        <v>1938.9680000000001</v>
      </c>
      <c r="U2175" s="8">
        <v>1442.3</v>
      </c>
      <c r="V2175" s="8">
        <v>1113.163</v>
      </c>
      <c r="W2175" s="8">
        <v>924.399</v>
      </c>
      <c r="X2175" s="8">
        <v>649.20299999999997</v>
      </c>
      <c r="Y2175" s="8">
        <v>390.37299999999999</v>
      </c>
      <c r="Z2175" s="8">
        <v>171.07300000000001</v>
      </c>
      <c r="AA2175" s="8">
        <v>59.731999999999999</v>
      </c>
      <c r="AB2175" s="8">
        <v>14.629</v>
      </c>
      <c r="AC2175" s="8">
        <v>2.3319999999999999</v>
      </c>
    </row>
    <row r="2176" spans="1:29" ht="11.65" hidden="1" x14ac:dyDescent="0.35">
      <c r="A2176" s="12">
        <v>2159</v>
      </c>
      <c r="B2176" s="10" t="s">
        <v>1015</v>
      </c>
      <c r="C2176" s="11" t="s">
        <v>1167</v>
      </c>
      <c r="D2176" s="9"/>
      <c r="E2176" s="9">
        <v>764</v>
      </c>
      <c r="F2176" s="10" t="s">
        <v>1066</v>
      </c>
      <c r="G2176" s="9">
        <v>920</v>
      </c>
      <c r="H2176" s="9">
        <v>2015</v>
      </c>
      <c r="I2176" s="8">
        <v>1867.26</v>
      </c>
      <c r="J2176" s="8">
        <v>1998.085</v>
      </c>
      <c r="K2176" s="8">
        <v>2134.6480000000001</v>
      </c>
      <c r="L2176" s="8">
        <v>2356.0859999999998</v>
      </c>
      <c r="M2176" s="8">
        <v>2391.5529999999999</v>
      </c>
      <c r="N2176" s="8">
        <v>2234.4499999999998</v>
      </c>
      <c r="O2176" s="8">
        <v>2408.067</v>
      </c>
      <c r="P2176" s="8">
        <v>2745.3760000000002</v>
      </c>
      <c r="Q2176" s="8">
        <v>2953.8629999999998</v>
      </c>
      <c r="R2176" s="8">
        <v>2983.2</v>
      </c>
      <c r="S2176" s="8">
        <v>2732.6990000000001</v>
      </c>
      <c r="T2176" s="8">
        <v>2404.5320000000002</v>
      </c>
      <c r="U2176" s="8">
        <v>1853.2950000000001</v>
      </c>
      <c r="V2176" s="8">
        <v>1373.337</v>
      </c>
      <c r="W2176" s="8">
        <v>1031.3779999999999</v>
      </c>
      <c r="X2176" s="8">
        <v>797.32</v>
      </c>
      <c r="Y2176" s="8">
        <v>511.91</v>
      </c>
      <c r="Z2176" s="8">
        <v>265.45499999999998</v>
      </c>
      <c r="AA2176" s="8">
        <v>87.305999999999997</v>
      </c>
      <c r="AB2176" s="8">
        <v>21.646000000000001</v>
      </c>
      <c r="AC2176" s="8">
        <v>3.585</v>
      </c>
    </row>
    <row r="2177" spans="1:29" ht="11.65" hidden="1" x14ac:dyDescent="0.35">
      <c r="A2177" s="12">
        <v>2160</v>
      </c>
      <c r="B2177" s="10" t="s">
        <v>1015</v>
      </c>
      <c r="C2177" s="11" t="s">
        <v>1167</v>
      </c>
      <c r="D2177" s="9"/>
      <c r="E2177" s="9">
        <v>764</v>
      </c>
      <c r="F2177" s="10" t="s">
        <v>1066</v>
      </c>
      <c r="G2177" s="9">
        <v>920</v>
      </c>
      <c r="H2177" s="9">
        <v>2020</v>
      </c>
      <c r="I2177" s="8">
        <v>1745.635</v>
      </c>
      <c r="J2177" s="8">
        <v>1867.11</v>
      </c>
      <c r="K2177" s="8">
        <v>1996.569</v>
      </c>
      <c r="L2177" s="8">
        <v>2133.66</v>
      </c>
      <c r="M2177" s="8">
        <v>2357.9929999999999</v>
      </c>
      <c r="N2177" s="8">
        <v>2395.2089999999998</v>
      </c>
      <c r="O2177" s="8">
        <v>2234.9720000000002</v>
      </c>
      <c r="P2177" s="8">
        <v>2401.2600000000002</v>
      </c>
      <c r="Q2177" s="8">
        <v>2728.4879999999998</v>
      </c>
      <c r="R2177" s="8">
        <v>2925.1149999999998</v>
      </c>
      <c r="S2177" s="8">
        <v>2940.319</v>
      </c>
      <c r="T2177" s="8">
        <v>2676.6320000000001</v>
      </c>
      <c r="U2177" s="8">
        <v>2328.6109999999999</v>
      </c>
      <c r="V2177" s="8">
        <v>1763.67</v>
      </c>
      <c r="W2177" s="8">
        <v>1269.43</v>
      </c>
      <c r="X2177" s="8">
        <v>901.46199999999999</v>
      </c>
      <c r="Y2177" s="8">
        <v>633.73099999999999</v>
      </c>
      <c r="Z2177" s="8">
        <v>349.28800000000001</v>
      </c>
      <c r="AA2177" s="8">
        <v>144.02000000000001</v>
      </c>
      <c r="AB2177" s="8">
        <v>34.688000000000002</v>
      </c>
      <c r="AC2177" s="8">
        <v>6.056</v>
      </c>
    </row>
    <row r="2178" spans="1:29" ht="11.65" hidden="1" x14ac:dyDescent="0.35">
      <c r="A2178" s="12">
        <v>2161</v>
      </c>
      <c r="B2178" s="10" t="s">
        <v>1015</v>
      </c>
      <c r="C2178" s="11" t="s">
        <v>1168</v>
      </c>
      <c r="D2178" s="9"/>
      <c r="E2178" s="9">
        <v>626</v>
      </c>
      <c r="F2178" s="10" t="s">
        <v>1066</v>
      </c>
      <c r="G2178" s="9">
        <v>920</v>
      </c>
      <c r="H2178" s="9">
        <v>1950</v>
      </c>
      <c r="I2178" s="8">
        <v>36.901000000000003</v>
      </c>
      <c r="J2178" s="8">
        <v>28.507999999999999</v>
      </c>
      <c r="K2178" s="8">
        <v>24.855</v>
      </c>
      <c r="L2178" s="8">
        <v>19.529</v>
      </c>
      <c r="M2178" s="8">
        <v>17.82</v>
      </c>
      <c r="N2178" s="8">
        <v>14.849</v>
      </c>
      <c r="O2178" s="8">
        <v>12.87</v>
      </c>
      <c r="P2178" s="8">
        <v>9.81</v>
      </c>
      <c r="Q2178" s="8">
        <v>7.83</v>
      </c>
      <c r="R2178" s="8">
        <v>8.64</v>
      </c>
      <c r="S2178" s="8">
        <v>6.75</v>
      </c>
      <c r="T2178" s="8">
        <v>4.32</v>
      </c>
      <c r="U2178" s="8">
        <v>4.7699999999999996</v>
      </c>
      <c r="V2178" s="8">
        <v>3.419</v>
      </c>
      <c r="W2178" s="8">
        <v>2.25</v>
      </c>
      <c r="X2178" s="8">
        <v>1.169</v>
      </c>
      <c r="Y2178" s="8">
        <v>0.45100000000000001</v>
      </c>
      <c r="Z2178" s="8">
        <v>9.0999999999999998E-2</v>
      </c>
      <c r="AA2178" s="8">
        <v>0</v>
      </c>
      <c r="AB2178" s="8">
        <v>0</v>
      </c>
      <c r="AC2178" s="8">
        <v>0</v>
      </c>
    </row>
    <row r="2179" spans="1:29" ht="11.65" hidden="1" x14ac:dyDescent="0.35">
      <c r="A2179" s="12">
        <v>2162</v>
      </c>
      <c r="B2179" s="10" t="s">
        <v>1015</v>
      </c>
      <c r="C2179" s="11" t="s">
        <v>1168</v>
      </c>
      <c r="D2179" s="9"/>
      <c r="E2179" s="9">
        <v>626</v>
      </c>
      <c r="F2179" s="10" t="s">
        <v>1066</v>
      </c>
      <c r="G2179" s="9">
        <v>920</v>
      </c>
      <c r="H2179" s="9">
        <v>1955</v>
      </c>
      <c r="I2179" s="8">
        <v>32.683</v>
      </c>
      <c r="J2179" s="8">
        <v>31.876999999999999</v>
      </c>
      <c r="K2179" s="8">
        <v>27.248000000000001</v>
      </c>
      <c r="L2179" s="8">
        <v>23.77</v>
      </c>
      <c r="M2179" s="8">
        <v>18.417999999999999</v>
      </c>
      <c r="N2179" s="8">
        <v>16.626999999999999</v>
      </c>
      <c r="O2179" s="8">
        <v>13.737</v>
      </c>
      <c r="P2179" s="8">
        <v>11.795999999999999</v>
      </c>
      <c r="Q2179" s="8">
        <v>8.923</v>
      </c>
      <c r="R2179" s="8">
        <v>7.0750000000000002</v>
      </c>
      <c r="S2179" s="8">
        <v>7.6550000000000002</v>
      </c>
      <c r="T2179" s="8">
        <v>5.7720000000000002</v>
      </c>
      <c r="U2179" s="8">
        <v>3.4729999999999999</v>
      </c>
      <c r="V2179" s="8">
        <v>3.4990000000000001</v>
      </c>
      <c r="W2179" s="8">
        <v>2.2000000000000002</v>
      </c>
      <c r="X2179" s="8">
        <v>1.1719999999999999</v>
      </c>
      <c r="Y2179" s="8">
        <v>0.45100000000000001</v>
      </c>
      <c r="Z2179" s="8">
        <v>0.11700000000000001</v>
      </c>
      <c r="AA2179" s="8">
        <v>1.6E-2</v>
      </c>
      <c r="AB2179" s="8">
        <v>0</v>
      </c>
      <c r="AC2179" s="8">
        <v>0</v>
      </c>
    </row>
    <row r="2180" spans="1:29" ht="11.65" hidden="1" x14ac:dyDescent="0.35">
      <c r="A2180" s="12">
        <v>2163</v>
      </c>
      <c r="B2180" s="10" t="s">
        <v>1015</v>
      </c>
      <c r="C2180" s="11" t="s">
        <v>1168</v>
      </c>
      <c r="D2180" s="9"/>
      <c r="E2180" s="9">
        <v>626</v>
      </c>
      <c r="F2180" s="10" t="s">
        <v>1066</v>
      </c>
      <c r="G2180" s="9">
        <v>920</v>
      </c>
      <c r="H2180" s="9">
        <v>1960</v>
      </c>
      <c r="I2180" s="8">
        <v>36.832000000000001</v>
      </c>
      <c r="J2180" s="8">
        <v>28.706</v>
      </c>
      <c r="K2180" s="8">
        <v>30.606000000000002</v>
      </c>
      <c r="L2180" s="8">
        <v>26.172999999999998</v>
      </c>
      <c r="M2180" s="8">
        <v>22.542999999999999</v>
      </c>
      <c r="N2180" s="8">
        <v>17.3</v>
      </c>
      <c r="O2180" s="8">
        <v>15.496</v>
      </c>
      <c r="P2180" s="8">
        <v>12.696</v>
      </c>
      <c r="Q2180" s="8">
        <v>10.826000000000001</v>
      </c>
      <c r="R2180" s="8">
        <v>8.1359999999999992</v>
      </c>
      <c r="S2180" s="8">
        <v>6.3319999999999999</v>
      </c>
      <c r="T2180" s="8">
        <v>6.63</v>
      </c>
      <c r="U2180" s="8">
        <v>4.7190000000000003</v>
      </c>
      <c r="V2180" s="8">
        <v>2.6070000000000002</v>
      </c>
      <c r="W2180" s="8">
        <v>2.319</v>
      </c>
      <c r="X2180" s="8">
        <v>1.194</v>
      </c>
      <c r="Y2180" s="8">
        <v>0.47699999999999998</v>
      </c>
      <c r="Z2180" s="8">
        <v>0.126</v>
      </c>
      <c r="AA2180" s="8">
        <v>0.02</v>
      </c>
      <c r="AB2180" s="8">
        <v>2E-3</v>
      </c>
      <c r="AC2180" s="8">
        <v>0</v>
      </c>
    </row>
    <row r="2181" spans="1:29" ht="11.65" hidden="1" x14ac:dyDescent="0.35">
      <c r="A2181" s="12">
        <v>2164</v>
      </c>
      <c r="B2181" s="10" t="s">
        <v>1015</v>
      </c>
      <c r="C2181" s="11" t="s">
        <v>1168</v>
      </c>
      <c r="D2181" s="9"/>
      <c r="E2181" s="9">
        <v>626</v>
      </c>
      <c r="F2181" s="10" t="s">
        <v>1066</v>
      </c>
      <c r="G2181" s="9">
        <v>920</v>
      </c>
      <c r="H2181" s="9">
        <v>1965</v>
      </c>
      <c r="I2181" s="8">
        <v>41.545000000000002</v>
      </c>
      <c r="J2181" s="8">
        <v>32.804000000000002</v>
      </c>
      <c r="K2181" s="8">
        <v>27.669</v>
      </c>
      <c r="L2181" s="8">
        <v>29.509</v>
      </c>
      <c r="M2181" s="8">
        <v>24.940999999999999</v>
      </c>
      <c r="N2181" s="8">
        <v>21.294</v>
      </c>
      <c r="O2181" s="8">
        <v>16.224</v>
      </c>
      <c r="P2181" s="8">
        <v>14.423999999999999</v>
      </c>
      <c r="Q2181" s="8">
        <v>11.738</v>
      </c>
      <c r="R2181" s="8">
        <v>9.9429999999999996</v>
      </c>
      <c r="S2181" s="8">
        <v>7.343</v>
      </c>
      <c r="T2181" s="8">
        <v>5.54</v>
      </c>
      <c r="U2181" s="8">
        <v>5.4980000000000002</v>
      </c>
      <c r="V2181" s="8">
        <v>3.6110000000000002</v>
      </c>
      <c r="W2181" s="8">
        <v>1.7729999999999999</v>
      </c>
      <c r="X2181" s="8">
        <v>1.3029999999999999</v>
      </c>
      <c r="Y2181" s="8">
        <v>0.51100000000000001</v>
      </c>
      <c r="Z2181" s="8">
        <v>0.14099999999999999</v>
      </c>
      <c r="AA2181" s="8">
        <v>2.3E-2</v>
      </c>
      <c r="AB2181" s="8">
        <v>2E-3</v>
      </c>
      <c r="AC2181" s="8">
        <v>0</v>
      </c>
    </row>
    <row r="2182" spans="1:29" ht="11.65" hidden="1" x14ac:dyDescent="0.35">
      <c r="A2182" s="12">
        <v>2165</v>
      </c>
      <c r="B2182" s="10" t="s">
        <v>1015</v>
      </c>
      <c r="C2182" s="11" t="s">
        <v>1168</v>
      </c>
      <c r="D2182" s="9"/>
      <c r="E2182" s="9">
        <v>626</v>
      </c>
      <c r="F2182" s="10" t="s">
        <v>1066</v>
      </c>
      <c r="G2182" s="9">
        <v>920</v>
      </c>
      <c r="H2182" s="9">
        <v>1970</v>
      </c>
      <c r="I2182" s="8">
        <v>45.030999999999999</v>
      </c>
      <c r="J2182" s="8">
        <v>37.473999999999997</v>
      </c>
      <c r="K2182" s="8">
        <v>31.734999999999999</v>
      </c>
      <c r="L2182" s="8">
        <v>26.77</v>
      </c>
      <c r="M2182" s="8">
        <v>28.248000000000001</v>
      </c>
      <c r="N2182" s="8">
        <v>23.684999999999999</v>
      </c>
      <c r="O2182" s="8">
        <v>20.091999999999999</v>
      </c>
      <c r="P2182" s="8">
        <v>15.202</v>
      </c>
      <c r="Q2182" s="8">
        <v>13.43</v>
      </c>
      <c r="R2182" s="8">
        <v>10.856999999999999</v>
      </c>
      <c r="S2182" s="8">
        <v>9.048</v>
      </c>
      <c r="T2182" s="8">
        <v>6.4880000000000004</v>
      </c>
      <c r="U2182" s="8">
        <v>4.6580000000000004</v>
      </c>
      <c r="V2182" s="8">
        <v>4.2839999999999998</v>
      </c>
      <c r="W2182" s="8">
        <v>2.5150000000000001</v>
      </c>
      <c r="X2182" s="8">
        <v>1.03</v>
      </c>
      <c r="Y2182" s="8">
        <v>0.58199999999999996</v>
      </c>
      <c r="Z2182" s="8">
        <v>0.158</v>
      </c>
      <c r="AA2182" s="8">
        <v>2.9000000000000001E-2</v>
      </c>
      <c r="AB2182" s="8">
        <v>3.0000000000000001E-3</v>
      </c>
      <c r="AC2182" s="8">
        <v>0</v>
      </c>
    </row>
    <row r="2183" spans="1:29" ht="11.65" hidden="1" x14ac:dyDescent="0.35">
      <c r="A2183" s="12">
        <v>2166</v>
      </c>
      <c r="B2183" s="10" t="s">
        <v>1015</v>
      </c>
      <c r="C2183" s="11" t="s">
        <v>1168</v>
      </c>
      <c r="D2183" s="9"/>
      <c r="E2183" s="9">
        <v>626</v>
      </c>
      <c r="F2183" s="10" t="s">
        <v>1066</v>
      </c>
      <c r="G2183" s="9">
        <v>920</v>
      </c>
      <c r="H2183" s="9">
        <v>1975</v>
      </c>
      <c r="I2183" s="8">
        <v>48.167000000000002</v>
      </c>
      <c r="J2183" s="8">
        <v>41.098999999999997</v>
      </c>
      <c r="K2183" s="8">
        <v>36.377000000000002</v>
      </c>
      <c r="L2183" s="8">
        <v>30.809000000000001</v>
      </c>
      <c r="M2183" s="8">
        <v>25.736000000000001</v>
      </c>
      <c r="N2183" s="8">
        <v>26.960999999999999</v>
      </c>
      <c r="O2183" s="8">
        <v>22.472999999999999</v>
      </c>
      <c r="P2183" s="8">
        <v>18.943999999999999</v>
      </c>
      <c r="Q2183" s="8">
        <v>14.247999999999999</v>
      </c>
      <c r="R2183" s="8">
        <v>12.506</v>
      </c>
      <c r="S2183" s="8">
        <v>9.9529999999999994</v>
      </c>
      <c r="T2183" s="8">
        <v>8.0709999999999997</v>
      </c>
      <c r="U2183" s="8">
        <v>5.5250000000000004</v>
      </c>
      <c r="V2183" s="8">
        <v>3.6909999999999998</v>
      </c>
      <c r="W2183" s="8">
        <v>3.05</v>
      </c>
      <c r="X2183" s="8">
        <v>1.504</v>
      </c>
      <c r="Y2183" s="8">
        <v>0.47699999999999998</v>
      </c>
      <c r="Z2183" s="8">
        <v>0.189</v>
      </c>
      <c r="AA2183" s="8">
        <v>3.3000000000000002E-2</v>
      </c>
      <c r="AB2183" s="8">
        <v>4.0000000000000001E-3</v>
      </c>
      <c r="AC2183" s="8">
        <v>0</v>
      </c>
    </row>
    <row r="2184" spans="1:29" ht="11.65" hidden="1" x14ac:dyDescent="0.35">
      <c r="A2184" s="12">
        <v>2167</v>
      </c>
      <c r="B2184" s="10" t="s">
        <v>1015</v>
      </c>
      <c r="C2184" s="11" t="s">
        <v>1168</v>
      </c>
      <c r="D2184" s="9"/>
      <c r="E2184" s="9">
        <v>626</v>
      </c>
      <c r="F2184" s="10" t="s">
        <v>1066</v>
      </c>
      <c r="G2184" s="9">
        <v>920</v>
      </c>
      <c r="H2184" s="9">
        <v>1980</v>
      </c>
      <c r="I2184" s="8">
        <v>38.633000000000003</v>
      </c>
      <c r="J2184" s="8">
        <v>41.058</v>
      </c>
      <c r="K2184" s="8">
        <v>38.792999999999999</v>
      </c>
      <c r="L2184" s="8">
        <v>33.695999999999998</v>
      </c>
      <c r="M2184" s="8">
        <v>26.91</v>
      </c>
      <c r="N2184" s="8">
        <v>20.07</v>
      </c>
      <c r="O2184" s="8">
        <v>20.408000000000001</v>
      </c>
      <c r="P2184" s="8">
        <v>17.349</v>
      </c>
      <c r="Q2184" s="8">
        <v>15.055</v>
      </c>
      <c r="R2184" s="8">
        <v>11.441000000000001</v>
      </c>
      <c r="S2184" s="8">
        <v>10.176</v>
      </c>
      <c r="T2184" s="8">
        <v>7.9610000000000003</v>
      </c>
      <c r="U2184" s="8">
        <v>6.181</v>
      </c>
      <c r="V2184" s="8">
        <v>3.8860000000000001</v>
      </c>
      <c r="W2184" s="8">
        <v>2.2919999999999998</v>
      </c>
      <c r="X2184" s="8">
        <v>1.5660000000000001</v>
      </c>
      <c r="Y2184" s="8">
        <v>0.56899999999999995</v>
      </c>
      <c r="Z2184" s="8">
        <v>0.125</v>
      </c>
      <c r="AA2184" s="8">
        <v>3.3000000000000002E-2</v>
      </c>
      <c r="AB2184" s="8">
        <v>3.0000000000000001E-3</v>
      </c>
      <c r="AC2184" s="8">
        <v>0</v>
      </c>
    </row>
    <row r="2185" spans="1:29" ht="11.65" hidden="1" x14ac:dyDescent="0.35">
      <c r="A2185" s="12">
        <v>2168</v>
      </c>
      <c r="B2185" s="10" t="s">
        <v>1015</v>
      </c>
      <c r="C2185" s="11" t="s">
        <v>1168</v>
      </c>
      <c r="D2185" s="9"/>
      <c r="E2185" s="9">
        <v>626</v>
      </c>
      <c r="F2185" s="10" t="s">
        <v>1066</v>
      </c>
      <c r="G2185" s="9">
        <v>920</v>
      </c>
      <c r="H2185" s="9">
        <v>1985</v>
      </c>
      <c r="I2185" s="8">
        <v>48.768000000000001</v>
      </c>
      <c r="J2185" s="8">
        <v>35.256</v>
      </c>
      <c r="K2185" s="8">
        <v>39.853000000000002</v>
      </c>
      <c r="L2185" s="8">
        <v>37.658000000000001</v>
      </c>
      <c r="M2185" s="8">
        <v>32.393000000000001</v>
      </c>
      <c r="N2185" s="8">
        <v>25.681000000000001</v>
      </c>
      <c r="O2185" s="8">
        <v>19.042000000000002</v>
      </c>
      <c r="P2185" s="8">
        <v>19.239000000000001</v>
      </c>
      <c r="Q2185" s="8">
        <v>16.257000000000001</v>
      </c>
      <c r="R2185" s="8">
        <v>14.019</v>
      </c>
      <c r="S2185" s="8">
        <v>10.488</v>
      </c>
      <c r="T2185" s="8">
        <v>9.077</v>
      </c>
      <c r="U2185" s="8">
        <v>6.7759999999999998</v>
      </c>
      <c r="V2185" s="8">
        <v>4.8970000000000002</v>
      </c>
      <c r="W2185" s="8">
        <v>2.7650000000000001</v>
      </c>
      <c r="X2185" s="8">
        <v>1.371</v>
      </c>
      <c r="Y2185" s="8">
        <v>0.72399999999999998</v>
      </c>
      <c r="Z2185" s="8">
        <v>0.185</v>
      </c>
      <c r="AA2185" s="8">
        <v>2.5000000000000001E-2</v>
      </c>
      <c r="AB2185" s="8">
        <v>4.0000000000000001E-3</v>
      </c>
      <c r="AC2185" s="8">
        <v>0</v>
      </c>
    </row>
    <row r="2186" spans="1:29" ht="11.65" hidden="1" x14ac:dyDescent="0.35">
      <c r="A2186" s="12">
        <v>2169</v>
      </c>
      <c r="B2186" s="10" t="s">
        <v>1015</v>
      </c>
      <c r="C2186" s="11" t="s">
        <v>1168</v>
      </c>
      <c r="D2186" s="9"/>
      <c r="E2186" s="9">
        <v>626</v>
      </c>
      <c r="F2186" s="10" t="s">
        <v>1066</v>
      </c>
      <c r="G2186" s="9">
        <v>920</v>
      </c>
      <c r="H2186" s="9">
        <v>1990</v>
      </c>
      <c r="I2186" s="8">
        <v>58.642000000000003</v>
      </c>
      <c r="J2186" s="8">
        <v>45.773000000000003</v>
      </c>
      <c r="K2186" s="8">
        <v>34.514000000000003</v>
      </c>
      <c r="L2186" s="8">
        <v>39.01</v>
      </c>
      <c r="M2186" s="8">
        <v>36.585000000000001</v>
      </c>
      <c r="N2186" s="8">
        <v>31.297999999999998</v>
      </c>
      <c r="O2186" s="8">
        <v>24.706</v>
      </c>
      <c r="P2186" s="8">
        <v>18.228999999999999</v>
      </c>
      <c r="Q2186" s="8">
        <v>18.324000000000002</v>
      </c>
      <c r="R2186" s="8">
        <v>15.388</v>
      </c>
      <c r="S2186" s="8">
        <v>13.089</v>
      </c>
      <c r="T2186" s="8">
        <v>9.57</v>
      </c>
      <c r="U2186" s="8">
        <v>7.9660000000000002</v>
      </c>
      <c r="V2186" s="8">
        <v>5.593</v>
      </c>
      <c r="W2186" s="8">
        <v>3.6709999999999998</v>
      </c>
      <c r="X2186" s="8">
        <v>1.7729999999999999</v>
      </c>
      <c r="Y2186" s="8">
        <v>0.69299999999999995</v>
      </c>
      <c r="Z2186" s="8">
        <v>0.26100000000000001</v>
      </c>
      <c r="AA2186" s="8">
        <v>4.3999999999999997E-2</v>
      </c>
      <c r="AB2186" s="8">
        <v>4.0000000000000001E-3</v>
      </c>
      <c r="AC2186" s="8">
        <v>0</v>
      </c>
    </row>
    <row r="2187" spans="1:29" ht="11.65" hidden="1" x14ac:dyDescent="0.35">
      <c r="A2187" s="12">
        <v>2170</v>
      </c>
      <c r="B2187" s="10" t="s">
        <v>1015</v>
      </c>
      <c r="C2187" s="11" t="s">
        <v>1168</v>
      </c>
      <c r="D2187" s="9"/>
      <c r="E2187" s="9">
        <v>626</v>
      </c>
      <c r="F2187" s="10" t="s">
        <v>1066</v>
      </c>
      <c r="G2187" s="9">
        <v>920</v>
      </c>
      <c r="H2187" s="9">
        <v>1995</v>
      </c>
      <c r="I2187" s="8">
        <v>71.174000000000007</v>
      </c>
      <c r="J2187" s="8">
        <v>55.816000000000003</v>
      </c>
      <c r="K2187" s="8">
        <v>44.999000000000002</v>
      </c>
      <c r="L2187" s="8">
        <v>33.918999999999997</v>
      </c>
      <c r="M2187" s="8">
        <v>38.075000000000003</v>
      </c>
      <c r="N2187" s="8">
        <v>35.537999999999997</v>
      </c>
      <c r="O2187" s="8">
        <v>30.29</v>
      </c>
      <c r="P2187" s="8">
        <v>23.81</v>
      </c>
      <c r="Q2187" s="8">
        <v>17.486000000000001</v>
      </c>
      <c r="R2187" s="8">
        <v>17.471</v>
      </c>
      <c r="S2187" s="8">
        <v>14.487</v>
      </c>
      <c r="T2187" s="8">
        <v>12.065</v>
      </c>
      <c r="U2187" s="8">
        <v>8.5109999999999992</v>
      </c>
      <c r="V2187" s="8">
        <v>6.6909999999999998</v>
      </c>
      <c r="W2187" s="8">
        <v>4.2859999999999996</v>
      </c>
      <c r="X2187" s="8">
        <v>2.423</v>
      </c>
      <c r="Y2187" s="8">
        <v>0.92900000000000005</v>
      </c>
      <c r="Z2187" s="8">
        <v>0.26200000000000001</v>
      </c>
      <c r="AA2187" s="8">
        <v>6.6000000000000003E-2</v>
      </c>
      <c r="AB2187" s="8">
        <v>6.0000000000000001E-3</v>
      </c>
      <c r="AC2187" s="8">
        <v>0</v>
      </c>
    </row>
    <row r="2188" spans="1:29" ht="11.65" hidden="1" x14ac:dyDescent="0.35">
      <c r="A2188" s="12">
        <v>2171</v>
      </c>
      <c r="B2188" s="10" t="s">
        <v>1015</v>
      </c>
      <c r="C2188" s="11" t="s">
        <v>1168</v>
      </c>
      <c r="D2188" s="9"/>
      <c r="E2188" s="9">
        <v>626</v>
      </c>
      <c r="F2188" s="10" t="s">
        <v>1066</v>
      </c>
      <c r="G2188" s="9">
        <v>920</v>
      </c>
      <c r="H2188" s="9">
        <v>2000</v>
      </c>
      <c r="I2188" s="8">
        <v>74.897000000000006</v>
      </c>
      <c r="J2188" s="8">
        <v>67.12</v>
      </c>
      <c r="K2188" s="8">
        <v>53.564</v>
      </c>
      <c r="L2188" s="8">
        <v>42.811</v>
      </c>
      <c r="M2188" s="8">
        <v>30.137</v>
      </c>
      <c r="N2188" s="8">
        <v>31.35</v>
      </c>
      <c r="O2188" s="8">
        <v>27.649000000000001</v>
      </c>
      <c r="P2188" s="8">
        <v>23.65</v>
      </c>
      <c r="Q2188" s="8">
        <v>18.829000000000001</v>
      </c>
      <c r="R2188" s="8">
        <v>13.86</v>
      </c>
      <c r="S2188" s="8">
        <v>14.724</v>
      </c>
      <c r="T2188" s="8">
        <v>12.34</v>
      </c>
      <c r="U2188" s="8">
        <v>10.189</v>
      </c>
      <c r="V2188" s="8">
        <v>6.883</v>
      </c>
      <c r="W2188" s="8">
        <v>5.0460000000000003</v>
      </c>
      <c r="X2188" s="8">
        <v>2.8250000000000002</v>
      </c>
      <c r="Y2188" s="8">
        <v>1.28</v>
      </c>
      <c r="Z2188" s="8">
        <v>0.35899999999999999</v>
      </c>
      <c r="AA2188" s="8">
        <v>6.7000000000000004E-2</v>
      </c>
      <c r="AB2188" s="8">
        <v>0.01</v>
      </c>
      <c r="AC2188" s="8">
        <v>1E-3</v>
      </c>
    </row>
    <row r="2189" spans="1:29" ht="11.65" hidden="1" x14ac:dyDescent="0.35">
      <c r="A2189" s="12">
        <v>2172</v>
      </c>
      <c r="B2189" s="10" t="s">
        <v>1015</v>
      </c>
      <c r="C2189" s="11" t="s">
        <v>1168</v>
      </c>
      <c r="D2189" s="9"/>
      <c r="E2189" s="9">
        <v>626</v>
      </c>
      <c r="F2189" s="10" t="s">
        <v>1066</v>
      </c>
      <c r="G2189" s="9">
        <v>920</v>
      </c>
      <c r="H2189" s="9">
        <v>2005</v>
      </c>
      <c r="I2189" s="8">
        <v>81.956999999999994</v>
      </c>
      <c r="J2189" s="8">
        <v>71.742999999999995</v>
      </c>
      <c r="K2189" s="8">
        <v>65.245000000000005</v>
      </c>
      <c r="L2189" s="8">
        <v>51.356999999999999</v>
      </c>
      <c r="M2189" s="8">
        <v>39.234000000000002</v>
      </c>
      <c r="N2189" s="8">
        <v>27.327000000000002</v>
      </c>
      <c r="O2189" s="8">
        <v>30.026</v>
      </c>
      <c r="P2189" s="8">
        <v>26.527000000000001</v>
      </c>
      <c r="Q2189" s="8">
        <v>22.702000000000002</v>
      </c>
      <c r="R2189" s="8">
        <v>18.012</v>
      </c>
      <c r="S2189" s="8">
        <v>13.137</v>
      </c>
      <c r="T2189" s="8">
        <v>13.792</v>
      </c>
      <c r="U2189" s="8">
        <v>11.260999999999999</v>
      </c>
      <c r="V2189" s="8">
        <v>8.8780000000000001</v>
      </c>
      <c r="W2189" s="8">
        <v>5.5369999999999999</v>
      </c>
      <c r="X2189" s="8">
        <v>3.5489999999999999</v>
      </c>
      <c r="Y2189" s="8">
        <v>1.6020000000000001</v>
      </c>
      <c r="Z2189" s="8">
        <v>0.52700000000000002</v>
      </c>
      <c r="AA2189" s="8">
        <v>9.6000000000000002E-2</v>
      </c>
      <c r="AB2189" s="8">
        <v>1.0999999999999999E-2</v>
      </c>
      <c r="AC2189" s="8">
        <v>1E-3</v>
      </c>
    </row>
    <row r="2190" spans="1:29" ht="11.65" hidden="1" x14ac:dyDescent="0.35">
      <c r="A2190" s="12">
        <v>2173</v>
      </c>
      <c r="B2190" s="10" t="s">
        <v>1015</v>
      </c>
      <c r="C2190" s="11" t="s">
        <v>1168</v>
      </c>
      <c r="D2190" s="9"/>
      <c r="E2190" s="9">
        <v>626</v>
      </c>
      <c r="F2190" s="10" t="s">
        <v>1066</v>
      </c>
      <c r="G2190" s="9">
        <v>920</v>
      </c>
      <c r="H2190" s="9">
        <v>2010</v>
      </c>
      <c r="I2190" s="8">
        <v>79.149000000000001</v>
      </c>
      <c r="J2190" s="8">
        <v>79.659000000000006</v>
      </c>
      <c r="K2190" s="8">
        <v>70.228999999999999</v>
      </c>
      <c r="L2190" s="8">
        <v>62.795999999999999</v>
      </c>
      <c r="M2190" s="8">
        <v>48.131999999999998</v>
      </c>
      <c r="N2190" s="8">
        <v>36.140999999999998</v>
      </c>
      <c r="O2190" s="8">
        <v>24.664999999999999</v>
      </c>
      <c r="P2190" s="8">
        <v>27.92</v>
      </c>
      <c r="Q2190" s="8">
        <v>24.917999999999999</v>
      </c>
      <c r="R2190" s="8">
        <v>21.417999999999999</v>
      </c>
      <c r="S2190" s="8">
        <v>16.937000000000001</v>
      </c>
      <c r="T2190" s="8">
        <v>12.215</v>
      </c>
      <c r="U2190" s="8">
        <v>12.641</v>
      </c>
      <c r="V2190" s="8">
        <v>9.9079999999999995</v>
      </c>
      <c r="W2190" s="8">
        <v>7.2370000000000001</v>
      </c>
      <c r="X2190" s="8">
        <v>3.9340000000000002</v>
      </c>
      <c r="Y2190" s="8">
        <v>2.0369999999999999</v>
      </c>
      <c r="Z2190" s="8">
        <v>0.67600000000000005</v>
      </c>
      <c r="AA2190" s="8">
        <v>0.14699999999999999</v>
      </c>
      <c r="AB2190" s="8">
        <v>1.4999999999999999E-2</v>
      </c>
      <c r="AC2190" s="8">
        <v>1E-3</v>
      </c>
    </row>
    <row r="2191" spans="1:29" ht="11.65" hidden="1" x14ac:dyDescent="0.35">
      <c r="A2191" s="12">
        <v>2174</v>
      </c>
      <c r="B2191" s="10" t="s">
        <v>1015</v>
      </c>
      <c r="C2191" s="11" t="s">
        <v>1168</v>
      </c>
      <c r="D2191" s="9"/>
      <c r="E2191" s="9">
        <v>626</v>
      </c>
      <c r="F2191" s="10" t="s">
        <v>1066</v>
      </c>
      <c r="G2191" s="9">
        <v>920</v>
      </c>
      <c r="H2191" s="9">
        <v>2015</v>
      </c>
      <c r="I2191" s="8">
        <v>77.174999999999997</v>
      </c>
      <c r="J2191" s="8">
        <v>77.037000000000006</v>
      </c>
      <c r="K2191" s="8">
        <v>78.144000000000005</v>
      </c>
      <c r="L2191" s="8">
        <v>67.478999999999999</v>
      </c>
      <c r="M2191" s="8">
        <v>59.22</v>
      </c>
      <c r="N2191" s="8">
        <v>45.750999999999998</v>
      </c>
      <c r="O2191" s="8">
        <v>34.917000000000002</v>
      </c>
      <c r="P2191" s="8">
        <v>23.902000000000001</v>
      </c>
      <c r="Q2191" s="8">
        <v>27.254000000000001</v>
      </c>
      <c r="R2191" s="8">
        <v>24.294</v>
      </c>
      <c r="S2191" s="8">
        <v>20.754000000000001</v>
      </c>
      <c r="T2191" s="8">
        <v>16.155999999999999</v>
      </c>
      <c r="U2191" s="8">
        <v>11.337</v>
      </c>
      <c r="V2191" s="8">
        <v>11.276</v>
      </c>
      <c r="W2191" s="8">
        <v>8.1989999999999998</v>
      </c>
      <c r="X2191" s="8">
        <v>5.2489999999999997</v>
      </c>
      <c r="Y2191" s="8">
        <v>2.3140000000000001</v>
      </c>
      <c r="Z2191" s="8">
        <v>0.88100000000000001</v>
      </c>
      <c r="AA2191" s="8">
        <v>0.191</v>
      </c>
      <c r="AB2191" s="8">
        <v>2.4E-2</v>
      </c>
      <c r="AC2191" s="8">
        <v>1E-3</v>
      </c>
    </row>
    <row r="2192" spans="1:29" ht="11.65" hidden="1" x14ac:dyDescent="0.35">
      <c r="A2192" s="12">
        <v>2175</v>
      </c>
      <c r="B2192" s="10" t="s">
        <v>1015</v>
      </c>
      <c r="C2192" s="11" t="s">
        <v>1168</v>
      </c>
      <c r="D2192" s="9"/>
      <c r="E2192" s="9">
        <v>626</v>
      </c>
      <c r="F2192" s="10" t="s">
        <v>1066</v>
      </c>
      <c r="G2192" s="9">
        <v>920</v>
      </c>
      <c r="H2192" s="9">
        <v>2020</v>
      </c>
      <c r="I2192" s="8">
        <v>87.391000000000005</v>
      </c>
      <c r="J2192" s="8">
        <v>75.468999999999994</v>
      </c>
      <c r="K2192" s="8">
        <v>75.644999999999996</v>
      </c>
      <c r="L2192" s="8">
        <v>75.477999999999994</v>
      </c>
      <c r="M2192" s="8">
        <v>63.953000000000003</v>
      </c>
      <c r="N2192" s="8">
        <v>56.841000000000001</v>
      </c>
      <c r="O2192" s="8">
        <v>44.52</v>
      </c>
      <c r="P2192" s="8">
        <v>34.122</v>
      </c>
      <c r="Q2192" s="8">
        <v>23.303999999999998</v>
      </c>
      <c r="R2192" s="8">
        <v>26.643999999999998</v>
      </c>
      <c r="S2192" s="8">
        <v>23.623999999999999</v>
      </c>
      <c r="T2192" s="8">
        <v>19.895</v>
      </c>
      <c r="U2192" s="8">
        <v>15.098000000000001</v>
      </c>
      <c r="V2192" s="8">
        <v>10.19</v>
      </c>
      <c r="W2192" s="8">
        <v>9.4529999999999994</v>
      </c>
      <c r="X2192" s="8">
        <v>6.0620000000000003</v>
      </c>
      <c r="Y2192" s="8">
        <v>3.1760000000000002</v>
      </c>
      <c r="Z2192" s="8">
        <v>1.0389999999999999</v>
      </c>
      <c r="AA2192" s="8">
        <v>0.26100000000000001</v>
      </c>
      <c r="AB2192" s="8">
        <v>3.3000000000000002E-2</v>
      </c>
      <c r="AC2192" s="8">
        <v>2E-3</v>
      </c>
    </row>
    <row r="2193" spans="1:29" ht="11.65" hidden="1" x14ac:dyDescent="0.35">
      <c r="A2193" s="12">
        <v>2176</v>
      </c>
      <c r="B2193" s="10" t="s">
        <v>1015</v>
      </c>
      <c r="C2193" s="11" t="s">
        <v>1169</v>
      </c>
      <c r="D2193" s="9"/>
      <c r="E2193" s="9">
        <v>704</v>
      </c>
      <c r="F2193" s="10" t="s">
        <v>1066</v>
      </c>
      <c r="G2193" s="9">
        <v>920</v>
      </c>
      <c r="H2193" s="9">
        <v>1950</v>
      </c>
      <c r="I2193" s="8">
        <v>1552.6769999999999</v>
      </c>
      <c r="J2193" s="8">
        <v>1233.7470000000001</v>
      </c>
      <c r="K2193" s="8">
        <v>1193.6189999999999</v>
      </c>
      <c r="L2193" s="8">
        <v>1267.346</v>
      </c>
      <c r="M2193" s="8">
        <v>1098.088</v>
      </c>
      <c r="N2193" s="8">
        <v>1029.7570000000001</v>
      </c>
      <c r="O2193" s="8">
        <v>884.86699999999996</v>
      </c>
      <c r="P2193" s="8">
        <v>847.35799999999995</v>
      </c>
      <c r="Q2193" s="8">
        <v>734.73500000000001</v>
      </c>
      <c r="R2193" s="8">
        <v>718.85199999999998</v>
      </c>
      <c r="S2193" s="8">
        <v>576.09500000000003</v>
      </c>
      <c r="T2193" s="8">
        <v>474.32499999999999</v>
      </c>
      <c r="U2193" s="8">
        <v>368.03300000000002</v>
      </c>
      <c r="V2193" s="8">
        <v>263.42599999999999</v>
      </c>
      <c r="W2193" s="8">
        <v>172.749</v>
      </c>
      <c r="X2193" s="8">
        <v>93.25</v>
      </c>
      <c r="Y2193" s="8">
        <v>31.457999999999998</v>
      </c>
      <c r="Z2193" s="8">
        <v>14.603</v>
      </c>
      <c r="AA2193" s="8">
        <v>4.883</v>
      </c>
      <c r="AB2193" s="8">
        <v>1.073</v>
      </c>
      <c r="AC2193" s="8">
        <v>0.153</v>
      </c>
    </row>
    <row r="2194" spans="1:29" ht="11.65" hidden="1" x14ac:dyDescent="0.35">
      <c r="A2194" s="12">
        <v>2177</v>
      </c>
      <c r="B2194" s="10" t="s">
        <v>1015</v>
      </c>
      <c r="C2194" s="11" t="s">
        <v>1169</v>
      </c>
      <c r="D2194" s="9"/>
      <c r="E2194" s="9">
        <v>704</v>
      </c>
      <c r="F2194" s="10" t="s">
        <v>1066</v>
      </c>
      <c r="G2194" s="9">
        <v>920</v>
      </c>
      <c r="H2194" s="9">
        <v>1955</v>
      </c>
      <c r="I2194" s="8">
        <v>2247.9580000000001</v>
      </c>
      <c r="J2194" s="8">
        <v>1468.5530000000001</v>
      </c>
      <c r="K2194" s="8">
        <v>1202.508</v>
      </c>
      <c r="L2194" s="8">
        <v>1178.4110000000001</v>
      </c>
      <c r="M2194" s="8">
        <v>1255.674</v>
      </c>
      <c r="N2194" s="8">
        <v>1087.5350000000001</v>
      </c>
      <c r="O2194" s="8">
        <v>1015.814</v>
      </c>
      <c r="P2194" s="8">
        <v>864.45299999999997</v>
      </c>
      <c r="Q2194" s="8">
        <v>824.928</v>
      </c>
      <c r="R2194" s="8">
        <v>711.14200000000005</v>
      </c>
      <c r="S2194" s="8">
        <v>686.447</v>
      </c>
      <c r="T2194" s="8">
        <v>541.90899999999999</v>
      </c>
      <c r="U2194" s="8">
        <v>435.49700000000001</v>
      </c>
      <c r="V2194" s="8">
        <v>320.964</v>
      </c>
      <c r="W2194" s="8">
        <v>209.60400000000001</v>
      </c>
      <c r="X2194" s="8">
        <v>121.90300000000001</v>
      </c>
      <c r="Y2194" s="8">
        <v>55.33</v>
      </c>
      <c r="Z2194" s="8">
        <v>14.603999999999999</v>
      </c>
      <c r="AA2194" s="8">
        <v>4.8840000000000003</v>
      </c>
      <c r="AB2194" s="8">
        <v>1.073</v>
      </c>
      <c r="AC2194" s="8">
        <v>0.153</v>
      </c>
    </row>
    <row r="2195" spans="1:29" ht="11.65" hidden="1" x14ac:dyDescent="0.35">
      <c r="A2195" s="12">
        <v>2178</v>
      </c>
      <c r="B2195" s="10" t="s">
        <v>1015</v>
      </c>
      <c r="C2195" s="11" t="s">
        <v>1169</v>
      </c>
      <c r="D2195" s="9"/>
      <c r="E2195" s="9">
        <v>704</v>
      </c>
      <c r="F2195" s="10" t="s">
        <v>1066</v>
      </c>
      <c r="G2195" s="9">
        <v>920</v>
      </c>
      <c r="H2195" s="9">
        <v>1960</v>
      </c>
      <c r="I2195" s="8">
        <v>2849.0340000000001</v>
      </c>
      <c r="J2195" s="8">
        <v>2152.9369999999999</v>
      </c>
      <c r="K2195" s="8">
        <v>1438.2270000000001</v>
      </c>
      <c r="L2195" s="8">
        <v>1188.4870000000001</v>
      </c>
      <c r="M2195" s="8">
        <v>1168.6690000000001</v>
      </c>
      <c r="N2195" s="8">
        <v>1245.29</v>
      </c>
      <c r="O2195" s="8">
        <v>1076.104</v>
      </c>
      <c r="P2195" s="8">
        <v>998.03800000000001</v>
      </c>
      <c r="Q2195" s="8">
        <v>846.05</v>
      </c>
      <c r="R2195" s="8">
        <v>803.66899999999998</v>
      </c>
      <c r="S2195" s="8">
        <v>685.17100000000005</v>
      </c>
      <c r="T2195" s="8">
        <v>651.23199999999997</v>
      </c>
      <c r="U2195" s="8">
        <v>504.40899999999999</v>
      </c>
      <c r="V2195" s="8">
        <v>387.74599999999998</v>
      </c>
      <c r="W2195" s="8">
        <v>262.50799999999998</v>
      </c>
      <c r="X2195" s="8">
        <v>153.595</v>
      </c>
      <c r="Y2195" s="8">
        <v>75.945999999999998</v>
      </c>
      <c r="Z2195" s="8">
        <v>27.346</v>
      </c>
      <c r="AA2195" s="8">
        <v>5.2489999999999997</v>
      </c>
      <c r="AB2195" s="8">
        <v>1.1599999999999999</v>
      </c>
      <c r="AC2195" s="8">
        <v>0.16600000000000001</v>
      </c>
    </row>
    <row r="2196" spans="1:29" ht="11.65" hidden="1" x14ac:dyDescent="0.35">
      <c r="A2196" s="12">
        <v>2179</v>
      </c>
      <c r="B2196" s="10" t="s">
        <v>1015</v>
      </c>
      <c r="C2196" s="11" t="s">
        <v>1169</v>
      </c>
      <c r="D2196" s="9"/>
      <c r="E2196" s="9">
        <v>704</v>
      </c>
      <c r="F2196" s="10" t="s">
        <v>1066</v>
      </c>
      <c r="G2196" s="9">
        <v>920</v>
      </c>
      <c r="H2196" s="9">
        <v>1965</v>
      </c>
      <c r="I2196" s="8">
        <v>3203.9639999999999</v>
      </c>
      <c r="J2196" s="8">
        <v>2755.6419999999998</v>
      </c>
      <c r="K2196" s="8">
        <v>2116.4659999999999</v>
      </c>
      <c r="L2196" s="8">
        <v>1423.0540000000001</v>
      </c>
      <c r="M2196" s="8">
        <v>1179.704</v>
      </c>
      <c r="N2196" s="8">
        <v>1160.3589999999999</v>
      </c>
      <c r="O2196" s="8">
        <v>1234.93</v>
      </c>
      <c r="P2196" s="8">
        <v>1061.588</v>
      </c>
      <c r="Q2196" s="8">
        <v>980.81100000000004</v>
      </c>
      <c r="R2196" s="8">
        <v>828.154</v>
      </c>
      <c r="S2196" s="8">
        <v>779.51199999999994</v>
      </c>
      <c r="T2196" s="8">
        <v>654.87900000000002</v>
      </c>
      <c r="U2196" s="8">
        <v>613.005</v>
      </c>
      <c r="V2196" s="8">
        <v>456.74799999999999</v>
      </c>
      <c r="W2196" s="8">
        <v>324.74400000000003</v>
      </c>
      <c r="X2196" s="8">
        <v>199.10400000000001</v>
      </c>
      <c r="Y2196" s="8">
        <v>100.29300000000001</v>
      </c>
      <c r="Z2196" s="8">
        <v>39.86</v>
      </c>
      <c r="AA2196" s="8">
        <v>10.61</v>
      </c>
      <c r="AB2196" s="8">
        <v>1.359</v>
      </c>
      <c r="AC2196" s="8">
        <v>0.19600000000000001</v>
      </c>
    </row>
    <row r="2197" spans="1:29" ht="11.65" hidden="1" x14ac:dyDescent="0.35">
      <c r="A2197" s="12">
        <v>2180</v>
      </c>
      <c r="B2197" s="10" t="s">
        <v>1015</v>
      </c>
      <c r="C2197" s="11" t="s">
        <v>1169</v>
      </c>
      <c r="D2197" s="9"/>
      <c r="E2197" s="9">
        <v>704</v>
      </c>
      <c r="F2197" s="10" t="s">
        <v>1066</v>
      </c>
      <c r="G2197" s="9">
        <v>920</v>
      </c>
      <c r="H2197" s="9">
        <v>1970</v>
      </c>
      <c r="I2197" s="8">
        <v>3444.5390000000002</v>
      </c>
      <c r="J2197" s="8">
        <v>3121.366</v>
      </c>
      <c r="K2197" s="8">
        <v>2714.4189999999999</v>
      </c>
      <c r="L2197" s="8">
        <v>2094.942</v>
      </c>
      <c r="M2197" s="8">
        <v>1412.8779999999999</v>
      </c>
      <c r="N2197" s="8">
        <v>1171.787</v>
      </c>
      <c r="O2197" s="8">
        <v>1151.7950000000001</v>
      </c>
      <c r="P2197" s="8">
        <v>1220.7539999999999</v>
      </c>
      <c r="Q2197" s="8">
        <v>1045.23</v>
      </c>
      <c r="R2197" s="8">
        <v>961.81299999999999</v>
      </c>
      <c r="S2197" s="8">
        <v>805.66200000000003</v>
      </c>
      <c r="T2197" s="8">
        <v>747.50599999999997</v>
      </c>
      <c r="U2197" s="8">
        <v>619.10900000000004</v>
      </c>
      <c r="V2197" s="8">
        <v>561.12099999999998</v>
      </c>
      <c r="W2197" s="8">
        <v>391.08600000000001</v>
      </c>
      <c r="X2197" s="8">
        <v>254.93700000000001</v>
      </c>
      <c r="Y2197" s="8">
        <v>137.20099999999999</v>
      </c>
      <c r="Z2197" s="8">
        <v>57.088000000000001</v>
      </c>
      <c r="AA2197" s="8">
        <v>17.32</v>
      </c>
      <c r="AB2197" s="8">
        <v>3.21</v>
      </c>
      <c r="AC2197" s="8">
        <v>0.27500000000000002</v>
      </c>
    </row>
    <row r="2198" spans="1:29" ht="11.65" hidden="1" x14ac:dyDescent="0.35">
      <c r="A2198" s="12">
        <v>2181</v>
      </c>
      <c r="B2198" s="10" t="s">
        <v>1015</v>
      </c>
      <c r="C2198" s="11" t="s">
        <v>1169</v>
      </c>
      <c r="D2198" s="9"/>
      <c r="E2198" s="9">
        <v>704</v>
      </c>
      <c r="F2198" s="10" t="s">
        <v>1066</v>
      </c>
      <c r="G2198" s="9">
        <v>920</v>
      </c>
      <c r="H2198" s="9">
        <v>1975</v>
      </c>
      <c r="I2198" s="8">
        <v>3732.5990000000002</v>
      </c>
      <c r="J2198" s="8">
        <v>3357.703</v>
      </c>
      <c r="K2198" s="8">
        <v>3063.4650000000001</v>
      </c>
      <c r="L2198" s="8">
        <v>2677.2860000000001</v>
      </c>
      <c r="M2198" s="8">
        <v>2074.5790000000002</v>
      </c>
      <c r="N2198" s="8">
        <v>1400.2049999999999</v>
      </c>
      <c r="O2198" s="8">
        <v>1160.7149999999999</v>
      </c>
      <c r="P2198" s="8">
        <v>1135.44</v>
      </c>
      <c r="Q2198" s="8">
        <v>1196.5309999999999</v>
      </c>
      <c r="R2198" s="8">
        <v>1018.44</v>
      </c>
      <c r="S2198" s="8">
        <v>927.697</v>
      </c>
      <c r="T2198" s="8">
        <v>762.26900000000001</v>
      </c>
      <c r="U2198" s="8">
        <v>693.60199999999998</v>
      </c>
      <c r="V2198" s="8">
        <v>546.16</v>
      </c>
      <c r="W2198" s="8">
        <v>446.00599999999997</v>
      </c>
      <c r="X2198" s="8">
        <v>271.62400000000002</v>
      </c>
      <c r="Y2198" s="8">
        <v>144.363</v>
      </c>
      <c r="Z2198" s="8">
        <v>57.848999999999997</v>
      </c>
      <c r="AA2198" s="8">
        <v>16.151</v>
      </c>
      <c r="AB2198" s="8">
        <v>2.9580000000000002</v>
      </c>
      <c r="AC2198" s="8">
        <v>0.313</v>
      </c>
    </row>
    <row r="2199" spans="1:29" ht="11.65" hidden="1" x14ac:dyDescent="0.35">
      <c r="A2199" s="12">
        <v>2182</v>
      </c>
      <c r="B2199" s="10" t="s">
        <v>1015</v>
      </c>
      <c r="C2199" s="11" t="s">
        <v>1169</v>
      </c>
      <c r="D2199" s="9"/>
      <c r="E2199" s="9">
        <v>704</v>
      </c>
      <c r="F2199" s="10" t="s">
        <v>1066</v>
      </c>
      <c r="G2199" s="9">
        <v>920</v>
      </c>
      <c r="H2199" s="9">
        <v>1980</v>
      </c>
      <c r="I2199" s="8">
        <v>3880.895</v>
      </c>
      <c r="J2199" s="8">
        <v>3651.442</v>
      </c>
      <c r="K2199" s="8">
        <v>3313.9369999999999</v>
      </c>
      <c r="L2199" s="8">
        <v>3010.8429999999998</v>
      </c>
      <c r="M2199" s="8">
        <v>2597.0709999999999</v>
      </c>
      <c r="N2199" s="8">
        <v>1984.5650000000001</v>
      </c>
      <c r="O2199" s="8">
        <v>1326.8879999999999</v>
      </c>
      <c r="P2199" s="8">
        <v>1105.319</v>
      </c>
      <c r="Q2199" s="8">
        <v>1091.9359999999999</v>
      </c>
      <c r="R2199" s="8">
        <v>1158.4639999999999</v>
      </c>
      <c r="S2199" s="8">
        <v>984.45899999999995</v>
      </c>
      <c r="T2199" s="8">
        <v>889.94</v>
      </c>
      <c r="U2199" s="8">
        <v>723.57399999999996</v>
      </c>
      <c r="V2199" s="8">
        <v>639.57500000000005</v>
      </c>
      <c r="W2199" s="8">
        <v>473.40100000000001</v>
      </c>
      <c r="X2199" s="8">
        <v>355.35599999999999</v>
      </c>
      <c r="Y2199" s="8">
        <v>189.22900000000001</v>
      </c>
      <c r="Z2199" s="8">
        <v>82.387</v>
      </c>
      <c r="AA2199" s="8">
        <v>24.747</v>
      </c>
      <c r="AB2199" s="8">
        <v>4.6369999999999996</v>
      </c>
      <c r="AC2199" s="8">
        <v>0.52500000000000002</v>
      </c>
    </row>
    <row r="2200" spans="1:29" ht="11.65" hidden="1" x14ac:dyDescent="0.35">
      <c r="A2200" s="12">
        <v>2183</v>
      </c>
      <c r="B2200" s="10" t="s">
        <v>1015</v>
      </c>
      <c r="C2200" s="11" t="s">
        <v>1169</v>
      </c>
      <c r="D2200" s="9"/>
      <c r="E2200" s="9">
        <v>704</v>
      </c>
      <c r="F2200" s="10" t="s">
        <v>1066</v>
      </c>
      <c r="G2200" s="9">
        <v>920</v>
      </c>
      <c r="H2200" s="9">
        <v>1985</v>
      </c>
      <c r="I2200" s="8">
        <v>4170.6229999999996</v>
      </c>
      <c r="J2200" s="8">
        <v>3822.0720000000001</v>
      </c>
      <c r="K2200" s="8">
        <v>3612.377</v>
      </c>
      <c r="L2200" s="8">
        <v>3275.5749999999998</v>
      </c>
      <c r="M2200" s="8">
        <v>2977.5259999999998</v>
      </c>
      <c r="N2200" s="8">
        <v>2565.8470000000002</v>
      </c>
      <c r="O2200" s="8">
        <v>1956.213</v>
      </c>
      <c r="P2200" s="8">
        <v>1300.3119999999999</v>
      </c>
      <c r="Q2200" s="8">
        <v>1078.979</v>
      </c>
      <c r="R2200" s="8">
        <v>1067.2809999999999</v>
      </c>
      <c r="S2200" s="8">
        <v>1129.711</v>
      </c>
      <c r="T2200" s="8">
        <v>950.91</v>
      </c>
      <c r="U2200" s="8">
        <v>850.69</v>
      </c>
      <c r="V2200" s="8">
        <v>672.59799999999996</v>
      </c>
      <c r="W2200" s="8">
        <v>562.85500000000002</v>
      </c>
      <c r="X2200" s="8">
        <v>385.76299999999998</v>
      </c>
      <c r="Y2200" s="8">
        <v>256.33800000000002</v>
      </c>
      <c r="Z2200" s="8">
        <v>113.587</v>
      </c>
      <c r="AA2200" s="8">
        <v>37.834000000000003</v>
      </c>
      <c r="AB2200" s="8">
        <v>7.7990000000000004</v>
      </c>
      <c r="AC2200" s="8">
        <v>0.91600000000000004</v>
      </c>
    </row>
    <row r="2201" spans="1:29" ht="11.65" hidden="1" x14ac:dyDescent="0.35">
      <c r="A2201" s="12">
        <v>2184</v>
      </c>
      <c r="B2201" s="10" t="s">
        <v>1015</v>
      </c>
      <c r="C2201" s="11" t="s">
        <v>1169</v>
      </c>
      <c r="D2201" s="9"/>
      <c r="E2201" s="9">
        <v>704</v>
      </c>
      <c r="F2201" s="10" t="s">
        <v>1066</v>
      </c>
      <c r="G2201" s="9">
        <v>920</v>
      </c>
      <c r="H2201" s="9">
        <v>1990</v>
      </c>
      <c r="I2201" s="8">
        <v>4445.5929999999998</v>
      </c>
      <c r="J2201" s="8">
        <v>4119.9780000000001</v>
      </c>
      <c r="K2201" s="8">
        <v>3788.721</v>
      </c>
      <c r="L2201" s="8">
        <v>3576.4110000000001</v>
      </c>
      <c r="M2201" s="8">
        <v>3242.8539999999998</v>
      </c>
      <c r="N2201" s="8">
        <v>2945.6930000000002</v>
      </c>
      <c r="O2201" s="8">
        <v>2535.5329999999999</v>
      </c>
      <c r="P2201" s="8">
        <v>1926.684</v>
      </c>
      <c r="Q2201" s="8">
        <v>1273.2560000000001</v>
      </c>
      <c r="R2201" s="8">
        <v>1055.819</v>
      </c>
      <c r="S2201" s="8">
        <v>1041.942</v>
      </c>
      <c r="T2201" s="8">
        <v>1094.809</v>
      </c>
      <c r="U2201" s="8">
        <v>911.68799999999999</v>
      </c>
      <c r="V2201" s="8">
        <v>795.053</v>
      </c>
      <c r="W2201" s="8">
        <v>598.36900000000003</v>
      </c>
      <c r="X2201" s="8">
        <v>466.721</v>
      </c>
      <c r="Y2201" s="8">
        <v>286.048</v>
      </c>
      <c r="Z2201" s="8">
        <v>160.334</v>
      </c>
      <c r="AA2201" s="8">
        <v>55.402999999999999</v>
      </c>
      <c r="AB2201" s="8">
        <v>12.954000000000001</v>
      </c>
      <c r="AC2201" s="8">
        <v>1.7090000000000001</v>
      </c>
    </row>
    <row r="2202" spans="1:29" ht="11.65" hidden="1" x14ac:dyDescent="0.35">
      <c r="A2202" s="12">
        <v>2185</v>
      </c>
      <c r="B2202" s="10" t="s">
        <v>1015</v>
      </c>
      <c r="C2202" s="11" t="s">
        <v>1169</v>
      </c>
      <c r="D2202" s="9"/>
      <c r="E2202" s="9">
        <v>704</v>
      </c>
      <c r="F2202" s="10" t="s">
        <v>1066</v>
      </c>
      <c r="G2202" s="9">
        <v>920</v>
      </c>
      <c r="H2202" s="9">
        <v>1995</v>
      </c>
      <c r="I2202" s="8">
        <v>4447.0569999999998</v>
      </c>
      <c r="J2202" s="8">
        <v>4401.0940000000001</v>
      </c>
      <c r="K2202" s="8">
        <v>4093.5990000000002</v>
      </c>
      <c r="L2202" s="8">
        <v>3763.8220000000001</v>
      </c>
      <c r="M2202" s="8">
        <v>3519.819</v>
      </c>
      <c r="N2202" s="8">
        <v>3169.8829999999998</v>
      </c>
      <c r="O2202" s="8">
        <v>2908.261</v>
      </c>
      <c r="P2202" s="8">
        <v>2518.076</v>
      </c>
      <c r="Q2202" s="8">
        <v>1908.3720000000001</v>
      </c>
      <c r="R2202" s="8">
        <v>1256.088</v>
      </c>
      <c r="S2202" s="8">
        <v>1037.1420000000001</v>
      </c>
      <c r="T2202" s="8">
        <v>1015.663</v>
      </c>
      <c r="U2202" s="8">
        <v>1055.278</v>
      </c>
      <c r="V2202" s="8">
        <v>857.596</v>
      </c>
      <c r="W2202" s="8">
        <v>713.93600000000004</v>
      </c>
      <c r="X2202" s="8">
        <v>502.834</v>
      </c>
      <c r="Y2202" s="8">
        <v>352.69</v>
      </c>
      <c r="Z2202" s="8">
        <v>184.858</v>
      </c>
      <c r="AA2202" s="8">
        <v>82.474000000000004</v>
      </c>
      <c r="AB2202" s="8">
        <v>20.552</v>
      </c>
      <c r="AC2202" s="8">
        <v>3.1760000000000002</v>
      </c>
    </row>
    <row r="2203" spans="1:29" ht="11.65" hidden="1" x14ac:dyDescent="0.35">
      <c r="A2203" s="12">
        <v>2186</v>
      </c>
      <c r="B2203" s="10" t="s">
        <v>1015</v>
      </c>
      <c r="C2203" s="11" t="s">
        <v>1169</v>
      </c>
      <c r="D2203" s="9"/>
      <c r="E2203" s="9">
        <v>704</v>
      </c>
      <c r="F2203" s="10" t="s">
        <v>1066</v>
      </c>
      <c r="G2203" s="9">
        <v>920</v>
      </c>
      <c r="H2203" s="9">
        <v>2000</v>
      </c>
      <c r="I2203" s="8">
        <v>3496.3409999999999</v>
      </c>
      <c r="J2203" s="8">
        <v>4418.0469999999996</v>
      </c>
      <c r="K2203" s="8">
        <v>4380.5929999999998</v>
      </c>
      <c r="L2203" s="8">
        <v>4076.2869999999998</v>
      </c>
      <c r="M2203" s="8">
        <v>3731.4490000000001</v>
      </c>
      <c r="N2203" s="8">
        <v>3476.27</v>
      </c>
      <c r="O2203" s="8">
        <v>3136.7130000000002</v>
      </c>
      <c r="P2203" s="8">
        <v>2884.0720000000001</v>
      </c>
      <c r="Q2203" s="8">
        <v>2497.6880000000001</v>
      </c>
      <c r="R2203" s="8">
        <v>1887.154</v>
      </c>
      <c r="S2203" s="8">
        <v>1236.422</v>
      </c>
      <c r="T2203" s="8">
        <v>1012.549</v>
      </c>
      <c r="U2203" s="8">
        <v>980.49099999999999</v>
      </c>
      <c r="V2203" s="8">
        <v>995.05899999999997</v>
      </c>
      <c r="W2203" s="8">
        <v>773.81799999999998</v>
      </c>
      <c r="X2203" s="8">
        <v>604.94200000000001</v>
      </c>
      <c r="Y2203" s="8">
        <v>385.50200000000001</v>
      </c>
      <c r="Z2203" s="8">
        <v>232.43100000000001</v>
      </c>
      <c r="AA2203" s="8">
        <v>97.158000000000001</v>
      </c>
      <c r="AB2203" s="8">
        <v>31.603999999999999</v>
      </c>
      <c r="AC2203" s="8">
        <v>5.3390000000000004</v>
      </c>
    </row>
    <row r="2204" spans="1:29" ht="11.65" hidden="1" x14ac:dyDescent="0.35">
      <c r="A2204" s="12">
        <v>2187</v>
      </c>
      <c r="B2204" s="10" t="s">
        <v>1015</v>
      </c>
      <c r="C2204" s="11" t="s">
        <v>1169</v>
      </c>
      <c r="D2204" s="9"/>
      <c r="E2204" s="9">
        <v>704</v>
      </c>
      <c r="F2204" s="10" t="s">
        <v>1066</v>
      </c>
      <c r="G2204" s="9">
        <v>920</v>
      </c>
      <c r="H2204" s="9">
        <v>2005</v>
      </c>
      <c r="I2204" s="8">
        <v>3237.5369999999998</v>
      </c>
      <c r="J2204" s="8">
        <v>3451.0010000000002</v>
      </c>
      <c r="K2204" s="8">
        <v>4356.4009999999998</v>
      </c>
      <c r="L2204" s="8">
        <v>4332.134</v>
      </c>
      <c r="M2204" s="8">
        <v>4021.7280000000001</v>
      </c>
      <c r="N2204" s="8">
        <v>3667.6149999999998</v>
      </c>
      <c r="O2204" s="8">
        <v>3421.5929999999998</v>
      </c>
      <c r="P2204" s="8">
        <v>3082.1239999999998</v>
      </c>
      <c r="Q2204" s="8">
        <v>2833.241</v>
      </c>
      <c r="R2204" s="8">
        <v>2468.7139999999999</v>
      </c>
      <c r="S2204" s="8">
        <v>1878.2139999999999</v>
      </c>
      <c r="T2204" s="8">
        <v>1210.279</v>
      </c>
      <c r="U2204" s="8">
        <v>962.83600000000001</v>
      </c>
      <c r="V2204" s="8">
        <v>915.73500000000001</v>
      </c>
      <c r="W2204" s="8">
        <v>902.25800000000004</v>
      </c>
      <c r="X2204" s="8">
        <v>662.93899999999996</v>
      </c>
      <c r="Y2204" s="8">
        <v>468.28699999999998</v>
      </c>
      <c r="Z2204" s="8">
        <v>257.17200000000003</v>
      </c>
      <c r="AA2204" s="8">
        <v>124.529</v>
      </c>
      <c r="AB2204" s="8">
        <v>38.195999999999998</v>
      </c>
      <c r="AC2204" s="8">
        <v>8.6010000000000009</v>
      </c>
    </row>
    <row r="2205" spans="1:29" ht="11.65" hidden="1" x14ac:dyDescent="0.35">
      <c r="A2205" s="12">
        <v>2188</v>
      </c>
      <c r="B2205" s="10" t="s">
        <v>1015</v>
      </c>
      <c r="C2205" s="11" t="s">
        <v>1169</v>
      </c>
      <c r="D2205" s="9"/>
      <c r="E2205" s="9">
        <v>704</v>
      </c>
      <c r="F2205" s="10" t="s">
        <v>1066</v>
      </c>
      <c r="G2205" s="9">
        <v>920</v>
      </c>
      <c r="H2205" s="9">
        <v>2010</v>
      </c>
      <c r="I2205" s="8">
        <v>3418.84</v>
      </c>
      <c r="J2205" s="8">
        <v>3187.4969999999998</v>
      </c>
      <c r="K2205" s="8">
        <v>3382.5479999999998</v>
      </c>
      <c r="L2205" s="8">
        <v>4301.0129999999999</v>
      </c>
      <c r="M2205" s="8">
        <v>4259.26</v>
      </c>
      <c r="N2205" s="8">
        <v>3936.6120000000001</v>
      </c>
      <c r="O2205" s="8">
        <v>3585.0030000000002</v>
      </c>
      <c r="P2205" s="8">
        <v>3339.1329999999998</v>
      </c>
      <c r="Q2205" s="8">
        <v>3023.297</v>
      </c>
      <c r="R2205" s="8">
        <v>2801.3270000000002</v>
      </c>
      <c r="S2205" s="8">
        <v>2457.1039999999998</v>
      </c>
      <c r="T2205" s="8">
        <v>1838.9680000000001</v>
      </c>
      <c r="U2205" s="8">
        <v>1150.4949999999999</v>
      </c>
      <c r="V2205" s="8">
        <v>897.33799999999997</v>
      </c>
      <c r="W2205" s="8">
        <v>832.74699999999996</v>
      </c>
      <c r="X2205" s="8">
        <v>776.36500000000001</v>
      </c>
      <c r="Y2205" s="8">
        <v>516.54100000000005</v>
      </c>
      <c r="Z2205" s="8">
        <v>315.93</v>
      </c>
      <c r="AA2205" s="8">
        <v>139.97300000000001</v>
      </c>
      <c r="AB2205" s="8">
        <v>50.073</v>
      </c>
      <c r="AC2205" s="8">
        <v>11.225</v>
      </c>
    </row>
    <row r="2206" spans="1:29" ht="11.65" hidden="1" x14ac:dyDescent="0.35">
      <c r="A2206" s="12">
        <v>2189</v>
      </c>
      <c r="B2206" s="10" t="s">
        <v>1015</v>
      </c>
      <c r="C2206" s="11" t="s">
        <v>1169</v>
      </c>
      <c r="D2206" s="9"/>
      <c r="E2206" s="9">
        <v>704</v>
      </c>
      <c r="F2206" s="10" t="s">
        <v>1066</v>
      </c>
      <c r="G2206" s="9">
        <v>920</v>
      </c>
      <c r="H2206" s="9">
        <v>2015</v>
      </c>
      <c r="I2206" s="8">
        <v>3607.0680000000002</v>
      </c>
      <c r="J2206" s="8">
        <v>3392.7339999999999</v>
      </c>
      <c r="K2206" s="8">
        <v>3158.61</v>
      </c>
      <c r="L2206" s="8">
        <v>3358.6559999999999</v>
      </c>
      <c r="M2206" s="8">
        <v>4259.2160000000003</v>
      </c>
      <c r="N2206" s="8">
        <v>4205.165</v>
      </c>
      <c r="O2206" s="8">
        <v>3890.165</v>
      </c>
      <c r="P2206" s="8">
        <v>3543.9549999999999</v>
      </c>
      <c r="Q2206" s="8">
        <v>3303.9789999999998</v>
      </c>
      <c r="R2206" s="8">
        <v>2993.1179999999999</v>
      </c>
      <c r="S2206" s="8">
        <v>2770.1990000000001</v>
      </c>
      <c r="T2206" s="8">
        <v>2404.1990000000001</v>
      </c>
      <c r="U2206" s="8">
        <v>1771.6610000000001</v>
      </c>
      <c r="V2206" s="8">
        <v>1083.71</v>
      </c>
      <c r="W2206" s="8">
        <v>816.13900000000001</v>
      </c>
      <c r="X2206" s="8">
        <v>715.90300000000002</v>
      </c>
      <c r="Y2206" s="8">
        <v>607.37599999999998</v>
      </c>
      <c r="Z2206" s="8">
        <v>351.16</v>
      </c>
      <c r="AA2206" s="8">
        <v>174.292</v>
      </c>
      <c r="AB2206" s="8">
        <v>57.271999999999998</v>
      </c>
      <c r="AC2206" s="8">
        <v>15.039</v>
      </c>
    </row>
    <row r="2207" spans="1:29" ht="11.65" hidden="1" x14ac:dyDescent="0.35">
      <c r="A2207" s="12">
        <v>2190</v>
      </c>
      <c r="B2207" s="10" t="s">
        <v>1015</v>
      </c>
      <c r="C2207" s="11" t="s">
        <v>1169</v>
      </c>
      <c r="D2207" s="9"/>
      <c r="E2207" s="9">
        <v>704</v>
      </c>
      <c r="F2207" s="10" t="s">
        <v>1066</v>
      </c>
      <c r="G2207" s="9">
        <v>920</v>
      </c>
      <c r="H2207" s="9">
        <v>2020</v>
      </c>
      <c r="I2207" s="8">
        <v>3727.6289999999999</v>
      </c>
      <c r="J2207" s="8">
        <v>3581.3420000000001</v>
      </c>
      <c r="K2207" s="8">
        <v>3364.1379999999999</v>
      </c>
      <c r="L2207" s="8">
        <v>3136.0219999999999</v>
      </c>
      <c r="M2207" s="8">
        <v>3320.02</v>
      </c>
      <c r="N2207" s="8">
        <v>4205.6719999999996</v>
      </c>
      <c r="O2207" s="8">
        <v>4158.1180000000004</v>
      </c>
      <c r="P2207" s="8">
        <v>3848.2339999999999</v>
      </c>
      <c r="Q2207" s="8">
        <v>3508.2869999999998</v>
      </c>
      <c r="R2207" s="8">
        <v>3272.3049999999998</v>
      </c>
      <c r="S2207" s="8">
        <v>2960.4110000000001</v>
      </c>
      <c r="T2207" s="8">
        <v>2711.511</v>
      </c>
      <c r="U2207" s="8">
        <v>2318.81</v>
      </c>
      <c r="V2207" s="8">
        <v>1672.277</v>
      </c>
      <c r="W2207" s="8">
        <v>987.15599999999995</v>
      </c>
      <c r="X2207" s="8">
        <v>703.51900000000001</v>
      </c>
      <c r="Y2207" s="8">
        <v>562.51900000000001</v>
      </c>
      <c r="Z2207" s="8">
        <v>416.16</v>
      </c>
      <c r="AA2207" s="8">
        <v>195.571</v>
      </c>
      <c r="AB2207" s="8">
        <v>72.543999999999997</v>
      </c>
      <c r="AC2207" s="8">
        <v>18.084</v>
      </c>
    </row>
    <row r="2208" spans="1:29" ht="11.65" hidden="1" x14ac:dyDescent="0.35">
      <c r="A2208" s="28">
        <v>2191</v>
      </c>
      <c r="B2208" s="26" t="s">
        <v>1015</v>
      </c>
      <c r="C2208" s="27" t="s">
        <v>1170</v>
      </c>
      <c r="D2208" s="25"/>
      <c r="E2208" s="25">
        <v>1830</v>
      </c>
      <c r="F2208" s="26" t="s">
        <v>1063</v>
      </c>
      <c r="G2208" s="25">
        <v>1828</v>
      </c>
      <c r="H2208" s="25">
        <v>1950</v>
      </c>
      <c r="I2208" s="24">
        <v>13416.851000000001</v>
      </c>
      <c r="J2208" s="24">
        <v>10832.085999999999</v>
      </c>
      <c r="K2208" s="24">
        <v>9556.0329999999994</v>
      </c>
      <c r="L2208" s="24">
        <v>8410.5580000000009</v>
      </c>
      <c r="M2208" s="24">
        <v>7641.8630000000003</v>
      </c>
      <c r="N2208" s="24">
        <v>6448.6450000000004</v>
      </c>
      <c r="O2208" s="24">
        <v>5410.9120000000003</v>
      </c>
      <c r="P2208" s="24">
        <v>4889.9489999999996</v>
      </c>
      <c r="Q2208" s="24">
        <v>4128.6130000000003</v>
      </c>
      <c r="R2208" s="24">
        <v>3475.7719999999999</v>
      </c>
      <c r="S2208" s="24">
        <v>2926.076</v>
      </c>
      <c r="T2208" s="24">
        <v>2281.578</v>
      </c>
      <c r="U2208" s="24">
        <v>1812.0060000000001</v>
      </c>
      <c r="V2208" s="24">
        <v>1311.8679999999999</v>
      </c>
      <c r="W2208" s="24">
        <v>897.42399999999998</v>
      </c>
      <c r="X2208" s="24">
        <v>533.76800000000003</v>
      </c>
      <c r="Y2208" s="24">
        <v>247.08500000000001</v>
      </c>
      <c r="Z2208" s="24">
        <v>118.63500000000001</v>
      </c>
      <c r="AA2208" s="24">
        <v>49.942999999999998</v>
      </c>
      <c r="AB2208" s="24">
        <v>20.172999999999998</v>
      </c>
      <c r="AC2208" s="24">
        <v>8.1989999999999998</v>
      </c>
    </row>
    <row r="2209" spans="1:29" ht="11.65" hidden="1" x14ac:dyDescent="0.35">
      <c r="A2209" s="28">
        <v>2192</v>
      </c>
      <c r="B2209" s="26" t="s">
        <v>1015</v>
      </c>
      <c r="C2209" s="27" t="s">
        <v>1170</v>
      </c>
      <c r="D2209" s="25"/>
      <c r="E2209" s="25">
        <v>1830</v>
      </c>
      <c r="F2209" s="26" t="s">
        <v>1063</v>
      </c>
      <c r="G2209" s="25">
        <v>1828</v>
      </c>
      <c r="H2209" s="25">
        <v>1955</v>
      </c>
      <c r="I2209" s="24">
        <v>16108.782999999999</v>
      </c>
      <c r="J2209" s="24">
        <v>12732.415000000001</v>
      </c>
      <c r="K2209" s="24">
        <v>10659.63</v>
      </c>
      <c r="L2209" s="24">
        <v>9401.3709999999992</v>
      </c>
      <c r="M2209" s="24">
        <v>8225.598</v>
      </c>
      <c r="N2209" s="24">
        <v>7427.9989999999998</v>
      </c>
      <c r="O2209" s="24">
        <v>6252.2420000000002</v>
      </c>
      <c r="P2209" s="24">
        <v>5253.26</v>
      </c>
      <c r="Q2209" s="24">
        <v>4697.9120000000003</v>
      </c>
      <c r="R2209" s="24">
        <v>3962.2139999999999</v>
      </c>
      <c r="S2209" s="24">
        <v>3287.748</v>
      </c>
      <c r="T2209" s="24">
        <v>2709.6289999999999</v>
      </c>
      <c r="U2209" s="24">
        <v>2056.8870000000002</v>
      </c>
      <c r="V2209" s="24">
        <v>1549.434</v>
      </c>
      <c r="W2209" s="24">
        <v>1033.434</v>
      </c>
      <c r="X2209" s="24">
        <v>617.72699999999998</v>
      </c>
      <c r="Y2209" s="24">
        <v>297.82100000000003</v>
      </c>
      <c r="Z2209" s="24">
        <v>97.814999999999998</v>
      </c>
      <c r="AA2209" s="24">
        <v>32.003</v>
      </c>
      <c r="AB2209" s="24">
        <v>8.4169999999999998</v>
      </c>
      <c r="AC2209" s="24">
        <v>2.5960000000000001</v>
      </c>
    </row>
    <row r="2210" spans="1:29" ht="11.65" hidden="1" x14ac:dyDescent="0.35">
      <c r="A2210" s="28">
        <v>2193</v>
      </c>
      <c r="B2210" s="26" t="s">
        <v>1015</v>
      </c>
      <c r="C2210" s="27" t="s">
        <v>1170</v>
      </c>
      <c r="D2210" s="25"/>
      <c r="E2210" s="25">
        <v>1830</v>
      </c>
      <c r="F2210" s="26" t="s">
        <v>1063</v>
      </c>
      <c r="G2210" s="25">
        <v>1828</v>
      </c>
      <c r="H2210" s="25">
        <v>1960</v>
      </c>
      <c r="I2210" s="24">
        <v>18382.399000000001</v>
      </c>
      <c r="J2210" s="24">
        <v>15402.793</v>
      </c>
      <c r="K2210" s="24">
        <v>12553.119000000001</v>
      </c>
      <c r="L2210" s="24">
        <v>10479.561</v>
      </c>
      <c r="M2210" s="24">
        <v>9169.6380000000008</v>
      </c>
      <c r="N2210" s="24">
        <v>7981.7030000000004</v>
      </c>
      <c r="O2210" s="24">
        <v>7198.8940000000002</v>
      </c>
      <c r="P2210" s="24">
        <v>6057.78</v>
      </c>
      <c r="Q2210" s="24">
        <v>5050.5860000000002</v>
      </c>
      <c r="R2210" s="24">
        <v>4509.4939999999997</v>
      </c>
      <c r="S2210" s="24">
        <v>3749.0610000000001</v>
      </c>
      <c r="T2210" s="24">
        <v>3060.1559999999999</v>
      </c>
      <c r="U2210" s="24">
        <v>2455.2950000000001</v>
      </c>
      <c r="V2210" s="24">
        <v>1777.8140000000001</v>
      </c>
      <c r="W2210" s="24">
        <v>1242.4190000000001</v>
      </c>
      <c r="X2210" s="24">
        <v>736.07399999999996</v>
      </c>
      <c r="Y2210" s="24">
        <v>360.49799999999999</v>
      </c>
      <c r="Z2210" s="24">
        <v>129.179</v>
      </c>
      <c r="AA2210" s="24">
        <v>31.007999999999999</v>
      </c>
      <c r="AB2210" s="24">
        <v>6.7649999999999997</v>
      </c>
      <c r="AC2210" s="24">
        <v>1.3120000000000001</v>
      </c>
    </row>
    <row r="2211" spans="1:29" ht="11.65" hidden="1" x14ac:dyDescent="0.35">
      <c r="A2211" s="28">
        <v>2194</v>
      </c>
      <c r="B2211" s="26" t="s">
        <v>1015</v>
      </c>
      <c r="C2211" s="27" t="s">
        <v>1170</v>
      </c>
      <c r="D2211" s="25"/>
      <c r="E2211" s="25">
        <v>1830</v>
      </c>
      <c r="F2211" s="26" t="s">
        <v>1063</v>
      </c>
      <c r="G2211" s="25">
        <v>1828</v>
      </c>
      <c r="H2211" s="25">
        <v>1965</v>
      </c>
      <c r="I2211" s="24">
        <v>20856.455999999998</v>
      </c>
      <c r="J2211" s="24">
        <v>17680.932000000001</v>
      </c>
      <c r="K2211" s="24">
        <v>15179.156999999999</v>
      </c>
      <c r="L2211" s="24">
        <v>12339.32</v>
      </c>
      <c r="M2211" s="24">
        <v>10232.862999999999</v>
      </c>
      <c r="N2211" s="24">
        <v>8911.74</v>
      </c>
      <c r="O2211" s="24">
        <v>7750.24</v>
      </c>
      <c r="P2211" s="24">
        <v>6989</v>
      </c>
      <c r="Q2211" s="24">
        <v>5854.7030000000004</v>
      </c>
      <c r="R2211" s="24">
        <v>4860.2449999999999</v>
      </c>
      <c r="S2211" s="24">
        <v>4288.8059999999996</v>
      </c>
      <c r="T2211" s="24">
        <v>3517.0390000000002</v>
      </c>
      <c r="U2211" s="24">
        <v>2797.5920000000001</v>
      </c>
      <c r="V2211" s="24">
        <v>2144.6750000000002</v>
      </c>
      <c r="W2211" s="24">
        <v>1451.4839999999999</v>
      </c>
      <c r="X2211" s="24">
        <v>902.92600000000004</v>
      </c>
      <c r="Y2211" s="24">
        <v>442.87099999999998</v>
      </c>
      <c r="Z2211" s="24">
        <v>160.726</v>
      </c>
      <c r="AA2211" s="24">
        <v>40.798000000000002</v>
      </c>
      <c r="AB2211" s="24">
        <v>6.8710000000000004</v>
      </c>
      <c r="AC2211" s="24">
        <v>1.089</v>
      </c>
    </row>
    <row r="2212" spans="1:29" ht="11.65" hidden="1" x14ac:dyDescent="0.35">
      <c r="A2212" s="28">
        <v>2195</v>
      </c>
      <c r="B2212" s="26" t="s">
        <v>1015</v>
      </c>
      <c r="C2212" s="27" t="s">
        <v>1170</v>
      </c>
      <c r="D2212" s="25"/>
      <c r="E2212" s="25">
        <v>1830</v>
      </c>
      <c r="F2212" s="26" t="s">
        <v>1063</v>
      </c>
      <c r="G2212" s="25">
        <v>1828</v>
      </c>
      <c r="H2212" s="25">
        <v>1970</v>
      </c>
      <c r="I2212" s="24">
        <v>22460.386999999999</v>
      </c>
      <c r="J2212" s="24">
        <v>20198.940999999999</v>
      </c>
      <c r="K2212" s="24">
        <v>17453.95</v>
      </c>
      <c r="L2212" s="24">
        <v>14928.325999999999</v>
      </c>
      <c r="M2212" s="24">
        <v>12041.347</v>
      </c>
      <c r="N2212" s="24">
        <v>9931.7849999999908</v>
      </c>
      <c r="O2212" s="24">
        <v>8643.6830000000009</v>
      </c>
      <c r="P2212" s="24">
        <v>7519.741</v>
      </c>
      <c r="Q2212" s="24">
        <v>6769.0950000000003</v>
      </c>
      <c r="R2212" s="24">
        <v>5642.4549999999999</v>
      </c>
      <c r="S2212" s="24">
        <v>4637.8630000000003</v>
      </c>
      <c r="T2212" s="24">
        <v>4036.7260000000001</v>
      </c>
      <c r="U2212" s="24">
        <v>3233.123</v>
      </c>
      <c r="V2212" s="24">
        <v>2469.886</v>
      </c>
      <c r="W2212" s="24">
        <v>1764.471</v>
      </c>
      <c r="X2212" s="24">
        <v>1067.4570000000001</v>
      </c>
      <c r="Y2212" s="24">
        <v>556.43499999999995</v>
      </c>
      <c r="Z2212" s="24">
        <v>202.71199999999999</v>
      </c>
      <c r="AA2212" s="24">
        <v>52.871000000000002</v>
      </c>
      <c r="AB2212" s="24">
        <v>9.0510000000000002</v>
      </c>
      <c r="AC2212" s="24">
        <v>1.1579999999999999</v>
      </c>
    </row>
    <row r="2213" spans="1:29" ht="11.65" hidden="1" x14ac:dyDescent="0.35">
      <c r="A2213" s="28">
        <v>2196</v>
      </c>
      <c r="B2213" s="26" t="s">
        <v>1015</v>
      </c>
      <c r="C2213" s="27" t="s">
        <v>1170</v>
      </c>
      <c r="D2213" s="25"/>
      <c r="E2213" s="25">
        <v>1830</v>
      </c>
      <c r="F2213" s="26" t="s">
        <v>1063</v>
      </c>
      <c r="G2213" s="25">
        <v>1828</v>
      </c>
      <c r="H2213" s="25">
        <v>1975</v>
      </c>
      <c r="I2213" s="24">
        <v>23810.079000000002</v>
      </c>
      <c r="J2213" s="24">
        <v>21884.206999999999</v>
      </c>
      <c r="K2213" s="24">
        <v>19988.878000000001</v>
      </c>
      <c r="L2213" s="24">
        <v>17216.813999999998</v>
      </c>
      <c r="M2213" s="24">
        <v>14583.585999999999</v>
      </c>
      <c r="N2213" s="24">
        <v>11691.339</v>
      </c>
      <c r="O2213" s="24">
        <v>9646.1540000000005</v>
      </c>
      <c r="P2213" s="24">
        <v>8430.2639999999992</v>
      </c>
      <c r="Q2213" s="24">
        <v>7315.8620000000001</v>
      </c>
      <c r="R2213" s="24">
        <v>6551.4939999999997</v>
      </c>
      <c r="S2213" s="24">
        <v>5409.5370000000003</v>
      </c>
      <c r="T2213" s="24">
        <v>4383.71</v>
      </c>
      <c r="U2213" s="24">
        <v>3727.4870000000001</v>
      </c>
      <c r="V2213" s="24">
        <v>2875.0050000000001</v>
      </c>
      <c r="W2213" s="24">
        <v>2057.6590000000001</v>
      </c>
      <c r="X2213" s="24">
        <v>1322.1880000000001</v>
      </c>
      <c r="Y2213" s="24">
        <v>663.3</v>
      </c>
      <c r="Z2213" s="24">
        <v>263.02699999999999</v>
      </c>
      <c r="AA2213" s="24">
        <v>69.790999999999997</v>
      </c>
      <c r="AB2213" s="24">
        <v>12.548</v>
      </c>
      <c r="AC2213" s="24">
        <v>1.496</v>
      </c>
    </row>
    <row r="2214" spans="1:29" ht="11.65" hidden="1" x14ac:dyDescent="0.35">
      <c r="A2214" s="28">
        <v>2197</v>
      </c>
      <c r="B2214" s="26" t="s">
        <v>1015</v>
      </c>
      <c r="C2214" s="27" t="s">
        <v>1170</v>
      </c>
      <c r="D2214" s="25"/>
      <c r="E2214" s="25">
        <v>1830</v>
      </c>
      <c r="F2214" s="26" t="s">
        <v>1063</v>
      </c>
      <c r="G2214" s="25">
        <v>1828</v>
      </c>
      <c r="H2214" s="25">
        <v>1980</v>
      </c>
      <c r="I2214" s="24">
        <v>25583.866999999998</v>
      </c>
      <c r="J2214" s="24">
        <v>23283.192999999999</v>
      </c>
      <c r="K2214" s="24">
        <v>21588.841</v>
      </c>
      <c r="L2214" s="24">
        <v>19619.953000000001</v>
      </c>
      <c r="M2214" s="24">
        <v>16735.400000000001</v>
      </c>
      <c r="N2214" s="24">
        <v>14175.552</v>
      </c>
      <c r="O2214" s="24">
        <v>11406.73</v>
      </c>
      <c r="P2214" s="24">
        <v>9430.39</v>
      </c>
      <c r="Q2214" s="24">
        <v>8228.5830000000005</v>
      </c>
      <c r="R2214" s="24">
        <v>7107.3019999999997</v>
      </c>
      <c r="S2214" s="24">
        <v>6313.52</v>
      </c>
      <c r="T2214" s="24">
        <v>5142.9979999999996</v>
      </c>
      <c r="U2214" s="24">
        <v>4083.3310000000001</v>
      </c>
      <c r="V2214" s="24">
        <v>3353.4720000000002</v>
      </c>
      <c r="W2214" s="24">
        <v>2425.2420000000002</v>
      </c>
      <c r="X2214" s="24">
        <v>1573.432</v>
      </c>
      <c r="Y2214" s="24">
        <v>863.19600000000003</v>
      </c>
      <c r="Z2214" s="24">
        <v>323.13499999999999</v>
      </c>
      <c r="AA2214" s="24">
        <v>95.468000000000004</v>
      </c>
      <c r="AB2214" s="24">
        <v>17.460999999999999</v>
      </c>
      <c r="AC2214" s="24">
        <v>2.1850000000000001</v>
      </c>
    </row>
    <row r="2215" spans="1:29" ht="11.65" hidden="1" x14ac:dyDescent="0.35">
      <c r="A2215" s="28">
        <v>2198</v>
      </c>
      <c r="B2215" s="26" t="s">
        <v>1015</v>
      </c>
      <c r="C2215" s="27" t="s">
        <v>1170</v>
      </c>
      <c r="D2215" s="25"/>
      <c r="E2215" s="25">
        <v>1830</v>
      </c>
      <c r="F2215" s="26" t="s">
        <v>1063</v>
      </c>
      <c r="G2215" s="25">
        <v>1828</v>
      </c>
      <c r="H2215" s="25">
        <v>1985</v>
      </c>
      <c r="I2215" s="24">
        <v>26989.831999999999</v>
      </c>
      <c r="J2215" s="24">
        <v>25118.315999999999</v>
      </c>
      <c r="K2215" s="24">
        <v>23121.133999999998</v>
      </c>
      <c r="L2215" s="24">
        <v>21296.59</v>
      </c>
      <c r="M2215" s="24">
        <v>19254.571</v>
      </c>
      <c r="N2215" s="24">
        <v>16397.474999999999</v>
      </c>
      <c r="O2215" s="24">
        <v>13925.321</v>
      </c>
      <c r="P2215" s="24">
        <v>11186.941999999999</v>
      </c>
      <c r="Q2215" s="24">
        <v>9228.4480000000003</v>
      </c>
      <c r="R2215" s="24">
        <v>8017.9870000000001</v>
      </c>
      <c r="S2215" s="24">
        <v>6867.607</v>
      </c>
      <c r="T2215" s="24">
        <v>6027.902</v>
      </c>
      <c r="U2215" s="24">
        <v>4808.96</v>
      </c>
      <c r="V2215" s="24">
        <v>3693.8789999999999</v>
      </c>
      <c r="W2215" s="24">
        <v>2854.8069999999998</v>
      </c>
      <c r="X2215" s="24">
        <v>1891.5940000000001</v>
      </c>
      <c r="Y2215" s="24">
        <v>1052.7460000000001</v>
      </c>
      <c r="Z2215" s="24">
        <v>442.798</v>
      </c>
      <c r="AA2215" s="24">
        <v>122.871</v>
      </c>
      <c r="AB2215" s="24">
        <v>25.405999999999999</v>
      </c>
      <c r="AC2215" s="24">
        <v>3.24</v>
      </c>
    </row>
    <row r="2216" spans="1:29" ht="11.65" hidden="1" x14ac:dyDescent="0.35">
      <c r="A2216" s="28">
        <v>2199</v>
      </c>
      <c r="B2216" s="26" t="s">
        <v>1015</v>
      </c>
      <c r="C2216" s="27" t="s">
        <v>1170</v>
      </c>
      <c r="D2216" s="25"/>
      <c r="E2216" s="25">
        <v>1830</v>
      </c>
      <c r="F2216" s="26" t="s">
        <v>1063</v>
      </c>
      <c r="G2216" s="25">
        <v>1828</v>
      </c>
      <c r="H2216" s="25">
        <v>1990</v>
      </c>
      <c r="I2216" s="24">
        <v>27635.008000000002</v>
      </c>
      <c r="J2216" s="24">
        <v>26600.584999999999</v>
      </c>
      <c r="K2216" s="24">
        <v>24883.279999999999</v>
      </c>
      <c r="L2216" s="24">
        <v>22793.161</v>
      </c>
      <c r="M2216" s="24">
        <v>20830.550999999999</v>
      </c>
      <c r="N2216" s="24">
        <v>18817.703000000001</v>
      </c>
      <c r="O2216" s="24">
        <v>16043.17</v>
      </c>
      <c r="P2216" s="24">
        <v>13681.727000000001</v>
      </c>
      <c r="Q2216" s="24">
        <v>10992.598</v>
      </c>
      <c r="R2216" s="24">
        <v>9024.7990000000009</v>
      </c>
      <c r="S2216" s="24">
        <v>7774.848</v>
      </c>
      <c r="T2216" s="24">
        <v>6580.9449999999997</v>
      </c>
      <c r="U2216" s="24">
        <v>5662.9319999999998</v>
      </c>
      <c r="V2216" s="24">
        <v>4378.7709999999997</v>
      </c>
      <c r="W2216" s="24">
        <v>3181.7829999999999</v>
      </c>
      <c r="X2216" s="24">
        <v>2265.2759999999998</v>
      </c>
      <c r="Y2216" s="24">
        <v>1298.7850000000001</v>
      </c>
      <c r="Z2216" s="24">
        <v>568.16600000000005</v>
      </c>
      <c r="AA2216" s="24">
        <v>178.19499999999999</v>
      </c>
      <c r="AB2216" s="24">
        <v>34.531999999999996</v>
      </c>
      <c r="AC2216" s="24">
        <v>4.9720000000000004</v>
      </c>
    </row>
    <row r="2217" spans="1:29" ht="11.65" hidden="1" x14ac:dyDescent="0.35">
      <c r="A2217" s="28">
        <v>2200</v>
      </c>
      <c r="B2217" s="26" t="s">
        <v>1015</v>
      </c>
      <c r="C2217" s="27" t="s">
        <v>1170</v>
      </c>
      <c r="D2217" s="25"/>
      <c r="E2217" s="25">
        <v>1830</v>
      </c>
      <c r="F2217" s="26" t="s">
        <v>1063</v>
      </c>
      <c r="G2217" s="25">
        <v>1828</v>
      </c>
      <c r="H2217" s="25">
        <v>1995</v>
      </c>
      <c r="I2217" s="24">
        <v>27886.263999999999</v>
      </c>
      <c r="J2217" s="24">
        <v>27350.960999999999</v>
      </c>
      <c r="K2217" s="24">
        <v>26410.32</v>
      </c>
      <c r="L2217" s="24">
        <v>24539.192999999999</v>
      </c>
      <c r="M2217" s="24">
        <v>22147.089</v>
      </c>
      <c r="N2217" s="24">
        <v>20435.053</v>
      </c>
      <c r="O2217" s="24">
        <v>18573.261999999999</v>
      </c>
      <c r="P2217" s="24">
        <v>15814.305</v>
      </c>
      <c r="Q2217" s="24">
        <v>13459.913</v>
      </c>
      <c r="R2217" s="24">
        <v>10770.032999999999</v>
      </c>
      <c r="S2217" s="24">
        <v>8782.9040000000005</v>
      </c>
      <c r="T2217" s="24">
        <v>7475.0219999999999</v>
      </c>
      <c r="U2217" s="24">
        <v>6208.9290000000001</v>
      </c>
      <c r="V2217" s="24">
        <v>5177.5219999999999</v>
      </c>
      <c r="W2217" s="24">
        <v>3816.154</v>
      </c>
      <c r="X2217" s="24">
        <v>2562.3130000000001</v>
      </c>
      <c r="Y2217" s="24">
        <v>1599.9690000000001</v>
      </c>
      <c r="Z2217" s="24">
        <v>731.4</v>
      </c>
      <c r="AA2217" s="24">
        <v>237.79400000000001</v>
      </c>
      <c r="AB2217" s="24">
        <v>50.609000000000002</v>
      </c>
      <c r="AC2217" s="24">
        <v>6.72</v>
      </c>
    </row>
    <row r="2218" spans="1:29" ht="11.65" hidden="1" x14ac:dyDescent="0.35">
      <c r="A2218" s="28">
        <v>2201</v>
      </c>
      <c r="B2218" s="26" t="s">
        <v>1015</v>
      </c>
      <c r="C2218" s="27" t="s">
        <v>1170</v>
      </c>
      <c r="D2218" s="25"/>
      <c r="E2218" s="25">
        <v>1830</v>
      </c>
      <c r="F2218" s="26" t="s">
        <v>1063</v>
      </c>
      <c r="G2218" s="25">
        <v>1828</v>
      </c>
      <c r="H2218" s="25">
        <v>2000</v>
      </c>
      <c r="I2218" s="24">
        <v>27775.32</v>
      </c>
      <c r="J2218" s="24">
        <v>27626.346000000001</v>
      </c>
      <c r="K2218" s="24">
        <v>27057.831999999999</v>
      </c>
      <c r="L2218" s="24">
        <v>26001.309000000001</v>
      </c>
      <c r="M2218" s="24">
        <v>23987.379000000001</v>
      </c>
      <c r="N2218" s="24">
        <v>21762.553</v>
      </c>
      <c r="O2218" s="24">
        <v>20109.643</v>
      </c>
      <c r="P2218" s="24">
        <v>18293.04</v>
      </c>
      <c r="Q2218" s="24">
        <v>15557.981</v>
      </c>
      <c r="R2218" s="24">
        <v>13191.431</v>
      </c>
      <c r="S2218" s="24">
        <v>10497.806</v>
      </c>
      <c r="T2218" s="24">
        <v>8462.643</v>
      </c>
      <c r="U2218" s="24">
        <v>7086.9740000000002</v>
      </c>
      <c r="V2218" s="24">
        <v>5732.0190000000002</v>
      </c>
      <c r="W2218" s="24">
        <v>4576.3109999999997</v>
      </c>
      <c r="X2218" s="24">
        <v>3132.623</v>
      </c>
      <c r="Y2218" s="24">
        <v>1856.9570000000001</v>
      </c>
      <c r="Z2218" s="24">
        <v>947.83699999999999</v>
      </c>
      <c r="AA2218" s="24">
        <v>326.68</v>
      </c>
      <c r="AB2218" s="24">
        <v>71.697999999999993</v>
      </c>
      <c r="AC2218" s="24">
        <v>9.3160000000000007</v>
      </c>
    </row>
    <row r="2219" spans="1:29" ht="11.65" hidden="1" x14ac:dyDescent="0.35">
      <c r="A2219" s="28">
        <v>2202</v>
      </c>
      <c r="B2219" s="26" t="s">
        <v>1015</v>
      </c>
      <c r="C2219" s="27" t="s">
        <v>1170</v>
      </c>
      <c r="D2219" s="25"/>
      <c r="E2219" s="25">
        <v>1830</v>
      </c>
      <c r="F2219" s="26" t="s">
        <v>1063</v>
      </c>
      <c r="G2219" s="25">
        <v>1828</v>
      </c>
      <c r="H2219" s="25">
        <v>2005</v>
      </c>
      <c r="I2219" s="24">
        <v>27011.005000000001</v>
      </c>
      <c r="J2219" s="24">
        <v>27519.521000000001</v>
      </c>
      <c r="K2219" s="24">
        <v>27390.745999999999</v>
      </c>
      <c r="L2219" s="24">
        <v>26584.983</v>
      </c>
      <c r="M2219" s="24">
        <v>25459.598000000002</v>
      </c>
      <c r="N2219" s="24">
        <v>23482.762999999999</v>
      </c>
      <c r="O2219" s="24">
        <v>21441.627</v>
      </c>
      <c r="P2219" s="24">
        <v>19831.755000000001</v>
      </c>
      <c r="Q2219" s="24">
        <v>18003.037</v>
      </c>
      <c r="R2219" s="24">
        <v>15254.743</v>
      </c>
      <c r="S2219" s="24">
        <v>12874.635</v>
      </c>
      <c r="T2219" s="24">
        <v>10120.929</v>
      </c>
      <c r="U2219" s="24">
        <v>8046.01</v>
      </c>
      <c r="V2219" s="24">
        <v>6569.665</v>
      </c>
      <c r="W2219" s="24">
        <v>5102.2250000000004</v>
      </c>
      <c r="X2219" s="24">
        <v>3818.8330000000001</v>
      </c>
      <c r="Y2219" s="24">
        <v>2334.2139999999999</v>
      </c>
      <c r="Z2219" s="24">
        <v>1143.4639999999999</v>
      </c>
      <c r="AA2219" s="24">
        <v>446.89100000000002</v>
      </c>
      <c r="AB2219" s="24">
        <v>105.104</v>
      </c>
      <c r="AC2219" s="24">
        <v>14.241</v>
      </c>
    </row>
    <row r="2220" spans="1:29" ht="11.65" hidden="1" x14ac:dyDescent="0.35">
      <c r="A2220" s="28">
        <v>2203</v>
      </c>
      <c r="B2220" s="26" t="s">
        <v>1015</v>
      </c>
      <c r="C2220" s="27" t="s">
        <v>1170</v>
      </c>
      <c r="D2220" s="25"/>
      <c r="E2220" s="25">
        <v>1830</v>
      </c>
      <c r="F2220" s="26" t="s">
        <v>1063</v>
      </c>
      <c r="G2220" s="25">
        <v>1828</v>
      </c>
      <c r="H2220" s="25">
        <v>2010</v>
      </c>
      <c r="I2220" s="24">
        <v>26046.952000000001</v>
      </c>
      <c r="J2220" s="24">
        <v>26815.145</v>
      </c>
      <c r="K2220" s="24">
        <v>27347.008999999998</v>
      </c>
      <c r="L2220" s="24">
        <v>27118.179</v>
      </c>
      <c r="M2220" s="24">
        <v>26151.055</v>
      </c>
      <c r="N2220" s="24">
        <v>25067.363000000001</v>
      </c>
      <c r="O2220" s="24">
        <v>23149.580999999998</v>
      </c>
      <c r="P2220" s="24">
        <v>21149.526999999998</v>
      </c>
      <c r="Q2220" s="24">
        <v>19532.694</v>
      </c>
      <c r="R2220" s="24">
        <v>17680.474999999999</v>
      </c>
      <c r="S2220" s="24">
        <v>14915.083000000001</v>
      </c>
      <c r="T2220" s="24">
        <v>12465.21</v>
      </c>
      <c r="U2220" s="24">
        <v>9666.7549999999992</v>
      </c>
      <c r="V2220" s="24">
        <v>7499.7460000000001</v>
      </c>
      <c r="W2220" s="24">
        <v>5903.723</v>
      </c>
      <c r="X2220" s="24">
        <v>4306.9070000000002</v>
      </c>
      <c r="Y2220" s="24">
        <v>2899.317</v>
      </c>
      <c r="Z2220" s="24">
        <v>1485.742</v>
      </c>
      <c r="AA2220" s="24">
        <v>562.16099999999994</v>
      </c>
      <c r="AB2220" s="24">
        <v>151.87700000000001</v>
      </c>
      <c r="AC2220" s="24">
        <v>21.521999999999998</v>
      </c>
    </row>
    <row r="2221" spans="1:29" ht="11.65" hidden="1" x14ac:dyDescent="0.35">
      <c r="A2221" s="28">
        <v>2204</v>
      </c>
      <c r="B2221" s="26" t="s">
        <v>1015</v>
      </c>
      <c r="C2221" s="27" t="s">
        <v>1170</v>
      </c>
      <c r="D2221" s="25"/>
      <c r="E2221" s="25">
        <v>1830</v>
      </c>
      <c r="F2221" s="26" t="s">
        <v>1063</v>
      </c>
      <c r="G2221" s="25">
        <v>1828</v>
      </c>
      <c r="H2221" s="25">
        <v>2015</v>
      </c>
      <c r="I2221" s="24">
        <v>25742.312000000002</v>
      </c>
      <c r="J2221" s="24">
        <v>25897.727999999999</v>
      </c>
      <c r="K2221" s="24">
        <v>26673.758000000002</v>
      </c>
      <c r="L2221" s="24">
        <v>27096.370999999999</v>
      </c>
      <c r="M2221" s="24">
        <v>26808.003000000001</v>
      </c>
      <c r="N2221" s="24">
        <v>25831.198</v>
      </c>
      <c r="O2221" s="24">
        <v>24768.821</v>
      </c>
      <c r="P2221" s="24">
        <v>22896.761999999999</v>
      </c>
      <c r="Q2221" s="24">
        <v>20899.508000000002</v>
      </c>
      <c r="R2221" s="24">
        <v>19241.924999999999</v>
      </c>
      <c r="S2221" s="24">
        <v>17328.769</v>
      </c>
      <c r="T2221" s="24">
        <v>14499.669</v>
      </c>
      <c r="U2221" s="24">
        <v>11954.898999999999</v>
      </c>
      <c r="V2221" s="24">
        <v>9068.7199999999993</v>
      </c>
      <c r="W2221" s="24">
        <v>6796.6139999999996</v>
      </c>
      <c r="X2221" s="24">
        <v>5044.01</v>
      </c>
      <c r="Y2221" s="24">
        <v>3345.9929999999999</v>
      </c>
      <c r="Z2221" s="24">
        <v>1903.191</v>
      </c>
      <c r="AA2221" s="24">
        <v>763.34400000000005</v>
      </c>
      <c r="AB2221" s="24">
        <v>202.30699999999999</v>
      </c>
      <c r="AC2221" s="24">
        <v>33.534999999999997</v>
      </c>
    </row>
    <row r="2222" spans="1:29" ht="11.65" hidden="1" x14ac:dyDescent="0.35">
      <c r="A2222" s="28">
        <v>2205</v>
      </c>
      <c r="B2222" s="26" t="s">
        <v>1015</v>
      </c>
      <c r="C2222" s="27" t="s">
        <v>1170</v>
      </c>
      <c r="D2222" s="25"/>
      <c r="E2222" s="25">
        <v>1830</v>
      </c>
      <c r="F2222" s="26" t="s">
        <v>1063</v>
      </c>
      <c r="G2222" s="25">
        <v>1828</v>
      </c>
      <c r="H2222" s="25">
        <v>2020</v>
      </c>
      <c r="I2222" s="24">
        <v>25269.499</v>
      </c>
      <c r="J2222" s="24">
        <v>25553.111000000001</v>
      </c>
      <c r="K2222" s="24">
        <v>25684.076000000001</v>
      </c>
      <c r="L2222" s="24">
        <v>26348.225999999999</v>
      </c>
      <c r="M2222" s="24">
        <v>26807.437999999998</v>
      </c>
      <c r="N2222" s="24">
        <v>26561.495999999999</v>
      </c>
      <c r="O2222" s="24">
        <v>25636.010999999999</v>
      </c>
      <c r="P2222" s="24">
        <v>24592.012999999999</v>
      </c>
      <c r="Q2222" s="24">
        <v>22681.973000000002</v>
      </c>
      <c r="R2222" s="24">
        <v>20600.731</v>
      </c>
      <c r="S2222" s="24">
        <v>18876.804</v>
      </c>
      <c r="T2222" s="24">
        <v>16865.417000000001</v>
      </c>
      <c r="U2222" s="24">
        <v>13930.123</v>
      </c>
      <c r="V2222" s="24">
        <v>11252.168</v>
      </c>
      <c r="W2222" s="24">
        <v>8254.0519999999997</v>
      </c>
      <c r="X2222" s="24">
        <v>5848.3689999999997</v>
      </c>
      <c r="Y2222" s="24">
        <v>3955.0940000000001</v>
      </c>
      <c r="Z2222" s="24">
        <v>2250.2199999999998</v>
      </c>
      <c r="AA2222" s="24">
        <v>1024.0440000000001</v>
      </c>
      <c r="AB2222" s="24">
        <v>293.495</v>
      </c>
      <c r="AC2222" s="24">
        <v>49.218000000000004</v>
      </c>
    </row>
    <row r="2223" spans="1:29" ht="11.65" hidden="1" x14ac:dyDescent="0.35">
      <c r="A2223" s="23">
        <v>2206</v>
      </c>
      <c r="B2223" s="21" t="s">
        <v>1015</v>
      </c>
      <c r="C2223" s="29" t="s">
        <v>1171</v>
      </c>
      <c r="D2223" s="20"/>
      <c r="E2223" s="20">
        <v>915</v>
      </c>
      <c r="F2223" s="21" t="s">
        <v>1065</v>
      </c>
      <c r="G2223" s="20">
        <v>1830</v>
      </c>
      <c r="H2223" s="20">
        <v>1950</v>
      </c>
      <c r="I2223" s="19">
        <v>1264.028</v>
      </c>
      <c r="J2223" s="19">
        <v>1087.174</v>
      </c>
      <c r="K2223" s="19">
        <v>978.68700000000001</v>
      </c>
      <c r="L2223" s="19">
        <v>851.48299999999995</v>
      </c>
      <c r="M2223" s="19">
        <v>749.07399999999996</v>
      </c>
      <c r="N2223" s="19">
        <v>653.80999999999995</v>
      </c>
      <c r="O2223" s="19">
        <v>576.524</v>
      </c>
      <c r="P2223" s="19">
        <v>529.08900000000006</v>
      </c>
      <c r="Q2223" s="19">
        <v>437.46600000000001</v>
      </c>
      <c r="R2223" s="19">
        <v>365.32400000000001</v>
      </c>
      <c r="S2223" s="19">
        <v>276.96100000000001</v>
      </c>
      <c r="T2223" s="19">
        <v>206.56299999999999</v>
      </c>
      <c r="U2223" s="19">
        <v>181.78399999999999</v>
      </c>
      <c r="V2223" s="19">
        <v>137.51300000000001</v>
      </c>
      <c r="W2223" s="19">
        <v>100.643</v>
      </c>
      <c r="X2223" s="19">
        <v>66.688999999999993</v>
      </c>
      <c r="Y2223" s="19">
        <v>30.199000000000002</v>
      </c>
      <c r="Z2223" s="19">
        <v>13.31</v>
      </c>
      <c r="AA2223" s="19">
        <v>4.3449999999999998</v>
      </c>
      <c r="AB2223" s="19">
        <v>1.0049999999999999</v>
      </c>
      <c r="AC2223" s="19">
        <v>0.185</v>
      </c>
    </row>
    <row r="2224" spans="1:29" ht="11.65" hidden="1" x14ac:dyDescent="0.35">
      <c r="A2224" s="23">
        <v>2207</v>
      </c>
      <c r="B2224" s="21" t="s">
        <v>1015</v>
      </c>
      <c r="C2224" s="29" t="s">
        <v>1171</v>
      </c>
      <c r="D2224" s="20"/>
      <c r="E2224" s="20">
        <v>915</v>
      </c>
      <c r="F2224" s="21" t="s">
        <v>1065</v>
      </c>
      <c r="G2224" s="20">
        <v>1830</v>
      </c>
      <c r="H2224" s="20">
        <v>1955</v>
      </c>
      <c r="I2224" s="19">
        <v>1454.3389999999999</v>
      </c>
      <c r="J2224" s="19">
        <v>1174.723</v>
      </c>
      <c r="K2224" s="19">
        <v>1049.807</v>
      </c>
      <c r="L2224" s="19">
        <v>937.61800000000005</v>
      </c>
      <c r="M2224" s="19">
        <v>804.154</v>
      </c>
      <c r="N2224" s="19">
        <v>694.39099999999996</v>
      </c>
      <c r="O2224" s="19">
        <v>610.43399999999997</v>
      </c>
      <c r="P2224" s="19">
        <v>557.91600000000005</v>
      </c>
      <c r="Q2224" s="19">
        <v>483.84899999999999</v>
      </c>
      <c r="R2224" s="19">
        <v>420.67500000000001</v>
      </c>
      <c r="S2224" s="19">
        <v>341.26400000000001</v>
      </c>
      <c r="T2224" s="19">
        <v>251.85599999999999</v>
      </c>
      <c r="U2224" s="19">
        <v>191.84</v>
      </c>
      <c r="V2224" s="19">
        <v>157.56</v>
      </c>
      <c r="W2224" s="19">
        <v>108.57599999999999</v>
      </c>
      <c r="X2224" s="19">
        <v>65.53</v>
      </c>
      <c r="Y2224" s="19">
        <v>39.337000000000003</v>
      </c>
      <c r="Z2224" s="19">
        <v>12.374000000000001</v>
      </c>
      <c r="AA2224" s="19">
        <v>3.9260000000000002</v>
      </c>
      <c r="AB2224" s="19">
        <v>0.89100000000000001</v>
      </c>
      <c r="AC2224" s="19">
        <v>0.158</v>
      </c>
    </row>
    <row r="2225" spans="1:29" ht="11.65" hidden="1" x14ac:dyDescent="0.35">
      <c r="A2225" s="23">
        <v>2208</v>
      </c>
      <c r="B2225" s="21" t="s">
        <v>1015</v>
      </c>
      <c r="C2225" s="29" t="s">
        <v>1171</v>
      </c>
      <c r="D2225" s="20"/>
      <c r="E2225" s="20">
        <v>915</v>
      </c>
      <c r="F2225" s="21" t="s">
        <v>1065</v>
      </c>
      <c r="G2225" s="20">
        <v>1830</v>
      </c>
      <c r="H2225" s="20">
        <v>1960</v>
      </c>
      <c r="I2225" s="19">
        <v>1588.7059999999999</v>
      </c>
      <c r="J2225" s="19">
        <v>1383.0029999999999</v>
      </c>
      <c r="K2225" s="19">
        <v>1153.1189999999999</v>
      </c>
      <c r="L2225" s="19">
        <v>1006.534</v>
      </c>
      <c r="M2225" s="19">
        <v>881.99199999999996</v>
      </c>
      <c r="N2225" s="19">
        <v>752.30799999999999</v>
      </c>
      <c r="O2225" s="19">
        <v>656.37900000000002</v>
      </c>
      <c r="P2225" s="19">
        <v>587.36199999999997</v>
      </c>
      <c r="Q2225" s="19">
        <v>515.04100000000005</v>
      </c>
      <c r="R2225" s="19">
        <v>463.24</v>
      </c>
      <c r="S2225" s="19">
        <v>387.68099999999998</v>
      </c>
      <c r="T2225" s="19">
        <v>311.53800000000001</v>
      </c>
      <c r="U2225" s="19">
        <v>229.893</v>
      </c>
      <c r="V2225" s="19">
        <v>167.68700000000001</v>
      </c>
      <c r="W2225" s="19">
        <v>125.961</v>
      </c>
      <c r="X2225" s="19">
        <v>76.89</v>
      </c>
      <c r="Y2225" s="19">
        <v>38.92</v>
      </c>
      <c r="Z2225" s="19">
        <v>17.882999999999999</v>
      </c>
      <c r="AA2225" s="19">
        <v>3.871</v>
      </c>
      <c r="AB2225" s="19">
        <v>0.84899999999999998</v>
      </c>
      <c r="AC2225" s="19">
        <v>0.14399999999999999</v>
      </c>
    </row>
    <row r="2226" spans="1:29" ht="11.65" hidden="1" x14ac:dyDescent="0.35">
      <c r="A2226" s="23">
        <v>2209</v>
      </c>
      <c r="B2226" s="21" t="s">
        <v>1015</v>
      </c>
      <c r="C2226" s="29" t="s">
        <v>1171</v>
      </c>
      <c r="D2226" s="20"/>
      <c r="E2226" s="20">
        <v>915</v>
      </c>
      <c r="F2226" s="21" t="s">
        <v>1065</v>
      </c>
      <c r="G2226" s="20">
        <v>1830</v>
      </c>
      <c r="H2226" s="20">
        <v>1965</v>
      </c>
      <c r="I2226" s="19">
        <v>1861.922</v>
      </c>
      <c r="J2226" s="19">
        <v>1505.69</v>
      </c>
      <c r="K2226" s="19">
        <v>1332.9</v>
      </c>
      <c r="L2226" s="19">
        <v>1097.4949999999999</v>
      </c>
      <c r="M2226" s="19">
        <v>950.048</v>
      </c>
      <c r="N2226" s="19">
        <v>830.39800000000002</v>
      </c>
      <c r="O2226" s="19">
        <v>717.60500000000002</v>
      </c>
      <c r="P2226" s="19">
        <v>626.46199999999999</v>
      </c>
      <c r="Q2226" s="19">
        <v>550.80700000000002</v>
      </c>
      <c r="R2226" s="19">
        <v>489.26100000000002</v>
      </c>
      <c r="S2226" s="19">
        <v>429.38799999999998</v>
      </c>
      <c r="T2226" s="19">
        <v>363.55900000000003</v>
      </c>
      <c r="U2226" s="19">
        <v>290.03399999999999</v>
      </c>
      <c r="V2226" s="19">
        <v>200.83</v>
      </c>
      <c r="W2226" s="19">
        <v>139.71299999999999</v>
      </c>
      <c r="X2226" s="19">
        <v>91.081000000000003</v>
      </c>
      <c r="Y2226" s="19">
        <v>47.959000000000003</v>
      </c>
      <c r="Z2226" s="19">
        <v>17.96</v>
      </c>
      <c r="AA2226" s="19">
        <v>6.1680000000000001</v>
      </c>
      <c r="AB2226" s="19">
        <v>0.87</v>
      </c>
      <c r="AC2226" s="19">
        <v>0.13800000000000001</v>
      </c>
    </row>
    <row r="2227" spans="1:29" ht="11.65" hidden="1" x14ac:dyDescent="0.35">
      <c r="A2227" s="23">
        <v>2210</v>
      </c>
      <c r="B2227" s="21" t="s">
        <v>1015</v>
      </c>
      <c r="C2227" s="29" t="s">
        <v>1171</v>
      </c>
      <c r="D2227" s="20"/>
      <c r="E2227" s="20">
        <v>915</v>
      </c>
      <c r="F2227" s="21" t="s">
        <v>1065</v>
      </c>
      <c r="G2227" s="20">
        <v>1830</v>
      </c>
      <c r="H2227" s="20">
        <v>1970</v>
      </c>
      <c r="I2227" s="19">
        <v>1861.2819999999999</v>
      </c>
      <c r="J2227" s="19">
        <v>1791.096</v>
      </c>
      <c r="K2227" s="19">
        <v>1466.5630000000001</v>
      </c>
      <c r="L2227" s="19">
        <v>1276.1030000000001</v>
      </c>
      <c r="M2227" s="19">
        <v>1037.8389999999999</v>
      </c>
      <c r="N2227" s="19">
        <v>886.73299999999995</v>
      </c>
      <c r="O2227" s="19">
        <v>766.87199999999996</v>
      </c>
      <c r="P2227" s="19">
        <v>661.40099999999995</v>
      </c>
      <c r="Q2227" s="19">
        <v>581.76700000000005</v>
      </c>
      <c r="R2227" s="19">
        <v>514.154</v>
      </c>
      <c r="S2227" s="19">
        <v>454.08499999999998</v>
      </c>
      <c r="T2227" s="19">
        <v>400.726</v>
      </c>
      <c r="U2227" s="19">
        <v>339.07600000000002</v>
      </c>
      <c r="V2227" s="19">
        <v>259.59399999999999</v>
      </c>
      <c r="W2227" s="19">
        <v>164.29</v>
      </c>
      <c r="X2227" s="19">
        <v>100.06699999999999</v>
      </c>
      <c r="Y2227" s="19">
        <v>61.956000000000003</v>
      </c>
      <c r="Z2227" s="19">
        <v>23.18</v>
      </c>
      <c r="AA2227" s="19">
        <v>6.2320000000000002</v>
      </c>
      <c r="AB2227" s="19">
        <v>1.4770000000000001</v>
      </c>
      <c r="AC2227" s="19">
        <v>0.14299999999999999</v>
      </c>
    </row>
    <row r="2228" spans="1:29" ht="11.65" hidden="1" x14ac:dyDescent="0.35">
      <c r="A2228" s="23">
        <v>2211</v>
      </c>
      <c r="B2228" s="21" t="s">
        <v>1015</v>
      </c>
      <c r="C2228" s="29" t="s">
        <v>1171</v>
      </c>
      <c r="D2228" s="20"/>
      <c r="E2228" s="20">
        <v>915</v>
      </c>
      <c r="F2228" s="21" t="s">
        <v>1065</v>
      </c>
      <c r="G2228" s="20">
        <v>1830</v>
      </c>
      <c r="H2228" s="20">
        <v>1975</v>
      </c>
      <c r="I2228" s="19">
        <v>1845.1</v>
      </c>
      <c r="J2228" s="19">
        <v>1814.39</v>
      </c>
      <c r="K2228" s="19">
        <v>1759.06</v>
      </c>
      <c r="L2228" s="19">
        <v>1415.7929999999999</v>
      </c>
      <c r="M2228" s="19">
        <v>1211.1880000000001</v>
      </c>
      <c r="N2228" s="19">
        <v>983.86400000000003</v>
      </c>
      <c r="O2228" s="19">
        <v>848.21</v>
      </c>
      <c r="P2228" s="19">
        <v>737.63099999999997</v>
      </c>
      <c r="Q2228" s="19">
        <v>633.59400000000005</v>
      </c>
      <c r="R2228" s="19">
        <v>556.56899999999996</v>
      </c>
      <c r="S2228" s="19">
        <v>486.428</v>
      </c>
      <c r="T2228" s="19">
        <v>425.39100000000002</v>
      </c>
      <c r="U2228" s="19">
        <v>368.56299999999999</v>
      </c>
      <c r="V2228" s="19">
        <v>301.50099999999998</v>
      </c>
      <c r="W2228" s="19">
        <v>215.733</v>
      </c>
      <c r="X2228" s="19">
        <v>123.31399999999999</v>
      </c>
      <c r="Y2228" s="19">
        <v>61.405999999999999</v>
      </c>
      <c r="Z2228" s="19">
        <v>31.881</v>
      </c>
      <c r="AA2228" s="19">
        <v>8.6379999999999999</v>
      </c>
      <c r="AB2228" s="19">
        <v>1.5609999999999999</v>
      </c>
      <c r="AC2228" s="19">
        <v>0.246</v>
      </c>
    </row>
    <row r="2229" spans="1:29" ht="11.65" hidden="1" x14ac:dyDescent="0.35">
      <c r="A2229" s="23">
        <v>2212</v>
      </c>
      <c r="B2229" s="21" t="s">
        <v>1015</v>
      </c>
      <c r="C2229" s="29" t="s">
        <v>1171</v>
      </c>
      <c r="D2229" s="20"/>
      <c r="E2229" s="20">
        <v>915</v>
      </c>
      <c r="F2229" s="21" t="s">
        <v>1065</v>
      </c>
      <c r="G2229" s="20">
        <v>1830</v>
      </c>
      <c r="H2229" s="20">
        <v>1980</v>
      </c>
      <c r="I2229" s="19">
        <v>1752.6990000000001</v>
      </c>
      <c r="J2229" s="19">
        <v>1797.106</v>
      </c>
      <c r="K2229" s="19">
        <v>1781.854</v>
      </c>
      <c r="L2229" s="19">
        <v>1700.432</v>
      </c>
      <c r="M2229" s="19">
        <v>1317.845</v>
      </c>
      <c r="N2229" s="19">
        <v>1143.8989999999999</v>
      </c>
      <c r="O2229" s="19">
        <v>949.06600000000003</v>
      </c>
      <c r="P2229" s="19">
        <v>827.33100000000002</v>
      </c>
      <c r="Q2229" s="19">
        <v>717.86099999999999</v>
      </c>
      <c r="R2229" s="19">
        <v>609.01199999999994</v>
      </c>
      <c r="S2229" s="19">
        <v>531.649</v>
      </c>
      <c r="T2229" s="19">
        <v>460.98099999999999</v>
      </c>
      <c r="U2229" s="19">
        <v>401.07600000000002</v>
      </c>
      <c r="V2229" s="19">
        <v>340.79599999999999</v>
      </c>
      <c r="W2229" s="19">
        <v>258.08800000000002</v>
      </c>
      <c r="X2229" s="19">
        <v>167.642</v>
      </c>
      <c r="Y2229" s="19">
        <v>99.268000000000001</v>
      </c>
      <c r="Z2229" s="19">
        <v>32.57</v>
      </c>
      <c r="AA2229" s="19">
        <v>12.964</v>
      </c>
      <c r="AB2229" s="19">
        <v>2.39</v>
      </c>
      <c r="AC2229" s="19">
        <v>0.30299999999999999</v>
      </c>
    </row>
    <row r="2230" spans="1:29" ht="11.65" hidden="1" x14ac:dyDescent="0.35">
      <c r="A2230" s="23">
        <v>2213</v>
      </c>
      <c r="B2230" s="21" t="s">
        <v>1015</v>
      </c>
      <c r="C2230" s="29" t="s">
        <v>1171</v>
      </c>
      <c r="D2230" s="20"/>
      <c r="E2230" s="20">
        <v>915</v>
      </c>
      <c r="F2230" s="21" t="s">
        <v>1065</v>
      </c>
      <c r="G2230" s="20">
        <v>1830</v>
      </c>
      <c r="H2230" s="20">
        <v>1985</v>
      </c>
      <c r="I2230" s="19">
        <v>1870.5830000000001</v>
      </c>
      <c r="J2230" s="19">
        <v>1703.374</v>
      </c>
      <c r="K2230" s="19">
        <v>1779.3710000000001</v>
      </c>
      <c r="L2230" s="19">
        <v>1738.7190000000001</v>
      </c>
      <c r="M2230" s="19">
        <v>1607.0119999999999</v>
      </c>
      <c r="N2230" s="19">
        <v>1239.21</v>
      </c>
      <c r="O2230" s="19">
        <v>1094.69</v>
      </c>
      <c r="P2230" s="19">
        <v>899.26300000000003</v>
      </c>
      <c r="Q2230" s="19">
        <v>790.36800000000005</v>
      </c>
      <c r="R2230" s="19">
        <v>690.11900000000003</v>
      </c>
      <c r="S2230" s="19">
        <v>579.27599999999995</v>
      </c>
      <c r="T2230" s="19">
        <v>505.52100000000002</v>
      </c>
      <c r="U2230" s="19">
        <v>431.15300000000002</v>
      </c>
      <c r="V2230" s="19">
        <v>364.858</v>
      </c>
      <c r="W2230" s="19">
        <v>289.58600000000001</v>
      </c>
      <c r="X2230" s="19">
        <v>207.309</v>
      </c>
      <c r="Y2230" s="19">
        <v>120.17</v>
      </c>
      <c r="Z2230" s="19">
        <v>54.045000000000002</v>
      </c>
      <c r="AA2230" s="19">
        <v>13.269</v>
      </c>
      <c r="AB2230" s="19">
        <v>3.8170000000000002</v>
      </c>
      <c r="AC2230" s="19">
        <v>0.47799999999999998</v>
      </c>
    </row>
    <row r="2231" spans="1:29" ht="11.65" hidden="1" x14ac:dyDescent="0.35">
      <c r="A2231" s="23">
        <v>2214</v>
      </c>
      <c r="B2231" s="21" t="s">
        <v>1015</v>
      </c>
      <c r="C2231" s="29" t="s">
        <v>1171</v>
      </c>
      <c r="D2231" s="20"/>
      <c r="E2231" s="20">
        <v>915</v>
      </c>
      <c r="F2231" s="21" t="s">
        <v>1065</v>
      </c>
      <c r="G2231" s="20">
        <v>1830</v>
      </c>
      <c r="H2231" s="20">
        <v>1990</v>
      </c>
      <c r="I2231" s="19">
        <v>1936.777</v>
      </c>
      <c r="J2231" s="19">
        <v>1824.058</v>
      </c>
      <c r="K2231" s="19">
        <v>1686.021</v>
      </c>
      <c r="L2231" s="19">
        <v>1731.15</v>
      </c>
      <c r="M2231" s="19">
        <v>1644.9390000000001</v>
      </c>
      <c r="N2231" s="19">
        <v>1535.26</v>
      </c>
      <c r="O2231" s="19">
        <v>1196.0709999999999</v>
      </c>
      <c r="P2231" s="19">
        <v>1057.6880000000001</v>
      </c>
      <c r="Q2231" s="19">
        <v>879.59799999999996</v>
      </c>
      <c r="R2231" s="19">
        <v>767.80100000000004</v>
      </c>
      <c r="S2231" s="19">
        <v>663.12099999999998</v>
      </c>
      <c r="T2231" s="19">
        <v>554.80399999999997</v>
      </c>
      <c r="U2231" s="19">
        <v>477.16199999999998</v>
      </c>
      <c r="V2231" s="19">
        <v>399.15199999999999</v>
      </c>
      <c r="W2231" s="19">
        <v>316.73500000000001</v>
      </c>
      <c r="X2231" s="19">
        <v>236.566</v>
      </c>
      <c r="Y2231" s="19">
        <v>150.72300000000001</v>
      </c>
      <c r="Z2231" s="19">
        <v>67.632999999999996</v>
      </c>
      <c r="AA2231" s="19">
        <v>22.864000000000001</v>
      </c>
      <c r="AB2231" s="19">
        <v>3.9990000000000001</v>
      </c>
      <c r="AC2231" s="19">
        <v>0.82499999999999996</v>
      </c>
    </row>
    <row r="2232" spans="1:29" ht="11.65" hidden="1" x14ac:dyDescent="0.35">
      <c r="A2232" s="23">
        <v>2215</v>
      </c>
      <c r="B2232" s="21" t="s">
        <v>1015</v>
      </c>
      <c r="C2232" s="29" t="s">
        <v>1171</v>
      </c>
      <c r="D2232" s="20"/>
      <c r="E2232" s="20">
        <v>915</v>
      </c>
      <c r="F2232" s="21" t="s">
        <v>1065</v>
      </c>
      <c r="G2232" s="20">
        <v>1830</v>
      </c>
      <c r="H2232" s="20">
        <v>1995</v>
      </c>
      <c r="I2232" s="19">
        <v>1904.605</v>
      </c>
      <c r="J2232" s="19">
        <v>1900.2170000000001</v>
      </c>
      <c r="K2232" s="19">
        <v>1801.575</v>
      </c>
      <c r="L2232" s="19">
        <v>1645.9749999999999</v>
      </c>
      <c r="M2232" s="19">
        <v>1649.258</v>
      </c>
      <c r="N2232" s="19">
        <v>1572.098</v>
      </c>
      <c r="O2232" s="19">
        <v>1480.75</v>
      </c>
      <c r="P2232" s="19">
        <v>1155.6210000000001</v>
      </c>
      <c r="Q2232" s="19">
        <v>1023.4</v>
      </c>
      <c r="R2232" s="19">
        <v>853.69299999999998</v>
      </c>
      <c r="S2232" s="19">
        <v>746.274</v>
      </c>
      <c r="T2232" s="19">
        <v>637.64300000000003</v>
      </c>
      <c r="U2232" s="19">
        <v>525.08799999999997</v>
      </c>
      <c r="V2232" s="19">
        <v>436.36900000000003</v>
      </c>
      <c r="W2232" s="19">
        <v>347.92099999999999</v>
      </c>
      <c r="X2232" s="19">
        <v>255.65100000000001</v>
      </c>
      <c r="Y2232" s="19">
        <v>173.905</v>
      </c>
      <c r="Z2232" s="19">
        <v>85.653000000000006</v>
      </c>
      <c r="AA2232" s="19">
        <v>29.113</v>
      </c>
      <c r="AB2232" s="19">
        <v>6.8220000000000001</v>
      </c>
      <c r="AC2232" s="19">
        <v>0.91</v>
      </c>
    </row>
    <row r="2233" spans="1:29" ht="11.65" hidden="1" x14ac:dyDescent="0.35">
      <c r="A2233" s="23">
        <v>2216</v>
      </c>
      <c r="B2233" s="21" t="s">
        <v>1015</v>
      </c>
      <c r="C2233" s="29" t="s">
        <v>1171</v>
      </c>
      <c r="D2233" s="20"/>
      <c r="E2233" s="20">
        <v>915</v>
      </c>
      <c r="F2233" s="21" t="s">
        <v>1065</v>
      </c>
      <c r="G2233" s="20">
        <v>1830</v>
      </c>
      <c r="H2233" s="20">
        <v>2000</v>
      </c>
      <c r="I2233" s="19">
        <v>1873.5540000000001</v>
      </c>
      <c r="J2233" s="19">
        <v>1871.771</v>
      </c>
      <c r="K2233" s="19">
        <v>1882.5450000000001</v>
      </c>
      <c r="L2233" s="19">
        <v>1753.3240000000001</v>
      </c>
      <c r="M2233" s="19">
        <v>1559.366</v>
      </c>
      <c r="N2233" s="19">
        <v>1576.318</v>
      </c>
      <c r="O2233" s="19">
        <v>1524.8820000000001</v>
      </c>
      <c r="P2233" s="19">
        <v>1441.453</v>
      </c>
      <c r="Q2233" s="19">
        <v>1119.3969999999999</v>
      </c>
      <c r="R2233" s="19">
        <v>992.17200000000003</v>
      </c>
      <c r="S2233" s="19">
        <v>830.63900000000001</v>
      </c>
      <c r="T2233" s="19">
        <v>714.43200000000002</v>
      </c>
      <c r="U2233" s="19">
        <v>605.38</v>
      </c>
      <c r="V2233" s="19">
        <v>487.10700000000003</v>
      </c>
      <c r="W2233" s="19">
        <v>384.88600000000002</v>
      </c>
      <c r="X2233" s="19">
        <v>283.34500000000003</v>
      </c>
      <c r="Y2233" s="19">
        <v>188.501</v>
      </c>
      <c r="Z2233" s="19">
        <v>103.46299999999999</v>
      </c>
      <c r="AA2233" s="19">
        <v>39.161000000000001</v>
      </c>
      <c r="AB2233" s="19">
        <v>9.6120000000000001</v>
      </c>
      <c r="AC2233" s="19">
        <v>1.5920000000000001</v>
      </c>
    </row>
    <row r="2234" spans="1:29" ht="11.65" hidden="1" x14ac:dyDescent="0.35">
      <c r="A2234" s="23">
        <v>2217</v>
      </c>
      <c r="B2234" s="21" t="s">
        <v>1015</v>
      </c>
      <c r="C2234" s="29" t="s">
        <v>1171</v>
      </c>
      <c r="D2234" s="20"/>
      <c r="E2234" s="20">
        <v>915</v>
      </c>
      <c r="F2234" s="21" t="s">
        <v>1065</v>
      </c>
      <c r="G2234" s="20">
        <v>1830</v>
      </c>
      <c r="H2234" s="20">
        <v>2005</v>
      </c>
      <c r="I2234" s="19">
        <v>1810.193</v>
      </c>
      <c r="J2234" s="19">
        <v>1843.963</v>
      </c>
      <c r="K2234" s="19">
        <v>1836.021</v>
      </c>
      <c r="L2234" s="19">
        <v>1828.2840000000001</v>
      </c>
      <c r="M2234" s="19">
        <v>1666.63</v>
      </c>
      <c r="N2234" s="19">
        <v>1478.981</v>
      </c>
      <c r="O2234" s="19">
        <v>1516.367</v>
      </c>
      <c r="P2234" s="19">
        <v>1485.192</v>
      </c>
      <c r="Q2234" s="19">
        <v>1399.954</v>
      </c>
      <c r="R2234" s="19">
        <v>1085.325</v>
      </c>
      <c r="S2234" s="19">
        <v>969.87900000000002</v>
      </c>
      <c r="T2234" s="19">
        <v>789.19899999999996</v>
      </c>
      <c r="U2234" s="19">
        <v>674.66800000000001</v>
      </c>
      <c r="V2234" s="19">
        <v>555.60199999999998</v>
      </c>
      <c r="W2234" s="19">
        <v>426.38299999999998</v>
      </c>
      <c r="X2234" s="19">
        <v>315.19400000000002</v>
      </c>
      <c r="Y2234" s="19">
        <v>209.48599999999999</v>
      </c>
      <c r="Z2234" s="19">
        <v>114.249</v>
      </c>
      <c r="AA2234" s="19">
        <v>48.832999999999998</v>
      </c>
      <c r="AB2234" s="19">
        <v>13.343</v>
      </c>
      <c r="AC2234" s="19">
        <v>2.4289999999999998</v>
      </c>
    </row>
    <row r="2235" spans="1:29" ht="11.65" hidden="1" x14ac:dyDescent="0.35">
      <c r="A2235" s="23">
        <v>2218</v>
      </c>
      <c r="B2235" s="21" t="s">
        <v>1015</v>
      </c>
      <c r="C2235" s="29" t="s">
        <v>1171</v>
      </c>
      <c r="D2235" s="20"/>
      <c r="E2235" s="20">
        <v>915</v>
      </c>
      <c r="F2235" s="21" t="s">
        <v>1065</v>
      </c>
      <c r="G2235" s="20">
        <v>1830</v>
      </c>
      <c r="H2235" s="20">
        <v>2010</v>
      </c>
      <c r="I2235" s="19">
        <v>1763.04</v>
      </c>
      <c r="J2235" s="19">
        <v>1773.2059999999999</v>
      </c>
      <c r="K2235" s="19">
        <v>1815.8810000000001</v>
      </c>
      <c r="L2235" s="19">
        <v>1811.6479999999999</v>
      </c>
      <c r="M2235" s="19">
        <v>1769.991</v>
      </c>
      <c r="N2235" s="19">
        <v>1598.4010000000001</v>
      </c>
      <c r="O2235" s="19">
        <v>1404.357</v>
      </c>
      <c r="P2235" s="19">
        <v>1465.2270000000001</v>
      </c>
      <c r="Q2235" s="19">
        <v>1433.2090000000001</v>
      </c>
      <c r="R2235" s="19">
        <v>1352.423</v>
      </c>
      <c r="S2235" s="19">
        <v>1052.749</v>
      </c>
      <c r="T2235" s="19">
        <v>920.27200000000005</v>
      </c>
      <c r="U2235" s="19">
        <v>752.98</v>
      </c>
      <c r="V2235" s="19">
        <v>620.00900000000001</v>
      </c>
      <c r="W2235" s="19">
        <v>491.267</v>
      </c>
      <c r="X2235" s="19">
        <v>353.88200000000001</v>
      </c>
      <c r="Y2235" s="19">
        <v>237.31700000000001</v>
      </c>
      <c r="Z2235" s="19">
        <v>132.566</v>
      </c>
      <c r="AA2235" s="19">
        <v>57.207999999999998</v>
      </c>
      <c r="AB2235" s="19">
        <v>17.911000000000001</v>
      </c>
      <c r="AC2235" s="19">
        <v>3.1</v>
      </c>
    </row>
    <row r="2236" spans="1:29" ht="11.65" hidden="1" x14ac:dyDescent="0.35">
      <c r="A2236" s="23">
        <v>2219</v>
      </c>
      <c r="B2236" s="21" t="s">
        <v>1015</v>
      </c>
      <c r="C2236" s="29" t="s">
        <v>1171</v>
      </c>
      <c r="D2236" s="20"/>
      <c r="E2236" s="20">
        <v>915</v>
      </c>
      <c r="F2236" s="21" t="s">
        <v>1065</v>
      </c>
      <c r="G2236" s="20">
        <v>1830</v>
      </c>
      <c r="H2236" s="20">
        <v>2015</v>
      </c>
      <c r="I2236" s="19">
        <v>1748.6659999999999</v>
      </c>
      <c r="J2236" s="19">
        <v>1736.633</v>
      </c>
      <c r="K2236" s="19">
        <v>1753.3489999999999</v>
      </c>
      <c r="L2236" s="19">
        <v>1770.087</v>
      </c>
      <c r="M2236" s="19">
        <v>1731.8889999999999</v>
      </c>
      <c r="N2236" s="19">
        <v>1700.598</v>
      </c>
      <c r="O2236" s="19">
        <v>1541.086</v>
      </c>
      <c r="P2236" s="19">
        <v>1350.0540000000001</v>
      </c>
      <c r="Q2236" s="19">
        <v>1418.759</v>
      </c>
      <c r="R2236" s="19">
        <v>1397.8589999999999</v>
      </c>
      <c r="S2236" s="19">
        <v>1316.0830000000001</v>
      </c>
      <c r="T2236" s="19">
        <v>1016.574</v>
      </c>
      <c r="U2236" s="19">
        <v>877.77599999999995</v>
      </c>
      <c r="V2236" s="19">
        <v>702.00900000000001</v>
      </c>
      <c r="W2236" s="19">
        <v>557.26700000000005</v>
      </c>
      <c r="X2236" s="19">
        <v>415.07799999999997</v>
      </c>
      <c r="Y2236" s="19">
        <v>270.02600000000001</v>
      </c>
      <c r="Z2236" s="19">
        <v>153.19</v>
      </c>
      <c r="AA2236" s="19">
        <v>68.649000000000001</v>
      </c>
      <c r="AB2236" s="19">
        <v>21.777999999999999</v>
      </c>
      <c r="AC2236" s="19">
        <v>4.2779999999999996</v>
      </c>
    </row>
    <row r="2237" spans="1:29" ht="11.65" hidden="1" x14ac:dyDescent="0.35">
      <c r="A2237" s="23">
        <v>2220</v>
      </c>
      <c r="B2237" s="21" t="s">
        <v>1015</v>
      </c>
      <c r="C2237" s="29" t="s">
        <v>1171</v>
      </c>
      <c r="D2237" s="20"/>
      <c r="E2237" s="20">
        <v>915</v>
      </c>
      <c r="F2237" s="21" t="s">
        <v>1065</v>
      </c>
      <c r="G2237" s="20">
        <v>1830</v>
      </c>
      <c r="H2237" s="20">
        <v>2020</v>
      </c>
      <c r="I2237" s="19">
        <v>1665.8789999999999</v>
      </c>
      <c r="J2237" s="19">
        <v>1720.74</v>
      </c>
      <c r="K2237" s="19">
        <v>1717.011</v>
      </c>
      <c r="L2237" s="19">
        <v>1694.269</v>
      </c>
      <c r="M2237" s="19">
        <v>1673.0530000000001</v>
      </c>
      <c r="N2237" s="19">
        <v>1634.5329999999999</v>
      </c>
      <c r="O2237" s="19">
        <v>1622.1679999999999</v>
      </c>
      <c r="P2237" s="19">
        <v>1481.3140000000001</v>
      </c>
      <c r="Q2237" s="19">
        <v>1304.5909999999999</v>
      </c>
      <c r="R2237" s="19">
        <v>1379.759</v>
      </c>
      <c r="S2237" s="19">
        <v>1359.0540000000001</v>
      </c>
      <c r="T2237" s="19">
        <v>1272.616</v>
      </c>
      <c r="U2237" s="19">
        <v>969.79399999999998</v>
      </c>
      <c r="V2237" s="19">
        <v>820.07100000000003</v>
      </c>
      <c r="W2237" s="19">
        <v>635.02300000000002</v>
      </c>
      <c r="X2237" s="19">
        <v>475.69499999999999</v>
      </c>
      <c r="Y2237" s="19">
        <v>320.089</v>
      </c>
      <c r="Z2237" s="19">
        <v>178.392</v>
      </c>
      <c r="AA2237" s="19">
        <v>81.244</v>
      </c>
      <c r="AB2237" s="19">
        <v>27.219000000000001</v>
      </c>
      <c r="AC2237" s="19">
        <v>5.6440000000000001</v>
      </c>
    </row>
    <row r="2238" spans="1:29" ht="11.65" hidden="1" x14ac:dyDescent="0.35">
      <c r="A2238" s="12">
        <v>2221</v>
      </c>
      <c r="B2238" s="10" t="s">
        <v>1015</v>
      </c>
      <c r="C2238" s="11" t="s">
        <v>1172</v>
      </c>
      <c r="D2238" s="9"/>
      <c r="E2238" s="9">
        <v>28</v>
      </c>
      <c r="F2238" s="10" t="s">
        <v>1066</v>
      </c>
      <c r="G2238" s="9">
        <v>915</v>
      </c>
      <c r="H2238" s="9">
        <v>1950</v>
      </c>
      <c r="I2238" s="8">
        <v>3.5390000000000001</v>
      </c>
      <c r="J2238" s="8">
        <v>3.2109999999999999</v>
      </c>
      <c r="K2238" s="8">
        <v>2.8090000000000002</v>
      </c>
      <c r="L2238" s="8">
        <v>2.298</v>
      </c>
      <c r="M2238" s="8">
        <v>1.7290000000000001</v>
      </c>
      <c r="N2238" s="8">
        <v>1.54</v>
      </c>
      <c r="O2238" s="8">
        <v>1.488</v>
      </c>
      <c r="P2238" s="8">
        <v>1.3149999999999999</v>
      </c>
      <c r="Q2238" s="8">
        <v>1.3049999999999999</v>
      </c>
      <c r="R2238" s="8">
        <v>1.2070000000000001</v>
      </c>
      <c r="S2238" s="8">
        <v>1.0669999999999999</v>
      </c>
      <c r="T2238" s="8">
        <v>0.7</v>
      </c>
      <c r="U2238" s="8">
        <v>0.69</v>
      </c>
      <c r="V2238" s="8">
        <v>0.41499999999999998</v>
      </c>
      <c r="W2238" s="8">
        <v>0.38</v>
      </c>
      <c r="X2238" s="8">
        <v>0.28499999999999998</v>
      </c>
      <c r="Y2238" s="8">
        <v>0.17899999999999999</v>
      </c>
      <c r="Z2238" s="8">
        <v>0.10100000000000001</v>
      </c>
      <c r="AA2238" s="8">
        <v>2.4E-2</v>
      </c>
      <c r="AB2238" s="8">
        <v>3.0000000000000001E-3</v>
      </c>
      <c r="AC2238" s="8">
        <v>1E-3</v>
      </c>
    </row>
    <row r="2239" spans="1:29" ht="11.65" hidden="1" x14ac:dyDescent="0.35">
      <c r="A2239" s="12">
        <v>2222</v>
      </c>
      <c r="B2239" s="10" t="s">
        <v>1015</v>
      </c>
      <c r="C2239" s="11" t="s">
        <v>1172</v>
      </c>
      <c r="D2239" s="9"/>
      <c r="E2239" s="9">
        <v>28</v>
      </c>
      <c r="F2239" s="10" t="s">
        <v>1066</v>
      </c>
      <c r="G2239" s="9">
        <v>915</v>
      </c>
      <c r="H2239" s="9">
        <v>1955</v>
      </c>
      <c r="I2239" s="8">
        <v>3.8490000000000002</v>
      </c>
      <c r="J2239" s="8">
        <v>3.556</v>
      </c>
      <c r="K2239" s="8">
        <v>3.1459999999999999</v>
      </c>
      <c r="L2239" s="8">
        <v>2.56</v>
      </c>
      <c r="M2239" s="8">
        <v>1.929</v>
      </c>
      <c r="N2239" s="8">
        <v>1.6439999999999999</v>
      </c>
      <c r="O2239" s="8">
        <v>1.544</v>
      </c>
      <c r="P2239" s="8">
        <v>1.393</v>
      </c>
      <c r="Q2239" s="8">
        <v>1.3819999999999999</v>
      </c>
      <c r="R2239" s="8">
        <v>1.2869999999999999</v>
      </c>
      <c r="S2239" s="8">
        <v>1.1479999999999999</v>
      </c>
      <c r="T2239" s="8">
        <v>0.78900000000000003</v>
      </c>
      <c r="U2239" s="8">
        <v>0.76300000000000001</v>
      </c>
      <c r="V2239" s="8">
        <v>0.47699999999999998</v>
      </c>
      <c r="W2239" s="8">
        <v>0.41199999999999998</v>
      </c>
      <c r="X2239" s="8">
        <v>0.309</v>
      </c>
      <c r="Y2239" s="8">
        <v>0.19500000000000001</v>
      </c>
      <c r="Z2239" s="8">
        <v>6.0999999999999999E-2</v>
      </c>
      <c r="AA2239" s="8">
        <v>0.02</v>
      </c>
      <c r="AB2239" s="8">
        <v>3.0000000000000001E-3</v>
      </c>
      <c r="AC2239" s="8">
        <v>0</v>
      </c>
    </row>
    <row r="2240" spans="1:29" ht="11.65" hidden="1" x14ac:dyDescent="0.35">
      <c r="A2240" s="12">
        <v>2223</v>
      </c>
      <c r="B2240" s="10" t="s">
        <v>1015</v>
      </c>
      <c r="C2240" s="11" t="s">
        <v>1172</v>
      </c>
      <c r="D2240" s="9"/>
      <c r="E2240" s="9">
        <v>28</v>
      </c>
      <c r="F2240" s="10" t="s">
        <v>1066</v>
      </c>
      <c r="G2240" s="9">
        <v>915</v>
      </c>
      <c r="H2240" s="9">
        <v>1960</v>
      </c>
      <c r="I2240" s="8">
        <v>4.1689999999999996</v>
      </c>
      <c r="J2240" s="8">
        <v>3.9260000000000002</v>
      </c>
      <c r="K2240" s="8">
        <v>3.5249999999999999</v>
      </c>
      <c r="L2240" s="8">
        <v>2.839</v>
      </c>
      <c r="M2240" s="8">
        <v>2.1459999999999999</v>
      </c>
      <c r="N2240" s="8">
        <v>1.7509999999999999</v>
      </c>
      <c r="O2240" s="8">
        <v>1.597</v>
      </c>
      <c r="P2240" s="8">
        <v>1.4750000000000001</v>
      </c>
      <c r="Q2240" s="8">
        <v>1.4610000000000001</v>
      </c>
      <c r="R2240" s="8">
        <v>1.3680000000000001</v>
      </c>
      <c r="S2240" s="8">
        <v>1.2330000000000001</v>
      </c>
      <c r="T2240" s="8">
        <v>0.88400000000000001</v>
      </c>
      <c r="U2240" s="8">
        <v>0.84</v>
      </c>
      <c r="V2240" s="8">
        <v>0.54500000000000004</v>
      </c>
      <c r="W2240" s="8">
        <v>0.44700000000000001</v>
      </c>
      <c r="X2240" s="8">
        <v>0.33400000000000002</v>
      </c>
      <c r="Y2240" s="8">
        <v>0.21099999999999999</v>
      </c>
      <c r="Z2240" s="8">
        <v>6.9000000000000006E-2</v>
      </c>
      <c r="AA2240" s="8">
        <v>1.4E-2</v>
      </c>
      <c r="AB2240" s="8">
        <v>3.0000000000000001E-3</v>
      </c>
      <c r="AC2240" s="8">
        <v>0</v>
      </c>
    </row>
    <row r="2241" spans="1:29" ht="11.65" hidden="1" x14ac:dyDescent="0.35">
      <c r="A2241" s="12">
        <v>2224</v>
      </c>
      <c r="B2241" s="10" t="s">
        <v>1015</v>
      </c>
      <c r="C2241" s="11" t="s">
        <v>1172</v>
      </c>
      <c r="D2241" s="9"/>
      <c r="E2241" s="9">
        <v>28</v>
      </c>
      <c r="F2241" s="10" t="s">
        <v>1066</v>
      </c>
      <c r="G2241" s="9">
        <v>915</v>
      </c>
      <c r="H2241" s="9">
        <v>1965</v>
      </c>
      <c r="I2241" s="8">
        <v>4.4649999999999999</v>
      </c>
      <c r="J2241" s="8">
        <v>4.3789999999999996</v>
      </c>
      <c r="K2241" s="8">
        <v>4.0490000000000004</v>
      </c>
      <c r="L2241" s="8">
        <v>3.2170000000000001</v>
      </c>
      <c r="M2241" s="8">
        <v>2.4359999999999999</v>
      </c>
      <c r="N2241" s="8">
        <v>1.794</v>
      </c>
      <c r="O2241" s="8">
        <v>1.532</v>
      </c>
      <c r="P2241" s="8">
        <v>1.4850000000000001</v>
      </c>
      <c r="Q2241" s="8">
        <v>1.476</v>
      </c>
      <c r="R2241" s="8">
        <v>1.3979999999999999</v>
      </c>
      <c r="S2241" s="8">
        <v>1.288</v>
      </c>
      <c r="T2241" s="8">
        <v>1.028</v>
      </c>
      <c r="U2241" s="8">
        <v>0.93300000000000005</v>
      </c>
      <c r="V2241" s="8">
        <v>0.65600000000000003</v>
      </c>
      <c r="W2241" s="8">
        <v>0.47799999999999998</v>
      </c>
      <c r="X2241" s="8">
        <v>0.20899999999999999</v>
      </c>
      <c r="Y2241" s="8">
        <v>7.0999999999999994E-2</v>
      </c>
      <c r="Z2241" s="8">
        <v>7.8E-2</v>
      </c>
      <c r="AA2241" s="8">
        <v>1.6E-2</v>
      </c>
      <c r="AB2241" s="8">
        <v>2E-3</v>
      </c>
      <c r="AC2241" s="8">
        <v>0</v>
      </c>
    </row>
    <row r="2242" spans="1:29" ht="11.65" hidden="1" x14ac:dyDescent="0.35">
      <c r="A2242" s="12">
        <v>2225</v>
      </c>
      <c r="B2242" s="10" t="s">
        <v>1015</v>
      </c>
      <c r="C2242" s="11" t="s">
        <v>1172</v>
      </c>
      <c r="D2242" s="9"/>
      <c r="E2242" s="9">
        <v>28</v>
      </c>
      <c r="F2242" s="10" t="s">
        <v>1066</v>
      </c>
      <c r="G2242" s="9">
        <v>915</v>
      </c>
      <c r="H2242" s="9">
        <v>1970</v>
      </c>
      <c r="I2242" s="8">
        <v>4.7830000000000004</v>
      </c>
      <c r="J2242" s="8">
        <v>4.8860000000000001</v>
      </c>
      <c r="K2242" s="8">
        <v>4.6520000000000001</v>
      </c>
      <c r="L2242" s="8">
        <v>3.637</v>
      </c>
      <c r="M2242" s="8">
        <v>2.7730000000000001</v>
      </c>
      <c r="N2242" s="8">
        <v>1.837</v>
      </c>
      <c r="O2242" s="8">
        <v>1.4710000000000001</v>
      </c>
      <c r="P2242" s="8">
        <v>1.5009999999999999</v>
      </c>
      <c r="Q2242" s="8">
        <v>1.488</v>
      </c>
      <c r="R2242" s="8">
        <v>1.4339999999999999</v>
      </c>
      <c r="S2242" s="8">
        <v>1.3440000000000001</v>
      </c>
      <c r="T2242" s="8">
        <v>1.1919999999999999</v>
      </c>
      <c r="U2242" s="8">
        <v>1.0389999999999999</v>
      </c>
      <c r="V2242" s="8">
        <v>0.79100000000000004</v>
      </c>
      <c r="W2242" s="8">
        <v>0.50900000000000001</v>
      </c>
      <c r="X2242" s="8">
        <v>0.129</v>
      </c>
      <c r="Y2242" s="8">
        <v>2.5999999999999999E-2</v>
      </c>
      <c r="Z2242" s="8">
        <v>2.5999999999999999E-2</v>
      </c>
      <c r="AA2242" s="8">
        <v>1.9E-2</v>
      </c>
      <c r="AB2242" s="8">
        <v>2E-3</v>
      </c>
      <c r="AC2242" s="8">
        <v>0</v>
      </c>
    </row>
    <row r="2243" spans="1:29" ht="11.65" hidden="1" x14ac:dyDescent="0.35">
      <c r="A2243" s="12">
        <v>2226</v>
      </c>
      <c r="B2243" s="10" t="s">
        <v>1015</v>
      </c>
      <c r="C2243" s="11" t="s">
        <v>1172</v>
      </c>
      <c r="D2243" s="9"/>
      <c r="E2243" s="9">
        <v>28</v>
      </c>
      <c r="F2243" s="10" t="s">
        <v>1066</v>
      </c>
      <c r="G2243" s="9">
        <v>915</v>
      </c>
      <c r="H2243" s="9">
        <v>1975</v>
      </c>
      <c r="I2243" s="8">
        <v>4.351</v>
      </c>
      <c r="J2243" s="8">
        <v>4.4249999999999998</v>
      </c>
      <c r="K2243" s="8">
        <v>4.1849999999999996</v>
      </c>
      <c r="L2243" s="8">
        <v>3.399</v>
      </c>
      <c r="M2243" s="8">
        <v>2.8540000000000001</v>
      </c>
      <c r="N2243" s="8">
        <v>2.0960000000000001</v>
      </c>
      <c r="O2243" s="8">
        <v>1.716</v>
      </c>
      <c r="P2243" s="8">
        <v>1.6439999999999999</v>
      </c>
      <c r="Q2243" s="8">
        <v>1.5509999999999999</v>
      </c>
      <c r="R2243" s="8">
        <v>1.401</v>
      </c>
      <c r="S2243" s="8">
        <v>1.244</v>
      </c>
      <c r="T2243" s="8">
        <v>1.1240000000000001</v>
      </c>
      <c r="U2243" s="8">
        <v>1.026</v>
      </c>
      <c r="V2243" s="8">
        <v>0.82699999999999996</v>
      </c>
      <c r="W2243" s="8">
        <v>0.56299999999999994</v>
      </c>
      <c r="X2243" s="8">
        <v>0.189</v>
      </c>
      <c r="Y2243" s="8">
        <v>4.7E-2</v>
      </c>
      <c r="Z2243" s="8">
        <v>0.01</v>
      </c>
      <c r="AA2243" s="8">
        <v>8.0000000000000002E-3</v>
      </c>
      <c r="AB2243" s="8">
        <v>2E-3</v>
      </c>
      <c r="AC2243" s="8">
        <v>0</v>
      </c>
    </row>
    <row r="2244" spans="1:29" ht="11.65" hidden="1" x14ac:dyDescent="0.35">
      <c r="A2244" s="12">
        <v>2227</v>
      </c>
      <c r="B2244" s="10" t="s">
        <v>1015</v>
      </c>
      <c r="C2244" s="11" t="s">
        <v>1172</v>
      </c>
      <c r="D2244" s="9"/>
      <c r="E2244" s="9">
        <v>28</v>
      </c>
      <c r="F2244" s="10" t="s">
        <v>1066</v>
      </c>
      <c r="G2244" s="9">
        <v>915</v>
      </c>
      <c r="H2244" s="9">
        <v>1980</v>
      </c>
      <c r="I2244" s="8">
        <v>3.9670000000000001</v>
      </c>
      <c r="J2244" s="8">
        <v>4.0039999999999996</v>
      </c>
      <c r="K2244" s="8">
        <v>3.766</v>
      </c>
      <c r="L2244" s="8">
        <v>3.181</v>
      </c>
      <c r="M2244" s="8">
        <v>2.9390000000000001</v>
      </c>
      <c r="N2244" s="8">
        <v>2.3860000000000001</v>
      </c>
      <c r="O2244" s="8">
        <v>2.008</v>
      </c>
      <c r="P2244" s="8">
        <v>1.7949999999999999</v>
      </c>
      <c r="Q2244" s="8">
        <v>1.619</v>
      </c>
      <c r="R2244" s="8">
        <v>1.369</v>
      </c>
      <c r="S2244" s="8">
        <v>1.1479999999999999</v>
      </c>
      <c r="T2244" s="8">
        <v>1.0629999999999999</v>
      </c>
      <c r="U2244" s="8">
        <v>1.0129999999999999</v>
      </c>
      <c r="V2244" s="8">
        <v>0.85899999999999999</v>
      </c>
      <c r="W2244" s="8">
        <v>0.625</v>
      </c>
      <c r="X2244" s="8">
        <v>0.27700000000000002</v>
      </c>
      <c r="Y2244" s="8">
        <v>9.1999999999999998E-2</v>
      </c>
      <c r="Z2244" s="8">
        <v>1.9E-2</v>
      </c>
      <c r="AA2244" s="8">
        <v>3.0000000000000001E-3</v>
      </c>
      <c r="AB2244" s="8">
        <v>0</v>
      </c>
      <c r="AC2244" s="8">
        <v>0</v>
      </c>
    </row>
    <row r="2245" spans="1:29" ht="11.65" hidden="1" x14ac:dyDescent="0.35">
      <c r="A2245" s="12">
        <v>2228</v>
      </c>
      <c r="B2245" s="10" t="s">
        <v>1015</v>
      </c>
      <c r="C2245" s="11" t="s">
        <v>1172</v>
      </c>
      <c r="D2245" s="9"/>
      <c r="E2245" s="9">
        <v>28</v>
      </c>
      <c r="F2245" s="10" t="s">
        <v>1066</v>
      </c>
      <c r="G2245" s="9">
        <v>915</v>
      </c>
      <c r="H2245" s="9">
        <v>1985</v>
      </c>
      <c r="I2245" s="8">
        <v>3.61</v>
      </c>
      <c r="J2245" s="8">
        <v>3.633</v>
      </c>
      <c r="K2245" s="8">
        <v>3.387</v>
      </c>
      <c r="L2245" s="8">
        <v>2.9750000000000001</v>
      </c>
      <c r="M2245" s="8">
        <v>3.028</v>
      </c>
      <c r="N2245" s="8">
        <v>2.7120000000000002</v>
      </c>
      <c r="O2245" s="8">
        <v>2.3439999999999999</v>
      </c>
      <c r="P2245" s="8">
        <v>1.9690000000000001</v>
      </c>
      <c r="Q2245" s="8">
        <v>1.6839999999999999</v>
      </c>
      <c r="R2245" s="8">
        <v>1.3380000000000001</v>
      </c>
      <c r="S2245" s="8">
        <v>1.06</v>
      </c>
      <c r="T2245" s="8">
        <v>1.002</v>
      </c>
      <c r="U2245" s="8">
        <v>1.004</v>
      </c>
      <c r="V2245" s="8">
        <v>0.89400000000000002</v>
      </c>
      <c r="W2245" s="8">
        <v>0.69299999999999995</v>
      </c>
      <c r="X2245" s="8">
        <v>0.40899999999999997</v>
      </c>
      <c r="Y2245" s="8">
        <v>0.17899999999999999</v>
      </c>
      <c r="Z2245" s="8">
        <v>3.9E-2</v>
      </c>
      <c r="AA2245" s="8">
        <v>5.0000000000000001E-3</v>
      </c>
      <c r="AB2245" s="8">
        <v>0</v>
      </c>
      <c r="AC2245" s="8">
        <v>0</v>
      </c>
    </row>
    <row r="2246" spans="1:29" ht="11.65" hidden="1" x14ac:dyDescent="0.35">
      <c r="A2246" s="12">
        <v>2229</v>
      </c>
      <c r="B2246" s="10" t="s">
        <v>1015</v>
      </c>
      <c r="C2246" s="11" t="s">
        <v>1172</v>
      </c>
      <c r="D2246" s="9"/>
      <c r="E2246" s="9">
        <v>28</v>
      </c>
      <c r="F2246" s="10" t="s">
        <v>1066</v>
      </c>
      <c r="G2246" s="9">
        <v>915</v>
      </c>
      <c r="H2246" s="9">
        <v>1990</v>
      </c>
      <c r="I2246" s="8">
        <v>3.282</v>
      </c>
      <c r="J2246" s="8">
        <v>3.2850000000000001</v>
      </c>
      <c r="K2246" s="8">
        <v>3.0550000000000002</v>
      </c>
      <c r="L2246" s="8">
        <v>2.78</v>
      </c>
      <c r="M2246" s="8">
        <v>3.1219999999999999</v>
      </c>
      <c r="N2246" s="8">
        <v>3.0859999999999999</v>
      </c>
      <c r="O2246" s="8">
        <v>2.734</v>
      </c>
      <c r="P2246" s="8">
        <v>2.1539999999999999</v>
      </c>
      <c r="Q2246" s="8">
        <v>1.762</v>
      </c>
      <c r="R2246" s="8">
        <v>1.3069999999999999</v>
      </c>
      <c r="S2246" s="8">
        <v>0.98</v>
      </c>
      <c r="T2246" s="8">
        <v>0.94499999999999995</v>
      </c>
      <c r="U2246" s="8">
        <v>0.99199999999999999</v>
      </c>
      <c r="V2246" s="8">
        <v>0.93400000000000005</v>
      </c>
      <c r="W2246" s="8">
        <v>0.76600000000000001</v>
      </c>
      <c r="X2246" s="8">
        <v>0.60099999999999998</v>
      </c>
      <c r="Y2246" s="8">
        <v>0.34399999999999997</v>
      </c>
      <c r="Z2246" s="8">
        <v>7.8E-2</v>
      </c>
      <c r="AA2246" s="8">
        <v>1.2E-2</v>
      </c>
      <c r="AB2246" s="8">
        <v>0</v>
      </c>
      <c r="AC2246" s="8">
        <v>0</v>
      </c>
    </row>
    <row r="2247" spans="1:29" ht="11.65" hidden="1" x14ac:dyDescent="0.35">
      <c r="A2247" s="12">
        <v>2230</v>
      </c>
      <c r="B2247" s="10" t="s">
        <v>1015</v>
      </c>
      <c r="C2247" s="11" t="s">
        <v>1172</v>
      </c>
      <c r="D2247" s="9"/>
      <c r="E2247" s="9">
        <v>28</v>
      </c>
      <c r="F2247" s="10" t="s">
        <v>1066</v>
      </c>
      <c r="G2247" s="9">
        <v>915</v>
      </c>
      <c r="H2247" s="9">
        <v>1995</v>
      </c>
      <c r="I2247" s="8">
        <v>3.4140000000000001</v>
      </c>
      <c r="J2247" s="8">
        <v>3.508</v>
      </c>
      <c r="K2247" s="8">
        <v>3.3380000000000001</v>
      </c>
      <c r="L2247" s="8">
        <v>3.0379999999999998</v>
      </c>
      <c r="M2247" s="8">
        <v>3.1269999999999998</v>
      </c>
      <c r="N2247" s="8">
        <v>3.2639999999999998</v>
      </c>
      <c r="O2247" s="8">
        <v>3.27</v>
      </c>
      <c r="P2247" s="8">
        <v>2.806</v>
      </c>
      <c r="Q2247" s="8">
        <v>2.298</v>
      </c>
      <c r="R2247" s="8">
        <v>1.7090000000000001</v>
      </c>
      <c r="S2247" s="8">
        <v>1.27</v>
      </c>
      <c r="T2247" s="8">
        <v>1.093</v>
      </c>
      <c r="U2247" s="8">
        <v>0.98699999999999999</v>
      </c>
      <c r="V2247" s="8">
        <v>0.88100000000000001</v>
      </c>
      <c r="W2247" s="8">
        <v>0.75800000000000001</v>
      </c>
      <c r="X2247" s="8">
        <v>0.56899999999999995</v>
      </c>
      <c r="Y2247" s="8">
        <v>0.375</v>
      </c>
      <c r="Z2247" s="8">
        <v>0.155</v>
      </c>
      <c r="AA2247" s="8">
        <v>2.3E-2</v>
      </c>
      <c r="AB2247" s="8">
        <v>2E-3</v>
      </c>
      <c r="AC2247" s="8">
        <v>0</v>
      </c>
    </row>
    <row r="2248" spans="1:29" ht="11.65" hidden="1" x14ac:dyDescent="0.35">
      <c r="A2248" s="12">
        <v>2231</v>
      </c>
      <c r="B2248" s="10" t="s">
        <v>1015</v>
      </c>
      <c r="C2248" s="11" t="s">
        <v>1172</v>
      </c>
      <c r="D2248" s="9"/>
      <c r="E2248" s="9">
        <v>28</v>
      </c>
      <c r="F2248" s="10" t="s">
        <v>1066</v>
      </c>
      <c r="G2248" s="9">
        <v>915</v>
      </c>
      <c r="H2248" s="9">
        <v>2000</v>
      </c>
      <c r="I2248" s="8">
        <v>3.5569999999999999</v>
      </c>
      <c r="J2248" s="8">
        <v>3.7440000000000002</v>
      </c>
      <c r="K2248" s="8">
        <v>3.6520000000000001</v>
      </c>
      <c r="L2248" s="8">
        <v>3.3050000000000002</v>
      </c>
      <c r="M2248" s="8">
        <v>3.1459999999999999</v>
      </c>
      <c r="N2248" s="8">
        <v>3.4449999999999998</v>
      </c>
      <c r="O2248" s="8">
        <v>3.9089999999999998</v>
      </c>
      <c r="P2248" s="8">
        <v>3.66</v>
      </c>
      <c r="Q2248" s="8">
        <v>2.9990000000000001</v>
      </c>
      <c r="R2248" s="8">
        <v>2.2290000000000001</v>
      </c>
      <c r="S2248" s="8">
        <v>1.6579999999999999</v>
      </c>
      <c r="T2248" s="8">
        <v>1.2589999999999999</v>
      </c>
      <c r="U2248" s="8">
        <v>0.98099999999999998</v>
      </c>
      <c r="V2248" s="8">
        <v>0.83199999999999996</v>
      </c>
      <c r="W2248" s="8">
        <v>0.747</v>
      </c>
      <c r="X2248" s="8">
        <v>0.54200000000000004</v>
      </c>
      <c r="Y2248" s="8">
        <v>0.40799999999999997</v>
      </c>
      <c r="Z2248" s="8">
        <v>0.17499999999999999</v>
      </c>
      <c r="AA2248" s="8">
        <v>4.5999999999999999E-2</v>
      </c>
      <c r="AB2248" s="8">
        <v>3.0000000000000001E-3</v>
      </c>
      <c r="AC2248" s="8">
        <v>0</v>
      </c>
    </row>
    <row r="2249" spans="1:29" ht="11.65" hidden="1" x14ac:dyDescent="0.35">
      <c r="A2249" s="12">
        <v>2232</v>
      </c>
      <c r="B2249" s="10" t="s">
        <v>1015</v>
      </c>
      <c r="C2249" s="11" t="s">
        <v>1172</v>
      </c>
      <c r="D2249" s="9"/>
      <c r="E2249" s="9">
        <v>28</v>
      </c>
      <c r="F2249" s="10" t="s">
        <v>1066</v>
      </c>
      <c r="G2249" s="9">
        <v>915</v>
      </c>
      <c r="H2249" s="9">
        <v>2005</v>
      </c>
      <c r="I2249" s="8">
        <v>3.4929999999999999</v>
      </c>
      <c r="J2249" s="8">
        <v>3.5539999999999998</v>
      </c>
      <c r="K2249" s="8">
        <v>3.7210000000000001</v>
      </c>
      <c r="L2249" s="8">
        <v>3.4750000000000001</v>
      </c>
      <c r="M2249" s="8">
        <v>3.339</v>
      </c>
      <c r="N2249" s="8">
        <v>3.56</v>
      </c>
      <c r="O2249" s="8">
        <v>3.8050000000000002</v>
      </c>
      <c r="P2249" s="8">
        <v>3.76</v>
      </c>
      <c r="Q2249" s="8">
        <v>3.3279999999999998</v>
      </c>
      <c r="R2249" s="8">
        <v>2.7440000000000002</v>
      </c>
      <c r="S2249" s="8">
        <v>2.1160000000000001</v>
      </c>
      <c r="T2249" s="8">
        <v>1.58</v>
      </c>
      <c r="U2249" s="8">
        <v>1.2410000000000001</v>
      </c>
      <c r="V2249" s="8">
        <v>0.996</v>
      </c>
      <c r="W2249" s="8">
        <v>0.79200000000000004</v>
      </c>
      <c r="X2249" s="8">
        <v>0.60299999999999998</v>
      </c>
      <c r="Y2249" s="8">
        <v>0.46899999999999997</v>
      </c>
      <c r="Z2249" s="8">
        <v>0.19600000000000001</v>
      </c>
      <c r="AA2249" s="8">
        <v>5.3999999999999999E-2</v>
      </c>
      <c r="AB2249" s="8">
        <v>6.0000000000000001E-3</v>
      </c>
      <c r="AC2249" s="8">
        <v>0</v>
      </c>
    </row>
    <row r="2250" spans="1:29" ht="11.65" hidden="1" x14ac:dyDescent="0.35">
      <c r="A2250" s="12">
        <v>2233</v>
      </c>
      <c r="B2250" s="10" t="s">
        <v>1015</v>
      </c>
      <c r="C2250" s="11" t="s">
        <v>1172</v>
      </c>
      <c r="D2250" s="9"/>
      <c r="E2250" s="9">
        <v>28</v>
      </c>
      <c r="F2250" s="10" t="s">
        <v>1066</v>
      </c>
      <c r="G2250" s="9">
        <v>915</v>
      </c>
      <c r="H2250" s="9">
        <v>2010</v>
      </c>
      <c r="I2250" s="8">
        <v>3.4359999999999999</v>
      </c>
      <c r="J2250" s="8">
        <v>3.3730000000000002</v>
      </c>
      <c r="K2250" s="8">
        <v>3.798</v>
      </c>
      <c r="L2250" s="8">
        <v>3.6520000000000001</v>
      </c>
      <c r="M2250" s="8">
        <v>3.5449999999999999</v>
      </c>
      <c r="N2250" s="8">
        <v>3.6669999999999998</v>
      </c>
      <c r="O2250" s="8">
        <v>3.7120000000000002</v>
      </c>
      <c r="P2250" s="8">
        <v>3.8610000000000002</v>
      </c>
      <c r="Q2250" s="8">
        <v>3.6949999999999998</v>
      </c>
      <c r="R2250" s="8">
        <v>3.38</v>
      </c>
      <c r="S2250" s="8">
        <v>2.702</v>
      </c>
      <c r="T2250" s="8">
        <v>1.972</v>
      </c>
      <c r="U2250" s="8">
        <v>1.5780000000000001</v>
      </c>
      <c r="V2250" s="8">
        <v>1.1879999999999999</v>
      </c>
      <c r="W2250" s="8">
        <v>0.84199999999999997</v>
      </c>
      <c r="X2250" s="8">
        <v>0.67300000000000004</v>
      </c>
      <c r="Y2250" s="8">
        <v>0.53300000000000003</v>
      </c>
      <c r="Z2250" s="8">
        <v>0.23300000000000001</v>
      </c>
      <c r="AA2250" s="8">
        <v>6.2E-2</v>
      </c>
      <c r="AB2250" s="8">
        <v>8.9999999999999993E-3</v>
      </c>
      <c r="AC2250" s="8">
        <v>1E-3</v>
      </c>
    </row>
    <row r="2251" spans="1:29" ht="11.65" hidden="1" x14ac:dyDescent="0.35">
      <c r="A2251" s="12">
        <v>2234</v>
      </c>
      <c r="B2251" s="10" t="s">
        <v>1015</v>
      </c>
      <c r="C2251" s="11" t="s">
        <v>1172</v>
      </c>
      <c r="D2251" s="9"/>
      <c r="E2251" s="9">
        <v>28</v>
      </c>
      <c r="F2251" s="10" t="s">
        <v>1066</v>
      </c>
      <c r="G2251" s="9">
        <v>915</v>
      </c>
      <c r="H2251" s="9">
        <v>2015</v>
      </c>
      <c r="I2251" s="8">
        <v>3.5649999999999999</v>
      </c>
      <c r="J2251" s="8">
        <v>3.3719999999999999</v>
      </c>
      <c r="K2251" s="8">
        <v>3.4940000000000002</v>
      </c>
      <c r="L2251" s="8">
        <v>3.7610000000000001</v>
      </c>
      <c r="M2251" s="8">
        <v>3.6819999999999999</v>
      </c>
      <c r="N2251" s="8">
        <v>3.7029999999999998</v>
      </c>
      <c r="O2251" s="8">
        <v>3.738</v>
      </c>
      <c r="P2251" s="8">
        <v>3.7320000000000002</v>
      </c>
      <c r="Q2251" s="8">
        <v>3.8149999999999999</v>
      </c>
      <c r="R2251" s="8">
        <v>3.7010000000000001</v>
      </c>
      <c r="S2251" s="8">
        <v>3.3279999999999998</v>
      </c>
      <c r="T2251" s="8">
        <v>2.5880000000000001</v>
      </c>
      <c r="U2251" s="8">
        <v>1.927</v>
      </c>
      <c r="V2251" s="8">
        <v>1.492</v>
      </c>
      <c r="W2251" s="8">
        <v>1.0369999999999999</v>
      </c>
      <c r="X2251" s="8">
        <v>0.70499999999999996</v>
      </c>
      <c r="Y2251" s="8">
        <v>0.53200000000000003</v>
      </c>
      <c r="Z2251" s="8">
        <v>0.28000000000000003</v>
      </c>
      <c r="AA2251" s="8">
        <v>7.8E-2</v>
      </c>
      <c r="AB2251" s="8">
        <v>1.2E-2</v>
      </c>
      <c r="AC2251" s="8">
        <v>1E-3</v>
      </c>
    </row>
    <row r="2252" spans="1:29" ht="11.65" hidden="1" x14ac:dyDescent="0.35">
      <c r="A2252" s="12">
        <v>2235</v>
      </c>
      <c r="B2252" s="10" t="s">
        <v>1015</v>
      </c>
      <c r="C2252" s="11" t="s">
        <v>1172</v>
      </c>
      <c r="D2252" s="9"/>
      <c r="E2252" s="9">
        <v>28</v>
      </c>
      <c r="F2252" s="10" t="s">
        <v>1066</v>
      </c>
      <c r="G2252" s="9">
        <v>915</v>
      </c>
      <c r="H2252" s="9">
        <v>2020</v>
      </c>
      <c r="I2252" s="8">
        <v>3.625</v>
      </c>
      <c r="J2252" s="8">
        <v>3.56</v>
      </c>
      <c r="K2252" s="8">
        <v>3.3690000000000002</v>
      </c>
      <c r="L2252" s="8">
        <v>3.49</v>
      </c>
      <c r="M2252" s="8">
        <v>3.7519999999999998</v>
      </c>
      <c r="N2252" s="8">
        <v>3.6720000000000002</v>
      </c>
      <c r="O2252" s="8">
        <v>3.6909999999999998</v>
      </c>
      <c r="P2252" s="8">
        <v>3.722</v>
      </c>
      <c r="Q2252" s="8">
        <v>3.7069999999999999</v>
      </c>
      <c r="R2252" s="8">
        <v>3.774</v>
      </c>
      <c r="S2252" s="8">
        <v>3.64</v>
      </c>
      <c r="T2252" s="8">
        <v>3.2469999999999999</v>
      </c>
      <c r="U2252" s="8">
        <v>2.4910000000000001</v>
      </c>
      <c r="V2252" s="8">
        <v>1.8069999999999999</v>
      </c>
      <c r="W2252" s="8">
        <v>1.3380000000000001</v>
      </c>
      <c r="X2252" s="8">
        <v>0.85899999999999999</v>
      </c>
      <c r="Y2252" s="8">
        <v>0.505</v>
      </c>
      <c r="Z2252" s="8">
        <v>0.29299999999999998</v>
      </c>
      <c r="AA2252" s="8">
        <v>0.10100000000000001</v>
      </c>
      <c r="AB2252" s="8">
        <v>1.4999999999999999E-2</v>
      </c>
      <c r="AC2252" s="8">
        <v>1E-3</v>
      </c>
    </row>
    <row r="2253" spans="1:29" ht="11.65" hidden="1" x14ac:dyDescent="0.35">
      <c r="A2253" s="12">
        <v>2236</v>
      </c>
      <c r="B2253" s="10" t="s">
        <v>1015</v>
      </c>
      <c r="C2253" s="11" t="s">
        <v>1173</v>
      </c>
      <c r="D2253" s="9">
        <v>13</v>
      </c>
      <c r="E2253" s="9">
        <v>533</v>
      </c>
      <c r="F2253" s="10" t="s">
        <v>1066</v>
      </c>
      <c r="G2253" s="9">
        <v>915</v>
      </c>
      <c r="H2253" s="9">
        <v>1950</v>
      </c>
      <c r="I2253" s="8">
        <v>3.4220000000000002</v>
      </c>
      <c r="J2253" s="8">
        <v>2.69</v>
      </c>
      <c r="K2253" s="8">
        <v>2.177</v>
      </c>
      <c r="L2253" s="8">
        <v>2.0819999999999999</v>
      </c>
      <c r="M2253" s="8">
        <v>1.6379999999999999</v>
      </c>
      <c r="N2253" s="8">
        <v>1.4430000000000001</v>
      </c>
      <c r="O2253" s="8">
        <v>1.4</v>
      </c>
      <c r="P2253" s="8">
        <v>1.3160000000000001</v>
      </c>
      <c r="Q2253" s="8">
        <v>1.1619999999999999</v>
      </c>
      <c r="R2253" s="8">
        <v>0.75800000000000001</v>
      </c>
      <c r="S2253" s="8">
        <v>0.51500000000000001</v>
      </c>
      <c r="T2253" s="8">
        <v>0.36099999999999999</v>
      </c>
      <c r="U2253" s="8">
        <v>0.26300000000000001</v>
      </c>
      <c r="V2253" s="8">
        <v>0.17399999999999999</v>
      </c>
      <c r="W2253" s="8">
        <v>0.09</v>
      </c>
      <c r="X2253" s="8">
        <v>8.5999999999999993E-2</v>
      </c>
      <c r="Y2253" s="8">
        <v>5.2999999999999999E-2</v>
      </c>
      <c r="Z2253" s="8">
        <v>2.1000000000000001E-2</v>
      </c>
      <c r="AA2253" s="8">
        <v>6.0000000000000001E-3</v>
      </c>
      <c r="AB2253" s="8">
        <v>0</v>
      </c>
      <c r="AC2253" s="8">
        <v>0</v>
      </c>
    </row>
    <row r="2254" spans="1:29" ht="11.65" hidden="1" x14ac:dyDescent="0.35">
      <c r="A2254" s="12">
        <v>2237</v>
      </c>
      <c r="B2254" s="10" t="s">
        <v>1015</v>
      </c>
      <c r="C2254" s="11" t="s">
        <v>1173</v>
      </c>
      <c r="D2254" s="9">
        <v>13</v>
      </c>
      <c r="E2254" s="9">
        <v>533</v>
      </c>
      <c r="F2254" s="10" t="s">
        <v>1066</v>
      </c>
      <c r="G2254" s="9">
        <v>915</v>
      </c>
      <c r="H2254" s="9">
        <v>1955</v>
      </c>
      <c r="I2254" s="8">
        <v>3.9820000000000002</v>
      </c>
      <c r="J2254" s="8">
        <v>3.1720000000000002</v>
      </c>
      <c r="K2254" s="8">
        <v>2.5510000000000002</v>
      </c>
      <c r="L2254" s="8">
        <v>2.1059999999999999</v>
      </c>
      <c r="M2254" s="8">
        <v>2.0289999999999999</v>
      </c>
      <c r="N2254" s="8">
        <v>1.57</v>
      </c>
      <c r="O2254" s="8">
        <v>1.36</v>
      </c>
      <c r="P2254" s="8">
        <v>1.3160000000000001</v>
      </c>
      <c r="Q2254" s="8">
        <v>1.2370000000000001</v>
      </c>
      <c r="R2254" s="8">
        <v>1.091</v>
      </c>
      <c r="S2254" s="8">
        <v>0.71399999999999997</v>
      </c>
      <c r="T2254" s="8">
        <v>0.48599999999999999</v>
      </c>
      <c r="U2254" s="8">
        <v>0.33300000000000002</v>
      </c>
      <c r="V2254" s="8">
        <v>0.22900000000000001</v>
      </c>
      <c r="W2254" s="8">
        <v>0.14099999999999999</v>
      </c>
      <c r="X2254" s="8">
        <v>6.2E-2</v>
      </c>
      <c r="Y2254" s="8">
        <v>4.9000000000000002E-2</v>
      </c>
      <c r="Z2254" s="8">
        <v>2.1000000000000001E-2</v>
      </c>
      <c r="AA2254" s="8">
        <v>6.0000000000000001E-3</v>
      </c>
      <c r="AB2254" s="8">
        <v>0</v>
      </c>
      <c r="AC2254" s="8">
        <v>0</v>
      </c>
    </row>
    <row r="2255" spans="1:29" ht="11.65" hidden="1" x14ac:dyDescent="0.35">
      <c r="A2255" s="12">
        <v>2238</v>
      </c>
      <c r="B2255" s="10" t="s">
        <v>1015</v>
      </c>
      <c r="C2255" s="11" t="s">
        <v>1173</v>
      </c>
      <c r="D2255" s="9">
        <v>13</v>
      </c>
      <c r="E2255" s="9">
        <v>533</v>
      </c>
      <c r="F2255" s="10" t="s">
        <v>1066</v>
      </c>
      <c r="G2255" s="9">
        <v>915</v>
      </c>
      <c r="H2255" s="9">
        <v>1960</v>
      </c>
      <c r="I2255" s="8">
        <v>4.306</v>
      </c>
      <c r="J2255" s="8">
        <v>4.0990000000000002</v>
      </c>
      <c r="K2255" s="8">
        <v>3.4940000000000002</v>
      </c>
      <c r="L2255" s="8">
        <v>2.722</v>
      </c>
      <c r="M2255" s="8">
        <v>2.1509999999999998</v>
      </c>
      <c r="N2255" s="8">
        <v>2.0459999999999998</v>
      </c>
      <c r="O2255" s="8">
        <v>1.611</v>
      </c>
      <c r="P2255" s="8">
        <v>1.4219999999999999</v>
      </c>
      <c r="Q2255" s="8">
        <v>1.353</v>
      </c>
      <c r="R2255" s="8">
        <v>1.25</v>
      </c>
      <c r="S2255" s="8">
        <v>1.121</v>
      </c>
      <c r="T2255" s="8">
        <v>0.753</v>
      </c>
      <c r="U2255" s="8">
        <v>0.504</v>
      </c>
      <c r="V2255" s="8">
        <v>0.34799999999999998</v>
      </c>
      <c r="W2255" s="8">
        <v>0.22500000000000001</v>
      </c>
      <c r="X2255" s="8">
        <v>0.122</v>
      </c>
      <c r="Y2255" s="8">
        <v>7.0999999999999994E-2</v>
      </c>
      <c r="Z2255" s="8">
        <v>3.2000000000000001E-2</v>
      </c>
      <c r="AA2255" s="8">
        <v>5.0000000000000001E-3</v>
      </c>
      <c r="AB2255" s="8">
        <v>0</v>
      </c>
      <c r="AC2255" s="8">
        <v>0</v>
      </c>
    </row>
    <row r="2256" spans="1:29" ht="11.65" hidden="1" x14ac:dyDescent="0.35">
      <c r="A2256" s="12">
        <v>2239</v>
      </c>
      <c r="B2256" s="10" t="s">
        <v>1015</v>
      </c>
      <c r="C2256" s="11" t="s">
        <v>1173</v>
      </c>
      <c r="D2256" s="9">
        <v>13</v>
      </c>
      <c r="E2256" s="9">
        <v>533</v>
      </c>
      <c r="F2256" s="10" t="s">
        <v>1066</v>
      </c>
      <c r="G2256" s="9">
        <v>915</v>
      </c>
      <c r="H2256" s="9">
        <v>1965</v>
      </c>
      <c r="I2256" s="8">
        <v>4.1239999999999997</v>
      </c>
      <c r="J2256" s="8">
        <v>3.9020000000000001</v>
      </c>
      <c r="K2256" s="8">
        <v>3.6989999999999998</v>
      </c>
      <c r="L2256" s="8">
        <v>3.16</v>
      </c>
      <c r="M2256" s="8">
        <v>2.4940000000000002</v>
      </c>
      <c r="N2256" s="8">
        <v>2.04</v>
      </c>
      <c r="O2256" s="8">
        <v>1.976</v>
      </c>
      <c r="P2256" s="8">
        <v>1.514</v>
      </c>
      <c r="Q2256" s="8">
        <v>1.296</v>
      </c>
      <c r="R2256" s="8">
        <v>1.2250000000000001</v>
      </c>
      <c r="S2256" s="8">
        <v>1.1299999999999999</v>
      </c>
      <c r="T2256" s="8">
        <v>1.0069999999999999</v>
      </c>
      <c r="U2256" s="8">
        <v>0.67600000000000005</v>
      </c>
      <c r="V2256" s="8">
        <v>0.45300000000000001</v>
      </c>
      <c r="W2256" s="8">
        <v>0.29299999999999998</v>
      </c>
      <c r="X2256" s="8">
        <v>0.16400000000000001</v>
      </c>
      <c r="Y2256" s="8">
        <v>7.2999999999999995E-2</v>
      </c>
      <c r="Z2256" s="8">
        <v>3.1E-2</v>
      </c>
      <c r="AA2256" s="8">
        <v>8.9999999999999993E-3</v>
      </c>
      <c r="AB2256" s="8">
        <v>0</v>
      </c>
      <c r="AC2256" s="8">
        <v>0</v>
      </c>
    </row>
    <row r="2257" spans="1:29" ht="11.65" hidden="1" x14ac:dyDescent="0.35">
      <c r="A2257" s="12">
        <v>2240</v>
      </c>
      <c r="B2257" s="10" t="s">
        <v>1015</v>
      </c>
      <c r="C2257" s="11" t="s">
        <v>1173</v>
      </c>
      <c r="D2257" s="9">
        <v>13</v>
      </c>
      <c r="E2257" s="9">
        <v>533</v>
      </c>
      <c r="F2257" s="10" t="s">
        <v>1066</v>
      </c>
      <c r="G2257" s="9">
        <v>915</v>
      </c>
      <c r="H2257" s="9">
        <v>1970</v>
      </c>
      <c r="I2257" s="8">
        <v>3.4340000000000002</v>
      </c>
      <c r="J2257" s="8">
        <v>3.7919999999999998</v>
      </c>
      <c r="K2257" s="8">
        <v>3.5859999999999999</v>
      </c>
      <c r="L2257" s="8">
        <v>3.3650000000000002</v>
      </c>
      <c r="M2257" s="8">
        <v>2.8780000000000001</v>
      </c>
      <c r="N2257" s="8">
        <v>2.302</v>
      </c>
      <c r="O2257" s="8">
        <v>1.946</v>
      </c>
      <c r="P2257" s="8">
        <v>1.9139999999999999</v>
      </c>
      <c r="Q2257" s="8">
        <v>1.429</v>
      </c>
      <c r="R2257" s="8">
        <v>1.1850000000000001</v>
      </c>
      <c r="S2257" s="8">
        <v>1.1100000000000001</v>
      </c>
      <c r="T2257" s="8">
        <v>1.0189999999999999</v>
      </c>
      <c r="U2257" s="8">
        <v>0.89300000000000002</v>
      </c>
      <c r="V2257" s="8">
        <v>0.58799999999999997</v>
      </c>
      <c r="W2257" s="8">
        <v>0.38</v>
      </c>
      <c r="X2257" s="8">
        <v>0.22</v>
      </c>
      <c r="Y2257" s="8">
        <v>9.9000000000000005E-2</v>
      </c>
      <c r="Z2257" s="8">
        <v>3.3000000000000002E-2</v>
      </c>
      <c r="AA2257" s="8">
        <v>8.9999999999999993E-3</v>
      </c>
      <c r="AB2257" s="8">
        <v>0</v>
      </c>
      <c r="AC2257" s="8">
        <v>0</v>
      </c>
    </row>
    <row r="2258" spans="1:29" ht="11.65" hidden="1" x14ac:dyDescent="0.35">
      <c r="A2258" s="12">
        <v>2241</v>
      </c>
      <c r="B2258" s="10" t="s">
        <v>1015</v>
      </c>
      <c r="C2258" s="11" t="s">
        <v>1173</v>
      </c>
      <c r="D2258" s="9">
        <v>13</v>
      </c>
      <c r="E2258" s="9">
        <v>533</v>
      </c>
      <c r="F2258" s="10" t="s">
        <v>1066</v>
      </c>
      <c r="G2258" s="9">
        <v>915</v>
      </c>
      <c r="H2258" s="9">
        <v>1975</v>
      </c>
      <c r="I2258" s="8">
        <v>2.9740000000000002</v>
      </c>
      <c r="J2258" s="8">
        <v>2.92</v>
      </c>
      <c r="K2258" s="8">
        <v>3.488</v>
      </c>
      <c r="L2258" s="8">
        <v>3.2770000000000001</v>
      </c>
      <c r="M2258" s="8">
        <v>3.07</v>
      </c>
      <c r="N2258" s="8">
        <v>2.8340000000000001</v>
      </c>
      <c r="O2258" s="8">
        <v>2.3420000000000001</v>
      </c>
      <c r="P2258" s="8">
        <v>2.0409999999999999</v>
      </c>
      <c r="Q2258" s="8">
        <v>1.905</v>
      </c>
      <c r="R2258" s="8">
        <v>1.2949999999999999</v>
      </c>
      <c r="S2258" s="8">
        <v>1.0569999999999999</v>
      </c>
      <c r="T2258" s="8">
        <v>1.0329999999999999</v>
      </c>
      <c r="U2258" s="8">
        <v>0.94599999999999995</v>
      </c>
      <c r="V2258" s="8">
        <v>0.79800000000000004</v>
      </c>
      <c r="W2258" s="8">
        <v>0.54700000000000004</v>
      </c>
      <c r="X2258" s="8">
        <v>0.33800000000000002</v>
      </c>
      <c r="Y2258" s="8">
        <v>0.20499999999999999</v>
      </c>
      <c r="Z2258" s="8">
        <v>6.7000000000000004E-2</v>
      </c>
      <c r="AA2258" s="8">
        <v>8.9999999999999993E-3</v>
      </c>
      <c r="AB2258" s="8">
        <v>2E-3</v>
      </c>
      <c r="AC2258" s="8">
        <v>0</v>
      </c>
    </row>
    <row r="2259" spans="1:29" ht="11.65" hidden="1" x14ac:dyDescent="0.35">
      <c r="A2259" s="12">
        <v>2242</v>
      </c>
      <c r="B2259" s="10" t="s">
        <v>1015</v>
      </c>
      <c r="C2259" s="11" t="s">
        <v>1173</v>
      </c>
      <c r="D2259" s="9">
        <v>13</v>
      </c>
      <c r="E2259" s="9">
        <v>533</v>
      </c>
      <c r="F2259" s="10" t="s">
        <v>1066</v>
      </c>
      <c r="G2259" s="9">
        <v>915</v>
      </c>
      <c r="H2259" s="9">
        <v>1980</v>
      </c>
      <c r="I2259" s="8">
        <v>2.5579999999999998</v>
      </c>
      <c r="J2259" s="8">
        <v>2.3279999999999998</v>
      </c>
      <c r="K2259" s="8">
        <v>2.8860000000000001</v>
      </c>
      <c r="L2259" s="8">
        <v>3.403</v>
      </c>
      <c r="M2259" s="8">
        <v>3.0019999999999998</v>
      </c>
      <c r="N2259" s="8">
        <v>2.778</v>
      </c>
      <c r="O2259" s="8">
        <v>2.7330000000000001</v>
      </c>
      <c r="P2259" s="8">
        <v>2.1150000000000002</v>
      </c>
      <c r="Q2259" s="8">
        <v>1.877</v>
      </c>
      <c r="R2259" s="8">
        <v>1.7210000000000001</v>
      </c>
      <c r="S2259" s="8">
        <v>1.115</v>
      </c>
      <c r="T2259" s="8">
        <v>0.97799999999999998</v>
      </c>
      <c r="U2259" s="8">
        <v>0.998</v>
      </c>
      <c r="V2259" s="8">
        <v>0.9</v>
      </c>
      <c r="W2259" s="8">
        <v>0.63800000000000001</v>
      </c>
      <c r="X2259" s="8">
        <v>0.379</v>
      </c>
      <c r="Y2259" s="8">
        <v>0.253</v>
      </c>
      <c r="Z2259" s="8">
        <v>0.12</v>
      </c>
      <c r="AA2259" s="8">
        <v>2.1999999999999999E-2</v>
      </c>
      <c r="AB2259" s="8">
        <v>2E-3</v>
      </c>
      <c r="AC2259" s="8">
        <v>0</v>
      </c>
    </row>
    <row r="2260" spans="1:29" ht="11.65" hidden="1" x14ac:dyDescent="0.35">
      <c r="A2260" s="12">
        <v>2243</v>
      </c>
      <c r="B2260" s="10" t="s">
        <v>1015</v>
      </c>
      <c r="C2260" s="11" t="s">
        <v>1173</v>
      </c>
      <c r="D2260" s="9">
        <v>13</v>
      </c>
      <c r="E2260" s="9">
        <v>533</v>
      </c>
      <c r="F2260" s="10" t="s">
        <v>1066</v>
      </c>
      <c r="G2260" s="9">
        <v>915</v>
      </c>
      <c r="H2260" s="9">
        <v>1985</v>
      </c>
      <c r="I2260" s="8">
        <v>3.1459999999999999</v>
      </c>
      <c r="J2260" s="8">
        <v>2.262</v>
      </c>
      <c r="K2260" s="8">
        <v>2.121</v>
      </c>
      <c r="L2260" s="8">
        <v>2.7570000000000001</v>
      </c>
      <c r="M2260" s="8">
        <v>3.331</v>
      </c>
      <c r="N2260" s="8">
        <v>3.121</v>
      </c>
      <c r="O2260" s="8">
        <v>2.9039999999999999</v>
      </c>
      <c r="P2260" s="8">
        <v>2.6539999999999999</v>
      </c>
      <c r="Q2260" s="8">
        <v>2.0049999999999999</v>
      </c>
      <c r="R2260" s="8">
        <v>1.7909999999999999</v>
      </c>
      <c r="S2260" s="8">
        <v>1.63</v>
      </c>
      <c r="T2260" s="8">
        <v>1.048</v>
      </c>
      <c r="U2260" s="8">
        <v>0.89600000000000002</v>
      </c>
      <c r="V2260" s="8">
        <v>0.878</v>
      </c>
      <c r="W2260" s="8">
        <v>0.75</v>
      </c>
      <c r="X2260" s="8">
        <v>0.52700000000000002</v>
      </c>
      <c r="Y2260" s="8">
        <v>0.29899999999999999</v>
      </c>
      <c r="Z2260" s="8">
        <v>0.13800000000000001</v>
      </c>
      <c r="AA2260" s="8">
        <v>0.04</v>
      </c>
      <c r="AB2260" s="8">
        <v>4.0000000000000001E-3</v>
      </c>
      <c r="AC2260" s="8">
        <v>0</v>
      </c>
    </row>
    <row r="2261" spans="1:29" ht="11.65" hidden="1" x14ac:dyDescent="0.35">
      <c r="A2261" s="12">
        <v>2244</v>
      </c>
      <c r="B2261" s="10" t="s">
        <v>1015</v>
      </c>
      <c r="C2261" s="11" t="s">
        <v>1173</v>
      </c>
      <c r="D2261" s="9">
        <v>13</v>
      </c>
      <c r="E2261" s="9">
        <v>533</v>
      </c>
      <c r="F2261" s="10" t="s">
        <v>1066</v>
      </c>
      <c r="G2261" s="9">
        <v>915</v>
      </c>
      <c r="H2261" s="9">
        <v>1990</v>
      </c>
      <c r="I2261" s="8">
        <v>2.4510000000000001</v>
      </c>
      <c r="J2261" s="8">
        <v>2.4929999999999999</v>
      </c>
      <c r="K2261" s="8">
        <v>2.2999999999999998</v>
      </c>
      <c r="L2261" s="8">
        <v>2.0830000000000002</v>
      </c>
      <c r="M2261" s="8">
        <v>2.1789999999999998</v>
      </c>
      <c r="N2261" s="8">
        <v>2.758</v>
      </c>
      <c r="O2261" s="8">
        <v>3.2330000000000001</v>
      </c>
      <c r="P2261" s="8">
        <v>2.9630000000000001</v>
      </c>
      <c r="Q2261" s="8">
        <v>2.3420000000000001</v>
      </c>
      <c r="R2261" s="8">
        <v>1.7949999999999999</v>
      </c>
      <c r="S2261" s="8">
        <v>1.728</v>
      </c>
      <c r="T2261" s="8">
        <v>1.48</v>
      </c>
      <c r="U2261" s="8">
        <v>0.94899999999999995</v>
      </c>
      <c r="V2261" s="8">
        <v>0.80700000000000005</v>
      </c>
      <c r="W2261" s="8">
        <v>0.72899999999999998</v>
      </c>
      <c r="X2261" s="8">
        <v>0.56899999999999995</v>
      </c>
      <c r="Y2261" s="8">
        <v>0.39900000000000002</v>
      </c>
      <c r="Z2261" s="8">
        <v>0.18</v>
      </c>
      <c r="AA2261" s="8">
        <v>4.7E-2</v>
      </c>
      <c r="AB2261" s="8">
        <v>8.0000000000000002E-3</v>
      </c>
      <c r="AC2261" s="8">
        <v>0</v>
      </c>
    </row>
    <row r="2262" spans="1:29" ht="11.65" hidden="1" x14ac:dyDescent="0.35">
      <c r="A2262" s="12">
        <v>2245</v>
      </c>
      <c r="B2262" s="10" t="s">
        <v>1015</v>
      </c>
      <c r="C2262" s="11" t="s">
        <v>1173</v>
      </c>
      <c r="D2262" s="9">
        <v>13</v>
      </c>
      <c r="E2262" s="9">
        <v>533</v>
      </c>
      <c r="F2262" s="10" t="s">
        <v>1066</v>
      </c>
      <c r="G2262" s="9">
        <v>915</v>
      </c>
      <c r="H2262" s="9">
        <v>1995</v>
      </c>
      <c r="I2262" s="8">
        <v>3.379</v>
      </c>
      <c r="J2262" s="8">
        <v>3.0329999999999999</v>
      </c>
      <c r="K2262" s="8">
        <v>2.8730000000000002</v>
      </c>
      <c r="L2262" s="8">
        <v>2.4820000000000002</v>
      </c>
      <c r="M2262" s="8">
        <v>2.6560000000000001</v>
      </c>
      <c r="N2262" s="8">
        <v>3.4510000000000001</v>
      </c>
      <c r="O2262" s="8">
        <v>3.988</v>
      </c>
      <c r="P2262" s="8">
        <v>3.9529999999999998</v>
      </c>
      <c r="Q2262" s="8">
        <v>3.4289999999999998</v>
      </c>
      <c r="R2262" s="8">
        <v>2.7559999999999998</v>
      </c>
      <c r="S2262" s="8">
        <v>2.2530000000000001</v>
      </c>
      <c r="T2262" s="8">
        <v>1.8879999999999999</v>
      </c>
      <c r="U2262" s="8">
        <v>1.4650000000000001</v>
      </c>
      <c r="V2262" s="8">
        <v>1.0369999999999999</v>
      </c>
      <c r="W2262" s="8">
        <v>0.77</v>
      </c>
      <c r="X2262" s="8">
        <v>0.57599999999999996</v>
      </c>
      <c r="Y2262" s="8">
        <v>0.42599999999999999</v>
      </c>
      <c r="Z2262" s="8">
        <v>0.22</v>
      </c>
      <c r="AA2262" s="8">
        <v>6.2E-2</v>
      </c>
      <c r="AB2262" s="8">
        <v>0.01</v>
      </c>
      <c r="AC2262" s="8">
        <v>1E-3</v>
      </c>
    </row>
    <row r="2263" spans="1:29" ht="11.65" hidden="1" x14ac:dyDescent="0.35">
      <c r="A2263" s="12">
        <v>2246</v>
      </c>
      <c r="B2263" s="10" t="s">
        <v>1015</v>
      </c>
      <c r="C2263" s="11" t="s">
        <v>1173</v>
      </c>
      <c r="D2263" s="9">
        <v>13</v>
      </c>
      <c r="E2263" s="9">
        <v>533</v>
      </c>
      <c r="F2263" s="10" t="s">
        <v>1066</v>
      </c>
      <c r="G2263" s="9">
        <v>915</v>
      </c>
      <c r="H2263" s="9">
        <v>2000</v>
      </c>
      <c r="I2263" s="8">
        <v>3.4129999999999998</v>
      </c>
      <c r="J2263" s="8">
        <v>3.5990000000000002</v>
      </c>
      <c r="K2263" s="8">
        <v>3.375</v>
      </c>
      <c r="L2263" s="8">
        <v>3.0739999999999998</v>
      </c>
      <c r="M2263" s="8">
        <v>2.601</v>
      </c>
      <c r="N2263" s="8">
        <v>3.3420000000000001</v>
      </c>
      <c r="O2263" s="8">
        <v>4.0049999999999999</v>
      </c>
      <c r="P2263" s="8">
        <v>4.6879999999999997</v>
      </c>
      <c r="Q2263" s="8">
        <v>4.4249999999999998</v>
      </c>
      <c r="R2263" s="8">
        <v>3.6659999999999999</v>
      </c>
      <c r="S2263" s="8">
        <v>2.8450000000000002</v>
      </c>
      <c r="T2263" s="8">
        <v>2.1579999999999999</v>
      </c>
      <c r="U2263" s="8">
        <v>1.929</v>
      </c>
      <c r="V2263" s="8">
        <v>1.474</v>
      </c>
      <c r="W2263" s="8">
        <v>0.92600000000000005</v>
      </c>
      <c r="X2263" s="8">
        <v>0.56599999999999995</v>
      </c>
      <c r="Y2263" s="8">
        <v>0.54900000000000004</v>
      </c>
      <c r="Z2263" s="8">
        <v>0.29299999999999998</v>
      </c>
      <c r="AA2263" s="8">
        <v>7.6999999999999999E-2</v>
      </c>
      <c r="AB2263" s="8">
        <v>1.2999999999999999E-2</v>
      </c>
      <c r="AC2263" s="8">
        <v>1E-3</v>
      </c>
    </row>
    <row r="2264" spans="1:29" ht="11.65" hidden="1" x14ac:dyDescent="0.35">
      <c r="A2264" s="12">
        <v>2247</v>
      </c>
      <c r="B2264" s="10" t="s">
        <v>1015</v>
      </c>
      <c r="C2264" s="11" t="s">
        <v>1173</v>
      </c>
      <c r="D2264" s="9">
        <v>13</v>
      </c>
      <c r="E2264" s="9">
        <v>533</v>
      </c>
      <c r="F2264" s="10" t="s">
        <v>1066</v>
      </c>
      <c r="G2264" s="9">
        <v>915</v>
      </c>
      <c r="H2264" s="9">
        <v>2005</v>
      </c>
      <c r="I2264" s="8">
        <v>3.0950000000000002</v>
      </c>
      <c r="J2264" s="8">
        <v>3.649</v>
      </c>
      <c r="K2264" s="8">
        <v>3.9550000000000001</v>
      </c>
      <c r="L2264" s="8">
        <v>3.6110000000000002</v>
      </c>
      <c r="M2264" s="8">
        <v>3.2320000000000002</v>
      </c>
      <c r="N2264" s="8">
        <v>3.0350000000000001</v>
      </c>
      <c r="O2264" s="8">
        <v>3.9689999999999999</v>
      </c>
      <c r="P2264" s="8">
        <v>4.5380000000000003</v>
      </c>
      <c r="Q2264" s="8">
        <v>5.1369999999999996</v>
      </c>
      <c r="R2264" s="8">
        <v>4.7110000000000003</v>
      </c>
      <c r="S2264" s="8">
        <v>3.7309999999999999</v>
      </c>
      <c r="T2264" s="8">
        <v>2.8090000000000002</v>
      </c>
      <c r="U2264" s="8">
        <v>2.1160000000000001</v>
      </c>
      <c r="V2264" s="8">
        <v>1.859</v>
      </c>
      <c r="W2264" s="8">
        <v>1.353</v>
      </c>
      <c r="X2264" s="8">
        <v>0.78700000000000003</v>
      </c>
      <c r="Y2264" s="8">
        <v>0.441</v>
      </c>
      <c r="Z2264" s="8">
        <v>0.30599999999999999</v>
      </c>
      <c r="AA2264" s="8">
        <v>0.104</v>
      </c>
      <c r="AB2264" s="8">
        <v>1.4999999999999999E-2</v>
      </c>
      <c r="AC2264" s="8">
        <v>1E-3</v>
      </c>
    </row>
    <row r="2265" spans="1:29" ht="11.65" hidden="1" x14ac:dyDescent="0.35">
      <c r="A2265" s="12">
        <v>2248</v>
      </c>
      <c r="B2265" s="10" t="s">
        <v>1015</v>
      </c>
      <c r="C2265" s="11" t="s">
        <v>1173</v>
      </c>
      <c r="D2265" s="9">
        <v>13</v>
      </c>
      <c r="E2265" s="9">
        <v>533</v>
      </c>
      <c r="F2265" s="10" t="s">
        <v>1066</v>
      </c>
      <c r="G2265" s="9">
        <v>915</v>
      </c>
      <c r="H2265" s="9">
        <v>2010</v>
      </c>
      <c r="I2265" s="8">
        <v>3.2570000000000001</v>
      </c>
      <c r="J2265" s="8">
        <v>3.4550000000000001</v>
      </c>
      <c r="K2265" s="8">
        <v>3.6930000000000001</v>
      </c>
      <c r="L2265" s="8">
        <v>3.5249999999999999</v>
      </c>
      <c r="M2265" s="8">
        <v>2.5059999999999998</v>
      </c>
      <c r="N2265" s="8">
        <v>2.9289999999999998</v>
      </c>
      <c r="O2265" s="8">
        <v>3.5590000000000002</v>
      </c>
      <c r="P2265" s="8">
        <v>3.9609999999999999</v>
      </c>
      <c r="Q2265" s="8">
        <v>4.4119999999999999</v>
      </c>
      <c r="R2265" s="8">
        <v>5.0380000000000003</v>
      </c>
      <c r="S2265" s="8">
        <v>4.415</v>
      </c>
      <c r="T2265" s="8">
        <v>3.657</v>
      </c>
      <c r="U2265" s="8">
        <v>2.7949999999999999</v>
      </c>
      <c r="V2265" s="8">
        <v>2.0390000000000001</v>
      </c>
      <c r="W2265" s="8">
        <v>1.6950000000000001</v>
      </c>
      <c r="X2265" s="8">
        <v>1.163</v>
      </c>
      <c r="Y2265" s="8">
        <v>0.67200000000000004</v>
      </c>
      <c r="Z2265" s="8">
        <v>0.29099999999999998</v>
      </c>
      <c r="AA2265" s="8">
        <v>0.113</v>
      </c>
      <c r="AB2265" s="8">
        <v>2.3E-2</v>
      </c>
      <c r="AC2265" s="8">
        <v>2E-3</v>
      </c>
    </row>
    <row r="2266" spans="1:29" ht="11.65" hidden="1" x14ac:dyDescent="0.35">
      <c r="A2266" s="12">
        <v>2249</v>
      </c>
      <c r="B2266" s="10" t="s">
        <v>1015</v>
      </c>
      <c r="C2266" s="11" t="s">
        <v>1173</v>
      </c>
      <c r="D2266" s="9">
        <v>13</v>
      </c>
      <c r="E2266" s="9">
        <v>533</v>
      </c>
      <c r="F2266" s="10" t="s">
        <v>1066</v>
      </c>
      <c r="G2266" s="9">
        <v>915</v>
      </c>
      <c r="H2266" s="9">
        <v>2015</v>
      </c>
      <c r="I2266" s="8">
        <v>2.7530000000000001</v>
      </c>
      <c r="J2266" s="8">
        <v>3.2989999999999999</v>
      </c>
      <c r="K2266" s="8">
        <v>3.5230000000000001</v>
      </c>
      <c r="L2266" s="8">
        <v>3.7389999999999999</v>
      </c>
      <c r="M2266" s="8">
        <v>3.5510000000000002</v>
      </c>
      <c r="N2266" s="8">
        <v>2.5880000000000001</v>
      </c>
      <c r="O2266" s="8">
        <v>3.0470000000000002</v>
      </c>
      <c r="P2266" s="8">
        <v>3.6549999999999998</v>
      </c>
      <c r="Q2266" s="8">
        <v>4.032</v>
      </c>
      <c r="R2266" s="8">
        <v>4.4400000000000004</v>
      </c>
      <c r="S2266" s="8">
        <v>4.992</v>
      </c>
      <c r="T2266" s="8">
        <v>4.327</v>
      </c>
      <c r="U2266" s="8">
        <v>3.5430000000000001</v>
      </c>
      <c r="V2266" s="8">
        <v>2.6459999999999999</v>
      </c>
      <c r="W2266" s="8">
        <v>1.843</v>
      </c>
      <c r="X2266" s="8">
        <v>1.409</v>
      </c>
      <c r="Y2266" s="8">
        <v>0.83899999999999997</v>
      </c>
      <c r="Z2266" s="8">
        <v>0.376</v>
      </c>
      <c r="AA2266" s="8">
        <v>0.111</v>
      </c>
      <c r="AB2266" s="8">
        <v>2.5999999999999999E-2</v>
      </c>
      <c r="AC2266" s="8">
        <v>3.0000000000000001E-3</v>
      </c>
    </row>
    <row r="2267" spans="1:29" ht="11.65" hidden="1" x14ac:dyDescent="0.35">
      <c r="A2267" s="12">
        <v>2250</v>
      </c>
      <c r="B2267" s="10" t="s">
        <v>1015</v>
      </c>
      <c r="C2267" s="11" t="s">
        <v>1173</v>
      </c>
      <c r="D2267" s="9">
        <v>13</v>
      </c>
      <c r="E2267" s="9">
        <v>533</v>
      </c>
      <c r="F2267" s="10" t="s">
        <v>1066</v>
      </c>
      <c r="G2267" s="9">
        <v>915</v>
      </c>
      <c r="H2267" s="9">
        <v>2020</v>
      </c>
      <c r="I2267" s="8">
        <v>2.9729999999999999</v>
      </c>
      <c r="J2267" s="8">
        <v>2.7869999999999999</v>
      </c>
      <c r="K2267" s="8">
        <v>3.3530000000000002</v>
      </c>
      <c r="L2267" s="8">
        <v>3.5590000000000002</v>
      </c>
      <c r="M2267" s="8">
        <v>3.7589999999999999</v>
      </c>
      <c r="N2267" s="8">
        <v>3.613</v>
      </c>
      <c r="O2267" s="8">
        <v>2.6819999999999999</v>
      </c>
      <c r="P2267" s="8">
        <v>3.125</v>
      </c>
      <c r="Q2267" s="8">
        <v>3.7120000000000002</v>
      </c>
      <c r="R2267" s="8">
        <v>4.0540000000000003</v>
      </c>
      <c r="S2267" s="8">
        <v>4.4029999999999996</v>
      </c>
      <c r="T2267" s="8">
        <v>4.8970000000000002</v>
      </c>
      <c r="U2267" s="8">
        <v>4.1959999999999997</v>
      </c>
      <c r="V2267" s="8">
        <v>3.363</v>
      </c>
      <c r="W2267" s="8">
        <v>2.4060000000000001</v>
      </c>
      <c r="X2267" s="8">
        <v>1.5489999999999999</v>
      </c>
      <c r="Y2267" s="8">
        <v>1.0309999999999999</v>
      </c>
      <c r="Z2267" s="8">
        <v>0.48</v>
      </c>
      <c r="AA2267" s="8">
        <v>0.15</v>
      </c>
      <c r="AB2267" s="8">
        <v>2.8000000000000001E-2</v>
      </c>
      <c r="AC2267" s="8">
        <v>4.0000000000000001E-3</v>
      </c>
    </row>
    <row r="2268" spans="1:29" ht="11.65" hidden="1" x14ac:dyDescent="0.35">
      <c r="A2268" s="12">
        <v>2251</v>
      </c>
      <c r="B2268" s="10" t="s">
        <v>1015</v>
      </c>
      <c r="C2268" s="11" t="s">
        <v>1174</v>
      </c>
      <c r="D2268" s="9"/>
      <c r="E2268" s="9">
        <v>44</v>
      </c>
      <c r="F2268" s="10" t="s">
        <v>1066</v>
      </c>
      <c r="G2268" s="9">
        <v>915</v>
      </c>
      <c r="H2268" s="9">
        <v>1950</v>
      </c>
      <c r="I2268" s="8">
        <v>6.0780000000000003</v>
      </c>
      <c r="J2268" s="8">
        <v>4.9690000000000003</v>
      </c>
      <c r="K2268" s="8">
        <v>4.47</v>
      </c>
      <c r="L2268" s="8">
        <v>4.1239999999999997</v>
      </c>
      <c r="M2268" s="8">
        <v>3.8420000000000001</v>
      </c>
      <c r="N2268" s="8">
        <v>3.33</v>
      </c>
      <c r="O2268" s="8">
        <v>2.9239999999999999</v>
      </c>
      <c r="P2268" s="8">
        <v>2.7309999999999999</v>
      </c>
      <c r="Q2268" s="8">
        <v>2.306</v>
      </c>
      <c r="R2268" s="8">
        <v>1.839</v>
      </c>
      <c r="S2268" s="8">
        <v>1.5629999999999999</v>
      </c>
      <c r="T2268" s="8">
        <v>1.1659999999999999</v>
      </c>
      <c r="U2268" s="8">
        <v>0.97899999999999998</v>
      </c>
      <c r="V2268" s="8">
        <v>0.78700000000000003</v>
      </c>
      <c r="W2268" s="8">
        <v>0.59499999999999997</v>
      </c>
      <c r="X2268" s="8">
        <v>0.38700000000000001</v>
      </c>
      <c r="Y2268" s="8">
        <v>0.184</v>
      </c>
      <c r="Z2268" s="8">
        <v>7.4999999999999997E-2</v>
      </c>
      <c r="AA2268" s="8">
        <v>2.1000000000000001E-2</v>
      </c>
      <c r="AB2268" s="8">
        <v>3.0000000000000001E-3</v>
      </c>
      <c r="AC2268" s="8">
        <v>0</v>
      </c>
    </row>
    <row r="2269" spans="1:29" ht="11.65" hidden="1" x14ac:dyDescent="0.35">
      <c r="A2269" s="12">
        <v>2252</v>
      </c>
      <c r="B2269" s="10" t="s">
        <v>1015</v>
      </c>
      <c r="C2269" s="11" t="s">
        <v>1174</v>
      </c>
      <c r="D2269" s="9"/>
      <c r="E2269" s="9">
        <v>44</v>
      </c>
      <c r="F2269" s="10" t="s">
        <v>1066</v>
      </c>
      <c r="G2269" s="9">
        <v>915</v>
      </c>
      <c r="H2269" s="9">
        <v>1955</v>
      </c>
      <c r="I2269" s="8">
        <v>6.7679999999999998</v>
      </c>
      <c r="J2269" s="8">
        <v>6.2110000000000003</v>
      </c>
      <c r="K2269" s="8">
        <v>4.8159999999999998</v>
      </c>
      <c r="L2269" s="8">
        <v>4.4980000000000002</v>
      </c>
      <c r="M2269" s="8">
        <v>4.0940000000000003</v>
      </c>
      <c r="N2269" s="8">
        <v>3.6579999999999999</v>
      </c>
      <c r="O2269" s="8">
        <v>3.1080000000000001</v>
      </c>
      <c r="P2269" s="8">
        <v>2.9369999999999998</v>
      </c>
      <c r="Q2269" s="8">
        <v>2.778</v>
      </c>
      <c r="R2269" s="8">
        <v>2.161</v>
      </c>
      <c r="S2269" s="8">
        <v>1.6910000000000001</v>
      </c>
      <c r="T2269" s="8">
        <v>1.361</v>
      </c>
      <c r="U2269" s="8">
        <v>0.96399999999999997</v>
      </c>
      <c r="V2269" s="8">
        <v>0.876</v>
      </c>
      <c r="W2269" s="8">
        <v>0.65100000000000002</v>
      </c>
      <c r="X2269" s="8">
        <v>0.41599999999999998</v>
      </c>
      <c r="Y2269" s="8">
        <v>0.21199999999999999</v>
      </c>
      <c r="Z2269" s="8">
        <v>8.4000000000000005E-2</v>
      </c>
      <c r="AA2269" s="8">
        <v>2.3E-2</v>
      </c>
      <c r="AB2269" s="8">
        <v>4.0000000000000001E-3</v>
      </c>
      <c r="AC2269" s="8">
        <v>0</v>
      </c>
    </row>
    <row r="2270" spans="1:29" ht="11.65" hidden="1" x14ac:dyDescent="0.35">
      <c r="A2270" s="12">
        <v>2253</v>
      </c>
      <c r="B2270" s="10" t="s">
        <v>1015</v>
      </c>
      <c r="C2270" s="11" t="s">
        <v>1174</v>
      </c>
      <c r="D2270" s="9"/>
      <c r="E2270" s="9">
        <v>44</v>
      </c>
      <c r="F2270" s="10" t="s">
        <v>1066</v>
      </c>
      <c r="G2270" s="9">
        <v>915</v>
      </c>
      <c r="H2270" s="9">
        <v>1960</v>
      </c>
      <c r="I2270" s="8">
        <v>8.6579999999999995</v>
      </c>
      <c r="J2270" s="8">
        <v>7.9219999999999997</v>
      </c>
      <c r="K2270" s="8">
        <v>6.6369999999999996</v>
      </c>
      <c r="L2270" s="8">
        <v>4.9450000000000003</v>
      </c>
      <c r="M2270" s="8">
        <v>4.6760000000000002</v>
      </c>
      <c r="N2270" s="8">
        <v>4.4130000000000003</v>
      </c>
      <c r="O2270" s="8">
        <v>3.8159999999999998</v>
      </c>
      <c r="P2270" s="8">
        <v>3.2519999999999998</v>
      </c>
      <c r="Q2270" s="8">
        <v>2.9319999999999999</v>
      </c>
      <c r="R2270" s="8">
        <v>2.5489999999999999</v>
      </c>
      <c r="S2270" s="8">
        <v>2.0920000000000001</v>
      </c>
      <c r="T2270" s="8">
        <v>1.587</v>
      </c>
      <c r="U2270" s="8">
        <v>1.206</v>
      </c>
      <c r="V2270" s="8">
        <v>0.94199999999999995</v>
      </c>
      <c r="W2270" s="8">
        <v>0.72199999999999998</v>
      </c>
      <c r="X2270" s="8">
        <v>0.42499999999999999</v>
      </c>
      <c r="Y2270" s="8">
        <v>0.247</v>
      </c>
      <c r="Z2270" s="8">
        <v>9.5000000000000001E-2</v>
      </c>
      <c r="AA2270" s="8">
        <v>2.5999999999999999E-2</v>
      </c>
      <c r="AB2270" s="8">
        <v>4.0000000000000001E-3</v>
      </c>
      <c r="AC2270" s="8">
        <v>0</v>
      </c>
    </row>
    <row r="2271" spans="1:29" ht="11.65" hidden="1" x14ac:dyDescent="0.35">
      <c r="A2271" s="12">
        <v>2254</v>
      </c>
      <c r="B2271" s="10" t="s">
        <v>1015</v>
      </c>
      <c r="C2271" s="11" t="s">
        <v>1174</v>
      </c>
      <c r="D2271" s="9"/>
      <c r="E2271" s="9">
        <v>44</v>
      </c>
      <c r="F2271" s="10" t="s">
        <v>1066</v>
      </c>
      <c r="G2271" s="9">
        <v>915</v>
      </c>
      <c r="H2271" s="9">
        <v>1965</v>
      </c>
      <c r="I2271" s="8">
        <v>11.215</v>
      </c>
      <c r="J2271" s="8">
        <v>10.571</v>
      </c>
      <c r="K2271" s="8">
        <v>8.3339999999999996</v>
      </c>
      <c r="L2271" s="8">
        <v>6.5410000000000004</v>
      </c>
      <c r="M2271" s="8">
        <v>5.423</v>
      </c>
      <c r="N2271" s="8">
        <v>5.4630000000000001</v>
      </c>
      <c r="O2271" s="8">
        <v>4.7320000000000002</v>
      </c>
      <c r="P2271" s="8">
        <v>3.9940000000000002</v>
      </c>
      <c r="Q2271" s="8">
        <v>3.3479999999999999</v>
      </c>
      <c r="R2271" s="8">
        <v>2.8839999999999999</v>
      </c>
      <c r="S2271" s="8">
        <v>2.7080000000000002</v>
      </c>
      <c r="T2271" s="8">
        <v>2.0430000000000001</v>
      </c>
      <c r="U2271" s="8">
        <v>1.429</v>
      </c>
      <c r="V2271" s="8">
        <v>1.2250000000000001</v>
      </c>
      <c r="W2271" s="8">
        <v>0.77800000000000002</v>
      </c>
      <c r="X2271" s="8">
        <v>0.47</v>
      </c>
      <c r="Y2271" s="8">
        <v>0.29699999999999999</v>
      </c>
      <c r="Z2271" s="8">
        <v>0.115</v>
      </c>
      <c r="AA2271" s="8">
        <v>0.03</v>
      </c>
      <c r="AB2271" s="8">
        <v>5.0000000000000001E-3</v>
      </c>
      <c r="AC2271" s="8">
        <v>0</v>
      </c>
    </row>
    <row r="2272" spans="1:29" ht="11.65" hidden="1" x14ac:dyDescent="0.35">
      <c r="A2272" s="12">
        <v>2255</v>
      </c>
      <c r="B2272" s="10" t="s">
        <v>1015</v>
      </c>
      <c r="C2272" s="11" t="s">
        <v>1174</v>
      </c>
      <c r="D2272" s="9"/>
      <c r="E2272" s="9">
        <v>44</v>
      </c>
      <c r="F2272" s="10" t="s">
        <v>1066</v>
      </c>
      <c r="G2272" s="9">
        <v>915</v>
      </c>
      <c r="H2272" s="9">
        <v>1970</v>
      </c>
      <c r="I2272" s="8">
        <v>11.445</v>
      </c>
      <c r="J2272" s="8">
        <v>13.183</v>
      </c>
      <c r="K2272" s="8">
        <v>10.592000000000001</v>
      </c>
      <c r="L2272" s="8">
        <v>8.2650000000000006</v>
      </c>
      <c r="M2272" s="8">
        <v>6.8520000000000003</v>
      </c>
      <c r="N2272" s="8">
        <v>6.1820000000000004</v>
      </c>
      <c r="O2272" s="8">
        <v>5.9809999999999999</v>
      </c>
      <c r="P2272" s="8">
        <v>4.9189999999999996</v>
      </c>
      <c r="Q2272" s="8">
        <v>4.085</v>
      </c>
      <c r="R2272" s="8">
        <v>3.2719999999999998</v>
      </c>
      <c r="S2272" s="8">
        <v>2.9039999999999999</v>
      </c>
      <c r="T2272" s="8">
        <v>2.516</v>
      </c>
      <c r="U2272" s="8">
        <v>1.865</v>
      </c>
      <c r="V2272" s="8">
        <v>1.4359999999999999</v>
      </c>
      <c r="W2272" s="8">
        <v>0.96099999999999997</v>
      </c>
      <c r="X2272" s="8">
        <v>0.501</v>
      </c>
      <c r="Y2272" s="8">
        <v>0.33300000000000002</v>
      </c>
      <c r="Z2272" s="8">
        <v>0.13900000000000001</v>
      </c>
      <c r="AA2272" s="8">
        <v>3.5999999999999997E-2</v>
      </c>
      <c r="AB2272" s="8">
        <v>5.0000000000000001E-3</v>
      </c>
      <c r="AC2272" s="8">
        <v>0</v>
      </c>
    </row>
    <row r="2273" spans="1:29" ht="11.65" hidden="1" x14ac:dyDescent="0.35">
      <c r="A2273" s="12">
        <v>2256</v>
      </c>
      <c r="B2273" s="10" t="s">
        <v>1015</v>
      </c>
      <c r="C2273" s="11" t="s">
        <v>1174</v>
      </c>
      <c r="D2273" s="9"/>
      <c r="E2273" s="9">
        <v>44</v>
      </c>
      <c r="F2273" s="10" t="s">
        <v>1066</v>
      </c>
      <c r="G2273" s="9">
        <v>915</v>
      </c>
      <c r="H2273" s="9">
        <v>1975</v>
      </c>
      <c r="I2273" s="8">
        <v>12.473000000000001</v>
      </c>
      <c r="J2273" s="8">
        <v>12.598000000000001</v>
      </c>
      <c r="K2273" s="8">
        <v>12.792</v>
      </c>
      <c r="L2273" s="8">
        <v>9.7850000000000001</v>
      </c>
      <c r="M2273" s="8">
        <v>8.3960000000000008</v>
      </c>
      <c r="N2273" s="8">
        <v>7.8029999999999999</v>
      </c>
      <c r="O2273" s="8">
        <v>6.3849999999999998</v>
      </c>
      <c r="P2273" s="8">
        <v>5.5019999999999998</v>
      </c>
      <c r="Q2273" s="8">
        <v>4.6980000000000004</v>
      </c>
      <c r="R2273" s="8">
        <v>3.8479999999999999</v>
      </c>
      <c r="S2273" s="8">
        <v>3.1259999999999999</v>
      </c>
      <c r="T2273" s="8">
        <v>2.5840000000000001</v>
      </c>
      <c r="U2273" s="8">
        <v>2.1560000000000001</v>
      </c>
      <c r="V2273" s="8">
        <v>1.6850000000000001</v>
      </c>
      <c r="W2273" s="8">
        <v>1.1319999999999999</v>
      </c>
      <c r="X2273" s="8">
        <v>0.69299999999999995</v>
      </c>
      <c r="Y2273" s="8">
        <v>0.378</v>
      </c>
      <c r="Z2273" s="8">
        <v>0.156</v>
      </c>
      <c r="AA2273" s="8">
        <v>4.1000000000000002E-2</v>
      </c>
      <c r="AB2273" s="8">
        <v>6.0000000000000001E-3</v>
      </c>
      <c r="AC2273" s="8">
        <v>0</v>
      </c>
    </row>
    <row r="2274" spans="1:29" ht="11.65" hidden="1" x14ac:dyDescent="0.35">
      <c r="A2274" s="12">
        <v>2257</v>
      </c>
      <c r="B2274" s="10" t="s">
        <v>1015</v>
      </c>
      <c r="C2274" s="11" t="s">
        <v>1174</v>
      </c>
      <c r="D2274" s="9"/>
      <c r="E2274" s="9">
        <v>44</v>
      </c>
      <c r="F2274" s="10" t="s">
        <v>1066</v>
      </c>
      <c r="G2274" s="9">
        <v>915</v>
      </c>
      <c r="H2274" s="9">
        <v>1980</v>
      </c>
      <c r="I2274" s="8">
        <v>12.372</v>
      </c>
      <c r="J2274" s="8">
        <v>13.244999999999999</v>
      </c>
      <c r="K2274" s="8">
        <v>12.538</v>
      </c>
      <c r="L2274" s="8">
        <v>13.035</v>
      </c>
      <c r="M2274" s="8">
        <v>10.622999999999999</v>
      </c>
      <c r="N2274" s="8">
        <v>8.6479999999999997</v>
      </c>
      <c r="O2274" s="8">
        <v>7.1950000000000003</v>
      </c>
      <c r="P2274" s="8">
        <v>5.8109999999999999</v>
      </c>
      <c r="Q2274" s="8">
        <v>5.2249999999999996</v>
      </c>
      <c r="R2274" s="8">
        <v>4.22</v>
      </c>
      <c r="S2274" s="8">
        <v>3.3940000000000001</v>
      </c>
      <c r="T2274" s="8">
        <v>2.601</v>
      </c>
      <c r="U2274" s="8">
        <v>2.2050000000000001</v>
      </c>
      <c r="V2274" s="8">
        <v>1.9850000000000001</v>
      </c>
      <c r="W2274" s="8">
        <v>1.399</v>
      </c>
      <c r="X2274" s="8">
        <v>0.84399999999999997</v>
      </c>
      <c r="Y2274" s="8">
        <v>0.46</v>
      </c>
      <c r="Z2274" s="8">
        <v>0.17199999999999999</v>
      </c>
      <c r="AA2274" s="8">
        <v>4.5999999999999999E-2</v>
      </c>
      <c r="AB2274" s="8">
        <v>7.0000000000000001E-3</v>
      </c>
      <c r="AC2274" s="8">
        <v>1E-3</v>
      </c>
    </row>
    <row r="2275" spans="1:29" ht="11.65" hidden="1" x14ac:dyDescent="0.35">
      <c r="A2275" s="12">
        <v>2258</v>
      </c>
      <c r="B2275" s="10" t="s">
        <v>1015</v>
      </c>
      <c r="C2275" s="11" t="s">
        <v>1174</v>
      </c>
      <c r="D2275" s="9"/>
      <c r="E2275" s="9">
        <v>44</v>
      </c>
      <c r="F2275" s="10" t="s">
        <v>1066</v>
      </c>
      <c r="G2275" s="9">
        <v>915</v>
      </c>
      <c r="H2275" s="9">
        <v>1985</v>
      </c>
      <c r="I2275" s="8">
        <v>14.532</v>
      </c>
      <c r="J2275" s="8">
        <v>12.518000000000001</v>
      </c>
      <c r="K2275" s="8">
        <v>13.215999999999999</v>
      </c>
      <c r="L2275" s="8">
        <v>12.510999999999999</v>
      </c>
      <c r="M2275" s="8">
        <v>12.984999999999999</v>
      </c>
      <c r="N2275" s="8">
        <v>10.557</v>
      </c>
      <c r="O2275" s="8">
        <v>8.57</v>
      </c>
      <c r="P2275" s="8">
        <v>7.1040000000000001</v>
      </c>
      <c r="Q2275" s="8">
        <v>5.7</v>
      </c>
      <c r="R2275" s="8">
        <v>5.0999999999999996</v>
      </c>
      <c r="S2275" s="8">
        <v>4.08</v>
      </c>
      <c r="T2275" s="8">
        <v>3.2370000000000001</v>
      </c>
      <c r="U2275" s="8">
        <v>2.4369999999999998</v>
      </c>
      <c r="V2275" s="8">
        <v>1.9970000000000001</v>
      </c>
      <c r="W2275" s="8">
        <v>1.706</v>
      </c>
      <c r="X2275" s="8">
        <v>1.097</v>
      </c>
      <c r="Y2275" s="8">
        <v>0.53500000000000003</v>
      </c>
      <c r="Z2275" s="8">
        <v>0.217</v>
      </c>
      <c r="AA2275" s="8">
        <v>5.3999999999999999E-2</v>
      </c>
      <c r="AB2275" s="8">
        <v>8.9999999999999993E-3</v>
      </c>
      <c r="AC2275" s="8">
        <v>1E-3</v>
      </c>
    </row>
    <row r="2276" spans="1:29" ht="11.65" hidden="1" x14ac:dyDescent="0.35">
      <c r="A2276" s="12">
        <v>2259</v>
      </c>
      <c r="B2276" s="10" t="s">
        <v>1015</v>
      </c>
      <c r="C2276" s="11" t="s">
        <v>1174</v>
      </c>
      <c r="D2276" s="9"/>
      <c r="E2276" s="9">
        <v>44</v>
      </c>
      <c r="F2276" s="10" t="s">
        <v>1066</v>
      </c>
      <c r="G2276" s="9">
        <v>915</v>
      </c>
      <c r="H2276" s="9">
        <v>1990</v>
      </c>
      <c r="I2276" s="8">
        <v>13.962999999999999</v>
      </c>
      <c r="J2276" s="8">
        <v>14.382999999999999</v>
      </c>
      <c r="K2276" s="8">
        <v>12.483000000000001</v>
      </c>
      <c r="L2276" s="8">
        <v>13.19</v>
      </c>
      <c r="M2276" s="8">
        <v>12.443</v>
      </c>
      <c r="N2276" s="8">
        <v>12.871</v>
      </c>
      <c r="O2276" s="8">
        <v>10.446</v>
      </c>
      <c r="P2276" s="8">
        <v>8.4710000000000001</v>
      </c>
      <c r="Q2276" s="8">
        <v>6.9930000000000003</v>
      </c>
      <c r="R2276" s="8">
        <v>5.5780000000000003</v>
      </c>
      <c r="S2276" s="8">
        <v>4.9509999999999996</v>
      </c>
      <c r="T2276" s="8">
        <v>3.9159999999999999</v>
      </c>
      <c r="U2276" s="8">
        <v>3.0569999999999999</v>
      </c>
      <c r="V2276" s="8">
        <v>2.2269999999999999</v>
      </c>
      <c r="W2276" s="8">
        <v>1.7310000000000001</v>
      </c>
      <c r="X2276" s="8">
        <v>1.347</v>
      </c>
      <c r="Y2276" s="8">
        <v>0.67600000000000005</v>
      </c>
      <c r="Z2276" s="8">
        <v>0.27700000000000002</v>
      </c>
      <c r="AA2276" s="8">
        <v>7.6999999999999999E-2</v>
      </c>
      <c r="AB2276" s="8">
        <v>1.2E-2</v>
      </c>
      <c r="AC2276" s="8">
        <v>1E-3</v>
      </c>
    </row>
    <row r="2277" spans="1:29" ht="11.65" hidden="1" x14ac:dyDescent="0.35">
      <c r="A2277" s="12">
        <v>2260</v>
      </c>
      <c r="B2277" s="10" t="s">
        <v>1015</v>
      </c>
      <c r="C2277" s="11" t="s">
        <v>1174</v>
      </c>
      <c r="D2277" s="9"/>
      <c r="E2277" s="9">
        <v>44</v>
      </c>
      <c r="F2277" s="10" t="s">
        <v>1066</v>
      </c>
      <c r="G2277" s="9">
        <v>915</v>
      </c>
      <c r="H2277" s="9">
        <v>1995</v>
      </c>
      <c r="I2277" s="8">
        <v>15.009</v>
      </c>
      <c r="J2277" s="8">
        <v>13.843999999999999</v>
      </c>
      <c r="K2277" s="8">
        <v>14.39</v>
      </c>
      <c r="L2277" s="8">
        <v>12.584</v>
      </c>
      <c r="M2277" s="8">
        <v>13.26</v>
      </c>
      <c r="N2277" s="8">
        <v>12.349</v>
      </c>
      <c r="O2277" s="8">
        <v>12.718999999999999</v>
      </c>
      <c r="P2277" s="8">
        <v>10.425000000000001</v>
      </c>
      <c r="Q2277" s="8">
        <v>8.5039999999999996</v>
      </c>
      <c r="R2277" s="8">
        <v>7.0170000000000003</v>
      </c>
      <c r="S2277" s="8">
        <v>5.5380000000000003</v>
      </c>
      <c r="T2277" s="8">
        <v>4.8070000000000004</v>
      </c>
      <c r="U2277" s="8">
        <v>3.7360000000000002</v>
      </c>
      <c r="V2277" s="8">
        <v>2.83</v>
      </c>
      <c r="W2277" s="8">
        <v>1.9610000000000001</v>
      </c>
      <c r="X2277" s="8">
        <v>1.395</v>
      </c>
      <c r="Y2277" s="8">
        <v>0.82399999999999995</v>
      </c>
      <c r="Z2277" s="8">
        <v>0.40699999999999997</v>
      </c>
      <c r="AA2277" s="8">
        <v>0.122</v>
      </c>
      <c r="AB2277" s="8">
        <v>2.3E-2</v>
      </c>
      <c r="AC2277" s="8">
        <v>2E-3</v>
      </c>
    </row>
    <row r="2278" spans="1:29" ht="11.65" hidden="1" x14ac:dyDescent="0.35">
      <c r="A2278" s="12">
        <v>2261</v>
      </c>
      <c r="B2278" s="10" t="s">
        <v>1015</v>
      </c>
      <c r="C2278" s="11" t="s">
        <v>1174</v>
      </c>
      <c r="D2278" s="9"/>
      <c r="E2278" s="9">
        <v>44</v>
      </c>
      <c r="F2278" s="10" t="s">
        <v>1066</v>
      </c>
      <c r="G2278" s="9">
        <v>915</v>
      </c>
      <c r="H2278" s="9">
        <v>2000</v>
      </c>
      <c r="I2278" s="8">
        <v>13.877000000000001</v>
      </c>
      <c r="J2278" s="8">
        <v>15.151</v>
      </c>
      <c r="K2278" s="8">
        <v>14.324</v>
      </c>
      <c r="L2278" s="8">
        <v>13.986000000000001</v>
      </c>
      <c r="M2278" s="8">
        <v>11.771000000000001</v>
      </c>
      <c r="N2278" s="8">
        <v>13.031000000000001</v>
      </c>
      <c r="O2278" s="8">
        <v>12.304</v>
      </c>
      <c r="P2278" s="8">
        <v>12.961</v>
      </c>
      <c r="Q2278" s="8">
        <v>10.85</v>
      </c>
      <c r="R2278" s="8">
        <v>8.8109999999999999</v>
      </c>
      <c r="S2278" s="8">
        <v>6.7960000000000003</v>
      </c>
      <c r="T2278" s="8">
        <v>5.0640000000000001</v>
      </c>
      <c r="U2278" s="8">
        <v>4.4770000000000003</v>
      </c>
      <c r="V2278" s="8">
        <v>3.4209999999999998</v>
      </c>
      <c r="W2278" s="8">
        <v>2.4940000000000002</v>
      </c>
      <c r="X2278" s="8">
        <v>1.6559999999999999</v>
      </c>
      <c r="Y2278" s="8">
        <v>1.1240000000000001</v>
      </c>
      <c r="Z2278" s="8">
        <v>0.52800000000000002</v>
      </c>
      <c r="AA2278" s="8">
        <v>0.19800000000000001</v>
      </c>
      <c r="AB2278" s="8">
        <v>4.1000000000000002E-2</v>
      </c>
      <c r="AC2278" s="8">
        <v>5.0000000000000001E-3</v>
      </c>
    </row>
    <row r="2279" spans="1:29" ht="11.65" hidden="1" x14ac:dyDescent="0.35">
      <c r="A2279" s="12">
        <v>2262</v>
      </c>
      <c r="B2279" s="10" t="s">
        <v>1015</v>
      </c>
      <c r="C2279" s="11" t="s">
        <v>1174</v>
      </c>
      <c r="D2279" s="9"/>
      <c r="E2279" s="9">
        <v>44</v>
      </c>
      <c r="F2279" s="10" t="s">
        <v>1066</v>
      </c>
      <c r="G2279" s="9">
        <v>915</v>
      </c>
      <c r="H2279" s="9">
        <v>2005</v>
      </c>
      <c r="I2279" s="8">
        <v>14.72</v>
      </c>
      <c r="J2279" s="8">
        <v>15.576000000000001</v>
      </c>
      <c r="K2279" s="8">
        <v>15.212999999999999</v>
      </c>
      <c r="L2279" s="8">
        <v>14.819000000000001</v>
      </c>
      <c r="M2279" s="8">
        <v>12.631</v>
      </c>
      <c r="N2279" s="8">
        <v>13.492000000000001</v>
      </c>
      <c r="O2279" s="8">
        <v>13.250999999999999</v>
      </c>
      <c r="P2279" s="8">
        <v>14.1</v>
      </c>
      <c r="Q2279" s="8">
        <v>12.228</v>
      </c>
      <c r="R2279" s="8">
        <v>10.749000000000001</v>
      </c>
      <c r="S2279" s="8">
        <v>8.3970000000000002</v>
      </c>
      <c r="T2279" s="8">
        <v>6.0890000000000004</v>
      </c>
      <c r="U2279" s="8">
        <v>4.944</v>
      </c>
      <c r="V2279" s="8">
        <v>3.9359999999999999</v>
      </c>
      <c r="W2279" s="8">
        <v>2.8780000000000001</v>
      </c>
      <c r="X2279" s="8">
        <v>1.88</v>
      </c>
      <c r="Y2279" s="8">
        <v>1.2270000000000001</v>
      </c>
      <c r="Z2279" s="8">
        <v>0.66100000000000003</v>
      </c>
      <c r="AA2279" s="8">
        <v>0.224</v>
      </c>
      <c r="AB2279" s="8">
        <v>5.2999999999999999E-2</v>
      </c>
      <c r="AC2279" s="8">
        <v>7.0000000000000001E-3</v>
      </c>
    </row>
    <row r="2280" spans="1:29" ht="11.65" hidden="1" x14ac:dyDescent="0.35">
      <c r="A2280" s="12">
        <v>2263</v>
      </c>
      <c r="B2280" s="10" t="s">
        <v>1015</v>
      </c>
      <c r="C2280" s="11" t="s">
        <v>1174</v>
      </c>
      <c r="D2280" s="9"/>
      <c r="E2280" s="9">
        <v>44</v>
      </c>
      <c r="F2280" s="10" t="s">
        <v>1066</v>
      </c>
      <c r="G2280" s="9">
        <v>915</v>
      </c>
      <c r="H2280" s="9">
        <v>2010</v>
      </c>
      <c r="I2280" s="8">
        <v>15.568</v>
      </c>
      <c r="J2280" s="8">
        <v>16.059000000000001</v>
      </c>
      <c r="K2280" s="8">
        <v>16.120999999999999</v>
      </c>
      <c r="L2280" s="8">
        <v>15.712</v>
      </c>
      <c r="M2280" s="8">
        <v>13.534000000000001</v>
      </c>
      <c r="N2280" s="8">
        <v>14.018000000000001</v>
      </c>
      <c r="O2280" s="8">
        <v>14.244999999999999</v>
      </c>
      <c r="P2280" s="8">
        <v>15.324</v>
      </c>
      <c r="Q2280" s="8">
        <v>13.794</v>
      </c>
      <c r="R2280" s="8">
        <v>13.115</v>
      </c>
      <c r="S2280" s="8">
        <v>10.371</v>
      </c>
      <c r="T2280" s="8">
        <v>7.32</v>
      </c>
      <c r="U2280" s="8">
        <v>5.4619999999999997</v>
      </c>
      <c r="V2280" s="8">
        <v>4.5289999999999999</v>
      </c>
      <c r="W2280" s="8">
        <v>3.3210000000000002</v>
      </c>
      <c r="X2280" s="8">
        <v>2.1360000000000001</v>
      </c>
      <c r="Y2280" s="8">
        <v>1.3420000000000001</v>
      </c>
      <c r="Z2280" s="8">
        <v>0.66200000000000003</v>
      </c>
      <c r="AA2280" s="8">
        <v>0.24099999999999999</v>
      </c>
      <c r="AB2280" s="8">
        <v>4.9000000000000002E-2</v>
      </c>
      <c r="AC2280" s="8">
        <v>6.0000000000000001E-3</v>
      </c>
    </row>
    <row r="2281" spans="1:29" ht="11.65" hidden="1" x14ac:dyDescent="0.35">
      <c r="A2281" s="12">
        <v>2264</v>
      </c>
      <c r="B2281" s="10" t="s">
        <v>1015</v>
      </c>
      <c r="C2281" s="11" t="s">
        <v>1174</v>
      </c>
      <c r="D2281" s="9"/>
      <c r="E2281" s="9">
        <v>44</v>
      </c>
      <c r="F2281" s="10" t="s">
        <v>1066</v>
      </c>
      <c r="G2281" s="9">
        <v>915</v>
      </c>
      <c r="H2281" s="9">
        <v>2015</v>
      </c>
      <c r="I2281" s="8">
        <v>12.893000000000001</v>
      </c>
      <c r="J2281" s="8">
        <v>15.606999999999999</v>
      </c>
      <c r="K2281" s="8">
        <v>16.082999999999998</v>
      </c>
      <c r="L2281" s="8">
        <v>16.356999999999999</v>
      </c>
      <c r="M2281" s="8">
        <v>16.129000000000001</v>
      </c>
      <c r="N2281" s="8">
        <v>13.917</v>
      </c>
      <c r="O2281" s="8">
        <v>14.259</v>
      </c>
      <c r="P2281" s="8">
        <v>14.347</v>
      </c>
      <c r="Q2281" s="8">
        <v>15.292</v>
      </c>
      <c r="R2281" s="8">
        <v>13.661</v>
      </c>
      <c r="S2281" s="8">
        <v>12.868</v>
      </c>
      <c r="T2281" s="8">
        <v>10.066000000000001</v>
      </c>
      <c r="U2281" s="8">
        <v>6.9790000000000001</v>
      </c>
      <c r="V2281" s="8">
        <v>5.0490000000000004</v>
      </c>
      <c r="W2281" s="8">
        <v>3.9809999999999999</v>
      </c>
      <c r="X2281" s="8">
        <v>2.673</v>
      </c>
      <c r="Y2281" s="8">
        <v>1.468</v>
      </c>
      <c r="Z2281" s="8">
        <v>0.69299999999999995</v>
      </c>
      <c r="AA2281" s="8">
        <v>0.222</v>
      </c>
      <c r="AB2281" s="8">
        <v>4.3999999999999997E-2</v>
      </c>
      <c r="AC2281" s="8">
        <v>4.0000000000000001E-3</v>
      </c>
    </row>
    <row r="2282" spans="1:29" ht="11.65" hidden="1" x14ac:dyDescent="0.35">
      <c r="A2282" s="12">
        <v>2265</v>
      </c>
      <c r="B2282" s="10" t="s">
        <v>1015</v>
      </c>
      <c r="C2282" s="11" t="s">
        <v>1174</v>
      </c>
      <c r="D2282" s="9"/>
      <c r="E2282" s="9">
        <v>44</v>
      </c>
      <c r="F2282" s="10" t="s">
        <v>1066</v>
      </c>
      <c r="G2282" s="9">
        <v>915</v>
      </c>
      <c r="H2282" s="9">
        <v>2020</v>
      </c>
      <c r="I2282" s="8">
        <v>13.167999999999999</v>
      </c>
      <c r="J2282" s="8">
        <v>12.941000000000001</v>
      </c>
      <c r="K2282" s="8">
        <v>15.634</v>
      </c>
      <c r="L2282" s="8">
        <v>16.324000000000002</v>
      </c>
      <c r="M2282" s="8">
        <v>16.777999999999999</v>
      </c>
      <c r="N2282" s="8">
        <v>16.504999999999999</v>
      </c>
      <c r="O2282" s="8">
        <v>14.169</v>
      </c>
      <c r="P2282" s="8">
        <v>14.372</v>
      </c>
      <c r="Q2282" s="8">
        <v>14.34</v>
      </c>
      <c r="R2282" s="8">
        <v>15.154999999999999</v>
      </c>
      <c r="S2282" s="8">
        <v>13.429</v>
      </c>
      <c r="T2282" s="8">
        <v>12.515000000000001</v>
      </c>
      <c r="U2282" s="8">
        <v>9.6280000000000001</v>
      </c>
      <c r="V2282" s="8">
        <v>6.4880000000000004</v>
      </c>
      <c r="W2282" s="8">
        <v>4.4800000000000004</v>
      </c>
      <c r="X2282" s="8">
        <v>3.26</v>
      </c>
      <c r="Y2282" s="8">
        <v>1.89</v>
      </c>
      <c r="Z2282" s="8">
        <v>0.79100000000000004</v>
      </c>
      <c r="AA2282" s="8">
        <v>0.24199999999999999</v>
      </c>
      <c r="AB2282" s="8">
        <v>4.2000000000000003E-2</v>
      </c>
      <c r="AC2282" s="8">
        <v>4.0000000000000001E-3</v>
      </c>
    </row>
    <row r="2283" spans="1:29" ht="11.65" hidden="1" x14ac:dyDescent="0.35">
      <c r="A2283" s="12">
        <v>2266</v>
      </c>
      <c r="B2283" s="10" t="s">
        <v>1015</v>
      </c>
      <c r="C2283" s="11" t="s">
        <v>1175</v>
      </c>
      <c r="D2283" s="9"/>
      <c r="E2283" s="9">
        <v>52</v>
      </c>
      <c r="F2283" s="10" t="s">
        <v>1066</v>
      </c>
      <c r="G2283" s="9">
        <v>915</v>
      </c>
      <c r="H2283" s="9">
        <v>1950</v>
      </c>
      <c r="I2283" s="8">
        <v>13</v>
      </c>
      <c r="J2283" s="8">
        <v>11</v>
      </c>
      <c r="K2283" s="8">
        <v>11.000999999999999</v>
      </c>
      <c r="L2283" s="8">
        <v>10.000999999999999</v>
      </c>
      <c r="M2283" s="8">
        <v>8.9990000000000006</v>
      </c>
      <c r="N2283" s="8">
        <v>7.9989999999999997</v>
      </c>
      <c r="O2283" s="8">
        <v>8</v>
      </c>
      <c r="P2283" s="8">
        <v>7.9989999999999997</v>
      </c>
      <c r="Q2283" s="8">
        <v>7</v>
      </c>
      <c r="R2283" s="8">
        <v>6.9980000000000002</v>
      </c>
      <c r="S2283" s="8">
        <v>5</v>
      </c>
      <c r="T2283" s="8">
        <v>4</v>
      </c>
      <c r="U2283" s="8">
        <v>3.9990000000000001</v>
      </c>
      <c r="V2283" s="8">
        <v>2.9990000000000001</v>
      </c>
      <c r="W2283" s="8">
        <v>2.5</v>
      </c>
      <c r="X2283" s="8">
        <v>2</v>
      </c>
      <c r="Y2283" s="8">
        <v>0.98299999999999998</v>
      </c>
      <c r="Z2283" s="8">
        <v>0.39400000000000002</v>
      </c>
      <c r="AA2283" s="8">
        <v>0.10299999999999999</v>
      </c>
      <c r="AB2283" s="8">
        <v>1.4999999999999999E-2</v>
      </c>
      <c r="AC2283" s="8">
        <v>1E-3</v>
      </c>
    </row>
    <row r="2284" spans="1:29" ht="11.65" hidden="1" x14ac:dyDescent="0.35">
      <c r="A2284" s="12">
        <v>2267</v>
      </c>
      <c r="B2284" s="10" t="s">
        <v>1015</v>
      </c>
      <c r="C2284" s="11" t="s">
        <v>1175</v>
      </c>
      <c r="D2284" s="9"/>
      <c r="E2284" s="9">
        <v>52</v>
      </c>
      <c r="F2284" s="10" t="s">
        <v>1066</v>
      </c>
      <c r="G2284" s="9">
        <v>915</v>
      </c>
      <c r="H2284" s="9">
        <v>1955</v>
      </c>
      <c r="I2284" s="8">
        <v>15.504</v>
      </c>
      <c r="J2284" s="8">
        <v>13.436999999999999</v>
      </c>
      <c r="K2284" s="8">
        <v>11.37</v>
      </c>
      <c r="L2284" s="8">
        <v>10.298999999999999</v>
      </c>
      <c r="M2284" s="8">
        <v>9.298</v>
      </c>
      <c r="N2284" s="8">
        <v>8.298</v>
      </c>
      <c r="O2284" s="8">
        <v>7.2990000000000004</v>
      </c>
      <c r="P2284" s="8">
        <v>7.2990000000000004</v>
      </c>
      <c r="Q2284" s="8">
        <v>7.3</v>
      </c>
      <c r="R2284" s="8">
        <v>7.3010000000000002</v>
      </c>
      <c r="S2284" s="8">
        <v>6.2</v>
      </c>
      <c r="T2284" s="8">
        <v>5.2</v>
      </c>
      <c r="U2284" s="8">
        <v>4.2</v>
      </c>
      <c r="V2284" s="8">
        <v>3.101</v>
      </c>
      <c r="W2284" s="8">
        <v>3.1030000000000002</v>
      </c>
      <c r="X2284" s="8">
        <v>2.1030000000000002</v>
      </c>
      <c r="Y2284" s="8">
        <v>1.472</v>
      </c>
      <c r="Z2284" s="8">
        <v>0.45300000000000001</v>
      </c>
      <c r="AA2284" s="8">
        <v>0.13</v>
      </c>
      <c r="AB2284" s="8">
        <v>2.3E-2</v>
      </c>
      <c r="AC2284" s="8">
        <v>2E-3</v>
      </c>
    </row>
    <row r="2285" spans="1:29" ht="11.65" hidden="1" x14ac:dyDescent="0.35">
      <c r="A2285" s="12">
        <v>2268</v>
      </c>
      <c r="B2285" s="10" t="s">
        <v>1015</v>
      </c>
      <c r="C2285" s="11" t="s">
        <v>1175</v>
      </c>
      <c r="D2285" s="9"/>
      <c r="E2285" s="9">
        <v>52</v>
      </c>
      <c r="F2285" s="10" t="s">
        <v>1066</v>
      </c>
      <c r="G2285" s="9">
        <v>915</v>
      </c>
      <c r="H2285" s="9">
        <v>1960</v>
      </c>
      <c r="I2285" s="8">
        <v>16.498000000000001</v>
      </c>
      <c r="J2285" s="8">
        <v>14.933</v>
      </c>
      <c r="K2285" s="8">
        <v>13.807</v>
      </c>
      <c r="L2285" s="8">
        <v>10.769</v>
      </c>
      <c r="M2285" s="8">
        <v>8.9009999999999998</v>
      </c>
      <c r="N2285" s="8">
        <v>7.7990000000000004</v>
      </c>
      <c r="O2285" s="8">
        <v>7.601</v>
      </c>
      <c r="P2285" s="8">
        <v>6.6</v>
      </c>
      <c r="Q2285" s="8">
        <v>6.9</v>
      </c>
      <c r="R2285" s="8">
        <v>6.3010000000000002</v>
      </c>
      <c r="S2285" s="8">
        <v>5.7990000000000004</v>
      </c>
      <c r="T2285" s="8">
        <v>5.8019999999999996</v>
      </c>
      <c r="U2285" s="8">
        <v>4.601</v>
      </c>
      <c r="V2285" s="8">
        <v>4.5990000000000002</v>
      </c>
      <c r="W2285" s="8">
        <v>2.8010000000000002</v>
      </c>
      <c r="X2285" s="8">
        <v>2.0030000000000001</v>
      </c>
      <c r="Y2285" s="8">
        <v>1.0249999999999999</v>
      </c>
      <c r="Z2285" s="8">
        <v>0.67700000000000005</v>
      </c>
      <c r="AA2285" s="8">
        <v>0.14699999999999999</v>
      </c>
      <c r="AB2285" s="8">
        <v>2.7E-2</v>
      </c>
      <c r="AC2285" s="8">
        <v>3.0000000000000001E-3</v>
      </c>
    </row>
    <row r="2286" spans="1:29" ht="11.65" hidden="1" x14ac:dyDescent="0.35">
      <c r="A2286" s="12">
        <v>2269</v>
      </c>
      <c r="B2286" s="10" t="s">
        <v>1015</v>
      </c>
      <c r="C2286" s="11" t="s">
        <v>1175</v>
      </c>
      <c r="D2286" s="9"/>
      <c r="E2286" s="9">
        <v>52</v>
      </c>
      <c r="F2286" s="10" t="s">
        <v>1066</v>
      </c>
      <c r="G2286" s="9">
        <v>915</v>
      </c>
      <c r="H2286" s="9">
        <v>1965</v>
      </c>
      <c r="I2286" s="8">
        <v>16.167000000000002</v>
      </c>
      <c r="J2286" s="8">
        <v>15.843999999999999</v>
      </c>
      <c r="K2286" s="8">
        <v>14.448</v>
      </c>
      <c r="L2286" s="8">
        <v>11.926</v>
      </c>
      <c r="M2286" s="8">
        <v>7.843</v>
      </c>
      <c r="N2286" s="8">
        <v>6.8150000000000004</v>
      </c>
      <c r="O2286" s="8">
        <v>6.5069999999999997</v>
      </c>
      <c r="P2286" s="8">
        <v>6.78</v>
      </c>
      <c r="Q2286" s="8">
        <v>6.0010000000000003</v>
      </c>
      <c r="R2286" s="8">
        <v>6.4160000000000004</v>
      </c>
      <c r="S2286" s="8">
        <v>5.9809999999999999</v>
      </c>
      <c r="T2286" s="8">
        <v>5.4779999999999998</v>
      </c>
      <c r="U2286" s="8">
        <v>5.2930000000000001</v>
      </c>
      <c r="V2286" s="8">
        <v>4.0190000000000001</v>
      </c>
      <c r="W2286" s="8">
        <v>3.734</v>
      </c>
      <c r="X2286" s="8">
        <v>2.0230000000000001</v>
      </c>
      <c r="Y2286" s="8">
        <v>1.2230000000000001</v>
      </c>
      <c r="Z2286" s="8">
        <v>0.47699999999999998</v>
      </c>
      <c r="AA2286" s="8">
        <v>0.215</v>
      </c>
      <c r="AB2286" s="8">
        <v>2.9000000000000001E-2</v>
      </c>
      <c r="AC2286" s="8">
        <v>3.0000000000000001E-3</v>
      </c>
    </row>
    <row r="2287" spans="1:29" ht="11.65" hidden="1" x14ac:dyDescent="0.35">
      <c r="A2287" s="12">
        <v>2270</v>
      </c>
      <c r="B2287" s="10" t="s">
        <v>1015</v>
      </c>
      <c r="C2287" s="11" t="s">
        <v>1175</v>
      </c>
      <c r="D2287" s="9"/>
      <c r="E2287" s="9">
        <v>52</v>
      </c>
      <c r="F2287" s="10" t="s">
        <v>1066</v>
      </c>
      <c r="G2287" s="9">
        <v>915</v>
      </c>
      <c r="H2287" s="9">
        <v>1970</v>
      </c>
      <c r="I2287" s="8">
        <v>12.955</v>
      </c>
      <c r="J2287" s="8">
        <v>15.718</v>
      </c>
      <c r="K2287" s="8">
        <v>15.465</v>
      </c>
      <c r="L2287" s="8">
        <v>13.084</v>
      </c>
      <c r="M2287" s="8">
        <v>9.7189999999999994</v>
      </c>
      <c r="N2287" s="8">
        <v>6.3319999999999999</v>
      </c>
      <c r="O2287" s="8">
        <v>5.9420000000000002</v>
      </c>
      <c r="P2287" s="8">
        <v>5.9029999999999996</v>
      </c>
      <c r="Q2287" s="8">
        <v>6.31</v>
      </c>
      <c r="R2287" s="8">
        <v>5.6529999999999996</v>
      </c>
      <c r="S2287" s="8">
        <v>6.1509999999999998</v>
      </c>
      <c r="T2287" s="8">
        <v>5.6150000000000002</v>
      </c>
      <c r="U2287" s="8">
        <v>5.0469999999999997</v>
      </c>
      <c r="V2287" s="8">
        <v>4.7850000000000001</v>
      </c>
      <c r="W2287" s="8">
        <v>3.407</v>
      </c>
      <c r="X2287" s="8">
        <v>2.202</v>
      </c>
      <c r="Y2287" s="8">
        <v>1.607</v>
      </c>
      <c r="Z2287" s="8">
        <v>0.58199999999999996</v>
      </c>
      <c r="AA2287" s="8">
        <v>0.155</v>
      </c>
      <c r="AB2287" s="8">
        <v>4.2000000000000003E-2</v>
      </c>
      <c r="AC2287" s="8">
        <v>3.0000000000000001E-3</v>
      </c>
    </row>
    <row r="2288" spans="1:29" ht="11.65" hidden="1" x14ac:dyDescent="0.35">
      <c r="A2288" s="12">
        <v>2271</v>
      </c>
      <c r="B2288" s="10" t="s">
        <v>1015</v>
      </c>
      <c r="C2288" s="11" t="s">
        <v>1175</v>
      </c>
      <c r="D2288" s="9"/>
      <c r="E2288" s="9">
        <v>52</v>
      </c>
      <c r="F2288" s="10" t="s">
        <v>1066</v>
      </c>
      <c r="G2288" s="9">
        <v>915</v>
      </c>
      <c r="H2288" s="9">
        <v>1975</v>
      </c>
      <c r="I2288" s="8">
        <v>10.747999999999999</v>
      </c>
      <c r="J2288" s="8">
        <v>12.497</v>
      </c>
      <c r="K2288" s="8">
        <v>14.656000000000001</v>
      </c>
      <c r="L2288" s="8">
        <v>14.864000000000001</v>
      </c>
      <c r="M2288" s="8">
        <v>11.43</v>
      </c>
      <c r="N2288" s="8">
        <v>9.202</v>
      </c>
      <c r="O2288" s="8">
        <v>7.3460000000000001</v>
      </c>
      <c r="P2288" s="8">
        <v>5.3529999999999998</v>
      </c>
      <c r="Q2288" s="8">
        <v>5.8659999999999997</v>
      </c>
      <c r="R2288" s="8">
        <v>6.266</v>
      </c>
      <c r="S2288" s="8">
        <v>6.3659999999999997</v>
      </c>
      <c r="T2288" s="8">
        <v>4.8559999999999999</v>
      </c>
      <c r="U2288" s="8">
        <v>4.6529999999999996</v>
      </c>
      <c r="V2288" s="8">
        <v>5.7750000000000004</v>
      </c>
      <c r="W2288" s="8">
        <v>3.7</v>
      </c>
      <c r="X2288" s="8">
        <v>2.7770000000000001</v>
      </c>
      <c r="Y2288" s="8">
        <v>1.149</v>
      </c>
      <c r="Z2288" s="8">
        <v>0.79600000000000004</v>
      </c>
      <c r="AA2288" s="8">
        <v>0.2</v>
      </c>
      <c r="AB2288" s="8">
        <v>3.4000000000000002E-2</v>
      </c>
      <c r="AC2288" s="8">
        <v>5.0000000000000001E-3</v>
      </c>
    </row>
    <row r="2289" spans="1:29" ht="11.65" hidden="1" x14ac:dyDescent="0.35">
      <c r="A2289" s="12">
        <v>2272</v>
      </c>
      <c r="B2289" s="10" t="s">
        <v>1015</v>
      </c>
      <c r="C2289" s="11" t="s">
        <v>1175</v>
      </c>
      <c r="D2289" s="9"/>
      <c r="E2289" s="9">
        <v>52</v>
      </c>
      <c r="F2289" s="10" t="s">
        <v>1066</v>
      </c>
      <c r="G2289" s="9">
        <v>915</v>
      </c>
      <c r="H2289" s="9">
        <v>1980</v>
      </c>
      <c r="I2289" s="8">
        <v>10.829000000000001</v>
      </c>
      <c r="J2289" s="8">
        <v>13.153</v>
      </c>
      <c r="K2289" s="8">
        <v>13.278</v>
      </c>
      <c r="L2289" s="8">
        <v>14.161</v>
      </c>
      <c r="M2289" s="8">
        <v>13.308999999999999</v>
      </c>
      <c r="N2289" s="8">
        <v>10.951000000000001</v>
      </c>
      <c r="O2289" s="8">
        <v>8.4220000000000006</v>
      </c>
      <c r="P2289" s="8">
        <v>6.0259999999999998</v>
      </c>
      <c r="Q2289" s="8">
        <v>5.5540000000000003</v>
      </c>
      <c r="R2289" s="8">
        <v>5.2009999999999996</v>
      </c>
      <c r="S2289" s="8">
        <v>5.6630000000000003</v>
      </c>
      <c r="T2289" s="8">
        <v>4.8840000000000003</v>
      </c>
      <c r="U2289" s="8">
        <v>5.1630000000000003</v>
      </c>
      <c r="V2289" s="8">
        <v>5.13</v>
      </c>
      <c r="W2289" s="8">
        <v>4.3070000000000004</v>
      </c>
      <c r="X2289" s="8">
        <v>3.2280000000000002</v>
      </c>
      <c r="Y2289" s="8">
        <v>2.4969999999999999</v>
      </c>
      <c r="Z2289" s="8">
        <v>0.59399999999999997</v>
      </c>
      <c r="AA2289" s="8">
        <v>0.28499999999999998</v>
      </c>
      <c r="AB2289" s="8">
        <v>4.3999999999999997E-2</v>
      </c>
      <c r="AC2289" s="8">
        <v>4.0000000000000001E-3</v>
      </c>
    </row>
    <row r="2290" spans="1:29" ht="11.65" hidden="1" x14ac:dyDescent="0.35">
      <c r="A2290" s="12">
        <v>2273</v>
      </c>
      <c r="B2290" s="10" t="s">
        <v>1015</v>
      </c>
      <c r="C2290" s="11" t="s">
        <v>1175</v>
      </c>
      <c r="D2290" s="9"/>
      <c r="E2290" s="9">
        <v>52</v>
      </c>
      <c r="F2290" s="10" t="s">
        <v>1066</v>
      </c>
      <c r="G2290" s="9">
        <v>915</v>
      </c>
      <c r="H2290" s="9">
        <v>1985</v>
      </c>
      <c r="I2290" s="8">
        <v>10.471</v>
      </c>
      <c r="J2290" s="8">
        <v>10.632999999999999</v>
      </c>
      <c r="K2290" s="8">
        <v>12.845000000000001</v>
      </c>
      <c r="L2290" s="8">
        <v>12.805</v>
      </c>
      <c r="M2290" s="8">
        <v>13.531000000000001</v>
      </c>
      <c r="N2290" s="8">
        <v>12.7</v>
      </c>
      <c r="O2290" s="8">
        <v>10.472</v>
      </c>
      <c r="P2290" s="8">
        <v>8.0690000000000008</v>
      </c>
      <c r="Q2290" s="8">
        <v>5.7709999999999999</v>
      </c>
      <c r="R2290" s="8">
        <v>5.3289999999999997</v>
      </c>
      <c r="S2290" s="8">
        <v>5</v>
      </c>
      <c r="T2290" s="8">
        <v>5.4</v>
      </c>
      <c r="U2290" s="8">
        <v>4.601</v>
      </c>
      <c r="V2290" s="8">
        <v>4.68</v>
      </c>
      <c r="W2290" s="8">
        <v>4.391</v>
      </c>
      <c r="X2290" s="8">
        <v>3.3039999999999998</v>
      </c>
      <c r="Y2290" s="8">
        <v>2.2719999999999998</v>
      </c>
      <c r="Z2290" s="8">
        <v>1.327</v>
      </c>
      <c r="AA2290" s="8">
        <v>0.219</v>
      </c>
      <c r="AB2290" s="8">
        <v>6.5000000000000002E-2</v>
      </c>
      <c r="AC2290" s="8">
        <v>6.0000000000000001E-3</v>
      </c>
    </row>
    <row r="2291" spans="1:29" ht="11.65" hidden="1" x14ac:dyDescent="0.35">
      <c r="A2291" s="12">
        <v>2274</v>
      </c>
      <c r="B2291" s="10" t="s">
        <v>1015</v>
      </c>
      <c r="C2291" s="11" t="s">
        <v>1175</v>
      </c>
      <c r="D2291" s="9"/>
      <c r="E2291" s="9">
        <v>52</v>
      </c>
      <c r="F2291" s="10" t="s">
        <v>1066</v>
      </c>
      <c r="G2291" s="9">
        <v>915</v>
      </c>
      <c r="H2291" s="9">
        <v>1990</v>
      </c>
      <c r="I2291" s="8">
        <v>10.111000000000001</v>
      </c>
      <c r="J2291" s="8">
        <v>10.343999999999999</v>
      </c>
      <c r="K2291" s="8">
        <v>10.422000000000001</v>
      </c>
      <c r="L2291" s="8">
        <v>12.539</v>
      </c>
      <c r="M2291" s="8">
        <v>12.327999999999999</v>
      </c>
      <c r="N2291" s="8">
        <v>12.898999999999999</v>
      </c>
      <c r="O2291" s="8">
        <v>12.092000000000001</v>
      </c>
      <c r="P2291" s="8">
        <v>9.9920000000000009</v>
      </c>
      <c r="Q2291" s="8">
        <v>7.7160000000000002</v>
      </c>
      <c r="R2291" s="8">
        <v>5.5129999999999999</v>
      </c>
      <c r="S2291" s="8">
        <v>5.1029999999999998</v>
      </c>
      <c r="T2291" s="8">
        <v>4.8010000000000002</v>
      </c>
      <c r="U2291" s="8">
        <v>5.14</v>
      </c>
      <c r="V2291" s="8">
        <v>4.3150000000000004</v>
      </c>
      <c r="W2291" s="8">
        <v>4.194</v>
      </c>
      <c r="X2291" s="8">
        <v>3.653</v>
      </c>
      <c r="Y2291" s="8">
        <v>2.3730000000000002</v>
      </c>
      <c r="Z2291" s="8">
        <v>1.272</v>
      </c>
      <c r="AA2291" s="8">
        <v>0.52400000000000002</v>
      </c>
      <c r="AB2291" s="8">
        <v>5.3999999999999999E-2</v>
      </c>
      <c r="AC2291" s="8">
        <v>8.9999999999999993E-3</v>
      </c>
    </row>
    <row r="2292" spans="1:29" ht="11.65" hidden="1" x14ac:dyDescent="0.35">
      <c r="A2292" s="12">
        <v>2275</v>
      </c>
      <c r="B2292" s="10" t="s">
        <v>1015</v>
      </c>
      <c r="C2292" s="11" t="s">
        <v>1175</v>
      </c>
      <c r="D2292" s="9"/>
      <c r="E2292" s="9">
        <v>52</v>
      </c>
      <c r="F2292" s="10" t="s">
        <v>1066</v>
      </c>
      <c r="G2292" s="9">
        <v>915</v>
      </c>
      <c r="H2292" s="9">
        <v>1995</v>
      </c>
      <c r="I2292" s="8">
        <v>9.6590000000000007</v>
      </c>
      <c r="J2292" s="8">
        <v>10.035</v>
      </c>
      <c r="K2292" s="8">
        <v>10.156000000000001</v>
      </c>
      <c r="L2292" s="8">
        <v>10.028</v>
      </c>
      <c r="M2292" s="8">
        <v>11.673999999999999</v>
      </c>
      <c r="N2292" s="8">
        <v>11.587999999999999</v>
      </c>
      <c r="O2292" s="8">
        <v>12.430999999999999</v>
      </c>
      <c r="P2292" s="8">
        <v>11.707000000000001</v>
      </c>
      <c r="Q2292" s="8">
        <v>9.7210000000000001</v>
      </c>
      <c r="R2292" s="8">
        <v>7.6719999999999997</v>
      </c>
      <c r="S2292" s="8">
        <v>5.55</v>
      </c>
      <c r="T2292" s="8">
        <v>5.2210000000000001</v>
      </c>
      <c r="U2292" s="8">
        <v>4.915</v>
      </c>
      <c r="V2292" s="8">
        <v>4.9630000000000001</v>
      </c>
      <c r="W2292" s="8">
        <v>3.9670000000000001</v>
      </c>
      <c r="X2292" s="8">
        <v>3.524</v>
      </c>
      <c r="Y2292" s="8">
        <v>3.048</v>
      </c>
      <c r="Z2292" s="8">
        <v>1.4259999999999999</v>
      </c>
      <c r="AA2292" s="8">
        <v>0.55500000000000005</v>
      </c>
      <c r="AB2292" s="8">
        <v>0.14899999999999999</v>
      </c>
      <c r="AC2292" s="8">
        <v>0.01</v>
      </c>
    </row>
    <row r="2293" spans="1:29" ht="11.65" hidden="1" x14ac:dyDescent="0.35">
      <c r="A2293" s="12">
        <v>2276</v>
      </c>
      <c r="B2293" s="10" t="s">
        <v>1015</v>
      </c>
      <c r="C2293" s="11" t="s">
        <v>1175</v>
      </c>
      <c r="D2293" s="9"/>
      <c r="E2293" s="9">
        <v>52</v>
      </c>
      <c r="F2293" s="10" t="s">
        <v>1066</v>
      </c>
      <c r="G2293" s="9">
        <v>915</v>
      </c>
      <c r="H2293" s="9">
        <v>2000</v>
      </c>
      <c r="I2293" s="8">
        <v>9.1929999999999996</v>
      </c>
      <c r="J2293" s="8">
        <v>10.052</v>
      </c>
      <c r="K2293" s="8">
        <v>9.9499999999999993</v>
      </c>
      <c r="L2293" s="8">
        <v>9.9659999999999993</v>
      </c>
      <c r="M2293" s="8">
        <v>9.6300000000000008</v>
      </c>
      <c r="N2293" s="8">
        <v>10.805</v>
      </c>
      <c r="O2293" s="8">
        <v>10.849</v>
      </c>
      <c r="P2293" s="8">
        <v>11.964</v>
      </c>
      <c r="Q2293" s="8">
        <v>11.32</v>
      </c>
      <c r="R2293" s="8">
        <v>9.4499999999999993</v>
      </c>
      <c r="S2293" s="8">
        <v>7.6280000000000001</v>
      </c>
      <c r="T2293" s="8">
        <v>5.5890000000000004</v>
      </c>
      <c r="U2293" s="8">
        <v>5.3360000000000003</v>
      </c>
      <c r="V2293" s="8">
        <v>5.032</v>
      </c>
      <c r="W2293" s="8">
        <v>4.7850000000000001</v>
      </c>
      <c r="X2293" s="8">
        <v>3.6219999999999999</v>
      </c>
      <c r="Y2293" s="8">
        <v>3.02</v>
      </c>
      <c r="Z2293" s="8">
        <v>1.9610000000000001</v>
      </c>
      <c r="AA2293" s="8">
        <v>0.69299999999999995</v>
      </c>
      <c r="AB2293" s="8">
        <v>0.184</v>
      </c>
      <c r="AC2293" s="8">
        <v>0.03</v>
      </c>
    </row>
    <row r="2294" spans="1:29" ht="11.65" hidden="1" x14ac:dyDescent="0.35">
      <c r="A2294" s="12">
        <v>2277</v>
      </c>
      <c r="B2294" s="10" t="s">
        <v>1015</v>
      </c>
      <c r="C2294" s="11" t="s">
        <v>1175</v>
      </c>
      <c r="D2294" s="9"/>
      <c r="E2294" s="9">
        <v>52</v>
      </c>
      <c r="F2294" s="10" t="s">
        <v>1066</v>
      </c>
      <c r="G2294" s="9">
        <v>915</v>
      </c>
      <c r="H2294" s="9">
        <v>2005</v>
      </c>
      <c r="I2294" s="8">
        <v>8.8940000000000001</v>
      </c>
      <c r="J2294" s="8">
        <v>9.3130000000000006</v>
      </c>
      <c r="K2294" s="8">
        <v>9.7899999999999991</v>
      </c>
      <c r="L2294" s="8">
        <v>9.5790000000000006</v>
      </c>
      <c r="M2294" s="8">
        <v>9.9220000000000006</v>
      </c>
      <c r="N2294" s="8">
        <v>9.6839999999999993</v>
      </c>
      <c r="O2294" s="8">
        <v>10.773999999999999</v>
      </c>
      <c r="P2294" s="8">
        <v>10.706</v>
      </c>
      <c r="Q2294" s="8">
        <v>11.663</v>
      </c>
      <c r="R2294" s="8">
        <v>11.007</v>
      </c>
      <c r="S2294" s="8">
        <v>9.1440000000000001</v>
      </c>
      <c r="T2294" s="8">
        <v>7.4180000000000001</v>
      </c>
      <c r="U2294" s="8">
        <v>5.6180000000000003</v>
      </c>
      <c r="V2294" s="8">
        <v>5.117</v>
      </c>
      <c r="W2294" s="8">
        <v>4.5620000000000003</v>
      </c>
      <c r="X2294" s="8">
        <v>3.9860000000000002</v>
      </c>
      <c r="Y2294" s="8">
        <v>3.1349999999999998</v>
      </c>
      <c r="Z2294" s="8">
        <v>2.0299999999999998</v>
      </c>
      <c r="AA2294" s="8">
        <v>1.0269999999999999</v>
      </c>
      <c r="AB2294" s="8">
        <v>0.25800000000000001</v>
      </c>
      <c r="AC2294" s="8">
        <v>4.7E-2</v>
      </c>
    </row>
    <row r="2295" spans="1:29" ht="11.65" hidden="1" x14ac:dyDescent="0.35">
      <c r="A2295" s="12">
        <v>2278</v>
      </c>
      <c r="B2295" s="10" t="s">
        <v>1015</v>
      </c>
      <c r="C2295" s="11" t="s">
        <v>1175</v>
      </c>
      <c r="D2295" s="9"/>
      <c r="E2295" s="9">
        <v>52</v>
      </c>
      <c r="F2295" s="10" t="s">
        <v>1066</v>
      </c>
      <c r="G2295" s="9">
        <v>915</v>
      </c>
      <c r="H2295" s="9">
        <v>2010</v>
      </c>
      <c r="I2295" s="8">
        <v>8.66</v>
      </c>
      <c r="J2295" s="8">
        <v>9.2720000000000002</v>
      </c>
      <c r="K2295" s="8">
        <v>9.33</v>
      </c>
      <c r="L2295" s="8">
        <v>9.5310000000000006</v>
      </c>
      <c r="M2295" s="8">
        <v>9.2089999999999996</v>
      </c>
      <c r="N2295" s="8">
        <v>9.8780000000000001</v>
      </c>
      <c r="O2295" s="8">
        <v>9.7370000000000001</v>
      </c>
      <c r="P2295" s="8">
        <v>10.74</v>
      </c>
      <c r="Q2295" s="8">
        <v>10.566000000000001</v>
      </c>
      <c r="R2295" s="8">
        <v>11.366</v>
      </c>
      <c r="S2295" s="8">
        <v>10.691000000000001</v>
      </c>
      <c r="T2295" s="8">
        <v>8.8339999999999996</v>
      </c>
      <c r="U2295" s="8">
        <v>7.2050000000000001</v>
      </c>
      <c r="V2295" s="8">
        <v>5.649</v>
      </c>
      <c r="W2295" s="8">
        <v>4.899</v>
      </c>
      <c r="X2295" s="8">
        <v>4.0949999999999998</v>
      </c>
      <c r="Y2295" s="8">
        <v>3.4369999999999998</v>
      </c>
      <c r="Z2295" s="8">
        <v>2.1219999999999999</v>
      </c>
      <c r="AA2295" s="8">
        <v>1.071</v>
      </c>
      <c r="AB2295" s="8">
        <v>0.38500000000000001</v>
      </c>
      <c r="AC2295" s="8">
        <v>6.8000000000000005E-2</v>
      </c>
    </row>
    <row r="2296" spans="1:29" ht="11.65" hidden="1" x14ac:dyDescent="0.35">
      <c r="A2296" s="12">
        <v>2279</v>
      </c>
      <c r="B2296" s="10" t="s">
        <v>1015</v>
      </c>
      <c r="C2296" s="11" t="s">
        <v>1175</v>
      </c>
      <c r="D2296" s="9"/>
      <c r="E2296" s="9">
        <v>52</v>
      </c>
      <c r="F2296" s="10" t="s">
        <v>1066</v>
      </c>
      <c r="G2296" s="9">
        <v>915</v>
      </c>
      <c r="H2296" s="9">
        <v>2015</v>
      </c>
      <c r="I2296" s="8">
        <v>7.6420000000000003</v>
      </c>
      <c r="J2296" s="8">
        <v>8.6379999999999999</v>
      </c>
      <c r="K2296" s="8">
        <v>9.2569999999999997</v>
      </c>
      <c r="L2296" s="8">
        <v>9.2929999999999993</v>
      </c>
      <c r="M2296" s="8">
        <v>9.468</v>
      </c>
      <c r="N2296" s="8">
        <v>9.1460000000000008</v>
      </c>
      <c r="O2296" s="8">
        <v>9.8170000000000002</v>
      </c>
      <c r="P2296" s="8">
        <v>9.6679999999999993</v>
      </c>
      <c r="Q2296" s="8">
        <v>10.647</v>
      </c>
      <c r="R2296" s="8">
        <v>10.432</v>
      </c>
      <c r="S2296" s="8">
        <v>11.153</v>
      </c>
      <c r="T2296" s="8">
        <v>10.39</v>
      </c>
      <c r="U2296" s="8">
        <v>8.4930000000000003</v>
      </c>
      <c r="V2296" s="8">
        <v>6.8559999999999999</v>
      </c>
      <c r="W2296" s="8">
        <v>5.2690000000000001</v>
      </c>
      <c r="X2296" s="8">
        <v>4.3470000000000004</v>
      </c>
      <c r="Y2296" s="8">
        <v>3.2879999999999998</v>
      </c>
      <c r="Z2296" s="8">
        <v>2.3420000000000001</v>
      </c>
      <c r="AA2296" s="8">
        <v>1.1279999999999999</v>
      </c>
      <c r="AB2296" s="8">
        <v>0.40400000000000003</v>
      </c>
      <c r="AC2296" s="8">
        <v>0.10100000000000001</v>
      </c>
    </row>
    <row r="2297" spans="1:29" ht="11.65" hidden="1" x14ac:dyDescent="0.35">
      <c r="A2297" s="12">
        <v>2280</v>
      </c>
      <c r="B2297" s="10" t="s">
        <v>1015</v>
      </c>
      <c r="C2297" s="11" t="s">
        <v>1175</v>
      </c>
      <c r="D2297" s="9"/>
      <c r="E2297" s="9">
        <v>52</v>
      </c>
      <c r="F2297" s="10" t="s">
        <v>1066</v>
      </c>
      <c r="G2297" s="9">
        <v>915</v>
      </c>
      <c r="H2297" s="9">
        <v>2020</v>
      </c>
      <c r="I2297" s="8">
        <v>7.4340000000000002</v>
      </c>
      <c r="J2297" s="8">
        <v>7.6230000000000002</v>
      </c>
      <c r="K2297" s="8">
        <v>8.6240000000000006</v>
      </c>
      <c r="L2297" s="8">
        <v>9.218</v>
      </c>
      <c r="M2297" s="8">
        <v>9.23</v>
      </c>
      <c r="N2297" s="8">
        <v>9.4019999999999992</v>
      </c>
      <c r="O2297" s="8">
        <v>9.0860000000000003</v>
      </c>
      <c r="P2297" s="8">
        <v>9.7490000000000006</v>
      </c>
      <c r="Q2297" s="8">
        <v>9.5839999999999996</v>
      </c>
      <c r="R2297" s="8">
        <v>10.515000000000001</v>
      </c>
      <c r="S2297" s="8">
        <v>10.241</v>
      </c>
      <c r="T2297" s="8">
        <v>10.848000000000001</v>
      </c>
      <c r="U2297" s="8">
        <v>10</v>
      </c>
      <c r="V2297" s="8">
        <v>8.093</v>
      </c>
      <c r="W2297" s="8">
        <v>6.407</v>
      </c>
      <c r="X2297" s="8">
        <v>4.6890000000000001</v>
      </c>
      <c r="Y2297" s="8">
        <v>3.508</v>
      </c>
      <c r="Z2297" s="8">
        <v>2.2519999999999998</v>
      </c>
      <c r="AA2297" s="8">
        <v>1.248</v>
      </c>
      <c r="AB2297" s="8">
        <v>0.42499999999999999</v>
      </c>
      <c r="AC2297" s="8">
        <v>0.111</v>
      </c>
    </row>
    <row r="2298" spans="1:29" ht="11.65" hidden="1" x14ac:dyDescent="0.35">
      <c r="A2298" s="12">
        <v>2281</v>
      </c>
      <c r="B2298" s="10" t="s">
        <v>1015</v>
      </c>
      <c r="C2298" s="11" t="s">
        <v>1176</v>
      </c>
      <c r="D2298" s="9"/>
      <c r="E2298" s="9">
        <v>192</v>
      </c>
      <c r="F2298" s="10" t="s">
        <v>1066</v>
      </c>
      <c r="G2298" s="9">
        <v>915</v>
      </c>
      <c r="H2298" s="9">
        <v>1950</v>
      </c>
      <c r="I2298" s="8">
        <v>378.71899999999999</v>
      </c>
      <c r="J2298" s="8">
        <v>351.01499999999999</v>
      </c>
      <c r="K2298" s="8">
        <v>325.32900000000001</v>
      </c>
      <c r="L2298" s="8">
        <v>282.30900000000003</v>
      </c>
      <c r="M2298" s="8">
        <v>252.08199999999999</v>
      </c>
      <c r="N2298" s="8">
        <v>224.691</v>
      </c>
      <c r="O2298" s="8">
        <v>204.55500000000001</v>
      </c>
      <c r="P2298" s="8">
        <v>192.62</v>
      </c>
      <c r="Q2298" s="8">
        <v>166.304</v>
      </c>
      <c r="R2298" s="8">
        <v>136.33699999999999</v>
      </c>
      <c r="S2298" s="8">
        <v>93.468000000000004</v>
      </c>
      <c r="T2298" s="8">
        <v>69.2</v>
      </c>
      <c r="U2298" s="8">
        <v>66.506</v>
      </c>
      <c r="V2298" s="8">
        <v>47.661000000000001</v>
      </c>
      <c r="W2298" s="8">
        <v>32.832000000000001</v>
      </c>
      <c r="X2298" s="8">
        <v>19.846</v>
      </c>
      <c r="Y2298" s="8">
        <v>11.250999999999999</v>
      </c>
      <c r="Z2298" s="8">
        <v>5.49</v>
      </c>
      <c r="AA2298" s="8">
        <v>2.0190000000000001</v>
      </c>
      <c r="AB2298" s="8">
        <v>0.52600000000000002</v>
      </c>
      <c r="AC2298" s="8">
        <v>0.105</v>
      </c>
    </row>
    <row r="2299" spans="1:29" ht="11.65" hidden="1" x14ac:dyDescent="0.35">
      <c r="A2299" s="12">
        <v>2282</v>
      </c>
      <c r="B2299" s="10" t="s">
        <v>1015</v>
      </c>
      <c r="C2299" s="11" t="s">
        <v>1176</v>
      </c>
      <c r="D2299" s="9"/>
      <c r="E2299" s="9">
        <v>192</v>
      </c>
      <c r="F2299" s="10" t="s">
        <v>1066</v>
      </c>
      <c r="G2299" s="9">
        <v>915</v>
      </c>
      <c r="H2299" s="9">
        <v>1955</v>
      </c>
      <c r="I2299" s="8">
        <v>438.49599999999998</v>
      </c>
      <c r="J2299" s="8">
        <v>367.858</v>
      </c>
      <c r="K2299" s="8">
        <v>347.35399999999998</v>
      </c>
      <c r="L2299" s="8">
        <v>321.26600000000002</v>
      </c>
      <c r="M2299" s="8">
        <v>277.13</v>
      </c>
      <c r="N2299" s="8">
        <v>246.541</v>
      </c>
      <c r="O2299" s="8">
        <v>219.148</v>
      </c>
      <c r="P2299" s="8">
        <v>198.809</v>
      </c>
      <c r="Q2299" s="8">
        <v>186.43600000000001</v>
      </c>
      <c r="R2299" s="8">
        <v>160.26499999999999</v>
      </c>
      <c r="S2299" s="8">
        <v>130.136</v>
      </c>
      <c r="T2299" s="8">
        <v>88.25</v>
      </c>
      <c r="U2299" s="8">
        <v>64.230999999999995</v>
      </c>
      <c r="V2299" s="8">
        <v>59.204000000000001</v>
      </c>
      <c r="W2299" s="8">
        <v>38.340000000000003</v>
      </c>
      <c r="X2299" s="8">
        <v>21.294</v>
      </c>
      <c r="Y2299" s="8">
        <v>9.7669999999999995</v>
      </c>
      <c r="Z2299" s="8">
        <v>4.6360000000000001</v>
      </c>
      <c r="AA2299" s="8">
        <v>1.696</v>
      </c>
      <c r="AB2299" s="8">
        <v>0.45400000000000001</v>
      </c>
      <c r="AC2299" s="8">
        <v>9.8000000000000004E-2</v>
      </c>
    </row>
    <row r="2300" spans="1:29" ht="11.65" hidden="1" x14ac:dyDescent="0.35">
      <c r="A2300" s="12">
        <v>2283</v>
      </c>
      <c r="B2300" s="10" t="s">
        <v>1015</v>
      </c>
      <c r="C2300" s="11" t="s">
        <v>1176</v>
      </c>
      <c r="D2300" s="9"/>
      <c r="E2300" s="9">
        <v>192</v>
      </c>
      <c r="F2300" s="10" t="s">
        <v>1066</v>
      </c>
      <c r="G2300" s="9">
        <v>915</v>
      </c>
      <c r="H2300" s="9">
        <v>1960</v>
      </c>
      <c r="I2300" s="8">
        <v>437.214</v>
      </c>
      <c r="J2300" s="8">
        <v>428.36500000000001</v>
      </c>
      <c r="K2300" s="8">
        <v>364.03699999999998</v>
      </c>
      <c r="L2300" s="8">
        <v>342.63</v>
      </c>
      <c r="M2300" s="8">
        <v>315.06900000000002</v>
      </c>
      <c r="N2300" s="8">
        <v>270.68400000000003</v>
      </c>
      <c r="O2300" s="8">
        <v>240.15199999999999</v>
      </c>
      <c r="P2300" s="8">
        <v>212.762</v>
      </c>
      <c r="Q2300" s="8">
        <v>192.24199999999999</v>
      </c>
      <c r="R2300" s="8">
        <v>179.83099999999999</v>
      </c>
      <c r="S2300" s="8">
        <v>153.273</v>
      </c>
      <c r="T2300" s="8">
        <v>123.52</v>
      </c>
      <c r="U2300" s="8">
        <v>82.447000000000003</v>
      </c>
      <c r="V2300" s="8">
        <v>57.701999999999998</v>
      </c>
      <c r="W2300" s="8">
        <v>48.722999999999999</v>
      </c>
      <c r="X2300" s="8">
        <v>26.39</v>
      </c>
      <c r="Y2300" s="8">
        <v>11.531000000000001</v>
      </c>
      <c r="Z2300" s="8">
        <v>4.258</v>
      </c>
      <c r="AA2300" s="8">
        <v>1.494</v>
      </c>
      <c r="AB2300" s="8">
        <v>0.39200000000000002</v>
      </c>
      <c r="AC2300" s="8">
        <v>8.5000000000000006E-2</v>
      </c>
    </row>
    <row r="2301" spans="1:29" ht="11.65" hidden="1" x14ac:dyDescent="0.35">
      <c r="A2301" s="12">
        <v>2284</v>
      </c>
      <c r="B2301" s="10" t="s">
        <v>1015</v>
      </c>
      <c r="C2301" s="11" t="s">
        <v>1176</v>
      </c>
      <c r="D2301" s="9"/>
      <c r="E2301" s="9">
        <v>192</v>
      </c>
      <c r="F2301" s="10" t="s">
        <v>1066</v>
      </c>
      <c r="G2301" s="9">
        <v>915</v>
      </c>
      <c r="H2301" s="9">
        <v>1965</v>
      </c>
      <c r="I2301" s="8">
        <v>606.255</v>
      </c>
      <c r="J2301" s="8">
        <v>422.34699999999998</v>
      </c>
      <c r="K2301" s="8">
        <v>413.423</v>
      </c>
      <c r="L2301" s="8">
        <v>360.98399999999998</v>
      </c>
      <c r="M2301" s="8">
        <v>337.34699999999998</v>
      </c>
      <c r="N2301" s="8">
        <v>297.07400000000001</v>
      </c>
      <c r="O2301" s="8">
        <v>254.233</v>
      </c>
      <c r="P2301" s="8">
        <v>224.44499999999999</v>
      </c>
      <c r="Q2301" s="8">
        <v>199.66200000000001</v>
      </c>
      <c r="R2301" s="8">
        <v>181.07499999999999</v>
      </c>
      <c r="S2301" s="8">
        <v>168.56</v>
      </c>
      <c r="T2301" s="8">
        <v>144.928</v>
      </c>
      <c r="U2301" s="8">
        <v>116.116</v>
      </c>
      <c r="V2301" s="8">
        <v>74.707999999999998</v>
      </c>
      <c r="W2301" s="8">
        <v>48.503999999999998</v>
      </c>
      <c r="X2301" s="8">
        <v>35.404000000000003</v>
      </c>
      <c r="Y2301" s="8">
        <v>15.522</v>
      </c>
      <c r="Z2301" s="8">
        <v>5.3049999999999997</v>
      </c>
      <c r="AA2301" s="8">
        <v>1.43</v>
      </c>
      <c r="AB2301" s="8">
        <v>0.35099999999999998</v>
      </c>
      <c r="AC2301" s="8">
        <v>7.2999999999999995E-2</v>
      </c>
    </row>
    <row r="2302" spans="1:29" ht="11.65" hidden="1" x14ac:dyDescent="0.35">
      <c r="A2302" s="12">
        <v>2285</v>
      </c>
      <c r="B2302" s="10" t="s">
        <v>1015</v>
      </c>
      <c r="C2302" s="11" t="s">
        <v>1176</v>
      </c>
      <c r="D2302" s="9"/>
      <c r="E2302" s="9">
        <v>192</v>
      </c>
      <c r="F2302" s="10" t="s">
        <v>1066</v>
      </c>
      <c r="G2302" s="9">
        <v>915</v>
      </c>
      <c r="H2302" s="9">
        <v>1970</v>
      </c>
      <c r="I2302" s="8">
        <v>600.38499999999999</v>
      </c>
      <c r="J2302" s="8">
        <v>593.78</v>
      </c>
      <c r="K2302" s="8">
        <v>406.33600000000001</v>
      </c>
      <c r="L2302" s="8">
        <v>409.99200000000002</v>
      </c>
      <c r="M2302" s="8">
        <v>357.87099999999998</v>
      </c>
      <c r="N2302" s="8">
        <v>329.404</v>
      </c>
      <c r="O2302" s="8">
        <v>279.80799999999999</v>
      </c>
      <c r="P2302" s="8">
        <v>231.63200000000001</v>
      </c>
      <c r="Q2302" s="8">
        <v>210.17599999999999</v>
      </c>
      <c r="R2302" s="8">
        <v>187.071</v>
      </c>
      <c r="S2302" s="8">
        <v>168.846</v>
      </c>
      <c r="T2302" s="8">
        <v>159.90600000000001</v>
      </c>
      <c r="U2302" s="8">
        <v>137.06399999999999</v>
      </c>
      <c r="V2302" s="8">
        <v>106.102</v>
      </c>
      <c r="W2302" s="8">
        <v>64.100999999999999</v>
      </c>
      <c r="X2302" s="8">
        <v>37.093000000000004</v>
      </c>
      <c r="Y2302" s="8">
        <v>22.439</v>
      </c>
      <c r="Z2302" s="8">
        <v>7.52</v>
      </c>
      <c r="AA2302" s="8">
        <v>1.8460000000000001</v>
      </c>
      <c r="AB2302" s="8">
        <v>0.34100000000000003</v>
      </c>
      <c r="AC2302" s="8">
        <v>6.4000000000000001E-2</v>
      </c>
    </row>
    <row r="2303" spans="1:29" ht="11.65" hidden="1" x14ac:dyDescent="0.35">
      <c r="A2303" s="12">
        <v>2286</v>
      </c>
      <c r="B2303" s="10" t="s">
        <v>1015</v>
      </c>
      <c r="C2303" s="11" t="s">
        <v>1176</v>
      </c>
      <c r="D2303" s="9"/>
      <c r="E2303" s="9">
        <v>192</v>
      </c>
      <c r="F2303" s="10" t="s">
        <v>1066</v>
      </c>
      <c r="G2303" s="9">
        <v>915</v>
      </c>
      <c r="H2303" s="9">
        <v>1975</v>
      </c>
      <c r="I2303" s="8">
        <v>560.601</v>
      </c>
      <c r="J2303" s="8">
        <v>592.15099999999995</v>
      </c>
      <c r="K2303" s="8">
        <v>587.05700000000002</v>
      </c>
      <c r="L2303" s="8">
        <v>396.80900000000003</v>
      </c>
      <c r="M2303" s="8">
        <v>397.53500000000003</v>
      </c>
      <c r="N2303" s="8">
        <v>345.02499999999998</v>
      </c>
      <c r="O2303" s="8">
        <v>316.98200000000003</v>
      </c>
      <c r="P2303" s="8">
        <v>268.14299999999997</v>
      </c>
      <c r="Q2303" s="8">
        <v>220.57499999999999</v>
      </c>
      <c r="R2303" s="8">
        <v>200.65600000000001</v>
      </c>
      <c r="S2303" s="8">
        <v>177.57</v>
      </c>
      <c r="T2303" s="8">
        <v>161.55500000000001</v>
      </c>
      <c r="U2303" s="8">
        <v>151.78800000000001</v>
      </c>
      <c r="V2303" s="8">
        <v>126.005</v>
      </c>
      <c r="W2303" s="8">
        <v>92.712000000000003</v>
      </c>
      <c r="X2303" s="8">
        <v>51.277000000000001</v>
      </c>
      <c r="Y2303" s="8">
        <v>25.216000000000001</v>
      </c>
      <c r="Z2303" s="8">
        <v>11.680999999999999</v>
      </c>
      <c r="AA2303" s="8">
        <v>2.8290000000000002</v>
      </c>
      <c r="AB2303" s="8">
        <v>0.47499999999999998</v>
      </c>
      <c r="AC2303" s="8">
        <v>6.5000000000000002E-2</v>
      </c>
    </row>
    <row r="2304" spans="1:29" ht="11.65" hidden="1" x14ac:dyDescent="0.35">
      <c r="A2304" s="12">
        <v>2287</v>
      </c>
      <c r="B2304" s="10" t="s">
        <v>1015</v>
      </c>
      <c r="C2304" s="11" t="s">
        <v>1176</v>
      </c>
      <c r="D2304" s="9"/>
      <c r="E2304" s="9">
        <v>192</v>
      </c>
      <c r="F2304" s="10" t="s">
        <v>1066</v>
      </c>
      <c r="G2304" s="9">
        <v>915</v>
      </c>
      <c r="H2304" s="9">
        <v>1980</v>
      </c>
      <c r="I2304" s="8">
        <v>394.83600000000001</v>
      </c>
      <c r="J2304" s="8">
        <v>553.63199999999995</v>
      </c>
      <c r="K2304" s="8">
        <v>586.13800000000003</v>
      </c>
      <c r="L2304" s="8">
        <v>577.83699999999999</v>
      </c>
      <c r="M2304" s="8">
        <v>385.48200000000003</v>
      </c>
      <c r="N2304" s="8">
        <v>385.69299999999998</v>
      </c>
      <c r="O2304" s="8">
        <v>333.85500000000002</v>
      </c>
      <c r="P2304" s="8">
        <v>306.375</v>
      </c>
      <c r="Q2304" s="8">
        <v>257.92200000000003</v>
      </c>
      <c r="R2304" s="8">
        <v>211.78899999999999</v>
      </c>
      <c r="S2304" s="8">
        <v>191.64400000000001</v>
      </c>
      <c r="T2304" s="8">
        <v>170.47300000000001</v>
      </c>
      <c r="U2304" s="8">
        <v>153.60300000000001</v>
      </c>
      <c r="V2304" s="8">
        <v>140.07499999999999</v>
      </c>
      <c r="W2304" s="8">
        <v>111.682</v>
      </c>
      <c r="X2304" s="8">
        <v>76.766999999999996</v>
      </c>
      <c r="Y2304" s="8">
        <v>37.03</v>
      </c>
      <c r="Z2304" s="8">
        <v>14.32</v>
      </c>
      <c r="AA2304" s="8">
        <v>4.9359999999999999</v>
      </c>
      <c r="AB2304" s="8">
        <v>0.83799999999999997</v>
      </c>
      <c r="AC2304" s="8">
        <v>0.10100000000000001</v>
      </c>
    </row>
    <row r="2305" spans="1:29" ht="11.65" hidden="1" x14ac:dyDescent="0.35">
      <c r="A2305" s="12">
        <v>2288</v>
      </c>
      <c r="B2305" s="10" t="s">
        <v>1015</v>
      </c>
      <c r="C2305" s="11" t="s">
        <v>1176</v>
      </c>
      <c r="D2305" s="9"/>
      <c r="E2305" s="9">
        <v>192</v>
      </c>
      <c r="F2305" s="10" t="s">
        <v>1066</v>
      </c>
      <c r="G2305" s="9">
        <v>915</v>
      </c>
      <c r="H2305" s="9">
        <v>1985</v>
      </c>
      <c r="I2305" s="8">
        <v>383.82400000000001</v>
      </c>
      <c r="J2305" s="8">
        <v>386.47199999999998</v>
      </c>
      <c r="K2305" s="8">
        <v>545.66999999999996</v>
      </c>
      <c r="L2305" s="8">
        <v>573.50199999999995</v>
      </c>
      <c r="M2305" s="8">
        <v>560.77099999999996</v>
      </c>
      <c r="N2305" s="8">
        <v>368.58300000000003</v>
      </c>
      <c r="O2305" s="8">
        <v>369.61</v>
      </c>
      <c r="P2305" s="8">
        <v>319.08800000000002</v>
      </c>
      <c r="Q2305" s="8">
        <v>292.29300000000001</v>
      </c>
      <c r="R2305" s="8">
        <v>246.19200000000001</v>
      </c>
      <c r="S2305" s="8">
        <v>200.53299999999999</v>
      </c>
      <c r="T2305" s="8">
        <v>183.667</v>
      </c>
      <c r="U2305" s="8">
        <v>162.46600000000001</v>
      </c>
      <c r="V2305" s="8">
        <v>142.40899999999999</v>
      </c>
      <c r="W2305" s="8">
        <v>124.872</v>
      </c>
      <c r="X2305" s="8">
        <v>93.191000000000003</v>
      </c>
      <c r="Y2305" s="8">
        <v>56.19</v>
      </c>
      <c r="Z2305" s="8">
        <v>21.495999999999999</v>
      </c>
      <c r="AA2305" s="8">
        <v>6.2380000000000004</v>
      </c>
      <c r="AB2305" s="8">
        <v>1.5189999999999999</v>
      </c>
      <c r="AC2305" s="8">
        <v>0.182</v>
      </c>
    </row>
    <row r="2306" spans="1:29" ht="11.65" hidden="1" x14ac:dyDescent="0.35">
      <c r="A2306" s="12">
        <v>2289</v>
      </c>
      <c r="B2306" s="10" t="s">
        <v>1015</v>
      </c>
      <c r="C2306" s="11" t="s">
        <v>1176</v>
      </c>
      <c r="D2306" s="9"/>
      <c r="E2306" s="9">
        <v>192</v>
      </c>
      <c r="F2306" s="10" t="s">
        <v>1066</v>
      </c>
      <c r="G2306" s="9">
        <v>915</v>
      </c>
      <c r="H2306" s="9">
        <v>1990</v>
      </c>
      <c r="I2306" s="8">
        <v>437.26100000000002</v>
      </c>
      <c r="J2306" s="8">
        <v>380.47399999999999</v>
      </c>
      <c r="K2306" s="8">
        <v>383.66800000000001</v>
      </c>
      <c r="L2306" s="8">
        <v>540.64499999999998</v>
      </c>
      <c r="M2306" s="8">
        <v>566.23500000000001</v>
      </c>
      <c r="N2306" s="8">
        <v>553.21</v>
      </c>
      <c r="O2306" s="8">
        <v>362.18599999999998</v>
      </c>
      <c r="P2306" s="8">
        <v>363.29899999999998</v>
      </c>
      <c r="Q2306" s="8">
        <v>312.69799999999998</v>
      </c>
      <c r="R2306" s="8">
        <v>285.84100000000001</v>
      </c>
      <c r="S2306" s="8">
        <v>239.16300000000001</v>
      </c>
      <c r="T2306" s="8">
        <v>193.96700000000001</v>
      </c>
      <c r="U2306" s="8">
        <v>175.208</v>
      </c>
      <c r="V2306" s="8">
        <v>150.83600000000001</v>
      </c>
      <c r="W2306" s="8">
        <v>127.155</v>
      </c>
      <c r="X2306" s="8">
        <v>104.407</v>
      </c>
      <c r="Y2306" s="8">
        <v>68.558999999999997</v>
      </c>
      <c r="Z2306" s="8">
        <v>32.997999999999998</v>
      </c>
      <c r="AA2306" s="8">
        <v>9.5470000000000006</v>
      </c>
      <c r="AB2306" s="8">
        <v>1.972</v>
      </c>
      <c r="AC2306" s="8">
        <v>0.34200000000000003</v>
      </c>
    </row>
    <row r="2307" spans="1:29" ht="11.65" hidden="1" x14ac:dyDescent="0.35">
      <c r="A2307" s="12">
        <v>2290</v>
      </c>
      <c r="B2307" s="10" t="s">
        <v>1015</v>
      </c>
      <c r="C2307" s="11" t="s">
        <v>1176</v>
      </c>
      <c r="D2307" s="9"/>
      <c r="E2307" s="9">
        <v>192</v>
      </c>
      <c r="F2307" s="10" t="s">
        <v>1066</v>
      </c>
      <c r="G2307" s="9">
        <v>915</v>
      </c>
      <c r="H2307" s="9">
        <v>1995</v>
      </c>
      <c r="I2307" s="8">
        <v>379.65600000000001</v>
      </c>
      <c r="J2307" s="8">
        <v>432.678</v>
      </c>
      <c r="K2307" s="8">
        <v>376.65100000000001</v>
      </c>
      <c r="L2307" s="8">
        <v>377.17399999999998</v>
      </c>
      <c r="M2307" s="8">
        <v>530.64</v>
      </c>
      <c r="N2307" s="8">
        <v>555.69899999999996</v>
      </c>
      <c r="O2307" s="8">
        <v>543.35400000000004</v>
      </c>
      <c r="P2307" s="8">
        <v>353.77600000000001</v>
      </c>
      <c r="Q2307" s="8">
        <v>354.69600000000003</v>
      </c>
      <c r="R2307" s="8">
        <v>304.70299999999997</v>
      </c>
      <c r="S2307" s="8">
        <v>276.96300000000002</v>
      </c>
      <c r="T2307" s="8">
        <v>231.12</v>
      </c>
      <c r="U2307" s="8">
        <v>184.917</v>
      </c>
      <c r="V2307" s="8">
        <v>162.55000000000001</v>
      </c>
      <c r="W2307" s="8">
        <v>134.571</v>
      </c>
      <c r="X2307" s="8">
        <v>106.221</v>
      </c>
      <c r="Y2307" s="8">
        <v>76.796000000000006</v>
      </c>
      <c r="Z2307" s="8">
        <v>40.375999999999998</v>
      </c>
      <c r="AA2307" s="8">
        <v>14.744999999999999</v>
      </c>
      <c r="AB2307" s="8">
        <v>3.05</v>
      </c>
      <c r="AC2307" s="8">
        <v>0.47099999999999997</v>
      </c>
    </row>
    <row r="2308" spans="1:29" ht="11.65" hidden="1" x14ac:dyDescent="0.35">
      <c r="A2308" s="12">
        <v>2291</v>
      </c>
      <c r="B2308" s="10" t="s">
        <v>1015</v>
      </c>
      <c r="C2308" s="11" t="s">
        <v>1176</v>
      </c>
      <c r="D2308" s="9"/>
      <c r="E2308" s="9">
        <v>192</v>
      </c>
      <c r="F2308" s="10" t="s">
        <v>1066</v>
      </c>
      <c r="G2308" s="9">
        <v>915</v>
      </c>
      <c r="H2308" s="9">
        <v>2000</v>
      </c>
      <c r="I2308" s="8">
        <v>365.97500000000002</v>
      </c>
      <c r="J2308" s="8">
        <v>376.59699999999998</v>
      </c>
      <c r="K2308" s="8">
        <v>429.15699999999998</v>
      </c>
      <c r="L2308" s="8">
        <v>369.452</v>
      </c>
      <c r="M2308" s="8">
        <v>366.44799999999998</v>
      </c>
      <c r="N2308" s="8">
        <v>520.18399999999997</v>
      </c>
      <c r="O2308" s="8">
        <v>547.03399999999999</v>
      </c>
      <c r="P2308" s="8">
        <v>536.42999999999995</v>
      </c>
      <c r="Q2308" s="8">
        <v>348.322</v>
      </c>
      <c r="R2308" s="8">
        <v>348.62700000000001</v>
      </c>
      <c r="S2308" s="8">
        <v>297.875</v>
      </c>
      <c r="T2308" s="8">
        <v>268.66399999999999</v>
      </c>
      <c r="U2308" s="8">
        <v>220.983</v>
      </c>
      <c r="V2308" s="8">
        <v>172.66399999999999</v>
      </c>
      <c r="W2308" s="8">
        <v>146.279</v>
      </c>
      <c r="X2308" s="8">
        <v>113.943</v>
      </c>
      <c r="Y2308" s="8">
        <v>79.787999999999997</v>
      </c>
      <c r="Z2308" s="8">
        <v>46.539000000000001</v>
      </c>
      <c r="AA2308" s="8">
        <v>18.704999999999998</v>
      </c>
      <c r="AB2308" s="8">
        <v>4.9119999999999999</v>
      </c>
      <c r="AC2308" s="8">
        <v>0.747</v>
      </c>
    </row>
    <row r="2309" spans="1:29" ht="11.65" hidden="1" x14ac:dyDescent="0.35">
      <c r="A2309" s="12">
        <v>2292</v>
      </c>
      <c r="B2309" s="10" t="s">
        <v>1015</v>
      </c>
      <c r="C2309" s="11" t="s">
        <v>1176</v>
      </c>
      <c r="D2309" s="9"/>
      <c r="E2309" s="9">
        <v>192</v>
      </c>
      <c r="F2309" s="10" t="s">
        <v>1066</v>
      </c>
      <c r="G2309" s="9">
        <v>915</v>
      </c>
      <c r="H2309" s="9">
        <v>2005</v>
      </c>
      <c r="I2309" s="8">
        <v>326.81400000000002</v>
      </c>
      <c r="J2309" s="8">
        <v>360.93700000000001</v>
      </c>
      <c r="K2309" s="8">
        <v>361.738</v>
      </c>
      <c r="L2309" s="8">
        <v>416.721</v>
      </c>
      <c r="M2309" s="8">
        <v>358.68299999999999</v>
      </c>
      <c r="N2309" s="8">
        <v>356.54599999999999</v>
      </c>
      <c r="O2309" s="8">
        <v>511.70100000000002</v>
      </c>
      <c r="P2309" s="8">
        <v>540.226</v>
      </c>
      <c r="Q2309" s="8">
        <v>529.774</v>
      </c>
      <c r="R2309" s="8">
        <v>342.541</v>
      </c>
      <c r="S2309" s="8">
        <v>341.33300000000003</v>
      </c>
      <c r="T2309" s="8">
        <v>289.37599999999998</v>
      </c>
      <c r="U2309" s="8">
        <v>257.63299999999998</v>
      </c>
      <c r="V2309" s="8">
        <v>207.38800000000001</v>
      </c>
      <c r="W2309" s="8">
        <v>156.376</v>
      </c>
      <c r="X2309" s="8">
        <v>124.883</v>
      </c>
      <c r="Y2309" s="8">
        <v>86.712999999999994</v>
      </c>
      <c r="Z2309" s="8">
        <v>49.262</v>
      </c>
      <c r="AA2309" s="8">
        <v>22.082000000000001</v>
      </c>
      <c r="AB2309" s="8">
        <v>6.41</v>
      </c>
      <c r="AC2309" s="8">
        <v>1.234</v>
      </c>
    </row>
    <row r="2310" spans="1:29" ht="11.65" hidden="1" x14ac:dyDescent="0.35">
      <c r="A2310" s="12">
        <v>2293</v>
      </c>
      <c r="B2310" s="10" t="s">
        <v>1015</v>
      </c>
      <c r="C2310" s="11" t="s">
        <v>1176</v>
      </c>
      <c r="D2310" s="9"/>
      <c r="E2310" s="9">
        <v>192</v>
      </c>
      <c r="F2310" s="10" t="s">
        <v>1066</v>
      </c>
      <c r="G2310" s="9">
        <v>915</v>
      </c>
      <c r="H2310" s="9">
        <v>2010</v>
      </c>
      <c r="I2310" s="8">
        <v>295.99</v>
      </c>
      <c r="J2310" s="8">
        <v>319.81200000000001</v>
      </c>
      <c r="K2310" s="8">
        <v>352.1</v>
      </c>
      <c r="L2310" s="8">
        <v>356.82600000000002</v>
      </c>
      <c r="M2310" s="8">
        <v>415.202</v>
      </c>
      <c r="N2310" s="8">
        <v>348.75</v>
      </c>
      <c r="O2310" s="8">
        <v>322.08199999999999</v>
      </c>
      <c r="P2310" s="8">
        <v>488.31599999999997</v>
      </c>
      <c r="Q2310" s="8">
        <v>523.34199999999998</v>
      </c>
      <c r="R2310" s="8">
        <v>519.12400000000002</v>
      </c>
      <c r="S2310" s="8">
        <v>335.40199999999999</v>
      </c>
      <c r="T2310" s="8">
        <v>331.98700000000002</v>
      </c>
      <c r="U2310" s="8">
        <v>277.58600000000001</v>
      </c>
      <c r="V2310" s="8">
        <v>241.81899999999999</v>
      </c>
      <c r="W2310" s="8">
        <v>188.839</v>
      </c>
      <c r="X2310" s="8">
        <v>135.56399999999999</v>
      </c>
      <c r="Y2310" s="8">
        <v>97.47</v>
      </c>
      <c r="Z2310" s="8">
        <v>56.847000000000001</v>
      </c>
      <c r="AA2310" s="8">
        <v>25.529</v>
      </c>
      <c r="AB2310" s="8">
        <v>8.343</v>
      </c>
      <c r="AC2310" s="8">
        <v>1.2849999999999999</v>
      </c>
    </row>
    <row r="2311" spans="1:29" ht="11.65" hidden="1" x14ac:dyDescent="0.35">
      <c r="A2311" s="12">
        <v>2294</v>
      </c>
      <c r="B2311" s="10" t="s">
        <v>1015</v>
      </c>
      <c r="C2311" s="11" t="s">
        <v>1176</v>
      </c>
      <c r="D2311" s="9"/>
      <c r="E2311" s="9">
        <v>192</v>
      </c>
      <c r="F2311" s="10" t="s">
        <v>1066</v>
      </c>
      <c r="G2311" s="9">
        <v>915</v>
      </c>
      <c r="H2311" s="9">
        <v>2015</v>
      </c>
      <c r="I2311" s="8">
        <v>306.67</v>
      </c>
      <c r="J2311" s="8">
        <v>294.41800000000001</v>
      </c>
      <c r="K2311" s="8">
        <v>316.73899999999998</v>
      </c>
      <c r="L2311" s="8">
        <v>348.96499999999997</v>
      </c>
      <c r="M2311" s="8">
        <v>354.71800000000002</v>
      </c>
      <c r="N2311" s="8">
        <v>413.58100000000002</v>
      </c>
      <c r="O2311" s="8">
        <v>344.41699999999997</v>
      </c>
      <c r="P2311" s="8">
        <v>308.67</v>
      </c>
      <c r="Q2311" s="8">
        <v>476.05</v>
      </c>
      <c r="R2311" s="8">
        <v>517.38800000000003</v>
      </c>
      <c r="S2311" s="8">
        <v>510.55399999999997</v>
      </c>
      <c r="T2311" s="8">
        <v>327.05</v>
      </c>
      <c r="U2311" s="8">
        <v>319.286</v>
      </c>
      <c r="V2311" s="8">
        <v>261.18</v>
      </c>
      <c r="W2311" s="8">
        <v>220.83199999999999</v>
      </c>
      <c r="X2311" s="8">
        <v>164.357</v>
      </c>
      <c r="Y2311" s="8">
        <v>106.482</v>
      </c>
      <c r="Z2311" s="8">
        <v>64.465000000000003</v>
      </c>
      <c r="AA2311" s="8">
        <v>29.800999999999998</v>
      </c>
      <c r="AB2311" s="8">
        <v>9.77</v>
      </c>
      <c r="AC2311" s="8">
        <v>1.6339999999999999</v>
      </c>
    </row>
    <row r="2312" spans="1:29" ht="11.65" hidden="1" x14ac:dyDescent="0.35">
      <c r="A2312" s="12">
        <v>2295</v>
      </c>
      <c r="B2312" s="10" t="s">
        <v>1015</v>
      </c>
      <c r="C2312" s="11" t="s">
        <v>1176</v>
      </c>
      <c r="D2312" s="9"/>
      <c r="E2312" s="9">
        <v>192</v>
      </c>
      <c r="F2312" s="10" t="s">
        <v>1066</v>
      </c>
      <c r="G2312" s="9">
        <v>915</v>
      </c>
      <c r="H2312" s="9">
        <v>2020</v>
      </c>
      <c r="I2312" s="8">
        <v>277.78300000000002</v>
      </c>
      <c r="J2312" s="8">
        <v>305.43299999999999</v>
      </c>
      <c r="K2312" s="8">
        <v>293.42200000000003</v>
      </c>
      <c r="L2312" s="8">
        <v>312.22500000000002</v>
      </c>
      <c r="M2312" s="8">
        <v>341.084</v>
      </c>
      <c r="N2312" s="8">
        <v>347.27199999999999</v>
      </c>
      <c r="O2312" s="8">
        <v>407.71</v>
      </c>
      <c r="P2312" s="8">
        <v>340.04300000000001</v>
      </c>
      <c r="Q2312" s="8">
        <v>304.96300000000002</v>
      </c>
      <c r="R2312" s="8">
        <v>470.45299999999997</v>
      </c>
      <c r="S2312" s="8">
        <v>508.99</v>
      </c>
      <c r="T2312" s="8">
        <v>498.36799999999999</v>
      </c>
      <c r="U2312" s="8">
        <v>314.74900000000002</v>
      </c>
      <c r="V2312" s="8">
        <v>300.74200000000002</v>
      </c>
      <c r="W2312" s="8">
        <v>238.90100000000001</v>
      </c>
      <c r="X2312" s="8">
        <v>192.755</v>
      </c>
      <c r="Y2312" s="8">
        <v>129.71899999999999</v>
      </c>
      <c r="Z2312" s="8">
        <v>70.938999999999993</v>
      </c>
      <c r="AA2312" s="8">
        <v>34.116999999999997</v>
      </c>
      <c r="AB2312" s="8">
        <v>11.528</v>
      </c>
      <c r="AC2312" s="8">
        <v>1.952</v>
      </c>
    </row>
    <row r="2313" spans="1:29" ht="11.65" hidden="1" x14ac:dyDescent="0.35">
      <c r="A2313" s="12">
        <v>2296</v>
      </c>
      <c r="B2313" s="10" t="s">
        <v>1015</v>
      </c>
      <c r="C2313" s="11" t="s">
        <v>1177</v>
      </c>
      <c r="D2313" s="9">
        <v>13</v>
      </c>
      <c r="E2313" s="9">
        <v>531</v>
      </c>
      <c r="F2313" s="10" t="s">
        <v>1066</v>
      </c>
      <c r="G2313" s="9">
        <v>915</v>
      </c>
      <c r="H2313" s="9">
        <v>1950</v>
      </c>
      <c r="I2313" s="8">
        <v>7.3730000000000002</v>
      </c>
      <c r="J2313" s="8">
        <v>5.7389999999999999</v>
      </c>
      <c r="K2313" s="8">
        <v>4.8310000000000004</v>
      </c>
      <c r="L2313" s="8">
        <v>4.5679999999999996</v>
      </c>
      <c r="M2313" s="8">
        <v>4.2220000000000004</v>
      </c>
      <c r="N2313" s="8">
        <v>3.6989999999999998</v>
      </c>
      <c r="O2313" s="8">
        <v>3.484</v>
      </c>
      <c r="P2313" s="8">
        <v>2.7709999999999999</v>
      </c>
      <c r="Q2313" s="8">
        <v>2.629</v>
      </c>
      <c r="R2313" s="8">
        <v>2.1379999999999999</v>
      </c>
      <c r="S2313" s="8">
        <v>1.8480000000000001</v>
      </c>
      <c r="T2313" s="8">
        <v>1.681</v>
      </c>
      <c r="U2313" s="8">
        <v>1.345</v>
      </c>
      <c r="V2313" s="8">
        <v>1.2569999999999999</v>
      </c>
      <c r="W2313" s="8">
        <v>1.234</v>
      </c>
      <c r="X2313" s="8">
        <v>0.80800000000000005</v>
      </c>
      <c r="Y2313" s="8">
        <v>0.32400000000000001</v>
      </c>
      <c r="Z2313" s="8">
        <v>0.151</v>
      </c>
      <c r="AA2313" s="8">
        <v>4.9000000000000002E-2</v>
      </c>
      <c r="AB2313" s="8">
        <v>1.2999999999999999E-2</v>
      </c>
      <c r="AC2313" s="8">
        <v>2E-3</v>
      </c>
    </row>
    <row r="2314" spans="1:29" ht="11.65" hidden="1" x14ac:dyDescent="0.35">
      <c r="A2314" s="12">
        <v>2297</v>
      </c>
      <c r="B2314" s="10" t="s">
        <v>1015</v>
      </c>
      <c r="C2314" s="11" t="s">
        <v>1177</v>
      </c>
      <c r="D2314" s="9">
        <v>13</v>
      </c>
      <c r="E2314" s="9">
        <v>531</v>
      </c>
      <c r="F2314" s="10" t="s">
        <v>1066</v>
      </c>
      <c r="G2314" s="9">
        <v>915</v>
      </c>
      <c r="H2314" s="9">
        <v>1955</v>
      </c>
      <c r="I2314" s="8">
        <v>9.18</v>
      </c>
      <c r="J2314" s="8">
        <v>7.3609999999999998</v>
      </c>
      <c r="K2314" s="8">
        <v>5.9390000000000001</v>
      </c>
      <c r="L2314" s="8">
        <v>5.0129999999999999</v>
      </c>
      <c r="M2314" s="8">
        <v>4.6390000000000002</v>
      </c>
      <c r="N2314" s="8">
        <v>4.2290000000000001</v>
      </c>
      <c r="O2314" s="8">
        <v>3.6579999999999999</v>
      </c>
      <c r="P2314" s="8">
        <v>3.427</v>
      </c>
      <c r="Q2314" s="8">
        <v>2.7850000000000001</v>
      </c>
      <c r="R2314" s="8">
        <v>2.6110000000000002</v>
      </c>
      <c r="S2314" s="8">
        <v>2.0920000000000001</v>
      </c>
      <c r="T2314" s="8">
        <v>1.806</v>
      </c>
      <c r="U2314" s="8">
        <v>1.5609999999999999</v>
      </c>
      <c r="V2314" s="8">
        <v>1.2070000000000001</v>
      </c>
      <c r="W2314" s="8">
        <v>1.0109999999999999</v>
      </c>
      <c r="X2314" s="8">
        <v>0.88800000000000001</v>
      </c>
      <c r="Y2314" s="8">
        <v>0.53200000000000003</v>
      </c>
      <c r="Z2314" s="8">
        <v>0.156</v>
      </c>
      <c r="AA2314" s="8">
        <v>5.3999999999999999E-2</v>
      </c>
      <c r="AB2314" s="8">
        <v>1.2E-2</v>
      </c>
      <c r="AC2314" s="8">
        <v>2E-3</v>
      </c>
    </row>
    <row r="2315" spans="1:29" ht="11.65" hidden="1" x14ac:dyDescent="0.35">
      <c r="A2315" s="12">
        <v>2298</v>
      </c>
      <c r="B2315" s="10" t="s">
        <v>1015</v>
      </c>
      <c r="C2315" s="11" t="s">
        <v>1177</v>
      </c>
      <c r="D2315" s="9">
        <v>13</v>
      </c>
      <c r="E2315" s="9">
        <v>531</v>
      </c>
      <c r="F2315" s="10" t="s">
        <v>1066</v>
      </c>
      <c r="G2315" s="9">
        <v>915</v>
      </c>
      <c r="H2315" s="9">
        <v>1960</v>
      </c>
      <c r="I2315" s="8">
        <v>9.93</v>
      </c>
      <c r="J2315" s="8">
        <v>8.67</v>
      </c>
      <c r="K2315" s="8">
        <v>7.1390000000000002</v>
      </c>
      <c r="L2315" s="8">
        <v>5.5730000000000004</v>
      </c>
      <c r="M2315" s="8">
        <v>4.5309999999999997</v>
      </c>
      <c r="N2315" s="8">
        <v>4.242</v>
      </c>
      <c r="O2315" s="8">
        <v>3.99</v>
      </c>
      <c r="P2315" s="8">
        <v>3.4940000000000002</v>
      </c>
      <c r="Q2315" s="8">
        <v>3.2730000000000001</v>
      </c>
      <c r="R2315" s="8">
        <v>2.6779999999999999</v>
      </c>
      <c r="S2315" s="8">
        <v>2.4710000000000001</v>
      </c>
      <c r="T2315" s="8">
        <v>1.9279999999999999</v>
      </c>
      <c r="U2315" s="8">
        <v>1.5780000000000001</v>
      </c>
      <c r="V2315" s="8">
        <v>1.331</v>
      </c>
      <c r="W2315" s="8">
        <v>0.93700000000000006</v>
      </c>
      <c r="X2315" s="8">
        <v>0.68400000000000005</v>
      </c>
      <c r="Y2315" s="8">
        <v>0.53300000000000003</v>
      </c>
      <c r="Z2315" s="8">
        <v>0.26200000000000001</v>
      </c>
      <c r="AA2315" s="8">
        <v>5.7000000000000002E-2</v>
      </c>
      <c r="AB2315" s="8">
        <v>1.4E-2</v>
      </c>
      <c r="AC2315" s="8">
        <v>2E-3</v>
      </c>
    </row>
    <row r="2316" spans="1:29" ht="11.65" hidden="1" x14ac:dyDescent="0.35">
      <c r="A2316" s="12">
        <v>2299</v>
      </c>
      <c r="B2316" s="10" t="s">
        <v>1015</v>
      </c>
      <c r="C2316" s="11" t="s">
        <v>1177</v>
      </c>
      <c r="D2316" s="9">
        <v>13</v>
      </c>
      <c r="E2316" s="9">
        <v>531</v>
      </c>
      <c r="F2316" s="10" t="s">
        <v>1066</v>
      </c>
      <c r="G2316" s="9">
        <v>915</v>
      </c>
      <c r="H2316" s="9">
        <v>1965</v>
      </c>
      <c r="I2316" s="8">
        <v>9.0690000000000008</v>
      </c>
      <c r="J2316" s="8">
        <v>9.7319999999999993</v>
      </c>
      <c r="K2316" s="8">
        <v>8.3330000000000002</v>
      </c>
      <c r="L2316" s="8">
        <v>6.476</v>
      </c>
      <c r="M2316" s="8">
        <v>5.4080000000000004</v>
      </c>
      <c r="N2316" s="8">
        <v>4.3680000000000003</v>
      </c>
      <c r="O2316" s="8">
        <v>4.0999999999999996</v>
      </c>
      <c r="P2316" s="8">
        <v>3.8559999999999999</v>
      </c>
      <c r="Q2316" s="8">
        <v>3.36</v>
      </c>
      <c r="R2316" s="8">
        <v>3.11</v>
      </c>
      <c r="S2316" s="8">
        <v>2.528</v>
      </c>
      <c r="T2316" s="8">
        <v>2.0649999999999999</v>
      </c>
      <c r="U2316" s="8">
        <v>1.7290000000000001</v>
      </c>
      <c r="V2316" s="8">
        <v>1.3160000000000001</v>
      </c>
      <c r="W2316" s="8">
        <v>1.0389999999999999</v>
      </c>
      <c r="X2316" s="8">
        <v>0.64</v>
      </c>
      <c r="Y2316" s="8">
        <v>0.36399999999999999</v>
      </c>
      <c r="Z2316" s="8">
        <v>0.27200000000000002</v>
      </c>
      <c r="AA2316" s="8">
        <v>0.1</v>
      </c>
      <c r="AB2316" s="8">
        <v>1.4999999999999999E-2</v>
      </c>
      <c r="AC2316" s="8">
        <v>2E-3</v>
      </c>
    </row>
    <row r="2317" spans="1:29" ht="11.65" hidden="1" x14ac:dyDescent="0.35">
      <c r="A2317" s="12">
        <v>2300</v>
      </c>
      <c r="B2317" s="10" t="s">
        <v>1015</v>
      </c>
      <c r="C2317" s="11" t="s">
        <v>1177</v>
      </c>
      <c r="D2317" s="9">
        <v>13</v>
      </c>
      <c r="E2317" s="9">
        <v>531</v>
      </c>
      <c r="F2317" s="10" t="s">
        <v>1066</v>
      </c>
      <c r="G2317" s="9">
        <v>915</v>
      </c>
      <c r="H2317" s="9">
        <v>1970</v>
      </c>
      <c r="I2317" s="8">
        <v>9.1229999999999993</v>
      </c>
      <c r="J2317" s="8">
        <v>9.1479999999999997</v>
      </c>
      <c r="K2317" s="8">
        <v>9.8320000000000007</v>
      </c>
      <c r="L2317" s="8">
        <v>7.7919999999999998</v>
      </c>
      <c r="M2317" s="8">
        <v>5.9720000000000004</v>
      </c>
      <c r="N2317" s="8">
        <v>5.2380000000000004</v>
      </c>
      <c r="O2317" s="8">
        <v>4.0090000000000003</v>
      </c>
      <c r="P2317" s="8">
        <v>3.927</v>
      </c>
      <c r="Q2317" s="8">
        <v>3.5840000000000001</v>
      </c>
      <c r="R2317" s="8">
        <v>3.0489999999999999</v>
      </c>
      <c r="S2317" s="8">
        <v>2.778</v>
      </c>
      <c r="T2317" s="8">
        <v>2.1160000000000001</v>
      </c>
      <c r="U2317" s="8">
        <v>2.0019999999999998</v>
      </c>
      <c r="V2317" s="8">
        <v>1.5920000000000001</v>
      </c>
      <c r="W2317" s="8">
        <v>1.1719999999999999</v>
      </c>
      <c r="X2317" s="8">
        <v>0.80800000000000005</v>
      </c>
      <c r="Y2317" s="8">
        <v>0.47</v>
      </c>
      <c r="Z2317" s="8">
        <v>0.188</v>
      </c>
      <c r="AA2317" s="8">
        <v>0.104</v>
      </c>
      <c r="AB2317" s="8">
        <v>2.5999999999999999E-2</v>
      </c>
      <c r="AC2317" s="8">
        <v>3.0000000000000001E-3</v>
      </c>
    </row>
    <row r="2318" spans="1:29" ht="11.65" hidden="1" x14ac:dyDescent="0.35">
      <c r="A2318" s="12">
        <v>2301</v>
      </c>
      <c r="B2318" s="10" t="s">
        <v>1015</v>
      </c>
      <c r="C2318" s="11" t="s">
        <v>1177</v>
      </c>
      <c r="D2318" s="9">
        <v>13</v>
      </c>
      <c r="E2318" s="9">
        <v>531</v>
      </c>
      <c r="F2318" s="10" t="s">
        <v>1066</v>
      </c>
      <c r="G2318" s="9">
        <v>915</v>
      </c>
      <c r="H2318" s="9">
        <v>1975</v>
      </c>
      <c r="I2318" s="8">
        <v>7.92</v>
      </c>
      <c r="J2318" s="8">
        <v>9.2710000000000008</v>
      </c>
      <c r="K2318" s="8">
        <v>9.6189999999999998</v>
      </c>
      <c r="L2318" s="8">
        <v>9.218</v>
      </c>
      <c r="M2318" s="8">
        <v>6.8140000000000001</v>
      </c>
      <c r="N2318" s="8">
        <v>5.8819999999999997</v>
      </c>
      <c r="O2318" s="8">
        <v>5.0549999999999997</v>
      </c>
      <c r="P2318" s="8">
        <v>4.1369999999999996</v>
      </c>
      <c r="Q2318" s="8">
        <v>3.5950000000000002</v>
      </c>
      <c r="R2318" s="8">
        <v>3.1819999999999999</v>
      </c>
      <c r="S2318" s="8">
        <v>2.7330000000000001</v>
      </c>
      <c r="T2318" s="8">
        <v>2.4849999999999999</v>
      </c>
      <c r="U2318" s="8">
        <v>1.897</v>
      </c>
      <c r="V2318" s="8">
        <v>1.544</v>
      </c>
      <c r="W2318" s="8">
        <v>1.42</v>
      </c>
      <c r="X2318" s="8">
        <v>0.93799999999999994</v>
      </c>
      <c r="Y2318" s="8">
        <v>0.63200000000000001</v>
      </c>
      <c r="Z2318" s="8">
        <v>0.249</v>
      </c>
      <c r="AA2318" s="8">
        <v>7.3999999999999996E-2</v>
      </c>
      <c r="AB2318" s="8">
        <v>2.7E-2</v>
      </c>
      <c r="AC2318" s="8">
        <v>4.0000000000000001E-3</v>
      </c>
    </row>
    <row r="2319" spans="1:29" ht="11.65" hidden="1" x14ac:dyDescent="0.35">
      <c r="A2319" s="12">
        <v>2302</v>
      </c>
      <c r="B2319" s="10" t="s">
        <v>1015</v>
      </c>
      <c r="C2319" s="11" t="s">
        <v>1177</v>
      </c>
      <c r="D2319" s="9">
        <v>13</v>
      </c>
      <c r="E2319" s="9">
        <v>531</v>
      </c>
      <c r="F2319" s="10" t="s">
        <v>1066</v>
      </c>
      <c r="G2319" s="9">
        <v>915</v>
      </c>
      <c r="H2319" s="9">
        <v>1980</v>
      </c>
      <c r="I2319" s="8">
        <v>6.827</v>
      </c>
      <c r="J2319" s="8">
        <v>7.5659999999999998</v>
      </c>
      <c r="K2319" s="8">
        <v>8.0269999999999992</v>
      </c>
      <c r="L2319" s="8">
        <v>8.9090000000000007</v>
      </c>
      <c r="M2319" s="8">
        <v>7.5990000000000002</v>
      </c>
      <c r="N2319" s="8">
        <v>6.133</v>
      </c>
      <c r="O2319" s="8">
        <v>5.6079999999999997</v>
      </c>
      <c r="P2319" s="8">
        <v>4.7629999999999999</v>
      </c>
      <c r="Q2319" s="8">
        <v>4.0289999999999999</v>
      </c>
      <c r="R2319" s="8">
        <v>3.472</v>
      </c>
      <c r="S2319" s="8">
        <v>3.052</v>
      </c>
      <c r="T2319" s="8">
        <v>2.5840000000000001</v>
      </c>
      <c r="U2319" s="8">
        <v>2.2229999999999999</v>
      </c>
      <c r="V2319" s="8">
        <v>1.6559999999999999</v>
      </c>
      <c r="W2319" s="8">
        <v>1.282</v>
      </c>
      <c r="X2319" s="8">
        <v>1.0529999999999999</v>
      </c>
      <c r="Y2319" s="8">
        <v>0.55900000000000005</v>
      </c>
      <c r="Z2319" s="8">
        <v>0.34699999999999998</v>
      </c>
      <c r="AA2319" s="8">
        <v>0.1</v>
      </c>
      <c r="AB2319" s="8">
        <v>0.02</v>
      </c>
      <c r="AC2319" s="8">
        <v>4.0000000000000001E-3</v>
      </c>
    </row>
    <row r="2320" spans="1:29" ht="11.65" hidden="1" x14ac:dyDescent="0.35">
      <c r="A2320" s="12">
        <v>2303</v>
      </c>
      <c r="B2320" s="10" t="s">
        <v>1015</v>
      </c>
      <c r="C2320" s="11" t="s">
        <v>1177</v>
      </c>
      <c r="D2320" s="9">
        <v>13</v>
      </c>
      <c r="E2320" s="9">
        <v>531</v>
      </c>
      <c r="F2320" s="10" t="s">
        <v>1066</v>
      </c>
      <c r="G2320" s="9">
        <v>915</v>
      </c>
      <c r="H2320" s="9">
        <v>1985</v>
      </c>
      <c r="I2320" s="8">
        <v>6.7130000000000001</v>
      </c>
      <c r="J2320" s="8">
        <v>6.5389999999999997</v>
      </c>
      <c r="K2320" s="8">
        <v>7.2279999999999998</v>
      </c>
      <c r="L2320" s="8">
        <v>7.609</v>
      </c>
      <c r="M2320" s="8">
        <v>7.9210000000000003</v>
      </c>
      <c r="N2320" s="8">
        <v>7.1989999999999998</v>
      </c>
      <c r="O2320" s="8">
        <v>6.048</v>
      </c>
      <c r="P2320" s="8">
        <v>5.4859999999999998</v>
      </c>
      <c r="Q2320" s="8">
        <v>4.6420000000000003</v>
      </c>
      <c r="R2320" s="8">
        <v>3.9390000000000001</v>
      </c>
      <c r="S2320" s="8">
        <v>3.327</v>
      </c>
      <c r="T2320" s="8">
        <v>2.8679999999999999</v>
      </c>
      <c r="U2320" s="8">
        <v>2.4020000000000001</v>
      </c>
      <c r="V2320" s="8">
        <v>1.96</v>
      </c>
      <c r="W2320" s="8">
        <v>1.3919999999999999</v>
      </c>
      <c r="X2320" s="8">
        <v>0.98899999999999999</v>
      </c>
      <c r="Y2320" s="8">
        <v>0.68899999999999995</v>
      </c>
      <c r="Z2320" s="8">
        <v>0.32400000000000001</v>
      </c>
      <c r="AA2320" s="8">
        <v>0.14899999999999999</v>
      </c>
      <c r="AB2320" s="8">
        <v>2.8000000000000001E-2</v>
      </c>
      <c r="AC2320" s="8">
        <v>4.0000000000000001E-3</v>
      </c>
    </row>
    <row r="2321" spans="1:29" ht="11.65" hidden="1" x14ac:dyDescent="0.35">
      <c r="A2321" s="12">
        <v>2304</v>
      </c>
      <c r="B2321" s="10" t="s">
        <v>1015</v>
      </c>
      <c r="C2321" s="11" t="s">
        <v>1177</v>
      </c>
      <c r="D2321" s="9">
        <v>13</v>
      </c>
      <c r="E2321" s="9">
        <v>531</v>
      </c>
      <c r="F2321" s="10" t="s">
        <v>1066</v>
      </c>
      <c r="G2321" s="9">
        <v>915</v>
      </c>
      <c r="H2321" s="9">
        <v>1990</v>
      </c>
      <c r="I2321" s="8">
        <v>6.9059999999999997</v>
      </c>
      <c r="J2321" s="8">
        <v>6.4260000000000002</v>
      </c>
      <c r="K2321" s="8">
        <v>6.2119999999999997</v>
      </c>
      <c r="L2321" s="8">
        <v>6.274</v>
      </c>
      <c r="M2321" s="8">
        <v>5.9450000000000003</v>
      </c>
      <c r="N2321" s="8">
        <v>6.5469999999999997</v>
      </c>
      <c r="O2321" s="8">
        <v>7.0279999999999996</v>
      </c>
      <c r="P2321" s="8">
        <v>5.8739999999999997</v>
      </c>
      <c r="Q2321" s="8">
        <v>5.2839999999999998</v>
      </c>
      <c r="R2321" s="8">
        <v>4.2880000000000003</v>
      </c>
      <c r="S2321" s="8">
        <v>3.6440000000000001</v>
      </c>
      <c r="T2321" s="8">
        <v>3.0209999999999999</v>
      </c>
      <c r="U2321" s="8">
        <v>2.548</v>
      </c>
      <c r="V2321" s="8">
        <v>2.105</v>
      </c>
      <c r="W2321" s="8">
        <v>1.7150000000000001</v>
      </c>
      <c r="X2321" s="8">
        <v>1.1279999999999999</v>
      </c>
      <c r="Y2321" s="8">
        <v>0.73699999999999999</v>
      </c>
      <c r="Z2321" s="8">
        <v>0.41699999999999998</v>
      </c>
      <c r="AA2321" s="8">
        <v>0.14699999999999999</v>
      </c>
      <c r="AB2321" s="8">
        <v>4.5999999999999999E-2</v>
      </c>
      <c r="AC2321" s="8">
        <v>5.0000000000000001E-3</v>
      </c>
    </row>
    <row r="2322" spans="1:29" ht="11.65" hidden="1" x14ac:dyDescent="0.35">
      <c r="A2322" s="12">
        <v>2305</v>
      </c>
      <c r="B2322" s="10" t="s">
        <v>1015</v>
      </c>
      <c r="C2322" s="11" t="s">
        <v>1177</v>
      </c>
      <c r="D2322" s="9">
        <v>13</v>
      </c>
      <c r="E2322" s="9">
        <v>531</v>
      </c>
      <c r="F2322" s="10" t="s">
        <v>1066</v>
      </c>
      <c r="G2322" s="9">
        <v>915</v>
      </c>
      <c r="H2322" s="9">
        <v>1995</v>
      </c>
      <c r="I2322" s="8">
        <v>6.0910000000000002</v>
      </c>
      <c r="J2322" s="8">
        <v>6.63</v>
      </c>
      <c r="K2322" s="8">
        <v>6.0650000000000004</v>
      </c>
      <c r="L2322" s="8">
        <v>5.2880000000000003</v>
      </c>
      <c r="M2322" s="8">
        <v>4.657</v>
      </c>
      <c r="N2322" s="8">
        <v>5.1660000000000004</v>
      </c>
      <c r="O2322" s="8">
        <v>6.3739999999999997</v>
      </c>
      <c r="P2322" s="8">
        <v>6.9459999999999997</v>
      </c>
      <c r="Q2322" s="8">
        <v>5.7460000000000004</v>
      </c>
      <c r="R2322" s="8">
        <v>5.12</v>
      </c>
      <c r="S2322" s="8">
        <v>4.1230000000000002</v>
      </c>
      <c r="T2322" s="8">
        <v>3.4809999999999999</v>
      </c>
      <c r="U2322" s="8">
        <v>2.883</v>
      </c>
      <c r="V2322" s="8">
        <v>2.3690000000000002</v>
      </c>
      <c r="W2322" s="8">
        <v>1.871</v>
      </c>
      <c r="X2322" s="8">
        <v>1.4119999999999999</v>
      </c>
      <c r="Y2322" s="8">
        <v>0.84499999999999997</v>
      </c>
      <c r="Z2322" s="8">
        <v>0.439</v>
      </c>
      <c r="AA2322" s="8">
        <v>0.185</v>
      </c>
      <c r="AB2322" s="8">
        <v>4.2999999999999997E-2</v>
      </c>
      <c r="AC2322" s="8">
        <v>8.0000000000000002E-3</v>
      </c>
    </row>
    <row r="2323" spans="1:29" ht="11.65" hidden="1" x14ac:dyDescent="0.35">
      <c r="A2323" s="12">
        <v>2306</v>
      </c>
      <c r="B2323" s="10" t="s">
        <v>1015</v>
      </c>
      <c r="C2323" s="11" t="s">
        <v>1177</v>
      </c>
      <c r="D2323" s="9">
        <v>13</v>
      </c>
      <c r="E2323" s="9">
        <v>531</v>
      </c>
      <c r="F2323" s="10" t="s">
        <v>1066</v>
      </c>
      <c r="G2323" s="9">
        <v>915</v>
      </c>
      <c r="H2323" s="9">
        <v>2000</v>
      </c>
      <c r="I2323" s="8">
        <v>4.4710000000000001</v>
      </c>
      <c r="J2323" s="8">
        <v>5.726</v>
      </c>
      <c r="K2323" s="8">
        <v>5.8650000000000002</v>
      </c>
      <c r="L2323" s="8">
        <v>5.0430000000000001</v>
      </c>
      <c r="M2323" s="8">
        <v>2.7829999999999999</v>
      </c>
      <c r="N2323" s="8">
        <v>4.0510000000000002</v>
      </c>
      <c r="O2323" s="8">
        <v>4.8940000000000001</v>
      </c>
      <c r="P2323" s="8">
        <v>6.2050000000000001</v>
      </c>
      <c r="Q2323" s="8">
        <v>6.181</v>
      </c>
      <c r="R2323" s="8">
        <v>5.4059999999999997</v>
      </c>
      <c r="S2323" s="8">
        <v>4.7869999999999999</v>
      </c>
      <c r="T2323" s="8">
        <v>3.734</v>
      </c>
      <c r="U2323" s="8">
        <v>3.0640000000000001</v>
      </c>
      <c r="V2323" s="8">
        <v>2.52</v>
      </c>
      <c r="W2323" s="8">
        <v>2.0089999999999999</v>
      </c>
      <c r="X2323" s="8">
        <v>1.4910000000000001</v>
      </c>
      <c r="Y2323" s="8">
        <v>1.079</v>
      </c>
      <c r="Z2323" s="8">
        <v>0.51900000000000002</v>
      </c>
      <c r="AA2323" s="8">
        <v>0.20599999999999999</v>
      </c>
      <c r="AB2323" s="8">
        <v>5.8000000000000003E-2</v>
      </c>
      <c r="AC2323" s="8">
        <v>8.9999999999999993E-3</v>
      </c>
    </row>
    <row r="2324" spans="1:29" ht="11.65" hidden="1" x14ac:dyDescent="0.35">
      <c r="A2324" s="12">
        <v>2307</v>
      </c>
      <c r="B2324" s="10" t="s">
        <v>1015</v>
      </c>
      <c r="C2324" s="11" t="s">
        <v>1177</v>
      </c>
      <c r="D2324" s="9">
        <v>13</v>
      </c>
      <c r="E2324" s="9">
        <v>531</v>
      </c>
      <c r="F2324" s="10" t="s">
        <v>1066</v>
      </c>
      <c r="G2324" s="9">
        <v>915</v>
      </c>
      <c r="H2324" s="9">
        <v>2005</v>
      </c>
      <c r="I2324" s="8">
        <v>4.2350000000000003</v>
      </c>
      <c r="J2324" s="8">
        <v>4.1909999999999998</v>
      </c>
      <c r="K2324" s="8">
        <v>5.25</v>
      </c>
      <c r="L2324" s="8">
        <v>4.9859999999999998</v>
      </c>
      <c r="M2324" s="8">
        <v>3.3690000000000002</v>
      </c>
      <c r="N2324" s="8">
        <v>2.9860000000000002</v>
      </c>
      <c r="O2324" s="8">
        <v>4.5839999999999996</v>
      </c>
      <c r="P2324" s="8">
        <v>5.54</v>
      </c>
      <c r="Q2324" s="8">
        <v>5.4260000000000002</v>
      </c>
      <c r="R2324" s="8">
        <v>6.0339999999999998</v>
      </c>
      <c r="S2324" s="8">
        <v>5.1909999999999998</v>
      </c>
      <c r="T2324" s="8">
        <v>4.5590000000000002</v>
      </c>
      <c r="U2324" s="8">
        <v>3.63</v>
      </c>
      <c r="V2324" s="8">
        <v>2.92</v>
      </c>
      <c r="W2324" s="8">
        <v>2.2839999999999998</v>
      </c>
      <c r="X2324" s="8">
        <v>1.7010000000000001</v>
      </c>
      <c r="Y2324" s="8">
        <v>1.226</v>
      </c>
      <c r="Z2324" s="8">
        <v>0.68500000000000005</v>
      </c>
      <c r="AA2324" s="8">
        <v>0.25600000000000001</v>
      </c>
      <c r="AB2324" s="8">
        <v>7.0999999999999994E-2</v>
      </c>
      <c r="AC2324" s="8">
        <v>1.2999999999999999E-2</v>
      </c>
    </row>
    <row r="2325" spans="1:29" ht="11.65" hidden="1" x14ac:dyDescent="0.35">
      <c r="A2325" s="12">
        <v>2308</v>
      </c>
      <c r="B2325" s="10" t="s">
        <v>1015</v>
      </c>
      <c r="C2325" s="11" t="s">
        <v>1177</v>
      </c>
      <c r="D2325" s="9">
        <v>13</v>
      </c>
      <c r="E2325" s="9">
        <v>531</v>
      </c>
      <c r="F2325" s="10" t="s">
        <v>1066</v>
      </c>
      <c r="G2325" s="9">
        <v>915</v>
      </c>
      <c r="H2325" s="9">
        <v>2010</v>
      </c>
      <c r="I2325" s="8">
        <v>4.7750000000000004</v>
      </c>
      <c r="J2325" s="8">
        <v>5.1509999999999998</v>
      </c>
      <c r="K2325" s="8">
        <v>5.157</v>
      </c>
      <c r="L2325" s="8">
        <v>5.6740000000000004</v>
      </c>
      <c r="M2325" s="8">
        <v>4.1989999999999998</v>
      </c>
      <c r="N2325" s="8">
        <v>4.1189999999999998</v>
      </c>
      <c r="O2325" s="8">
        <v>4.375</v>
      </c>
      <c r="P2325" s="8">
        <v>5.5830000000000002</v>
      </c>
      <c r="Q2325" s="8">
        <v>6.4630000000000001</v>
      </c>
      <c r="R2325" s="8">
        <v>6.9630000000000001</v>
      </c>
      <c r="S2325" s="8">
        <v>6.6840000000000002</v>
      </c>
      <c r="T2325" s="8">
        <v>5.5170000000000003</v>
      </c>
      <c r="U2325" s="8">
        <v>4.681</v>
      </c>
      <c r="V2325" s="8">
        <v>3.6949999999999998</v>
      </c>
      <c r="W2325" s="8">
        <v>2.85</v>
      </c>
      <c r="X2325" s="8">
        <v>2.1019999999999999</v>
      </c>
      <c r="Y2325" s="8">
        <v>1.395</v>
      </c>
      <c r="Z2325" s="8">
        <v>0.79900000000000004</v>
      </c>
      <c r="AA2325" s="8">
        <v>0.34699999999999998</v>
      </c>
      <c r="AB2325" s="8">
        <v>9.1999999999999998E-2</v>
      </c>
      <c r="AC2325" s="8">
        <v>1.7000000000000001E-2</v>
      </c>
    </row>
    <row r="2326" spans="1:29" ht="11.65" hidden="1" x14ac:dyDescent="0.35">
      <c r="A2326" s="12">
        <v>2309</v>
      </c>
      <c r="B2326" s="10" t="s">
        <v>1015</v>
      </c>
      <c r="C2326" s="11" t="s">
        <v>1177</v>
      </c>
      <c r="D2326" s="9">
        <v>13</v>
      </c>
      <c r="E2326" s="9">
        <v>531</v>
      </c>
      <c r="F2326" s="10" t="s">
        <v>1066</v>
      </c>
      <c r="G2326" s="9">
        <v>915</v>
      </c>
      <c r="H2326" s="9">
        <v>2015</v>
      </c>
      <c r="I2326" s="8">
        <v>4.9809999999999999</v>
      </c>
      <c r="J2326" s="8">
        <v>5.0999999999999996</v>
      </c>
      <c r="K2326" s="8">
        <v>5.3630000000000004</v>
      </c>
      <c r="L2326" s="8">
        <v>5.1459999999999999</v>
      </c>
      <c r="M2326" s="8">
        <v>4.6619999999999999</v>
      </c>
      <c r="N2326" s="8">
        <v>4.7300000000000004</v>
      </c>
      <c r="O2326" s="8">
        <v>5.0739999999999998</v>
      </c>
      <c r="P2326" s="8">
        <v>5.1440000000000001</v>
      </c>
      <c r="Q2326" s="8">
        <v>6.1120000000000001</v>
      </c>
      <c r="R2326" s="8">
        <v>6.5209999999999999</v>
      </c>
      <c r="S2326" s="8">
        <v>7.3280000000000003</v>
      </c>
      <c r="T2326" s="8">
        <v>6.57</v>
      </c>
      <c r="U2326" s="8">
        <v>5.6660000000000004</v>
      </c>
      <c r="V2326" s="8">
        <v>4.7759999999999998</v>
      </c>
      <c r="W2326" s="8">
        <v>3.54</v>
      </c>
      <c r="X2326" s="8">
        <v>2.6429999999999998</v>
      </c>
      <c r="Y2326" s="8">
        <v>1.728</v>
      </c>
      <c r="Z2326" s="8">
        <v>0.94699999999999995</v>
      </c>
      <c r="AA2326" s="8">
        <v>0.42899999999999999</v>
      </c>
      <c r="AB2326" s="8">
        <v>0.13500000000000001</v>
      </c>
      <c r="AC2326" s="8">
        <v>2.4E-2</v>
      </c>
    </row>
    <row r="2327" spans="1:29" ht="11.65" hidden="1" x14ac:dyDescent="0.35">
      <c r="A2327" s="12">
        <v>2310</v>
      </c>
      <c r="B2327" s="10" t="s">
        <v>1015</v>
      </c>
      <c r="C2327" s="11" t="s">
        <v>1177</v>
      </c>
      <c r="D2327" s="9">
        <v>13</v>
      </c>
      <c r="E2327" s="9">
        <v>531</v>
      </c>
      <c r="F2327" s="10" t="s">
        <v>1066</v>
      </c>
      <c r="G2327" s="9">
        <v>915</v>
      </c>
      <c r="H2327" s="9">
        <v>2020</v>
      </c>
      <c r="I2327" s="8">
        <v>4.3970000000000002</v>
      </c>
      <c r="J2327" s="8">
        <v>5.0419999999999998</v>
      </c>
      <c r="K2327" s="8">
        <v>5.1509999999999998</v>
      </c>
      <c r="L2327" s="8">
        <v>5.41</v>
      </c>
      <c r="M2327" s="8">
        <v>4.6390000000000002</v>
      </c>
      <c r="N2327" s="8">
        <v>5.1180000000000003</v>
      </c>
      <c r="O2327" s="8">
        <v>5.0590000000000002</v>
      </c>
      <c r="P2327" s="8">
        <v>5.2830000000000004</v>
      </c>
      <c r="Q2327" s="8">
        <v>5.2670000000000003</v>
      </c>
      <c r="R2327" s="8">
        <v>6.1619999999999999</v>
      </c>
      <c r="S2327" s="8">
        <v>6.5019999999999998</v>
      </c>
      <c r="T2327" s="8">
        <v>7.2229999999999999</v>
      </c>
      <c r="U2327" s="8">
        <v>6.3949999999999996</v>
      </c>
      <c r="V2327" s="8">
        <v>5.4119999999999999</v>
      </c>
      <c r="W2327" s="8">
        <v>4.4160000000000004</v>
      </c>
      <c r="X2327" s="8">
        <v>3.1040000000000001</v>
      </c>
      <c r="Y2327" s="8">
        <v>2.12</v>
      </c>
      <c r="Z2327" s="8">
        <v>1.2</v>
      </c>
      <c r="AA2327" s="8">
        <v>0.52500000000000002</v>
      </c>
      <c r="AB2327" s="8">
        <v>0.17100000000000001</v>
      </c>
      <c r="AC2327" s="8">
        <v>3.5000000000000003E-2</v>
      </c>
    </row>
    <row r="2328" spans="1:29" ht="11.65" hidden="1" x14ac:dyDescent="0.35">
      <c r="A2328" s="12">
        <v>2311</v>
      </c>
      <c r="B2328" s="10" t="s">
        <v>1015</v>
      </c>
      <c r="C2328" s="11" t="s">
        <v>1178</v>
      </c>
      <c r="D2328" s="9"/>
      <c r="E2328" s="9">
        <v>214</v>
      </c>
      <c r="F2328" s="10" t="s">
        <v>1066</v>
      </c>
      <c r="G2328" s="9">
        <v>915</v>
      </c>
      <c r="H2328" s="9">
        <v>1950</v>
      </c>
      <c r="I2328" s="8">
        <v>216.77699999999999</v>
      </c>
      <c r="J2328" s="8">
        <v>163.82</v>
      </c>
      <c r="K2328" s="8">
        <v>151.464</v>
      </c>
      <c r="L2328" s="8">
        <v>132.226</v>
      </c>
      <c r="M2328" s="8">
        <v>108.673</v>
      </c>
      <c r="N2328" s="8">
        <v>87.117999999999995</v>
      </c>
      <c r="O2328" s="8">
        <v>68.516000000000005</v>
      </c>
      <c r="P2328" s="8">
        <v>54.302999999999997</v>
      </c>
      <c r="Q2328" s="8">
        <v>43.915999999999997</v>
      </c>
      <c r="R2328" s="8">
        <v>36.018000000000001</v>
      </c>
      <c r="S2328" s="8">
        <v>29.573</v>
      </c>
      <c r="T2328" s="8">
        <v>24.045999999999999</v>
      </c>
      <c r="U2328" s="8">
        <v>18.841999999999999</v>
      </c>
      <c r="V2328" s="8">
        <v>13.856999999999999</v>
      </c>
      <c r="W2328" s="8">
        <v>9.2140000000000004</v>
      </c>
      <c r="X2328" s="8">
        <v>5.2670000000000003</v>
      </c>
      <c r="Y2328" s="8">
        <v>2.5190000000000001</v>
      </c>
      <c r="Z2328" s="8">
        <v>0.90900000000000003</v>
      </c>
      <c r="AA2328" s="8">
        <v>0.23400000000000001</v>
      </c>
      <c r="AB2328" s="8">
        <v>4.2000000000000003E-2</v>
      </c>
      <c r="AC2328" s="8">
        <v>6.0000000000000001E-3</v>
      </c>
    </row>
    <row r="2329" spans="1:29" ht="11.65" hidden="1" x14ac:dyDescent="0.35">
      <c r="A2329" s="12">
        <v>2312</v>
      </c>
      <c r="B2329" s="10" t="s">
        <v>1015</v>
      </c>
      <c r="C2329" s="11" t="s">
        <v>1178</v>
      </c>
      <c r="D2329" s="9"/>
      <c r="E2329" s="9">
        <v>214</v>
      </c>
      <c r="F2329" s="10" t="s">
        <v>1066</v>
      </c>
      <c r="G2329" s="9">
        <v>915</v>
      </c>
      <c r="H2329" s="9">
        <v>1955</v>
      </c>
      <c r="I2329" s="8">
        <v>277.32299999999998</v>
      </c>
      <c r="J2329" s="8">
        <v>199.23099999999999</v>
      </c>
      <c r="K2329" s="8">
        <v>159.34399999999999</v>
      </c>
      <c r="L2329" s="8">
        <v>146.49799999999999</v>
      </c>
      <c r="M2329" s="8">
        <v>126.23399999999999</v>
      </c>
      <c r="N2329" s="8">
        <v>103.661</v>
      </c>
      <c r="O2329" s="8">
        <v>83.191000000000003</v>
      </c>
      <c r="P2329" s="8">
        <v>65.322999999999993</v>
      </c>
      <c r="Q2329" s="8">
        <v>51.750999999999998</v>
      </c>
      <c r="R2329" s="8">
        <v>41.572000000000003</v>
      </c>
      <c r="S2329" s="8">
        <v>33.802</v>
      </c>
      <c r="T2329" s="8">
        <v>27.157</v>
      </c>
      <c r="U2329" s="8">
        <v>21.140999999999998</v>
      </c>
      <c r="V2329" s="8">
        <v>15.516</v>
      </c>
      <c r="W2329" s="8">
        <v>10.294</v>
      </c>
      <c r="X2329" s="8">
        <v>5.8239999999999998</v>
      </c>
      <c r="Y2329" s="8">
        <v>2.6669999999999998</v>
      </c>
      <c r="Z2329" s="8">
        <v>0.98499999999999999</v>
      </c>
      <c r="AA2329" s="8">
        <v>0.255</v>
      </c>
      <c r="AB2329" s="8">
        <v>4.8000000000000001E-2</v>
      </c>
      <c r="AC2329" s="8">
        <v>6.0000000000000001E-3</v>
      </c>
    </row>
    <row r="2330" spans="1:29" ht="11.65" hidden="1" x14ac:dyDescent="0.35">
      <c r="A2330" s="12">
        <v>2313</v>
      </c>
      <c r="B2330" s="10" t="s">
        <v>1015</v>
      </c>
      <c r="C2330" s="11" t="s">
        <v>1178</v>
      </c>
      <c r="D2330" s="9"/>
      <c r="E2330" s="9">
        <v>214</v>
      </c>
      <c r="F2330" s="10" t="s">
        <v>1066</v>
      </c>
      <c r="G2330" s="9">
        <v>915</v>
      </c>
      <c r="H2330" s="9">
        <v>1960</v>
      </c>
      <c r="I2330" s="8">
        <v>331.65100000000001</v>
      </c>
      <c r="J2330" s="8">
        <v>259.35399999999998</v>
      </c>
      <c r="K2330" s="8">
        <v>194.30099999999999</v>
      </c>
      <c r="L2330" s="8">
        <v>153.964</v>
      </c>
      <c r="M2330" s="8">
        <v>140.16999999999999</v>
      </c>
      <c r="N2330" s="8">
        <v>120.64100000000001</v>
      </c>
      <c r="O2330" s="8">
        <v>99.19</v>
      </c>
      <c r="P2330" s="8">
        <v>79.683000000000007</v>
      </c>
      <c r="Q2330" s="8">
        <v>62.478000000000002</v>
      </c>
      <c r="R2330" s="8">
        <v>49.347000000000001</v>
      </c>
      <c r="S2330" s="8">
        <v>39.35</v>
      </c>
      <c r="T2330" s="8">
        <v>31.372</v>
      </c>
      <c r="U2330" s="8">
        <v>24.186</v>
      </c>
      <c r="V2330" s="8">
        <v>17.638000000000002</v>
      </c>
      <c r="W2330" s="8">
        <v>11.721</v>
      </c>
      <c r="X2330" s="8">
        <v>6.6719999999999997</v>
      </c>
      <c r="Y2330" s="8">
        <v>3.0590000000000002</v>
      </c>
      <c r="Z2330" s="8">
        <v>1.1040000000000001</v>
      </c>
      <c r="AA2330" s="8">
        <v>0.30199999999999999</v>
      </c>
      <c r="AB2330" s="8">
        <v>5.8000000000000003E-2</v>
      </c>
      <c r="AC2330" s="8">
        <v>8.0000000000000002E-3</v>
      </c>
    </row>
    <row r="2331" spans="1:29" ht="11.65" hidden="1" x14ac:dyDescent="0.35">
      <c r="A2331" s="12">
        <v>2314</v>
      </c>
      <c r="B2331" s="10" t="s">
        <v>1015</v>
      </c>
      <c r="C2331" s="11" t="s">
        <v>1178</v>
      </c>
      <c r="D2331" s="9"/>
      <c r="E2331" s="9">
        <v>214</v>
      </c>
      <c r="F2331" s="10" t="s">
        <v>1066</v>
      </c>
      <c r="G2331" s="9">
        <v>915</v>
      </c>
      <c r="H2331" s="9">
        <v>1965</v>
      </c>
      <c r="I2331" s="8">
        <v>372.57499999999999</v>
      </c>
      <c r="J2331" s="8">
        <v>314.53199999999998</v>
      </c>
      <c r="K2331" s="8">
        <v>254.053</v>
      </c>
      <c r="L2331" s="8">
        <v>187.965</v>
      </c>
      <c r="M2331" s="8">
        <v>146.97</v>
      </c>
      <c r="N2331" s="8">
        <v>133.982</v>
      </c>
      <c r="O2331" s="8">
        <v>115.851</v>
      </c>
      <c r="P2331" s="8">
        <v>95.308000000000007</v>
      </c>
      <c r="Q2331" s="8">
        <v>76.527000000000001</v>
      </c>
      <c r="R2331" s="8">
        <v>59.823999999999998</v>
      </c>
      <c r="S2331" s="8">
        <v>47</v>
      </c>
      <c r="T2331" s="8">
        <v>36.814</v>
      </c>
      <c r="U2331" s="8">
        <v>28.244</v>
      </c>
      <c r="V2331" s="8">
        <v>20.414999999999999</v>
      </c>
      <c r="W2331" s="8">
        <v>13.587999999999999</v>
      </c>
      <c r="X2331" s="8">
        <v>7.8109999999999999</v>
      </c>
      <c r="Y2331" s="8">
        <v>3.609</v>
      </c>
      <c r="Z2331" s="8">
        <v>1.3360000000000001</v>
      </c>
      <c r="AA2331" s="8">
        <v>0.36499999999999999</v>
      </c>
      <c r="AB2331" s="8">
        <v>7.3999999999999996E-2</v>
      </c>
      <c r="AC2331" s="8">
        <v>1.0999999999999999E-2</v>
      </c>
    </row>
    <row r="2332" spans="1:29" ht="11.65" hidden="1" x14ac:dyDescent="0.35">
      <c r="A2332" s="12">
        <v>2315</v>
      </c>
      <c r="B2332" s="10" t="s">
        <v>1015</v>
      </c>
      <c r="C2332" s="11" t="s">
        <v>1178</v>
      </c>
      <c r="D2332" s="9"/>
      <c r="E2332" s="9">
        <v>214</v>
      </c>
      <c r="F2332" s="10" t="s">
        <v>1066</v>
      </c>
      <c r="G2332" s="9">
        <v>915</v>
      </c>
      <c r="H2332" s="9">
        <v>1970</v>
      </c>
      <c r="I2332" s="8">
        <v>398.08</v>
      </c>
      <c r="J2332" s="8">
        <v>357.262</v>
      </c>
      <c r="K2332" s="8">
        <v>308.863</v>
      </c>
      <c r="L2332" s="8">
        <v>245.364</v>
      </c>
      <c r="M2332" s="8">
        <v>179.48699999999999</v>
      </c>
      <c r="N2332" s="8">
        <v>140.26599999999999</v>
      </c>
      <c r="O2332" s="8">
        <v>129.04</v>
      </c>
      <c r="P2332" s="8">
        <v>111.825</v>
      </c>
      <c r="Q2332" s="8">
        <v>91.963999999999999</v>
      </c>
      <c r="R2332" s="8">
        <v>73.558999999999997</v>
      </c>
      <c r="S2332" s="8">
        <v>56.96</v>
      </c>
      <c r="T2332" s="8">
        <v>44.161999999999999</v>
      </c>
      <c r="U2332" s="8">
        <v>33.454999999999998</v>
      </c>
      <c r="V2332" s="8">
        <v>24.103999999999999</v>
      </c>
      <c r="W2332" s="8">
        <v>15.994</v>
      </c>
      <c r="X2332" s="8">
        <v>9.3249999999999993</v>
      </c>
      <c r="Y2332" s="8">
        <v>4.4000000000000004</v>
      </c>
      <c r="Z2332" s="8">
        <v>1.661</v>
      </c>
      <c r="AA2332" s="8">
        <v>0.47399999999999998</v>
      </c>
      <c r="AB2332" s="8">
        <v>9.8000000000000004E-2</v>
      </c>
      <c r="AC2332" s="8">
        <v>1.6E-2</v>
      </c>
    </row>
    <row r="2333" spans="1:29" ht="11.65" hidden="1" x14ac:dyDescent="0.35">
      <c r="A2333" s="12">
        <v>2316</v>
      </c>
      <c r="B2333" s="10" t="s">
        <v>1015</v>
      </c>
      <c r="C2333" s="11" t="s">
        <v>1178</v>
      </c>
      <c r="D2333" s="9"/>
      <c r="E2333" s="9">
        <v>214</v>
      </c>
      <c r="F2333" s="10" t="s">
        <v>1066</v>
      </c>
      <c r="G2333" s="9">
        <v>915</v>
      </c>
      <c r="H2333" s="9">
        <v>1975</v>
      </c>
      <c r="I2333" s="8">
        <v>417.26499999999999</v>
      </c>
      <c r="J2333" s="8">
        <v>386.71300000000002</v>
      </c>
      <c r="K2333" s="8">
        <v>351.89499999999998</v>
      </c>
      <c r="L2333" s="8">
        <v>299.30900000000003</v>
      </c>
      <c r="M2333" s="8">
        <v>233.572</v>
      </c>
      <c r="N2333" s="8">
        <v>171</v>
      </c>
      <c r="O2333" s="8">
        <v>134.90799999999999</v>
      </c>
      <c r="P2333" s="8">
        <v>125.173</v>
      </c>
      <c r="Q2333" s="8">
        <v>108.262</v>
      </c>
      <c r="R2333" s="8">
        <v>88.594999999999999</v>
      </c>
      <c r="S2333" s="8">
        <v>70.075000000000003</v>
      </c>
      <c r="T2333" s="8">
        <v>53.595999999999997</v>
      </c>
      <c r="U2333" s="8">
        <v>40.392000000000003</v>
      </c>
      <c r="V2333" s="8">
        <v>28.852</v>
      </c>
      <c r="W2333" s="8">
        <v>19.190999999999999</v>
      </c>
      <c r="X2333" s="8">
        <v>11.250999999999999</v>
      </c>
      <c r="Y2333" s="8">
        <v>5.4880000000000004</v>
      </c>
      <c r="Z2333" s="8">
        <v>2.129</v>
      </c>
      <c r="AA2333" s="8">
        <v>0.628</v>
      </c>
      <c r="AB2333" s="8">
        <v>0.13700000000000001</v>
      </c>
      <c r="AC2333" s="8">
        <v>2.3E-2</v>
      </c>
    </row>
    <row r="2334" spans="1:29" ht="11.65" hidden="1" x14ac:dyDescent="0.35">
      <c r="A2334" s="12">
        <v>2317</v>
      </c>
      <c r="B2334" s="10" t="s">
        <v>1015</v>
      </c>
      <c r="C2334" s="11" t="s">
        <v>1178</v>
      </c>
      <c r="D2334" s="9"/>
      <c r="E2334" s="9">
        <v>214</v>
      </c>
      <c r="F2334" s="10" t="s">
        <v>1066</v>
      </c>
      <c r="G2334" s="9">
        <v>915</v>
      </c>
      <c r="H2334" s="9">
        <v>1980</v>
      </c>
      <c r="I2334" s="8">
        <v>435.19499999999999</v>
      </c>
      <c r="J2334" s="8">
        <v>409.50400000000002</v>
      </c>
      <c r="K2334" s="8">
        <v>381.767</v>
      </c>
      <c r="L2334" s="8">
        <v>341.61</v>
      </c>
      <c r="M2334" s="8">
        <v>285.11700000000002</v>
      </c>
      <c r="N2334" s="8">
        <v>221.30600000000001</v>
      </c>
      <c r="O2334" s="8">
        <v>163.833</v>
      </c>
      <c r="P2334" s="8">
        <v>130.56800000000001</v>
      </c>
      <c r="Q2334" s="8">
        <v>121.431</v>
      </c>
      <c r="R2334" s="8">
        <v>104.399</v>
      </c>
      <c r="S2334" s="8">
        <v>84.503</v>
      </c>
      <c r="T2334" s="8">
        <v>66.027000000000001</v>
      </c>
      <c r="U2334" s="8">
        <v>49.212000000000003</v>
      </c>
      <c r="V2334" s="8">
        <v>35.161000000000001</v>
      </c>
      <c r="W2334" s="8">
        <v>23.331</v>
      </c>
      <c r="X2334" s="8">
        <v>13.836</v>
      </c>
      <c r="Y2334" s="8">
        <v>6.9050000000000002</v>
      </c>
      <c r="Z2334" s="8">
        <v>2.782</v>
      </c>
      <c r="AA2334" s="8">
        <v>0.85799999999999998</v>
      </c>
      <c r="AB2334" s="8">
        <v>0.19700000000000001</v>
      </c>
      <c r="AC2334" s="8">
        <v>3.5999999999999997E-2</v>
      </c>
    </row>
    <row r="2335" spans="1:29" ht="11.65" hidden="1" x14ac:dyDescent="0.35">
      <c r="A2335" s="12">
        <v>2318</v>
      </c>
      <c r="B2335" s="10" t="s">
        <v>1015</v>
      </c>
      <c r="C2335" s="11" t="s">
        <v>1178</v>
      </c>
      <c r="D2335" s="9"/>
      <c r="E2335" s="9">
        <v>214</v>
      </c>
      <c r="F2335" s="10" t="s">
        <v>1066</v>
      </c>
      <c r="G2335" s="9">
        <v>915</v>
      </c>
      <c r="H2335" s="9">
        <v>1985</v>
      </c>
      <c r="I2335" s="8">
        <v>456.714</v>
      </c>
      <c r="J2335" s="8">
        <v>429.50400000000002</v>
      </c>
      <c r="K2335" s="8">
        <v>405.13799999999998</v>
      </c>
      <c r="L2335" s="8">
        <v>370.95400000000001</v>
      </c>
      <c r="M2335" s="8">
        <v>324.524</v>
      </c>
      <c r="N2335" s="8">
        <v>268.27499999999998</v>
      </c>
      <c r="O2335" s="8">
        <v>207.91900000000001</v>
      </c>
      <c r="P2335" s="8">
        <v>157.071</v>
      </c>
      <c r="Q2335" s="8">
        <v>126.22499999999999</v>
      </c>
      <c r="R2335" s="8">
        <v>117.41500000000001</v>
      </c>
      <c r="S2335" s="8">
        <v>99.899000000000001</v>
      </c>
      <c r="T2335" s="8">
        <v>79.759</v>
      </c>
      <c r="U2335" s="8">
        <v>60.889000000000003</v>
      </c>
      <c r="V2335" s="8">
        <v>43.198999999999998</v>
      </c>
      <c r="W2335" s="8">
        <v>28.890999999999998</v>
      </c>
      <c r="X2335" s="8">
        <v>17.213000000000001</v>
      </c>
      <c r="Y2335" s="8">
        <v>8.8119999999999994</v>
      </c>
      <c r="Z2335" s="8">
        <v>3.66</v>
      </c>
      <c r="AA2335" s="8">
        <v>1.1890000000000001</v>
      </c>
      <c r="AB2335" s="8">
        <v>0.28999999999999998</v>
      </c>
      <c r="AC2335" s="8">
        <v>5.6000000000000001E-2</v>
      </c>
    </row>
    <row r="2336" spans="1:29" ht="11.65" hidden="1" x14ac:dyDescent="0.35">
      <c r="A2336" s="12">
        <v>2319</v>
      </c>
      <c r="B2336" s="10" t="s">
        <v>1015</v>
      </c>
      <c r="C2336" s="11" t="s">
        <v>1178</v>
      </c>
      <c r="D2336" s="9"/>
      <c r="E2336" s="9">
        <v>214</v>
      </c>
      <c r="F2336" s="10" t="s">
        <v>1066</v>
      </c>
      <c r="G2336" s="9">
        <v>915</v>
      </c>
      <c r="H2336" s="9">
        <v>1990</v>
      </c>
      <c r="I2336" s="8">
        <v>476.19499999999999</v>
      </c>
      <c r="J2336" s="8">
        <v>451.94799999999998</v>
      </c>
      <c r="K2336" s="8">
        <v>425.70800000000003</v>
      </c>
      <c r="L2336" s="8">
        <v>394.43599999999998</v>
      </c>
      <c r="M2336" s="8">
        <v>352.76799999999997</v>
      </c>
      <c r="N2336" s="8">
        <v>306.55399999999997</v>
      </c>
      <c r="O2336" s="8">
        <v>253.2</v>
      </c>
      <c r="P2336" s="8">
        <v>197.80500000000001</v>
      </c>
      <c r="Q2336" s="8">
        <v>151.39599999999999</v>
      </c>
      <c r="R2336" s="8">
        <v>122.19199999999999</v>
      </c>
      <c r="S2336" s="8">
        <v>112.887</v>
      </c>
      <c r="T2336" s="8">
        <v>95.004000000000005</v>
      </c>
      <c r="U2336" s="8">
        <v>73.974000000000004</v>
      </c>
      <c r="V2336" s="8">
        <v>53.98</v>
      </c>
      <c r="W2336" s="8">
        <v>35.972999999999999</v>
      </c>
      <c r="X2336" s="8">
        <v>21.771000000000001</v>
      </c>
      <c r="Y2336" s="8">
        <v>11.332000000000001</v>
      </c>
      <c r="Z2336" s="8">
        <v>4.8780000000000001</v>
      </c>
      <c r="AA2336" s="8">
        <v>1.6539999999999999</v>
      </c>
      <c r="AB2336" s="8">
        <v>0.42899999999999999</v>
      </c>
      <c r="AC2336" s="8">
        <v>8.8999999999999996E-2</v>
      </c>
    </row>
    <row r="2337" spans="1:29" ht="11.65" hidden="1" x14ac:dyDescent="0.35">
      <c r="A2337" s="12">
        <v>2320</v>
      </c>
      <c r="B2337" s="10" t="s">
        <v>1015</v>
      </c>
      <c r="C2337" s="11" t="s">
        <v>1178</v>
      </c>
      <c r="D2337" s="9"/>
      <c r="E2337" s="9">
        <v>214</v>
      </c>
      <c r="F2337" s="10" t="s">
        <v>1066</v>
      </c>
      <c r="G2337" s="9">
        <v>915</v>
      </c>
      <c r="H2337" s="9">
        <v>1995</v>
      </c>
      <c r="I2337" s="8">
        <v>498.11799999999999</v>
      </c>
      <c r="J2337" s="8">
        <v>472.27699999999999</v>
      </c>
      <c r="K2337" s="8">
        <v>447.964</v>
      </c>
      <c r="L2337" s="8">
        <v>415.48200000000003</v>
      </c>
      <c r="M2337" s="8">
        <v>376.60300000000001</v>
      </c>
      <c r="N2337" s="8">
        <v>334.31700000000001</v>
      </c>
      <c r="O2337" s="8">
        <v>290.86200000000002</v>
      </c>
      <c r="P2337" s="8">
        <v>241.31399999999999</v>
      </c>
      <c r="Q2337" s="8">
        <v>190.31700000000001</v>
      </c>
      <c r="R2337" s="8">
        <v>147.14599999999999</v>
      </c>
      <c r="S2337" s="8">
        <v>118.381</v>
      </c>
      <c r="T2337" s="8">
        <v>107.768</v>
      </c>
      <c r="U2337" s="8">
        <v>88.638000000000005</v>
      </c>
      <c r="V2337" s="8">
        <v>66.195999999999998</v>
      </c>
      <c r="W2337" s="8">
        <v>45.534999999999997</v>
      </c>
      <c r="X2337" s="8">
        <v>27.712</v>
      </c>
      <c r="Y2337" s="8">
        <v>14.776</v>
      </c>
      <c r="Z2337" s="8">
        <v>6.54</v>
      </c>
      <c r="AA2337" s="8">
        <v>2.3239999999999998</v>
      </c>
      <c r="AB2337" s="8">
        <v>0.63500000000000001</v>
      </c>
      <c r="AC2337" s="8">
        <v>0.14199999999999999</v>
      </c>
    </row>
    <row r="2338" spans="1:29" ht="11.65" hidden="1" x14ac:dyDescent="0.35">
      <c r="A2338" s="12">
        <v>2321</v>
      </c>
      <c r="B2338" s="10" t="s">
        <v>1015</v>
      </c>
      <c r="C2338" s="11" t="s">
        <v>1178</v>
      </c>
      <c r="D2338" s="9"/>
      <c r="E2338" s="9">
        <v>214</v>
      </c>
      <c r="F2338" s="10" t="s">
        <v>1066</v>
      </c>
      <c r="G2338" s="9">
        <v>915</v>
      </c>
      <c r="H2338" s="9">
        <v>2000</v>
      </c>
      <c r="I2338" s="8">
        <v>494.47500000000002</v>
      </c>
      <c r="J2338" s="8">
        <v>494.041</v>
      </c>
      <c r="K2338" s="8">
        <v>467.44099999999997</v>
      </c>
      <c r="L2338" s="8">
        <v>438.26499999999999</v>
      </c>
      <c r="M2338" s="8">
        <v>399.108</v>
      </c>
      <c r="N2338" s="8">
        <v>358.56400000000002</v>
      </c>
      <c r="O2338" s="8">
        <v>318.25200000000001</v>
      </c>
      <c r="P2338" s="8">
        <v>277.74799999999999</v>
      </c>
      <c r="Q2338" s="8">
        <v>231.91499999999999</v>
      </c>
      <c r="R2338" s="8">
        <v>184.602</v>
      </c>
      <c r="S2338" s="8">
        <v>142.51599999999999</v>
      </c>
      <c r="T2338" s="8">
        <v>113.57599999999999</v>
      </c>
      <c r="U2338" s="8">
        <v>101.095</v>
      </c>
      <c r="V2338" s="8">
        <v>80.034000000000006</v>
      </c>
      <c r="W2338" s="8">
        <v>56.55</v>
      </c>
      <c r="X2338" s="8">
        <v>35.795999999999999</v>
      </c>
      <c r="Y2338" s="8">
        <v>19.375</v>
      </c>
      <c r="Z2338" s="8">
        <v>8.8729999999999993</v>
      </c>
      <c r="AA2338" s="8">
        <v>3.2730000000000001</v>
      </c>
      <c r="AB2338" s="8">
        <v>0.94399999999999995</v>
      </c>
      <c r="AC2338" s="8">
        <v>0.22700000000000001</v>
      </c>
    </row>
    <row r="2339" spans="1:29" ht="11.65" hidden="1" x14ac:dyDescent="0.35">
      <c r="A2339" s="12">
        <v>2322</v>
      </c>
      <c r="B2339" s="10" t="s">
        <v>1015</v>
      </c>
      <c r="C2339" s="11" t="s">
        <v>1178</v>
      </c>
      <c r="D2339" s="9"/>
      <c r="E2339" s="9">
        <v>214</v>
      </c>
      <c r="F2339" s="10" t="s">
        <v>1066</v>
      </c>
      <c r="G2339" s="9">
        <v>915</v>
      </c>
      <c r="H2339" s="9">
        <v>2005</v>
      </c>
      <c r="I2339" s="8">
        <v>487.78800000000001</v>
      </c>
      <c r="J2339" s="8">
        <v>492.55799999999999</v>
      </c>
      <c r="K2339" s="8">
        <v>492.32799999999997</v>
      </c>
      <c r="L2339" s="8">
        <v>455.91800000000001</v>
      </c>
      <c r="M2339" s="8">
        <v>412.28699999999998</v>
      </c>
      <c r="N2339" s="8">
        <v>373.04399999999998</v>
      </c>
      <c r="O2339" s="8">
        <v>336.45600000000002</v>
      </c>
      <c r="P2339" s="8">
        <v>302.98599999999999</v>
      </c>
      <c r="Q2339" s="8">
        <v>267.56099999999998</v>
      </c>
      <c r="R2339" s="8">
        <v>225.31100000000001</v>
      </c>
      <c r="S2339" s="8">
        <v>179.78700000000001</v>
      </c>
      <c r="T2339" s="8">
        <v>137.435</v>
      </c>
      <c r="U2339" s="8">
        <v>107.15300000000001</v>
      </c>
      <c r="V2339" s="8">
        <v>92.061999999999998</v>
      </c>
      <c r="W2339" s="8">
        <v>69.296000000000006</v>
      </c>
      <c r="X2339" s="8">
        <v>45.347000000000001</v>
      </c>
      <c r="Y2339" s="8">
        <v>25.759</v>
      </c>
      <c r="Z2339" s="8">
        <v>12.09</v>
      </c>
      <c r="AA2339" s="8">
        <v>4.6589999999999998</v>
      </c>
      <c r="AB2339" s="8">
        <v>1.4079999999999999</v>
      </c>
      <c r="AC2339" s="8">
        <v>0.36199999999999999</v>
      </c>
    </row>
    <row r="2340" spans="1:29" ht="11.65" hidden="1" x14ac:dyDescent="0.35">
      <c r="A2340" s="12">
        <v>2323</v>
      </c>
      <c r="B2340" s="10" t="s">
        <v>1015</v>
      </c>
      <c r="C2340" s="11" t="s">
        <v>1178</v>
      </c>
      <c r="D2340" s="9"/>
      <c r="E2340" s="9">
        <v>214</v>
      </c>
      <c r="F2340" s="10" t="s">
        <v>1066</v>
      </c>
      <c r="G2340" s="9">
        <v>915</v>
      </c>
      <c r="H2340" s="9">
        <v>2010</v>
      </c>
      <c r="I2340" s="8">
        <v>484.72800000000001</v>
      </c>
      <c r="J2340" s="8">
        <v>482.13299999999998</v>
      </c>
      <c r="K2340" s="8">
        <v>488.91399999999999</v>
      </c>
      <c r="L2340" s="8">
        <v>490.767</v>
      </c>
      <c r="M2340" s="8">
        <v>446.30599999999998</v>
      </c>
      <c r="N2340" s="8">
        <v>389.81200000000001</v>
      </c>
      <c r="O2340" s="8">
        <v>354.94499999999999</v>
      </c>
      <c r="P2340" s="8">
        <v>323.464</v>
      </c>
      <c r="Q2340" s="8">
        <v>292.67200000000003</v>
      </c>
      <c r="R2340" s="8">
        <v>259.19</v>
      </c>
      <c r="S2340" s="8">
        <v>217.75</v>
      </c>
      <c r="T2340" s="8">
        <v>172.85599999999999</v>
      </c>
      <c r="U2340" s="8">
        <v>130.31899999999999</v>
      </c>
      <c r="V2340" s="8">
        <v>98.381</v>
      </c>
      <c r="W2340" s="8">
        <v>80.73</v>
      </c>
      <c r="X2340" s="8">
        <v>56.662999999999997</v>
      </c>
      <c r="Y2340" s="8">
        <v>33.56</v>
      </c>
      <c r="Z2340" s="8">
        <v>16.677</v>
      </c>
      <c r="AA2340" s="8">
        <v>6.641</v>
      </c>
      <c r="AB2340" s="8">
        <v>2.109</v>
      </c>
      <c r="AC2340" s="8">
        <v>0.57599999999999996</v>
      </c>
    </row>
    <row r="2341" spans="1:29" ht="11.65" hidden="1" x14ac:dyDescent="0.35">
      <c r="A2341" s="12">
        <v>2324</v>
      </c>
      <c r="B2341" s="10" t="s">
        <v>1015</v>
      </c>
      <c r="C2341" s="11" t="s">
        <v>1178</v>
      </c>
      <c r="D2341" s="9"/>
      <c r="E2341" s="9">
        <v>214</v>
      </c>
      <c r="F2341" s="10" t="s">
        <v>1066</v>
      </c>
      <c r="G2341" s="9">
        <v>915</v>
      </c>
      <c r="H2341" s="9">
        <v>2015</v>
      </c>
      <c r="I2341" s="8">
        <v>491.565</v>
      </c>
      <c r="J2341" s="8">
        <v>481.358</v>
      </c>
      <c r="K2341" s="8">
        <v>479.70600000000002</v>
      </c>
      <c r="L2341" s="8">
        <v>479.173</v>
      </c>
      <c r="M2341" s="8">
        <v>472.77100000000002</v>
      </c>
      <c r="N2341" s="8">
        <v>429.24900000000002</v>
      </c>
      <c r="O2341" s="8">
        <v>376.55</v>
      </c>
      <c r="P2341" s="8">
        <v>344.78</v>
      </c>
      <c r="Q2341" s="8">
        <v>315.23</v>
      </c>
      <c r="R2341" s="8">
        <v>285.11</v>
      </c>
      <c r="S2341" s="8">
        <v>251.607</v>
      </c>
      <c r="T2341" s="8">
        <v>209.851</v>
      </c>
      <c r="U2341" s="8">
        <v>163.87100000000001</v>
      </c>
      <c r="V2341" s="8">
        <v>120.182</v>
      </c>
      <c r="W2341" s="8">
        <v>87.067999999999998</v>
      </c>
      <c r="X2341" s="8">
        <v>67.102999999999994</v>
      </c>
      <c r="Y2341" s="8">
        <v>42.978999999999999</v>
      </c>
      <c r="Z2341" s="8">
        <v>22.513999999999999</v>
      </c>
      <c r="AA2341" s="8">
        <v>9.5660000000000007</v>
      </c>
      <c r="AB2341" s="8">
        <v>3.1579999999999999</v>
      </c>
      <c r="AC2341" s="8">
        <v>0.91700000000000004</v>
      </c>
    </row>
    <row r="2342" spans="1:29" ht="11.65" hidden="1" x14ac:dyDescent="0.35">
      <c r="A2342" s="12">
        <v>2325</v>
      </c>
      <c r="B2342" s="10" t="s">
        <v>1015</v>
      </c>
      <c r="C2342" s="11" t="s">
        <v>1178</v>
      </c>
      <c r="D2342" s="9"/>
      <c r="E2342" s="9">
        <v>214</v>
      </c>
      <c r="F2342" s="10" t="s">
        <v>1066</v>
      </c>
      <c r="G2342" s="9">
        <v>915</v>
      </c>
      <c r="H2342" s="9">
        <v>2020</v>
      </c>
      <c r="I2342" s="8">
        <v>491.041</v>
      </c>
      <c r="J2342" s="8">
        <v>488.28399999999999</v>
      </c>
      <c r="K2342" s="8">
        <v>478.988</v>
      </c>
      <c r="L2342" s="8">
        <v>470.05700000000002</v>
      </c>
      <c r="M2342" s="8">
        <v>462.35</v>
      </c>
      <c r="N2342" s="8">
        <v>456.26</v>
      </c>
      <c r="O2342" s="8">
        <v>415.916</v>
      </c>
      <c r="P2342" s="8">
        <v>366.42200000000003</v>
      </c>
      <c r="Q2342" s="8">
        <v>336.56099999999998</v>
      </c>
      <c r="R2342" s="8">
        <v>307.62799999999999</v>
      </c>
      <c r="S2342" s="8">
        <v>277.33600000000001</v>
      </c>
      <c r="T2342" s="8">
        <v>243.09899999999999</v>
      </c>
      <c r="U2342" s="8">
        <v>199.91800000000001</v>
      </c>
      <c r="V2342" s="8">
        <v>152.48699999999999</v>
      </c>
      <c r="W2342" s="8">
        <v>107.76</v>
      </c>
      <c r="X2342" s="8">
        <v>73.762</v>
      </c>
      <c r="Y2342" s="8">
        <v>52.295999999999999</v>
      </c>
      <c r="Z2342" s="8">
        <v>29.841999999999999</v>
      </c>
      <c r="AA2342" s="8">
        <v>13.464</v>
      </c>
      <c r="AB2342" s="8">
        <v>4.7709999999999999</v>
      </c>
      <c r="AC2342" s="8">
        <v>1.456</v>
      </c>
    </row>
    <row r="2343" spans="1:29" ht="11.65" hidden="1" x14ac:dyDescent="0.35">
      <c r="A2343" s="12">
        <v>2326</v>
      </c>
      <c r="B2343" s="10" t="s">
        <v>1015</v>
      </c>
      <c r="C2343" s="11" t="s">
        <v>1179</v>
      </c>
      <c r="D2343" s="9"/>
      <c r="E2343" s="9">
        <v>308</v>
      </c>
      <c r="F2343" s="10" t="s">
        <v>1066</v>
      </c>
      <c r="G2343" s="9">
        <v>915</v>
      </c>
      <c r="H2343" s="9">
        <v>1950</v>
      </c>
      <c r="I2343" s="8">
        <v>7.6680000000000001</v>
      </c>
      <c r="J2343" s="8">
        <v>6.0289999999999999</v>
      </c>
      <c r="K2343" s="8">
        <v>4.6539999999999999</v>
      </c>
      <c r="L2343" s="8">
        <v>3.508</v>
      </c>
      <c r="M2343" s="8">
        <v>3.0310000000000001</v>
      </c>
      <c r="N2343" s="8">
        <v>2.5750000000000002</v>
      </c>
      <c r="O2343" s="8">
        <v>2.0670000000000002</v>
      </c>
      <c r="P2343" s="8">
        <v>1.9159999999999999</v>
      </c>
      <c r="Q2343" s="8">
        <v>1.6850000000000001</v>
      </c>
      <c r="R2343" s="8">
        <v>1.639</v>
      </c>
      <c r="S2343" s="8">
        <v>1.647</v>
      </c>
      <c r="T2343" s="8">
        <v>1.2170000000000001</v>
      </c>
      <c r="U2343" s="8">
        <v>1.22</v>
      </c>
      <c r="V2343" s="8">
        <v>0.83799999999999997</v>
      </c>
      <c r="W2343" s="8">
        <v>0.75</v>
      </c>
      <c r="X2343" s="8">
        <v>0.48699999999999999</v>
      </c>
      <c r="Y2343" s="8">
        <v>0.32100000000000001</v>
      </c>
      <c r="Z2343" s="8">
        <v>0.20599999999999999</v>
      </c>
      <c r="AA2343" s="8">
        <v>5.7000000000000002E-2</v>
      </c>
      <c r="AB2343" s="8">
        <v>8.9999999999999993E-3</v>
      </c>
      <c r="AC2343" s="8">
        <v>1E-3</v>
      </c>
    </row>
    <row r="2344" spans="1:29" ht="11.65" hidden="1" x14ac:dyDescent="0.35">
      <c r="A2344" s="12">
        <v>2327</v>
      </c>
      <c r="B2344" s="10" t="s">
        <v>1015</v>
      </c>
      <c r="C2344" s="11" t="s">
        <v>1179</v>
      </c>
      <c r="D2344" s="9"/>
      <c r="E2344" s="9">
        <v>308</v>
      </c>
      <c r="F2344" s="10" t="s">
        <v>1066</v>
      </c>
      <c r="G2344" s="9">
        <v>915</v>
      </c>
      <c r="H2344" s="9">
        <v>1955</v>
      </c>
      <c r="I2344" s="8">
        <v>7.1980000000000004</v>
      </c>
      <c r="J2344" s="8">
        <v>6.7229999999999999</v>
      </c>
      <c r="K2344" s="8">
        <v>4.7380000000000004</v>
      </c>
      <c r="L2344" s="8">
        <v>4.12</v>
      </c>
      <c r="M2344" s="8">
        <v>3.242</v>
      </c>
      <c r="N2344" s="8">
        <v>2.7909999999999999</v>
      </c>
      <c r="O2344" s="8">
        <v>2.3460000000000001</v>
      </c>
      <c r="P2344" s="8">
        <v>1.9930000000000001</v>
      </c>
      <c r="Q2344" s="8">
        <v>1.8779999999999999</v>
      </c>
      <c r="R2344" s="8">
        <v>1.641</v>
      </c>
      <c r="S2344" s="8">
        <v>1.583</v>
      </c>
      <c r="T2344" s="8">
        <v>1.5629999999999999</v>
      </c>
      <c r="U2344" s="8">
        <v>1.121</v>
      </c>
      <c r="V2344" s="8">
        <v>1.077</v>
      </c>
      <c r="W2344" s="8">
        <v>0.68200000000000005</v>
      </c>
      <c r="X2344" s="8">
        <v>0.54</v>
      </c>
      <c r="Y2344" s="8">
        <v>0.35299999999999998</v>
      </c>
      <c r="Z2344" s="8">
        <v>0.126</v>
      </c>
      <c r="AA2344" s="8">
        <v>5.2999999999999999E-2</v>
      </c>
      <c r="AB2344" s="8">
        <v>8.9999999999999993E-3</v>
      </c>
      <c r="AC2344" s="8">
        <v>1E-3</v>
      </c>
    </row>
    <row r="2345" spans="1:29" ht="11.65" hidden="1" x14ac:dyDescent="0.35">
      <c r="A2345" s="12">
        <v>2328</v>
      </c>
      <c r="B2345" s="10" t="s">
        <v>1015</v>
      </c>
      <c r="C2345" s="11" t="s">
        <v>1179</v>
      </c>
      <c r="D2345" s="9"/>
      <c r="E2345" s="9">
        <v>308</v>
      </c>
      <c r="F2345" s="10" t="s">
        <v>1066</v>
      </c>
      <c r="G2345" s="9">
        <v>915</v>
      </c>
      <c r="H2345" s="9">
        <v>1960</v>
      </c>
      <c r="I2345" s="8">
        <v>9.0169999999999995</v>
      </c>
      <c r="J2345" s="8">
        <v>7.141</v>
      </c>
      <c r="K2345" s="8">
        <v>5.77</v>
      </c>
      <c r="L2345" s="8">
        <v>3.6960000000000002</v>
      </c>
      <c r="M2345" s="8">
        <v>3.762</v>
      </c>
      <c r="N2345" s="8">
        <v>2.9750000000000001</v>
      </c>
      <c r="O2345" s="8">
        <v>2.5459999999999998</v>
      </c>
      <c r="P2345" s="8">
        <v>2.1190000000000002</v>
      </c>
      <c r="Q2345" s="8">
        <v>1.915</v>
      </c>
      <c r="R2345" s="8">
        <v>1.83</v>
      </c>
      <c r="S2345" s="8">
        <v>1.583</v>
      </c>
      <c r="T2345" s="8">
        <v>1.5029999999999999</v>
      </c>
      <c r="U2345" s="8">
        <v>1.446</v>
      </c>
      <c r="V2345" s="8">
        <v>0.99099999999999999</v>
      </c>
      <c r="W2345" s="8">
        <v>0.879</v>
      </c>
      <c r="X2345" s="8">
        <v>0.49099999999999999</v>
      </c>
      <c r="Y2345" s="8">
        <v>0.36699999999999999</v>
      </c>
      <c r="Z2345" s="8">
        <v>0.14199999999999999</v>
      </c>
      <c r="AA2345" s="8">
        <v>3.3000000000000002E-2</v>
      </c>
      <c r="AB2345" s="8">
        <v>8.0000000000000002E-3</v>
      </c>
      <c r="AC2345" s="8">
        <v>1E-3</v>
      </c>
    </row>
    <row r="2346" spans="1:29" ht="11.65" hidden="1" x14ac:dyDescent="0.35">
      <c r="A2346" s="12">
        <v>2329</v>
      </c>
      <c r="B2346" s="10" t="s">
        <v>1015</v>
      </c>
      <c r="C2346" s="11" t="s">
        <v>1179</v>
      </c>
      <c r="D2346" s="9"/>
      <c r="E2346" s="9">
        <v>308</v>
      </c>
      <c r="F2346" s="10" t="s">
        <v>1066</v>
      </c>
      <c r="G2346" s="9">
        <v>915</v>
      </c>
      <c r="H2346" s="9">
        <v>1965</v>
      </c>
      <c r="I2346" s="8">
        <v>8.6940000000000008</v>
      </c>
      <c r="J2346" s="8">
        <v>8.6259999999999994</v>
      </c>
      <c r="K2346" s="8">
        <v>6.1029999999999998</v>
      </c>
      <c r="L2346" s="8">
        <v>4.5810000000000004</v>
      </c>
      <c r="M2346" s="8">
        <v>3.04</v>
      </c>
      <c r="N2346" s="8">
        <v>3.0430000000000001</v>
      </c>
      <c r="O2346" s="8">
        <v>2.2909999999999999</v>
      </c>
      <c r="P2346" s="8">
        <v>2.3330000000000002</v>
      </c>
      <c r="Q2346" s="8">
        <v>1.9750000000000001</v>
      </c>
      <c r="R2346" s="8">
        <v>1.796</v>
      </c>
      <c r="S2346" s="8">
        <v>1.665</v>
      </c>
      <c r="T2346" s="8">
        <v>1.5469999999999999</v>
      </c>
      <c r="U2346" s="8">
        <v>1.444</v>
      </c>
      <c r="V2346" s="8">
        <v>1.163</v>
      </c>
      <c r="W2346" s="8">
        <v>0.749</v>
      </c>
      <c r="X2346" s="8">
        <v>0.63300000000000001</v>
      </c>
      <c r="Y2346" s="8">
        <v>0.33200000000000002</v>
      </c>
      <c r="Z2346" s="8">
        <v>0.151</v>
      </c>
      <c r="AA2346" s="8">
        <v>3.6999999999999998E-2</v>
      </c>
      <c r="AB2346" s="8">
        <v>5.0000000000000001E-3</v>
      </c>
      <c r="AC2346" s="8">
        <v>1E-3</v>
      </c>
    </row>
    <row r="2347" spans="1:29" ht="11.65" hidden="1" x14ac:dyDescent="0.35">
      <c r="A2347" s="12">
        <v>2330</v>
      </c>
      <c r="B2347" s="10" t="s">
        <v>1015</v>
      </c>
      <c r="C2347" s="11" t="s">
        <v>1179</v>
      </c>
      <c r="D2347" s="9"/>
      <c r="E2347" s="9">
        <v>308</v>
      </c>
      <c r="F2347" s="10" t="s">
        <v>1066</v>
      </c>
      <c r="G2347" s="9">
        <v>915</v>
      </c>
      <c r="H2347" s="9">
        <v>1970</v>
      </c>
      <c r="I2347" s="8">
        <v>6.3140000000000001</v>
      </c>
      <c r="J2347" s="8">
        <v>8.6180000000000003</v>
      </c>
      <c r="K2347" s="8">
        <v>8.2509999999999994</v>
      </c>
      <c r="L2347" s="8">
        <v>5.0999999999999996</v>
      </c>
      <c r="M2347" s="8">
        <v>3.383</v>
      </c>
      <c r="N2347" s="8">
        <v>2.3809999999999998</v>
      </c>
      <c r="O2347" s="8">
        <v>2.327</v>
      </c>
      <c r="P2347" s="8">
        <v>1.6140000000000001</v>
      </c>
      <c r="Q2347" s="8">
        <v>2.1150000000000002</v>
      </c>
      <c r="R2347" s="8">
        <v>1.821</v>
      </c>
      <c r="S2347" s="8">
        <v>1.6659999999999999</v>
      </c>
      <c r="T2347" s="8">
        <v>1.48</v>
      </c>
      <c r="U2347" s="8">
        <v>1.476</v>
      </c>
      <c r="V2347" s="8">
        <v>1.3260000000000001</v>
      </c>
      <c r="W2347" s="8">
        <v>0.84299999999999997</v>
      </c>
      <c r="X2347" s="8">
        <v>0.48599999999999999</v>
      </c>
      <c r="Y2347" s="8">
        <v>0.40500000000000003</v>
      </c>
      <c r="Z2347" s="8">
        <v>0.13800000000000001</v>
      </c>
      <c r="AA2347" s="8">
        <v>0.04</v>
      </c>
      <c r="AB2347" s="8">
        <v>7.0000000000000001E-3</v>
      </c>
      <c r="AC2347" s="8">
        <v>1E-3</v>
      </c>
    </row>
    <row r="2348" spans="1:29" ht="11.65" hidden="1" x14ac:dyDescent="0.35">
      <c r="A2348" s="12">
        <v>2331</v>
      </c>
      <c r="B2348" s="10" t="s">
        <v>1015</v>
      </c>
      <c r="C2348" s="11" t="s">
        <v>1179</v>
      </c>
      <c r="D2348" s="9"/>
      <c r="E2348" s="9">
        <v>308</v>
      </c>
      <c r="F2348" s="10" t="s">
        <v>1066</v>
      </c>
      <c r="G2348" s="9">
        <v>915</v>
      </c>
      <c r="H2348" s="9">
        <v>1975</v>
      </c>
      <c r="I2348" s="8">
        <v>6.2469999999999999</v>
      </c>
      <c r="J2348" s="8">
        <v>5.9569999999999999</v>
      </c>
      <c r="K2348" s="8">
        <v>7.3319999999999999</v>
      </c>
      <c r="L2348" s="8">
        <v>6.351</v>
      </c>
      <c r="M2348" s="8">
        <v>3.9460000000000002</v>
      </c>
      <c r="N2348" s="8">
        <v>2.8540000000000001</v>
      </c>
      <c r="O2348" s="8">
        <v>1.899</v>
      </c>
      <c r="P2348" s="8">
        <v>1.887</v>
      </c>
      <c r="Q2348" s="8">
        <v>1.5660000000000001</v>
      </c>
      <c r="R2348" s="8">
        <v>2.2349999999999999</v>
      </c>
      <c r="S2348" s="8">
        <v>1.6319999999999999</v>
      </c>
      <c r="T2348" s="8">
        <v>1.4790000000000001</v>
      </c>
      <c r="U2348" s="8">
        <v>1.379</v>
      </c>
      <c r="V2348" s="8">
        <v>1.3240000000000001</v>
      </c>
      <c r="W2348" s="8">
        <v>1.079</v>
      </c>
      <c r="X2348" s="8">
        <v>0.621</v>
      </c>
      <c r="Y2348" s="8">
        <v>0.33600000000000002</v>
      </c>
      <c r="Z2348" s="8">
        <v>0.17499999999999999</v>
      </c>
      <c r="AA2348" s="8">
        <v>3.9E-2</v>
      </c>
      <c r="AB2348" s="8">
        <v>7.0000000000000001E-3</v>
      </c>
      <c r="AC2348" s="8">
        <v>1E-3</v>
      </c>
    </row>
    <row r="2349" spans="1:29" ht="11.65" hidden="1" x14ac:dyDescent="0.35">
      <c r="A2349" s="12">
        <v>2332</v>
      </c>
      <c r="B2349" s="10" t="s">
        <v>1015</v>
      </c>
      <c r="C2349" s="11" t="s">
        <v>1179</v>
      </c>
      <c r="D2349" s="9"/>
      <c r="E2349" s="9">
        <v>308</v>
      </c>
      <c r="F2349" s="10" t="s">
        <v>1066</v>
      </c>
      <c r="G2349" s="9">
        <v>915</v>
      </c>
      <c r="H2349" s="9">
        <v>1980</v>
      </c>
      <c r="I2349" s="8">
        <v>5.7679999999999998</v>
      </c>
      <c r="J2349" s="8">
        <v>5.8959999999999999</v>
      </c>
      <c r="K2349" s="8">
        <v>5.9039999999999999</v>
      </c>
      <c r="L2349" s="8">
        <v>5.8849999999999998</v>
      </c>
      <c r="M2349" s="8">
        <v>4.34</v>
      </c>
      <c r="N2349" s="8">
        <v>2.86</v>
      </c>
      <c r="O2349" s="8">
        <v>2.2130000000000001</v>
      </c>
      <c r="P2349" s="8">
        <v>1.5169999999999999</v>
      </c>
      <c r="Q2349" s="8">
        <v>1.7549999999999999</v>
      </c>
      <c r="R2349" s="8">
        <v>1.534</v>
      </c>
      <c r="S2349" s="8">
        <v>2.0179999999999998</v>
      </c>
      <c r="T2349" s="8">
        <v>1.234</v>
      </c>
      <c r="U2349" s="8">
        <v>1.304</v>
      </c>
      <c r="V2349" s="8">
        <v>1.2430000000000001</v>
      </c>
      <c r="W2349" s="8">
        <v>1.1100000000000001</v>
      </c>
      <c r="X2349" s="8">
        <v>0.77</v>
      </c>
      <c r="Y2349" s="8">
        <v>0.47599999999999998</v>
      </c>
      <c r="Z2349" s="8">
        <v>0.15</v>
      </c>
      <c r="AA2349" s="8">
        <v>5.1999999999999998E-2</v>
      </c>
      <c r="AB2349" s="8">
        <v>7.0000000000000001E-3</v>
      </c>
      <c r="AC2349" s="8">
        <v>1E-3</v>
      </c>
    </row>
    <row r="2350" spans="1:29" ht="11.65" hidden="1" x14ac:dyDescent="0.35">
      <c r="A2350" s="12">
        <v>2333</v>
      </c>
      <c r="B2350" s="10" t="s">
        <v>1015</v>
      </c>
      <c r="C2350" s="11" t="s">
        <v>1179</v>
      </c>
      <c r="D2350" s="9"/>
      <c r="E2350" s="9">
        <v>308</v>
      </c>
      <c r="F2350" s="10" t="s">
        <v>1066</v>
      </c>
      <c r="G2350" s="9">
        <v>915</v>
      </c>
      <c r="H2350" s="9">
        <v>1985</v>
      </c>
      <c r="I2350" s="8">
        <v>7.1319999999999997</v>
      </c>
      <c r="J2350" s="8">
        <v>5.7169999999999996</v>
      </c>
      <c r="K2350" s="8">
        <v>5.8659999999999997</v>
      </c>
      <c r="L2350" s="8">
        <v>5.8780000000000001</v>
      </c>
      <c r="M2350" s="8">
        <v>5.843</v>
      </c>
      <c r="N2350" s="8">
        <v>4.2960000000000003</v>
      </c>
      <c r="O2350" s="8">
        <v>2.827</v>
      </c>
      <c r="P2350" s="8">
        <v>2.1840000000000002</v>
      </c>
      <c r="Q2350" s="8">
        <v>1.4910000000000001</v>
      </c>
      <c r="R2350" s="8">
        <v>1.716</v>
      </c>
      <c r="S2350" s="8">
        <v>1.4830000000000001</v>
      </c>
      <c r="T2350" s="8">
        <v>1.925</v>
      </c>
      <c r="U2350" s="8">
        <v>1.145</v>
      </c>
      <c r="V2350" s="8">
        <v>1.161</v>
      </c>
      <c r="W2350" s="8">
        <v>1.0249999999999999</v>
      </c>
      <c r="X2350" s="8">
        <v>0.80900000000000005</v>
      </c>
      <c r="Y2350" s="8">
        <v>0.47599999999999998</v>
      </c>
      <c r="Z2350" s="8">
        <v>0.22600000000000001</v>
      </c>
      <c r="AA2350" s="8">
        <v>4.7E-2</v>
      </c>
      <c r="AB2350" s="8">
        <v>8.9999999999999993E-3</v>
      </c>
      <c r="AC2350" s="8">
        <v>1E-3</v>
      </c>
    </row>
    <row r="2351" spans="1:29" ht="11.65" hidden="1" x14ac:dyDescent="0.35">
      <c r="A2351" s="12">
        <v>2334</v>
      </c>
      <c r="B2351" s="10" t="s">
        <v>1015</v>
      </c>
      <c r="C2351" s="11" t="s">
        <v>1179</v>
      </c>
      <c r="D2351" s="9"/>
      <c r="E2351" s="9">
        <v>308</v>
      </c>
      <c r="F2351" s="10" t="s">
        <v>1066</v>
      </c>
      <c r="G2351" s="9">
        <v>915</v>
      </c>
      <c r="H2351" s="9">
        <v>1990</v>
      </c>
      <c r="I2351" s="8">
        <v>7.2460000000000004</v>
      </c>
      <c r="J2351" s="8">
        <v>6.3179999999999996</v>
      </c>
      <c r="K2351" s="8">
        <v>4.8680000000000003</v>
      </c>
      <c r="L2351" s="8">
        <v>4.9630000000000001</v>
      </c>
      <c r="M2351" s="8">
        <v>3.6789999999999998</v>
      </c>
      <c r="N2351" s="8">
        <v>3.5470000000000002</v>
      </c>
      <c r="O2351" s="8">
        <v>3.0870000000000002</v>
      </c>
      <c r="P2351" s="8">
        <v>2.3929999999999998</v>
      </c>
      <c r="Q2351" s="8">
        <v>1.857</v>
      </c>
      <c r="R2351" s="8">
        <v>1.419</v>
      </c>
      <c r="S2351" s="8">
        <v>1.726</v>
      </c>
      <c r="T2351" s="8">
        <v>1.3660000000000001</v>
      </c>
      <c r="U2351" s="8">
        <v>1.667</v>
      </c>
      <c r="V2351" s="8">
        <v>1.591</v>
      </c>
      <c r="W2351" s="8">
        <v>1.526</v>
      </c>
      <c r="X2351" s="8">
        <v>0.755</v>
      </c>
      <c r="Y2351" s="8">
        <v>0.498</v>
      </c>
      <c r="Z2351" s="8">
        <v>0.23100000000000001</v>
      </c>
      <c r="AA2351" s="8">
        <v>7.2999999999999995E-2</v>
      </c>
      <c r="AB2351" s="8">
        <v>8.9999999999999993E-3</v>
      </c>
      <c r="AC2351" s="8">
        <v>1E-3</v>
      </c>
    </row>
    <row r="2352" spans="1:29" ht="11.65" hidden="1" x14ac:dyDescent="0.35">
      <c r="A2352" s="12">
        <v>2335</v>
      </c>
      <c r="B2352" s="10" t="s">
        <v>1015</v>
      </c>
      <c r="C2352" s="11" t="s">
        <v>1179</v>
      </c>
      <c r="D2352" s="9"/>
      <c r="E2352" s="9">
        <v>308</v>
      </c>
      <c r="F2352" s="10" t="s">
        <v>1066</v>
      </c>
      <c r="G2352" s="9">
        <v>915</v>
      </c>
      <c r="H2352" s="9">
        <v>1995</v>
      </c>
      <c r="I2352" s="8">
        <v>6.0049999999999999</v>
      </c>
      <c r="J2352" s="8">
        <v>6.8840000000000003</v>
      </c>
      <c r="K2352" s="8">
        <v>6.0110000000000001</v>
      </c>
      <c r="L2352" s="8">
        <v>4.2469999999999999</v>
      </c>
      <c r="M2352" s="8">
        <v>3.9649999999999999</v>
      </c>
      <c r="N2352" s="8">
        <v>3.43</v>
      </c>
      <c r="O2352" s="8">
        <v>3.5329999999999999</v>
      </c>
      <c r="P2352" s="8">
        <v>3.1459999999999999</v>
      </c>
      <c r="Q2352" s="8">
        <v>2.33</v>
      </c>
      <c r="R2352" s="8">
        <v>1.8069999999999999</v>
      </c>
      <c r="S2352" s="8">
        <v>1.399</v>
      </c>
      <c r="T2352" s="8">
        <v>1.712</v>
      </c>
      <c r="U2352" s="8">
        <v>1.5109999999999999</v>
      </c>
      <c r="V2352" s="8">
        <v>1.512</v>
      </c>
      <c r="W2352" s="8">
        <v>1.329</v>
      </c>
      <c r="X2352" s="8">
        <v>0.90200000000000002</v>
      </c>
      <c r="Y2352" s="8">
        <v>0.44800000000000001</v>
      </c>
      <c r="Z2352" s="8">
        <v>0.251</v>
      </c>
      <c r="AA2352" s="8">
        <v>7.5999999999999998E-2</v>
      </c>
      <c r="AB2352" s="8">
        <v>1.4E-2</v>
      </c>
      <c r="AC2352" s="8">
        <v>1E-3</v>
      </c>
    </row>
    <row r="2353" spans="1:29" ht="11.65" hidden="1" x14ac:dyDescent="0.35">
      <c r="A2353" s="12">
        <v>2336</v>
      </c>
      <c r="B2353" s="10" t="s">
        <v>1015</v>
      </c>
      <c r="C2353" s="11" t="s">
        <v>1179</v>
      </c>
      <c r="D2353" s="9"/>
      <c r="E2353" s="9">
        <v>308</v>
      </c>
      <c r="F2353" s="10" t="s">
        <v>1066</v>
      </c>
      <c r="G2353" s="9">
        <v>915</v>
      </c>
      <c r="H2353" s="9">
        <v>2000</v>
      </c>
      <c r="I2353" s="8">
        <v>4.9749999999999996</v>
      </c>
      <c r="J2353" s="8">
        <v>5.5410000000000004</v>
      </c>
      <c r="K2353" s="8">
        <v>6.5380000000000003</v>
      </c>
      <c r="L2353" s="8">
        <v>5.7210000000000001</v>
      </c>
      <c r="M2353" s="8">
        <v>3.7069999999999999</v>
      </c>
      <c r="N2353" s="8">
        <v>3.1669999999999998</v>
      </c>
      <c r="O2353" s="8">
        <v>3.198</v>
      </c>
      <c r="P2353" s="8">
        <v>3.5179999999999998</v>
      </c>
      <c r="Q2353" s="8">
        <v>3.2040000000000002</v>
      </c>
      <c r="R2353" s="8">
        <v>2.2690000000000001</v>
      </c>
      <c r="S2353" s="8">
        <v>1.7569999999999999</v>
      </c>
      <c r="T2353" s="8">
        <v>1.38</v>
      </c>
      <c r="U2353" s="8">
        <v>1.698</v>
      </c>
      <c r="V2353" s="8">
        <v>1.671</v>
      </c>
      <c r="W2353" s="8">
        <v>1.37</v>
      </c>
      <c r="X2353" s="8">
        <v>1.1100000000000001</v>
      </c>
      <c r="Y2353" s="8">
        <v>0.53400000000000003</v>
      </c>
      <c r="Z2353" s="8">
        <v>0.23300000000000001</v>
      </c>
      <c r="AA2353" s="8">
        <v>8.6999999999999994E-2</v>
      </c>
      <c r="AB2353" s="8">
        <v>1.4999999999999999E-2</v>
      </c>
      <c r="AC2353" s="8">
        <v>1E-3</v>
      </c>
    </row>
    <row r="2354" spans="1:29" ht="11.65" hidden="1" x14ac:dyDescent="0.35">
      <c r="A2354" s="12">
        <v>2337</v>
      </c>
      <c r="B2354" s="10" t="s">
        <v>1015</v>
      </c>
      <c r="C2354" s="11" t="s">
        <v>1179</v>
      </c>
      <c r="D2354" s="9"/>
      <c r="E2354" s="9">
        <v>308</v>
      </c>
      <c r="F2354" s="10" t="s">
        <v>1066</v>
      </c>
      <c r="G2354" s="9">
        <v>915</v>
      </c>
      <c r="H2354" s="9">
        <v>2005</v>
      </c>
      <c r="I2354" s="8">
        <v>4.5650000000000004</v>
      </c>
      <c r="J2354" s="8">
        <v>4.6989999999999998</v>
      </c>
      <c r="K2354" s="8">
        <v>5.23</v>
      </c>
      <c r="L2354" s="8">
        <v>5.556</v>
      </c>
      <c r="M2354" s="8">
        <v>5.1029999999999998</v>
      </c>
      <c r="N2354" s="8">
        <v>3.5329999999999999</v>
      </c>
      <c r="O2354" s="8">
        <v>3.1389999999999998</v>
      </c>
      <c r="P2354" s="8">
        <v>3.0870000000000002</v>
      </c>
      <c r="Q2354" s="8">
        <v>3.379</v>
      </c>
      <c r="R2354" s="8">
        <v>3.161</v>
      </c>
      <c r="S2354" s="8">
        <v>2.2160000000000002</v>
      </c>
      <c r="T2354" s="8">
        <v>1.7729999999999999</v>
      </c>
      <c r="U2354" s="8">
        <v>1.4950000000000001</v>
      </c>
      <c r="V2354" s="8">
        <v>1.585</v>
      </c>
      <c r="W2354" s="8">
        <v>1.423</v>
      </c>
      <c r="X2354" s="8">
        <v>1.119</v>
      </c>
      <c r="Y2354" s="8">
        <v>0.71299999999999997</v>
      </c>
      <c r="Z2354" s="8">
        <v>0.28399999999999997</v>
      </c>
      <c r="AA2354" s="8">
        <v>8.4000000000000005E-2</v>
      </c>
      <c r="AB2354" s="8">
        <v>1.9E-2</v>
      </c>
      <c r="AC2354" s="8">
        <v>2E-3</v>
      </c>
    </row>
    <row r="2355" spans="1:29" ht="11.65" hidden="1" x14ac:dyDescent="0.35">
      <c r="A2355" s="12">
        <v>2338</v>
      </c>
      <c r="B2355" s="10" t="s">
        <v>1015</v>
      </c>
      <c r="C2355" s="11" t="s">
        <v>1179</v>
      </c>
      <c r="D2355" s="9"/>
      <c r="E2355" s="9">
        <v>308</v>
      </c>
      <c r="F2355" s="10" t="s">
        <v>1066</v>
      </c>
      <c r="G2355" s="9">
        <v>915</v>
      </c>
      <c r="H2355" s="9">
        <v>2010</v>
      </c>
      <c r="I2355" s="8">
        <v>4.2270000000000003</v>
      </c>
      <c r="J2355" s="8">
        <v>3.7629999999999999</v>
      </c>
      <c r="K2355" s="8">
        <v>4.4800000000000004</v>
      </c>
      <c r="L2355" s="8">
        <v>4.9820000000000002</v>
      </c>
      <c r="M2355" s="8">
        <v>4.766</v>
      </c>
      <c r="N2355" s="8">
        <v>4.5949999999999998</v>
      </c>
      <c r="O2355" s="8">
        <v>3.399</v>
      </c>
      <c r="P2355" s="8">
        <v>3.141</v>
      </c>
      <c r="Q2355" s="8">
        <v>3.0059999999999998</v>
      </c>
      <c r="R2355" s="8">
        <v>3.278</v>
      </c>
      <c r="S2355" s="8">
        <v>3.1480000000000001</v>
      </c>
      <c r="T2355" s="8">
        <v>2.1880000000000002</v>
      </c>
      <c r="U2355" s="8">
        <v>1.8069999999999999</v>
      </c>
      <c r="V2355" s="8">
        <v>1.635</v>
      </c>
      <c r="W2355" s="8">
        <v>1.4930000000000001</v>
      </c>
      <c r="X2355" s="8">
        <v>1.2230000000000001</v>
      </c>
      <c r="Y2355" s="8">
        <v>0.92200000000000004</v>
      </c>
      <c r="Z2355" s="8">
        <v>0.38300000000000001</v>
      </c>
      <c r="AA2355" s="8">
        <v>0.10299999999999999</v>
      </c>
      <c r="AB2355" s="8">
        <v>1.9E-2</v>
      </c>
      <c r="AC2355" s="8">
        <v>2E-3</v>
      </c>
    </row>
    <row r="2356" spans="1:29" ht="11.65" hidden="1" x14ac:dyDescent="0.35">
      <c r="A2356" s="12">
        <v>2339</v>
      </c>
      <c r="B2356" s="10" t="s">
        <v>1015</v>
      </c>
      <c r="C2356" s="11" t="s">
        <v>1179</v>
      </c>
      <c r="D2356" s="9"/>
      <c r="E2356" s="9">
        <v>308</v>
      </c>
      <c r="F2356" s="10" t="s">
        <v>1066</v>
      </c>
      <c r="G2356" s="9">
        <v>915</v>
      </c>
      <c r="H2356" s="9">
        <v>2015</v>
      </c>
      <c r="I2356" s="8">
        <v>4.4749999999999996</v>
      </c>
      <c r="J2356" s="8">
        <v>4.2069999999999999</v>
      </c>
      <c r="K2356" s="8">
        <v>3.7450000000000001</v>
      </c>
      <c r="L2356" s="8">
        <v>4.4119999999999999</v>
      </c>
      <c r="M2356" s="8">
        <v>4.8620000000000001</v>
      </c>
      <c r="N2356" s="8">
        <v>4.6520000000000001</v>
      </c>
      <c r="O2356" s="8">
        <v>4.5010000000000003</v>
      </c>
      <c r="P2356" s="8">
        <v>3.33</v>
      </c>
      <c r="Q2356" s="8">
        <v>3.081</v>
      </c>
      <c r="R2356" s="8">
        <v>2.9420000000000002</v>
      </c>
      <c r="S2356" s="8">
        <v>3.1930000000000001</v>
      </c>
      <c r="T2356" s="8">
        <v>3.0379999999999998</v>
      </c>
      <c r="U2356" s="8">
        <v>2.0750000000000002</v>
      </c>
      <c r="V2356" s="8">
        <v>1.667</v>
      </c>
      <c r="W2356" s="8">
        <v>1.44</v>
      </c>
      <c r="X2356" s="8">
        <v>1.206</v>
      </c>
      <c r="Y2356" s="8">
        <v>0.84299999999999997</v>
      </c>
      <c r="Z2356" s="8">
        <v>0.48699999999999999</v>
      </c>
      <c r="AA2356" s="8">
        <v>0.13500000000000001</v>
      </c>
      <c r="AB2356" s="8">
        <v>2.1000000000000001E-2</v>
      </c>
      <c r="AC2356" s="8">
        <v>2E-3</v>
      </c>
    </row>
    <row r="2357" spans="1:29" ht="11.65" hidden="1" x14ac:dyDescent="0.35">
      <c r="A2357" s="12">
        <v>2340</v>
      </c>
      <c r="B2357" s="10" t="s">
        <v>1015</v>
      </c>
      <c r="C2357" s="11" t="s">
        <v>1179</v>
      </c>
      <c r="D2357" s="9"/>
      <c r="E2357" s="9">
        <v>308</v>
      </c>
      <c r="F2357" s="10" t="s">
        <v>1066</v>
      </c>
      <c r="G2357" s="9">
        <v>915</v>
      </c>
      <c r="H2357" s="9">
        <v>2020</v>
      </c>
      <c r="I2357" s="8">
        <v>4.4020000000000001</v>
      </c>
      <c r="J2357" s="8">
        <v>4.4539999999999997</v>
      </c>
      <c r="K2357" s="8">
        <v>4.1879999999999997</v>
      </c>
      <c r="L2357" s="8">
        <v>3.6779999999999999</v>
      </c>
      <c r="M2357" s="8">
        <v>4.2930000000000001</v>
      </c>
      <c r="N2357" s="8">
        <v>4.7469999999999999</v>
      </c>
      <c r="O2357" s="8">
        <v>4.5579999999999998</v>
      </c>
      <c r="P2357" s="8">
        <v>4.423</v>
      </c>
      <c r="Q2357" s="8">
        <v>3.2650000000000001</v>
      </c>
      <c r="R2357" s="8">
        <v>3.016</v>
      </c>
      <c r="S2357" s="8">
        <v>2.8650000000000002</v>
      </c>
      <c r="T2357" s="8">
        <v>3.081</v>
      </c>
      <c r="U2357" s="8">
        <v>2.8839999999999999</v>
      </c>
      <c r="V2357" s="8">
        <v>1.915</v>
      </c>
      <c r="W2357" s="8">
        <v>1.464</v>
      </c>
      <c r="X2357" s="8">
        <v>1.155</v>
      </c>
      <c r="Y2357" s="8">
        <v>0.82199999999999995</v>
      </c>
      <c r="Z2357" s="8">
        <v>0.441</v>
      </c>
      <c r="AA2357" s="8">
        <v>0.17199999999999999</v>
      </c>
      <c r="AB2357" s="8">
        <v>2.8000000000000001E-2</v>
      </c>
      <c r="AC2357" s="8">
        <v>2E-3</v>
      </c>
    </row>
    <row r="2358" spans="1:29" ht="11.65" hidden="1" x14ac:dyDescent="0.35">
      <c r="A2358" s="12">
        <v>2341</v>
      </c>
      <c r="B2358" s="10" t="s">
        <v>1015</v>
      </c>
      <c r="C2358" s="11" t="s">
        <v>1180</v>
      </c>
      <c r="D2358" s="9">
        <v>2</v>
      </c>
      <c r="E2358" s="9">
        <v>312</v>
      </c>
      <c r="F2358" s="10" t="s">
        <v>1066</v>
      </c>
      <c r="G2358" s="9">
        <v>915</v>
      </c>
      <c r="H2358" s="9">
        <v>1950</v>
      </c>
      <c r="I2358" s="8">
        <v>18</v>
      </c>
      <c r="J2358" s="8">
        <v>12</v>
      </c>
      <c r="K2358" s="8">
        <v>11</v>
      </c>
      <c r="L2358" s="8">
        <v>10</v>
      </c>
      <c r="M2358" s="8">
        <v>9</v>
      </c>
      <c r="N2358" s="8">
        <v>7.9989999999999997</v>
      </c>
      <c r="O2358" s="8">
        <v>7.0010000000000003</v>
      </c>
      <c r="P2358" s="8">
        <v>6.9989999999999997</v>
      </c>
      <c r="Q2358" s="8">
        <v>6.0010000000000003</v>
      </c>
      <c r="R2358" s="8">
        <v>5</v>
      </c>
      <c r="S2358" s="8">
        <v>3.9990000000000001</v>
      </c>
      <c r="T2358" s="8">
        <v>3.0009999999999999</v>
      </c>
      <c r="U2358" s="8">
        <v>3.0019999999999998</v>
      </c>
      <c r="V2358" s="8">
        <v>1.998</v>
      </c>
      <c r="W2358" s="8">
        <v>2</v>
      </c>
      <c r="X2358" s="8">
        <v>0.999</v>
      </c>
      <c r="Y2358" s="8">
        <v>0.60599999999999998</v>
      </c>
      <c r="Z2358" s="8">
        <v>0.27700000000000002</v>
      </c>
      <c r="AA2358" s="8">
        <v>9.0999999999999998E-2</v>
      </c>
      <c r="AB2358" s="8">
        <v>0.02</v>
      </c>
      <c r="AC2358" s="8">
        <v>4.0000000000000001E-3</v>
      </c>
    </row>
    <row r="2359" spans="1:29" ht="11.65" hidden="1" x14ac:dyDescent="0.35">
      <c r="A2359" s="12">
        <v>2342</v>
      </c>
      <c r="B2359" s="10" t="s">
        <v>1015</v>
      </c>
      <c r="C2359" s="11" t="s">
        <v>1180</v>
      </c>
      <c r="D2359" s="9">
        <v>2</v>
      </c>
      <c r="E2359" s="9">
        <v>312</v>
      </c>
      <c r="F2359" s="10" t="s">
        <v>1066</v>
      </c>
      <c r="G2359" s="9">
        <v>915</v>
      </c>
      <c r="H2359" s="9">
        <v>1955</v>
      </c>
      <c r="I2359" s="8">
        <v>19.055</v>
      </c>
      <c r="J2359" s="8">
        <v>16.88</v>
      </c>
      <c r="K2359" s="8">
        <v>11.954000000000001</v>
      </c>
      <c r="L2359" s="8">
        <v>10.016999999999999</v>
      </c>
      <c r="M2359" s="8">
        <v>10.000999999999999</v>
      </c>
      <c r="N2359" s="8">
        <v>9.0009999999999994</v>
      </c>
      <c r="O2359" s="8">
        <v>7.9989999999999997</v>
      </c>
      <c r="P2359" s="8">
        <v>7</v>
      </c>
      <c r="Q2359" s="8">
        <v>6</v>
      </c>
      <c r="R2359" s="8">
        <v>4.9969999999999999</v>
      </c>
      <c r="S2359" s="8">
        <v>4.0049999999999999</v>
      </c>
      <c r="T2359" s="8">
        <v>4</v>
      </c>
      <c r="U2359" s="8">
        <v>2.996</v>
      </c>
      <c r="V2359" s="8">
        <v>3.0030000000000001</v>
      </c>
      <c r="W2359" s="8">
        <v>2.0950000000000002</v>
      </c>
      <c r="X2359" s="8">
        <v>1.194</v>
      </c>
      <c r="Y2359" s="8">
        <v>0.54800000000000004</v>
      </c>
      <c r="Z2359" s="8">
        <v>0.248</v>
      </c>
      <c r="AA2359" s="8">
        <v>7.4999999999999997E-2</v>
      </c>
      <c r="AB2359" s="8">
        <v>1.4999999999999999E-2</v>
      </c>
      <c r="AC2359" s="8">
        <v>2E-3</v>
      </c>
    </row>
    <row r="2360" spans="1:29" ht="11.65" hidden="1" x14ac:dyDescent="0.35">
      <c r="A2360" s="12">
        <v>2343</v>
      </c>
      <c r="B2360" s="10" t="s">
        <v>1015</v>
      </c>
      <c r="C2360" s="11" t="s">
        <v>1180</v>
      </c>
      <c r="D2360" s="9">
        <v>2</v>
      </c>
      <c r="E2360" s="9">
        <v>312</v>
      </c>
      <c r="F2360" s="10" t="s">
        <v>1066</v>
      </c>
      <c r="G2360" s="9">
        <v>915</v>
      </c>
      <c r="H2360" s="9">
        <v>1960</v>
      </c>
      <c r="I2360" s="8">
        <v>22.033999999999999</v>
      </c>
      <c r="J2360" s="8">
        <v>18.978000000000002</v>
      </c>
      <c r="K2360" s="8">
        <v>16.838999999999999</v>
      </c>
      <c r="L2360" s="8">
        <v>11.965</v>
      </c>
      <c r="M2360" s="8">
        <v>10.019</v>
      </c>
      <c r="N2360" s="8">
        <v>9</v>
      </c>
      <c r="O2360" s="8">
        <v>8.9979999999999993</v>
      </c>
      <c r="P2360" s="8">
        <v>8.0990000000000002</v>
      </c>
      <c r="Q2360" s="8">
        <v>7.0019999999999998</v>
      </c>
      <c r="R2360" s="8">
        <v>5.9989999999999997</v>
      </c>
      <c r="S2360" s="8">
        <v>5</v>
      </c>
      <c r="T2360" s="8">
        <v>4.0030000000000001</v>
      </c>
      <c r="U2360" s="8">
        <v>2.9969999999999999</v>
      </c>
      <c r="V2360" s="8">
        <v>2.9980000000000002</v>
      </c>
      <c r="W2360" s="8">
        <v>2.9980000000000002</v>
      </c>
      <c r="X2360" s="8">
        <v>1.9850000000000001</v>
      </c>
      <c r="Y2360" s="8">
        <v>0.74199999999999999</v>
      </c>
      <c r="Z2360" s="8">
        <v>0.24299999999999999</v>
      </c>
      <c r="AA2360" s="8">
        <v>7.5999999999999998E-2</v>
      </c>
      <c r="AB2360" s="8">
        <v>1.4999999999999999E-2</v>
      </c>
      <c r="AC2360" s="8">
        <v>2E-3</v>
      </c>
    </row>
    <row r="2361" spans="1:29" ht="11.65" hidden="1" x14ac:dyDescent="0.35">
      <c r="A2361" s="12">
        <v>2344</v>
      </c>
      <c r="B2361" s="10" t="s">
        <v>1015</v>
      </c>
      <c r="C2361" s="11" t="s">
        <v>1180</v>
      </c>
      <c r="D2361" s="9">
        <v>2</v>
      </c>
      <c r="E2361" s="9">
        <v>312</v>
      </c>
      <c r="F2361" s="10" t="s">
        <v>1066</v>
      </c>
      <c r="G2361" s="9">
        <v>915</v>
      </c>
      <c r="H2361" s="9">
        <v>1965</v>
      </c>
      <c r="I2361" s="8">
        <v>22.972000000000001</v>
      </c>
      <c r="J2361" s="8">
        <v>22.861000000000001</v>
      </c>
      <c r="K2361" s="8">
        <v>19.25</v>
      </c>
      <c r="L2361" s="8">
        <v>16.248999999999999</v>
      </c>
      <c r="M2361" s="8">
        <v>11.566000000000001</v>
      </c>
      <c r="N2361" s="8">
        <v>8.7170000000000005</v>
      </c>
      <c r="O2361" s="8">
        <v>7.6980000000000004</v>
      </c>
      <c r="P2361" s="8">
        <v>7.6989999999999998</v>
      </c>
      <c r="Q2361" s="8">
        <v>7.6989999999999998</v>
      </c>
      <c r="R2361" s="8">
        <v>5.8010000000000002</v>
      </c>
      <c r="S2361" s="8">
        <v>5.8019999999999996</v>
      </c>
      <c r="T2361" s="8">
        <v>4.8</v>
      </c>
      <c r="U2361" s="8">
        <v>3.9009999999999998</v>
      </c>
      <c r="V2361" s="8">
        <v>2.8980000000000001</v>
      </c>
      <c r="W2361" s="8">
        <v>1.897</v>
      </c>
      <c r="X2361" s="8">
        <v>1.88</v>
      </c>
      <c r="Y2361" s="8">
        <v>1.224</v>
      </c>
      <c r="Z2361" s="8">
        <v>0.35499999999999998</v>
      </c>
      <c r="AA2361" s="8">
        <v>8.4000000000000005E-2</v>
      </c>
      <c r="AB2361" s="8">
        <v>1.4999999999999999E-2</v>
      </c>
      <c r="AC2361" s="8">
        <v>2E-3</v>
      </c>
    </row>
    <row r="2362" spans="1:29" ht="11.65" hidden="1" x14ac:dyDescent="0.35">
      <c r="A2362" s="12">
        <v>2345</v>
      </c>
      <c r="B2362" s="10" t="s">
        <v>1015</v>
      </c>
      <c r="C2362" s="11" t="s">
        <v>1180</v>
      </c>
      <c r="D2362" s="9">
        <v>2</v>
      </c>
      <c r="E2362" s="9">
        <v>312</v>
      </c>
      <c r="F2362" s="10" t="s">
        <v>1066</v>
      </c>
      <c r="G2362" s="9">
        <v>915</v>
      </c>
      <c r="H2362" s="9">
        <v>1970</v>
      </c>
      <c r="I2362" s="8">
        <v>22.858000000000001</v>
      </c>
      <c r="J2362" s="8">
        <v>23.678000000000001</v>
      </c>
      <c r="K2362" s="8">
        <v>21.917000000000002</v>
      </c>
      <c r="L2362" s="8">
        <v>17.132000000000001</v>
      </c>
      <c r="M2362" s="8">
        <v>13.209</v>
      </c>
      <c r="N2362" s="8">
        <v>10.188000000000001</v>
      </c>
      <c r="O2362" s="8">
        <v>8.2460000000000004</v>
      </c>
      <c r="P2362" s="8">
        <v>7.8949999999999996</v>
      </c>
      <c r="Q2362" s="8">
        <v>7.6470000000000002</v>
      </c>
      <c r="R2362" s="8">
        <v>7.5209999999999999</v>
      </c>
      <c r="S2362" s="8">
        <v>5.66</v>
      </c>
      <c r="T2362" s="8">
        <v>5.8250000000000002</v>
      </c>
      <c r="U2362" s="8">
        <v>4.1719999999999997</v>
      </c>
      <c r="V2362" s="8">
        <v>3.0950000000000002</v>
      </c>
      <c r="W2362" s="8">
        <v>2.0209999999999999</v>
      </c>
      <c r="X2362" s="8">
        <v>1.1910000000000001</v>
      </c>
      <c r="Y2362" s="8">
        <v>1.5740000000000001</v>
      </c>
      <c r="Z2362" s="8">
        <v>0.626</v>
      </c>
      <c r="AA2362" s="8">
        <v>0.13100000000000001</v>
      </c>
      <c r="AB2362" s="8">
        <v>1.9E-2</v>
      </c>
      <c r="AC2362" s="8">
        <v>2E-3</v>
      </c>
    </row>
    <row r="2363" spans="1:29" ht="11.65" hidden="1" x14ac:dyDescent="0.35">
      <c r="A2363" s="12">
        <v>2346</v>
      </c>
      <c r="B2363" s="10" t="s">
        <v>1015</v>
      </c>
      <c r="C2363" s="11" t="s">
        <v>1180</v>
      </c>
      <c r="D2363" s="9">
        <v>2</v>
      </c>
      <c r="E2363" s="9">
        <v>312</v>
      </c>
      <c r="F2363" s="10" t="s">
        <v>1066</v>
      </c>
      <c r="G2363" s="9">
        <v>915</v>
      </c>
      <c r="H2363" s="9">
        <v>1975</v>
      </c>
      <c r="I2363" s="8">
        <v>21.251999999999999</v>
      </c>
      <c r="J2363" s="8">
        <v>21.951000000000001</v>
      </c>
      <c r="K2363" s="8">
        <v>24.161000000000001</v>
      </c>
      <c r="L2363" s="8">
        <v>19.614999999999998</v>
      </c>
      <c r="M2363" s="8">
        <v>11.135999999999999</v>
      </c>
      <c r="N2363" s="8">
        <v>9.4130000000000003</v>
      </c>
      <c r="O2363" s="8">
        <v>8.8840000000000003</v>
      </c>
      <c r="P2363" s="8">
        <v>8.5410000000000004</v>
      </c>
      <c r="Q2363" s="8">
        <v>7.7919999999999998</v>
      </c>
      <c r="R2363" s="8">
        <v>7.0519999999999996</v>
      </c>
      <c r="S2363" s="8">
        <v>7.2939999999999996</v>
      </c>
      <c r="T2363" s="8">
        <v>4.9690000000000003</v>
      </c>
      <c r="U2363" s="8">
        <v>4.93</v>
      </c>
      <c r="V2363" s="8">
        <v>4.1479999999999997</v>
      </c>
      <c r="W2363" s="8">
        <v>3.069</v>
      </c>
      <c r="X2363" s="8">
        <v>2.08</v>
      </c>
      <c r="Y2363" s="8">
        <v>0.88100000000000001</v>
      </c>
      <c r="Z2363" s="8">
        <v>0.85799999999999998</v>
      </c>
      <c r="AA2363" s="8">
        <v>0.251</v>
      </c>
      <c r="AB2363" s="8">
        <v>3.4000000000000002E-2</v>
      </c>
      <c r="AC2363" s="8">
        <v>3.0000000000000001E-3</v>
      </c>
    </row>
    <row r="2364" spans="1:29" ht="11.65" hidden="1" x14ac:dyDescent="0.35">
      <c r="A2364" s="12">
        <v>2347</v>
      </c>
      <c r="B2364" s="10" t="s">
        <v>1015</v>
      </c>
      <c r="C2364" s="11" t="s">
        <v>1180</v>
      </c>
      <c r="D2364" s="9">
        <v>2</v>
      </c>
      <c r="E2364" s="9">
        <v>312</v>
      </c>
      <c r="F2364" s="10" t="s">
        <v>1066</v>
      </c>
      <c r="G2364" s="9">
        <v>915</v>
      </c>
      <c r="H2364" s="9">
        <v>1980</v>
      </c>
      <c r="I2364" s="8">
        <v>16.539000000000001</v>
      </c>
      <c r="J2364" s="8">
        <v>18.884</v>
      </c>
      <c r="K2364" s="8">
        <v>22.22</v>
      </c>
      <c r="L2364" s="8">
        <v>22.041</v>
      </c>
      <c r="M2364" s="8">
        <v>12.885999999999999</v>
      </c>
      <c r="N2364" s="8">
        <v>11.352</v>
      </c>
      <c r="O2364" s="8">
        <v>11.175000000000001</v>
      </c>
      <c r="P2364" s="8">
        <v>9.0860000000000003</v>
      </c>
      <c r="Q2364" s="8">
        <v>7.9</v>
      </c>
      <c r="R2364" s="8">
        <v>7.6660000000000004</v>
      </c>
      <c r="S2364" s="8">
        <v>7.0030000000000001</v>
      </c>
      <c r="T2364" s="8">
        <v>6.4610000000000003</v>
      </c>
      <c r="U2364" s="8">
        <v>5.1589999999999998</v>
      </c>
      <c r="V2364" s="8">
        <v>4.8049999999999997</v>
      </c>
      <c r="W2364" s="8">
        <v>3.5169999999999999</v>
      </c>
      <c r="X2364" s="8">
        <v>2.645</v>
      </c>
      <c r="Y2364" s="8">
        <v>1.9019999999999999</v>
      </c>
      <c r="Z2364" s="8">
        <v>0.50700000000000001</v>
      </c>
      <c r="AA2364" s="8">
        <v>0.36899999999999999</v>
      </c>
      <c r="AB2364" s="8">
        <v>7.1999999999999995E-2</v>
      </c>
      <c r="AC2364" s="8">
        <v>6.0000000000000001E-3</v>
      </c>
    </row>
    <row r="2365" spans="1:29" ht="11.65" hidden="1" x14ac:dyDescent="0.35">
      <c r="A2365" s="12">
        <v>2348</v>
      </c>
      <c r="B2365" s="10" t="s">
        <v>1015</v>
      </c>
      <c r="C2365" s="11" t="s">
        <v>1180</v>
      </c>
      <c r="D2365" s="9">
        <v>2</v>
      </c>
      <c r="E2365" s="9">
        <v>312</v>
      </c>
      <c r="F2365" s="10" t="s">
        <v>1066</v>
      </c>
      <c r="G2365" s="9">
        <v>915</v>
      </c>
      <c r="H2365" s="9">
        <v>1985</v>
      </c>
      <c r="I2365" s="8">
        <v>14.247999999999999</v>
      </c>
      <c r="J2365" s="8">
        <v>14.683999999999999</v>
      </c>
      <c r="K2365" s="8">
        <v>19.105</v>
      </c>
      <c r="L2365" s="8">
        <v>20.524000000000001</v>
      </c>
      <c r="M2365" s="8">
        <v>16.646000000000001</v>
      </c>
      <c r="N2365" s="8">
        <v>13.047000000000001</v>
      </c>
      <c r="O2365" s="8">
        <v>12.747</v>
      </c>
      <c r="P2365" s="8">
        <v>11.31</v>
      </c>
      <c r="Q2365" s="8">
        <v>8.5630000000000006</v>
      </c>
      <c r="R2365" s="8">
        <v>7.7930000000000001</v>
      </c>
      <c r="S2365" s="8">
        <v>7.6059999999999999</v>
      </c>
      <c r="T2365" s="8">
        <v>6.3319999999999999</v>
      </c>
      <c r="U2365" s="8">
        <v>6.508</v>
      </c>
      <c r="V2365" s="8">
        <v>5</v>
      </c>
      <c r="W2365" s="8">
        <v>4.1779999999999999</v>
      </c>
      <c r="X2365" s="8">
        <v>3.036</v>
      </c>
      <c r="Y2365" s="8">
        <v>2.2770000000000001</v>
      </c>
      <c r="Z2365" s="8">
        <v>1.1499999999999999</v>
      </c>
      <c r="AA2365" s="8">
        <v>0.23300000000000001</v>
      </c>
      <c r="AB2365" s="8">
        <v>0.11600000000000001</v>
      </c>
      <c r="AC2365" s="8">
        <v>1.4E-2</v>
      </c>
    </row>
    <row r="2366" spans="1:29" ht="11.65" hidden="1" x14ac:dyDescent="0.35">
      <c r="A2366" s="12">
        <v>2349</v>
      </c>
      <c r="B2366" s="10" t="s">
        <v>1015</v>
      </c>
      <c r="C2366" s="11" t="s">
        <v>1180</v>
      </c>
      <c r="D2366" s="9">
        <v>2</v>
      </c>
      <c r="E2366" s="9">
        <v>312</v>
      </c>
      <c r="F2366" s="10" t="s">
        <v>1066</v>
      </c>
      <c r="G2366" s="9">
        <v>915</v>
      </c>
      <c r="H2366" s="9">
        <v>1990</v>
      </c>
      <c r="I2366" s="8">
        <v>15.851000000000001</v>
      </c>
      <c r="J2366" s="8">
        <v>15.282999999999999</v>
      </c>
      <c r="K2366" s="8">
        <v>16.385000000000002</v>
      </c>
      <c r="L2366" s="8">
        <v>20.884</v>
      </c>
      <c r="M2366" s="8">
        <v>18.013000000000002</v>
      </c>
      <c r="N2366" s="8">
        <v>18.227</v>
      </c>
      <c r="O2366" s="8">
        <v>16.489000000000001</v>
      </c>
      <c r="P2366" s="8">
        <v>14.339</v>
      </c>
      <c r="Q2366" s="8">
        <v>12.464</v>
      </c>
      <c r="R2366" s="8">
        <v>9.6319999999999997</v>
      </c>
      <c r="S2366" s="8">
        <v>8.2189999999999994</v>
      </c>
      <c r="T2366" s="8">
        <v>7.5449999999999999</v>
      </c>
      <c r="U2366" s="8">
        <v>6.7830000000000004</v>
      </c>
      <c r="V2366" s="8">
        <v>6.1429999999999998</v>
      </c>
      <c r="W2366" s="8">
        <v>4.6150000000000002</v>
      </c>
      <c r="X2366" s="8">
        <v>3.7850000000000001</v>
      </c>
      <c r="Y2366" s="8">
        <v>2.1800000000000002</v>
      </c>
      <c r="Z2366" s="8">
        <v>1.4410000000000001</v>
      </c>
      <c r="AA2366" s="8">
        <v>0.56299999999999994</v>
      </c>
      <c r="AB2366" s="8">
        <v>7.9000000000000001E-2</v>
      </c>
      <c r="AC2366" s="8">
        <v>2.5000000000000001E-2</v>
      </c>
    </row>
    <row r="2367" spans="1:29" ht="11.65" hidden="1" x14ac:dyDescent="0.35">
      <c r="A2367" s="12">
        <v>2350</v>
      </c>
      <c r="B2367" s="10" t="s">
        <v>1015</v>
      </c>
      <c r="C2367" s="11" t="s">
        <v>1180</v>
      </c>
      <c r="D2367" s="9">
        <v>2</v>
      </c>
      <c r="E2367" s="9">
        <v>312</v>
      </c>
      <c r="F2367" s="10" t="s">
        <v>1066</v>
      </c>
      <c r="G2367" s="9">
        <v>915</v>
      </c>
      <c r="H2367" s="9">
        <v>1995</v>
      </c>
      <c r="I2367" s="8">
        <v>15.707000000000001</v>
      </c>
      <c r="J2367" s="8">
        <v>16.242999999999999</v>
      </c>
      <c r="K2367" s="8">
        <v>16.385999999999999</v>
      </c>
      <c r="L2367" s="8">
        <v>18.170000000000002</v>
      </c>
      <c r="M2367" s="8">
        <v>14.391999999999999</v>
      </c>
      <c r="N2367" s="8">
        <v>18.829000000000001</v>
      </c>
      <c r="O2367" s="8">
        <v>18.919</v>
      </c>
      <c r="P2367" s="8">
        <v>15.882999999999999</v>
      </c>
      <c r="Q2367" s="8">
        <v>14.826000000000001</v>
      </c>
      <c r="R2367" s="8">
        <v>11.773</v>
      </c>
      <c r="S2367" s="8">
        <v>9.8930000000000007</v>
      </c>
      <c r="T2367" s="8">
        <v>7.8410000000000002</v>
      </c>
      <c r="U2367" s="8">
        <v>7.4160000000000004</v>
      </c>
      <c r="V2367" s="8">
        <v>6.1660000000000004</v>
      </c>
      <c r="W2367" s="8">
        <v>5.91</v>
      </c>
      <c r="X2367" s="8">
        <v>3.8220000000000001</v>
      </c>
      <c r="Y2367" s="8">
        <v>3.181</v>
      </c>
      <c r="Z2367" s="8">
        <v>1.4359999999999999</v>
      </c>
      <c r="AA2367" s="8">
        <v>0.745</v>
      </c>
      <c r="AB2367" s="8">
        <v>0.20499999999999999</v>
      </c>
      <c r="AC2367" s="8">
        <v>2.1000000000000001E-2</v>
      </c>
    </row>
    <row r="2368" spans="1:29" ht="11.65" hidden="1" x14ac:dyDescent="0.35">
      <c r="A2368" s="12">
        <v>2351</v>
      </c>
      <c r="B2368" s="10" t="s">
        <v>1015</v>
      </c>
      <c r="C2368" s="11" t="s">
        <v>1180</v>
      </c>
      <c r="D2368" s="9">
        <v>2</v>
      </c>
      <c r="E2368" s="9">
        <v>312</v>
      </c>
      <c r="F2368" s="10" t="s">
        <v>1066</v>
      </c>
      <c r="G2368" s="9">
        <v>915</v>
      </c>
      <c r="H2368" s="9">
        <v>2000</v>
      </c>
      <c r="I2368" s="8">
        <v>15.499000000000001</v>
      </c>
      <c r="J2368" s="8">
        <v>17.195</v>
      </c>
      <c r="K2368" s="8">
        <v>18.276</v>
      </c>
      <c r="L2368" s="8">
        <v>18.003</v>
      </c>
      <c r="M2368" s="8">
        <v>12.207000000000001</v>
      </c>
      <c r="N2368" s="8">
        <v>15.198</v>
      </c>
      <c r="O2368" s="8">
        <v>19.363</v>
      </c>
      <c r="P2368" s="8">
        <v>18.332000000000001</v>
      </c>
      <c r="Q2368" s="8">
        <v>16.3</v>
      </c>
      <c r="R2368" s="8">
        <v>14.145</v>
      </c>
      <c r="S2368" s="8">
        <v>11.971</v>
      </c>
      <c r="T2368" s="8">
        <v>9.4410000000000007</v>
      </c>
      <c r="U2368" s="8">
        <v>7.6609999999999996</v>
      </c>
      <c r="V2368" s="8">
        <v>6.7969999999999997</v>
      </c>
      <c r="W2368" s="8">
        <v>5.9420000000000002</v>
      </c>
      <c r="X2368" s="8">
        <v>4.9939999999999998</v>
      </c>
      <c r="Y2368" s="8">
        <v>3.2189999999999999</v>
      </c>
      <c r="Z2368" s="8">
        <v>2.1749999999999998</v>
      </c>
      <c r="AA2368" s="8">
        <v>0.78100000000000003</v>
      </c>
      <c r="AB2368" s="8">
        <v>0.28799999999999998</v>
      </c>
      <c r="AC2368" s="8">
        <v>0.05</v>
      </c>
    </row>
    <row r="2369" spans="1:29" ht="11.65" hidden="1" x14ac:dyDescent="0.35">
      <c r="A2369" s="12">
        <v>2352</v>
      </c>
      <c r="B2369" s="10" t="s">
        <v>1015</v>
      </c>
      <c r="C2369" s="11" t="s">
        <v>1180</v>
      </c>
      <c r="D2369" s="9">
        <v>2</v>
      </c>
      <c r="E2369" s="9">
        <v>312</v>
      </c>
      <c r="F2369" s="10" t="s">
        <v>1066</v>
      </c>
      <c r="G2369" s="9">
        <v>915</v>
      </c>
      <c r="H2369" s="9">
        <v>2005</v>
      </c>
      <c r="I2369" s="8">
        <v>13.929</v>
      </c>
      <c r="J2369" s="8">
        <v>15.577999999999999</v>
      </c>
      <c r="K2369" s="8">
        <v>16.489999999999998</v>
      </c>
      <c r="L2369" s="8">
        <v>15.677</v>
      </c>
      <c r="M2369" s="8">
        <v>10.23</v>
      </c>
      <c r="N2369" s="8">
        <v>11.548</v>
      </c>
      <c r="O2369" s="8">
        <v>16.382999999999999</v>
      </c>
      <c r="P2369" s="8">
        <v>17.933</v>
      </c>
      <c r="Q2369" s="8">
        <v>18.065000000000001</v>
      </c>
      <c r="R2369" s="8">
        <v>15.101000000000001</v>
      </c>
      <c r="S2369" s="8">
        <v>13.063000000000001</v>
      </c>
      <c r="T2369" s="8">
        <v>11.932</v>
      </c>
      <c r="U2369" s="8">
        <v>9.1379999999999999</v>
      </c>
      <c r="V2369" s="8">
        <v>7.8029999999999999</v>
      </c>
      <c r="W2369" s="8">
        <v>6.6710000000000003</v>
      </c>
      <c r="X2369" s="8">
        <v>5.3979999999999997</v>
      </c>
      <c r="Y2369" s="8">
        <v>3.9340000000000002</v>
      </c>
      <c r="Z2369" s="8">
        <v>2.278</v>
      </c>
      <c r="AA2369" s="8">
        <v>1.2390000000000001</v>
      </c>
      <c r="AB2369" s="8">
        <v>0.32300000000000001</v>
      </c>
      <c r="AC2369" s="8">
        <v>0.08</v>
      </c>
    </row>
    <row r="2370" spans="1:29" ht="11.65" hidden="1" x14ac:dyDescent="0.35">
      <c r="A2370" s="12">
        <v>2353</v>
      </c>
      <c r="B2370" s="10" t="s">
        <v>1015</v>
      </c>
      <c r="C2370" s="11" t="s">
        <v>1180</v>
      </c>
      <c r="D2370" s="9">
        <v>2</v>
      </c>
      <c r="E2370" s="9">
        <v>312</v>
      </c>
      <c r="F2370" s="10" t="s">
        <v>1066</v>
      </c>
      <c r="G2370" s="9">
        <v>915</v>
      </c>
      <c r="H2370" s="9">
        <v>2010</v>
      </c>
      <c r="I2370" s="8">
        <v>13.696</v>
      </c>
      <c r="J2370" s="8">
        <v>15.013</v>
      </c>
      <c r="K2370" s="8">
        <v>15.763</v>
      </c>
      <c r="L2370" s="8">
        <v>15.867000000000001</v>
      </c>
      <c r="M2370" s="8">
        <v>9.6300000000000008</v>
      </c>
      <c r="N2370" s="8">
        <v>10.119</v>
      </c>
      <c r="O2370" s="8">
        <v>12.507</v>
      </c>
      <c r="P2370" s="8">
        <v>16.603000000000002</v>
      </c>
      <c r="Q2370" s="8">
        <v>17.535</v>
      </c>
      <c r="R2370" s="8">
        <v>17.940999999999999</v>
      </c>
      <c r="S2370" s="8">
        <v>15.01</v>
      </c>
      <c r="T2370" s="8">
        <v>13.935</v>
      </c>
      <c r="U2370" s="8">
        <v>11.611000000000001</v>
      </c>
      <c r="V2370" s="8">
        <v>9.3059999999999992</v>
      </c>
      <c r="W2370" s="8">
        <v>7.3289999999999997</v>
      </c>
      <c r="X2370" s="8">
        <v>6.1219999999999999</v>
      </c>
      <c r="Y2370" s="8">
        <v>4.67</v>
      </c>
      <c r="Z2370" s="8">
        <v>2.867</v>
      </c>
      <c r="AA2370" s="8">
        <v>1.353</v>
      </c>
      <c r="AB2370" s="8">
        <v>0.54</v>
      </c>
      <c r="AC2370" s="8">
        <v>0.1</v>
      </c>
    </row>
    <row r="2371" spans="1:29" ht="11.65" hidden="1" x14ac:dyDescent="0.35">
      <c r="A2371" s="12">
        <v>2354</v>
      </c>
      <c r="B2371" s="10" t="s">
        <v>1015</v>
      </c>
      <c r="C2371" s="11" t="s">
        <v>1180</v>
      </c>
      <c r="D2371" s="9">
        <v>2</v>
      </c>
      <c r="E2371" s="9">
        <v>312</v>
      </c>
      <c r="F2371" s="10" t="s">
        <v>1066</v>
      </c>
      <c r="G2371" s="9">
        <v>915</v>
      </c>
      <c r="H2371" s="9">
        <v>2015</v>
      </c>
      <c r="I2371" s="8">
        <v>10.959</v>
      </c>
      <c r="J2371" s="8">
        <v>13.992000000000001</v>
      </c>
      <c r="K2371" s="8">
        <v>15.073</v>
      </c>
      <c r="L2371" s="8">
        <v>14.592000000000001</v>
      </c>
      <c r="M2371" s="8">
        <v>9.59</v>
      </c>
      <c r="N2371" s="8">
        <v>9.6029999999999998</v>
      </c>
      <c r="O2371" s="8">
        <v>11.028</v>
      </c>
      <c r="P2371" s="8">
        <v>13.006</v>
      </c>
      <c r="Q2371" s="8">
        <v>16.058</v>
      </c>
      <c r="R2371" s="8">
        <v>17.187000000000001</v>
      </c>
      <c r="S2371" s="8">
        <v>17.373000000000001</v>
      </c>
      <c r="T2371" s="8">
        <v>14.97</v>
      </c>
      <c r="U2371" s="8">
        <v>13.577999999999999</v>
      </c>
      <c r="V2371" s="8">
        <v>11.178000000000001</v>
      </c>
      <c r="W2371" s="8">
        <v>8.5869999999999997</v>
      </c>
      <c r="X2371" s="8">
        <v>6.6760000000000002</v>
      </c>
      <c r="Y2371" s="8">
        <v>5.37</v>
      </c>
      <c r="Z2371" s="8">
        <v>3.4820000000000002</v>
      </c>
      <c r="AA2371" s="8">
        <v>1.7609999999999999</v>
      </c>
      <c r="AB2371" s="8">
        <v>0.61799999999999999</v>
      </c>
      <c r="AC2371" s="8">
        <v>0.16800000000000001</v>
      </c>
    </row>
    <row r="2372" spans="1:29" ht="11.65" hidden="1" x14ac:dyDescent="0.35">
      <c r="A2372" s="12">
        <v>2355</v>
      </c>
      <c r="B2372" s="10" t="s">
        <v>1015</v>
      </c>
      <c r="C2372" s="11" t="s">
        <v>1180</v>
      </c>
      <c r="D2372" s="9">
        <v>2</v>
      </c>
      <c r="E2372" s="9">
        <v>312</v>
      </c>
      <c r="F2372" s="10" t="s">
        <v>1066</v>
      </c>
      <c r="G2372" s="9">
        <v>915</v>
      </c>
      <c r="H2372" s="9">
        <v>2020</v>
      </c>
      <c r="I2372" s="8">
        <v>11.26</v>
      </c>
      <c r="J2372" s="8">
        <v>10.872</v>
      </c>
      <c r="K2372" s="8">
        <v>13.913</v>
      </c>
      <c r="L2372" s="8">
        <v>14.698</v>
      </c>
      <c r="M2372" s="8">
        <v>13.954000000000001</v>
      </c>
      <c r="N2372" s="8">
        <v>9</v>
      </c>
      <c r="O2372" s="8">
        <v>9.1639999999999997</v>
      </c>
      <c r="P2372" s="8">
        <v>10.718999999999999</v>
      </c>
      <c r="Q2372" s="8">
        <v>12.773999999999999</v>
      </c>
      <c r="R2372" s="8">
        <v>15.863</v>
      </c>
      <c r="S2372" s="8">
        <v>17.004000000000001</v>
      </c>
      <c r="T2372" s="8">
        <v>17.123999999999999</v>
      </c>
      <c r="U2372" s="8">
        <v>14.603999999999999</v>
      </c>
      <c r="V2372" s="8">
        <v>13.077</v>
      </c>
      <c r="W2372" s="8">
        <v>10.579000000000001</v>
      </c>
      <c r="X2372" s="8">
        <v>7.8449999999999998</v>
      </c>
      <c r="Y2372" s="8">
        <v>5.71</v>
      </c>
      <c r="Z2372" s="8">
        <v>4.1130000000000004</v>
      </c>
      <c r="AA2372" s="8">
        <v>2.2269999999999999</v>
      </c>
      <c r="AB2372" s="8">
        <v>0.85099999999999998</v>
      </c>
      <c r="AC2372" s="8">
        <v>0.22</v>
      </c>
    </row>
    <row r="2373" spans="1:29" ht="11.65" hidden="1" x14ac:dyDescent="0.35">
      <c r="A2373" s="12">
        <v>2356</v>
      </c>
      <c r="B2373" s="10" t="s">
        <v>1015</v>
      </c>
      <c r="C2373" s="11" t="s">
        <v>1181</v>
      </c>
      <c r="D2373" s="9"/>
      <c r="E2373" s="9">
        <v>332</v>
      </c>
      <c r="F2373" s="10" t="s">
        <v>1066</v>
      </c>
      <c r="G2373" s="9">
        <v>915</v>
      </c>
      <c r="H2373" s="9">
        <v>1950</v>
      </c>
      <c r="I2373" s="8">
        <v>236.68899999999999</v>
      </c>
      <c r="J2373" s="8">
        <v>208.41900000000001</v>
      </c>
      <c r="K2373" s="8">
        <v>189.845</v>
      </c>
      <c r="L2373" s="8">
        <v>163.71</v>
      </c>
      <c r="M2373" s="8">
        <v>142.01400000000001</v>
      </c>
      <c r="N2373" s="8">
        <v>127.715</v>
      </c>
      <c r="O2373" s="8">
        <v>115.386</v>
      </c>
      <c r="P2373" s="8">
        <v>102.895</v>
      </c>
      <c r="Q2373" s="8">
        <v>89.581999999999994</v>
      </c>
      <c r="R2373" s="8">
        <v>74.787999999999997</v>
      </c>
      <c r="S2373" s="8">
        <v>57.036999999999999</v>
      </c>
      <c r="T2373" s="8">
        <v>40.927999999999997</v>
      </c>
      <c r="U2373" s="8">
        <v>32.874000000000002</v>
      </c>
      <c r="V2373" s="8">
        <v>24.82</v>
      </c>
      <c r="W2373" s="8">
        <v>19.722999999999999</v>
      </c>
      <c r="X2373" s="8">
        <v>13.148999999999999</v>
      </c>
      <c r="Y2373" s="8">
        <v>6.5369999999999999</v>
      </c>
      <c r="Z2373" s="8">
        <v>2.4860000000000002</v>
      </c>
      <c r="AA2373" s="8">
        <v>0.68600000000000005</v>
      </c>
      <c r="AB2373" s="8">
        <v>0.13200000000000001</v>
      </c>
      <c r="AC2373" s="8">
        <v>2.1000000000000001E-2</v>
      </c>
    </row>
    <row r="2374" spans="1:29" ht="11.65" hidden="1" x14ac:dyDescent="0.35">
      <c r="A2374" s="12">
        <v>2357</v>
      </c>
      <c r="B2374" s="10" t="s">
        <v>1015</v>
      </c>
      <c r="C2374" s="11" t="s">
        <v>1181</v>
      </c>
      <c r="D2374" s="9"/>
      <c r="E2374" s="9">
        <v>332</v>
      </c>
      <c r="F2374" s="10" t="s">
        <v>1066</v>
      </c>
      <c r="G2374" s="9">
        <v>915</v>
      </c>
      <c r="H2374" s="9">
        <v>1955</v>
      </c>
      <c r="I2374" s="8">
        <v>280.48200000000003</v>
      </c>
      <c r="J2374" s="8">
        <v>212.23099999999999</v>
      </c>
      <c r="K2374" s="8">
        <v>202.00200000000001</v>
      </c>
      <c r="L2374" s="8">
        <v>183.35400000000001</v>
      </c>
      <c r="M2374" s="8">
        <v>155.393</v>
      </c>
      <c r="N2374" s="8">
        <v>133.471</v>
      </c>
      <c r="O2374" s="8">
        <v>118.992</v>
      </c>
      <c r="P2374" s="8">
        <v>107.923</v>
      </c>
      <c r="Q2374" s="8">
        <v>96.349000000000004</v>
      </c>
      <c r="R2374" s="8">
        <v>83.393000000000001</v>
      </c>
      <c r="S2374" s="8">
        <v>68.492000000000004</v>
      </c>
      <c r="T2374" s="8">
        <v>50.948</v>
      </c>
      <c r="U2374" s="8">
        <v>35.155999999999999</v>
      </c>
      <c r="V2374" s="8">
        <v>26.637</v>
      </c>
      <c r="W2374" s="8">
        <v>18.015000000000001</v>
      </c>
      <c r="X2374" s="8">
        <v>12.055999999999999</v>
      </c>
      <c r="Y2374" s="8">
        <v>6.3719999999999999</v>
      </c>
      <c r="Z2374" s="8">
        <v>2.3250000000000002</v>
      </c>
      <c r="AA2374" s="8">
        <v>0.60599999999999998</v>
      </c>
      <c r="AB2374" s="8">
        <v>0.108</v>
      </c>
      <c r="AC2374" s="8">
        <v>1.4E-2</v>
      </c>
    </row>
    <row r="2375" spans="1:29" ht="11.65" hidden="1" x14ac:dyDescent="0.35">
      <c r="A2375" s="12">
        <v>2358</v>
      </c>
      <c r="B2375" s="10" t="s">
        <v>1015</v>
      </c>
      <c r="C2375" s="11" t="s">
        <v>1181</v>
      </c>
      <c r="D2375" s="9"/>
      <c r="E2375" s="9">
        <v>332</v>
      </c>
      <c r="F2375" s="10" t="s">
        <v>1066</v>
      </c>
      <c r="G2375" s="9">
        <v>915</v>
      </c>
      <c r="H2375" s="9">
        <v>1960</v>
      </c>
      <c r="I2375" s="8">
        <v>312.90800000000002</v>
      </c>
      <c r="J2375" s="8">
        <v>256.17399999999998</v>
      </c>
      <c r="K2375" s="8">
        <v>206.58699999999999</v>
      </c>
      <c r="L2375" s="8">
        <v>195.81299999999999</v>
      </c>
      <c r="M2375" s="8">
        <v>174.71700000000001</v>
      </c>
      <c r="N2375" s="8">
        <v>146.37899999999999</v>
      </c>
      <c r="O2375" s="8">
        <v>125.06100000000001</v>
      </c>
      <c r="P2375" s="8">
        <v>110.782</v>
      </c>
      <c r="Q2375" s="8">
        <v>101.005</v>
      </c>
      <c r="R2375" s="8">
        <v>89.721000000000004</v>
      </c>
      <c r="S2375" s="8">
        <v>76.384</v>
      </c>
      <c r="T2375" s="8">
        <v>61.301000000000002</v>
      </c>
      <c r="U2375" s="8">
        <v>43.847000000000001</v>
      </c>
      <c r="V2375" s="8">
        <v>28.518999999999998</v>
      </c>
      <c r="W2375" s="8">
        <v>19.449000000000002</v>
      </c>
      <c r="X2375" s="8">
        <v>11.121</v>
      </c>
      <c r="Y2375" s="8">
        <v>5.9340000000000002</v>
      </c>
      <c r="Z2375" s="8">
        <v>2.323</v>
      </c>
      <c r="AA2375" s="8">
        <v>0.58599999999999997</v>
      </c>
      <c r="AB2375" s="8">
        <v>9.9000000000000005E-2</v>
      </c>
      <c r="AC2375" s="8">
        <v>1.0999999999999999E-2</v>
      </c>
    </row>
    <row r="2376" spans="1:29" ht="11.65" hidden="1" x14ac:dyDescent="0.35">
      <c r="A2376" s="12">
        <v>2359</v>
      </c>
      <c r="B2376" s="10" t="s">
        <v>1015</v>
      </c>
      <c r="C2376" s="11" t="s">
        <v>1181</v>
      </c>
      <c r="D2376" s="9"/>
      <c r="E2376" s="9">
        <v>332</v>
      </c>
      <c r="F2376" s="10" t="s">
        <v>1066</v>
      </c>
      <c r="G2376" s="9">
        <v>915</v>
      </c>
      <c r="H2376" s="9">
        <v>1965</v>
      </c>
      <c r="I2376" s="8">
        <v>345.96199999999999</v>
      </c>
      <c r="J2376" s="8">
        <v>288.54399999999998</v>
      </c>
      <c r="K2376" s="8">
        <v>249.49</v>
      </c>
      <c r="L2376" s="8">
        <v>200.011</v>
      </c>
      <c r="M2376" s="8">
        <v>187.08699999999999</v>
      </c>
      <c r="N2376" s="8">
        <v>165.50800000000001</v>
      </c>
      <c r="O2376" s="8">
        <v>137.46</v>
      </c>
      <c r="P2376" s="8">
        <v>115.99</v>
      </c>
      <c r="Q2376" s="8">
        <v>102.818</v>
      </c>
      <c r="R2376" s="8">
        <v>93.647000000000006</v>
      </c>
      <c r="S2376" s="8">
        <v>81.896000000000001</v>
      </c>
      <c r="T2376" s="8">
        <v>68.361999999999995</v>
      </c>
      <c r="U2376" s="8">
        <v>52.819000000000003</v>
      </c>
      <c r="V2376" s="8">
        <v>35.631999999999998</v>
      </c>
      <c r="W2376" s="8">
        <v>20.928000000000001</v>
      </c>
      <c r="X2376" s="8">
        <v>12.125</v>
      </c>
      <c r="Y2376" s="8">
        <v>5.5579999999999998</v>
      </c>
      <c r="Z2376" s="8">
        <v>2.2130000000000001</v>
      </c>
      <c r="AA2376" s="8">
        <v>0.60499999999999998</v>
      </c>
      <c r="AB2376" s="8">
        <v>0.10199999999999999</v>
      </c>
      <c r="AC2376" s="8">
        <v>1.0999999999999999E-2</v>
      </c>
    </row>
    <row r="2377" spans="1:29" ht="11.65" hidden="1" x14ac:dyDescent="0.35">
      <c r="A2377" s="12">
        <v>2360</v>
      </c>
      <c r="B2377" s="10" t="s">
        <v>1015</v>
      </c>
      <c r="C2377" s="11" t="s">
        <v>1181</v>
      </c>
      <c r="D2377" s="9"/>
      <c r="E2377" s="9">
        <v>332</v>
      </c>
      <c r="F2377" s="10" t="s">
        <v>1066</v>
      </c>
      <c r="G2377" s="9">
        <v>915</v>
      </c>
      <c r="H2377" s="9">
        <v>1970</v>
      </c>
      <c r="I2377" s="8">
        <v>364.19400000000002</v>
      </c>
      <c r="J2377" s="8">
        <v>322.202</v>
      </c>
      <c r="K2377" s="8">
        <v>281.39</v>
      </c>
      <c r="L2377" s="8">
        <v>242.21700000000001</v>
      </c>
      <c r="M2377" s="8">
        <v>191.184</v>
      </c>
      <c r="N2377" s="8">
        <v>177.02500000000001</v>
      </c>
      <c r="O2377" s="8">
        <v>155.71799999999999</v>
      </c>
      <c r="P2377" s="8">
        <v>129.67400000000001</v>
      </c>
      <c r="Q2377" s="8">
        <v>108.694</v>
      </c>
      <c r="R2377" s="8">
        <v>95.796000000000006</v>
      </c>
      <c r="S2377" s="8">
        <v>86.331000000000003</v>
      </c>
      <c r="T2377" s="8">
        <v>73.8</v>
      </c>
      <c r="U2377" s="8">
        <v>59.198999999999998</v>
      </c>
      <c r="V2377" s="8">
        <v>43.055</v>
      </c>
      <c r="W2377" s="8">
        <v>26.298999999999999</v>
      </c>
      <c r="X2377" s="8">
        <v>13.172000000000001</v>
      </c>
      <c r="Y2377" s="8">
        <v>6.15</v>
      </c>
      <c r="Z2377" s="8">
        <v>2.1219999999999999</v>
      </c>
      <c r="AA2377" s="8">
        <v>0.59799999999999998</v>
      </c>
      <c r="AB2377" s="8">
        <v>0.109</v>
      </c>
      <c r="AC2377" s="8">
        <v>1.2E-2</v>
      </c>
    </row>
    <row r="2378" spans="1:29" ht="11.65" hidden="1" x14ac:dyDescent="0.35">
      <c r="A2378" s="12">
        <v>2361</v>
      </c>
      <c r="B2378" s="10" t="s">
        <v>1015</v>
      </c>
      <c r="C2378" s="11" t="s">
        <v>1181</v>
      </c>
      <c r="D2378" s="9"/>
      <c r="E2378" s="9">
        <v>332</v>
      </c>
      <c r="F2378" s="10" t="s">
        <v>1066</v>
      </c>
      <c r="G2378" s="9">
        <v>915</v>
      </c>
      <c r="H2378" s="9">
        <v>1975</v>
      </c>
      <c r="I2378" s="8">
        <v>381.25900000000001</v>
      </c>
      <c r="J2378" s="8">
        <v>339.58300000000003</v>
      </c>
      <c r="K2378" s="8">
        <v>314.44099999999997</v>
      </c>
      <c r="L2378" s="8">
        <v>273.27100000000002</v>
      </c>
      <c r="M2378" s="8">
        <v>231.96899999999999</v>
      </c>
      <c r="N2378" s="8">
        <v>179.88800000000001</v>
      </c>
      <c r="O2378" s="8">
        <v>166.38</v>
      </c>
      <c r="P2378" s="8">
        <v>146.66300000000001</v>
      </c>
      <c r="Q2378" s="8">
        <v>122.562</v>
      </c>
      <c r="R2378" s="8">
        <v>101.64700000000001</v>
      </c>
      <c r="S2378" s="8">
        <v>88.185000000000002</v>
      </c>
      <c r="T2378" s="8">
        <v>77.489999999999995</v>
      </c>
      <c r="U2378" s="8">
        <v>63.585999999999999</v>
      </c>
      <c r="V2378" s="8">
        <v>48.26</v>
      </c>
      <c r="W2378" s="8">
        <v>31.97</v>
      </c>
      <c r="X2378" s="8">
        <v>16.715</v>
      </c>
      <c r="Y2378" s="8">
        <v>6.7720000000000002</v>
      </c>
      <c r="Z2378" s="8">
        <v>2.3919999999999999</v>
      </c>
      <c r="AA2378" s="8">
        <v>0.58499999999999996</v>
      </c>
      <c r="AB2378" s="8">
        <v>0.112</v>
      </c>
      <c r="AC2378" s="8">
        <v>1.2999999999999999E-2</v>
      </c>
    </row>
    <row r="2379" spans="1:29" ht="11.65" hidden="1" x14ac:dyDescent="0.35">
      <c r="A2379" s="12">
        <v>2362</v>
      </c>
      <c r="B2379" s="10" t="s">
        <v>1015</v>
      </c>
      <c r="C2379" s="11" t="s">
        <v>1181</v>
      </c>
      <c r="D2379" s="9"/>
      <c r="E2379" s="9">
        <v>332</v>
      </c>
      <c r="F2379" s="10" t="s">
        <v>1066</v>
      </c>
      <c r="G2379" s="9">
        <v>915</v>
      </c>
      <c r="H2379" s="9">
        <v>1980</v>
      </c>
      <c r="I2379" s="8">
        <v>451.17599999999999</v>
      </c>
      <c r="J2379" s="8">
        <v>360.65100000000001</v>
      </c>
      <c r="K2379" s="8">
        <v>331.137</v>
      </c>
      <c r="L2379" s="8">
        <v>302.91800000000001</v>
      </c>
      <c r="M2379" s="8">
        <v>257.00200000000001</v>
      </c>
      <c r="N2379" s="8">
        <v>220.12799999999999</v>
      </c>
      <c r="O2379" s="8">
        <v>171.084</v>
      </c>
      <c r="P2379" s="8">
        <v>157.572</v>
      </c>
      <c r="Q2379" s="8">
        <v>138.92400000000001</v>
      </c>
      <c r="R2379" s="8">
        <v>114.97799999999999</v>
      </c>
      <c r="S2379" s="8">
        <v>94.637</v>
      </c>
      <c r="T2379" s="8">
        <v>80.415000000000006</v>
      </c>
      <c r="U2379" s="8">
        <v>68.209000000000003</v>
      </c>
      <c r="V2379" s="8">
        <v>52.878999999999998</v>
      </c>
      <c r="W2379" s="8">
        <v>36.79</v>
      </c>
      <c r="X2379" s="8">
        <v>21.058</v>
      </c>
      <c r="Y2379" s="8">
        <v>8.9819999999999993</v>
      </c>
      <c r="Z2379" s="8">
        <v>2.778</v>
      </c>
      <c r="AA2379" s="8">
        <v>0.70199999999999996</v>
      </c>
      <c r="AB2379" s="8">
        <v>0.11600000000000001</v>
      </c>
      <c r="AC2379" s="8">
        <v>1.4999999999999999E-2</v>
      </c>
    </row>
    <row r="2380" spans="1:29" ht="11.65" hidden="1" x14ac:dyDescent="0.35">
      <c r="A2380" s="12">
        <v>2363</v>
      </c>
      <c r="B2380" s="10" t="s">
        <v>1015</v>
      </c>
      <c r="C2380" s="11" t="s">
        <v>1181</v>
      </c>
      <c r="D2380" s="9"/>
      <c r="E2380" s="9">
        <v>332</v>
      </c>
      <c r="F2380" s="10" t="s">
        <v>1066</v>
      </c>
      <c r="G2380" s="9">
        <v>915</v>
      </c>
      <c r="H2380" s="9">
        <v>1985</v>
      </c>
      <c r="I2380" s="8">
        <v>543.91800000000001</v>
      </c>
      <c r="J2380" s="8">
        <v>429.392</v>
      </c>
      <c r="K2380" s="8">
        <v>352.7</v>
      </c>
      <c r="L2380" s="8">
        <v>321.44499999999999</v>
      </c>
      <c r="M2380" s="8">
        <v>289.72899999999998</v>
      </c>
      <c r="N2380" s="8">
        <v>240.19800000000001</v>
      </c>
      <c r="O2380" s="8">
        <v>205.77699999999999</v>
      </c>
      <c r="P2380" s="8">
        <v>158.52099999999999</v>
      </c>
      <c r="Q2380" s="8">
        <v>146.60499999999999</v>
      </c>
      <c r="R2380" s="8">
        <v>130.18899999999999</v>
      </c>
      <c r="S2380" s="8">
        <v>106.974</v>
      </c>
      <c r="T2380" s="8">
        <v>86.741</v>
      </c>
      <c r="U2380" s="8">
        <v>71.441000000000003</v>
      </c>
      <c r="V2380" s="8">
        <v>57.44</v>
      </c>
      <c r="W2380" s="8">
        <v>40.948</v>
      </c>
      <c r="X2380" s="8">
        <v>24.75</v>
      </c>
      <c r="Y2380" s="8">
        <v>11.617000000000001</v>
      </c>
      <c r="Z2380" s="8">
        <v>3.8069999999999999</v>
      </c>
      <c r="AA2380" s="8">
        <v>0.84599999999999997</v>
      </c>
      <c r="AB2380" s="8">
        <v>0.14599999999999999</v>
      </c>
      <c r="AC2380" s="8">
        <v>1.6E-2</v>
      </c>
    </row>
    <row r="2381" spans="1:29" ht="11.65" hidden="1" x14ac:dyDescent="0.35">
      <c r="A2381" s="12">
        <v>2364</v>
      </c>
      <c r="B2381" s="10" t="s">
        <v>1015</v>
      </c>
      <c r="C2381" s="11" t="s">
        <v>1181</v>
      </c>
      <c r="D2381" s="9"/>
      <c r="E2381" s="9">
        <v>332</v>
      </c>
      <c r="F2381" s="10" t="s">
        <v>1066</v>
      </c>
      <c r="G2381" s="9">
        <v>915</v>
      </c>
      <c r="H2381" s="9">
        <v>1990</v>
      </c>
      <c r="I2381" s="8">
        <v>563.41700000000003</v>
      </c>
      <c r="J2381" s="8">
        <v>520.827</v>
      </c>
      <c r="K2381" s="8">
        <v>420.44900000000001</v>
      </c>
      <c r="L2381" s="8">
        <v>342.839</v>
      </c>
      <c r="M2381" s="8">
        <v>308.29000000000002</v>
      </c>
      <c r="N2381" s="8">
        <v>271.56400000000002</v>
      </c>
      <c r="O2381" s="8">
        <v>223.59899999999999</v>
      </c>
      <c r="P2381" s="8">
        <v>191.40899999999999</v>
      </c>
      <c r="Q2381" s="8">
        <v>147.79400000000001</v>
      </c>
      <c r="R2381" s="8">
        <v>136.346</v>
      </c>
      <c r="S2381" s="8">
        <v>120.247</v>
      </c>
      <c r="T2381" s="8">
        <v>98.426000000000002</v>
      </c>
      <c r="U2381" s="8">
        <v>77.608000000000004</v>
      </c>
      <c r="V2381" s="8">
        <v>60.613</v>
      </c>
      <c r="W2381" s="8">
        <v>44.938000000000002</v>
      </c>
      <c r="X2381" s="8">
        <v>27.93</v>
      </c>
      <c r="Y2381" s="8">
        <v>13.888</v>
      </c>
      <c r="Z2381" s="8">
        <v>5.0229999999999997</v>
      </c>
      <c r="AA2381" s="8">
        <v>1.1879999999999999</v>
      </c>
      <c r="AB2381" s="8">
        <v>0.18</v>
      </c>
      <c r="AC2381" s="8">
        <v>2.1000000000000001E-2</v>
      </c>
    </row>
    <row r="2382" spans="1:29" ht="11.65" hidden="1" x14ac:dyDescent="0.35">
      <c r="A2382" s="12">
        <v>2365</v>
      </c>
      <c r="B2382" s="10" t="s">
        <v>1015</v>
      </c>
      <c r="C2382" s="11" t="s">
        <v>1181</v>
      </c>
      <c r="D2382" s="9"/>
      <c r="E2382" s="9">
        <v>332</v>
      </c>
      <c r="F2382" s="10" t="s">
        <v>1066</v>
      </c>
      <c r="G2382" s="9">
        <v>915</v>
      </c>
      <c r="H2382" s="9">
        <v>1995</v>
      </c>
      <c r="I2382" s="8">
        <v>576.66800000000001</v>
      </c>
      <c r="J2382" s="8">
        <v>541.95299999999997</v>
      </c>
      <c r="K2382" s="8">
        <v>510.50700000000001</v>
      </c>
      <c r="L2382" s="8">
        <v>409.36900000000003</v>
      </c>
      <c r="M2382" s="8">
        <v>329.57799999999997</v>
      </c>
      <c r="N2382" s="8">
        <v>289.97000000000003</v>
      </c>
      <c r="O2382" s="8">
        <v>254.32300000000001</v>
      </c>
      <c r="P2382" s="8">
        <v>208.87100000000001</v>
      </c>
      <c r="Q2382" s="8">
        <v>178.71299999999999</v>
      </c>
      <c r="R2382" s="8">
        <v>137.78200000000001</v>
      </c>
      <c r="S2382" s="8">
        <v>127.03</v>
      </c>
      <c r="T2382" s="8">
        <v>110.545</v>
      </c>
      <c r="U2382" s="8">
        <v>88.793999999999997</v>
      </c>
      <c r="V2382" s="8">
        <v>66.441999999999993</v>
      </c>
      <c r="W2382" s="8">
        <v>47.94</v>
      </c>
      <c r="X2382" s="8">
        <v>31.100999999999999</v>
      </c>
      <c r="Y2382" s="8">
        <v>15.962999999999999</v>
      </c>
      <c r="Z2382" s="8">
        <v>6.1470000000000002</v>
      </c>
      <c r="AA2382" s="8">
        <v>1.61</v>
      </c>
      <c r="AB2382" s="8">
        <v>0.26100000000000001</v>
      </c>
      <c r="AC2382" s="8">
        <v>2.7E-2</v>
      </c>
    </row>
    <row r="2383" spans="1:29" ht="11.65" hidden="1" x14ac:dyDescent="0.35">
      <c r="A2383" s="12">
        <v>2366</v>
      </c>
      <c r="B2383" s="10" t="s">
        <v>1015</v>
      </c>
      <c r="C2383" s="11" t="s">
        <v>1181</v>
      </c>
      <c r="D2383" s="9"/>
      <c r="E2383" s="9">
        <v>332</v>
      </c>
      <c r="F2383" s="10" t="s">
        <v>1066</v>
      </c>
      <c r="G2383" s="9">
        <v>915</v>
      </c>
      <c r="H2383" s="9">
        <v>2000</v>
      </c>
      <c r="I2383" s="8">
        <v>593.32399999999996</v>
      </c>
      <c r="J2383" s="8">
        <v>556.66099999999994</v>
      </c>
      <c r="K2383" s="8">
        <v>530.74199999999996</v>
      </c>
      <c r="L2383" s="8">
        <v>497.42500000000001</v>
      </c>
      <c r="M2383" s="8">
        <v>394.62599999999998</v>
      </c>
      <c r="N2383" s="8">
        <v>310.98399999999998</v>
      </c>
      <c r="O2383" s="8">
        <v>272.363</v>
      </c>
      <c r="P2383" s="8">
        <v>238.821</v>
      </c>
      <c r="Q2383" s="8">
        <v>195.74600000000001</v>
      </c>
      <c r="R2383" s="8">
        <v>167.76300000000001</v>
      </c>
      <c r="S2383" s="8">
        <v>128.786</v>
      </c>
      <c r="T2383" s="8">
        <v>117.65600000000001</v>
      </c>
      <c r="U2383" s="8">
        <v>100.108</v>
      </c>
      <c r="V2383" s="8">
        <v>76.733999999999995</v>
      </c>
      <c r="W2383" s="8">
        <v>53.084000000000003</v>
      </c>
      <c r="X2383" s="8">
        <v>33.628999999999998</v>
      </c>
      <c r="Y2383" s="8">
        <v>18.102</v>
      </c>
      <c r="Z2383" s="8">
        <v>7.2560000000000002</v>
      </c>
      <c r="AA2383" s="8">
        <v>2.0449999999999999</v>
      </c>
      <c r="AB2383" s="8">
        <v>0.372</v>
      </c>
      <c r="AC2383" s="8">
        <v>0.04</v>
      </c>
    </row>
    <row r="2384" spans="1:29" ht="11.65" hidden="1" x14ac:dyDescent="0.35">
      <c r="A2384" s="12">
        <v>2367</v>
      </c>
      <c r="B2384" s="10" t="s">
        <v>1015</v>
      </c>
      <c r="C2384" s="11" t="s">
        <v>1181</v>
      </c>
      <c r="D2384" s="9"/>
      <c r="E2384" s="9">
        <v>332</v>
      </c>
      <c r="F2384" s="10" t="s">
        <v>1066</v>
      </c>
      <c r="G2384" s="9">
        <v>915</v>
      </c>
      <c r="H2384" s="9">
        <v>2005</v>
      </c>
      <c r="I2384" s="8">
        <v>609.20399999999995</v>
      </c>
      <c r="J2384" s="8">
        <v>574.89400000000001</v>
      </c>
      <c r="K2384" s="8">
        <v>545.40700000000004</v>
      </c>
      <c r="L2384" s="8">
        <v>517.66600000000005</v>
      </c>
      <c r="M2384" s="8">
        <v>481.512</v>
      </c>
      <c r="N2384" s="8">
        <v>375.18200000000002</v>
      </c>
      <c r="O2384" s="8">
        <v>293.339</v>
      </c>
      <c r="P2384" s="8">
        <v>256.75400000000002</v>
      </c>
      <c r="Q2384" s="8">
        <v>225.04900000000001</v>
      </c>
      <c r="R2384" s="8">
        <v>184.42699999999999</v>
      </c>
      <c r="S2384" s="8">
        <v>157.619</v>
      </c>
      <c r="T2384" s="8">
        <v>119.51</v>
      </c>
      <c r="U2384" s="8">
        <v>106.821</v>
      </c>
      <c r="V2384" s="8">
        <v>86.793999999999997</v>
      </c>
      <c r="W2384" s="8">
        <v>61.534999999999997</v>
      </c>
      <c r="X2384" s="8">
        <v>37.439</v>
      </c>
      <c r="Y2384" s="8">
        <v>19.73</v>
      </c>
      <c r="Z2384" s="8">
        <v>8.3249999999999993</v>
      </c>
      <c r="AA2384" s="8">
        <v>2.4529999999999998</v>
      </c>
      <c r="AB2384" s="8">
        <v>0.48299999999999998</v>
      </c>
      <c r="AC2384" s="8">
        <v>5.8999999999999997E-2</v>
      </c>
    </row>
    <row r="2385" spans="1:29" ht="11.65" hidden="1" x14ac:dyDescent="0.35">
      <c r="A2385" s="12">
        <v>2368</v>
      </c>
      <c r="B2385" s="10" t="s">
        <v>1015</v>
      </c>
      <c r="C2385" s="11" t="s">
        <v>1181</v>
      </c>
      <c r="D2385" s="9"/>
      <c r="E2385" s="9">
        <v>332</v>
      </c>
      <c r="F2385" s="10" t="s">
        <v>1066</v>
      </c>
      <c r="G2385" s="9">
        <v>915</v>
      </c>
      <c r="H2385" s="9">
        <v>2010</v>
      </c>
      <c r="I2385" s="8">
        <v>618.93600000000004</v>
      </c>
      <c r="J2385" s="8">
        <v>591.55799999999999</v>
      </c>
      <c r="K2385" s="8">
        <v>564.35400000000004</v>
      </c>
      <c r="L2385" s="8">
        <v>533.01099999999997</v>
      </c>
      <c r="M2385" s="8">
        <v>502.55700000000002</v>
      </c>
      <c r="N2385" s="8">
        <v>461.28</v>
      </c>
      <c r="O2385" s="8">
        <v>356.80900000000003</v>
      </c>
      <c r="P2385" s="8">
        <v>277.93</v>
      </c>
      <c r="Q2385" s="8">
        <v>243.42599999999999</v>
      </c>
      <c r="R2385" s="8">
        <v>213.584</v>
      </c>
      <c r="S2385" s="8">
        <v>174.41800000000001</v>
      </c>
      <c r="T2385" s="8">
        <v>147.654</v>
      </c>
      <c r="U2385" s="8">
        <v>109.619</v>
      </c>
      <c r="V2385" s="8">
        <v>94.25</v>
      </c>
      <c r="W2385" s="8">
        <v>71.486000000000004</v>
      </c>
      <c r="X2385" s="8">
        <v>44.790999999999997</v>
      </c>
      <c r="Y2385" s="8">
        <v>22.795000000000002</v>
      </c>
      <c r="Z2385" s="8">
        <v>9.5909999999999993</v>
      </c>
      <c r="AA2385" s="8">
        <v>3.0430000000000001</v>
      </c>
      <c r="AB2385" s="8">
        <v>0.64200000000000002</v>
      </c>
      <c r="AC2385" s="8">
        <v>8.8999999999999996E-2</v>
      </c>
    </row>
    <row r="2386" spans="1:29" ht="11.65" hidden="1" x14ac:dyDescent="0.35">
      <c r="A2386" s="12">
        <v>2369</v>
      </c>
      <c r="B2386" s="10" t="s">
        <v>1015</v>
      </c>
      <c r="C2386" s="11" t="s">
        <v>1181</v>
      </c>
      <c r="D2386" s="9"/>
      <c r="E2386" s="9">
        <v>332</v>
      </c>
      <c r="F2386" s="10" t="s">
        <v>1066</v>
      </c>
      <c r="G2386" s="9">
        <v>915</v>
      </c>
      <c r="H2386" s="9">
        <v>2015</v>
      </c>
      <c r="I2386" s="8">
        <v>623.84</v>
      </c>
      <c r="J2386" s="8">
        <v>602.04899999999998</v>
      </c>
      <c r="K2386" s="8">
        <v>581.29600000000005</v>
      </c>
      <c r="L2386" s="8">
        <v>551.85799999999995</v>
      </c>
      <c r="M2386" s="8">
        <v>517.75800000000004</v>
      </c>
      <c r="N2386" s="8">
        <v>481.68799999999999</v>
      </c>
      <c r="O2386" s="8">
        <v>440.971</v>
      </c>
      <c r="P2386" s="8">
        <v>339.863</v>
      </c>
      <c r="Q2386" s="8">
        <v>264.15899999999999</v>
      </c>
      <c r="R2386" s="8">
        <v>231.75700000000001</v>
      </c>
      <c r="S2386" s="8">
        <v>203.02699999999999</v>
      </c>
      <c r="T2386" s="8">
        <v>164.36600000000001</v>
      </c>
      <c r="U2386" s="8">
        <v>136.69399999999999</v>
      </c>
      <c r="V2386" s="8">
        <v>97.942999999999998</v>
      </c>
      <c r="W2386" s="8">
        <v>79.236999999999995</v>
      </c>
      <c r="X2386" s="8">
        <v>53.808</v>
      </c>
      <c r="Y2386" s="8">
        <v>28.738</v>
      </c>
      <c r="Z2386" s="8">
        <v>11.959</v>
      </c>
      <c r="AA2386" s="8">
        <v>3.899</v>
      </c>
      <c r="AB2386" s="8">
        <v>0.91700000000000004</v>
      </c>
      <c r="AC2386" s="8">
        <v>0.14299999999999999</v>
      </c>
    </row>
    <row r="2387" spans="1:29" ht="11.65" hidden="1" x14ac:dyDescent="0.35">
      <c r="A2387" s="12">
        <v>2370</v>
      </c>
      <c r="B2387" s="10" t="s">
        <v>1015</v>
      </c>
      <c r="C2387" s="11" t="s">
        <v>1181</v>
      </c>
      <c r="D2387" s="9"/>
      <c r="E2387" s="9">
        <v>332</v>
      </c>
      <c r="F2387" s="10" t="s">
        <v>1066</v>
      </c>
      <c r="G2387" s="9">
        <v>915</v>
      </c>
      <c r="H2387" s="9">
        <v>2020</v>
      </c>
      <c r="I2387" s="8">
        <v>619.17600000000004</v>
      </c>
      <c r="J2387" s="8">
        <v>608.27</v>
      </c>
      <c r="K2387" s="8">
        <v>592.09199999999998</v>
      </c>
      <c r="L2387" s="8">
        <v>568.68600000000004</v>
      </c>
      <c r="M2387" s="8">
        <v>536.37300000000005</v>
      </c>
      <c r="N2387" s="8">
        <v>496.32400000000001</v>
      </c>
      <c r="O2387" s="8">
        <v>460.863</v>
      </c>
      <c r="P2387" s="8">
        <v>422.31099999999998</v>
      </c>
      <c r="Q2387" s="8">
        <v>324.77800000000002</v>
      </c>
      <c r="R2387" s="8">
        <v>252.256</v>
      </c>
      <c r="S2387" s="8">
        <v>221.15299999999999</v>
      </c>
      <c r="T2387" s="8">
        <v>192.453</v>
      </c>
      <c r="U2387" s="8">
        <v>153.33199999999999</v>
      </c>
      <c r="V2387" s="8">
        <v>123.61499999999999</v>
      </c>
      <c r="W2387" s="8">
        <v>83.849000000000004</v>
      </c>
      <c r="X2387" s="8">
        <v>61.432000000000002</v>
      </c>
      <c r="Y2387" s="8">
        <v>36.14</v>
      </c>
      <c r="Z2387" s="8">
        <v>16.100000000000001</v>
      </c>
      <c r="AA2387" s="8">
        <v>5.3230000000000004</v>
      </c>
      <c r="AB2387" s="8">
        <v>1.323</v>
      </c>
      <c r="AC2387" s="8">
        <v>0.23899999999999999</v>
      </c>
    </row>
    <row r="2388" spans="1:29" ht="11.65" hidden="1" x14ac:dyDescent="0.35">
      <c r="A2388" s="12">
        <v>2371</v>
      </c>
      <c r="B2388" s="10" t="s">
        <v>1015</v>
      </c>
      <c r="C2388" s="11" t="s">
        <v>1182</v>
      </c>
      <c r="D2388" s="9"/>
      <c r="E2388" s="9">
        <v>388</v>
      </c>
      <c r="F2388" s="10" t="s">
        <v>1066</v>
      </c>
      <c r="G2388" s="9">
        <v>915</v>
      </c>
      <c r="H2388" s="9">
        <v>1950</v>
      </c>
      <c r="I2388" s="8">
        <v>93.900999999999996</v>
      </c>
      <c r="J2388" s="8">
        <v>83.301000000000002</v>
      </c>
      <c r="K2388" s="8">
        <v>75.001000000000005</v>
      </c>
      <c r="L2388" s="8">
        <v>70.900000000000006</v>
      </c>
      <c r="M2388" s="8">
        <v>60.9</v>
      </c>
      <c r="N2388" s="8">
        <v>58.201000000000001</v>
      </c>
      <c r="O2388" s="8">
        <v>55.798999999999999</v>
      </c>
      <c r="P2388" s="8">
        <v>51.198999999999998</v>
      </c>
      <c r="Q2388" s="8">
        <v>40.6</v>
      </c>
      <c r="R2388" s="8">
        <v>36.4</v>
      </c>
      <c r="S2388" s="8">
        <v>25.6</v>
      </c>
      <c r="T2388" s="8">
        <v>21.3</v>
      </c>
      <c r="U2388" s="8">
        <v>15.3</v>
      </c>
      <c r="V2388" s="8">
        <v>13.701000000000001</v>
      </c>
      <c r="W2388" s="8">
        <v>10.6</v>
      </c>
      <c r="X2388" s="8">
        <v>5.399</v>
      </c>
      <c r="Y2388" s="8">
        <v>1.4370000000000001</v>
      </c>
      <c r="Z2388" s="8">
        <v>0.63300000000000001</v>
      </c>
      <c r="AA2388" s="8">
        <v>0.19</v>
      </c>
      <c r="AB2388" s="8">
        <v>3.5000000000000003E-2</v>
      </c>
      <c r="AC2388" s="8">
        <v>4.0000000000000001E-3</v>
      </c>
    </row>
    <row r="2389" spans="1:29" ht="11.65" hidden="1" x14ac:dyDescent="0.35">
      <c r="A2389" s="12">
        <v>2372</v>
      </c>
      <c r="B2389" s="10" t="s">
        <v>1015</v>
      </c>
      <c r="C2389" s="11" t="s">
        <v>1182</v>
      </c>
      <c r="D2389" s="9"/>
      <c r="E2389" s="9">
        <v>388</v>
      </c>
      <c r="F2389" s="10" t="s">
        <v>1066</v>
      </c>
      <c r="G2389" s="9">
        <v>915</v>
      </c>
      <c r="H2389" s="9">
        <v>1955</v>
      </c>
      <c r="I2389" s="8">
        <v>111.41</v>
      </c>
      <c r="J2389" s="8">
        <v>91.183999999999997</v>
      </c>
      <c r="K2389" s="8">
        <v>80.695999999999998</v>
      </c>
      <c r="L2389" s="8">
        <v>73.55</v>
      </c>
      <c r="M2389" s="8">
        <v>66.3</v>
      </c>
      <c r="N2389" s="8">
        <v>58.430999999999997</v>
      </c>
      <c r="O2389" s="8">
        <v>55.235999999999997</v>
      </c>
      <c r="P2389" s="8">
        <v>54.695</v>
      </c>
      <c r="Q2389" s="8">
        <v>45.588999999999999</v>
      </c>
      <c r="R2389" s="8">
        <v>40.380000000000003</v>
      </c>
      <c r="S2389" s="8">
        <v>32.843000000000004</v>
      </c>
      <c r="T2389" s="8">
        <v>24.986000000000001</v>
      </c>
      <c r="U2389" s="8">
        <v>18.024000000000001</v>
      </c>
      <c r="V2389" s="8">
        <v>14.964</v>
      </c>
      <c r="W2389" s="8">
        <v>11.694000000000001</v>
      </c>
      <c r="X2389" s="8">
        <v>6.1369999999999996</v>
      </c>
      <c r="Y2389" s="8">
        <v>3.83</v>
      </c>
      <c r="Z2389" s="8">
        <v>0.72799999999999998</v>
      </c>
      <c r="AA2389" s="8">
        <v>0.23499999999999999</v>
      </c>
      <c r="AB2389" s="8">
        <v>4.8000000000000001E-2</v>
      </c>
      <c r="AC2389" s="8">
        <v>6.0000000000000001E-3</v>
      </c>
    </row>
    <row r="2390" spans="1:29" ht="11.65" hidden="1" x14ac:dyDescent="0.35">
      <c r="A2390" s="12">
        <v>2373</v>
      </c>
      <c r="B2390" s="10" t="s">
        <v>1015</v>
      </c>
      <c r="C2390" s="11" t="s">
        <v>1182</v>
      </c>
      <c r="D2390" s="9"/>
      <c r="E2390" s="9">
        <v>388</v>
      </c>
      <c r="F2390" s="10" t="s">
        <v>1066</v>
      </c>
      <c r="G2390" s="9">
        <v>915</v>
      </c>
      <c r="H2390" s="9">
        <v>1960</v>
      </c>
      <c r="I2390" s="8">
        <v>138.11099999999999</v>
      </c>
      <c r="J2390" s="8">
        <v>108.97</v>
      </c>
      <c r="K2390" s="8">
        <v>87.164000000000001</v>
      </c>
      <c r="L2390" s="8">
        <v>76.832999999999998</v>
      </c>
      <c r="M2390" s="8">
        <v>68.066999999999993</v>
      </c>
      <c r="N2390" s="8">
        <v>62.167999999999999</v>
      </c>
      <c r="O2390" s="8">
        <v>51.161000000000001</v>
      </c>
      <c r="P2390" s="8">
        <v>49.136000000000003</v>
      </c>
      <c r="Q2390" s="8">
        <v>42.23</v>
      </c>
      <c r="R2390" s="8">
        <v>39.198</v>
      </c>
      <c r="S2390" s="8">
        <v>34.084000000000003</v>
      </c>
      <c r="T2390" s="8">
        <v>25.169</v>
      </c>
      <c r="U2390" s="8">
        <v>20.045999999999999</v>
      </c>
      <c r="V2390" s="8">
        <v>14.55</v>
      </c>
      <c r="W2390" s="8">
        <v>12.962999999999999</v>
      </c>
      <c r="X2390" s="8">
        <v>8.702</v>
      </c>
      <c r="Y2390" s="8">
        <v>3.9409999999999998</v>
      </c>
      <c r="Z2390" s="8">
        <v>1.859</v>
      </c>
      <c r="AA2390" s="8">
        <v>0.252</v>
      </c>
      <c r="AB2390" s="8">
        <v>5.2999999999999999E-2</v>
      </c>
      <c r="AC2390" s="8">
        <v>7.0000000000000001E-3</v>
      </c>
    </row>
    <row r="2391" spans="1:29" ht="11.65" hidden="1" x14ac:dyDescent="0.35">
      <c r="A2391" s="12">
        <v>2374</v>
      </c>
      <c r="B2391" s="10" t="s">
        <v>1015</v>
      </c>
      <c r="C2391" s="11" t="s">
        <v>1182</v>
      </c>
      <c r="D2391" s="9"/>
      <c r="E2391" s="9">
        <v>388</v>
      </c>
      <c r="F2391" s="10" t="s">
        <v>1066</v>
      </c>
      <c r="G2391" s="9">
        <v>915</v>
      </c>
      <c r="H2391" s="9">
        <v>1965</v>
      </c>
      <c r="I2391" s="8">
        <v>155.779</v>
      </c>
      <c r="J2391" s="8">
        <v>126.95399999999999</v>
      </c>
      <c r="K2391" s="8">
        <v>100.101</v>
      </c>
      <c r="L2391" s="8">
        <v>90.984999999999999</v>
      </c>
      <c r="M2391" s="8">
        <v>69.236999999999995</v>
      </c>
      <c r="N2391" s="8">
        <v>53.893000000000001</v>
      </c>
      <c r="O2391" s="8">
        <v>50.524000000000001</v>
      </c>
      <c r="P2391" s="8">
        <v>46.457999999999998</v>
      </c>
      <c r="Q2391" s="8">
        <v>40.298999999999999</v>
      </c>
      <c r="R2391" s="8">
        <v>38.390999999999998</v>
      </c>
      <c r="S2391" s="8">
        <v>32.36</v>
      </c>
      <c r="T2391" s="8">
        <v>31.053999999999998</v>
      </c>
      <c r="U2391" s="8">
        <v>24.364000000000001</v>
      </c>
      <c r="V2391" s="8">
        <v>18.518000000000001</v>
      </c>
      <c r="W2391" s="8">
        <v>16.209</v>
      </c>
      <c r="X2391" s="8">
        <v>11.362</v>
      </c>
      <c r="Y2391" s="8">
        <v>6.476</v>
      </c>
      <c r="Z2391" s="8">
        <v>1.9239999999999999</v>
      </c>
      <c r="AA2391" s="8">
        <v>0.64100000000000001</v>
      </c>
      <c r="AB2391" s="8">
        <v>5.6000000000000001E-2</v>
      </c>
      <c r="AC2391" s="8">
        <v>7.0000000000000001E-3</v>
      </c>
    </row>
    <row r="2392" spans="1:29" ht="11.65" hidden="1" x14ac:dyDescent="0.35">
      <c r="A2392" s="12">
        <v>2375</v>
      </c>
      <c r="B2392" s="10" t="s">
        <v>1015</v>
      </c>
      <c r="C2392" s="11" t="s">
        <v>1182</v>
      </c>
      <c r="D2392" s="9"/>
      <c r="E2392" s="9">
        <v>388</v>
      </c>
      <c r="F2392" s="10" t="s">
        <v>1066</v>
      </c>
      <c r="G2392" s="9">
        <v>915</v>
      </c>
      <c r="H2392" s="9">
        <v>1970</v>
      </c>
      <c r="I2392" s="8">
        <v>156.48099999999999</v>
      </c>
      <c r="J2392" s="8">
        <v>149.935</v>
      </c>
      <c r="K2392" s="8">
        <v>122.767</v>
      </c>
      <c r="L2392" s="8">
        <v>85.537999999999997</v>
      </c>
      <c r="M2392" s="8">
        <v>69.397000000000006</v>
      </c>
      <c r="N2392" s="8">
        <v>53.655999999999999</v>
      </c>
      <c r="O2392" s="8">
        <v>44.337000000000003</v>
      </c>
      <c r="P2392" s="8">
        <v>44.034999999999997</v>
      </c>
      <c r="Q2392" s="8">
        <v>41.691000000000003</v>
      </c>
      <c r="R2392" s="8">
        <v>37.520000000000003</v>
      </c>
      <c r="S2392" s="8">
        <v>36.393000000000001</v>
      </c>
      <c r="T2392" s="8">
        <v>30.396000000000001</v>
      </c>
      <c r="U2392" s="8">
        <v>28.231000000000002</v>
      </c>
      <c r="V2392" s="8">
        <v>21.234000000000002</v>
      </c>
      <c r="W2392" s="8">
        <v>15.116</v>
      </c>
      <c r="X2392" s="8">
        <v>12.026999999999999</v>
      </c>
      <c r="Y2392" s="8">
        <v>6.4939999999999998</v>
      </c>
      <c r="Z2392" s="8">
        <v>3.1379999999999999</v>
      </c>
      <c r="AA2392" s="8">
        <v>0.65</v>
      </c>
      <c r="AB2392" s="8">
        <v>0.13700000000000001</v>
      </c>
      <c r="AC2392" s="8">
        <v>7.0000000000000001E-3</v>
      </c>
    </row>
    <row r="2393" spans="1:29" ht="11.65" hidden="1" x14ac:dyDescent="0.35">
      <c r="A2393" s="12">
        <v>2376</v>
      </c>
      <c r="B2393" s="10" t="s">
        <v>1015</v>
      </c>
      <c r="C2393" s="11" t="s">
        <v>1182</v>
      </c>
      <c r="D2393" s="9"/>
      <c r="E2393" s="9">
        <v>388</v>
      </c>
      <c r="F2393" s="10" t="s">
        <v>1066</v>
      </c>
      <c r="G2393" s="9">
        <v>915</v>
      </c>
      <c r="H2393" s="9">
        <v>1975</v>
      </c>
      <c r="I2393" s="8">
        <v>145.81700000000001</v>
      </c>
      <c r="J2393" s="8">
        <v>152.37100000000001</v>
      </c>
      <c r="K2393" s="8">
        <v>146.49299999999999</v>
      </c>
      <c r="L2393" s="8">
        <v>116.833</v>
      </c>
      <c r="M2393" s="8">
        <v>75.093999999999994</v>
      </c>
      <c r="N2393" s="8">
        <v>59.018000000000001</v>
      </c>
      <c r="O2393" s="8">
        <v>47.34</v>
      </c>
      <c r="P2393" s="8">
        <v>43.161999999999999</v>
      </c>
      <c r="Q2393" s="8">
        <v>43.223999999999997</v>
      </c>
      <c r="R2393" s="8">
        <v>40.999000000000002</v>
      </c>
      <c r="S2393" s="8">
        <v>35.880000000000003</v>
      </c>
      <c r="T2393" s="8">
        <v>34.412999999999997</v>
      </c>
      <c r="U2393" s="8">
        <v>28.21</v>
      </c>
      <c r="V2393" s="8">
        <v>25.175000000000001</v>
      </c>
      <c r="W2393" s="8">
        <v>17.838000000000001</v>
      </c>
      <c r="X2393" s="8">
        <v>11.23</v>
      </c>
      <c r="Y2393" s="8">
        <v>6.74</v>
      </c>
      <c r="Z2393" s="8">
        <v>3.129</v>
      </c>
      <c r="AA2393" s="8">
        <v>1.04</v>
      </c>
      <c r="AB2393" s="8">
        <v>0.13300000000000001</v>
      </c>
      <c r="AC2393" s="8">
        <v>1.6E-2</v>
      </c>
    </row>
    <row r="2394" spans="1:29" ht="11.65" hidden="1" x14ac:dyDescent="0.35">
      <c r="A2394" s="12">
        <v>2377</v>
      </c>
      <c r="B2394" s="10" t="s">
        <v>1015</v>
      </c>
      <c r="C2394" s="11" t="s">
        <v>1182</v>
      </c>
      <c r="D2394" s="9"/>
      <c r="E2394" s="9">
        <v>388</v>
      </c>
      <c r="F2394" s="10" t="s">
        <v>1066</v>
      </c>
      <c r="G2394" s="9">
        <v>915</v>
      </c>
      <c r="H2394" s="9">
        <v>1980</v>
      </c>
      <c r="I2394" s="8">
        <v>140.40299999999999</v>
      </c>
      <c r="J2394" s="8">
        <v>142.261</v>
      </c>
      <c r="K2394" s="8">
        <v>139.488</v>
      </c>
      <c r="L2394" s="8">
        <v>124.64</v>
      </c>
      <c r="M2394" s="8">
        <v>101.627</v>
      </c>
      <c r="N2394" s="8">
        <v>76.367000000000004</v>
      </c>
      <c r="O2394" s="8">
        <v>60.363</v>
      </c>
      <c r="P2394" s="8">
        <v>49.042000000000002</v>
      </c>
      <c r="Q2394" s="8">
        <v>42.697000000000003</v>
      </c>
      <c r="R2394" s="8">
        <v>39.683</v>
      </c>
      <c r="S2394" s="8">
        <v>36.331000000000003</v>
      </c>
      <c r="T2394" s="8">
        <v>32.671999999999997</v>
      </c>
      <c r="U2394" s="8">
        <v>29.483000000000001</v>
      </c>
      <c r="V2394" s="8">
        <v>26.187000000000001</v>
      </c>
      <c r="W2394" s="8">
        <v>21.28</v>
      </c>
      <c r="X2394" s="8">
        <v>11.114000000000001</v>
      </c>
      <c r="Y2394" s="8">
        <v>15.762</v>
      </c>
      <c r="Z2394" s="8">
        <v>3.2160000000000002</v>
      </c>
      <c r="AA2394" s="8">
        <v>1.0109999999999999</v>
      </c>
      <c r="AB2394" s="8">
        <v>0.20200000000000001</v>
      </c>
      <c r="AC2394" s="8">
        <v>1.4999999999999999E-2</v>
      </c>
    </row>
    <row r="2395" spans="1:29" ht="11.65" hidden="1" x14ac:dyDescent="0.35">
      <c r="A2395" s="12">
        <v>2378</v>
      </c>
      <c r="B2395" s="10" t="s">
        <v>1015</v>
      </c>
      <c r="C2395" s="11" t="s">
        <v>1182</v>
      </c>
      <c r="D2395" s="9"/>
      <c r="E2395" s="9">
        <v>388</v>
      </c>
      <c r="F2395" s="10" t="s">
        <v>1066</v>
      </c>
      <c r="G2395" s="9">
        <v>915</v>
      </c>
      <c r="H2395" s="9">
        <v>1985</v>
      </c>
      <c r="I2395" s="8">
        <v>147.80199999999999</v>
      </c>
      <c r="J2395" s="8">
        <v>134.78700000000001</v>
      </c>
      <c r="K2395" s="8">
        <v>140.72399999999999</v>
      </c>
      <c r="L2395" s="8">
        <v>136.5</v>
      </c>
      <c r="M2395" s="8">
        <v>118.84</v>
      </c>
      <c r="N2395" s="8">
        <v>94.254999999999995</v>
      </c>
      <c r="O2395" s="8">
        <v>69.831000000000003</v>
      </c>
      <c r="P2395" s="8">
        <v>55.991999999999997</v>
      </c>
      <c r="Q2395" s="8">
        <v>46.494</v>
      </c>
      <c r="R2395" s="8">
        <v>40.918999999999997</v>
      </c>
      <c r="S2395" s="8">
        <v>37.811999999999998</v>
      </c>
      <c r="T2395" s="8">
        <v>34.015999999999998</v>
      </c>
      <c r="U2395" s="8">
        <v>29.803000000000001</v>
      </c>
      <c r="V2395" s="8">
        <v>26.521000000000001</v>
      </c>
      <c r="W2395" s="8">
        <v>23.007999999999999</v>
      </c>
      <c r="X2395" s="8">
        <v>17.832999999999998</v>
      </c>
      <c r="Y2395" s="8">
        <v>10.756</v>
      </c>
      <c r="Z2395" s="8">
        <v>7.3929999999999998</v>
      </c>
      <c r="AA2395" s="8">
        <v>1.0029999999999999</v>
      </c>
      <c r="AB2395" s="8">
        <v>0.184</v>
      </c>
      <c r="AC2395" s="8">
        <v>0.02</v>
      </c>
    </row>
    <row r="2396" spans="1:29" ht="11.65" hidden="1" x14ac:dyDescent="0.35">
      <c r="A2396" s="12">
        <v>2379</v>
      </c>
      <c r="B2396" s="10" t="s">
        <v>1015</v>
      </c>
      <c r="C2396" s="11" t="s">
        <v>1182</v>
      </c>
      <c r="D2396" s="9"/>
      <c r="E2396" s="9">
        <v>388</v>
      </c>
      <c r="F2396" s="10" t="s">
        <v>1066</v>
      </c>
      <c r="G2396" s="9">
        <v>915</v>
      </c>
      <c r="H2396" s="9">
        <v>1990</v>
      </c>
      <c r="I2396" s="8">
        <v>144.14400000000001</v>
      </c>
      <c r="J2396" s="8">
        <v>141.90100000000001</v>
      </c>
      <c r="K2396" s="8">
        <v>130.715</v>
      </c>
      <c r="L2396" s="8">
        <v>130.047</v>
      </c>
      <c r="M2396" s="8">
        <v>120.94799999999999</v>
      </c>
      <c r="N2396" s="8">
        <v>106.357</v>
      </c>
      <c r="O2396" s="8">
        <v>86.908000000000001</v>
      </c>
      <c r="P2396" s="8">
        <v>65.56</v>
      </c>
      <c r="Q2396" s="8">
        <v>53.081000000000003</v>
      </c>
      <c r="R2396" s="8">
        <v>43.798999999999999</v>
      </c>
      <c r="S2396" s="8">
        <v>37.880000000000003</v>
      </c>
      <c r="T2396" s="8">
        <v>35.338999999999999</v>
      </c>
      <c r="U2396" s="8">
        <v>33.069000000000003</v>
      </c>
      <c r="V2396" s="8">
        <v>29.247</v>
      </c>
      <c r="W2396" s="8">
        <v>24.699000000000002</v>
      </c>
      <c r="X2396" s="8">
        <v>19.524000000000001</v>
      </c>
      <c r="Y2396" s="8">
        <v>14.973000000000001</v>
      </c>
      <c r="Z2396" s="8">
        <v>5.1159999999999997</v>
      </c>
      <c r="AA2396" s="8">
        <v>2.3330000000000002</v>
      </c>
      <c r="AB2396" s="8">
        <v>0.184</v>
      </c>
      <c r="AC2396" s="8">
        <v>1.9E-2</v>
      </c>
    </row>
    <row r="2397" spans="1:29" ht="11.65" hidden="1" x14ac:dyDescent="0.35">
      <c r="A2397" s="12">
        <v>2380</v>
      </c>
      <c r="B2397" s="10" t="s">
        <v>1015</v>
      </c>
      <c r="C2397" s="11" t="s">
        <v>1182</v>
      </c>
      <c r="D2397" s="9"/>
      <c r="E2397" s="9">
        <v>388</v>
      </c>
      <c r="F2397" s="10" t="s">
        <v>1066</v>
      </c>
      <c r="G2397" s="9">
        <v>915</v>
      </c>
      <c r="H2397" s="9">
        <v>1995</v>
      </c>
      <c r="I2397" s="8">
        <v>142.797</v>
      </c>
      <c r="J2397" s="8">
        <v>139.84200000000001</v>
      </c>
      <c r="K2397" s="8">
        <v>136.73500000000001</v>
      </c>
      <c r="L2397" s="8">
        <v>124.294</v>
      </c>
      <c r="M2397" s="8">
        <v>120.86499999999999</v>
      </c>
      <c r="N2397" s="8">
        <v>111.443</v>
      </c>
      <c r="O2397" s="8">
        <v>99.652000000000001</v>
      </c>
      <c r="P2397" s="8">
        <v>82.143000000000001</v>
      </c>
      <c r="Q2397" s="8">
        <v>61.756999999999998</v>
      </c>
      <c r="R2397" s="8">
        <v>50.470999999999997</v>
      </c>
      <c r="S2397" s="8">
        <v>41.866999999999997</v>
      </c>
      <c r="T2397" s="8">
        <v>35.677</v>
      </c>
      <c r="U2397" s="8">
        <v>32.225000000000001</v>
      </c>
      <c r="V2397" s="8">
        <v>29.263999999999999</v>
      </c>
      <c r="W2397" s="8">
        <v>25.161999999999999</v>
      </c>
      <c r="X2397" s="8">
        <v>20.082000000000001</v>
      </c>
      <c r="Y2397" s="8">
        <v>15.523</v>
      </c>
      <c r="Z2397" s="8">
        <v>7.7690000000000001</v>
      </c>
      <c r="AA2397" s="8">
        <v>1.8260000000000001</v>
      </c>
      <c r="AB2397" s="8">
        <v>0.50800000000000001</v>
      </c>
      <c r="AC2397" s="8">
        <v>2.3E-2</v>
      </c>
    </row>
    <row r="2398" spans="1:29" ht="11.65" hidden="1" x14ac:dyDescent="0.35">
      <c r="A2398" s="12">
        <v>2381</v>
      </c>
      <c r="B2398" s="10" t="s">
        <v>1015</v>
      </c>
      <c r="C2398" s="11" t="s">
        <v>1182</v>
      </c>
      <c r="D2398" s="9"/>
      <c r="E2398" s="9">
        <v>388</v>
      </c>
      <c r="F2398" s="10" t="s">
        <v>1066</v>
      </c>
      <c r="G2398" s="9">
        <v>915</v>
      </c>
      <c r="H2398" s="9">
        <v>2000</v>
      </c>
      <c r="I2398" s="8">
        <v>141.185</v>
      </c>
      <c r="J2398" s="8">
        <v>140.99</v>
      </c>
      <c r="K2398" s="8">
        <v>137.227</v>
      </c>
      <c r="L2398" s="8">
        <v>127.884</v>
      </c>
      <c r="M2398" s="8">
        <v>112.52500000000001</v>
      </c>
      <c r="N2398" s="8">
        <v>110.786</v>
      </c>
      <c r="O2398" s="8">
        <v>105.28400000000001</v>
      </c>
      <c r="P2398" s="8">
        <v>94.679000000000002</v>
      </c>
      <c r="Q2398" s="8">
        <v>76.480999999999995</v>
      </c>
      <c r="R2398" s="8">
        <v>56.262999999999998</v>
      </c>
      <c r="S2398" s="8">
        <v>46.814</v>
      </c>
      <c r="T2398" s="8">
        <v>39.433999999999997</v>
      </c>
      <c r="U2398" s="8">
        <v>34.755000000000003</v>
      </c>
      <c r="V2398" s="8">
        <v>32.99</v>
      </c>
      <c r="W2398" s="8">
        <v>27.93</v>
      </c>
      <c r="X2398" s="8">
        <v>20.704999999999998</v>
      </c>
      <c r="Y2398" s="8">
        <v>16.059000000000001</v>
      </c>
      <c r="Z2398" s="8">
        <v>8.6989999999999998</v>
      </c>
      <c r="AA2398" s="8">
        <v>3.1019999999999999</v>
      </c>
      <c r="AB2398" s="8">
        <v>0.46400000000000002</v>
      </c>
      <c r="AC2398" s="8">
        <v>7.1999999999999995E-2</v>
      </c>
    </row>
    <row r="2399" spans="1:29" ht="11.65" hidden="1" x14ac:dyDescent="0.35">
      <c r="A2399" s="12">
        <v>2382</v>
      </c>
      <c r="B2399" s="10" t="s">
        <v>1015</v>
      </c>
      <c r="C2399" s="11" t="s">
        <v>1182</v>
      </c>
      <c r="D2399" s="9"/>
      <c r="E2399" s="9">
        <v>388</v>
      </c>
      <c r="F2399" s="10" t="s">
        <v>1066</v>
      </c>
      <c r="G2399" s="9">
        <v>915</v>
      </c>
      <c r="H2399" s="9">
        <v>2005</v>
      </c>
      <c r="I2399" s="8">
        <v>125.879</v>
      </c>
      <c r="J2399" s="8">
        <v>139.62200000000001</v>
      </c>
      <c r="K2399" s="8">
        <v>137.678</v>
      </c>
      <c r="L2399" s="8">
        <v>127.544</v>
      </c>
      <c r="M2399" s="8">
        <v>116.982</v>
      </c>
      <c r="N2399" s="8">
        <v>103.967</v>
      </c>
      <c r="O2399" s="8">
        <v>100.429</v>
      </c>
      <c r="P2399" s="8">
        <v>102.259</v>
      </c>
      <c r="Q2399" s="8">
        <v>92.408000000000001</v>
      </c>
      <c r="R2399" s="8">
        <v>76.301000000000002</v>
      </c>
      <c r="S2399" s="8">
        <v>60.683999999999997</v>
      </c>
      <c r="T2399" s="8">
        <v>44.430999999999997</v>
      </c>
      <c r="U2399" s="8">
        <v>38.304000000000002</v>
      </c>
      <c r="V2399" s="8">
        <v>33.186999999999998</v>
      </c>
      <c r="W2399" s="8">
        <v>29.875</v>
      </c>
      <c r="X2399" s="8">
        <v>24.187999999999999</v>
      </c>
      <c r="Y2399" s="8">
        <v>16.190000000000001</v>
      </c>
      <c r="Z2399" s="8">
        <v>8.5790000000000006</v>
      </c>
      <c r="AA2399" s="8">
        <v>3.2010000000000001</v>
      </c>
      <c r="AB2399" s="8">
        <v>0.68899999999999995</v>
      </c>
      <c r="AC2399" s="8">
        <v>6.0999999999999999E-2</v>
      </c>
    </row>
    <row r="2400" spans="1:29" ht="11.65" hidden="1" x14ac:dyDescent="0.35">
      <c r="A2400" s="12">
        <v>2383</v>
      </c>
      <c r="B2400" s="10" t="s">
        <v>1015</v>
      </c>
      <c r="C2400" s="11" t="s">
        <v>1182</v>
      </c>
      <c r="D2400" s="9"/>
      <c r="E2400" s="9">
        <v>388</v>
      </c>
      <c r="F2400" s="10" t="s">
        <v>1066</v>
      </c>
      <c r="G2400" s="9">
        <v>915</v>
      </c>
      <c r="H2400" s="9">
        <v>2010</v>
      </c>
      <c r="I2400" s="8">
        <v>113.386</v>
      </c>
      <c r="J2400" s="8">
        <v>121.32299999999999</v>
      </c>
      <c r="K2400" s="8">
        <v>136.93</v>
      </c>
      <c r="L2400" s="8">
        <v>136.08099999999999</v>
      </c>
      <c r="M2400" s="8">
        <v>124.271</v>
      </c>
      <c r="N2400" s="8">
        <v>115.31100000000001</v>
      </c>
      <c r="O2400" s="8">
        <v>99.850999999999999</v>
      </c>
      <c r="P2400" s="8">
        <v>98.168000000000006</v>
      </c>
      <c r="Q2400" s="8">
        <v>93.831000000000003</v>
      </c>
      <c r="R2400" s="8">
        <v>81.123999999999995</v>
      </c>
      <c r="S2400" s="8">
        <v>72.506</v>
      </c>
      <c r="T2400" s="8">
        <v>52.622</v>
      </c>
      <c r="U2400" s="8">
        <v>44.316000000000003</v>
      </c>
      <c r="V2400" s="8">
        <v>35.636000000000003</v>
      </c>
      <c r="W2400" s="8">
        <v>30.481000000000002</v>
      </c>
      <c r="X2400" s="8">
        <v>25.91</v>
      </c>
      <c r="Y2400" s="8">
        <v>19.074000000000002</v>
      </c>
      <c r="Z2400" s="8">
        <v>8.4009999999999998</v>
      </c>
      <c r="AA2400" s="8">
        <v>2.9990000000000001</v>
      </c>
      <c r="AB2400" s="8">
        <v>0.65500000000000003</v>
      </c>
      <c r="AC2400" s="8">
        <v>7.5999999999999998E-2</v>
      </c>
    </row>
    <row r="2401" spans="1:29" ht="11.65" hidden="1" x14ac:dyDescent="0.35">
      <c r="A2401" s="12">
        <v>2384</v>
      </c>
      <c r="B2401" s="10" t="s">
        <v>1015</v>
      </c>
      <c r="C2401" s="11" t="s">
        <v>1182</v>
      </c>
      <c r="D2401" s="9"/>
      <c r="E2401" s="9">
        <v>388</v>
      </c>
      <c r="F2401" s="10" t="s">
        <v>1066</v>
      </c>
      <c r="G2401" s="9">
        <v>915</v>
      </c>
      <c r="H2401" s="9">
        <v>2015</v>
      </c>
      <c r="I2401" s="8">
        <v>115.54600000000001</v>
      </c>
      <c r="J2401" s="8">
        <v>112.458</v>
      </c>
      <c r="K2401" s="8">
        <v>120.575</v>
      </c>
      <c r="L2401" s="8">
        <v>133.69399999999999</v>
      </c>
      <c r="M2401" s="8">
        <v>130.50700000000001</v>
      </c>
      <c r="N2401" s="8">
        <v>119.04600000000001</v>
      </c>
      <c r="O2401" s="8">
        <v>111.30800000000001</v>
      </c>
      <c r="P2401" s="8">
        <v>96.91</v>
      </c>
      <c r="Q2401" s="8">
        <v>95.78</v>
      </c>
      <c r="R2401" s="8">
        <v>91.596000000000004</v>
      </c>
      <c r="S2401" s="8">
        <v>78.847999999999999</v>
      </c>
      <c r="T2401" s="8">
        <v>69.903000000000006</v>
      </c>
      <c r="U2401" s="8">
        <v>49.908000000000001</v>
      </c>
      <c r="V2401" s="8">
        <v>40.917999999999999</v>
      </c>
      <c r="W2401" s="8">
        <v>31.367000000000001</v>
      </c>
      <c r="X2401" s="8">
        <v>24.507000000000001</v>
      </c>
      <c r="Y2401" s="8">
        <v>17.734000000000002</v>
      </c>
      <c r="Z2401" s="8">
        <v>10.036</v>
      </c>
      <c r="AA2401" s="8">
        <v>2.984</v>
      </c>
      <c r="AB2401" s="8">
        <v>0.625</v>
      </c>
      <c r="AC2401" s="8">
        <v>7.3999999999999996E-2</v>
      </c>
    </row>
    <row r="2402" spans="1:29" ht="11.65" hidden="1" x14ac:dyDescent="0.35">
      <c r="A2402" s="12">
        <v>2385</v>
      </c>
      <c r="B2402" s="10" t="s">
        <v>1015</v>
      </c>
      <c r="C2402" s="11" t="s">
        <v>1182</v>
      </c>
      <c r="D2402" s="9"/>
      <c r="E2402" s="9">
        <v>388</v>
      </c>
      <c r="F2402" s="10" t="s">
        <v>1066</v>
      </c>
      <c r="G2402" s="9">
        <v>915</v>
      </c>
      <c r="H2402" s="9">
        <v>2020</v>
      </c>
      <c r="I2402" s="8">
        <v>112.917</v>
      </c>
      <c r="J2402" s="8">
        <v>114.58499999999999</v>
      </c>
      <c r="K2402" s="8">
        <v>111.73</v>
      </c>
      <c r="L2402" s="8">
        <v>117.374</v>
      </c>
      <c r="M2402" s="8">
        <v>128.126</v>
      </c>
      <c r="N2402" s="8">
        <v>125.259</v>
      </c>
      <c r="O2402" s="8">
        <v>115.03400000000001</v>
      </c>
      <c r="P2402" s="8">
        <v>108.307</v>
      </c>
      <c r="Q2402" s="8">
        <v>94.551000000000002</v>
      </c>
      <c r="R2402" s="8">
        <v>93.546999999999997</v>
      </c>
      <c r="S2402" s="8">
        <v>89.15</v>
      </c>
      <c r="T2402" s="8">
        <v>76.113</v>
      </c>
      <c r="U2402" s="8">
        <v>66.462999999999994</v>
      </c>
      <c r="V2402" s="8">
        <v>46.183</v>
      </c>
      <c r="W2402" s="8">
        <v>36.142000000000003</v>
      </c>
      <c r="X2402" s="8">
        <v>25.375</v>
      </c>
      <c r="Y2402" s="8">
        <v>16.936</v>
      </c>
      <c r="Z2402" s="8">
        <v>9.44</v>
      </c>
      <c r="AA2402" s="8">
        <v>3.597</v>
      </c>
      <c r="AB2402" s="8">
        <v>0.621</v>
      </c>
      <c r="AC2402" s="8">
        <v>7.0000000000000007E-2</v>
      </c>
    </row>
    <row r="2403" spans="1:29" ht="11.65" hidden="1" x14ac:dyDescent="0.35">
      <c r="A2403" s="12">
        <v>2386</v>
      </c>
      <c r="B2403" s="10" t="s">
        <v>1015</v>
      </c>
      <c r="C2403" s="11" t="s">
        <v>1183</v>
      </c>
      <c r="D2403" s="9">
        <v>2</v>
      </c>
      <c r="E2403" s="9">
        <v>474</v>
      </c>
      <c r="F2403" s="10" t="s">
        <v>1066</v>
      </c>
      <c r="G2403" s="9">
        <v>915</v>
      </c>
      <c r="H2403" s="9">
        <v>1950</v>
      </c>
      <c r="I2403" s="8">
        <v>17</v>
      </c>
      <c r="J2403" s="8">
        <v>13</v>
      </c>
      <c r="K2403" s="8">
        <v>12</v>
      </c>
      <c r="L2403" s="8">
        <v>11</v>
      </c>
      <c r="M2403" s="8">
        <v>10</v>
      </c>
      <c r="N2403" s="8">
        <v>9</v>
      </c>
      <c r="O2403" s="8">
        <v>8</v>
      </c>
      <c r="P2403" s="8">
        <v>7</v>
      </c>
      <c r="Q2403" s="8">
        <v>6</v>
      </c>
      <c r="R2403" s="8">
        <v>4.9989999999999997</v>
      </c>
      <c r="S2403" s="8">
        <v>4.0010000000000003</v>
      </c>
      <c r="T2403" s="8">
        <v>4.0019999999999998</v>
      </c>
      <c r="U2403" s="8">
        <v>3</v>
      </c>
      <c r="V2403" s="8">
        <v>2.9990000000000001</v>
      </c>
      <c r="W2403" s="8">
        <v>2.1</v>
      </c>
      <c r="X2403" s="8">
        <v>1.2</v>
      </c>
      <c r="Y2403" s="8">
        <v>0.437</v>
      </c>
      <c r="Z2403" s="8">
        <v>0.189</v>
      </c>
      <c r="AA2403" s="8">
        <v>0.06</v>
      </c>
      <c r="AB2403" s="8">
        <v>1.4E-2</v>
      </c>
      <c r="AC2403" s="8">
        <v>3.0000000000000001E-3</v>
      </c>
    </row>
    <row r="2404" spans="1:29" ht="11.65" hidden="1" x14ac:dyDescent="0.35">
      <c r="A2404" s="12">
        <v>2387</v>
      </c>
      <c r="B2404" s="10" t="s">
        <v>1015</v>
      </c>
      <c r="C2404" s="11" t="s">
        <v>1183</v>
      </c>
      <c r="D2404" s="9">
        <v>2</v>
      </c>
      <c r="E2404" s="9">
        <v>474</v>
      </c>
      <c r="F2404" s="10" t="s">
        <v>1066</v>
      </c>
      <c r="G2404" s="9">
        <v>915</v>
      </c>
      <c r="H2404" s="9">
        <v>1955</v>
      </c>
      <c r="I2404" s="8">
        <v>21.125</v>
      </c>
      <c r="J2404" s="8">
        <v>16.045000000000002</v>
      </c>
      <c r="K2404" s="8">
        <v>12.074</v>
      </c>
      <c r="L2404" s="8">
        <v>12.109</v>
      </c>
      <c r="M2404" s="8">
        <v>10</v>
      </c>
      <c r="N2404" s="8">
        <v>9.0030000000000001</v>
      </c>
      <c r="O2404" s="8">
        <v>7.9980000000000002</v>
      </c>
      <c r="P2404" s="8">
        <v>6.9980000000000002</v>
      </c>
      <c r="Q2404" s="8">
        <v>7.0030000000000001</v>
      </c>
      <c r="R2404" s="8">
        <v>5.9989999999999997</v>
      </c>
      <c r="S2404" s="8">
        <v>5.0019999999999998</v>
      </c>
      <c r="T2404" s="8">
        <v>4.0999999999999996</v>
      </c>
      <c r="U2404" s="8">
        <v>3.1019999999999999</v>
      </c>
      <c r="V2404" s="8">
        <v>3.1</v>
      </c>
      <c r="W2404" s="8">
        <v>2.1080000000000001</v>
      </c>
      <c r="X2404" s="8">
        <v>0.93600000000000005</v>
      </c>
      <c r="Y2404" s="8">
        <v>0.83</v>
      </c>
      <c r="Z2404" s="8">
        <v>0.154</v>
      </c>
      <c r="AA2404" s="8">
        <v>4.2000000000000003E-2</v>
      </c>
      <c r="AB2404" s="8">
        <v>8.0000000000000002E-3</v>
      </c>
      <c r="AC2404" s="8">
        <v>1E-3</v>
      </c>
    </row>
    <row r="2405" spans="1:29" ht="11.65" hidden="1" x14ac:dyDescent="0.35">
      <c r="A2405" s="12">
        <v>2388</v>
      </c>
      <c r="B2405" s="10" t="s">
        <v>1015</v>
      </c>
      <c r="C2405" s="11" t="s">
        <v>1183</v>
      </c>
      <c r="D2405" s="9">
        <v>2</v>
      </c>
      <c r="E2405" s="9">
        <v>474</v>
      </c>
      <c r="F2405" s="10" t="s">
        <v>1066</v>
      </c>
      <c r="G2405" s="9">
        <v>915</v>
      </c>
      <c r="H2405" s="9">
        <v>1960</v>
      </c>
      <c r="I2405" s="8">
        <v>22.716999999999999</v>
      </c>
      <c r="J2405" s="8">
        <v>20.777999999999999</v>
      </c>
      <c r="K2405" s="8">
        <v>15.522</v>
      </c>
      <c r="L2405" s="8">
        <v>11.680999999999999</v>
      </c>
      <c r="M2405" s="8">
        <v>11.71</v>
      </c>
      <c r="N2405" s="8">
        <v>9.8019999999999996</v>
      </c>
      <c r="O2405" s="8">
        <v>8.8030000000000008</v>
      </c>
      <c r="P2405" s="8">
        <v>7.8949999999999996</v>
      </c>
      <c r="Q2405" s="8">
        <v>6.7990000000000004</v>
      </c>
      <c r="R2405" s="8">
        <v>6.8019999999999996</v>
      </c>
      <c r="S2405" s="8">
        <v>5.899</v>
      </c>
      <c r="T2405" s="8">
        <v>3.8010000000000002</v>
      </c>
      <c r="U2405" s="8">
        <v>3.8</v>
      </c>
      <c r="V2405" s="8">
        <v>2.802</v>
      </c>
      <c r="W2405" s="8">
        <v>1.909</v>
      </c>
      <c r="X2405" s="8">
        <v>1.85</v>
      </c>
      <c r="Y2405" s="8">
        <v>0.66600000000000004</v>
      </c>
      <c r="Z2405" s="8">
        <v>0.318</v>
      </c>
      <c r="AA2405" s="8">
        <v>3.5999999999999997E-2</v>
      </c>
      <c r="AB2405" s="8">
        <v>7.0000000000000001E-3</v>
      </c>
      <c r="AC2405" s="8">
        <v>1E-3</v>
      </c>
    </row>
    <row r="2406" spans="1:29" ht="11.65" hidden="1" x14ac:dyDescent="0.35">
      <c r="A2406" s="12">
        <v>2389</v>
      </c>
      <c r="B2406" s="10" t="s">
        <v>1015</v>
      </c>
      <c r="C2406" s="11" t="s">
        <v>1183</v>
      </c>
      <c r="D2406" s="9">
        <v>2</v>
      </c>
      <c r="E2406" s="9">
        <v>474</v>
      </c>
      <c r="F2406" s="10" t="s">
        <v>1066</v>
      </c>
      <c r="G2406" s="9">
        <v>915</v>
      </c>
      <c r="H2406" s="9">
        <v>1965</v>
      </c>
      <c r="I2406" s="8">
        <v>25.405000000000001</v>
      </c>
      <c r="J2406" s="8">
        <v>23.28</v>
      </c>
      <c r="K2406" s="8">
        <v>20.257999999999999</v>
      </c>
      <c r="L2406" s="8">
        <v>15.128</v>
      </c>
      <c r="M2406" s="8">
        <v>10.180999999999999</v>
      </c>
      <c r="N2406" s="8">
        <v>10.111000000000001</v>
      </c>
      <c r="O2406" s="8">
        <v>9.2010000000000005</v>
      </c>
      <c r="P2406" s="8">
        <v>9.1</v>
      </c>
      <c r="Q2406" s="8">
        <v>8.0960000000000001</v>
      </c>
      <c r="R2406" s="8">
        <v>6.0990000000000002</v>
      </c>
      <c r="S2406" s="8">
        <v>6.101</v>
      </c>
      <c r="T2406" s="8">
        <v>5.0999999999999996</v>
      </c>
      <c r="U2406" s="8">
        <v>4.0999999999999996</v>
      </c>
      <c r="V2406" s="8">
        <v>3.0030000000000001</v>
      </c>
      <c r="W2406" s="8">
        <v>3.0129999999999999</v>
      </c>
      <c r="X2406" s="8">
        <v>1.964</v>
      </c>
      <c r="Y2406" s="8">
        <v>0.64400000000000002</v>
      </c>
      <c r="Z2406" s="8">
        <v>0.27400000000000002</v>
      </c>
      <c r="AA2406" s="8">
        <v>8.2000000000000003E-2</v>
      </c>
      <c r="AB2406" s="8">
        <v>6.0000000000000001E-3</v>
      </c>
      <c r="AC2406" s="8">
        <v>1E-3</v>
      </c>
    </row>
    <row r="2407" spans="1:29" ht="11.65" hidden="1" x14ac:dyDescent="0.35">
      <c r="A2407" s="12">
        <v>2390</v>
      </c>
      <c r="B2407" s="10" t="s">
        <v>1015</v>
      </c>
      <c r="C2407" s="11" t="s">
        <v>1183</v>
      </c>
      <c r="D2407" s="9">
        <v>2</v>
      </c>
      <c r="E2407" s="9">
        <v>474</v>
      </c>
      <c r="F2407" s="10" t="s">
        <v>1066</v>
      </c>
      <c r="G2407" s="9">
        <v>915</v>
      </c>
      <c r="H2407" s="9">
        <v>1970</v>
      </c>
      <c r="I2407" s="8">
        <v>23.376999999999999</v>
      </c>
      <c r="J2407" s="8">
        <v>22.378</v>
      </c>
      <c r="K2407" s="8">
        <v>20.465</v>
      </c>
      <c r="L2407" s="8">
        <v>17.462</v>
      </c>
      <c r="M2407" s="8">
        <v>13.529</v>
      </c>
      <c r="N2407" s="8">
        <v>9.6829999999999998</v>
      </c>
      <c r="O2407" s="8">
        <v>8.81</v>
      </c>
      <c r="P2407" s="8">
        <v>8.7989999999999995</v>
      </c>
      <c r="Q2407" s="8">
        <v>7.702</v>
      </c>
      <c r="R2407" s="8">
        <v>7.6970000000000001</v>
      </c>
      <c r="S2407" s="8">
        <v>5.6989999999999998</v>
      </c>
      <c r="T2407" s="8">
        <v>5.7030000000000003</v>
      </c>
      <c r="U2407" s="8">
        <v>4.7969999999999997</v>
      </c>
      <c r="V2407" s="8">
        <v>3.8039999999999998</v>
      </c>
      <c r="W2407" s="8">
        <v>2.915</v>
      </c>
      <c r="X2407" s="8">
        <v>1.9510000000000001</v>
      </c>
      <c r="Y2407" s="8">
        <v>0.58199999999999996</v>
      </c>
      <c r="Z2407" s="8">
        <v>0.28399999999999997</v>
      </c>
      <c r="AA2407" s="8">
        <v>7.8E-2</v>
      </c>
      <c r="AB2407" s="8">
        <v>1.4E-2</v>
      </c>
      <c r="AC2407" s="8">
        <v>1E-3</v>
      </c>
    </row>
    <row r="2408" spans="1:29" ht="11.65" hidden="1" x14ac:dyDescent="0.35">
      <c r="A2408" s="12">
        <v>2391</v>
      </c>
      <c r="B2408" s="10" t="s">
        <v>1015</v>
      </c>
      <c r="C2408" s="11" t="s">
        <v>1183</v>
      </c>
      <c r="D2408" s="9">
        <v>2</v>
      </c>
      <c r="E2408" s="9">
        <v>474</v>
      </c>
      <c r="F2408" s="10" t="s">
        <v>1066</v>
      </c>
      <c r="G2408" s="9">
        <v>915</v>
      </c>
      <c r="H2408" s="9">
        <v>1975</v>
      </c>
      <c r="I2408" s="8">
        <v>19.95</v>
      </c>
      <c r="J2408" s="8">
        <v>22.460999999999999</v>
      </c>
      <c r="K2408" s="8">
        <v>23.469000000000001</v>
      </c>
      <c r="L2408" s="8">
        <v>19.968</v>
      </c>
      <c r="M2408" s="8">
        <v>11.961</v>
      </c>
      <c r="N2408" s="8">
        <v>9.3309999999999995</v>
      </c>
      <c r="O2408" s="8">
        <v>7.9820000000000002</v>
      </c>
      <c r="P2408" s="8">
        <v>8.51</v>
      </c>
      <c r="Q2408" s="8">
        <v>8</v>
      </c>
      <c r="R2408" s="8">
        <v>7.7009999999999996</v>
      </c>
      <c r="S2408" s="8">
        <v>6.8970000000000002</v>
      </c>
      <c r="T2408" s="8">
        <v>5.399</v>
      </c>
      <c r="U2408" s="8">
        <v>5.4009999999999998</v>
      </c>
      <c r="V2408" s="8">
        <v>4.202</v>
      </c>
      <c r="W2408" s="8">
        <v>3.2170000000000001</v>
      </c>
      <c r="X2408" s="8">
        <v>2.1669999999999998</v>
      </c>
      <c r="Y2408" s="8">
        <v>2.0219999999999998</v>
      </c>
      <c r="Z2408" s="8">
        <v>0.28699999999999998</v>
      </c>
      <c r="AA2408" s="8">
        <v>0.09</v>
      </c>
      <c r="AB2408" s="8">
        <v>1.4999999999999999E-2</v>
      </c>
      <c r="AC2408" s="8">
        <v>1E-3</v>
      </c>
    </row>
    <row r="2409" spans="1:29" ht="11.65" hidden="1" x14ac:dyDescent="0.35">
      <c r="A2409" s="12">
        <v>2392</v>
      </c>
      <c r="B2409" s="10" t="s">
        <v>1015</v>
      </c>
      <c r="C2409" s="11" t="s">
        <v>1183</v>
      </c>
      <c r="D2409" s="9">
        <v>2</v>
      </c>
      <c r="E2409" s="9">
        <v>474</v>
      </c>
      <c r="F2409" s="10" t="s">
        <v>1066</v>
      </c>
      <c r="G2409" s="9">
        <v>915</v>
      </c>
      <c r="H2409" s="9">
        <v>1980</v>
      </c>
      <c r="I2409" s="8">
        <v>12.888</v>
      </c>
      <c r="J2409" s="8">
        <v>15.941000000000001</v>
      </c>
      <c r="K2409" s="8">
        <v>20.28</v>
      </c>
      <c r="L2409" s="8">
        <v>20.65</v>
      </c>
      <c r="M2409" s="8">
        <v>14.943</v>
      </c>
      <c r="N2409" s="8">
        <v>11.54</v>
      </c>
      <c r="O2409" s="8">
        <v>10.529</v>
      </c>
      <c r="P2409" s="8">
        <v>9.1519999999999992</v>
      </c>
      <c r="Q2409" s="8">
        <v>8.3260000000000005</v>
      </c>
      <c r="R2409" s="8">
        <v>8.2430000000000003</v>
      </c>
      <c r="S2409" s="8">
        <v>7.4210000000000003</v>
      </c>
      <c r="T2409" s="8">
        <v>6.7549999999999999</v>
      </c>
      <c r="U2409" s="8">
        <v>5.8140000000000001</v>
      </c>
      <c r="V2409" s="8">
        <v>4.8639999999999999</v>
      </c>
      <c r="W2409" s="8">
        <v>4.0609999999999999</v>
      </c>
      <c r="X2409" s="8">
        <v>2.8180000000000001</v>
      </c>
      <c r="Y2409" s="8">
        <v>2.27</v>
      </c>
      <c r="Z2409" s="8">
        <v>1.052</v>
      </c>
      <c r="AA2409" s="8">
        <v>9.9000000000000005E-2</v>
      </c>
      <c r="AB2409" s="8">
        <v>1.9E-2</v>
      </c>
      <c r="AC2409" s="8">
        <v>2E-3</v>
      </c>
    </row>
    <row r="2410" spans="1:29" ht="11.65" hidden="1" x14ac:dyDescent="0.35">
      <c r="A2410" s="12">
        <v>2393</v>
      </c>
      <c r="B2410" s="10" t="s">
        <v>1015</v>
      </c>
      <c r="C2410" s="11" t="s">
        <v>1183</v>
      </c>
      <c r="D2410" s="9">
        <v>2</v>
      </c>
      <c r="E2410" s="9">
        <v>474</v>
      </c>
      <c r="F2410" s="10" t="s">
        <v>1066</v>
      </c>
      <c r="G2410" s="9">
        <v>915</v>
      </c>
      <c r="H2410" s="9">
        <v>1985</v>
      </c>
      <c r="I2410" s="8">
        <v>13.987</v>
      </c>
      <c r="J2410" s="8">
        <v>14.999000000000001</v>
      </c>
      <c r="K2410" s="8">
        <v>17.071000000000002</v>
      </c>
      <c r="L2410" s="8">
        <v>18.928000000000001</v>
      </c>
      <c r="M2410" s="8">
        <v>16.050999999999998</v>
      </c>
      <c r="N2410" s="8">
        <v>13.978</v>
      </c>
      <c r="O2410" s="8">
        <v>12.305</v>
      </c>
      <c r="P2410" s="8">
        <v>10.712999999999999</v>
      </c>
      <c r="Q2410" s="8">
        <v>9.4420000000000002</v>
      </c>
      <c r="R2410" s="8">
        <v>8.6590000000000007</v>
      </c>
      <c r="S2410" s="8">
        <v>7.9690000000000003</v>
      </c>
      <c r="T2410" s="8">
        <v>7.3120000000000003</v>
      </c>
      <c r="U2410" s="8">
        <v>6.53</v>
      </c>
      <c r="V2410" s="8">
        <v>5.5309999999999997</v>
      </c>
      <c r="W2410" s="8">
        <v>4.4020000000000001</v>
      </c>
      <c r="X2410" s="8">
        <v>3.3439999999999999</v>
      </c>
      <c r="Y2410" s="8">
        <v>2.512</v>
      </c>
      <c r="Z2410" s="8">
        <v>1.2709999999999999</v>
      </c>
      <c r="AA2410" s="8">
        <v>0.41499999999999998</v>
      </c>
      <c r="AB2410" s="8">
        <v>2.4E-2</v>
      </c>
      <c r="AC2410" s="8">
        <v>3.0000000000000001E-3</v>
      </c>
    </row>
    <row r="2411" spans="1:29" ht="11.65" hidden="1" x14ac:dyDescent="0.35">
      <c r="A2411" s="12">
        <v>2394</v>
      </c>
      <c r="B2411" s="10" t="s">
        <v>1015</v>
      </c>
      <c r="C2411" s="11" t="s">
        <v>1183</v>
      </c>
      <c r="D2411" s="9">
        <v>2</v>
      </c>
      <c r="E2411" s="9">
        <v>474</v>
      </c>
      <c r="F2411" s="10" t="s">
        <v>1066</v>
      </c>
      <c r="G2411" s="9">
        <v>915</v>
      </c>
      <c r="H2411" s="9">
        <v>1990</v>
      </c>
      <c r="I2411" s="8">
        <v>14.975</v>
      </c>
      <c r="J2411" s="8">
        <v>14.109</v>
      </c>
      <c r="K2411" s="8">
        <v>14.131</v>
      </c>
      <c r="L2411" s="8">
        <v>17.675000000000001</v>
      </c>
      <c r="M2411" s="8">
        <v>16.946000000000002</v>
      </c>
      <c r="N2411" s="8">
        <v>16.678999999999998</v>
      </c>
      <c r="O2411" s="8">
        <v>14.173999999999999</v>
      </c>
      <c r="P2411" s="8">
        <v>12.869</v>
      </c>
      <c r="Q2411" s="8">
        <v>10.891</v>
      </c>
      <c r="R2411" s="8">
        <v>8.8409999999999993</v>
      </c>
      <c r="S2411" s="8">
        <v>8.8040000000000003</v>
      </c>
      <c r="T2411" s="8">
        <v>7.8310000000000004</v>
      </c>
      <c r="U2411" s="8">
        <v>7.4240000000000004</v>
      </c>
      <c r="V2411" s="8">
        <v>6.37</v>
      </c>
      <c r="W2411" s="8">
        <v>4.7069999999999999</v>
      </c>
      <c r="X2411" s="8">
        <v>3.9910000000000001</v>
      </c>
      <c r="Y2411" s="8">
        <v>2.84</v>
      </c>
      <c r="Z2411" s="8">
        <v>1.5</v>
      </c>
      <c r="AA2411" s="8">
        <v>0.55000000000000004</v>
      </c>
      <c r="AB2411" s="8">
        <v>0.114</v>
      </c>
      <c r="AC2411" s="8">
        <v>4.0000000000000001E-3</v>
      </c>
    </row>
    <row r="2412" spans="1:29" ht="11.65" hidden="1" x14ac:dyDescent="0.35">
      <c r="A2412" s="12">
        <v>2395</v>
      </c>
      <c r="B2412" s="10" t="s">
        <v>1015</v>
      </c>
      <c r="C2412" s="11" t="s">
        <v>1183</v>
      </c>
      <c r="D2412" s="9">
        <v>2</v>
      </c>
      <c r="E2412" s="9">
        <v>474</v>
      </c>
      <c r="F2412" s="10" t="s">
        <v>1066</v>
      </c>
      <c r="G2412" s="9">
        <v>915</v>
      </c>
      <c r="H2412" s="9">
        <v>1995</v>
      </c>
      <c r="I2412" s="8">
        <v>13.872</v>
      </c>
      <c r="J2412" s="8">
        <v>14.807</v>
      </c>
      <c r="K2412" s="8">
        <v>14.911</v>
      </c>
      <c r="L2412" s="8">
        <v>15.128</v>
      </c>
      <c r="M2412" s="8">
        <v>13.535</v>
      </c>
      <c r="N2412" s="8">
        <v>15.871</v>
      </c>
      <c r="O2412" s="8">
        <v>16.058</v>
      </c>
      <c r="P2412" s="8">
        <v>15.253</v>
      </c>
      <c r="Q2412" s="8">
        <v>12.827</v>
      </c>
      <c r="R2412" s="8">
        <v>10.863</v>
      </c>
      <c r="S2412" s="8">
        <v>9.7970000000000006</v>
      </c>
      <c r="T2412" s="8">
        <v>8.2420000000000009</v>
      </c>
      <c r="U2412" s="8">
        <v>8.1010000000000009</v>
      </c>
      <c r="V2412" s="8">
        <v>6.9740000000000002</v>
      </c>
      <c r="W2412" s="8">
        <v>5.7370000000000001</v>
      </c>
      <c r="X2412" s="8">
        <v>4.58</v>
      </c>
      <c r="Y2412" s="8">
        <v>3.415</v>
      </c>
      <c r="Z2412" s="8">
        <v>1.8</v>
      </c>
      <c r="AA2412" s="8">
        <v>0.70699999999999996</v>
      </c>
      <c r="AB2412" s="8">
        <v>0.16800000000000001</v>
      </c>
      <c r="AC2412" s="8">
        <v>1.9E-2</v>
      </c>
    </row>
    <row r="2413" spans="1:29" ht="11.65" hidden="1" x14ac:dyDescent="0.35">
      <c r="A2413" s="12">
        <v>2396</v>
      </c>
      <c r="B2413" s="10" t="s">
        <v>1015</v>
      </c>
      <c r="C2413" s="11" t="s">
        <v>1183</v>
      </c>
      <c r="D2413" s="9">
        <v>2</v>
      </c>
      <c r="E2413" s="9">
        <v>474</v>
      </c>
      <c r="F2413" s="10" t="s">
        <v>1066</v>
      </c>
      <c r="G2413" s="9">
        <v>915</v>
      </c>
      <c r="H2413" s="9">
        <v>2000</v>
      </c>
      <c r="I2413" s="8">
        <v>13.569000000000001</v>
      </c>
      <c r="J2413" s="8">
        <v>14.696999999999999</v>
      </c>
      <c r="K2413" s="8">
        <v>15.901999999999999</v>
      </c>
      <c r="L2413" s="8">
        <v>11.913</v>
      </c>
      <c r="M2413" s="8">
        <v>14.843999999999999</v>
      </c>
      <c r="N2413" s="8">
        <v>14.612</v>
      </c>
      <c r="O2413" s="8">
        <v>16.914000000000001</v>
      </c>
      <c r="P2413" s="8">
        <v>17.913</v>
      </c>
      <c r="Q2413" s="8">
        <v>15.321</v>
      </c>
      <c r="R2413" s="8">
        <v>13.362</v>
      </c>
      <c r="S2413" s="8">
        <v>11.175000000000001</v>
      </c>
      <c r="T2413" s="8">
        <v>9.1039999999999992</v>
      </c>
      <c r="U2413" s="8">
        <v>8.6809999999999992</v>
      </c>
      <c r="V2413" s="8">
        <v>7.72</v>
      </c>
      <c r="W2413" s="8">
        <v>6.734</v>
      </c>
      <c r="X2413" s="8">
        <v>5.3360000000000003</v>
      </c>
      <c r="Y2413" s="8">
        <v>3.9670000000000001</v>
      </c>
      <c r="Z2413" s="8">
        <v>2.2789999999999999</v>
      </c>
      <c r="AA2413" s="8">
        <v>0.91400000000000003</v>
      </c>
      <c r="AB2413" s="8">
        <v>0.24</v>
      </c>
      <c r="AC2413" s="8">
        <v>3.3000000000000002E-2</v>
      </c>
    </row>
    <row r="2414" spans="1:29" ht="11.65" hidden="1" x14ac:dyDescent="0.35">
      <c r="A2414" s="12">
        <v>2397</v>
      </c>
      <c r="B2414" s="10" t="s">
        <v>1015</v>
      </c>
      <c r="C2414" s="11" t="s">
        <v>1183</v>
      </c>
      <c r="D2414" s="9">
        <v>2</v>
      </c>
      <c r="E2414" s="9">
        <v>474</v>
      </c>
      <c r="F2414" s="10" t="s">
        <v>1066</v>
      </c>
      <c r="G2414" s="9">
        <v>915</v>
      </c>
      <c r="H2414" s="9">
        <v>2005</v>
      </c>
      <c r="I2414" s="8">
        <v>12.403</v>
      </c>
      <c r="J2414" s="8">
        <v>13.677</v>
      </c>
      <c r="K2414" s="8">
        <v>15.201000000000001</v>
      </c>
      <c r="L2414" s="8">
        <v>16.172000000000001</v>
      </c>
      <c r="M2414" s="8">
        <v>10.458</v>
      </c>
      <c r="N2414" s="8">
        <v>10.82</v>
      </c>
      <c r="O2414" s="8">
        <v>15.034000000000001</v>
      </c>
      <c r="P2414" s="8">
        <v>17.738</v>
      </c>
      <c r="Q2414" s="8">
        <v>18.600999999999999</v>
      </c>
      <c r="R2414" s="8">
        <v>16.007999999999999</v>
      </c>
      <c r="S2414" s="8">
        <v>13.585000000000001</v>
      </c>
      <c r="T2414" s="8">
        <v>11.689</v>
      </c>
      <c r="U2414" s="8">
        <v>9.3810000000000002</v>
      </c>
      <c r="V2414" s="8">
        <v>8.6890000000000001</v>
      </c>
      <c r="W2414" s="8">
        <v>7.5780000000000003</v>
      </c>
      <c r="X2414" s="8">
        <v>6.0439999999999996</v>
      </c>
      <c r="Y2414" s="8">
        <v>4.5620000000000003</v>
      </c>
      <c r="Z2414" s="8">
        <v>2.7719999999999998</v>
      </c>
      <c r="AA2414" s="8">
        <v>1.2430000000000001</v>
      </c>
      <c r="AB2414" s="8">
        <v>0.34100000000000003</v>
      </c>
      <c r="AC2414" s="8">
        <v>5.3999999999999999E-2</v>
      </c>
    </row>
    <row r="2415" spans="1:29" ht="11.65" hidden="1" x14ac:dyDescent="0.35">
      <c r="A2415" s="12">
        <v>2398</v>
      </c>
      <c r="B2415" s="10" t="s">
        <v>1015</v>
      </c>
      <c r="C2415" s="11" t="s">
        <v>1183</v>
      </c>
      <c r="D2415" s="9">
        <v>2</v>
      </c>
      <c r="E2415" s="9">
        <v>474</v>
      </c>
      <c r="F2415" s="10" t="s">
        <v>1066</v>
      </c>
      <c r="G2415" s="9">
        <v>915</v>
      </c>
      <c r="H2415" s="9">
        <v>2010</v>
      </c>
      <c r="I2415" s="8">
        <v>11.413</v>
      </c>
      <c r="J2415" s="8">
        <v>13.29</v>
      </c>
      <c r="K2415" s="8">
        <v>13.185</v>
      </c>
      <c r="L2415" s="8">
        <v>13.875999999999999</v>
      </c>
      <c r="M2415" s="8">
        <v>12.38</v>
      </c>
      <c r="N2415" s="8">
        <v>10.32</v>
      </c>
      <c r="O2415" s="8">
        <v>11.241</v>
      </c>
      <c r="P2415" s="8">
        <v>15.975</v>
      </c>
      <c r="Q2415" s="8">
        <v>18.045000000000002</v>
      </c>
      <c r="R2415" s="8">
        <v>18.181999999999999</v>
      </c>
      <c r="S2415" s="8">
        <v>15.379</v>
      </c>
      <c r="T2415" s="8">
        <v>13.488</v>
      </c>
      <c r="U2415" s="8">
        <v>11.573</v>
      </c>
      <c r="V2415" s="8">
        <v>8.7460000000000004</v>
      </c>
      <c r="W2415" s="8">
        <v>8.343</v>
      </c>
      <c r="X2415" s="8">
        <v>6.6219999999999999</v>
      </c>
      <c r="Y2415" s="8">
        <v>4.9470000000000001</v>
      </c>
      <c r="Z2415" s="8">
        <v>3.2770000000000001</v>
      </c>
      <c r="AA2415" s="8">
        <v>1.5740000000000001</v>
      </c>
      <c r="AB2415" s="8">
        <v>0.49299999999999999</v>
      </c>
      <c r="AC2415" s="8">
        <v>8.4000000000000005E-2</v>
      </c>
    </row>
    <row r="2416" spans="1:29" ht="11.65" hidden="1" x14ac:dyDescent="0.35">
      <c r="A2416" s="12">
        <v>2399</v>
      </c>
      <c r="B2416" s="10" t="s">
        <v>1015</v>
      </c>
      <c r="C2416" s="11" t="s">
        <v>1183</v>
      </c>
      <c r="D2416" s="9">
        <v>2</v>
      </c>
      <c r="E2416" s="9">
        <v>474</v>
      </c>
      <c r="F2416" s="10" t="s">
        <v>1066</v>
      </c>
      <c r="G2416" s="9">
        <v>915</v>
      </c>
      <c r="H2416" s="9">
        <v>2015</v>
      </c>
      <c r="I2416" s="8">
        <v>8.5730000000000004</v>
      </c>
      <c r="J2416" s="8">
        <v>11.092000000000001</v>
      </c>
      <c r="K2416" s="8">
        <v>12.189</v>
      </c>
      <c r="L2416" s="8">
        <v>12.329000000000001</v>
      </c>
      <c r="M2416" s="8">
        <v>8.5380000000000003</v>
      </c>
      <c r="N2416" s="8">
        <v>9.8580000000000005</v>
      </c>
      <c r="O2416" s="8">
        <v>10.111000000000001</v>
      </c>
      <c r="P2416" s="8">
        <v>11.055999999999999</v>
      </c>
      <c r="Q2416" s="8">
        <v>14.879</v>
      </c>
      <c r="R2416" s="8">
        <v>17.161999999999999</v>
      </c>
      <c r="S2416" s="8">
        <v>18.041</v>
      </c>
      <c r="T2416" s="8">
        <v>15.215</v>
      </c>
      <c r="U2416" s="8">
        <v>13.803000000000001</v>
      </c>
      <c r="V2416" s="8">
        <v>11.292</v>
      </c>
      <c r="W2416" s="8">
        <v>8.7319999999999993</v>
      </c>
      <c r="X2416" s="8">
        <v>7.6890000000000001</v>
      </c>
      <c r="Y2416" s="8">
        <v>6.383</v>
      </c>
      <c r="Z2416" s="8">
        <v>3.653</v>
      </c>
      <c r="AA2416" s="8">
        <v>1.9430000000000001</v>
      </c>
      <c r="AB2416" s="8">
        <v>0.66500000000000004</v>
      </c>
      <c r="AC2416" s="8">
        <v>0.13100000000000001</v>
      </c>
    </row>
    <row r="2417" spans="1:29" ht="11.65" hidden="1" x14ac:dyDescent="0.35">
      <c r="A2417" s="12">
        <v>2400</v>
      </c>
      <c r="B2417" s="10" t="s">
        <v>1015</v>
      </c>
      <c r="C2417" s="11" t="s">
        <v>1183</v>
      </c>
      <c r="D2417" s="9">
        <v>2</v>
      </c>
      <c r="E2417" s="9">
        <v>474</v>
      </c>
      <c r="F2417" s="10" t="s">
        <v>1066</v>
      </c>
      <c r="G2417" s="9">
        <v>915</v>
      </c>
      <c r="H2417" s="9">
        <v>2020</v>
      </c>
      <c r="I2417" s="8">
        <v>9.0039999999999996</v>
      </c>
      <c r="J2417" s="8">
        <v>8.5239999999999991</v>
      </c>
      <c r="K2417" s="8">
        <v>11.048999999999999</v>
      </c>
      <c r="L2417" s="8">
        <v>11.986000000000001</v>
      </c>
      <c r="M2417" s="8">
        <v>11.978999999999999</v>
      </c>
      <c r="N2417" s="8">
        <v>8.2129999999999992</v>
      </c>
      <c r="O2417" s="8">
        <v>9.609</v>
      </c>
      <c r="P2417" s="8">
        <v>9.9309999999999992</v>
      </c>
      <c r="Q2417" s="8">
        <v>10.914999999999999</v>
      </c>
      <c r="R2417" s="8">
        <v>14.742000000000001</v>
      </c>
      <c r="S2417" s="8">
        <v>17.007999999999999</v>
      </c>
      <c r="T2417" s="8">
        <v>17.843</v>
      </c>
      <c r="U2417" s="8">
        <v>14.958</v>
      </c>
      <c r="V2417" s="8">
        <v>13.420999999999999</v>
      </c>
      <c r="W2417" s="8">
        <v>10.76</v>
      </c>
      <c r="X2417" s="8">
        <v>8.0069999999999997</v>
      </c>
      <c r="Y2417" s="8">
        <v>6.5750000000000002</v>
      </c>
      <c r="Z2417" s="8">
        <v>4.83</v>
      </c>
      <c r="AA2417" s="8">
        <v>2.2480000000000002</v>
      </c>
      <c r="AB2417" s="8">
        <v>0.86199999999999999</v>
      </c>
      <c r="AC2417" s="8">
        <v>0.19400000000000001</v>
      </c>
    </row>
    <row r="2418" spans="1:29" ht="11.65" hidden="1" x14ac:dyDescent="0.35">
      <c r="A2418" s="12">
        <v>2401</v>
      </c>
      <c r="B2418" s="10" t="s">
        <v>1015</v>
      </c>
      <c r="C2418" s="11" t="s">
        <v>1184</v>
      </c>
      <c r="D2418" s="9">
        <v>14</v>
      </c>
      <c r="E2418" s="9">
        <v>630</v>
      </c>
      <c r="F2418" s="10" t="s">
        <v>1066</v>
      </c>
      <c r="G2418" s="9">
        <v>915</v>
      </c>
      <c r="H2418" s="9">
        <v>1950</v>
      </c>
      <c r="I2418" s="8">
        <v>181.4</v>
      </c>
      <c r="J2418" s="8">
        <v>157.4</v>
      </c>
      <c r="K2418" s="8">
        <v>133</v>
      </c>
      <c r="L2418" s="8">
        <v>111.9</v>
      </c>
      <c r="M2418" s="8">
        <v>101.8</v>
      </c>
      <c r="N2418" s="8">
        <v>81.600999999999999</v>
      </c>
      <c r="O2418" s="8">
        <v>65.3</v>
      </c>
      <c r="P2418" s="8">
        <v>66.198999999999998</v>
      </c>
      <c r="Q2418" s="8">
        <v>43.8</v>
      </c>
      <c r="R2418" s="8">
        <v>36.299999999999997</v>
      </c>
      <c r="S2418" s="8">
        <v>34.799999999999997</v>
      </c>
      <c r="T2418" s="8">
        <v>22</v>
      </c>
      <c r="U2418" s="8">
        <v>23.501000000000001</v>
      </c>
      <c r="V2418" s="8">
        <v>16.7</v>
      </c>
      <c r="W2418" s="8">
        <v>10.901</v>
      </c>
      <c r="X2418" s="8">
        <v>12</v>
      </c>
      <c r="Y2418" s="8">
        <v>3.0459999999999998</v>
      </c>
      <c r="Z2418" s="8">
        <v>1.466</v>
      </c>
      <c r="AA2418" s="8">
        <v>0.52100000000000002</v>
      </c>
      <c r="AB2418" s="8">
        <v>0.13800000000000001</v>
      </c>
      <c r="AC2418" s="8">
        <v>3.1E-2</v>
      </c>
    </row>
    <row r="2419" spans="1:29" ht="11.65" hidden="1" x14ac:dyDescent="0.35">
      <c r="A2419" s="12">
        <v>2402</v>
      </c>
      <c r="B2419" s="10" t="s">
        <v>1015</v>
      </c>
      <c r="C2419" s="11" t="s">
        <v>1184</v>
      </c>
      <c r="D2419" s="9">
        <v>14</v>
      </c>
      <c r="E2419" s="9">
        <v>630</v>
      </c>
      <c r="F2419" s="10" t="s">
        <v>1066</v>
      </c>
      <c r="G2419" s="9">
        <v>915</v>
      </c>
      <c r="H2419" s="9">
        <v>1955</v>
      </c>
      <c r="I2419" s="8">
        <v>169.24199999999999</v>
      </c>
      <c r="J2419" s="8">
        <v>152.989</v>
      </c>
      <c r="K2419" s="8">
        <v>141.97499999999999</v>
      </c>
      <c r="L2419" s="8">
        <v>113.396</v>
      </c>
      <c r="M2419" s="8">
        <v>92.486999999999995</v>
      </c>
      <c r="N2419" s="8">
        <v>73.236000000000004</v>
      </c>
      <c r="O2419" s="8">
        <v>63.701000000000001</v>
      </c>
      <c r="P2419" s="8">
        <v>67.456000000000003</v>
      </c>
      <c r="Q2419" s="8">
        <v>45.322000000000003</v>
      </c>
      <c r="R2419" s="8">
        <v>44.219000000000001</v>
      </c>
      <c r="S2419" s="8">
        <v>33.843000000000004</v>
      </c>
      <c r="T2419" s="8">
        <v>26.033999999999999</v>
      </c>
      <c r="U2419" s="8">
        <v>26.893000000000001</v>
      </c>
      <c r="V2419" s="8">
        <v>19.852</v>
      </c>
      <c r="W2419" s="8">
        <v>12.724</v>
      </c>
      <c r="X2419" s="8">
        <v>8.548</v>
      </c>
      <c r="Y2419" s="8">
        <v>9.7910000000000004</v>
      </c>
      <c r="Z2419" s="8">
        <v>1.5249999999999999</v>
      </c>
      <c r="AA2419" s="8">
        <v>0.52300000000000002</v>
      </c>
      <c r="AB2419" s="8">
        <v>0.12</v>
      </c>
      <c r="AC2419" s="8">
        <v>2.1999999999999999E-2</v>
      </c>
    </row>
    <row r="2420" spans="1:29" ht="11.65" hidden="1" x14ac:dyDescent="0.35">
      <c r="A2420" s="12">
        <v>2403</v>
      </c>
      <c r="B2420" s="10" t="s">
        <v>1015</v>
      </c>
      <c r="C2420" s="11" t="s">
        <v>1184</v>
      </c>
      <c r="D2420" s="9">
        <v>14</v>
      </c>
      <c r="E2420" s="9">
        <v>630</v>
      </c>
      <c r="F2420" s="10" t="s">
        <v>1066</v>
      </c>
      <c r="G2420" s="9">
        <v>915</v>
      </c>
      <c r="H2420" s="9">
        <v>1960</v>
      </c>
      <c r="I2420" s="8">
        <v>169.85</v>
      </c>
      <c r="J2420" s="8">
        <v>156.23699999999999</v>
      </c>
      <c r="K2420" s="8">
        <v>154.82599999999999</v>
      </c>
      <c r="L2420" s="8">
        <v>124.247</v>
      </c>
      <c r="M2420" s="8">
        <v>89.518000000000001</v>
      </c>
      <c r="N2420" s="8">
        <v>71.484999999999999</v>
      </c>
      <c r="O2420" s="8">
        <v>64.739999999999995</v>
      </c>
      <c r="P2420" s="8">
        <v>66.793999999999997</v>
      </c>
      <c r="Q2420" s="8">
        <v>55.247999999999998</v>
      </c>
      <c r="R2420" s="8">
        <v>49.328000000000003</v>
      </c>
      <c r="S2420" s="8">
        <v>36.470999999999997</v>
      </c>
      <c r="T2420" s="8">
        <v>31.754999999999999</v>
      </c>
      <c r="U2420" s="8">
        <v>28.152999999999999</v>
      </c>
      <c r="V2420" s="8">
        <v>24.503</v>
      </c>
      <c r="W2420" s="8">
        <v>15.063000000000001</v>
      </c>
      <c r="X2420" s="8">
        <v>10.842000000000001</v>
      </c>
      <c r="Y2420" s="8">
        <v>7.1849999999999996</v>
      </c>
      <c r="Z2420" s="8">
        <v>5.4169999999999998</v>
      </c>
      <c r="AA2420" s="8">
        <v>0.61899999999999999</v>
      </c>
      <c r="AB2420" s="8">
        <v>0.14099999999999999</v>
      </c>
      <c r="AC2420" s="8">
        <v>2.1999999999999999E-2</v>
      </c>
    </row>
    <row r="2421" spans="1:29" ht="11.65" hidden="1" x14ac:dyDescent="0.35">
      <c r="A2421" s="12">
        <v>2404</v>
      </c>
      <c r="B2421" s="10" t="s">
        <v>1015</v>
      </c>
      <c r="C2421" s="11" t="s">
        <v>1184</v>
      </c>
      <c r="D2421" s="9">
        <v>14</v>
      </c>
      <c r="E2421" s="9">
        <v>630</v>
      </c>
      <c r="F2421" s="10" t="s">
        <v>1066</v>
      </c>
      <c r="G2421" s="9">
        <v>915</v>
      </c>
      <c r="H2421" s="9">
        <v>1965</v>
      </c>
      <c r="I2421" s="8">
        <v>172.11799999999999</v>
      </c>
      <c r="J2421" s="8">
        <v>156.48699999999999</v>
      </c>
      <c r="K2421" s="8">
        <v>148.39599999999999</v>
      </c>
      <c r="L2421" s="8">
        <v>123.45399999999999</v>
      </c>
      <c r="M2421" s="8">
        <v>106.65600000000001</v>
      </c>
      <c r="N2421" s="8">
        <v>95.132000000000005</v>
      </c>
      <c r="O2421" s="8">
        <v>85.302000000000007</v>
      </c>
      <c r="P2421" s="8">
        <v>73.076999999999998</v>
      </c>
      <c r="Q2421" s="8">
        <v>67.421999999999997</v>
      </c>
      <c r="R2421" s="8">
        <v>60.338000000000001</v>
      </c>
      <c r="S2421" s="8">
        <v>48.093000000000004</v>
      </c>
      <c r="T2421" s="8">
        <v>39.161000000000001</v>
      </c>
      <c r="U2421" s="8">
        <v>32.658000000000001</v>
      </c>
      <c r="V2421" s="8">
        <v>25.018000000000001</v>
      </c>
      <c r="W2421" s="8">
        <v>20.565999999999999</v>
      </c>
      <c r="X2421" s="8">
        <v>11.874000000000001</v>
      </c>
      <c r="Y2421" s="8">
        <v>9.7149999999999999</v>
      </c>
      <c r="Z2421" s="8">
        <v>4.0709999999999997</v>
      </c>
      <c r="AA2421" s="8">
        <v>2.2719999999999998</v>
      </c>
      <c r="AB2421" s="8">
        <v>0.17299999999999999</v>
      </c>
      <c r="AC2421" s="8">
        <v>2.5000000000000001E-2</v>
      </c>
    </row>
    <row r="2422" spans="1:29" ht="11.65" hidden="1" x14ac:dyDescent="0.35">
      <c r="A2422" s="12">
        <v>2405</v>
      </c>
      <c r="B2422" s="10" t="s">
        <v>1015</v>
      </c>
      <c r="C2422" s="11" t="s">
        <v>1184</v>
      </c>
      <c r="D2422" s="9">
        <v>14</v>
      </c>
      <c r="E2422" s="9">
        <v>630</v>
      </c>
      <c r="F2422" s="10" t="s">
        <v>1066</v>
      </c>
      <c r="G2422" s="9">
        <v>915</v>
      </c>
      <c r="H2422" s="9">
        <v>1970</v>
      </c>
      <c r="I2422" s="8">
        <v>152.35</v>
      </c>
      <c r="J2422" s="8">
        <v>162.14699999999999</v>
      </c>
      <c r="K2422" s="8">
        <v>159.16</v>
      </c>
      <c r="L2422" s="8">
        <v>141.821</v>
      </c>
      <c r="M2422" s="8">
        <v>121.968</v>
      </c>
      <c r="N2422" s="8">
        <v>96.165000000000006</v>
      </c>
      <c r="O2422" s="8">
        <v>80.947000000000003</v>
      </c>
      <c r="P2422" s="8">
        <v>74.823999999999998</v>
      </c>
      <c r="Q2422" s="8">
        <v>63.816000000000003</v>
      </c>
      <c r="R2422" s="8">
        <v>60.353999999999999</v>
      </c>
      <c r="S2422" s="8">
        <v>53.125</v>
      </c>
      <c r="T2422" s="8">
        <v>44.875</v>
      </c>
      <c r="U2422" s="8">
        <v>41.244</v>
      </c>
      <c r="V2422" s="8">
        <v>33.357999999999997</v>
      </c>
      <c r="W2422" s="8">
        <v>20.788</v>
      </c>
      <c r="X2422" s="8">
        <v>15.006</v>
      </c>
      <c r="Y2422" s="8">
        <v>14.372</v>
      </c>
      <c r="Z2422" s="8">
        <v>5.5359999999999996</v>
      </c>
      <c r="AA2422" s="8">
        <v>1.712</v>
      </c>
      <c r="AB2422" s="8">
        <v>0.63600000000000001</v>
      </c>
      <c r="AC2422" s="8">
        <v>3.1E-2</v>
      </c>
    </row>
    <row r="2423" spans="1:29" ht="11.65" hidden="1" x14ac:dyDescent="0.35">
      <c r="A2423" s="12">
        <v>2406</v>
      </c>
      <c r="B2423" s="10" t="s">
        <v>1015</v>
      </c>
      <c r="C2423" s="11" t="s">
        <v>1184</v>
      </c>
      <c r="D2423" s="9">
        <v>14</v>
      </c>
      <c r="E2423" s="9">
        <v>630</v>
      </c>
      <c r="F2423" s="10" t="s">
        <v>1066</v>
      </c>
      <c r="G2423" s="9">
        <v>915</v>
      </c>
      <c r="H2423" s="9">
        <v>1975</v>
      </c>
      <c r="I2423" s="8">
        <v>157.50899999999999</v>
      </c>
      <c r="J2423" s="8">
        <v>157.05099999999999</v>
      </c>
      <c r="K2423" s="8">
        <v>157.52699999999999</v>
      </c>
      <c r="L2423" s="8">
        <v>156.18</v>
      </c>
      <c r="M2423" s="8">
        <v>143.63300000000001</v>
      </c>
      <c r="N2423" s="8">
        <v>125.78400000000001</v>
      </c>
      <c r="O2423" s="8">
        <v>96.677000000000007</v>
      </c>
      <c r="P2423" s="8">
        <v>79.965000000000003</v>
      </c>
      <c r="Q2423" s="8">
        <v>72.546000000000006</v>
      </c>
      <c r="R2423" s="8">
        <v>61.863999999999997</v>
      </c>
      <c r="S2423" s="8">
        <v>57.497999999999998</v>
      </c>
      <c r="T2423" s="8">
        <v>50.710999999999999</v>
      </c>
      <c r="U2423" s="8">
        <v>41.18</v>
      </c>
      <c r="V2423" s="8">
        <v>36.22</v>
      </c>
      <c r="W2423" s="8">
        <v>27.338999999999999</v>
      </c>
      <c r="X2423" s="8">
        <v>15.494999999999999</v>
      </c>
      <c r="Y2423" s="8">
        <v>7.55</v>
      </c>
      <c r="Z2423" s="8">
        <v>8.6460000000000008</v>
      </c>
      <c r="AA2423" s="8">
        <v>2.5</v>
      </c>
      <c r="AB2423" s="8">
        <v>0.51700000000000002</v>
      </c>
      <c r="AC2423" s="8">
        <v>0.111</v>
      </c>
    </row>
    <row r="2424" spans="1:29" ht="11.65" hidden="1" x14ac:dyDescent="0.35">
      <c r="A2424" s="12">
        <v>2407</v>
      </c>
      <c r="B2424" s="10" t="s">
        <v>1015</v>
      </c>
      <c r="C2424" s="11" t="s">
        <v>1184</v>
      </c>
      <c r="D2424" s="9">
        <v>14</v>
      </c>
      <c r="E2424" s="9">
        <v>630</v>
      </c>
      <c r="F2424" s="10" t="s">
        <v>1066</v>
      </c>
      <c r="G2424" s="9">
        <v>915</v>
      </c>
      <c r="H2424" s="9">
        <v>1980</v>
      </c>
      <c r="I2424" s="8">
        <v>161.16999999999999</v>
      </c>
      <c r="J2424" s="8">
        <v>156.71299999999999</v>
      </c>
      <c r="K2424" s="8">
        <v>160.93600000000001</v>
      </c>
      <c r="L2424" s="8">
        <v>163.37700000000001</v>
      </c>
      <c r="M2424" s="8">
        <v>137.38</v>
      </c>
      <c r="N2424" s="8">
        <v>119.375</v>
      </c>
      <c r="O2424" s="8">
        <v>118.351</v>
      </c>
      <c r="P2424" s="8">
        <v>101.01900000000001</v>
      </c>
      <c r="Q2424" s="8">
        <v>85.278000000000006</v>
      </c>
      <c r="R2424" s="8">
        <v>74.465000000000003</v>
      </c>
      <c r="S2424" s="8">
        <v>65.138000000000005</v>
      </c>
      <c r="T2424" s="8">
        <v>60.234000000000002</v>
      </c>
      <c r="U2424" s="8">
        <v>54.781999999999996</v>
      </c>
      <c r="V2424" s="8">
        <v>46.286000000000001</v>
      </c>
      <c r="W2424" s="8">
        <v>33.86</v>
      </c>
      <c r="X2424" s="8">
        <v>23.53</v>
      </c>
      <c r="Y2424" s="8">
        <v>16.867000000000001</v>
      </c>
      <c r="Z2424" s="8">
        <v>4.6870000000000003</v>
      </c>
      <c r="AA2424" s="8">
        <v>4.085</v>
      </c>
      <c r="AB2424" s="8">
        <v>0.80600000000000005</v>
      </c>
      <c r="AC2424" s="8">
        <v>0.112</v>
      </c>
    </row>
    <row r="2425" spans="1:29" ht="11.65" hidden="1" x14ac:dyDescent="0.35">
      <c r="A2425" s="12">
        <v>2408</v>
      </c>
      <c r="B2425" s="10" t="s">
        <v>1015</v>
      </c>
      <c r="C2425" s="11" t="s">
        <v>1184</v>
      </c>
      <c r="D2425" s="9">
        <v>14</v>
      </c>
      <c r="E2425" s="9">
        <v>630</v>
      </c>
      <c r="F2425" s="10" t="s">
        <v>1066</v>
      </c>
      <c r="G2425" s="9">
        <v>915</v>
      </c>
      <c r="H2425" s="9">
        <v>1985</v>
      </c>
      <c r="I2425" s="8">
        <v>154.88499999999999</v>
      </c>
      <c r="J2425" s="8">
        <v>155.91300000000001</v>
      </c>
      <c r="K2425" s="8">
        <v>163.036</v>
      </c>
      <c r="L2425" s="8">
        <v>164.13</v>
      </c>
      <c r="M2425" s="8">
        <v>142.35499999999999</v>
      </c>
      <c r="N2425" s="8">
        <v>127.14700000000001</v>
      </c>
      <c r="O2425" s="8">
        <v>122.312</v>
      </c>
      <c r="P2425" s="8">
        <v>109.22199999999999</v>
      </c>
      <c r="Q2425" s="8">
        <v>98.111999999999995</v>
      </c>
      <c r="R2425" s="8">
        <v>85.064999999999998</v>
      </c>
      <c r="S2425" s="8">
        <v>72.555999999999997</v>
      </c>
      <c r="T2425" s="8">
        <v>65.429000000000002</v>
      </c>
      <c r="U2425" s="8">
        <v>57.906999999999996</v>
      </c>
      <c r="V2425" s="8">
        <v>53.664000000000001</v>
      </c>
      <c r="W2425" s="8">
        <v>37.616999999999997</v>
      </c>
      <c r="X2425" s="8">
        <v>29.928999999999998</v>
      </c>
      <c r="Y2425" s="8">
        <v>17.452999999999999</v>
      </c>
      <c r="Z2425" s="8">
        <v>10.6</v>
      </c>
      <c r="AA2425" s="8">
        <v>2.2559999999999998</v>
      </c>
      <c r="AB2425" s="8">
        <v>1.3460000000000001</v>
      </c>
      <c r="AC2425" s="8">
        <v>0.16800000000000001</v>
      </c>
    </row>
    <row r="2426" spans="1:29" ht="11.65" hidden="1" x14ac:dyDescent="0.35">
      <c r="A2426" s="12">
        <v>2409</v>
      </c>
      <c r="B2426" s="10" t="s">
        <v>1015</v>
      </c>
      <c r="C2426" s="11" t="s">
        <v>1184</v>
      </c>
      <c r="D2426" s="9">
        <v>14</v>
      </c>
      <c r="E2426" s="9">
        <v>630</v>
      </c>
      <c r="F2426" s="10" t="s">
        <v>1066</v>
      </c>
      <c r="G2426" s="9">
        <v>915</v>
      </c>
      <c r="H2426" s="9">
        <v>1990</v>
      </c>
      <c r="I2426" s="8">
        <v>142.87</v>
      </c>
      <c r="J2426" s="8">
        <v>149.16499999999999</v>
      </c>
      <c r="K2426" s="8">
        <v>160.834</v>
      </c>
      <c r="L2426" s="8">
        <v>155.893</v>
      </c>
      <c r="M2426" s="8">
        <v>141.62700000000001</v>
      </c>
      <c r="N2426" s="8">
        <v>136.453</v>
      </c>
      <c r="O2426" s="8">
        <v>129.52699999999999</v>
      </c>
      <c r="P2426" s="8">
        <v>120.41</v>
      </c>
      <c r="Q2426" s="8">
        <v>116.88800000000001</v>
      </c>
      <c r="R2426" s="8">
        <v>100.982</v>
      </c>
      <c r="S2426" s="8">
        <v>83.778000000000006</v>
      </c>
      <c r="T2426" s="8">
        <v>73.233999999999995</v>
      </c>
      <c r="U2426" s="8">
        <v>63.82</v>
      </c>
      <c r="V2426" s="8">
        <v>58.52</v>
      </c>
      <c r="W2426" s="8">
        <v>46.841000000000001</v>
      </c>
      <c r="X2426" s="8">
        <v>34.53</v>
      </c>
      <c r="Y2426" s="8">
        <v>24.349</v>
      </c>
      <c r="Z2426" s="8">
        <v>11.382</v>
      </c>
      <c r="AA2426" s="8">
        <v>5.375</v>
      </c>
      <c r="AB2426" s="8">
        <v>0.79600000000000004</v>
      </c>
      <c r="AC2426" s="8">
        <v>0.3</v>
      </c>
    </row>
    <row r="2427" spans="1:29" ht="11.65" hidden="1" x14ac:dyDescent="0.35">
      <c r="A2427" s="12">
        <v>2410</v>
      </c>
      <c r="B2427" s="10" t="s">
        <v>1015</v>
      </c>
      <c r="C2427" s="11" t="s">
        <v>1184</v>
      </c>
      <c r="D2427" s="9">
        <v>14</v>
      </c>
      <c r="E2427" s="9">
        <v>630</v>
      </c>
      <c r="F2427" s="10" t="s">
        <v>1066</v>
      </c>
      <c r="G2427" s="9">
        <v>915</v>
      </c>
      <c r="H2427" s="9">
        <v>1995</v>
      </c>
      <c r="I2427" s="8">
        <v>148.476</v>
      </c>
      <c r="J2427" s="8">
        <v>142.25299999999999</v>
      </c>
      <c r="K2427" s="8">
        <v>150.733</v>
      </c>
      <c r="L2427" s="8">
        <v>160.066</v>
      </c>
      <c r="M2427" s="8">
        <v>144.08099999999999</v>
      </c>
      <c r="N2427" s="8">
        <v>130.226</v>
      </c>
      <c r="O2427" s="8">
        <v>133.245</v>
      </c>
      <c r="P2427" s="8">
        <v>130.84</v>
      </c>
      <c r="Q2427" s="8">
        <v>120.827</v>
      </c>
      <c r="R2427" s="8">
        <v>117.59099999999999</v>
      </c>
      <c r="S2427" s="8">
        <v>103.31</v>
      </c>
      <c r="T2427" s="8">
        <v>85.751999999999995</v>
      </c>
      <c r="U2427" s="8">
        <v>73.266000000000005</v>
      </c>
      <c r="V2427" s="8">
        <v>62.505000000000003</v>
      </c>
      <c r="W2427" s="8">
        <v>53.960999999999999</v>
      </c>
      <c r="X2427" s="8">
        <v>40.088999999999999</v>
      </c>
      <c r="Y2427" s="8">
        <v>29.497</v>
      </c>
      <c r="Z2427" s="8">
        <v>15.019</v>
      </c>
      <c r="AA2427" s="8">
        <v>5.1909999999999998</v>
      </c>
      <c r="AB2427" s="8">
        <v>1.589</v>
      </c>
      <c r="AC2427" s="8">
        <v>0.17</v>
      </c>
    </row>
    <row r="2428" spans="1:29" ht="11.65" hidden="1" x14ac:dyDescent="0.35">
      <c r="A2428" s="12">
        <v>2411</v>
      </c>
      <c r="B2428" s="10" t="s">
        <v>1015</v>
      </c>
      <c r="C2428" s="11" t="s">
        <v>1184</v>
      </c>
      <c r="D2428" s="9">
        <v>14</v>
      </c>
      <c r="E2428" s="9">
        <v>630</v>
      </c>
      <c r="F2428" s="10" t="s">
        <v>1066</v>
      </c>
      <c r="G2428" s="9">
        <v>915</v>
      </c>
      <c r="H2428" s="9">
        <v>2000</v>
      </c>
      <c r="I2428" s="8">
        <v>134.34899999999999</v>
      </c>
      <c r="J2428" s="8">
        <v>143.61600000000001</v>
      </c>
      <c r="K2428" s="8">
        <v>144.31800000000001</v>
      </c>
      <c r="L2428" s="8">
        <v>148.21199999999999</v>
      </c>
      <c r="M2428" s="8">
        <v>145.80099999999999</v>
      </c>
      <c r="N2428" s="8">
        <v>133.352</v>
      </c>
      <c r="O2428" s="8">
        <v>132.15</v>
      </c>
      <c r="P2428" s="8">
        <v>135.423</v>
      </c>
      <c r="Q2428" s="8">
        <v>129.16399999999999</v>
      </c>
      <c r="R2428" s="8">
        <v>119.864</v>
      </c>
      <c r="S2428" s="8">
        <v>120.277</v>
      </c>
      <c r="T2428" s="8">
        <v>100.196</v>
      </c>
      <c r="U2428" s="8">
        <v>84.447999999999993</v>
      </c>
      <c r="V2428" s="8">
        <v>71.322000000000003</v>
      </c>
      <c r="W2428" s="8">
        <v>56.697000000000003</v>
      </c>
      <c r="X2428" s="8">
        <v>45.255000000000003</v>
      </c>
      <c r="Y2428" s="8">
        <v>31.573</v>
      </c>
      <c r="Z2428" s="8">
        <v>19.457000000000001</v>
      </c>
      <c r="AA2428" s="8">
        <v>7.7169999999999996</v>
      </c>
      <c r="AB2428" s="8">
        <v>1.859</v>
      </c>
      <c r="AC2428" s="8">
        <v>0.35199999999999998</v>
      </c>
    </row>
    <row r="2429" spans="1:29" ht="11.65" hidden="1" x14ac:dyDescent="0.35">
      <c r="A2429" s="12">
        <v>2412</v>
      </c>
      <c r="B2429" s="10" t="s">
        <v>1015</v>
      </c>
      <c r="C2429" s="11" t="s">
        <v>1184</v>
      </c>
      <c r="D2429" s="9">
        <v>14</v>
      </c>
      <c r="E2429" s="9">
        <v>630</v>
      </c>
      <c r="F2429" s="10" t="s">
        <v>1066</v>
      </c>
      <c r="G2429" s="9">
        <v>915</v>
      </c>
      <c r="H2429" s="9">
        <v>2005</v>
      </c>
      <c r="I2429" s="8">
        <v>122.468</v>
      </c>
      <c r="J2429" s="8">
        <v>130.93799999999999</v>
      </c>
      <c r="K2429" s="8">
        <v>141.49799999999999</v>
      </c>
      <c r="L2429" s="8">
        <v>143.59200000000001</v>
      </c>
      <c r="M2429" s="8">
        <v>141.12</v>
      </c>
      <c r="N2429" s="8">
        <v>133.10900000000001</v>
      </c>
      <c r="O2429" s="8">
        <v>128.48699999999999</v>
      </c>
      <c r="P2429" s="8">
        <v>131.416</v>
      </c>
      <c r="Q2429" s="8">
        <v>128.63</v>
      </c>
      <c r="R2429" s="8">
        <v>120.64400000000001</v>
      </c>
      <c r="S2429" s="8">
        <v>118.2</v>
      </c>
      <c r="T2429" s="8">
        <v>106.20099999999999</v>
      </c>
      <c r="U2429" s="8">
        <v>91.71</v>
      </c>
      <c r="V2429" s="8">
        <v>75.308000000000007</v>
      </c>
      <c r="W2429" s="8">
        <v>60.703000000000003</v>
      </c>
      <c r="X2429" s="8">
        <v>46.393999999999998</v>
      </c>
      <c r="Y2429" s="8">
        <v>34.698999999999998</v>
      </c>
      <c r="Z2429" s="8">
        <v>21.535</v>
      </c>
      <c r="AA2429" s="8">
        <v>10.475</v>
      </c>
      <c r="AB2429" s="8">
        <v>2.9359999999999999</v>
      </c>
      <c r="AC2429" s="8">
        <v>0.47199999999999998</v>
      </c>
    </row>
    <row r="2430" spans="1:29" ht="11.65" hidden="1" x14ac:dyDescent="0.35">
      <c r="A2430" s="12">
        <v>2413</v>
      </c>
      <c r="B2430" s="10" t="s">
        <v>1015</v>
      </c>
      <c r="C2430" s="11" t="s">
        <v>1184</v>
      </c>
      <c r="D2430" s="9">
        <v>14</v>
      </c>
      <c r="E2430" s="9">
        <v>630</v>
      </c>
      <c r="F2430" s="10" t="s">
        <v>1066</v>
      </c>
      <c r="G2430" s="9">
        <v>915</v>
      </c>
      <c r="H2430" s="9">
        <v>2010</v>
      </c>
      <c r="I2430" s="8">
        <v>110.833</v>
      </c>
      <c r="J2430" s="8">
        <v>116.85</v>
      </c>
      <c r="K2430" s="8">
        <v>128.14599999999999</v>
      </c>
      <c r="L2430" s="8">
        <v>141.24100000000001</v>
      </c>
      <c r="M2430" s="8">
        <v>134.82</v>
      </c>
      <c r="N2430" s="8">
        <v>130.042</v>
      </c>
      <c r="O2430" s="8">
        <v>128.84899999999999</v>
      </c>
      <c r="P2430" s="8">
        <v>126.57299999999999</v>
      </c>
      <c r="Q2430" s="8">
        <v>128.43100000000001</v>
      </c>
      <c r="R2430" s="8">
        <v>121.917</v>
      </c>
      <c r="S2430" s="8">
        <v>118.32599999999999</v>
      </c>
      <c r="T2430" s="8">
        <v>104.426</v>
      </c>
      <c r="U2430" s="8">
        <v>101.59699999999999</v>
      </c>
      <c r="V2430" s="8">
        <v>79.569000000000003</v>
      </c>
      <c r="W2430" s="8">
        <v>63.835999999999999</v>
      </c>
      <c r="X2430" s="8">
        <v>49.402999999999999</v>
      </c>
      <c r="Y2430" s="8">
        <v>34.737000000000002</v>
      </c>
      <c r="Z2430" s="8">
        <v>24.341000000000001</v>
      </c>
      <c r="AA2430" s="8">
        <v>11.962</v>
      </c>
      <c r="AB2430" s="8">
        <v>4.0739999999999998</v>
      </c>
      <c r="AC2430" s="8">
        <v>0.73099999999999998</v>
      </c>
    </row>
    <row r="2431" spans="1:29" ht="11.65" hidden="1" x14ac:dyDescent="0.35">
      <c r="A2431" s="12">
        <v>2414</v>
      </c>
      <c r="B2431" s="10" t="s">
        <v>1015</v>
      </c>
      <c r="C2431" s="11" t="s">
        <v>1184</v>
      </c>
      <c r="D2431" s="9">
        <v>14</v>
      </c>
      <c r="E2431" s="9">
        <v>630</v>
      </c>
      <c r="F2431" s="10" t="s">
        <v>1066</v>
      </c>
      <c r="G2431" s="9">
        <v>915</v>
      </c>
      <c r="H2431" s="9">
        <v>2015</v>
      </c>
      <c r="I2431" s="8">
        <v>82.367999999999995</v>
      </c>
      <c r="J2431" s="8">
        <v>107.533</v>
      </c>
      <c r="K2431" s="8">
        <v>114.152</v>
      </c>
      <c r="L2431" s="8">
        <v>114.008</v>
      </c>
      <c r="M2431" s="8">
        <v>116.55</v>
      </c>
      <c r="N2431" s="8">
        <v>111.84099999999999</v>
      </c>
      <c r="O2431" s="8">
        <v>113.12</v>
      </c>
      <c r="P2431" s="8">
        <v>117.282</v>
      </c>
      <c r="Q2431" s="8">
        <v>118.74</v>
      </c>
      <c r="R2431" s="8">
        <v>122.858</v>
      </c>
      <c r="S2431" s="8">
        <v>117.524</v>
      </c>
      <c r="T2431" s="8">
        <v>114.268</v>
      </c>
      <c r="U2431" s="8">
        <v>100.32299999999999</v>
      </c>
      <c r="V2431" s="8">
        <v>96.664000000000001</v>
      </c>
      <c r="W2431" s="8">
        <v>74.123999999999995</v>
      </c>
      <c r="X2431" s="8">
        <v>57.03</v>
      </c>
      <c r="Y2431" s="8">
        <v>40.777999999999999</v>
      </c>
      <c r="Z2431" s="8">
        <v>25.068000000000001</v>
      </c>
      <c r="AA2431" s="8">
        <v>13.955</v>
      </c>
      <c r="AB2431" s="8">
        <v>4.7489999999999997</v>
      </c>
      <c r="AC2431" s="8">
        <v>0.98399999999999999</v>
      </c>
    </row>
    <row r="2432" spans="1:29" ht="11.65" hidden="1" x14ac:dyDescent="0.35">
      <c r="A2432" s="12">
        <v>2415</v>
      </c>
      <c r="B2432" s="10" t="s">
        <v>1015</v>
      </c>
      <c r="C2432" s="11" t="s">
        <v>1184</v>
      </c>
      <c r="D2432" s="9">
        <v>14</v>
      </c>
      <c r="E2432" s="9">
        <v>630</v>
      </c>
      <c r="F2432" s="10" t="s">
        <v>1066</v>
      </c>
      <c r="G2432" s="9">
        <v>915</v>
      </c>
      <c r="H2432" s="9">
        <v>2020</v>
      </c>
      <c r="I2432" s="8">
        <v>40.738</v>
      </c>
      <c r="J2432" s="8">
        <v>75.777000000000001</v>
      </c>
      <c r="K2432" s="8">
        <v>102.13800000000001</v>
      </c>
      <c r="L2432" s="8">
        <v>85.716999999999999</v>
      </c>
      <c r="M2432" s="8">
        <v>64.465000000000003</v>
      </c>
      <c r="N2432" s="8">
        <v>70.566999999999993</v>
      </c>
      <c r="O2432" s="8">
        <v>78.173000000000002</v>
      </c>
      <c r="P2432" s="8">
        <v>90.412000000000006</v>
      </c>
      <c r="Q2432" s="8">
        <v>102.277</v>
      </c>
      <c r="R2432" s="8">
        <v>108.652</v>
      </c>
      <c r="S2432" s="8">
        <v>115.572</v>
      </c>
      <c r="T2432" s="8">
        <v>111.703</v>
      </c>
      <c r="U2432" s="8">
        <v>108.855</v>
      </c>
      <c r="V2432" s="8">
        <v>94.917000000000002</v>
      </c>
      <c r="W2432" s="8">
        <v>90.043000000000006</v>
      </c>
      <c r="X2432" s="8">
        <v>66.375</v>
      </c>
      <c r="Y2432" s="8">
        <v>47.347000000000001</v>
      </c>
      <c r="Z2432" s="8">
        <v>29.890999999999998</v>
      </c>
      <c r="AA2432" s="8">
        <v>14.731999999999999</v>
      </c>
      <c r="AB2432" s="8">
        <v>5.7430000000000003</v>
      </c>
      <c r="AC2432" s="8">
        <v>1.228</v>
      </c>
    </row>
    <row r="2433" spans="1:29" ht="11.65" hidden="1" x14ac:dyDescent="0.35">
      <c r="A2433" s="12">
        <v>2416</v>
      </c>
      <c r="B2433" s="10" t="s">
        <v>1015</v>
      </c>
      <c r="C2433" s="11" t="s">
        <v>1185</v>
      </c>
      <c r="D2433" s="9"/>
      <c r="E2433" s="9">
        <v>662</v>
      </c>
      <c r="F2433" s="10" t="s">
        <v>1066</v>
      </c>
      <c r="G2433" s="9">
        <v>915</v>
      </c>
      <c r="H2433" s="9">
        <v>1950</v>
      </c>
      <c r="I2433" s="8">
        <v>5.7249999999999996</v>
      </c>
      <c r="J2433" s="8">
        <v>5.2750000000000004</v>
      </c>
      <c r="K2433" s="8">
        <v>4.6769999999999996</v>
      </c>
      <c r="L2433" s="8">
        <v>3.8780000000000001</v>
      </c>
      <c r="M2433" s="8">
        <v>4.0880000000000001</v>
      </c>
      <c r="N2433" s="8">
        <v>3.3460000000000001</v>
      </c>
      <c r="O2433" s="8">
        <v>2.665</v>
      </c>
      <c r="P2433" s="8">
        <v>2.68</v>
      </c>
      <c r="Q2433" s="8">
        <v>2.1030000000000002</v>
      </c>
      <c r="R2433" s="8">
        <v>1.843</v>
      </c>
      <c r="S2433" s="8">
        <v>1.534</v>
      </c>
      <c r="T2433" s="8">
        <v>1.1160000000000001</v>
      </c>
      <c r="U2433" s="8">
        <v>1.02</v>
      </c>
      <c r="V2433" s="8">
        <v>0.67800000000000005</v>
      </c>
      <c r="W2433" s="8">
        <v>0.57699999999999996</v>
      </c>
      <c r="X2433" s="8">
        <v>0.33300000000000002</v>
      </c>
      <c r="Y2433" s="8">
        <v>0.25800000000000001</v>
      </c>
      <c r="Z2433" s="8">
        <v>0.127</v>
      </c>
      <c r="AA2433" s="8">
        <v>4.8000000000000001E-2</v>
      </c>
      <c r="AB2433" s="8">
        <v>1.2999999999999999E-2</v>
      </c>
      <c r="AC2433" s="8">
        <v>3.0000000000000001E-3</v>
      </c>
    </row>
    <row r="2434" spans="1:29" ht="11.65" hidden="1" x14ac:dyDescent="0.35">
      <c r="A2434" s="12">
        <v>2417</v>
      </c>
      <c r="B2434" s="10" t="s">
        <v>1015</v>
      </c>
      <c r="C2434" s="11" t="s">
        <v>1185</v>
      </c>
      <c r="D2434" s="9"/>
      <c r="E2434" s="9">
        <v>662</v>
      </c>
      <c r="F2434" s="10" t="s">
        <v>1066</v>
      </c>
      <c r="G2434" s="9">
        <v>915</v>
      </c>
      <c r="H2434" s="9">
        <v>1955</v>
      </c>
      <c r="I2434" s="8">
        <v>6.2610000000000001</v>
      </c>
      <c r="J2434" s="8">
        <v>6.1</v>
      </c>
      <c r="K2434" s="8">
        <v>4.7939999999999996</v>
      </c>
      <c r="L2434" s="8">
        <v>4.0330000000000004</v>
      </c>
      <c r="M2434" s="8">
        <v>3.9969999999999999</v>
      </c>
      <c r="N2434" s="8">
        <v>3.2890000000000001</v>
      </c>
      <c r="O2434" s="8">
        <v>2.6040000000000001</v>
      </c>
      <c r="P2434" s="8">
        <v>2.617</v>
      </c>
      <c r="Q2434" s="8">
        <v>2.278</v>
      </c>
      <c r="R2434" s="8">
        <v>1.998</v>
      </c>
      <c r="S2434" s="8">
        <v>1.7050000000000001</v>
      </c>
      <c r="T2434" s="8">
        <v>1.2370000000000001</v>
      </c>
      <c r="U2434" s="8">
        <v>0.60099999999999998</v>
      </c>
      <c r="V2434" s="8">
        <v>0.39900000000000002</v>
      </c>
      <c r="W2434" s="8">
        <v>0.61399999999999999</v>
      </c>
      <c r="X2434" s="8">
        <v>0.35599999999999998</v>
      </c>
      <c r="Y2434" s="8">
        <v>0.19400000000000001</v>
      </c>
      <c r="Z2434" s="8">
        <v>7.4999999999999997E-2</v>
      </c>
      <c r="AA2434" s="8">
        <v>2.1000000000000001E-2</v>
      </c>
      <c r="AB2434" s="8">
        <v>5.0000000000000001E-3</v>
      </c>
      <c r="AC2434" s="8">
        <v>1E-3</v>
      </c>
    </row>
    <row r="2435" spans="1:29" ht="11.65" hidden="1" x14ac:dyDescent="0.35">
      <c r="A2435" s="12">
        <v>2418</v>
      </c>
      <c r="B2435" s="10" t="s">
        <v>1015</v>
      </c>
      <c r="C2435" s="11" t="s">
        <v>1185</v>
      </c>
      <c r="D2435" s="9"/>
      <c r="E2435" s="9">
        <v>662</v>
      </c>
      <c r="F2435" s="10" t="s">
        <v>1066</v>
      </c>
      <c r="G2435" s="9">
        <v>915</v>
      </c>
      <c r="H2435" s="9">
        <v>1960</v>
      </c>
      <c r="I2435" s="8">
        <v>7.8620000000000001</v>
      </c>
      <c r="J2435" s="8">
        <v>6.31</v>
      </c>
      <c r="K2435" s="8">
        <v>5.3819999999999997</v>
      </c>
      <c r="L2435" s="8">
        <v>4.4409999999999998</v>
      </c>
      <c r="M2435" s="8">
        <v>3.7290000000000001</v>
      </c>
      <c r="N2435" s="8">
        <v>3.0470000000000002</v>
      </c>
      <c r="O2435" s="8">
        <v>2.5830000000000002</v>
      </c>
      <c r="P2435" s="8">
        <v>2.6</v>
      </c>
      <c r="Q2435" s="8">
        <v>2.1459999999999999</v>
      </c>
      <c r="R2435" s="8">
        <v>1.881</v>
      </c>
      <c r="S2435" s="8">
        <v>1.7</v>
      </c>
      <c r="T2435" s="8">
        <v>1.2390000000000001</v>
      </c>
      <c r="U2435" s="8">
        <v>1.3320000000000001</v>
      </c>
      <c r="V2435" s="8">
        <v>0.88700000000000001</v>
      </c>
      <c r="W2435" s="8">
        <v>0.75700000000000001</v>
      </c>
      <c r="X2435" s="8">
        <v>0.437</v>
      </c>
      <c r="Y2435" s="8">
        <v>0.124</v>
      </c>
      <c r="Z2435" s="8">
        <v>0.06</v>
      </c>
      <c r="AA2435" s="8">
        <v>1.4E-2</v>
      </c>
      <c r="AB2435" s="8">
        <v>2E-3</v>
      </c>
      <c r="AC2435" s="8">
        <v>0</v>
      </c>
    </row>
    <row r="2436" spans="1:29" ht="11.65" hidden="1" x14ac:dyDescent="0.35">
      <c r="A2436" s="12">
        <v>2419</v>
      </c>
      <c r="B2436" s="10" t="s">
        <v>1015</v>
      </c>
      <c r="C2436" s="11" t="s">
        <v>1185</v>
      </c>
      <c r="D2436" s="9"/>
      <c r="E2436" s="9">
        <v>662</v>
      </c>
      <c r="F2436" s="10" t="s">
        <v>1066</v>
      </c>
      <c r="G2436" s="9">
        <v>915</v>
      </c>
      <c r="H2436" s="9">
        <v>1965</v>
      </c>
      <c r="I2436" s="8">
        <v>8.5489999999999995</v>
      </c>
      <c r="J2436" s="8">
        <v>7.4669999999999996</v>
      </c>
      <c r="K2436" s="8">
        <v>6.165</v>
      </c>
      <c r="L2436" s="8">
        <v>4.8419999999999996</v>
      </c>
      <c r="M2436" s="8">
        <v>3.81</v>
      </c>
      <c r="N2436" s="8">
        <v>2.9430000000000001</v>
      </c>
      <c r="O2436" s="8">
        <v>2.419</v>
      </c>
      <c r="P2436" s="8">
        <v>2.4750000000000001</v>
      </c>
      <c r="Q2436" s="8">
        <v>2.21</v>
      </c>
      <c r="R2436" s="8">
        <v>2.004</v>
      </c>
      <c r="S2436" s="8">
        <v>1.7270000000000001</v>
      </c>
      <c r="T2436" s="8">
        <v>1.3839999999999999</v>
      </c>
      <c r="U2436" s="8">
        <v>1.3660000000000001</v>
      </c>
      <c r="V2436" s="8">
        <v>0.96799999999999997</v>
      </c>
      <c r="W2436" s="8">
        <v>0.80200000000000005</v>
      </c>
      <c r="X2436" s="8">
        <v>0.51900000000000002</v>
      </c>
      <c r="Y2436" s="8">
        <v>0.19600000000000001</v>
      </c>
      <c r="Z2436" s="8">
        <v>4.1000000000000002E-2</v>
      </c>
      <c r="AA2436" s="8">
        <v>1.2E-2</v>
      </c>
      <c r="AB2436" s="8">
        <v>2E-3</v>
      </c>
      <c r="AC2436" s="8">
        <v>0</v>
      </c>
    </row>
    <row r="2437" spans="1:29" ht="11.65" hidden="1" x14ac:dyDescent="0.35">
      <c r="A2437" s="12">
        <v>2420</v>
      </c>
      <c r="B2437" s="10" t="s">
        <v>1015</v>
      </c>
      <c r="C2437" s="11" t="s">
        <v>1185</v>
      </c>
      <c r="D2437" s="9"/>
      <c r="E2437" s="9">
        <v>662</v>
      </c>
      <c r="F2437" s="10" t="s">
        <v>1066</v>
      </c>
      <c r="G2437" s="9">
        <v>915</v>
      </c>
      <c r="H2437" s="9">
        <v>1970</v>
      </c>
      <c r="I2437" s="8">
        <v>9.4209999999999994</v>
      </c>
      <c r="J2437" s="8">
        <v>8.9469999999999992</v>
      </c>
      <c r="K2437" s="8">
        <v>7.1029999999999998</v>
      </c>
      <c r="L2437" s="8">
        <v>5.1260000000000003</v>
      </c>
      <c r="M2437" s="8">
        <v>4.0179999999999998</v>
      </c>
      <c r="N2437" s="8">
        <v>2.786</v>
      </c>
      <c r="O2437" s="8">
        <v>2.274</v>
      </c>
      <c r="P2437" s="8">
        <v>2.3580000000000001</v>
      </c>
      <c r="Q2437" s="8">
        <v>2.2749999999999999</v>
      </c>
      <c r="R2437" s="8">
        <v>2.1269999999999998</v>
      </c>
      <c r="S2437" s="8">
        <v>1.7609999999999999</v>
      </c>
      <c r="T2437" s="8">
        <v>1.5469999999999999</v>
      </c>
      <c r="U2437" s="8">
        <v>1.3939999999999999</v>
      </c>
      <c r="V2437" s="8">
        <v>1.056</v>
      </c>
      <c r="W2437" s="8">
        <v>0.84799999999999998</v>
      </c>
      <c r="X2437" s="8">
        <v>0.61099999999999999</v>
      </c>
      <c r="Y2437" s="8">
        <v>0.224</v>
      </c>
      <c r="Z2437" s="8">
        <v>6.9000000000000006E-2</v>
      </c>
      <c r="AA2437" s="8">
        <v>0.01</v>
      </c>
      <c r="AB2437" s="8">
        <v>0</v>
      </c>
      <c r="AC2437" s="8">
        <v>0</v>
      </c>
    </row>
    <row r="2438" spans="1:29" ht="11.65" hidden="1" x14ac:dyDescent="0.35">
      <c r="A2438" s="12">
        <v>2421</v>
      </c>
      <c r="B2438" s="10" t="s">
        <v>1015</v>
      </c>
      <c r="C2438" s="11" t="s">
        <v>1185</v>
      </c>
      <c r="D2438" s="9"/>
      <c r="E2438" s="9">
        <v>662</v>
      </c>
      <c r="F2438" s="10" t="s">
        <v>1066</v>
      </c>
      <c r="G2438" s="9">
        <v>915</v>
      </c>
      <c r="H2438" s="9">
        <v>1975</v>
      </c>
      <c r="I2438" s="8">
        <v>8.51</v>
      </c>
      <c r="J2438" s="8">
        <v>8.7840000000000007</v>
      </c>
      <c r="K2438" s="8">
        <v>7.7830000000000004</v>
      </c>
      <c r="L2438" s="8">
        <v>6.0819999999999999</v>
      </c>
      <c r="M2438" s="8">
        <v>4.66</v>
      </c>
      <c r="N2438" s="8">
        <v>3.3530000000000002</v>
      </c>
      <c r="O2438" s="8">
        <v>2.6379999999999999</v>
      </c>
      <c r="P2438" s="8">
        <v>2.4220000000000002</v>
      </c>
      <c r="Q2438" s="8">
        <v>2.202</v>
      </c>
      <c r="R2438" s="8">
        <v>2.044</v>
      </c>
      <c r="S2438" s="8">
        <v>1.865</v>
      </c>
      <c r="T2438" s="8">
        <v>1.593</v>
      </c>
      <c r="U2438" s="8">
        <v>1.52</v>
      </c>
      <c r="V2438" s="8">
        <v>1.153</v>
      </c>
      <c r="W2438" s="8">
        <v>0.91400000000000003</v>
      </c>
      <c r="X2438" s="8">
        <v>0.65600000000000003</v>
      </c>
      <c r="Y2438" s="8">
        <v>0.215</v>
      </c>
      <c r="Z2438" s="8">
        <v>8.8999999999999996E-2</v>
      </c>
      <c r="AA2438" s="8">
        <v>1.7000000000000001E-2</v>
      </c>
      <c r="AB2438" s="8">
        <v>0</v>
      </c>
      <c r="AC2438" s="8">
        <v>0</v>
      </c>
    </row>
    <row r="2439" spans="1:29" ht="11.65" hidden="1" x14ac:dyDescent="0.35">
      <c r="A2439" s="12">
        <v>2422</v>
      </c>
      <c r="B2439" s="10" t="s">
        <v>1015</v>
      </c>
      <c r="C2439" s="11" t="s">
        <v>1185</v>
      </c>
      <c r="D2439" s="9"/>
      <c r="E2439" s="9">
        <v>662</v>
      </c>
      <c r="F2439" s="10" t="s">
        <v>1066</v>
      </c>
      <c r="G2439" s="9">
        <v>915</v>
      </c>
      <c r="H2439" s="9">
        <v>1980</v>
      </c>
      <c r="I2439" s="8">
        <v>8.2029999999999994</v>
      </c>
      <c r="J2439" s="8">
        <v>8.68</v>
      </c>
      <c r="K2439" s="8">
        <v>8.4990000000000006</v>
      </c>
      <c r="L2439" s="8">
        <v>7.2779999999999996</v>
      </c>
      <c r="M2439" s="8">
        <v>5.42</v>
      </c>
      <c r="N2439" s="8">
        <v>3.8370000000000002</v>
      </c>
      <c r="O2439" s="8">
        <v>3.153</v>
      </c>
      <c r="P2439" s="8">
        <v>2.42</v>
      </c>
      <c r="Q2439" s="8">
        <v>2.145</v>
      </c>
      <c r="R2439" s="8">
        <v>1.9790000000000001</v>
      </c>
      <c r="S2439" s="8">
        <v>1.9710000000000001</v>
      </c>
      <c r="T2439" s="8">
        <v>1.643</v>
      </c>
      <c r="U2439" s="8">
        <v>1.6519999999999999</v>
      </c>
      <c r="V2439" s="8">
        <v>1.254</v>
      </c>
      <c r="W2439" s="8">
        <v>0.98499999999999999</v>
      </c>
      <c r="X2439" s="8">
        <v>0.70299999999999996</v>
      </c>
      <c r="Y2439" s="8">
        <v>0.222</v>
      </c>
      <c r="Z2439" s="8">
        <v>9.4E-2</v>
      </c>
      <c r="AA2439" s="8">
        <v>2.4E-2</v>
      </c>
      <c r="AB2439" s="8">
        <v>3.0000000000000001E-3</v>
      </c>
      <c r="AC2439" s="8">
        <v>0</v>
      </c>
    </row>
    <row r="2440" spans="1:29" ht="11.65" hidden="1" x14ac:dyDescent="0.35">
      <c r="A2440" s="12">
        <v>2423</v>
      </c>
      <c r="B2440" s="10" t="s">
        <v>1015</v>
      </c>
      <c r="C2440" s="11" t="s">
        <v>1185</v>
      </c>
      <c r="D2440" s="9"/>
      <c r="E2440" s="9">
        <v>662</v>
      </c>
      <c r="F2440" s="10" t="s">
        <v>1066</v>
      </c>
      <c r="G2440" s="9">
        <v>915</v>
      </c>
      <c r="H2440" s="9">
        <v>1985</v>
      </c>
      <c r="I2440" s="8">
        <v>8.1739999999999995</v>
      </c>
      <c r="J2440" s="8">
        <v>8.7919999999999998</v>
      </c>
      <c r="K2440" s="8">
        <v>8.3569999999999993</v>
      </c>
      <c r="L2440" s="8">
        <v>7.4729999999999999</v>
      </c>
      <c r="M2440" s="8">
        <v>6.0410000000000004</v>
      </c>
      <c r="N2440" s="8">
        <v>4.7220000000000004</v>
      </c>
      <c r="O2440" s="8">
        <v>3.8370000000000002</v>
      </c>
      <c r="P2440" s="8">
        <v>3.036</v>
      </c>
      <c r="Q2440" s="8">
        <v>2.4740000000000002</v>
      </c>
      <c r="R2440" s="8">
        <v>2.1989999999999998</v>
      </c>
      <c r="S2440" s="8">
        <v>2.0219999999999998</v>
      </c>
      <c r="T2440" s="8">
        <v>1.7370000000000001</v>
      </c>
      <c r="U2440" s="8">
        <v>1.6890000000000001</v>
      </c>
      <c r="V2440" s="8">
        <v>1.4750000000000001</v>
      </c>
      <c r="W2440" s="8">
        <v>1.1220000000000001</v>
      </c>
      <c r="X2440" s="8">
        <v>0.78400000000000003</v>
      </c>
      <c r="Y2440" s="8">
        <v>0.23300000000000001</v>
      </c>
      <c r="Z2440" s="8">
        <v>0.1</v>
      </c>
      <c r="AA2440" s="8">
        <v>2.8000000000000001E-2</v>
      </c>
      <c r="AB2440" s="8">
        <v>4.0000000000000001E-3</v>
      </c>
      <c r="AC2440" s="8">
        <v>0</v>
      </c>
    </row>
    <row r="2441" spans="1:29" ht="11.65" hidden="1" x14ac:dyDescent="0.35">
      <c r="A2441" s="12">
        <v>2424</v>
      </c>
      <c r="B2441" s="10" t="s">
        <v>1015</v>
      </c>
      <c r="C2441" s="11" t="s">
        <v>1185</v>
      </c>
      <c r="D2441" s="9"/>
      <c r="E2441" s="9">
        <v>662</v>
      </c>
      <c r="F2441" s="10" t="s">
        <v>1066</v>
      </c>
      <c r="G2441" s="9">
        <v>915</v>
      </c>
      <c r="H2441" s="9">
        <v>1990</v>
      </c>
      <c r="I2441" s="8">
        <v>8.9139999999999997</v>
      </c>
      <c r="J2441" s="8">
        <v>8.5739999999999998</v>
      </c>
      <c r="K2441" s="8">
        <v>7.8310000000000004</v>
      </c>
      <c r="L2441" s="8">
        <v>7.5529999999999999</v>
      </c>
      <c r="M2441" s="8">
        <v>6.5579999999999998</v>
      </c>
      <c r="N2441" s="8">
        <v>5.9039999999999999</v>
      </c>
      <c r="O2441" s="8">
        <v>4.5830000000000002</v>
      </c>
      <c r="P2441" s="8">
        <v>3.3260000000000001</v>
      </c>
      <c r="Q2441" s="8">
        <v>2.8820000000000001</v>
      </c>
      <c r="R2441" s="8">
        <v>2.391</v>
      </c>
      <c r="S2441" s="8">
        <v>2.2109999999999999</v>
      </c>
      <c r="T2441" s="8">
        <v>2.1659999999999999</v>
      </c>
      <c r="U2441" s="8">
        <v>1.772</v>
      </c>
      <c r="V2441" s="8">
        <v>1.786</v>
      </c>
      <c r="W2441" s="8">
        <v>1.71</v>
      </c>
      <c r="X2441" s="8">
        <v>1.2050000000000001</v>
      </c>
      <c r="Y2441" s="8">
        <v>0.70099999999999996</v>
      </c>
      <c r="Z2441" s="8">
        <v>0.115</v>
      </c>
      <c r="AA2441" s="8">
        <v>3.3000000000000002E-2</v>
      </c>
      <c r="AB2441" s="8">
        <v>5.0000000000000001E-3</v>
      </c>
      <c r="AC2441" s="8">
        <v>0</v>
      </c>
    </row>
    <row r="2442" spans="1:29" ht="11.65" hidden="1" x14ac:dyDescent="0.35">
      <c r="A2442" s="12">
        <v>2425</v>
      </c>
      <c r="B2442" s="10" t="s">
        <v>1015</v>
      </c>
      <c r="C2442" s="11" t="s">
        <v>1185</v>
      </c>
      <c r="D2442" s="9"/>
      <c r="E2442" s="9">
        <v>662</v>
      </c>
      <c r="F2442" s="10" t="s">
        <v>1066</v>
      </c>
      <c r="G2442" s="9">
        <v>915</v>
      </c>
      <c r="H2442" s="9">
        <v>1995</v>
      </c>
      <c r="I2442" s="8">
        <v>8.69</v>
      </c>
      <c r="J2442" s="8">
        <v>8.8620000000000001</v>
      </c>
      <c r="K2442" s="8">
        <v>8.2729999999999997</v>
      </c>
      <c r="L2442" s="8">
        <v>7.0519999999999996</v>
      </c>
      <c r="M2442" s="8">
        <v>6.7539999999999996</v>
      </c>
      <c r="N2442" s="8">
        <v>6.226</v>
      </c>
      <c r="O2442" s="8">
        <v>5.8310000000000004</v>
      </c>
      <c r="P2442" s="8">
        <v>4.5330000000000004</v>
      </c>
      <c r="Q2442" s="8">
        <v>3.2850000000000001</v>
      </c>
      <c r="R2442" s="8">
        <v>2.8250000000000002</v>
      </c>
      <c r="S2442" s="8">
        <v>2.3359999999999999</v>
      </c>
      <c r="T2442" s="8">
        <v>2.16</v>
      </c>
      <c r="U2442" s="8">
        <v>2.044</v>
      </c>
      <c r="V2442" s="8">
        <v>1.607</v>
      </c>
      <c r="W2442" s="8">
        <v>1.6160000000000001</v>
      </c>
      <c r="X2442" s="8">
        <v>1.4470000000000001</v>
      </c>
      <c r="Y2442" s="8">
        <v>0.873</v>
      </c>
      <c r="Z2442" s="8">
        <v>0.35899999999999999</v>
      </c>
      <c r="AA2442" s="8">
        <v>0.04</v>
      </c>
      <c r="AB2442" s="8">
        <v>7.0000000000000001E-3</v>
      </c>
      <c r="AC2442" s="8">
        <v>1E-3</v>
      </c>
    </row>
    <row r="2443" spans="1:29" ht="11.65" hidden="1" x14ac:dyDescent="0.35">
      <c r="A2443" s="12">
        <v>2426</v>
      </c>
      <c r="B2443" s="10" t="s">
        <v>1015</v>
      </c>
      <c r="C2443" s="11" t="s">
        <v>1185</v>
      </c>
      <c r="D2443" s="9"/>
      <c r="E2443" s="9">
        <v>662</v>
      </c>
      <c r="F2443" s="10" t="s">
        <v>1066</v>
      </c>
      <c r="G2443" s="9">
        <v>915</v>
      </c>
      <c r="H2443" s="9">
        <v>2000</v>
      </c>
      <c r="I2443" s="8">
        <v>7.86</v>
      </c>
      <c r="J2443" s="8">
        <v>8.5950000000000006</v>
      </c>
      <c r="K2443" s="8">
        <v>8.8469999999999995</v>
      </c>
      <c r="L2443" s="8">
        <v>8.2260000000000009</v>
      </c>
      <c r="M2443" s="8">
        <v>6.9009999999999998</v>
      </c>
      <c r="N2443" s="8">
        <v>6.585</v>
      </c>
      <c r="O2443" s="8">
        <v>6.1</v>
      </c>
      <c r="P2443" s="8">
        <v>5.7729999999999997</v>
      </c>
      <c r="Q2443" s="8">
        <v>4.5069999999999997</v>
      </c>
      <c r="R2443" s="8">
        <v>3.198</v>
      </c>
      <c r="S2443" s="8">
        <v>2.734</v>
      </c>
      <c r="T2443" s="8">
        <v>2.2610000000000001</v>
      </c>
      <c r="U2443" s="8">
        <v>2.0430000000000001</v>
      </c>
      <c r="V2443" s="8">
        <v>1.855</v>
      </c>
      <c r="W2443" s="8">
        <v>1.38</v>
      </c>
      <c r="X2443" s="8">
        <v>1.306</v>
      </c>
      <c r="Y2443" s="8">
        <v>1.107</v>
      </c>
      <c r="Z2443" s="8">
        <v>0.44700000000000001</v>
      </c>
      <c r="AA2443" s="8">
        <v>0.122</v>
      </c>
      <c r="AB2443" s="8">
        <v>8.9999999999999993E-3</v>
      </c>
      <c r="AC2443" s="8">
        <v>1E-3</v>
      </c>
    </row>
    <row r="2444" spans="1:29" ht="11.65" hidden="1" x14ac:dyDescent="0.35">
      <c r="A2444" s="12">
        <v>2427</v>
      </c>
      <c r="B2444" s="10" t="s">
        <v>1015</v>
      </c>
      <c r="C2444" s="11" t="s">
        <v>1185</v>
      </c>
      <c r="D2444" s="9"/>
      <c r="E2444" s="9">
        <v>662</v>
      </c>
      <c r="F2444" s="10" t="s">
        <v>1066</v>
      </c>
      <c r="G2444" s="9">
        <v>915</v>
      </c>
      <c r="H2444" s="9">
        <v>2005</v>
      </c>
      <c r="I2444" s="8">
        <v>6.226</v>
      </c>
      <c r="J2444" s="8">
        <v>7.8140000000000001</v>
      </c>
      <c r="K2444" s="8">
        <v>8.5399999999999991</v>
      </c>
      <c r="L2444" s="8">
        <v>8.8030000000000008</v>
      </c>
      <c r="M2444" s="8">
        <v>8.141</v>
      </c>
      <c r="N2444" s="8">
        <v>6.835</v>
      </c>
      <c r="O2444" s="8">
        <v>6.5279999999999996</v>
      </c>
      <c r="P2444" s="8">
        <v>6.0529999999999999</v>
      </c>
      <c r="Q2444" s="8">
        <v>5.7050000000000001</v>
      </c>
      <c r="R2444" s="8">
        <v>4.4050000000000002</v>
      </c>
      <c r="S2444" s="8">
        <v>3.1280000000000001</v>
      </c>
      <c r="T2444" s="8">
        <v>2.673</v>
      </c>
      <c r="U2444" s="8">
        <v>2.17</v>
      </c>
      <c r="V2444" s="8">
        <v>1.891</v>
      </c>
      <c r="W2444" s="8">
        <v>1.6120000000000001</v>
      </c>
      <c r="X2444" s="8">
        <v>1.006</v>
      </c>
      <c r="Y2444" s="8">
        <v>1</v>
      </c>
      <c r="Z2444" s="8">
        <v>0.56499999999999995</v>
      </c>
      <c r="AA2444" s="8">
        <v>0.152</v>
      </c>
      <c r="AB2444" s="8">
        <v>2.3E-2</v>
      </c>
      <c r="AC2444" s="8">
        <v>1E-3</v>
      </c>
    </row>
    <row r="2445" spans="1:29" ht="11.65" hidden="1" x14ac:dyDescent="0.35">
      <c r="A2445" s="12">
        <v>2428</v>
      </c>
      <c r="B2445" s="10" t="s">
        <v>1015</v>
      </c>
      <c r="C2445" s="11" t="s">
        <v>1185</v>
      </c>
      <c r="D2445" s="9"/>
      <c r="E2445" s="9">
        <v>662</v>
      </c>
      <c r="F2445" s="10" t="s">
        <v>1066</v>
      </c>
      <c r="G2445" s="9">
        <v>915</v>
      </c>
      <c r="H2445" s="9">
        <v>2010</v>
      </c>
      <c r="I2445" s="8">
        <v>5.524</v>
      </c>
      <c r="J2445" s="8">
        <v>6.58</v>
      </c>
      <c r="K2445" s="8">
        <v>7.9850000000000003</v>
      </c>
      <c r="L2445" s="8">
        <v>8.5069999999999997</v>
      </c>
      <c r="M2445" s="8">
        <v>7.343</v>
      </c>
      <c r="N2445" s="8">
        <v>7.3760000000000003</v>
      </c>
      <c r="O2445" s="8">
        <v>6.665</v>
      </c>
      <c r="P2445" s="8">
        <v>6.7489999999999997</v>
      </c>
      <c r="Q2445" s="8">
        <v>6.5579999999999998</v>
      </c>
      <c r="R2445" s="8">
        <v>5.9779999999999998</v>
      </c>
      <c r="S2445" s="8">
        <v>4.7590000000000003</v>
      </c>
      <c r="T2445" s="8">
        <v>3.47</v>
      </c>
      <c r="U2445" s="8">
        <v>3.0310000000000001</v>
      </c>
      <c r="V2445" s="8">
        <v>2.4340000000000002</v>
      </c>
      <c r="W2445" s="8">
        <v>1.996</v>
      </c>
      <c r="X2445" s="8">
        <v>1.5089999999999999</v>
      </c>
      <c r="Y2445" s="8">
        <v>1.1759999999999999</v>
      </c>
      <c r="Z2445" s="8">
        <v>0.53300000000000003</v>
      </c>
      <c r="AA2445" s="8">
        <v>0.20399999999999999</v>
      </c>
      <c r="AB2445" s="8">
        <v>3.4000000000000002E-2</v>
      </c>
      <c r="AC2445" s="8">
        <v>3.0000000000000001E-3</v>
      </c>
    </row>
    <row r="2446" spans="1:29" ht="11.65" hidden="1" x14ac:dyDescent="0.35">
      <c r="A2446" s="12">
        <v>2429</v>
      </c>
      <c r="B2446" s="10" t="s">
        <v>1015</v>
      </c>
      <c r="C2446" s="11" t="s">
        <v>1185</v>
      </c>
      <c r="D2446" s="9"/>
      <c r="E2446" s="9">
        <v>662</v>
      </c>
      <c r="F2446" s="10" t="s">
        <v>1066</v>
      </c>
      <c r="G2446" s="9">
        <v>915</v>
      </c>
      <c r="H2446" s="9">
        <v>2015</v>
      </c>
      <c r="I2446" s="8">
        <v>5.4379999999999997</v>
      </c>
      <c r="J2446" s="8">
        <v>5.5140000000000002</v>
      </c>
      <c r="K2446" s="8">
        <v>6.5720000000000001</v>
      </c>
      <c r="L2446" s="8">
        <v>7.9720000000000004</v>
      </c>
      <c r="M2446" s="8">
        <v>8.4849999999999994</v>
      </c>
      <c r="N2446" s="8">
        <v>7.32</v>
      </c>
      <c r="O2446" s="8">
        <v>7.3479999999999999</v>
      </c>
      <c r="P2446" s="8">
        <v>6.6289999999999996</v>
      </c>
      <c r="Q2446" s="8">
        <v>6.6950000000000003</v>
      </c>
      <c r="R2446" s="8">
        <v>6.476</v>
      </c>
      <c r="S2446" s="8">
        <v>5.8639999999999999</v>
      </c>
      <c r="T2446" s="8">
        <v>4.62</v>
      </c>
      <c r="U2446" s="8">
        <v>3.3180000000000001</v>
      </c>
      <c r="V2446" s="8">
        <v>2.831</v>
      </c>
      <c r="W2446" s="8">
        <v>2.1829999999999998</v>
      </c>
      <c r="X2446" s="8">
        <v>1.65</v>
      </c>
      <c r="Y2446" s="8">
        <v>1.077</v>
      </c>
      <c r="Z2446" s="8">
        <v>0.66300000000000003</v>
      </c>
      <c r="AA2446" s="8">
        <v>0.21099999999999999</v>
      </c>
      <c r="AB2446" s="8">
        <v>4.9000000000000002E-2</v>
      </c>
      <c r="AC2446" s="8">
        <v>5.0000000000000001E-3</v>
      </c>
    </row>
    <row r="2447" spans="1:29" ht="11.65" hidden="1" x14ac:dyDescent="0.35">
      <c r="A2447" s="12">
        <v>2430</v>
      </c>
      <c r="B2447" s="10" t="s">
        <v>1015</v>
      </c>
      <c r="C2447" s="11" t="s">
        <v>1185</v>
      </c>
      <c r="D2447" s="9"/>
      <c r="E2447" s="9">
        <v>662</v>
      </c>
      <c r="F2447" s="10" t="s">
        <v>1066</v>
      </c>
      <c r="G2447" s="9">
        <v>915</v>
      </c>
      <c r="H2447" s="9">
        <v>2020</v>
      </c>
      <c r="I2447" s="8">
        <v>5.3410000000000002</v>
      </c>
      <c r="J2447" s="8">
        <v>5.423</v>
      </c>
      <c r="K2447" s="8">
        <v>5.5060000000000002</v>
      </c>
      <c r="L2447" s="8">
        <v>6.5609999999999999</v>
      </c>
      <c r="M2447" s="8">
        <v>7.9509999999999996</v>
      </c>
      <c r="N2447" s="8">
        <v>8.4600000000000009</v>
      </c>
      <c r="O2447" s="8">
        <v>7.2910000000000004</v>
      </c>
      <c r="P2447" s="8">
        <v>7.3090000000000002</v>
      </c>
      <c r="Q2447" s="8">
        <v>6.577</v>
      </c>
      <c r="R2447" s="8">
        <v>6.6120000000000001</v>
      </c>
      <c r="S2447" s="8">
        <v>6.3540000000000001</v>
      </c>
      <c r="T2447" s="8">
        <v>5.6950000000000003</v>
      </c>
      <c r="U2447" s="8">
        <v>4.4240000000000004</v>
      </c>
      <c r="V2447" s="8">
        <v>3.1139999999999999</v>
      </c>
      <c r="W2447" s="8">
        <v>2.5630000000000002</v>
      </c>
      <c r="X2447" s="8">
        <v>1.835</v>
      </c>
      <c r="Y2447" s="8">
        <v>1.2110000000000001</v>
      </c>
      <c r="Z2447" s="8">
        <v>0.63300000000000001</v>
      </c>
      <c r="AA2447" s="8">
        <v>0.28100000000000003</v>
      </c>
      <c r="AB2447" s="8">
        <v>5.8000000000000003E-2</v>
      </c>
      <c r="AC2447" s="8">
        <v>8.0000000000000002E-3</v>
      </c>
    </row>
    <row r="2448" spans="1:29" ht="11.65" hidden="1" x14ac:dyDescent="0.35">
      <c r="A2448" s="12">
        <v>2431</v>
      </c>
      <c r="B2448" s="10" t="s">
        <v>1015</v>
      </c>
      <c r="C2448" s="11" t="s">
        <v>1186</v>
      </c>
      <c r="D2448" s="9"/>
      <c r="E2448" s="9">
        <v>670</v>
      </c>
      <c r="F2448" s="10" t="s">
        <v>1066</v>
      </c>
      <c r="G2448" s="9">
        <v>915</v>
      </c>
      <c r="H2448" s="9">
        <v>1950</v>
      </c>
      <c r="I2448" s="8">
        <v>6.7380000000000004</v>
      </c>
      <c r="J2448" s="8">
        <v>5.3330000000000002</v>
      </c>
      <c r="K2448" s="8">
        <v>4.2119999999999997</v>
      </c>
      <c r="L2448" s="8">
        <v>3.1040000000000001</v>
      </c>
      <c r="M2448" s="8">
        <v>2.8</v>
      </c>
      <c r="N2448" s="8">
        <v>2.149</v>
      </c>
      <c r="O2448" s="8">
        <v>1.821</v>
      </c>
      <c r="P2448" s="8">
        <v>1.657</v>
      </c>
      <c r="Q2448" s="8">
        <v>1.516</v>
      </c>
      <c r="R2448" s="8">
        <v>1.3480000000000001</v>
      </c>
      <c r="S2448" s="8">
        <v>1.1779999999999999</v>
      </c>
      <c r="T2448" s="8">
        <v>0.95099999999999996</v>
      </c>
      <c r="U2448" s="8">
        <v>0.94</v>
      </c>
      <c r="V2448" s="8">
        <v>0.60599999999999998</v>
      </c>
      <c r="W2448" s="8">
        <v>0.53800000000000003</v>
      </c>
      <c r="X2448" s="8">
        <v>0.35099999999999998</v>
      </c>
      <c r="Y2448" s="8">
        <v>0.158</v>
      </c>
      <c r="Z2448" s="8">
        <v>5.8000000000000003E-2</v>
      </c>
      <c r="AA2448" s="8">
        <v>1.4999999999999999E-2</v>
      </c>
      <c r="AB2448" s="8">
        <v>2E-3</v>
      </c>
      <c r="AC2448" s="8">
        <v>0</v>
      </c>
    </row>
    <row r="2449" spans="1:29" ht="11.65" hidden="1" x14ac:dyDescent="0.35">
      <c r="A2449" s="12">
        <v>2432</v>
      </c>
      <c r="B2449" s="10" t="s">
        <v>1015</v>
      </c>
      <c r="C2449" s="11" t="s">
        <v>1186</v>
      </c>
      <c r="D2449" s="9"/>
      <c r="E2449" s="9">
        <v>670</v>
      </c>
      <c r="F2449" s="10" t="s">
        <v>1066</v>
      </c>
      <c r="G2449" s="9">
        <v>915</v>
      </c>
      <c r="H2449" s="9">
        <v>1955</v>
      </c>
      <c r="I2449" s="8">
        <v>7.3559999999999999</v>
      </c>
      <c r="J2449" s="8">
        <v>6.1840000000000002</v>
      </c>
      <c r="K2449" s="8">
        <v>4.8970000000000002</v>
      </c>
      <c r="L2449" s="8">
        <v>3.823</v>
      </c>
      <c r="M2449" s="8">
        <v>2.7530000000000001</v>
      </c>
      <c r="N2449" s="8">
        <v>2.4740000000000002</v>
      </c>
      <c r="O2449" s="8">
        <v>1.8919999999999999</v>
      </c>
      <c r="P2449" s="8">
        <v>1.587</v>
      </c>
      <c r="Q2449" s="8">
        <v>1.4390000000000001</v>
      </c>
      <c r="R2449" s="8">
        <v>1.3740000000000001</v>
      </c>
      <c r="S2449" s="8">
        <v>1.2929999999999999</v>
      </c>
      <c r="T2449" s="8">
        <v>1.125</v>
      </c>
      <c r="U2449" s="8">
        <v>0.88400000000000001</v>
      </c>
      <c r="V2449" s="8">
        <v>0.81899999999999995</v>
      </c>
      <c r="W2449" s="8">
        <v>0.47399999999999998</v>
      </c>
      <c r="X2449" s="8">
        <v>0.35499999999999998</v>
      </c>
      <c r="Y2449" s="8">
        <v>0.186</v>
      </c>
      <c r="Z2449" s="8">
        <v>6.5000000000000002E-2</v>
      </c>
      <c r="AA2449" s="8">
        <v>1.6E-2</v>
      </c>
      <c r="AB2449" s="8">
        <v>3.0000000000000001E-3</v>
      </c>
      <c r="AC2449" s="8">
        <v>0</v>
      </c>
    </row>
    <row r="2450" spans="1:29" ht="11.65" hidden="1" x14ac:dyDescent="0.35">
      <c r="A2450" s="12">
        <v>2433</v>
      </c>
      <c r="B2450" s="10" t="s">
        <v>1015</v>
      </c>
      <c r="C2450" s="11" t="s">
        <v>1186</v>
      </c>
      <c r="D2450" s="9"/>
      <c r="E2450" s="9">
        <v>670</v>
      </c>
      <c r="F2450" s="10" t="s">
        <v>1066</v>
      </c>
      <c r="G2450" s="9">
        <v>915</v>
      </c>
      <c r="H2450" s="9">
        <v>1960</v>
      </c>
      <c r="I2450" s="8">
        <v>7.9859999999999998</v>
      </c>
      <c r="J2450" s="8">
        <v>6.718</v>
      </c>
      <c r="K2450" s="8">
        <v>5.1760000000000002</v>
      </c>
      <c r="L2450" s="8">
        <v>3.7919999999999998</v>
      </c>
      <c r="M2450" s="8">
        <v>3.2440000000000002</v>
      </c>
      <c r="N2450" s="8">
        <v>2.4540000000000002</v>
      </c>
      <c r="O2450" s="8">
        <v>2.2799999999999998</v>
      </c>
      <c r="P2450" s="8">
        <v>1.905</v>
      </c>
      <c r="Q2450" s="8">
        <v>1.7430000000000001</v>
      </c>
      <c r="R2450" s="8">
        <v>1.6639999999999999</v>
      </c>
      <c r="S2450" s="8">
        <v>1.5109999999999999</v>
      </c>
      <c r="T2450" s="8">
        <v>1.23</v>
      </c>
      <c r="U2450" s="8">
        <v>1.0489999999999999</v>
      </c>
      <c r="V2450" s="8">
        <v>0.78700000000000003</v>
      </c>
      <c r="W2450" s="8">
        <v>0.626</v>
      </c>
      <c r="X2450" s="8">
        <v>0.372</v>
      </c>
      <c r="Y2450" s="8">
        <v>0.38200000000000001</v>
      </c>
      <c r="Z2450" s="8">
        <v>7.3999999999999996E-2</v>
      </c>
      <c r="AA2450" s="8">
        <v>1.9E-2</v>
      </c>
      <c r="AB2450" s="8">
        <v>3.0000000000000001E-3</v>
      </c>
      <c r="AC2450" s="8">
        <v>0</v>
      </c>
    </row>
    <row r="2451" spans="1:29" ht="11.65" hidden="1" x14ac:dyDescent="0.35">
      <c r="A2451" s="12">
        <v>2434</v>
      </c>
      <c r="B2451" s="10" t="s">
        <v>1015</v>
      </c>
      <c r="C2451" s="11" t="s">
        <v>1186</v>
      </c>
      <c r="D2451" s="9"/>
      <c r="E2451" s="9">
        <v>670</v>
      </c>
      <c r="F2451" s="10" t="s">
        <v>1066</v>
      </c>
      <c r="G2451" s="9">
        <v>915</v>
      </c>
      <c r="H2451" s="9">
        <v>1965</v>
      </c>
      <c r="I2451" s="8">
        <v>8.3490000000000002</v>
      </c>
      <c r="J2451" s="8">
        <v>7.2949999999999999</v>
      </c>
      <c r="K2451" s="8">
        <v>5.9829999999999997</v>
      </c>
      <c r="L2451" s="8">
        <v>4.5019999999999998</v>
      </c>
      <c r="M2451" s="8">
        <v>3.1819999999999999</v>
      </c>
      <c r="N2451" s="8">
        <v>2.7029999999999998</v>
      </c>
      <c r="O2451" s="8">
        <v>2.0369999999999999</v>
      </c>
      <c r="P2451" s="8">
        <v>1.8939999999999999</v>
      </c>
      <c r="Q2451" s="8">
        <v>1.5529999999999999</v>
      </c>
      <c r="R2451" s="8">
        <v>1.5389999999999999</v>
      </c>
      <c r="S2451" s="8">
        <v>1.6220000000000001</v>
      </c>
      <c r="T2451" s="8">
        <v>1.4830000000000001</v>
      </c>
      <c r="U2451" s="8">
        <v>1.1870000000000001</v>
      </c>
      <c r="V2451" s="8">
        <v>0.95099999999999996</v>
      </c>
      <c r="W2451" s="8">
        <v>0.629</v>
      </c>
      <c r="X2451" s="8">
        <v>0.42799999999999999</v>
      </c>
      <c r="Y2451" s="8">
        <v>0.23300000000000001</v>
      </c>
      <c r="Z2451" s="8">
        <v>0.151</v>
      </c>
      <c r="AA2451" s="8">
        <v>0.02</v>
      </c>
      <c r="AB2451" s="8">
        <v>3.0000000000000001E-3</v>
      </c>
      <c r="AC2451" s="8">
        <v>0</v>
      </c>
    </row>
    <row r="2452" spans="1:29" ht="11.65" hidden="1" x14ac:dyDescent="0.35">
      <c r="A2452" s="12">
        <v>2435</v>
      </c>
      <c r="B2452" s="10" t="s">
        <v>1015</v>
      </c>
      <c r="C2452" s="11" t="s">
        <v>1186</v>
      </c>
      <c r="D2452" s="9"/>
      <c r="E2452" s="9">
        <v>670</v>
      </c>
      <c r="F2452" s="10" t="s">
        <v>1066</v>
      </c>
      <c r="G2452" s="9">
        <v>915</v>
      </c>
      <c r="H2452" s="9">
        <v>1970</v>
      </c>
      <c r="I2452" s="8">
        <v>8.2029999999999994</v>
      </c>
      <c r="J2452" s="8">
        <v>7.5940000000000003</v>
      </c>
      <c r="K2452" s="8">
        <v>6.452</v>
      </c>
      <c r="L2452" s="8">
        <v>5.1829999999999998</v>
      </c>
      <c r="M2452" s="8">
        <v>3.7839999999999998</v>
      </c>
      <c r="N2452" s="8">
        <v>2.5539999999999998</v>
      </c>
      <c r="O2452" s="8">
        <v>2.2170000000000001</v>
      </c>
      <c r="P2452" s="8">
        <v>1.603</v>
      </c>
      <c r="Q2452" s="8">
        <v>1.49</v>
      </c>
      <c r="R2452" s="8">
        <v>1.335</v>
      </c>
      <c r="S2452" s="8">
        <v>1.5189999999999999</v>
      </c>
      <c r="T2452" s="8">
        <v>1.6120000000000001</v>
      </c>
      <c r="U2452" s="8">
        <v>1.444</v>
      </c>
      <c r="V2452" s="8">
        <v>1.0940000000000001</v>
      </c>
      <c r="W2452" s="8">
        <v>0.77</v>
      </c>
      <c r="X2452" s="8">
        <v>0.443</v>
      </c>
      <c r="Y2452" s="8">
        <v>0.27</v>
      </c>
      <c r="Z2452" s="8">
        <v>9.6000000000000002E-2</v>
      </c>
      <c r="AA2452" s="8">
        <v>3.9E-2</v>
      </c>
      <c r="AB2452" s="8">
        <v>3.0000000000000001E-3</v>
      </c>
      <c r="AC2452" s="8">
        <v>0</v>
      </c>
    </row>
    <row r="2453" spans="1:29" ht="11.65" hidden="1" x14ac:dyDescent="0.35">
      <c r="A2453" s="12">
        <v>2436</v>
      </c>
      <c r="B2453" s="10" t="s">
        <v>1015</v>
      </c>
      <c r="C2453" s="11" t="s">
        <v>1186</v>
      </c>
      <c r="D2453" s="9"/>
      <c r="E2453" s="9">
        <v>670</v>
      </c>
      <c r="F2453" s="10" t="s">
        <v>1066</v>
      </c>
      <c r="G2453" s="9">
        <v>915</v>
      </c>
      <c r="H2453" s="9">
        <v>1975</v>
      </c>
      <c r="I2453" s="8">
        <v>7.9189999999999996</v>
      </c>
      <c r="J2453" s="8">
        <v>7.5259999999999998</v>
      </c>
      <c r="K2453" s="8">
        <v>6.9820000000000002</v>
      </c>
      <c r="L2453" s="8">
        <v>5.827</v>
      </c>
      <c r="M2453" s="8">
        <v>4.45</v>
      </c>
      <c r="N2453" s="8">
        <v>2.91</v>
      </c>
      <c r="O2453" s="8">
        <v>1.9690000000000001</v>
      </c>
      <c r="P2453" s="8">
        <v>2.0009999999999999</v>
      </c>
      <c r="Q2453" s="8">
        <v>1.492</v>
      </c>
      <c r="R2453" s="8">
        <v>1.4730000000000001</v>
      </c>
      <c r="S2453" s="8">
        <v>1.33</v>
      </c>
      <c r="T2453" s="8">
        <v>1.482</v>
      </c>
      <c r="U2453" s="8">
        <v>1.5329999999999999</v>
      </c>
      <c r="V2453" s="8">
        <v>1.2849999999999999</v>
      </c>
      <c r="W2453" s="8">
        <v>0.873</v>
      </c>
      <c r="X2453" s="8">
        <v>0.55900000000000005</v>
      </c>
      <c r="Y2453" s="8">
        <v>0.28299999999999997</v>
      </c>
      <c r="Z2453" s="8">
        <v>0.112</v>
      </c>
      <c r="AA2453" s="8">
        <v>2.5999999999999999E-2</v>
      </c>
      <c r="AB2453" s="8">
        <v>6.0000000000000001E-3</v>
      </c>
      <c r="AC2453" s="8">
        <v>0</v>
      </c>
    </row>
    <row r="2454" spans="1:29" ht="11.65" hidden="1" x14ac:dyDescent="0.35">
      <c r="A2454" s="12">
        <v>2437</v>
      </c>
      <c r="B2454" s="10" t="s">
        <v>1015</v>
      </c>
      <c r="C2454" s="11" t="s">
        <v>1186</v>
      </c>
      <c r="D2454" s="9"/>
      <c r="E2454" s="9">
        <v>670</v>
      </c>
      <c r="F2454" s="10" t="s">
        <v>1066</v>
      </c>
      <c r="G2454" s="9">
        <v>915</v>
      </c>
      <c r="H2454" s="9">
        <v>1980</v>
      </c>
      <c r="I2454" s="8">
        <v>7.2990000000000004</v>
      </c>
      <c r="J2454" s="8">
        <v>7.4160000000000004</v>
      </c>
      <c r="K2454" s="8">
        <v>7.0119999999999996</v>
      </c>
      <c r="L2454" s="8">
        <v>6.4189999999999996</v>
      </c>
      <c r="M2454" s="8">
        <v>5.056</v>
      </c>
      <c r="N2454" s="8">
        <v>3.5089999999999999</v>
      </c>
      <c r="O2454" s="8">
        <v>2.4020000000000001</v>
      </c>
      <c r="P2454" s="8">
        <v>1.6919999999999999</v>
      </c>
      <c r="Q2454" s="8">
        <v>1.8660000000000001</v>
      </c>
      <c r="R2454" s="8">
        <v>1.6259999999999999</v>
      </c>
      <c r="S2454" s="8">
        <v>1.5169999999999999</v>
      </c>
      <c r="T2454" s="8">
        <v>1.3109999999999999</v>
      </c>
      <c r="U2454" s="8">
        <v>1.349</v>
      </c>
      <c r="V2454" s="8">
        <v>1.1839999999999999</v>
      </c>
      <c r="W2454" s="8">
        <v>0.93600000000000005</v>
      </c>
      <c r="X2454" s="8">
        <v>0.69799999999999995</v>
      </c>
      <c r="Y2454" s="8">
        <v>0.42899999999999999</v>
      </c>
      <c r="Z2454" s="8">
        <v>0.11700000000000001</v>
      </c>
      <c r="AA2454" s="8">
        <v>2.9000000000000001E-2</v>
      </c>
      <c r="AB2454" s="8">
        <v>4.0000000000000001E-3</v>
      </c>
      <c r="AC2454" s="8">
        <v>0</v>
      </c>
    </row>
    <row r="2455" spans="1:29" ht="11.65" hidden="1" x14ac:dyDescent="0.35">
      <c r="A2455" s="12">
        <v>2438</v>
      </c>
      <c r="B2455" s="10" t="s">
        <v>1015</v>
      </c>
      <c r="C2455" s="11" t="s">
        <v>1186</v>
      </c>
      <c r="D2455" s="9"/>
      <c r="E2455" s="9">
        <v>670</v>
      </c>
      <c r="F2455" s="10" t="s">
        <v>1066</v>
      </c>
      <c r="G2455" s="9">
        <v>915</v>
      </c>
      <c r="H2455" s="9">
        <v>1985</v>
      </c>
      <c r="I2455" s="8">
        <v>6.88</v>
      </c>
      <c r="J2455" s="8">
        <v>6.8390000000000004</v>
      </c>
      <c r="K2455" s="8">
        <v>6.9130000000000003</v>
      </c>
      <c r="L2455" s="8">
        <v>6.4580000000000002</v>
      </c>
      <c r="M2455" s="8">
        <v>5.6539999999999999</v>
      </c>
      <c r="N2455" s="8">
        <v>4.1150000000000002</v>
      </c>
      <c r="O2455" s="8">
        <v>3.004</v>
      </c>
      <c r="P2455" s="8">
        <v>2.1240000000000001</v>
      </c>
      <c r="Q2455" s="8">
        <v>1.5680000000000001</v>
      </c>
      <c r="R2455" s="8">
        <v>2.0009999999999999</v>
      </c>
      <c r="S2455" s="8">
        <v>1.6739999999999999</v>
      </c>
      <c r="T2455" s="8">
        <v>1.4990000000000001</v>
      </c>
      <c r="U2455" s="8">
        <v>1.2</v>
      </c>
      <c r="V2455" s="8">
        <v>1.034</v>
      </c>
      <c r="W2455" s="8">
        <v>0.874</v>
      </c>
      <c r="X2455" s="8">
        <v>0.751</v>
      </c>
      <c r="Y2455" s="8">
        <v>0.498</v>
      </c>
      <c r="Z2455" s="8">
        <v>0.182</v>
      </c>
      <c r="AA2455" s="8">
        <v>3.1E-2</v>
      </c>
      <c r="AB2455" s="8">
        <v>5.0000000000000001E-3</v>
      </c>
      <c r="AC2455" s="8">
        <v>0</v>
      </c>
    </row>
    <row r="2456" spans="1:29" ht="11.65" hidden="1" x14ac:dyDescent="0.35">
      <c r="A2456" s="12">
        <v>2439</v>
      </c>
      <c r="B2456" s="10" t="s">
        <v>1015</v>
      </c>
      <c r="C2456" s="11" t="s">
        <v>1186</v>
      </c>
      <c r="D2456" s="9"/>
      <c r="E2456" s="9">
        <v>670</v>
      </c>
      <c r="F2456" s="10" t="s">
        <v>1066</v>
      </c>
      <c r="G2456" s="9">
        <v>915</v>
      </c>
      <c r="H2456" s="9">
        <v>1990</v>
      </c>
      <c r="I2456" s="8">
        <v>6.641</v>
      </c>
      <c r="J2456" s="8">
        <v>6.9240000000000004</v>
      </c>
      <c r="K2456" s="8">
        <v>6.6559999999999997</v>
      </c>
      <c r="L2456" s="8">
        <v>5.9820000000000002</v>
      </c>
      <c r="M2456" s="8">
        <v>5.1150000000000002</v>
      </c>
      <c r="N2456" s="8">
        <v>4.7430000000000003</v>
      </c>
      <c r="O2456" s="8">
        <v>3.577</v>
      </c>
      <c r="P2456" s="8">
        <v>2.6709999999999998</v>
      </c>
      <c r="Q2456" s="8">
        <v>1.9359999999999999</v>
      </c>
      <c r="R2456" s="8">
        <v>1.41</v>
      </c>
      <c r="S2456" s="8">
        <v>1.7450000000000001</v>
      </c>
      <c r="T2456" s="8">
        <v>1.4330000000000001</v>
      </c>
      <c r="U2456" s="8">
        <v>1.407</v>
      </c>
      <c r="V2456" s="8">
        <v>1.262</v>
      </c>
      <c r="W2456" s="8">
        <v>1.0249999999999999</v>
      </c>
      <c r="X2456" s="8">
        <v>0.72399999999999998</v>
      </c>
      <c r="Y2456" s="8">
        <v>0.496</v>
      </c>
      <c r="Z2456" s="8">
        <v>0.23100000000000001</v>
      </c>
      <c r="AA2456" s="8">
        <v>5.6000000000000001E-2</v>
      </c>
      <c r="AB2456" s="8">
        <v>6.0000000000000001E-3</v>
      </c>
      <c r="AC2456" s="8">
        <v>0</v>
      </c>
    </row>
    <row r="2457" spans="1:29" ht="11.65" hidden="1" x14ac:dyDescent="0.35">
      <c r="A2457" s="12">
        <v>2440</v>
      </c>
      <c r="B2457" s="10" t="s">
        <v>1015</v>
      </c>
      <c r="C2457" s="11" t="s">
        <v>1186</v>
      </c>
      <c r="D2457" s="9"/>
      <c r="E2457" s="9">
        <v>670</v>
      </c>
      <c r="F2457" s="10" t="s">
        <v>1066</v>
      </c>
      <c r="G2457" s="9">
        <v>915</v>
      </c>
      <c r="H2457" s="9">
        <v>1995</v>
      </c>
      <c r="I2457" s="8">
        <v>6.0289999999999999</v>
      </c>
      <c r="J2457" s="8">
        <v>6.1589999999999998</v>
      </c>
      <c r="K2457" s="8">
        <v>6.2910000000000004</v>
      </c>
      <c r="L2457" s="8">
        <v>5.9</v>
      </c>
      <c r="M2457" s="8">
        <v>5.1619999999999999</v>
      </c>
      <c r="N2457" s="8">
        <v>4.3739999999999997</v>
      </c>
      <c r="O2457" s="8">
        <v>4.1989999999999998</v>
      </c>
      <c r="P2457" s="8">
        <v>3.23</v>
      </c>
      <c r="Q2457" s="8">
        <v>2.4510000000000001</v>
      </c>
      <c r="R2457" s="8">
        <v>1.79</v>
      </c>
      <c r="S2457" s="8">
        <v>1.319</v>
      </c>
      <c r="T2457" s="8">
        <v>1.657</v>
      </c>
      <c r="U2457" s="8">
        <v>1.347</v>
      </c>
      <c r="V2457" s="8">
        <v>1.2889999999999999</v>
      </c>
      <c r="W2457" s="8">
        <v>1.1040000000000001</v>
      </c>
      <c r="X2457" s="8">
        <v>0.85</v>
      </c>
      <c r="Y2457" s="8">
        <v>0.44500000000000001</v>
      </c>
      <c r="Z2457" s="8">
        <v>0.24299999999999999</v>
      </c>
      <c r="AA2457" s="8">
        <v>7.4999999999999997E-2</v>
      </c>
      <c r="AB2457" s="8">
        <v>0.01</v>
      </c>
      <c r="AC2457" s="8">
        <v>1E-3</v>
      </c>
    </row>
    <row r="2458" spans="1:29" ht="11.65" hidden="1" x14ac:dyDescent="0.35">
      <c r="A2458" s="12">
        <v>2441</v>
      </c>
      <c r="B2458" s="10" t="s">
        <v>1015</v>
      </c>
      <c r="C2458" s="11" t="s">
        <v>1186</v>
      </c>
      <c r="D2458" s="9"/>
      <c r="E2458" s="9">
        <v>670</v>
      </c>
      <c r="F2458" s="10" t="s">
        <v>1066</v>
      </c>
      <c r="G2458" s="9">
        <v>915</v>
      </c>
      <c r="H2458" s="9">
        <v>2000</v>
      </c>
      <c r="I2458" s="8">
        <v>5.4210000000000003</v>
      </c>
      <c r="J2458" s="8">
        <v>5.68</v>
      </c>
      <c r="K2458" s="8">
        <v>5.7169999999999996</v>
      </c>
      <c r="L2458" s="8">
        <v>5.64</v>
      </c>
      <c r="M2458" s="8">
        <v>5.0419999999999998</v>
      </c>
      <c r="N2458" s="8">
        <v>4.3129999999999997</v>
      </c>
      <c r="O2458" s="8">
        <v>3.7629999999999999</v>
      </c>
      <c r="P2458" s="8">
        <v>3.8730000000000002</v>
      </c>
      <c r="Q2458" s="8">
        <v>3.0609999999999999</v>
      </c>
      <c r="R2458" s="8">
        <v>2.3140000000000001</v>
      </c>
      <c r="S2458" s="8">
        <v>1.7090000000000001</v>
      </c>
      <c r="T2458" s="8">
        <v>1.266</v>
      </c>
      <c r="U2458" s="8">
        <v>1.5640000000000001</v>
      </c>
      <c r="V2458" s="8">
        <v>1.238</v>
      </c>
      <c r="W2458" s="8">
        <v>1.107</v>
      </c>
      <c r="X2458" s="8">
        <v>0.86699999999999999</v>
      </c>
      <c r="Y2458" s="8">
        <v>0.59399999999999997</v>
      </c>
      <c r="Z2458" s="8">
        <v>0.221</v>
      </c>
      <c r="AA2458" s="8">
        <v>8.1000000000000003E-2</v>
      </c>
      <c r="AB2458" s="8">
        <v>1.4999999999999999E-2</v>
      </c>
      <c r="AC2458" s="8">
        <v>1E-3</v>
      </c>
    </row>
    <row r="2459" spans="1:29" ht="11.65" hidden="1" x14ac:dyDescent="0.35">
      <c r="A2459" s="12">
        <v>2442</v>
      </c>
      <c r="B2459" s="10" t="s">
        <v>1015</v>
      </c>
      <c r="C2459" s="11" t="s">
        <v>1186</v>
      </c>
      <c r="D2459" s="9"/>
      <c r="E2459" s="9">
        <v>670</v>
      </c>
      <c r="F2459" s="10" t="s">
        <v>1066</v>
      </c>
      <c r="G2459" s="9">
        <v>915</v>
      </c>
      <c r="H2459" s="9">
        <v>2005</v>
      </c>
      <c r="I2459" s="8">
        <v>4.7640000000000002</v>
      </c>
      <c r="J2459" s="8">
        <v>5.1909999999999998</v>
      </c>
      <c r="K2459" s="8">
        <v>5.3959999999999999</v>
      </c>
      <c r="L2459" s="8">
        <v>5.3</v>
      </c>
      <c r="M2459" s="8">
        <v>5.09</v>
      </c>
      <c r="N2459" s="8">
        <v>4.4969999999999999</v>
      </c>
      <c r="O2459" s="8">
        <v>3.9169999999999998</v>
      </c>
      <c r="P2459" s="8">
        <v>3.548</v>
      </c>
      <c r="Q2459" s="8">
        <v>3.746</v>
      </c>
      <c r="R2459" s="8">
        <v>2.9510000000000001</v>
      </c>
      <c r="S2459" s="8">
        <v>2.2370000000000001</v>
      </c>
      <c r="T2459" s="8">
        <v>1.6439999999999999</v>
      </c>
      <c r="U2459" s="8">
        <v>1.1910000000000001</v>
      </c>
      <c r="V2459" s="8">
        <v>1.431</v>
      </c>
      <c r="W2459" s="8">
        <v>1.0609999999999999</v>
      </c>
      <c r="X2459" s="8">
        <v>0.86</v>
      </c>
      <c r="Y2459" s="8">
        <v>0.52200000000000002</v>
      </c>
      <c r="Z2459" s="8">
        <v>0.30399999999999999</v>
      </c>
      <c r="AA2459" s="8">
        <v>7.6999999999999999E-2</v>
      </c>
      <c r="AB2459" s="8">
        <v>1.6E-2</v>
      </c>
      <c r="AC2459" s="8">
        <v>2E-3</v>
      </c>
    </row>
    <row r="2460" spans="1:29" ht="11.65" hidden="1" x14ac:dyDescent="0.35">
      <c r="A2460" s="12">
        <v>2443</v>
      </c>
      <c r="B2460" s="10" t="s">
        <v>1015</v>
      </c>
      <c r="C2460" s="11" t="s">
        <v>1186</v>
      </c>
      <c r="D2460" s="9"/>
      <c r="E2460" s="9">
        <v>670</v>
      </c>
      <c r="F2460" s="10" t="s">
        <v>1066</v>
      </c>
      <c r="G2460" s="9">
        <v>915</v>
      </c>
      <c r="H2460" s="9">
        <v>2010</v>
      </c>
      <c r="I2460" s="8">
        <v>4.516</v>
      </c>
      <c r="J2460" s="8">
        <v>4.2729999999999997</v>
      </c>
      <c r="K2460" s="8">
        <v>4.9859999999999998</v>
      </c>
      <c r="L2460" s="8">
        <v>5.0490000000000004</v>
      </c>
      <c r="M2460" s="8">
        <v>4.3390000000000004</v>
      </c>
      <c r="N2460" s="8">
        <v>4.1719999999999997</v>
      </c>
      <c r="O2460" s="8">
        <v>3.9039999999999999</v>
      </c>
      <c r="P2460" s="8">
        <v>3.6139999999999999</v>
      </c>
      <c r="Q2460" s="8">
        <v>3.3439999999999999</v>
      </c>
      <c r="R2460" s="8">
        <v>3.8210000000000002</v>
      </c>
      <c r="S2460" s="8">
        <v>2.8079999999999998</v>
      </c>
      <c r="T2460" s="8">
        <v>2.1080000000000001</v>
      </c>
      <c r="U2460" s="8">
        <v>1.6160000000000001</v>
      </c>
      <c r="V2460" s="8">
        <v>1.2070000000000001</v>
      </c>
      <c r="W2460" s="8">
        <v>1.417</v>
      </c>
      <c r="X2460" s="8">
        <v>0.92300000000000004</v>
      </c>
      <c r="Y2460" s="8">
        <v>0.66800000000000004</v>
      </c>
      <c r="Z2460" s="8">
        <v>0.26900000000000002</v>
      </c>
      <c r="AA2460" s="8">
        <v>0.107</v>
      </c>
      <c r="AB2460" s="8">
        <v>1.4999999999999999E-2</v>
      </c>
      <c r="AC2460" s="8">
        <v>2E-3</v>
      </c>
    </row>
    <row r="2461" spans="1:29" ht="11.65" hidden="1" x14ac:dyDescent="0.35">
      <c r="A2461" s="12">
        <v>2444</v>
      </c>
      <c r="B2461" s="10" t="s">
        <v>1015</v>
      </c>
      <c r="C2461" s="11" t="s">
        <v>1186</v>
      </c>
      <c r="D2461" s="9"/>
      <c r="E2461" s="9">
        <v>670</v>
      </c>
      <c r="F2461" s="10" t="s">
        <v>1066</v>
      </c>
      <c r="G2461" s="9">
        <v>915</v>
      </c>
      <c r="H2461" s="9">
        <v>2015</v>
      </c>
      <c r="I2461" s="8">
        <v>4.1479999999999997</v>
      </c>
      <c r="J2461" s="8">
        <v>4.1509999999999998</v>
      </c>
      <c r="K2461" s="8">
        <v>4.45</v>
      </c>
      <c r="L2461" s="8">
        <v>4.67</v>
      </c>
      <c r="M2461" s="8">
        <v>4.1669999999999998</v>
      </c>
      <c r="N2461" s="8">
        <v>4.0060000000000002</v>
      </c>
      <c r="O2461" s="8">
        <v>4.0469999999999997</v>
      </c>
      <c r="P2461" s="8">
        <v>3.8130000000000002</v>
      </c>
      <c r="Q2461" s="8">
        <v>3.4239999999999999</v>
      </c>
      <c r="R2461" s="8">
        <v>3.3879999999999999</v>
      </c>
      <c r="S2461" s="8">
        <v>3.4129999999999998</v>
      </c>
      <c r="T2461" s="8">
        <v>2.6720000000000002</v>
      </c>
      <c r="U2461" s="8">
        <v>2.093</v>
      </c>
      <c r="V2461" s="8">
        <v>1.5569999999999999</v>
      </c>
      <c r="W2461" s="8">
        <v>1.083</v>
      </c>
      <c r="X2461" s="8">
        <v>1.105</v>
      </c>
      <c r="Y2461" s="8">
        <v>0.89100000000000001</v>
      </c>
      <c r="Z2461" s="8">
        <v>0.35399999999999998</v>
      </c>
      <c r="AA2461" s="8">
        <v>9.7000000000000003E-2</v>
      </c>
      <c r="AB2461" s="8">
        <v>2.3E-2</v>
      </c>
      <c r="AC2461" s="8">
        <v>2E-3</v>
      </c>
    </row>
    <row r="2462" spans="1:29" ht="11.65" hidden="1" x14ac:dyDescent="0.35">
      <c r="A2462" s="12">
        <v>2445</v>
      </c>
      <c r="B2462" s="10" t="s">
        <v>1015</v>
      </c>
      <c r="C2462" s="11" t="s">
        <v>1186</v>
      </c>
      <c r="D2462" s="9"/>
      <c r="E2462" s="9">
        <v>670</v>
      </c>
      <c r="F2462" s="10" t="s">
        <v>1066</v>
      </c>
      <c r="G2462" s="9">
        <v>915</v>
      </c>
      <c r="H2462" s="9">
        <v>2020</v>
      </c>
      <c r="I2462" s="8">
        <v>3.802</v>
      </c>
      <c r="J2462" s="8">
        <v>4.1280000000000001</v>
      </c>
      <c r="K2462" s="8">
        <v>4.1319999999999997</v>
      </c>
      <c r="L2462" s="8">
        <v>4.38</v>
      </c>
      <c r="M2462" s="8">
        <v>4.5469999999999997</v>
      </c>
      <c r="N2462" s="8">
        <v>4.0519999999999996</v>
      </c>
      <c r="O2462" s="8">
        <v>3.9129999999999998</v>
      </c>
      <c r="P2462" s="8">
        <v>3.968</v>
      </c>
      <c r="Q2462" s="8">
        <v>3.7410000000000001</v>
      </c>
      <c r="R2462" s="8">
        <v>3.3490000000000002</v>
      </c>
      <c r="S2462" s="8">
        <v>3.2970000000000002</v>
      </c>
      <c r="T2462" s="8">
        <v>3.29</v>
      </c>
      <c r="U2462" s="8">
        <v>2.532</v>
      </c>
      <c r="V2462" s="8">
        <v>1.9330000000000001</v>
      </c>
      <c r="W2462" s="8">
        <v>1.3759999999999999</v>
      </c>
      <c r="X2462" s="8">
        <v>0.88</v>
      </c>
      <c r="Y2462" s="8">
        <v>0.77100000000000002</v>
      </c>
      <c r="Z2462" s="8">
        <v>0.48199999999999998</v>
      </c>
      <c r="AA2462" s="8">
        <v>0.13200000000000001</v>
      </c>
      <c r="AB2462" s="8">
        <v>2.1000000000000001E-2</v>
      </c>
      <c r="AC2462" s="8">
        <v>3.0000000000000001E-3</v>
      </c>
    </row>
    <row r="2463" spans="1:29" ht="11.65" hidden="1" x14ac:dyDescent="0.35">
      <c r="A2463" s="12">
        <v>2446</v>
      </c>
      <c r="B2463" s="10" t="s">
        <v>1015</v>
      </c>
      <c r="C2463" s="11" t="s">
        <v>1187</v>
      </c>
      <c r="D2463" s="9"/>
      <c r="E2463" s="9">
        <v>780</v>
      </c>
      <c r="F2463" s="10" t="s">
        <v>1066</v>
      </c>
      <c r="G2463" s="9">
        <v>915</v>
      </c>
      <c r="H2463" s="9">
        <v>1950</v>
      </c>
      <c r="I2463" s="8">
        <v>53.441000000000003</v>
      </c>
      <c r="J2463" s="8">
        <v>42.210999999999999</v>
      </c>
      <c r="K2463" s="8">
        <v>32.908000000000001</v>
      </c>
      <c r="L2463" s="8">
        <v>28.388000000000002</v>
      </c>
      <c r="M2463" s="8">
        <v>27.591999999999999</v>
      </c>
      <c r="N2463" s="8">
        <v>25.071999999999999</v>
      </c>
      <c r="O2463" s="8">
        <v>22.305</v>
      </c>
      <c r="P2463" s="8">
        <v>19.992999999999999</v>
      </c>
      <c r="Q2463" s="8">
        <v>16.940999999999999</v>
      </c>
      <c r="R2463" s="8">
        <v>13.789</v>
      </c>
      <c r="S2463" s="8">
        <v>10.648999999999999</v>
      </c>
      <c r="T2463" s="8">
        <v>8.1519999999999992</v>
      </c>
      <c r="U2463" s="8">
        <v>5.7990000000000004</v>
      </c>
      <c r="V2463" s="8">
        <v>5.7939999999999996</v>
      </c>
      <c r="W2463" s="8">
        <v>4.3879999999999999</v>
      </c>
      <c r="X2463" s="8">
        <v>2.492</v>
      </c>
      <c r="Y2463" s="8">
        <v>1.1100000000000001</v>
      </c>
      <c r="Z2463" s="8">
        <v>0.46899999999999997</v>
      </c>
      <c r="AA2463" s="8">
        <v>0.14899999999999999</v>
      </c>
      <c r="AB2463" s="8">
        <v>0.03</v>
      </c>
      <c r="AC2463" s="8">
        <v>3.0000000000000001E-3</v>
      </c>
    </row>
    <row r="2464" spans="1:29" ht="11.65" hidden="1" x14ac:dyDescent="0.35">
      <c r="A2464" s="12">
        <v>2447</v>
      </c>
      <c r="B2464" s="10" t="s">
        <v>1015</v>
      </c>
      <c r="C2464" s="11" t="s">
        <v>1187</v>
      </c>
      <c r="D2464" s="9"/>
      <c r="E2464" s="9">
        <v>780</v>
      </c>
      <c r="F2464" s="10" t="s">
        <v>1066</v>
      </c>
      <c r="G2464" s="9">
        <v>915</v>
      </c>
      <c r="H2464" s="9">
        <v>1955</v>
      </c>
      <c r="I2464" s="8">
        <v>61.267000000000003</v>
      </c>
      <c r="J2464" s="8">
        <v>51.892000000000003</v>
      </c>
      <c r="K2464" s="8">
        <v>41.692</v>
      </c>
      <c r="L2464" s="8">
        <v>32.548000000000002</v>
      </c>
      <c r="M2464" s="8">
        <v>27.902999999999999</v>
      </c>
      <c r="N2464" s="8">
        <v>27.021000000000001</v>
      </c>
      <c r="O2464" s="8">
        <v>24.564</v>
      </c>
      <c r="P2464" s="8">
        <v>21.757999999999999</v>
      </c>
      <c r="Q2464" s="8">
        <v>19.373999999999999</v>
      </c>
      <c r="R2464" s="8">
        <v>16.213000000000001</v>
      </c>
      <c r="S2464" s="8">
        <v>12.938000000000001</v>
      </c>
      <c r="T2464" s="8">
        <v>9.7170000000000005</v>
      </c>
      <c r="U2464" s="8">
        <v>7.1749999999999998</v>
      </c>
      <c r="V2464" s="8">
        <v>4.867</v>
      </c>
      <c r="W2464" s="8">
        <v>4.3499999999999996</v>
      </c>
      <c r="X2464" s="8">
        <v>2.927</v>
      </c>
      <c r="Y2464" s="8">
        <v>1.468</v>
      </c>
      <c r="Z2464" s="8">
        <v>0.39500000000000002</v>
      </c>
      <c r="AA2464" s="8">
        <v>0.10299999999999999</v>
      </c>
      <c r="AB2464" s="8">
        <v>1.9E-2</v>
      </c>
      <c r="AC2464" s="8">
        <v>2E-3</v>
      </c>
    </row>
    <row r="2465" spans="1:29" ht="11.65" hidden="1" x14ac:dyDescent="0.35">
      <c r="A2465" s="12">
        <v>2448</v>
      </c>
      <c r="B2465" s="10" t="s">
        <v>1015</v>
      </c>
      <c r="C2465" s="11" t="s">
        <v>1187</v>
      </c>
      <c r="D2465" s="9"/>
      <c r="E2465" s="9">
        <v>780</v>
      </c>
      <c r="F2465" s="10" t="s">
        <v>1066</v>
      </c>
      <c r="G2465" s="9">
        <v>915</v>
      </c>
      <c r="H2465" s="9">
        <v>1960</v>
      </c>
      <c r="I2465" s="8">
        <v>68.257999999999996</v>
      </c>
      <c r="J2465" s="8">
        <v>59.969000000000001</v>
      </c>
      <c r="K2465" s="8">
        <v>51.414000000000001</v>
      </c>
      <c r="L2465" s="8">
        <v>41.345999999999997</v>
      </c>
      <c r="M2465" s="8">
        <v>32.094999999999999</v>
      </c>
      <c r="N2465" s="8">
        <v>27.402999999999999</v>
      </c>
      <c r="O2465" s="8">
        <v>26.552</v>
      </c>
      <c r="P2465" s="8">
        <v>24.045000000000002</v>
      </c>
      <c r="Q2465" s="8">
        <v>21.193999999999999</v>
      </c>
      <c r="R2465" s="8">
        <v>18.693999999999999</v>
      </c>
      <c r="S2465" s="8">
        <v>15.403</v>
      </c>
      <c r="T2465" s="8">
        <v>12.066000000000001</v>
      </c>
      <c r="U2465" s="8">
        <v>8.7959999999999994</v>
      </c>
      <c r="V2465" s="8">
        <v>6.1180000000000003</v>
      </c>
      <c r="W2465" s="8">
        <v>3.72</v>
      </c>
      <c r="X2465" s="8">
        <v>2.968</v>
      </c>
      <c r="Y2465" s="8">
        <v>1.7669999999999999</v>
      </c>
      <c r="Z2465" s="8">
        <v>0.53500000000000003</v>
      </c>
      <c r="AA2465" s="8">
        <v>0.09</v>
      </c>
      <c r="AB2465" s="8">
        <v>1.2999999999999999E-2</v>
      </c>
      <c r="AC2465" s="8">
        <v>1E-3</v>
      </c>
    </row>
    <row r="2466" spans="1:29" ht="11.65" hidden="1" x14ac:dyDescent="0.35">
      <c r="A2466" s="12">
        <v>2449</v>
      </c>
      <c r="B2466" s="10" t="s">
        <v>1015</v>
      </c>
      <c r="C2466" s="11" t="s">
        <v>1187</v>
      </c>
      <c r="D2466" s="9"/>
      <c r="E2466" s="9">
        <v>780</v>
      </c>
      <c r="F2466" s="10" t="s">
        <v>1066</v>
      </c>
      <c r="G2466" s="9">
        <v>915</v>
      </c>
      <c r="H2466" s="9">
        <v>1965</v>
      </c>
      <c r="I2466" s="8">
        <v>72.224999999999994</v>
      </c>
      <c r="J2466" s="8">
        <v>66.385000000000005</v>
      </c>
      <c r="K2466" s="8">
        <v>57.127000000000002</v>
      </c>
      <c r="L2466" s="8">
        <v>46.588000000000001</v>
      </c>
      <c r="M2466" s="8">
        <v>38.481999999999999</v>
      </c>
      <c r="N2466" s="8">
        <v>29.337</v>
      </c>
      <c r="O2466" s="8">
        <v>25.689</v>
      </c>
      <c r="P2466" s="8">
        <v>24.414999999999999</v>
      </c>
      <c r="Q2466" s="8">
        <v>21.861999999999998</v>
      </c>
      <c r="R2466" s="8">
        <v>18.701000000000001</v>
      </c>
      <c r="S2466" s="8">
        <v>16.460999999999999</v>
      </c>
      <c r="T2466" s="8">
        <v>13.347</v>
      </c>
      <c r="U2466" s="8">
        <v>10.349</v>
      </c>
      <c r="V2466" s="8">
        <v>7.2510000000000003</v>
      </c>
      <c r="W2466" s="8">
        <v>4.4370000000000003</v>
      </c>
      <c r="X2466" s="8">
        <v>2.0720000000000001</v>
      </c>
      <c r="Y2466" s="8">
        <v>1.3939999999999999</v>
      </c>
      <c r="Z2466" s="8">
        <v>0.66300000000000003</v>
      </c>
      <c r="AA2466" s="8">
        <v>0.126</v>
      </c>
      <c r="AB2466" s="8">
        <v>1.0999999999999999E-2</v>
      </c>
      <c r="AC2466" s="8">
        <v>1E-3</v>
      </c>
    </row>
    <row r="2467" spans="1:29" ht="11.65" hidden="1" x14ac:dyDescent="0.35">
      <c r="A2467" s="12">
        <v>2450</v>
      </c>
      <c r="B2467" s="10" t="s">
        <v>1015</v>
      </c>
      <c r="C2467" s="11" t="s">
        <v>1187</v>
      </c>
      <c r="D2467" s="9"/>
      <c r="E2467" s="9">
        <v>780</v>
      </c>
      <c r="F2467" s="10" t="s">
        <v>1066</v>
      </c>
      <c r="G2467" s="9">
        <v>915</v>
      </c>
      <c r="H2467" s="9">
        <v>1970</v>
      </c>
      <c r="I2467" s="8">
        <v>59.77</v>
      </c>
      <c r="J2467" s="8">
        <v>70.894999999999996</v>
      </c>
      <c r="K2467" s="8">
        <v>63.780999999999999</v>
      </c>
      <c r="L2467" s="8">
        <v>53.051000000000002</v>
      </c>
      <c r="M2467" s="8">
        <v>41.844999999999999</v>
      </c>
      <c r="N2467" s="8">
        <v>32.049999999999997</v>
      </c>
      <c r="O2467" s="8">
        <v>25.931999999999999</v>
      </c>
      <c r="P2467" s="8">
        <v>23.013000000000002</v>
      </c>
      <c r="Q2467" s="8">
        <v>21.698</v>
      </c>
      <c r="R2467" s="8">
        <v>19.751999999999999</v>
      </c>
      <c r="S2467" s="8">
        <v>17.033000000000001</v>
      </c>
      <c r="T2467" s="8">
        <v>14.693</v>
      </c>
      <c r="U2467" s="8">
        <v>11.893000000000001</v>
      </c>
      <c r="V2467" s="8">
        <v>9.1280000000000001</v>
      </c>
      <c r="W2467" s="8">
        <v>5.9859999999999998</v>
      </c>
      <c r="X2467" s="8">
        <v>3.3420000000000001</v>
      </c>
      <c r="Y2467" s="8">
        <v>1.4319999999999999</v>
      </c>
      <c r="Z2467" s="8">
        <v>0.55500000000000005</v>
      </c>
      <c r="AA2467" s="8">
        <v>0.16800000000000001</v>
      </c>
      <c r="AB2467" s="8">
        <v>1.7000000000000001E-2</v>
      </c>
      <c r="AC2467" s="8">
        <v>1E-3</v>
      </c>
    </row>
    <row r="2468" spans="1:29" ht="11.65" hidden="1" x14ac:dyDescent="0.35">
      <c r="A2468" s="12">
        <v>2451</v>
      </c>
      <c r="B2468" s="10" t="s">
        <v>1015</v>
      </c>
      <c r="C2468" s="11" t="s">
        <v>1187</v>
      </c>
      <c r="D2468" s="9"/>
      <c r="E2468" s="9">
        <v>780</v>
      </c>
      <c r="F2468" s="10" t="s">
        <v>1066</v>
      </c>
      <c r="G2468" s="9">
        <v>915</v>
      </c>
      <c r="H2468" s="9">
        <v>1975</v>
      </c>
      <c r="I2468" s="8">
        <v>59.851999999999997</v>
      </c>
      <c r="J2468" s="8">
        <v>58.697000000000003</v>
      </c>
      <c r="K2468" s="8">
        <v>70.033000000000001</v>
      </c>
      <c r="L2468" s="8">
        <v>61.131</v>
      </c>
      <c r="M2468" s="8">
        <v>49.97</v>
      </c>
      <c r="N2468" s="8">
        <v>37.337000000000003</v>
      </c>
      <c r="O2468" s="8">
        <v>30.838000000000001</v>
      </c>
      <c r="P2468" s="8">
        <v>24.867000000000001</v>
      </c>
      <c r="Q2468" s="8">
        <v>21.943000000000001</v>
      </c>
      <c r="R2468" s="8">
        <v>20.670999999999999</v>
      </c>
      <c r="S2468" s="8">
        <v>18.629000000000001</v>
      </c>
      <c r="T2468" s="8">
        <v>15.863</v>
      </c>
      <c r="U2468" s="8">
        <v>13.750999999999999</v>
      </c>
      <c r="V2468" s="8">
        <v>10.678000000000001</v>
      </c>
      <c r="W2468" s="8">
        <v>7.5289999999999999</v>
      </c>
      <c r="X2468" s="8">
        <v>4.5279999999999996</v>
      </c>
      <c r="Y2468" s="8">
        <v>2.2759999999999998</v>
      </c>
      <c r="Z2468" s="8">
        <v>0.59199999999999997</v>
      </c>
      <c r="AA2468" s="8">
        <v>0.14599999999999999</v>
      </c>
      <c r="AB2468" s="8">
        <v>2.4E-2</v>
      </c>
      <c r="AC2468" s="8">
        <v>1E-3</v>
      </c>
    </row>
    <row r="2469" spans="1:29" ht="11.65" hidden="1" x14ac:dyDescent="0.35">
      <c r="A2469" s="12">
        <v>2452</v>
      </c>
      <c r="B2469" s="10" t="s">
        <v>1015</v>
      </c>
      <c r="C2469" s="11" t="s">
        <v>1187</v>
      </c>
      <c r="D2469" s="9"/>
      <c r="E2469" s="9">
        <v>780</v>
      </c>
      <c r="F2469" s="10" t="s">
        <v>1066</v>
      </c>
      <c r="G2469" s="9">
        <v>915</v>
      </c>
      <c r="H2469" s="9">
        <v>1980</v>
      </c>
      <c r="I2469" s="8">
        <v>65.126999999999995</v>
      </c>
      <c r="J2469" s="8">
        <v>59.002000000000002</v>
      </c>
      <c r="K2469" s="8">
        <v>58.064999999999998</v>
      </c>
      <c r="L2469" s="8">
        <v>67.710999999999999</v>
      </c>
      <c r="M2469" s="8">
        <v>57.801000000000002</v>
      </c>
      <c r="N2469" s="8">
        <v>45.558999999999997</v>
      </c>
      <c r="O2469" s="8">
        <v>35.542000000000002</v>
      </c>
      <c r="P2469" s="8">
        <v>29.834</v>
      </c>
      <c r="Q2469" s="8">
        <v>24.291</v>
      </c>
      <c r="R2469" s="8">
        <v>20.832999999999998</v>
      </c>
      <c r="S2469" s="8">
        <v>19.347000000000001</v>
      </c>
      <c r="T2469" s="8">
        <v>16.783999999999999</v>
      </c>
      <c r="U2469" s="8">
        <v>14.196999999999999</v>
      </c>
      <c r="V2469" s="8">
        <v>12.375</v>
      </c>
      <c r="W2469" s="8">
        <v>9.1059999999999999</v>
      </c>
      <c r="X2469" s="8">
        <v>5.742</v>
      </c>
      <c r="Y2469" s="8">
        <v>3.1419999999999999</v>
      </c>
      <c r="Z2469" s="8">
        <v>0.96899999999999997</v>
      </c>
      <c r="AA2469" s="8">
        <v>0.161</v>
      </c>
      <c r="AB2469" s="8">
        <v>2.1999999999999999E-2</v>
      </c>
      <c r="AC2469" s="8">
        <v>2E-3</v>
      </c>
    </row>
    <row r="2470" spans="1:29" ht="11.65" hidden="1" x14ac:dyDescent="0.35">
      <c r="A2470" s="12">
        <v>2453</v>
      </c>
      <c r="B2470" s="10" t="s">
        <v>1015</v>
      </c>
      <c r="C2470" s="11" t="s">
        <v>1187</v>
      </c>
      <c r="D2470" s="9"/>
      <c r="E2470" s="9">
        <v>780</v>
      </c>
      <c r="F2470" s="10" t="s">
        <v>1066</v>
      </c>
      <c r="G2470" s="9">
        <v>915</v>
      </c>
      <c r="H2470" s="9">
        <v>1985</v>
      </c>
      <c r="I2470" s="8">
        <v>75.632999999999996</v>
      </c>
      <c r="J2470" s="8">
        <v>63.494999999999997</v>
      </c>
      <c r="K2470" s="8">
        <v>58.612000000000002</v>
      </c>
      <c r="L2470" s="8">
        <v>56.965000000000003</v>
      </c>
      <c r="M2470" s="8">
        <v>64.600999999999999</v>
      </c>
      <c r="N2470" s="8">
        <v>51.378</v>
      </c>
      <c r="O2470" s="8">
        <v>42.37</v>
      </c>
      <c r="P2470" s="8">
        <v>34.210999999999999</v>
      </c>
      <c r="Q2470" s="8">
        <v>28.803000000000001</v>
      </c>
      <c r="R2470" s="8">
        <v>23.4</v>
      </c>
      <c r="S2470" s="8">
        <v>19.835000000000001</v>
      </c>
      <c r="T2470" s="8">
        <v>18.085999999999999</v>
      </c>
      <c r="U2470" s="8">
        <v>15.48</v>
      </c>
      <c r="V2470" s="8">
        <v>12.615</v>
      </c>
      <c r="W2470" s="8">
        <v>10.36</v>
      </c>
      <c r="X2470" s="8">
        <v>6.92</v>
      </c>
      <c r="Y2470" s="8">
        <v>3.835</v>
      </c>
      <c r="Z2470" s="8">
        <v>1.35</v>
      </c>
      <c r="AA2470" s="8">
        <v>0.26600000000000001</v>
      </c>
      <c r="AB2470" s="8">
        <v>2.5000000000000001E-2</v>
      </c>
      <c r="AC2470" s="8">
        <v>2E-3</v>
      </c>
    </row>
    <row r="2471" spans="1:29" ht="11.65" hidden="1" x14ac:dyDescent="0.35">
      <c r="A2471" s="12">
        <v>2454</v>
      </c>
      <c r="B2471" s="10" t="s">
        <v>1015</v>
      </c>
      <c r="C2471" s="11" t="s">
        <v>1187</v>
      </c>
      <c r="D2471" s="9"/>
      <c r="E2471" s="9">
        <v>780</v>
      </c>
      <c r="F2471" s="10" t="s">
        <v>1066</v>
      </c>
      <c r="G2471" s="9">
        <v>915</v>
      </c>
      <c r="H2471" s="9">
        <v>1990</v>
      </c>
      <c r="I2471" s="8">
        <v>65.534000000000006</v>
      </c>
      <c r="J2471" s="8">
        <v>73.948999999999998</v>
      </c>
      <c r="K2471" s="8">
        <v>62.697000000000003</v>
      </c>
      <c r="L2471" s="8">
        <v>57.12</v>
      </c>
      <c r="M2471" s="8">
        <v>51.884</v>
      </c>
      <c r="N2471" s="8">
        <v>56.777000000000001</v>
      </c>
      <c r="O2471" s="8">
        <v>47.47</v>
      </c>
      <c r="P2471" s="8">
        <v>40.451999999999998</v>
      </c>
      <c r="Q2471" s="8">
        <v>32.758000000000003</v>
      </c>
      <c r="R2471" s="8">
        <v>27.585999999999999</v>
      </c>
      <c r="S2471" s="8">
        <v>22.266999999999999</v>
      </c>
      <c r="T2471" s="8">
        <v>18.635999999999999</v>
      </c>
      <c r="U2471" s="8">
        <v>16.527999999999999</v>
      </c>
      <c r="V2471" s="8">
        <v>13.746</v>
      </c>
      <c r="W2471" s="8">
        <v>10.548999999999999</v>
      </c>
      <c r="X2471" s="8">
        <v>7.8730000000000002</v>
      </c>
      <c r="Y2471" s="8">
        <v>4.6470000000000002</v>
      </c>
      <c r="Z2471" s="8">
        <v>1.663</v>
      </c>
      <c r="AA2471" s="8">
        <v>0.372</v>
      </c>
      <c r="AB2471" s="8">
        <v>4.1000000000000002E-2</v>
      </c>
      <c r="AC2471" s="8">
        <v>2E-3</v>
      </c>
    </row>
    <row r="2472" spans="1:29" ht="11.65" hidden="1" x14ac:dyDescent="0.35">
      <c r="A2472" s="12">
        <v>2455</v>
      </c>
      <c r="B2472" s="10" t="s">
        <v>1015</v>
      </c>
      <c r="C2472" s="11" t="s">
        <v>1187</v>
      </c>
      <c r="D2472" s="9"/>
      <c r="E2472" s="9">
        <v>780</v>
      </c>
      <c r="F2472" s="10" t="s">
        <v>1066</v>
      </c>
      <c r="G2472" s="9">
        <v>915</v>
      </c>
      <c r="H2472" s="9">
        <v>1995</v>
      </c>
      <c r="I2472" s="8">
        <v>52.122999999999998</v>
      </c>
      <c r="J2472" s="8">
        <v>64.805999999999997</v>
      </c>
      <c r="K2472" s="8">
        <v>73.400999999999996</v>
      </c>
      <c r="L2472" s="8">
        <v>60.250999999999998</v>
      </c>
      <c r="M2472" s="8">
        <v>52.982999999999997</v>
      </c>
      <c r="N2472" s="8">
        <v>47.637999999999998</v>
      </c>
      <c r="O2472" s="8">
        <v>54.133000000000003</v>
      </c>
      <c r="P2472" s="8">
        <v>45.42</v>
      </c>
      <c r="Q2472" s="8">
        <v>38.692</v>
      </c>
      <c r="R2472" s="8">
        <v>31.733000000000001</v>
      </c>
      <c r="S2472" s="8">
        <v>26.571999999999999</v>
      </c>
      <c r="T2472" s="8">
        <v>21.291</v>
      </c>
      <c r="U2472" s="8">
        <v>17.381</v>
      </c>
      <c r="V2472" s="8">
        <v>14.914</v>
      </c>
      <c r="W2472" s="8">
        <v>11.701000000000001</v>
      </c>
      <c r="X2472" s="8">
        <v>8.2249999999999996</v>
      </c>
      <c r="Y2472" s="8">
        <v>5.3949999999999996</v>
      </c>
      <c r="Z2472" s="8">
        <v>2.0819999999999999</v>
      </c>
      <c r="AA2472" s="8">
        <v>0.47899999999999998</v>
      </c>
      <c r="AB2472" s="8">
        <v>0.06</v>
      </c>
      <c r="AC2472" s="8">
        <v>3.0000000000000001E-3</v>
      </c>
    </row>
    <row r="2473" spans="1:29" ht="11.65" hidden="1" x14ac:dyDescent="0.35">
      <c r="A2473" s="12">
        <v>2456</v>
      </c>
      <c r="B2473" s="10" t="s">
        <v>1015</v>
      </c>
      <c r="C2473" s="11" t="s">
        <v>1187</v>
      </c>
      <c r="D2473" s="9"/>
      <c r="E2473" s="9">
        <v>780</v>
      </c>
      <c r="F2473" s="10" t="s">
        <v>1066</v>
      </c>
      <c r="G2473" s="9">
        <v>915</v>
      </c>
      <c r="H2473" s="9">
        <v>2000</v>
      </c>
      <c r="I2473" s="8">
        <v>44.14</v>
      </c>
      <c r="J2473" s="8">
        <v>51.597999999999999</v>
      </c>
      <c r="K2473" s="8">
        <v>64.198999999999998</v>
      </c>
      <c r="L2473" s="8">
        <v>71.072999999999993</v>
      </c>
      <c r="M2473" s="8">
        <v>55.720999999999997</v>
      </c>
      <c r="N2473" s="8">
        <v>48.384</v>
      </c>
      <c r="O2473" s="8">
        <v>45.18</v>
      </c>
      <c r="P2473" s="8">
        <v>51.805999999999997</v>
      </c>
      <c r="Q2473" s="8">
        <v>43.758000000000003</v>
      </c>
      <c r="R2473" s="8">
        <v>37.362000000000002</v>
      </c>
      <c r="S2473" s="8">
        <v>30.585000000000001</v>
      </c>
      <c r="T2473" s="8">
        <v>25.524000000000001</v>
      </c>
      <c r="U2473" s="8">
        <v>20.003</v>
      </c>
      <c r="V2473" s="8">
        <v>15.717000000000001</v>
      </c>
      <c r="W2473" s="8">
        <v>12.888999999999999</v>
      </c>
      <c r="X2473" s="8">
        <v>9.2810000000000006</v>
      </c>
      <c r="Y2473" s="8">
        <v>5.8230000000000004</v>
      </c>
      <c r="Z2473" s="8">
        <v>2.601</v>
      </c>
      <c r="AA2473" s="8">
        <v>0.67300000000000004</v>
      </c>
      <c r="AB2473" s="8">
        <v>9.2999999999999999E-2</v>
      </c>
      <c r="AC2473" s="8">
        <v>6.0000000000000001E-3</v>
      </c>
    </row>
    <row r="2474" spans="1:29" ht="11.65" hidden="1" x14ac:dyDescent="0.35">
      <c r="A2474" s="12">
        <v>2457</v>
      </c>
      <c r="B2474" s="10" t="s">
        <v>1015</v>
      </c>
      <c r="C2474" s="11" t="s">
        <v>1187</v>
      </c>
      <c r="D2474" s="9"/>
      <c r="E2474" s="9">
        <v>780</v>
      </c>
      <c r="F2474" s="10" t="s">
        <v>1066</v>
      </c>
      <c r="G2474" s="9">
        <v>915</v>
      </c>
      <c r="H2474" s="9">
        <v>2005</v>
      </c>
      <c r="I2474" s="8">
        <v>45.046999999999997</v>
      </c>
      <c r="J2474" s="8">
        <v>43.569000000000003</v>
      </c>
      <c r="K2474" s="8">
        <v>51.116</v>
      </c>
      <c r="L2474" s="8">
        <v>62.436999999999998</v>
      </c>
      <c r="M2474" s="8">
        <v>67.531999999999996</v>
      </c>
      <c r="N2474" s="8">
        <v>52.664000000000001</v>
      </c>
      <c r="O2474" s="8">
        <v>47.558</v>
      </c>
      <c r="P2474" s="8">
        <v>44.537999999999997</v>
      </c>
      <c r="Q2474" s="8">
        <v>51.387999999999998</v>
      </c>
      <c r="R2474" s="8">
        <v>43.194000000000003</v>
      </c>
      <c r="S2474" s="8">
        <v>36.671999999999997</v>
      </c>
      <c r="T2474" s="8">
        <v>29.646999999999998</v>
      </c>
      <c r="U2474" s="8">
        <v>24.311</v>
      </c>
      <c r="V2474" s="8">
        <v>18.577999999999999</v>
      </c>
      <c r="W2474" s="8">
        <v>13.759</v>
      </c>
      <c r="X2474" s="8">
        <v>10.356</v>
      </c>
      <c r="Y2474" s="8">
        <v>6.7539999999999996</v>
      </c>
      <c r="Z2474" s="8">
        <v>3.028</v>
      </c>
      <c r="AA2474" s="8">
        <v>0.94199999999999995</v>
      </c>
      <c r="AB2474" s="8">
        <v>0.151</v>
      </c>
      <c r="AC2474" s="8">
        <v>1.2E-2</v>
      </c>
    </row>
    <row r="2475" spans="1:29" ht="11.65" hidden="1" x14ac:dyDescent="0.35">
      <c r="A2475" s="12">
        <v>2458</v>
      </c>
      <c r="B2475" s="10" t="s">
        <v>1015</v>
      </c>
      <c r="C2475" s="11" t="s">
        <v>1187</v>
      </c>
      <c r="D2475" s="9"/>
      <c r="E2475" s="9">
        <v>780</v>
      </c>
      <c r="F2475" s="10" t="s">
        <v>1066</v>
      </c>
      <c r="G2475" s="9">
        <v>915</v>
      </c>
      <c r="H2475" s="9">
        <v>2010</v>
      </c>
      <c r="I2475" s="8">
        <v>47.82</v>
      </c>
      <c r="J2475" s="8">
        <v>44.631999999999998</v>
      </c>
      <c r="K2475" s="8">
        <v>43.265000000000001</v>
      </c>
      <c r="L2475" s="8">
        <v>49.423999999999999</v>
      </c>
      <c r="M2475" s="8">
        <v>59.173000000000002</v>
      </c>
      <c r="N2475" s="8">
        <v>64.366</v>
      </c>
      <c r="O2475" s="8">
        <v>51.847000000000001</v>
      </c>
      <c r="P2475" s="8">
        <v>46.881999999999998</v>
      </c>
      <c r="Q2475" s="8">
        <v>43.924999999999997</v>
      </c>
      <c r="R2475" s="8">
        <v>50.460999999999999</v>
      </c>
      <c r="S2475" s="8">
        <v>42.366999999999997</v>
      </c>
      <c r="T2475" s="8">
        <v>35.506999999999998</v>
      </c>
      <c r="U2475" s="8">
        <v>28.193000000000001</v>
      </c>
      <c r="V2475" s="8">
        <v>22.492999999999999</v>
      </c>
      <c r="W2475" s="8">
        <v>16.239999999999998</v>
      </c>
      <c r="X2475" s="8">
        <v>11.071999999999999</v>
      </c>
      <c r="Y2475" s="8">
        <v>7.5090000000000003</v>
      </c>
      <c r="Z2475" s="8">
        <v>3.738</v>
      </c>
      <c r="AA2475" s="8">
        <v>1.204</v>
      </c>
      <c r="AB2475" s="8">
        <v>0.24399999999999999</v>
      </c>
      <c r="AC2475" s="8">
        <v>2.4E-2</v>
      </c>
    </row>
    <row r="2476" spans="1:29" ht="11.65" hidden="1" x14ac:dyDescent="0.35">
      <c r="A2476" s="12">
        <v>2459</v>
      </c>
      <c r="B2476" s="10" t="s">
        <v>1015</v>
      </c>
      <c r="C2476" s="11" t="s">
        <v>1187</v>
      </c>
      <c r="D2476" s="9"/>
      <c r="E2476" s="9">
        <v>780</v>
      </c>
      <c r="F2476" s="10" t="s">
        <v>1066</v>
      </c>
      <c r="G2476" s="9">
        <v>915</v>
      </c>
      <c r="H2476" s="9">
        <v>2015</v>
      </c>
      <c r="I2476" s="8">
        <v>47.500999999999998</v>
      </c>
      <c r="J2476" s="8">
        <v>47.610999999999997</v>
      </c>
      <c r="K2476" s="8">
        <v>44.506</v>
      </c>
      <c r="L2476" s="8">
        <v>42.942999999999998</v>
      </c>
      <c r="M2476" s="8">
        <v>48.875</v>
      </c>
      <c r="N2476" s="8">
        <v>58.588000000000001</v>
      </c>
      <c r="O2476" s="8">
        <v>63.801000000000002</v>
      </c>
      <c r="P2476" s="8">
        <v>51.332999999999998</v>
      </c>
      <c r="Q2476" s="8">
        <v>46.323999999999998</v>
      </c>
      <c r="R2476" s="8">
        <v>43.222999999999999</v>
      </c>
      <c r="S2476" s="8">
        <v>49.314999999999998</v>
      </c>
      <c r="T2476" s="8">
        <v>40.942999999999998</v>
      </c>
      <c r="U2476" s="8">
        <v>33.773000000000003</v>
      </c>
      <c r="V2476" s="8">
        <v>26.247</v>
      </c>
      <c r="W2476" s="8">
        <v>20.137</v>
      </c>
      <c r="X2476" s="8">
        <v>13.391</v>
      </c>
      <c r="Y2476" s="8">
        <v>7.8970000000000002</v>
      </c>
      <c r="Z2476" s="8">
        <v>4.2850000000000001</v>
      </c>
      <c r="AA2476" s="8">
        <v>1.552</v>
      </c>
      <c r="AB2476" s="8">
        <v>0.32900000000000001</v>
      </c>
      <c r="AC2476" s="8">
        <v>4.1000000000000002E-2</v>
      </c>
    </row>
    <row r="2477" spans="1:29" ht="11.65" hidden="1" x14ac:dyDescent="0.35">
      <c r="A2477" s="12">
        <v>2460</v>
      </c>
      <c r="B2477" s="10" t="s">
        <v>1015</v>
      </c>
      <c r="C2477" s="11" t="s">
        <v>1187</v>
      </c>
      <c r="D2477" s="9"/>
      <c r="E2477" s="9">
        <v>780</v>
      </c>
      <c r="F2477" s="10" t="s">
        <v>1066</v>
      </c>
      <c r="G2477" s="9">
        <v>915</v>
      </c>
      <c r="H2477" s="9">
        <v>2020</v>
      </c>
      <c r="I2477" s="8">
        <v>43.460999999999999</v>
      </c>
      <c r="J2477" s="8">
        <v>47.29</v>
      </c>
      <c r="K2477" s="8">
        <v>47.485999999999997</v>
      </c>
      <c r="L2477" s="8">
        <v>44.186999999999998</v>
      </c>
      <c r="M2477" s="8">
        <v>42.418999999999997</v>
      </c>
      <c r="N2477" s="8">
        <v>48.332000000000001</v>
      </c>
      <c r="O2477" s="8">
        <v>58.058</v>
      </c>
      <c r="P2477" s="8">
        <v>63.226999999999997</v>
      </c>
      <c r="Q2477" s="8">
        <v>50.753</v>
      </c>
      <c r="R2477" s="8">
        <v>45.61</v>
      </c>
      <c r="S2477" s="8">
        <v>42.262999999999998</v>
      </c>
      <c r="T2477" s="8">
        <v>47.71</v>
      </c>
      <c r="U2477" s="8">
        <v>39.015999999999998</v>
      </c>
      <c r="V2477" s="8">
        <v>31.556999999999999</v>
      </c>
      <c r="W2477" s="8">
        <v>23.658999999999999</v>
      </c>
      <c r="X2477" s="8">
        <v>16.809000000000001</v>
      </c>
      <c r="Y2477" s="8">
        <v>9.7330000000000005</v>
      </c>
      <c r="Z2477" s="8">
        <v>4.6280000000000001</v>
      </c>
      <c r="AA2477" s="8">
        <v>1.843</v>
      </c>
      <c r="AB2477" s="8">
        <v>0.44400000000000001</v>
      </c>
      <c r="AC2477" s="8">
        <v>5.8999999999999997E-2</v>
      </c>
    </row>
    <row r="2478" spans="1:29" ht="11.65" hidden="1" x14ac:dyDescent="0.35">
      <c r="A2478" s="12">
        <v>2461</v>
      </c>
      <c r="B2478" s="10" t="s">
        <v>1015</v>
      </c>
      <c r="C2478" s="11" t="s">
        <v>1188</v>
      </c>
      <c r="D2478" s="9">
        <v>14</v>
      </c>
      <c r="E2478" s="9">
        <v>850</v>
      </c>
      <c r="F2478" s="10" t="s">
        <v>1066</v>
      </c>
      <c r="G2478" s="9">
        <v>915</v>
      </c>
      <c r="H2478" s="9">
        <v>1950</v>
      </c>
      <c r="I2478" s="8">
        <v>1.925</v>
      </c>
      <c r="J2478" s="8">
        <v>1.88</v>
      </c>
      <c r="K2478" s="8">
        <v>1.4079999999999999</v>
      </c>
      <c r="L2478" s="8">
        <v>1.08</v>
      </c>
      <c r="M2478" s="8">
        <v>0.879</v>
      </c>
      <c r="N2478" s="8">
        <v>0.92600000000000005</v>
      </c>
      <c r="O2478" s="8">
        <v>0.80100000000000005</v>
      </c>
      <c r="P2478" s="8">
        <v>0.73599999999999999</v>
      </c>
      <c r="Q2478" s="8">
        <v>0.66100000000000003</v>
      </c>
      <c r="R2478" s="8">
        <v>0.56699999999999995</v>
      </c>
      <c r="S2478" s="8">
        <v>0.59</v>
      </c>
      <c r="T2478" s="8">
        <v>0.496</v>
      </c>
      <c r="U2478" s="8">
        <v>0.499</v>
      </c>
      <c r="V2478" s="8">
        <v>0.46100000000000002</v>
      </c>
      <c r="W2478" s="8">
        <v>0.35</v>
      </c>
      <c r="X2478" s="8">
        <v>0.22</v>
      </c>
      <c r="Y2478" s="8">
        <v>0.109</v>
      </c>
      <c r="Z2478" s="8">
        <v>4.7E-2</v>
      </c>
      <c r="AA2478" s="8">
        <v>1.4999999999999999E-2</v>
      </c>
      <c r="AB2478" s="8">
        <v>3.0000000000000001E-3</v>
      </c>
      <c r="AC2478" s="8">
        <v>0</v>
      </c>
    </row>
    <row r="2479" spans="1:29" ht="11.65" hidden="1" x14ac:dyDescent="0.35">
      <c r="A2479" s="12">
        <v>2462</v>
      </c>
      <c r="B2479" s="10" t="s">
        <v>1015</v>
      </c>
      <c r="C2479" s="11" t="s">
        <v>1188</v>
      </c>
      <c r="D2479" s="9">
        <v>14</v>
      </c>
      <c r="E2479" s="9">
        <v>850</v>
      </c>
      <c r="F2479" s="10" t="s">
        <v>1066</v>
      </c>
      <c r="G2479" s="9">
        <v>915</v>
      </c>
      <c r="H2479" s="9">
        <v>1955</v>
      </c>
      <c r="I2479" s="8">
        <v>2.3250000000000002</v>
      </c>
      <c r="J2479" s="8">
        <v>1.855</v>
      </c>
      <c r="K2479" s="8">
        <v>1.726</v>
      </c>
      <c r="L2479" s="8">
        <v>1.1299999999999999</v>
      </c>
      <c r="M2479" s="8">
        <v>0.96599999999999997</v>
      </c>
      <c r="N2479" s="8">
        <v>0.92800000000000005</v>
      </c>
      <c r="O2479" s="8">
        <v>0.97799999999999998</v>
      </c>
      <c r="P2479" s="8">
        <v>0.81299999999999994</v>
      </c>
      <c r="Q2479" s="8">
        <v>0.73799999999999999</v>
      </c>
      <c r="R2479" s="8">
        <v>0.66700000000000004</v>
      </c>
      <c r="S2479" s="8">
        <v>0.55600000000000005</v>
      </c>
      <c r="T2479" s="8">
        <v>0.54400000000000004</v>
      </c>
      <c r="U2479" s="8">
        <v>0.47199999999999998</v>
      </c>
      <c r="V2479" s="8">
        <v>0.45900000000000002</v>
      </c>
      <c r="W2479" s="8">
        <v>0.377</v>
      </c>
      <c r="X2479" s="8">
        <v>0.23899999999999999</v>
      </c>
      <c r="Y2479" s="8">
        <v>0.125</v>
      </c>
      <c r="Z2479" s="8">
        <v>4.3999999999999997E-2</v>
      </c>
      <c r="AA2479" s="8">
        <v>1.2999999999999999E-2</v>
      </c>
      <c r="AB2479" s="8">
        <v>2E-3</v>
      </c>
      <c r="AC2479" s="8">
        <v>0</v>
      </c>
    </row>
    <row r="2480" spans="1:29" ht="11.65" hidden="1" x14ac:dyDescent="0.35">
      <c r="A2480" s="12">
        <v>2463</v>
      </c>
      <c r="B2480" s="10" t="s">
        <v>1015</v>
      </c>
      <c r="C2480" s="11" t="s">
        <v>1188</v>
      </c>
      <c r="D2480" s="9">
        <v>14</v>
      </c>
      <c r="E2480" s="9">
        <v>850</v>
      </c>
      <c r="F2480" s="10" t="s">
        <v>1066</v>
      </c>
      <c r="G2480" s="9">
        <v>915</v>
      </c>
      <c r="H2480" s="9">
        <v>1960</v>
      </c>
      <c r="I2480" s="8">
        <v>2.593</v>
      </c>
      <c r="J2480" s="8">
        <v>2.1440000000000001</v>
      </c>
      <c r="K2480" s="8">
        <v>1.81</v>
      </c>
      <c r="L2480" s="8">
        <v>1.526</v>
      </c>
      <c r="M2480" s="8">
        <v>0.98199999999999998</v>
      </c>
      <c r="N2480" s="8">
        <v>1.0589999999999999</v>
      </c>
      <c r="O2480" s="8">
        <v>1.0009999999999999</v>
      </c>
      <c r="P2480" s="8">
        <v>1.03</v>
      </c>
      <c r="Q2480" s="8">
        <v>0.82499999999999996</v>
      </c>
      <c r="R2480" s="8">
        <v>0.74</v>
      </c>
      <c r="S2480" s="8">
        <v>0.67300000000000004</v>
      </c>
      <c r="T2480" s="8">
        <v>0.53800000000000003</v>
      </c>
      <c r="U2480" s="8">
        <v>0.49099999999999999</v>
      </c>
      <c r="V2480" s="8">
        <v>0.434</v>
      </c>
      <c r="W2480" s="8">
        <v>0.39700000000000002</v>
      </c>
      <c r="X2480" s="8">
        <v>0.27300000000000002</v>
      </c>
      <c r="Y2480" s="8">
        <v>0.124</v>
      </c>
      <c r="Z2480" s="8">
        <v>5.5E-2</v>
      </c>
      <c r="AA2480" s="8">
        <v>1.2E-2</v>
      </c>
      <c r="AB2480" s="8">
        <v>2E-3</v>
      </c>
      <c r="AC2480" s="8">
        <v>0</v>
      </c>
    </row>
    <row r="2481" spans="1:29" ht="11.65" hidden="1" x14ac:dyDescent="0.35">
      <c r="A2481" s="12">
        <v>2464</v>
      </c>
      <c r="B2481" s="10" t="s">
        <v>1015</v>
      </c>
      <c r="C2481" s="11" t="s">
        <v>1188</v>
      </c>
      <c r="D2481" s="9">
        <v>14</v>
      </c>
      <c r="E2481" s="9">
        <v>850</v>
      </c>
      <c r="F2481" s="10" t="s">
        <v>1066</v>
      </c>
      <c r="G2481" s="9">
        <v>915</v>
      </c>
      <c r="H2481" s="9">
        <v>1965</v>
      </c>
      <c r="I2481" s="8">
        <v>4.3470000000000004</v>
      </c>
      <c r="J2481" s="8">
        <v>3.2330000000000001</v>
      </c>
      <c r="K2481" s="8">
        <v>2.5379999999999998</v>
      </c>
      <c r="L2481" s="8">
        <v>2.31</v>
      </c>
      <c r="M2481" s="8">
        <v>2.4279999999999999</v>
      </c>
      <c r="N2481" s="8">
        <v>1.829</v>
      </c>
      <c r="O2481" s="8">
        <v>1.5680000000000001</v>
      </c>
      <c r="P2481" s="8">
        <v>1.27</v>
      </c>
      <c r="Q2481" s="8">
        <v>1.206</v>
      </c>
      <c r="R2481" s="8">
        <v>0.96699999999999997</v>
      </c>
      <c r="S2481" s="8">
        <v>0.83399999999999996</v>
      </c>
      <c r="T2481" s="8">
        <v>0.69899999999999995</v>
      </c>
      <c r="U2481" s="8">
        <v>0.53100000000000003</v>
      </c>
      <c r="V2481" s="8">
        <v>0.45</v>
      </c>
      <c r="W2481" s="8">
        <v>0.36199999999999999</v>
      </c>
      <c r="X2481" s="8">
        <v>0.29099999999999998</v>
      </c>
      <c r="Y2481" s="8">
        <v>0.17299999999999999</v>
      </c>
      <c r="Z2481" s="8">
        <v>5.3999999999999999E-2</v>
      </c>
      <c r="AA2481" s="8">
        <v>1.4E-2</v>
      </c>
      <c r="AB2481" s="8">
        <v>2E-3</v>
      </c>
      <c r="AC2481" s="8">
        <v>0</v>
      </c>
    </row>
    <row r="2482" spans="1:29" ht="11.65" hidden="1" x14ac:dyDescent="0.35">
      <c r="A2482" s="12">
        <v>2465</v>
      </c>
      <c r="B2482" s="10" t="s">
        <v>1015</v>
      </c>
      <c r="C2482" s="11" t="s">
        <v>1188</v>
      </c>
      <c r="D2482" s="9">
        <v>14</v>
      </c>
      <c r="E2482" s="9">
        <v>850</v>
      </c>
      <c r="F2482" s="10" t="s">
        <v>1066</v>
      </c>
      <c r="G2482" s="9">
        <v>915</v>
      </c>
      <c r="H2482" s="9">
        <v>1970</v>
      </c>
      <c r="I2482" s="8">
        <v>4.3250000000000002</v>
      </c>
      <c r="J2482" s="8">
        <v>3.7759999999999998</v>
      </c>
      <c r="K2482" s="8">
        <v>3.4710000000000001</v>
      </c>
      <c r="L2482" s="8">
        <v>2.6360000000000001</v>
      </c>
      <c r="M2482" s="8">
        <v>3.194</v>
      </c>
      <c r="N2482" s="8">
        <v>3.222</v>
      </c>
      <c r="O2482" s="8">
        <v>2.8639999999999999</v>
      </c>
      <c r="P2482" s="8">
        <v>1.8260000000000001</v>
      </c>
      <c r="Q2482" s="8">
        <v>1.5349999999999999</v>
      </c>
      <c r="R2482" s="8">
        <v>1.373</v>
      </c>
      <c r="S2482" s="8">
        <v>1.0980000000000001</v>
      </c>
      <c r="T2482" s="8">
        <v>0.91200000000000003</v>
      </c>
      <c r="U2482" s="8">
        <v>0.71199999999999997</v>
      </c>
      <c r="V2482" s="8">
        <v>0.50700000000000001</v>
      </c>
      <c r="W2482" s="8">
        <v>0.38700000000000001</v>
      </c>
      <c r="X2482" s="8">
        <v>0.27100000000000002</v>
      </c>
      <c r="Y2482" s="8">
        <v>0.17299999999999999</v>
      </c>
      <c r="Z2482" s="8">
        <v>7.3999999999999996E-2</v>
      </c>
      <c r="AA2482" s="8">
        <v>1.4999999999999999E-2</v>
      </c>
      <c r="AB2482" s="8">
        <v>2E-3</v>
      </c>
      <c r="AC2482" s="8">
        <v>0</v>
      </c>
    </row>
    <row r="2483" spans="1:29" ht="11.65" hidden="1" x14ac:dyDescent="0.35">
      <c r="A2483" s="12">
        <v>2466</v>
      </c>
      <c r="B2483" s="10" t="s">
        <v>1015</v>
      </c>
      <c r="C2483" s="11" t="s">
        <v>1188</v>
      </c>
      <c r="D2483" s="9">
        <v>14</v>
      </c>
      <c r="E2483" s="9">
        <v>850</v>
      </c>
      <c r="F2483" s="10" t="s">
        <v>1066</v>
      </c>
      <c r="G2483" s="9">
        <v>915</v>
      </c>
      <c r="H2483" s="9">
        <v>1975</v>
      </c>
      <c r="I2483" s="8">
        <v>7.6109999999999998</v>
      </c>
      <c r="J2483" s="8">
        <v>5.3570000000000002</v>
      </c>
      <c r="K2483" s="8">
        <v>4.8460000000000001</v>
      </c>
      <c r="L2483" s="8">
        <v>3.7080000000000002</v>
      </c>
      <c r="M2483" s="8">
        <v>2.9180000000000001</v>
      </c>
      <c r="N2483" s="8">
        <v>3.8860000000000001</v>
      </c>
      <c r="O2483" s="8">
        <v>3.6219999999999999</v>
      </c>
      <c r="P2483" s="8">
        <v>2.8690000000000002</v>
      </c>
      <c r="Q2483" s="8">
        <v>1.9319999999999999</v>
      </c>
      <c r="R2483" s="8">
        <v>1.7609999999999999</v>
      </c>
      <c r="S2483" s="8">
        <v>1.524</v>
      </c>
      <c r="T2483" s="8">
        <v>1.2150000000000001</v>
      </c>
      <c r="U2483" s="8">
        <v>0.98</v>
      </c>
      <c r="V2483" s="8">
        <v>0.74399999999999999</v>
      </c>
      <c r="W2483" s="8">
        <v>0.48599999999999999</v>
      </c>
      <c r="X2483" s="8">
        <v>0.318</v>
      </c>
      <c r="Y2483" s="8">
        <v>0.191</v>
      </c>
      <c r="Z2483" s="8">
        <v>7.8E-2</v>
      </c>
      <c r="AA2483" s="8">
        <v>2.3E-2</v>
      </c>
      <c r="AB2483" s="8">
        <v>2E-3</v>
      </c>
      <c r="AC2483" s="8">
        <v>0</v>
      </c>
    </row>
    <row r="2484" spans="1:29" ht="11.65" hidden="1" x14ac:dyDescent="0.35">
      <c r="A2484" s="12">
        <v>2467</v>
      </c>
      <c r="B2484" s="10" t="s">
        <v>1015</v>
      </c>
      <c r="C2484" s="11" t="s">
        <v>1188</v>
      </c>
      <c r="D2484" s="9">
        <v>14</v>
      </c>
      <c r="E2484" s="9">
        <v>850</v>
      </c>
      <c r="F2484" s="10" t="s">
        <v>1066</v>
      </c>
      <c r="G2484" s="9">
        <v>915</v>
      </c>
      <c r="H2484" s="9">
        <v>1980</v>
      </c>
      <c r="I2484" s="8">
        <v>5.3390000000000004</v>
      </c>
      <c r="J2484" s="8">
        <v>5.617</v>
      </c>
      <c r="K2484" s="8">
        <v>6.6020000000000003</v>
      </c>
      <c r="L2484" s="8">
        <v>5.6630000000000003</v>
      </c>
      <c r="M2484" s="8">
        <v>3.6920000000000002</v>
      </c>
      <c r="N2484" s="8">
        <v>3.6469999999999998</v>
      </c>
      <c r="O2484" s="8">
        <v>4.6790000000000003</v>
      </c>
      <c r="P2484" s="8">
        <v>3.6739999999999999</v>
      </c>
      <c r="Q2484" s="8">
        <v>2.8719999999999999</v>
      </c>
      <c r="R2484" s="8">
        <v>2.0299999999999998</v>
      </c>
      <c r="S2484" s="8">
        <v>1.97</v>
      </c>
      <c r="T2484" s="8">
        <v>1.6559999999999999</v>
      </c>
      <c r="U2484" s="8">
        <v>1.306</v>
      </c>
      <c r="V2484" s="8">
        <v>1.014</v>
      </c>
      <c r="W2484" s="8">
        <v>0.73199999999999998</v>
      </c>
      <c r="X2484" s="8">
        <v>0.42899999999999999</v>
      </c>
      <c r="Y2484" s="8">
        <v>0.22700000000000001</v>
      </c>
      <c r="Z2484" s="8">
        <v>8.6999999999999994E-2</v>
      </c>
      <c r="AA2484" s="8">
        <v>2.4E-2</v>
      </c>
      <c r="AB2484" s="8">
        <v>4.0000000000000001E-3</v>
      </c>
      <c r="AC2484" s="8">
        <v>0</v>
      </c>
    </row>
    <row r="2485" spans="1:29" ht="11.65" hidden="1" x14ac:dyDescent="0.35">
      <c r="A2485" s="12">
        <v>2468</v>
      </c>
      <c r="B2485" s="10" t="s">
        <v>1015</v>
      </c>
      <c r="C2485" s="11" t="s">
        <v>1188</v>
      </c>
      <c r="D2485" s="9">
        <v>14</v>
      </c>
      <c r="E2485" s="9">
        <v>850</v>
      </c>
      <c r="F2485" s="10" t="s">
        <v>1066</v>
      </c>
      <c r="G2485" s="9">
        <v>915</v>
      </c>
      <c r="H2485" s="9">
        <v>1985</v>
      </c>
      <c r="I2485" s="8">
        <v>6.9779999999999998</v>
      </c>
      <c r="J2485" s="8">
        <v>4.9829999999999997</v>
      </c>
      <c r="K2485" s="8">
        <v>5.4489999999999998</v>
      </c>
      <c r="L2485" s="8">
        <v>5.3230000000000004</v>
      </c>
      <c r="M2485" s="8">
        <v>4.38</v>
      </c>
      <c r="N2485" s="8">
        <v>3.6720000000000002</v>
      </c>
      <c r="O2485" s="8">
        <v>4</v>
      </c>
      <c r="P2485" s="8">
        <v>4.5339999999999998</v>
      </c>
      <c r="Q2485" s="8">
        <v>3.5019999999999998</v>
      </c>
      <c r="R2485" s="8">
        <v>2.8919999999999999</v>
      </c>
      <c r="S2485" s="8">
        <v>2.02</v>
      </c>
      <c r="T2485" s="8">
        <v>1.8660000000000001</v>
      </c>
      <c r="U2485" s="8">
        <v>1.49</v>
      </c>
      <c r="V2485" s="8">
        <v>1.17</v>
      </c>
      <c r="W2485" s="8">
        <v>0.85</v>
      </c>
      <c r="X2485" s="8">
        <v>0.48099999999999998</v>
      </c>
      <c r="Y2485" s="8">
        <v>0.23699999999999999</v>
      </c>
      <c r="Z2485" s="8">
        <v>0.11</v>
      </c>
      <c r="AA2485" s="8">
        <v>2.5999999999999999E-2</v>
      </c>
      <c r="AB2485" s="8">
        <v>4.0000000000000001E-3</v>
      </c>
      <c r="AC2485" s="8">
        <v>0</v>
      </c>
    </row>
    <row r="2486" spans="1:29" ht="11.65" hidden="1" x14ac:dyDescent="0.35">
      <c r="A2486" s="12">
        <v>2469</v>
      </c>
      <c r="B2486" s="10" t="s">
        <v>1015</v>
      </c>
      <c r="C2486" s="11" t="s">
        <v>1188</v>
      </c>
      <c r="D2486" s="9">
        <v>14</v>
      </c>
      <c r="E2486" s="9">
        <v>850</v>
      </c>
      <c r="F2486" s="10" t="s">
        <v>1066</v>
      </c>
      <c r="G2486" s="9">
        <v>915</v>
      </c>
      <c r="H2486" s="9">
        <v>1990</v>
      </c>
      <c r="I2486" s="8">
        <v>4.6719999999999997</v>
      </c>
      <c r="J2486" s="8">
        <v>5.0640000000000001</v>
      </c>
      <c r="K2486" s="8">
        <v>5.0369999999999999</v>
      </c>
      <c r="L2486" s="8">
        <v>4.9489999999999998</v>
      </c>
      <c r="M2486" s="8">
        <v>3.76</v>
      </c>
      <c r="N2486" s="8">
        <v>3.8650000000000002</v>
      </c>
      <c r="O2486" s="8">
        <v>3.9369999999999998</v>
      </c>
      <c r="P2486" s="8">
        <v>4.0149999999999997</v>
      </c>
      <c r="Q2486" s="8">
        <v>4.1529999999999996</v>
      </c>
      <c r="R2486" s="8">
        <v>3.573</v>
      </c>
      <c r="S2486" s="8">
        <v>3.0449999999999999</v>
      </c>
      <c r="T2486" s="8">
        <v>1.998</v>
      </c>
      <c r="U2486" s="8">
        <v>1.7430000000000001</v>
      </c>
      <c r="V2486" s="8">
        <v>1.2969999999999999</v>
      </c>
      <c r="W2486" s="8">
        <v>0.995</v>
      </c>
      <c r="X2486" s="8">
        <v>0.65</v>
      </c>
      <c r="Y2486" s="8">
        <v>0.18</v>
      </c>
      <c r="Z2486" s="8">
        <v>0.12</v>
      </c>
      <c r="AA2486" s="8">
        <v>3.5999999999999997E-2</v>
      </c>
      <c r="AB2486" s="8">
        <v>5.0000000000000001E-3</v>
      </c>
      <c r="AC2486" s="8">
        <v>0</v>
      </c>
    </row>
    <row r="2487" spans="1:29" ht="11.65" hidden="1" x14ac:dyDescent="0.35">
      <c r="A2487" s="12">
        <v>2470</v>
      </c>
      <c r="B2487" s="10" t="s">
        <v>1015</v>
      </c>
      <c r="C2487" s="11" t="s">
        <v>1188</v>
      </c>
      <c r="D2487" s="9">
        <v>14</v>
      </c>
      <c r="E2487" s="9">
        <v>850</v>
      </c>
      <c r="F2487" s="10" t="s">
        <v>1066</v>
      </c>
      <c r="G2487" s="9">
        <v>915</v>
      </c>
      <c r="H2487" s="9">
        <v>1995</v>
      </c>
      <c r="I2487" s="8">
        <v>5.593</v>
      </c>
      <c r="J2487" s="8">
        <v>4.4400000000000004</v>
      </c>
      <c r="K2487" s="8">
        <v>4.87</v>
      </c>
      <c r="L2487" s="8">
        <v>4.1230000000000002</v>
      </c>
      <c r="M2487" s="8">
        <v>4.0190000000000001</v>
      </c>
      <c r="N2487" s="8">
        <v>3.6619999999999999</v>
      </c>
      <c r="O2487" s="8">
        <v>4.181</v>
      </c>
      <c r="P2487" s="8">
        <v>4.0999999999999996</v>
      </c>
      <c r="Q2487" s="8">
        <v>4.0270000000000001</v>
      </c>
      <c r="R2487" s="8">
        <v>4.141</v>
      </c>
      <c r="S2487" s="8">
        <v>3.516</v>
      </c>
      <c r="T2487" s="8">
        <v>2.7949999999999999</v>
      </c>
      <c r="U2487" s="8">
        <v>1.84</v>
      </c>
      <c r="V2487" s="8">
        <v>1.6120000000000001</v>
      </c>
      <c r="W2487" s="8">
        <v>1.0840000000000001</v>
      </c>
      <c r="X2487" s="8">
        <v>0.76500000000000001</v>
      </c>
      <c r="Y2487" s="8">
        <v>0.45900000000000002</v>
      </c>
      <c r="Z2487" s="8">
        <v>9.5000000000000001E-2</v>
      </c>
      <c r="AA2487" s="8">
        <v>4.2999999999999997E-2</v>
      </c>
      <c r="AB2487" s="8">
        <v>8.9999999999999993E-3</v>
      </c>
      <c r="AC2487" s="8">
        <v>1E-3</v>
      </c>
    </row>
    <row r="2488" spans="1:29" ht="11.65" hidden="1" x14ac:dyDescent="0.35">
      <c r="A2488" s="12">
        <v>2471</v>
      </c>
      <c r="B2488" s="10" t="s">
        <v>1015</v>
      </c>
      <c r="C2488" s="11" t="s">
        <v>1188</v>
      </c>
      <c r="D2488" s="9">
        <v>14</v>
      </c>
      <c r="E2488" s="9">
        <v>850</v>
      </c>
      <c r="F2488" s="10" t="s">
        <v>1066</v>
      </c>
      <c r="G2488" s="9">
        <v>915</v>
      </c>
      <c r="H2488" s="9">
        <v>2000</v>
      </c>
      <c r="I2488" s="8">
        <v>4.1210000000000004</v>
      </c>
      <c r="J2488" s="8">
        <v>4.9729999999999999</v>
      </c>
      <c r="K2488" s="8">
        <v>4.8719999999999999</v>
      </c>
      <c r="L2488" s="8">
        <v>4.4589999999999996</v>
      </c>
      <c r="M2488" s="8">
        <v>3.1070000000000002</v>
      </c>
      <c r="N2488" s="8">
        <v>3.524</v>
      </c>
      <c r="O2488" s="8">
        <v>3.84</v>
      </c>
      <c r="P2488" s="8">
        <v>4.2539999999999996</v>
      </c>
      <c r="Q2488" s="8">
        <v>4.1340000000000003</v>
      </c>
      <c r="R2488" s="8">
        <v>4.0910000000000002</v>
      </c>
      <c r="S2488" s="8">
        <v>4.1230000000000002</v>
      </c>
      <c r="T2488" s="8">
        <v>3.4209999999999998</v>
      </c>
      <c r="U2488" s="8">
        <v>2.4260000000000002</v>
      </c>
      <c r="V2488" s="8">
        <v>1.885</v>
      </c>
      <c r="W2488" s="8">
        <v>1.274</v>
      </c>
      <c r="X2488" s="8">
        <v>0.91200000000000003</v>
      </c>
      <c r="Y2488" s="8">
        <v>0.504</v>
      </c>
      <c r="Z2488" s="8">
        <v>0.26</v>
      </c>
      <c r="AA2488" s="8">
        <v>3.6999999999999998E-2</v>
      </c>
      <c r="AB2488" s="8">
        <v>1.0999999999999999E-2</v>
      </c>
      <c r="AC2488" s="8">
        <v>1E-3</v>
      </c>
    </row>
    <row r="2489" spans="1:29" ht="11.65" hidden="1" x14ac:dyDescent="0.35">
      <c r="A2489" s="12">
        <v>2472</v>
      </c>
      <c r="B2489" s="10" t="s">
        <v>1015</v>
      </c>
      <c r="C2489" s="11" t="s">
        <v>1188</v>
      </c>
      <c r="D2489" s="9">
        <v>14</v>
      </c>
      <c r="E2489" s="9">
        <v>850</v>
      </c>
      <c r="F2489" s="10" t="s">
        <v>1066</v>
      </c>
      <c r="G2489" s="9">
        <v>915</v>
      </c>
      <c r="H2489" s="9">
        <v>2005</v>
      </c>
      <c r="I2489" s="8">
        <v>3.6269999999999998</v>
      </c>
      <c r="J2489" s="8">
        <v>3.8290000000000002</v>
      </c>
      <c r="K2489" s="8">
        <v>4.4039999999999999</v>
      </c>
      <c r="L2489" s="8">
        <v>3.9990000000000001</v>
      </c>
      <c r="M2489" s="8">
        <v>3.8759999999999999</v>
      </c>
      <c r="N2489" s="8">
        <v>3.2069999999999999</v>
      </c>
      <c r="O2489" s="8">
        <v>3.5129999999999999</v>
      </c>
      <c r="P2489" s="8">
        <v>3.8969999999999998</v>
      </c>
      <c r="Q2489" s="8">
        <v>4.1459999999999999</v>
      </c>
      <c r="R2489" s="8">
        <v>4.1310000000000002</v>
      </c>
      <c r="S2489" s="8">
        <v>3.968</v>
      </c>
      <c r="T2489" s="8">
        <v>4.0140000000000002</v>
      </c>
      <c r="U2489" s="8">
        <v>3.2330000000000001</v>
      </c>
      <c r="V2489" s="8">
        <v>2.2290000000000001</v>
      </c>
      <c r="W2489" s="8">
        <v>1.595</v>
      </c>
      <c r="X2489" s="8">
        <v>0.94099999999999995</v>
      </c>
      <c r="Y2489" s="8">
        <v>0.68100000000000005</v>
      </c>
      <c r="Z2489" s="8">
        <v>0.30099999999999999</v>
      </c>
      <c r="AA2489" s="8">
        <v>0.112</v>
      </c>
      <c r="AB2489" s="8">
        <v>0.01</v>
      </c>
      <c r="AC2489" s="8">
        <v>2E-3</v>
      </c>
    </row>
    <row r="2490" spans="1:29" ht="11.65" hidden="1" x14ac:dyDescent="0.35">
      <c r="A2490" s="12">
        <v>2473</v>
      </c>
      <c r="B2490" s="10" t="s">
        <v>1015</v>
      </c>
      <c r="C2490" s="11" t="s">
        <v>1188</v>
      </c>
      <c r="D2490" s="9">
        <v>14</v>
      </c>
      <c r="E2490" s="9">
        <v>850</v>
      </c>
      <c r="F2490" s="10" t="s">
        <v>1066</v>
      </c>
      <c r="G2490" s="9">
        <v>915</v>
      </c>
      <c r="H2490" s="9">
        <v>2010</v>
      </c>
      <c r="I2490" s="8">
        <v>3.7349999999999999</v>
      </c>
      <c r="J2490" s="8">
        <v>3.452</v>
      </c>
      <c r="K2490" s="8">
        <v>3.61</v>
      </c>
      <c r="L2490" s="8">
        <v>3.7869999999999999</v>
      </c>
      <c r="M2490" s="8">
        <v>3.1589999999999998</v>
      </c>
      <c r="N2490" s="8">
        <v>3.24</v>
      </c>
      <c r="O2490" s="8">
        <v>3.3130000000000002</v>
      </c>
      <c r="P2490" s="8">
        <v>3.5259999999999998</v>
      </c>
      <c r="Q2490" s="8">
        <v>3.9369999999999998</v>
      </c>
      <c r="R2490" s="8">
        <v>4.0579999999999998</v>
      </c>
      <c r="S2490" s="8">
        <v>4.1109999999999998</v>
      </c>
      <c r="T2490" s="8">
        <v>3.8490000000000002</v>
      </c>
      <c r="U2490" s="8">
        <v>3.8759999999999999</v>
      </c>
      <c r="V2490" s="8">
        <v>3.01</v>
      </c>
      <c r="W2490" s="8">
        <v>2.0049999999999999</v>
      </c>
      <c r="X2490" s="8">
        <v>1.3009999999999999</v>
      </c>
      <c r="Y2490" s="8">
        <v>0.76100000000000001</v>
      </c>
      <c r="Z2490" s="8">
        <v>0.42</v>
      </c>
      <c r="AA2490" s="8">
        <v>0.13400000000000001</v>
      </c>
      <c r="AB2490" s="8">
        <v>3.3000000000000002E-2</v>
      </c>
      <c r="AC2490" s="8">
        <v>2E-3</v>
      </c>
    </row>
    <row r="2491" spans="1:29" ht="11.65" hidden="1" x14ac:dyDescent="0.35">
      <c r="A2491" s="12">
        <v>2474</v>
      </c>
      <c r="B2491" s="10" t="s">
        <v>1015</v>
      </c>
      <c r="C2491" s="11" t="s">
        <v>1188</v>
      </c>
      <c r="D2491" s="9">
        <v>14</v>
      </c>
      <c r="E2491" s="9">
        <v>850</v>
      </c>
      <c r="F2491" s="10" t="s">
        <v>1066</v>
      </c>
      <c r="G2491" s="9">
        <v>915</v>
      </c>
      <c r="H2491" s="9">
        <v>2015</v>
      </c>
      <c r="I2491" s="8">
        <v>3.38</v>
      </c>
      <c r="J2491" s="8">
        <v>3.669</v>
      </c>
      <c r="K2491" s="8">
        <v>3.399</v>
      </c>
      <c r="L2491" s="8">
        <v>3.3460000000000001</v>
      </c>
      <c r="M2491" s="8">
        <v>3.3290000000000002</v>
      </c>
      <c r="N2491" s="8">
        <v>2.734</v>
      </c>
      <c r="O2491" s="8">
        <v>2.9289999999999998</v>
      </c>
      <c r="P2491" s="8">
        <v>3.101</v>
      </c>
      <c r="Q2491" s="8">
        <v>3.383</v>
      </c>
      <c r="R2491" s="8">
        <v>3.8319999999999999</v>
      </c>
      <c r="S2491" s="8">
        <v>3.97</v>
      </c>
      <c r="T2491" s="8">
        <v>4.0229999999999997</v>
      </c>
      <c r="U2491" s="8">
        <v>3.75</v>
      </c>
      <c r="V2491" s="8">
        <v>3.726</v>
      </c>
      <c r="W2491" s="8">
        <v>2.806</v>
      </c>
      <c r="X2491" s="8">
        <v>1.7649999999999999</v>
      </c>
      <c r="Y2491" s="8">
        <v>1.0309999999999999</v>
      </c>
      <c r="Z2491" s="8">
        <v>0.504</v>
      </c>
      <c r="AA2491" s="8">
        <v>0.20899999999999999</v>
      </c>
      <c r="AB2491" s="8">
        <v>4.5999999999999999E-2</v>
      </c>
      <c r="AC2491" s="8">
        <v>6.0000000000000001E-3</v>
      </c>
    </row>
    <row r="2492" spans="1:29" ht="11.65" hidden="1" x14ac:dyDescent="0.35">
      <c r="A2492" s="12">
        <v>2475</v>
      </c>
      <c r="B2492" s="10" t="s">
        <v>1015</v>
      </c>
      <c r="C2492" s="11" t="s">
        <v>1188</v>
      </c>
      <c r="D2492" s="9">
        <v>14</v>
      </c>
      <c r="E2492" s="9">
        <v>850</v>
      </c>
      <c r="F2492" s="10" t="s">
        <v>1066</v>
      </c>
      <c r="G2492" s="9">
        <v>915</v>
      </c>
      <c r="H2492" s="9">
        <v>2020</v>
      </c>
      <c r="I2492" s="8">
        <v>2.8969999999999998</v>
      </c>
      <c r="J2492" s="8">
        <v>3.3460000000000001</v>
      </c>
      <c r="K2492" s="8">
        <v>3.6419999999999999</v>
      </c>
      <c r="L2492" s="8">
        <v>3.2650000000000001</v>
      </c>
      <c r="M2492" s="8">
        <v>3.1150000000000002</v>
      </c>
      <c r="N2492" s="8">
        <v>3.113</v>
      </c>
      <c r="O2492" s="8">
        <v>2.5760000000000001</v>
      </c>
      <c r="P2492" s="8">
        <v>2.8180000000000001</v>
      </c>
      <c r="Q2492" s="8">
        <v>3.0249999999999999</v>
      </c>
      <c r="R2492" s="8">
        <v>3.323</v>
      </c>
      <c r="S2492" s="8">
        <v>3.7770000000000001</v>
      </c>
      <c r="T2492" s="8">
        <v>3.9060000000000001</v>
      </c>
      <c r="U2492" s="8">
        <v>3.9380000000000002</v>
      </c>
      <c r="V2492" s="8">
        <v>3.6219999999999999</v>
      </c>
      <c r="W2492" s="8">
        <v>3.4980000000000002</v>
      </c>
      <c r="X2492" s="8">
        <v>2.4990000000000001</v>
      </c>
      <c r="Y2492" s="8">
        <v>1.421</v>
      </c>
      <c r="Z2492" s="8">
        <v>0.69799999999999995</v>
      </c>
      <c r="AA2492" s="8">
        <v>0.26100000000000001</v>
      </c>
      <c r="AB2492" s="8">
        <v>7.2999999999999995E-2</v>
      </c>
      <c r="AC2492" s="8">
        <v>8.9999999999999993E-3</v>
      </c>
    </row>
    <row r="2493" spans="1:29" ht="11.65" hidden="1" x14ac:dyDescent="0.35">
      <c r="A2493" s="23">
        <v>2476</v>
      </c>
      <c r="B2493" s="21" t="s">
        <v>1015</v>
      </c>
      <c r="C2493" s="29" t="s">
        <v>1189</v>
      </c>
      <c r="D2493" s="20"/>
      <c r="E2493" s="20">
        <v>916</v>
      </c>
      <c r="F2493" s="21" t="s">
        <v>1065</v>
      </c>
      <c r="G2493" s="20">
        <v>1830</v>
      </c>
      <c r="H2493" s="20">
        <v>1950</v>
      </c>
      <c r="I2493" s="19">
        <v>3242.6579999999999</v>
      </c>
      <c r="J2493" s="19">
        <v>2582.5369999999998</v>
      </c>
      <c r="K2493" s="19">
        <v>2162.5970000000002</v>
      </c>
      <c r="L2493" s="19">
        <v>1937.95</v>
      </c>
      <c r="M2493" s="19">
        <v>1708.806</v>
      </c>
      <c r="N2493" s="19">
        <v>1431.595</v>
      </c>
      <c r="O2493" s="19">
        <v>1136.9939999999999</v>
      </c>
      <c r="P2493" s="19">
        <v>1031.5830000000001</v>
      </c>
      <c r="Q2493" s="19">
        <v>864.00300000000004</v>
      </c>
      <c r="R2493" s="19">
        <v>761.45100000000002</v>
      </c>
      <c r="S2493" s="19">
        <v>617.67999999999995</v>
      </c>
      <c r="T2493" s="19">
        <v>474.613</v>
      </c>
      <c r="U2493" s="19">
        <v>371.15699999999998</v>
      </c>
      <c r="V2493" s="19">
        <v>272.23399999999998</v>
      </c>
      <c r="W2493" s="19">
        <v>190.23</v>
      </c>
      <c r="X2493" s="19">
        <v>99.730999999999995</v>
      </c>
      <c r="Y2493" s="19">
        <v>69.962000000000003</v>
      </c>
      <c r="Z2493" s="19">
        <v>34.781999999999996</v>
      </c>
      <c r="AA2493" s="19">
        <v>13.308</v>
      </c>
      <c r="AB2493" s="19">
        <v>4.0620000000000003</v>
      </c>
      <c r="AC2493" s="19">
        <v>1.083</v>
      </c>
    </row>
    <row r="2494" spans="1:29" ht="11.65" hidden="1" x14ac:dyDescent="0.35">
      <c r="A2494" s="23">
        <v>2477</v>
      </c>
      <c r="B2494" s="21" t="s">
        <v>1015</v>
      </c>
      <c r="C2494" s="29" t="s">
        <v>1189</v>
      </c>
      <c r="D2494" s="20"/>
      <c r="E2494" s="20">
        <v>916</v>
      </c>
      <c r="F2494" s="21" t="s">
        <v>1065</v>
      </c>
      <c r="G2494" s="20">
        <v>1830</v>
      </c>
      <c r="H2494" s="20">
        <v>1955</v>
      </c>
      <c r="I2494" s="19">
        <v>4065.172</v>
      </c>
      <c r="J2494" s="19">
        <v>3024.7779999999998</v>
      </c>
      <c r="K2494" s="19">
        <v>2520.027</v>
      </c>
      <c r="L2494" s="19">
        <v>2105.83</v>
      </c>
      <c r="M2494" s="19">
        <v>1868.2660000000001</v>
      </c>
      <c r="N2494" s="19">
        <v>1637.1479999999999</v>
      </c>
      <c r="O2494" s="19">
        <v>1369.078</v>
      </c>
      <c r="P2494" s="19">
        <v>1088.049</v>
      </c>
      <c r="Q2494" s="19">
        <v>985.92100000000005</v>
      </c>
      <c r="R2494" s="19">
        <v>821.73599999999999</v>
      </c>
      <c r="S2494" s="19">
        <v>716.70600000000002</v>
      </c>
      <c r="T2494" s="19">
        <v>569.99199999999996</v>
      </c>
      <c r="U2494" s="19">
        <v>423.49200000000002</v>
      </c>
      <c r="V2494" s="19">
        <v>314.07900000000001</v>
      </c>
      <c r="W2494" s="19">
        <v>213.381</v>
      </c>
      <c r="X2494" s="19">
        <v>133.22399999999999</v>
      </c>
      <c r="Y2494" s="19">
        <v>54.94</v>
      </c>
      <c r="Z2494" s="19">
        <v>25.93</v>
      </c>
      <c r="AA2494" s="19">
        <v>8.4939999999999998</v>
      </c>
      <c r="AB2494" s="19">
        <v>2.0680000000000001</v>
      </c>
      <c r="AC2494" s="19">
        <v>0.48499999999999999</v>
      </c>
    </row>
    <row r="2495" spans="1:29" ht="11.65" hidden="1" x14ac:dyDescent="0.35">
      <c r="A2495" s="23">
        <v>2478</v>
      </c>
      <c r="B2495" s="21" t="s">
        <v>1015</v>
      </c>
      <c r="C2495" s="29" t="s">
        <v>1189</v>
      </c>
      <c r="D2495" s="20"/>
      <c r="E2495" s="20">
        <v>916</v>
      </c>
      <c r="F2495" s="21" t="s">
        <v>1065</v>
      </c>
      <c r="G2495" s="20">
        <v>1830</v>
      </c>
      <c r="H2495" s="20">
        <v>1960</v>
      </c>
      <c r="I2495" s="19">
        <v>4725.0460000000003</v>
      </c>
      <c r="J2495" s="19">
        <v>3844.2080000000001</v>
      </c>
      <c r="K2495" s="19">
        <v>2965.8049999999998</v>
      </c>
      <c r="L2495" s="19">
        <v>2464.252</v>
      </c>
      <c r="M2495" s="19">
        <v>2036.76</v>
      </c>
      <c r="N2495" s="19">
        <v>1796.28</v>
      </c>
      <c r="O2495" s="19">
        <v>1573.6289999999999</v>
      </c>
      <c r="P2495" s="19">
        <v>1319.106</v>
      </c>
      <c r="Q2495" s="19">
        <v>1046.6780000000001</v>
      </c>
      <c r="R2495" s="19">
        <v>944.20699999999999</v>
      </c>
      <c r="S2495" s="19">
        <v>779.16700000000003</v>
      </c>
      <c r="T2495" s="19">
        <v>667.73400000000004</v>
      </c>
      <c r="U2495" s="19">
        <v>515.41800000000001</v>
      </c>
      <c r="V2495" s="19">
        <v>365.47899999999998</v>
      </c>
      <c r="W2495" s="19">
        <v>253.10499999999999</v>
      </c>
      <c r="X2495" s="19">
        <v>155.578</v>
      </c>
      <c r="Y2495" s="19">
        <v>80.671000000000006</v>
      </c>
      <c r="Z2495" s="19">
        <v>24.713999999999999</v>
      </c>
      <c r="AA2495" s="19">
        <v>8.4610000000000003</v>
      </c>
      <c r="AB2495" s="19">
        <v>1.9350000000000001</v>
      </c>
      <c r="AC2495" s="19">
        <v>0.37</v>
      </c>
    </row>
    <row r="2496" spans="1:29" ht="11.65" hidden="1" x14ac:dyDescent="0.35">
      <c r="A2496" s="23">
        <v>2479</v>
      </c>
      <c r="B2496" s="21" t="s">
        <v>1015</v>
      </c>
      <c r="C2496" s="29" t="s">
        <v>1189</v>
      </c>
      <c r="D2496" s="20"/>
      <c r="E2496" s="20">
        <v>916</v>
      </c>
      <c r="F2496" s="21" t="s">
        <v>1065</v>
      </c>
      <c r="G2496" s="20">
        <v>1830</v>
      </c>
      <c r="H2496" s="20">
        <v>1965</v>
      </c>
      <c r="I2496" s="19">
        <v>5416.4269999999997</v>
      </c>
      <c r="J2496" s="19">
        <v>4512.41</v>
      </c>
      <c r="K2496" s="19">
        <v>3777.9050000000002</v>
      </c>
      <c r="L2496" s="19">
        <v>2902.23</v>
      </c>
      <c r="M2496" s="19">
        <v>2383.83</v>
      </c>
      <c r="N2496" s="19">
        <v>1956.181</v>
      </c>
      <c r="O2496" s="19">
        <v>1728.2380000000001</v>
      </c>
      <c r="P2496" s="19">
        <v>1522.2270000000001</v>
      </c>
      <c r="Q2496" s="19">
        <v>1275.5609999999999</v>
      </c>
      <c r="R2496" s="19">
        <v>1007.188</v>
      </c>
      <c r="S2496" s="19">
        <v>900.03899999999999</v>
      </c>
      <c r="T2496" s="19">
        <v>730.37900000000002</v>
      </c>
      <c r="U2496" s="19">
        <v>609.11900000000003</v>
      </c>
      <c r="V2496" s="19">
        <v>450.56900000000002</v>
      </c>
      <c r="W2496" s="19">
        <v>300.07499999999999</v>
      </c>
      <c r="X2496" s="19">
        <v>189.15799999999999</v>
      </c>
      <c r="Y2496" s="19">
        <v>98.546999999999997</v>
      </c>
      <c r="Z2496" s="19">
        <v>39.481000000000002</v>
      </c>
      <c r="AA2496" s="19">
        <v>8.8840000000000003</v>
      </c>
      <c r="AB2496" s="19">
        <v>2.2210000000000001</v>
      </c>
      <c r="AC2496" s="19">
        <v>0.41</v>
      </c>
    </row>
    <row r="2497" spans="1:29" ht="11.65" hidden="1" x14ac:dyDescent="0.35">
      <c r="A2497" s="23">
        <v>2480</v>
      </c>
      <c r="B2497" s="21" t="s">
        <v>1015</v>
      </c>
      <c r="C2497" s="29" t="s">
        <v>1189</v>
      </c>
      <c r="D2497" s="20"/>
      <c r="E2497" s="20">
        <v>916</v>
      </c>
      <c r="F2497" s="21" t="s">
        <v>1065</v>
      </c>
      <c r="G2497" s="20">
        <v>1830</v>
      </c>
      <c r="H2497" s="20">
        <v>1970</v>
      </c>
      <c r="I2497" s="19">
        <v>6235.1760000000004</v>
      </c>
      <c r="J2497" s="19">
        <v>5204.1180000000004</v>
      </c>
      <c r="K2497" s="19">
        <v>4434.9189999999999</v>
      </c>
      <c r="L2497" s="19">
        <v>3693.201</v>
      </c>
      <c r="M2497" s="19">
        <v>2796.9859999999999</v>
      </c>
      <c r="N2497" s="19">
        <v>2280.6709999999998</v>
      </c>
      <c r="O2497" s="19">
        <v>1874.6120000000001</v>
      </c>
      <c r="P2497" s="19">
        <v>1669.91</v>
      </c>
      <c r="Q2497" s="19">
        <v>1472.5219999999999</v>
      </c>
      <c r="R2497" s="19">
        <v>1228.614</v>
      </c>
      <c r="S2497" s="19">
        <v>961.45500000000004</v>
      </c>
      <c r="T2497" s="19">
        <v>846.15200000000004</v>
      </c>
      <c r="U2497" s="19">
        <v>669.26499999999999</v>
      </c>
      <c r="V2497" s="19">
        <v>536.18899999999996</v>
      </c>
      <c r="W2497" s="19">
        <v>373.44499999999999</v>
      </c>
      <c r="X2497" s="19">
        <v>227.34299999999999</v>
      </c>
      <c r="Y2497" s="19">
        <v>122.241</v>
      </c>
      <c r="Z2497" s="19">
        <v>49.737000000000002</v>
      </c>
      <c r="AA2497" s="19">
        <v>14.981</v>
      </c>
      <c r="AB2497" s="19">
        <v>2.403</v>
      </c>
      <c r="AC2497" s="19">
        <v>0.48799999999999999</v>
      </c>
    </row>
    <row r="2498" spans="1:29" ht="11.65" hidden="1" x14ac:dyDescent="0.35">
      <c r="A2498" s="23">
        <v>2481</v>
      </c>
      <c r="B2498" s="21" t="s">
        <v>1015</v>
      </c>
      <c r="C2498" s="29" t="s">
        <v>1189</v>
      </c>
      <c r="D2498" s="20"/>
      <c r="E2498" s="20">
        <v>916</v>
      </c>
      <c r="F2498" s="21" t="s">
        <v>1065</v>
      </c>
      <c r="G2498" s="20">
        <v>1830</v>
      </c>
      <c r="H2498" s="20">
        <v>1975</v>
      </c>
      <c r="I2498" s="19">
        <v>6980.4409999999998</v>
      </c>
      <c r="J2498" s="19">
        <v>6028.241</v>
      </c>
      <c r="K2498" s="19">
        <v>5105.4759999999997</v>
      </c>
      <c r="L2498" s="19">
        <v>4313.0110000000004</v>
      </c>
      <c r="M2498" s="19">
        <v>3537.6509999999998</v>
      </c>
      <c r="N2498" s="19">
        <v>2653.9270000000001</v>
      </c>
      <c r="O2498" s="19">
        <v>2176.1239999999998</v>
      </c>
      <c r="P2498" s="19">
        <v>1809.9549999999999</v>
      </c>
      <c r="Q2498" s="19">
        <v>1619.0509999999999</v>
      </c>
      <c r="R2498" s="19">
        <v>1423.3920000000001</v>
      </c>
      <c r="S2498" s="19">
        <v>1178.075</v>
      </c>
      <c r="T2498" s="19">
        <v>908.34100000000001</v>
      </c>
      <c r="U2498" s="19">
        <v>780.69500000000005</v>
      </c>
      <c r="V2498" s="19">
        <v>594.42700000000002</v>
      </c>
      <c r="W2498" s="19">
        <v>450.06799999999998</v>
      </c>
      <c r="X2498" s="19">
        <v>287.81099999999998</v>
      </c>
      <c r="Y2498" s="19">
        <v>150.80600000000001</v>
      </c>
      <c r="Z2498" s="19">
        <v>63.734000000000002</v>
      </c>
      <c r="AA2498" s="19">
        <v>19.66</v>
      </c>
      <c r="AB2498" s="19">
        <v>4.3120000000000003</v>
      </c>
      <c r="AC2498" s="19">
        <v>0.55300000000000005</v>
      </c>
    </row>
    <row r="2499" spans="1:29" ht="11.65" hidden="1" x14ac:dyDescent="0.35">
      <c r="A2499" s="23">
        <v>2482</v>
      </c>
      <c r="B2499" s="21" t="s">
        <v>1015</v>
      </c>
      <c r="C2499" s="29" t="s">
        <v>1189</v>
      </c>
      <c r="D2499" s="20"/>
      <c r="E2499" s="20">
        <v>916</v>
      </c>
      <c r="F2499" s="21" t="s">
        <v>1065</v>
      </c>
      <c r="G2499" s="20">
        <v>1830</v>
      </c>
      <c r="H2499" s="20">
        <v>1980</v>
      </c>
      <c r="I2499" s="19">
        <v>7404.0609999999997</v>
      </c>
      <c r="J2499" s="19">
        <v>6791.2669999999998</v>
      </c>
      <c r="K2499" s="19">
        <v>5901.0870000000004</v>
      </c>
      <c r="L2499" s="19">
        <v>4935.49</v>
      </c>
      <c r="M2499" s="19">
        <v>4095.393</v>
      </c>
      <c r="N2499" s="19">
        <v>3339.165</v>
      </c>
      <c r="O2499" s="19">
        <v>2518.8000000000002</v>
      </c>
      <c r="P2499" s="19">
        <v>2099.9299999999998</v>
      </c>
      <c r="Q2499" s="19">
        <v>1757.317</v>
      </c>
      <c r="R2499" s="19">
        <v>1569.1420000000001</v>
      </c>
      <c r="S2499" s="19">
        <v>1369.8920000000001</v>
      </c>
      <c r="T2499" s="19">
        <v>1118.1980000000001</v>
      </c>
      <c r="U2499" s="19">
        <v>843.423</v>
      </c>
      <c r="V2499" s="19">
        <v>700.14599999999996</v>
      </c>
      <c r="W2499" s="19">
        <v>506.423</v>
      </c>
      <c r="X2499" s="19">
        <v>354.077</v>
      </c>
      <c r="Y2499" s="19">
        <v>196.76599999999999</v>
      </c>
      <c r="Z2499" s="19">
        <v>81.796999999999997</v>
      </c>
      <c r="AA2499" s="19">
        <v>26.302</v>
      </c>
      <c r="AB2499" s="19">
        <v>5.923</v>
      </c>
      <c r="AC2499" s="19">
        <v>0.97199999999999998</v>
      </c>
    </row>
    <row r="2500" spans="1:29" ht="11.65" hidden="1" x14ac:dyDescent="0.35">
      <c r="A2500" s="23">
        <v>2483</v>
      </c>
      <c r="B2500" s="21" t="s">
        <v>1015</v>
      </c>
      <c r="C2500" s="29" t="s">
        <v>1189</v>
      </c>
      <c r="D2500" s="20"/>
      <c r="E2500" s="20">
        <v>916</v>
      </c>
      <c r="F2500" s="21" t="s">
        <v>1065</v>
      </c>
      <c r="G2500" s="20">
        <v>1830</v>
      </c>
      <c r="H2500" s="20">
        <v>1985</v>
      </c>
      <c r="I2500" s="19">
        <v>7610.87</v>
      </c>
      <c r="J2500" s="19">
        <v>7211.9129999999996</v>
      </c>
      <c r="K2500" s="19">
        <v>6706.7160000000003</v>
      </c>
      <c r="L2500" s="19">
        <v>5728.8689999999997</v>
      </c>
      <c r="M2500" s="19">
        <v>4792.8999999999996</v>
      </c>
      <c r="N2500" s="19">
        <v>3983.8029999999999</v>
      </c>
      <c r="O2500" s="19">
        <v>3248.57</v>
      </c>
      <c r="P2500" s="19">
        <v>2463.9879999999998</v>
      </c>
      <c r="Q2500" s="19">
        <v>2053.7190000000001</v>
      </c>
      <c r="R2500" s="19">
        <v>1710.07</v>
      </c>
      <c r="S2500" s="19">
        <v>1515.951</v>
      </c>
      <c r="T2500" s="19">
        <v>1306.606</v>
      </c>
      <c r="U2500" s="19">
        <v>1045.076</v>
      </c>
      <c r="V2500" s="19">
        <v>763.47400000000005</v>
      </c>
      <c r="W2500" s="19">
        <v>604.17499999999995</v>
      </c>
      <c r="X2500" s="19">
        <v>405.57400000000001</v>
      </c>
      <c r="Y2500" s="19">
        <v>248.25200000000001</v>
      </c>
      <c r="Z2500" s="19">
        <v>110.54300000000001</v>
      </c>
      <c r="AA2500" s="19">
        <v>35.250999999999998</v>
      </c>
      <c r="AB2500" s="19">
        <v>8.2870000000000008</v>
      </c>
      <c r="AC2500" s="19">
        <v>1.4410000000000001</v>
      </c>
    </row>
    <row r="2501" spans="1:29" ht="11.65" hidden="1" x14ac:dyDescent="0.35">
      <c r="A2501" s="23">
        <v>2484</v>
      </c>
      <c r="B2501" s="21" t="s">
        <v>1015</v>
      </c>
      <c r="C2501" s="29" t="s">
        <v>1189</v>
      </c>
      <c r="D2501" s="20"/>
      <c r="E2501" s="20">
        <v>916</v>
      </c>
      <c r="F2501" s="21" t="s">
        <v>1065</v>
      </c>
      <c r="G2501" s="20">
        <v>1830</v>
      </c>
      <c r="H2501" s="20">
        <v>1990</v>
      </c>
      <c r="I2501" s="19">
        <v>7919.4089999999997</v>
      </c>
      <c r="J2501" s="19">
        <v>7442.5</v>
      </c>
      <c r="K2501" s="19">
        <v>7049.7079999999996</v>
      </c>
      <c r="L2501" s="19">
        <v>6485.3370000000004</v>
      </c>
      <c r="M2501" s="19">
        <v>5453.2749999999996</v>
      </c>
      <c r="N2501" s="19">
        <v>4544.8519999999999</v>
      </c>
      <c r="O2501" s="19">
        <v>3812.5520000000001</v>
      </c>
      <c r="P2501" s="19">
        <v>3155.5309999999999</v>
      </c>
      <c r="Q2501" s="19">
        <v>2406.0430000000001</v>
      </c>
      <c r="R2501" s="19">
        <v>2002.9349999999999</v>
      </c>
      <c r="S2501" s="19">
        <v>1658.866</v>
      </c>
      <c r="T2501" s="19">
        <v>1453.6759999999999</v>
      </c>
      <c r="U2501" s="19">
        <v>1229.1579999999999</v>
      </c>
      <c r="V2501" s="19">
        <v>954.19799999999998</v>
      </c>
      <c r="W2501" s="19">
        <v>665.98099999999999</v>
      </c>
      <c r="X2501" s="19">
        <v>490.96499999999997</v>
      </c>
      <c r="Y2501" s="19">
        <v>290.52</v>
      </c>
      <c r="Z2501" s="19">
        <v>143.85499999999999</v>
      </c>
      <c r="AA2501" s="19">
        <v>49.548999999999999</v>
      </c>
      <c r="AB2501" s="19">
        <v>11.632</v>
      </c>
      <c r="AC2501" s="19">
        <v>2.121</v>
      </c>
    </row>
    <row r="2502" spans="1:29" ht="11.65" hidden="1" x14ac:dyDescent="0.35">
      <c r="A2502" s="23">
        <v>2485</v>
      </c>
      <c r="B2502" s="21" t="s">
        <v>1015</v>
      </c>
      <c r="C2502" s="29" t="s">
        <v>1189</v>
      </c>
      <c r="D2502" s="20"/>
      <c r="E2502" s="20">
        <v>916</v>
      </c>
      <c r="F2502" s="21" t="s">
        <v>1065</v>
      </c>
      <c r="G2502" s="20">
        <v>1830</v>
      </c>
      <c r="H2502" s="20">
        <v>1995</v>
      </c>
      <c r="I2502" s="19">
        <v>8101.4639999999999</v>
      </c>
      <c r="J2502" s="19">
        <v>7813.1350000000002</v>
      </c>
      <c r="K2502" s="19">
        <v>7350.0540000000001</v>
      </c>
      <c r="L2502" s="19">
        <v>6844.0519999999997</v>
      </c>
      <c r="M2502" s="19">
        <v>6033.848</v>
      </c>
      <c r="N2502" s="19">
        <v>5267.0039999999999</v>
      </c>
      <c r="O2502" s="19">
        <v>4491.4229999999998</v>
      </c>
      <c r="P2502" s="19">
        <v>3764.1179999999999</v>
      </c>
      <c r="Q2502" s="19">
        <v>3113.5639999999999</v>
      </c>
      <c r="R2502" s="19">
        <v>2363.942</v>
      </c>
      <c r="S2502" s="19">
        <v>1953.8789999999999</v>
      </c>
      <c r="T2502" s="19">
        <v>1598.8810000000001</v>
      </c>
      <c r="U2502" s="19">
        <v>1375.856</v>
      </c>
      <c r="V2502" s="19">
        <v>1131.098</v>
      </c>
      <c r="W2502" s="19">
        <v>840.71299999999997</v>
      </c>
      <c r="X2502" s="19">
        <v>547.93899999999996</v>
      </c>
      <c r="Y2502" s="19">
        <v>357.60399999999998</v>
      </c>
      <c r="Z2502" s="19">
        <v>171.404</v>
      </c>
      <c r="AA2502" s="19">
        <v>65.611999999999995</v>
      </c>
      <c r="AB2502" s="19">
        <v>16.553999999999998</v>
      </c>
      <c r="AC2502" s="19">
        <v>3.0070000000000001</v>
      </c>
    </row>
    <row r="2503" spans="1:29" ht="11.65" hidden="1" x14ac:dyDescent="0.35">
      <c r="A2503" s="23">
        <v>2486</v>
      </c>
      <c r="B2503" s="21" t="s">
        <v>1015</v>
      </c>
      <c r="C2503" s="29" t="s">
        <v>1189</v>
      </c>
      <c r="D2503" s="20"/>
      <c r="E2503" s="20">
        <v>916</v>
      </c>
      <c r="F2503" s="21" t="s">
        <v>1065</v>
      </c>
      <c r="G2503" s="20">
        <v>1830</v>
      </c>
      <c r="H2503" s="20">
        <v>2000</v>
      </c>
      <c r="I2503" s="19">
        <v>8134.3050000000003</v>
      </c>
      <c r="J2503" s="19">
        <v>7983.92</v>
      </c>
      <c r="K2503" s="19">
        <v>7608.0410000000002</v>
      </c>
      <c r="L2503" s="19">
        <v>7084.1210000000001</v>
      </c>
      <c r="M2503" s="19">
        <v>6491.48</v>
      </c>
      <c r="N2503" s="19">
        <v>5841.393</v>
      </c>
      <c r="O2503" s="19">
        <v>5118.9489999999996</v>
      </c>
      <c r="P2503" s="19">
        <v>4388.9040000000005</v>
      </c>
      <c r="Q2503" s="19">
        <v>3692.3090000000002</v>
      </c>
      <c r="R2503" s="19">
        <v>3043.1329999999998</v>
      </c>
      <c r="S2503" s="19">
        <v>2302.6709999999998</v>
      </c>
      <c r="T2503" s="19">
        <v>1882.87</v>
      </c>
      <c r="U2503" s="19">
        <v>1514.529</v>
      </c>
      <c r="V2503" s="19">
        <v>1268.761</v>
      </c>
      <c r="W2503" s="19">
        <v>1000.04</v>
      </c>
      <c r="X2503" s="19">
        <v>694.98500000000001</v>
      </c>
      <c r="Y2503" s="19">
        <v>407.13900000000001</v>
      </c>
      <c r="Z2503" s="19">
        <v>225.92099999999999</v>
      </c>
      <c r="AA2503" s="19">
        <v>85.037000000000006</v>
      </c>
      <c r="AB2503" s="19">
        <v>22.509</v>
      </c>
      <c r="AC2503" s="19">
        <v>3.3650000000000002</v>
      </c>
    </row>
    <row r="2504" spans="1:29" ht="11.65" hidden="1" x14ac:dyDescent="0.35">
      <c r="A2504" s="23">
        <v>2487</v>
      </c>
      <c r="B2504" s="21" t="s">
        <v>1015</v>
      </c>
      <c r="C2504" s="29" t="s">
        <v>1189</v>
      </c>
      <c r="D2504" s="20"/>
      <c r="E2504" s="20">
        <v>916</v>
      </c>
      <c r="F2504" s="21" t="s">
        <v>1065</v>
      </c>
      <c r="G2504" s="20">
        <v>1830</v>
      </c>
      <c r="H2504" s="20">
        <v>2005</v>
      </c>
      <c r="I2504" s="19">
        <v>8080.9589999999998</v>
      </c>
      <c r="J2504" s="19">
        <v>8009.3490000000002</v>
      </c>
      <c r="K2504" s="19">
        <v>7852.2439999999997</v>
      </c>
      <c r="L2504" s="19">
        <v>7345.375</v>
      </c>
      <c r="M2504" s="19">
        <v>6812.0730000000003</v>
      </c>
      <c r="N2504" s="19">
        <v>6258.2039999999997</v>
      </c>
      <c r="O2504" s="19">
        <v>5756.098</v>
      </c>
      <c r="P2504" s="19">
        <v>5046.6760000000004</v>
      </c>
      <c r="Q2504" s="19">
        <v>4324.3100000000004</v>
      </c>
      <c r="R2504" s="19">
        <v>3625.6779999999999</v>
      </c>
      <c r="S2504" s="19">
        <v>2971.819</v>
      </c>
      <c r="T2504" s="19">
        <v>2226.8739999999998</v>
      </c>
      <c r="U2504" s="19">
        <v>1792.9949999999999</v>
      </c>
      <c r="V2504" s="19">
        <v>1407.3330000000001</v>
      </c>
      <c r="W2504" s="19">
        <v>1135.5070000000001</v>
      </c>
      <c r="X2504" s="19">
        <v>842.06</v>
      </c>
      <c r="Y2504" s="19">
        <v>529.66200000000003</v>
      </c>
      <c r="Z2504" s="19">
        <v>266.05799999999999</v>
      </c>
      <c r="AA2504" s="19">
        <v>117.43899999999999</v>
      </c>
      <c r="AB2504" s="19">
        <v>30.870999999999999</v>
      </c>
      <c r="AC2504" s="19">
        <v>4.7009999999999996</v>
      </c>
    </row>
    <row r="2505" spans="1:29" ht="11.65" hidden="1" x14ac:dyDescent="0.35">
      <c r="A2505" s="23">
        <v>2488</v>
      </c>
      <c r="B2505" s="21" t="s">
        <v>1015</v>
      </c>
      <c r="C2505" s="29" t="s">
        <v>1189</v>
      </c>
      <c r="D2505" s="20"/>
      <c r="E2505" s="20">
        <v>916</v>
      </c>
      <c r="F2505" s="21" t="s">
        <v>1065</v>
      </c>
      <c r="G2505" s="20">
        <v>1830</v>
      </c>
      <c r="H2505" s="20">
        <v>2010</v>
      </c>
      <c r="I2505" s="19">
        <v>7930.06</v>
      </c>
      <c r="J2505" s="19">
        <v>8021.9380000000001</v>
      </c>
      <c r="K2505" s="19">
        <v>7957.1149999999998</v>
      </c>
      <c r="L2505" s="19">
        <v>7798.049</v>
      </c>
      <c r="M2505" s="19">
        <v>7193.2889999999998</v>
      </c>
      <c r="N2505" s="19">
        <v>6689.1030000000001</v>
      </c>
      <c r="O2505" s="19">
        <v>6190.1570000000002</v>
      </c>
      <c r="P2505" s="19">
        <v>5695.951</v>
      </c>
      <c r="Q2505" s="19">
        <v>4983.8969999999999</v>
      </c>
      <c r="R2505" s="19">
        <v>4256.9089999999997</v>
      </c>
      <c r="S2505" s="19">
        <v>3550.6909999999998</v>
      </c>
      <c r="T2505" s="19">
        <v>2882.0830000000001</v>
      </c>
      <c r="U2505" s="19">
        <v>2126.174</v>
      </c>
      <c r="V2505" s="19">
        <v>1670.58</v>
      </c>
      <c r="W2505" s="19">
        <v>1263.335</v>
      </c>
      <c r="X2505" s="19">
        <v>959.78</v>
      </c>
      <c r="Y2505" s="19">
        <v>645.41099999999994</v>
      </c>
      <c r="Z2505" s="19">
        <v>348.45</v>
      </c>
      <c r="AA2505" s="19">
        <v>138.70400000000001</v>
      </c>
      <c r="AB2505" s="19">
        <v>42.649000000000001</v>
      </c>
      <c r="AC2505" s="19">
        <v>6.423</v>
      </c>
    </row>
    <row r="2506" spans="1:29" ht="11.65" hidden="1" x14ac:dyDescent="0.35">
      <c r="A2506" s="23">
        <v>2489</v>
      </c>
      <c r="B2506" s="21" t="s">
        <v>1015</v>
      </c>
      <c r="C2506" s="29" t="s">
        <v>1189</v>
      </c>
      <c r="D2506" s="20"/>
      <c r="E2506" s="20">
        <v>916</v>
      </c>
      <c r="F2506" s="21" t="s">
        <v>1065</v>
      </c>
      <c r="G2506" s="20">
        <v>1830</v>
      </c>
      <c r="H2506" s="20">
        <v>2015</v>
      </c>
      <c r="I2506" s="19">
        <v>7945.8850000000002</v>
      </c>
      <c r="J2506" s="19">
        <v>7886.4219999999996</v>
      </c>
      <c r="K2506" s="19">
        <v>7990.5330000000004</v>
      </c>
      <c r="L2506" s="19">
        <v>7889.5020000000004</v>
      </c>
      <c r="M2506" s="19">
        <v>7711.7579999999998</v>
      </c>
      <c r="N2506" s="19">
        <v>7103.1940000000004</v>
      </c>
      <c r="O2506" s="19">
        <v>6609.9030000000002</v>
      </c>
      <c r="P2506" s="19">
        <v>6138.7619999999997</v>
      </c>
      <c r="Q2506" s="19">
        <v>5639.366</v>
      </c>
      <c r="R2506" s="19">
        <v>4916.5529999999999</v>
      </c>
      <c r="S2506" s="19">
        <v>4174.5230000000001</v>
      </c>
      <c r="T2506" s="19">
        <v>3448.69</v>
      </c>
      <c r="U2506" s="19">
        <v>2756.4470000000001</v>
      </c>
      <c r="V2506" s="19">
        <v>1985.412</v>
      </c>
      <c r="W2506" s="19">
        <v>1503.193</v>
      </c>
      <c r="X2506" s="19">
        <v>1070.578</v>
      </c>
      <c r="Y2506" s="19">
        <v>737.25800000000004</v>
      </c>
      <c r="Z2506" s="19">
        <v>424.94600000000003</v>
      </c>
      <c r="AA2506" s="19">
        <v>181.226</v>
      </c>
      <c r="AB2506" s="19">
        <v>49.963000000000001</v>
      </c>
      <c r="AC2506" s="19">
        <v>8.7789999999999999</v>
      </c>
    </row>
    <row r="2507" spans="1:29" ht="11.65" hidden="1" x14ac:dyDescent="0.35">
      <c r="A2507" s="23">
        <v>2490</v>
      </c>
      <c r="B2507" s="21" t="s">
        <v>1015</v>
      </c>
      <c r="C2507" s="29" t="s">
        <v>1189</v>
      </c>
      <c r="D2507" s="20"/>
      <c r="E2507" s="20">
        <v>916</v>
      </c>
      <c r="F2507" s="21" t="s">
        <v>1065</v>
      </c>
      <c r="G2507" s="20">
        <v>1830</v>
      </c>
      <c r="H2507" s="20">
        <v>2020</v>
      </c>
      <c r="I2507" s="19">
        <v>7843.0410000000002</v>
      </c>
      <c r="J2507" s="19">
        <v>7913.9340000000002</v>
      </c>
      <c r="K2507" s="19">
        <v>7856.6019999999999</v>
      </c>
      <c r="L2507" s="19">
        <v>7934.71</v>
      </c>
      <c r="M2507" s="19">
        <v>7817.2219999999998</v>
      </c>
      <c r="N2507" s="19">
        <v>7639.4889999999996</v>
      </c>
      <c r="O2507" s="19">
        <v>7040.8059999999996</v>
      </c>
      <c r="P2507" s="19">
        <v>6551.9679999999998</v>
      </c>
      <c r="Q2507" s="19">
        <v>6074.8450000000003</v>
      </c>
      <c r="R2507" s="19">
        <v>5560.3869999999997</v>
      </c>
      <c r="S2507" s="19">
        <v>4817.8159999999998</v>
      </c>
      <c r="T2507" s="19">
        <v>4050.857</v>
      </c>
      <c r="U2507" s="19">
        <v>3294.7240000000002</v>
      </c>
      <c r="V2507" s="19">
        <v>2569.7559999999999</v>
      </c>
      <c r="W2507" s="19">
        <v>1782.2829999999999</v>
      </c>
      <c r="X2507" s="19">
        <v>1270.5</v>
      </c>
      <c r="Y2507" s="19">
        <v>820.91200000000003</v>
      </c>
      <c r="Z2507" s="19">
        <v>484.279</v>
      </c>
      <c r="AA2507" s="19">
        <v>219.625</v>
      </c>
      <c r="AB2507" s="19">
        <v>64.507000000000005</v>
      </c>
      <c r="AC2507" s="19">
        <v>10.458</v>
      </c>
    </row>
    <row r="2508" spans="1:29" ht="11.65" hidden="1" x14ac:dyDescent="0.35">
      <c r="A2508" s="12">
        <v>2491</v>
      </c>
      <c r="B2508" s="10" t="s">
        <v>1015</v>
      </c>
      <c r="C2508" s="11" t="s">
        <v>1190</v>
      </c>
      <c r="D2508" s="9"/>
      <c r="E2508" s="9">
        <v>84</v>
      </c>
      <c r="F2508" s="10" t="s">
        <v>1066</v>
      </c>
      <c r="G2508" s="9">
        <v>916</v>
      </c>
      <c r="H2508" s="9">
        <v>1950</v>
      </c>
      <c r="I2508" s="8">
        <v>5.4020000000000001</v>
      </c>
      <c r="J2508" s="8">
        <v>4.1740000000000004</v>
      </c>
      <c r="K2508" s="8">
        <v>3.9049999999999998</v>
      </c>
      <c r="L2508" s="8">
        <v>3.6070000000000002</v>
      </c>
      <c r="M2508" s="8">
        <v>3.2429999999999999</v>
      </c>
      <c r="N2508" s="8">
        <v>2.657</v>
      </c>
      <c r="O2508" s="8">
        <v>2.2429999999999999</v>
      </c>
      <c r="P2508" s="8">
        <v>2.2440000000000002</v>
      </c>
      <c r="Q2508" s="8">
        <v>1.79</v>
      </c>
      <c r="R2508" s="8">
        <v>1.4410000000000001</v>
      </c>
      <c r="S2508" s="8">
        <v>1.266</v>
      </c>
      <c r="T2508" s="8">
        <v>1.0660000000000001</v>
      </c>
      <c r="U2508" s="8">
        <v>0.82899999999999996</v>
      </c>
      <c r="V2508" s="8">
        <v>0.60499999999999998</v>
      </c>
      <c r="W2508" s="8">
        <v>0.36299999999999999</v>
      </c>
      <c r="X2508" s="8">
        <v>0.21199999999999999</v>
      </c>
      <c r="Y2508" s="8">
        <v>8.2000000000000003E-2</v>
      </c>
      <c r="Z2508" s="8">
        <v>3.5000000000000003E-2</v>
      </c>
      <c r="AA2508" s="8">
        <v>1.0999999999999999E-2</v>
      </c>
      <c r="AB2508" s="8">
        <v>2E-3</v>
      </c>
      <c r="AC2508" s="8">
        <v>0</v>
      </c>
    </row>
    <row r="2509" spans="1:29" ht="11.65" hidden="1" x14ac:dyDescent="0.35">
      <c r="A2509" s="12">
        <v>2492</v>
      </c>
      <c r="B2509" s="10" t="s">
        <v>1015</v>
      </c>
      <c r="C2509" s="11" t="s">
        <v>1190</v>
      </c>
      <c r="D2509" s="9"/>
      <c r="E2509" s="9">
        <v>84</v>
      </c>
      <c r="F2509" s="10" t="s">
        <v>1066</v>
      </c>
      <c r="G2509" s="9">
        <v>916</v>
      </c>
      <c r="H2509" s="9">
        <v>1955</v>
      </c>
      <c r="I2509" s="8">
        <v>8.1609999999999996</v>
      </c>
      <c r="J2509" s="8">
        <v>5.101</v>
      </c>
      <c r="K2509" s="8">
        <v>4.0869999999999997</v>
      </c>
      <c r="L2509" s="8">
        <v>3.778</v>
      </c>
      <c r="M2509" s="8">
        <v>3.339</v>
      </c>
      <c r="N2509" s="8">
        <v>2.9209999999999998</v>
      </c>
      <c r="O2509" s="8">
        <v>2.3820000000000001</v>
      </c>
      <c r="P2509" s="8">
        <v>2.0329999999999999</v>
      </c>
      <c r="Q2509" s="8">
        <v>2.077</v>
      </c>
      <c r="R2509" s="8">
        <v>1.663</v>
      </c>
      <c r="S2509" s="8">
        <v>1.3340000000000001</v>
      </c>
      <c r="T2509" s="8">
        <v>1.1599999999999999</v>
      </c>
      <c r="U2509" s="8">
        <v>0.95199999999999996</v>
      </c>
      <c r="V2509" s="8">
        <v>0.71</v>
      </c>
      <c r="W2509" s="8">
        <v>0.47899999999999998</v>
      </c>
      <c r="X2509" s="8">
        <v>0.25600000000000001</v>
      </c>
      <c r="Y2509" s="8">
        <v>0.123</v>
      </c>
      <c r="Z2509" s="8">
        <v>3.5999999999999997E-2</v>
      </c>
      <c r="AA2509" s="8">
        <v>1.0999999999999999E-2</v>
      </c>
      <c r="AB2509" s="8">
        <v>2E-3</v>
      </c>
      <c r="AC2509" s="8">
        <v>0</v>
      </c>
    </row>
    <row r="2510" spans="1:29" ht="11.65" hidden="1" x14ac:dyDescent="0.35">
      <c r="A2510" s="12">
        <v>2493</v>
      </c>
      <c r="B2510" s="10" t="s">
        <v>1015</v>
      </c>
      <c r="C2510" s="11" t="s">
        <v>1190</v>
      </c>
      <c r="D2510" s="9"/>
      <c r="E2510" s="9">
        <v>84</v>
      </c>
      <c r="F2510" s="10" t="s">
        <v>1066</v>
      </c>
      <c r="G2510" s="9">
        <v>916</v>
      </c>
      <c r="H2510" s="9">
        <v>1960</v>
      </c>
      <c r="I2510" s="8">
        <v>8.8350000000000009</v>
      </c>
      <c r="J2510" s="8">
        <v>6.7869999999999999</v>
      </c>
      <c r="K2510" s="8">
        <v>5.0819999999999999</v>
      </c>
      <c r="L2510" s="8">
        <v>3.99</v>
      </c>
      <c r="M2510" s="8">
        <v>3.581</v>
      </c>
      <c r="N2510" s="8">
        <v>3.1789999999999998</v>
      </c>
      <c r="O2510" s="8">
        <v>2.843</v>
      </c>
      <c r="P2510" s="8">
        <v>2.3380000000000001</v>
      </c>
      <c r="Q2510" s="8">
        <v>1.9970000000000001</v>
      </c>
      <c r="R2510" s="8">
        <v>2.024</v>
      </c>
      <c r="S2510" s="8">
        <v>1.6060000000000001</v>
      </c>
      <c r="T2510" s="8">
        <v>1.2669999999999999</v>
      </c>
      <c r="U2510" s="8">
        <v>1.075</v>
      </c>
      <c r="V2510" s="8">
        <v>0.84199999999999997</v>
      </c>
      <c r="W2510" s="8">
        <v>0.58199999999999996</v>
      </c>
      <c r="X2510" s="8">
        <v>0.35399999999999998</v>
      </c>
      <c r="Y2510" s="8">
        <v>0.153</v>
      </c>
      <c r="Z2510" s="8">
        <v>5.6000000000000001E-2</v>
      </c>
      <c r="AA2510" s="8">
        <v>1.2E-2</v>
      </c>
      <c r="AB2510" s="8">
        <v>2E-3</v>
      </c>
      <c r="AC2510" s="8">
        <v>0</v>
      </c>
    </row>
    <row r="2511" spans="1:29" ht="11.65" hidden="1" x14ac:dyDescent="0.35">
      <c r="A2511" s="12">
        <v>2494</v>
      </c>
      <c r="B2511" s="10" t="s">
        <v>1015</v>
      </c>
      <c r="C2511" s="11" t="s">
        <v>1190</v>
      </c>
      <c r="D2511" s="9"/>
      <c r="E2511" s="9">
        <v>84</v>
      </c>
      <c r="F2511" s="10" t="s">
        <v>1066</v>
      </c>
      <c r="G2511" s="9">
        <v>916</v>
      </c>
      <c r="H2511" s="9">
        <v>1965</v>
      </c>
      <c r="I2511" s="8">
        <v>9.5730000000000004</v>
      </c>
      <c r="J2511" s="8">
        <v>8.5259999999999998</v>
      </c>
      <c r="K2511" s="8">
        <v>6.702</v>
      </c>
      <c r="L2511" s="8">
        <v>4.9740000000000002</v>
      </c>
      <c r="M2511" s="8">
        <v>3.7810000000000001</v>
      </c>
      <c r="N2511" s="8">
        <v>3.3239999999999998</v>
      </c>
      <c r="O2511" s="8">
        <v>2.9580000000000002</v>
      </c>
      <c r="P2511" s="8">
        <v>2.67</v>
      </c>
      <c r="Q2511" s="8">
        <v>2.2069999999999999</v>
      </c>
      <c r="R2511" s="8">
        <v>1.891</v>
      </c>
      <c r="S2511" s="8">
        <v>1.917</v>
      </c>
      <c r="T2511" s="8">
        <v>1.5029999999999999</v>
      </c>
      <c r="U2511" s="8">
        <v>1.1559999999999999</v>
      </c>
      <c r="V2511" s="8">
        <v>0.94199999999999995</v>
      </c>
      <c r="W2511" s="8">
        <v>0.68799999999999994</v>
      </c>
      <c r="X2511" s="8">
        <v>0.43099999999999999</v>
      </c>
      <c r="Y2511" s="8">
        <v>0.21</v>
      </c>
      <c r="Z2511" s="8">
        <v>7.3999999999999996E-2</v>
      </c>
      <c r="AA2511" s="8">
        <v>0.02</v>
      </c>
      <c r="AB2511" s="8">
        <v>3.0000000000000001E-3</v>
      </c>
      <c r="AC2511" s="8">
        <v>0</v>
      </c>
    </row>
    <row r="2512" spans="1:29" ht="11.65" hidden="1" x14ac:dyDescent="0.35">
      <c r="A2512" s="12">
        <v>2495</v>
      </c>
      <c r="B2512" s="10" t="s">
        <v>1015</v>
      </c>
      <c r="C2512" s="11" t="s">
        <v>1190</v>
      </c>
      <c r="D2512" s="9"/>
      <c r="E2512" s="9">
        <v>84</v>
      </c>
      <c r="F2512" s="10" t="s">
        <v>1066</v>
      </c>
      <c r="G2512" s="9">
        <v>916</v>
      </c>
      <c r="H2512" s="9">
        <v>1970</v>
      </c>
      <c r="I2512" s="8">
        <v>10.743</v>
      </c>
      <c r="J2512" s="8">
        <v>9.4390000000000001</v>
      </c>
      <c r="K2512" s="8">
        <v>8.3670000000000009</v>
      </c>
      <c r="L2512" s="8">
        <v>6.5759999999999996</v>
      </c>
      <c r="M2512" s="8">
        <v>4.7320000000000002</v>
      </c>
      <c r="N2512" s="8">
        <v>3.4860000000000002</v>
      </c>
      <c r="O2512" s="8">
        <v>3.073</v>
      </c>
      <c r="P2512" s="8">
        <v>2.7650000000000001</v>
      </c>
      <c r="Q2512" s="8">
        <v>2.5230000000000001</v>
      </c>
      <c r="R2512" s="8">
        <v>2.0870000000000002</v>
      </c>
      <c r="S2512" s="8">
        <v>1.792</v>
      </c>
      <c r="T2512" s="8">
        <v>1.804</v>
      </c>
      <c r="U2512" s="8">
        <v>1.385</v>
      </c>
      <c r="V2512" s="8">
        <v>1.0269999999999999</v>
      </c>
      <c r="W2512" s="8">
        <v>0.78100000000000003</v>
      </c>
      <c r="X2512" s="8">
        <v>0.52300000000000002</v>
      </c>
      <c r="Y2512" s="8">
        <v>0.26200000000000001</v>
      </c>
      <c r="Z2512" s="8">
        <v>0.105</v>
      </c>
      <c r="AA2512" s="8">
        <v>2.5999999999999999E-2</v>
      </c>
      <c r="AB2512" s="8">
        <v>4.0000000000000001E-3</v>
      </c>
      <c r="AC2512" s="8">
        <v>0</v>
      </c>
    </row>
    <row r="2513" spans="1:29" ht="11.65" hidden="1" x14ac:dyDescent="0.35">
      <c r="A2513" s="12">
        <v>2496</v>
      </c>
      <c r="B2513" s="10" t="s">
        <v>1015</v>
      </c>
      <c r="C2513" s="11" t="s">
        <v>1190</v>
      </c>
      <c r="D2513" s="9"/>
      <c r="E2513" s="9">
        <v>84</v>
      </c>
      <c r="F2513" s="10" t="s">
        <v>1066</v>
      </c>
      <c r="G2513" s="9">
        <v>916</v>
      </c>
      <c r="H2513" s="9">
        <v>1975</v>
      </c>
      <c r="I2513" s="8">
        <v>11.871</v>
      </c>
      <c r="J2513" s="8">
        <v>10.327999999999999</v>
      </c>
      <c r="K2513" s="8">
        <v>9.2609999999999992</v>
      </c>
      <c r="L2513" s="8">
        <v>7.9889999999999999</v>
      </c>
      <c r="M2513" s="8">
        <v>5.72</v>
      </c>
      <c r="N2513" s="8">
        <v>3.6909999999999998</v>
      </c>
      <c r="O2513" s="8">
        <v>2.6240000000000001</v>
      </c>
      <c r="P2513" s="8">
        <v>2.452</v>
      </c>
      <c r="Q2513" s="8">
        <v>2.3359999999999999</v>
      </c>
      <c r="R2513" s="8">
        <v>2.222</v>
      </c>
      <c r="S2513" s="8">
        <v>1.875</v>
      </c>
      <c r="T2513" s="8">
        <v>1.623</v>
      </c>
      <c r="U2513" s="8">
        <v>1.635</v>
      </c>
      <c r="V2513" s="8">
        <v>1.2150000000000001</v>
      </c>
      <c r="W2513" s="8">
        <v>0.84699999999999998</v>
      </c>
      <c r="X2513" s="8">
        <v>0.59399999999999997</v>
      </c>
      <c r="Y2513" s="8">
        <v>0.33</v>
      </c>
      <c r="Z2513" s="8">
        <v>0.13700000000000001</v>
      </c>
      <c r="AA2513" s="8">
        <v>4.1000000000000002E-2</v>
      </c>
      <c r="AB2513" s="8">
        <v>7.0000000000000001E-3</v>
      </c>
      <c r="AC2513" s="8">
        <v>1E-3</v>
      </c>
    </row>
    <row r="2514" spans="1:29" ht="11.65" hidden="1" x14ac:dyDescent="0.35">
      <c r="A2514" s="12">
        <v>2497</v>
      </c>
      <c r="B2514" s="10" t="s">
        <v>1015</v>
      </c>
      <c r="C2514" s="11" t="s">
        <v>1190</v>
      </c>
      <c r="D2514" s="9"/>
      <c r="E2514" s="9">
        <v>84</v>
      </c>
      <c r="F2514" s="10" t="s">
        <v>1066</v>
      </c>
      <c r="G2514" s="9">
        <v>916</v>
      </c>
      <c r="H2514" s="9">
        <v>1980</v>
      </c>
      <c r="I2514" s="8">
        <v>12.081</v>
      </c>
      <c r="J2514" s="8">
        <v>11.226000000000001</v>
      </c>
      <c r="K2514" s="8">
        <v>9.9860000000000007</v>
      </c>
      <c r="L2514" s="8">
        <v>8.8689999999999998</v>
      </c>
      <c r="M2514" s="8">
        <v>5.9989999999999997</v>
      </c>
      <c r="N2514" s="8">
        <v>4.42</v>
      </c>
      <c r="O2514" s="8">
        <v>3.2389999999999999</v>
      </c>
      <c r="P2514" s="8">
        <v>2.5150000000000001</v>
      </c>
      <c r="Q2514" s="8">
        <v>2.4470000000000001</v>
      </c>
      <c r="R2514" s="8">
        <v>2.2919999999999998</v>
      </c>
      <c r="S2514" s="8">
        <v>2.0609999999999999</v>
      </c>
      <c r="T2514" s="8">
        <v>1.5369999999999999</v>
      </c>
      <c r="U2514" s="8">
        <v>1.35</v>
      </c>
      <c r="V2514" s="8">
        <v>1.264</v>
      </c>
      <c r="W2514" s="8">
        <v>0.83299999999999996</v>
      </c>
      <c r="X2514" s="8">
        <v>0.60499999999999998</v>
      </c>
      <c r="Y2514" s="8">
        <v>0.45300000000000001</v>
      </c>
      <c r="Z2514" s="8">
        <v>0.17699999999999999</v>
      </c>
      <c r="AA2514" s="8">
        <v>5.3999999999999999E-2</v>
      </c>
      <c r="AB2514" s="8">
        <v>0.01</v>
      </c>
      <c r="AC2514" s="8">
        <v>1E-3</v>
      </c>
    </row>
    <row r="2515" spans="1:29" ht="11.65" hidden="1" x14ac:dyDescent="0.35">
      <c r="A2515" s="12">
        <v>2498</v>
      </c>
      <c r="B2515" s="10" t="s">
        <v>1015</v>
      </c>
      <c r="C2515" s="11" t="s">
        <v>1190</v>
      </c>
      <c r="D2515" s="9"/>
      <c r="E2515" s="9">
        <v>84</v>
      </c>
      <c r="F2515" s="10" t="s">
        <v>1066</v>
      </c>
      <c r="G2515" s="9">
        <v>916</v>
      </c>
      <c r="H2515" s="9">
        <v>1985</v>
      </c>
      <c r="I2515" s="8">
        <v>14.151999999999999</v>
      </c>
      <c r="J2515" s="8">
        <v>11.59</v>
      </c>
      <c r="K2515" s="8">
        <v>10.847</v>
      </c>
      <c r="L2515" s="8">
        <v>9.6539999999999999</v>
      </c>
      <c r="M2515" s="8">
        <v>8.5790000000000006</v>
      </c>
      <c r="N2515" s="8">
        <v>5.7729999999999997</v>
      </c>
      <c r="O2515" s="8">
        <v>4.2539999999999996</v>
      </c>
      <c r="P2515" s="8">
        <v>3.11</v>
      </c>
      <c r="Q2515" s="8">
        <v>2.4060000000000001</v>
      </c>
      <c r="R2515" s="8">
        <v>2.3370000000000002</v>
      </c>
      <c r="S2515" s="8">
        <v>2.173</v>
      </c>
      <c r="T2515" s="8">
        <v>1.931</v>
      </c>
      <c r="U2515" s="8">
        <v>1.409</v>
      </c>
      <c r="V2515" s="8">
        <v>1.1950000000000001</v>
      </c>
      <c r="W2515" s="8">
        <v>1.0589999999999999</v>
      </c>
      <c r="X2515" s="8">
        <v>0.63700000000000001</v>
      </c>
      <c r="Y2515" s="8">
        <v>0.40100000000000002</v>
      </c>
      <c r="Z2515" s="8">
        <v>0.25</v>
      </c>
      <c r="AA2515" s="8">
        <v>7.0999999999999994E-2</v>
      </c>
      <c r="AB2515" s="8">
        <v>1.4E-2</v>
      </c>
      <c r="AC2515" s="8">
        <v>2E-3</v>
      </c>
    </row>
    <row r="2516" spans="1:29" ht="11.65" hidden="1" x14ac:dyDescent="0.35">
      <c r="A2516" s="12">
        <v>2499</v>
      </c>
      <c r="B2516" s="10" t="s">
        <v>1015</v>
      </c>
      <c r="C2516" s="11" t="s">
        <v>1190</v>
      </c>
      <c r="D2516" s="9"/>
      <c r="E2516" s="9">
        <v>84</v>
      </c>
      <c r="F2516" s="10" t="s">
        <v>1066</v>
      </c>
      <c r="G2516" s="9">
        <v>916</v>
      </c>
      <c r="H2516" s="9">
        <v>1990</v>
      </c>
      <c r="I2516" s="8">
        <v>15.007</v>
      </c>
      <c r="J2516" s="8">
        <v>13.63</v>
      </c>
      <c r="K2516" s="8">
        <v>11.656000000000001</v>
      </c>
      <c r="L2516" s="8">
        <v>10.47</v>
      </c>
      <c r="M2516" s="8">
        <v>9.0259999999999998</v>
      </c>
      <c r="N2516" s="8">
        <v>7.9160000000000004</v>
      </c>
      <c r="O2516" s="8">
        <v>5.4470000000000001</v>
      </c>
      <c r="P2516" s="8">
        <v>4.3040000000000003</v>
      </c>
      <c r="Q2516" s="8">
        <v>3.1059999999999999</v>
      </c>
      <c r="R2516" s="8">
        <v>2.34</v>
      </c>
      <c r="S2516" s="8">
        <v>2.2400000000000002</v>
      </c>
      <c r="T2516" s="8">
        <v>2.0190000000000001</v>
      </c>
      <c r="U2516" s="8">
        <v>1.746</v>
      </c>
      <c r="V2516" s="8">
        <v>1.325</v>
      </c>
      <c r="W2516" s="8">
        <v>1.0509999999999999</v>
      </c>
      <c r="X2516" s="8">
        <v>0.78400000000000003</v>
      </c>
      <c r="Y2516" s="8">
        <v>0.56699999999999995</v>
      </c>
      <c r="Z2516" s="8">
        <v>0.22500000000000001</v>
      </c>
      <c r="AA2516" s="8">
        <v>0.10199999999999999</v>
      </c>
      <c r="AB2516" s="8">
        <v>1.9E-2</v>
      </c>
      <c r="AC2516" s="8">
        <v>2E-3</v>
      </c>
    </row>
    <row r="2517" spans="1:29" ht="11.65" hidden="1" x14ac:dyDescent="0.35">
      <c r="A2517" s="12">
        <v>2500</v>
      </c>
      <c r="B2517" s="10" t="s">
        <v>1015</v>
      </c>
      <c r="C2517" s="11" t="s">
        <v>1190</v>
      </c>
      <c r="D2517" s="9"/>
      <c r="E2517" s="9">
        <v>84</v>
      </c>
      <c r="F2517" s="10" t="s">
        <v>1066</v>
      </c>
      <c r="G2517" s="9">
        <v>916</v>
      </c>
      <c r="H2517" s="9">
        <v>1995</v>
      </c>
      <c r="I2517" s="8">
        <v>15.542</v>
      </c>
      <c r="J2517" s="8">
        <v>14.334</v>
      </c>
      <c r="K2517" s="8">
        <v>13.731</v>
      </c>
      <c r="L2517" s="8">
        <v>11.004</v>
      </c>
      <c r="M2517" s="8">
        <v>8.9700000000000006</v>
      </c>
      <c r="N2517" s="8">
        <v>7.4290000000000003</v>
      </c>
      <c r="O2517" s="8">
        <v>7.6749999999999998</v>
      </c>
      <c r="P2517" s="8">
        <v>5.4349999999999996</v>
      </c>
      <c r="Q2517" s="8">
        <v>4.29</v>
      </c>
      <c r="R2517" s="8">
        <v>3.1880000000000002</v>
      </c>
      <c r="S2517" s="8">
        <v>2.3559999999999999</v>
      </c>
      <c r="T2517" s="8">
        <v>2.145</v>
      </c>
      <c r="U2517" s="8">
        <v>1.754</v>
      </c>
      <c r="V2517" s="8">
        <v>1.7070000000000001</v>
      </c>
      <c r="W2517" s="8">
        <v>1.2030000000000001</v>
      </c>
      <c r="X2517" s="8">
        <v>0.79600000000000004</v>
      </c>
      <c r="Y2517" s="8">
        <v>0.71599999999999997</v>
      </c>
      <c r="Z2517" s="8">
        <v>0.32200000000000001</v>
      </c>
      <c r="AA2517" s="8">
        <v>9.4E-2</v>
      </c>
      <c r="AB2517" s="8">
        <v>2.7E-2</v>
      </c>
      <c r="AC2517" s="8">
        <v>3.0000000000000001E-3</v>
      </c>
    </row>
    <row r="2518" spans="1:29" ht="11.65" hidden="1" x14ac:dyDescent="0.35">
      <c r="A2518" s="12">
        <v>2501</v>
      </c>
      <c r="B2518" s="10" t="s">
        <v>1015</v>
      </c>
      <c r="C2518" s="11" t="s">
        <v>1190</v>
      </c>
      <c r="D2518" s="9"/>
      <c r="E2518" s="9">
        <v>84</v>
      </c>
      <c r="F2518" s="10" t="s">
        <v>1066</v>
      </c>
      <c r="G2518" s="9">
        <v>916</v>
      </c>
      <c r="H2518" s="9">
        <v>2000</v>
      </c>
      <c r="I2518" s="8">
        <v>18.387</v>
      </c>
      <c r="J2518" s="8">
        <v>16.844000000000001</v>
      </c>
      <c r="K2518" s="8">
        <v>14.648</v>
      </c>
      <c r="L2518" s="8">
        <v>13.513999999999999</v>
      </c>
      <c r="M2518" s="8">
        <v>11.493</v>
      </c>
      <c r="N2518" s="8">
        <v>10.561</v>
      </c>
      <c r="O2518" s="8">
        <v>8.6790000000000003</v>
      </c>
      <c r="P2518" s="8">
        <v>7.1970000000000001</v>
      </c>
      <c r="Q2518" s="8">
        <v>5.1749999999999998</v>
      </c>
      <c r="R2518" s="8">
        <v>4.0540000000000003</v>
      </c>
      <c r="S2518" s="8">
        <v>2.996</v>
      </c>
      <c r="T2518" s="8">
        <v>2.2240000000000002</v>
      </c>
      <c r="U2518" s="8">
        <v>2.0329999999999999</v>
      </c>
      <c r="V2518" s="8">
        <v>1.75</v>
      </c>
      <c r="W2518" s="8">
        <v>1.389</v>
      </c>
      <c r="X2518" s="8">
        <v>0.874</v>
      </c>
      <c r="Y2518" s="8">
        <v>0.55000000000000004</v>
      </c>
      <c r="Z2518" s="8">
        <v>0.316</v>
      </c>
      <c r="AA2518" s="8">
        <v>9.1999999999999998E-2</v>
      </c>
      <c r="AB2518" s="8">
        <v>1.4999999999999999E-2</v>
      </c>
      <c r="AC2518" s="8">
        <v>3.0000000000000001E-3</v>
      </c>
    </row>
    <row r="2519" spans="1:29" ht="11.65" hidden="1" x14ac:dyDescent="0.35">
      <c r="A2519" s="12">
        <v>2502</v>
      </c>
      <c r="B2519" s="10" t="s">
        <v>1015</v>
      </c>
      <c r="C2519" s="11" t="s">
        <v>1190</v>
      </c>
      <c r="D2519" s="9"/>
      <c r="E2519" s="9">
        <v>84</v>
      </c>
      <c r="F2519" s="10" t="s">
        <v>1066</v>
      </c>
      <c r="G2519" s="9">
        <v>916</v>
      </c>
      <c r="H2519" s="9">
        <v>2005</v>
      </c>
      <c r="I2519" s="8">
        <v>18.902999999999999</v>
      </c>
      <c r="J2519" s="8">
        <v>18.863</v>
      </c>
      <c r="K2519" s="8">
        <v>16.882000000000001</v>
      </c>
      <c r="L2519" s="8">
        <v>14.856999999999999</v>
      </c>
      <c r="M2519" s="8">
        <v>13.659000000000001</v>
      </c>
      <c r="N2519" s="8">
        <v>11.551</v>
      </c>
      <c r="O2519" s="8">
        <v>11.364000000000001</v>
      </c>
      <c r="P2519" s="8">
        <v>9.69</v>
      </c>
      <c r="Q2519" s="8">
        <v>7.37</v>
      </c>
      <c r="R2519" s="8">
        <v>4.76</v>
      </c>
      <c r="S2519" s="8">
        <v>3.5750000000000002</v>
      </c>
      <c r="T2519" s="8">
        <v>2.5459999999999998</v>
      </c>
      <c r="U2519" s="8">
        <v>1.9850000000000001</v>
      </c>
      <c r="V2519" s="8">
        <v>1.7829999999999999</v>
      </c>
      <c r="W2519" s="8">
        <v>1.4390000000000001</v>
      </c>
      <c r="X2519" s="8">
        <v>1.04</v>
      </c>
      <c r="Y2519" s="8">
        <v>0.48799999999999999</v>
      </c>
      <c r="Z2519" s="8">
        <v>0.26300000000000001</v>
      </c>
      <c r="AA2519" s="8">
        <v>0.10100000000000001</v>
      </c>
      <c r="AB2519" s="8">
        <v>1.4999999999999999E-2</v>
      </c>
      <c r="AC2519" s="8">
        <v>2E-3</v>
      </c>
    </row>
    <row r="2520" spans="1:29" ht="11.65" hidden="1" x14ac:dyDescent="0.35">
      <c r="A2520" s="12">
        <v>2503</v>
      </c>
      <c r="B2520" s="10" t="s">
        <v>1015</v>
      </c>
      <c r="C2520" s="11" t="s">
        <v>1190</v>
      </c>
      <c r="D2520" s="9"/>
      <c r="E2520" s="9">
        <v>84</v>
      </c>
      <c r="F2520" s="10" t="s">
        <v>1066</v>
      </c>
      <c r="G2520" s="9">
        <v>916</v>
      </c>
      <c r="H2520" s="9">
        <v>2010</v>
      </c>
      <c r="I2520" s="8">
        <v>18.550999999999998</v>
      </c>
      <c r="J2520" s="8">
        <v>19.475999999999999</v>
      </c>
      <c r="K2520" s="8">
        <v>18.831</v>
      </c>
      <c r="L2520" s="8">
        <v>17.228000000000002</v>
      </c>
      <c r="M2520" s="8">
        <v>15.523999999999999</v>
      </c>
      <c r="N2520" s="8">
        <v>13.763</v>
      </c>
      <c r="O2520" s="8">
        <v>11.663</v>
      </c>
      <c r="P2520" s="8">
        <v>10.737</v>
      </c>
      <c r="Q2520" s="8">
        <v>9.0210000000000008</v>
      </c>
      <c r="R2520" s="8">
        <v>7.4509999999999996</v>
      </c>
      <c r="S2520" s="8">
        <v>5.6379999999999999</v>
      </c>
      <c r="T2520" s="8">
        <v>4.0419999999999998</v>
      </c>
      <c r="U2520" s="8">
        <v>2.8519999999999999</v>
      </c>
      <c r="V2520" s="8">
        <v>2.0449999999999999</v>
      </c>
      <c r="W2520" s="8">
        <v>1.6859999999999999</v>
      </c>
      <c r="X2520" s="8">
        <v>1.3180000000000001</v>
      </c>
      <c r="Y2520" s="8">
        <v>0.93700000000000006</v>
      </c>
      <c r="Z2520" s="8">
        <v>0.255</v>
      </c>
      <c r="AA2520" s="8">
        <v>9.4E-2</v>
      </c>
      <c r="AB2520" s="8">
        <v>2.3E-2</v>
      </c>
      <c r="AC2520" s="8">
        <v>2E-3</v>
      </c>
    </row>
    <row r="2521" spans="1:29" ht="11.65" hidden="1" x14ac:dyDescent="0.35">
      <c r="A2521" s="12">
        <v>2504</v>
      </c>
      <c r="B2521" s="10" t="s">
        <v>1015</v>
      </c>
      <c r="C2521" s="11" t="s">
        <v>1190</v>
      </c>
      <c r="D2521" s="9"/>
      <c r="E2521" s="9">
        <v>84</v>
      </c>
      <c r="F2521" s="10" t="s">
        <v>1066</v>
      </c>
      <c r="G2521" s="9">
        <v>916</v>
      </c>
      <c r="H2521" s="9">
        <v>2015</v>
      </c>
      <c r="I2521" s="8">
        <v>19.039000000000001</v>
      </c>
      <c r="J2521" s="8">
        <v>18.609000000000002</v>
      </c>
      <c r="K2521" s="8">
        <v>19.529</v>
      </c>
      <c r="L2521" s="8">
        <v>19.228999999999999</v>
      </c>
      <c r="M2521" s="8">
        <v>17.923999999999999</v>
      </c>
      <c r="N2521" s="8">
        <v>16.152000000000001</v>
      </c>
      <c r="O2521" s="8">
        <v>14.188000000000001</v>
      </c>
      <c r="P2521" s="8">
        <v>11.898</v>
      </c>
      <c r="Q2521" s="8">
        <v>10.833</v>
      </c>
      <c r="R2521" s="8">
        <v>9.0129999999999999</v>
      </c>
      <c r="S2521" s="8">
        <v>7.3470000000000004</v>
      </c>
      <c r="T2521" s="8">
        <v>5.4939999999999998</v>
      </c>
      <c r="U2521" s="8">
        <v>3.8660000000000001</v>
      </c>
      <c r="V2521" s="8">
        <v>2.6749999999999998</v>
      </c>
      <c r="W2521" s="8">
        <v>1.8720000000000001</v>
      </c>
      <c r="X2521" s="8">
        <v>1.44</v>
      </c>
      <c r="Y2521" s="8">
        <v>0.98499999999999999</v>
      </c>
      <c r="Z2521" s="8">
        <v>0.56100000000000005</v>
      </c>
      <c r="AA2521" s="8">
        <v>0.108</v>
      </c>
      <c r="AB2521" s="8">
        <v>2.5999999999999999E-2</v>
      </c>
      <c r="AC2521" s="8">
        <v>3.0000000000000001E-3</v>
      </c>
    </row>
    <row r="2522" spans="1:29" ht="11.65" hidden="1" x14ac:dyDescent="0.35">
      <c r="A2522" s="12">
        <v>2505</v>
      </c>
      <c r="B2522" s="10" t="s">
        <v>1015</v>
      </c>
      <c r="C2522" s="11" t="s">
        <v>1190</v>
      </c>
      <c r="D2522" s="9"/>
      <c r="E2522" s="9">
        <v>84</v>
      </c>
      <c r="F2522" s="10" t="s">
        <v>1066</v>
      </c>
      <c r="G2522" s="9">
        <v>916</v>
      </c>
      <c r="H2522" s="9">
        <v>2020</v>
      </c>
      <c r="I2522" s="8">
        <v>19.460999999999999</v>
      </c>
      <c r="J2522" s="8">
        <v>19.082000000000001</v>
      </c>
      <c r="K2522" s="8">
        <v>18.646999999999998</v>
      </c>
      <c r="L2522" s="8">
        <v>19.806000000000001</v>
      </c>
      <c r="M2522" s="8">
        <v>19.731000000000002</v>
      </c>
      <c r="N2522" s="8">
        <v>18.381</v>
      </c>
      <c r="O2522" s="8">
        <v>16.454999999999998</v>
      </c>
      <c r="P2522" s="8">
        <v>14.369</v>
      </c>
      <c r="Q2522" s="8">
        <v>11.978</v>
      </c>
      <c r="R2522" s="8">
        <v>10.805</v>
      </c>
      <c r="S2522" s="8">
        <v>8.8989999999999991</v>
      </c>
      <c r="T2522" s="8">
        <v>7.1529999999999996</v>
      </c>
      <c r="U2522" s="8">
        <v>5.27</v>
      </c>
      <c r="V2522" s="8">
        <v>3.6320000000000001</v>
      </c>
      <c r="W2522" s="8">
        <v>2.427</v>
      </c>
      <c r="X2522" s="8">
        <v>1.611</v>
      </c>
      <c r="Y2522" s="8">
        <v>1.1359999999999999</v>
      </c>
      <c r="Z2522" s="8">
        <v>0.67300000000000004</v>
      </c>
      <c r="AA2522" s="8">
        <v>0.30199999999999999</v>
      </c>
      <c r="AB2522" s="8">
        <v>3.7999999999999999E-2</v>
      </c>
      <c r="AC2522" s="8">
        <v>4.0000000000000001E-3</v>
      </c>
    </row>
    <row r="2523" spans="1:29" ht="11.65" hidden="1" x14ac:dyDescent="0.35">
      <c r="A2523" s="12">
        <v>2506</v>
      </c>
      <c r="B2523" s="10" t="s">
        <v>1015</v>
      </c>
      <c r="C2523" s="11" t="s">
        <v>1191</v>
      </c>
      <c r="D2523" s="9"/>
      <c r="E2523" s="9">
        <v>188</v>
      </c>
      <c r="F2523" s="10" t="s">
        <v>1066</v>
      </c>
      <c r="G2523" s="9">
        <v>916</v>
      </c>
      <c r="H2523" s="9">
        <v>1950</v>
      </c>
      <c r="I2523" s="8">
        <v>83.867000000000004</v>
      </c>
      <c r="J2523" s="8">
        <v>63.43</v>
      </c>
      <c r="K2523" s="8">
        <v>54.009</v>
      </c>
      <c r="L2523" s="8">
        <v>46.973999999999997</v>
      </c>
      <c r="M2523" s="8">
        <v>41.417999999999999</v>
      </c>
      <c r="N2523" s="8">
        <v>34.237000000000002</v>
      </c>
      <c r="O2523" s="8">
        <v>28.248999999999999</v>
      </c>
      <c r="P2523" s="8">
        <v>25.390999999999998</v>
      </c>
      <c r="Q2523" s="8">
        <v>21.29</v>
      </c>
      <c r="R2523" s="8">
        <v>17.326000000000001</v>
      </c>
      <c r="S2523" s="8">
        <v>13.680999999999999</v>
      </c>
      <c r="T2523" s="8">
        <v>10.815</v>
      </c>
      <c r="U2523" s="8">
        <v>8.7360000000000007</v>
      </c>
      <c r="V2523" s="8">
        <v>6.3570000000000002</v>
      </c>
      <c r="W2523" s="8">
        <v>4.13</v>
      </c>
      <c r="X2523" s="8">
        <v>2.4239999999999999</v>
      </c>
      <c r="Y2523" s="8">
        <v>1.022</v>
      </c>
      <c r="Z2523" s="8">
        <v>0.26400000000000001</v>
      </c>
      <c r="AA2523" s="8">
        <v>9.8000000000000004E-2</v>
      </c>
      <c r="AB2523" s="8">
        <v>0.04</v>
      </c>
      <c r="AC2523" s="8">
        <v>6.0000000000000001E-3</v>
      </c>
    </row>
    <row r="2524" spans="1:29" ht="11.65" hidden="1" x14ac:dyDescent="0.35">
      <c r="A2524" s="12">
        <v>2507</v>
      </c>
      <c r="B2524" s="10" t="s">
        <v>1015</v>
      </c>
      <c r="C2524" s="11" t="s">
        <v>1191</v>
      </c>
      <c r="D2524" s="9"/>
      <c r="E2524" s="9">
        <v>188</v>
      </c>
      <c r="F2524" s="10" t="s">
        <v>1066</v>
      </c>
      <c r="G2524" s="9">
        <v>916</v>
      </c>
      <c r="H2524" s="9">
        <v>1955</v>
      </c>
      <c r="I2524" s="8">
        <v>96.191999999999993</v>
      </c>
      <c r="J2524" s="8">
        <v>80.44</v>
      </c>
      <c r="K2524" s="8">
        <v>63.069000000000003</v>
      </c>
      <c r="L2524" s="8">
        <v>53.927</v>
      </c>
      <c r="M2524" s="8">
        <v>46.865000000000002</v>
      </c>
      <c r="N2524" s="8">
        <v>41.195</v>
      </c>
      <c r="O2524" s="8">
        <v>33.917000000000002</v>
      </c>
      <c r="P2524" s="8">
        <v>27.876999999999999</v>
      </c>
      <c r="Q2524" s="8">
        <v>24.875</v>
      </c>
      <c r="R2524" s="8">
        <v>20.678000000000001</v>
      </c>
      <c r="S2524" s="8">
        <v>16.553000000000001</v>
      </c>
      <c r="T2524" s="8">
        <v>12.792</v>
      </c>
      <c r="U2524" s="8">
        <v>9.7810000000000006</v>
      </c>
      <c r="V2524" s="8">
        <v>7.4809999999999999</v>
      </c>
      <c r="W2524" s="8">
        <v>4.9870000000000001</v>
      </c>
      <c r="X2524" s="8">
        <v>2.8220000000000001</v>
      </c>
      <c r="Y2524" s="8">
        <v>1.337</v>
      </c>
      <c r="Z2524" s="8">
        <v>0.40799999999999997</v>
      </c>
      <c r="AA2524" s="8">
        <v>6.7000000000000004E-2</v>
      </c>
      <c r="AB2524" s="8">
        <v>1.4E-2</v>
      </c>
      <c r="AC2524" s="8">
        <v>4.0000000000000001E-3</v>
      </c>
    </row>
    <row r="2525" spans="1:29" ht="11.65" hidden="1" x14ac:dyDescent="0.35">
      <c r="A2525" s="12">
        <v>2508</v>
      </c>
      <c r="B2525" s="10" t="s">
        <v>1015</v>
      </c>
      <c r="C2525" s="11" t="s">
        <v>1191</v>
      </c>
      <c r="D2525" s="9"/>
      <c r="E2525" s="9">
        <v>188</v>
      </c>
      <c r="F2525" s="10" t="s">
        <v>1066</v>
      </c>
      <c r="G2525" s="9">
        <v>916</v>
      </c>
      <c r="H2525" s="9">
        <v>1960</v>
      </c>
      <c r="I2525" s="8">
        <v>123.309</v>
      </c>
      <c r="J2525" s="8">
        <v>93.072999999999993</v>
      </c>
      <c r="K2525" s="8">
        <v>80.113</v>
      </c>
      <c r="L2525" s="8">
        <v>63.118000000000002</v>
      </c>
      <c r="M2525" s="8">
        <v>54.017000000000003</v>
      </c>
      <c r="N2525" s="8">
        <v>46.875999999999998</v>
      </c>
      <c r="O2525" s="8">
        <v>41.04</v>
      </c>
      <c r="P2525" s="8">
        <v>33.667999999999999</v>
      </c>
      <c r="Q2525" s="8">
        <v>27.498000000000001</v>
      </c>
      <c r="R2525" s="8">
        <v>24.315000000000001</v>
      </c>
      <c r="S2525" s="8">
        <v>19.887</v>
      </c>
      <c r="T2525" s="8">
        <v>15.603</v>
      </c>
      <c r="U2525" s="8">
        <v>11.693</v>
      </c>
      <c r="V2525" s="8">
        <v>8.5030000000000001</v>
      </c>
      <c r="W2525" s="8">
        <v>6.0010000000000003</v>
      </c>
      <c r="X2525" s="8">
        <v>3.5179999999999998</v>
      </c>
      <c r="Y2525" s="8">
        <v>1.6279999999999999</v>
      </c>
      <c r="Z2525" s="8">
        <v>0.56899999999999995</v>
      </c>
      <c r="AA2525" s="8">
        <v>0.11</v>
      </c>
      <c r="AB2525" s="8">
        <v>0.01</v>
      </c>
      <c r="AC2525" s="8">
        <v>1E-3</v>
      </c>
    </row>
    <row r="2526" spans="1:29" ht="11.65" hidden="1" x14ac:dyDescent="0.35">
      <c r="A2526" s="12">
        <v>2509</v>
      </c>
      <c r="B2526" s="10" t="s">
        <v>1015</v>
      </c>
      <c r="C2526" s="11" t="s">
        <v>1191</v>
      </c>
      <c r="D2526" s="9"/>
      <c r="E2526" s="9">
        <v>188</v>
      </c>
      <c r="F2526" s="10" t="s">
        <v>1066</v>
      </c>
      <c r="G2526" s="9">
        <v>916</v>
      </c>
      <c r="H2526" s="9">
        <v>1965</v>
      </c>
      <c r="I2526" s="8">
        <v>143.51900000000001</v>
      </c>
      <c r="J2526" s="8">
        <v>120.285</v>
      </c>
      <c r="K2526" s="8">
        <v>92.822999999999993</v>
      </c>
      <c r="L2526" s="8">
        <v>80.224000000000004</v>
      </c>
      <c r="M2526" s="8">
        <v>63.341999999999999</v>
      </c>
      <c r="N2526" s="8">
        <v>54.192</v>
      </c>
      <c r="O2526" s="8">
        <v>46.892000000000003</v>
      </c>
      <c r="P2526" s="8">
        <v>40.904000000000003</v>
      </c>
      <c r="Q2526" s="8">
        <v>33.365000000000002</v>
      </c>
      <c r="R2526" s="8">
        <v>27.045999999999999</v>
      </c>
      <c r="S2526" s="8">
        <v>23.57</v>
      </c>
      <c r="T2526" s="8">
        <v>18.956</v>
      </c>
      <c r="U2526" s="8">
        <v>14.468</v>
      </c>
      <c r="V2526" s="8">
        <v>10.375</v>
      </c>
      <c r="W2526" s="8">
        <v>7.0259999999999998</v>
      </c>
      <c r="X2526" s="8">
        <v>4.4160000000000004</v>
      </c>
      <c r="Y2526" s="8">
        <v>2.1560000000000001</v>
      </c>
      <c r="Z2526" s="8">
        <v>0.751</v>
      </c>
      <c r="AA2526" s="8">
        <v>0.17100000000000001</v>
      </c>
      <c r="AB2526" s="8">
        <v>1.7999999999999999E-2</v>
      </c>
      <c r="AC2526" s="8">
        <v>1E-3</v>
      </c>
    </row>
    <row r="2527" spans="1:29" ht="11.65" hidden="1" x14ac:dyDescent="0.35">
      <c r="A2527" s="12">
        <v>2510</v>
      </c>
      <c r="B2527" s="10" t="s">
        <v>1015</v>
      </c>
      <c r="C2527" s="11" t="s">
        <v>1191</v>
      </c>
      <c r="D2527" s="9"/>
      <c r="E2527" s="9">
        <v>188</v>
      </c>
      <c r="F2527" s="10" t="s">
        <v>1066</v>
      </c>
      <c r="G2527" s="9">
        <v>916</v>
      </c>
      <c r="H2527" s="9">
        <v>1970</v>
      </c>
      <c r="I2527" s="8">
        <v>141.303</v>
      </c>
      <c r="J2527" s="8">
        <v>141.09</v>
      </c>
      <c r="K2527" s="8">
        <v>120.03400000000001</v>
      </c>
      <c r="L2527" s="8">
        <v>92.936999999999998</v>
      </c>
      <c r="M2527" s="8">
        <v>80.426000000000002</v>
      </c>
      <c r="N2527" s="8">
        <v>63.537999999999997</v>
      </c>
      <c r="O2527" s="8">
        <v>54.247999999999998</v>
      </c>
      <c r="P2527" s="8">
        <v>46.798999999999999</v>
      </c>
      <c r="Q2527" s="8">
        <v>40.597999999999999</v>
      </c>
      <c r="R2527" s="8">
        <v>32.901000000000003</v>
      </c>
      <c r="S2527" s="8">
        <v>26.34</v>
      </c>
      <c r="T2527" s="8">
        <v>22.599</v>
      </c>
      <c r="U2527" s="8">
        <v>17.734999999999999</v>
      </c>
      <c r="V2527" s="8">
        <v>12.988</v>
      </c>
      <c r="W2527" s="8">
        <v>8.7080000000000002</v>
      </c>
      <c r="X2527" s="8">
        <v>5.28</v>
      </c>
      <c r="Y2527" s="8">
        <v>2.778</v>
      </c>
      <c r="Z2527" s="8">
        <v>1.0229999999999999</v>
      </c>
      <c r="AA2527" s="8">
        <v>0.23100000000000001</v>
      </c>
      <c r="AB2527" s="8">
        <v>2.9000000000000001E-2</v>
      </c>
      <c r="AC2527" s="8">
        <v>1E-3</v>
      </c>
    </row>
    <row r="2528" spans="1:29" ht="11.65" hidden="1" x14ac:dyDescent="0.35">
      <c r="A2528" s="12">
        <v>2511</v>
      </c>
      <c r="B2528" s="10" t="s">
        <v>1015</v>
      </c>
      <c r="C2528" s="11" t="s">
        <v>1191</v>
      </c>
      <c r="D2528" s="9"/>
      <c r="E2528" s="9">
        <v>188</v>
      </c>
      <c r="F2528" s="10" t="s">
        <v>1066</v>
      </c>
      <c r="G2528" s="9">
        <v>916</v>
      </c>
      <c r="H2528" s="9">
        <v>1975</v>
      </c>
      <c r="I2528" s="8">
        <v>136.197</v>
      </c>
      <c r="J2528" s="8">
        <v>139.85400000000001</v>
      </c>
      <c r="K2528" s="8">
        <v>141.05000000000001</v>
      </c>
      <c r="L2528" s="8">
        <v>120.377</v>
      </c>
      <c r="M2528" s="8">
        <v>93.494</v>
      </c>
      <c r="N2528" s="8">
        <v>80.986999999999995</v>
      </c>
      <c r="O2528" s="8">
        <v>63.957999999999998</v>
      </c>
      <c r="P2528" s="8">
        <v>54.465000000000003</v>
      </c>
      <c r="Q2528" s="8">
        <v>46.732999999999997</v>
      </c>
      <c r="R2528" s="8">
        <v>40.256999999999998</v>
      </c>
      <c r="S2528" s="8">
        <v>32.218000000000004</v>
      </c>
      <c r="T2528" s="8">
        <v>25.420999999999999</v>
      </c>
      <c r="U2528" s="8">
        <v>21.321999999999999</v>
      </c>
      <c r="V2528" s="8">
        <v>16.111999999999998</v>
      </c>
      <c r="W2528" s="8">
        <v>11.069000000000001</v>
      </c>
      <c r="X2528" s="8">
        <v>6.68</v>
      </c>
      <c r="Y2528" s="8">
        <v>3.4060000000000001</v>
      </c>
      <c r="Z2528" s="8">
        <v>1.357</v>
      </c>
      <c r="AA2528" s="8">
        <v>0.32400000000000001</v>
      </c>
      <c r="AB2528" s="8">
        <v>3.9E-2</v>
      </c>
      <c r="AC2528" s="8">
        <v>2E-3</v>
      </c>
    </row>
    <row r="2529" spans="1:29" ht="11.65" hidden="1" x14ac:dyDescent="0.35">
      <c r="A2529" s="12">
        <v>2512</v>
      </c>
      <c r="B2529" s="10" t="s">
        <v>1015</v>
      </c>
      <c r="C2529" s="11" t="s">
        <v>1191</v>
      </c>
      <c r="D2529" s="9"/>
      <c r="E2529" s="9">
        <v>188</v>
      </c>
      <c r="F2529" s="10" t="s">
        <v>1066</v>
      </c>
      <c r="G2529" s="9">
        <v>916</v>
      </c>
      <c r="H2529" s="9">
        <v>1980</v>
      </c>
      <c r="I2529" s="8">
        <v>157.84299999999999</v>
      </c>
      <c r="J2529" s="8">
        <v>135.501</v>
      </c>
      <c r="K2529" s="8">
        <v>140.1</v>
      </c>
      <c r="L2529" s="8">
        <v>141.70699999999999</v>
      </c>
      <c r="M2529" s="8">
        <v>121.309</v>
      </c>
      <c r="N2529" s="8">
        <v>94.516999999999996</v>
      </c>
      <c r="O2529" s="8">
        <v>81.790999999999997</v>
      </c>
      <c r="P2529" s="8">
        <v>64.522999999999996</v>
      </c>
      <c r="Q2529" s="8">
        <v>54.652999999999999</v>
      </c>
      <c r="R2529" s="8">
        <v>46.57</v>
      </c>
      <c r="S2529" s="8">
        <v>39.603000000000002</v>
      </c>
      <c r="T2529" s="8">
        <v>31.265999999999998</v>
      </c>
      <c r="U2529" s="8">
        <v>24.170999999999999</v>
      </c>
      <c r="V2529" s="8">
        <v>19.597000000000001</v>
      </c>
      <c r="W2529" s="8">
        <v>14.000999999999999</v>
      </c>
      <c r="X2529" s="8">
        <v>8.7729999999999997</v>
      </c>
      <c r="Y2529" s="8">
        <v>4.5579999999999998</v>
      </c>
      <c r="Z2529" s="8">
        <v>1.8280000000000001</v>
      </c>
      <c r="AA2529" s="8">
        <v>0.503</v>
      </c>
      <c r="AB2529" s="8">
        <v>6.8000000000000005E-2</v>
      </c>
      <c r="AC2529" s="8">
        <v>4.0000000000000001E-3</v>
      </c>
    </row>
    <row r="2530" spans="1:29" ht="11.65" hidden="1" x14ac:dyDescent="0.35">
      <c r="A2530" s="12">
        <v>2513</v>
      </c>
      <c r="B2530" s="10" t="s">
        <v>1015</v>
      </c>
      <c r="C2530" s="11" t="s">
        <v>1191</v>
      </c>
      <c r="D2530" s="9"/>
      <c r="E2530" s="9">
        <v>188</v>
      </c>
      <c r="F2530" s="10" t="s">
        <v>1066</v>
      </c>
      <c r="G2530" s="9">
        <v>916</v>
      </c>
      <c r="H2530" s="9">
        <v>1985</v>
      </c>
      <c r="I2530" s="8">
        <v>182.76499999999999</v>
      </c>
      <c r="J2530" s="8">
        <v>157.51499999999999</v>
      </c>
      <c r="K2530" s="8">
        <v>135.94800000000001</v>
      </c>
      <c r="L2530" s="8">
        <v>140.995</v>
      </c>
      <c r="M2530" s="8">
        <v>142.887</v>
      </c>
      <c r="N2530" s="8">
        <v>122.57899999999999</v>
      </c>
      <c r="O2530" s="8">
        <v>95.596000000000004</v>
      </c>
      <c r="P2530" s="8">
        <v>82.555999999999997</v>
      </c>
      <c r="Q2530" s="8">
        <v>64.891999999999996</v>
      </c>
      <c r="R2530" s="8">
        <v>54.612000000000002</v>
      </c>
      <c r="S2530" s="8">
        <v>45.994999999999997</v>
      </c>
      <c r="T2530" s="8">
        <v>38.624000000000002</v>
      </c>
      <c r="U2530" s="8">
        <v>29.949000000000002</v>
      </c>
      <c r="V2530" s="8">
        <v>22.494</v>
      </c>
      <c r="W2530" s="8">
        <v>17.414999999999999</v>
      </c>
      <c r="X2530" s="8">
        <v>11.544</v>
      </c>
      <c r="Y2530" s="8">
        <v>6.423</v>
      </c>
      <c r="Z2530" s="8">
        <v>2.7650000000000001</v>
      </c>
      <c r="AA2530" s="8">
        <v>0.83</v>
      </c>
      <c r="AB2530" s="8">
        <v>0.14799999999999999</v>
      </c>
      <c r="AC2530" s="8">
        <v>1.0999999999999999E-2</v>
      </c>
    </row>
    <row r="2531" spans="1:29" ht="11.65" hidden="1" x14ac:dyDescent="0.35">
      <c r="A2531" s="12">
        <v>2514</v>
      </c>
      <c r="B2531" s="10" t="s">
        <v>1015</v>
      </c>
      <c r="C2531" s="11" t="s">
        <v>1191</v>
      </c>
      <c r="D2531" s="9"/>
      <c r="E2531" s="9">
        <v>188</v>
      </c>
      <c r="F2531" s="10" t="s">
        <v>1066</v>
      </c>
      <c r="G2531" s="9">
        <v>916</v>
      </c>
      <c r="H2531" s="9">
        <v>1990</v>
      </c>
      <c r="I2531" s="8">
        <v>203.47800000000001</v>
      </c>
      <c r="J2531" s="8">
        <v>182.517</v>
      </c>
      <c r="K2531" s="8">
        <v>157.94800000000001</v>
      </c>
      <c r="L2531" s="8">
        <v>136.821</v>
      </c>
      <c r="M2531" s="8">
        <v>142.12200000000001</v>
      </c>
      <c r="N2531" s="8">
        <v>144.06100000000001</v>
      </c>
      <c r="O2531" s="8">
        <v>123.55</v>
      </c>
      <c r="P2531" s="8">
        <v>96.302999999999997</v>
      </c>
      <c r="Q2531" s="8">
        <v>82.837000000000003</v>
      </c>
      <c r="R2531" s="8">
        <v>64.805999999999997</v>
      </c>
      <c r="S2531" s="8">
        <v>54.008000000000003</v>
      </c>
      <c r="T2531" s="8">
        <v>44.972999999999999</v>
      </c>
      <c r="U2531" s="8">
        <v>37.146999999999998</v>
      </c>
      <c r="V2531" s="8">
        <v>28.065999999999999</v>
      </c>
      <c r="W2531" s="8">
        <v>20.227</v>
      </c>
      <c r="X2531" s="8">
        <v>14.638999999999999</v>
      </c>
      <c r="Y2531" s="8">
        <v>8.7189999999999994</v>
      </c>
      <c r="Z2531" s="8">
        <v>4.0919999999999996</v>
      </c>
      <c r="AA2531" s="8">
        <v>1.3540000000000001</v>
      </c>
      <c r="AB2531" s="8">
        <v>0.27200000000000002</v>
      </c>
      <c r="AC2531" s="8">
        <v>2.7E-2</v>
      </c>
    </row>
    <row r="2532" spans="1:29" ht="11.65" hidden="1" x14ac:dyDescent="0.35">
      <c r="A2532" s="12">
        <v>2515</v>
      </c>
      <c r="B2532" s="10" t="s">
        <v>1015</v>
      </c>
      <c r="C2532" s="11" t="s">
        <v>1191</v>
      </c>
      <c r="D2532" s="9"/>
      <c r="E2532" s="9">
        <v>188</v>
      </c>
      <c r="F2532" s="10" t="s">
        <v>1066</v>
      </c>
      <c r="G2532" s="9">
        <v>916</v>
      </c>
      <c r="H2532" s="9">
        <v>1995</v>
      </c>
      <c r="I2532" s="8">
        <v>203.28299999999999</v>
      </c>
      <c r="J2532" s="8">
        <v>203.77799999999999</v>
      </c>
      <c r="K2532" s="8">
        <v>184.78700000000001</v>
      </c>
      <c r="L2532" s="8">
        <v>161.91</v>
      </c>
      <c r="M2532" s="8">
        <v>141.971</v>
      </c>
      <c r="N2532" s="8">
        <v>147.70699999999999</v>
      </c>
      <c r="O2532" s="8">
        <v>149.006</v>
      </c>
      <c r="P2532" s="8">
        <v>127.55200000000001</v>
      </c>
      <c r="Q2532" s="8">
        <v>99.064999999999998</v>
      </c>
      <c r="R2532" s="8">
        <v>84.403999999999996</v>
      </c>
      <c r="S2532" s="8">
        <v>65.033000000000001</v>
      </c>
      <c r="T2532" s="8">
        <v>53.401000000000003</v>
      </c>
      <c r="U2532" s="8">
        <v>43.661999999999999</v>
      </c>
      <c r="V2532" s="8">
        <v>35.1</v>
      </c>
      <c r="W2532" s="8">
        <v>25.462</v>
      </c>
      <c r="X2532" s="8">
        <v>17.196999999999999</v>
      </c>
      <c r="Y2532" s="8">
        <v>11.194000000000001</v>
      </c>
      <c r="Z2532" s="8">
        <v>5.633</v>
      </c>
      <c r="AA2532" s="8">
        <v>2.028</v>
      </c>
      <c r="AB2532" s="8">
        <v>0.44600000000000001</v>
      </c>
      <c r="AC2532" s="8">
        <v>0.05</v>
      </c>
    </row>
    <row r="2533" spans="1:29" ht="11.65" hidden="1" x14ac:dyDescent="0.35">
      <c r="A2533" s="12">
        <v>2516</v>
      </c>
      <c r="B2533" s="10" t="s">
        <v>1015</v>
      </c>
      <c r="C2533" s="11" t="s">
        <v>1191</v>
      </c>
      <c r="D2533" s="9"/>
      <c r="E2533" s="9">
        <v>188</v>
      </c>
      <c r="F2533" s="10" t="s">
        <v>1066</v>
      </c>
      <c r="G2533" s="9">
        <v>916</v>
      </c>
      <c r="H2533" s="9">
        <v>2000</v>
      </c>
      <c r="I2533" s="8">
        <v>193.297</v>
      </c>
      <c r="J2533" s="8">
        <v>203.874</v>
      </c>
      <c r="K2533" s="8">
        <v>206.78399999999999</v>
      </c>
      <c r="L2533" s="8">
        <v>189.887</v>
      </c>
      <c r="M2533" s="8">
        <v>168.464</v>
      </c>
      <c r="N2533" s="8">
        <v>149.179</v>
      </c>
      <c r="O2533" s="8">
        <v>154.202</v>
      </c>
      <c r="P2533" s="8">
        <v>154.26</v>
      </c>
      <c r="Q2533" s="8">
        <v>131.208</v>
      </c>
      <c r="R2533" s="8">
        <v>101.29300000000001</v>
      </c>
      <c r="S2533" s="8">
        <v>84.909000000000006</v>
      </c>
      <c r="T2533" s="8">
        <v>64.575000000000003</v>
      </c>
      <c r="U2533" s="8">
        <v>52.088999999999999</v>
      </c>
      <c r="V2533" s="8">
        <v>41.494999999999997</v>
      </c>
      <c r="W2533" s="8">
        <v>32.084000000000003</v>
      </c>
      <c r="X2533" s="8">
        <v>21.87</v>
      </c>
      <c r="Y2533" s="8">
        <v>13.321</v>
      </c>
      <c r="Z2533" s="8">
        <v>7.3410000000000002</v>
      </c>
      <c r="AA2533" s="8">
        <v>2.8340000000000001</v>
      </c>
      <c r="AB2533" s="8">
        <v>0.67400000000000004</v>
      </c>
      <c r="AC2533" s="8">
        <v>8.2000000000000003E-2</v>
      </c>
    </row>
    <row r="2534" spans="1:29" ht="11.65" hidden="1" x14ac:dyDescent="0.35">
      <c r="A2534" s="12">
        <v>2517</v>
      </c>
      <c r="B2534" s="10" t="s">
        <v>1015</v>
      </c>
      <c r="C2534" s="11" t="s">
        <v>1191</v>
      </c>
      <c r="D2534" s="9"/>
      <c r="E2534" s="9">
        <v>188</v>
      </c>
      <c r="F2534" s="10" t="s">
        <v>1066</v>
      </c>
      <c r="G2534" s="9">
        <v>916</v>
      </c>
      <c r="H2534" s="9">
        <v>2005</v>
      </c>
      <c r="I2534" s="8">
        <v>176.24199999999999</v>
      </c>
      <c r="J2534" s="8">
        <v>193.42699999999999</v>
      </c>
      <c r="K2534" s="8">
        <v>205.16399999999999</v>
      </c>
      <c r="L2534" s="8">
        <v>208.941</v>
      </c>
      <c r="M2534" s="8">
        <v>192.62700000000001</v>
      </c>
      <c r="N2534" s="8">
        <v>171.511</v>
      </c>
      <c r="O2534" s="8">
        <v>151.93700000000001</v>
      </c>
      <c r="P2534" s="8">
        <v>156.31</v>
      </c>
      <c r="Q2534" s="8">
        <v>155.47499999999999</v>
      </c>
      <c r="R2534" s="8">
        <v>131.58600000000001</v>
      </c>
      <c r="S2534" s="8">
        <v>100.83499999999999</v>
      </c>
      <c r="T2534" s="8">
        <v>83.691000000000003</v>
      </c>
      <c r="U2534" s="8">
        <v>62.771999999999998</v>
      </c>
      <c r="V2534" s="8">
        <v>49.529000000000003</v>
      </c>
      <c r="W2534" s="8">
        <v>38.106999999999999</v>
      </c>
      <c r="X2534" s="8">
        <v>27.808</v>
      </c>
      <c r="Y2534" s="8">
        <v>17.181999999999999</v>
      </c>
      <c r="Z2534" s="8">
        <v>8.8960000000000008</v>
      </c>
      <c r="AA2534" s="8">
        <v>3.7829999999999999</v>
      </c>
      <c r="AB2534" s="8">
        <v>0.96799999999999997</v>
      </c>
      <c r="AC2534" s="8">
        <v>0.127</v>
      </c>
    </row>
    <row r="2535" spans="1:29" ht="11.65" hidden="1" x14ac:dyDescent="0.35">
      <c r="A2535" s="12">
        <v>2518</v>
      </c>
      <c r="B2535" s="10" t="s">
        <v>1015</v>
      </c>
      <c r="C2535" s="11" t="s">
        <v>1191</v>
      </c>
      <c r="D2535" s="9"/>
      <c r="E2535" s="9">
        <v>188</v>
      </c>
      <c r="F2535" s="10" t="s">
        <v>1066</v>
      </c>
      <c r="G2535" s="9">
        <v>916</v>
      </c>
      <c r="H2535" s="9">
        <v>2010</v>
      </c>
      <c r="I2535" s="8">
        <v>173.09299999999999</v>
      </c>
      <c r="J2535" s="8">
        <v>176.30500000000001</v>
      </c>
      <c r="K2535" s="8">
        <v>194.286</v>
      </c>
      <c r="L2535" s="8">
        <v>206.57599999999999</v>
      </c>
      <c r="M2535" s="8">
        <v>210.673</v>
      </c>
      <c r="N2535" s="8">
        <v>194.566</v>
      </c>
      <c r="O2535" s="8">
        <v>173.25200000000001</v>
      </c>
      <c r="P2535" s="8">
        <v>153.25299999999999</v>
      </c>
      <c r="Q2535" s="8">
        <v>156.94499999999999</v>
      </c>
      <c r="R2535" s="8">
        <v>155.29599999999999</v>
      </c>
      <c r="S2535" s="8">
        <v>130.62700000000001</v>
      </c>
      <c r="T2535" s="8">
        <v>99.292000000000002</v>
      </c>
      <c r="U2535" s="8">
        <v>81.353999999999999</v>
      </c>
      <c r="V2535" s="8">
        <v>59.82</v>
      </c>
      <c r="W2535" s="8">
        <v>45.715000000000003</v>
      </c>
      <c r="X2535" s="8">
        <v>33.357999999999997</v>
      </c>
      <c r="Y2535" s="8">
        <v>22.175999999999998</v>
      </c>
      <c r="Z2535" s="8">
        <v>11.722</v>
      </c>
      <c r="AA2535" s="8">
        <v>4.7350000000000003</v>
      </c>
      <c r="AB2535" s="8">
        <v>1.3580000000000001</v>
      </c>
      <c r="AC2535" s="8">
        <v>0.19400000000000001</v>
      </c>
    </row>
    <row r="2536" spans="1:29" ht="11.65" hidden="1" x14ac:dyDescent="0.35">
      <c r="A2536" s="12">
        <v>2519</v>
      </c>
      <c r="B2536" s="10" t="s">
        <v>1015</v>
      </c>
      <c r="C2536" s="11" t="s">
        <v>1191</v>
      </c>
      <c r="D2536" s="9"/>
      <c r="E2536" s="9">
        <v>188</v>
      </c>
      <c r="F2536" s="10" t="s">
        <v>1066</v>
      </c>
      <c r="G2536" s="9">
        <v>916</v>
      </c>
      <c r="H2536" s="9">
        <v>2015</v>
      </c>
      <c r="I2536" s="8">
        <v>174.61600000000001</v>
      </c>
      <c r="J2536" s="8">
        <v>173.06100000000001</v>
      </c>
      <c r="K2536" s="8">
        <v>176.80199999999999</v>
      </c>
      <c r="L2536" s="8">
        <v>195.09</v>
      </c>
      <c r="M2536" s="8">
        <v>207.51900000000001</v>
      </c>
      <c r="N2536" s="8">
        <v>211.702</v>
      </c>
      <c r="O2536" s="8">
        <v>195.44900000000001</v>
      </c>
      <c r="P2536" s="8">
        <v>173.82599999999999</v>
      </c>
      <c r="Q2536" s="8">
        <v>153.42400000000001</v>
      </c>
      <c r="R2536" s="8">
        <v>156.46799999999999</v>
      </c>
      <c r="S2536" s="8">
        <v>153.988</v>
      </c>
      <c r="T2536" s="8">
        <v>128.58699999999999</v>
      </c>
      <c r="U2536" s="8">
        <v>96.643000000000001</v>
      </c>
      <c r="V2536" s="8">
        <v>77.78</v>
      </c>
      <c r="W2536" s="8">
        <v>55.567</v>
      </c>
      <c r="X2536" s="8">
        <v>40.475000000000001</v>
      </c>
      <c r="Y2536" s="8">
        <v>27.085000000000001</v>
      </c>
      <c r="Z2536" s="8">
        <v>15.555</v>
      </c>
      <c r="AA2536" s="8">
        <v>6.5170000000000003</v>
      </c>
      <c r="AB2536" s="8">
        <v>1.821</v>
      </c>
      <c r="AC2536" s="8">
        <v>0.3</v>
      </c>
    </row>
    <row r="2537" spans="1:29" ht="11.65" hidden="1" x14ac:dyDescent="0.35">
      <c r="A2537" s="12">
        <v>2520</v>
      </c>
      <c r="B2537" s="10" t="s">
        <v>1015</v>
      </c>
      <c r="C2537" s="11" t="s">
        <v>1191</v>
      </c>
      <c r="D2537" s="9"/>
      <c r="E2537" s="9">
        <v>188</v>
      </c>
      <c r="F2537" s="10" t="s">
        <v>1066</v>
      </c>
      <c r="G2537" s="9">
        <v>916</v>
      </c>
      <c r="H2537" s="9">
        <v>2020</v>
      </c>
      <c r="I2537" s="8">
        <v>169.90299999999999</v>
      </c>
      <c r="J2537" s="8">
        <v>174.63200000000001</v>
      </c>
      <c r="K2537" s="8">
        <v>173.61699999999999</v>
      </c>
      <c r="L2537" s="8">
        <v>177.679</v>
      </c>
      <c r="M2537" s="8">
        <v>196.16800000000001</v>
      </c>
      <c r="N2537" s="8">
        <v>208.62299999999999</v>
      </c>
      <c r="O2537" s="8">
        <v>212.67099999999999</v>
      </c>
      <c r="P2537" s="8">
        <v>196.071</v>
      </c>
      <c r="Q2537" s="8">
        <v>174.005</v>
      </c>
      <c r="R2537" s="8">
        <v>153.1</v>
      </c>
      <c r="S2537" s="8">
        <v>155.30600000000001</v>
      </c>
      <c r="T2537" s="8">
        <v>151.756</v>
      </c>
      <c r="U2537" s="8">
        <v>125.401</v>
      </c>
      <c r="V2537" s="8">
        <v>92.721999999999994</v>
      </c>
      <c r="W2537" s="8">
        <v>72.695999999999998</v>
      </c>
      <c r="X2537" s="8">
        <v>49.691000000000003</v>
      </c>
      <c r="Y2537" s="8">
        <v>33.405000000000001</v>
      </c>
      <c r="Z2537" s="8">
        <v>19.497</v>
      </c>
      <c r="AA2537" s="8">
        <v>9.0039999999999996</v>
      </c>
      <c r="AB2537" s="8">
        <v>2.6629999999999998</v>
      </c>
      <c r="AC2537" s="8">
        <v>0.42799999999999999</v>
      </c>
    </row>
    <row r="2538" spans="1:29" ht="11.65" hidden="1" x14ac:dyDescent="0.35">
      <c r="A2538" s="12">
        <v>2521</v>
      </c>
      <c r="B2538" s="10" t="s">
        <v>1015</v>
      </c>
      <c r="C2538" s="11" t="s">
        <v>1192</v>
      </c>
      <c r="D2538" s="9"/>
      <c r="E2538" s="9">
        <v>222</v>
      </c>
      <c r="F2538" s="10" t="s">
        <v>1066</v>
      </c>
      <c r="G2538" s="9">
        <v>916</v>
      </c>
      <c r="H2538" s="9">
        <v>1950</v>
      </c>
      <c r="I2538" s="8">
        <v>180.79</v>
      </c>
      <c r="J2538" s="8">
        <v>151.51300000000001</v>
      </c>
      <c r="K2538" s="8">
        <v>134.315</v>
      </c>
      <c r="L2538" s="8">
        <v>116.444</v>
      </c>
      <c r="M2538" s="8">
        <v>96.555000000000007</v>
      </c>
      <c r="N2538" s="8">
        <v>84.891000000000005</v>
      </c>
      <c r="O2538" s="8">
        <v>70.611999999999995</v>
      </c>
      <c r="P2538" s="8">
        <v>58.290999999999997</v>
      </c>
      <c r="Q2538" s="8">
        <v>48.667000000000002</v>
      </c>
      <c r="R2538" s="8">
        <v>40.497999999999998</v>
      </c>
      <c r="S2538" s="8">
        <v>33.853999999999999</v>
      </c>
      <c r="T2538" s="8">
        <v>27.984999999999999</v>
      </c>
      <c r="U2538" s="8">
        <v>23.518999999999998</v>
      </c>
      <c r="V2538" s="8">
        <v>18.748999999999999</v>
      </c>
      <c r="W2538" s="8">
        <v>13.792999999999999</v>
      </c>
      <c r="X2538" s="8">
        <v>8.48</v>
      </c>
      <c r="Y2538" s="8">
        <v>3.839</v>
      </c>
      <c r="Z2538" s="8">
        <v>1.2729999999999999</v>
      </c>
      <c r="AA2538" s="8">
        <v>0.314</v>
      </c>
      <c r="AB2538" s="8">
        <v>5.8999999999999997E-2</v>
      </c>
      <c r="AC2538" s="8">
        <v>8.9999999999999993E-3</v>
      </c>
    </row>
    <row r="2539" spans="1:29" ht="11.65" hidden="1" x14ac:dyDescent="0.35">
      <c r="A2539" s="12">
        <v>2522</v>
      </c>
      <c r="B2539" s="10" t="s">
        <v>1015</v>
      </c>
      <c r="C2539" s="11" t="s">
        <v>1192</v>
      </c>
      <c r="D2539" s="9"/>
      <c r="E2539" s="9">
        <v>222</v>
      </c>
      <c r="F2539" s="10" t="s">
        <v>1066</v>
      </c>
      <c r="G2539" s="9">
        <v>916</v>
      </c>
      <c r="H2539" s="9">
        <v>1955</v>
      </c>
      <c r="I2539" s="8">
        <v>220.37299999999999</v>
      </c>
      <c r="J2539" s="8">
        <v>165.82599999999999</v>
      </c>
      <c r="K2539" s="8">
        <v>142.88499999999999</v>
      </c>
      <c r="L2539" s="8">
        <v>126.05500000000001</v>
      </c>
      <c r="M2539" s="8">
        <v>108.718</v>
      </c>
      <c r="N2539" s="8">
        <v>89.694999999999993</v>
      </c>
      <c r="O2539" s="8">
        <v>78.72</v>
      </c>
      <c r="P2539" s="8">
        <v>65.299000000000007</v>
      </c>
      <c r="Q2539" s="8">
        <v>53.984999999999999</v>
      </c>
      <c r="R2539" s="8">
        <v>45.31</v>
      </c>
      <c r="S2539" s="8">
        <v>37.545999999999999</v>
      </c>
      <c r="T2539" s="8">
        <v>30.875</v>
      </c>
      <c r="U2539" s="8">
        <v>24.687999999999999</v>
      </c>
      <c r="V2539" s="8">
        <v>19.548999999999999</v>
      </c>
      <c r="W2539" s="8">
        <v>14.117000000000001</v>
      </c>
      <c r="X2539" s="8">
        <v>8.85</v>
      </c>
      <c r="Y2539" s="8">
        <v>4.2869999999999999</v>
      </c>
      <c r="Z2539" s="8">
        <v>1.3879999999999999</v>
      </c>
      <c r="AA2539" s="8">
        <v>0.29899999999999999</v>
      </c>
      <c r="AB2539" s="8">
        <v>4.3999999999999997E-2</v>
      </c>
      <c r="AC2539" s="8">
        <v>5.0000000000000001E-3</v>
      </c>
    </row>
    <row r="2540" spans="1:29" ht="11.65" hidden="1" x14ac:dyDescent="0.35">
      <c r="A2540" s="12">
        <v>2523</v>
      </c>
      <c r="B2540" s="10" t="s">
        <v>1015</v>
      </c>
      <c r="C2540" s="11" t="s">
        <v>1192</v>
      </c>
      <c r="D2540" s="9"/>
      <c r="E2540" s="9">
        <v>222</v>
      </c>
      <c r="F2540" s="10" t="s">
        <v>1066</v>
      </c>
      <c r="G2540" s="9">
        <v>916</v>
      </c>
      <c r="H2540" s="9">
        <v>1960</v>
      </c>
      <c r="I2540" s="8">
        <v>252.90600000000001</v>
      </c>
      <c r="J2540" s="8">
        <v>204.79</v>
      </c>
      <c r="K2540" s="8">
        <v>160.685</v>
      </c>
      <c r="L2540" s="8">
        <v>137.81899999999999</v>
      </c>
      <c r="M2540" s="8">
        <v>120.29900000000001</v>
      </c>
      <c r="N2540" s="8">
        <v>102.694</v>
      </c>
      <c r="O2540" s="8">
        <v>84.043000000000006</v>
      </c>
      <c r="P2540" s="8">
        <v>73.603999999999999</v>
      </c>
      <c r="Q2540" s="8">
        <v>60.975000000000001</v>
      </c>
      <c r="R2540" s="8">
        <v>50.368000000000002</v>
      </c>
      <c r="S2540" s="8">
        <v>42.085000000000001</v>
      </c>
      <c r="T2540" s="8">
        <v>34.517000000000003</v>
      </c>
      <c r="U2540" s="8">
        <v>27.594000000000001</v>
      </c>
      <c r="V2540" s="8">
        <v>20.902999999999999</v>
      </c>
      <c r="W2540" s="8">
        <v>15.098000000000001</v>
      </c>
      <c r="X2540" s="8">
        <v>9.4090000000000007</v>
      </c>
      <c r="Y2540" s="8">
        <v>4.6909999999999998</v>
      </c>
      <c r="Z2540" s="8">
        <v>1.64</v>
      </c>
      <c r="AA2540" s="8">
        <v>0.34699999999999998</v>
      </c>
      <c r="AB2540" s="8">
        <v>4.3999999999999997E-2</v>
      </c>
      <c r="AC2540" s="8">
        <v>4.0000000000000001E-3</v>
      </c>
    </row>
    <row r="2541" spans="1:29" ht="11.65" hidden="1" x14ac:dyDescent="0.35">
      <c r="A2541" s="12">
        <v>2524</v>
      </c>
      <c r="B2541" s="10" t="s">
        <v>1015</v>
      </c>
      <c r="C2541" s="11" t="s">
        <v>1192</v>
      </c>
      <c r="D2541" s="9"/>
      <c r="E2541" s="9">
        <v>222</v>
      </c>
      <c r="F2541" s="10" t="s">
        <v>1066</v>
      </c>
      <c r="G2541" s="9">
        <v>916</v>
      </c>
      <c r="H2541" s="9">
        <v>1965</v>
      </c>
      <c r="I2541" s="8">
        <v>290.54199999999997</v>
      </c>
      <c r="J2541" s="8">
        <v>237.37</v>
      </c>
      <c r="K2541" s="8">
        <v>201.06700000000001</v>
      </c>
      <c r="L2541" s="8">
        <v>157.13900000000001</v>
      </c>
      <c r="M2541" s="8">
        <v>133.215</v>
      </c>
      <c r="N2541" s="8">
        <v>115.209</v>
      </c>
      <c r="O2541" s="8">
        <v>98.03</v>
      </c>
      <c r="P2541" s="8">
        <v>80.191999999999993</v>
      </c>
      <c r="Q2541" s="8">
        <v>70.227999999999994</v>
      </c>
      <c r="R2541" s="8">
        <v>57.835999999999999</v>
      </c>
      <c r="S2541" s="8">
        <v>47.216999999999999</v>
      </c>
      <c r="T2541" s="8">
        <v>38.850999999999999</v>
      </c>
      <c r="U2541" s="8">
        <v>31.065000000000001</v>
      </c>
      <c r="V2541" s="8">
        <v>23.658999999999999</v>
      </c>
      <c r="W2541" s="8">
        <v>16.466999999999999</v>
      </c>
      <c r="X2541" s="8">
        <v>10.324999999999999</v>
      </c>
      <c r="Y2541" s="8">
        <v>5.1580000000000004</v>
      </c>
      <c r="Z2541" s="8">
        <v>1.8560000000000001</v>
      </c>
      <c r="AA2541" s="8">
        <v>0.42299999999999999</v>
      </c>
      <c r="AB2541" s="8">
        <v>5.1999999999999998E-2</v>
      </c>
      <c r="AC2541" s="8">
        <v>4.0000000000000001E-3</v>
      </c>
    </row>
    <row r="2542" spans="1:29" ht="11.65" hidden="1" x14ac:dyDescent="0.35">
      <c r="A2542" s="12">
        <v>2525</v>
      </c>
      <c r="B2542" s="10" t="s">
        <v>1015</v>
      </c>
      <c r="C2542" s="11" t="s">
        <v>1192</v>
      </c>
      <c r="D2542" s="9"/>
      <c r="E2542" s="9">
        <v>222</v>
      </c>
      <c r="F2542" s="10" t="s">
        <v>1066</v>
      </c>
      <c r="G2542" s="9">
        <v>916</v>
      </c>
      <c r="H2542" s="9">
        <v>1970</v>
      </c>
      <c r="I2542" s="8">
        <v>321.02499999999998</v>
      </c>
      <c r="J2542" s="8">
        <v>275.21499999999997</v>
      </c>
      <c r="K2542" s="8">
        <v>233.64400000000001</v>
      </c>
      <c r="L2542" s="8">
        <v>197.21299999999999</v>
      </c>
      <c r="M2542" s="8">
        <v>152.404</v>
      </c>
      <c r="N2542" s="8">
        <v>127.958</v>
      </c>
      <c r="O2542" s="8">
        <v>109.75</v>
      </c>
      <c r="P2542" s="8">
        <v>92.629000000000005</v>
      </c>
      <c r="Q2542" s="8">
        <v>75.188000000000002</v>
      </c>
      <c r="R2542" s="8">
        <v>65.572000000000003</v>
      </c>
      <c r="S2542" s="8">
        <v>53.564999999999998</v>
      </c>
      <c r="T2542" s="8">
        <v>43.23</v>
      </c>
      <c r="U2542" s="8">
        <v>34.796999999999997</v>
      </c>
      <c r="V2542" s="8">
        <v>26.66</v>
      </c>
      <c r="W2542" s="8">
        <v>18.811</v>
      </c>
      <c r="X2542" s="8">
        <v>11.452999999999999</v>
      </c>
      <c r="Y2542" s="8">
        <v>5.7590000000000003</v>
      </c>
      <c r="Z2542" s="8">
        <v>2.0790000000000002</v>
      </c>
      <c r="AA2542" s="8">
        <v>0.48499999999999999</v>
      </c>
      <c r="AB2542" s="8">
        <v>6.4000000000000001E-2</v>
      </c>
      <c r="AC2542" s="8">
        <v>5.0000000000000001E-3</v>
      </c>
    </row>
    <row r="2543" spans="1:29" ht="11.65" hidden="1" x14ac:dyDescent="0.35">
      <c r="A2543" s="12">
        <v>2526</v>
      </c>
      <c r="B2543" s="10" t="s">
        <v>1015</v>
      </c>
      <c r="C2543" s="11" t="s">
        <v>1192</v>
      </c>
      <c r="D2543" s="9"/>
      <c r="E2543" s="9">
        <v>222</v>
      </c>
      <c r="F2543" s="10" t="s">
        <v>1066</v>
      </c>
      <c r="G2543" s="9">
        <v>916</v>
      </c>
      <c r="H2543" s="9">
        <v>1975</v>
      </c>
      <c r="I2543" s="8">
        <v>352.10399999999998</v>
      </c>
      <c r="J2543" s="8">
        <v>304.93599999999998</v>
      </c>
      <c r="K2543" s="8">
        <v>266.55200000000002</v>
      </c>
      <c r="L2543" s="8">
        <v>222.64500000000001</v>
      </c>
      <c r="M2543" s="8">
        <v>186.15299999999999</v>
      </c>
      <c r="N2543" s="8">
        <v>144.26900000000001</v>
      </c>
      <c r="O2543" s="8">
        <v>122.962</v>
      </c>
      <c r="P2543" s="8">
        <v>106.179</v>
      </c>
      <c r="Q2543" s="8">
        <v>89.522999999999996</v>
      </c>
      <c r="R2543" s="8">
        <v>72.358999999999995</v>
      </c>
      <c r="S2543" s="8">
        <v>62.521000000000001</v>
      </c>
      <c r="T2543" s="8">
        <v>50.274000000000001</v>
      </c>
      <c r="U2543" s="8">
        <v>39.58</v>
      </c>
      <c r="V2543" s="8">
        <v>30.507999999999999</v>
      </c>
      <c r="W2543" s="8">
        <v>21.664999999999999</v>
      </c>
      <c r="X2543" s="8">
        <v>13.436999999999999</v>
      </c>
      <c r="Y2543" s="8">
        <v>6.609</v>
      </c>
      <c r="Z2543" s="8">
        <v>2.4220000000000002</v>
      </c>
      <c r="AA2543" s="8">
        <v>0.56799999999999995</v>
      </c>
      <c r="AB2543" s="8">
        <v>7.8E-2</v>
      </c>
      <c r="AC2543" s="8">
        <v>6.0000000000000001E-3</v>
      </c>
    </row>
    <row r="2544" spans="1:29" ht="11.65" hidden="1" x14ac:dyDescent="0.35">
      <c r="A2544" s="12">
        <v>2527</v>
      </c>
      <c r="B2544" s="10" t="s">
        <v>1015</v>
      </c>
      <c r="C2544" s="11" t="s">
        <v>1192</v>
      </c>
      <c r="D2544" s="9"/>
      <c r="E2544" s="9">
        <v>222</v>
      </c>
      <c r="F2544" s="10" t="s">
        <v>1066</v>
      </c>
      <c r="G2544" s="9">
        <v>916</v>
      </c>
      <c r="H2544" s="9">
        <v>1980</v>
      </c>
      <c r="I2544" s="8">
        <v>375.44799999999998</v>
      </c>
      <c r="J2544" s="8">
        <v>333.84500000000003</v>
      </c>
      <c r="K2544" s="8">
        <v>289.21100000000001</v>
      </c>
      <c r="L2544" s="8">
        <v>246.28</v>
      </c>
      <c r="M2544" s="8">
        <v>203.94499999999999</v>
      </c>
      <c r="N2544" s="8">
        <v>172.774</v>
      </c>
      <c r="O2544" s="8">
        <v>136.92099999999999</v>
      </c>
      <c r="P2544" s="8">
        <v>118.66</v>
      </c>
      <c r="Q2544" s="8">
        <v>102.673</v>
      </c>
      <c r="R2544" s="8">
        <v>86.153999999999996</v>
      </c>
      <c r="S2544" s="8">
        <v>68.879000000000005</v>
      </c>
      <c r="T2544" s="8">
        <v>58.645000000000003</v>
      </c>
      <c r="U2544" s="8">
        <v>46.186999999999998</v>
      </c>
      <c r="V2544" s="8">
        <v>35.164999999999999</v>
      </c>
      <c r="W2544" s="8">
        <v>25.481000000000002</v>
      </c>
      <c r="X2544" s="8">
        <v>16.134</v>
      </c>
      <c r="Y2544" s="8">
        <v>8.2409999999999997</v>
      </c>
      <c r="Z2544" s="8">
        <v>3.0049999999999999</v>
      </c>
      <c r="AA2544" s="8">
        <v>0.73099999999999998</v>
      </c>
      <c r="AB2544" s="8">
        <v>0.10199999999999999</v>
      </c>
      <c r="AC2544" s="8">
        <v>7.0000000000000001E-3</v>
      </c>
    </row>
    <row r="2545" spans="1:29" ht="11.65" hidden="1" x14ac:dyDescent="0.35">
      <c r="A2545" s="12">
        <v>2528</v>
      </c>
      <c r="B2545" s="10" t="s">
        <v>1015</v>
      </c>
      <c r="C2545" s="11" t="s">
        <v>1192</v>
      </c>
      <c r="D2545" s="9"/>
      <c r="E2545" s="9">
        <v>222</v>
      </c>
      <c r="F2545" s="10" t="s">
        <v>1066</v>
      </c>
      <c r="G2545" s="9">
        <v>916</v>
      </c>
      <c r="H2545" s="9">
        <v>1985</v>
      </c>
      <c r="I2545" s="8">
        <v>371.084</v>
      </c>
      <c r="J2545" s="8">
        <v>353.58</v>
      </c>
      <c r="K2545" s="8">
        <v>314.05799999999999</v>
      </c>
      <c r="L2545" s="8">
        <v>265.71100000000001</v>
      </c>
      <c r="M2545" s="8">
        <v>223.01599999999999</v>
      </c>
      <c r="N2545" s="8">
        <v>185.39</v>
      </c>
      <c r="O2545" s="8">
        <v>160.41399999999999</v>
      </c>
      <c r="P2545" s="8">
        <v>129.01499999999999</v>
      </c>
      <c r="Q2545" s="8">
        <v>112.72</v>
      </c>
      <c r="R2545" s="8">
        <v>97.82</v>
      </c>
      <c r="S2545" s="8">
        <v>81.686000000000007</v>
      </c>
      <c r="T2545" s="8">
        <v>64.382999999999996</v>
      </c>
      <c r="U2545" s="8">
        <v>53.689</v>
      </c>
      <c r="V2545" s="8">
        <v>41.09</v>
      </c>
      <c r="W2545" s="8">
        <v>29.739000000000001</v>
      </c>
      <c r="X2545" s="8">
        <v>19.501999999999999</v>
      </c>
      <c r="Y2545" s="8">
        <v>10.271000000000001</v>
      </c>
      <c r="Z2545" s="8">
        <v>3.9159999999999999</v>
      </c>
      <c r="AA2545" s="8">
        <v>0.94699999999999995</v>
      </c>
      <c r="AB2545" s="8">
        <v>0.13700000000000001</v>
      </c>
      <c r="AC2545" s="8">
        <v>0.01</v>
      </c>
    </row>
    <row r="2546" spans="1:29" ht="11.65" hidden="1" x14ac:dyDescent="0.35">
      <c r="A2546" s="12">
        <v>2529</v>
      </c>
      <c r="B2546" s="10" t="s">
        <v>1015</v>
      </c>
      <c r="C2546" s="11" t="s">
        <v>1192</v>
      </c>
      <c r="D2546" s="9"/>
      <c r="E2546" s="9">
        <v>222</v>
      </c>
      <c r="F2546" s="10" t="s">
        <v>1066</v>
      </c>
      <c r="G2546" s="9">
        <v>916</v>
      </c>
      <c r="H2546" s="9">
        <v>1990</v>
      </c>
      <c r="I2546" s="8">
        <v>367.37799999999999</v>
      </c>
      <c r="J2546" s="8">
        <v>346.99599999999998</v>
      </c>
      <c r="K2546" s="8">
        <v>327.459</v>
      </c>
      <c r="L2546" s="8">
        <v>287.34300000000002</v>
      </c>
      <c r="M2546" s="8">
        <v>242.92500000000001</v>
      </c>
      <c r="N2546" s="8">
        <v>207.529</v>
      </c>
      <c r="O2546" s="8">
        <v>175.32599999999999</v>
      </c>
      <c r="P2546" s="8">
        <v>153.27099999999999</v>
      </c>
      <c r="Q2546" s="8">
        <v>123.867</v>
      </c>
      <c r="R2546" s="8">
        <v>108.71599999999999</v>
      </c>
      <c r="S2546" s="8">
        <v>94.09</v>
      </c>
      <c r="T2546" s="8">
        <v>77.655000000000001</v>
      </c>
      <c r="U2546" s="8">
        <v>60.048999999999999</v>
      </c>
      <c r="V2546" s="8">
        <v>48.704999999999998</v>
      </c>
      <c r="W2546" s="8">
        <v>35.433</v>
      </c>
      <c r="X2546" s="8">
        <v>23.192</v>
      </c>
      <c r="Y2546" s="8">
        <v>12.689</v>
      </c>
      <c r="Z2546" s="8">
        <v>5.0129999999999999</v>
      </c>
      <c r="AA2546" s="8">
        <v>1.2709999999999999</v>
      </c>
      <c r="AB2546" s="8">
        <v>0.18</v>
      </c>
      <c r="AC2546" s="8">
        <v>1.2999999999999999E-2</v>
      </c>
    </row>
    <row r="2547" spans="1:29" ht="11.65" hidden="1" x14ac:dyDescent="0.35">
      <c r="A2547" s="12">
        <v>2530</v>
      </c>
      <c r="B2547" s="10" t="s">
        <v>1015</v>
      </c>
      <c r="C2547" s="11" t="s">
        <v>1192</v>
      </c>
      <c r="D2547" s="9"/>
      <c r="E2547" s="9">
        <v>222</v>
      </c>
      <c r="F2547" s="10" t="s">
        <v>1066</v>
      </c>
      <c r="G2547" s="9">
        <v>916</v>
      </c>
      <c r="H2547" s="9">
        <v>1995</v>
      </c>
      <c r="I2547" s="8">
        <v>380.68299999999999</v>
      </c>
      <c r="J2547" s="8">
        <v>347.63299999999998</v>
      </c>
      <c r="K2547" s="8">
        <v>320.00700000000001</v>
      </c>
      <c r="L2547" s="8">
        <v>297.387</v>
      </c>
      <c r="M2547" s="8">
        <v>261.59199999999998</v>
      </c>
      <c r="N2547" s="8">
        <v>228.22499999999999</v>
      </c>
      <c r="O2547" s="8">
        <v>200.13200000000001</v>
      </c>
      <c r="P2547" s="8">
        <v>171.10900000000001</v>
      </c>
      <c r="Q2547" s="8">
        <v>150.465</v>
      </c>
      <c r="R2547" s="8">
        <v>121.52500000000001</v>
      </c>
      <c r="S2547" s="8">
        <v>105.84399999999999</v>
      </c>
      <c r="T2547" s="8">
        <v>90.322000000000003</v>
      </c>
      <c r="U2547" s="8">
        <v>73.096000000000004</v>
      </c>
      <c r="V2547" s="8">
        <v>54.945999999999998</v>
      </c>
      <c r="W2547" s="8">
        <v>42.371000000000002</v>
      </c>
      <c r="X2547" s="8">
        <v>27.911000000000001</v>
      </c>
      <c r="Y2547" s="8">
        <v>15.260999999999999</v>
      </c>
      <c r="Z2547" s="8">
        <v>6.2549999999999999</v>
      </c>
      <c r="AA2547" s="8">
        <v>1.629</v>
      </c>
      <c r="AB2547" s="8">
        <v>0.23799999999999999</v>
      </c>
      <c r="AC2547" s="8">
        <v>1.7999999999999999E-2</v>
      </c>
    </row>
    <row r="2548" spans="1:29" ht="11.65" hidden="1" x14ac:dyDescent="0.35">
      <c r="A2548" s="12">
        <v>2531</v>
      </c>
      <c r="B2548" s="10" t="s">
        <v>1015</v>
      </c>
      <c r="C2548" s="11" t="s">
        <v>1192</v>
      </c>
      <c r="D2548" s="9"/>
      <c r="E2548" s="9">
        <v>222</v>
      </c>
      <c r="F2548" s="10" t="s">
        <v>1066</v>
      </c>
      <c r="G2548" s="9">
        <v>916</v>
      </c>
      <c r="H2548" s="9">
        <v>2000</v>
      </c>
      <c r="I2548" s="8">
        <v>368.07100000000003</v>
      </c>
      <c r="J2548" s="8">
        <v>365.358</v>
      </c>
      <c r="K2548" s="8">
        <v>325.77800000000002</v>
      </c>
      <c r="L2548" s="8">
        <v>293.42200000000003</v>
      </c>
      <c r="M2548" s="8">
        <v>271.84800000000001</v>
      </c>
      <c r="N2548" s="8">
        <v>242.37299999999999</v>
      </c>
      <c r="O2548" s="8">
        <v>214.09200000000001</v>
      </c>
      <c r="P2548" s="8">
        <v>189.20500000000001</v>
      </c>
      <c r="Q2548" s="8">
        <v>162.142</v>
      </c>
      <c r="R2548" s="8">
        <v>143.03399999999999</v>
      </c>
      <c r="S2548" s="8">
        <v>115.307</v>
      </c>
      <c r="T2548" s="8">
        <v>99.850999999999999</v>
      </c>
      <c r="U2548" s="8">
        <v>84.084999999999994</v>
      </c>
      <c r="V2548" s="8">
        <v>66.459999999999994</v>
      </c>
      <c r="W2548" s="8">
        <v>47.804000000000002</v>
      </c>
      <c r="X2548" s="8">
        <v>33.767000000000003</v>
      </c>
      <c r="Y2548" s="8">
        <v>18.838000000000001</v>
      </c>
      <c r="Z2548" s="8">
        <v>7.81</v>
      </c>
      <c r="AA2548" s="8">
        <v>2.1429999999999998</v>
      </c>
      <c r="AB2548" s="8">
        <v>0.32400000000000001</v>
      </c>
      <c r="AC2548" s="8">
        <v>2.5999999999999999E-2</v>
      </c>
    </row>
    <row r="2549" spans="1:29" ht="11.65" hidden="1" x14ac:dyDescent="0.35">
      <c r="A2549" s="12">
        <v>2532</v>
      </c>
      <c r="B2549" s="10" t="s">
        <v>1015</v>
      </c>
      <c r="C2549" s="11" t="s">
        <v>1192</v>
      </c>
      <c r="D2549" s="9"/>
      <c r="E2549" s="9">
        <v>222</v>
      </c>
      <c r="F2549" s="10" t="s">
        <v>1066</v>
      </c>
      <c r="G2549" s="9">
        <v>916</v>
      </c>
      <c r="H2549" s="9">
        <v>2005</v>
      </c>
      <c r="I2549" s="8">
        <v>319.483</v>
      </c>
      <c r="J2549" s="8">
        <v>358.97</v>
      </c>
      <c r="K2549" s="8">
        <v>353.57299999999998</v>
      </c>
      <c r="L2549" s="8">
        <v>307.35399999999998</v>
      </c>
      <c r="M2549" s="8">
        <v>271.62900000000002</v>
      </c>
      <c r="N2549" s="8">
        <v>251.804</v>
      </c>
      <c r="O2549" s="8">
        <v>226.13800000000001</v>
      </c>
      <c r="P2549" s="8">
        <v>201.21199999999999</v>
      </c>
      <c r="Q2549" s="8">
        <v>177.93100000000001</v>
      </c>
      <c r="R2549" s="8">
        <v>152.297</v>
      </c>
      <c r="S2549" s="8">
        <v>134.352</v>
      </c>
      <c r="T2549" s="8">
        <v>107.352</v>
      </c>
      <c r="U2549" s="8">
        <v>91.742000000000004</v>
      </c>
      <c r="V2549" s="8">
        <v>75.566999999999993</v>
      </c>
      <c r="W2549" s="8">
        <v>57.746000000000002</v>
      </c>
      <c r="X2549" s="8">
        <v>38.811999999999998</v>
      </c>
      <c r="Y2549" s="8">
        <v>23.763999999999999</v>
      </c>
      <c r="Z2549" s="8">
        <v>10.347</v>
      </c>
      <c r="AA2549" s="8">
        <v>2.9649999999999999</v>
      </c>
      <c r="AB2549" s="8">
        <v>0.496</v>
      </c>
      <c r="AC2549" s="8">
        <v>3.9E-2</v>
      </c>
    </row>
    <row r="2550" spans="1:29" ht="11.65" hidden="1" x14ac:dyDescent="0.35">
      <c r="A2550" s="12">
        <v>2533</v>
      </c>
      <c r="B2550" s="10" t="s">
        <v>1015</v>
      </c>
      <c r="C2550" s="11" t="s">
        <v>1192</v>
      </c>
      <c r="D2550" s="9"/>
      <c r="E2550" s="9">
        <v>222</v>
      </c>
      <c r="F2550" s="10" t="s">
        <v>1066</v>
      </c>
      <c r="G2550" s="9">
        <v>916</v>
      </c>
      <c r="H2550" s="9">
        <v>2010</v>
      </c>
      <c r="I2550" s="8">
        <v>296.65699999999998</v>
      </c>
      <c r="J2550" s="8">
        <v>311.55500000000001</v>
      </c>
      <c r="K2550" s="8">
        <v>350.12099999999998</v>
      </c>
      <c r="L2550" s="8">
        <v>336.84899999999999</v>
      </c>
      <c r="M2550" s="8">
        <v>286.89600000000002</v>
      </c>
      <c r="N2550" s="8">
        <v>252.69200000000001</v>
      </c>
      <c r="O2550" s="8">
        <v>236.43700000000001</v>
      </c>
      <c r="P2550" s="8">
        <v>214.16200000000001</v>
      </c>
      <c r="Q2550" s="8">
        <v>190.36699999999999</v>
      </c>
      <c r="R2550" s="8">
        <v>168.29599999999999</v>
      </c>
      <c r="S2550" s="8">
        <v>143.88200000000001</v>
      </c>
      <c r="T2550" s="8">
        <v>126.145</v>
      </c>
      <c r="U2550" s="8">
        <v>99.248999999999995</v>
      </c>
      <c r="V2550" s="8">
        <v>82.966999999999999</v>
      </c>
      <c r="W2550" s="8">
        <v>66.444999999999993</v>
      </c>
      <c r="X2550" s="8">
        <v>47.829000000000001</v>
      </c>
      <c r="Y2550" s="8">
        <v>28.146000000000001</v>
      </c>
      <c r="Z2550" s="8">
        <v>13.675000000000001</v>
      </c>
      <c r="AA2550" s="8">
        <v>4.2119999999999997</v>
      </c>
      <c r="AB2550" s="8">
        <v>0.751</v>
      </c>
      <c r="AC2550" s="8">
        <v>6.5000000000000002E-2</v>
      </c>
    </row>
    <row r="2551" spans="1:29" ht="11.65" hidden="1" x14ac:dyDescent="0.35">
      <c r="A2551" s="12">
        <v>2534</v>
      </c>
      <c r="B2551" s="10" t="s">
        <v>1015</v>
      </c>
      <c r="C2551" s="11" t="s">
        <v>1192</v>
      </c>
      <c r="D2551" s="9"/>
      <c r="E2551" s="9">
        <v>222</v>
      </c>
      <c r="F2551" s="10" t="s">
        <v>1066</v>
      </c>
      <c r="G2551" s="9">
        <v>916</v>
      </c>
      <c r="H2551" s="9">
        <v>2015</v>
      </c>
      <c r="I2551" s="8">
        <v>284.5</v>
      </c>
      <c r="J2551" s="8">
        <v>289.67899999999997</v>
      </c>
      <c r="K2551" s="8">
        <v>303.83600000000001</v>
      </c>
      <c r="L2551" s="8">
        <v>336.56799999999998</v>
      </c>
      <c r="M2551" s="8">
        <v>320.47000000000003</v>
      </c>
      <c r="N2551" s="8">
        <v>271.40300000000002</v>
      </c>
      <c r="O2551" s="8">
        <v>239.453</v>
      </c>
      <c r="P2551" s="8">
        <v>225.53100000000001</v>
      </c>
      <c r="Q2551" s="8">
        <v>204.114</v>
      </c>
      <c r="R2551" s="8">
        <v>181.34</v>
      </c>
      <c r="S2551" s="8">
        <v>160.15899999999999</v>
      </c>
      <c r="T2551" s="8">
        <v>135.96299999999999</v>
      </c>
      <c r="U2551" s="8">
        <v>117.771</v>
      </c>
      <c r="V2551" s="8">
        <v>90.602999999999994</v>
      </c>
      <c r="W2551" s="8">
        <v>73.766999999999996</v>
      </c>
      <c r="X2551" s="8">
        <v>55.933</v>
      </c>
      <c r="Y2551" s="8">
        <v>35.658000000000001</v>
      </c>
      <c r="Z2551" s="8">
        <v>16.936</v>
      </c>
      <c r="AA2551" s="8">
        <v>5.9420000000000002</v>
      </c>
      <c r="AB2551" s="8">
        <v>1.157</v>
      </c>
      <c r="AC2551" s="8">
        <v>0.109</v>
      </c>
    </row>
    <row r="2552" spans="1:29" ht="11.65" hidden="1" x14ac:dyDescent="0.35">
      <c r="A2552" s="12">
        <v>2535</v>
      </c>
      <c r="B2552" s="10" t="s">
        <v>1015</v>
      </c>
      <c r="C2552" s="11" t="s">
        <v>1192</v>
      </c>
      <c r="D2552" s="9"/>
      <c r="E2552" s="9">
        <v>222</v>
      </c>
      <c r="F2552" s="10" t="s">
        <v>1066</v>
      </c>
      <c r="G2552" s="9">
        <v>916</v>
      </c>
      <c r="H2552" s="9">
        <v>2020</v>
      </c>
      <c r="I2552" s="8">
        <v>281.36</v>
      </c>
      <c r="J2552" s="8">
        <v>278.57100000000003</v>
      </c>
      <c r="K2552" s="8">
        <v>282.959</v>
      </c>
      <c r="L2552" s="8">
        <v>292.08300000000003</v>
      </c>
      <c r="M2552" s="8">
        <v>322.23599999999999</v>
      </c>
      <c r="N2552" s="8">
        <v>306.82600000000002</v>
      </c>
      <c r="O2552" s="8">
        <v>259.84500000000003</v>
      </c>
      <c r="P2552" s="8">
        <v>230.00899999999999</v>
      </c>
      <c r="Q2552" s="8">
        <v>216.71100000000001</v>
      </c>
      <c r="R2552" s="8">
        <v>196.05</v>
      </c>
      <c r="S2552" s="8">
        <v>173.922</v>
      </c>
      <c r="T2552" s="8">
        <v>152.68700000000001</v>
      </c>
      <c r="U2552" s="8">
        <v>128.07400000000001</v>
      </c>
      <c r="V2552" s="8">
        <v>108.836</v>
      </c>
      <c r="W2552" s="8">
        <v>81.497</v>
      </c>
      <c r="X2552" s="8">
        <v>63.097000000000001</v>
      </c>
      <c r="Y2552" s="8">
        <v>42.857999999999997</v>
      </c>
      <c r="Z2552" s="8">
        <v>22.372</v>
      </c>
      <c r="AA2552" s="8">
        <v>7.8390000000000004</v>
      </c>
      <c r="AB2552" s="8">
        <v>1.762</v>
      </c>
      <c r="AC2552" s="8">
        <v>0.183</v>
      </c>
    </row>
    <row r="2553" spans="1:29" ht="11.65" hidden="1" x14ac:dyDescent="0.35">
      <c r="A2553" s="12">
        <v>2536</v>
      </c>
      <c r="B2553" s="10" t="s">
        <v>1015</v>
      </c>
      <c r="C2553" s="11" t="s">
        <v>1193</v>
      </c>
      <c r="D2553" s="9"/>
      <c r="E2553" s="9">
        <v>320</v>
      </c>
      <c r="F2553" s="10" t="s">
        <v>1066</v>
      </c>
      <c r="G2553" s="9">
        <v>916</v>
      </c>
      <c r="H2553" s="9">
        <v>1950</v>
      </c>
      <c r="I2553" s="8">
        <v>268.66199999999998</v>
      </c>
      <c r="J2553" s="8">
        <v>207.12100000000001</v>
      </c>
      <c r="K2553" s="8">
        <v>181.797</v>
      </c>
      <c r="L2553" s="8">
        <v>167.227</v>
      </c>
      <c r="M2553" s="8">
        <v>149.69399999999999</v>
      </c>
      <c r="N2553" s="8">
        <v>121.67100000000001</v>
      </c>
      <c r="O2553" s="8">
        <v>94.956999999999994</v>
      </c>
      <c r="P2553" s="8">
        <v>79.364999999999995</v>
      </c>
      <c r="Q2553" s="8">
        <v>64.335999999999999</v>
      </c>
      <c r="R2553" s="8">
        <v>57.854999999999997</v>
      </c>
      <c r="S2553" s="8">
        <v>46.491999999999997</v>
      </c>
      <c r="T2553" s="8">
        <v>35.073</v>
      </c>
      <c r="U2553" s="8">
        <v>27.009</v>
      </c>
      <c r="V2553" s="8">
        <v>18.234999999999999</v>
      </c>
      <c r="W2553" s="8">
        <v>11.74</v>
      </c>
      <c r="X2553" s="8">
        <v>6.1550000000000002</v>
      </c>
      <c r="Y2553" s="8">
        <v>2.5209999999999999</v>
      </c>
      <c r="Z2553" s="8">
        <v>0.98299999999999998</v>
      </c>
      <c r="AA2553" s="8">
        <v>0.51900000000000002</v>
      </c>
      <c r="AB2553" s="8">
        <v>0.48399999999999999</v>
      </c>
      <c r="AC2553" s="8">
        <v>0.25600000000000001</v>
      </c>
    </row>
    <row r="2554" spans="1:29" ht="11.65" hidden="1" x14ac:dyDescent="0.35">
      <c r="A2554" s="12">
        <v>2537</v>
      </c>
      <c r="B2554" s="10" t="s">
        <v>1015</v>
      </c>
      <c r="C2554" s="11" t="s">
        <v>1193</v>
      </c>
      <c r="D2554" s="9"/>
      <c r="E2554" s="9">
        <v>320</v>
      </c>
      <c r="F2554" s="10" t="s">
        <v>1066</v>
      </c>
      <c r="G2554" s="9">
        <v>916</v>
      </c>
      <c r="H2554" s="9">
        <v>1955</v>
      </c>
      <c r="I2554" s="8">
        <v>350.02300000000002</v>
      </c>
      <c r="J2554" s="8">
        <v>243.62299999999999</v>
      </c>
      <c r="K2554" s="8">
        <v>200.904</v>
      </c>
      <c r="L2554" s="8">
        <v>177.22</v>
      </c>
      <c r="M2554" s="8">
        <v>161.56200000000001</v>
      </c>
      <c r="N2554" s="8">
        <v>143.381</v>
      </c>
      <c r="O2554" s="8">
        <v>115.908</v>
      </c>
      <c r="P2554" s="8">
        <v>90.09</v>
      </c>
      <c r="Q2554" s="8">
        <v>74.941000000000003</v>
      </c>
      <c r="R2554" s="8">
        <v>60.222999999999999</v>
      </c>
      <c r="S2554" s="8">
        <v>53.37</v>
      </c>
      <c r="T2554" s="8">
        <v>41.872</v>
      </c>
      <c r="U2554" s="8">
        <v>30.327999999999999</v>
      </c>
      <c r="V2554" s="8">
        <v>21.942</v>
      </c>
      <c r="W2554" s="8">
        <v>13.760999999999999</v>
      </c>
      <c r="X2554" s="8">
        <v>7.71</v>
      </c>
      <c r="Y2554" s="8">
        <v>3.2229999999999999</v>
      </c>
      <c r="Z2554" s="8">
        <v>0.96199999999999997</v>
      </c>
      <c r="AA2554" s="8">
        <v>0.25</v>
      </c>
      <c r="AB2554" s="8">
        <v>8.2000000000000003E-2</v>
      </c>
      <c r="AC2554" s="8">
        <v>6.3E-2</v>
      </c>
    </row>
    <row r="2555" spans="1:29" ht="11.65" hidden="1" x14ac:dyDescent="0.35">
      <c r="A2555" s="12">
        <v>2538</v>
      </c>
      <c r="B2555" s="10" t="s">
        <v>1015</v>
      </c>
      <c r="C2555" s="11" t="s">
        <v>1193</v>
      </c>
      <c r="D2555" s="9"/>
      <c r="E2555" s="9">
        <v>320</v>
      </c>
      <c r="F2555" s="10" t="s">
        <v>1066</v>
      </c>
      <c r="G2555" s="9">
        <v>916</v>
      </c>
      <c r="H2555" s="9">
        <v>1960</v>
      </c>
      <c r="I2555" s="8">
        <v>394.25200000000001</v>
      </c>
      <c r="J2555" s="8">
        <v>319.03100000000001</v>
      </c>
      <c r="K2555" s="8">
        <v>236.98500000000001</v>
      </c>
      <c r="L2555" s="8">
        <v>196.64699999999999</v>
      </c>
      <c r="M2555" s="8">
        <v>172.149</v>
      </c>
      <c r="N2555" s="8">
        <v>155.762</v>
      </c>
      <c r="O2555" s="8">
        <v>137.63800000000001</v>
      </c>
      <c r="P2555" s="8">
        <v>110.90300000000001</v>
      </c>
      <c r="Q2555" s="8">
        <v>85.841999999999999</v>
      </c>
      <c r="R2555" s="8">
        <v>70.825999999999993</v>
      </c>
      <c r="S2555" s="8">
        <v>56.119</v>
      </c>
      <c r="T2555" s="8">
        <v>48.615000000000002</v>
      </c>
      <c r="U2555" s="8">
        <v>36.726999999999997</v>
      </c>
      <c r="V2555" s="8">
        <v>25.120999999999999</v>
      </c>
      <c r="W2555" s="8">
        <v>16.981999999999999</v>
      </c>
      <c r="X2555" s="8">
        <v>9.3580000000000005</v>
      </c>
      <c r="Y2555" s="8">
        <v>4.2380000000000004</v>
      </c>
      <c r="Z2555" s="8">
        <v>1.3129999999999999</v>
      </c>
      <c r="AA2555" s="8">
        <v>0.26600000000000001</v>
      </c>
      <c r="AB2555" s="8">
        <v>4.2999999999999997E-2</v>
      </c>
      <c r="AC2555" s="8">
        <v>1.2999999999999999E-2</v>
      </c>
    </row>
    <row r="2556" spans="1:29" ht="11.65" hidden="1" x14ac:dyDescent="0.35">
      <c r="A2556" s="12">
        <v>2539</v>
      </c>
      <c r="B2556" s="10" t="s">
        <v>1015</v>
      </c>
      <c r="C2556" s="11" t="s">
        <v>1193</v>
      </c>
      <c r="D2556" s="9"/>
      <c r="E2556" s="9">
        <v>320</v>
      </c>
      <c r="F2556" s="10" t="s">
        <v>1066</v>
      </c>
      <c r="G2556" s="9">
        <v>916</v>
      </c>
      <c r="H2556" s="9">
        <v>1965</v>
      </c>
      <c r="I2556" s="8">
        <v>438.60500000000002</v>
      </c>
      <c r="J2556" s="8">
        <v>362.42500000000001</v>
      </c>
      <c r="K2556" s="8">
        <v>311.077</v>
      </c>
      <c r="L2556" s="8">
        <v>232.53399999999999</v>
      </c>
      <c r="M2556" s="8">
        <v>191.52</v>
      </c>
      <c r="N2556" s="8">
        <v>166.37100000000001</v>
      </c>
      <c r="O2556" s="8">
        <v>150.22999999999999</v>
      </c>
      <c r="P2556" s="8">
        <v>132.446</v>
      </c>
      <c r="Q2556" s="8">
        <v>106.36499999999999</v>
      </c>
      <c r="R2556" s="8">
        <v>81.661000000000001</v>
      </c>
      <c r="S2556" s="8">
        <v>66.450999999999993</v>
      </c>
      <c r="T2556" s="8">
        <v>51.478000000000002</v>
      </c>
      <c r="U2556" s="8">
        <v>42.997999999999998</v>
      </c>
      <c r="V2556" s="8">
        <v>30.751000000000001</v>
      </c>
      <c r="W2556" s="8">
        <v>19.718</v>
      </c>
      <c r="X2556" s="8">
        <v>11.754</v>
      </c>
      <c r="Y2556" s="8">
        <v>5.2619999999999996</v>
      </c>
      <c r="Z2556" s="8">
        <v>1.768</v>
      </c>
      <c r="AA2556" s="8">
        <v>0.371</v>
      </c>
      <c r="AB2556" s="8">
        <v>4.4999999999999998E-2</v>
      </c>
      <c r="AC2556" s="8">
        <v>5.0000000000000001E-3</v>
      </c>
    </row>
    <row r="2557" spans="1:29" ht="11.65" hidden="1" x14ac:dyDescent="0.35">
      <c r="A2557" s="12">
        <v>2540</v>
      </c>
      <c r="B2557" s="10" t="s">
        <v>1015</v>
      </c>
      <c r="C2557" s="11" t="s">
        <v>1193</v>
      </c>
      <c r="D2557" s="9"/>
      <c r="E2557" s="9">
        <v>320</v>
      </c>
      <c r="F2557" s="10" t="s">
        <v>1066</v>
      </c>
      <c r="G2557" s="9">
        <v>916</v>
      </c>
      <c r="H2557" s="9">
        <v>1970</v>
      </c>
      <c r="I2557" s="8">
        <v>500.86200000000002</v>
      </c>
      <c r="J2557" s="8">
        <v>406.678</v>
      </c>
      <c r="K2557" s="8">
        <v>353.70699999999999</v>
      </c>
      <c r="L2557" s="8">
        <v>304.77699999999999</v>
      </c>
      <c r="M2557" s="8">
        <v>224.91</v>
      </c>
      <c r="N2557" s="8">
        <v>183.96799999999999</v>
      </c>
      <c r="O2557" s="8">
        <v>160.01499999999999</v>
      </c>
      <c r="P2557" s="8">
        <v>144.44</v>
      </c>
      <c r="Q2557" s="8">
        <v>127.348</v>
      </c>
      <c r="R2557" s="8">
        <v>101.47799999999999</v>
      </c>
      <c r="S2557" s="8">
        <v>76.933000000000007</v>
      </c>
      <c r="T2557" s="8">
        <v>61.308</v>
      </c>
      <c r="U2557" s="8">
        <v>45.929000000000002</v>
      </c>
      <c r="V2557" s="8">
        <v>36.35</v>
      </c>
      <c r="W2557" s="8">
        <v>24.483000000000001</v>
      </c>
      <c r="X2557" s="8">
        <v>13.888</v>
      </c>
      <c r="Y2557" s="8">
        <v>6.7969999999999997</v>
      </c>
      <c r="Z2557" s="8">
        <v>2.2730000000000001</v>
      </c>
      <c r="AA2557" s="8">
        <v>0.52100000000000002</v>
      </c>
      <c r="AB2557" s="8">
        <v>6.7000000000000004E-2</v>
      </c>
      <c r="AC2557" s="8">
        <v>5.0000000000000001E-3</v>
      </c>
    </row>
    <row r="2558" spans="1:29" ht="11.65" hidden="1" x14ac:dyDescent="0.35">
      <c r="A2558" s="12">
        <v>2541</v>
      </c>
      <c r="B2558" s="10" t="s">
        <v>1015</v>
      </c>
      <c r="C2558" s="11" t="s">
        <v>1193</v>
      </c>
      <c r="D2558" s="9"/>
      <c r="E2558" s="9">
        <v>320</v>
      </c>
      <c r="F2558" s="10" t="s">
        <v>1066</v>
      </c>
      <c r="G2558" s="9">
        <v>916</v>
      </c>
      <c r="H2558" s="9">
        <v>1975</v>
      </c>
      <c r="I2558" s="8">
        <v>577.13900000000001</v>
      </c>
      <c r="J2558" s="8">
        <v>467.37</v>
      </c>
      <c r="K2558" s="8">
        <v>395.41699999999997</v>
      </c>
      <c r="L2558" s="8">
        <v>342.97800000000001</v>
      </c>
      <c r="M2558" s="8">
        <v>288.91399999999999</v>
      </c>
      <c r="N2558" s="8">
        <v>210.548</v>
      </c>
      <c r="O2558" s="8">
        <v>173.78399999999999</v>
      </c>
      <c r="P2558" s="8">
        <v>151.60599999999999</v>
      </c>
      <c r="Q2558" s="8">
        <v>138.07</v>
      </c>
      <c r="R2558" s="8">
        <v>120.953</v>
      </c>
      <c r="S2558" s="8">
        <v>95.415999999999997</v>
      </c>
      <c r="T2558" s="8">
        <v>70.911000000000001</v>
      </c>
      <c r="U2558" s="8">
        <v>54.896000000000001</v>
      </c>
      <c r="V2558" s="8">
        <v>38.82</v>
      </c>
      <c r="W2558" s="8">
        <v>29.155999999999999</v>
      </c>
      <c r="X2558" s="8">
        <v>17.372</v>
      </c>
      <c r="Y2558" s="8">
        <v>8.2100000000000009</v>
      </c>
      <c r="Z2558" s="8">
        <v>3.0070000000000001</v>
      </c>
      <c r="AA2558" s="8">
        <v>0.68700000000000006</v>
      </c>
      <c r="AB2558" s="8">
        <v>9.8000000000000004E-2</v>
      </c>
      <c r="AC2558" s="8">
        <v>7.0000000000000001E-3</v>
      </c>
    </row>
    <row r="2559" spans="1:29" ht="11.65" hidden="1" x14ac:dyDescent="0.35">
      <c r="A2559" s="12">
        <v>2542</v>
      </c>
      <c r="B2559" s="10" t="s">
        <v>1015</v>
      </c>
      <c r="C2559" s="11" t="s">
        <v>1193</v>
      </c>
      <c r="D2559" s="9"/>
      <c r="E2559" s="9">
        <v>320</v>
      </c>
      <c r="F2559" s="10" t="s">
        <v>1066</v>
      </c>
      <c r="G2559" s="9">
        <v>916</v>
      </c>
      <c r="H2559" s="9">
        <v>1980</v>
      </c>
      <c r="I2559" s="8">
        <v>659.75199999999995</v>
      </c>
      <c r="J2559" s="8">
        <v>541.67499999999995</v>
      </c>
      <c r="K2559" s="8">
        <v>452.32400000000001</v>
      </c>
      <c r="L2559" s="8">
        <v>378.98500000000001</v>
      </c>
      <c r="M2559" s="8">
        <v>317.55399999999997</v>
      </c>
      <c r="N2559" s="8">
        <v>265.57600000000002</v>
      </c>
      <c r="O2559" s="8">
        <v>195.262</v>
      </c>
      <c r="P2559" s="8">
        <v>161.80600000000001</v>
      </c>
      <c r="Q2559" s="8">
        <v>143.57</v>
      </c>
      <c r="R2559" s="8">
        <v>130.07300000000001</v>
      </c>
      <c r="S2559" s="8">
        <v>113.248</v>
      </c>
      <c r="T2559" s="8">
        <v>87.712000000000003</v>
      </c>
      <c r="U2559" s="8">
        <v>63.427</v>
      </c>
      <c r="V2559" s="8">
        <v>46.24</v>
      </c>
      <c r="W2559" s="8">
        <v>31.131</v>
      </c>
      <c r="X2559" s="8">
        <v>20.655000000000001</v>
      </c>
      <c r="Y2559" s="8">
        <v>10.321</v>
      </c>
      <c r="Z2559" s="8">
        <v>3.6339999999999999</v>
      </c>
      <c r="AA2559" s="8">
        <v>0.90100000000000002</v>
      </c>
      <c r="AB2559" s="8">
        <v>0.127</v>
      </c>
      <c r="AC2559" s="8">
        <v>0.01</v>
      </c>
    </row>
    <row r="2560" spans="1:29" ht="11.65" hidden="1" x14ac:dyDescent="0.35">
      <c r="A2560" s="12">
        <v>2543</v>
      </c>
      <c r="B2560" s="10" t="s">
        <v>1015</v>
      </c>
      <c r="C2560" s="11" t="s">
        <v>1193</v>
      </c>
      <c r="D2560" s="9"/>
      <c r="E2560" s="9">
        <v>320</v>
      </c>
      <c r="F2560" s="10" t="s">
        <v>1066</v>
      </c>
      <c r="G2560" s="9">
        <v>916</v>
      </c>
      <c r="H2560" s="9">
        <v>1985</v>
      </c>
      <c r="I2560" s="8">
        <v>729.89800000000002</v>
      </c>
      <c r="J2560" s="8">
        <v>626.40200000000004</v>
      </c>
      <c r="K2560" s="8">
        <v>526.14300000000003</v>
      </c>
      <c r="L2560" s="8">
        <v>434.28800000000001</v>
      </c>
      <c r="M2560" s="8">
        <v>351.83</v>
      </c>
      <c r="N2560" s="8">
        <v>292.75200000000001</v>
      </c>
      <c r="O2560" s="8">
        <v>248.548</v>
      </c>
      <c r="P2560" s="8">
        <v>182.74799999999999</v>
      </c>
      <c r="Q2560" s="8">
        <v>153.97900000000001</v>
      </c>
      <c r="R2560" s="8">
        <v>135.441</v>
      </c>
      <c r="S2560" s="8">
        <v>122.402</v>
      </c>
      <c r="T2560" s="8">
        <v>104.8</v>
      </c>
      <c r="U2560" s="8">
        <v>79.147000000000006</v>
      </c>
      <c r="V2560" s="8">
        <v>54.198999999999998</v>
      </c>
      <c r="W2560" s="8">
        <v>37.28</v>
      </c>
      <c r="X2560" s="8">
        <v>22.346</v>
      </c>
      <c r="Y2560" s="8">
        <v>12.45</v>
      </c>
      <c r="Z2560" s="8">
        <v>4.6369999999999996</v>
      </c>
      <c r="AA2560" s="8">
        <v>1.101</v>
      </c>
      <c r="AB2560" s="8">
        <v>0.16700000000000001</v>
      </c>
      <c r="AC2560" s="8">
        <v>1.2999999999999999E-2</v>
      </c>
    </row>
    <row r="2561" spans="1:29" ht="11.65" hidden="1" x14ac:dyDescent="0.35">
      <c r="A2561" s="12">
        <v>2544</v>
      </c>
      <c r="B2561" s="10" t="s">
        <v>1015</v>
      </c>
      <c r="C2561" s="11" t="s">
        <v>1193</v>
      </c>
      <c r="D2561" s="9"/>
      <c r="E2561" s="9">
        <v>320</v>
      </c>
      <c r="F2561" s="10" t="s">
        <v>1066</v>
      </c>
      <c r="G2561" s="9">
        <v>916</v>
      </c>
      <c r="H2561" s="9">
        <v>1990</v>
      </c>
      <c r="I2561" s="8">
        <v>773.98099999999999</v>
      </c>
      <c r="J2561" s="8">
        <v>701.50199999999995</v>
      </c>
      <c r="K2561" s="8">
        <v>611.45100000000002</v>
      </c>
      <c r="L2561" s="8">
        <v>508.29399999999998</v>
      </c>
      <c r="M2561" s="8">
        <v>406.96199999999999</v>
      </c>
      <c r="N2561" s="8">
        <v>327.05599999999998</v>
      </c>
      <c r="O2561" s="8">
        <v>275.95400000000001</v>
      </c>
      <c r="P2561" s="8">
        <v>235.351</v>
      </c>
      <c r="Q2561" s="8">
        <v>174.857</v>
      </c>
      <c r="R2561" s="8">
        <v>145.92400000000001</v>
      </c>
      <c r="S2561" s="8">
        <v>127.967</v>
      </c>
      <c r="T2561" s="8">
        <v>113.938</v>
      </c>
      <c r="U2561" s="8">
        <v>95.242999999999995</v>
      </c>
      <c r="V2561" s="8">
        <v>68.751999999999995</v>
      </c>
      <c r="W2561" s="8">
        <v>44.496000000000002</v>
      </c>
      <c r="X2561" s="8">
        <v>27.527000000000001</v>
      </c>
      <c r="Y2561" s="8">
        <v>13.896000000000001</v>
      </c>
      <c r="Z2561" s="8">
        <v>5.8010000000000002</v>
      </c>
      <c r="AA2561" s="8">
        <v>1.458</v>
      </c>
      <c r="AB2561" s="8">
        <v>0.21</v>
      </c>
      <c r="AC2561" s="8">
        <v>1.7000000000000001E-2</v>
      </c>
    </row>
    <row r="2562" spans="1:29" ht="11.65" hidden="1" x14ac:dyDescent="0.35">
      <c r="A2562" s="12">
        <v>2545</v>
      </c>
      <c r="B2562" s="10" t="s">
        <v>1015</v>
      </c>
      <c r="C2562" s="11" t="s">
        <v>1193</v>
      </c>
      <c r="D2562" s="9"/>
      <c r="E2562" s="9">
        <v>320</v>
      </c>
      <c r="F2562" s="10" t="s">
        <v>1066</v>
      </c>
      <c r="G2562" s="9">
        <v>916</v>
      </c>
      <c r="H2562" s="9">
        <v>1995</v>
      </c>
      <c r="I2562" s="8">
        <v>866.15099999999995</v>
      </c>
      <c r="J2562" s="8">
        <v>749.41600000000005</v>
      </c>
      <c r="K2562" s="8">
        <v>686.45799999999997</v>
      </c>
      <c r="L2562" s="8">
        <v>593.02300000000002</v>
      </c>
      <c r="M2562" s="8">
        <v>476.661</v>
      </c>
      <c r="N2562" s="8">
        <v>377.52300000000002</v>
      </c>
      <c r="O2562" s="8">
        <v>308.30399999999997</v>
      </c>
      <c r="P2562" s="8">
        <v>259.74599999999998</v>
      </c>
      <c r="Q2562" s="8">
        <v>225.816</v>
      </c>
      <c r="R2562" s="8">
        <v>166.23</v>
      </c>
      <c r="S2562" s="8">
        <v>137.98099999999999</v>
      </c>
      <c r="T2562" s="8">
        <v>119.254</v>
      </c>
      <c r="U2562" s="8">
        <v>104.24</v>
      </c>
      <c r="V2562" s="8">
        <v>83.971000000000004</v>
      </c>
      <c r="W2562" s="8">
        <v>57.597000000000001</v>
      </c>
      <c r="X2562" s="8">
        <v>33.683</v>
      </c>
      <c r="Y2562" s="8">
        <v>17.721</v>
      </c>
      <c r="Z2562" s="8">
        <v>6.7370000000000001</v>
      </c>
      <c r="AA2562" s="8">
        <v>1.897</v>
      </c>
      <c r="AB2562" s="8">
        <v>0.28799999999999998</v>
      </c>
      <c r="AC2562" s="8">
        <v>2.1999999999999999E-2</v>
      </c>
    </row>
    <row r="2563" spans="1:29" ht="11.65" hidden="1" x14ac:dyDescent="0.35">
      <c r="A2563" s="12">
        <v>2546</v>
      </c>
      <c r="B2563" s="10" t="s">
        <v>1015</v>
      </c>
      <c r="C2563" s="11" t="s">
        <v>1193</v>
      </c>
      <c r="D2563" s="9"/>
      <c r="E2563" s="9">
        <v>320</v>
      </c>
      <c r="F2563" s="10" t="s">
        <v>1066</v>
      </c>
      <c r="G2563" s="9">
        <v>916</v>
      </c>
      <c r="H2563" s="9">
        <v>2000</v>
      </c>
      <c r="I2563" s="8">
        <v>928.42700000000002</v>
      </c>
      <c r="J2563" s="8">
        <v>843.88199999999995</v>
      </c>
      <c r="K2563" s="8">
        <v>734.03800000000001</v>
      </c>
      <c r="L2563" s="8">
        <v>667.10500000000002</v>
      </c>
      <c r="M2563" s="8">
        <v>558.20899999999995</v>
      </c>
      <c r="N2563" s="8">
        <v>444.75200000000001</v>
      </c>
      <c r="O2563" s="8">
        <v>357.08199999999999</v>
      </c>
      <c r="P2563" s="8">
        <v>291.02999999999997</v>
      </c>
      <c r="Q2563" s="8">
        <v>249.904</v>
      </c>
      <c r="R2563" s="8">
        <v>215.95500000000001</v>
      </c>
      <c r="S2563" s="8">
        <v>157.96899999999999</v>
      </c>
      <c r="T2563" s="8">
        <v>129.24799999999999</v>
      </c>
      <c r="U2563" s="8">
        <v>110.01600000000001</v>
      </c>
      <c r="V2563" s="8">
        <v>93.471000000000004</v>
      </c>
      <c r="W2563" s="8">
        <v>72.378</v>
      </c>
      <c r="X2563" s="8">
        <v>45.476999999999997</v>
      </c>
      <c r="Y2563" s="8">
        <v>22.891999999999999</v>
      </c>
      <c r="Z2563" s="8">
        <v>9.2789999999999999</v>
      </c>
      <c r="AA2563" s="8">
        <v>2.4390000000000001</v>
      </c>
      <c r="AB2563" s="8">
        <v>0.42199999999999999</v>
      </c>
      <c r="AC2563" s="8">
        <v>3.2000000000000001E-2</v>
      </c>
    </row>
    <row r="2564" spans="1:29" ht="11.65" hidden="1" x14ac:dyDescent="0.35">
      <c r="A2564" s="12">
        <v>2547</v>
      </c>
      <c r="B2564" s="10" t="s">
        <v>1015</v>
      </c>
      <c r="C2564" s="11" t="s">
        <v>1193</v>
      </c>
      <c r="D2564" s="9"/>
      <c r="E2564" s="9">
        <v>320</v>
      </c>
      <c r="F2564" s="10" t="s">
        <v>1066</v>
      </c>
      <c r="G2564" s="9">
        <v>916</v>
      </c>
      <c r="H2564" s="9">
        <v>2005</v>
      </c>
      <c r="I2564" s="8">
        <v>974.32299999999998</v>
      </c>
      <c r="J2564" s="8">
        <v>911.26300000000003</v>
      </c>
      <c r="K2564" s="8">
        <v>831.90099999999995</v>
      </c>
      <c r="L2564" s="8">
        <v>718.81399999999996</v>
      </c>
      <c r="M2564" s="8">
        <v>639.63400000000001</v>
      </c>
      <c r="N2564" s="8">
        <v>532.72400000000005</v>
      </c>
      <c r="O2564" s="8">
        <v>428.14699999999999</v>
      </c>
      <c r="P2564" s="8">
        <v>343.02199999999999</v>
      </c>
      <c r="Q2564" s="8">
        <v>282.67099999999999</v>
      </c>
      <c r="R2564" s="8">
        <v>241.47900000000001</v>
      </c>
      <c r="S2564" s="8">
        <v>207.74</v>
      </c>
      <c r="T2564" s="8">
        <v>149.71899999999999</v>
      </c>
      <c r="U2564" s="8">
        <v>120.58799999999999</v>
      </c>
      <c r="V2564" s="8">
        <v>100.265</v>
      </c>
      <c r="W2564" s="8">
        <v>82.573999999999998</v>
      </c>
      <c r="X2564" s="8">
        <v>59.286999999999999</v>
      </c>
      <c r="Y2564" s="8">
        <v>32.305999999999997</v>
      </c>
      <c r="Z2564" s="8">
        <v>12.775</v>
      </c>
      <c r="AA2564" s="8">
        <v>3.6389999999999998</v>
      </c>
      <c r="AB2564" s="8">
        <v>0.59</v>
      </c>
      <c r="AC2564" s="8">
        <v>0.05</v>
      </c>
    </row>
    <row r="2565" spans="1:29" ht="11.65" hidden="1" x14ac:dyDescent="0.35">
      <c r="A2565" s="12">
        <v>2548</v>
      </c>
      <c r="B2565" s="10" t="s">
        <v>1015</v>
      </c>
      <c r="C2565" s="11" t="s">
        <v>1193</v>
      </c>
      <c r="D2565" s="9"/>
      <c r="E2565" s="9">
        <v>320</v>
      </c>
      <c r="F2565" s="10" t="s">
        <v>1066</v>
      </c>
      <c r="G2565" s="9">
        <v>916</v>
      </c>
      <c r="H2565" s="9">
        <v>2010</v>
      </c>
      <c r="I2565" s="8">
        <v>952.70399999999995</v>
      </c>
      <c r="J2565" s="8">
        <v>964.18700000000001</v>
      </c>
      <c r="K2565" s="8">
        <v>904.23500000000001</v>
      </c>
      <c r="L2565" s="8">
        <v>822.452</v>
      </c>
      <c r="M2565" s="8">
        <v>704.49</v>
      </c>
      <c r="N2565" s="8">
        <v>625.28200000000004</v>
      </c>
      <c r="O2565" s="8">
        <v>522.88800000000003</v>
      </c>
      <c r="P2565" s="8">
        <v>419.81700000000001</v>
      </c>
      <c r="Q2565" s="8">
        <v>336.654</v>
      </c>
      <c r="R2565" s="8">
        <v>276.16399999999999</v>
      </c>
      <c r="S2565" s="8">
        <v>234.352</v>
      </c>
      <c r="T2565" s="8">
        <v>199.572</v>
      </c>
      <c r="U2565" s="8">
        <v>141.57499999999999</v>
      </c>
      <c r="V2565" s="8">
        <v>111.622</v>
      </c>
      <c r="W2565" s="8">
        <v>90.320999999999998</v>
      </c>
      <c r="X2565" s="8">
        <v>69.335999999999999</v>
      </c>
      <c r="Y2565" s="8">
        <v>43.429000000000002</v>
      </c>
      <c r="Z2565" s="8">
        <v>18.779</v>
      </c>
      <c r="AA2565" s="8">
        <v>5.3049999999999997</v>
      </c>
      <c r="AB2565" s="8">
        <v>0.94699999999999995</v>
      </c>
      <c r="AC2565" s="8">
        <v>7.2999999999999995E-2</v>
      </c>
    </row>
    <row r="2566" spans="1:29" ht="11.65" hidden="1" x14ac:dyDescent="0.35">
      <c r="A2566" s="12">
        <v>2549</v>
      </c>
      <c r="B2566" s="10" t="s">
        <v>1015</v>
      </c>
      <c r="C2566" s="11" t="s">
        <v>1193</v>
      </c>
      <c r="D2566" s="9"/>
      <c r="E2566" s="9">
        <v>320</v>
      </c>
      <c r="F2566" s="10" t="s">
        <v>1066</v>
      </c>
      <c r="G2566" s="9">
        <v>916</v>
      </c>
      <c r="H2566" s="9">
        <v>2015</v>
      </c>
      <c r="I2566" s="8">
        <v>975.06100000000004</v>
      </c>
      <c r="J2566" s="8">
        <v>946.20899999999995</v>
      </c>
      <c r="K2566" s="8">
        <v>959.94100000000003</v>
      </c>
      <c r="L2566" s="8">
        <v>898.23699999999997</v>
      </c>
      <c r="M2566" s="8">
        <v>813.55</v>
      </c>
      <c r="N2566" s="8">
        <v>695.31100000000004</v>
      </c>
      <c r="O2566" s="8">
        <v>617.75699999999995</v>
      </c>
      <c r="P2566" s="8">
        <v>516.12599999999998</v>
      </c>
      <c r="Q2566" s="8">
        <v>413.923</v>
      </c>
      <c r="R2566" s="8">
        <v>330.65800000000002</v>
      </c>
      <c r="S2566" s="8">
        <v>269.71199999999999</v>
      </c>
      <c r="T2566" s="8">
        <v>226.98500000000001</v>
      </c>
      <c r="U2566" s="8">
        <v>190.785</v>
      </c>
      <c r="V2566" s="8">
        <v>132.97</v>
      </c>
      <c r="W2566" s="8">
        <v>102.339</v>
      </c>
      <c r="X2566" s="8">
        <v>77.739999999999995</v>
      </c>
      <c r="Y2566" s="8">
        <v>52.845999999999997</v>
      </c>
      <c r="Z2566" s="8">
        <v>26.89</v>
      </c>
      <c r="AA2566" s="8">
        <v>8.6370000000000005</v>
      </c>
      <c r="AB2566" s="8">
        <v>1.6160000000000001</v>
      </c>
      <c r="AC2566" s="8">
        <v>0.13200000000000001</v>
      </c>
    </row>
    <row r="2567" spans="1:29" ht="11.65" hidden="1" x14ac:dyDescent="0.35">
      <c r="A2567" s="12">
        <v>2550</v>
      </c>
      <c r="B2567" s="10" t="s">
        <v>1015</v>
      </c>
      <c r="C2567" s="11" t="s">
        <v>1193</v>
      </c>
      <c r="D2567" s="9"/>
      <c r="E2567" s="9">
        <v>320</v>
      </c>
      <c r="F2567" s="10" t="s">
        <v>1066</v>
      </c>
      <c r="G2567" s="9">
        <v>916</v>
      </c>
      <c r="H2567" s="9">
        <v>2020</v>
      </c>
      <c r="I2567" s="8">
        <v>1010.072</v>
      </c>
      <c r="J2567" s="8">
        <v>969.48</v>
      </c>
      <c r="K2567" s="8">
        <v>942.38</v>
      </c>
      <c r="L2567" s="8">
        <v>953.92</v>
      </c>
      <c r="M2567" s="8">
        <v>889.32600000000002</v>
      </c>
      <c r="N2567" s="8">
        <v>804.02700000000004</v>
      </c>
      <c r="O2567" s="8">
        <v>687.36500000000001</v>
      </c>
      <c r="P2567" s="8">
        <v>610.35400000000004</v>
      </c>
      <c r="Q2567" s="8">
        <v>509.30700000000002</v>
      </c>
      <c r="R2567" s="8">
        <v>407.01799999999997</v>
      </c>
      <c r="S2567" s="8">
        <v>323.47300000000001</v>
      </c>
      <c r="T2567" s="8">
        <v>261.94499999999999</v>
      </c>
      <c r="U2567" s="8">
        <v>217.91</v>
      </c>
      <c r="V2567" s="8">
        <v>180.15</v>
      </c>
      <c r="W2567" s="8">
        <v>122.83</v>
      </c>
      <c r="X2567" s="8">
        <v>89.037000000000006</v>
      </c>
      <c r="Y2567" s="8">
        <v>60.319000000000003</v>
      </c>
      <c r="Z2567" s="8">
        <v>33.558999999999997</v>
      </c>
      <c r="AA2567" s="8">
        <v>12.874000000000001</v>
      </c>
      <c r="AB2567" s="8">
        <v>2.7930000000000001</v>
      </c>
      <c r="AC2567" s="8">
        <v>0.31900000000000001</v>
      </c>
    </row>
    <row r="2568" spans="1:29" ht="11.65" hidden="1" x14ac:dyDescent="0.35">
      <c r="A2568" s="12">
        <v>2551</v>
      </c>
      <c r="B2568" s="10" t="s">
        <v>1015</v>
      </c>
      <c r="C2568" s="11" t="s">
        <v>1194</v>
      </c>
      <c r="D2568" s="9"/>
      <c r="E2568" s="9">
        <v>340</v>
      </c>
      <c r="F2568" s="10" t="s">
        <v>1066</v>
      </c>
      <c r="G2568" s="9">
        <v>916</v>
      </c>
      <c r="H2568" s="9">
        <v>1950</v>
      </c>
      <c r="I2568" s="8">
        <v>133.84800000000001</v>
      </c>
      <c r="J2568" s="8">
        <v>99.111999999999995</v>
      </c>
      <c r="K2568" s="8">
        <v>86.423000000000002</v>
      </c>
      <c r="L2568" s="8">
        <v>77.292000000000002</v>
      </c>
      <c r="M2568" s="8">
        <v>66.144000000000005</v>
      </c>
      <c r="N2568" s="8">
        <v>57.823999999999998</v>
      </c>
      <c r="O2568" s="8">
        <v>43.991999999999997</v>
      </c>
      <c r="P2568" s="8">
        <v>41.6</v>
      </c>
      <c r="Q2568" s="8">
        <v>34.838999999999999</v>
      </c>
      <c r="R2568" s="8">
        <v>29.952000000000002</v>
      </c>
      <c r="S2568" s="8">
        <v>27.143999999999998</v>
      </c>
      <c r="T2568" s="8">
        <v>20.8</v>
      </c>
      <c r="U2568" s="8">
        <v>17.367999999999999</v>
      </c>
      <c r="V2568" s="8">
        <v>11.023</v>
      </c>
      <c r="W2568" s="8">
        <v>8.32</v>
      </c>
      <c r="X2568" s="8">
        <v>6.24</v>
      </c>
      <c r="Y2568" s="8">
        <v>4.9640000000000004</v>
      </c>
      <c r="Z2568" s="8">
        <v>1.607</v>
      </c>
      <c r="AA2568" s="8">
        <v>0.34799999999999998</v>
      </c>
      <c r="AB2568" s="8">
        <v>4.4999999999999998E-2</v>
      </c>
      <c r="AC2568" s="8">
        <v>4.0000000000000001E-3</v>
      </c>
    </row>
    <row r="2569" spans="1:29" ht="11.65" hidden="1" x14ac:dyDescent="0.35">
      <c r="A2569" s="12">
        <v>2552</v>
      </c>
      <c r="B2569" s="10" t="s">
        <v>1015</v>
      </c>
      <c r="C2569" s="11" t="s">
        <v>1194</v>
      </c>
      <c r="D2569" s="9"/>
      <c r="E2569" s="9">
        <v>340</v>
      </c>
      <c r="F2569" s="10" t="s">
        <v>1066</v>
      </c>
      <c r="G2569" s="9">
        <v>916</v>
      </c>
      <c r="H2569" s="9">
        <v>1955</v>
      </c>
      <c r="I2569" s="8">
        <v>168.98599999999999</v>
      </c>
      <c r="J2569" s="8">
        <v>120.16200000000001</v>
      </c>
      <c r="K2569" s="8">
        <v>96.671999999999997</v>
      </c>
      <c r="L2569" s="8">
        <v>84.727000000000004</v>
      </c>
      <c r="M2569" s="8">
        <v>75.251999999999995</v>
      </c>
      <c r="N2569" s="8">
        <v>63.838000000000001</v>
      </c>
      <c r="O2569" s="8">
        <v>55.335999999999999</v>
      </c>
      <c r="P2569" s="8">
        <v>41.838000000000001</v>
      </c>
      <c r="Q2569" s="8">
        <v>39.347000000000001</v>
      </c>
      <c r="R2569" s="8">
        <v>32.628999999999998</v>
      </c>
      <c r="S2569" s="8">
        <v>27.655999999999999</v>
      </c>
      <c r="T2569" s="8">
        <v>24.373000000000001</v>
      </c>
      <c r="U2569" s="8">
        <v>17.815000000000001</v>
      </c>
      <c r="V2569" s="8">
        <v>13.964</v>
      </c>
      <c r="W2569" s="8">
        <v>8.1739999999999995</v>
      </c>
      <c r="X2569" s="8">
        <v>5.5780000000000003</v>
      </c>
      <c r="Y2569" s="8">
        <v>2.911</v>
      </c>
      <c r="Z2569" s="8">
        <v>1.1000000000000001</v>
      </c>
      <c r="AA2569" s="8">
        <v>0.18</v>
      </c>
      <c r="AB2569" s="8">
        <v>2.1000000000000001E-2</v>
      </c>
      <c r="AC2569" s="8">
        <v>2E-3</v>
      </c>
    </row>
    <row r="2570" spans="1:29" ht="11.65" hidden="1" x14ac:dyDescent="0.35">
      <c r="A2570" s="12">
        <v>2553</v>
      </c>
      <c r="B2570" s="10" t="s">
        <v>1015</v>
      </c>
      <c r="C2570" s="11" t="s">
        <v>1194</v>
      </c>
      <c r="D2570" s="9"/>
      <c r="E2570" s="9">
        <v>340</v>
      </c>
      <c r="F2570" s="10" t="s">
        <v>1066</v>
      </c>
      <c r="G2570" s="9">
        <v>916</v>
      </c>
      <c r="H2570" s="9">
        <v>1960</v>
      </c>
      <c r="I2570" s="8">
        <v>194.55799999999999</v>
      </c>
      <c r="J2570" s="8">
        <v>153.58099999999999</v>
      </c>
      <c r="K2570" s="8">
        <v>117.084</v>
      </c>
      <c r="L2570" s="8">
        <v>94.433000000000007</v>
      </c>
      <c r="M2570" s="8">
        <v>82.141999999999996</v>
      </c>
      <c r="N2570" s="8">
        <v>72.322000000000003</v>
      </c>
      <c r="O2570" s="8">
        <v>60.841000000000001</v>
      </c>
      <c r="P2570" s="8">
        <v>52.527999999999999</v>
      </c>
      <c r="Q2570" s="8">
        <v>39.582999999999998</v>
      </c>
      <c r="R2570" s="8">
        <v>37.015000000000001</v>
      </c>
      <c r="S2570" s="8">
        <v>30.363</v>
      </c>
      <c r="T2570" s="8">
        <v>25.087</v>
      </c>
      <c r="U2570" s="8">
        <v>21.172000000000001</v>
      </c>
      <c r="V2570" s="8">
        <v>14.59</v>
      </c>
      <c r="W2570" s="8">
        <v>10.583</v>
      </c>
      <c r="X2570" s="8">
        <v>5.6150000000000002</v>
      </c>
      <c r="Y2570" s="8">
        <v>3.069</v>
      </c>
      <c r="Z2570" s="8">
        <v>1.0980000000000001</v>
      </c>
      <c r="AA2570" s="8">
        <v>0.27800000000000002</v>
      </c>
      <c r="AB2570" s="8">
        <v>0.03</v>
      </c>
      <c r="AC2570" s="8">
        <v>2E-3</v>
      </c>
    </row>
    <row r="2571" spans="1:29" ht="11.65" hidden="1" x14ac:dyDescent="0.35">
      <c r="A2571" s="12">
        <v>2554</v>
      </c>
      <c r="B2571" s="10" t="s">
        <v>1015</v>
      </c>
      <c r="C2571" s="11" t="s">
        <v>1194</v>
      </c>
      <c r="D2571" s="9"/>
      <c r="E2571" s="9">
        <v>340</v>
      </c>
      <c r="F2571" s="10" t="s">
        <v>1066</v>
      </c>
      <c r="G2571" s="9">
        <v>916</v>
      </c>
      <c r="H2571" s="9">
        <v>1965</v>
      </c>
      <c r="I2571" s="8">
        <v>221.8</v>
      </c>
      <c r="J2571" s="8">
        <v>179.31700000000001</v>
      </c>
      <c r="K2571" s="8">
        <v>149.535</v>
      </c>
      <c r="L2571" s="8">
        <v>113.90600000000001</v>
      </c>
      <c r="M2571" s="8">
        <v>90.977999999999994</v>
      </c>
      <c r="N2571" s="8">
        <v>78.396000000000001</v>
      </c>
      <c r="O2571" s="8">
        <v>68.501999999999995</v>
      </c>
      <c r="P2571" s="8">
        <v>57.497999999999998</v>
      </c>
      <c r="Q2571" s="8">
        <v>49.726999999999997</v>
      </c>
      <c r="R2571" s="8">
        <v>37.353000000000002</v>
      </c>
      <c r="S2571" s="8">
        <v>34.722999999999999</v>
      </c>
      <c r="T2571" s="8">
        <v>27.844000000000001</v>
      </c>
      <c r="U2571" s="8">
        <v>22.128</v>
      </c>
      <c r="V2571" s="8">
        <v>17.702999999999999</v>
      </c>
      <c r="W2571" s="8">
        <v>11.343</v>
      </c>
      <c r="X2571" s="8">
        <v>7.4889999999999999</v>
      </c>
      <c r="Y2571" s="8">
        <v>3.0870000000000002</v>
      </c>
      <c r="Z2571" s="8">
        <v>1.0489999999999999</v>
      </c>
      <c r="AA2571" s="8">
        <v>0.23100000000000001</v>
      </c>
      <c r="AB2571" s="8">
        <v>3.4000000000000002E-2</v>
      </c>
      <c r="AC2571" s="8">
        <v>2E-3</v>
      </c>
    </row>
    <row r="2572" spans="1:29" ht="11.65" hidden="1" x14ac:dyDescent="0.35">
      <c r="A2572" s="12">
        <v>2555</v>
      </c>
      <c r="B2572" s="10" t="s">
        <v>1015</v>
      </c>
      <c r="C2572" s="11" t="s">
        <v>1194</v>
      </c>
      <c r="D2572" s="9"/>
      <c r="E2572" s="9">
        <v>340</v>
      </c>
      <c r="F2572" s="10" t="s">
        <v>1066</v>
      </c>
      <c r="G2572" s="9">
        <v>916</v>
      </c>
      <c r="H2572" s="9">
        <v>1970</v>
      </c>
      <c r="I2572" s="8">
        <v>258.608</v>
      </c>
      <c r="J2572" s="8">
        <v>207.51499999999999</v>
      </c>
      <c r="K2572" s="8">
        <v>175.19300000000001</v>
      </c>
      <c r="L2572" s="8">
        <v>145.97499999999999</v>
      </c>
      <c r="M2572" s="8">
        <v>110.009</v>
      </c>
      <c r="N2572" s="8">
        <v>86.78</v>
      </c>
      <c r="O2572" s="8">
        <v>73.95</v>
      </c>
      <c r="P2572" s="8">
        <v>64.341999999999999</v>
      </c>
      <c r="Q2572" s="8">
        <v>54.067999999999998</v>
      </c>
      <c r="R2572" s="8">
        <v>46.767000000000003</v>
      </c>
      <c r="S2572" s="8">
        <v>35.054000000000002</v>
      </c>
      <c r="T2572" s="8">
        <v>32.067</v>
      </c>
      <c r="U2572" s="8">
        <v>24.875</v>
      </c>
      <c r="V2572" s="8">
        <v>18.850999999999999</v>
      </c>
      <c r="W2572" s="8">
        <v>14.108000000000001</v>
      </c>
      <c r="X2572" s="8">
        <v>8.2739999999999991</v>
      </c>
      <c r="Y2572" s="8">
        <v>4.3929999999999998</v>
      </c>
      <c r="Z2572" s="8">
        <v>1.214</v>
      </c>
      <c r="AA2572" s="8">
        <v>0.26900000000000002</v>
      </c>
      <c r="AB2572" s="8">
        <v>3.6999999999999998E-2</v>
      </c>
      <c r="AC2572" s="8">
        <v>4.0000000000000001E-3</v>
      </c>
    </row>
    <row r="2573" spans="1:29" ht="11.65" hidden="1" x14ac:dyDescent="0.35">
      <c r="A2573" s="12">
        <v>2556</v>
      </c>
      <c r="B2573" s="10" t="s">
        <v>1015</v>
      </c>
      <c r="C2573" s="11" t="s">
        <v>1194</v>
      </c>
      <c r="D2573" s="9"/>
      <c r="E2573" s="9">
        <v>340</v>
      </c>
      <c r="F2573" s="10" t="s">
        <v>1066</v>
      </c>
      <c r="G2573" s="9">
        <v>916</v>
      </c>
      <c r="H2573" s="9">
        <v>1975</v>
      </c>
      <c r="I2573" s="8">
        <v>294.20999999999998</v>
      </c>
      <c r="J2573" s="8">
        <v>245.15899999999999</v>
      </c>
      <c r="K2573" s="8">
        <v>203.22800000000001</v>
      </c>
      <c r="L2573" s="8">
        <v>171.32300000000001</v>
      </c>
      <c r="M2573" s="8">
        <v>141.54</v>
      </c>
      <c r="N2573" s="8">
        <v>105.366</v>
      </c>
      <c r="O2573" s="8">
        <v>82.064999999999998</v>
      </c>
      <c r="P2573" s="8">
        <v>69.602000000000004</v>
      </c>
      <c r="Q2573" s="8">
        <v>60.719000000000001</v>
      </c>
      <c r="R2573" s="8">
        <v>51.052</v>
      </c>
      <c r="S2573" s="8">
        <v>44.171999999999997</v>
      </c>
      <c r="T2573" s="8">
        <v>32.625</v>
      </c>
      <c r="U2573" s="8">
        <v>28.998000000000001</v>
      </c>
      <c r="V2573" s="8">
        <v>21.552</v>
      </c>
      <c r="W2573" s="8">
        <v>15.36</v>
      </c>
      <c r="X2573" s="8">
        <v>10.577999999999999</v>
      </c>
      <c r="Y2573" s="8">
        <v>5.13</v>
      </c>
      <c r="Z2573" s="8">
        <v>1.9350000000000001</v>
      </c>
      <c r="AA2573" s="8">
        <v>0.36699999999999999</v>
      </c>
      <c r="AB2573" s="8">
        <v>5.2999999999999999E-2</v>
      </c>
      <c r="AC2573" s="8">
        <v>5.0000000000000001E-3</v>
      </c>
    </row>
    <row r="2574" spans="1:29" ht="11.65" hidden="1" x14ac:dyDescent="0.35">
      <c r="A2574" s="12">
        <v>2557</v>
      </c>
      <c r="B2574" s="10" t="s">
        <v>1015</v>
      </c>
      <c r="C2574" s="11" t="s">
        <v>1194</v>
      </c>
      <c r="D2574" s="9"/>
      <c r="E2574" s="9">
        <v>340</v>
      </c>
      <c r="F2574" s="10" t="s">
        <v>1066</v>
      </c>
      <c r="G2574" s="9">
        <v>916</v>
      </c>
      <c r="H2574" s="9">
        <v>1980</v>
      </c>
      <c r="I2574" s="8">
        <v>340.46300000000002</v>
      </c>
      <c r="J2574" s="8">
        <v>282.03500000000003</v>
      </c>
      <c r="K2574" s="8">
        <v>240.64500000000001</v>
      </c>
      <c r="L2574" s="8">
        <v>199.01599999999999</v>
      </c>
      <c r="M2574" s="8">
        <v>166.46199999999999</v>
      </c>
      <c r="N2574" s="8">
        <v>136.24600000000001</v>
      </c>
      <c r="O2574" s="8">
        <v>100.116</v>
      </c>
      <c r="P2574" s="8">
        <v>77.403999999999996</v>
      </c>
      <c r="Q2574" s="8">
        <v>65.814999999999998</v>
      </c>
      <c r="R2574" s="8">
        <v>57.554000000000002</v>
      </c>
      <c r="S2574" s="8">
        <v>48.456000000000003</v>
      </c>
      <c r="T2574" s="8">
        <v>41.424999999999997</v>
      </c>
      <c r="U2574" s="8">
        <v>29.826000000000001</v>
      </c>
      <c r="V2574" s="8">
        <v>25.518000000000001</v>
      </c>
      <c r="W2574" s="8">
        <v>17.920999999999999</v>
      </c>
      <c r="X2574" s="8">
        <v>11.805999999999999</v>
      </c>
      <c r="Y2574" s="8">
        <v>6.8369999999999997</v>
      </c>
      <c r="Z2574" s="8">
        <v>2.431</v>
      </c>
      <c r="AA2574" s="8">
        <v>0.64900000000000002</v>
      </c>
      <c r="AB2574" s="8">
        <v>8.3000000000000004E-2</v>
      </c>
      <c r="AC2574" s="8">
        <v>8.0000000000000002E-3</v>
      </c>
    </row>
    <row r="2575" spans="1:29" ht="11.65" hidden="1" x14ac:dyDescent="0.35">
      <c r="A2575" s="12">
        <v>2558</v>
      </c>
      <c r="B2575" s="10" t="s">
        <v>1015</v>
      </c>
      <c r="C2575" s="11" t="s">
        <v>1194</v>
      </c>
      <c r="D2575" s="9"/>
      <c r="E2575" s="9">
        <v>340</v>
      </c>
      <c r="F2575" s="10" t="s">
        <v>1066</v>
      </c>
      <c r="G2575" s="9">
        <v>916</v>
      </c>
      <c r="H2575" s="9">
        <v>1985</v>
      </c>
      <c r="I2575" s="8">
        <v>382.87799999999999</v>
      </c>
      <c r="J2575" s="8">
        <v>329.92399999999998</v>
      </c>
      <c r="K2575" s="8">
        <v>277.32600000000002</v>
      </c>
      <c r="L2575" s="8">
        <v>235.87</v>
      </c>
      <c r="M2575" s="8">
        <v>193.54</v>
      </c>
      <c r="N2575" s="8">
        <v>160.489</v>
      </c>
      <c r="O2575" s="8">
        <v>130.066</v>
      </c>
      <c r="P2575" s="8">
        <v>94.733000000000004</v>
      </c>
      <c r="Q2575" s="8">
        <v>73.266000000000005</v>
      </c>
      <c r="R2575" s="8">
        <v>62.530999999999999</v>
      </c>
      <c r="S2575" s="8">
        <v>54.921999999999997</v>
      </c>
      <c r="T2575" s="8">
        <v>45.808</v>
      </c>
      <c r="U2575" s="8">
        <v>38.347000000000001</v>
      </c>
      <c r="V2575" s="8">
        <v>26.706</v>
      </c>
      <c r="W2575" s="8">
        <v>21.704999999999998</v>
      </c>
      <c r="X2575" s="8">
        <v>14.16</v>
      </c>
      <c r="Y2575" s="8">
        <v>7.9379999999999997</v>
      </c>
      <c r="Z2575" s="8">
        <v>3.4279999999999999</v>
      </c>
      <c r="AA2575" s="8">
        <v>0.87</v>
      </c>
      <c r="AB2575" s="8">
        <v>0.157</v>
      </c>
      <c r="AC2575" s="8">
        <v>1.4E-2</v>
      </c>
    </row>
    <row r="2576" spans="1:29" ht="11.65" hidden="1" x14ac:dyDescent="0.35">
      <c r="A2576" s="12">
        <v>2559</v>
      </c>
      <c r="B2576" s="10" t="s">
        <v>1015</v>
      </c>
      <c r="C2576" s="11" t="s">
        <v>1194</v>
      </c>
      <c r="D2576" s="9"/>
      <c r="E2576" s="9">
        <v>340</v>
      </c>
      <c r="F2576" s="10" t="s">
        <v>1066</v>
      </c>
      <c r="G2576" s="9">
        <v>916</v>
      </c>
      <c r="H2576" s="9">
        <v>1990</v>
      </c>
      <c r="I2576" s="8">
        <v>421.20800000000003</v>
      </c>
      <c r="J2576" s="8">
        <v>374.80399999999997</v>
      </c>
      <c r="K2576" s="8">
        <v>325.108</v>
      </c>
      <c r="L2576" s="8">
        <v>272.10300000000001</v>
      </c>
      <c r="M2576" s="8">
        <v>229.79300000000001</v>
      </c>
      <c r="N2576" s="8">
        <v>186.989</v>
      </c>
      <c r="O2576" s="8">
        <v>153.67099999999999</v>
      </c>
      <c r="P2576" s="8">
        <v>123.873</v>
      </c>
      <c r="Q2576" s="8">
        <v>90.09</v>
      </c>
      <c r="R2576" s="8">
        <v>69.837999999999994</v>
      </c>
      <c r="S2576" s="8">
        <v>59.981000000000002</v>
      </c>
      <c r="T2576" s="8">
        <v>52.334000000000003</v>
      </c>
      <c r="U2576" s="8">
        <v>42.917000000000002</v>
      </c>
      <c r="V2576" s="8">
        <v>34.923999999999999</v>
      </c>
      <c r="W2576" s="8">
        <v>23.216999999999999</v>
      </c>
      <c r="X2576" s="8">
        <v>17.608000000000001</v>
      </c>
      <c r="Y2576" s="8">
        <v>9.8810000000000002</v>
      </c>
      <c r="Z2576" s="8">
        <v>4.1870000000000003</v>
      </c>
      <c r="AA2576" s="8">
        <v>1.3</v>
      </c>
      <c r="AB2576" s="8">
        <v>0.22500000000000001</v>
      </c>
      <c r="AC2576" s="8">
        <v>2.7E-2</v>
      </c>
    </row>
    <row r="2577" spans="1:29" ht="11.65" hidden="1" x14ac:dyDescent="0.35">
      <c r="A2577" s="12">
        <v>2560</v>
      </c>
      <c r="B2577" s="10" t="s">
        <v>1015</v>
      </c>
      <c r="C2577" s="11" t="s">
        <v>1194</v>
      </c>
      <c r="D2577" s="9"/>
      <c r="E2577" s="9">
        <v>340</v>
      </c>
      <c r="F2577" s="10" t="s">
        <v>1066</v>
      </c>
      <c r="G2577" s="9">
        <v>916</v>
      </c>
      <c r="H2577" s="9">
        <v>1995</v>
      </c>
      <c r="I2577" s="8">
        <v>464.96499999999997</v>
      </c>
      <c r="J2577" s="8">
        <v>413.68200000000002</v>
      </c>
      <c r="K2577" s="8">
        <v>369.86</v>
      </c>
      <c r="L2577" s="8">
        <v>319.60000000000002</v>
      </c>
      <c r="M2577" s="8">
        <v>265.73399999999998</v>
      </c>
      <c r="N2577" s="8">
        <v>222.852</v>
      </c>
      <c r="O2577" s="8">
        <v>179.81700000000001</v>
      </c>
      <c r="P2577" s="8">
        <v>147.119</v>
      </c>
      <c r="Q2577" s="8">
        <v>118.723</v>
      </c>
      <c r="R2577" s="8">
        <v>86.376999999999995</v>
      </c>
      <c r="S2577" s="8">
        <v>67.254999999999995</v>
      </c>
      <c r="T2577" s="8">
        <v>57.427999999999997</v>
      </c>
      <c r="U2577" s="8">
        <v>49.36</v>
      </c>
      <c r="V2577" s="8">
        <v>39.451999999999998</v>
      </c>
      <c r="W2577" s="8">
        <v>30.768000000000001</v>
      </c>
      <c r="X2577" s="8">
        <v>19.189</v>
      </c>
      <c r="Y2577" s="8">
        <v>12.702999999999999</v>
      </c>
      <c r="Z2577" s="8">
        <v>5.5330000000000004</v>
      </c>
      <c r="AA2577" s="8">
        <v>1.73</v>
      </c>
      <c r="AB2577" s="8">
        <v>0.373</v>
      </c>
      <c r="AC2577" s="8">
        <v>4.4999999999999998E-2</v>
      </c>
    </row>
    <row r="2578" spans="1:29" ht="11.65" hidden="1" x14ac:dyDescent="0.35">
      <c r="A2578" s="12">
        <v>2561</v>
      </c>
      <c r="B2578" s="10" t="s">
        <v>1015</v>
      </c>
      <c r="C2578" s="11" t="s">
        <v>1194</v>
      </c>
      <c r="D2578" s="9"/>
      <c r="E2578" s="9">
        <v>340</v>
      </c>
      <c r="F2578" s="10" t="s">
        <v>1066</v>
      </c>
      <c r="G2578" s="9">
        <v>916</v>
      </c>
      <c r="H2578" s="9">
        <v>2000</v>
      </c>
      <c r="I2578" s="8">
        <v>516.70000000000005</v>
      </c>
      <c r="J2578" s="8">
        <v>458.09300000000002</v>
      </c>
      <c r="K2578" s="8">
        <v>409.31299999999999</v>
      </c>
      <c r="L2578" s="8">
        <v>364.98</v>
      </c>
      <c r="M2578" s="8">
        <v>313.89100000000002</v>
      </c>
      <c r="N2578" s="8">
        <v>259.548</v>
      </c>
      <c r="O2578" s="8">
        <v>216.38399999999999</v>
      </c>
      <c r="P2578" s="8">
        <v>173.893</v>
      </c>
      <c r="Q2578" s="8">
        <v>142.32900000000001</v>
      </c>
      <c r="R2578" s="8">
        <v>114.94499999999999</v>
      </c>
      <c r="S2578" s="8">
        <v>83.695999999999998</v>
      </c>
      <c r="T2578" s="8">
        <v>64.745000000000005</v>
      </c>
      <c r="U2578" s="8">
        <v>54.531999999999996</v>
      </c>
      <c r="V2578" s="8">
        <v>45.796999999999997</v>
      </c>
      <c r="W2578" s="8">
        <v>35.238</v>
      </c>
      <c r="X2578" s="8">
        <v>25.943000000000001</v>
      </c>
      <c r="Y2578" s="8">
        <v>14.324999999999999</v>
      </c>
      <c r="Z2578" s="8">
        <v>7.54</v>
      </c>
      <c r="AA2578" s="8">
        <v>2.4830000000000001</v>
      </c>
      <c r="AB2578" s="8">
        <v>0.55100000000000005</v>
      </c>
      <c r="AC2578" s="8">
        <v>8.4000000000000005E-2</v>
      </c>
    </row>
    <row r="2579" spans="1:29" ht="11.65" hidden="1" x14ac:dyDescent="0.35">
      <c r="A2579" s="12">
        <v>2562</v>
      </c>
      <c r="B2579" s="10" t="s">
        <v>1015</v>
      </c>
      <c r="C2579" s="11" t="s">
        <v>1194</v>
      </c>
      <c r="D2579" s="9"/>
      <c r="E2579" s="9">
        <v>340</v>
      </c>
      <c r="F2579" s="10" t="s">
        <v>1066</v>
      </c>
      <c r="G2579" s="9">
        <v>916</v>
      </c>
      <c r="H2579" s="9">
        <v>2005</v>
      </c>
      <c r="I2579" s="8">
        <v>520.44200000000001</v>
      </c>
      <c r="J2579" s="8">
        <v>510.73500000000001</v>
      </c>
      <c r="K2579" s="8">
        <v>454.55099999999999</v>
      </c>
      <c r="L2579" s="8">
        <v>405.52100000000002</v>
      </c>
      <c r="M2579" s="8">
        <v>360.38</v>
      </c>
      <c r="N2579" s="8">
        <v>308.846</v>
      </c>
      <c r="O2579" s="8">
        <v>254.29900000000001</v>
      </c>
      <c r="P2579" s="8">
        <v>211.38399999999999</v>
      </c>
      <c r="Q2579" s="8">
        <v>169.66399999999999</v>
      </c>
      <c r="R2579" s="8">
        <v>138.74600000000001</v>
      </c>
      <c r="S2579" s="8">
        <v>111.91200000000001</v>
      </c>
      <c r="T2579" s="8">
        <v>80.885000000000005</v>
      </c>
      <c r="U2579" s="8">
        <v>61.734999999999999</v>
      </c>
      <c r="V2579" s="8">
        <v>50.866</v>
      </c>
      <c r="W2579" s="8">
        <v>41.21</v>
      </c>
      <c r="X2579" s="8">
        <v>30.076000000000001</v>
      </c>
      <c r="Y2579" s="8">
        <v>19.606999999999999</v>
      </c>
      <c r="Z2579" s="8">
        <v>8.7170000000000005</v>
      </c>
      <c r="AA2579" s="8">
        <v>3.508</v>
      </c>
      <c r="AB2579" s="8">
        <v>0.83399999999999996</v>
      </c>
      <c r="AC2579" s="8">
        <v>0.13200000000000001</v>
      </c>
    </row>
    <row r="2580" spans="1:29" ht="11.65" hidden="1" x14ac:dyDescent="0.35">
      <c r="A2580" s="12">
        <v>2563</v>
      </c>
      <c r="B2580" s="10" t="s">
        <v>1015</v>
      </c>
      <c r="C2580" s="11" t="s">
        <v>1194</v>
      </c>
      <c r="D2580" s="9"/>
      <c r="E2580" s="9">
        <v>340</v>
      </c>
      <c r="F2580" s="10" t="s">
        <v>1066</v>
      </c>
      <c r="G2580" s="9">
        <v>916</v>
      </c>
      <c r="H2580" s="9">
        <v>2010</v>
      </c>
      <c r="I2580" s="8">
        <v>507.00900000000001</v>
      </c>
      <c r="J2580" s="8">
        <v>516.10599999999999</v>
      </c>
      <c r="K2580" s="8">
        <v>508.47</v>
      </c>
      <c r="L2580" s="8">
        <v>451.29500000000002</v>
      </c>
      <c r="M2580" s="8">
        <v>400.74400000000003</v>
      </c>
      <c r="N2580" s="8">
        <v>355.34399999999999</v>
      </c>
      <c r="O2580" s="8">
        <v>304.19200000000001</v>
      </c>
      <c r="P2580" s="8">
        <v>250.16399999999999</v>
      </c>
      <c r="Q2580" s="8">
        <v>207.61</v>
      </c>
      <c r="R2580" s="8">
        <v>166.18799999999999</v>
      </c>
      <c r="S2580" s="8">
        <v>135.31700000000001</v>
      </c>
      <c r="T2580" s="8">
        <v>108.357</v>
      </c>
      <c r="U2580" s="8">
        <v>77.346999999999994</v>
      </c>
      <c r="V2580" s="8">
        <v>57.814999999999998</v>
      </c>
      <c r="W2580" s="8">
        <v>45.984000000000002</v>
      </c>
      <c r="X2580" s="8">
        <v>35.101999999999997</v>
      </c>
      <c r="Y2580" s="8">
        <v>23.189</v>
      </c>
      <c r="Z2580" s="8">
        <v>12.849</v>
      </c>
      <c r="AA2580" s="8">
        <v>4.399</v>
      </c>
      <c r="AB2580" s="8">
        <v>1.179</v>
      </c>
      <c r="AC2580" s="8">
        <v>0.16300000000000001</v>
      </c>
    </row>
    <row r="2581" spans="1:29" ht="11.65" hidden="1" x14ac:dyDescent="0.35">
      <c r="A2581" s="12">
        <v>2564</v>
      </c>
      <c r="B2581" s="10" t="s">
        <v>1015</v>
      </c>
      <c r="C2581" s="11" t="s">
        <v>1194</v>
      </c>
      <c r="D2581" s="9"/>
      <c r="E2581" s="9">
        <v>340</v>
      </c>
      <c r="F2581" s="10" t="s">
        <v>1066</v>
      </c>
      <c r="G2581" s="9">
        <v>916</v>
      </c>
      <c r="H2581" s="9">
        <v>2015</v>
      </c>
      <c r="I2581" s="8">
        <v>486.83</v>
      </c>
      <c r="J2581" s="8">
        <v>503.67099999999999</v>
      </c>
      <c r="K2581" s="8">
        <v>513.89300000000003</v>
      </c>
      <c r="L2581" s="8">
        <v>504.84</v>
      </c>
      <c r="M2581" s="8">
        <v>445.92200000000003</v>
      </c>
      <c r="N2581" s="8">
        <v>395.13900000000001</v>
      </c>
      <c r="O2581" s="8">
        <v>350.12400000000002</v>
      </c>
      <c r="P2581" s="8">
        <v>299.47000000000003</v>
      </c>
      <c r="Q2581" s="8">
        <v>245.91399999999999</v>
      </c>
      <c r="R2581" s="8">
        <v>203.601</v>
      </c>
      <c r="S2581" s="8">
        <v>162.315</v>
      </c>
      <c r="T2581" s="8">
        <v>131.27000000000001</v>
      </c>
      <c r="U2581" s="8">
        <v>103.908</v>
      </c>
      <c r="V2581" s="8">
        <v>72.718999999999994</v>
      </c>
      <c r="W2581" s="8">
        <v>52.572000000000003</v>
      </c>
      <c r="X2581" s="8">
        <v>39.526000000000003</v>
      </c>
      <c r="Y2581" s="8">
        <v>27.454000000000001</v>
      </c>
      <c r="Z2581" s="8">
        <v>15.54</v>
      </c>
      <c r="AA2581" s="8">
        <v>6.7140000000000004</v>
      </c>
      <c r="AB2581" s="8">
        <v>1.5529999999999999</v>
      </c>
      <c r="AC2581" s="8">
        <v>0.24299999999999999</v>
      </c>
    </row>
    <row r="2582" spans="1:29" ht="11.65" hidden="1" x14ac:dyDescent="0.35">
      <c r="A2582" s="12">
        <v>2565</v>
      </c>
      <c r="B2582" s="10" t="s">
        <v>1015</v>
      </c>
      <c r="C2582" s="11" t="s">
        <v>1194</v>
      </c>
      <c r="D2582" s="9"/>
      <c r="E2582" s="9">
        <v>340</v>
      </c>
      <c r="F2582" s="10" t="s">
        <v>1066</v>
      </c>
      <c r="G2582" s="9">
        <v>916</v>
      </c>
      <c r="H2582" s="9">
        <v>2020</v>
      </c>
      <c r="I2582" s="8">
        <v>496.59</v>
      </c>
      <c r="J2582" s="8">
        <v>483.85399999999998</v>
      </c>
      <c r="K2582" s="8">
        <v>501.57100000000003</v>
      </c>
      <c r="L2582" s="8">
        <v>510.08</v>
      </c>
      <c r="M2582" s="8">
        <v>498.85599999999999</v>
      </c>
      <c r="N2582" s="8">
        <v>439.733</v>
      </c>
      <c r="O2582" s="8">
        <v>389.45</v>
      </c>
      <c r="P2582" s="8">
        <v>344.91800000000001</v>
      </c>
      <c r="Q2582" s="8">
        <v>294.67099999999999</v>
      </c>
      <c r="R2582" s="8">
        <v>241.434</v>
      </c>
      <c r="S2582" s="8">
        <v>199.148</v>
      </c>
      <c r="T2582" s="8">
        <v>157.751</v>
      </c>
      <c r="U2582" s="8">
        <v>126.20099999999999</v>
      </c>
      <c r="V2582" s="8">
        <v>98.064999999999998</v>
      </c>
      <c r="W2582" s="8">
        <v>66.497</v>
      </c>
      <c r="X2582" s="8">
        <v>45.576000000000001</v>
      </c>
      <c r="Y2582" s="8">
        <v>31.332999999999998</v>
      </c>
      <c r="Z2582" s="8">
        <v>18.789000000000001</v>
      </c>
      <c r="AA2582" s="8">
        <v>8.39</v>
      </c>
      <c r="AB2582" s="8">
        <v>2.4809999999999999</v>
      </c>
      <c r="AC2582" s="8">
        <v>0.34</v>
      </c>
    </row>
    <row r="2583" spans="1:29" ht="11.65" hidden="1" x14ac:dyDescent="0.35">
      <c r="A2583" s="12">
        <v>2566</v>
      </c>
      <c r="B2583" s="10" t="s">
        <v>1015</v>
      </c>
      <c r="C2583" s="11" t="s">
        <v>1195</v>
      </c>
      <c r="D2583" s="9"/>
      <c r="E2583" s="9">
        <v>484</v>
      </c>
      <c r="F2583" s="10" t="s">
        <v>1066</v>
      </c>
      <c r="G2583" s="9">
        <v>916</v>
      </c>
      <c r="H2583" s="9">
        <v>1950</v>
      </c>
      <c r="I2583" s="8">
        <v>2397.3620000000001</v>
      </c>
      <c r="J2583" s="8">
        <v>1908.5219999999999</v>
      </c>
      <c r="K2583" s="8">
        <v>1573.635</v>
      </c>
      <c r="L2583" s="8">
        <v>1414.21</v>
      </c>
      <c r="M2583" s="8">
        <v>1252.5440000000001</v>
      </c>
      <c r="N2583" s="8">
        <v>1045.585</v>
      </c>
      <c r="O2583" s="8">
        <v>828.03599999999994</v>
      </c>
      <c r="P2583" s="8">
        <v>767.44799999999998</v>
      </c>
      <c r="Q2583" s="8">
        <v>645.779</v>
      </c>
      <c r="R2583" s="8">
        <v>575.58600000000001</v>
      </c>
      <c r="S2583" s="8">
        <v>464.50799999999998</v>
      </c>
      <c r="T2583" s="8">
        <v>353.43</v>
      </c>
      <c r="U2583" s="8">
        <v>272.64600000000002</v>
      </c>
      <c r="V2583" s="8">
        <v>201.959</v>
      </c>
      <c r="W2583" s="8">
        <v>141.37100000000001</v>
      </c>
      <c r="X2583" s="8">
        <v>70.686999999999998</v>
      </c>
      <c r="Y2583" s="8">
        <v>55.064</v>
      </c>
      <c r="Z2583" s="8">
        <v>29.85</v>
      </c>
      <c r="AA2583" s="8">
        <v>11.852</v>
      </c>
      <c r="AB2583" s="8">
        <v>3.411</v>
      </c>
      <c r="AC2583" s="8">
        <v>0.80600000000000005</v>
      </c>
    </row>
    <row r="2584" spans="1:29" ht="11.65" hidden="1" x14ac:dyDescent="0.35">
      <c r="A2584" s="12">
        <v>2567</v>
      </c>
      <c r="B2584" s="10" t="s">
        <v>1015</v>
      </c>
      <c r="C2584" s="11" t="s">
        <v>1195</v>
      </c>
      <c r="D2584" s="9"/>
      <c r="E2584" s="9">
        <v>484</v>
      </c>
      <c r="F2584" s="10" t="s">
        <v>1066</v>
      </c>
      <c r="G2584" s="9">
        <v>916</v>
      </c>
      <c r="H2584" s="9">
        <v>1955</v>
      </c>
      <c r="I2584" s="8">
        <v>2987.3919999999998</v>
      </c>
      <c r="J2584" s="8">
        <v>2247.549</v>
      </c>
      <c r="K2584" s="8">
        <v>1867.4369999999999</v>
      </c>
      <c r="L2584" s="8">
        <v>1535.2460000000001</v>
      </c>
      <c r="M2584" s="8">
        <v>1364.759</v>
      </c>
      <c r="N2584" s="8">
        <v>1201.7260000000001</v>
      </c>
      <c r="O2584" s="8">
        <v>1002.703</v>
      </c>
      <c r="P2584" s="8">
        <v>796.06399999999996</v>
      </c>
      <c r="Q2584" s="8">
        <v>737.00900000000001</v>
      </c>
      <c r="R2584" s="8">
        <v>617.03700000000003</v>
      </c>
      <c r="S2584" s="8">
        <v>544.34299999999996</v>
      </c>
      <c r="T2584" s="8">
        <v>431.01799999999997</v>
      </c>
      <c r="U2584" s="8">
        <v>317.62799999999999</v>
      </c>
      <c r="V2584" s="8">
        <v>233.029</v>
      </c>
      <c r="W2584" s="8">
        <v>160.30699999999999</v>
      </c>
      <c r="X2584" s="8">
        <v>101.125</v>
      </c>
      <c r="Y2584" s="8">
        <v>40.188000000000002</v>
      </c>
      <c r="Z2584" s="8">
        <v>21.123000000000001</v>
      </c>
      <c r="AA2584" s="8">
        <v>7.4889999999999999</v>
      </c>
      <c r="AB2584" s="8">
        <v>1.8779999999999999</v>
      </c>
      <c r="AC2584" s="8">
        <v>0.40899999999999997</v>
      </c>
    </row>
    <row r="2585" spans="1:29" ht="11.65" hidden="1" x14ac:dyDescent="0.35">
      <c r="A2585" s="12">
        <v>2568</v>
      </c>
      <c r="B2585" s="10" t="s">
        <v>1015</v>
      </c>
      <c r="C2585" s="11" t="s">
        <v>1195</v>
      </c>
      <c r="D2585" s="9"/>
      <c r="E2585" s="9">
        <v>484</v>
      </c>
      <c r="F2585" s="10" t="s">
        <v>1066</v>
      </c>
      <c r="G2585" s="9">
        <v>916</v>
      </c>
      <c r="H2585" s="9">
        <v>1960</v>
      </c>
      <c r="I2585" s="8">
        <v>3474.4650000000001</v>
      </c>
      <c r="J2585" s="8">
        <v>2846.018</v>
      </c>
      <c r="K2585" s="8">
        <v>2207.299</v>
      </c>
      <c r="L2585" s="8">
        <v>1826.8789999999999</v>
      </c>
      <c r="M2585" s="8">
        <v>1484.047</v>
      </c>
      <c r="N2585" s="8">
        <v>1312.3230000000001</v>
      </c>
      <c r="O2585" s="8">
        <v>1157.374</v>
      </c>
      <c r="P2585" s="8">
        <v>970.10799999999995</v>
      </c>
      <c r="Q2585" s="8">
        <v>769.51599999999996</v>
      </c>
      <c r="R2585" s="8">
        <v>709.11800000000005</v>
      </c>
      <c r="S2585" s="8">
        <v>587.87800000000004</v>
      </c>
      <c r="T2585" s="8">
        <v>509.733</v>
      </c>
      <c r="U2585" s="8">
        <v>392.38400000000001</v>
      </c>
      <c r="V2585" s="8">
        <v>276.74099999999999</v>
      </c>
      <c r="W2585" s="8">
        <v>190.42699999999999</v>
      </c>
      <c r="X2585" s="8">
        <v>119.515</v>
      </c>
      <c r="Y2585" s="8">
        <v>63.173999999999999</v>
      </c>
      <c r="Z2585" s="8">
        <v>18.891999999999999</v>
      </c>
      <c r="AA2585" s="8">
        <v>7.194</v>
      </c>
      <c r="AB2585" s="8">
        <v>1.77</v>
      </c>
      <c r="AC2585" s="8">
        <v>0.34799999999999998</v>
      </c>
    </row>
    <row r="2586" spans="1:29" ht="11.65" hidden="1" x14ac:dyDescent="0.35">
      <c r="A2586" s="12">
        <v>2569</v>
      </c>
      <c r="B2586" s="10" t="s">
        <v>1015</v>
      </c>
      <c r="C2586" s="11" t="s">
        <v>1195</v>
      </c>
      <c r="D2586" s="9"/>
      <c r="E2586" s="9">
        <v>484</v>
      </c>
      <c r="F2586" s="10" t="s">
        <v>1066</v>
      </c>
      <c r="G2586" s="9">
        <v>916</v>
      </c>
      <c r="H2586" s="9">
        <v>1965</v>
      </c>
      <c r="I2586" s="8">
        <v>4003.2350000000001</v>
      </c>
      <c r="J2586" s="8">
        <v>3341.279</v>
      </c>
      <c r="K2586" s="8">
        <v>2799.9160000000002</v>
      </c>
      <c r="L2586" s="8">
        <v>2158.3850000000002</v>
      </c>
      <c r="M2586" s="8">
        <v>1763.953</v>
      </c>
      <c r="N2586" s="8">
        <v>1422.7049999999999</v>
      </c>
      <c r="O2586" s="8">
        <v>1262.835</v>
      </c>
      <c r="P2586" s="8">
        <v>1122.731</v>
      </c>
      <c r="Q2586" s="8">
        <v>941.37400000000002</v>
      </c>
      <c r="R2586" s="8">
        <v>743.30899999999997</v>
      </c>
      <c r="S2586" s="8">
        <v>678.63400000000001</v>
      </c>
      <c r="T2586" s="8">
        <v>553.56399999999996</v>
      </c>
      <c r="U2586" s="8">
        <v>467.678</v>
      </c>
      <c r="V2586" s="8">
        <v>345.846</v>
      </c>
      <c r="W2586" s="8">
        <v>229.941</v>
      </c>
      <c r="X2586" s="8">
        <v>145.358</v>
      </c>
      <c r="Y2586" s="8">
        <v>78.218999999999994</v>
      </c>
      <c r="Z2586" s="8">
        <v>32.438000000000002</v>
      </c>
      <c r="AA2586" s="8">
        <v>7.33</v>
      </c>
      <c r="AB2586" s="8">
        <v>2.0209999999999999</v>
      </c>
      <c r="AC2586" s="8">
        <v>0.39400000000000002</v>
      </c>
    </row>
    <row r="2587" spans="1:29" ht="11.65" hidden="1" x14ac:dyDescent="0.35">
      <c r="A2587" s="12">
        <v>2570</v>
      </c>
      <c r="B2587" s="10" t="s">
        <v>1015</v>
      </c>
      <c r="C2587" s="11" t="s">
        <v>1195</v>
      </c>
      <c r="D2587" s="9"/>
      <c r="E2587" s="9">
        <v>484</v>
      </c>
      <c r="F2587" s="10" t="s">
        <v>1066</v>
      </c>
      <c r="G2587" s="9">
        <v>916</v>
      </c>
      <c r="H2587" s="9">
        <v>1970</v>
      </c>
      <c r="I2587" s="8">
        <v>4656.9350000000004</v>
      </c>
      <c r="J2587" s="8">
        <v>3868.027</v>
      </c>
      <c r="K2587" s="8">
        <v>3285.058</v>
      </c>
      <c r="L2587" s="8">
        <v>2733.1019999999999</v>
      </c>
      <c r="M2587" s="8">
        <v>2073.788</v>
      </c>
      <c r="N2587" s="8">
        <v>1682.5830000000001</v>
      </c>
      <c r="O2587" s="8">
        <v>1362.0239999999999</v>
      </c>
      <c r="P2587" s="8">
        <v>1224.223</v>
      </c>
      <c r="Q2587" s="8">
        <v>1090.798</v>
      </c>
      <c r="R2587" s="8">
        <v>910.93799999999999</v>
      </c>
      <c r="S2587" s="8">
        <v>712.82100000000003</v>
      </c>
      <c r="T2587" s="8">
        <v>640.76800000000003</v>
      </c>
      <c r="U2587" s="8">
        <v>509.77</v>
      </c>
      <c r="V2587" s="8">
        <v>414.43799999999999</v>
      </c>
      <c r="W2587" s="8">
        <v>289.31799999999998</v>
      </c>
      <c r="X2587" s="8">
        <v>177.24299999999999</v>
      </c>
      <c r="Y2587" s="8">
        <v>96.718999999999994</v>
      </c>
      <c r="Z2587" s="8">
        <v>41.104999999999997</v>
      </c>
      <c r="AA2587" s="8">
        <v>12.983000000000001</v>
      </c>
      <c r="AB2587" s="8">
        <v>2.1389999999999998</v>
      </c>
      <c r="AC2587" s="8">
        <v>0.46800000000000003</v>
      </c>
    </row>
    <row r="2588" spans="1:29" ht="11.65" hidden="1" x14ac:dyDescent="0.35">
      <c r="A2588" s="12">
        <v>2571</v>
      </c>
      <c r="B2588" s="10" t="s">
        <v>1015</v>
      </c>
      <c r="C2588" s="11" t="s">
        <v>1195</v>
      </c>
      <c r="D2588" s="9"/>
      <c r="E2588" s="9">
        <v>484</v>
      </c>
      <c r="F2588" s="10" t="s">
        <v>1066</v>
      </c>
      <c r="G2588" s="9">
        <v>916</v>
      </c>
      <c r="H2588" s="9">
        <v>1975</v>
      </c>
      <c r="I2588" s="8">
        <v>5211.9250000000002</v>
      </c>
      <c r="J2588" s="8">
        <v>4527.9269999999997</v>
      </c>
      <c r="K2588" s="8">
        <v>3799.0169999999998</v>
      </c>
      <c r="L2588" s="8">
        <v>3194.63</v>
      </c>
      <c r="M2588" s="8">
        <v>2615.924</v>
      </c>
      <c r="N2588" s="8">
        <v>1964.431</v>
      </c>
      <c r="O2588" s="8">
        <v>1603.962</v>
      </c>
      <c r="P2588" s="8">
        <v>1318.9280000000001</v>
      </c>
      <c r="Q2588" s="8">
        <v>1191.2629999999999</v>
      </c>
      <c r="R2588" s="8">
        <v>1058.4059999999999</v>
      </c>
      <c r="S2588" s="8">
        <v>876.6</v>
      </c>
      <c r="T2588" s="8">
        <v>675.91499999999996</v>
      </c>
      <c r="U2588" s="8">
        <v>593.476</v>
      </c>
      <c r="V2588" s="8">
        <v>455.41500000000002</v>
      </c>
      <c r="W2588" s="8">
        <v>350.649</v>
      </c>
      <c r="X2588" s="8">
        <v>226.45699999999999</v>
      </c>
      <c r="Y2588" s="8">
        <v>120.55</v>
      </c>
      <c r="Z2588" s="8">
        <v>52.289000000000001</v>
      </c>
      <c r="AA2588" s="8">
        <v>17.023</v>
      </c>
      <c r="AB2588" s="8">
        <v>3.9359999999999999</v>
      </c>
      <c r="AC2588" s="8">
        <v>0.52400000000000002</v>
      </c>
    </row>
    <row r="2589" spans="1:29" ht="11.65" hidden="1" x14ac:dyDescent="0.35">
      <c r="A2589" s="12">
        <v>2572</v>
      </c>
      <c r="B2589" s="10" t="s">
        <v>1015</v>
      </c>
      <c r="C2589" s="11" t="s">
        <v>1195</v>
      </c>
      <c r="D2589" s="9"/>
      <c r="E2589" s="9">
        <v>484</v>
      </c>
      <c r="F2589" s="10" t="s">
        <v>1066</v>
      </c>
      <c r="G2589" s="9">
        <v>916</v>
      </c>
      <c r="H2589" s="9">
        <v>1980</v>
      </c>
      <c r="I2589" s="8">
        <v>5415.3879999999999</v>
      </c>
      <c r="J2589" s="8">
        <v>5103.2700000000004</v>
      </c>
      <c r="K2589" s="8">
        <v>4442.183</v>
      </c>
      <c r="L2589" s="8">
        <v>3676.4760000000001</v>
      </c>
      <c r="M2589" s="8">
        <v>3034.8780000000002</v>
      </c>
      <c r="N2589" s="8">
        <v>2467.1370000000002</v>
      </c>
      <c r="O2589" s="8">
        <v>1862.635</v>
      </c>
      <c r="P2589" s="8">
        <v>1553.308</v>
      </c>
      <c r="Q2589" s="8">
        <v>1285.7750000000001</v>
      </c>
      <c r="R2589" s="8">
        <v>1159.797</v>
      </c>
      <c r="S2589" s="8">
        <v>1023.087</v>
      </c>
      <c r="T2589" s="8">
        <v>835.92100000000005</v>
      </c>
      <c r="U2589" s="8">
        <v>630.62400000000002</v>
      </c>
      <c r="V2589" s="8">
        <v>535.71600000000001</v>
      </c>
      <c r="W2589" s="8">
        <v>391.18400000000003</v>
      </c>
      <c r="X2589" s="8">
        <v>279.964</v>
      </c>
      <c r="Y2589" s="8">
        <v>158.136</v>
      </c>
      <c r="Z2589" s="8">
        <v>67.331999999999994</v>
      </c>
      <c r="AA2589" s="8">
        <v>22.456</v>
      </c>
      <c r="AB2589" s="8">
        <v>5.3570000000000002</v>
      </c>
      <c r="AC2589" s="8">
        <v>0.92600000000000005</v>
      </c>
    </row>
    <row r="2590" spans="1:29" ht="11.65" hidden="1" x14ac:dyDescent="0.35">
      <c r="A2590" s="12">
        <v>2573</v>
      </c>
      <c r="B2590" s="10" t="s">
        <v>1015</v>
      </c>
      <c r="C2590" s="11" t="s">
        <v>1195</v>
      </c>
      <c r="D2590" s="9"/>
      <c r="E2590" s="9">
        <v>484</v>
      </c>
      <c r="F2590" s="10" t="s">
        <v>1066</v>
      </c>
      <c r="G2590" s="9">
        <v>916</v>
      </c>
      <c r="H2590" s="9">
        <v>1985</v>
      </c>
      <c r="I2590" s="8">
        <v>5448.6679999999997</v>
      </c>
      <c r="J2590" s="8">
        <v>5304.5249999999996</v>
      </c>
      <c r="K2590" s="8">
        <v>5068.3980000000001</v>
      </c>
      <c r="L2590" s="8">
        <v>4325.9859999999999</v>
      </c>
      <c r="M2590" s="8">
        <v>3599.72</v>
      </c>
      <c r="N2590" s="8">
        <v>2981.58</v>
      </c>
      <c r="O2590" s="8">
        <v>2419.44</v>
      </c>
      <c r="P2590" s="8">
        <v>1839.3969999999999</v>
      </c>
      <c r="Q2590" s="8">
        <v>1530.17</v>
      </c>
      <c r="R2590" s="8">
        <v>1259.5540000000001</v>
      </c>
      <c r="S2590" s="8">
        <v>1126.347</v>
      </c>
      <c r="T2590" s="8">
        <v>980.69100000000003</v>
      </c>
      <c r="U2590" s="8">
        <v>785.15800000000002</v>
      </c>
      <c r="V2590" s="8">
        <v>574.47400000000005</v>
      </c>
      <c r="W2590" s="8">
        <v>465.76299999999998</v>
      </c>
      <c r="X2590" s="8">
        <v>317.28500000000003</v>
      </c>
      <c r="Y2590" s="8">
        <v>199.89500000000001</v>
      </c>
      <c r="Z2590" s="8">
        <v>91.055999999999997</v>
      </c>
      <c r="AA2590" s="8">
        <v>30.004999999999999</v>
      </c>
      <c r="AB2590" s="8">
        <v>7.3680000000000003</v>
      </c>
      <c r="AC2590" s="8">
        <v>1.359</v>
      </c>
    </row>
    <row r="2591" spans="1:29" ht="11.65" hidden="1" x14ac:dyDescent="0.35">
      <c r="A2591" s="12">
        <v>2574</v>
      </c>
      <c r="B2591" s="10" t="s">
        <v>1015</v>
      </c>
      <c r="C2591" s="11" t="s">
        <v>1195</v>
      </c>
      <c r="D2591" s="9"/>
      <c r="E2591" s="9">
        <v>484</v>
      </c>
      <c r="F2591" s="10" t="s">
        <v>1066</v>
      </c>
      <c r="G2591" s="9">
        <v>916</v>
      </c>
      <c r="H2591" s="9">
        <v>1990</v>
      </c>
      <c r="I2591" s="8">
        <v>5644.5590000000002</v>
      </c>
      <c r="J2591" s="8">
        <v>5357.2610000000004</v>
      </c>
      <c r="K2591" s="8">
        <v>5201.0150000000003</v>
      </c>
      <c r="L2591" s="8">
        <v>4909.473</v>
      </c>
      <c r="M2591" s="8">
        <v>4118.2839999999997</v>
      </c>
      <c r="N2591" s="8">
        <v>3408.7339999999999</v>
      </c>
      <c r="O2591" s="8">
        <v>2852.5949999999998</v>
      </c>
      <c r="P2591" s="8">
        <v>2359.761</v>
      </c>
      <c r="Q2591" s="8">
        <v>1804.146</v>
      </c>
      <c r="R2591" s="8">
        <v>1499.327</v>
      </c>
      <c r="S2591" s="8">
        <v>1226.6980000000001</v>
      </c>
      <c r="T2591" s="8">
        <v>1084.213</v>
      </c>
      <c r="U2591" s="8">
        <v>926.125</v>
      </c>
      <c r="V2591" s="8">
        <v>720.19500000000005</v>
      </c>
      <c r="W2591" s="8">
        <v>504.22</v>
      </c>
      <c r="X2591" s="8">
        <v>382.45299999999997</v>
      </c>
      <c r="Y2591" s="8">
        <v>230.84399999999999</v>
      </c>
      <c r="Z2591" s="8">
        <v>118.42700000000001</v>
      </c>
      <c r="AA2591" s="8">
        <v>42.128999999999998</v>
      </c>
      <c r="AB2591" s="8">
        <v>10.305</v>
      </c>
      <c r="AC2591" s="8">
        <v>1.9810000000000001</v>
      </c>
    </row>
    <row r="2592" spans="1:29" ht="11.65" hidden="1" x14ac:dyDescent="0.35">
      <c r="A2592" s="12">
        <v>2575</v>
      </c>
      <c r="B2592" s="10" t="s">
        <v>1015</v>
      </c>
      <c r="C2592" s="11" t="s">
        <v>1195</v>
      </c>
      <c r="D2592" s="9"/>
      <c r="E2592" s="9">
        <v>484</v>
      </c>
      <c r="F2592" s="10" t="s">
        <v>1066</v>
      </c>
      <c r="G2592" s="9">
        <v>916</v>
      </c>
      <c r="H2592" s="9">
        <v>1995</v>
      </c>
      <c r="I2592" s="8">
        <v>5669.7489999999998</v>
      </c>
      <c r="J2592" s="8">
        <v>5601.5309999999999</v>
      </c>
      <c r="K2592" s="8">
        <v>5320.2420000000002</v>
      </c>
      <c r="L2592" s="8">
        <v>5057.1440000000002</v>
      </c>
      <c r="M2592" s="8">
        <v>4527.8630000000003</v>
      </c>
      <c r="N2592" s="8">
        <v>3987.1379999999999</v>
      </c>
      <c r="O2592" s="8">
        <v>3390.5189999999998</v>
      </c>
      <c r="P2592" s="8">
        <v>2832.991</v>
      </c>
      <c r="Q2592" s="8">
        <v>2336.9989999999998</v>
      </c>
      <c r="R2592" s="8">
        <v>1778.4459999999999</v>
      </c>
      <c r="S2592" s="8">
        <v>1466.9380000000001</v>
      </c>
      <c r="T2592" s="8">
        <v>1186.306</v>
      </c>
      <c r="U2592" s="8">
        <v>1029.81</v>
      </c>
      <c r="V2592" s="8">
        <v>855.673</v>
      </c>
      <c r="W2592" s="8">
        <v>637.91</v>
      </c>
      <c r="X2592" s="8">
        <v>419.03300000000002</v>
      </c>
      <c r="Y2592" s="8">
        <v>282.44600000000003</v>
      </c>
      <c r="Z2592" s="8">
        <v>138.81800000000001</v>
      </c>
      <c r="AA2592" s="8">
        <v>55.488999999999997</v>
      </c>
      <c r="AB2592" s="8">
        <v>14.58</v>
      </c>
      <c r="AC2592" s="8">
        <v>2.7869999999999999</v>
      </c>
    </row>
    <row r="2593" spans="1:29" ht="11.65" hidden="1" x14ac:dyDescent="0.35">
      <c r="A2593" s="12">
        <v>2576</v>
      </c>
      <c r="B2593" s="10" t="s">
        <v>1015</v>
      </c>
      <c r="C2593" s="11" t="s">
        <v>1195</v>
      </c>
      <c r="D2593" s="9"/>
      <c r="E2593" s="9">
        <v>484</v>
      </c>
      <c r="F2593" s="10" t="s">
        <v>1066</v>
      </c>
      <c r="G2593" s="9">
        <v>916</v>
      </c>
      <c r="H2593" s="9">
        <v>2000</v>
      </c>
      <c r="I2593" s="8">
        <v>5613.451</v>
      </c>
      <c r="J2593" s="8">
        <v>5604.9129999999996</v>
      </c>
      <c r="K2593" s="8">
        <v>5445.817</v>
      </c>
      <c r="L2593" s="8">
        <v>5113.0739999999996</v>
      </c>
      <c r="M2593" s="8">
        <v>4776.0060000000003</v>
      </c>
      <c r="N2593" s="8">
        <v>4394.0709999999999</v>
      </c>
      <c r="O2593" s="8">
        <v>3879.8040000000001</v>
      </c>
      <c r="P2593" s="8">
        <v>3323.0920000000001</v>
      </c>
      <c r="Q2593" s="8">
        <v>2786.6680000000001</v>
      </c>
      <c r="R2593" s="8">
        <v>2290.462</v>
      </c>
      <c r="S2593" s="8">
        <v>1738.0840000000001</v>
      </c>
      <c r="T2593" s="8">
        <v>1417.712</v>
      </c>
      <c r="U2593" s="8">
        <v>1126.518</v>
      </c>
      <c r="V2593" s="8">
        <v>951.79600000000005</v>
      </c>
      <c r="W2593" s="8">
        <v>758.23099999999999</v>
      </c>
      <c r="X2593" s="8">
        <v>529.85500000000002</v>
      </c>
      <c r="Y2593" s="8">
        <v>315.339</v>
      </c>
      <c r="Z2593" s="8">
        <v>183.04900000000001</v>
      </c>
      <c r="AA2593" s="8">
        <v>71.241</v>
      </c>
      <c r="AB2593" s="8">
        <v>19.617999999999999</v>
      </c>
      <c r="AC2593" s="8">
        <v>3.01</v>
      </c>
    </row>
    <row r="2594" spans="1:29" ht="11.65" hidden="1" x14ac:dyDescent="0.35">
      <c r="A2594" s="12">
        <v>2577</v>
      </c>
      <c r="B2594" s="10" t="s">
        <v>1015</v>
      </c>
      <c r="C2594" s="11" t="s">
        <v>1195</v>
      </c>
      <c r="D2594" s="9"/>
      <c r="E2594" s="9">
        <v>484</v>
      </c>
      <c r="F2594" s="10" t="s">
        <v>1066</v>
      </c>
      <c r="G2594" s="9">
        <v>916</v>
      </c>
      <c r="H2594" s="9">
        <v>2005</v>
      </c>
      <c r="I2594" s="8">
        <v>5577.35</v>
      </c>
      <c r="J2594" s="8">
        <v>5530.05</v>
      </c>
      <c r="K2594" s="8">
        <v>5511.1310000000003</v>
      </c>
      <c r="L2594" s="8">
        <v>5232.3440000000001</v>
      </c>
      <c r="M2594" s="8">
        <v>4906.3680000000004</v>
      </c>
      <c r="N2594" s="8">
        <v>4601.9120000000003</v>
      </c>
      <c r="O2594" s="8">
        <v>4352.1239999999998</v>
      </c>
      <c r="P2594" s="8">
        <v>3842.9630000000002</v>
      </c>
      <c r="Q2594" s="8">
        <v>3286.9569999999999</v>
      </c>
      <c r="R2594" s="8">
        <v>2747.3809999999999</v>
      </c>
      <c r="S2594" s="8">
        <v>2244.9090000000001</v>
      </c>
      <c r="T2594" s="8">
        <v>1686.827</v>
      </c>
      <c r="U2594" s="8">
        <v>1354.6590000000001</v>
      </c>
      <c r="V2594" s="8">
        <v>1050.24</v>
      </c>
      <c r="W2594" s="8">
        <v>853.875</v>
      </c>
      <c r="X2594" s="8">
        <v>640.75800000000004</v>
      </c>
      <c r="Y2594" s="8">
        <v>408.39100000000002</v>
      </c>
      <c r="Z2594" s="8">
        <v>211.25899999999999</v>
      </c>
      <c r="AA2594" s="8">
        <v>98.123999999999995</v>
      </c>
      <c r="AB2594" s="8">
        <v>26.593</v>
      </c>
      <c r="AC2594" s="8">
        <v>4.1369999999999996</v>
      </c>
    </row>
    <row r="2595" spans="1:29" ht="11.65" hidden="1" x14ac:dyDescent="0.35">
      <c r="A2595" s="12">
        <v>2578</v>
      </c>
      <c r="B2595" s="10" t="s">
        <v>1015</v>
      </c>
      <c r="C2595" s="11" t="s">
        <v>1195</v>
      </c>
      <c r="D2595" s="9"/>
      <c r="E2595" s="9">
        <v>484</v>
      </c>
      <c r="F2595" s="10" t="s">
        <v>1066</v>
      </c>
      <c r="G2595" s="9">
        <v>916</v>
      </c>
      <c r="H2595" s="9">
        <v>2010</v>
      </c>
      <c r="I2595" s="8">
        <v>5476.0870000000004</v>
      </c>
      <c r="J2595" s="8">
        <v>5549.2510000000002</v>
      </c>
      <c r="K2595" s="8">
        <v>5505.7849999999999</v>
      </c>
      <c r="L2595" s="8">
        <v>5497.0770000000002</v>
      </c>
      <c r="M2595" s="8">
        <v>5129.915</v>
      </c>
      <c r="N2595" s="8">
        <v>4829.6930000000002</v>
      </c>
      <c r="O2595" s="8">
        <v>4569.326</v>
      </c>
      <c r="P2595" s="8">
        <v>4321.5389999999998</v>
      </c>
      <c r="Q2595" s="8">
        <v>3806.3890000000001</v>
      </c>
      <c r="R2595" s="8">
        <v>3244.08</v>
      </c>
      <c r="S2595" s="8">
        <v>2696.3310000000001</v>
      </c>
      <c r="T2595" s="8">
        <v>2181.1930000000002</v>
      </c>
      <c r="U2595" s="8">
        <v>1612.991</v>
      </c>
      <c r="V2595" s="8">
        <v>1263.425</v>
      </c>
      <c r="W2595" s="8">
        <v>942.01099999999997</v>
      </c>
      <c r="X2595" s="8">
        <v>721.29200000000003</v>
      </c>
      <c r="Y2595" s="8">
        <v>493.43200000000002</v>
      </c>
      <c r="Z2595" s="8">
        <v>272.89499999999998</v>
      </c>
      <c r="AA2595" s="8">
        <v>112.62</v>
      </c>
      <c r="AB2595" s="8">
        <v>36.290999999999997</v>
      </c>
      <c r="AC2595" s="8">
        <v>5.5540000000000003</v>
      </c>
    </row>
    <row r="2596" spans="1:29" ht="11.65" hidden="1" x14ac:dyDescent="0.35">
      <c r="A2596" s="12">
        <v>2579</v>
      </c>
      <c r="B2596" s="10" t="s">
        <v>1015</v>
      </c>
      <c r="C2596" s="11" t="s">
        <v>1195</v>
      </c>
      <c r="D2596" s="9"/>
      <c r="E2596" s="9">
        <v>484</v>
      </c>
      <c r="F2596" s="10" t="s">
        <v>1066</v>
      </c>
      <c r="G2596" s="9">
        <v>916</v>
      </c>
      <c r="H2596" s="9">
        <v>2015</v>
      </c>
      <c r="I2596" s="8">
        <v>5489.183</v>
      </c>
      <c r="J2596" s="8">
        <v>5458.1610000000001</v>
      </c>
      <c r="K2596" s="8">
        <v>5542.16</v>
      </c>
      <c r="L2596" s="8">
        <v>5472.3810000000003</v>
      </c>
      <c r="M2596" s="8">
        <v>5451.55</v>
      </c>
      <c r="N2596" s="8">
        <v>5077.4189999999999</v>
      </c>
      <c r="O2596" s="8">
        <v>4781.4440000000004</v>
      </c>
      <c r="P2596" s="8">
        <v>4544.0959999999995</v>
      </c>
      <c r="Q2596" s="8">
        <v>4289.1170000000002</v>
      </c>
      <c r="R2596" s="8">
        <v>3762.7539999999999</v>
      </c>
      <c r="S2596" s="8">
        <v>3186.31</v>
      </c>
      <c r="T2596" s="8">
        <v>2621.3629999999998</v>
      </c>
      <c r="U2596" s="8">
        <v>2086.6379999999999</v>
      </c>
      <c r="V2596" s="8">
        <v>1504.4870000000001</v>
      </c>
      <c r="W2596" s="8">
        <v>1132.626</v>
      </c>
      <c r="X2596" s="8">
        <v>793.94100000000003</v>
      </c>
      <c r="Y2596" s="8">
        <v>552.60900000000004</v>
      </c>
      <c r="Z2596" s="8">
        <v>326.45499999999998</v>
      </c>
      <c r="AA2596" s="8">
        <v>143.251</v>
      </c>
      <c r="AB2596" s="8">
        <v>40.753</v>
      </c>
      <c r="AC2596" s="8">
        <v>7.3819999999999997</v>
      </c>
    </row>
    <row r="2597" spans="1:29" ht="11.65" hidden="1" x14ac:dyDescent="0.35">
      <c r="A2597" s="12">
        <v>2580</v>
      </c>
      <c r="B2597" s="10" t="s">
        <v>1015</v>
      </c>
      <c r="C2597" s="11" t="s">
        <v>1195</v>
      </c>
      <c r="D2597" s="9"/>
      <c r="E2597" s="9">
        <v>484</v>
      </c>
      <c r="F2597" s="10" t="s">
        <v>1066</v>
      </c>
      <c r="G2597" s="9">
        <v>916</v>
      </c>
      <c r="H2597" s="9">
        <v>2020</v>
      </c>
      <c r="I2597" s="8">
        <v>5353.9610000000002</v>
      </c>
      <c r="J2597" s="8">
        <v>5478.8050000000003</v>
      </c>
      <c r="K2597" s="8">
        <v>5448.0479999999998</v>
      </c>
      <c r="L2597" s="8">
        <v>5514.58</v>
      </c>
      <c r="M2597" s="8">
        <v>5434.6580000000004</v>
      </c>
      <c r="N2597" s="8">
        <v>5411.6440000000002</v>
      </c>
      <c r="O2597" s="8">
        <v>5041.4679999999998</v>
      </c>
      <c r="P2597" s="8">
        <v>4746.3609999999999</v>
      </c>
      <c r="Q2597" s="8">
        <v>4502.2259999999997</v>
      </c>
      <c r="R2597" s="8">
        <v>4233.0249999999996</v>
      </c>
      <c r="S2597" s="8">
        <v>3688.873</v>
      </c>
      <c r="T2597" s="8">
        <v>3090.5630000000001</v>
      </c>
      <c r="U2597" s="8">
        <v>2500.183</v>
      </c>
      <c r="V2597" s="8">
        <v>1938.297</v>
      </c>
      <c r="W2597" s="8">
        <v>1340.7159999999999</v>
      </c>
      <c r="X2597" s="8">
        <v>947.52800000000002</v>
      </c>
      <c r="Y2597" s="8">
        <v>602.43799999999999</v>
      </c>
      <c r="Z2597" s="8">
        <v>361.11799999999999</v>
      </c>
      <c r="AA2597" s="8">
        <v>168.09800000000001</v>
      </c>
      <c r="AB2597" s="8">
        <v>50.439</v>
      </c>
      <c r="AC2597" s="8">
        <v>8.2379999999999995</v>
      </c>
    </row>
    <row r="2598" spans="1:29" ht="11.65" hidden="1" x14ac:dyDescent="0.35">
      <c r="A2598" s="12">
        <v>2581</v>
      </c>
      <c r="B2598" s="10" t="s">
        <v>1015</v>
      </c>
      <c r="C2598" s="11" t="s">
        <v>1196</v>
      </c>
      <c r="D2598" s="9"/>
      <c r="E2598" s="9">
        <v>558</v>
      </c>
      <c r="F2598" s="10" t="s">
        <v>1066</v>
      </c>
      <c r="G2598" s="9">
        <v>916</v>
      </c>
      <c r="H2598" s="9">
        <v>1950</v>
      </c>
      <c r="I2598" s="8">
        <v>102.24</v>
      </c>
      <c r="J2598" s="8">
        <v>90.1</v>
      </c>
      <c r="K2598" s="8">
        <v>78.483000000000004</v>
      </c>
      <c r="L2598" s="8">
        <v>69.515000000000001</v>
      </c>
      <c r="M2598" s="8">
        <v>62.793999999999997</v>
      </c>
      <c r="N2598" s="8">
        <v>53.572000000000003</v>
      </c>
      <c r="O2598" s="8">
        <v>42.156999999999996</v>
      </c>
      <c r="P2598" s="8">
        <v>34.703000000000003</v>
      </c>
      <c r="Q2598" s="8">
        <v>28.623999999999999</v>
      </c>
      <c r="R2598" s="8">
        <v>23.259</v>
      </c>
      <c r="S2598" s="8">
        <v>17.986999999999998</v>
      </c>
      <c r="T2598" s="8">
        <v>15.012</v>
      </c>
      <c r="U2598" s="8">
        <v>12.708</v>
      </c>
      <c r="V2598" s="8">
        <v>9.0429999999999993</v>
      </c>
      <c r="W2598" s="8">
        <v>6.2539999999999996</v>
      </c>
      <c r="X2598" s="8">
        <v>3.016</v>
      </c>
      <c r="Y2598" s="8">
        <v>1.2490000000000001</v>
      </c>
      <c r="Z2598" s="8">
        <v>0.31900000000000001</v>
      </c>
      <c r="AA2598" s="8">
        <v>5.1999999999999998E-2</v>
      </c>
      <c r="AB2598" s="8">
        <v>6.0000000000000001E-3</v>
      </c>
      <c r="AC2598" s="8">
        <v>0</v>
      </c>
    </row>
    <row r="2599" spans="1:29" ht="11.65" hidden="1" x14ac:dyDescent="0.35">
      <c r="A2599" s="12">
        <v>2582</v>
      </c>
      <c r="B2599" s="10" t="s">
        <v>1015</v>
      </c>
      <c r="C2599" s="11" t="s">
        <v>1196</v>
      </c>
      <c r="D2599" s="9"/>
      <c r="E2599" s="9">
        <v>558</v>
      </c>
      <c r="F2599" s="10" t="s">
        <v>1066</v>
      </c>
      <c r="G2599" s="9">
        <v>916</v>
      </c>
      <c r="H2599" s="9">
        <v>1955</v>
      </c>
      <c r="I2599" s="8">
        <v>151.07900000000001</v>
      </c>
      <c r="J2599" s="8">
        <v>94.319000000000003</v>
      </c>
      <c r="K2599" s="8">
        <v>87.349000000000004</v>
      </c>
      <c r="L2599" s="8">
        <v>75.843000000000004</v>
      </c>
      <c r="M2599" s="8">
        <v>66.472999999999999</v>
      </c>
      <c r="N2599" s="8">
        <v>59.634</v>
      </c>
      <c r="O2599" s="8">
        <v>50.646999999999998</v>
      </c>
      <c r="P2599" s="8">
        <v>39.65</v>
      </c>
      <c r="Q2599" s="8">
        <v>32.485999999999997</v>
      </c>
      <c r="R2599" s="8">
        <v>26.631</v>
      </c>
      <c r="S2599" s="8">
        <v>21.347999999999999</v>
      </c>
      <c r="T2599" s="8">
        <v>16.132000000000001</v>
      </c>
      <c r="U2599" s="8">
        <v>12.955</v>
      </c>
      <c r="V2599" s="8">
        <v>10.311999999999999</v>
      </c>
      <c r="W2599" s="8">
        <v>6.6420000000000003</v>
      </c>
      <c r="X2599" s="8">
        <v>3.915</v>
      </c>
      <c r="Y2599" s="8">
        <v>1.3939999999999999</v>
      </c>
      <c r="Z2599" s="8">
        <v>0.36099999999999999</v>
      </c>
      <c r="AA2599" s="8">
        <v>5.7000000000000002E-2</v>
      </c>
      <c r="AB2599" s="8">
        <v>6.0000000000000001E-3</v>
      </c>
      <c r="AC2599" s="8">
        <v>0</v>
      </c>
    </row>
    <row r="2600" spans="1:29" ht="11.65" hidden="1" x14ac:dyDescent="0.35">
      <c r="A2600" s="12">
        <v>2583</v>
      </c>
      <c r="B2600" s="10" t="s">
        <v>1015</v>
      </c>
      <c r="C2600" s="11" t="s">
        <v>1196</v>
      </c>
      <c r="D2600" s="9"/>
      <c r="E2600" s="9">
        <v>558</v>
      </c>
      <c r="F2600" s="10" t="s">
        <v>1066</v>
      </c>
      <c r="G2600" s="9">
        <v>916</v>
      </c>
      <c r="H2600" s="9">
        <v>1960</v>
      </c>
      <c r="I2600" s="8">
        <v>178.95699999999999</v>
      </c>
      <c r="J2600" s="8">
        <v>140.76300000000001</v>
      </c>
      <c r="K2600" s="8">
        <v>91.736999999999995</v>
      </c>
      <c r="L2600" s="8">
        <v>84.712000000000003</v>
      </c>
      <c r="M2600" s="8">
        <v>72.817999999999998</v>
      </c>
      <c r="N2600" s="8">
        <v>63.41</v>
      </c>
      <c r="O2600" s="8">
        <v>56.713999999999999</v>
      </c>
      <c r="P2600" s="8">
        <v>47.984000000000002</v>
      </c>
      <c r="Q2600" s="8">
        <v>37.380000000000003</v>
      </c>
      <c r="R2600" s="8">
        <v>30.443999999999999</v>
      </c>
      <c r="S2600" s="8">
        <v>24.64</v>
      </c>
      <c r="T2600" s="8">
        <v>19.349</v>
      </c>
      <c r="U2600" s="8">
        <v>14.106999999999999</v>
      </c>
      <c r="V2600" s="8">
        <v>10.707000000000001</v>
      </c>
      <c r="W2600" s="8">
        <v>7.7439999999999998</v>
      </c>
      <c r="X2600" s="8">
        <v>4.2839999999999998</v>
      </c>
      <c r="Y2600" s="8">
        <v>1.913</v>
      </c>
      <c r="Z2600" s="8">
        <v>0.44600000000000001</v>
      </c>
      <c r="AA2600" s="8">
        <v>7.1999999999999995E-2</v>
      </c>
      <c r="AB2600" s="8">
        <v>8.0000000000000002E-3</v>
      </c>
      <c r="AC2600" s="8">
        <v>0</v>
      </c>
    </row>
    <row r="2601" spans="1:29" ht="11.65" hidden="1" x14ac:dyDescent="0.35">
      <c r="A2601" s="12">
        <v>2584</v>
      </c>
      <c r="B2601" s="10" t="s">
        <v>1015</v>
      </c>
      <c r="C2601" s="11" t="s">
        <v>1196</v>
      </c>
      <c r="D2601" s="9"/>
      <c r="E2601" s="9">
        <v>558</v>
      </c>
      <c r="F2601" s="10" t="s">
        <v>1066</v>
      </c>
      <c r="G2601" s="9">
        <v>916</v>
      </c>
      <c r="H2601" s="9">
        <v>1965</v>
      </c>
      <c r="I2601" s="8">
        <v>196.45400000000001</v>
      </c>
      <c r="J2601" s="8">
        <v>168.24799999999999</v>
      </c>
      <c r="K2601" s="8">
        <v>137.53</v>
      </c>
      <c r="L2601" s="8">
        <v>89.141000000000005</v>
      </c>
      <c r="M2601" s="8">
        <v>81.578999999999994</v>
      </c>
      <c r="N2601" s="8">
        <v>69.706000000000003</v>
      </c>
      <c r="O2601" s="8">
        <v>60.558</v>
      </c>
      <c r="P2601" s="8">
        <v>54.027999999999999</v>
      </c>
      <c r="Q2601" s="8">
        <v>45.546999999999997</v>
      </c>
      <c r="R2601" s="8">
        <v>35.253999999999998</v>
      </c>
      <c r="S2601" s="8">
        <v>28.372</v>
      </c>
      <c r="T2601" s="8">
        <v>22.55</v>
      </c>
      <c r="U2601" s="8">
        <v>17.146000000000001</v>
      </c>
      <c r="V2601" s="8">
        <v>11.88</v>
      </c>
      <c r="W2601" s="8">
        <v>8.2230000000000008</v>
      </c>
      <c r="X2601" s="8">
        <v>5.14</v>
      </c>
      <c r="Y2601" s="8">
        <v>2.2029999999999998</v>
      </c>
      <c r="Z2601" s="8">
        <v>0.66800000000000004</v>
      </c>
      <c r="AA2601" s="8">
        <v>0.104</v>
      </c>
      <c r="AB2601" s="8">
        <v>1.2E-2</v>
      </c>
      <c r="AC2601" s="8">
        <v>1E-3</v>
      </c>
    </row>
    <row r="2602" spans="1:29" ht="11.65" hidden="1" x14ac:dyDescent="0.35">
      <c r="A2602" s="12">
        <v>2585</v>
      </c>
      <c r="B2602" s="10" t="s">
        <v>1015</v>
      </c>
      <c r="C2602" s="11" t="s">
        <v>1196</v>
      </c>
      <c r="D2602" s="9"/>
      <c r="E2602" s="9">
        <v>558</v>
      </c>
      <c r="F2602" s="10" t="s">
        <v>1066</v>
      </c>
      <c r="G2602" s="9">
        <v>916</v>
      </c>
      <c r="H2602" s="9">
        <v>1970</v>
      </c>
      <c r="I2602" s="8">
        <v>220.32499999999999</v>
      </c>
      <c r="J2602" s="8">
        <v>186.26400000000001</v>
      </c>
      <c r="K2602" s="8">
        <v>164.922</v>
      </c>
      <c r="L2602" s="8">
        <v>134.32300000000001</v>
      </c>
      <c r="M2602" s="8">
        <v>86.022999999999996</v>
      </c>
      <c r="N2602" s="8">
        <v>78.38</v>
      </c>
      <c r="O2602" s="8">
        <v>66.86</v>
      </c>
      <c r="P2602" s="8">
        <v>57.984999999999999</v>
      </c>
      <c r="Q2602" s="8">
        <v>51.582000000000001</v>
      </c>
      <c r="R2602" s="8">
        <v>43.246000000000002</v>
      </c>
      <c r="S2602" s="8">
        <v>33.094000000000001</v>
      </c>
      <c r="T2602" s="8">
        <v>26.207000000000001</v>
      </c>
      <c r="U2602" s="8">
        <v>20.245999999999999</v>
      </c>
      <c r="V2602" s="8">
        <v>14.709</v>
      </c>
      <c r="W2602" s="8">
        <v>9.327</v>
      </c>
      <c r="X2602" s="8">
        <v>5.6120000000000001</v>
      </c>
      <c r="Y2602" s="8">
        <v>2.778</v>
      </c>
      <c r="Z2602" s="8">
        <v>0.83699999999999997</v>
      </c>
      <c r="AA2602" s="8">
        <v>0.17799999999999999</v>
      </c>
      <c r="AB2602" s="8">
        <v>1.9E-2</v>
      </c>
      <c r="AC2602" s="8">
        <v>2E-3</v>
      </c>
    </row>
    <row r="2603" spans="1:29" ht="11.65" hidden="1" x14ac:dyDescent="0.35">
      <c r="A2603" s="12">
        <v>2586</v>
      </c>
      <c r="B2603" s="10" t="s">
        <v>1015</v>
      </c>
      <c r="C2603" s="11" t="s">
        <v>1196</v>
      </c>
      <c r="D2603" s="9"/>
      <c r="E2603" s="9">
        <v>558</v>
      </c>
      <c r="F2603" s="10" t="s">
        <v>1066</v>
      </c>
      <c r="G2603" s="9">
        <v>916</v>
      </c>
      <c r="H2603" s="9">
        <v>1975</v>
      </c>
      <c r="I2603" s="8">
        <v>260.56400000000002</v>
      </c>
      <c r="J2603" s="8">
        <v>209.74</v>
      </c>
      <c r="K2603" s="8">
        <v>181.982</v>
      </c>
      <c r="L2603" s="8">
        <v>160.01599999999999</v>
      </c>
      <c r="M2603" s="8">
        <v>128.78800000000001</v>
      </c>
      <c r="N2603" s="8">
        <v>81.347999999999999</v>
      </c>
      <c r="O2603" s="8">
        <v>74.316999999999993</v>
      </c>
      <c r="P2603" s="8">
        <v>63.506999999999998</v>
      </c>
      <c r="Q2603" s="8">
        <v>55.008000000000003</v>
      </c>
      <c r="R2603" s="8">
        <v>48.837000000000003</v>
      </c>
      <c r="S2603" s="8">
        <v>40.616</v>
      </c>
      <c r="T2603" s="8">
        <v>30.709</v>
      </c>
      <c r="U2603" s="8">
        <v>23.763999999999999</v>
      </c>
      <c r="V2603" s="8">
        <v>17.661999999999999</v>
      </c>
      <c r="W2603" s="8">
        <v>11.788</v>
      </c>
      <c r="X2603" s="8">
        <v>6.5430000000000001</v>
      </c>
      <c r="Y2603" s="8">
        <v>3.177</v>
      </c>
      <c r="Z2603" s="8">
        <v>1.1399999999999999</v>
      </c>
      <c r="AA2603" s="8">
        <v>0.249</v>
      </c>
      <c r="AB2603" s="8">
        <v>3.7999999999999999E-2</v>
      </c>
      <c r="AC2603" s="8">
        <v>3.0000000000000001E-3</v>
      </c>
    </row>
    <row r="2604" spans="1:29" ht="11.65" hidden="1" x14ac:dyDescent="0.35">
      <c r="A2604" s="12">
        <v>2587</v>
      </c>
      <c r="B2604" s="10" t="s">
        <v>1015</v>
      </c>
      <c r="C2604" s="11" t="s">
        <v>1196</v>
      </c>
      <c r="D2604" s="9"/>
      <c r="E2604" s="9">
        <v>558</v>
      </c>
      <c r="F2604" s="10" t="s">
        <v>1066</v>
      </c>
      <c r="G2604" s="9">
        <v>916</v>
      </c>
      <c r="H2604" s="9">
        <v>1980</v>
      </c>
      <c r="I2604" s="8">
        <v>301.92200000000003</v>
      </c>
      <c r="J2604" s="8">
        <v>249.459</v>
      </c>
      <c r="K2604" s="8">
        <v>204.87</v>
      </c>
      <c r="L2604" s="8">
        <v>176.36</v>
      </c>
      <c r="M2604" s="8">
        <v>153.49</v>
      </c>
      <c r="N2604" s="8">
        <v>122.733</v>
      </c>
      <c r="O2604" s="8">
        <v>76.861000000000004</v>
      </c>
      <c r="P2604" s="8">
        <v>70.510000000000005</v>
      </c>
      <c r="Q2604" s="8">
        <v>60.22</v>
      </c>
      <c r="R2604" s="8">
        <v>52.087000000000003</v>
      </c>
      <c r="S2604" s="8">
        <v>46.009</v>
      </c>
      <c r="T2604" s="8">
        <v>37.956000000000003</v>
      </c>
      <c r="U2604" s="8">
        <v>28.143000000000001</v>
      </c>
      <c r="V2604" s="8">
        <v>21.079000000000001</v>
      </c>
      <c r="W2604" s="8">
        <v>14.445</v>
      </c>
      <c r="X2604" s="8">
        <v>8.4930000000000003</v>
      </c>
      <c r="Y2604" s="8">
        <v>3.8740000000000001</v>
      </c>
      <c r="Z2604" s="8">
        <v>1.401</v>
      </c>
      <c r="AA2604" s="8">
        <v>0.371</v>
      </c>
      <c r="AB2604" s="8">
        <v>5.8999999999999997E-2</v>
      </c>
      <c r="AC2604" s="8">
        <v>6.0000000000000001E-3</v>
      </c>
    </row>
    <row r="2605" spans="1:29" ht="11.65" hidden="1" x14ac:dyDescent="0.35">
      <c r="A2605" s="12">
        <v>2588</v>
      </c>
      <c r="B2605" s="10" t="s">
        <v>1015</v>
      </c>
      <c r="C2605" s="11" t="s">
        <v>1196</v>
      </c>
      <c r="D2605" s="9"/>
      <c r="E2605" s="9">
        <v>558</v>
      </c>
      <c r="F2605" s="10" t="s">
        <v>1066</v>
      </c>
      <c r="G2605" s="9">
        <v>916</v>
      </c>
      <c r="H2605" s="9">
        <v>1985</v>
      </c>
      <c r="I2605" s="8">
        <v>336.78300000000002</v>
      </c>
      <c r="J2605" s="8">
        <v>288.77699999999999</v>
      </c>
      <c r="K2605" s="8">
        <v>240.96799999999999</v>
      </c>
      <c r="L2605" s="8">
        <v>195.988</v>
      </c>
      <c r="M2605" s="8">
        <v>167.08699999999999</v>
      </c>
      <c r="N2605" s="8">
        <v>145.102</v>
      </c>
      <c r="O2605" s="8">
        <v>116.041</v>
      </c>
      <c r="P2605" s="8">
        <v>71.903999999999996</v>
      </c>
      <c r="Q2605" s="8">
        <v>66.262</v>
      </c>
      <c r="R2605" s="8">
        <v>56.415999999999997</v>
      </c>
      <c r="S2605" s="8">
        <v>48.555999999999997</v>
      </c>
      <c r="T2605" s="8">
        <v>42.728999999999999</v>
      </c>
      <c r="U2605" s="8">
        <v>34.795000000000002</v>
      </c>
      <c r="V2605" s="8">
        <v>25.093</v>
      </c>
      <c r="W2605" s="8">
        <v>17.445</v>
      </c>
      <c r="X2605" s="8">
        <v>10.691000000000001</v>
      </c>
      <c r="Y2605" s="8">
        <v>5.2510000000000003</v>
      </c>
      <c r="Z2605" s="8">
        <v>1.8280000000000001</v>
      </c>
      <c r="AA2605" s="8">
        <v>0.5</v>
      </c>
      <c r="AB2605" s="8">
        <v>9.8000000000000004E-2</v>
      </c>
      <c r="AC2605" s="8">
        <v>1.0999999999999999E-2</v>
      </c>
    </row>
    <row r="2606" spans="1:29" ht="11.65" hidden="1" x14ac:dyDescent="0.35">
      <c r="A2606" s="12">
        <v>2589</v>
      </c>
      <c r="B2606" s="10" t="s">
        <v>1015</v>
      </c>
      <c r="C2606" s="11" t="s">
        <v>1196</v>
      </c>
      <c r="D2606" s="9"/>
      <c r="E2606" s="9">
        <v>558</v>
      </c>
      <c r="F2606" s="10" t="s">
        <v>1066</v>
      </c>
      <c r="G2606" s="9">
        <v>916</v>
      </c>
      <c r="H2606" s="9">
        <v>1990</v>
      </c>
      <c r="I2606" s="8">
        <v>342.303</v>
      </c>
      <c r="J2606" s="8">
        <v>322.29599999999999</v>
      </c>
      <c r="K2606" s="8">
        <v>276.32</v>
      </c>
      <c r="L2606" s="8">
        <v>228.768</v>
      </c>
      <c r="M2606" s="8">
        <v>184.87799999999999</v>
      </c>
      <c r="N2606" s="8">
        <v>157.49299999999999</v>
      </c>
      <c r="O2606" s="8">
        <v>137.023</v>
      </c>
      <c r="P2606" s="8">
        <v>109.569</v>
      </c>
      <c r="Q2606" s="8">
        <v>67.576999999999998</v>
      </c>
      <c r="R2606" s="8">
        <v>62.725999999999999</v>
      </c>
      <c r="S2606" s="8">
        <v>53.3</v>
      </c>
      <c r="T2606" s="8">
        <v>45.616999999999997</v>
      </c>
      <c r="U2606" s="8">
        <v>39.472999999999999</v>
      </c>
      <c r="V2606" s="8">
        <v>31.158999999999999</v>
      </c>
      <c r="W2606" s="8">
        <v>21.027999999999999</v>
      </c>
      <c r="X2606" s="8">
        <v>13.257</v>
      </c>
      <c r="Y2606" s="8">
        <v>6.8879999999999999</v>
      </c>
      <c r="Z2606" s="8">
        <v>2.6379999999999999</v>
      </c>
      <c r="AA2606" s="8">
        <v>0.70499999999999996</v>
      </c>
      <c r="AB2606" s="8">
        <v>0.14299999999999999</v>
      </c>
      <c r="AC2606" s="8">
        <v>2.1000000000000001E-2</v>
      </c>
    </row>
    <row r="2607" spans="1:29" ht="11.65" hidden="1" x14ac:dyDescent="0.35">
      <c r="A2607" s="12">
        <v>2590</v>
      </c>
      <c r="B2607" s="10" t="s">
        <v>1015</v>
      </c>
      <c r="C2607" s="11" t="s">
        <v>1196</v>
      </c>
      <c r="D2607" s="9"/>
      <c r="E2607" s="9">
        <v>558</v>
      </c>
      <c r="F2607" s="10" t="s">
        <v>1066</v>
      </c>
      <c r="G2607" s="9">
        <v>916</v>
      </c>
      <c r="H2607" s="9">
        <v>1995</v>
      </c>
      <c r="I2607" s="8">
        <v>343.96600000000001</v>
      </c>
      <c r="J2607" s="8">
        <v>332.01299999999998</v>
      </c>
      <c r="K2607" s="8">
        <v>311.70999999999998</v>
      </c>
      <c r="L2607" s="8">
        <v>265.41300000000001</v>
      </c>
      <c r="M2607" s="8">
        <v>219.24</v>
      </c>
      <c r="N2607" s="8">
        <v>177.17</v>
      </c>
      <c r="O2607" s="8">
        <v>151.29599999999999</v>
      </c>
      <c r="P2607" s="8">
        <v>131.643</v>
      </c>
      <c r="Q2607" s="8">
        <v>105.65300000000001</v>
      </c>
      <c r="R2607" s="8">
        <v>64.885000000000005</v>
      </c>
      <c r="S2607" s="8">
        <v>60.042000000000002</v>
      </c>
      <c r="T2607" s="8">
        <v>50.466000000000001</v>
      </c>
      <c r="U2607" s="8">
        <v>42.295000000000002</v>
      </c>
      <c r="V2607" s="8">
        <v>35.433999999999997</v>
      </c>
      <c r="W2607" s="8">
        <v>26.422000000000001</v>
      </c>
      <c r="X2607" s="8">
        <v>16.393000000000001</v>
      </c>
      <c r="Y2607" s="8">
        <v>8.8870000000000005</v>
      </c>
      <c r="Z2607" s="8">
        <v>3.6720000000000002</v>
      </c>
      <c r="AA2607" s="8">
        <v>1.0960000000000001</v>
      </c>
      <c r="AB2607" s="8">
        <v>0.221</v>
      </c>
      <c r="AC2607" s="8">
        <v>3.4000000000000002E-2</v>
      </c>
    </row>
    <row r="2608" spans="1:29" ht="11.65" hidden="1" x14ac:dyDescent="0.35">
      <c r="A2608" s="12">
        <v>2591</v>
      </c>
      <c r="B2608" s="10" t="s">
        <v>1015</v>
      </c>
      <c r="C2608" s="11" t="s">
        <v>1196</v>
      </c>
      <c r="D2608" s="9"/>
      <c r="E2608" s="9">
        <v>558</v>
      </c>
      <c r="F2608" s="10" t="s">
        <v>1066</v>
      </c>
      <c r="G2608" s="9">
        <v>916</v>
      </c>
      <c r="H2608" s="9">
        <v>2000</v>
      </c>
      <c r="I2608" s="8">
        <v>328.45100000000002</v>
      </c>
      <c r="J2608" s="8">
        <v>334.28100000000001</v>
      </c>
      <c r="K2608" s="8">
        <v>320.83499999999998</v>
      </c>
      <c r="L2608" s="8">
        <v>298.64</v>
      </c>
      <c r="M2608" s="8">
        <v>252.76599999999999</v>
      </c>
      <c r="N2608" s="8">
        <v>208.93</v>
      </c>
      <c r="O2608" s="8">
        <v>169.71199999999999</v>
      </c>
      <c r="P2608" s="8">
        <v>145.65100000000001</v>
      </c>
      <c r="Q2608" s="8">
        <v>126.681</v>
      </c>
      <c r="R2608" s="8">
        <v>101.508</v>
      </c>
      <c r="S2608" s="8">
        <v>61.771999999999998</v>
      </c>
      <c r="T2608" s="8">
        <v>57.261000000000003</v>
      </c>
      <c r="U2608" s="8">
        <v>47.185000000000002</v>
      </c>
      <c r="V2608" s="8">
        <v>38.238999999999997</v>
      </c>
      <c r="W2608" s="8">
        <v>30.472999999999999</v>
      </c>
      <c r="X2608" s="8">
        <v>21.117000000000001</v>
      </c>
      <c r="Y2608" s="8">
        <v>11.417999999999999</v>
      </c>
      <c r="Z2608" s="8">
        <v>5.0129999999999999</v>
      </c>
      <c r="AA2608" s="8">
        <v>1.6359999999999999</v>
      </c>
      <c r="AB2608" s="8">
        <v>0.371</v>
      </c>
      <c r="AC2608" s="8">
        <v>5.7000000000000002E-2</v>
      </c>
    </row>
    <row r="2609" spans="1:29" ht="11.65" hidden="1" x14ac:dyDescent="0.35">
      <c r="A2609" s="12">
        <v>2592</v>
      </c>
      <c r="B2609" s="10" t="s">
        <v>1015</v>
      </c>
      <c r="C2609" s="11" t="s">
        <v>1196</v>
      </c>
      <c r="D2609" s="9"/>
      <c r="E2609" s="9">
        <v>558</v>
      </c>
      <c r="F2609" s="10" t="s">
        <v>1066</v>
      </c>
      <c r="G2609" s="9">
        <v>916</v>
      </c>
      <c r="H2609" s="9">
        <v>2005</v>
      </c>
      <c r="I2609" s="8">
        <v>321.55900000000003</v>
      </c>
      <c r="J2609" s="8">
        <v>318.84399999999999</v>
      </c>
      <c r="K2609" s="8">
        <v>321.95400000000001</v>
      </c>
      <c r="L2609" s="8">
        <v>306.05200000000002</v>
      </c>
      <c r="M2609" s="8">
        <v>283.61</v>
      </c>
      <c r="N2609" s="8">
        <v>240.48099999999999</v>
      </c>
      <c r="O2609" s="8">
        <v>199.72300000000001</v>
      </c>
      <c r="P2609" s="8">
        <v>162.89099999999999</v>
      </c>
      <c r="Q2609" s="8">
        <v>139.82</v>
      </c>
      <c r="R2609" s="8">
        <v>121.961</v>
      </c>
      <c r="S2609" s="8">
        <v>97.739000000000004</v>
      </c>
      <c r="T2609" s="8">
        <v>59.283000000000001</v>
      </c>
      <c r="U2609" s="8">
        <v>53.972000000000001</v>
      </c>
      <c r="V2609" s="8">
        <v>43.161999999999999</v>
      </c>
      <c r="W2609" s="8">
        <v>33.444000000000003</v>
      </c>
      <c r="X2609" s="8">
        <v>24.943999999999999</v>
      </c>
      <c r="Y2609" s="8">
        <v>15.259</v>
      </c>
      <c r="Z2609" s="8">
        <v>6.7919999999999998</v>
      </c>
      <c r="AA2609" s="8">
        <v>2.3860000000000001</v>
      </c>
      <c r="AB2609" s="8">
        <v>0.58199999999999996</v>
      </c>
      <c r="AC2609" s="8">
        <v>9.5000000000000001E-2</v>
      </c>
    </row>
    <row r="2610" spans="1:29" ht="11.65" hidden="1" x14ac:dyDescent="0.35">
      <c r="A2610" s="12">
        <v>2593</v>
      </c>
      <c r="B2610" s="10" t="s">
        <v>1015</v>
      </c>
      <c r="C2610" s="11" t="s">
        <v>1196</v>
      </c>
      <c r="D2610" s="9"/>
      <c r="E2610" s="9">
        <v>558</v>
      </c>
      <c r="F2610" s="10" t="s">
        <v>1066</v>
      </c>
      <c r="G2610" s="9">
        <v>916</v>
      </c>
      <c r="H2610" s="9">
        <v>2010</v>
      </c>
      <c r="I2610" s="8">
        <v>325.82</v>
      </c>
      <c r="J2610" s="8">
        <v>312.95</v>
      </c>
      <c r="K2610" s="8">
        <v>307.68700000000001</v>
      </c>
      <c r="L2610" s="8">
        <v>308.49099999999999</v>
      </c>
      <c r="M2610" s="8">
        <v>292.46499999999997</v>
      </c>
      <c r="N2610" s="8">
        <v>272.51499999999999</v>
      </c>
      <c r="O2610" s="8">
        <v>232.136</v>
      </c>
      <c r="P2610" s="8">
        <v>193.25800000000001</v>
      </c>
      <c r="Q2610" s="8">
        <v>157.43700000000001</v>
      </c>
      <c r="R2610" s="8">
        <v>135.52600000000001</v>
      </c>
      <c r="S2610" s="8">
        <v>118.324</v>
      </c>
      <c r="T2610" s="8">
        <v>94.311000000000007</v>
      </c>
      <c r="U2610" s="8">
        <v>56.161000000000001</v>
      </c>
      <c r="V2610" s="8">
        <v>49.737000000000002</v>
      </c>
      <c r="W2610" s="8">
        <v>38.183999999999997</v>
      </c>
      <c r="X2610" s="8">
        <v>27.847999999999999</v>
      </c>
      <c r="Y2610" s="8">
        <v>18.468</v>
      </c>
      <c r="Z2610" s="8">
        <v>9.3460000000000001</v>
      </c>
      <c r="AA2610" s="8">
        <v>3.3069999999999999</v>
      </c>
      <c r="AB2610" s="8">
        <v>0.85799999999999998</v>
      </c>
      <c r="AC2610" s="8">
        <v>0.14899999999999999</v>
      </c>
    </row>
    <row r="2611" spans="1:29" ht="11.65" hidden="1" x14ac:dyDescent="0.35">
      <c r="A2611" s="12">
        <v>2594</v>
      </c>
      <c r="B2611" s="10" t="s">
        <v>1015</v>
      </c>
      <c r="C2611" s="11" t="s">
        <v>1196</v>
      </c>
      <c r="D2611" s="9"/>
      <c r="E2611" s="9">
        <v>558</v>
      </c>
      <c r="F2611" s="10" t="s">
        <v>1066</v>
      </c>
      <c r="G2611" s="9">
        <v>916</v>
      </c>
      <c r="H2611" s="9">
        <v>2015</v>
      </c>
      <c r="I2611" s="8">
        <v>328.14800000000002</v>
      </c>
      <c r="J2611" s="8">
        <v>317.41699999999997</v>
      </c>
      <c r="K2611" s="8">
        <v>301.76799999999997</v>
      </c>
      <c r="L2611" s="8">
        <v>294.23099999999999</v>
      </c>
      <c r="M2611" s="8">
        <v>295.267</v>
      </c>
      <c r="N2611" s="8">
        <v>281.95</v>
      </c>
      <c r="O2611" s="8">
        <v>264.83600000000001</v>
      </c>
      <c r="P2611" s="8">
        <v>226.435</v>
      </c>
      <c r="Q2611" s="8">
        <v>188.33699999999999</v>
      </c>
      <c r="R2611" s="8">
        <v>153.44800000000001</v>
      </c>
      <c r="S2611" s="8">
        <v>132.04499999999999</v>
      </c>
      <c r="T2611" s="8">
        <v>114.571</v>
      </c>
      <c r="U2611" s="8">
        <v>89.802000000000007</v>
      </c>
      <c r="V2611" s="8">
        <v>52.14</v>
      </c>
      <c r="W2611" s="8">
        <v>44.502000000000002</v>
      </c>
      <c r="X2611" s="8">
        <v>32.334000000000003</v>
      </c>
      <c r="Y2611" s="8">
        <v>21.111999999999998</v>
      </c>
      <c r="Z2611" s="8">
        <v>11.634</v>
      </c>
      <c r="AA2611" s="8">
        <v>4.6539999999999999</v>
      </c>
      <c r="AB2611" s="8">
        <v>1.2030000000000001</v>
      </c>
      <c r="AC2611" s="8">
        <v>0.22</v>
      </c>
    </row>
    <row r="2612" spans="1:29" ht="11.65" hidden="1" x14ac:dyDescent="0.35">
      <c r="A2612" s="12">
        <v>2595</v>
      </c>
      <c r="B2612" s="10" t="s">
        <v>1015</v>
      </c>
      <c r="C2612" s="11" t="s">
        <v>1196</v>
      </c>
      <c r="D2612" s="9"/>
      <c r="E2612" s="9">
        <v>558</v>
      </c>
      <c r="F2612" s="10" t="s">
        <v>1066</v>
      </c>
      <c r="G2612" s="9">
        <v>916</v>
      </c>
      <c r="H2612" s="9">
        <v>2020</v>
      </c>
      <c r="I2612" s="8">
        <v>321.43099999999998</v>
      </c>
      <c r="J2612" s="8">
        <v>321.43599999999998</v>
      </c>
      <c r="K2612" s="8">
        <v>308.55799999999999</v>
      </c>
      <c r="L2612" s="8">
        <v>291.125</v>
      </c>
      <c r="M2612" s="8">
        <v>283.77300000000002</v>
      </c>
      <c r="N2612" s="8">
        <v>286.86500000000001</v>
      </c>
      <c r="O2612" s="8">
        <v>275.73399999999998</v>
      </c>
      <c r="P2612" s="8">
        <v>259.98200000000003</v>
      </c>
      <c r="Q2612" s="8">
        <v>222.05500000000001</v>
      </c>
      <c r="R2612" s="8">
        <v>184.56800000000001</v>
      </c>
      <c r="S2612" s="8">
        <v>150.066</v>
      </c>
      <c r="T2612" s="8">
        <v>128.29599999999999</v>
      </c>
      <c r="U2612" s="8">
        <v>109.643</v>
      </c>
      <c r="V2612" s="8">
        <v>83.986000000000004</v>
      </c>
      <c r="W2612" s="8">
        <v>47.176000000000002</v>
      </c>
      <c r="X2612" s="8">
        <v>38.314</v>
      </c>
      <c r="Y2612" s="8">
        <v>25.087</v>
      </c>
      <c r="Z2612" s="8">
        <v>13.669</v>
      </c>
      <c r="AA2612" s="8">
        <v>5.9210000000000003</v>
      </c>
      <c r="AB2612" s="8">
        <v>1.7110000000000001</v>
      </c>
      <c r="AC2612" s="8">
        <v>0.309</v>
      </c>
    </row>
    <row r="2613" spans="1:29" ht="11.65" hidden="1" x14ac:dyDescent="0.35">
      <c r="A2613" s="12">
        <v>2596</v>
      </c>
      <c r="B2613" s="10" t="s">
        <v>1015</v>
      </c>
      <c r="C2613" s="11" t="s">
        <v>1197</v>
      </c>
      <c r="D2613" s="9"/>
      <c r="E2613" s="9">
        <v>591</v>
      </c>
      <c r="F2613" s="10" t="s">
        <v>1066</v>
      </c>
      <c r="G2613" s="9">
        <v>916</v>
      </c>
      <c r="H2613" s="9">
        <v>1950</v>
      </c>
      <c r="I2613" s="8">
        <v>70.486999999999995</v>
      </c>
      <c r="J2613" s="8">
        <v>58.564999999999998</v>
      </c>
      <c r="K2613" s="8">
        <v>50.03</v>
      </c>
      <c r="L2613" s="8">
        <v>42.680999999999997</v>
      </c>
      <c r="M2613" s="8">
        <v>36.414000000000001</v>
      </c>
      <c r="N2613" s="8">
        <v>31.158000000000001</v>
      </c>
      <c r="O2613" s="8">
        <v>26.748000000000001</v>
      </c>
      <c r="P2613" s="8">
        <v>22.541</v>
      </c>
      <c r="Q2613" s="8">
        <v>18.678000000000001</v>
      </c>
      <c r="R2613" s="8">
        <v>15.534000000000001</v>
      </c>
      <c r="S2613" s="8">
        <v>12.747999999999999</v>
      </c>
      <c r="T2613" s="8">
        <v>10.432</v>
      </c>
      <c r="U2613" s="8">
        <v>8.3420000000000005</v>
      </c>
      <c r="V2613" s="8">
        <v>6.2629999999999999</v>
      </c>
      <c r="W2613" s="8">
        <v>4.2590000000000003</v>
      </c>
      <c r="X2613" s="8">
        <v>2.5169999999999999</v>
      </c>
      <c r="Y2613" s="8">
        <v>1.2210000000000001</v>
      </c>
      <c r="Z2613" s="8">
        <v>0.45100000000000001</v>
      </c>
      <c r="AA2613" s="8">
        <v>0.114</v>
      </c>
      <c r="AB2613" s="8">
        <v>1.4999999999999999E-2</v>
      </c>
      <c r="AC2613" s="8">
        <v>2E-3</v>
      </c>
    </row>
    <row r="2614" spans="1:29" ht="11.65" hidden="1" x14ac:dyDescent="0.35">
      <c r="A2614" s="12">
        <v>2597</v>
      </c>
      <c r="B2614" s="10" t="s">
        <v>1015</v>
      </c>
      <c r="C2614" s="11" t="s">
        <v>1197</v>
      </c>
      <c r="D2614" s="9"/>
      <c r="E2614" s="9">
        <v>591</v>
      </c>
      <c r="F2614" s="10" t="s">
        <v>1066</v>
      </c>
      <c r="G2614" s="9">
        <v>916</v>
      </c>
      <c r="H2614" s="9">
        <v>1955</v>
      </c>
      <c r="I2614" s="8">
        <v>82.965999999999994</v>
      </c>
      <c r="J2614" s="8">
        <v>67.757999999999996</v>
      </c>
      <c r="K2614" s="8">
        <v>57.624000000000002</v>
      </c>
      <c r="L2614" s="8">
        <v>49.033999999999999</v>
      </c>
      <c r="M2614" s="8">
        <v>41.298000000000002</v>
      </c>
      <c r="N2614" s="8">
        <v>34.758000000000003</v>
      </c>
      <c r="O2614" s="8">
        <v>29.465</v>
      </c>
      <c r="P2614" s="8">
        <v>25.198</v>
      </c>
      <c r="Q2614" s="8">
        <v>21.201000000000001</v>
      </c>
      <c r="R2614" s="8">
        <v>17.565000000000001</v>
      </c>
      <c r="S2614" s="8">
        <v>14.555999999999999</v>
      </c>
      <c r="T2614" s="8">
        <v>11.77</v>
      </c>
      <c r="U2614" s="8">
        <v>9.3450000000000006</v>
      </c>
      <c r="V2614" s="8">
        <v>7.0919999999999996</v>
      </c>
      <c r="W2614" s="8">
        <v>4.9139999999999997</v>
      </c>
      <c r="X2614" s="8">
        <v>2.968</v>
      </c>
      <c r="Y2614" s="8">
        <v>1.4770000000000001</v>
      </c>
      <c r="Z2614" s="8">
        <v>0.55200000000000005</v>
      </c>
      <c r="AA2614" s="8">
        <v>0.14099999999999999</v>
      </c>
      <c r="AB2614" s="8">
        <v>2.1000000000000001E-2</v>
      </c>
      <c r="AC2614" s="8">
        <v>2E-3</v>
      </c>
    </row>
    <row r="2615" spans="1:29" ht="11.65" hidden="1" x14ac:dyDescent="0.35">
      <c r="A2615" s="12">
        <v>2598</v>
      </c>
      <c r="B2615" s="10" t="s">
        <v>1015</v>
      </c>
      <c r="C2615" s="11" t="s">
        <v>1197</v>
      </c>
      <c r="D2615" s="9"/>
      <c r="E2615" s="9">
        <v>591</v>
      </c>
      <c r="F2615" s="10" t="s">
        <v>1066</v>
      </c>
      <c r="G2615" s="9">
        <v>916</v>
      </c>
      <c r="H2615" s="9">
        <v>1960</v>
      </c>
      <c r="I2615" s="8">
        <v>97.763999999999996</v>
      </c>
      <c r="J2615" s="8">
        <v>80.165000000000006</v>
      </c>
      <c r="K2615" s="8">
        <v>66.819999999999993</v>
      </c>
      <c r="L2615" s="8">
        <v>56.654000000000003</v>
      </c>
      <c r="M2615" s="8">
        <v>47.707000000000001</v>
      </c>
      <c r="N2615" s="8">
        <v>39.713999999999999</v>
      </c>
      <c r="O2615" s="8">
        <v>33.136000000000003</v>
      </c>
      <c r="P2615" s="8">
        <v>27.972999999999999</v>
      </c>
      <c r="Q2615" s="8">
        <v>23.887</v>
      </c>
      <c r="R2615" s="8">
        <v>20.097000000000001</v>
      </c>
      <c r="S2615" s="8">
        <v>16.588999999999999</v>
      </c>
      <c r="T2615" s="8">
        <v>13.563000000000001</v>
      </c>
      <c r="U2615" s="8">
        <v>10.666</v>
      </c>
      <c r="V2615" s="8">
        <v>8.0719999999999992</v>
      </c>
      <c r="W2615" s="8">
        <v>5.6879999999999997</v>
      </c>
      <c r="X2615" s="8">
        <v>3.5249999999999999</v>
      </c>
      <c r="Y2615" s="8">
        <v>1.8049999999999999</v>
      </c>
      <c r="Z2615" s="8">
        <v>0.7</v>
      </c>
      <c r="AA2615" s="8">
        <v>0.182</v>
      </c>
      <c r="AB2615" s="8">
        <v>2.8000000000000001E-2</v>
      </c>
      <c r="AC2615" s="8">
        <v>2E-3</v>
      </c>
    </row>
    <row r="2616" spans="1:29" ht="11.65" hidden="1" x14ac:dyDescent="0.35">
      <c r="A2616" s="12">
        <v>2599</v>
      </c>
      <c r="B2616" s="10" t="s">
        <v>1015</v>
      </c>
      <c r="C2616" s="11" t="s">
        <v>1197</v>
      </c>
      <c r="D2616" s="9"/>
      <c r="E2616" s="9">
        <v>591</v>
      </c>
      <c r="F2616" s="10" t="s">
        <v>1066</v>
      </c>
      <c r="G2616" s="9">
        <v>916</v>
      </c>
      <c r="H2616" s="9">
        <v>1965</v>
      </c>
      <c r="I2616" s="8">
        <v>112.699</v>
      </c>
      <c r="J2616" s="8">
        <v>94.96</v>
      </c>
      <c r="K2616" s="8">
        <v>79.254999999999995</v>
      </c>
      <c r="L2616" s="8">
        <v>65.927000000000007</v>
      </c>
      <c r="M2616" s="8">
        <v>55.462000000000003</v>
      </c>
      <c r="N2616" s="8">
        <v>46.277999999999999</v>
      </c>
      <c r="O2616" s="8">
        <v>38.232999999999997</v>
      </c>
      <c r="P2616" s="8">
        <v>31.757999999999999</v>
      </c>
      <c r="Q2616" s="8">
        <v>26.748000000000001</v>
      </c>
      <c r="R2616" s="8">
        <v>22.838000000000001</v>
      </c>
      <c r="S2616" s="8">
        <v>19.155000000000001</v>
      </c>
      <c r="T2616" s="8">
        <v>15.632999999999999</v>
      </c>
      <c r="U2616" s="8">
        <v>12.48</v>
      </c>
      <c r="V2616" s="8">
        <v>9.4130000000000003</v>
      </c>
      <c r="W2616" s="8">
        <v>6.6689999999999996</v>
      </c>
      <c r="X2616" s="8">
        <v>4.2450000000000001</v>
      </c>
      <c r="Y2616" s="8">
        <v>2.2519999999999998</v>
      </c>
      <c r="Z2616" s="8">
        <v>0.877</v>
      </c>
      <c r="AA2616" s="8">
        <v>0.23400000000000001</v>
      </c>
      <c r="AB2616" s="8">
        <v>3.5999999999999997E-2</v>
      </c>
      <c r="AC2616" s="8">
        <v>3.0000000000000001E-3</v>
      </c>
    </row>
    <row r="2617" spans="1:29" ht="11.65" hidden="1" x14ac:dyDescent="0.35">
      <c r="A2617" s="12">
        <v>2600</v>
      </c>
      <c r="B2617" s="10" t="s">
        <v>1015</v>
      </c>
      <c r="C2617" s="11" t="s">
        <v>1197</v>
      </c>
      <c r="D2617" s="9"/>
      <c r="E2617" s="9">
        <v>591</v>
      </c>
      <c r="F2617" s="10" t="s">
        <v>1066</v>
      </c>
      <c r="G2617" s="9">
        <v>916</v>
      </c>
      <c r="H2617" s="9">
        <v>1970</v>
      </c>
      <c r="I2617" s="8">
        <v>125.375</v>
      </c>
      <c r="J2617" s="8">
        <v>109.89</v>
      </c>
      <c r="K2617" s="8">
        <v>93.994</v>
      </c>
      <c r="L2617" s="8">
        <v>78.298000000000002</v>
      </c>
      <c r="M2617" s="8">
        <v>64.694000000000003</v>
      </c>
      <c r="N2617" s="8">
        <v>53.978000000000002</v>
      </c>
      <c r="O2617" s="8">
        <v>44.692</v>
      </c>
      <c r="P2617" s="8">
        <v>36.726999999999997</v>
      </c>
      <c r="Q2617" s="8">
        <v>30.417000000000002</v>
      </c>
      <c r="R2617" s="8">
        <v>25.625</v>
      </c>
      <c r="S2617" s="8">
        <v>21.856000000000002</v>
      </c>
      <c r="T2617" s="8">
        <v>18.169</v>
      </c>
      <c r="U2617" s="8">
        <v>14.528</v>
      </c>
      <c r="V2617" s="8">
        <v>11.166</v>
      </c>
      <c r="W2617" s="8">
        <v>7.9089999999999998</v>
      </c>
      <c r="X2617" s="8">
        <v>5.07</v>
      </c>
      <c r="Y2617" s="8">
        <v>2.7549999999999999</v>
      </c>
      <c r="Z2617" s="8">
        <v>1.101</v>
      </c>
      <c r="AA2617" s="8">
        <v>0.28799999999999998</v>
      </c>
      <c r="AB2617" s="8">
        <v>4.3999999999999997E-2</v>
      </c>
      <c r="AC2617" s="8">
        <v>3.0000000000000001E-3</v>
      </c>
    </row>
    <row r="2618" spans="1:29" ht="11.65" hidden="1" x14ac:dyDescent="0.35">
      <c r="A2618" s="12">
        <v>2601</v>
      </c>
      <c r="B2618" s="10" t="s">
        <v>1015</v>
      </c>
      <c r="C2618" s="11" t="s">
        <v>1197</v>
      </c>
      <c r="D2618" s="9"/>
      <c r="E2618" s="9">
        <v>591</v>
      </c>
      <c r="F2618" s="10" t="s">
        <v>1066</v>
      </c>
      <c r="G2618" s="9">
        <v>916</v>
      </c>
      <c r="H2618" s="9">
        <v>1975</v>
      </c>
      <c r="I2618" s="8">
        <v>136.43100000000001</v>
      </c>
      <c r="J2618" s="8">
        <v>122.92700000000001</v>
      </c>
      <c r="K2618" s="8">
        <v>108.96899999999999</v>
      </c>
      <c r="L2618" s="8">
        <v>93.052999999999997</v>
      </c>
      <c r="M2618" s="8">
        <v>77.117999999999995</v>
      </c>
      <c r="N2618" s="8">
        <v>63.286999999999999</v>
      </c>
      <c r="O2618" s="8">
        <v>52.451999999999998</v>
      </c>
      <c r="P2618" s="8">
        <v>43.216000000000001</v>
      </c>
      <c r="Q2618" s="8">
        <v>35.399000000000001</v>
      </c>
      <c r="R2618" s="8">
        <v>29.306000000000001</v>
      </c>
      <c r="S2618" s="8">
        <v>24.657</v>
      </c>
      <c r="T2618" s="8">
        <v>20.863</v>
      </c>
      <c r="U2618" s="8">
        <v>17.024000000000001</v>
      </c>
      <c r="V2618" s="8">
        <v>13.143000000000001</v>
      </c>
      <c r="W2618" s="8">
        <v>9.5340000000000007</v>
      </c>
      <c r="X2618" s="8">
        <v>6.15</v>
      </c>
      <c r="Y2618" s="8">
        <v>3.3940000000000001</v>
      </c>
      <c r="Z2618" s="8">
        <v>1.4470000000000001</v>
      </c>
      <c r="AA2618" s="8">
        <v>0.40100000000000002</v>
      </c>
      <c r="AB2618" s="8">
        <v>6.3E-2</v>
      </c>
      <c r="AC2618" s="8">
        <v>5.0000000000000001E-3</v>
      </c>
    </row>
    <row r="2619" spans="1:29" ht="11.65" hidden="1" x14ac:dyDescent="0.35">
      <c r="A2619" s="12">
        <v>2602</v>
      </c>
      <c r="B2619" s="10" t="s">
        <v>1015</v>
      </c>
      <c r="C2619" s="11" t="s">
        <v>1197</v>
      </c>
      <c r="D2619" s="9"/>
      <c r="E2619" s="9">
        <v>591</v>
      </c>
      <c r="F2619" s="10" t="s">
        <v>1066</v>
      </c>
      <c r="G2619" s="9">
        <v>916</v>
      </c>
      <c r="H2619" s="9">
        <v>1980</v>
      </c>
      <c r="I2619" s="8">
        <v>141.16399999999999</v>
      </c>
      <c r="J2619" s="8">
        <v>134.256</v>
      </c>
      <c r="K2619" s="8">
        <v>121.768</v>
      </c>
      <c r="L2619" s="8">
        <v>107.797</v>
      </c>
      <c r="M2619" s="8">
        <v>91.756</v>
      </c>
      <c r="N2619" s="8">
        <v>75.762</v>
      </c>
      <c r="O2619" s="8">
        <v>61.975000000000001</v>
      </c>
      <c r="P2619" s="8">
        <v>51.204000000000001</v>
      </c>
      <c r="Q2619" s="8">
        <v>42.164000000000001</v>
      </c>
      <c r="R2619" s="8">
        <v>34.615000000000002</v>
      </c>
      <c r="S2619" s="8">
        <v>28.548999999999999</v>
      </c>
      <c r="T2619" s="8">
        <v>23.736000000000001</v>
      </c>
      <c r="U2619" s="8">
        <v>19.695</v>
      </c>
      <c r="V2619" s="8">
        <v>15.567</v>
      </c>
      <c r="W2619" s="8">
        <v>11.427</v>
      </c>
      <c r="X2619" s="8">
        <v>7.6470000000000002</v>
      </c>
      <c r="Y2619" s="8">
        <v>4.3460000000000001</v>
      </c>
      <c r="Z2619" s="8">
        <v>1.9890000000000001</v>
      </c>
      <c r="AA2619" s="8">
        <v>0.63700000000000001</v>
      </c>
      <c r="AB2619" s="8">
        <v>0.11700000000000001</v>
      </c>
      <c r="AC2619" s="8">
        <v>0.01</v>
      </c>
    </row>
    <row r="2620" spans="1:29" ht="11.65" hidden="1" x14ac:dyDescent="0.35">
      <c r="A2620" s="12">
        <v>2603</v>
      </c>
      <c r="B2620" s="10" t="s">
        <v>1015</v>
      </c>
      <c r="C2620" s="11" t="s">
        <v>1197</v>
      </c>
      <c r="D2620" s="9"/>
      <c r="E2620" s="9">
        <v>591</v>
      </c>
      <c r="F2620" s="10" t="s">
        <v>1066</v>
      </c>
      <c r="G2620" s="9">
        <v>916</v>
      </c>
      <c r="H2620" s="9">
        <v>1985</v>
      </c>
      <c r="I2620" s="8">
        <v>144.642</v>
      </c>
      <c r="J2620" s="8">
        <v>139.6</v>
      </c>
      <c r="K2620" s="8">
        <v>133.02799999999999</v>
      </c>
      <c r="L2620" s="8">
        <v>120.377</v>
      </c>
      <c r="M2620" s="8">
        <v>106.241</v>
      </c>
      <c r="N2620" s="8">
        <v>90.138000000000005</v>
      </c>
      <c r="O2620" s="8">
        <v>74.210999999999999</v>
      </c>
      <c r="P2620" s="8">
        <v>60.524999999999999</v>
      </c>
      <c r="Q2620" s="8">
        <v>50.024000000000001</v>
      </c>
      <c r="R2620" s="8">
        <v>41.359000000000002</v>
      </c>
      <c r="S2620" s="8">
        <v>33.869999999999997</v>
      </c>
      <c r="T2620" s="8">
        <v>27.64</v>
      </c>
      <c r="U2620" s="8">
        <v>22.582000000000001</v>
      </c>
      <c r="V2620" s="8">
        <v>18.222999999999999</v>
      </c>
      <c r="W2620" s="8">
        <v>13.769</v>
      </c>
      <c r="X2620" s="8">
        <v>9.4090000000000007</v>
      </c>
      <c r="Y2620" s="8">
        <v>5.6230000000000002</v>
      </c>
      <c r="Z2620" s="8">
        <v>2.6629999999999998</v>
      </c>
      <c r="AA2620" s="8">
        <v>0.92700000000000005</v>
      </c>
      <c r="AB2620" s="8">
        <v>0.19800000000000001</v>
      </c>
      <c r="AC2620" s="8">
        <v>2.1000000000000001E-2</v>
      </c>
    </row>
    <row r="2621" spans="1:29" ht="11.65" hidden="1" x14ac:dyDescent="0.35">
      <c r="A2621" s="12">
        <v>2604</v>
      </c>
      <c r="B2621" s="10" t="s">
        <v>1015</v>
      </c>
      <c r="C2621" s="11" t="s">
        <v>1197</v>
      </c>
      <c r="D2621" s="9"/>
      <c r="E2621" s="9">
        <v>591</v>
      </c>
      <c r="F2621" s="10" t="s">
        <v>1066</v>
      </c>
      <c r="G2621" s="9">
        <v>916</v>
      </c>
      <c r="H2621" s="9">
        <v>1990</v>
      </c>
      <c r="I2621" s="8">
        <v>151.495</v>
      </c>
      <c r="J2621" s="8">
        <v>143.494</v>
      </c>
      <c r="K2621" s="8">
        <v>138.751</v>
      </c>
      <c r="L2621" s="8">
        <v>132.065</v>
      </c>
      <c r="M2621" s="8">
        <v>119.285</v>
      </c>
      <c r="N2621" s="8">
        <v>105.074</v>
      </c>
      <c r="O2621" s="8">
        <v>88.986000000000004</v>
      </c>
      <c r="P2621" s="8">
        <v>73.099000000000004</v>
      </c>
      <c r="Q2621" s="8">
        <v>59.563000000000002</v>
      </c>
      <c r="R2621" s="8">
        <v>49.258000000000003</v>
      </c>
      <c r="S2621" s="8">
        <v>40.582000000000001</v>
      </c>
      <c r="T2621" s="8">
        <v>32.927</v>
      </c>
      <c r="U2621" s="8">
        <v>26.457999999999998</v>
      </c>
      <c r="V2621" s="8">
        <v>21.071999999999999</v>
      </c>
      <c r="W2621" s="8">
        <v>16.309000000000001</v>
      </c>
      <c r="X2621" s="8">
        <v>11.505000000000001</v>
      </c>
      <c r="Y2621" s="8">
        <v>7.0359999999999996</v>
      </c>
      <c r="Z2621" s="8">
        <v>3.472</v>
      </c>
      <c r="AA2621" s="8">
        <v>1.23</v>
      </c>
      <c r="AB2621" s="8">
        <v>0.27800000000000002</v>
      </c>
      <c r="AC2621" s="8">
        <v>3.3000000000000002E-2</v>
      </c>
    </row>
    <row r="2622" spans="1:29" ht="11.65" hidden="1" x14ac:dyDescent="0.35">
      <c r="A2622" s="12">
        <v>2605</v>
      </c>
      <c r="B2622" s="10" t="s">
        <v>1015</v>
      </c>
      <c r="C2622" s="11" t="s">
        <v>1197</v>
      </c>
      <c r="D2622" s="9"/>
      <c r="E2622" s="9">
        <v>591</v>
      </c>
      <c r="F2622" s="10" t="s">
        <v>1066</v>
      </c>
      <c r="G2622" s="9">
        <v>916</v>
      </c>
      <c r="H2622" s="9">
        <v>1995</v>
      </c>
      <c r="I2622" s="8">
        <v>157.125</v>
      </c>
      <c r="J2622" s="8">
        <v>150.74799999999999</v>
      </c>
      <c r="K2622" s="8">
        <v>143.25899999999999</v>
      </c>
      <c r="L2622" s="8">
        <v>138.571</v>
      </c>
      <c r="M2622" s="8">
        <v>131.81700000000001</v>
      </c>
      <c r="N2622" s="8">
        <v>118.96</v>
      </c>
      <c r="O2622" s="8">
        <v>104.67400000000001</v>
      </c>
      <c r="P2622" s="8">
        <v>88.522999999999996</v>
      </c>
      <c r="Q2622" s="8">
        <v>72.552999999999997</v>
      </c>
      <c r="R2622" s="8">
        <v>58.887</v>
      </c>
      <c r="S2622" s="8">
        <v>48.43</v>
      </c>
      <c r="T2622" s="8">
        <v>39.558999999999997</v>
      </c>
      <c r="U2622" s="8">
        <v>31.638999999999999</v>
      </c>
      <c r="V2622" s="8">
        <v>24.815000000000001</v>
      </c>
      <c r="W2622" s="8">
        <v>18.98</v>
      </c>
      <c r="X2622" s="8">
        <v>13.737</v>
      </c>
      <c r="Y2622" s="8">
        <v>8.6760000000000002</v>
      </c>
      <c r="Z2622" s="8">
        <v>4.4340000000000002</v>
      </c>
      <c r="AA2622" s="8">
        <v>1.649</v>
      </c>
      <c r="AB2622" s="8">
        <v>0.38100000000000001</v>
      </c>
      <c r="AC2622" s="8">
        <v>4.8000000000000001E-2</v>
      </c>
    </row>
    <row r="2623" spans="1:29" ht="11.65" hidden="1" x14ac:dyDescent="0.35">
      <c r="A2623" s="12">
        <v>2606</v>
      </c>
      <c r="B2623" s="10" t="s">
        <v>1015</v>
      </c>
      <c r="C2623" s="11" t="s">
        <v>1197</v>
      </c>
      <c r="D2623" s="9"/>
      <c r="E2623" s="9">
        <v>591</v>
      </c>
      <c r="F2623" s="10" t="s">
        <v>1066</v>
      </c>
      <c r="G2623" s="9">
        <v>916</v>
      </c>
      <c r="H2623" s="9">
        <v>2000</v>
      </c>
      <c r="I2623" s="8">
        <v>167.52099999999999</v>
      </c>
      <c r="J2623" s="8">
        <v>156.67500000000001</v>
      </c>
      <c r="K2623" s="8">
        <v>150.828</v>
      </c>
      <c r="L2623" s="8">
        <v>143.499</v>
      </c>
      <c r="M2623" s="8">
        <v>138.803</v>
      </c>
      <c r="N2623" s="8">
        <v>131.97900000000001</v>
      </c>
      <c r="O2623" s="8">
        <v>118.994</v>
      </c>
      <c r="P2623" s="8">
        <v>104.57599999999999</v>
      </c>
      <c r="Q2623" s="8">
        <v>88.201999999999998</v>
      </c>
      <c r="R2623" s="8">
        <v>71.882000000000005</v>
      </c>
      <c r="S2623" s="8">
        <v>57.938000000000002</v>
      </c>
      <c r="T2623" s="8">
        <v>47.253999999999998</v>
      </c>
      <c r="U2623" s="8">
        <v>38.070999999999998</v>
      </c>
      <c r="V2623" s="8">
        <v>29.753</v>
      </c>
      <c r="W2623" s="8">
        <v>22.443000000000001</v>
      </c>
      <c r="X2623" s="8">
        <v>16.082000000000001</v>
      </c>
      <c r="Y2623" s="8">
        <v>10.456</v>
      </c>
      <c r="Z2623" s="8">
        <v>5.5730000000000004</v>
      </c>
      <c r="AA2623" s="8">
        <v>2.169</v>
      </c>
      <c r="AB2623" s="8">
        <v>0.53400000000000003</v>
      </c>
      <c r="AC2623" s="8">
        <v>7.0999999999999994E-2</v>
      </c>
    </row>
    <row r="2624" spans="1:29" ht="11.65" hidden="1" x14ac:dyDescent="0.35">
      <c r="A2624" s="12">
        <v>2607</v>
      </c>
      <c r="B2624" s="10" t="s">
        <v>1015</v>
      </c>
      <c r="C2624" s="11" t="s">
        <v>1197</v>
      </c>
      <c r="D2624" s="9"/>
      <c r="E2624" s="9">
        <v>591</v>
      </c>
      <c r="F2624" s="10" t="s">
        <v>1066</v>
      </c>
      <c r="G2624" s="9">
        <v>916</v>
      </c>
      <c r="H2624" s="9">
        <v>2005</v>
      </c>
      <c r="I2624" s="8">
        <v>172.65700000000001</v>
      </c>
      <c r="J2624" s="8">
        <v>167.197</v>
      </c>
      <c r="K2624" s="8">
        <v>157.08799999999999</v>
      </c>
      <c r="L2624" s="8">
        <v>151.49199999999999</v>
      </c>
      <c r="M2624" s="8">
        <v>144.166</v>
      </c>
      <c r="N2624" s="8">
        <v>139.375</v>
      </c>
      <c r="O2624" s="8">
        <v>132.36600000000001</v>
      </c>
      <c r="P2624" s="8">
        <v>119.20399999999999</v>
      </c>
      <c r="Q2624" s="8">
        <v>104.422</v>
      </c>
      <c r="R2624" s="8">
        <v>87.468000000000004</v>
      </c>
      <c r="S2624" s="8">
        <v>70.757000000000005</v>
      </c>
      <c r="T2624" s="8">
        <v>56.570999999999998</v>
      </c>
      <c r="U2624" s="8">
        <v>45.542000000000002</v>
      </c>
      <c r="V2624" s="8">
        <v>35.920999999999999</v>
      </c>
      <c r="W2624" s="8">
        <v>27.111999999999998</v>
      </c>
      <c r="X2624" s="8">
        <v>19.335000000000001</v>
      </c>
      <c r="Y2624" s="8">
        <v>12.664999999999999</v>
      </c>
      <c r="Z2624" s="8">
        <v>7.0090000000000003</v>
      </c>
      <c r="AA2624" s="8">
        <v>2.9329999999999998</v>
      </c>
      <c r="AB2624" s="8">
        <v>0.79300000000000004</v>
      </c>
      <c r="AC2624" s="8">
        <v>0.11899999999999999</v>
      </c>
    </row>
    <row r="2625" spans="1:29" ht="11.65" hidden="1" x14ac:dyDescent="0.35">
      <c r="A2625" s="12">
        <v>2608</v>
      </c>
      <c r="B2625" s="10" t="s">
        <v>1015</v>
      </c>
      <c r="C2625" s="11" t="s">
        <v>1197</v>
      </c>
      <c r="D2625" s="9"/>
      <c r="E2625" s="9">
        <v>591</v>
      </c>
      <c r="F2625" s="10" t="s">
        <v>1066</v>
      </c>
      <c r="G2625" s="9">
        <v>916</v>
      </c>
      <c r="H2625" s="9">
        <v>2010</v>
      </c>
      <c r="I2625" s="8">
        <v>180.13900000000001</v>
      </c>
      <c r="J2625" s="8">
        <v>172.108</v>
      </c>
      <c r="K2625" s="8">
        <v>167.7</v>
      </c>
      <c r="L2625" s="8">
        <v>158.08099999999999</v>
      </c>
      <c r="M2625" s="8">
        <v>152.58199999999999</v>
      </c>
      <c r="N2625" s="8">
        <v>145.24799999999999</v>
      </c>
      <c r="O2625" s="8">
        <v>140.26300000000001</v>
      </c>
      <c r="P2625" s="8">
        <v>133.02099999999999</v>
      </c>
      <c r="Q2625" s="8">
        <v>119.474</v>
      </c>
      <c r="R2625" s="8">
        <v>103.908</v>
      </c>
      <c r="S2625" s="8">
        <v>86.22</v>
      </c>
      <c r="T2625" s="8">
        <v>69.171000000000006</v>
      </c>
      <c r="U2625" s="8">
        <v>54.645000000000003</v>
      </c>
      <c r="V2625" s="8">
        <v>43.149000000000001</v>
      </c>
      <c r="W2625" s="8">
        <v>32.988999999999997</v>
      </c>
      <c r="X2625" s="8">
        <v>23.696999999999999</v>
      </c>
      <c r="Y2625" s="8">
        <v>15.634</v>
      </c>
      <c r="Z2625" s="8">
        <v>8.9290000000000003</v>
      </c>
      <c r="AA2625" s="8">
        <v>4.032</v>
      </c>
      <c r="AB2625" s="8">
        <v>1.242</v>
      </c>
      <c r="AC2625" s="8">
        <v>0.223</v>
      </c>
    </row>
    <row r="2626" spans="1:29" ht="11.65" hidden="1" x14ac:dyDescent="0.35">
      <c r="A2626" s="12">
        <v>2609</v>
      </c>
      <c r="B2626" s="10" t="s">
        <v>1015</v>
      </c>
      <c r="C2626" s="11" t="s">
        <v>1197</v>
      </c>
      <c r="D2626" s="9"/>
      <c r="E2626" s="9">
        <v>591</v>
      </c>
      <c r="F2626" s="10" t="s">
        <v>1066</v>
      </c>
      <c r="G2626" s="9">
        <v>916</v>
      </c>
      <c r="H2626" s="9">
        <v>2015</v>
      </c>
      <c r="I2626" s="8">
        <v>188.50800000000001</v>
      </c>
      <c r="J2626" s="8">
        <v>179.61500000000001</v>
      </c>
      <c r="K2626" s="8">
        <v>172.60400000000001</v>
      </c>
      <c r="L2626" s="8">
        <v>168.92599999999999</v>
      </c>
      <c r="M2626" s="8">
        <v>159.55600000000001</v>
      </c>
      <c r="N2626" s="8">
        <v>154.11799999999999</v>
      </c>
      <c r="O2626" s="8">
        <v>146.65199999999999</v>
      </c>
      <c r="P2626" s="8">
        <v>141.38</v>
      </c>
      <c r="Q2626" s="8">
        <v>133.70400000000001</v>
      </c>
      <c r="R2626" s="8">
        <v>119.271</v>
      </c>
      <c r="S2626" s="8">
        <v>102.64700000000001</v>
      </c>
      <c r="T2626" s="8">
        <v>84.456999999999994</v>
      </c>
      <c r="U2626" s="8">
        <v>67.034000000000006</v>
      </c>
      <c r="V2626" s="8">
        <v>52.037999999999997</v>
      </c>
      <c r="W2626" s="8">
        <v>39.948</v>
      </c>
      <c r="X2626" s="8">
        <v>29.189</v>
      </c>
      <c r="Y2626" s="8">
        <v>19.509</v>
      </c>
      <c r="Z2626" s="8">
        <v>11.375</v>
      </c>
      <c r="AA2626" s="8">
        <v>5.4029999999999996</v>
      </c>
      <c r="AB2626" s="8">
        <v>1.8340000000000001</v>
      </c>
      <c r="AC2626" s="8">
        <v>0.39</v>
      </c>
    </row>
    <row r="2627" spans="1:29" ht="11.65" hidden="1" x14ac:dyDescent="0.35">
      <c r="A2627" s="12">
        <v>2610</v>
      </c>
      <c r="B2627" s="10" t="s">
        <v>1015</v>
      </c>
      <c r="C2627" s="11" t="s">
        <v>1197</v>
      </c>
      <c r="D2627" s="9"/>
      <c r="E2627" s="9">
        <v>591</v>
      </c>
      <c r="F2627" s="10" t="s">
        <v>1066</v>
      </c>
      <c r="G2627" s="9">
        <v>916</v>
      </c>
      <c r="H2627" s="9">
        <v>2020</v>
      </c>
      <c r="I2627" s="8">
        <v>190.26300000000001</v>
      </c>
      <c r="J2627" s="8">
        <v>188.07400000000001</v>
      </c>
      <c r="K2627" s="8">
        <v>180.822</v>
      </c>
      <c r="L2627" s="8">
        <v>175.43700000000001</v>
      </c>
      <c r="M2627" s="8">
        <v>172.47399999999999</v>
      </c>
      <c r="N2627" s="8">
        <v>163.38999999999999</v>
      </c>
      <c r="O2627" s="8">
        <v>157.81800000000001</v>
      </c>
      <c r="P2627" s="8">
        <v>149.904</v>
      </c>
      <c r="Q2627" s="8">
        <v>143.892</v>
      </c>
      <c r="R2627" s="8">
        <v>134.387</v>
      </c>
      <c r="S2627" s="8">
        <v>118.129</v>
      </c>
      <c r="T2627" s="8">
        <v>100.706</v>
      </c>
      <c r="U2627" s="8">
        <v>82.042000000000002</v>
      </c>
      <c r="V2627" s="8">
        <v>64.067999999999998</v>
      </c>
      <c r="W2627" s="8">
        <v>48.444000000000003</v>
      </c>
      <c r="X2627" s="8">
        <v>35.646000000000001</v>
      </c>
      <c r="Y2627" s="8">
        <v>24.335999999999999</v>
      </c>
      <c r="Z2627" s="8">
        <v>14.602</v>
      </c>
      <c r="AA2627" s="8">
        <v>7.1970000000000001</v>
      </c>
      <c r="AB2627" s="8">
        <v>2.62</v>
      </c>
      <c r="AC2627" s="8">
        <v>0.63700000000000001</v>
      </c>
    </row>
    <row r="2628" spans="1:29" ht="11.65" hidden="1" x14ac:dyDescent="0.35">
      <c r="A2628" s="23">
        <v>2611</v>
      </c>
      <c r="B2628" s="21" t="s">
        <v>1015</v>
      </c>
      <c r="C2628" s="29" t="s">
        <v>1198</v>
      </c>
      <c r="D2628" s="20"/>
      <c r="E2628" s="20">
        <v>931</v>
      </c>
      <c r="F2628" s="21" t="s">
        <v>1065</v>
      </c>
      <c r="G2628" s="20">
        <v>1830</v>
      </c>
      <c r="H2628" s="20">
        <v>1950</v>
      </c>
      <c r="I2628" s="19">
        <v>8910.1650000000009</v>
      </c>
      <c r="J2628" s="19">
        <v>7162.375</v>
      </c>
      <c r="K2628" s="19">
        <v>6414.7489999999998</v>
      </c>
      <c r="L2628" s="19">
        <v>5621.125</v>
      </c>
      <c r="M2628" s="19">
        <v>5183.9830000000002</v>
      </c>
      <c r="N2628" s="19">
        <v>4363.24</v>
      </c>
      <c r="O2628" s="19">
        <v>3697.3939999999998</v>
      </c>
      <c r="P2628" s="19">
        <v>3329.277</v>
      </c>
      <c r="Q2628" s="19">
        <v>2827.1439999999998</v>
      </c>
      <c r="R2628" s="19">
        <v>2348.9969999999998</v>
      </c>
      <c r="S2628" s="19">
        <v>2031.4349999999999</v>
      </c>
      <c r="T2628" s="19">
        <v>1600.402</v>
      </c>
      <c r="U2628" s="19">
        <v>1259.0650000000001</v>
      </c>
      <c r="V2628" s="19">
        <v>902.12099999999998</v>
      </c>
      <c r="W2628" s="19">
        <v>606.55100000000004</v>
      </c>
      <c r="X2628" s="19">
        <v>367.34800000000001</v>
      </c>
      <c r="Y2628" s="19">
        <v>146.92400000000001</v>
      </c>
      <c r="Z2628" s="19">
        <v>70.543000000000006</v>
      </c>
      <c r="AA2628" s="19">
        <v>32.29</v>
      </c>
      <c r="AB2628" s="19">
        <v>15.106</v>
      </c>
      <c r="AC2628" s="19">
        <v>6.931</v>
      </c>
    </row>
    <row r="2629" spans="1:29" ht="11.65" hidden="1" x14ac:dyDescent="0.35">
      <c r="A2629" s="23">
        <v>2612</v>
      </c>
      <c r="B2629" s="21" t="s">
        <v>1015</v>
      </c>
      <c r="C2629" s="29" t="s">
        <v>1198</v>
      </c>
      <c r="D2629" s="20"/>
      <c r="E2629" s="20">
        <v>931</v>
      </c>
      <c r="F2629" s="21" t="s">
        <v>1065</v>
      </c>
      <c r="G2629" s="20">
        <v>1830</v>
      </c>
      <c r="H2629" s="20">
        <v>1955</v>
      </c>
      <c r="I2629" s="19">
        <v>10589.272000000001</v>
      </c>
      <c r="J2629" s="19">
        <v>8532.9140000000007</v>
      </c>
      <c r="K2629" s="19">
        <v>7089.7960000000003</v>
      </c>
      <c r="L2629" s="19">
        <v>6357.9229999999998</v>
      </c>
      <c r="M2629" s="19">
        <v>5553.1779999999999</v>
      </c>
      <c r="N2629" s="19">
        <v>5096.46</v>
      </c>
      <c r="O2629" s="19">
        <v>4272.7299999999996</v>
      </c>
      <c r="P2629" s="19">
        <v>3607.2950000000001</v>
      </c>
      <c r="Q2629" s="19">
        <v>3228.1419999999998</v>
      </c>
      <c r="R2629" s="19">
        <v>2719.8029999999999</v>
      </c>
      <c r="S2629" s="19">
        <v>2229.7779999999998</v>
      </c>
      <c r="T2629" s="19">
        <v>1887.7809999999999</v>
      </c>
      <c r="U2629" s="19">
        <v>1441.5550000000001</v>
      </c>
      <c r="V2629" s="19">
        <v>1077.7950000000001</v>
      </c>
      <c r="W2629" s="19">
        <v>711.47699999999998</v>
      </c>
      <c r="X2629" s="19">
        <v>418.97300000000001</v>
      </c>
      <c r="Y2629" s="19">
        <v>203.54400000000001</v>
      </c>
      <c r="Z2629" s="19">
        <v>59.511000000000003</v>
      </c>
      <c r="AA2629" s="19">
        <v>19.582999999999998</v>
      </c>
      <c r="AB2629" s="19">
        <v>5.4580000000000002</v>
      </c>
      <c r="AC2629" s="19">
        <v>1.9530000000000001</v>
      </c>
    </row>
    <row r="2630" spans="1:29" ht="11.65" hidden="1" x14ac:dyDescent="0.35">
      <c r="A2630" s="23">
        <v>2613</v>
      </c>
      <c r="B2630" s="21" t="s">
        <v>1015</v>
      </c>
      <c r="C2630" s="29" t="s">
        <v>1198</v>
      </c>
      <c r="D2630" s="20"/>
      <c r="E2630" s="20">
        <v>931</v>
      </c>
      <c r="F2630" s="21" t="s">
        <v>1065</v>
      </c>
      <c r="G2630" s="20">
        <v>1830</v>
      </c>
      <c r="H2630" s="20">
        <v>1960</v>
      </c>
      <c r="I2630" s="19">
        <v>12068.647000000001</v>
      </c>
      <c r="J2630" s="19">
        <v>10175.582</v>
      </c>
      <c r="K2630" s="19">
        <v>8434.1949999999997</v>
      </c>
      <c r="L2630" s="19">
        <v>7008.7749999999996</v>
      </c>
      <c r="M2630" s="19">
        <v>6250.8860000000004</v>
      </c>
      <c r="N2630" s="19">
        <v>5433.1149999999998</v>
      </c>
      <c r="O2630" s="19">
        <v>4968.8860000000004</v>
      </c>
      <c r="P2630" s="19">
        <v>4151.3119999999999</v>
      </c>
      <c r="Q2630" s="19">
        <v>3488.8670000000002</v>
      </c>
      <c r="R2630" s="19">
        <v>3102.047</v>
      </c>
      <c r="S2630" s="19">
        <v>2582.2130000000002</v>
      </c>
      <c r="T2630" s="19">
        <v>2080.884</v>
      </c>
      <c r="U2630" s="19">
        <v>1709.9839999999999</v>
      </c>
      <c r="V2630" s="19">
        <v>1244.6479999999999</v>
      </c>
      <c r="W2630" s="19">
        <v>863.35299999999995</v>
      </c>
      <c r="X2630" s="19">
        <v>503.60599999999999</v>
      </c>
      <c r="Y2630" s="19">
        <v>240.90700000000001</v>
      </c>
      <c r="Z2630" s="19">
        <v>86.581999999999994</v>
      </c>
      <c r="AA2630" s="19">
        <v>18.675999999999998</v>
      </c>
      <c r="AB2630" s="19">
        <v>3.9809999999999999</v>
      </c>
      <c r="AC2630" s="19">
        <v>0.79800000000000004</v>
      </c>
    </row>
    <row r="2631" spans="1:29" ht="11.65" hidden="1" x14ac:dyDescent="0.35">
      <c r="A2631" s="23">
        <v>2614</v>
      </c>
      <c r="B2631" s="21" t="s">
        <v>1015</v>
      </c>
      <c r="C2631" s="29" t="s">
        <v>1198</v>
      </c>
      <c r="D2631" s="20"/>
      <c r="E2631" s="20">
        <v>931</v>
      </c>
      <c r="F2631" s="21" t="s">
        <v>1065</v>
      </c>
      <c r="G2631" s="20">
        <v>1830</v>
      </c>
      <c r="H2631" s="20">
        <v>1965</v>
      </c>
      <c r="I2631" s="19">
        <v>13578.107</v>
      </c>
      <c r="J2631" s="19">
        <v>11662.832</v>
      </c>
      <c r="K2631" s="19">
        <v>10068.352000000001</v>
      </c>
      <c r="L2631" s="19">
        <v>8339.5949999999993</v>
      </c>
      <c r="M2631" s="19">
        <v>6898.9849999999997</v>
      </c>
      <c r="N2631" s="19">
        <v>6125.1610000000001</v>
      </c>
      <c r="O2631" s="19">
        <v>5304.3969999999999</v>
      </c>
      <c r="P2631" s="19">
        <v>4840.3109999999997</v>
      </c>
      <c r="Q2631" s="19">
        <v>4028.335</v>
      </c>
      <c r="R2631" s="19">
        <v>3363.7959999999998</v>
      </c>
      <c r="S2631" s="19">
        <v>2959.3789999999999</v>
      </c>
      <c r="T2631" s="19">
        <v>2423.1010000000001</v>
      </c>
      <c r="U2631" s="19">
        <v>1898.4390000000001</v>
      </c>
      <c r="V2631" s="19">
        <v>1493.2760000000001</v>
      </c>
      <c r="W2631" s="19">
        <v>1011.696</v>
      </c>
      <c r="X2631" s="19">
        <v>622.68700000000001</v>
      </c>
      <c r="Y2631" s="19">
        <v>296.36500000000001</v>
      </c>
      <c r="Z2631" s="19">
        <v>103.285</v>
      </c>
      <c r="AA2631" s="19">
        <v>25.745999999999999</v>
      </c>
      <c r="AB2631" s="19">
        <v>3.78</v>
      </c>
      <c r="AC2631" s="19">
        <v>0.54100000000000004</v>
      </c>
    </row>
    <row r="2632" spans="1:29" ht="11.65" hidden="1" x14ac:dyDescent="0.35">
      <c r="A2632" s="23">
        <v>2615</v>
      </c>
      <c r="B2632" s="21" t="s">
        <v>1015</v>
      </c>
      <c r="C2632" s="29" t="s">
        <v>1198</v>
      </c>
      <c r="D2632" s="20"/>
      <c r="E2632" s="20">
        <v>931</v>
      </c>
      <c r="F2632" s="21" t="s">
        <v>1065</v>
      </c>
      <c r="G2632" s="20">
        <v>1830</v>
      </c>
      <c r="H2632" s="20">
        <v>1970</v>
      </c>
      <c r="I2632" s="19">
        <v>14363.929</v>
      </c>
      <c r="J2632" s="19">
        <v>13203.727000000001</v>
      </c>
      <c r="K2632" s="19">
        <v>11552.468000000001</v>
      </c>
      <c r="L2632" s="19">
        <v>9959.0220000000008</v>
      </c>
      <c r="M2632" s="19">
        <v>8206.5220000000008</v>
      </c>
      <c r="N2632" s="19">
        <v>6764.3810000000003</v>
      </c>
      <c r="O2632" s="19">
        <v>6002.1989999999996</v>
      </c>
      <c r="P2632" s="19">
        <v>5188.43</v>
      </c>
      <c r="Q2632" s="19">
        <v>4714.8059999999996</v>
      </c>
      <c r="R2632" s="19">
        <v>3899.6869999999999</v>
      </c>
      <c r="S2632" s="19">
        <v>3222.3229999999999</v>
      </c>
      <c r="T2632" s="19">
        <v>2789.848</v>
      </c>
      <c r="U2632" s="19">
        <v>2224.7820000000002</v>
      </c>
      <c r="V2632" s="19">
        <v>1674.1030000000001</v>
      </c>
      <c r="W2632" s="19">
        <v>1226.7360000000001</v>
      </c>
      <c r="X2632" s="19">
        <v>740.04700000000003</v>
      </c>
      <c r="Y2632" s="19">
        <v>372.238</v>
      </c>
      <c r="Z2632" s="19">
        <v>129.79499999999999</v>
      </c>
      <c r="AA2632" s="19">
        <v>31.658000000000001</v>
      </c>
      <c r="AB2632" s="19">
        <v>5.1710000000000003</v>
      </c>
      <c r="AC2632" s="19">
        <v>0.52700000000000002</v>
      </c>
    </row>
    <row r="2633" spans="1:29" ht="11.65" hidden="1" x14ac:dyDescent="0.35">
      <c r="A2633" s="23">
        <v>2616</v>
      </c>
      <c r="B2633" s="21" t="s">
        <v>1015</v>
      </c>
      <c r="C2633" s="29" t="s">
        <v>1198</v>
      </c>
      <c r="D2633" s="20"/>
      <c r="E2633" s="20">
        <v>931</v>
      </c>
      <c r="F2633" s="21" t="s">
        <v>1065</v>
      </c>
      <c r="G2633" s="20">
        <v>1830</v>
      </c>
      <c r="H2633" s="20">
        <v>1975</v>
      </c>
      <c r="I2633" s="19">
        <v>14984.538</v>
      </c>
      <c r="J2633" s="19">
        <v>14041.575999999999</v>
      </c>
      <c r="K2633" s="19">
        <v>13124.342000000001</v>
      </c>
      <c r="L2633" s="19">
        <v>11488.01</v>
      </c>
      <c r="M2633" s="19">
        <v>9834.7469999999994</v>
      </c>
      <c r="N2633" s="19">
        <v>8053.5479999999998</v>
      </c>
      <c r="O2633" s="19">
        <v>6621.82</v>
      </c>
      <c r="P2633" s="19">
        <v>5882.6779999999999</v>
      </c>
      <c r="Q2633" s="19">
        <v>5063.2169999999996</v>
      </c>
      <c r="R2633" s="19">
        <v>4571.5330000000004</v>
      </c>
      <c r="S2633" s="19">
        <v>3745.0340000000001</v>
      </c>
      <c r="T2633" s="19">
        <v>3049.9780000000001</v>
      </c>
      <c r="U2633" s="19">
        <v>2578.2289999999998</v>
      </c>
      <c r="V2633" s="19">
        <v>1979.077</v>
      </c>
      <c r="W2633" s="19">
        <v>1391.8579999999999</v>
      </c>
      <c r="X2633" s="19">
        <v>911.06299999999999</v>
      </c>
      <c r="Y2633" s="19">
        <v>451.08800000000002</v>
      </c>
      <c r="Z2633" s="19">
        <v>167.41200000000001</v>
      </c>
      <c r="AA2633" s="19">
        <v>41.493000000000002</v>
      </c>
      <c r="AB2633" s="19">
        <v>6.6749999999999998</v>
      </c>
      <c r="AC2633" s="19">
        <v>0.69699999999999995</v>
      </c>
    </row>
    <row r="2634" spans="1:29" ht="11.65" hidden="1" x14ac:dyDescent="0.35">
      <c r="A2634" s="23">
        <v>2617</v>
      </c>
      <c r="B2634" s="21" t="s">
        <v>1015</v>
      </c>
      <c r="C2634" s="29" t="s">
        <v>1198</v>
      </c>
      <c r="D2634" s="20"/>
      <c r="E2634" s="20">
        <v>931</v>
      </c>
      <c r="F2634" s="21" t="s">
        <v>1065</v>
      </c>
      <c r="G2634" s="20">
        <v>1830</v>
      </c>
      <c r="H2634" s="20">
        <v>1980</v>
      </c>
      <c r="I2634" s="19">
        <v>16427.107</v>
      </c>
      <c r="J2634" s="19">
        <v>14694.82</v>
      </c>
      <c r="K2634" s="19">
        <v>13905.9</v>
      </c>
      <c r="L2634" s="19">
        <v>12984.031000000001</v>
      </c>
      <c r="M2634" s="19">
        <v>11322.162</v>
      </c>
      <c r="N2634" s="19">
        <v>9692.4879999999994</v>
      </c>
      <c r="O2634" s="19">
        <v>7938.8639999999996</v>
      </c>
      <c r="P2634" s="19">
        <v>6503.1289999999999</v>
      </c>
      <c r="Q2634" s="19">
        <v>5753.4049999999997</v>
      </c>
      <c r="R2634" s="19">
        <v>4929.1480000000001</v>
      </c>
      <c r="S2634" s="19">
        <v>4411.9790000000003</v>
      </c>
      <c r="T2634" s="19">
        <v>3563.819</v>
      </c>
      <c r="U2634" s="19">
        <v>2838.8319999999999</v>
      </c>
      <c r="V2634" s="19">
        <v>2312.5300000000002</v>
      </c>
      <c r="W2634" s="19">
        <v>1660.731</v>
      </c>
      <c r="X2634" s="19">
        <v>1051.713</v>
      </c>
      <c r="Y2634" s="19">
        <v>567.16200000000003</v>
      </c>
      <c r="Z2634" s="19">
        <v>208.768</v>
      </c>
      <c r="AA2634" s="19">
        <v>56.201999999999998</v>
      </c>
      <c r="AB2634" s="19">
        <v>9.1479999999999997</v>
      </c>
      <c r="AC2634" s="19">
        <v>0.91</v>
      </c>
    </row>
    <row r="2635" spans="1:29" ht="11.65" hidden="1" x14ac:dyDescent="0.35">
      <c r="A2635" s="23">
        <v>2618</v>
      </c>
      <c r="B2635" s="21" t="s">
        <v>1015</v>
      </c>
      <c r="C2635" s="29" t="s">
        <v>1198</v>
      </c>
      <c r="D2635" s="20"/>
      <c r="E2635" s="20">
        <v>931</v>
      </c>
      <c r="F2635" s="21" t="s">
        <v>1065</v>
      </c>
      <c r="G2635" s="20">
        <v>1830</v>
      </c>
      <c r="H2635" s="20">
        <v>1985</v>
      </c>
      <c r="I2635" s="19">
        <v>17508.379000000001</v>
      </c>
      <c r="J2635" s="19">
        <v>16203.029</v>
      </c>
      <c r="K2635" s="19">
        <v>14635.047</v>
      </c>
      <c r="L2635" s="19">
        <v>13829.002</v>
      </c>
      <c r="M2635" s="19">
        <v>12854.659</v>
      </c>
      <c r="N2635" s="19">
        <v>11174.462</v>
      </c>
      <c r="O2635" s="19">
        <v>9582.0609999999997</v>
      </c>
      <c r="P2635" s="19">
        <v>7823.6909999999998</v>
      </c>
      <c r="Q2635" s="19">
        <v>6384.3609999999999</v>
      </c>
      <c r="R2635" s="19">
        <v>5617.7979999999998</v>
      </c>
      <c r="S2635" s="19">
        <v>4772.38</v>
      </c>
      <c r="T2635" s="19">
        <v>4215.7749999999996</v>
      </c>
      <c r="U2635" s="19">
        <v>3332.7310000000002</v>
      </c>
      <c r="V2635" s="19">
        <v>2565.547</v>
      </c>
      <c r="W2635" s="19">
        <v>1961.046</v>
      </c>
      <c r="X2635" s="19">
        <v>1278.711</v>
      </c>
      <c r="Y2635" s="19">
        <v>684.32399999999996</v>
      </c>
      <c r="Z2635" s="19">
        <v>278.20999999999998</v>
      </c>
      <c r="AA2635" s="19">
        <v>74.350999999999999</v>
      </c>
      <c r="AB2635" s="19">
        <v>13.302</v>
      </c>
      <c r="AC2635" s="19">
        <v>1.321</v>
      </c>
    </row>
    <row r="2636" spans="1:29" ht="11.65" hidden="1" x14ac:dyDescent="0.35">
      <c r="A2636" s="23">
        <v>2619</v>
      </c>
      <c r="B2636" s="21" t="s">
        <v>1015</v>
      </c>
      <c r="C2636" s="29" t="s">
        <v>1198</v>
      </c>
      <c r="D2636" s="20"/>
      <c r="E2636" s="20">
        <v>931</v>
      </c>
      <c r="F2636" s="21" t="s">
        <v>1065</v>
      </c>
      <c r="G2636" s="20">
        <v>1830</v>
      </c>
      <c r="H2636" s="20">
        <v>1990</v>
      </c>
      <c r="I2636" s="19">
        <v>17778.822</v>
      </c>
      <c r="J2636" s="19">
        <v>17334.026999999998</v>
      </c>
      <c r="K2636" s="19">
        <v>16147.550999999999</v>
      </c>
      <c r="L2636" s="19">
        <v>14576.674000000001</v>
      </c>
      <c r="M2636" s="19">
        <v>13732.337</v>
      </c>
      <c r="N2636" s="19">
        <v>12737.591</v>
      </c>
      <c r="O2636" s="19">
        <v>11034.547</v>
      </c>
      <c r="P2636" s="19">
        <v>9468.5079999999998</v>
      </c>
      <c r="Q2636" s="19">
        <v>7706.9570000000003</v>
      </c>
      <c r="R2636" s="19">
        <v>6254.0630000000001</v>
      </c>
      <c r="S2636" s="19">
        <v>5452.8609999999999</v>
      </c>
      <c r="T2636" s="19">
        <v>4572.4650000000001</v>
      </c>
      <c r="U2636" s="19">
        <v>3956.6120000000001</v>
      </c>
      <c r="V2636" s="19">
        <v>3025.4209999999998</v>
      </c>
      <c r="W2636" s="19">
        <v>2199.067</v>
      </c>
      <c r="X2636" s="19">
        <v>1537.7449999999999</v>
      </c>
      <c r="Y2636" s="19">
        <v>857.54200000000003</v>
      </c>
      <c r="Z2636" s="19">
        <v>356.678</v>
      </c>
      <c r="AA2636" s="19">
        <v>105.782</v>
      </c>
      <c r="AB2636" s="19">
        <v>18.901</v>
      </c>
      <c r="AC2636" s="19">
        <v>2.0259999999999998</v>
      </c>
    </row>
    <row r="2637" spans="1:29" ht="11.65" hidden="1" x14ac:dyDescent="0.35">
      <c r="A2637" s="23">
        <v>2620</v>
      </c>
      <c r="B2637" s="21" t="s">
        <v>1015</v>
      </c>
      <c r="C2637" s="29" t="s">
        <v>1198</v>
      </c>
      <c r="D2637" s="20"/>
      <c r="E2637" s="20">
        <v>931</v>
      </c>
      <c r="F2637" s="21" t="s">
        <v>1065</v>
      </c>
      <c r="G2637" s="20">
        <v>1830</v>
      </c>
      <c r="H2637" s="20">
        <v>1995</v>
      </c>
      <c r="I2637" s="19">
        <v>17880.195</v>
      </c>
      <c r="J2637" s="19">
        <v>17637.609</v>
      </c>
      <c r="K2637" s="19">
        <v>17258.690999999999</v>
      </c>
      <c r="L2637" s="19">
        <v>16049.165999999999</v>
      </c>
      <c r="M2637" s="19">
        <v>14463.983</v>
      </c>
      <c r="N2637" s="19">
        <v>13595.950999999999</v>
      </c>
      <c r="O2637" s="19">
        <v>12601.089</v>
      </c>
      <c r="P2637" s="19">
        <v>10894.566000000001</v>
      </c>
      <c r="Q2637" s="19">
        <v>9322.9490000000005</v>
      </c>
      <c r="R2637" s="19">
        <v>7552.3980000000001</v>
      </c>
      <c r="S2637" s="19">
        <v>6082.7510000000002</v>
      </c>
      <c r="T2637" s="19">
        <v>5238.4979999999996</v>
      </c>
      <c r="U2637" s="19">
        <v>4307.9849999999997</v>
      </c>
      <c r="V2637" s="19">
        <v>3610.0549999999998</v>
      </c>
      <c r="W2637" s="19">
        <v>2627.52</v>
      </c>
      <c r="X2637" s="19">
        <v>1758.723</v>
      </c>
      <c r="Y2637" s="19">
        <v>1068.46</v>
      </c>
      <c r="Z2637" s="19">
        <v>474.34300000000002</v>
      </c>
      <c r="AA2637" s="19">
        <v>143.06899999999999</v>
      </c>
      <c r="AB2637" s="19">
        <v>27.233000000000001</v>
      </c>
      <c r="AC2637" s="19">
        <v>2.8029999999999999</v>
      </c>
    </row>
    <row r="2638" spans="1:29" ht="11.65" hidden="1" x14ac:dyDescent="0.35">
      <c r="A2638" s="23">
        <v>2621</v>
      </c>
      <c r="B2638" s="21" t="s">
        <v>1015</v>
      </c>
      <c r="C2638" s="29" t="s">
        <v>1198</v>
      </c>
      <c r="D2638" s="20"/>
      <c r="E2638" s="20">
        <v>931</v>
      </c>
      <c r="F2638" s="21" t="s">
        <v>1065</v>
      </c>
      <c r="G2638" s="20">
        <v>1830</v>
      </c>
      <c r="H2638" s="20">
        <v>2000</v>
      </c>
      <c r="I2638" s="19">
        <v>17767.460999999999</v>
      </c>
      <c r="J2638" s="19">
        <v>17770.654999999999</v>
      </c>
      <c r="K2638" s="19">
        <v>17567.245999999999</v>
      </c>
      <c r="L2638" s="19">
        <v>17163.864000000001</v>
      </c>
      <c r="M2638" s="19">
        <v>15936.532999999999</v>
      </c>
      <c r="N2638" s="19">
        <v>14344.842000000001</v>
      </c>
      <c r="O2638" s="19">
        <v>13465.812</v>
      </c>
      <c r="P2638" s="19">
        <v>12462.683000000001</v>
      </c>
      <c r="Q2638" s="19">
        <v>10746.275</v>
      </c>
      <c r="R2638" s="19">
        <v>9156.1260000000002</v>
      </c>
      <c r="S2638" s="19">
        <v>7364.4960000000001</v>
      </c>
      <c r="T2638" s="19">
        <v>5865.3410000000003</v>
      </c>
      <c r="U2638" s="19">
        <v>4967.0649999999996</v>
      </c>
      <c r="V2638" s="19">
        <v>3976.1509999999998</v>
      </c>
      <c r="W2638" s="19">
        <v>3191.3850000000002</v>
      </c>
      <c r="X2638" s="19">
        <v>2154.2930000000001</v>
      </c>
      <c r="Y2638" s="19">
        <v>1261.317</v>
      </c>
      <c r="Z2638" s="19">
        <v>618.45299999999997</v>
      </c>
      <c r="AA2638" s="19">
        <v>202.482</v>
      </c>
      <c r="AB2638" s="19">
        <v>39.576999999999998</v>
      </c>
      <c r="AC2638" s="19">
        <v>4.359</v>
      </c>
    </row>
    <row r="2639" spans="1:29" ht="11.65" hidden="1" x14ac:dyDescent="0.35">
      <c r="A2639" s="23">
        <v>2622</v>
      </c>
      <c r="B2639" s="21" t="s">
        <v>1015</v>
      </c>
      <c r="C2639" s="29" t="s">
        <v>1198</v>
      </c>
      <c r="D2639" s="20"/>
      <c r="E2639" s="20">
        <v>931</v>
      </c>
      <c r="F2639" s="21" t="s">
        <v>1065</v>
      </c>
      <c r="G2639" s="20">
        <v>1830</v>
      </c>
      <c r="H2639" s="20">
        <v>2005</v>
      </c>
      <c r="I2639" s="19">
        <v>17119.852999999999</v>
      </c>
      <c r="J2639" s="19">
        <v>17666.208999999999</v>
      </c>
      <c r="K2639" s="19">
        <v>17702.481</v>
      </c>
      <c r="L2639" s="19">
        <v>17411.324000000001</v>
      </c>
      <c r="M2639" s="19">
        <v>16980.895</v>
      </c>
      <c r="N2639" s="19">
        <v>15745.578</v>
      </c>
      <c r="O2639" s="19">
        <v>14169.162</v>
      </c>
      <c r="P2639" s="19">
        <v>13299.887000000001</v>
      </c>
      <c r="Q2639" s="19">
        <v>12278.772999999999</v>
      </c>
      <c r="R2639" s="19">
        <v>10543.74</v>
      </c>
      <c r="S2639" s="19">
        <v>8932.9369999999999</v>
      </c>
      <c r="T2639" s="19">
        <v>7104.8559999999998</v>
      </c>
      <c r="U2639" s="19">
        <v>5578.3469999999998</v>
      </c>
      <c r="V2639" s="19">
        <v>4606.7299999999996</v>
      </c>
      <c r="W2639" s="19">
        <v>3540.335</v>
      </c>
      <c r="X2639" s="19">
        <v>2661.5790000000002</v>
      </c>
      <c r="Y2639" s="19">
        <v>1595.066</v>
      </c>
      <c r="Z2639" s="19">
        <v>763.15700000000004</v>
      </c>
      <c r="AA2639" s="19">
        <v>280.61900000000003</v>
      </c>
      <c r="AB2639" s="19">
        <v>60.89</v>
      </c>
      <c r="AC2639" s="19">
        <v>7.1109999999999998</v>
      </c>
    </row>
    <row r="2640" spans="1:29" ht="11.65" hidden="1" x14ac:dyDescent="0.35">
      <c r="A2640" s="23">
        <v>2623</v>
      </c>
      <c r="B2640" s="21" t="s">
        <v>1015</v>
      </c>
      <c r="C2640" s="29" t="s">
        <v>1198</v>
      </c>
      <c r="D2640" s="20"/>
      <c r="E2640" s="20">
        <v>931</v>
      </c>
      <c r="F2640" s="21" t="s">
        <v>1065</v>
      </c>
      <c r="G2640" s="20">
        <v>1830</v>
      </c>
      <c r="H2640" s="20">
        <v>2010</v>
      </c>
      <c r="I2640" s="19">
        <v>16353.852000000001</v>
      </c>
      <c r="J2640" s="19">
        <v>17020.001</v>
      </c>
      <c r="K2640" s="19">
        <v>17574.012999999999</v>
      </c>
      <c r="L2640" s="19">
        <v>17508.482</v>
      </c>
      <c r="M2640" s="19">
        <v>17187.775000000001</v>
      </c>
      <c r="N2640" s="19">
        <v>16779.859</v>
      </c>
      <c r="O2640" s="19">
        <v>15555.066999999999</v>
      </c>
      <c r="P2640" s="19">
        <v>13988.349</v>
      </c>
      <c r="Q2640" s="19">
        <v>13115.588</v>
      </c>
      <c r="R2640" s="19">
        <v>12071.143</v>
      </c>
      <c r="S2640" s="19">
        <v>10311.643</v>
      </c>
      <c r="T2640" s="19">
        <v>8662.8549999999996</v>
      </c>
      <c r="U2640" s="19">
        <v>6787.6009999999997</v>
      </c>
      <c r="V2640" s="19">
        <v>5209.1570000000002</v>
      </c>
      <c r="W2640" s="19">
        <v>4149.1210000000001</v>
      </c>
      <c r="X2640" s="19">
        <v>2993.2449999999999</v>
      </c>
      <c r="Y2640" s="19">
        <v>2016.5889999999999</v>
      </c>
      <c r="Z2640" s="19">
        <v>1004.726</v>
      </c>
      <c r="AA2640" s="19">
        <v>366.24900000000002</v>
      </c>
      <c r="AB2640" s="19">
        <v>91.316999999999993</v>
      </c>
      <c r="AC2640" s="19">
        <v>11.999000000000001</v>
      </c>
    </row>
    <row r="2641" spans="1:29" ht="11.65" hidden="1" x14ac:dyDescent="0.35">
      <c r="A2641" s="23">
        <v>2624</v>
      </c>
      <c r="B2641" s="21" t="s">
        <v>1015</v>
      </c>
      <c r="C2641" s="29" t="s">
        <v>1198</v>
      </c>
      <c r="D2641" s="20"/>
      <c r="E2641" s="20">
        <v>931</v>
      </c>
      <c r="F2641" s="21" t="s">
        <v>1065</v>
      </c>
      <c r="G2641" s="20">
        <v>1830</v>
      </c>
      <c r="H2641" s="20">
        <v>2015</v>
      </c>
      <c r="I2641" s="19">
        <v>16047.761</v>
      </c>
      <c r="J2641" s="19">
        <v>16274.673000000001</v>
      </c>
      <c r="K2641" s="19">
        <v>16929.876</v>
      </c>
      <c r="L2641" s="19">
        <v>17436.781999999999</v>
      </c>
      <c r="M2641" s="19">
        <v>17364.356</v>
      </c>
      <c r="N2641" s="19">
        <v>17027.405999999999</v>
      </c>
      <c r="O2641" s="19">
        <v>16617.831999999999</v>
      </c>
      <c r="P2641" s="19">
        <v>15407.946</v>
      </c>
      <c r="Q2641" s="19">
        <v>13841.383</v>
      </c>
      <c r="R2641" s="19">
        <v>12927.513000000001</v>
      </c>
      <c r="S2641" s="19">
        <v>11838.163</v>
      </c>
      <c r="T2641" s="19">
        <v>10034.405000000001</v>
      </c>
      <c r="U2641" s="19">
        <v>8320.6759999999995</v>
      </c>
      <c r="V2641" s="19">
        <v>6381.299</v>
      </c>
      <c r="W2641" s="19">
        <v>4736.1540000000005</v>
      </c>
      <c r="X2641" s="19">
        <v>3558.3539999999998</v>
      </c>
      <c r="Y2641" s="19">
        <v>2338.7089999999998</v>
      </c>
      <c r="Z2641" s="19">
        <v>1325.0550000000001</v>
      </c>
      <c r="AA2641" s="19">
        <v>513.46900000000005</v>
      </c>
      <c r="AB2641" s="19">
        <v>130.566</v>
      </c>
      <c r="AC2641" s="19">
        <v>20.478000000000002</v>
      </c>
    </row>
    <row r="2642" spans="1:29" ht="11.65" hidden="1" x14ac:dyDescent="0.35">
      <c r="A2642" s="23">
        <v>2625</v>
      </c>
      <c r="B2642" s="21" t="s">
        <v>1015</v>
      </c>
      <c r="C2642" s="29" t="s">
        <v>1198</v>
      </c>
      <c r="D2642" s="20"/>
      <c r="E2642" s="20">
        <v>931</v>
      </c>
      <c r="F2642" s="21" t="s">
        <v>1065</v>
      </c>
      <c r="G2642" s="20">
        <v>1830</v>
      </c>
      <c r="H2642" s="20">
        <v>2020</v>
      </c>
      <c r="I2642" s="19">
        <v>15760.579</v>
      </c>
      <c r="J2642" s="19">
        <v>15918.437</v>
      </c>
      <c r="K2642" s="19">
        <v>16110.463</v>
      </c>
      <c r="L2642" s="19">
        <v>16719.246999999999</v>
      </c>
      <c r="M2642" s="19">
        <v>17317.163</v>
      </c>
      <c r="N2642" s="19">
        <v>17287.473999999998</v>
      </c>
      <c r="O2642" s="19">
        <v>16973.037</v>
      </c>
      <c r="P2642" s="19">
        <v>16558.731</v>
      </c>
      <c r="Q2642" s="19">
        <v>15302.537</v>
      </c>
      <c r="R2642" s="19">
        <v>13660.584999999999</v>
      </c>
      <c r="S2642" s="19">
        <v>12699.933999999999</v>
      </c>
      <c r="T2642" s="19">
        <v>11541.944</v>
      </c>
      <c r="U2642" s="19">
        <v>9665.6049999999996</v>
      </c>
      <c r="V2642" s="19">
        <v>7862.3410000000003</v>
      </c>
      <c r="W2642" s="19">
        <v>5836.7460000000001</v>
      </c>
      <c r="X2642" s="19">
        <v>4102.174</v>
      </c>
      <c r="Y2642" s="19">
        <v>2814.0929999999998</v>
      </c>
      <c r="Z2642" s="19">
        <v>1587.549</v>
      </c>
      <c r="AA2642" s="19">
        <v>723.17499999999995</v>
      </c>
      <c r="AB2642" s="19">
        <v>201.76900000000001</v>
      </c>
      <c r="AC2642" s="19">
        <v>33.116</v>
      </c>
    </row>
    <row r="2643" spans="1:29" ht="11.65" hidden="1" x14ac:dyDescent="0.35">
      <c r="A2643" s="12">
        <v>2626</v>
      </c>
      <c r="B2643" s="10" t="s">
        <v>1015</v>
      </c>
      <c r="C2643" s="11" t="s">
        <v>1199</v>
      </c>
      <c r="D2643" s="9"/>
      <c r="E2643" s="9">
        <v>32</v>
      </c>
      <c r="F2643" s="10" t="s">
        <v>1066</v>
      </c>
      <c r="G2643" s="9">
        <v>931</v>
      </c>
      <c r="H2643" s="9">
        <v>1950</v>
      </c>
      <c r="I2643" s="8">
        <v>985.37400000000002</v>
      </c>
      <c r="J2643" s="8">
        <v>856.846</v>
      </c>
      <c r="K2643" s="8">
        <v>781.96500000000003</v>
      </c>
      <c r="L2643" s="8">
        <v>764.67600000000004</v>
      </c>
      <c r="M2643" s="8">
        <v>776.51300000000003</v>
      </c>
      <c r="N2643" s="8">
        <v>720.20600000000002</v>
      </c>
      <c r="O2643" s="8">
        <v>647.11400000000003</v>
      </c>
      <c r="P2643" s="8">
        <v>601.85599999999999</v>
      </c>
      <c r="Q2643" s="8">
        <v>523.64599999999996</v>
      </c>
      <c r="R2643" s="8">
        <v>448.43599999999998</v>
      </c>
      <c r="S2643" s="8">
        <v>366.35599999999999</v>
      </c>
      <c r="T2643" s="8">
        <v>287.565</v>
      </c>
      <c r="U2643" s="8">
        <v>226.14599999999999</v>
      </c>
      <c r="V2643" s="8">
        <v>158.965</v>
      </c>
      <c r="W2643" s="8">
        <v>102.197</v>
      </c>
      <c r="X2643" s="8">
        <v>58.515000000000001</v>
      </c>
      <c r="Y2643" s="8">
        <v>31.494</v>
      </c>
      <c r="Z2643" s="8">
        <v>12.692</v>
      </c>
      <c r="AA2643" s="8">
        <v>3.7810000000000001</v>
      </c>
      <c r="AB2643" s="8">
        <v>0.71499999999999997</v>
      </c>
      <c r="AC2643" s="8">
        <v>9.0999999999999998E-2</v>
      </c>
    </row>
    <row r="2644" spans="1:29" ht="11.65" hidden="1" x14ac:dyDescent="0.35">
      <c r="A2644" s="12">
        <v>2627</v>
      </c>
      <c r="B2644" s="10" t="s">
        <v>1015</v>
      </c>
      <c r="C2644" s="11" t="s">
        <v>1199</v>
      </c>
      <c r="D2644" s="9"/>
      <c r="E2644" s="9">
        <v>32</v>
      </c>
      <c r="F2644" s="10" t="s">
        <v>1066</v>
      </c>
      <c r="G2644" s="9">
        <v>931</v>
      </c>
      <c r="H2644" s="9">
        <v>1955</v>
      </c>
      <c r="I2644" s="8">
        <v>1054.1859999999999</v>
      </c>
      <c r="J2644" s="8">
        <v>982.22299999999996</v>
      </c>
      <c r="K2644" s="8">
        <v>868.27200000000005</v>
      </c>
      <c r="L2644" s="8">
        <v>793.35400000000004</v>
      </c>
      <c r="M2644" s="8">
        <v>782.10199999999998</v>
      </c>
      <c r="N2644" s="8">
        <v>788.10500000000002</v>
      </c>
      <c r="O2644" s="8">
        <v>724.32899999999995</v>
      </c>
      <c r="P2644" s="8">
        <v>646.14800000000002</v>
      </c>
      <c r="Q2644" s="8">
        <v>596.53300000000002</v>
      </c>
      <c r="R2644" s="8">
        <v>514.36300000000006</v>
      </c>
      <c r="S2644" s="8">
        <v>434.96499999999997</v>
      </c>
      <c r="T2644" s="8">
        <v>349.04199999999997</v>
      </c>
      <c r="U2644" s="8">
        <v>266.65199999999999</v>
      </c>
      <c r="V2644" s="8">
        <v>200.815</v>
      </c>
      <c r="W2644" s="8">
        <v>132.34899999999999</v>
      </c>
      <c r="X2644" s="8">
        <v>76.578999999999994</v>
      </c>
      <c r="Y2644" s="8">
        <v>36.706000000000003</v>
      </c>
      <c r="Z2644" s="8">
        <v>15.183999999999999</v>
      </c>
      <c r="AA2644" s="8">
        <v>4.492</v>
      </c>
      <c r="AB2644" s="8">
        <v>0.94099999999999995</v>
      </c>
      <c r="AC2644" s="8">
        <v>0.13</v>
      </c>
    </row>
    <row r="2645" spans="1:29" ht="11.65" hidden="1" x14ac:dyDescent="0.35">
      <c r="A2645" s="12">
        <v>2628</v>
      </c>
      <c r="B2645" s="10" t="s">
        <v>1015</v>
      </c>
      <c r="C2645" s="11" t="s">
        <v>1199</v>
      </c>
      <c r="D2645" s="9"/>
      <c r="E2645" s="9">
        <v>32</v>
      </c>
      <c r="F2645" s="10" t="s">
        <v>1066</v>
      </c>
      <c r="G2645" s="9">
        <v>931</v>
      </c>
      <c r="H2645" s="9">
        <v>1960</v>
      </c>
      <c r="I2645" s="8">
        <v>1104.453</v>
      </c>
      <c r="J2645" s="8">
        <v>1045.7360000000001</v>
      </c>
      <c r="K2645" s="8">
        <v>986.024</v>
      </c>
      <c r="L2645" s="8">
        <v>873.96400000000006</v>
      </c>
      <c r="M2645" s="8">
        <v>798.39200000000005</v>
      </c>
      <c r="N2645" s="8">
        <v>784.03599999999994</v>
      </c>
      <c r="O2645" s="8">
        <v>785.82299999999998</v>
      </c>
      <c r="P2645" s="8">
        <v>719.27800000000002</v>
      </c>
      <c r="Q2645" s="8">
        <v>638.69899999999996</v>
      </c>
      <c r="R2645" s="8">
        <v>585.64300000000003</v>
      </c>
      <c r="S2645" s="8">
        <v>499.95499999999998</v>
      </c>
      <c r="T2645" s="8">
        <v>416.42099999999999</v>
      </c>
      <c r="U2645" s="8">
        <v>326.08600000000001</v>
      </c>
      <c r="V2645" s="8">
        <v>239.523</v>
      </c>
      <c r="W2645" s="8">
        <v>169.69399999999999</v>
      </c>
      <c r="X2645" s="8">
        <v>101.42400000000001</v>
      </c>
      <c r="Y2645" s="8">
        <v>49.804000000000002</v>
      </c>
      <c r="Z2645" s="8">
        <v>18.651</v>
      </c>
      <c r="AA2645" s="8">
        <v>5.7549999999999999</v>
      </c>
      <c r="AB2645" s="8">
        <v>1.2130000000000001</v>
      </c>
      <c r="AC2645" s="8">
        <v>0.189</v>
      </c>
    </row>
    <row r="2646" spans="1:29" ht="11.65" hidden="1" x14ac:dyDescent="0.35">
      <c r="A2646" s="12">
        <v>2629</v>
      </c>
      <c r="B2646" s="10" t="s">
        <v>1015</v>
      </c>
      <c r="C2646" s="11" t="s">
        <v>1199</v>
      </c>
      <c r="D2646" s="9"/>
      <c r="E2646" s="9">
        <v>32</v>
      </c>
      <c r="F2646" s="10" t="s">
        <v>1066</v>
      </c>
      <c r="G2646" s="9">
        <v>931</v>
      </c>
      <c r="H2646" s="9">
        <v>1965</v>
      </c>
      <c r="I2646" s="8">
        <v>1150.28</v>
      </c>
      <c r="J2646" s="8">
        <v>1096.9549999999999</v>
      </c>
      <c r="K2646" s="8">
        <v>1048.9190000000001</v>
      </c>
      <c r="L2646" s="8">
        <v>990.95600000000002</v>
      </c>
      <c r="M2646" s="8">
        <v>878.63900000000001</v>
      </c>
      <c r="N2646" s="8">
        <v>800.79700000000003</v>
      </c>
      <c r="O2646" s="8">
        <v>782.51499999999999</v>
      </c>
      <c r="P2646" s="8">
        <v>780.79899999999998</v>
      </c>
      <c r="Q2646" s="8">
        <v>711.95100000000002</v>
      </c>
      <c r="R2646" s="8">
        <v>628.649</v>
      </c>
      <c r="S2646" s="8">
        <v>570.97500000000002</v>
      </c>
      <c r="T2646" s="8">
        <v>480.87400000000002</v>
      </c>
      <c r="U2646" s="8">
        <v>391.59500000000003</v>
      </c>
      <c r="V2646" s="8">
        <v>296.50200000000001</v>
      </c>
      <c r="W2646" s="8">
        <v>205.642</v>
      </c>
      <c r="X2646" s="8">
        <v>132.23699999999999</v>
      </c>
      <c r="Y2646" s="8">
        <v>65.03</v>
      </c>
      <c r="Z2646" s="8">
        <v>22.512</v>
      </c>
      <c r="AA2646" s="8">
        <v>5.6379999999999999</v>
      </c>
      <c r="AB2646" s="8">
        <v>1.105</v>
      </c>
      <c r="AC2646" s="8">
        <v>0.16200000000000001</v>
      </c>
    </row>
    <row r="2647" spans="1:29" ht="11.65" hidden="1" x14ac:dyDescent="0.35">
      <c r="A2647" s="12">
        <v>2630</v>
      </c>
      <c r="B2647" s="10" t="s">
        <v>1015</v>
      </c>
      <c r="C2647" s="11" t="s">
        <v>1199</v>
      </c>
      <c r="D2647" s="9"/>
      <c r="E2647" s="9">
        <v>32</v>
      </c>
      <c r="F2647" s="10" t="s">
        <v>1066</v>
      </c>
      <c r="G2647" s="9">
        <v>931</v>
      </c>
      <c r="H2647" s="9">
        <v>1970</v>
      </c>
      <c r="I2647" s="8">
        <v>1218.251</v>
      </c>
      <c r="J2647" s="8">
        <v>1143.7280000000001</v>
      </c>
      <c r="K2647" s="8">
        <v>1100.963</v>
      </c>
      <c r="L2647" s="8">
        <v>1054.9110000000001</v>
      </c>
      <c r="M2647" s="8">
        <v>996.61900000000003</v>
      </c>
      <c r="N2647" s="8">
        <v>881.78499999999997</v>
      </c>
      <c r="O2647" s="8">
        <v>800.09699999999998</v>
      </c>
      <c r="P2647" s="8">
        <v>778.19</v>
      </c>
      <c r="Q2647" s="8">
        <v>772.92200000000003</v>
      </c>
      <c r="R2647" s="8">
        <v>701.09299999999996</v>
      </c>
      <c r="S2647" s="8">
        <v>613.97</v>
      </c>
      <c r="T2647" s="8">
        <v>550.029</v>
      </c>
      <c r="U2647" s="8">
        <v>453.65800000000002</v>
      </c>
      <c r="V2647" s="8">
        <v>357.27699999999999</v>
      </c>
      <c r="W2647" s="8">
        <v>255.505</v>
      </c>
      <c r="X2647" s="8">
        <v>160.94</v>
      </c>
      <c r="Y2647" s="8">
        <v>85.17</v>
      </c>
      <c r="Z2647" s="8">
        <v>29.74</v>
      </c>
      <c r="AA2647" s="8">
        <v>6.907</v>
      </c>
      <c r="AB2647" s="8">
        <v>1.101</v>
      </c>
      <c r="AC2647" s="8">
        <v>0.14799999999999999</v>
      </c>
    </row>
    <row r="2648" spans="1:29" ht="11.65" hidden="1" x14ac:dyDescent="0.35">
      <c r="A2648" s="12">
        <v>2631</v>
      </c>
      <c r="B2648" s="10" t="s">
        <v>1015</v>
      </c>
      <c r="C2648" s="11" t="s">
        <v>1199</v>
      </c>
      <c r="D2648" s="9"/>
      <c r="E2648" s="9">
        <v>32</v>
      </c>
      <c r="F2648" s="10" t="s">
        <v>1066</v>
      </c>
      <c r="G2648" s="9">
        <v>931</v>
      </c>
      <c r="H2648" s="9">
        <v>1975</v>
      </c>
      <c r="I2648" s="8">
        <v>1384.9190000000001</v>
      </c>
      <c r="J2648" s="8">
        <v>1217.97</v>
      </c>
      <c r="K2648" s="8">
        <v>1166.9690000000001</v>
      </c>
      <c r="L2648" s="8">
        <v>1133.6469999999999</v>
      </c>
      <c r="M2648" s="8">
        <v>1084.366</v>
      </c>
      <c r="N2648" s="8">
        <v>1000.761</v>
      </c>
      <c r="O2648" s="8">
        <v>876.08799999999997</v>
      </c>
      <c r="P2648" s="8">
        <v>792.95</v>
      </c>
      <c r="Q2648" s="8">
        <v>768.59299999999996</v>
      </c>
      <c r="R2648" s="8">
        <v>759.89400000000001</v>
      </c>
      <c r="S2648" s="8">
        <v>684.17600000000004</v>
      </c>
      <c r="T2648" s="8">
        <v>591.86900000000003</v>
      </c>
      <c r="U2648" s="8">
        <v>520.27599999999995</v>
      </c>
      <c r="V2648" s="8">
        <v>416.13200000000001</v>
      </c>
      <c r="W2648" s="8">
        <v>309.69600000000003</v>
      </c>
      <c r="X2648" s="8">
        <v>201.863</v>
      </c>
      <c r="Y2648" s="8">
        <v>105.517</v>
      </c>
      <c r="Z2648" s="8">
        <v>39.947000000000003</v>
      </c>
      <c r="AA2648" s="8">
        <v>9.4350000000000005</v>
      </c>
      <c r="AB2648" s="8">
        <v>1.403</v>
      </c>
      <c r="AC2648" s="8">
        <v>0.152</v>
      </c>
    </row>
    <row r="2649" spans="1:29" ht="11.65" hidden="1" x14ac:dyDescent="0.35">
      <c r="A2649" s="12">
        <v>2632</v>
      </c>
      <c r="B2649" s="10" t="s">
        <v>1015</v>
      </c>
      <c r="C2649" s="11" t="s">
        <v>1199</v>
      </c>
      <c r="D2649" s="9"/>
      <c r="E2649" s="9">
        <v>32</v>
      </c>
      <c r="F2649" s="10" t="s">
        <v>1066</v>
      </c>
      <c r="G2649" s="9">
        <v>931</v>
      </c>
      <c r="H2649" s="9">
        <v>1980</v>
      </c>
      <c r="I2649" s="8">
        <v>1613.8050000000001</v>
      </c>
      <c r="J2649" s="8">
        <v>1366.864</v>
      </c>
      <c r="K2649" s="8">
        <v>1208.268</v>
      </c>
      <c r="L2649" s="8">
        <v>1161.146</v>
      </c>
      <c r="M2649" s="8">
        <v>1120.0250000000001</v>
      </c>
      <c r="N2649" s="8">
        <v>1069.5260000000001</v>
      </c>
      <c r="O2649" s="8">
        <v>986.72400000000005</v>
      </c>
      <c r="P2649" s="8">
        <v>862.47400000000005</v>
      </c>
      <c r="Q2649" s="8">
        <v>778.625</v>
      </c>
      <c r="R2649" s="8">
        <v>753.41099999999994</v>
      </c>
      <c r="S2649" s="8">
        <v>742.053</v>
      </c>
      <c r="T2649" s="8">
        <v>660.76400000000001</v>
      </c>
      <c r="U2649" s="8">
        <v>561.85400000000004</v>
      </c>
      <c r="V2649" s="8">
        <v>480.20600000000002</v>
      </c>
      <c r="W2649" s="8">
        <v>363.11399999999998</v>
      </c>
      <c r="X2649" s="8">
        <v>246.87100000000001</v>
      </c>
      <c r="Y2649" s="8">
        <v>134.577</v>
      </c>
      <c r="Z2649" s="8">
        <v>50.69</v>
      </c>
      <c r="AA2649" s="8">
        <v>13.081</v>
      </c>
      <c r="AB2649" s="8">
        <v>1.9890000000000001</v>
      </c>
      <c r="AC2649" s="8">
        <v>0.19700000000000001</v>
      </c>
    </row>
    <row r="2650" spans="1:29" ht="11.65" hidden="1" x14ac:dyDescent="0.35">
      <c r="A2650" s="12">
        <v>2633</v>
      </c>
      <c r="B2650" s="10" t="s">
        <v>1015</v>
      </c>
      <c r="C2650" s="11" t="s">
        <v>1199</v>
      </c>
      <c r="D2650" s="9"/>
      <c r="E2650" s="9">
        <v>32</v>
      </c>
      <c r="F2650" s="10" t="s">
        <v>1066</v>
      </c>
      <c r="G2650" s="9">
        <v>931</v>
      </c>
      <c r="H2650" s="9">
        <v>1985</v>
      </c>
      <c r="I2650" s="8">
        <v>1621.008</v>
      </c>
      <c r="J2650" s="8">
        <v>1617.606</v>
      </c>
      <c r="K2650" s="8">
        <v>1391.17</v>
      </c>
      <c r="L2650" s="8">
        <v>1234.171</v>
      </c>
      <c r="M2650" s="8">
        <v>1184.876</v>
      </c>
      <c r="N2650" s="8">
        <v>1133.019</v>
      </c>
      <c r="O2650" s="8">
        <v>1069.258</v>
      </c>
      <c r="P2650" s="8">
        <v>979.26499999999999</v>
      </c>
      <c r="Q2650" s="8">
        <v>853.07299999999998</v>
      </c>
      <c r="R2650" s="8">
        <v>766.68100000000004</v>
      </c>
      <c r="S2650" s="8">
        <v>736.91899999999998</v>
      </c>
      <c r="T2650" s="8">
        <v>718.52200000000005</v>
      </c>
      <c r="U2650" s="8">
        <v>629.93799999999999</v>
      </c>
      <c r="V2650" s="8">
        <v>522.053</v>
      </c>
      <c r="W2650" s="8">
        <v>423.57100000000003</v>
      </c>
      <c r="X2650" s="8">
        <v>293.86200000000002</v>
      </c>
      <c r="Y2650" s="8">
        <v>168.84700000000001</v>
      </c>
      <c r="Z2650" s="8">
        <v>67.555999999999997</v>
      </c>
      <c r="AA2650" s="8">
        <v>17.611999999999998</v>
      </c>
      <c r="AB2650" s="8">
        <v>2.9620000000000002</v>
      </c>
      <c r="AC2650" s="8">
        <v>0.29799999999999999</v>
      </c>
    </row>
    <row r="2651" spans="1:29" ht="11.65" hidden="1" x14ac:dyDescent="0.35">
      <c r="A2651" s="12">
        <v>2634</v>
      </c>
      <c r="B2651" s="10" t="s">
        <v>1015</v>
      </c>
      <c r="C2651" s="11" t="s">
        <v>1199</v>
      </c>
      <c r="D2651" s="9"/>
      <c r="E2651" s="9">
        <v>32</v>
      </c>
      <c r="F2651" s="10" t="s">
        <v>1066</v>
      </c>
      <c r="G2651" s="9">
        <v>931</v>
      </c>
      <c r="H2651" s="9">
        <v>1990</v>
      </c>
      <c r="I2651" s="8">
        <v>1703.633</v>
      </c>
      <c r="J2651" s="8">
        <v>1626.3420000000001</v>
      </c>
      <c r="K2651" s="8">
        <v>1636.9870000000001</v>
      </c>
      <c r="L2651" s="8">
        <v>1418.27</v>
      </c>
      <c r="M2651" s="8">
        <v>1266.6179999999999</v>
      </c>
      <c r="N2651" s="8">
        <v>1208.7270000000001</v>
      </c>
      <c r="O2651" s="8">
        <v>1130.4390000000001</v>
      </c>
      <c r="P2651" s="8">
        <v>1062.596</v>
      </c>
      <c r="Q2651" s="8">
        <v>969.798</v>
      </c>
      <c r="R2651" s="8">
        <v>840.92399999999998</v>
      </c>
      <c r="S2651" s="8">
        <v>750.74599999999998</v>
      </c>
      <c r="T2651" s="8">
        <v>714.48199999999997</v>
      </c>
      <c r="U2651" s="8">
        <v>686.28</v>
      </c>
      <c r="V2651" s="8">
        <v>586.89300000000003</v>
      </c>
      <c r="W2651" s="8">
        <v>463.23899999999998</v>
      </c>
      <c r="X2651" s="8">
        <v>345.71100000000001</v>
      </c>
      <c r="Y2651" s="8">
        <v>204.36600000000001</v>
      </c>
      <c r="Z2651" s="8">
        <v>88.025000000000006</v>
      </c>
      <c r="AA2651" s="8">
        <v>24.855</v>
      </c>
      <c r="AB2651" s="8">
        <v>4.3</v>
      </c>
      <c r="AC2651" s="8">
        <v>0.48399999999999999</v>
      </c>
    </row>
    <row r="2652" spans="1:29" ht="11.65" hidden="1" x14ac:dyDescent="0.35">
      <c r="A2652" s="12">
        <v>2635</v>
      </c>
      <c r="B2652" s="10" t="s">
        <v>1015</v>
      </c>
      <c r="C2652" s="11" t="s">
        <v>1199</v>
      </c>
      <c r="D2652" s="9"/>
      <c r="E2652" s="9">
        <v>32</v>
      </c>
      <c r="F2652" s="10" t="s">
        <v>1066</v>
      </c>
      <c r="G2652" s="9">
        <v>931</v>
      </c>
      <c r="H2652" s="9">
        <v>1995</v>
      </c>
      <c r="I2652" s="8">
        <v>1757.683</v>
      </c>
      <c r="J2652" s="8">
        <v>1698.0920000000001</v>
      </c>
      <c r="K2652" s="8">
        <v>1623.548</v>
      </c>
      <c r="L2652" s="8">
        <v>1632.922</v>
      </c>
      <c r="M2652" s="8">
        <v>1412.97</v>
      </c>
      <c r="N2652" s="8">
        <v>1260.7860000000001</v>
      </c>
      <c r="O2652" s="8">
        <v>1201.0319999999999</v>
      </c>
      <c r="P2652" s="8">
        <v>1113.9010000000001</v>
      </c>
      <c r="Q2652" s="8">
        <v>1045.4970000000001</v>
      </c>
      <c r="R2652" s="8">
        <v>951.11099999999999</v>
      </c>
      <c r="S2652" s="8">
        <v>822.19</v>
      </c>
      <c r="T2652" s="8">
        <v>727.45399999999995</v>
      </c>
      <c r="U2652" s="8">
        <v>682.976</v>
      </c>
      <c r="V2652" s="8">
        <v>641.08900000000006</v>
      </c>
      <c r="W2652" s="8">
        <v>525.78700000000003</v>
      </c>
      <c r="X2652" s="8">
        <v>384.00099999999998</v>
      </c>
      <c r="Y2652" s="8">
        <v>248.541</v>
      </c>
      <c r="Z2652" s="8">
        <v>114.64100000000001</v>
      </c>
      <c r="AA2652" s="8">
        <v>33.488999999999997</v>
      </c>
      <c r="AB2652" s="8">
        <v>5.4130000000000003</v>
      </c>
      <c r="AC2652" s="8">
        <v>0.47699999999999998</v>
      </c>
    </row>
    <row r="2653" spans="1:29" ht="11.65" hidden="1" x14ac:dyDescent="0.35">
      <c r="A2653" s="12">
        <v>2636</v>
      </c>
      <c r="B2653" s="10" t="s">
        <v>1015</v>
      </c>
      <c r="C2653" s="11" t="s">
        <v>1199</v>
      </c>
      <c r="D2653" s="9"/>
      <c r="E2653" s="9">
        <v>32</v>
      </c>
      <c r="F2653" s="10" t="s">
        <v>1066</v>
      </c>
      <c r="G2653" s="9">
        <v>931</v>
      </c>
      <c r="H2653" s="9">
        <v>2000</v>
      </c>
      <c r="I2653" s="8">
        <v>1722.662</v>
      </c>
      <c r="J2653" s="8">
        <v>1752.8340000000001</v>
      </c>
      <c r="K2653" s="8">
        <v>1695.671</v>
      </c>
      <c r="L2653" s="8">
        <v>1620.326</v>
      </c>
      <c r="M2653" s="8">
        <v>1627.9849999999999</v>
      </c>
      <c r="N2653" s="8">
        <v>1407.479</v>
      </c>
      <c r="O2653" s="8">
        <v>1253.8440000000001</v>
      </c>
      <c r="P2653" s="8">
        <v>1192.816</v>
      </c>
      <c r="Q2653" s="8">
        <v>1103.248</v>
      </c>
      <c r="R2653" s="8">
        <v>1031.2170000000001</v>
      </c>
      <c r="S2653" s="8">
        <v>932.62400000000002</v>
      </c>
      <c r="T2653" s="8">
        <v>798.89400000000001</v>
      </c>
      <c r="U2653" s="8">
        <v>696.93499999999995</v>
      </c>
      <c r="V2653" s="8">
        <v>640.08299999999997</v>
      </c>
      <c r="W2653" s="8">
        <v>577.87599999999998</v>
      </c>
      <c r="X2653" s="8">
        <v>441.06700000000001</v>
      </c>
      <c r="Y2653" s="8">
        <v>281.84100000000001</v>
      </c>
      <c r="Z2653" s="8">
        <v>144.238</v>
      </c>
      <c r="AA2653" s="8">
        <v>45.956000000000003</v>
      </c>
      <c r="AB2653" s="8">
        <v>7.8390000000000004</v>
      </c>
      <c r="AC2653" s="8">
        <v>0.63600000000000001</v>
      </c>
    </row>
    <row r="2654" spans="1:29" ht="11.65" hidden="1" x14ac:dyDescent="0.35">
      <c r="A2654" s="12">
        <v>2637</v>
      </c>
      <c r="B2654" s="10" t="s">
        <v>1015</v>
      </c>
      <c r="C2654" s="11" t="s">
        <v>1199</v>
      </c>
      <c r="D2654" s="9"/>
      <c r="E2654" s="9">
        <v>32</v>
      </c>
      <c r="F2654" s="10" t="s">
        <v>1066</v>
      </c>
      <c r="G2654" s="9">
        <v>931</v>
      </c>
      <c r="H2654" s="9">
        <v>2005</v>
      </c>
      <c r="I2654" s="8">
        <v>1746.941</v>
      </c>
      <c r="J2654" s="8">
        <v>1718.8330000000001</v>
      </c>
      <c r="K2654" s="8">
        <v>1750.6559999999999</v>
      </c>
      <c r="L2654" s="8">
        <v>1677.183</v>
      </c>
      <c r="M2654" s="8">
        <v>1598.4280000000001</v>
      </c>
      <c r="N2654" s="8">
        <v>1606.414</v>
      </c>
      <c r="O2654" s="8">
        <v>1398.914</v>
      </c>
      <c r="P2654" s="8">
        <v>1244.5999999999999</v>
      </c>
      <c r="Q2654" s="8">
        <v>1181.876</v>
      </c>
      <c r="R2654" s="8">
        <v>1088.9169999999999</v>
      </c>
      <c r="S2654" s="8">
        <v>1011.944</v>
      </c>
      <c r="T2654" s="8">
        <v>907.08100000000002</v>
      </c>
      <c r="U2654" s="8">
        <v>766.56100000000004</v>
      </c>
      <c r="V2654" s="8">
        <v>654.92499999999995</v>
      </c>
      <c r="W2654" s="8">
        <v>580.13699999999994</v>
      </c>
      <c r="X2654" s="8">
        <v>490.04</v>
      </c>
      <c r="Y2654" s="8">
        <v>329.96699999999998</v>
      </c>
      <c r="Z2654" s="8">
        <v>168.88</v>
      </c>
      <c r="AA2654" s="8">
        <v>60.749000000000002</v>
      </c>
      <c r="AB2654" s="8">
        <v>11.523999999999999</v>
      </c>
      <c r="AC2654" s="8">
        <v>0.98899999999999999</v>
      </c>
    </row>
    <row r="2655" spans="1:29" ht="11.65" hidden="1" x14ac:dyDescent="0.35">
      <c r="A2655" s="12">
        <v>2638</v>
      </c>
      <c r="B2655" s="10" t="s">
        <v>1015</v>
      </c>
      <c r="C2655" s="11" t="s">
        <v>1199</v>
      </c>
      <c r="D2655" s="9"/>
      <c r="E2655" s="9">
        <v>32</v>
      </c>
      <c r="F2655" s="10" t="s">
        <v>1066</v>
      </c>
      <c r="G2655" s="9">
        <v>931</v>
      </c>
      <c r="H2655" s="9">
        <v>2010</v>
      </c>
      <c r="I2655" s="8">
        <v>1769.816</v>
      </c>
      <c r="J2655" s="8">
        <v>1742.2739999999999</v>
      </c>
      <c r="K2655" s="8">
        <v>1716.69</v>
      </c>
      <c r="L2655" s="8">
        <v>1747.7449999999999</v>
      </c>
      <c r="M2655" s="8">
        <v>1665.008</v>
      </c>
      <c r="N2655" s="8">
        <v>1580.816</v>
      </c>
      <c r="O2655" s="8">
        <v>1586.5840000000001</v>
      </c>
      <c r="P2655" s="8">
        <v>1380.905</v>
      </c>
      <c r="Q2655" s="8">
        <v>1229.153</v>
      </c>
      <c r="R2655" s="8">
        <v>1165.2729999999999</v>
      </c>
      <c r="S2655" s="8">
        <v>1069.7080000000001</v>
      </c>
      <c r="T2655" s="8">
        <v>985.47699999999998</v>
      </c>
      <c r="U2655" s="8">
        <v>871.90300000000002</v>
      </c>
      <c r="V2655" s="8">
        <v>722.37099999999998</v>
      </c>
      <c r="W2655" s="8">
        <v>596.75599999999997</v>
      </c>
      <c r="X2655" s="8">
        <v>497.08199999999999</v>
      </c>
      <c r="Y2655" s="8">
        <v>373.315</v>
      </c>
      <c r="Z2655" s="8">
        <v>203.755</v>
      </c>
      <c r="AA2655" s="8">
        <v>74.531000000000006</v>
      </c>
      <c r="AB2655" s="8">
        <v>16.265000000000001</v>
      </c>
      <c r="AC2655" s="8">
        <v>1.573</v>
      </c>
    </row>
    <row r="2656" spans="1:29" ht="11.65" hidden="1" x14ac:dyDescent="0.35">
      <c r="A2656" s="12">
        <v>2639</v>
      </c>
      <c r="B2656" s="10" t="s">
        <v>1015</v>
      </c>
      <c r="C2656" s="11" t="s">
        <v>1199</v>
      </c>
      <c r="D2656" s="9"/>
      <c r="E2656" s="9">
        <v>32</v>
      </c>
      <c r="F2656" s="10" t="s">
        <v>1066</v>
      </c>
      <c r="G2656" s="9">
        <v>931</v>
      </c>
      <c r="H2656" s="9">
        <v>2015</v>
      </c>
      <c r="I2656" s="8">
        <v>1822.7729999999999</v>
      </c>
      <c r="J2656" s="8">
        <v>1767.44</v>
      </c>
      <c r="K2656" s="8">
        <v>1740.807</v>
      </c>
      <c r="L2656" s="8">
        <v>1715.7670000000001</v>
      </c>
      <c r="M2656" s="8">
        <v>1746.835</v>
      </c>
      <c r="N2656" s="8">
        <v>1663.577</v>
      </c>
      <c r="O2656" s="8">
        <v>1577.655</v>
      </c>
      <c r="P2656" s="8">
        <v>1580.6659999999999</v>
      </c>
      <c r="Q2656" s="8">
        <v>1372.6020000000001</v>
      </c>
      <c r="R2656" s="8">
        <v>1216.798</v>
      </c>
      <c r="S2656" s="8">
        <v>1146.6369999999999</v>
      </c>
      <c r="T2656" s="8">
        <v>1043.578</v>
      </c>
      <c r="U2656" s="8">
        <v>949.178</v>
      </c>
      <c r="V2656" s="8">
        <v>824.01499999999999</v>
      </c>
      <c r="W2656" s="8">
        <v>661.678</v>
      </c>
      <c r="X2656" s="8">
        <v>516.32600000000002</v>
      </c>
      <c r="Y2656" s="8">
        <v>385.15699999999998</v>
      </c>
      <c r="Z2656" s="8">
        <v>237.14400000000001</v>
      </c>
      <c r="AA2656" s="8">
        <v>93.986000000000004</v>
      </c>
      <c r="AB2656" s="8">
        <v>21.238</v>
      </c>
      <c r="AC2656" s="8">
        <v>2.4089999999999998</v>
      </c>
    </row>
    <row r="2657" spans="1:29" ht="11.65" hidden="1" x14ac:dyDescent="0.35">
      <c r="A2657" s="12">
        <v>2640</v>
      </c>
      <c r="B2657" s="10" t="s">
        <v>1015</v>
      </c>
      <c r="C2657" s="11" t="s">
        <v>1199</v>
      </c>
      <c r="D2657" s="9"/>
      <c r="E2657" s="9">
        <v>32</v>
      </c>
      <c r="F2657" s="10" t="s">
        <v>1066</v>
      </c>
      <c r="G2657" s="9">
        <v>931</v>
      </c>
      <c r="H2657" s="9">
        <v>2020</v>
      </c>
      <c r="I2657" s="8">
        <v>1833.2249999999999</v>
      </c>
      <c r="J2657" s="8">
        <v>1820.6880000000001</v>
      </c>
      <c r="K2657" s="8">
        <v>1766.0409999999999</v>
      </c>
      <c r="L2657" s="8">
        <v>1739.6890000000001</v>
      </c>
      <c r="M2657" s="8">
        <v>1714.597</v>
      </c>
      <c r="N2657" s="8">
        <v>1745.039</v>
      </c>
      <c r="O2657" s="8">
        <v>1660.2360000000001</v>
      </c>
      <c r="P2657" s="8">
        <v>1572.135</v>
      </c>
      <c r="Q2657" s="8">
        <v>1571.7449999999999</v>
      </c>
      <c r="R2657" s="8">
        <v>1359.5740000000001</v>
      </c>
      <c r="S2657" s="8">
        <v>1198.2619999999999</v>
      </c>
      <c r="T2657" s="8">
        <v>1119.816</v>
      </c>
      <c r="U2657" s="8">
        <v>1006.668</v>
      </c>
      <c r="V2657" s="8">
        <v>899.25800000000004</v>
      </c>
      <c r="W2657" s="8">
        <v>758.34699999999998</v>
      </c>
      <c r="X2657" s="8">
        <v>577.67600000000004</v>
      </c>
      <c r="Y2657" s="8">
        <v>406.45600000000002</v>
      </c>
      <c r="Z2657" s="8">
        <v>251.28</v>
      </c>
      <c r="AA2657" s="8">
        <v>114.056</v>
      </c>
      <c r="AB2657" s="8">
        <v>28.42</v>
      </c>
      <c r="AC2657" s="8">
        <v>3.423</v>
      </c>
    </row>
    <row r="2658" spans="1:29" ht="11.65" hidden="1" x14ac:dyDescent="0.35">
      <c r="A2658" s="12">
        <v>2641</v>
      </c>
      <c r="B2658" s="10" t="s">
        <v>1015</v>
      </c>
      <c r="C2658" s="11" t="s">
        <v>1200</v>
      </c>
      <c r="D2658" s="9"/>
      <c r="E2658" s="9">
        <v>68</v>
      </c>
      <c r="F2658" s="10" t="s">
        <v>1066</v>
      </c>
      <c r="G2658" s="9">
        <v>931</v>
      </c>
      <c r="H2658" s="9">
        <v>1950</v>
      </c>
      <c r="I2658" s="8">
        <v>244.114</v>
      </c>
      <c r="J2658" s="8">
        <v>192.87799999999999</v>
      </c>
      <c r="K2658" s="8">
        <v>161.637</v>
      </c>
      <c r="L2658" s="8">
        <v>145.99299999999999</v>
      </c>
      <c r="M2658" s="8">
        <v>132.11000000000001</v>
      </c>
      <c r="N2658" s="8">
        <v>109.48399999999999</v>
      </c>
      <c r="O2658" s="8">
        <v>93.876000000000005</v>
      </c>
      <c r="P2658" s="8">
        <v>87.317999999999998</v>
      </c>
      <c r="Q2658" s="8">
        <v>75.323999999999998</v>
      </c>
      <c r="R2658" s="8">
        <v>63.823999999999998</v>
      </c>
      <c r="S2658" s="8">
        <v>55.152000000000001</v>
      </c>
      <c r="T2658" s="8">
        <v>51.723999999999997</v>
      </c>
      <c r="U2658" s="8">
        <v>46.787999999999997</v>
      </c>
      <c r="V2658" s="8">
        <v>37.811999999999998</v>
      </c>
      <c r="W2658" s="8">
        <v>27.239000000000001</v>
      </c>
      <c r="X2658" s="8">
        <v>17.613</v>
      </c>
      <c r="Y2658" s="8">
        <v>11.101000000000001</v>
      </c>
      <c r="Z2658" s="8">
        <v>5.4210000000000003</v>
      </c>
      <c r="AA2658" s="8">
        <v>1.98</v>
      </c>
      <c r="AB2658" s="8">
        <v>0.629</v>
      </c>
      <c r="AC2658" s="8">
        <v>7.6999999999999999E-2</v>
      </c>
    </row>
    <row r="2659" spans="1:29" ht="11.65" hidden="1" x14ac:dyDescent="0.35">
      <c r="A2659" s="12">
        <v>2642</v>
      </c>
      <c r="B2659" s="10" t="s">
        <v>1015</v>
      </c>
      <c r="C2659" s="11" t="s">
        <v>1200</v>
      </c>
      <c r="D2659" s="9"/>
      <c r="E2659" s="9">
        <v>68</v>
      </c>
      <c r="F2659" s="10" t="s">
        <v>1066</v>
      </c>
      <c r="G2659" s="9">
        <v>931</v>
      </c>
      <c r="H2659" s="9">
        <v>1955</v>
      </c>
      <c r="I2659" s="8">
        <v>268.45299999999997</v>
      </c>
      <c r="J2659" s="8">
        <v>217.65</v>
      </c>
      <c r="K2659" s="8">
        <v>186.84200000000001</v>
      </c>
      <c r="L2659" s="8">
        <v>156.149</v>
      </c>
      <c r="M2659" s="8">
        <v>139.02699999999999</v>
      </c>
      <c r="N2659" s="8">
        <v>124.819</v>
      </c>
      <c r="O2659" s="8">
        <v>103.184</v>
      </c>
      <c r="P2659" s="8">
        <v>88.48</v>
      </c>
      <c r="Q2659" s="8">
        <v>82.269000000000005</v>
      </c>
      <c r="R2659" s="8">
        <v>70.716999999999999</v>
      </c>
      <c r="S2659" s="8">
        <v>59.384999999999998</v>
      </c>
      <c r="T2659" s="8">
        <v>50.417000000000002</v>
      </c>
      <c r="U2659" s="8">
        <v>45.51</v>
      </c>
      <c r="V2659" s="8">
        <v>38.231999999999999</v>
      </c>
      <c r="W2659" s="8">
        <v>27.141999999999999</v>
      </c>
      <c r="X2659" s="8">
        <v>15.721</v>
      </c>
      <c r="Y2659" s="8">
        <v>7.2590000000000003</v>
      </c>
      <c r="Z2659" s="8">
        <v>2.8079999999999998</v>
      </c>
      <c r="AA2659" s="8">
        <v>0.77700000000000002</v>
      </c>
      <c r="AB2659" s="8">
        <v>0.14899999999999999</v>
      </c>
      <c r="AC2659" s="8">
        <v>2.5999999999999999E-2</v>
      </c>
    </row>
    <row r="2660" spans="1:29" ht="11.65" hidden="1" x14ac:dyDescent="0.35">
      <c r="A2660" s="12">
        <v>2643</v>
      </c>
      <c r="B2660" s="10" t="s">
        <v>1015</v>
      </c>
      <c r="C2660" s="11" t="s">
        <v>1200</v>
      </c>
      <c r="D2660" s="9"/>
      <c r="E2660" s="9">
        <v>68</v>
      </c>
      <c r="F2660" s="10" t="s">
        <v>1066</v>
      </c>
      <c r="G2660" s="9">
        <v>931</v>
      </c>
      <c r="H2660" s="9">
        <v>1960</v>
      </c>
      <c r="I2660" s="8">
        <v>292.589</v>
      </c>
      <c r="J2660" s="8">
        <v>241.65199999999999</v>
      </c>
      <c r="K2660" s="8">
        <v>211.99600000000001</v>
      </c>
      <c r="L2660" s="8">
        <v>181.57900000000001</v>
      </c>
      <c r="M2660" s="8">
        <v>149.62700000000001</v>
      </c>
      <c r="N2660" s="8">
        <v>132.19</v>
      </c>
      <c r="O2660" s="8">
        <v>118.529</v>
      </c>
      <c r="P2660" s="8">
        <v>97.932000000000002</v>
      </c>
      <c r="Q2660" s="8">
        <v>83.856999999999999</v>
      </c>
      <c r="R2660" s="8">
        <v>77.754999999999995</v>
      </c>
      <c r="S2660" s="8">
        <v>66.262</v>
      </c>
      <c r="T2660" s="8">
        <v>54.707000000000001</v>
      </c>
      <c r="U2660" s="8">
        <v>44.83</v>
      </c>
      <c r="V2660" s="8">
        <v>37.719000000000001</v>
      </c>
      <c r="W2660" s="8">
        <v>27.995999999999999</v>
      </c>
      <c r="X2660" s="8">
        <v>16.190000000000001</v>
      </c>
      <c r="Y2660" s="8">
        <v>6.94</v>
      </c>
      <c r="Z2660" s="8">
        <v>1.9670000000000001</v>
      </c>
      <c r="AA2660" s="8">
        <v>0.44500000000000001</v>
      </c>
      <c r="AB2660" s="8">
        <v>6.9000000000000006E-2</v>
      </c>
      <c r="AC2660" s="8">
        <v>8.0000000000000002E-3</v>
      </c>
    </row>
    <row r="2661" spans="1:29" ht="11.65" hidden="1" x14ac:dyDescent="0.35">
      <c r="A2661" s="12">
        <v>2644</v>
      </c>
      <c r="B2661" s="10" t="s">
        <v>1015</v>
      </c>
      <c r="C2661" s="11" t="s">
        <v>1200</v>
      </c>
      <c r="D2661" s="9"/>
      <c r="E2661" s="9">
        <v>68</v>
      </c>
      <c r="F2661" s="10" t="s">
        <v>1066</v>
      </c>
      <c r="G2661" s="9">
        <v>931</v>
      </c>
      <c r="H2661" s="9">
        <v>1965</v>
      </c>
      <c r="I2661" s="8">
        <v>323.18900000000002</v>
      </c>
      <c r="J2661" s="8">
        <v>265.12700000000001</v>
      </c>
      <c r="K2661" s="8">
        <v>235.011</v>
      </c>
      <c r="L2661" s="8">
        <v>205.96</v>
      </c>
      <c r="M2661" s="8">
        <v>174.107</v>
      </c>
      <c r="N2661" s="8">
        <v>142.24199999999999</v>
      </c>
      <c r="O2661" s="8">
        <v>125.50700000000001</v>
      </c>
      <c r="P2661" s="8">
        <v>112.60599999999999</v>
      </c>
      <c r="Q2661" s="8">
        <v>92.863</v>
      </c>
      <c r="R2661" s="8">
        <v>79.238</v>
      </c>
      <c r="S2661" s="8">
        <v>72.917000000000002</v>
      </c>
      <c r="T2661" s="8">
        <v>61.183999999999997</v>
      </c>
      <c r="U2661" s="8">
        <v>48.902000000000001</v>
      </c>
      <c r="V2661" s="8">
        <v>37.579000000000001</v>
      </c>
      <c r="W2661" s="8">
        <v>28.140999999999998</v>
      </c>
      <c r="X2661" s="8">
        <v>17.206</v>
      </c>
      <c r="Y2661" s="8">
        <v>7.4139999999999997</v>
      </c>
      <c r="Z2661" s="8">
        <v>2.0289999999999999</v>
      </c>
      <c r="AA2661" s="8">
        <v>0.34799999999999998</v>
      </c>
      <c r="AB2661" s="8">
        <v>4.4999999999999998E-2</v>
      </c>
      <c r="AC2661" s="8">
        <v>4.0000000000000001E-3</v>
      </c>
    </row>
    <row r="2662" spans="1:29" ht="11.65" hidden="1" x14ac:dyDescent="0.35">
      <c r="A2662" s="12">
        <v>2645</v>
      </c>
      <c r="B2662" s="10" t="s">
        <v>1015</v>
      </c>
      <c r="C2662" s="11" t="s">
        <v>1200</v>
      </c>
      <c r="D2662" s="9"/>
      <c r="E2662" s="9">
        <v>68</v>
      </c>
      <c r="F2662" s="10" t="s">
        <v>1066</v>
      </c>
      <c r="G2662" s="9">
        <v>931</v>
      </c>
      <c r="H2662" s="9">
        <v>1970</v>
      </c>
      <c r="I2662" s="8">
        <v>356.78800000000001</v>
      </c>
      <c r="J2662" s="8">
        <v>294.85599999999999</v>
      </c>
      <c r="K2662" s="8">
        <v>258.57400000000001</v>
      </c>
      <c r="L2662" s="8">
        <v>228.51599999999999</v>
      </c>
      <c r="M2662" s="8">
        <v>197.94399999999999</v>
      </c>
      <c r="N2662" s="8">
        <v>166.04</v>
      </c>
      <c r="O2662" s="8">
        <v>135.32400000000001</v>
      </c>
      <c r="P2662" s="8">
        <v>119.46599999999999</v>
      </c>
      <c r="Q2662" s="8">
        <v>107.09399999999999</v>
      </c>
      <c r="R2662" s="8">
        <v>87.991</v>
      </c>
      <c r="S2662" s="8">
        <v>74.498000000000005</v>
      </c>
      <c r="T2662" s="8">
        <v>67.608999999999995</v>
      </c>
      <c r="U2662" s="8">
        <v>55.063000000000002</v>
      </c>
      <c r="V2662" s="8">
        <v>41.478999999999999</v>
      </c>
      <c r="W2662" s="8">
        <v>28.684999999999999</v>
      </c>
      <c r="X2662" s="8">
        <v>17.899000000000001</v>
      </c>
      <c r="Y2662" s="8">
        <v>8.3040000000000003</v>
      </c>
      <c r="Z2662" s="8">
        <v>2.3490000000000002</v>
      </c>
      <c r="AA2662" s="8">
        <v>0.40300000000000002</v>
      </c>
      <c r="AB2662" s="8">
        <v>4.1000000000000002E-2</v>
      </c>
      <c r="AC2662" s="8">
        <v>3.0000000000000001E-3</v>
      </c>
    </row>
    <row r="2663" spans="1:29" ht="11.65" hidden="1" x14ac:dyDescent="0.35">
      <c r="A2663" s="12">
        <v>2646</v>
      </c>
      <c r="B2663" s="10" t="s">
        <v>1015</v>
      </c>
      <c r="C2663" s="11" t="s">
        <v>1200</v>
      </c>
      <c r="D2663" s="9"/>
      <c r="E2663" s="9">
        <v>68</v>
      </c>
      <c r="F2663" s="10" t="s">
        <v>1066</v>
      </c>
      <c r="G2663" s="9">
        <v>931</v>
      </c>
      <c r="H2663" s="9">
        <v>1975</v>
      </c>
      <c r="I2663" s="8">
        <v>395.72899999999998</v>
      </c>
      <c r="J2663" s="8">
        <v>328.66199999999998</v>
      </c>
      <c r="K2663" s="8">
        <v>287.66800000000001</v>
      </c>
      <c r="L2663" s="8">
        <v>251.95500000000001</v>
      </c>
      <c r="M2663" s="8">
        <v>220.08</v>
      </c>
      <c r="N2663" s="8">
        <v>189.298</v>
      </c>
      <c r="O2663" s="8">
        <v>158.488</v>
      </c>
      <c r="P2663" s="8">
        <v>129.09399999999999</v>
      </c>
      <c r="Q2663" s="8">
        <v>113.867</v>
      </c>
      <c r="R2663" s="8">
        <v>101.773</v>
      </c>
      <c r="S2663" s="8">
        <v>82.997</v>
      </c>
      <c r="T2663" s="8">
        <v>69.397000000000006</v>
      </c>
      <c r="U2663" s="8">
        <v>61.268000000000001</v>
      </c>
      <c r="V2663" s="8">
        <v>47.268999999999998</v>
      </c>
      <c r="W2663" s="8">
        <v>32.350999999999999</v>
      </c>
      <c r="X2663" s="8">
        <v>18.939</v>
      </c>
      <c r="Y2663" s="8">
        <v>9.1270000000000007</v>
      </c>
      <c r="Z2663" s="8">
        <v>2.8650000000000002</v>
      </c>
      <c r="AA2663" s="8">
        <v>0.52700000000000002</v>
      </c>
      <c r="AB2663" s="8">
        <v>5.5E-2</v>
      </c>
      <c r="AC2663" s="8">
        <v>3.0000000000000001E-3</v>
      </c>
    </row>
    <row r="2664" spans="1:29" ht="11.65" hidden="1" x14ac:dyDescent="0.35">
      <c r="A2664" s="12">
        <v>2647</v>
      </c>
      <c r="B2664" s="10" t="s">
        <v>1015</v>
      </c>
      <c r="C2664" s="11" t="s">
        <v>1200</v>
      </c>
      <c r="D2664" s="9"/>
      <c r="E2664" s="9">
        <v>68</v>
      </c>
      <c r="F2664" s="10" t="s">
        <v>1066</v>
      </c>
      <c r="G2664" s="9">
        <v>931</v>
      </c>
      <c r="H2664" s="9">
        <v>1980</v>
      </c>
      <c r="I2664" s="8">
        <v>433.70800000000003</v>
      </c>
      <c r="J2664" s="8">
        <v>367.08300000000003</v>
      </c>
      <c r="K2664" s="8">
        <v>321.50200000000001</v>
      </c>
      <c r="L2664" s="8">
        <v>280.51400000000001</v>
      </c>
      <c r="M2664" s="8">
        <v>242.53100000000001</v>
      </c>
      <c r="N2664" s="8">
        <v>210.22800000000001</v>
      </c>
      <c r="O2664" s="8">
        <v>180.672</v>
      </c>
      <c r="P2664" s="8">
        <v>151.30500000000001</v>
      </c>
      <c r="Q2664" s="8">
        <v>123.03400000000001</v>
      </c>
      <c r="R2664" s="8">
        <v>108.245</v>
      </c>
      <c r="S2664" s="8">
        <v>96.2</v>
      </c>
      <c r="T2664" s="8">
        <v>77.715999999999994</v>
      </c>
      <c r="U2664" s="8">
        <v>63.588000000000001</v>
      </c>
      <c r="V2664" s="8">
        <v>53.472999999999999</v>
      </c>
      <c r="W2664" s="8">
        <v>37.848999999999997</v>
      </c>
      <c r="X2664" s="8">
        <v>22.294</v>
      </c>
      <c r="Y2664" s="8">
        <v>10.324</v>
      </c>
      <c r="Z2664" s="8">
        <v>3.4369999999999998</v>
      </c>
      <c r="AA2664" s="8">
        <v>0.72799999999999998</v>
      </c>
      <c r="AB2664" s="8">
        <v>8.5999999999999993E-2</v>
      </c>
      <c r="AC2664" s="8">
        <v>5.0000000000000001E-3</v>
      </c>
    </row>
    <row r="2665" spans="1:29" ht="11.65" hidden="1" x14ac:dyDescent="0.35">
      <c r="A2665" s="12">
        <v>2648</v>
      </c>
      <c r="B2665" s="10" t="s">
        <v>1015</v>
      </c>
      <c r="C2665" s="11" t="s">
        <v>1200</v>
      </c>
      <c r="D2665" s="9"/>
      <c r="E2665" s="9">
        <v>68</v>
      </c>
      <c r="F2665" s="10" t="s">
        <v>1066</v>
      </c>
      <c r="G2665" s="9">
        <v>931</v>
      </c>
      <c r="H2665" s="9">
        <v>1985</v>
      </c>
      <c r="I2665" s="8">
        <v>463.91800000000001</v>
      </c>
      <c r="J2665" s="8">
        <v>405.48</v>
      </c>
      <c r="K2665" s="8">
        <v>357.279</v>
      </c>
      <c r="L2665" s="8">
        <v>310.149</v>
      </c>
      <c r="M2665" s="8">
        <v>266.25599999999997</v>
      </c>
      <c r="N2665" s="8">
        <v>228.29599999999999</v>
      </c>
      <c r="O2665" s="8">
        <v>198.167</v>
      </c>
      <c r="P2665" s="8">
        <v>170.947</v>
      </c>
      <c r="Q2665" s="8">
        <v>143.09100000000001</v>
      </c>
      <c r="R2665" s="8">
        <v>116.114</v>
      </c>
      <c r="S2665" s="8">
        <v>102.264</v>
      </c>
      <c r="T2665" s="8">
        <v>91.186999999999998</v>
      </c>
      <c r="U2665" s="8">
        <v>73.308999999999997</v>
      </c>
      <c r="V2665" s="8">
        <v>58.203000000000003</v>
      </c>
      <c r="W2665" s="8">
        <v>45.331000000000003</v>
      </c>
      <c r="X2665" s="8">
        <v>28.076000000000001</v>
      </c>
      <c r="Y2665" s="8">
        <v>14.015000000000001</v>
      </c>
      <c r="Z2665" s="8">
        <v>4.2380000000000004</v>
      </c>
      <c r="AA2665" s="8">
        <v>0.98599999999999999</v>
      </c>
      <c r="AB2665" s="8">
        <v>0.13900000000000001</v>
      </c>
      <c r="AC2665" s="8">
        <v>0.01</v>
      </c>
    </row>
    <row r="2666" spans="1:29" ht="11.65" hidden="1" x14ac:dyDescent="0.35">
      <c r="A2666" s="12">
        <v>2649</v>
      </c>
      <c r="B2666" s="10" t="s">
        <v>1015</v>
      </c>
      <c r="C2666" s="11" t="s">
        <v>1200</v>
      </c>
      <c r="D2666" s="9"/>
      <c r="E2666" s="9">
        <v>68</v>
      </c>
      <c r="F2666" s="10" t="s">
        <v>1066</v>
      </c>
      <c r="G2666" s="9">
        <v>931</v>
      </c>
      <c r="H2666" s="9">
        <v>1990</v>
      </c>
      <c r="I2666" s="8">
        <v>504.96699999999998</v>
      </c>
      <c r="J2666" s="8">
        <v>438.36</v>
      </c>
      <c r="K2666" s="8">
        <v>396.22800000000001</v>
      </c>
      <c r="L2666" s="8">
        <v>346.952</v>
      </c>
      <c r="M2666" s="8">
        <v>297.54500000000002</v>
      </c>
      <c r="N2666" s="8">
        <v>253.874</v>
      </c>
      <c r="O2666" s="8">
        <v>217.773</v>
      </c>
      <c r="P2666" s="8">
        <v>189.346</v>
      </c>
      <c r="Q2666" s="8">
        <v>163.19999999999999</v>
      </c>
      <c r="R2666" s="8">
        <v>136.34700000000001</v>
      </c>
      <c r="S2666" s="8">
        <v>110.35599999999999</v>
      </c>
      <c r="T2666" s="8">
        <v>97.108999999999995</v>
      </c>
      <c r="U2666" s="8">
        <v>85.623999999999995</v>
      </c>
      <c r="V2666" s="8">
        <v>66.680000000000007</v>
      </c>
      <c r="W2666" s="8">
        <v>49.392000000000003</v>
      </c>
      <c r="X2666" s="8">
        <v>33.877000000000002</v>
      </c>
      <c r="Y2666" s="8">
        <v>17.658999999999999</v>
      </c>
      <c r="Z2666" s="8">
        <v>6.2469999999999999</v>
      </c>
      <c r="AA2666" s="8">
        <v>1.363</v>
      </c>
      <c r="AB2666" s="8">
        <v>0.217</v>
      </c>
      <c r="AC2666" s="8">
        <v>1.9E-2</v>
      </c>
    </row>
    <row r="2667" spans="1:29" ht="11.65" hidden="1" x14ac:dyDescent="0.35">
      <c r="A2667" s="12">
        <v>2650</v>
      </c>
      <c r="B2667" s="10" t="s">
        <v>1015</v>
      </c>
      <c r="C2667" s="11" t="s">
        <v>1200</v>
      </c>
      <c r="D2667" s="9"/>
      <c r="E2667" s="9">
        <v>68</v>
      </c>
      <c r="F2667" s="10" t="s">
        <v>1066</v>
      </c>
      <c r="G2667" s="9">
        <v>931</v>
      </c>
      <c r="H2667" s="9">
        <v>1995</v>
      </c>
      <c r="I2667" s="8">
        <v>537.39800000000002</v>
      </c>
      <c r="J2667" s="8">
        <v>482.34399999999999</v>
      </c>
      <c r="K2667" s="8">
        <v>430.37</v>
      </c>
      <c r="L2667" s="8">
        <v>387.78300000000002</v>
      </c>
      <c r="M2667" s="8">
        <v>336.4</v>
      </c>
      <c r="N2667" s="8">
        <v>287.04300000000001</v>
      </c>
      <c r="O2667" s="8">
        <v>244.85400000000001</v>
      </c>
      <c r="P2667" s="8">
        <v>210.16900000000001</v>
      </c>
      <c r="Q2667" s="8">
        <v>182.43100000000001</v>
      </c>
      <c r="R2667" s="8">
        <v>156.77000000000001</v>
      </c>
      <c r="S2667" s="8">
        <v>130.31899999999999</v>
      </c>
      <c r="T2667" s="8">
        <v>104.96299999999999</v>
      </c>
      <c r="U2667" s="8">
        <v>91.078999999999994</v>
      </c>
      <c r="V2667" s="8">
        <v>77.524000000000001</v>
      </c>
      <c r="W2667" s="8">
        <v>56.734000000000002</v>
      </c>
      <c r="X2667" s="8">
        <v>37.546999999999997</v>
      </c>
      <c r="Y2667" s="8">
        <v>21.47</v>
      </c>
      <c r="Z2667" s="8">
        <v>8.4879999999999995</v>
      </c>
      <c r="AA2667" s="8">
        <v>2.226</v>
      </c>
      <c r="AB2667" s="8">
        <v>0.34</v>
      </c>
      <c r="AC2667" s="8">
        <v>3.4000000000000002E-2</v>
      </c>
    </row>
    <row r="2668" spans="1:29" ht="11.65" hidden="1" x14ac:dyDescent="0.35">
      <c r="A2668" s="12">
        <v>2651</v>
      </c>
      <c r="B2668" s="10" t="s">
        <v>1015</v>
      </c>
      <c r="C2668" s="11" t="s">
        <v>1200</v>
      </c>
      <c r="D2668" s="9"/>
      <c r="E2668" s="9">
        <v>68</v>
      </c>
      <c r="F2668" s="10" t="s">
        <v>1066</v>
      </c>
      <c r="G2668" s="9">
        <v>931</v>
      </c>
      <c r="H2668" s="9">
        <v>2000</v>
      </c>
      <c r="I2668" s="8">
        <v>564.78499999999997</v>
      </c>
      <c r="J2668" s="8">
        <v>518.226</v>
      </c>
      <c r="K2668" s="8">
        <v>474.48099999999999</v>
      </c>
      <c r="L2668" s="8">
        <v>424.10199999999998</v>
      </c>
      <c r="M2668" s="8">
        <v>377.59300000000002</v>
      </c>
      <c r="N2668" s="8">
        <v>324.27300000000002</v>
      </c>
      <c r="O2668" s="8">
        <v>276.26</v>
      </c>
      <c r="P2668" s="8">
        <v>235.80699999999999</v>
      </c>
      <c r="Q2668" s="8">
        <v>202.309</v>
      </c>
      <c r="R2668" s="8">
        <v>175.16900000000001</v>
      </c>
      <c r="S2668" s="8">
        <v>149.88800000000001</v>
      </c>
      <c r="T2668" s="8">
        <v>124.197</v>
      </c>
      <c r="U2668" s="8">
        <v>99.284999999999997</v>
      </c>
      <c r="V2668" s="8">
        <v>83.938000000000002</v>
      </c>
      <c r="W2668" s="8">
        <v>67.754000000000005</v>
      </c>
      <c r="X2668" s="8">
        <v>45.101999999999997</v>
      </c>
      <c r="Y2668" s="8">
        <v>25.295000000000002</v>
      </c>
      <c r="Z2668" s="8">
        <v>11.012</v>
      </c>
      <c r="AA2668" s="8">
        <v>3.298</v>
      </c>
      <c r="AB2668" s="8">
        <v>0.61499999999999999</v>
      </c>
      <c r="AC2668" s="8">
        <v>6.0999999999999999E-2</v>
      </c>
    </row>
    <row r="2669" spans="1:29" ht="11.65" hidden="1" x14ac:dyDescent="0.35">
      <c r="A2669" s="12">
        <v>2652</v>
      </c>
      <c r="B2669" s="10" t="s">
        <v>1015</v>
      </c>
      <c r="C2669" s="11" t="s">
        <v>1200</v>
      </c>
      <c r="D2669" s="9"/>
      <c r="E2669" s="9">
        <v>68</v>
      </c>
      <c r="F2669" s="10" t="s">
        <v>1066</v>
      </c>
      <c r="G2669" s="9">
        <v>931</v>
      </c>
      <c r="H2669" s="9">
        <v>2005</v>
      </c>
      <c r="I2669" s="8">
        <v>583.37</v>
      </c>
      <c r="J2669" s="8">
        <v>548.99</v>
      </c>
      <c r="K2669" s="8">
        <v>509.822</v>
      </c>
      <c r="L2669" s="8">
        <v>462.95600000000002</v>
      </c>
      <c r="M2669" s="8">
        <v>410.48500000000001</v>
      </c>
      <c r="N2669" s="8">
        <v>361.524</v>
      </c>
      <c r="O2669" s="8">
        <v>311.19499999999999</v>
      </c>
      <c r="P2669" s="8">
        <v>265.73899999999998</v>
      </c>
      <c r="Q2669" s="8">
        <v>226.71899999999999</v>
      </c>
      <c r="R2669" s="8">
        <v>194.11699999999999</v>
      </c>
      <c r="S2669" s="8">
        <v>167.80699999999999</v>
      </c>
      <c r="T2669" s="8">
        <v>144.05699999999999</v>
      </c>
      <c r="U2669" s="8">
        <v>119.342</v>
      </c>
      <c r="V2669" s="8">
        <v>93.852000000000004</v>
      </c>
      <c r="W2669" s="8">
        <v>75.896000000000001</v>
      </c>
      <c r="X2669" s="8">
        <v>56.069000000000003</v>
      </c>
      <c r="Y2669" s="8">
        <v>32.966999999999999</v>
      </c>
      <c r="Z2669" s="8">
        <v>13.994</v>
      </c>
      <c r="AA2669" s="8">
        <v>4.726</v>
      </c>
      <c r="AB2669" s="8">
        <v>1.02</v>
      </c>
      <c r="AC2669" s="8">
        <v>0.13100000000000001</v>
      </c>
    </row>
    <row r="2670" spans="1:29" ht="11.65" hidden="1" x14ac:dyDescent="0.35">
      <c r="A2670" s="12">
        <v>2653</v>
      </c>
      <c r="B2670" s="10" t="s">
        <v>1015</v>
      </c>
      <c r="C2670" s="11" t="s">
        <v>1200</v>
      </c>
      <c r="D2670" s="9"/>
      <c r="E2670" s="9">
        <v>68</v>
      </c>
      <c r="F2670" s="10" t="s">
        <v>1066</v>
      </c>
      <c r="G2670" s="9">
        <v>931</v>
      </c>
      <c r="H2670" s="9">
        <v>2010</v>
      </c>
      <c r="I2670" s="8">
        <v>583.23</v>
      </c>
      <c r="J2670" s="8">
        <v>571.68200000000002</v>
      </c>
      <c r="K2670" s="8">
        <v>541.71400000000006</v>
      </c>
      <c r="L2670" s="8">
        <v>501.55799999999999</v>
      </c>
      <c r="M2670" s="8">
        <v>451.577</v>
      </c>
      <c r="N2670" s="8">
        <v>399.76600000000002</v>
      </c>
      <c r="O2670" s="8">
        <v>349.608</v>
      </c>
      <c r="P2670" s="8">
        <v>301.45400000000001</v>
      </c>
      <c r="Q2670" s="8">
        <v>257.322</v>
      </c>
      <c r="R2670" s="8">
        <v>219.10599999999999</v>
      </c>
      <c r="S2670" s="8">
        <v>186.73699999999999</v>
      </c>
      <c r="T2670" s="8">
        <v>161.017</v>
      </c>
      <c r="U2670" s="8">
        <v>137.39099999999999</v>
      </c>
      <c r="V2670" s="8">
        <v>111.84099999999999</v>
      </c>
      <c r="W2670" s="8">
        <v>84.924000000000007</v>
      </c>
      <c r="X2670" s="8">
        <v>63.424999999999997</v>
      </c>
      <c r="Y2670" s="8">
        <v>41.209000000000003</v>
      </c>
      <c r="Z2670" s="8">
        <v>20.113</v>
      </c>
      <c r="AA2670" s="8">
        <v>6.8239999999999998</v>
      </c>
      <c r="AB2670" s="8">
        <v>1.698</v>
      </c>
      <c r="AC2670" s="8">
        <v>0.29099999999999998</v>
      </c>
    </row>
    <row r="2671" spans="1:29" ht="11.65" hidden="1" x14ac:dyDescent="0.35">
      <c r="A2671" s="12">
        <v>2654</v>
      </c>
      <c r="B2671" s="10" t="s">
        <v>1015</v>
      </c>
      <c r="C2671" s="11" t="s">
        <v>1200</v>
      </c>
      <c r="D2671" s="9"/>
      <c r="E2671" s="9">
        <v>68</v>
      </c>
      <c r="F2671" s="10" t="s">
        <v>1066</v>
      </c>
      <c r="G2671" s="9">
        <v>931</v>
      </c>
      <c r="H2671" s="9">
        <v>2015</v>
      </c>
      <c r="I2671" s="8">
        <v>584.78700000000003</v>
      </c>
      <c r="J2671" s="8">
        <v>573.82500000000005</v>
      </c>
      <c r="K2671" s="8">
        <v>564.57799999999997</v>
      </c>
      <c r="L2671" s="8">
        <v>533.92999999999995</v>
      </c>
      <c r="M2671" s="8">
        <v>491.09199999999998</v>
      </c>
      <c r="N2671" s="8">
        <v>440.90300000000002</v>
      </c>
      <c r="O2671" s="8">
        <v>390.5</v>
      </c>
      <c r="P2671" s="8">
        <v>341.62200000000001</v>
      </c>
      <c r="Q2671" s="8">
        <v>294.22000000000003</v>
      </c>
      <c r="R2671" s="8">
        <v>250.34700000000001</v>
      </c>
      <c r="S2671" s="8">
        <v>212.04599999999999</v>
      </c>
      <c r="T2671" s="8">
        <v>180.096</v>
      </c>
      <c r="U2671" s="8">
        <v>154.22800000000001</v>
      </c>
      <c r="V2671" s="8">
        <v>128.90700000000001</v>
      </c>
      <c r="W2671" s="8">
        <v>101.70099999999999</v>
      </c>
      <c r="X2671" s="8">
        <v>72.566000000000003</v>
      </c>
      <c r="Y2671" s="8">
        <v>49.326000000000001</v>
      </c>
      <c r="Z2671" s="8">
        <v>27.334</v>
      </c>
      <c r="AA2671" s="8">
        <v>10.907</v>
      </c>
      <c r="AB2671" s="8">
        <v>2.76</v>
      </c>
      <c r="AC2671" s="8">
        <v>0.61299999999999999</v>
      </c>
    </row>
    <row r="2672" spans="1:29" ht="11.65" hidden="1" x14ac:dyDescent="0.35">
      <c r="A2672" s="12">
        <v>2655</v>
      </c>
      <c r="B2672" s="10" t="s">
        <v>1015</v>
      </c>
      <c r="C2672" s="11" t="s">
        <v>1200</v>
      </c>
      <c r="D2672" s="9"/>
      <c r="E2672" s="9">
        <v>68</v>
      </c>
      <c r="F2672" s="10" t="s">
        <v>1066</v>
      </c>
      <c r="G2672" s="9">
        <v>931</v>
      </c>
      <c r="H2672" s="9">
        <v>2020</v>
      </c>
      <c r="I2672" s="8">
        <v>579.53499999999997</v>
      </c>
      <c r="J2672" s="8">
        <v>576.76300000000003</v>
      </c>
      <c r="K2672" s="8">
        <v>568.24199999999996</v>
      </c>
      <c r="L2672" s="8">
        <v>557.07299999999998</v>
      </c>
      <c r="M2672" s="8">
        <v>524.08500000000004</v>
      </c>
      <c r="N2672" s="8">
        <v>481.351</v>
      </c>
      <c r="O2672" s="8">
        <v>432.517</v>
      </c>
      <c r="P2672" s="8">
        <v>383.096</v>
      </c>
      <c r="Q2672" s="8">
        <v>334.572</v>
      </c>
      <c r="R2672" s="8">
        <v>287.24799999999999</v>
      </c>
      <c r="S2672" s="8">
        <v>243.09299999999999</v>
      </c>
      <c r="T2672" s="8">
        <v>204.98400000000001</v>
      </c>
      <c r="U2672" s="8">
        <v>172.47</v>
      </c>
      <c r="V2672" s="8">
        <v>144.89099999999999</v>
      </c>
      <c r="W2672" s="8">
        <v>118.349</v>
      </c>
      <c r="X2672" s="8">
        <v>89.555999999999997</v>
      </c>
      <c r="Y2672" s="8">
        <v>59.746000000000002</v>
      </c>
      <c r="Z2672" s="8">
        <v>35.052</v>
      </c>
      <c r="AA2672" s="8">
        <v>16.228999999999999</v>
      </c>
      <c r="AB2672" s="8">
        <v>5.117</v>
      </c>
      <c r="AC2672" s="8">
        <v>1.0409999999999999</v>
      </c>
    </row>
    <row r="2673" spans="1:29" ht="11.65" hidden="1" x14ac:dyDescent="0.35">
      <c r="A2673" s="12">
        <v>2656</v>
      </c>
      <c r="B2673" s="10" t="s">
        <v>1015</v>
      </c>
      <c r="C2673" s="11" t="s">
        <v>1201</v>
      </c>
      <c r="D2673" s="9"/>
      <c r="E2673" s="9">
        <v>76</v>
      </c>
      <c r="F2673" s="10" t="s">
        <v>1066</v>
      </c>
      <c r="G2673" s="9">
        <v>931</v>
      </c>
      <c r="H2673" s="9">
        <v>1950</v>
      </c>
      <c r="I2673" s="8">
        <v>4450.8519999999999</v>
      </c>
      <c r="J2673" s="8">
        <v>3489.723</v>
      </c>
      <c r="K2673" s="8">
        <v>3205.4349999999999</v>
      </c>
      <c r="L2673" s="8">
        <v>2693.8020000000001</v>
      </c>
      <c r="M2673" s="8">
        <v>2501.3530000000001</v>
      </c>
      <c r="N2673" s="8">
        <v>2058.8020000000001</v>
      </c>
      <c r="O2673" s="8">
        <v>1726.38</v>
      </c>
      <c r="P2673" s="8">
        <v>1545.989</v>
      </c>
      <c r="Q2673" s="8">
        <v>1314.579</v>
      </c>
      <c r="R2673" s="8">
        <v>1072.348</v>
      </c>
      <c r="S2673" s="8">
        <v>960.03200000000004</v>
      </c>
      <c r="T2673" s="8">
        <v>729.17100000000005</v>
      </c>
      <c r="U2673" s="8">
        <v>560.43899999999996</v>
      </c>
      <c r="V2673" s="8">
        <v>393.339</v>
      </c>
      <c r="W2673" s="8">
        <v>256.16899999999998</v>
      </c>
      <c r="X2673" s="8">
        <v>151.02600000000001</v>
      </c>
      <c r="Y2673" s="8">
        <v>34.508000000000003</v>
      </c>
      <c r="Z2673" s="8">
        <v>24.22</v>
      </c>
      <c r="AA2673" s="8">
        <v>15.773</v>
      </c>
      <c r="AB2673" s="8">
        <v>9.298</v>
      </c>
      <c r="AC2673" s="8">
        <v>5.4980000000000002</v>
      </c>
    </row>
    <row r="2674" spans="1:29" ht="11.65" hidden="1" x14ac:dyDescent="0.35">
      <c r="A2674" s="12">
        <v>2657</v>
      </c>
      <c r="B2674" s="10" t="s">
        <v>1015</v>
      </c>
      <c r="C2674" s="11" t="s">
        <v>1201</v>
      </c>
      <c r="D2674" s="9"/>
      <c r="E2674" s="9">
        <v>76</v>
      </c>
      <c r="F2674" s="10" t="s">
        <v>1066</v>
      </c>
      <c r="G2674" s="9">
        <v>931</v>
      </c>
      <c r="H2674" s="9">
        <v>1955</v>
      </c>
      <c r="I2674" s="8">
        <v>5348.84</v>
      </c>
      <c r="J2674" s="8">
        <v>4262.9470000000001</v>
      </c>
      <c r="K2674" s="8">
        <v>3460.7719999999999</v>
      </c>
      <c r="L2674" s="8">
        <v>3186.299</v>
      </c>
      <c r="M2674" s="8">
        <v>2667.9650000000001</v>
      </c>
      <c r="N2674" s="8">
        <v>2462.0160000000001</v>
      </c>
      <c r="O2674" s="8">
        <v>2014.6969999999999</v>
      </c>
      <c r="P2674" s="8">
        <v>1679.1949999999999</v>
      </c>
      <c r="Q2674" s="8">
        <v>1493.077</v>
      </c>
      <c r="R2674" s="8">
        <v>1257.9690000000001</v>
      </c>
      <c r="S2674" s="8">
        <v>1012.35</v>
      </c>
      <c r="T2674" s="8">
        <v>885.81500000000005</v>
      </c>
      <c r="U2674" s="8">
        <v>650.84500000000003</v>
      </c>
      <c r="V2674" s="8">
        <v>475.29199999999997</v>
      </c>
      <c r="W2674" s="8">
        <v>308.27100000000002</v>
      </c>
      <c r="X2674" s="8">
        <v>177.61199999999999</v>
      </c>
      <c r="Y2674" s="8">
        <v>84.706999999999994</v>
      </c>
      <c r="Z2674" s="8">
        <v>13.603999999999999</v>
      </c>
      <c r="AA2674" s="8">
        <v>6.1929999999999996</v>
      </c>
      <c r="AB2674" s="8">
        <v>2.3759999999999999</v>
      </c>
      <c r="AC2674" s="8">
        <v>1.2809999999999999</v>
      </c>
    </row>
    <row r="2675" spans="1:29" ht="11.65" hidden="1" x14ac:dyDescent="0.35">
      <c r="A2675" s="12">
        <v>2658</v>
      </c>
      <c r="B2675" s="10" t="s">
        <v>1015</v>
      </c>
      <c r="C2675" s="11" t="s">
        <v>1201</v>
      </c>
      <c r="D2675" s="9"/>
      <c r="E2675" s="9">
        <v>76</v>
      </c>
      <c r="F2675" s="10" t="s">
        <v>1066</v>
      </c>
      <c r="G2675" s="9">
        <v>931</v>
      </c>
      <c r="H2675" s="9">
        <v>1960</v>
      </c>
      <c r="I2675" s="8">
        <v>6119.8010000000004</v>
      </c>
      <c r="J2675" s="8">
        <v>5136.5439999999999</v>
      </c>
      <c r="K2675" s="8">
        <v>4217.1189999999997</v>
      </c>
      <c r="L2675" s="8">
        <v>3427.0650000000001</v>
      </c>
      <c r="M2675" s="8">
        <v>3139.7809999999999</v>
      </c>
      <c r="N2675" s="8">
        <v>2613.058</v>
      </c>
      <c r="O2675" s="8">
        <v>2397.585</v>
      </c>
      <c r="P2675" s="8">
        <v>1951.152</v>
      </c>
      <c r="Q2675" s="8">
        <v>1616.058</v>
      </c>
      <c r="R2675" s="8">
        <v>1424.798</v>
      </c>
      <c r="S2675" s="8">
        <v>1185.2460000000001</v>
      </c>
      <c r="T2675" s="8">
        <v>934.976</v>
      </c>
      <c r="U2675" s="8">
        <v>792.99800000000005</v>
      </c>
      <c r="V2675" s="8">
        <v>555.16499999999996</v>
      </c>
      <c r="W2675" s="8">
        <v>376.56</v>
      </c>
      <c r="X2675" s="8">
        <v>217.053</v>
      </c>
      <c r="Y2675" s="8">
        <v>100.107</v>
      </c>
      <c r="Z2675" s="8">
        <v>33.540999999999997</v>
      </c>
      <c r="AA2675" s="8">
        <v>3.5259999999999998</v>
      </c>
      <c r="AB2675" s="8">
        <v>0.94399999999999995</v>
      </c>
      <c r="AC2675" s="8">
        <v>0.30199999999999999</v>
      </c>
    </row>
    <row r="2676" spans="1:29" ht="11.65" hidden="1" x14ac:dyDescent="0.35">
      <c r="A2676" s="12">
        <v>2659</v>
      </c>
      <c r="B2676" s="10" t="s">
        <v>1015</v>
      </c>
      <c r="C2676" s="11" t="s">
        <v>1201</v>
      </c>
      <c r="D2676" s="9"/>
      <c r="E2676" s="9">
        <v>76</v>
      </c>
      <c r="F2676" s="10" t="s">
        <v>1066</v>
      </c>
      <c r="G2676" s="9">
        <v>931</v>
      </c>
      <c r="H2676" s="9">
        <v>1965</v>
      </c>
      <c r="I2676" s="8">
        <v>6956.2510000000002</v>
      </c>
      <c r="J2676" s="8">
        <v>5914.2979999999998</v>
      </c>
      <c r="K2676" s="8">
        <v>5091.3940000000002</v>
      </c>
      <c r="L2676" s="8">
        <v>4183.299</v>
      </c>
      <c r="M2676" s="8">
        <v>3387.5160000000001</v>
      </c>
      <c r="N2676" s="8">
        <v>3089.4180000000001</v>
      </c>
      <c r="O2676" s="8">
        <v>2558.0520000000001</v>
      </c>
      <c r="P2676" s="8">
        <v>2336.0619999999999</v>
      </c>
      <c r="Q2676" s="8">
        <v>1889.944</v>
      </c>
      <c r="R2676" s="8">
        <v>1552.386</v>
      </c>
      <c r="S2676" s="8">
        <v>1352.105</v>
      </c>
      <c r="T2676" s="8">
        <v>1103.097</v>
      </c>
      <c r="U2676" s="8">
        <v>843.69299999999998</v>
      </c>
      <c r="V2676" s="8">
        <v>683.40599999999995</v>
      </c>
      <c r="W2676" s="8">
        <v>445.58</v>
      </c>
      <c r="X2676" s="8">
        <v>268.63099999999997</v>
      </c>
      <c r="Y2676" s="8">
        <v>124.625</v>
      </c>
      <c r="Z2676" s="8">
        <v>40.649000000000001</v>
      </c>
      <c r="AA2676" s="8">
        <v>8.9309999999999992</v>
      </c>
      <c r="AB2676" s="8">
        <v>0.55300000000000005</v>
      </c>
      <c r="AC2676" s="8">
        <v>0.104</v>
      </c>
    </row>
    <row r="2677" spans="1:29" ht="11.65" hidden="1" x14ac:dyDescent="0.35">
      <c r="A2677" s="12">
        <v>2660</v>
      </c>
      <c r="B2677" s="10" t="s">
        <v>1015</v>
      </c>
      <c r="C2677" s="11" t="s">
        <v>1201</v>
      </c>
      <c r="D2677" s="9"/>
      <c r="E2677" s="9">
        <v>76</v>
      </c>
      <c r="F2677" s="10" t="s">
        <v>1066</v>
      </c>
      <c r="G2677" s="9">
        <v>931</v>
      </c>
      <c r="H2677" s="9">
        <v>1970</v>
      </c>
      <c r="I2677" s="8">
        <v>7294.1419999999998</v>
      </c>
      <c r="J2677" s="8">
        <v>6776.4309999999996</v>
      </c>
      <c r="K2677" s="8">
        <v>5875.3819999999996</v>
      </c>
      <c r="L2677" s="8">
        <v>5059.625</v>
      </c>
      <c r="M2677" s="8">
        <v>4146.6109999999999</v>
      </c>
      <c r="N2677" s="8">
        <v>3344.2240000000002</v>
      </c>
      <c r="O2677" s="8">
        <v>3036.8359999999998</v>
      </c>
      <c r="P2677" s="8">
        <v>2503.2829999999999</v>
      </c>
      <c r="Q2677" s="8">
        <v>2272.6619999999998</v>
      </c>
      <c r="R2677" s="8">
        <v>1823.9280000000001</v>
      </c>
      <c r="S2677" s="8">
        <v>1480.7429999999999</v>
      </c>
      <c r="T2677" s="8">
        <v>1266.4079999999999</v>
      </c>
      <c r="U2677" s="8">
        <v>1003.917</v>
      </c>
      <c r="V2677" s="8">
        <v>735.38099999999997</v>
      </c>
      <c r="W2677" s="8">
        <v>555.58299999999997</v>
      </c>
      <c r="X2677" s="8">
        <v>322.12299999999999</v>
      </c>
      <c r="Y2677" s="8">
        <v>156.42599999999999</v>
      </c>
      <c r="Z2677" s="8">
        <v>51.304000000000002</v>
      </c>
      <c r="AA2677" s="8">
        <v>11.247999999999999</v>
      </c>
      <c r="AB2677" s="8">
        <v>1.5029999999999999</v>
      </c>
      <c r="AC2677" s="8">
        <v>5.8000000000000003E-2</v>
      </c>
    </row>
    <row r="2678" spans="1:29" ht="11.65" hidden="1" x14ac:dyDescent="0.35">
      <c r="A2678" s="12">
        <v>2661</v>
      </c>
      <c r="B2678" s="10" t="s">
        <v>1015</v>
      </c>
      <c r="C2678" s="11" t="s">
        <v>1201</v>
      </c>
      <c r="D2678" s="9"/>
      <c r="E2678" s="9">
        <v>76</v>
      </c>
      <c r="F2678" s="10" t="s">
        <v>1066</v>
      </c>
      <c r="G2678" s="9">
        <v>931</v>
      </c>
      <c r="H2678" s="9">
        <v>1975</v>
      </c>
      <c r="I2678" s="8">
        <v>7543.8209999999999</v>
      </c>
      <c r="J2678" s="8">
        <v>7147.4579999999996</v>
      </c>
      <c r="K2678" s="8">
        <v>6739.23</v>
      </c>
      <c r="L2678" s="8">
        <v>5846.4740000000002</v>
      </c>
      <c r="M2678" s="8">
        <v>5025.8760000000002</v>
      </c>
      <c r="N2678" s="8">
        <v>4103.7349999999997</v>
      </c>
      <c r="O2678" s="8">
        <v>3297.7730000000001</v>
      </c>
      <c r="P2678" s="8">
        <v>2982.2939999999999</v>
      </c>
      <c r="Q2678" s="8">
        <v>2444.4569999999999</v>
      </c>
      <c r="R2678" s="8">
        <v>2202.2089999999998</v>
      </c>
      <c r="S2678" s="8">
        <v>1747.7239999999999</v>
      </c>
      <c r="T2678" s="8">
        <v>1394.933</v>
      </c>
      <c r="U2678" s="8">
        <v>1161.664</v>
      </c>
      <c r="V2678" s="8">
        <v>883.33799999999997</v>
      </c>
      <c r="W2678" s="8">
        <v>603.63800000000003</v>
      </c>
      <c r="X2678" s="8">
        <v>404.56400000000002</v>
      </c>
      <c r="Y2678" s="8">
        <v>189.13</v>
      </c>
      <c r="Z2678" s="8">
        <v>65.25</v>
      </c>
      <c r="AA2678" s="8">
        <v>14.726000000000001</v>
      </c>
      <c r="AB2678" s="8">
        <v>2.0270000000000001</v>
      </c>
      <c r="AC2678" s="8">
        <v>0.14799999999999999</v>
      </c>
    </row>
    <row r="2679" spans="1:29" ht="11.65" hidden="1" x14ac:dyDescent="0.35">
      <c r="A2679" s="12">
        <v>2662</v>
      </c>
      <c r="B2679" s="10" t="s">
        <v>1015</v>
      </c>
      <c r="C2679" s="11" t="s">
        <v>1201</v>
      </c>
      <c r="D2679" s="9"/>
      <c r="E2679" s="9">
        <v>76</v>
      </c>
      <c r="F2679" s="10" t="s">
        <v>1066</v>
      </c>
      <c r="G2679" s="9">
        <v>931</v>
      </c>
      <c r="H2679" s="9">
        <v>1980</v>
      </c>
      <c r="I2679" s="8">
        <v>8310.8520000000008</v>
      </c>
      <c r="J2679" s="8">
        <v>7424.1760000000004</v>
      </c>
      <c r="K2679" s="8">
        <v>7115.509</v>
      </c>
      <c r="L2679" s="8">
        <v>6709.1719999999996</v>
      </c>
      <c r="M2679" s="8">
        <v>5812.3879999999999</v>
      </c>
      <c r="N2679" s="8">
        <v>4983.759</v>
      </c>
      <c r="O2679" s="8">
        <v>4056.83</v>
      </c>
      <c r="P2679" s="8">
        <v>3247.6469999999999</v>
      </c>
      <c r="Q2679" s="8">
        <v>2921.366</v>
      </c>
      <c r="R2679" s="8">
        <v>2377.0880000000002</v>
      </c>
      <c r="S2679" s="8">
        <v>2118.8110000000001</v>
      </c>
      <c r="T2679" s="8">
        <v>1655.0429999999999</v>
      </c>
      <c r="U2679" s="8">
        <v>1288.876</v>
      </c>
      <c r="V2679" s="8">
        <v>1029.385</v>
      </c>
      <c r="W2679" s="8">
        <v>729.36300000000006</v>
      </c>
      <c r="X2679" s="8">
        <v>445.41300000000001</v>
      </c>
      <c r="Y2679" s="8">
        <v>239.935</v>
      </c>
      <c r="Z2679" s="8">
        <v>80.796999999999997</v>
      </c>
      <c r="AA2679" s="8">
        <v>20.138999999999999</v>
      </c>
      <c r="AB2679" s="8">
        <v>2.8340000000000001</v>
      </c>
      <c r="AC2679" s="8">
        <v>0.214</v>
      </c>
    </row>
    <row r="2680" spans="1:29" ht="11.65" hidden="1" x14ac:dyDescent="0.35">
      <c r="A2680" s="12">
        <v>2663</v>
      </c>
      <c r="B2680" s="10" t="s">
        <v>1015</v>
      </c>
      <c r="C2680" s="11" t="s">
        <v>1201</v>
      </c>
      <c r="D2680" s="9"/>
      <c r="E2680" s="9">
        <v>76</v>
      </c>
      <c r="F2680" s="10" t="s">
        <v>1066</v>
      </c>
      <c r="G2680" s="9">
        <v>931</v>
      </c>
      <c r="H2680" s="9">
        <v>1985</v>
      </c>
      <c r="I2680" s="8">
        <v>8993.3950000000004</v>
      </c>
      <c r="J2680" s="8">
        <v>8210.6239999999998</v>
      </c>
      <c r="K2680" s="8">
        <v>7395.2969999999996</v>
      </c>
      <c r="L2680" s="8">
        <v>7087.0469999999996</v>
      </c>
      <c r="M2680" s="8">
        <v>6674.8869999999997</v>
      </c>
      <c r="N2680" s="8">
        <v>5772.2849999999999</v>
      </c>
      <c r="O2680" s="8">
        <v>4936.4629999999997</v>
      </c>
      <c r="P2680" s="8">
        <v>4004.375</v>
      </c>
      <c r="Q2680" s="8">
        <v>3189.7739999999999</v>
      </c>
      <c r="R2680" s="8">
        <v>2849.6469999999999</v>
      </c>
      <c r="S2680" s="8">
        <v>2295.5540000000001</v>
      </c>
      <c r="T2680" s="8">
        <v>2014.9680000000001</v>
      </c>
      <c r="U2680" s="8">
        <v>1535.2</v>
      </c>
      <c r="V2680" s="8">
        <v>1147.7449999999999</v>
      </c>
      <c r="W2680" s="8">
        <v>856.19</v>
      </c>
      <c r="X2680" s="8">
        <v>545.72400000000005</v>
      </c>
      <c r="Y2680" s="8">
        <v>277.57499999999999</v>
      </c>
      <c r="Z2680" s="8">
        <v>110.863</v>
      </c>
      <c r="AA2680" s="8">
        <v>26.550999999999998</v>
      </c>
      <c r="AB2680" s="8">
        <v>4.1689999999999996</v>
      </c>
      <c r="AC2680" s="8">
        <v>0.317</v>
      </c>
    </row>
    <row r="2681" spans="1:29" ht="11.65" hidden="1" x14ac:dyDescent="0.35">
      <c r="A2681" s="12">
        <v>2664</v>
      </c>
      <c r="B2681" s="10" t="s">
        <v>1015</v>
      </c>
      <c r="C2681" s="11" t="s">
        <v>1201</v>
      </c>
      <c r="D2681" s="9"/>
      <c r="E2681" s="9">
        <v>76</v>
      </c>
      <c r="F2681" s="10" t="s">
        <v>1066</v>
      </c>
      <c r="G2681" s="9">
        <v>931</v>
      </c>
      <c r="H2681" s="9">
        <v>1990</v>
      </c>
      <c r="I2681" s="8">
        <v>8742.4879999999994</v>
      </c>
      <c r="J2681" s="8">
        <v>8918.4809999999998</v>
      </c>
      <c r="K2681" s="8">
        <v>8185.0060000000003</v>
      </c>
      <c r="L2681" s="8">
        <v>7370.0039999999999</v>
      </c>
      <c r="M2681" s="8">
        <v>7056.2179999999998</v>
      </c>
      <c r="N2681" s="8">
        <v>6636.0389999999998</v>
      </c>
      <c r="O2681" s="8">
        <v>5726.1080000000002</v>
      </c>
      <c r="P2681" s="8">
        <v>4881.4709999999995</v>
      </c>
      <c r="Q2681" s="8">
        <v>3941.826</v>
      </c>
      <c r="R2681" s="8">
        <v>3119.2809999999999</v>
      </c>
      <c r="S2681" s="8">
        <v>2758.5140000000001</v>
      </c>
      <c r="T2681" s="8">
        <v>2188.2600000000002</v>
      </c>
      <c r="U2681" s="8">
        <v>1873.8409999999999</v>
      </c>
      <c r="V2681" s="8">
        <v>1370.8420000000001</v>
      </c>
      <c r="W2681" s="8">
        <v>964.88499999999999</v>
      </c>
      <c r="X2681" s="8">
        <v>652.82899999999995</v>
      </c>
      <c r="Y2681" s="8">
        <v>353.18599999999998</v>
      </c>
      <c r="Z2681" s="8">
        <v>139.809</v>
      </c>
      <c r="AA2681" s="8">
        <v>39.97</v>
      </c>
      <c r="AB2681" s="8">
        <v>5.9370000000000003</v>
      </c>
      <c r="AC2681" s="8">
        <v>0.45300000000000001</v>
      </c>
    </row>
    <row r="2682" spans="1:29" ht="11.65" hidden="1" x14ac:dyDescent="0.35">
      <c r="A2682" s="12">
        <v>2665</v>
      </c>
      <c r="B2682" s="10" t="s">
        <v>1015</v>
      </c>
      <c r="C2682" s="11" t="s">
        <v>1201</v>
      </c>
      <c r="D2682" s="9"/>
      <c r="E2682" s="9">
        <v>76</v>
      </c>
      <c r="F2682" s="10" t="s">
        <v>1066</v>
      </c>
      <c r="G2682" s="9">
        <v>931</v>
      </c>
      <c r="H2682" s="9">
        <v>1995</v>
      </c>
      <c r="I2682" s="8">
        <v>8530.3330000000005</v>
      </c>
      <c r="J2682" s="8">
        <v>8692.482</v>
      </c>
      <c r="K2682" s="8">
        <v>8896.8960000000006</v>
      </c>
      <c r="L2682" s="8">
        <v>8161.4350000000004</v>
      </c>
      <c r="M2682" s="8">
        <v>7342.7349999999997</v>
      </c>
      <c r="N2682" s="8">
        <v>7021.0060000000003</v>
      </c>
      <c r="O2682" s="8">
        <v>6590.7160000000003</v>
      </c>
      <c r="P2682" s="8">
        <v>5670.7920000000004</v>
      </c>
      <c r="Q2682" s="8">
        <v>4814.4480000000003</v>
      </c>
      <c r="R2682" s="8">
        <v>3864.134</v>
      </c>
      <c r="S2682" s="8">
        <v>3028.509</v>
      </c>
      <c r="T2682" s="8">
        <v>2638.8760000000002</v>
      </c>
      <c r="U2682" s="8">
        <v>2044.492</v>
      </c>
      <c r="V2682" s="8">
        <v>1685.6130000000001</v>
      </c>
      <c r="W2682" s="8">
        <v>1168.203</v>
      </c>
      <c r="X2682" s="8">
        <v>754.49099999999999</v>
      </c>
      <c r="Y2682" s="8">
        <v>441.93799999999999</v>
      </c>
      <c r="Z2682" s="8">
        <v>192.08699999999999</v>
      </c>
      <c r="AA2682" s="8">
        <v>54.965000000000003</v>
      </c>
      <c r="AB2682" s="8">
        <v>9.6690000000000005</v>
      </c>
      <c r="AC2682" s="8">
        <v>0.71</v>
      </c>
    </row>
    <row r="2683" spans="1:29" ht="11.65" hidden="1" x14ac:dyDescent="0.35">
      <c r="A2683" s="12">
        <v>2666</v>
      </c>
      <c r="B2683" s="10" t="s">
        <v>1015</v>
      </c>
      <c r="C2683" s="11" t="s">
        <v>1201</v>
      </c>
      <c r="D2683" s="9"/>
      <c r="E2683" s="9">
        <v>76</v>
      </c>
      <c r="F2683" s="10" t="s">
        <v>1066</v>
      </c>
      <c r="G2683" s="9">
        <v>931</v>
      </c>
      <c r="H2683" s="9">
        <v>2000</v>
      </c>
      <c r="I2683" s="8">
        <v>8539.7219999999998</v>
      </c>
      <c r="J2683" s="8">
        <v>8489.3009999999995</v>
      </c>
      <c r="K2683" s="8">
        <v>8674.6610000000001</v>
      </c>
      <c r="L2683" s="8">
        <v>8874.1200000000008</v>
      </c>
      <c r="M2683" s="8">
        <v>8134.0929999999998</v>
      </c>
      <c r="N2683" s="8">
        <v>7310.6469999999999</v>
      </c>
      <c r="O2683" s="8">
        <v>6979.5129999999999</v>
      </c>
      <c r="P2683" s="8">
        <v>6534.9589999999998</v>
      </c>
      <c r="Q2683" s="8">
        <v>5602.0060000000003</v>
      </c>
      <c r="R2683" s="8">
        <v>4728.6549999999997</v>
      </c>
      <c r="S2683" s="8">
        <v>3762.08</v>
      </c>
      <c r="T2683" s="8">
        <v>2912.2150000000001</v>
      </c>
      <c r="U2683" s="8">
        <v>2489.5430000000001</v>
      </c>
      <c r="V2683" s="8">
        <v>1873.7560000000001</v>
      </c>
      <c r="W2683" s="8">
        <v>1476.9169999999999</v>
      </c>
      <c r="X2683" s="8">
        <v>946.54700000000003</v>
      </c>
      <c r="Y2683" s="8">
        <v>530.34799999999996</v>
      </c>
      <c r="Z2683" s="8">
        <v>252.77099999999999</v>
      </c>
      <c r="AA2683" s="8">
        <v>81.328999999999994</v>
      </c>
      <c r="AB2683" s="8">
        <v>14.287000000000001</v>
      </c>
      <c r="AC2683" s="8">
        <v>1.2350000000000001</v>
      </c>
    </row>
    <row r="2684" spans="1:29" ht="11.65" hidden="1" x14ac:dyDescent="0.35">
      <c r="A2684" s="12">
        <v>2667</v>
      </c>
      <c r="B2684" s="10" t="s">
        <v>1015</v>
      </c>
      <c r="C2684" s="11" t="s">
        <v>1201</v>
      </c>
      <c r="D2684" s="9"/>
      <c r="E2684" s="9">
        <v>76</v>
      </c>
      <c r="F2684" s="10" t="s">
        <v>1066</v>
      </c>
      <c r="G2684" s="9">
        <v>931</v>
      </c>
      <c r="H2684" s="9">
        <v>2005</v>
      </c>
      <c r="I2684" s="8">
        <v>8003.2150000000001</v>
      </c>
      <c r="J2684" s="8">
        <v>8505.4789999999994</v>
      </c>
      <c r="K2684" s="8">
        <v>8474.7000000000007</v>
      </c>
      <c r="L2684" s="8">
        <v>8654.6229999999996</v>
      </c>
      <c r="M2684" s="8">
        <v>8846.4330000000009</v>
      </c>
      <c r="N2684" s="8">
        <v>8102.37</v>
      </c>
      <c r="O2684" s="8">
        <v>7272.56</v>
      </c>
      <c r="P2684" s="8">
        <v>6927.1679999999997</v>
      </c>
      <c r="Q2684" s="8">
        <v>6464.3810000000003</v>
      </c>
      <c r="R2684" s="8">
        <v>5514.4470000000001</v>
      </c>
      <c r="S2684" s="8">
        <v>4619.8969999999999</v>
      </c>
      <c r="T2684" s="8">
        <v>3635.6010000000001</v>
      </c>
      <c r="U2684" s="8">
        <v>2765.5839999999998</v>
      </c>
      <c r="V2684" s="8">
        <v>2305.6660000000002</v>
      </c>
      <c r="W2684" s="8">
        <v>1661.721</v>
      </c>
      <c r="X2684" s="8">
        <v>1220.1849999999999</v>
      </c>
      <c r="Y2684" s="8">
        <v>692.68399999999997</v>
      </c>
      <c r="Z2684" s="8">
        <v>318.81900000000002</v>
      </c>
      <c r="AA2684" s="8">
        <v>113.833</v>
      </c>
      <c r="AB2684" s="8">
        <v>23.462</v>
      </c>
      <c r="AC2684" s="8">
        <v>2.1880000000000002</v>
      </c>
    </row>
    <row r="2685" spans="1:29" ht="11.65" hidden="1" x14ac:dyDescent="0.35">
      <c r="A2685" s="12">
        <v>2668</v>
      </c>
      <c r="B2685" s="10" t="s">
        <v>1015</v>
      </c>
      <c r="C2685" s="11" t="s">
        <v>1201</v>
      </c>
      <c r="D2685" s="9"/>
      <c r="E2685" s="9">
        <v>76</v>
      </c>
      <c r="F2685" s="10" t="s">
        <v>1066</v>
      </c>
      <c r="G2685" s="9">
        <v>931</v>
      </c>
      <c r="H2685" s="9">
        <v>2010</v>
      </c>
      <c r="I2685" s="8">
        <v>7339.9489999999996</v>
      </c>
      <c r="J2685" s="8">
        <v>7981.7650000000003</v>
      </c>
      <c r="K2685" s="8">
        <v>8493.5720000000001</v>
      </c>
      <c r="L2685" s="8">
        <v>8456.902</v>
      </c>
      <c r="M2685" s="8">
        <v>8629.1769999999997</v>
      </c>
      <c r="N2685" s="8">
        <v>8815.2049999999999</v>
      </c>
      <c r="O2685" s="8">
        <v>8064.6130000000003</v>
      </c>
      <c r="P2685" s="8">
        <v>7223.6869999999999</v>
      </c>
      <c r="Q2685" s="8">
        <v>6860.3890000000001</v>
      </c>
      <c r="R2685" s="8">
        <v>6373.7489999999998</v>
      </c>
      <c r="S2685" s="8">
        <v>5399.8580000000002</v>
      </c>
      <c r="T2685" s="8">
        <v>4478.2950000000001</v>
      </c>
      <c r="U2685" s="8">
        <v>3467.2359999999999</v>
      </c>
      <c r="V2685" s="8">
        <v>2575.8110000000001</v>
      </c>
      <c r="W2685" s="8">
        <v>2071.2249999999999</v>
      </c>
      <c r="X2685" s="8">
        <v>1398.6880000000001</v>
      </c>
      <c r="Y2685" s="8">
        <v>917.65099999999995</v>
      </c>
      <c r="Z2685" s="8">
        <v>436.37700000000001</v>
      </c>
      <c r="AA2685" s="8">
        <v>152.864</v>
      </c>
      <c r="AB2685" s="8">
        <v>36.180999999999997</v>
      </c>
      <c r="AC2685" s="8">
        <v>4.1740000000000004</v>
      </c>
    </row>
    <row r="2686" spans="1:29" ht="11.65" hidden="1" x14ac:dyDescent="0.35">
      <c r="A2686" s="12">
        <v>2669</v>
      </c>
      <c r="B2686" s="10" t="s">
        <v>1015</v>
      </c>
      <c r="C2686" s="11" t="s">
        <v>1201</v>
      </c>
      <c r="D2686" s="9"/>
      <c r="E2686" s="9">
        <v>76</v>
      </c>
      <c r="F2686" s="10" t="s">
        <v>1066</v>
      </c>
      <c r="G2686" s="9">
        <v>931</v>
      </c>
      <c r="H2686" s="9">
        <v>2015</v>
      </c>
      <c r="I2686" s="8">
        <v>7147.35</v>
      </c>
      <c r="J2686" s="8">
        <v>7325.9570000000003</v>
      </c>
      <c r="K2686" s="8">
        <v>7972.35</v>
      </c>
      <c r="L2686" s="8">
        <v>8477.857</v>
      </c>
      <c r="M2686" s="8">
        <v>8434.4290000000001</v>
      </c>
      <c r="N2686" s="8">
        <v>8602.3029999999999</v>
      </c>
      <c r="O2686" s="8">
        <v>8779.0400000000009</v>
      </c>
      <c r="P2686" s="8">
        <v>8016.3609999999999</v>
      </c>
      <c r="Q2686" s="8">
        <v>7161.7169999999996</v>
      </c>
      <c r="R2686" s="8">
        <v>6772.5029999999997</v>
      </c>
      <c r="S2686" s="8">
        <v>6250.65</v>
      </c>
      <c r="T2686" s="8">
        <v>5249.3580000000002</v>
      </c>
      <c r="U2686" s="8">
        <v>4289.2340000000004</v>
      </c>
      <c r="V2686" s="8">
        <v>3247.42</v>
      </c>
      <c r="W2686" s="8">
        <v>2330.8539999999998</v>
      </c>
      <c r="X2686" s="8">
        <v>1765.9960000000001</v>
      </c>
      <c r="Y2686" s="8">
        <v>1087.2940000000001</v>
      </c>
      <c r="Z2686" s="8">
        <v>611.08299999999997</v>
      </c>
      <c r="AA2686" s="8">
        <v>228.31100000000001</v>
      </c>
      <c r="AB2686" s="8">
        <v>56.158000000000001</v>
      </c>
      <c r="AC2686" s="8">
        <v>8.0180000000000007</v>
      </c>
    </row>
    <row r="2687" spans="1:29" ht="11.65" hidden="1" x14ac:dyDescent="0.35">
      <c r="A2687" s="12">
        <v>2670</v>
      </c>
      <c r="B2687" s="10" t="s">
        <v>1015</v>
      </c>
      <c r="C2687" s="11" t="s">
        <v>1201</v>
      </c>
      <c r="D2687" s="9"/>
      <c r="E2687" s="9">
        <v>76</v>
      </c>
      <c r="F2687" s="10" t="s">
        <v>1066</v>
      </c>
      <c r="G2687" s="9">
        <v>931</v>
      </c>
      <c r="H2687" s="9">
        <v>2020</v>
      </c>
      <c r="I2687" s="8">
        <v>7070.4470000000001</v>
      </c>
      <c r="J2687" s="8">
        <v>7136.9769999999999</v>
      </c>
      <c r="K2687" s="8">
        <v>7319.0559999999996</v>
      </c>
      <c r="L2687" s="8">
        <v>7964.6940000000004</v>
      </c>
      <c r="M2687" s="8">
        <v>8466.4920000000002</v>
      </c>
      <c r="N2687" s="8">
        <v>8418.59</v>
      </c>
      <c r="O2687" s="8">
        <v>8576.223</v>
      </c>
      <c r="P2687" s="8">
        <v>8735.1329999999998</v>
      </c>
      <c r="Q2687" s="8">
        <v>7956.7849999999999</v>
      </c>
      <c r="R2687" s="8">
        <v>7079.0540000000001</v>
      </c>
      <c r="S2687" s="8">
        <v>6651.9989999999998</v>
      </c>
      <c r="T2687" s="8">
        <v>6089.8140000000003</v>
      </c>
      <c r="U2687" s="8">
        <v>5044.8789999999999</v>
      </c>
      <c r="V2687" s="8">
        <v>4034.221</v>
      </c>
      <c r="W2687" s="8">
        <v>2957.9549999999999</v>
      </c>
      <c r="X2687" s="8">
        <v>2011.193</v>
      </c>
      <c r="Y2687" s="8">
        <v>1395.7</v>
      </c>
      <c r="Z2687" s="8">
        <v>752.23299999999995</v>
      </c>
      <c r="AA2687" s="8">
        <v>349.82600000000002</v>
      </c>
      <c r="AB2687" s="8">
        <v>96.88</v>
      </c>
      <c r="AC2687" s="8">
        <v>15.475</v>
      </c>
    </row>
    <row r="2688" spans="1:29" ht="11.65" hidden="1" x14ac:dyDescent="0.35">
      <c r="A2688" s="12">
        <v>2671</v>
      </c>
      <c r="B2688" s="10" t="s">
        <v>1015</v>
      </c>
      <c r="C2688" s="11" t="s">
        <v>1202</v>
      </c>
      <c r="D2688" s="9"/>
      <c r="E2688" s="9">
        <v>152</v>
      </c>
      <c r="F2688" s="10" t="s">
        <v>1066</v>
      </c>
      <c r="G2688" s="9">
        <v>931</v>
      </c>
      <c r="H2688" s="9">
        <v>1950</v>
      </c>
      <c r="I2688" s="8">
        <v>466.91</v>
      </c>
      <c r="J2688" s="8">
        <v>399.93599999999998</v>
      </c>
      <c r="K2688" s="8">
        <v>364.84899999999999</v>
      </c>
      <c r="L2688" s="8">
        <v>350.18</v>
      </c>
      <c r="M2688" s="8">
        <v>336.91899999999998</v>
      </c>
      <c r="N2688" s="8">
        <v>265.334</v>
      </c>
      <c r="O2688" s="8">
        <v>215.929</v>
      </c>
      <c r="P2688" s="8">
        <v>188.54400000000001</v>
      </c>
      <c r="Q2688" s="8">
        <v>158.99600000000001</v>
      </c>
      <c r="R2688" s="8">
        <v>130.38499999999999</v>
      </c>
      <c r="S2688" s="8">
        <v>109.151</v>
      </c>
      <c r="T2688" s="8">
        <v>88.15</v>
      </c>
      <c r="U2688" s="8">
        <v>66.462999999999994</v>
      </c>
      <c r="V2688" s="8">
        <v>45.408999999999999</v>
      </c>
      <c r="W2688" s="8">
        <v>31.204999999999998</v>
      </c>
      <c r="X2688" s="8">
        <v>19.739999999999998</v>
      </c>
      <c r="Y2688" s="8">
        <v>11.602</v>
      </c>
      <c r="Z2688" s="8">
        <v>6.585</v>
      </c>
      <c r="AA2688" s="8">
        <v>3.6120000000000001</v>
      </c>
      <c r="AB2688" s="8">
        <v>2.1360000000000001</v>
      </c>
      <c r="AC2688" s="8">
        <v>0.81299999999999994</v>
      </c>
    </row>
    <row r="2689" spans="1:29" ht="11.65" hidden="1" x14ac:dyDescent="0.35">
      <c r="A2689" s="12">
        <v>2672</v>
      </c>
      <c r="B2689" s="10" t="s">
        <v>1015</v>
      </c>
      <c r="C2689" s="11" t="s">
        <v>1202</v>
      </c>
      <c r="D2689" s="9"/>
      <c r="E2689" s="9">
        <v>152</v>
      </c>
      <c r="F2689" s="10" t="s">
        <v>1066</v>
      </c>
      <c r="G2689" s="9">
        <v>931</v>
      </c>
      <c r="H2689" s="9">
        <v>1955</v>
      </c>
      <c r="I2689" s="8">
        <v>555.96900000000005</v>
      </c>
      <c r="J2689" s="8">
        <v>448.69099999999997</v>
      </c>
      <c r="K2689" s="8">
        <v>393.28199999999998</v>
      </c>
      <c r="L2689" s="8">
        <v>356.74700000000001</v>
      </c>
      <c r="M2689" s="8">
        <v>338.75</v>
      </c>
      <c r="N2689" s="8">
        <v>322.786</v>
      </c>
      <c r="O2689" s="8">
        <v>252.24299999999999</v>
      </c>
      <c r="P2689" s="8">
        <v>204.857</v>
      </c>
      <c r="Q2689" s="8">
        <v>178.65799999999999</v>
      </c>
      <c r="R2689" s="8">
        <v>149.68799999999999</v>
      </c>
      <c r="S2689" s="8">
        <v>121.29600000000001</v>
      </c>
      <c r="T2689" s="8">
        <v>100.05</v>
      </c>
      <c r="U2689" s="8">
        <v>79.129000000000005</v>
      </c>
      <c r="V2689" s="8">
        <v>57.41</v>
      </c>
      <c r="W2689" s="8">
        <v>36.728999999999999</v>
      </c>
      <c r="X2689" s="8">
        <v>22.681000000000001</v>
      </c>
      <c r="Y2689" s="8">
        <v>12.214</v>
      </c>
      <c r="Z2689" s="8">
        <v>5.6219999999999999</v>
      </c>
      <c r="AA2689" s="8">
        <v>2.29</v>
      </c>
      <c r="AB2689" s="8">
        <v>0.79700000000000004</v>
      </c>
      <c r="AC2689" s="8">
        <v>0.33900000000000002</v>
      </c>
    </row>
    <row r="2690" spans="1:29" ht="11.65" hidden="1" x14ac:dyDescent="0.35">
      <c r="A2690" s="12">
        <v>2673</v>
      </c>
      <c r="B2690" s="10" t="s">
        <v>1015</v>
      </c>
      <c r="C2690" s="11" t="s">
        <v>1202</v>
      </c>
      <c r="D2690" s="9"/>
      <c r="E2690" s="9">
        <v>152</v>
      </c>
      <c r="F2690" s="10" t="s">
        <v>1066</v>
      </c>
      <c r="G2690" s="9">
        <v>931</v>
      </c>
      <c r="H2690" s="9">
        <v>1960</v>
      </c>
      <c r="I2690" s="8">
        <v>604.495</v>
      </c>
      <c r="J2690" s="8">
        <v>538.45799999999997</v>
      </c>
      <c r="K2690" s="8">
        <v>442.13799999999998</v>
      </c>
      <c r="L2690" s="8">
        <v>385.64299999999997</v>
      </c>
      <c r="M2690" s="8">
        <v>346.24599999999998</v>
      </c>
      <c r="N2690" s="8">
        <v>325.55</v>
      </c>
      <c r="O2690" s="8">
        <v>309.25</v>
      </c>
      <c r="P2690" s="8">
        <v>240.95400000000001</v>
      </c>
      <c r="Q2690" s="8">
        <v>195.05600000000001</v>
      </c>
      <c r="R2690" s="8">
        <v>169.05799999999999</v>
      </c>
      <c r="S2690" s="8">
        <v>140.02099999999999</v>
      </c>
      <c r="T2690" s="8">
        <v>111.76900000000001</v>
      </c>
      <c r="U2690" s="8">
        <v>90.375</v>
      </c>
      <c r="V2690" s="8">
        <v>68.823999999999998</v>
      </c>
      <c r="W2690" s="8">
        <v>46.921999999999997</v>
      </c>
      <c r="X2690" s="8">
        <v>27.099</v>
      </c>
      <c r="Y2690" s="8">
        <v>14.285</v>
      </c>
      <c r="Z2690" s="8">
        <v>6.0149999999999997</v>
      </c>
      <c r="AA2690" s="8">
        <v>1.982</v>
      </c>
      <c r="AB2690" s="8">
        <v>0.51</v>
      </c>
      <c r="AC2690" s="8">
        <v>0.13100000000000001</v>
      </c>
    </row>
    <row r="2691" spans="1:29" ht="11.65" hidden="1" x14ac:dyDescent="0.35">
      <c r="A2691" s="12">
        <v>2674</v>
      </c>
      <c r="B2691" s="10" t="s">
        <v>1015</v>
      </c>
      <c r="C2691" s="11" t="s">
        <v>1202</v>
      </c>
      <c r="D2691" s="9"/>
      <c r="E2691" s="9">
        <v>152</v>
      </c>
      <c r="F2691" s="10" t="s">
        <v>1066</v>
      </c>
      <c r="G2691" s="9">
        <v>931</v>
      </c>
      <c r="H2691" s="9">
        <v>1965</v>
      </c>
      <c r="I2691" s="8">
        <v>642.23299999999995</v>
      </c>
      <c r="J2691" s="8">
        <v>588.178</v>
      </c>
      <c r="K2691" s="8">
        <v>531.91200000000003</v>
      </c>
      <c r="L2691" s="8">
        <v>434.56799999999998</v>
      </c>
      <c r="M2691" s="8">
        <v>375.10300000000001</v>
      </c>
      <c r="N2691" s="8">
        <v>332.70699999999999</v>
      </c>
      <c r="O2691" s="8">
        <v>311.25900000000001</v>
      </c>
      <c r="P2691" s="8">
        <v>296.32100000000003</v>
      </c>
      <c r="Q2691" s="8">
        <v>230.19200000000001</v>
      </c>
      <c r="R2691" s="8">
        <v>184.934</v>
      </c>
      <c r="S2691" s="8">
        <v>158.55799999999999</v>
      </c>
      <c r="T2691" s="8">
        <v>129.48099999999999</v>
      </c>
      <c r="U2691" s="8">
        <v>101.38500000000001</v>
      </c>
      <c r="V2691" s="8">
        <v>79.034000000000006</v>
      </c>
      <c r="W2691" s="8">
        <v>56.552999999999997</v>
      </c>
      <c r="X2691" s="8">
        <v>34.917999999999999</v>
      </c>
      <c r="Y2691" s="8">
        <v>17.221</v>
      </c>
      <c r="Z2691" s="8">
        <v>7.06</v>
      </c>
      <c r="AA2691" s="8">
        <v>2.1150000000000002</v>
      </c>
      <c r="AB2691" s="8">
        <v>0.433</v>
      </c>
      <c r="AC2691" s="8">
        <v>7.0999999999999994E-2</v>
      </c>
    </row>
    <row r="2692" spans="1:29" ht="11.65" hidden="1" x14ac:dyDescent="0.35">
      <c r="A2692" s="12">
        <v>2675</v>
      </c>
      <c r="B2692" s="10" t="s">
        <v>1015</v>
      </c>
      <c r="C2692" s="11" t="s">
        <v>1202</v>
      </c>
      <c r="D2692" s="9"/>
      <c r="E2692" s="9">
        <v>152</v>
      </c>
      <c r="F2692" s="10" t="s">
        <v>1066</v>
      </c>
      <c r="G2692" s="9">
        <v>931</v>
      </c>
      <c r="H2692" s="9">
        <v>1970</v>
      </c>
      <c r="I2692" s="8">
        <v>643.02599999999995</v>
      </c>
      <c r="J2692" s="8">
        <v>629.16099999999994</v>
      </c>
      <c r="K2692" s="8">
        <v>581.39200000000005</v>
      </c>
      <c r="L2692" s="8">
        <v>523.14599999999996</v>
      </c>
      <c r="M2692" s="8">
        <v>422.02499999999998</v>
      </c>
      <c r="N2692" s="8">
        <v>358.53500000000003</v>
      </c>
      <c r="O2692" s="8">
        <v>315.19</v>
      </c>
      <c r="P2692" s="8">
        <v>296.06299999999999</v>
      </c>
      <c r="Q2692" s="8">
        <v>283.03100000000001</v>
      </c>
      <c r="R2692" s="8">
        <v>218.125</v>
      </c>
      <c r="S2692" s="8">
        <v>173.05699999999999</v>
      </c>
      <c r="T2692" s="8">
        <v>146.56700000000001</v>
      </c>
      <c r="U2692" s="8">
        <v>117.70699999999999</v>
      </c>
      <c r="V2692" s="8">
        <v>88.926000000000002</v>
      </c>
      <c r="W2692" s="8">
        <v>65.085999999999999</v>
      </c>
      <c r="X2692" s="8">
        <v>41.929000000000002</v>
      </c>
      <c r="Y2692" s="8">
        <v>22.071000000000002</v>
      </c>
      <c r="Z2692" s="8">
        <v>8.4440000000000008</v>
      </c>
      <c r="AA2692" s="8">
        <v>2.4359999999999999</v>
      </c>
      <c r="AB2692" s="8">
        <v>0.44400000000000001</v>
      </c>
      <c r="AC2692" s="8">
        <v>5.1999999999999998E-2</v>
      </c>
    </row>
    <row r="2693" spans="1:29" ht="11.65" hidden="1" x14ac:dyDescent="0.35">
      <c r="A2693" s="12">
        <v>2676</v>
      </c>
      <c r="B2693" s="10" t="s">
        <v>1015</v>
      </c>
      <c r="C2693" s="11" t="s">
        <v>1202</v>
      </c>
      <c r="D2693" s="9"/>
      <c r="E2693" s="9">
        <v>152</v>
      </c>
      <c r="F2693" s="10" t="s">
        <v>1066</v>
      </c>
      <c r="G2693" s="9">
        <v>931</v>
      </c>
      <c r="H2693" s="9">
        <v>1975</v>
      </c>
      <c r="I2693" s="8">
        <v>632.39099999999996</v>
      </c>
      <c r="J2693" s="8">
        <v>633.71100000000001</v>
      </c>
      <c r="K2693" s="8">
        <v>623.197</v>
      </c>
      <c r="L2693" s="8">
        <v>573.95299999999997</v>
      </c>
      <c r="M2693" s="8">
        <v>512.58600000000001</v>
      </c>
      <c r="N2693" s="8">
        <v>408.78699999999998</v>
      </c>
      <c r="O2693" s="8">
        <v>344.95699999999999</v>
      </c>
      <c r="P2693" s="8">
        <v>303.267</v>
      </c>
      <c r="Q2693" s="8">
        <v>285.149</v>
      </c>
      <c r="R2693" s="8">
        <v>271.637</v>
      </c>
      <c r="S2693" s="8">
        <v>206.887</v>
      </c>
      <c r="T2693" s="8">
        <v>161.84899999999999</v>
      </c>
      <c r="U2693" s="8">
        <v>134.71</v>
      </c>
      <c r="V2693" s="8">
        <v>104.46299999999999</v>
      </c>
      <c r="W2693" s="8">
        <v>74.227999999999994</v>
      </c>
      <c r="X2693" s="8">
        <v>49.140999999999998</v>
      </c>
      <c r="Y2693" s="8">
        <v>27.222999999999999</v>
      </c>
      <c r="Z2693" s="8">
        <v>11.382</v>
      </c>
      <c r="AA2693" s="8">
        <v>3.1280000000000001</v>
      </c>
      <c r="AB2693" s="8">
        <v>0.56599999999999995</v>
      </c>
      <c r="AC2693" s="8">
        <v>5.8000000000000003E-2</v>
      </c>
    </row>
    <row r="2694" spans="1:29" ht="11.65" hidden="1" x14ac:dyDescent="0.35">
      <c r="A2694" s="12">
        <v>2677</v>
      </c>
      <c r="B2694" s="10" t="s">
        <v>1015</v>
      </c>
      <c r="C2694" s="11" t="s">
        <v>1202</v>
      </c>
      <c r="D2694" s="9"/>
      <c r="E2694" s="9">
        <v>152</v>
      </c>
      <c r="F2694" s="10" t="s">
        <v>1066</v>
      </c>
      <c r="G2694" s="9">
        <v>931</v>
      </c>
      <c r="H2694" s="9">
        <v>1980</v>
      </c>
      <c r="I2694" s="8">
        <v>636.62</v>
      </c>
      <c r="J2694" s="8">
        <v>624.81200000000001</v>
      </c>
      <c r="K2694" s="8">
        <v>627.60599999999999</v>
      </c>
      <c r="L2694" s="8">
        <v>615.72299999999996</v>
      </c>
      <c r="M2694" s="8">
        <v>563.86099999999999</v>
      </c>
      <c r="N2694" s="8">
        <v>500.11700000000002</v>
      </c>
      <c r="O2694" s="8">
        <v>396.84199999999998</v>
      </c>
      <c r="P2694" s="8">
        <v>334.69</v>
      </c>
      <c r="Q2694" s="8">
        <v>293.84399999999999</v>
      </c>
      <c r="R2694" s="8">
        <v>275.20100000000002</v>
      </c>
      <c r="S2694" s="8">
        <v>260.30700000000002</v>
      </c>
      <c r="T2694" s="8">
        <v>195.79900000000001</v>
      </c>
      <c r="U2694" s="8">
        <v>150.61799999999999</v>
      </c>
      <c r="V2694" s="8">
        <v>121.367</v>
      </c>
      <c r="W2694" s="8">
        <v>88.866</v>
      </c>
      <c r="X2694" s="8">
        <v>57.555</v>
      </c>
      <c r="Y2694" s="8">
        <v>33.344000000000001</v>
      </c>
      <c r="Z2694" s="8">
        <v>15.012</v>
      </c>
      <c r="AA2694" s="8">
        <v>4.6479999999999997</v>
      </c>
      <c r="AB2694" s="8">
        <v>0.83399999999999996</v>
      </c>
      <c r="AC2694" s="8">
        <v>8.8999999999999996E-2</v>
      </c>
    </row>
    <row r="2695" spans="1:29" ht="11.65" hidden="1" x14ac:dyDescent="0.35">
      <c r="A2695" s="12">
        <v>2678</v>
      </c>
      <c r="B2695" s="10" t="s">
        <v>1015</v>
      </c>
      <c r="C2695" s="11" t="s">
        <v>1202</v>
      </c>
      <c r="D2695" s="9"/>
      <c r="E2695" s="9">
        <v>152</v>
      </c>
      <c r="F2695" s="10" t="s">
        <v>1066</v>
      </c>
      <c r="G2695" s="9">
        <v>931</v>
      </c>
      <c r="H2695" s="9">
        <v>1985</v>
      </c>
      <c r="I2695" s="8">
        <v>645.48699999999997</v>
      </c>
      <c r="J2695" s="8">
        <v>631.01700000000005</v>
      </c>
      <c r="K2695" s="8">
        <v>619.03099999999995</v>
      </c>
      <c r="L2695" s="8">
        <v>620.47</v>
      </c>
      <c r="M2695" s="8">
        <v>606.07500000000005</v>
      </c>
      <c r="N2695" s="8">
        <v>551.67999999999995</v>
      </c>
      <c r="O2695" s="8">
        <v>487.84</v>
      </c>
      <c r="P2695" s="8">
        <v>386.53300000000002</v>
      </c>
      <c r="Q2695" s="8">
        <v>325.71300000000002</v>
      </c>
      <c r="R2695" s="8">
        <v>284.76600000000002</v>
      </c>
      <c r="S2695" s="8">
        <v>265.00099999999998</v>
      </c>
      <c r="T2695" s="8">
        <v>248.57</v>
      </c>
      <c r="U2695" s="8">
        <v>184.124</v>
      </c>
      <c r="V2695" s="8">
        <v>137.417</v>
      </c>
      <c r="W2695" s="8">
        <v>104.879</v>
      </c>
      <c r="X2695" s="8">
        <v>70.411000000000001</v>
      </c>
      <c r="Y2695" s="8">
        <v>40.436999999999998</v>
      </c>
      <c r="Z2695" s="8">
        <v>19.349</v>
      </c>
      <c r="AA2695" s="8">
        <v>6.5810000000000004</v>
      </c>
      <c r="AB2695" s="8">
        <v>1.3660000000000001</v>
      </c>
      <c r="AC2695" s="8">
        <v>0.15</v>
      </c>
    </row>
    <row r="2696" spans="1:29" ht="11.65" hidden="1" x14ac:dyDescent="0.35">
      <c r="A2696" s="12">
        <v>2679</v>
      </c>
      <c r="B2696" s="10" t="s">
        <v>1015</v>
      </c>
      <c r="C2696" s="11" t="s">
        <v>1202</v>
      </c>
      <c r="D2696" s="9"/>
      <c r="E2696" s="9">
        <v>152</v>
      </c>
      <c r="F2696" s="10" t="s">
        <v>1066</v>
      </c>
      <c r="G2696" s="9">
        <v>931</v>
      </c>
      <c r="H2696" s="9">
        <v>1990</v>
      </c>
      <c r="I2696" s="8">
        <v>696.06799999999998</v>
      </c>
      <c r="J2696" s="8">
        <v>642.447</v>
      </c>
      <c r="K2696" s="8">
        <v>628.20100000000002</v>
      </c>
      <c r="L2696" s="8">
        <v>615.65599999999995</v>
      </c>
      <c r="M2696" s="8">
        <v>615.86099999999999</v>
      </c>
      <c r="N2696" s="8">
        <v>599.97400000000005</v>
      </c>
      <c r="O2696" s="8">
        <v>544.93100000000004</v>
      </c>
      <c r="P2696" s="8">
        <v>481.43700000000001</v>
      </c>
      <c r="Q2696" s="8">
        <v>380.67899999999997</v>
      </c>
      <c r="R2696" s="8">
        <v>319.435</v>
      </c>
      <c r="S2696" s="8">
        <v>277.32</v>
      </c>
      <c r="T2696" s="8">
        <v>255.39400000000001</v>
      </c>
      <c r="U2696" s="8">
        <v>235.833</v>
      </c>
      <c r="V2696" s="8">
        <v>169.71600000000001</v>
      </c>
      <c r="W2696" s="8">
        <v>120.50700000000001</v>
      </c>
      <c r="X2696" s="8">
        <v>84.903999999999996</v>
      </c>
      <c r="Y2696" s="8">
        <v>50.725999999999999</v>
      </c>
      <c r="Z2696" s="8">
        <v>24.36</v>
      </c>
      <c r="AA2696" s="8">
        <v>8.9060000000000006</v>
      </c>
      <c r="AB2696" s="8">
        <v>2.056</v>
      </c>
      <c r="AC2696" s="8">
        <v>0.26400000000000001</v>
      </c>
    </row>
    <row r="2697" spans="1:29" ht="11.65" hidden="1" x14ac:dyDescent="0.35">
      <c r="A2697" s="12">
        <v>2680</v>
      </c>
      <c r="B2697" s="10" t="s">
        <v>1015</v>
      </c>
      <c r="C2697" s="11" t="s">
        <v>1202</v>
      </c>
      <c r="D2697" s="9"/>
      <c r="E2697" s="9">
        <v>152</v>
      </c>
      <c r="F2697" s="10" t="s">
        <v>1066</v>
      </c>
      <c r="G2697" s="9">
        <v>931</v>
      </c>
      <c r="H2697" s="9">
        <v>1995</v>
      </c>
      <c r="I2697" s="8">
        <v>716.55100000000004</v>
      </c>
      <c r="J2697" s="8">
        <v>694.39700000000005</v>
      </c>
      <c r="K2697" s="8">
        <v>641.76900000000001</v>
      </c>
      <c r="L2697" s="8">
        <v>627.38099999999997</v>
      </c>
      <c r="M2697" s="8">
        <v>614.62</v>
      </c>
      <c r="N2697" s="8">
        <v>614.60599999999999</v>
      </c>
      <c r="O2697" s="8">
        <v>598.36099999999999</v>
      </c>
      <c r="P2697" s="8">
        <v>542.67899999999997</v>
      </c>
      <c r="Q2697" s="8">
        <v>478.166</v>
      </c>
      <c r="R2697" s="8">
        <v>376.46899999999999</v>
      </c>
      <c r="S2697" s="8">
        <v>313.83100000000002</v>
      </c>
      <c r="T2697" s="8">
        <v>269.85899999999998</v>
      </c>
      <c r="U2697" s="8">
        <v>244.71600000000001</v>
      </c>
      <c r="V2697" s="8">
        <v>220.102</v>
      </c>
      <c r="W2697" s="8">
        <v>151.22399999999999</v>
      </c>
      <c r="X2697" s="8">
        <v>99.491</v>
      </c>
      <c r="Y2697" s="8">
        <v>61.609000000000002</v>
      </c>
      <c r="Z2697" s="8">
        <v>30.045000000000002</v>
      </c>
      <c r="AA2697" s="8">
        <v>10.785</v>
      </c>
      <c r="AB2697" s="8">
        <v>2.5529999999999999</v>
      </c>
      <c r="AC2697" s="8">
        <v>0.379</v>
      </c>
    </row>
    <row r="2698" spans="1:29" ht="11.65" hidden="1" x14ac:dyDescent="0.35">
      <c r="A2698" s="12">
        <v>2681</v>
      </c>
      <c r="B2698" s="10" t="s">
        <v>1015</v>
      </c>
      <c r="C2698" s="11" t="s">
        <v>1202</v>
      </c>
      <c r="D2698" s="9"/>
      <c r="E2698" s="9">
        <v>152</v>
      </c>
      <c r="F2698" s="10" t="s">
        <v>1066</v>
      </c>
      <c r="G2698" s="9">
        <v>931</v>
      </c>
      <c r="H2698" s="9">
        <v>2000</v>
      </c>
      <c r="I2698" s="8">
        <v>649.42399999999998</v>
      </c>
      <c r="J2698" s="8">
        <v>715.48900000000003</v>
      </c>
      <c r="K2698" s="8">
        <v>694.30600000000004</v>
      </c>
      <c r="L2698" s="8">
        <v>641.73400000000004</v>
      </c>
      <c r="M2698" s="8">
        <v>627.39300000000003</v>
      </c>
      <c r="N2698" s="8">
        <v>614.68700000000001</v>
      </c>
      <c r="O2698" s="8">
        <v>614.25900000000001</v>
      </c>
      <c r="P2698" s="8">
        <v>597.07299999999998</v>
      </c>
      <c r="Q2698" s="8">
        <v>540.19500000000005</v>
      </c>
      <c r="R2698" s="8">
        <v>474.1</v>
      </c>
      <c r="S2698" s="8">
        <v>371.16399999999999</v>
      </c>
      <c r="T2698" s="8">
        <v>306.56200000000001</v>
      </c>
      <c r="U2698" s="8">
        <v>259.80099999999999</v>
      </c>
      <c r="V2698" s="8">
        <v>230.13300000000001</v>
      </c>
      <c r="W2698" s="8">
        <v>198.75200000000001</v>
      </c>
      <c r="X2698" s="8">
        <v>127.907</v>
      </c>
      <c r="Y2698" s="8">
        <v>74.683999999999997</v>
      </c>
      <c r="Z2698" s="8">
        <v>38.468000000000004</v>
      </c>
      <c r="AA2698" s="8">
        <v>14.132999999999999</v>
      </c>
      <c r="AB2698" s="8">
        <v>3.3780000000000001</v>
      </c>
      <c r="AC2698" s="8">
        <v>0.54300000000000004</v>
      </c>
    </row>
    <row r="2699" spans="1:29" ht="11.65" hidden="1" x14ac:dyDescent="0.35">
      <c r="A2699" s="12">
        <v>2682</v>
      </c>
      <c r="B2699" s="10" t="s">
        <v>1015</v>
      </c>
      <c r="C2699" s="11" t="s">
        <v>1202</v>
      </c>
      <c r="D2699" s="9"/>
      <c r="E2699" s="9">
        <v>152</v>
      </c>
      <c r="F2699" s="10" t="s">
        <v>1066</v>
      </c>
      <c r="G2699" s="9">
        <v>931</v>
      </c>
      <c r="H2699" s="9">
        <v>2005</v>
      </c>
      <c r="I2699" s="8">
        <v>594.01599999999996</v>
      </c>
      <c r="J2699" s="8">
        <v>649.34100000000001</v>
      </c>
      <c r="K2699" s="8">
        <v>716.09299999999996</v>
      </c>
      <c r="L2699" s="8">
        <v>695.15200000000004</v>
      </c>
      <c r="M2699" s="8">
        <v>643.49599999999998</v>
      </c>
      <c r="N2699" s="8">
        <v>629.62599999999998</v>
      </c>
      <c r="O2699" s="8">
        <v>616.32000000000005</v>
      </c>
      <c r="P2699" s="8">
        <v>614.50300000000004</v>
      </c>
      <c r="Q2699" s="8">
        <v>595.68399999999997</v>
      </c>
      <c r="R2699" s="8">
        <v>536.85900000000004</v>
      </c>
      <c r="S2699" s="8">
        <v>468.65699999999998</v>
      </c>
      <c r="T2699" s="8">
        <v>363.72199999999998</v>
      </c>
      <c r="U2699" s="8">
        <v>296.255</v>
      </c>
      <c r="V2699" s="8">
        <v>246.089</v>
      </c>
      <c r="W2699" s="8">
        <v>210.19200000000001</v>
      </c>
      <c r="X2699" s="8">
        <v>171.48599999999999</v>
      </c>
      <c r="Y2699" s="8">
        <v>99.103999999999999</v>
      </c>
      <c r="Z2699" s="8">
        <v>48.716000000000001</v>
      </c>
      <c r="AA2699" s="8">
        <v>18.984000000000002</v>
      </c>
      <c r="AB2699" s="8">
        <v>4.74</v>
      </c>
      <c r="AC2699" s="8">
        <v>0.80300000000000005</v>
      </c>
    </row>
    <row r="2700" spans="1:29" ht="11.65" hidden="1" x14ac:dyDescent="0.35">
      <c r="A2700" s="12">
        <v>2683</v>
      </c>
      <c r="B2700" s="10" t="s">
        <v>1015</v>
      </c>
      <c r="C2700" s="11" t="s">
        <v>1202</v>
      </c>
      <c r="D2700" s="9"/>
      <c r="E2700" s="9">
        <v>152</v>
      </c>
      <c r="F2700" s="10" t="s">
        <v>1066</v>
      </c>
      <c r="G2700" s="9">
        <v>931</v>
      </c>
      <c r="H2700" s="9">
        <v>2010</v>
      </c>
      <c r="I2700" s="8">
        <v>600.61599999999999</v>
      </c>
      <c r="J2700" s="8">
        <v>596.78700000000003</v>
      </c>
      <c r="K2700" s="8">
        <v>651.85799999999995</v>
      </c>
      <c r="L2700" s="8">
        <v>718.81299999999999</v>
      </c>
      <c r="M2700" s="8">
        <v>700.86500000000001</v>
      </c>
      <c r="N2700" s="8">
        <v>651.75300000000004</v>
      </c>
      <c r="O2700" s="8">
        <v>636.91300000000001</v>
      </c>
      <c r="P2700" s="8">
        <v>620.779</v>
      </c>
      <c r="Q2700" s="8">
        <v>615.92999999999995</v>
      </c>
      <c r="R2700" s="8">
        <v>593.99199999999996</v>
      </c>
      <c r="S2700" s="8">
        <v>532.24</v>
      </c>
      <c r="T2700" s="8">
        <v>460.786</v>
      </c>
      <c r="U2700" s="8">
        <v>353.23500000000001</v>
      </c>
      <c r="V2700" s="8">
        <v>282.45699999999999</v>
      </c>
      <c r="W2700" s="8">
        <v>227.221</v>
      </c>
      <c r="X2700" s="8">
        <v>184.15299999999999</v>
      </c>
      <c r="Y2700" s="8">
        <v>136.411</v>
      </c>
      <c r="Z2700" s="8">
        <v>67.004000000000005</v>
      </c>
      <c r="AA2700" s="8">
        <v>25.460999999999999</v>
      </c>
      <c r="AB2700" s="8">
        <v>6.9619999999999997</v>
      </c>
      <c r="AC2700" s="8">
        <v>1.294</v>
      </c>
    </row>
    <row r="2701" spans="1:29" ht="11.65" hidden="1" x14ac:dyDescent="0.35">
      <c r="A2701" s="12">
        <v>2684</v>
      </c>
      <c r="B2701" s="10" t="s">
        <v>1015</v>
      </c>
      <c r="C2701" s="11" t="s">
        <v>1202</v>
      </c>
      <c r="D2701" s="9"/>
      <c r="E2701" s="9">
        <v>152</v>
      </c>
      <c r="F2701" s="10" t="s">
        <v>1066</v>
      </c>
      <c r="G2701" s="9">
        <v>931</v>
      </c>
      <c r="H2701" s="9">
        <v>2015</v>
      </c>
      <c r="I2701" s="8">
        <v>609.03800000000001</v>
      </c>
      <c r="J2701" s="8">
        <v>604.83399999999995</v>
      </c>
      <c r="K2701" s="8">
        <v>600.37900000000002</v>
      </c>
      <c r="L2701" s="8">
        <v>655.46100000000001</v>
      </c>
      <c r="M2701" s="8">
        <v>727.91899999999998</v>
      </c>
      <c r="N2701" s="8">
        <v>715.63300000000004</v>
      </c>
      <c r="O2701" s="8">
        <v>664.68299999999999</v>
      </c>
      <c r="P2701" s="8">
        <v>644.93700000000001</v>
      </c>
      <c r="Q2701" s="8">
        <v>624.41499999999996</v>
      </c>
      <c r="R2701" s="8">
        <v>615.83100000000002</v>
      </c>
      <c r="S2701" s="8">
        <v>590.20299999999997</v>
      </c>
      <c r="T2701" s="8">
        <v>524.85599999999999</v>
      </c>
      <c r="U2701" s="8">
        <v>449.27800000000002</v>
      </c>
      <c r="V2701" s="8">
        <v>338.54199999999997</v>
      </c>
      <c r="W2701" s="8">
        <v>262.99</v>
      </c>
      <c r="X2701" s="8">
        <v>202.01</v>
      </c>
      <c r="Y2701" s="8">
        <v>149.583</v>
      </c>
      <c r="Z2701" s="8">
        <v>95.042000000000002</v>
      </c>
      <c r="AA2701" s="8">
        <v>36.731000000000002</v>
      </c>
      <c r="AB2701" s="8">
        <v>10.051</v>
      </c>
      <c r="AC2701" s="8">
        <v>2.14</v>
      </c>
    </row>
    <row r="2702" spans="1:29" ht="11.65" hidden="1" x14ac:dyDescent="0.35">
      <c r="A2702" s="12">
        <v>2685</v>
      </c>
      <c r="B2702" s="10" t="s">
        <v>1015</v>
      </c>
      <c r="C2702" s="11" t="s">
        <v>1202</v>
      </c>
      <c r="D2702" s="9"/>
      <c r="E2702" s="9">
        <v>152</v>
      </c>
      <c r="F2702" s="10" t="s">
        <v>1066</v>
      </c>
      <c r="G2702" s="9">
        <v>931</v>
      </c>
      <c r="H2702" s="9">
        <v>2020</v>
      </c>
      <c r="I2702" s="8">
        <v>570.36300000000006</v>
      </c>
      <c r="J2702" s="8">
        <v>621.86500000000001</v>
      </c>
      <c r="K2702" s="8">
        <v>614.053</v>
      </c>
      <c r="L2702" s="8">
        <v>611.78099999999995</v>
      </c>
      <c r="M2702" s="8">
        <v>690.83299999999997</v>
      </c>
      <c r="N2702" s="8">
        <v>783.76</v>
      </c>
      <c r="O2702" s="8">
        <v>760.56799999999998</v>
      </c>
      <c r="P2702" s="8">
        <v>692.548</v>
      </c>
      <c r="Q2702" s="8">
        <v>661.077</v>
      </c>
      <c r="R2702" s="8">
        <v>632.83199999999999</v>
      </c>
      <c r="S2702" s="8">
        <v>619.29399999999998</v>
      </c>
      <c r="T2702" s="8">
        <v>587.19899999999996</v>
      </c>
      <c r="U2702" s="8">
        <v>514.83799999999997</v>
      </c>
      <c r="V2702" s="8">
        <v>432.90199999999999</v>
      </c>
      <c r="W2702" s="8">
        <v>317.94</v>
      </c>
      <c r="X2702" s="8">
        <v>235.874</v>
      </c>
      <c r="Y2702" s="8">
        <v>166.72800000000001</v>
      </c>
      <c r="Z2702" s="8">
        <v>104.88200000000001</v>
      </c>
      <c r="AA2702" s="8">
        <v>53.137</v>
      </c>
      <c r="AB2702" s="8">
        <v>15.114000000000001</v>
      </c>
      <c r="AC2702" s="8">
        <v>2.952</v>
      </c>
    </row>
    <row r="2703" spans="1:29" ht="11.65" hidden="1" x14ac:dyDescent="0.35">
      <c r="A2703" s="12">
        <v>2686</v>
      </c>
      <c r="B2703" s="10" t="s">
        <v>1015</v>
      </c>
      <c r="C2703" s="11" t="s">
        <v>1203</v>
      </c>
      <c r="D2703" s="9"/>
      <c r="E2703" s="9">
        <v>170</v>
      </c>
      <c r="F2703" s="10" t="s">
        <v>1066</v>
      </c>
      <c r="G2703" s="9">
        <v>931</v>
      </c>
      <c r="H2703" s="9">
        <v>1950</v>
      </c>
      <c r="I2703" s="8">
        <v>1049.7739999999999</v>
      </c>
      <c r="J2703" s="8">
        <v>841.04100000000005</v>
      </c>
      <c r="K2703" s="8">
        <v>707.34699999999998</v>
      </c>
      <c r="L2703" s="8">
        <v>629.58799999999997</v>
      </c>
      <c r="M2703" s="8">
        <v>541.95600000000002</v>
      </c>
      <c r="N2703" s="8">
        <v>447.113</v>
      </c>
      <c r="O2703" s="8">
        <v>368.63499999999999</v>
      </c>
      <c r="P2703" s="8">
        <v>323.16699999999997</v>
      </c>
      <c r="Q2703" s="8">
        <v>257.39499999999998</v>
      </c>
      <c r="R2703" s="8">
        <v>211.89599999999999</v>
      </c>
      <c r="S2703" s="8">
        <v>178.78399999999999</v>
      </c>
      <c r="T2703" s="8">
        <v>143.63499999999999</v>
      </c>
      <c r="U2703" s="8">
        <v>117.636</v>
      </c>
      <c r="V2703" s="8">
        <v>84.334999999999994</v>
      </c>
      <c r="W2703" s="8">
        <v>57.24</v>
      </c>
      <c r="X2703" s="8">
        <v>39.823999999999998</v>
      </c>
      <c r="Y2703" s="8">
        <v>23.135000000000002</v>
      </c>
      <c r="Z2703" s="8">
        <v>6.3220000000000001</v>
      </c>
      <c r="AA2703" s="8">
        <v>1.343</v>
      </c>
      <c r="AB2703" s="8">
        <v>0.17899999999999999</v>
      </c>
      <c r="AC2703" s="8">
        <v>0.02</v>
      </c>
    </row>
    <row r="2704" spans="1:29" ht="11.65" hidden="1" x14ac:dyDescent="0.35">
      <c r="A2704" s="12">
        <v>2687</v>
      </c>
      <c r="B2704" s="10" t="s">
        <v>1015</v>
      </c>
      <c r="C2704" s="11" t="s">
        <v>1203</v>
      </c>
      <c r="D2704" s="9"/>
      <c r="E2704" s="9">
        <v>170</v>
      </c>
      <c r="F2704" s="10" t="s">
        <v>1066</v>
      </c>
      <c r="G2704" s="9">
        <v>931</v>
      </c>
      <c r="H2704" s="9">
        <v>1955</v>
      </c>
      <c r="I2704" s="8">
        <v>1280.655</v>
      </c>
      <c r="J2704" s="8">
        <v>1001.85</v>
      </c>
      <c r="K2704" s="8">
        <v>820.61400000000003</v>
      </c>
      <c r="L2704" s="8">
        <v>685.45699999999999</v>
      </c>
      <c r="M2704" s="8">
        <v>602.16499999999996</v>
      </c>
      <c r="N2704" s="8">
        <v>513.94100000000003</v>
      </c>
      <c r="O2704" s="8">
        <v>422.23599999999999</v>
      </c>
      <c r="P2704" s="8">
        <v>348.096</v>
      </c>
      <c r="Q2704" s="8">
        <v>305.94799999999998</v>
      </c>
      <c r="R2704" s="8">
        <v>243.63499999999999</v>
      </c>
      <c r="S2704" s="8">
        <v>199.32300000000001</v>
      </c>
      <c r="T2704" s="8">
        <v>165.589</v>
      </c>
      <c r="U2704" s="8">
        <v>128.94499999999999</v>
      </c>
      <c r="V2704" s="8">
        <v>99.635000000000005</v>
      </c>
      <c r="W2704" s="8">
        <v>64.706999999999994</v>
      </c>
      <c r="X2704" s="8">
        <v>36.582000000000001</v>
      </c>
      <c r="Y2704" s="8">
        <v>19.059999999999999</v>
      </c>
      <c r="Z2704" s="8">
        <v>7.79</v>
      </c>
      <c r="AA2704" s="8">
        <v>1.429</v>
      </c>
      <c r="AB2704" s="8">
        <v>0.22</v>
      </c>
      <c r="AC2704" s="8">
        <v>2.4E-2</v>
      </c>
    </row>
    <row r="2705" spans="1:29" ht="11.65" hidden="1" x14ac:dyDescent="0.35">
      <c r="A2705" s="12">
        <v>2688</v>
      </c>
      <c r="B2705" s="10" t="s">
        <v>1015</v>
      </c>
      <c r="C2705" s="11" t="s">
        <v>1203</v>
      </c>
      <c r="D2705" s="9"/>
      <c r="E2705" s="9">
        <v>170</v>
      </c>
      <c r="F2705" s="10" t="s">
        <v>1066</v>
      </c>
      <c r="G2705" s="9">
        <v>931</v>
      </c>
      <c r="H2705" s="9">
        <v>1960</v>
      </c>
      <c r="I2705" s="8">
        <v>1513.9960000000001</v>
      </c>
      <c r="J2705" s="8">
        <v>1233.1669999999999</v>
      </c>
      <c r="K2705" s="8">
        <v>981.77300000000002</v>
      </c>
      <c r="L2705" s="8">
        <v>799.59900000000005</v>
      </c>
      <c r="M2705" s="8">
        <v>659.65200000000004</v>
      </c>
      <c r="N2705" s="8">
        <v>575.23400000000004</v>
      </c>
      <c r="O2705" s="8">
        <v>489.26499999999999</v>
      </c>
      <c r="P2705" s="8">
        <v>401.495</v>
      </c>
      <c r="Q2705" s="8">
        <v>331.16199999999998</v>
      </c>
      <c r="R2705" s="8">
        <v>291.375</v>
      </c>
      <c r="S2705" s="8">
        <v>230.46600000000001</v>
      </c>
      <c r="T2705" s="8">
        <v>185.53700000000001</v>
      </c>
      <c r="U2705" s="8">
        <v>149.81</v>
      </c>
      <c r="V2705" s="8">
        <v>110.81100000000001</v>
      </c>
      <c r="W2705" s="8">
        <v>78.537999999999997</v>
      </c>
      <c r="X2705" s="8">
        <v>43.573999999999998</v>
      </c>
      <c r="Y2705" s="8">
        <v>19.545999999999999</v>
      </c>
      <c r="Z2705" s="8">
        <v>7.8310000000000004</v>
      </c>
      <c r="AA2705" s="8">
        <v>2.3439999999999999</v>
      </c>
      <c r="AB2705" s="8">
        <v>0.29299999999999998</v>
      </c>
      <c r="AC2705" s="8">
        <v>0.03</v>
      </c>
    </row>
    <row r="2706" spans="1:29" ht="11.65" hidden="1" x14ac:dyDescent="0.35">
      <c r="A2706" s="12">
        <v>2689</v>
      </c>
      <c r="B2706" s="10" t="s">
        <v>1015</v>
      </c>
      <c r="C2706" s="11" t="s">
        <v>1203</v>
      </c>
      <c r="D2706" s="9"/>
      <c r="E2706" s="9">
        <v>170</v>
      </c>
      <c r="F2706" s="10" t="s">
        <v>1066</v>
      </c>
      <c r="G2706" s="9">
        <v>931</v>
      </c>
      <c r="H2706" s="9">
        <v>1965</v>
      </c>
      <c r="I2706" s="8">
        <v>1735.106</v>
      </c>
      <c r="J2706" s="8">
        <v>1464.7059999999999</v>
      </c>
      <c r="K2706" s="8">
        <v>1210.336</v>
      </c>
      <c r="L2706" s="8">
        <v>956.97699999999998</v>
      </c>
      <c r="M2706" s="8">
        <v>771.56700000000001</v>
      </c>
      <c r="N2706" s="8">
        <v>630.81299999999999</v>
      </c>
      <c r="O2706" s="8">
        <v>548.39300000000003</v>
      </c>
      <c r="P2706" s="8">
        <v>467.20499999999998</v>
      </c>
      <c r="Q2706" s="8">
        <v>383.673</v>
      </c>
      <c r="R2706" s="8">
        <v>315.64299999999997</v>
      </c>
      <c r="S2706" s="8">
        <v>276.33699999999999</v>
      </c>
      <c r="T2706" s="8">
        <v>214.99600000000001</v>
      </c>
      <c r="U2706" s="8">
        <v>168.44800000000001</v>
      </c>
      <c r="V2706" s="8">
        <v>129.65299999999999</v>
      </c>
      <c r="W2706" s="8">
        <v>88.5</v>
      </c>
      <c r="X2706" s="8">
        <v>54.268000000000001</v>
      </c>
      <c r="Y2706" s="8">
        <v>24.544</v>
      </c>
      <c r="Z2706" s="8">
        <v>8.8239999999999998</v>
      </c>
      <c r="AA2706" s="8">
        <v>2.7010000000000001</v>
      </c>
      <c r="AB2706" s="8">
        <v>0.54400000000000004</v>
      </c>
      <c r="AC2706" s="8">
        <v>3.9E-2</v>
      </c>
    </row>
    <row r="2707" spans="1:29" ht="11.65" hidden="1" x14ac:dyDescent="0.35">
      <c r="A2707" s="12">
        <v>2690</v>
      </c>
      <c r="B2707" s="10" t="s">
        <v>1015</v>
      </c>
      <c r="C2707" s="11" t="s">
        <v>1203</v>
      </c>
      <c r="D2707" s="9"/>
      <c r="E2707" s="9">
        <v>170</v>
      </c>
      <c r="F2707" s="10" t="s">
        <v>1066</v>
      </c>
      <c r="G2707" s="9">
        <v>931</v>
      </c>
      <c r="H2707" s="9">
        <v>1970</v>
      </c>
      <c r="I2707" s="8">
        <v>1797.528</v>
      </c>
      <c r="J2707" s="8">
        <v>1685.6379999999999</v>
      </c>
      <c r="K2707" s="8">
        <v>1434.29</v>
      </c>
      <c r="L2707" s="8">
        <v>1175.049</v>
      </c>
      <c r="M2707" s="8">
        <v>914.14599999999996</v>
      </c>
      <c r="N2707" s="8">
        <v>737.78200000000004</v>
      </c>
      <c r="O2707" s="8">
        <v>613.44600000000003</v>
      </c>
      <c r="P2707" s="8">
        <v>535.64499999999998</v>
      </c>
      <c r="Q2707" s="8">
        <v>454.52499999999998</v>
      </c>
      <c r="R2707" s="8">
        <v>371.53699999999998</v>
      </c>
      <c r="S2707" s="8">
        <v>302.32499999999999</v>
      </c>
      <c r="T2707" s="8">
        <v>259.70699999999999</v>
      </c>
      <c r="U2707" s="8">
        <v>196.51599999999999</v>
      </c>
      <c r="V2707" s="8">
        <v>147.27699999999999</v>
      </c>
      <c r="W2707" s="8">
        <v>105.14400000000001</v>
      </c>
      <c r="X2707" s="8">
        <v>62.854999999999997</v>
      </c>
      <c r="Y2707" s="8">
        <v>31.919</v>
      </c>
      <c r="Z2707" s="8">
        <v>11.773999999999999</v>
      </c>
      <c r="AA2707" s="8">
        <v>3.323</v>
      </c>
      <c r="AB2707" s="8">
        <v>0.68300000000000005</v>
      </c>
      <c r="AC2707" s="8">
        <v>7.2999999999999995E-2</v>
      </c>
    </row>
    <row r="2708" spans="1:29" ht="11.65" hidden="1" x14ac:dyDescent="0.35">
      <c r="A2708" s="12">
        <v>2691</v>
      </c>
      <c r="B2708" s="10" t="s">
        <v>1015</v>
      </c>
      <c r="C2708" s="11" t="s">
        <v>1203</v>
      </c>
      <c r="D2708" s="9"/>
      <c r="E2708" s="9">
        <v>170</v>
      </c>
      <c r="F2708" s="10" t="s">
        <v>1066</v>
      </c>
      <c r="G2708" s="9">
        <v>931</v>
      </c>
      <c r="H2708" s="9">
        <v>1975</v>
      </c>
      <c r="I2708" s="8">
        <v>1745.836</v>
      </c>
      <c r="J2708" s="8">
        <v>1749.4770000000001</v>
      </c>
      <c r="K2708" s="8">
        <v>1676.3019999999999</v>
      </c>
      <c r="L2708" s="8">
        <v>1426.769</v>
      </c>
      <c r="M2708" s="8">
        <v>1128.5</v>
      </c>
      <c r="N2708" s="8">
        <v>866.67600000000004</v>
      </c>
      <c r="O2708" s="8">
        <v>699.82899999999995</v>
      </c>
      <c r="P2708" s="8">
        <v>601.13199999999995</v>
      </c>
      <c r="Q2708" s="8">
        <v>522.37800000000004</v>
      </c>
      <c r="R2708" s="8">
        <v>437.803</v>
      </c>
      <c r="S2708" s="8">
        <v>354.24700000000001</v>
      </c>
      <c r="T2708" s="8">
        <v>284.36799999999999</v>
      </c>
      <c r="U2708" s="8">
        <v>238.655</v>
      </c>
      <c r="V2708" s="8">
        <v>173.47</v>
      </c>
      <c r="W2708" s="8">
        <v>121.65900000000001</v>
      </c>
      <c r="X2708" s="8">
        <v>77.369</v>
      </c>
      <c r="Y2708" s="8">
        <v>38.665999999999997</v>
      </c>
      <c r="Z2708" s="8">
        <v>16.084</v>
      </c>
      <c r="AA2708" s="8">
        <v>4.7679999999999998</v>
      </c>
      <c r="AB2708" s="8">
        <v>0.90100000000000002</v>
      </c>
      <c r="AC2708" s="8">
        <v>9.7000000000000003E-2</v>
      </c>
    </row>
    <row r="2709" spans="1:29" ht="11.65" hidden="1" x14ac:dyDescent="0.35">
      <c r="A2709" s="12">
        <v>2692</v>
      </c>
      <c r="B2709" s="10" t="s">
        <v>1015</v>
      </c>
      <c r="C2709" s="11" t="s">
        <v>1203</v>
      </c>
      <c r="D2709" s="9"/>
      <c r="E2709" s="9">
        <v>170</v>
      </c>
      <c r="F2709" s="10" t="s">
        <v>1066</v>
      </c>
      <c r="G2709" s="9">
        <v>931</v>
      </c>
      <c r="H2709" s="9">
        <v>1980</v>
      </c>
      <c r="I2709" s="8">
        <v>1892.6420000000001</v>
      </c>
      <c r="J2709" s="8">
        <v>1709.7729999999999</v>
      </c>
      <c r="K2709" s="8">
        <v>1705.732</v>
      </c>
      <c r="L2709" s="8">
        <v>1624.3389999999999</v>
      </c>
      <c r="M2709" s="8">
        <v>1371.87</v>
      </c>
      <c r="N2709" s="8">
        <v>1100.204</v>
      </c>
      <c r="O2709" s="8">
        <v>858.779</v>
      </c>
      <c r="P2709" s="8">
        <v>684.78800000000001</v>
      </c>
      <c r="Q2709" s="8">
        <v>585.12400000000002</v>
      </c>
      <c r="R2709" s="8">
        <v>508.52600000000001</v>
      </c>
      <c r="S2709" s="8">
        <v>421.39800000000002</v>
      </c>
      <c r="T2709" s="8">
        <v>335.96</v>
      </c>
      <c r="U2709" s="8">
        <v>263.483</v>
      </c>
      <c r="V2709" s="8">
        <v>212.482</v>
      </c>
      <c r="W2709" s="8">
        <v>145.05799999999999</v>
      </c>
      <c r="X2709" s="8">
        <v>91.52</v>
      </c>
      <c r="Y2709" s="8">
        <v>49.332000000000001</v>
      </c>
      <c r="Z2709" s="8">
        <v>20.042000000000002</v>
      </c>
      <c r="AA2709" s="8">
        <v>6.593</v>
      </c>
      <c r="AB2709" s="8">
        <v>1.3280000000000001</v>
      </c>
      <c r="AC2709" s="8">
        <v>0.13500000000000001</v>
      </c>
    </row>
    <row r="2710" spans="1:29" ht="11.65" hidden="1" x14ac:dyDescent="0.35">
      <c r="A2710" s="12">
        <v>2693</v>
      </c>
      <c r="B2710" s="10" t="s">
        <v>1015</v>
      </c>
      <c r="C2710" s="11" t="s">
        <v>1203</v>
      </c>
      <c r="D2710" s="9"/>
      <c r="E2710" s="9">
        <v>170</v>
      </c>
      <c r="F2710" s="10" t="s">
        <v>1066</v>
      </c>
      <c r="G2710" s="9">
        <v>931</v>
      </c>
      <c r="H2710" s="9">
        <v>1985</v>
      </c>
      <c r="I2710" s="8">
        <v>1983.3150000000001</v>
      </c>
      <c r="J2710" s="8">
        <v>1861.5329999999999</v>
      </c>
      <c r="K2710" s="8">
        <v>1702.7570000000001</v>
      </c>
      <c r="L2710" s="8">
        <v>1689.7550000000001</v>
      </c>
      <c r="M2710" s="8">
        <v>1573.0050000000001</v>
      </c>
      <c r="N2710" s="8">
        <v>1314.403</v>
      </c>
      <c r="O2710" s="8">
        <v>1090.3140000000001</v>
      </c>
      <c r="P2710" s="8">
        <v>850.20600000000002</v>
      </c>
      <c r="Q2710" s="8">
        <v>675.12699999999995</v>
      </c>
      <c r="R2710" s="8">
        <v>573.14700000000005</v>
      </c>
      <c r="S2710" s="8">
        <v>493.46600000000001</v>
      </c>
      <c r="T2710" s="8">
        <v>403.755</v>
      </c>
      <c r="U2710" s="8">
        <v>314.858</v>
      </c>
      <c r="V2710" s="8">
        <v>237.41900000000001</v>
      </c>
      <c r="W2710" s="8">
        <v>180.69399999999999</v>
      </c>
      <c r="X2710" s="8">
        <v>112.62</v>
      </c>
      <c r="Y2710" s="8">
        <v>60.874000000000002</v>
      </c>
      <c r="Z2710" s="8">
        <v>26.225999999999999</v>
      </c>
      <c r="AA2710" s="8">
        <v>8.3149999999999995</v>
      </c>
      <c r="AB2710" s="8">
        <v>1.885</v>
      </c>
      <c r="AC2710" s="8">
        <v>0.20899999999999999</v>
      </c>
    </row>
    <row r="2711" spans="1:29" ht="11.65" hidden="1" x14ac:dyDescent="0.35">
      <c r="A2711" s="12">
        <v>2694</v>
      </c>
      <c r="B2711" s="10" t="s">
        <v>1015</v>
      </c>
      <c r="C2711" s="11" t="s">
        <v>1203</v>
      </c>
      <c r="D2711" s="9"/>
      <c r="E2711" s="9">
        <v>170</v>
      </c>
      <c r="F2711" s="10" t="s">
        <v>1066</v>
      </c>
      <c r="G2711" s="9">
        <v>931</v>
      </c>
      <c r="H2711" s="9">
        <v>1990</v>
      </c>
      <c r="I2711" s="8">
        <v>2054.1959999999999</v>
      </c>
      <c r="J2711" s="8">
        <v>1961.6849999999999</v>
      </c>
      <c r="K2711" s="8">
        <v>1852.4280000000001</v>
      </c>
      <c r="L2711" s="8">
        <v>1697.6210000000001</v>
      </c>
      <c r="M2711" s="8">
        <v>1655.425</v>
      </c>
      <c r="N2711" s="8">
        <v>1530.5250000000001</v>
      </c>
      <c r="O2711" s="8">
        <v>1273.252</v>
      </c>
      <c r="P2711" s="8">
        <v>1081.8330000000001</v>
      </c>
      <c r="Q2711" s="8">
        <v>840.62699999999995</v>
      </c>
      <c r="R2711" s="8">
        <v>663.45799999999997</v>
      </c>
      <c r="S2711" s="8">
        <v>557.88699999999994</v>
      </c>
      <c r="T2711" s="8">
        <v>474.92</v>
      </c>
      <c r="U2711" s="8">
        <v>381.238</v>
      </c>
      <c r="V2711" s="8">
        <v>287.49200000000002</v>
      </c>
      <c r="W2711" s="8">
        <v>205.55799999999999</v>
      </c>
      <c r="X2711" s="8">
        <v>144.08199999999999</v>
      </c>
      <c r="Y2711" s="8">
        <v>77.826999999999998</v>
      </c>
      <c r="Z2711" s="8">
        <v>33.354999999999997</v>
      </c>
      <c r="AA2711" s="8">
        <v>11.090999999999999</v>
      </c>
      <c r="AB2711" s="8">
        <v>2.4500000000000002</v>
      </c>
      <c r="AC2711" s="8">
        <v>0.313</v>
      </c>
    </row>
    <row r="2712" spans="1:29" ht="11.65" hidden="1" x14ac:dyDescent="0.35">
      <c r="A2712" s="12">
        <v>2695</v>
      </c>
      <c r="B2712" s="10" t="s">
        <v>1015</v>
      </c>
      <c r="C2712" s="11" t="s">
        <v>1203</v>
      </c>
      <c r="D2712" s="9"/>
      <c r="E2712" s="9">
        <v>170</v>
      </c>
      <c r="F2712" s="10" t="s">
        <v>1066</v>
      </c>
      <c r="G2712" s="9">
        <v>931</v>
      </c>
      <c r="H2712" s="9">
        <v>1995</v>
      </c>
      <c r="I2712" s="8">
        <v>2172.9279999999999</v>
      </c>
      <c r="J2712" s="8">
        <v>2034.8309999999999</v>
      </c>
      <c r="K2712" s="8">
        <v>1954.7249999999999</v>
      </c>
      <c r="L2712" s="8">
        <v>1845.567</v>
      </c>
      <c r="M2712" s="8">
        <v>1689.5519999999999</v>
      </c>
      <c r="N2712" s="8">
        <v>1626.92</v>
      </c>
      <c r="O2712" s="8">
        <v>1501.759</v>
      </c>
      <c r="P2712" s="8">
        <v>1250.3019999999999</v>
      </c>
      <c r="Q2712" s="8">
        <v>1061.7470000000001</v>
      </c>
      <c r="R2712" s="8">
        <v>822.43700000000001</v>
      </c>
      <c r="S2712" s="8">
        <v>645.08399999999995</v>
      </c>
      <c r="T2712" s="8">
        <v>536.96299999999997</v>
      </c>
      <c r="U2712" s="8">
        <v>449.53500000000003</v>
      </c>
      <c r="V2712" s="8">
        <v>350.39</v>
      </c>
      <c r="W2712" s="8">
        <v>251.31800000000001</v>
      </c>
      <c r="X2712" s="8">
        <v>166.209</v>
      </c>
      <c r="Y2712" s="8">
        <v>102.217</v>
      </c>
      <c r="Z2712" s="8">
        <v>44.259</v>
      </c>
      <c r="AA2712" s="8">
        <v>14.782</v>
      </c>
      <c r="AB2712" s="8">
        <v>3.4369999999999998</v>
      </c>
      <c r="AC2712" s="8">
        <v>0.42499999999999999</v>
      </c>
    </row>
    <row r="2713" spans="1:29" ht="11.65" hidden="1" x14ac:dyDescent="0.35">
      <c r="A2713" s="12">
        <v>2696</v>
      </c>
      <c r="B2713" s="10" t="s">
        <v>1015</v>
      </c>
      <c r="C2713" s="11" t="s">
        <v>1203</v>
      </c>
      <c r="D2713" s="9"/>
      <c r="E2713" s="9">
        <v>170</v>
      </c>
      <c r="F2713" s="10" t="s">
        <v>1066</v>
      </c>
      <c r="G2713" s="9">
        <v>931</v>
      </c>
      <c r="H2713" s="9">
        <v>2000</v>
      </c>
      <c r="I2713" s="8">
        <v>2130.643</v>
      </c>
      <c r="J2713" s="8">
        <v>2161.3919999999998</v>
      </c>
      <c r="K2713" s="8">
        <v>2027.396</v>
      </c>
      <c r="L2713" s="8">
        <v>1942.12</v>
      </c>
      <c r="M2713" s="8">
        <v>1828.175</v>
      </c>
      <c r="N2713" s="8">
        <v>1670.393</v>
      </c>
      <c r="O2713" s="8">
        <v>1606.33</v>
      </c>
      <c r="P2713" s="8">
        <v>1480.921</v>
      </c>
      <c r="Q2713" s="8">
        <v>1230.6759999999999</v>
      </c>
      <c r="R2713" s="8">
        <v>1043.002</v>
      </c>
      <c r="S2713" s="8">
        <v>803.21</v>
      </c>
      <c r="T2713" s="8">
        <v>623.51599999999996</v>
      </c>
      <c r="U2713" s="8">
        <v>511.33199999999999</v>
      </c>
      <c r="V2713" s="8">
        <v>416.911</v>
      </c>
      <c r="W2713" s="8">
        <v>310.76</v>
      </c>
      <c r="X2713" s="8">
        <v>208.042</v>
      </c>
      <c r="Y2713" s="8">
        <v>121.655</v>
      </c>
      <c r="Z2713" s="8">
        <v>60.231000000000002</v>
      </c>
      <c r="AA2713" s="8">
        <v>20.547000000000001</v>
      </c>
      <c r="AB2713" s="8">
        <v>4.7990000000000004</v>
      </c>
      <c r="AC2713" s="8">
        <v>0.60699999999999998</v>
      </c>
    </row>
    <row r="2714" spans="1:29" ht="11.65" hidden="1" x14ac:dyDescent="0.35">
      <c r="A2714" s="12">
        <v>2697</v>
      </c>
      <c r="B2714" s="10" t="s">
        <v>1015</v>
      </c>
      <c r="C2714" s="11" t="s">
        <v>1203</v>
      </c>
      <c r="D2714" s="9"/>
      <c r="E2714" s="9">
        <v>170</v>
      </c>
      <c r="F2714" s="10" t="s">
        <v>1066</v>
      </c>
      <c r="G2714" s="9">
        <v>931</v>
      </c>
      <c r="H2714" s="9">
        <v>2005</v>
      </c>
      <c r="I2714" s="8">
        <v>2057.277</v>
      </c>
      <c r="J2714" s="8">
        <v>2119.9949999999999</v>
      </c>
      <c r="K2714" s="8">
        <v>2150.3009999999999</v>
      </c>
      <c r="L2714" s="8">
        <v>2012.125</v>
      </c>
      <c r="M2714" s="8">
        <v>1915.6559999999999</v>
      </c>
      <c r="N2714" s="8">
        <v>1799.8869999999999</v>
      </c>
      <c r="O2714" s="8">
        <v>1643.758</v>
      </c>
      <c r="P2714" s="8">
        <v>1586.56</v>
      </c>
      <c r="Q2714" s="8">
        <v>1462.4939999999999</v>
      </c>
      <c r="R2714" s="8">
        <v>1213.819</v>
      </c>
      <c r="S2714" s="8">
        <v>1024.1320000000001</v>
      </c>
      <c r="T2714" s="8">
        <v>780.61099999999999</v>
      </c>
      <c r="U2714" s="8">
        <v>597.46699999999998</v>
      </c>
      <c r="V2714" s="8">
        <v>478.15300000000002</v>
      </c>
      <c r="W2714" s="8">
        <v>374.43700000000001</v>
      </c>
      <c r="X2714" s="8">
        <v>262.37200000000001</v>
      </c>
      <c r="Y2714" s="8">
        <v>156.506</v>
      </c>
      <c r="Z2714" s="8">
        <v>74.072999999999993</v>
      </c>
      <c r="AA2714" s="8">
        <v>29.181999999999999</v>
      </c>
      <c r="AB2714" s="8">
        <v>6.9660000000000002</v>
      </c>
      <c r="AC2714" s="8">
        <v>0.86799999999999999</v>
      </c>
    </row>
    <row r="2715" spans="1:29" ht="11.65" hidden="1" x14ac:dyDescent="0.35">
      <c r="A2715" s="12">
        <v>2698</v>
      </c>
      <c r="B2715" s="10" t="s">
        <v>1015</v>
      </c>
      <c r="C2715" s="11" t="s">
        <v>1203</v>
      </c>
      <c r="D2715" s="9"/>
      <c r="E2715" s="9">
        <v>170</v>
      </c>
      <c r="F2715" s="10" t="s">
        <v>1066</v>
      </c>
      <c r="G2715" s="9">
        <v>931</v>
      </c>
      <c r="H2715" s="9">
        <v>2010</v>
      </c>
      <c r="I2715" s="8">
        <v>1874.191</v>
      </c>
      <c r="J2715" s="8">
        <v>2048.9560000000001</v>
      </c>
      <c r="K2715" s="8">
        <v>2109.7649999999999</v>
      </c>
      <c r="L2715" s="8">
        <v>2134.5680000000002</v>
      </c>
      <c r="M2715" s="8">
        <v>1990.7550000000001</v>
      </c>
      <c r="N2715" s="8">
        <v>1891.5509999999999</v>
      </c>
      <c r="O2715" s="8">
        <v>1777.63</v>
      </c>
      <c r="P2715" s="8">
        <v>1623.6189999999999</v>
      </c>
      <c r="Q2715" s="8">
        <v>1567.155</v>
      </c>
      <c r="R2715" s="8">
        <v>1442.674</v>
      </c>
      <c r="S2715" s="8">
        <v>1192.98</v>
      </c>
      <c r="T2715" s="8">
        <v>998.15800000000002</v>
      </c>
      <c r="U2715" s="8">
        <v>750.2</v>
      </c>
      <c r="V2715" s="8">
        <v>560.81100000000004</v>
      </c>
      <c r="W2715" s="8">
        <v>432.27800000000002</v>
      </c>
      <c r="X2715" s="8">
        <v>319.33</v>
      </c>
      <c r="Y2715" s="8">
        <v>201.239</v>
      </c>
      <c r="Z2715" s="8">
        <v>98.271000000000001</v>
      </c>
      <c r="AA2715" s="8">
        <v>37.332000000000001</v>
      </c>
      <c r="AB2715" s="8">
        <v>10.298999999999999</v>
      </c>
      <c r="AC2715" s="8">
        <v>1.2789999999999999</v>
      </c>
    </row>
    <row r="2716" spans="1:29" ht="11.65" hidden="1" x14ac:dyDescent="0.35">
      <c r="A2716" s="12">
        <v>2699</v>
      </c>
      <c r="B2716" s="10" t="s">
        <v>1015</v>
      </c>
      <c r="C2716" s="11" t="s">
        <v>1203</v>
      </c>
      <c r="D2716" s="9"/>
      <c r="E2716" s="9">
        <v>170</v>
      </c>
      <c r="F2716" s="10" t="s">
        <v>1066</v>
      </c>
      <c r="G2716" s="9">
        <v>931</v>
      </c>
      <c r="H2716" s="9">
        <v>2015</v>
      </c>
      <c r="I2716" s="8">
        <v>1793.9169999999999</v>
      </c>
      <c r="J2716" s="8">
        <v>1866.777</v>
      </c>
      <c r="K2716" s="8">
        <v>2038.72</v>
      </c>
      <c r="L2716" s="8">
        <v>2094.8470000000002</v>
      </c>
      <c r="M2716" s="8">
        <v>2113.5369999999998</v>
      </c>
      <c r="N2716" s="8">
        <v>1967.1020000000001</v>
      </c>
      <c r="O2716" s="8">
        <v>1868.7059999999999</v>
      </c>
      <c r="P2716" s="8">
        <v>1756.798</v>
      </c>
      <c r="Q2716" s="8">
        <v>1604.3240000000001</v>
      </c>
      <c r="R2716" s="8">
        <v>1547.0139999999999</v>
      </c>
      <c r="S2716" s="8">
        <v>1418.6469999999999</v>
      </c>
      <c r="T2716" s="8">
        <v>1163.6869999999999</v>
      </c>
      <c r="U2716" s="8">
        <v>961.08299999999997</v>
      </c>
      <c r="V2716" s="8">
        <v>706.74300000000005</v>
      </c>
      <c r="W2716" s="8">
        <v>510.25400000000002</v>
      </c>
      <c r="X2716" s="8">
        <v>372.54199999999997</v>
      </c>
      <c r="Y2716" s="8">
        <v>249.88300000000001</v>
      </c>
      <c r="Z2716" s="8">
        <v>130.334</v>
      </c>
      <c r="AA2716" s="8">
        <v>51.359000000000002</v>
      </c>
      <c r="AB2716" s="8">
        <v>13.678000000000001</v>
      </c>
      <c r="AC2716" s="8">
        <v>1.9339999999999999</v>
      </c>
    </row>
    <row r="2717" spans="1:29" ht="11.65" hidden="1" x14ac:dyDescent="0.35">
      <c r="A2717" s="12">
        <v>2700</v>
      </c>
      <c r="B2717" s="10" t="s">
        <v>1015</v>
      </c>
      <c r="C2717" s="11" t="s">
        <v>1203</v>
      </c>
      <c r="D2717" s="9"/>
      <c r="E2717" s="9">
        <v>170</v>
      </c>
      <c r="F2717" s="10" t="s">
        <v>1066</v>
      </c>
      <c r="G2717" s="9">
        <v>931</v>
      </c>
      <c r="H2717" s="9">
        <v>2020</v>
      </c>
      <c r="I2717" s="8">
        <v>1811.777</v>
      </c>
      <c r="J2717" s="8">
        <v>1809.7719999999999</v>
      </c>
      <c r="K2717" s="8">
        <v>1894.6969999999999</v>
      </c>
      <c r="L2717" s="8">
        <v>2079.569</v>
      </c>
      <c r="M2717" s="8">
        <v>2174.8980000000001</v>
      </c>
      <c r="N2717" s="8">
        <v>2190.587</v>
      </c>
      <c r="O2717" s="8">
        <v>2024.6959999999999</v>
      </c>
      <c r="P2717" s="8">
        <v>1903.2439999999999</v>
      </c>
      <c r="Q2717" s="8">
        <v>1773.2829999999999</v>
      </c>
      <c r="R2717" s="8">
        <v>1607.4870000000001</v>
      </c>
      <c r="S2717" s="8">
        <v>1537.39</v>
      </c>
      <c r="T2717" s="8">
        <v>1395.7170000000001</v>
      </c>
      <c r="U2717" s="8">
        <v>1129.431</v>
      </c>
      <c r="V2717" s="8">
        <v>913.13699999999994</v>
      </c>
      <c r="W2717" s="8">
        <v>649.78</v>
      </c>
      <c r="X2717" s="8">
        <v>445.76900000000001</v>
      </c>
      <c r="Y2717" s="8">
        <v>298</v>
      </c>
      <c r="Z2717" s="8">
        <v>166.494</v>
      </c>
      <c r="AA2717" s="8">
        <v>70.447000000000003</v>
      </c>
      <c r="AB2717" s="8">
        <v>19.489000000000001</v>
      </c>
      <c r="AC2717" s="8">
        <v>2.6560000000000001</v>
      </c>
    </row>
    <row r="2718" spans="1:29" ht="11.65" hidden="1" x14ac:dyDescent="0.35">
      <c r="A2718" s="12">
        <v>2701</v>
      </c>
      <c r="B2718" s="10" t="s">
        <v>1015</v>
      </c>
      <c r="C2718" s="11" t="s">
        <v>1204</v>
      </c>
      <c r="D2718" s="9"/>
      <c r="E2718" s="9">
        <v>218</v>
      </c>
      <c r="F2718" s="10" t="s">
        <v>1066</v>
      </c>
      <c r="G2718" s="9">
        <v>931</v>
      </c>
      <c r="H2718" s="9">
        <v>1950</v>
      </c>
      <c r="I2718" s="8">
        <v>268.00400000000002</v>
      </c>
      <c r="J2718" s="8">
        <v>225.411</v>
      </c>
      <c r="K2718" s="8">
        <v>188.48</v>
      </c>
      <c r="L2718" s="8">
        <v>163.72499999999999</v>
      </c>
      <c r="M2718" s="8">
        <v>141.30099999999999</v>
      </c>
      <c r="N2718" s="8">
        <v>120.151</v>
      </c>
      <c r="O2718" s="8">
        <v>104.836</v>
      </c>
      <c r="P2718" s="8">
        <v>97.911000000000001</v>
      </c>
      <c r="Q2718" s="8">
        <v>83.201999999999998</v>
      </c>
      <c r="R2718" s="8">
        <v>74.153000000000006</v>
      </c>
      <c r="S2718" s="8">
        <v>65.119</v>
      </c>
      <c r="T2718" s="8">
        <v>58.689</v>
      </c>
      <c r="U2718" s="8">
        <v>51.575000000000003</v>
      </c>
      <c r="V2718" s="8">
        <v>42.484999999999999</v>
      </c>
      <c r="W2718" s="8">
        <v>30.628</v>
      </c>
      <c r="X2718" s="8">
        <v>17.983000000000001</v>
      </c>
      <c r="Y2718" s="8">
        <v>4.2140000000000004</v>
      </c>
      <c r="Z2718" s="8">
        <v>3.472</v>
      </c>
      <c r="AA2718" s="8">
        <v>2.4649999999999999</v>
      </c>
      <c r="AB2718" s="8">
        <v>1.4390000000000001</v>
      </c>
      <c r="AC2718" s="8">
        <v>0.28799999999999998</v>
      </c>
    </row>
    <row r="2719" spans="1:29" ht="11.65" hidden="1" x14ac:dyDescent="0.35">
      <c r="A2719" s="12">
        <v>2702</v>
      </c>
      <c r="B2719" s="10" t="s">
        <v>1015</v>
      </c>
      <c r="C2719" s="11" t="s">
        <v>1204</v>
      </c>
      <c r="D2719" s="9"/>
      <c r="E2719" s="9">
        <v>218</v>
      </c>
      <c r="F2719" s="10" t="s">
        <v>1066</v>
      </c>
      <c r="G2719" s="9">
        <v>931</v>
      </c>
      <c r="H2719" s="9">
        <v>1955</v>
      </c>
      <c r="I2719" s="8">
        <v>348.87799999999999</v>
      </c>
      <c r="J2719" s="8">
        <v>251.16399999999999</v>
      </c>
      <c r="K2719" s="8">
        <v>220.23599999999999</v>
      </c>
      <c r="L2719" s="8">
        <v>185.18199999999999</v>
      </c>
      <c r="M2719" s="8">
        <v>160.34</v>
      </c>
      <c r="N2719" s="8">
        <v>137.54599999999999</v>
      </c>
      <c r="O2719" s="8">
        <v>116.21</v>
      </c>
      <c r="P2719" s="8">
        <v>100.804</v>
      </c>
      <c r="Q2719" s="8">
        <v>93.623000000000005</v>
      </c>
      <c r="R2719" s="8">
        <v>79.004999999999995</v>
      </c>
      <c r="S2719" s="8">
        <v>69.679000000000002</v>
      </c>
      <c r="T2719" s="8">
        <v>60.122</v>
      </c>
      <c r="U2719" s="8">
        <v>52.563000000000002</v>
      </c>
      <c r="V2719" s="8">
        <v>43.802</v>
      </c>
      <c r="W2719" s="8">
        <v>32.899000000000001</v>
      </c>
      <c r="X2719" s="8">
        <v>20.262</v>
      </c>
      <c r="Y2719" s="8">
        <v>9.16</v>
      </c>
      <c r="Z2719" s="8">
        <v>1.427</v>
      </c>
      <c r="AA2719" s="8">
        <v>0.66200000000000003</v>
      </c>
      <c r="AB2719" s="8">
        <v>0.218</v>
      </c>
      <c r="AC2719" s="8">
        <v>2.9000000000000001E-2</v>
      </c>
    </row>
    <row r="2720" spans="1:29" ht="11.65" hidden="1" x14ac:dyDescent="0.35">
      <c r="A2720" s="12">
        <v>2703</v>
      </c>
      <c r="B2720" s="10" t="s">
        <v>1015</v>
      </c>
      <c r="C2720" s="11" t="s">
        <v>1204</v>
      </c>
      <c r="D2720" s="9"/>
      <c r="E2720" s="9">
        <v>218</v>
      </c>
      <c r="F2720" s="10" t="s">
        <v>1066</v>
      </c>
      <c r="G2720" s="9">
        <v>931</v>
      </c>
      <c r="H2720" s="9">
        <v>1960</v>
      </c>
      <c r="I2720" s="8">
        <v>397.94600000000003</v>
      </c>
      <c r="J2720" s="8">
        <v>329.59199999999998</v>
      </c>
      <c r="K2720" s="8">
        <v>246.61699999999999</v>
      </c>
      <c r="L2720" s="8">
        <v>217.11099999999999</v>
      </c>
      <c r="M2720" s="8">
        <v>181.703</v>
      </c>
      <c r="N2720" s="8">
        <v>156.22800000000001</v>
      </c>
      <c r="O2720" s="8">
        <v>133.083</v>
      </c>
      <c r="P2720" s="8">
        <v>111.82599999999999</v>
      </c>
      <c r="Q2720" s="8">
        <v>96.629000000000005</v>
      </c>
      <c r="R2720" s="8">
        <v>89.353999999999999</v>
      </c>
      <c r="S2720" s="8">
        <v>74.766000000000005</v>
      </c>
      <c r="T2720" s="8">
        <v>64.924000000000007</v>
      </c>
      <c r="U2720" s="8">
        <v>54.514000000000003</v>
      </c>
      <c r="V2720" s="8">
        <v>45.436</v>
      </c>
      <c r="W2720" s="8">
        <v>34.85</v>
      </c>
      <c r="X2720" s="8">
        <v>22.728999999999999</v>
      </c>
      <c r="Y2720" s="8">
        <v>11.074999999999999</v>
      </c>
      <c r="Z2720" s="8">
        <v>3.4460000000000002</v>
      </c>
      <c r="AA2720" s="8">
        <v>0.311</v>
      </c>
      <c r="AB2720" s="8">
        <v>6.8000000000000005E-2</v>
      </c>
      <c r="AC2720" s="8">
        <v>5.0000000000000001E-3</v>
      </c>
    </row>
    <row r="2721" spans="1:29" ht="11.65" hidden="1" x14ac:dyDescent="0.35">
      <c r="A2721" s="12">
        <v>2704</v>
      </c>
      <c r="B2721" s="10" t="s">
        <v>1015</v>
      </c>
      <c r="C2721" s="11" t="s">
        <v>1204</v>
      </c>
      <c r="D2721" s="9"/>
      <c r="E2721" s="9">
        <v>218</v>
      </c>
      <c r="F2721" s="10" t="s">
        <v>1066</v>
      </c>
      <c r="G2721" s="9">
        <v>931</v>
      </c>
      <c r="H2721" s="9">
        <v>1965</v>
      </c>
      <c r="I2721" s="8">
        <v>454.178</v>
      </c>
      <c r="J2721" s="8">
        <v>378.88099999999997</v>
      </c>
      <c r="K2721" s="8">
        <v>324.84800000000001</v>
      </c>
      <c r="L2721" s="8">
        <v>243.78399999999999</v>
      </c>
      <c r="M2721" s="8">
        <v>213.65600000000001</v>
      </c>
      <c r="N2721" s="8">
        <v>177.66200000000001</v>
      </c>
      <c r="O2721" s="8">
        <v>151.80000000000001</v>
      </c>
      <c r="P2721" s="8">
        <v>128.69399999999999</v>
      </c>
      <c r="Q2721" s="8">
        <v>107.759</v>
      </c>
      <c r="R2721" s="8">
        <v>92.733999999999995</v>
      </c>
      <c r="S2721" s="8">
        <v>85.102999999999994</v>
      </c>
      <c r="T2721" s="8">
        <v>70.174999999999997</v>
      </c>
      <c r="U2721" s="8">
        <v>59.405000000000001</v>
      </c>
      <c r="V2721" s="8">
        <v>47.710999999999999</v>
      </c>
      <c r="W2721" s="8">
        <v>36.832000000000001</v>
      </c>
      <c r="X2721" s="8">
        <v>24.802</v>
      </c>
      <c r="Y2721" s="8">
        <v>13.041</v>
      </c>
      <c r="Z2721" s="8">
        <v>4.4939999999999998</v>
      </c>
      <c r="AA2721" s="8">
        <v>0.83199999999999996</v>
      </c>
      <c r="AB2721" s="8">
        <v>3.5999999999999997E-2</v>
      </c>
      <c r="AC2721" s="8">
        <v>2E-3</v>
      </c>
    </row>
    <row r="2722" spans="1:29" ht="11.65" hidden="1" x14ac:dyDescent="0.35">
      <c r="A2722" s="12">
        <v>2705</v>
      </c>
      <c r="B2722" s="10" t="s">
        <v>1015</v>
      </c>
      <c r="C2722" s="11" t="s">
        <v>1204</v>
      </c>
      <c r="D2722" s="9"/>
      <c r="E2722" s="9">
        <v>218</v>
      </c>
      <c r="F2722" s="10" t="s">
        <v>1066</v>
      </c>
      <c r="G2722" s="9">
        <v>931</v>
      </c>
      <c r="H2722" s="9">
        <v>1970</v>
      </c>
      <c r="I2722" s="8">
        <v>516.34900000000005</v>
      </c>
      <c r="J2722" s="8">
        <v>435.68299999999999</v>
      </c>
      <c r="K2722" s="8">
        <v>374.363</v>
      </c>
      <c r="L2722" s="8">
        <v>321.78300000000002</v>
      </c>
      <c r="M2722" s="8">
        <v>240.643</v>
      </c>
      <c r="N2722" s="8">
        <v>209.875</v>
      </c>
      <c r="O2722" s="8">
        <v>173.643</v>
      </c>
      <c r="P2722" s="8">
        <v>147.749</v>
      </c>
      <c r="Q2722" s="8">
        <v>124.795</v>
      </c>
      <c r="R2722" s="8">
        <v>103.99</v>
      </c>
      <c r="S2722" s="8">
        <v>88.765000000000001</v>
      </c>
      <c r="T2722" s="8">
        <v>80.293999999999997</v>
      </c>
      <c r="U2722" s="8">
        <v>64.58</v>
      </c>
      <c r="V2722" s="8">
        <v>52.372999999999998</v>
      </c>
      <c r="W2722" s="8">
        <v>39.087000000000003</v>
      </c>
      <c r="X2722" s="8">
        <v>26.667000000000002</v>
      </c>
      <c r="Y2722" s="8">
        <v>14.654</v>
      </c>
      <c r="Z2722" s="8">
        <v>5.5640000000000001</v>
      </c>
      <c r="AA2722" s="8">
        <v>1.1759999999999999</v>
      </c>
      <c r="AB2722" s="8">
        <v>0.11</v>
      </c>
      <c r="AC2722" s="8">
        <v>2E-3</v>
      </c>
    </row>
    <row r="2723" spans="1:29" ht="11.65" hidden="1" x14ac:dyDescent="0.35">
      <c r="A2723" s="12">
        <v>2706</v>
      </c>
      <c r="B2723" s="10" t="s">
        <v>1015</v>
      </c>
      <c r="C2723" s="11" t="s">
        <v>1204</v>
      </c>
      <c r="D2723" s="9"/>
      <c r="E2723" s="9">
        <v>218</v>
      </c>
      <c r="F2723" s="10" t="s">
        <v>1066</v>
      </c>
      <c r="G2723" s="9">
        <v>931</v>
      </c>
      <c r="H2723" s="9">
        <v>1975</v>
      </c>
      <c r="I2723" s="8">
        <v>568.11699999999996</v>
      </c>
      <c r="J2723" s="8">
        <v>499.79</v>
      </c>
      <c r="K2723" s="8">
        <v>431.4</v>
      </c>
      <c r="L2723" s="8">
        <v>371.411</v>
      </c>
      <c r="M2723" s="8">
        <v>318.31099999999998</v>
      </c>
      <c r="N2723" s="8">
        <v>237.024</v>
      </c>
      <c r="O2723" s="8">
        <v>205.85900000000001</v>
      </c>
      <c r="P2723" s="8">
        <v>169.69</v>
      </c>
      <c r="Q2723" s="8">
        <v>143.89699999999999</v>
      </c>
      <c r="R2723" s="8">
        <v>120.985</v>
      </c>
      <c r="S2723" s="8">
        <v>100.015</v>
      </c>
      <c r="T2723" s="8">
        <v>84.186999999999998</v>
      </c>
      <c r="U2723" s="8">
        <v>74.352000000000004</v>
      </c>
      <c r="V2723" s="8">
        <v>57.401000000000003</v>
      </c>
      <c r="W2723" s="8">
        <v>43.432000000000002</v>
      </c>
      <c r="X2723" s="8">
        <v>28.867000000000001</v>
      </c>
      <c r="Y2723" s="8">
        <v>16.295999999999999</v>
      </c>
      <c r="Z2723" s="8">
        <v>6.6210000000000004</v>
      </c>
      <c r="AA2723" s="8">
        <v>1.595</v>
      </c>
      <c r="AB2723" s="8">
        <v>0.17699999999999999</v>
      </c>
      <c r="AC2723" s="8">
        <v>8.0000000000000002E-3</v>
      </c>
    </row>
    <row r="2724" spans="1:29" ht="11.65" hidden="1" x14ac:dyDescent="0.35">
      <c r="A2724" s="12">
        <v>2707</v>
      </c>
      <c r="B2724" s="10" t="s">
        <v>1015</v>
      </c>
      <c r="C2724" s="11" t="s">
        <v>1204</v>
      </c>
      <c r="D2724" s="9"/>
      <c r="E2724" s="9">
        <v>218</v>
      </c>
      <c r="F2724" s="10" t="s">
        <v>1066</v>
      </c>
      <c r="G2724" s="9">
        <v>931</v>
      </c>
      <c r="H2724" s="9">
        <v>1980</v>
      </c>
      <c r="I2724" s="8">
        <v>604.86</v>
      </c>
      <c r="J2724" s="8">
        <v>553.70399999999995</v>
      </c>
      <c r="K2724" s="8">
        <v>495.73599999999999</v>
      </c>
      <c r="L2724" s="8">
        <v>428.48200000000003</v>
      </c>
      <c r="M2724" s="8">
        <v>367.89600000000002</v>
      </c>
      <c r="N2724" s="8">
        <v>314.16399999999999</v>
      </c>
      <c r="O2724" s="8">
        <v>232.99700000000001</v>
      </c>
      <c r="P2724" s="8">
        <v>201.76300000000001</v>
      </c>
      <c r="Q2724" s="8">
        <v>165.84200000000001</v>
      </c>
      <c r="R2724" s="8">
        <v>140.083</v>
      </c>
      <c r="S2724" s="8">
        <v>116.92</v>
      </c>
      <c r="T2724" s="8">
        <v>95.385999999999996</v>
      </c>
      <c r="U2724" s="8">
        <v>78.489999999999995</v>
      </c>
      <c r="V2724" s="8">
        <v>66.700999999999993</v>
      </c>
      <c r="W2724" s="8">
        <v>48.262</v>
      </c>
      <c r="X2724" s="8">
        <v>32.802999999999997</v>
      </c>
      <c r="Y2724" s="8">
        <v>18.315999999999999</v>
      </c>
      <c r="Z2724" s="8">
        <v>7.843</v>
      </c>
      <c r="AA2724" s="8">
        <v>2.0950000000000002</v>
      </c>
      <c r="AB2724" s="8">
        <v>0.27600000000000002</v>
      </c>
      <c r="AC2724" s="8">
        <v>1.4999999999999999E-2</v>
      </c>
    </row>
    <row r="2725" spans="1:29" ht="11.65" hidden="1" x14ac:dyDescent="0.35">
      <c r="A2725" s="12">
        <v>2708</v>
      </c>
      <c r="B2725" s="10" t="s">
        <v>1015</v>
      </c>
      <c r="C2725" s="11" t="s">
        <v>1204</v>
      </c>
      <c r="D2725" s="9"/>
      <c r="E2725" s="9">
        <v>218</v>
      </c>
      <c r="F2725" s="10" t="s">
        <v>1066</v>
      </c>
      <c r="G2725" s="9">
        <v>931</v>
      </c>
      <c r="H2725" s="9">
        <v>1985</v>
      </c>
      <c r="I2725" s="8">
        <v>647.46500000000003</v>
      </c>
      <c r="J2725" s="8">
        <v>593.31299999999999</v>
      </c>
      <c r="K2725" s="8">
        <v>550.16499999999996</v>
      </c>
      <c r="L2725" s="8">
        <v>492.90699999999998</v>
      </c>
      <c r="M2725" s="8">
        <v>424.84899999999999</v>
      </c>
      <c r="N2725" s="8">
        <v>363.56599999999997</v>
      </c>
      <c r="O2725" s="8">
        <v>309.44200000000001</v>
      </c>
      <c r="P2725" s="8">
        <v>228.73599999999999</v>
      </c>
      <c r="Q2725" s="8">
        <v>197.65700000000001</v>
      </c>
      <c r="R2725" s="8">
        <v>161.92500000000001</v>
      </c>
      <c r="S2725" s="8">
        <v>135.899</v>
      </c>
      <c r="T2725" s="8">
        <v>112.04</v>
      </c>
      <c r="U2725" s="8">
        <v>89.491</v>
      </c>
      <c r="V2725" s="8">
        <v>71.09</v>
      </c>
      <c r="W2725" s="8">
        <v>56.927999999999997</v>
      </c>
      <c r="X2725" s="8">
        <v>37.396000000000001</v>
      </c>
      <c r="Y2725" s="8">
        <v>21.731000000000002</v>
      </c>
      <c r="Z2725" s="8">
        <v>9.25</v>
      </c>
      <c r="AA2725" s="8">
        <v>2.6379999999999999</v>
      </c>
      <c r="AB2725" s="8">
        <v>0.41599999999999998</v>
      </c>
      <c r="AC2725" s="8">
        <v>0.03</v>
      </c>
    </row>
    <row r="2726" spans="1:29" ht="11.65" hidden="1" x14ac:dyDescent="0.35">
      <c r="A2726" s="12">
        <v>2709</v>
      </c>
      <c r="B2726" s="10" t="s">
        <v>1015</v>
      </c>
      <c r="C2726" s="11" t="s">
        <v>1204</v>
      </c>
      <c r="D2726" s="9"/>
      <c r="E2726" s="9">
        <v>218</v>
      </c>
      <c r="F2726" s="10" t="s">
        <v>1066</v>
      </c>
      <c r="G2726" s="9">
        <v>931</v>
      </c>
      <c r="H2726" s="9">
        <v>1990</v>
      </c>
      <c r="I2726" s="8">
        <v>693.53200000000004</v>
      </c>
      <c r="J2726" s="8">
        <v>638.93499999999995</v>
      </c>
      <c r="K2726" s="8">
        <v>590.56100000000004</v>
      </c>
      <c r="L2726" s="8">
        <v>547.60799999999995</v>
      </c>
      <c r="M2726" s="8">
        <v>489.28800000000001</v>
      </c>
      <c r="N2726" s="8">
        <v>420.589</v>
      </c>
      <c r="O2726" s="8">
        <v>358.90899999999999</v>
      </c>
      <c r="P2726" s="8">
        <v>304.738</v>
      </c>
      <c r="Q2726" s="8">
        <v>224.62799999999999</v>
      </c>
      <c r="R2726" s="8">
        <v>193.54</v>
      </c>
      <c r="S2726" s="8">
        <v>157.62700000000001</v>
      </c>
      <c r="T2726" s="8">
        <v>130.79599999999999</v>
      </c>
      <c r="U2726" s="8">
        <v>105.758</v>
      </c>
      <c r="V2726" s="8">
        <v>81.894000000000005</v>
      </c>
      <c r="W2726" s="8">
        <v>61.665999999999997</v>
      </c>
      <c r="X2726" s="8">
        <v>45.402999999999999</v>
      </c>
      <c r="Y2726" s="8">
        <v>25.951000000000001</v>
      </c>
      <c r="Z2726" s="8">
        <v>11.675000000000001</v>
      </c>
      <c r="AA2726" s="8">
        <v>3.423</v>
      </c>
      <c r="AB2726" s="8">
        <v>0.64300000000000002</v>
      </c>
      <c r="AC2726" s="8">
        <v>6.2E-2</v>
      </c>
    </row>
    <row r="2727" spans="1:29" ht="11.65" hidden="1" x14ac:dyDescent="0.35">
      <c r="A2727" s="12">
        <v>2710</v>
      </c>
      <c r="B2727" s="10" t="s">
        <v>1015</v>
      </c>
      <c r="C2727" s="11" t="s">
        <v>1204</v>
      </c>
      <c r="D2727" s="9"/>
      <c r="E2727" s="9">
        <v>218</v>
      </c>
      <c r="F2727" s="10" t="s">
        <v>1066</v>
      </c>
      <c r="G2727" s="9">
        <v>931</v>
      </c>
      <c r="H2727" s="9">
        <v>1995</v>
      </c>
      <c r="I2727" s="8">
        <v>729.12400000000002</v>
      </c>
      <c r="J2727" s="8">
        <v>687.12099999999998</v>
      </c>
      <c r="K2727" s="8">
        <v>636.649</v>
      </c>
      <c r="L2727" s="8">
        <v>588.17600000000004</v>
      </c>
      <c r="M2727" s="8">
        <v>543.94000000000005</v>
      </c>
      <c r="N2727" s="8">
        <v>484.91699999999997</v>
      </c>
      <c r="O2727" s="8">
        <v>415.80399999999997</v>
      </c>
      <c r="P2727" s="8">
        <v>354.04599999999999</v>
      </c>
      <c r="Q2727" s="8">
        <v>299.98200000000003</v>
      </c>
      <c r="R2727" s="8">
        <v>220.37700000000001</v>
      </c>
      <c r="S2727" s="8">
        <v>188.86500000000001</v>
      </c>
      <c r="T2727" s="8">
        <v>152.19399999999999</v>
      </c>
      <c r="U2727" s="8">
        <v>124.08799999999999</v>
      </c>
      <c r="V2727" s="8">
        <v>97.673000000000002</v>
      </c>
      <c r="W2727" s="8">
        <v>72.177999999999997</v>
      </c>
      <c r="X2727" s="8">
        <v>50.566000000000003</v>
      </c>
      <c r="Y2727" s="8">
        <v>33.034999999999997</v>
      </c>
      <c r="Z2727" s="8">
        <v>15.039</v>
      </c>
      <c r="AA2727" s="8">
        <v>4.9669999999999996</v>
      </c>
      <c r="AB2727" s="8">
        <v>1.044</v>
      </c>
      <c r="AC2727" s="8">
        <v>0.13100000000000001</v>
      </c>
    </row>
    <row r="2728" spans="1:29" ht="11.65" hidden="1" x14ac:dyDescent="0.35">
      <c r="A2728" s="12">
        <v>2711</v>
      </c>
      <c r="B2728" s="10" t="s">
        <v>1015</v>
      </c>
      <c r="C2728" s="11" t="s">
        <v>1204</v>
      </c>
      <c r="D2728" s="9"/>
      <c r="E2728" s="9">
        <v>218</v>
      </c>
      <c r="F2728" s="10" t="s">
        <v>1066</v>
      </c>
      <c r="G2728" s="9">
        <v>931</v>
      </c>
      <c r="H2728" s="9">
        <v>2000</v>
      </c>
      <c r="I2728" s="8">
        <v>764.07500000000005</v>
      </c>
      <c r="J2728" s="8">
        <v>723.63</v>
      </c>
      <c r="K2728" s="8">
        <v>684.697</v>
      </c>
      <c r="L2728" s="8">
        <v>633.80799999999999</v>
      </c>
      <c r="M2728" s="8">
        <v>582.02800000000002</v>
      </c>
      <c r="N2728" s="8">
        <v>535.13699999999994</v>
      </c>
      <c r="O2728" s="8">
        <v>474.52199999999999</v>
      </c>
      <c r="P2728" s="8">
        <v>405.81</v>
      </c>
      <c r="Q2728" s="8">
        <v>345.69600000000003</v>
      </c>
      <c r="R2728" s="8">
        <v>293.06900000000002</v>
      </c>
      <c r="S2728" s="8">
        <v>214.51599999999999</v>
      </c>
      <c r="T2728" s="8">
        <v>182.25</v>
      </c>
      <c r="U2728" s="8">
        <v>144.68</v>
      </c>
      <c r="V2728" s="8">
        <v>115.31699999999999</v>
      </c>
      <c r="W2728" s="8">
        <v>87.296999999999997</v>
      </c>
      <c r="X2728" s="8">
        <v>60.706000000000003</v>
      </c>
      <c r="Y2728" s="8">
        <v>38.627000000000002</v>
      </c>
      <c r="Z2728" s="8">
        <v>20.677</v>
      </c>
      <c r="AA2728" s="8">
        <v>7.298</v>
      </c>
      <c r="AB2728" s="8">
        <v>1.85</v>
      </c>
      <c r="AC2728" s="8">
        <v>0.27400000000000002</v>
      </c>
    </row>
    <row r="2729" spans="1:29" ht="11.65" hidden="1" x14ac:dyDescent="0.35">
      <c r="A2729" s="12">
        <v>2712</v>
      </c>
      <c r="B2729" s="10" t="s">
        <v>1015</v>
      </c>
      <c r="C2729" s="11" t="s">
        <v>1204</v>
      </c>
      <c r="D2729" s="9"/>
      <c r="E2729" s="9">
        <v>218</v>
      </c>
      <c r="F2729" s="10" t="s">
        <v>1066</v>
      </c>
      <c r="G2729" s="9">
        <v>931</v>
      </c>
      <c r="H2729" s="9">
        <v>2005</v>
      </c>
      <c r="I2729" s="8">
        <v>761.83399999999995</v>
      </c>
      <c r="J2729" s="8">
        <v>759.63</v>
      </c>
      <c r="K2729" s="8">
        <v>721.11</v>
      </c>
      <c r="L2729" s="8">
        <v>681.45500000000004</v>
      </c>
      <c r="M2729" s="8">
        <v>625.029</v>
      </c>
      <c r="N2729" s="8">
        <v>568.58199999999999</v>
      </c>
      <c r="O2729" s="8">
        <v>518.85900000000004</v>
      </c>
      <c r="P2729" s="8">
        <v>459.06200000000001</v>
      </c>
      <c r="Q2729" s="8">
        <v>393.666</v>
      </c>
      <c r="R2729" s="8">
        <v>336.60500000000002</v>
      </c>
      <c r="S2729" s="8">
        <v>285.17700000000002</v>
      </c>
      <c r="T2729" s="8">
        <v>207.036</v>
      </c>
      <c r="U2729" s="8">
        <v>173.66200000000001</v>
      </c>
      <c r="V2729" s="8">
        <v>135.196</v>
      </c>
      <c r="W2729" s="8">
        <v>104.21299999999999</v>
      </c>
      <c r="X2729" s="8">
        <v>74.356999999999999</v>
      </c>
      <c r="Y2729" s="8">
        <v>46.976999999999997</v>
      </c>
      <c r="Z2729" s="8">
        <v>25.085000000000001</v>
      </c>
      <c r="AA2729" s="8">
        <v>11.005000000000001</v>
      </c>
      <c r="AB2729" s="8">
        <v>3.0630000000000002</v>
      </c>
      <c r="AC2729" s="8">
        <v>0.55800000000000005</v>
      </c>
    </row>
    <row r="2730" spans="1:29" ht="11.65" hidden="1" x14ac:dyDescent="0.35">
      <c r="A2730" s="12">
        <v>2713</v>
      </c>
      <c r="B2730" s="10" t="s">
        <v>1015</v>
      </c>
      <c r="C2730" s="11" t="s">
        <v>1204</v>
      </c>
      <c r="D2730" s="9"/>
      <c r="E2730" s="9">
        <v>218</v>
      </c>
      <c r="F2730" s="10" t="s">
        <v>1066</v>
      </c>
      <c r="G2730" s="9">
        <v>931</v>
      </c>
      <c r="H2730" s="9">
        <v>2010</v>
      </c>
      <c r="I2730" s="8">
        <v>762.64</v>
      </c>
      <c r="J2730" s="8">
        <v>758.77200000000005</v>
      </c>
      <c r="K2730" s="8">
        <v>757.59699999999998</v>
      </c>
      <c r="L2730" s="8">
        <v>718.57399999999996</v>
      </c>
      <c r="M2730" s="8">
        <v>676.28800000000001</v>
      </c>
      <c r="N2730" s="8">
        <v>618.02099999999996</v>
      </c>
      <c r="O2730" s="8">
        <v>560.48900000000003</v>
      </c>
      <c r="P2730" s="8">
        <v>510.78100000000001</v>
      </c>
      <c r="Q2730" s="8">
        <v>451.76</v>
      </c>
      <c r="R2730" s="8">
        <v>387.01100000000002</v>
      </c>
      <c r="S2730" s="8">
        <v>329.55599999999998</v>
      </c>
      <c r="T2730" s="8">
        <v>276.88400000000001</v>
      </c>
      <c r="U2730" s="8">
        <v>198.30699999999999</v>
      </c>
      <c r="V2730" s="8">
        <v>163.321</v>
      </c>
      <c r="W2730" s="8">
        <v>123.20399999999999</v>
      </c>
      <c r="X2730" s="8">
        <v>89.387</v>
      </c>
      <c r="Y2730" s="8">
        <v>57.857999999999997</v>
      </c>
      <c r="Z2730" s="8">
        <v>30.984999999999999</v>
      </c>
      <c r="AA2730" s="8">
        <v>13.673999999999999</v>
      </c>
      <c r="AB2730" s="8">
        <v>4.6989999999999998</v>
      </c>
      <c r="AC2730" s="8">
        <v>0.95299999999999996</v>
      </c>
    </row>
    <row r="2731" spans="1:29" ht="11.65" hidden="1" x14ac:dyDescent="0.35">
      <c r="A2731" s="12">
        <v>2714</v>
      </c>
      <c r="B2731" s="10" t="s">
        <v>1015</v>
      </c>
      <c r="C2731" s="11" t="s">
        <v>1204</v>
      </c>
      <c r="D2731" s="9"/>
      <c r="E2731" s="9">
        <v>218</v>
      </c>
      <c r="F2731" s="10" t="s">
        <v>1066</v>
      </c>
      <c r="G2731" s="9">
        <v>931</v>
      </c>
      <c r="H2731" s="9">
        <v>2015</v>
      </c>
      <c r="I2731" s="8">
        <v>787.149</v>
      </c>
      <c r="J2731" s="8">
        <v>760.34</v>
      </c>
      <c r="K2731" s="8">
        <v>756.875</v>
      </c>
      <c r="L2731" s="8">
        <v>755.149</v>
      </c>
      <c r="M2731" s="8">
        <v>713.77499999999998</v>
      </c>
      <c r="N2731" s="8">
        <v>669.827</v>
      </c>
      <c r="O2731" s="8">
        <v>610.65700000000004</v>
      </c>
      <c r="P2731" s="8">
        <v>553.08900000000006</v>
      </c>
      <c r="Q2731" s="8">
        <v>503.76400000000001</v>
      </c>
      <c r="R2731" s="8">
        <v>444.97399999999999</v>
      </c>
      <c r="S2731" s="8">
        <v>379.52300000000002</v>
      </c>
      <c r="T2731" s="8">
        <v>320.57</v>
      </c>
      <c r="U2731" s="8">
        <v>265.846</v>
      </c>
      <c r="V2731" s="8">
        <v>187.1</v>
      </c>
      <c r="W2731" s="8">
        <v>149.40299999999999</v>
      </c>
      <c r="X2731" s="8">
        <v>106.006</v>
      </c>
      <c r="Y2731" s="8">
        <v>69.962999999999994</v>
      </c>
      <c r="Z2731" s="8">
        <v>38.423000000000002</v>
      </c>
      <c r="AA2731" s="8">
        <v>17.058</v>
      </c>
      <c r="AB2731" s="8">
        <v>6.0019999999999998</v>
      </c>
      <c r="AC2731" s="8">
        <v>1.57</v>
      </c>
    </row>
    <row r="2732" spans="1:29" ht="11.65" hidden="1" x14ac:dyDescent="0.35">
      <c r="A2732" s="12">
        <v>2715</v>
      </c>
      <c r="B2732" s="10" t="s">
        <v>1015</v>
      </c>
      <c r="C2732" s="11" t="s">
        <v>1204</v>
      </c>
      <c r="D2732" s="9"/>
      <c r="E2732" s="9">
        <v>218</v>
      </c>
      <c r="F2732" s="10" t="s">
        <v>1066</v>
      </c>
      <c r="G2732" s="9">
        <v>931</v>
      </c>
      <c r="H2732" s="9">
        <v>2020</v>
      </c>
      <c r="I2732" s="8">
        <v>814.60699999999997</v>
      </c>
      <c r="J2732" s="8">
        <v>787.67200000000003</v>
      </c>
      <c r="K2732" s="8">
        <v>760.86699999999996</v>
      </c>
      <c r="L2732" s="8">
        <v>765.54200000000003</v>
      </c>
      <c r="M2732" s="8">
        <v>770.69299999999998</v>
      </c>
      <c r="N2732" s="8">
        <v>727.72400000000005</v>
      </c>
      <c r="O2732" s="8">
        <v>679.03399999999999</v>
      </c>
      <c r="P2732" s="8">
        <v>615.34100000000001</v>
      </c>
      <c r="Q2732" s="8">
        <v>554.09699999999998</v>
      </c>
      <c r="R2732" s="8">
        <v>501.77100000000002</v>
      </c>
      <c r="S2732" s="8">
        <v>440.12099999999998</v>
      </c>
      <c r="T2732" s="8">
        <v>372.03399999999999</v>
      </c>
      <c r="U2732" s="8">
        <v>310.214</v>
      </c>
      <c r="V2732" s="8">
        <v>253.078</v>
      </c>
      <c r="W2732" s="8">
        <v>173.17400000000001</v>
      </c>
      <c r="X2732" s="8">
        <v>130.49299999999999</v>
      </c>
      <c r="Y2732" s="8">
        <v>84.427000000000007</v>
      </c>
      <c r="Z2732" s="8">
        <v>47.23</v>
      </c>
      <c r="AA2732" s="8">
        <v>21.405999999999999</v>
      </c>
      <c r="AB2732" s="8">
        <v>7.5759999999999996</v>
      </c>
      <c r="AC2732" s="8">
        <v>2.1320000000000001</v>
      </c>
    </row>
    <row r="2733" spans="1:29" ht="11.65" hidden="1" x14ac:dyDescent="0.35">
      <c r="A2733" s="12">
        <v>2716</v>
      </c>
      <c r="B2733" s="10" t="s">
        <v>1015</v>
      </c>
      <c r="C2733" s="11" t="s">
        <v>1205</v>
      </c>
      <c r="D2733" s="9">
        <v>2</v>
      </c>
      <c r="E2733" s="9">
        <v>254</v>
      </c>
      <c r="F2733" s="10" t="s">
        <v>1066</v>
      </c>
      <c r="G2733" s="9">
        <v>931</v>
      </c>
      <c r="H2733" s="9">
        <v>1950</v>
      </c>
      <c r="I2733" s="8">
        <v>1.8009999999999999</v>
      </c>
      <c r="J2733" s="8">
        <v>1.159</v>
      </c>
      <c r="K2733" s="8">
        <v>1.046</v>
      </c>
      <c r="L2733" s="8">
        <v>1.0389999999999999</v>
      </c>
      <c r="M2733" s="8">
        <v>1.006</v>
      </c>
      <c r="N2733" s="8">
        <v>1.056</v>
      </c>
      <c r="O2733" s="8">
        <v>0.94699999999999995</v>
      </c>
      <c r="P2733" s="8">
        <v>0.84099999999999997</v>
      </c>
      <c r="Q2733" s="8">
        <v>0.72199999999999998</v>
      </c>
      <c r="R2733" s="8">
        <v>0.56699999999999995</v>
      </c>
      <c r="S2733" s="8">
        <v>0.55400000000000005</v>
      </c>
      <c r="T2733" s="8">
        <v>0.42</v>
      </c>
      <c r="U2733" s="8">
        <v>0.41</v>
      </c>
      <c r="V2733" s="8">
        <v>0.308</v>
      </c>
      <c r="W2733" s="8">
        <v>0.183</v>
      </c>
      <c r="X2733" s="8">
        <v>0.121</v>
      </c>
      <c r="Y2733" s="8">
        <v>5.7000000000000002E-2</v>
      </c>
      <c r="Z2733" s="8">
        <v>2.4E-2</v>
      </c>
      <c r="AA2733" s="8">
        <v>6.0000000000000001E-3</v>
      </c>
      <c r="AB2733" s="8">
        <v>0</v>
      </c>
      <c r="AC2733" s="8">
        <v>0</v>
      </c>
    </row>
    <row r="2734" spans="1:29" ht="11.65" hidden="1" x14ac:dyDescent="0.35">
      <c r="A2734" s="12">
        <v>2717</v>
      </c>
      <c r="B2734" s="10" t="s">
        <v>1015</v>
      </c>
      <c r="C2734" s="11" t="s">
        <v>1205</v>
      </c>
      <c r="D2734" s="9">
        <v>2</v>
      </c>
      <c r="E2734" s="9">
        <v>254</v>
      </c>
      <c r="F2734" s="10" t="s">
        <v>1066</v>
      </c>
      <c r="G2734" s="9">
        <v>931</v>
      </c>
      <c r="H2734" s="9">
        <v>1955</v>
      </c>
      <c r="I2734" s="8">
        <v>2.1789999999999998</v>
      </c>
      <c r="J2734" s="8">
        <v>1.7709999999999999</v>
      </c>
      <c r="K2734" s="8">
        <v>1.1619999999999999</v>
      </c>
      <c r="L2734" s="8">
        <v>1.022</v>
      </c>
      <c r="M2734" s="8">
        <v>0.97499999999999998</v>
      </c>
      <c r="N2734" s="8">
        <v>1</v>
      </c>
      <c r="O2734" s="8">
        <v>1.1000000000000001</v>
      </c>
      <c r="P2734" s="8">
        <v>0.94799999999999995</v>
      </c>
      <c r="Q2734" s="8">
        <v>0.80700000000000005</v>
      </c>
      <c r="R2734" s="8">
        <v>0.68200000000000005</v>
      </c>
      <c r="S2734" s="8">
        <v>0.53</v>
      </c>
      <c r="T2734" s="8">
        <v>0.51</v>
      </c>
      <c r="U2734" s="8">
        <v>0.375</v>
      </c>
      <c r="V2734" s="8">
        <v>0.35299999999999998</v>
      </c>
      <c r="W2734" s="8">
        <v>0.245</v>
      </c>
      <c r="X2734" s="8">
        <v>0.126</v>
      </c>
      <c r="Y2734" s="8">
        <v>6.5000000000000002E-2</v>
      </c>
      <c r="Z2734" s="8">
        <v>2.3E-2</v>
      </c>
      <c r="AA2734" s="8">
        <v>6.0000000000000001E-3</v>
      </c>
      <c r="AB2734" s="8">
        <v>0</v>
      </c>
      <c r="AC2734" s="8">
        <v>0</v>
      </c>
    </row>
    <row r="2735" spans="1:29" ht="11.65" hidden="1" x14ac:dyDescent="0.35">
      <c r="A2735" s="12">
        <v>2718</v>
      </c>
      <c r="B2735" s="10" t="s">
        <v>1015</v>
      </c>
      <c r="C2735" s="11" t="s">
        <v>1205</v>
      </c>
      <c r="D2735" s="9">
        <v>2</v>
      </c>
      <c r="E2735" s="9">
        <v>254</v>
      </c>
      <c r="F2735" s="10" t="s">
        <v>1066</v>
      </c>
      <c r="G2735" s="9">
        <v>931</v>
      </c>
      <c r="H2735" s="9">
        <v>1960</v>
      </c>
      <c r="I2735" s="8">
        <v>2.2890000000000001</v>
      </c>
      <c r="J2735" s="8">
        <v>2.153</v>
      </c>
      <c r="K2735" s="8">
        <v>1.6659999999999999</v>
      </c>
      <c r="L2735" s="8">
        <v>1.1040000000000001</v>
      </c>
      <c r="M2735" s="8">
        <v>1.0840000000000001</v>
      </c>
      <c r="N2735" s="8">
        <v>1.1040000000000001</v>
      </c>
      <c r="O2735" s="8">
        <v>0.92900000000000005</v>
      </c>
      <c r="P2735" s="8">
        <v>0.92500000000000004</v>
      </c>
      <c r="Q2735" s="8">
        <v>0.98599999999999999</v>
      </c>
      <c r="R2735" s="8">
        <v>0.85699999999999998</v>
      </c>
      <c r="S2735" s="8">
        <v>0.66100000000000003</v>
      </c>
      <c r="T2735" s="8">
        <v>0.52800000000000002</v>
      </c>
      <c r="U2735" s="8">
        <v>0.503</v>
      </c>
      <c r="V2735" s="8">
        <v>0.377</v>
      </c>
      <c r="W2735" s="8">
        <v>0.35099999999999998</v>
      </c>
      <c r="X2735" s="8">
        <v>0.22900000000000001</v>
      </c>
      <c r="Y2735" s="8">
        <v>0.106</v>
      </c>
      <c r="Z2735" s="8">
        <v>3.3000000000000002E-2</v>
      </c>
      <c r="AA2735" s="8">
        <v>5.0000000000000001E-3</v>
      </c>
      <c r="AB2735" s="8">
        <v>0</v>
      </c>
      <c r="AC2735" s="8">
        <v>0</v>
      </c>
    </row>
    <row r="2736" spans="1:29" ht="11.65" hidden="1" x14ac:dyDescent="0.35">
      <c r="A2736" s="12">
        <v>2719</v>
      </c>
      <c r="B2736" s="10" t="s">
        <v>1015</v>
      </c>
      <c r="C2736" s="11" t="s">
        <v>1205</v>
      </c>
      <c r="D2736" s="9">
        <v>2</v>
      </c>
      <c r="E2736" s="9">
        <v>254</v>
      </c>
      <c r="F2736" s="10" t="s">
        <v>1066</v>
      </c>
      <c r="G2736" s="9">
        <v>931</v>
      </c>
      <c r="H2736" s="9">
        <v>1965</v>
      </c>
      <c r="I2736" s="8">
        <v>2.8279999999999998</v>
      </c>
      <c r="J2736" s="8">
        <v>2.58</v>
      </c>
      <c r="K2736" s="8">
        <v>2.073</v>
      </c>
      <c r="L2736" s="8">
        <v>1.59</v>
      </c>
      <c r="M2736" s="8">
        <v>1.2010000000000001</v>
      </c>
      <c r="N2736" s="8">
        <v>1.22</v>
      </c>
      <c r="O2736" s="8">
        <v>1.123</v>
      </c>
      <c r="P2736" s="8">
        <v>1.0640000000000001</v>
      </c>
      <c r="Q2736" s="8">
        <v>1.087</v>
      </c>
      <c r="R2736" s="8">
        <v>0.94399999999999995</v>
      </c>
      <c r="S2736" s="8">
        <v>0.77800000000000002</v>
      </c>
      <c r="T2736" s="8">
        <v>0.55200000000000005</v>
      </c>
      <c r="U2736" s="8">
        <v>0.44700000000000001</v>
      </c>
      <c r="V2736" s="8">
        <v>0.45700000000000002</v>
      </c>
      <c r="W2736" s="8">
        <v>0.33800000000000002</v>
      </c>
      <c r="X2736" s="8">
        <v>0.249</v>
      </c>
      <c r="Y2736" s="8">
        <v>0.14099999999999999</v>
      </c>
      <c r="Z2736" s="8">
        <v>4.9000000000000002E-2</v>
      </c>
      <c r="AA2736" s="8">
        <v>8.9999999999999993E-3</v>
      </c>
      <c r="AB2736" s="8">
        <v>0</v>
      </c>
      <c r="AC2736" s="8">
        <v>0</v>
      </c>
    </row>
    <row r="2737" spans="1:29" ht="11.65" hidden="1" x14ac:dyDescent="0.35">
      <c r="A2737" s="12">
        <v>2720</v>
      </c>
      <c r="B2737" s="10" t="s">
        <v>1015</v>
      </c>
      <c r="C2737" s="11" t="s">
        <v>1205</v>
      </c>
      <c r="D2737" s="9">
        <v>2</v>
      </c>
      <c r="E2737" s="9">
        <v>254</v>
      </c>
      <c r="F2737" s="10" t="s">
        <v>1066</v>
      </c>
      <c r="G2737" s="9">
        <v>931</v>
      </c>
      <c r="H2737" s="9">
        <v>1970</v>
      </c>
      <c r="I2737" s="8">
        <v>3.4529999999999998</v>
      </c>
      <c r="J2737" s="8">
        <v>3.0489999999999999</v>
      </c>
      <c r="K2737" s="8">
        <v>2.6309999999999998</v>
      </c>
      <c r="L2737" s="8">
        <v>2.2000000000000002</v>
      </c>
      <c r="M2737" s="8">
        <v>1.831</v>
      </c>
      <c r="N2737" s="8">
        <v>1.514</v>
      </c>
      <c r="O2737" s="8">
        <v>1.4259999999999999</v>
      </c>
      <c r="P2737" s="8">
        <v>1.266</v>
      </c>
      <c r="Q2737" s="8">
        <v>1.228</v>
      </c>
      <c r="R2737" s="8">
        <v>1.0209999999999999</v>
      </c>
      <c r="S2737" s="8">
        <v>0.84</v>
      </c>
      <c r="T2737" s="8">
        <v>0.67100000000000004</v>
      </c>
      <c r="U2737" s="8">
        <v>0.50700000000000001</v>
      </c>
      <c r="V2737" s="8">
        <v>0.504</v>
      </c>
      <c r="W2737" s="8">
        <v>0.42499999999999999</v>
      </c>
      <c r="X2737" s="8">
        <v>0.24299999999999999</v>
      </c>
      <c r="Y2737" s="8">
        <v>0.16300000000000001</v>
      </c>
      <c r="Z2737" s="8">
        <v>6.6000000000000003E-2</v>
      </c>
      <c r="AA2737" s="8">
        <v>1.2999999999999999E-2</v>
      </c>
      <c r="AB2737" s="8">
        <v>0</v>
      </c>
      <c r="AC2737" s="8">
        <v>0</v>
      </c>
    </row>
    <row r="2738" spans="1:29" ht="11.65" hidden="1" x14ac:dyDescent="0.35">
      <c r="A2738" s="12">
        <v>2721</v>
      </c>
      <c r="B2738" s="10" t="s">
        <v>1015</v>
      </c>
      <c r="C2738" s="11" t="s">
        <v>1205</v>
      </c>
      <c r="D2738" s="9">
        <v>2</v>
      </c>
      <c r="E2738" s="9">
        <v>254</v>
      </c>
      <c r="F2738" s="10" t="s">
        <v>1066</v>
      </c>
      <c r="G2738" s="9">
        <v>931</v>
      </c>
      <c r="H2738" s="9">
        <v>1975</v>
      </c>
      <c r="I2738" s="8">
        <v>3.911</v>
      </c>
      <c r="J2738" s="8">
        <v>3.665</v>
      </c>
      <c r="K2738" s="8">
        <v>3.1589999999999998</v>
      </c>
      <c r="L2738" s="8">
        <v>2.8580000000000001</v>
      </c>
      <c r="M2738" s="8">
        <v>2.2330000000000001</v>
      </c>
      <c r="N2738" s="8">
        <v>2.2450000000000001</v>
      </c>
      <c r="O2738" s="8">
        <v>1.794</v>
      </c>
      <c r="P2738" s="8">
        <v>1.663</v>
      </c>
      <c r="Q2738" s="8">
        <v>1.411</v>
      </c>
      <c r="R2738" s="8">
        <v>0.96</v>
      </c>
      <c r="S2738" s="8">
        <v>1.0509999999999999</v>
      </c>
      <c r="T2738" s="8">
        <v>0.746</v>
      </c>
      <c r="U2738" s="8">
        <v>0.60499999999999998</v>
      </c>
      <c r="V2738" s="8">
        <v>0.51400000000000001</v>
      </c>
      <c r="W2738" s="8">
        <v>0.44900000000000001</v>
      </c>
      <c r="X2738" s="8">
        <v>0.311</v>
      </c>
      <c r="Y2738" s="8">
        <v>0.153</v>
      </c>
      <c r="Z2738" s="8">
        <v>7.1999999999999995E-2</v>
      </c>
      <c r="AA2738" s="8">
        <v>1.6E-2</v>
      </c>
      <c r="AB2738" s="8">
        <v>2E-3</v>
      </c>
      <c r="AC2738" s="8">
        <v>0</v>
      </c>
    </row>
    <row r="2739" spans="1:29" ht="11.65" hidden="1" x14ac:dyDescent="0.35">
      <c r="A2739" s="12">
        <v>2722</v>
      </c>
      <c r="B2739" s="10" t="s">
        <v>1015</v>
      </c>
      <c r="C2739" s="11" t="s">
        <v>1205</v>
      </c>
      <c r="D2739" s="9">
        <v>2</v>
      </c>
      <c r="E2739" s="9">
        <v>254</v>
      </c>
      <c r="F2739" s="10" t="s">
        <v>1066</v>
      </c>
      <c r="G2739" s="9">
        <v>931</v>
      </c>
      <c r="H2739" s="9">
        <v>1980</v>
      </c>
      <c r="I2739" s="8">
        <v>3.738</v>
      </c>
      <c r="J2739" s="8">
        <v>3.8570000000000002</v>
      </c>
      <c r="K2739" s="8">
        <v>3.6760000000000002</v>
      </c>
      <c r="L2739" s="8">
        <v>3.3319999999999999</v>
      </c>
      <c r="M2739" s="8">
        <v>2.7789999999999999</v>
      </c>
      <c r="N2739" s="8">
        <v>2.7389999999999999</v>
      </c>
      <c r="O2739" s="8">
        <v>2.581</v>
      </c>
      <c r="P2739" s="8">
        <v>1.929</v>
      </c>
      <c r="Q2739" s="8">
        <v>1.73</v>
      </c>
      <c r="R2739" s="8">
        <v>1.179</v>
      </c>
      <c r="S2739" s="8">
        <v>1.208</v>
      </c>
      <c r="T2739" s="8">
        <v>0.86099999999999999</v>
      </c>
      <c r="U2739" s="8">
        <v>0.64800000000000002</v>
      </c>
      <c r="V2739" s="8">
        <v>0.70599999999999996</v>
      </c>
      <c r="W2739" s="8">
        <v>0.44800000000000001</v>
      </c>
      <c r="X2739" s="8">
        <v>0.29099999999999998</v>
      </c>
      <c r="Y2739" s="8">
        <v>0.189</v>
      </c>
      <c r="Z2739" s="8">
        <v>7.5999999999999998E-2</v>
      </c>
      <c r="AA2739" s="8">
        <v>2.1000000000000001E-2</v>
      </c>
      <c r="AB2739" s="8">
        <v>3.0000000000000001E-3</v>
      </c>
      <c r="AC2739" s="8">
        <v>0</v>
      </c>
    </row>
    <row r="2740" spans="1:29" ht="11.65" hidden="1" x14ac:dyDescent="0.35">
      <c r="A2740" s="12">
        <v>2723</v>
      </c>
      <c r="B2740" s="10" t="s">
        <v>1015</v>
      </c>
      <c r="C2740" s="11" t="s">
        <v>1205</v>
      </c>
      <c r="D2740" s="9">
        <v>2</v>
      </c>
      <c r="E2740" s="9">
        <v>254</v>
      </c>
      <c r="F2740" s="10" t="s">
        <v>1066</v>
      </c>
      <c r="G2740" s="9">
        <v>931</v>
      </c>
      <c r="H2740" s="9">
        <v>1985</v>
      </c>
      <c r="I2740" s="8">
        <v>4.6420000000000003</v>
      </c>
      <c r="J2740" s="8">
        <v>4.7169999999999996</v>
      </c>
      <c r="K2740" s="8">
        <v>4.6909999999999998</v>
      </c>
      <c r="L2740" s="8">
        <v>4.0449999999999999</v>
      </c>
      <c r="M2740" s="8">
        <v>3.8090000000000002</v>
      </c>
      <c r="N2740" s="8">
        <v>3.3940000000000001</v>
      </c>
      <c r="O2740" s="8">
        <v>3.9249999999999998</v>
      </c>
      <c r="P2740" s="8">
        <v>2.4630000000000001</v>
      </c>
      <c r="Q2740" s="8">
        <v>2.335</v>
      </c>
      <c r="R2740" s="8">
        <v>1.8260000000000001</v>
      </c>
      <c r="S2740" s="8">
        <v>1.2030000000000001</v>
      </c>
      <c r="T2740" s="8">
        <v>1.284</v>
      </c>
      <c r="U2740" s="8">
        <v>0.63</v>
      </c>
      <c r="V2740" s="8">
        <v>0.69099999999999995</v>
      </c>
      <c r="W2740" s="8">
        <v>0.66100000000000003</v>
      </c>
      <c r="X2740" s="8">
        <v>0.33900000000000002</v>
      </c>
      <c r="Y2740" s="8">
        <v>0.215</v>
      </c>
      <c r="Z2740" s="8">
        <v>0.10100000000000001</v>
      </c>
      <c r="AA2740" s="8">
        <v>2.1999999999999999E-2</v>
      </c>
      <c r="AB2740" s="8">
        <v>4.0000000000000001E-3</v>
      </c>
      <c r="AC2740" s="8">
        <v>0</v>
      </c>
    </row>
    <row r="2741" spans="1:29" ht="11.65" hidden="1" x14ac:dyDescent="0.35">
      <c r="A2741" s="12">
        <v>2724</v>
      </c>
      <c r="B2741" s="10" t="s">
        <v>1015</v>
      </c>
      <c r="C2741" s="11" t="s">
        <v>1205</v>
      </c>
      <c r="D2741" s="9">
        <v>2</v>
      </c>
      <c r="E2741" s="9">
        <v>254</v>
      </c>
      <c r="F2741" s="10" t="s">
        <v>1066</v>
      </c>
      <c r="G2741" s="9">
        <v>931</v>
      </c>
      <c r="H2741" s="9">
        <v>1990</v>
      </c>
      <c r="I2741" s="8">
        <v>7.5679999999999996</v>
      </c>
      <c r="J2741" s="8">
        <v>6.327</v>
      </c>
      <c r="K2741" s="8">
        <v>6.1449999999999996</v>
      </c>
      <c r="L2741" s="8">
        <v>4.8710000000000004</v>
      </c>
      <c r="M2741" s="8">
        <v>4.593</v>
      </c>
      <c r="N2741" s="8">
        <v>4.8550000000000004</v>
      </c>
      <c r="O2741" s="8">
        <v>4.5439999999999996</v>
      </c>
      <c r="P2741" s="8">
        <v>4.6779999999999999</v>
      </c>
      <c r="Q2741" s="8">
        <v>2.86</v>
      </c>
      <c r="R2741" s="8">
        <v>2.4580000000000002</v>
      </c>
      <c r="S2741" s="8">
        <v>1.899</v>
      </c>
      <c r="T2741" s="8">
        <v>1.212</v>
      </c>
      <c r="U2741" s="8">
        <v>1.264</v>
      </c>
      <c r="V2741" s="8">
        <v>0.66</v>
      </c>
      <c r="W2741" s="8">
        <v>0.61099999999999999</v>
      </c>
      <c r="X2741" s="8">
        <v>0.52100000000000002</v>
      </c>
      <c r="Y2741" s="8">
        <v>0.24199999999999999</v>
      </c>
      <c r="Z2741" s="8">
        <v>0.114</v>
      </c>
      <c r="AA2741" s="8">
        <v>3.2000000000000001E-2</v>
      </c>
      <c r="AB2741" s="8">
        <v>4.0000000000000001E-3</v>
      </c>
      <c r="AC2741" s="8">
        <v>0</v>
      </c>
    </row>
    <row r="2742" spans="1:29" ht="11.65" hidden="1" x14ac:dyDescent="0.35">
      <c r="A2742" s="12">
        <v>2725</v>
      </c>
      <c r="B2742" s="10" t="s">
        <v>1015</v>
      </c>
      <c r="C2742" s="11" t="s">
        <v>1205</v>
      </c>
      <c r="D2742" s="9">
        <v>2</v>
      </c>
      <c r="E2742" s="9">
        <v>254</v>
      </c>
      <c r="F2742" s="10" t="s">
        <v>1066</v>
      </c>
      <c r="G2742" s="9">
        <v>931</v>
      </c>
      <c r="H2742" s="9">
        <v>1995</v>
      </c>
      <c r="I2742" s="8">
        <v>9.61</v>
      </c>
      <c r="J2742" s="8">
        <v>7.6529999999999996</v>
      </c>
      <c r="K2742" s="8">
        <v>6.53</v>
      </c>
      <c r="L2742" s="8">
        <v>6.0839999999999996</v>
      </c>
      <c r="M2742" s="8">
        <v>4.49</v>
      </c>
      <c r="N2742" s="8">
        <v>5.4210000000000003</v>
      </c>
      <c r="O2742" s="8">
        <v>6.0419999999999998</v>
      </c>
      <c r="P2742" s="8">
        <v>4.6790000000000003</v>
      </c>
      <c r="Q2742" s="8">
        <v>4.6459999999999999</v>
      </c>
      <c r="R2742" s="8">
        <v>2.83</v>
      </c>
      <c r="S2742" s="8">
        <v>2.4159999999999999</v>
      </c>
      <c r="T2742" s="8">
        <v>1.85</v>
      </c>
      <c r="U2742" s="8">
        <v>1.163</v>
      </c>
      <c r="V2742" s="8">
        <v>1.1779999999999999</v>
      </c>
      <c r="W2742" s="8">
        <v>0.58099999999999996</v>
      </c>
      <c r="X2742" s="8">
        <v>0.49099999999999999</v>
      </c>
      <c r="Y2742" s="8">
        <v>0.35299999999999998</v>
      </c>
      <c r="Z2742" s="8">
        <v>0.124</v>
      </c>
      <c r="AA2742" s="8">
        <v>0.04</v>
      </c>
      <c r="AB2742" s="8">
        <v>7.0000000000000001E-3</v>
      </c>
      <c r="AC2742" s="8">
        <v>0</v>
      </c>
    </row>
    <row r="2743" spans="1:29" ht="11.65" hidden="1" x14ac:dyDescent="0.35">
      <c r="A2743" s="12">
        <v>2726</v>
      </c>
      <c r="B2743" s="10" t="s">
        <v>1015</v>
      </c>
      <c r="C2743" s="11" t="s">
        <v>1205</v>
      </c>
      <c r="D2743" s="9">
        <v>2</v>
      </c>
      <c r="E2743" s="9">
        <v>254</v>
      </c>
      <c r="F2743" s="10" t="s">
        <v>1066</v>
      </c>
      <c r="G2743" s="9">
        <v>931</v>
      </c>
      <c r="H2743" s="9">
        <v>2000</v>
      </c>
      <c r="I2743" s="8">
        <v>10.675000000000001</v>
      </c>
      <c r="J2743" s="8">
        <v>9.7449999999999992</v>
      </c>
      <c r="K2743" s="8">
        <v>7.9569999999999999</v>
      </c>
      <c r="L2743" s="8">
        <v>6.444</v>
      </c>
      <c r="M2743" s="8">
        <v>5.5229999999999997</v>
      </c>
      <c r="N2743" s="8">
        <v>5.73</v>
      </c>
      <c r="O2743" s="8">
        <v>7.1959999999999997</v>
      </c>
      <c r="P2743" s="8">
        <v>6.2519999999999998</v>
      </c>
      <c r="Q2743" s="8">
        <v>4.6500000000000004</v>
      </c>
      <c r="R2743" s="8">
        <v>4.6040000000000001</v>
      </c>
      <c r="S2743" s="8">
        <v>2.7890000000000001</v>
      </c>
      <c r="T2743" s="8">
        <v>2.363</v>
      </c>
      <c r="U2743" s="8">
        <v>1.7869999999999999</v>
      </c>
      <c r="V2743" s="8">
        <v>1.095</v>
      </c>
      <c r="W2743" s="8">
        <v>1.0569999999999999</v>
      </c>
      <c r="X2743" s="8">
        <v>0.47899999999999998</v>
      </c>
      <c r="Y2743" s="8">
        <v>0.34599999999999997</v>
      </c>
      <c r="Z2743" s="8">
        <v>0.192</v>
      </c>
      <c r="AA2743" s="8">
        <v>4.7E-2</v>
      </c>
      <c r="AB2743" s="8">
        <v>8.9999999999999993E-3</v>
      </c>
      <c r="AC2743" s="8">
        <v>1E-3</v>
      </c>
    </row>
    <row r="2744" spans="1:29" ht="11.65" hidden="1" x14ac:dyDescent="0.35">
      <c r="A2744" s="12">
        <v>2727</v>
      </c>
      <c r="B2744" s="10" t="s">
        <v>1015</v>
      </c>
      <c r="C2744" s="11" t="s">
        <v>1205</v>
      </c>
      <c r="D2744" s="9">
        <v>2</v>
      </c>
      <c r="E2744" s="9">
        <v>254</v>
      </c>
      <c r="F2744" s="10" t="s">
        <v>1066</v>
      </c>
      <c r="G2744" s="9">
        <v>931</v>
      </c>
      <c r="H2744" s="9">
        <v>2005</v>
      </c>
      <c r="I2744" s="8">
        <v>12.91</v>
      </c>
      <c r="J2744" s="8">
        <v>11.891999999999999</v>
      </c>
      <c r="K2744" s="8">
        <v>11.093999999999999</v>
      </c>
      <c r="L2744" s="8">
        <v>9.1539999999999999</v>
      </c>
      <c r="M2744" s="8">
        <v>7.6749999999999998</v>
      </c>
      <c r="N2744" s="8">
        <v>7.4589999999999996</v>
      </c>
      <c r="O2744" s="8">
        <v>8.5399999999999991</v>
      </c>
      <c r="P2744" s="8">
        <v>8.2550000000000008</v>
      </c>
      <c r="Q2744" s="8">
        <v>6.4420000000000002</v>
      </c>
      <c r="R2744" s="8">
        <v>5.6859999999999999</v>
      </c>
      <c r="S2744" s="8">
        <v>4.5069999999999997</v>
      </c>
      <c r="T2744" s="8">
        <v>2.7149999999999999</v>
      </c>
      <c r="U2744" s="8">
        <v>2.2770000000000001</v>
      </c>
      <c r="V2744" s="8">
        <v>1.077</v>
      </c>
      <c r="W2744" s="8">
        <v>0.97699999999999998</v>
      </c>
      <c r="X2744" s="8">
        <v>0.90500000000000003</v>
      </c>
      <c r="Y2744" s="8">
        <v>0.42299999999999999</v>
      </c>
      <c r="Z2744" s="8">
        <v>0.32700000000000001</v>
      </c>
      <c r="AA2744" s="8">
        <v>8.6999999999999994E-2</v>
      </c>
      <c r="AB2744" s="8">
        <v>1.2999999999999999E-2</v>
      </c>
      <c r="AC2744" s="8">
        <v>1E-3</v>
      </c>
    </row>
    <row r="2745" spans="1:29" ht="11.65" hidden="1" x14ac:dyDescent="0.35">
      <c r="A2745" s="12">
        <v>2728</v>
      </c>
      <c r="B2745" s="10" t="s">
        <v>1015</v>
      </c>
      <c r="C2745" s="11" t="s">
        <v>1205</v>
      </c>
      <c r="D2745" s="9">
        <v>2</v>
      </c>
      <c r="E2745" s="9">
        <v>254</v>
      </c>
      <c r="F2745" s="10" t="s">
        <v>1066</v>
      </c>
      <c r="G2745" s="9">
        <v>931</v>
      </c>
      <c r="H2745" s="9">
        <v>2010</v>
      </c>
      <c r="I2745" s="8">
        <v>14.901999999999999</v>
      </c>
      <c r="J2745" s="8">
        <v>13.227</v>
      </c>
      <c r="K2745" s="8">
        <v>11.694000000000001</v>
      </c>
      <c r="L2745" s="8">
        <v>9.8759999999999994</v>
      </c>
      <c r="M2745" s="8">
        <v>8.3350000000000009</v>
      </c>
      <c r="N2745" s="8">
        <v>9.0389999999999997</v>
      </c>
      <c r="O2745" s="8">
        <v>9.4049999999999994</v>
      </c>
      <c r="P2745" s="8">
        <v>8.9719999999999995</v>
      </c>
      <c r="Q2745" s="8">
        <v>7.7789999999999999</v>
      </c>
      <c r="R2745" s="8">
        <v>5.9829999999999997</v>
      </c>
      <c r="S2745" s="8">
        <v>5.29</v>
      </c>
      <c r="T2745" s="8">
        <v>4.1349999999999998</v>
      </c>
      <c r="U2745" s="8">
        <v>2.5009999999999999</v>
      </c>
      <c r="V2745" s="8">
        <v>2.1070000000000002</v>
      </c>
      <c r="W2745" s="8">
        <v>1.0489999999999999</v>
      </c>
      <c r="X2745" s="8">
        <v>0.92300000000000004</v>
      </c>
      <c r="Y2745" s="8">
        <v>0.80200000000000005</v>
      </c>
      <c r="Z2745" s="8">
        <v>0.33800000000000002</v>
      </c>
      <c r="AA2745" s="8">
        <v>0.156</v>
      </c>
      <c r="AB2745" s="8">
        <v>2.8000000000000001E-2</v>
      </c>
      <c r="AC2745" s="8">
        <v>2E-3</v>
      </c>
    </row>
    <row r="2746" spans="1:29" ht="11.65" hidden="1" x14ac:dyDescent="0.35">
      <c r="A2746" s="12">
        <v>2729</v>
      </c>
      <c r="B2746" s="10" t="s">
        <v>1015</v>
      </c>
      <c r="C2746" s="11" t="s">
        <v>1205</v>
      </c>
      <c r="D2746" s="9">
        <v>2</v>
      </c>
      <c r="E2746" s="9">
        <v>254</v>
      </c>
      <c r="F2746" s="10" t="s">
        <v>1066</v>
      </c>
      <c r="G2746" s="9">
        <v>931</v>
      </c>
      <c r="H2746" s="9">
        <v>2015</v>
      </c>
      <c r="I2746" s="8">
        <v>14.691000000000001</v>
      </c>
      <c r="J2746" s="8">
        <v>14.260999999999999</v>
      </c>
      <c r="K2746" s="8">
        <v>14.188000000000001</v>
      </c>
      <c r="L2746" s="8">
        <v>12.221</v>
      </c>
      <c r="M2746" s="8">
        <v>10.218</v>
      </c>
      <c r="N2746" s="8">
        <v>9.532</v>
      </c>
      <c r="O2746" s="8">
        <v>10.334</v>
      </c>
      <c r="P2746" s="8">
        <v>9.6839999999999993</v>
      </c>
      <c r="Q2746" s="8">
        <v>8.7639999999999993</v>
      </c>
      <c r="R2746" s="8">
        <v>7.5380000000000003</v>
      </c>
      <c r="S2746" s="8">
        <v>5.9119999999999999</v>
      </c>
      <c r="T2746" s="8">
        <v>5.1210000000000004</v>
      </c>
      <c r="U2746" s="8">
        <v>3.7210000000000001</v>
      </c>
      <c r="V2746" s="8">
        <v>2.2650000000000001</v>
      </c>
      <c r="W2746" s="8">
        <v>1.7250000000000001</v>
      </c>
      <c r="X2746" s="8">
        <v>0.81799999999999995</v>
      </c>
      <c r="Y2746" s="8">
        <v>0.55300000000000005</v>
      </c>
      <c r="Z2746" s="8">
        <v>0.36499999999999999</v>
      </c>
      <c r="AA2746" s="8">
        <v>0.17499999999999999</v>
      </c>
      <c r="AB2746" s="8">
        <v>5.3999999999999999E-2</v>
      </c>
      <c r="AC2746" s="8">
        <v>5.0000000000000001E-3</v>
      </c>
    </row>
    <row r="2747" spans="1:29" ht="11.65" hidden="1" x14ac:dyDescent="0.35">
      <c r="A2747" s="12">
        <v>2730</v>
      </c>
      <c r="B2747" s="10" t="s">
        <v>1015</v>
      </c>
      <c r="C2747" s="11" t="s">
        <v>1205</v>
      </c>
      <c r="D2747" s="9">
        <v>2</v>
      </c>
      <c r="E2747" s="9">
        <v>254</v>
      </c>
      <c r="F2747" s="10" t="s">
        <v>1066</v>
      </c>
      <c r="G2747" s="9">
        <v>931</v>
      </c>
      <c r="H2747" s="9">
        <v>2020</v>
      </c>
      <c r="I2747" s="8">
        <v>17.399000000000001</v>
      </c>
      <c r="J2747" s="8">
        <v>14.803000000000001</v>
      </c>
      <c r="K2747" s="8">
        <v>14.324999999999999</v>
      </c>
      <c r="L2747" s="8">
        <v>14.385</v>
      </c>
      <c r="M2747" s="8">
        <v>12.683</v>
      </c>
      <c r="N2747" s="8">
        <v>10.785</v>
      </c>
      <c r="O2747" s="8">
        <v>9.9990000000000006</v>
      </c>
      <c r="P2747" s="8">
        <v>10.651</v>
      </c>
      <c r="Q2747" s="8">
        <v>9.8780000000000001</v>
      </c>
      <c r="R2747" s="8">
        <v>8.8650000000000002</v>
      </c>
      <c r="S2747" s="8">
        <v>7.5739999999999998</v>
      </c>
      <c r="T2747" s="8">
        <v>5.9020000000000001</v>
      </c>
      <c r="U2747" s="8">
        <v>5.0629999999999997</v>
      </c>
      <c r="V2747" s="8">
        <v>3.6240000000000001</v>
      </c>
      <c r="W2747" s="8">
        <v>2.145</v>
      </c>
      <c r="X2747" s="8">
        <v>1.548</v>
      </c>
      <c r="Y2747" s="8">
        <v>0.66700000000000004</v>
      </c>
      <c r="Z2747" s="8">
        <v>0.375</v>
      </c>
      <c r="AA2747" s="8">
        <v>0.188</v>
      </c>
      <c r="AB2747" s="8">
        <v>6.2E-2</v>
      </c>
      <c r="AC2747" s="8">
        <v>1.0999999999999999E-2</v>
      </c>
    </row>
    <row r="2748" spans="1:29" ht="11.65" hidden="1" x14ac:dyDescent="0.35">
      <c r="A2748" s="12">
        <v>2731</v>
      </c>
      <c r="B2748" s="10" t="s">
        <v>1015</v>
      </c>
      <c r="C2748" s="11" t="s">
        <v>1206</v>
      </c>
      <c r="D2748" s="9"/>
      <c r="E2748" s="9">
        <v>328</v>
      </c>
      <c r="F2748" s="10" t="s">
        <v>1066</v>
      </c>
      <c r="G2748" s="9">
        <v>931</v>
      </c>
      <c r="H2748" s="9">
        <v>1950</v>
      </c>
      <c r="I2748" s="8">
        <v>33.914999999999999</v>
      </c>
      <c r="J2748" s="8">
        <v>24.385000000000002</v>
      </c>
      <c r="K2748" s="8">
        <v>21.88</v>
      </c>
      <c r="L2748" s="8">
        <v>19.359000000000002</v>
      </c>
      <c r="M2748" s="8">
        <v>17.721</v>
      </c>
      <c r="N2748" s="8">
        <v>14.766</v>
      </c>
      <c r="O2748" s="8">
        <v>13.301</v>
      </c>
      <c r="P2748" s="8">
        <v>12.065</v>
      </c>
      <c r="Q2748" s="8">
        <v>10.535</v>
      </c>
      <c r="R2748" s="8">
        <v>9.3989999999999991</v>
      </c>
      <c r="S2748" s="8">
        <v>7.16</v>
      </c>
      <c r="T2748" s="8">
        <v>5.8250000000000002</v>
      </c>
      <c r="U2748" s="8">
        <v>4.6399999999999997</v>
      </c>
      <c r="V2748" s="8">
        <v>4.12</v>
      </c>
      <c r="W2748" s="8">
        <v>2.7309999999999999</v>
      </c>
      <c r="X2748" s="8">
        <v>1.5549999999999999</v>
      </c>
      <c r="Y2748" s="8">
        <v>0.65400000000000003</v>
      </c>
      <c r="Z2748" s="8">
        <v>0.42899999999999999</v>
      </c>
      <c r="AA2748" s="8">
        <v>0.215</v>
      </c>
      <c r="AB2748" s="8">
        <v>0.108</v>
      </c>
      <c r="AC2748" s="8">
        <v>5.3999999999999999E-2</v>
      </c>
    </row>
    <row r="2749" spans="1:29" ht="11.65" hidden="1" x14ac:dyDescent="0.35">
      <c r="A2749" s="12">
        <v>2732</v>
      </c>
      <c r="B2749" s="10" t="s">
        <v>1015</v>
      </c>
      <c r="C2749" s="11" t="s">
        <v>1206</v>
      </c>
      <c r="D2749" s="9"/>
      <c r="E2749" s="9">
        <v>328</v>
      </c>
      <c r="F2749" s="10" t="s">
        <v>1066</v>
      </c>
      <c r="G2749" s="9">
        <v>931</v>
      </c>
      <c r="H2749" s="9">
        <v>1955</v>
      </c>
      <c r="I2749" s="8">
        <v>45.195</v>
      </c>
      <c r="J2749" s="8">
        <v>33.25</v>
      </c>
      <c r="K2749" s="8">
        <v>24.19</v>
      </c>
      <c r="L2749" s="8">
        <v>22.936</v>
      </c>
      <c r="M2749" s="8">
        <v>19.626999999999999</v>
      </c>
      <c r="N2749" s="8">
        <v>17.097999999999999</v>
      </c>
      <c r="O2749" s="8">
        <v>14.833</v>
      </c>
      <c r="P2749" s="8">
        <v>13.313000000000001</v>
      </c>
      <c r="Q2749" s="8">
        <v>11.188000000000001</v>
      </c>
      <c r="R2749" s="8">
        <v>10.164999999999999</v>
      </c>
      <c r="S2749" s="8">
        <v>7.9349999999999996</v>
      </c>
      <c r="T2749" s="8">
        <v>6.6180000000000003</v>
      </c>
      <c r="U2749" s="8">
        <v>5.1959999999999997</v>
      </c>
      <c r="V2749" s="8">
        <v>4.2949999999999999</v>
      </c>
      <c r="W2749" s="8">
        <v>2.9529999999999998</v>
      </c>
      <c r="X2749" s="8">
        <v>1.827</v>
      </c>
      <c r="Y2749" s="8">
        <v>1.1399999999999999</v>
      </c>
      <c r="Z2749" s="8">
        <v>0.27400000000000002</v>
      </c>
      <c r="AA2749" s="8">
        <v>0.12</v>
      </c>
      <c r="AB2749" s="8">
        <v>3.5999999999999997E-2</v>
      </c>
      <c r="AC2749" s="8">
        <v>1.7000000000000001E-2</v>
      </c>
    </row>
    <row r="2750" spans="1:29" ht="11.65" hidden="1" x14ac:dyDescent="0.35">
      <c r="A2750" s="12">
        <v>2733</v>
      </c>
      <c r="B2750" s="10" t="s">
        <v>1015</v>
      </c>
      <c r="C2750" s="11" t="s">
        <v>1206</v>
      </c>
      <c r="D2750" s="9"/>
      <c r="E2750" s="9">
        <v>328</v>
      </c>
      <c r="F2750" s="10" t="s">
        <v>1066</v>
      </c>
      <c r="G2750" s="9">
        <v>931</v>
      </c>
      <c r="H2750" s="9">
        <v>1960</v>
      </c>
      <c r="I2750" s="8">
        <v>53.822000000000003</v>
      </c>
      <c r="J2750" s="8">
        <v>44.23</v>
      </c>
      <c r="K2750" s="8">
        <v>33.445999999999998</v>
      </c>
      <c r="L2750" s="8">
        <v>25.960999999999999</v>
      </c>
      <c r="M2750" s="8">
        <v>21.827000000000002</v>
      </c>
      <c r="N2750" s="8">
        <v>18.716000000000001</v>
      </c>
      <c r="O2750" s="8">
        <v>16.745000000000001</v>
      </c>
      <c r="P2750" s="8">
        <v>14.577999999999999</v>
      </c>
      <c r="Q2750" s="8">
        <v>11.837</v>
      </c>
      <c r="R2750" s="8">
        <v>10.916</v>
      </c>
      <c r="S2750" s="8">
        <v>8.6880000000000006</v>
      </c>
      <c r="T2750" s="8">
        <v>7.383</v>
      </c>
      <c r="U2750" s="8">
        <v>5.7220000000000004</v>
      </c>
      <c r="V2750" s="8">
        <v>4.4470000000000001</v>
      </c>
      <c r="W2750" s="8">
        <v>3.1349999999999998</v>
      </c>
      <c r="X2750" s="8">
        <v>2.089</v>
      </c>
      <c r="Y2750" s="8">
        <v>1.2410000000000001</v>
      </c>
      <c r="Z2750" s="8">
        <v>0.47699999999999998</v>
      </c>
      <c r="AA2750" s="8">
        <v>7.3999999999999996E-2</v>
      </c>
      <c r="AB2750" s="8">
        <v>0.02</v>
      </c>
      <c r="AC2750" s="8">
        <v>5.0000000000000001E-3</v>
      </c>
    </row>
    <row r="2751" spans="1:29" ht="11.65" hidden="1" x14ac:dyDescent="0.35">
      <c r="A2751" s="12">
        <v>2734</v>
      </c>
      <c r="B2751" s="10" t="s">
        <v>1015</v>
      </c>
      <c r="C2751" s="11" t="s">
        <v>1206</v>
      </c>
      <c r="D2751" s="9"/>
      <c r="E2751" s="9">
        <v>328</v>
      </c>
      <c r="F2751" s="10" t="s">
        <v>1066</v>
      </c>
      <c r="G2751" s="9">
        <v>931</v>
      </c>
      <c r="H2751" s="9">
        <v>1965</v>
      </c>
      <c r="I2751" s="8">
        <v>56.683</v>
      </c>
      <c r="J2751" s="8">
        <v>52.787999999999997</v>
      </c>
      <c r="K2751" s="8">
        <v>43.968000000000004</v>
      </c>
      <c r="L2751" s="8">
        <v>31.844999999999999</v>
      </c>
      <c r="M2751" s="8">
        <v>24.724</v>
      </c>
      <c r="N2751" s="8">
        <v>19.914000000000001</v>
      </c>
      <c r="O2751" s="8">
        <v>16.850999999999999</v>
      </c>
      <c r="P2751" s="8">
        <v>15.816000000000001</v>
      </c>
      <c r="Q2751" s="8">
        <v>13.077999999999999</v>
      </c>
      <c r="R2751" s="8">
        <v>11.521000000000001</v>
      </c>
      <c r="S2751" s="8">
        <v>9.3330000000000002</v>
      </c>
      <c r="T2751" s="8">
        <v>8.1319999999999997</v>
      </c>
      <c r="U2751" s="8">
        <v>6.0990000000000002</v>
      </c>
      <c r="V2751" s="8">
        <v>5.3239999999999998</v>
      </c>
      <c r="W2751" s="8">
        <v>3.4009999999999998</v>
      </c>
      <c r="X2751" s="8">
        <v>2.1749999999999998</v>
      </c>
      <c r="Y2751" s="8">
        <v>1.3120000000000001</v>
      </c>
      <c r="Z2751" s="8">
        <v>0.51700000000000002</v>
      </c>
      <c r="AA2751" s="8">
        <v>0.129</v>
      </c>
      <c r="AB2751" s="8">
        <v>1.2E-2</v>
      </c>
      <c r="AC2751" s="8">
        <v>2E-3</v>
      </c>
    </row>
    <row r="2752" spans="1:29" ht="11.65" hidden="1" x14ac:dyDescent="0.35">
      <c r="A2752" s="12">
        <v>2735</v>
      </c>
      <c r="B2752" s="10" t="s">
        <v>1015</v>
      </c>
      <c r="C2752" s="11" t="s">
        <v>1206</v>
      </c>
      <c r="D2752" s="9"/>
      <c r="E2752" s="9">
        <v>328</v>
      </c>
      <c r="F2752" s="10" t="s">
        <v>1066</v>
      </c>
      <c r="G2752" s="9">
        <v>931</v>
      </c>
      <c r="H2752" s="9">
        <v>1970</v>
      </c>
      <c r="I2752" s="8">
        <v>57.875</v>
      </c>
      <c r="J2752" s="8">
        <v>55.692</v>
      </c>
      <c r="K2752" s="8">
        <v>50.207999999999998</v>
      </c>
      <c r="L2752" s="8">
        <v>40.325000000000003</v>
      </c>
      <c r="M2752" s="8">
        <v>27.614999999999998</v>
      </c>
      <c r="N2752" s="8">
        <v>20.100000000000001</v>
      </c>
      <c r="O2752" s="8">
        <v>17.617999999999999</v>
      </c>
      <c r="P2752" s="8">
        <v>16.303999999999998</v>
      </c>
      <c r="Q2752" s="8">
        <v>14.62</v>
      </c>
      <c r="R2752" s="8">
        <v>12.112</v>
      </c>
      <c r="S2752" s="8">
        <v>9.9429999999999996</v>
      </c>
      <c r="T2752" s="8">
        <v>8.77</v>
      </c>
      <c r="U2752" s="8">
        <v>6.3250000000000002</v>
      </c>
      <c r="V2752" s="8">
        <v>6.0170000000000003</v>
      </c>
      <c r="W2752" s="8">
        <v>3.4809999999999999</v>
      </c>
      <c r="X2752" s="8">
        <v>2.113</v>
      </c>
      <c r="Y2752" s="8">
        <v>1.2769999999999999</v>
      </c>
      <c r="Z2752" s="8">
        <v>0.54600000000000004</v>
      </c>
      <c r="AA2752" s="8">
        <v>0.14000000000000001</v>
      </c>
      <c r="AB2752" s="8">
        <v>1.9E-2</v>
      </c>
      <c r="AC2752" s="8">
        <v>1E-3</v>
      </c>
    </row>
    <row r="2753" spans="1:29" ht="11.65" hidden="1" x14ac:dyDescent="0.35">
      <c r="A2753" s="12">
        <v>2736</v>
      </c>
      <c r="B2753" s="10" t="s">
        <v>1015</v>
      </c>
      <c r="C2753" s="11" t="s">
        <v>1206</v>
      </c>
      <c r="D2753" s="9"/>
      <c r="E2753" s="9">
        <v>328</v>
      </c>
      <c r="F2753" s="10" t="s">
        <v>1066</v>
      </c>
      <c r="G2753" s="9">
        <v>931</v>
      </c>
      <c r="H2753" s="9">
        <v>1975</v>
      </c>
      <c r="I2753" s="8">
        <v>58.189</v>
      </c>
      <c r="J2753" s="8">
        <v>56.944000000000003</v>
      </c>
      <c r="K2753" s="8">
        <v>48.072000000000003</v>
      </c>
      <c r="L2753" s="8">
        <v>44.334000000000003</v>
      </c>
      <c r="M2753" s="8">
        <v>34.865000000000002</v>
      </c>
      <c r="N2753" s="8">
        <v>23.521999999999998</v>
      </c>
      <c r="O2753" s="8">
        <v>19.606000000000002</v>
      </c>
      <c r="P2753" s="8">
        <v>17.225999999999999</v>
      </c>
      <c r="Q2753" s="8">
        <v>14.407</v>
      </c>
      <c r="R2753" s="8">
        <v>12.986000000000001</v>
      </c>
      <c r="S2753" s="8">
        <v>10.718</v>
      </c>
      <c r="T2753" s="8">
        <v>8.8800000000000008</v>
      </c>
      <c r="U2753" s="8">
        <v>6.4930000000000003</v>
      </c>
      <c r="V2753" s="8">
        <v>6.2060000000000004</v>
      </c>
      <c r="W2753" s="8">
        <v>3.6379999999999999</v>
      </c>
      <c r="X2753" s="8">
        <v>2.456</v>
      </c>
      <c r="Y2753" s="8">
        <v>1.468</v>
      </c>
      <c r="Z2753" s="8">
        <v>0.51300000000000001</v>
      </c>
      <c r="AA2753" s="8">
        <v>0.14000000000000001</v>
      </c>
      <c r="AB2753" s="8">
        <v>1.9E-2</v>
      </c>
      <c r="AC2753" s="8">
        <v>2E-3</v>
      </c>
    </row>
    <row r="2754" spans="1:29" ht="11.65" hidden="1" x14ac:dyDescent="0.35">
      <c r="A2754" s="12">
        <v>2737</v>
      </c>
      <c r="B2754" s="10" t="s">
        <v>1015</v>
      </c>
      <c r="C2754" s="11" t="s">
        <v>1206</v>
      </c>
      <c r="D2754" s="9"/>
      <c r="E2754" s="9">
        <v>328</v>
      </c>
      <c r="F2754" s="10" t="s">
        <v>1066</v>
      </c>
      <c r="G2754" s="9">
        <v>931</v>
      </c>
      <c r="H2754" s="9">
        <v>1980</v>
      </c>
      <c r="I2754" s="8">
        <v>52.707000000000001</v>
      </c>
      <c r="J2754" s="8">
        <v>55.423000000000002</v>
      </c>
      <c r="K2754" s="8">
        <v>54.682000000000002</v>
      </c>
      <c r="L2754" s="8">
        <v>45.82</v>
      </c>
      <c r="M2754" s="8">
        <v>39.790999999999997</v>
      </c>
      <c r="N2754" s="8">
        <v>29.681999999999999</v>
      </c>
      <c r="O2754" s="8">
        <v>21.405999999999999</v>
      </c>
      <c r="P2754" s="8">
        <v>17.085000000000001</v>
      </c>
      <c r="Q2754" s="8">
        <v>14.906000000000001</v>
      </c>
      <c r="R2754" s="8">
        <v>13.262</v>
      </c>
      <c r="S2754" s="8">
        <v>11.835000000000001</v>
      </c>
      <c r="T2754" s="8">
        <v>8.9410000000000007</v>
      </c>
      <c r="U2754" s="8">
        <v>6.6920000000000002</v>
      </c>
      <c r="V2754" s="8">
        <v>6.3710000000000004</v>
      </c>
      <c r="W2754" s="8">
        <v>3.782</v>
      </c>
      <c r="X2754" s="8">
        <v>2.7690000000000001</v>
      </c>
      <c r="Y2754" s="8">
        <v>1.5529999999999999</v>
      </c>
      <c r="Z2754" s="8">
        <v>0.58599999999999997</v>
      </c>
      <c r="AA2754" s="8">
        <v>0.127</v>
      </c>
      <c r="AB2754" s="8">
        <v>1.9E-2</v>
      </c>
      <c r="AC2754" s="8">
        <v>2E-3</v>
      </c>
    </row>
    <row r="2755" spans="1:29" ht="11.65" hidden="1" x14ac:dyDescent="0.35">
      <c r="A2755" s="12">
        <v>2738</v>
      </c>
      <c r="B2755" s="10" t="s">
        <v>1015</v>
      </c>
      <c r="C2755" s="11" t="s">
        <v>1206</v>
      </c>
      <c r="D2755" s="9"/>
      <c r="E2755" s="9">
        <v>328</v>
      </c>
      <c r="F2755" s="10" t="s">
        <v>1066</v>
      </c>
      <c r="G2755" s="9">
        <v>931</v>
      </c>
      <c r="H2755" s="9">
        <v>1985</v>
      </c>
      <c r="I2755" s="8">
        <v>51.337000000000003</v>
      </c>
      <c r="J2755" s="8">
        <v>47.613999999999997</v>
      </c>
      <c r="K2755" s="8">
        <v>50.750999999999998</v>
      </c>
      <c r="L2755" s="8">
        <v>49.975999999999999</v>
      </c>
      <c r="M2755" s="8">
        <v>43.186</v>
      </c>
      <c r="N2755" s="8">
        <v>33.662999999999997</v>
      </c>
      <c r="O2755" s="8">
        <v>25.259</v>
      </c>
      <c r="P2755" s="8">
        <v>16.111999999999998</v>
      </c>
      <c r="Q2755" s="8">
        <v>12.311999999999999</v>
      </c>
      <c r="R2755" s="8">
        <v>12.811999999999999</v>
      </c>
      <c r="S2755" s="8">
        <v>11.301</v>
      </c>
      <c r="T2755" s="8">
        <v>8.5690000000000008</v>
      </c>
      <c r="U2755" s="8">
        <v>5.008</v>
      </c>
      <c r="V2755" s="8">
        <v>7.45</v>
      </c>
      <c r="W2755" s="8">
        <v>2.4700000000000002</v>
      </c>
      <c r="X2755" s="8">
        <v>3.1619999999999999</v>
      </c>
      <c r="Y2755" s="8">
        <v>1.9470000000000001</v>
      </c>
      <c r="Z2755" s="8">
        <v>0.61899999999999999</v>
      </c>
      <c r="AA2755" s="8">
        <v>0.14399999999999999</v>
      </c>
      <c r="AB2755" s="8">
        <v>1.7000000000000001E-2</v>
      </c>
      <c r="AC2755" s="8">
        <v>1E-3</v>
      </c>
    </row>
    <row r="2756" spans="1:29" ht="11.65" hidden="1" x14ac:dyDescent="0.35">
      <c r="A2756" s="12">
        <v>2739</v>
      </c>
      <c r="B2756" s="10" t="s">
        <v>1015</v>
      </c>
      <c r="C2756" s="11" t="s">
        <v>1206</v>
      </c>
      <c r="D2756" s="9"/>
      <c r="E2756" s="9">
        <v>328</v>
      </c>
      <c r="F2756" s="10" t="s">
        <v>1066</v>
      </c>
      <c r="G2756" s="9">
        <v>931</v>
      </c>
      <c r="H2756" s="9">
        <v>1990</v>
      </c>
      <c r="I2756" s="8">
        <v>44.761000000000003</v>
      </c>
      <c r="J2756" s="8">
        <v>44.695999999999998</v>
      </c>
      <c r="K2756" s="8">
        <v>44.783999999999999</v>
      </c>
      <c r="L2756" s="8">
        <v>43.677999999999997</v>
      </c>
      <c r="M2756" s="8">
        <v>40.935000000000002</v>
      </c>
      <c r="N2756" s="8">
        <v>35.277000000000001</v>
      </c>
      <c r="O2756" s="8">
        <v>28.597000000000001</v>
      </c>
      <c r="P2756" s="8">
        <v>21.978000000000002</v>
      </c>
      <c r="Q2756" s="8">
        <v>17.308</v>
      </c>
      <c r="R2756" s="8">
        <v>12.968999999999999</v>
      </c>
      <c r="S2756" s="8">
        <v>10.815</v>
      </c>
      <c r="T2756" s="8">
        <v>8.3729999999999993</v>
      </c>
      <c r="U2756" s="8">
        <v>6.649</v>
      </c>
      <c r="V2756" s="8">
        <v>6.8289999999999997</v>
      </c>
      <c r="W2756" s="8">
        <v>3.63</v>
      </c>
      <c r="X2756" s="8">
        <v>2.5369999999999999</v>
      </c>
      <c r="Y2756" s="8">
        <v>1.7949999999999999</v>
      </c>
      <c r="Z2756" s="8">
        <v>0.78700000000000003</v>
      </c>
      <c r="AA2756" s="8">
        <v>0.155</v>
      </c>
      <c r="AB2756" s="8">
        <v>0.02</v>
      </c>
      <c r="AC2756" s="8">
        <v>1E-3</v>
      </c>
    </row>
    <row r="2757" spans="1:29" ht="11.65" hidden="1" x14ac:dyDescent="0.35">
      <c r="A2757" s="12">
        <v>2740</v>
      </c>
      <c r="B2757" s="10" t="s">
        <v>1015</v>
      </c>
      <c r="C2757" s="11" t="s">
        <v>1206</v>
      </c>
      <c r="D2757" s="9"/>
      <c r="E2757" s="9">
        <v>328</v>
      </c>
      <c r="F2757" s="10" t="s">
        <v>1066</v>
      </c>
      <c r="G2757" s="9">
        <v>931</v>
      </c>
      <c r="H2757" s="9">
        <v>1995</v>
      </c>
      <c r="I2757" s="8">
        <v>48.804000000000002</v>
      </c>
      <c r="J2757" s="8">
        <v>43.396000000000001</v>
      </c>
      <c r="K2757" s="8">
        <v>43.777999999999999</v>
      </c>
      <c r="L2757" s="8">
        <v>41.533000000000001</v>
      </c>
      <c r="M2757" s="8">
        <v>37.371000000000002</v>
      </c>
      <c r="N2757" s="8">
        <v>35.1</v>
      </c>
      <c r="O2757" s="8">
        <v>30.978000000000002</v>
      </c>
      <c r="P2757" s="8">
        <v>25.806999999999999</v>
      </c>
      <c r="Q2757" s="8">
        <v>19.603999999999999</v>
      </c>
      <c r="R2757" s="8">
        <v>15.611000000000001</v>
      </c>
      <c r="S2757" s="8">
        <v>11.678000000000001</v>
      </c>
      <c r="T2757" s="8">
        <v>9.6769999999999996</v>
      </c>
      <c r="U2757" s="8">
        <v>7.32</v>
      </c>
      <c r="V2757" s="8">
        <v>5.58</v>
      </c>
      <c r="W2757" s="8">
        <v>5.3449999999999998</v>
      </c>
      <c r="X2757" s="8">
        <v>2.5499999999999998</v>
      </c>
      <c r="Y2757" s="8">
        <v>1.4379999999999999</v>
      </c>
      <c r="Z2757" s="8">
        <v>0.72599999999999998</v>
      </c>
      <c r="AA2757" s="8">
        <v>0.19700000000000001</v>
      </c>
      <c r="AB2757" s="8">
        <v>2.1000000000000001E-2</v>
      </c>
      <c r="AC2757" s="8">
        <v>1E-3</v>
      </c>
    </row>
    <row r="2758" spans="1:29" ht="11.65" hidden="1" x14ac:dyDescent="0.35">
      <c r="A2758" s="12">
        <v>2741</v>
      </c>
      <c r="B2758" s="10" t="s">
        <v>1015</v>
      </c>
      <c r="C2758" s="11" t="s">
        <v>1206</v>
      </c>
      <c r="D2758" s="9"/>
      <c r="E2758" s="9">
        <v>328</v>
      </c>
      <c r="F2758" s="10" t="s">
        <v>1066</v>
      </c>
      <c r="G2758" s="9">
        <v>931</v>
      </c>
      <c r="H2758" s="9">
        <v>2000</v>
      </c>
      <c r="I2758" s="8">
        <v>47.210999999999999</v>
      </c>
      <c r="J2758" s="8">
        <v>46.889000000000003</v>
      </c>
      <c r="K2758" s="8">
        <v>37.753</v>
      </c>
      <c r="L2758" s="8">
        <v>34.959000000000003</v>
      </c>
      <c r="M2758" s="8">
        <v>35.975999999999999</v>
      </c>
      <c r="N2758" s="8">
        <v>32.872</v>
      </c>
      <c r="O2758" s="8">
        <v>29.73</v>
      </c>
      <c r="P2758" s="8">
        <v>25.74</v>
      </c>
      <c r="Q2758" s="8">
        <v>21.952999999999999</v>
      </c>
      <c r="R2758" s="8">
        <v>16.07</v>
      </c>
      <c r="S2758" s="8">
        <v>13.112</v>
      </c>
      <c r="T2758" s="8">
        <v>7.8040000000000003</v>
      </c>
      <c r="U2758" s="8">
        <v>8.2110000000000003</v>
      </c>
      <c r="V2758" s="8">
        <v>5.7889999999999997</v>
      </c>
      <c r="W2758" s="8">
        <v>4.6710000000000003</v>
      </c>
      <c r="X2758" s="8">
        <v>3.6440000000000001</v>
      </c>
      <c r="Y2758" s="8">
        <v>1.4470000000000001</v>
      </c>
      <c r="Z2758" s="8">
        <v>0.58199999999999996</v>
      </c>
      <c r="AA2758" s="8">
        <v>0.18099999999999999</v>
      </c>
      <c r="AB2758" s="8">
        <v>2.8000000000000001E-2</v>
      </c>
      <c r="AC2758" s="8">
        <v>2E-3</v>
      </c>
    </row>
    <row r="2759" spans="1:29" ht="11.65" hidden="1" x14ac:dyDescent="0.35">
      <c r="A2759" s="12">
        <v>2742</v>
      </c>
      <c r="B2759" s="10" t="s">
        <v>1015</v>
      </c>
      <c r="C2759" s="11" t="s">
        <v>1206</v>
      </c>
      <c r="D2759" s="9"/>
      <c r="E2759" s="9">
        <v>328</v>
      </c>
      <c r="F2759" s="10" t="s">
        <v>1066</v>
      </c>
      <c r="G2759" s="9">
        <v>931</v>
      </c>
      <c r="H2759" s="9">
        <v>2005</v>
      </c>
      <c r="I2759" s="8">
        <v>41.295999999999999</v>
      </c>
      <c r="J2759" s="8">
        <v>45.965000000000003</v>
      </c>
      <c r="K2759" s="8">
        <v>46.009</v>
      </c>
      <c r="L2759" s="8">
        <v>33.494999999999997</v>
      </c>
      <c r="M2759" s="8">
        <v>27.536999999999999</v>
      </c>
      <c r="N2759" s="8">
        <v>28.965</v>
      </c>
      <c r="O2759" s="8">
        <v>27.608000000000001</v>
      </c>
      <c r="P2759" s="8">
        <v>26.045999999999999</v>
      </c>
      <c r="Q2759" s="8">
        <v>23.148</v>
      </c>
      <c r="R2759" s="8">
        <v>20.026</v>
      </c>
      <c r="S2759" s="8">
        <v>14.593999999999999</v>
      </c>
      <c r="T2759" s="8">
        <v>11.817</v>
      </c>
      <c r="U2759" s="8">
        <v>6.81</v>
      </c>
      <c r="V2759" s="8">
        <v>7.01</v>
      </c>
      <c r="W2759" s="8">
        <v>4.681</v>
      </c>
      <c r="X2759" s="8">
        <v>3.5880000000000001</v>
      </c>
      <c r="Y2759" s="8">
        <v>2.4860000000000002</v>
      </c>
      <c r="Z2759" s="8">
        <v>0.84699999999999998</v>
      </c>
      <c r="AA2759" s="8">
        <v>0.28000000000000003</v>
      </c>
      <c r="AB2759" s="8">
        <v>6.8000000000000005E-2</v>
      </c>
      <c r="AC2759" s="8">
        <v>8.0000000000000002E-3</v>
      </c>
    </row>
    <row r="2760" spans="1:29" ht="11.65" hidden="1" x14ac:dyDescent="0.35">
      <c r="A2760" s="12">
        <v>2743</v>
      </c>
      <c r="B2760" s="10" t="s">
        <v>1015</v>
      </c>
      <c r="C2760" s="11" t="s">
        <v>1206</v>
      </c>
      <c r="D2760" s="9"/>
      <c r="E2760" s="9">
        <v>328</v>
      </c>
      <c r="F2760" s="10" t="s">
        <v>1066</v>
      </c>
      <c r="G2760" s="9">
        <v>931</v>
      </c>
      <c r="H2760" s="9">
        <v>2010</v>
      </c>
      <c r="I2760" s="8">
        <v>35.970999999999997</v>
      </c>
      <c r="J2760" s="8">
        <v>40.021999999999998</v>
      </c>
      <c r="K2760" s="8">
        <v>43.674999999999997</v>
      </c>
      <c r="L2760" s="8">
        <v>41.521000000000001</v>
      </c>
      <c r="M2760" s="8">
        <v>29.03</v>
      </c>
      <c r="N2760" s="8">
        <v>29.934999999999999</v>
      </c>
      <c r="O2760" s="8">
        <v>26.533999999999999</v>
      </c>
      <c r="P2760" s="8">
        <v>25.664999999999999</v>
      </c>
      <c r="Q2760" s="8">
        <v>23.777000000000001</v>
      </c>
      <c r="R2760" s="8">
        <v>21.225000000000001</v>
      </c>
      <c r="S2760" s="8">
        <v>17.61</v>
      </c>
      <c r="T2760" s="8">
        <v>13.696</v>
      </c>
      <c r="U2760" s="8">
        <v>9.6440000000000001</v>
      </c>
      <c r="V2760" s="8">
        <v>6.1680000000000001</v>
      </c>
      <c r="W2760" s="8">
        <v>6.1059999999999999</v>
      </c>
      <c r="X2760" s="8">
        <v>2.6040000000000001</v>
      </c>
      <c r="Y2760" s="8">
        <v>2.1659999999999999</v>
      </c>
      <c r="Z2760" s="8">
        <v>1.552</v>
      </c>
      <c r="AA2760" s="8">
        <v>0.438</v>
      </c>
      <c r="AB2760" s="8">
        <v>0.11600000000000001</v>
      </c>
      <c r="AC2760" s="8">
        <v>2.1999999999999999E-2</v>
      </c>
    </row>
    <row r="2761" spans="1:29" ht="11.65" hidden="1" x14ac:dyDescent="0.35">
      <c r="A2761" s="12">
        <v>2744</v>
      </c>
      <c r="B2761" s="10" t="s">
        <v>1015</v>
      </c>
      <c r="C2761" s="11" t="s">
        <v>1206</v>
      </c>
      <c r="D2761" s="9"/>
      <c r="E2761" s="9">
        <v>328</v>
      </c>
      <c r="F2761" s="10" t="s">
        <v>1066</v>
      </c>
      <c r="G2761" s="9">
        <v>931</v>
      </c>
      <c r="H2761" s="9">
        <v>2015</v>
      </c>
      <c r="I2761" s="8">
        <v>36.484999999999999</v>
      </c>
      <c r="J2761" s="8">
        <v>35.158000000000001</v>
      </c>
      <c r="K2761" s="8">
        <v>39.405999999999999</v>
      </c>
      <c r="L2761" s="8">
        <v>41.021000000000001</v>
      </c>
      <c r="M2761" s="8">
        <v>36.889000000000003</v>
      </c>
      <c r="N2761" s="8">
        <v>24.739000000000001</v>
      </c>
      <c r="O2761" s="8">
        <v>26.646999999999998</v>
      </c>
      <c r="P2761" s="8">
        <v>24.18</v>
      </c>
      <c r="Q2761" s="8">
        <v>23.972000000000001</v>
      </c>
      <c r="R2761" s="8">
        <v>22.504000000000001</v>
      </c>
      <c r="S2761" s="8">
        <v>19.925999999999998</v>
      </c>
      <c r="T2761" s="8">
        <v>16.376999999999999</v>
      </c>
      <c r="U2761" s="8">
        <v>12.71</v>
      </c>
      <c r="V2761" s="8">
        <v>8.7759999999999998</v>
      </c>
      <c r="W2761" s="8">
        <v>5.43</v>
      </c>
      <c r="X2761" s="8">
        <v>5.032</v>
      </c>
      <c r="Y2761" s="8">
        <v>1.9339999999999999</v>
      </c>
      <c r="Z2761" s="8">
        <v>1.43</v>
      </c>
      <c r="AA2761" s="8">
        <v>0.86199999999999999</v>
      </c>
      <c r="AB2761" s="8">
        <v>0.19500000000000001</v>
      </c>
      <c r="AC2761" s="8">
        <v>4.2999999999999997E-2</v>
      </c>
    </row>
    <row r="2762" spans="1:29" ht="11.65" hidden="1" x14ac:dyDescent="0.35">
      <c r="A2762" s="12">
        <v>2745</v>
      </c>
      <c r="B2762" s="10" t="s">
        <v>1015</v>
      </c>
      <c r="C2762" s="11" t="s">
        <v>1206</v>
      </c>
      <c r="D2762" s="9"/>
      <c r="E2762" s="9">
        <v>328</v>
      </c>
      <c r="F2762" s="10" t="s">
        <v>1066</v>
      </c>
      <c r="G2762" s="9">
        <v>931</v>
      </c>
      <c r="H2762" s="9">
        <v>2020</v>
      </c>
      <c r="I2762" s="8">
        <v>35.956000000000003</v>
      </c>
      <c r="J2762" s="8">
        <v>35.799999999999997</v>
      </c>
      <c r="K2762" s="8">
        <v>34.634</v>
      </c>
      <c r="L2762" s="8">
        <v>37.137999999999998</v>
      </c>
      <c r="M2762" s="8">
        <v>37.036999999999999</v>
      </c>
      <c r="N2762" s="8">
        <v>33.104999999999997</v>
      </c>
      <c r="O2762" s="8">
        <v>21.952999999999999</v>
      </c>
      <c r="P2762" s="8">
        <v>24.585999999999999</v>
      </c>
      <c r="Q2762" s="8">
        <v>22.704999999999998</v>
      </c>
      <c r="R2762" s="8">
        <v>22.823</v>
      </c>
      <c r="S2762" s="8">
        <v>21.245999999999999</v>
      </c>
      <c r="T2762" s="8">
        <v>18.635000000000002</v>
      </c>
      <c r="U2762" s="8">
        <v>15.284000000000001</v>
      </c>
      <c r="V2762" s="8">
        <v>11.638999999999999</v>
      </c>
      <c r="W2762" s="8">
        <v>7.7850000000000001</v>
      </c>
      <c r="X2762" s="8">
        <v>4.4379999999999997</v>
      </c>
      <c r="Y2762" s="8">
        <v>3.702</v>
      </c>
      <c r="Z2762" s="8">
        <v>1.286</v>
      </c>
      <c r="AA2762" s="8">
        <v>0.79700000000000004</v>
      </c>
      <c r="AB2762" s="8">
        <v>0.38700000000000001</v>
      </c>
      <c r="AC2762" s="8">
        <v>7.3999999999999996E-2</v>
      </c>
    </row>
    <row r="2763" spans="1:29" ht="11.65" hidden="1" x14ac:dyDescent="0.35">
      <c r="A2763" s="12">
        <v>2746</v>
      </c>
      <c r="B2763" s="10" t="s">
        <v>1015</v>
      </c>
      <c r="C2763" s="11" t="s">
        <v>1207</v>
      </c>
      <c r="D2763" s="9"/>
      <c r="E2763" s="9">
        <v>600</v>
      </c>
      <c r="F2763" s="10" t="s">
        <v>1066</v>
      </c>
      <c r="G2763" s="9">
        <v>931</v>
      </c>
      <c r="H2763" s="9">
        <v>1950</v>
      </c>
      <c r="I2763" s="8">
        <v>132.16</v>
      </c>
      <c r="J2763" s="8">
        <v>112.643</v>
      </c>
      <c r="K2763" s="8">
        <v>93.980999999999995</v>
      </c>
      <c r="L2763" s="8">
        <v>73.576999999999998</v>
      </c>
      <c r="M2763" s="8">
        <v>67.442999999999998</v>
      </c>
      <c r="N2763" s="8">
        <v>54.988</v>
      </c>
      <c r="O2763" s="8">
        <v>44.741</v>
      </c>
      <c r="P2763" s="8">
        <v>36.853000000000002</v>
      </c>
      <c r="Q2763" s="8">
        <v>30.597000000000001</v>
      </c>
      <c r="R2763" s="8">
        <v>25.358000000000001</v>
      </c>
      <c r="S2763" s="8">
        <v>20.788</v>
      </c>
      <c r="T2763" s="8">
        <v>16.808</v>
      </c>
      <c r="U2763" s="8">
        <v>13.285</v>
      </c>
      <c r="V2763" s="8">
        <v>10.141</v>
      </c>
      <c r="W2763" s="8">
        <v>7.2370000000000001</v>
      </c>
      <c r="X2763" s="8">
        <v>4.4989999999999997</v>
      </c>
      <c r="Y2763" s="8">
        <v>2.1779999999999999</v>
      </c>
      <c r="Z2763" s="8">
        <v>0.76800000000000002</v>
      </c>
      <c r="AA2763" s="8">
        <v>0.188</v>
      </c>
      <c r="AB2763" s="8">
        <v>0.03</v>
      </c>
      <c r="AC2763" s="8">
        <v>4.0000000000000001E-3</v>
      </c>
    </row>
    <row r="2764" spans="1:29" ht="11.65" hidden="1" x14ac:dyDescent="0.35">
      <c r="A2764" s="12">
        <v>2747</v>
      </c>
      <c r="B2764" s="10" t="s">
        <v>1015</v>
      </c>
      <c r="C2764" s="11" t="s">
        <v>1207</v>
      </c>
      <c r="D2764" s="9"/>
      <c r="E2764" s="9">
        <v>600</v>
      </c>
      <c r="F2764" s="10" t="s">
        <v>1066</v>
      </c>
      <c r="G2764" s="9">
        <v>931</v>
      </c>
      <c r="H2764" s="9">
        <v>1955</v>
      </c>
      <c r="I2764" s="8">
        <v>156.96700000000001</v>
      </c>
      <c r="J2764" s="8">
        <v>129.46199999999999</v>
      </c>
      <c r="K2764" s="8">
        <v>104.919</v>
      </c>
      <c r="L2764" s="8">
        <v>85.293999999999997</v>
      </c>
      <c r="M2764" s="8">
        <v>65.718000000000004</v>
      </c>
      <c r="N2764" s="8">
        <v>61.101999999999997</v>
      </c>
      <c r="O2764" s="8">
        <v>50.265999999999998</v>
      </c>
      <c r="P2764" s="8">
        <v>42.457000000000001</v>
      </c>
      <c r="Q2764" s="8">
        <v>35.273000000000003</v>
      </c>
      <c r="R2764" s="8">
        <v>29.661999999999999</v>
      </c>
      <c r="S2764" s="8">
        <v>24.728000000000002</v>
      </c>
      <c r="T2764" s="8">
        <v>20.103000000000002</v>
      </c>
      <c r="U2764" s="8">
        <v>15.752000000000001</v>
      </c>
      <c r="V2764" s="8">
        <v>11.951000000000001</v>
      </c>
      <c r="W2764" s="8">
        <v>8.5020000000000007</v>
      </c>
      <c r="X2764" s="8">
        <v>5.2709999999999999</v>
      </c>
      <c r="Y2764" s="8">
        <v>2.6840000000000002</v>
      </c>
      <c r="Z2764" s="8">
        <v>0.97599999999999998</v>
      </c>
      <c r="AA2764" s="8">
        <v>0.245</v>
      </c>
      <c r="AB2764" s="8">
        <v>4.1000000000000002E-2</v>
      </c>
      <c r="AC2764" s="8">
        <v>5.0000000000000001E-3</v>
      </c>
    </row>
    <row r="2765" spans="1:29" ht="11.65" hidden="1" x14ac:dyDescent="0.35">
      <c r="A2765" s="12">
        <v>2748</v>
      </c>
      <c r="B2765" s="10" t="s">
        <v>1015</v>
      </c>
      <c r="C2765" s="11" t="s">
        <v>1207</v>
      </c>
      <c r="D2765" s="9"/>
      <c r="E2765" s="9">
        <v>600</v>
      </c>
      <c r="F2765" s="10" t="s">
        <v>1066</v>
      </c>
      <c r="G2765" s="9">
        <v>931</v>
      </c>
      <c r="H2765" s="9">
        <v>1960</v>
      </c>
      <c r="I2765" s="8">
        <v>172.34399999999999</v>
      </c>
      <c r="J2765" s="8">
        <v>153.96799999999999</v>
      </c>
      <c r="K2765" s="8">
        <v>122.262</v>
      </c>
      <c r="L2765" s="8">
        <v>96.016000000000005</v>
      </c>
      <c r="M2765" s="8">
        <v>76.831999999999994</v>
      </c>
      <c r="N2765" s="8">
        <v>59.186999999999998</v>
      </c>
      <c r="O2765" s="8">
        <v>56.831000000000003</v>
      </c>
      <c r="P2765" s="8">
        <v>48.034999999999997</v>
      </c>
      <c r="Q2765" s="8">
        <v>40.825000000000003</v>
      </c>
      <c r="R2765" s="8">
        <v>34.100999999999999</v>
      </c>
      <c r="S2765" s="8">
        <v>28.803999999999998</v>
      </c>
      <c r="T2765" s="8">
        <v>23.748999999999999</v>
      </c>
      <c r="U2765" s="8">
        <v>18.754999999999999</v>
      </c>
      <c r="V2765" s="8">
        <v>14.058</v>
      </c>
      <c r="W2765" s="8">
        <v>9.8580000000000005</v>
      </c>
      <c r="X2765" s="8">
        <v>6.202</v>
      </c>
      <c r="Y2765" s="8">
        <v>3.1549999999999998</v>
      </c>
      <c r="Z2765" s="8">
        <v>1.2070000000000001</v>
      </c>
      <c r="AA2765" s="8">
        <v>0.313</v>
      </c>
      <c r="AB2765" s="8">
        <v>5.3999999999999999E-2</v>
      </c>
      <c r="AC2765" s="8">
        <v>6.0000000000000001E-3</v>
      </c>
    </row>
    <row r="2766" spans="1:29" ht="11.65" hidden="1" x14ac:dyDescent="0.35">
      <c r="A2766" s="12">
        <v>2749</v>
      </c>
      <c r="B2766" s="10" t="s">
        <v>1015</v>
      </c>
      <c r="C2766" s="11" t="s">
        <v>1207</v>
      </c>
      <c r="D2766" s="9"/>
      <c r="E2766" s="9">
        <v>600</v>
      </c>
      <c r="F2766" s="10" t="s">
        <v>1066</v>
      </c>
      <c r="G2766" s="9">
        <v>931</v>
      </c>
      <c r="H2766" s="9">
        <v>1965</v>
      </c>
      <c r="I2766" s="8">
        <v>191.261</v>
      </c>
      <c r="J2766" s="8">
        <v>169.50800000000001</v>
      </c>
      <c r="K2766" s="8">
        <v>147.30799999999999</v>
      </c>
      <c r="L2766" s="8">
        <v>113.33199999999999</v>
      </c>
      <c r="M2766" s="8">
        <v>86.287000000000006</v>
      </c>
      <c r="N2766" s="8">
        <v>69.930000000000007</v>
      </c>
      <c r="O2766" s="8">
        <v>55.228000000000002</v>
      </c>
      <c r="P2766" s="8">
        <v>54.796999999999997</v>
      </c>
      <c r="Q2766" s="8">
        <v>46.313000000000002</v>
      </c>
      <c r="R2766" s="8">
        <v>39.356999999999999</v>
      </c>
      <c r="S2766" s="8">
        <v>32.768000000000001</v>
      </c>
      <c r="T2766" s="8">
        <v>27.337</v>
      </c>
      <c r="U2766" s="8">
        <v>22.052</v>
      </c>
      <c r="V2766" s="8">
        <v>16.640999999999998</v>
      </c>
      <c r="W2766" s="8">
        <v>11.568</v>
      </c>
      <c r="X2766" s="8">
        <v>7.2290000000000001</v>
      </c>
      <c r="Y2766" s="8">
        <v>3.7349999999999999</v>
      </c>
      <c r="Z2766" s="8">
        <v>1.429</v>
      </c>
      <c r="AA2766" s="8">
        <v>0.38900000000000001</v>
      </c>
      <c r="AB2766" s="8">
        <v>6.9000000000000006E-2</v>
      </c>
      <c r="AC2766" s="8">
        <v>8.0000000000000002E-3</v>
      </c>
    </row>
    <row r="2767" spans="1:29" ht="11.65" hidden="1" x14ac:dyDescent="0.35">
      <c r="A2767" s="12">
        <v>2750</v>
      </c>
      <c r="B2767" s="10" t="s">
        <v>1015</v>
      </c>
      <c r="C2767" s="11" t="s">
        <v>1207</v>
      </c>
      <c r="D2767" s="9"/>
      <c r="E2767" s="9">
        <v>600</v>
      </c>
      <c r="F2767" s="10" t="s">
        <v>1066</v>
      </c>
      <c r="G2767" s="9">
        <v>931</v>
      </c>
      <c r="H2767" s="9">
        <v>1970</v>
      </c>
      <c r="I2767" s="8">
        <v>209.001</v>
      </c>
      <c r="J2767" s="8">
        <v>188.37100000000001</v>
      </c>
      <c r="K2767" s="8">
        <v>163.06200000000001</v>
      </c>
      <c r="L2767" s="8">
        <v>138.03899999999999</v>
      </c>
      <c r="M2767" s="8">
        <v>102.858</v>
      </c>
      <c r="N2767" s="8">
        <v>78.89</v>
      </c>
      <c r="O2767" s="8">
        <v>66.099000000000004</v>
      </c>
      <c r="P2767" s="8">
        <v>53.503</v>
      </c>
      <c r="Q2767" s="8">
        <v>53.04</v>
      </c>
      <c r="R2767" s="8">
        <v>44.814999999999998</v>
      </c>
      <c r="S2767" s="8">
        <v>37.82</v>
      </c>
      <c r="T2767" s="8">
        <v>31.091000000000001</v>
      </c>
      <c r="U2767" s="8">
        <v>25.4</v>
      </c>
      <c r="V2767" s="8">
        <v>19.608000000000001</v>
      </c>
      <c r="W2767" s="8">
        <v>13.717000000000001</v>
      </c>
      <c r="X2767" s="8">
        <v>8.5069999999999997</v>
      </c>
      <c r="Y2767" s="8">
        <v>4.33</v>
      </c>
      <c r="Z2767" s="8">
        <v>1.6479999999999999</v>
      </c>
      <c r="AA2767" s="8">
        <v>0.44</v>
      </c>
      <c r="AB2767" s="8">
        <v>7.9000000000000001E-2</v>
      </c>
      <c r="AC2767" s="8">
        <v>0.01</v>
      </c>
    </row>
    <row r="2768" spans="1:29" ht="11.65" hidden="1" x14ac:dyDescent="0.35">
      <c r="A2768" s="12">
        <v>2751</v>
      </c>
      <c r="B2768" s="10" t="s">
        <v>1015</v>
      </c>
      <c r="C2768" s="11" t="s">
        <v>1207</v>
      </c>
      <c r="D2768" s="9"/>
      <c r="E2768" s="9">
        <v>600</v>
      </c>
      <c r="F2768" s="10" t="s">
        <v>1066</v>
      </c>
      <c r="G2768" s="9">
        <v>931</v>
      </c>
      <c r="H2768" s="9">
        <v>1975</v>
      </c>
      <c r="I2768" s="8">
        <v>215.47499999999999</v>
      </c>
      <c r="J2768" s="8">
        <v>205.965</v>
      </c>
      <c r="K2768" s="8">
        <v>181.75800000000001</v>
      </c>
      <c r="L2768" s="8">
        <v>154.012</v>
      </c>
      <c r="M2768" s="8">
        <v>127.383</v>
      </c>
      <c r="N2768" s="8">
        <v>95.519000000000005</v>
      </c>
      <c r="O2768" s="8">
        <v>75.412000000000006</v>
      </c>
      <c r="P2768" s="8">
        <v>64.594999999999999</v>
      </c>
      <c r="Q2768" s="8">
        <v>52.216000000000001</v>
      </c>
      <c r="R2768" s="8">
        <v>51.741</v>
      </c>
      <c r="S2768" s="8">
        <v>43.308999999999997</v>
      </c>
      <c r="T2768" s="8">
        <v>36.012</v>
      </c>
      <c r="U2768" s="8">
        <v>29.023</v>
      </c>
      <c r="V2768" s="8">
        <v>22.74</v>
      </c>
      <c r="W2768" s="8">
        <v>16.378</v>
      </c>
      <c r="X2768" s="8">
        <v>10.228</v>
      </c>
      <c r="Y2768" s="8">
        <v>5.1459999999999999</v>
      </c>
      <c r="Z2768" s="8">
        <v>1.893</v>
      </c>
      <c r="AA2768" s="8">
        <v>0.49099999999999999</v>
      </c>
      <c r="AB2768" s="8">
        <v>8.6999999999999994E-2</v>
      </c>
      <c r="AC2768" s="8">
        <v>0.01</v>
      </c>
    </row>
    <row r="2769" spans="1:29" ht="11.65" hidden="1" x14ac:dyDescent="0.35">
      <c r="A2769" s="12">
        <v>2752</v>
      </c>
      <c r="B2769" s="10" t="s">
        <v>1015</v>
      </c>
      <c r="C2769" s="11" t="s">
        <v>1207</v>
      </c>
      <c r="D2769" s="9"/>
      <c r="E2769" s="9">
        <v>600</v>
      </c>
      <c r="F2769" s="10" t="s">
        <v>1066</v>
      </c>
      <c r="G2769" s="9">
        <v>931</v>
      </c>
      <c r="H2769" s="9">
        <v>1980</v>
      </c>
      <c r="I2769" s="8">
        <v>248.96100000000001</v>
      </c>
      <c r="J2769" s="8">
        <v>212.71700000000001</v>
      </c>
      <c r="K2769" s="8">
        <v>200.38399999999999</v>
      </c>
      <c r="L2769" s="8">
        <v>173.17599999999999</v>
      </c>
      <c r="M2769" s="8">
        <v>144.239</v>
      </c>
      <c r="N2769" s="8">
        <v>120.645</v>
      </c>
      <c r="O2769" s="8">
        <v>92.427000000000007</v>
      </c>
      <c r="P2769" s="8">
        <v>74.161000000000001</v>
      </c>
      <c r="Q2769" s="8">
        <v>64.051000000000002</v>
      </c>
      <c r="R2769" s="8">
        <v>51.404000000000003</v>
      </c>
      <c r="S2769" s="8">
        <v>50.286999999999999</v>
      </c>
      <c r="T2769" s="8">
        <v>41.395000000000003</v>
      </c>
      <c r="U2769" s="8">
        <v>33.749000000000002</v>
      </c>
      <c r="V2769" s="8">
        <v>26.12</v>
      </c>
      <c r="W2769" s="8">
        <v>19.219000000000001</v>
      </c>
      <c r="X2769" s="8">
        <v>12.46</v>
      </c>
      <c r="Y2769" s="8">
        <v>6.383</v>
      </c>
      <c r="Z2769" s="8">
        <v>2.343</v>
      </c>
      <c r="AA2769" s="8">
        <v>0.59499999999999997</v>
      </c>
      <c r="AB2769" s="8">
        <v>0.104</v>
      </c>
      <c r="AC2769" s="8">
        <v>1.2E-2</v>
      </c>
    </row>
    <row r="2770" spans="1:29" ht="11.65" hidden="1" x14ac:dyDescent="0.35">
      <c r="A2770" s="12">
        <v>2753</v>
      </c>
      <c r="B2770" s="10" t="s">
        <v>1015</v>
      </c>
      <c r="C2770" s="11" t="s">
        <v>1207</v>
      </c>
      <c r="D2770" s="9"/>
      <c r="E2770" s="9">
        <v>600</v>
      </c>
      <c r="F2770" s="10" t="s">
        <v>1066</v>
      </c>
      <c r="G2770" s="9">
        <v>931</v>
      </c>
      <c r="H2770" s="9">
        <v>1985</v>
      </c>
      <c r="I2770" s="8">
        <v>292.29700000000003</v>
      </c>
      <c r="J2770" s="8">
        <v>246.46</v>
      </c>
      <c r="K2770" s="8">
        <v>209.45400000000001</v>
      </c>
      <c r="L2770" s="8">
        <v>195.22</v>
      </c>
      <c r="M2770" s="8">
        <v>167.292</v>
      </c>
      <c r="N2770" s="8">
        <v>140.79</v>
      </c>
      <c r="O2770" s="8">
        <v>118.357</v>
      </c>
      <c r="P2770" s="8">
        <v>91.296999999999997</v>
      </c>
      <c r="Q2770" s="8">
        <v>73.587999999999994</v>
      </c>
      <c r="R2770" s="8">
        <v>63.21</v>
      </c>
      <c r="S2770" s="8">
        <v>50.054000000000002</v>
      </c>
      <c r="T2770" s="8">
        <v>48.209000000000003</v>
      </c>
      <c r="U2770" s="8">
        <v>38.889000000000003</v>
      </c>
      <c r="V2770" s="8">
        <v>30.545000000000002</v>
      </c>
      <c r="W2770" s="8">
        <v>22.286000000000001</v>
      </c>
      <c r="X2770" s="8">
        <v>14.891</v>
      </c>
      <c r="Y2770" s="8">
        <v>7.9939999999999998</v>
      </c>
      <c r="Z2770" s="8">
        <v>3.0190000000000001</v>
      </c>
      <c r="AA2770" s="8">
        <v>0.77300000000000002</v>
      </c>
      <c r="AB2770" s="8">
        <v>0.13100000000000001</v>
      </c>
      <c r="AC2770" s="8">
        <v>1.4999999999999999E-2</v>
      </c>
    </row>
    <row r="2771" spans="1:29" ht="11.65" hidden="1" x14ac:dyDescent="0.35">
      <c r="A2771" s="12">
        <v>2754</v>
      </c>
      <c r="B2771" s="10" t="s">
        <v>1015</v>
      </c>
      <c r="C2771" s="11" t="s">
        <v>1207</v>
      </c>
      <c r="D2771" s="9"/>
      <c r="E2771" s="9">
        <v>600</v>
      </c>
      <c r="F2771" s="10" t="s">
        <v>1066</v>
      </c>
      <c r="G2771" s="9">
        <v>931</v>
      </c>
      <c r="H2771" s="9">
        <v>1990</v>
      </c>
      <c r="I2771" s="8">
        <v>322.96600000000001</v>
      </c>
      <c r="J2771" s="8">
        <v>289.64699999999999</v>
      </c>
      <c r="K2771" s="8">
        <v>244.26900000000001</v>
      </c>
      <c r="L2771" s="8">
        <v>206.48599999999999</v>
      </c>
      <c r="M2771" s="8">
        <v>190.47399999999999</v>
      </c>
      <c r="N2771" s="8">
        <v>163.66300000000001</v>
      </c>
      <c r="O2771" s="8">
        <v>138.45599999999999</v>
      </c>
      <c r="P2771" s="8">
        <v>116.664</v>
      </c>
      <c r="Q2771" s="8">
        <v>90.501000000000005</v>
      </c>
      <c r="R2771" s="8">
        <v>72.646000000000001</v>
      </c>
      <c r="S2771" s="8">
        <v>61.581000000000003</v>
      </c>
      <c r="T2771" s="8">
        <v>48.017000000000003</v>
      </c>
      <c r="U2771" s="8">
        <v>45.28</v>
      </c>
      <c r="V2771" s="8">
        <v>35.223999999999997</v>
      </c>
      <c r="W2771" s="8">
        <v>26.143000000000001</v>
      </c>
      <c r="X2771" s="8">
        <v>17.41</v>
      </c>
      <c r="Y2771" s="8">
        <v>9.6440000000000001</v>
      </c>
      <c r="Z2771" s="8">
        <v>3.7919999999999998</v>
      </c>
      <c r="AA2771" s="8">
        <v>0.98299999999999998</v>
      </c>
      <c r="AB2771" s="8">
        <v>0.16300000000000001</v>
      </c>
      <c r="AC2771" s="8">
        <v>1.6E-2</v>
      </c>
    </row>
    <row r="2772" spans="1:29" ht="11.65" hidden="1" x14ac:dyDescent="0.35">
      <c r="A2772" s="12">
        <v>2755</v>
      </c>
      <c r="B2772" s="10" t="s">
        <v>1015</v>
      </c>
      <c r="C2772" s="11" t="s">
        <v>1207</v>
      </c>
      <c r="D2772" s="9"/>
      <c r="E2772" s="9">
        <v>600</v>
      </c>
      <c r="F2772" s="10" t="s">
        <v>1066</v>
      </c>
      <c r="G2772" s="9">
        <v>931</v>
      </c>
      <c r="H2772" s="9">
        <v>1995</v>
      </c>
      <c r="I2772" s="8">
        <v>338.01900000000001</v>
      </c>
      <c r="J2772" s="8">
        <v>320.84199999999998</v>
      </c>
      <c r="K2772" s="8">
        <v>288.39999999999998</v>
      </c>
      <c r="L2772" s="8">
        <v>241.126</v>
      </c>
      <c r="M2772" s="8">
        <v>201.29900000000001</v>
      </c>
      <c r="N2772" s="8">
        <v>182.38399999999999</v>
      </c>
      <c r="O2772" s="8">
        <v>157.584</v>
      </c>
      <c r="P2772" s="8">
        <v>135.73599999999999</v>
      </c>
      <c r="Q2772" s="8">
        <v>115.20099999999999</v>
      </c>
      <c r="R2772" s="8">
        <v>89.09</v>
      </c>
      <c r="S2772" s="8">
        <v>70.766000000000005</v>
      </c>
      <c r="T2772" s="8">
        <v>59.069000000000003</v>
      </c>
      <c r="U2772" s="8">
        <v>45.165999999999997</v>
      </c>
      <c r="V2772" s="8">
        <v>41.207999999999998</v>
      </c>
      <c r="W2772" s="8">
        <v>30.484999999999999</v>
      </c>
      <c r="X2772" s="8">
        <v>20.922999999999998</v>
      </c>
      <c r="Y2772" s="8">
        <v>11.706</v>
      </c>
      <c r="Z2772" s="8">
        <v>4.8179999999999996</v>
      </c>
      <c r="AA2772" s="8">
        <v>1.32</v>
      </c>
      <c r="AB2772" s="8">
        <v>0.222</v>
      </c>
      <c r="AC2772" s="8">
        <v>2.1999999999999999E-2</v>
      </c>
    </row>
    <row r="2773" spans="1:29" ht="11.65" hidden="1" x14ac:dyDescent="0.35">
      <c r="A2773" s="12">
        <v>2756</v>
      </c>
      <c r="B2773" s="10" t="s">
        <v>1015</v>
      </c>
      <c r="C2773" s="11" t="s">
        <v>1207</v>
      </c>
      <c r="D2773" s="9"/>
      <c r="E2773" s="9">
        <v>600</v>
      </c>
      <c r="F2773" s="10" t="s">
        <v>1066</v>
      </c>
      <c r="G2773" s="9">
        <v>931</v>
      </c>
      <c r="H2773" s="9">
        <v>2000</v>
      </c>
      <c r="I2773" s="8">
        <v>347.33800000000002</v>
      </c>
      <c r="J2773" s="8">
        <v>336.10899999999998</v>
      </c>
      <c r="K2773" s="8">
        <v>319.48099999999999</v>
      </c>
      <c r="L2773" s="8">
        <v>285.72399999999999</v>
      </c>
      <c r="M2773" s="8">
        <v>235.74799999999999</v>
      </c>
      <c r="N2773" s="8">
        <v>193.452</v>
      </c>
      <c r="O2773" s="8">
        <v>172.99600000000001</v>
      </c>
      <c r="P2773" s="8">
        <v>152.227</v>
      </c>
      <c r="Q2773" s="8">
        <v>132.17599999999999</v>
      </c>
      <c r="R2773" s="8">
        <v>112.166</v>
      </c>
      <c r="S2773" s="8">
        <v>86.363</v>
      </c>
      <c r="T2773" s="8">
        <v>67.787999999999997</v>
      </c>
      <c r="U2773" s="8">
        <v>55.598999999999997</v>
      </c>
      <c r="V2773" s="8">
        <v>41.264000000000003</v>
      </c>
      <c r="W2773" s="8">
        <v>36.01</v>
      </c>
      <c r="X2773" s="8">
        <v>24.923999999999999</v>
      </c>
      <c r="Y2773" s="8">
        <v>14.554</v>
      </c>
      <c r="Z2773" s="8">
        <v>6.1369999999999996</v>
      </c>
      <c r="AA2773" s="8">
        <v>1.7849999999999999</v>
      </c>
      <c r="AB2773" s="8">
        <v>0.32200000000000001</v>
      </c>
      <c r="AC2773" s="8">
        <v>3.3000000000000002E-2</v>
      </c>
    </row>
    <row r="2774" spans="1:29" ht="11.65" hidden="1" x14ac:dyDescent="0.35">
      <c r="A2774" s="12">
        <v>2757</v>
      </c>
      <c r="B2774" s="10" t="s">
        <v>1015</v>
      </c>
      <c r="C2774" s="11" t="s">
        <v>1207</v>
      </c>
      <c r="D2774" s="9"/>
      <c r="E2774" s="9">
        <v>600</v>
      </c>
      <c r="F2774" s="10" t="s">
        <v>1066</v>
      </c>
      <c r="G2774" s="9">
        <v>931</v>
      </c>
      <c r="H2774" s="9">
        <v>2005</v>
      </c>
      <c r="I2774" s="8">
        <v>331.71699999999998</v>
      </c>
      <c r="J2774" s="8">
        <v>345.52199999999999</v>
      </c>
      <c r="K2774" s="8">
        <v>334.70699999999999</v>
      </c>
      <c r="L2774" s="8">
        <v>317.00099999999998</v>
      </c>
      <c r="M2774" s="8">
        <v>279.87400000000002</v>
      </c>
      <c r="N2774" s="8">
        <v>226.011</v>
      </c>
      <c r="O2774" s="8">
        <v>182.43799999999999</v>
      </c>
      <c r="P2774" s="8">
        <v>166.84800000000001</v>
      </c>
      <c r="Q2774" s="8">
        <v>149.36799999999999</v>
      </c>
      <c r="R2774" s="8">
        <v>129.631</v>
      </c>
      <c r="S2774" s="8">
        <v>109.322</v>
      </c>
      <c r="T2774" s="8">
        <v>83.135000000000005</v>
      </c>
      <c r="U2774" s="8">
        <v>64.149000000000001</v>
      </c>
      <c r="V2774" s="8">
        <v>51.158000000000001</v>
      </c>
      <c r="W2774" s="8">
        <v>36.572000000000003</v>
      </c>
      <c r="X2774" s="8">
        <v>30.28</v>
      </c>
      <c r="Y2774" s="8">
        <v>18.125</v>
      </c>
      <c r="Z2774" s="8">
        <v>8.11</v>
      </c>
      <c r="AA2774" s="8">
        <v>2.464</v>
      </c>
      <c r="AB2774" s="8">
        <v>0.48199999999999998</v>
      </c>
      <c r="AC2774" s="8">
        <v>5.5E-2</v>
      </c>
    </row>
    <row r="2775" spans="1:29" ht="11.65" hidden="1" x14ac:dyDescent="0.35">
      <c r="A2775" s="12">
        <v>2758</v>
      </c>
      <c r="B2775" s="10" t="s">
        <v>1015</v>
      </c>
      <c r="C2775" s="11" t="s">
        <v>1207</v>
      </c>
      <c r="D2775" s="9"/>
      <c r="E2775" s="9">
        <v>600</v>
      </c>
      <c r="F2775" s="10" t="s">
        <v>1066</v>
      </c>
      <c r="G2775" s="9">
        <v>931</v>
      </c>
      <c r="H2775" s="9">
        <v>2010</v>
      </c>
      <c r="I2775" s="8">
        <v>335.73500000000001</v>
      </c>
      <c r="J2775" s="8">
        <v>328.94400000000002</v>
      </c>
      <c r="K2775" s="8">
        <v>341.54399999999998</v>
      </c>
      <c r="L2775" s="8">
        <v>329.209</v>
      </c>
      <c r="M2775" s="8">
        <v>308.11599999999999</v>
      </c>
      <c r="N2775" s="8">
        <v>269.02999999999997</v>
      </c>
      <c r="O2775" s="8">
        <v>214.262</v>
      </c>
      <c r="P2775" s="8">
        <v>170.44</v>
      </c>
      <c r="Q2775" s="8">
        <v>157.66900000000001</v>
      </c>
      <c r="R2775" s="8">
        <v>140.499</v>
      </c>
      <c r="S2775" s="8">
        <v>120.72</v>
      </c>
      <c r="T2775" s="8">
        <v>103.33499999999999</v>
      </c>
      <c r="U2775" s="8">
        <v>77.822000000000003</v>
      </c>
      <c r="V2775" s="8">
        <v>58.933</v>
      </c>
      <c r="W2775" s="8">
        <v>45.654000000000003</v>
      </c>
      <c r="X2775" s="8">
        <v>31.03</v>
      </c>
      <c r="Y2775" s="8">
        <v>22.405999999999999</v>
      </c>
      <c r="Z2775" s="8">
        <v>10.429</v>
      </c>
      <c r="AA2775" s="8">
        <v>3.4140000000000001</v>
      </c>
      <c r="AB2775" s="8">
        <v>0.70799999999999996</v>
      </c>
      <c r="AC2775" s="8">
        <v>8.8999999999999996E-2</v>
      </c>
    </row>
    <row r="2776" spans="1:29" ht="11.65" hidden="1" x14ac:dyDescent="0.35">
      <c r="A2776" s="12">
        <v>2759</v>
      </c>
      <c r="B2776" s="10" t="s">
        <v>1015</v>
      </c>
      <c r="C2776" s="11" t="s">
        <v>1207</v>
      </c>
      <c r="D2776" s="9"/>
      <c r="E2776" s="9">
        <v>600</v>
      </c>
      <c r="F2776" s="10" t="s">
        <v>1066</v>
      </c>
      <c r="G2776" s="9">
        <v>931</v>
      </c>
      <c r="H2776" s="9">
        <v>2015</v>
      </c>
      <c r="I2776" s="8">
        <v>335.61900000000003</v>
      </c>
      <c r="J2776" s="8">
        <v>333.71899999999999</v>
      </c>
      <c r="K2776" s="8">
        <v>325.92399999999998</v>
      </c>
      <c r="L2776" s="8">
        <v>337.33199999999999</v>
      </c>
      <c r="M2776" s="8">
        <v>322.37099999999998</v>
      </c>
      <c r="N2776" s="8">
        <v>299.68400000000003</v>
      </c>
      <c r="O2776" s="8">
        <v>259.80399999999997</v>
      </c>
      <c r="P2776" s="8">
        <v>204.91300000000001</v>
      </c>
      <c r="Q2776" s="8">
        <v>163.333</v>
      </c>
      <c r="R2776" s="8">
        <v>150.608</v>
      </c>
      <c r="S2776" s="8">
        <v>133.131</v>
      </c>
      <c r="T2776" s="8">
        <v>115.124</v>
      </c>
      <c r="U2776" s="8">
        <v>97.531000000000006</v>
      </c>
      <c r="V2776" s="8">
        <v>71.959999999999994</v>
      </c>
      <c r="W2776" s="8">
        <v>52.889000000000003</v>
      </c>
      <c r="X2776" s="8">
        <v>39.026000000000003</v>
      </c>
      <c r="Y2776" s="8">
        <v>23.268000000000001</v>
      </c>
      <c r="Z2776" s="8">
        <v>13.192</v>
      </c>
      <c r="AA2776" s="8">
        <v>4.5270000000000001</v>
      </c>
      <c r="AB2776" s="8">
        <v>1.014</v>
      </c>
      <c r="AC2776" s="8">
        <v>0.13600000000000001</v>
      </c>
    </row>
    <row r="2777" spans="1:29" ht="11.65" hidden="1" x14ac:dyDescent="0.35">
      <c r="A2777" s="12">
        <v>2760</v>
      </c>
      <c r="B2777" s="10" t="s">
        <v>1015</v>
      </c>
      <c r="C2777" s="11" t="s">
        <v>1207</v>
      </c>
      <c r="D2777" s="9"/>
      <c r="E2777" s="9">
        <v>600</v>
      </c>
      <c r="F2777" s="10" t="s">
        <v>1066</v>
      </c>
      <c r="G2777" s="9">
        <v>931</v>
      </c>
      <c r="H2777" s="9">
        <v>2020</v>
      </c>
      <c r="I2777" s="8">
        <v>342.45499999999998</v>
      </c>
      <c r="J2777" s="8">
        <v>333.88400000000001</v>
      </c>
      <c r="K2777" s="8">
        <v>331.084</v>
      </c>
      <c r="L2777" s="8">
        <v>322.31400000000002</v>
      </c>
      <c r="M2777" s="8">
        <v>331.34500000000003</v>
      </c>
      <c r="N2777" s="8">
        <v>314.95400000000001</v>
      </c>
      <c r="O2777" s="8">
        <v>291.44099999999997</v>
      </c>
      <c r="P2777" s="8">
        <v>251.27600000000001</v>
      </c>
      <c r="Q2777" s="8">
        <v>198.32300000000001</v>
      </c>
      <c r="R2777" s="8">
        <v>157.05099999999999</v>
      </c>
      <c r="S2777" s="8">
        <v>143.86199999999999</v>
      </c>
      <c r="T2777" s="8">
        <v>127.663</v>
      </c>
      <c r="U2777" s="8">
        <v>109.26600000000001</v>
      </c>
      <c r="V2777" s="8">
        <v>90.78</v>
      </c>
      <c r="W2777" s="8">
        <v>65.078000000000003</v>
      </c>
      <c r="X2777" s="8">
        <v>45.692</v>
      </c>
      <c r="Y2777" s="8">
        <v>29.824999999999999</v>
      </c>
      <c r="Z2777" s="8">
        <v>14.179</v>
      </c>
      <c r="AA2777" s="8">
        <v>6.0309999999999997</v>
      </c>
      <c r="AB2777" s="8">
        <v>1.45</v>
      </c>
      <c r="AC2777" s="8">
        <v>0.217</v>
      </c>
    </row>
    <row r="2778" spans="1:29" ht="11.65" hidden="1" x14ac:dyDescent="0.35">
      <c r="A2778" s="12">
        <v>2761</v>
      </c>
      <c r="B2778" s="10" t="s">
        <v>1015</v>
      </c>
      <c r="C2778" s="11" t="s">
        <v>1208</v>
      </c>
      <c r="D2778" s="9"/>
      <c r="E2778" s="9">
        <v>604</v>
      </c>
      <c r="F2778" s="10" t="s">
        <v>1066</v>
      </c>
      <c r="G2778" s="9">
        <v>931</v>
      </c>
      <c r="H2778" s="9">
        <v>1950</v>
      </c>
      <c r="I2778" s="8">
        <v>644.48199999999997</v>
      </c>
      <c r="J2778" s="8">
        <v>504.45499999999998</v>
      </c>
      <c r="K2778" s="8">
        <v>445.96100000000001</v>
      </c>
      <c r="L2778" s="8">
        <v>391.59300000000002</v>
      </c>
      <c r="M2778" s="8">
        <v>328.654</v>
      </c>
      <c r="N2778" s="8">
        <v>279.32900000000001</v>
      </c>
      <c r="O2778" s="8">
        <v>234.03200000000001</v>
      </c>
      <c r="P2778" s="8">
        <v>211.37700000000001</v>
      </c>
      <c r="Q2778" s="8">
        <v>186.09700000000001</v>
      </c>
      <c r="R2778" s="8">
        <v>156.15899999999999</v>
      </c>
      <c r="S2778" s="8">
        <v>139.54599999999999</v>
      </c>
      <c r="T2778" s="8">
        <v>114.527</v>
      </c>
      <c r="U2778" s="8">
        <v>89.628</v>
      </c>
      <c r="V2778" s="8">
        <v>61.344999999999999</v>
      </c>
      <c r="W2778" s="8">
        <v>44.816000000000003</v>
      </c>
      <c r="X2778" s="8">
        <v>24.898</v>
      </c>
      <c r="Y2778" s="8">
        <v>10.946</v>
      </c>
      <c r="Z2778" s="8">
        <v>3.274</v>
      </c>
      <c r="AA2778" s="8">
        <v>0.63200000000000001</v>
      </c>
      <c r="AB2778" s="8">
        <v>7.9000000000000001E-2</v>
      </c>
      <c r="AC2778" s="8">
        <v>6.0000000000000001E-3</v>
      </c>
    </row>
    <row r="2779" spans="1:29" ht="11.65" hidden="1" x14ac:dyDescent="0.35">
      <c r="A2779" s="12">
        <v>2762</v>
      </c>
      <c r="B2779" s="10" t="s">
        <v>1015</v>
      </c>
      <c r="C2779" s="11" t="s">
        <v>1208</v>
      </c>
      <c r="D2779" s="9"/>
      <c r="E2779" s="9">
        <v>604</v>
      </c>
      <c r="F2779" s="10" t="s">
        <v>1066</v>
      </c>
      <c r="G2779" s="9">
        <v>931</v>
      </c>
      <c r="H2779" s="9">
        <v>1955</v>
      </c>
      <c r="I2779" s="8">
        <v>780.89300000000003</v>
      </c>
      <c r="J2779" s="8">
        <v>586.803</v>
      </c>
      <c r="K2779" s="8">
        <v>493.00900000000001</v>
      </c>
      <c r="L2779" s="8">
        <v>437.07</v>
      </c>
      <c r="M2779" s="8">
        <v>380.39699999999999</v>
      </c>
      <c r="N2779" s="8">
        <v>317.11399999999998</v>
      </c>
      <c r="O2779" s="8">
        <v>269.17599999999999</v>
      </c>
      <c r="P2779" s="8">
        <v>225.142</v>
      </c>
      <c r="Q2779" s="8">
        <v>202.80099999999999</v>
      </c>
      <c r="R2779" s="8">
        <v>177.96299999999999</v>
      </c>
      <c r="S2779" s="8">
        <v>147.79900000000001</v>
      </c>
      <c r="T2779" s="8">
        <v>129.43199999999999</v>
      </c>
      <c r="U2779" s="8">
        <v>102.215</v>
      </c>
      <c r="V2779" s="8">
        <v>74.555999999999997</v>
      </c>
      <c r="W2779" s="8">
        <v>45.36</v>
      </c>
      <c r="X2779" s="8">
        <v>27.131</v>
      </c>
      <c r="Y2779" s="8">
        <v>11.132</v>
      </c>
      <c r="Z2779" s="8">
        <v>3.2959999999999998</v>
      </c>
      <c r="AA2779" s="8">
        <v>0.63200000000000001</v>
      </c>
      <c r="AB2779" s="8">
        <v>7.6999999999999999E-2</v>
      </c>
      <c r="AC2779" s="8">
        <v>7.0000000000000001E-3</v>
      </c>
    </row>
    <row r="2780" spans="1:29" ht="11.65" hidden="1" x14ac:dyDescent="0.35">
      <c r="A2780" s="12">
        <v>2763</v>
      </c>
      <c r="B2780" s="10" t="s">
        <v>1015</v>
      </c>
      <c r="C2780" s="11" t="s">
        <v>1208</v>
      </c>
      <c r="D2780" s="9"/>
      <c r="E2780" s="9">
        <v>604</v>
      </c>
      <c r="F2780" s="10" t="s">
        <v>1066</v>
      </c>
      <c r="G2780" s="9">
        <v>931</v>
      </c>
      <c r="H2780" s="9">
        <v>1960</v>
      </c>
      <c r="I2780" s="8">
        <v>899.62</v>
      </c>
      <c r="J2780" s="8">
        <v>719.21199999999999</v>
      </c>
      <c r="K2780" s="8">
        <v>574.81299999999999</v>
      </c>
      <c r="L2780" s="8">
        <v>483.80500000000001</v>
      </c>
      <c r="M2780" s="8">
        <v>425.46300000000002</v>
      </c>
      <c r="N2780" s="8">
        <v>368.51</v>
      </c>
      <c r="O2780" s="8">
        <v>306.75599999999997</v>
      </c>
      <c r="P2780" s="8">
        <v>259.93099999999998</v>
      </c>
      <c r="Q2780" s="8">
        <v>216.77199999999999</v>
      </c>
      <c r="R2780" s="8">
        <v>194.57300000000001</v>
      </c>
      <c r="S2780" s="8">
        <v>169.148</v>
      </c>
      <c r="T2780" s="8">
        <v>137.82300000000001</v>
      </c>
      <c r="U2780" s="8">
        <v>116.44799999999999</v>
      </c>
      <c r="V2780" s="8">
        <v>86.091999999999999</v>
      </c>
      <c r="W2780" s="8">
        <v>56.155999999999999</v>
      </c>
      <c r="X2780" s="8">
        <v>28.209</v>
      </c>
      <c r="Y2780" s="8">
        <v>12.545999999999999</v>
      </c>
      <c r="Z2780" s="8">
        <v>3.4740000000000002</v>
      </c>
      <c r="AA2780" s="8">
        <v>0.66</v>
      </c>
      <c r="AB2780" s="8">
        <v>7.9000000000000001E-2</v>
      </c>
      <c r="AC2780" s="8">
        <v>7.0000000000000001E-3</v>
      </c>
    </row>
    <row r="2781" spans="1:29" ht="11.65" hidden="1" x14ac:dyDescent="0.35">
      <c r="A2781" s="12">
        <v>2764</v>
      </c>
      <c r="B2781" s="10" t="s">
        <v>1015</v>
      </c>
      <c r="C2781" s="11" t="s">
        <v>1208</v>
      </c>
      <c r="D2781" s="9"/>
      <c r="E2781" s="9">
        <v>604</v>
      </c>
      <c r="F2781" s="10" t="s">
        <v>1066</v>
      </c>
      <c r="G2781" s="9">
        <v>931</v>
      </c>
      <c r="H2781" s="9">
        <v>1965</v>
      </c>
      <c r="I2781" s="8">
        <v>1036.028</v>
      </c>
      <c r="J2781" s="8">
        <v>841.36900000000003</v>
      </c>
      <c r="K2781" s="8">
        <v>706.41899999999998</v>
      </c>
      <c r="L2781" s="8">
        <v>564.78599999999994</v>
      </c>
      <c r="M2781" s="8">
        <v>472.09300000000002</v>
      </c>
      <c r="N2781" s="8">
        <v>413.53399999999999</v>
      </c>
      <c r="O2781" s="8">
        <v>357.82499999999999</v>
      </c>
      <c r="P2781" s="8">
        <v>297.39800000000002</v>
      </c>
      <c r="Q2781" s="8">
        <v>251.321</v>
      </c>
      <c r="R2781" s="8">
        <v>208.785</v>
      </c>
      <c r="S2781" s="8">
        <v>185.727</v>
      </c>
      <c r="T2781" s="8">
        <v>158.72</v>
      </c>
      <c r="U2781" s="8">
        <v>125.053</v>
      </c>
      <c r="V2781" s="8">
        <v>99.501999999999995</v>
      </c>
      <c r="W2781" s="8">
        <v>66.242999999999995</v>
      </c>
      <c r="X2781" s="8">
        <v>36.021000000000001</v>
      </c>
      <c r="Y2781" s="8">
        <v>13.579000000000001</v>
      </c>
      <c r="Z2781" s="8">
        <v>4.0999999999999996</v>
      </c>
      <c r="AA2781" s="8">
        <v>0.73199999999999998</v>
      </c>
      <c r="AB2781" s="8">
        <v>8.8999999999999996E-2</v>
      </c>
      <c r="AC2781" s="8">
        <v>7.0000000000000001E-3</v>
      </c>
    </row>
    <row r="2782" spans="1:29" ht="11.65" hidden="1" x14ac:dyDescent="0.35">
      <c r="A2782" s="12">
        <v>2765</v>
      </c>
      <c r="B2782" s="10" t="s">
        <v>1015</v>
      </c>
      <c r="C2782" s="11" t="s">
        <v>1208</v>
      </c>
      <c r="D2782" s="9"/>
      <c r="E2782" s="9">
        <v>604</v>
      </c>
      <c r="F2782" s="10" t="s">
        <v>1066</v>
      </c>
      <c r="G2782" s="9">
        <v>931</v>
      </c>
      <c r="H2782" s="9">
        <v>1970</v>
      </c>
      <c r="I2782" s="8">
        <v>1148.95</v>
      </c>
      <c r="J2782" s="8">
        <v>978.79200000000003</v>
      </c>
      <c r="K2782" s="8">
        <v>828.12599999999998</v>
      </c>
      <c r="L2782" s="8">
        <v>694.57399999999996</v>
      </c>
      <c r="M2782" s="8">
        <v>551.65700000000004</v>
      </c>
      <c r="N2782" s="8">
        <v>459.50900000000001</v>
      </c>
      <c r="O2782" s="8">
        <v>402.315</v>
      </c>
      <c r="P2782" s="8">
        <v>347.81599999999997</v>
      </c>
      <c r="Q2782" s="8">
        <v>288.31099999999998</v>
      </c>
      <c r="R2782" s="8">
        <v>242.83699999999999</v>
      </c>
      <c r="S2782" s="8">
        <v>199.96899999999999</v>
      </c>
      <c r="T2782" s="8">
        <v>175.05</v>
      </c>
      <c r="U2782" s="8">
        <v>145.10599999999999</v>
      </c>
      <c r="V2782" s="8">
        <v>108</v>
      </c>
      <c r="W2782" s="8">
        <v>77.884</v>
      </c>
      <c r="X2782" s="8">
        <v>43.554000000000002</v>
      </c>
      <c r="Y2782" s="8">
        <v>17.920999999999999</v>
      </c>
      <c r="Z2782" s="8">
        <v>4.6210000000000004</v>
      </c>
      <c r="AA2782" s="8">
        <v>0.90500000000000003</v>
      </c>
      <c r="AB2782" s="8">
        <v>0.104</v>
      </c>
      <c r="AC2782" s="8">
        <v>8.0000000000000002E-3</v>
      </c>
    </row>
    <row r="2783" spans="1:29" ht="11.65" hidden="1" x14ac:dyDescent="0.35">
      <c r="A2783" s="12">
        <v>2766</v>
      </c>
      <c r="B2783" s="10" t="s">
        <v>1015</v>
      </c>
      <c r="C2783" s="11" t="s">
        <v>1208</v>
      </c>
      <c r="D2783" s="9"/>
      <c r="E2783" s="9">
        <v>604</v>
      </c>
      <c r="F2783" s="10" t="s">
        <v>1066</v>
      </c>
      <c r="G2783" s="9">
        <v>931</v>
      </c>
      <c r="H2783" s="9">
        <v>1975</v>
      </c>
      <c r="I2783" s="8">
        <v>1263.5809999999999</v>
      </c>
      <c r="J2783" s="8">
        <v>1099.636</v>
      </c>
      <c r="K2783" s="8">
        <v>965.09299999999996</v>
      </c>
      <c r="L2783" s="8">
        <v>814.27800000000002</v>
      </c>
      <c r="M2783" s="8">
        <v>679.53200000000004</v>
      </c>
      <c r="N2783" s="8">
        <v>538.51099999999997</v>
      </c>
      <c r="O2783" s="8">
        <v>448.48399999999998</v>
      </c>
      <c r="P2783" s="8">
        <v>392.62400000000002</v>
      </c>
      <c r="Q2783" s="8">
        <v>338.779</v>
      </c>
      <c r="R2783" s="8">
        <v>279.863</v>
      </c>
      <c r="S2783" s="8">
        <v>233.86799999999999</v>
      </c>
      <c r="T2783" s="8">
        <v>189.91</v>
      </c>
      <c r="U2783" s="8">
        <v>161.887</v>
      </c>
      <c r="V2783" s="8">
        <v>127.70099999999999</v>
      </c>
      <c r="W2783" s="8">
        <v>86.906000000000006</v>
      </c>
      <c r="X2783" s="8">
        <v>53.286999999999999</v>
      </c>
      <c r="Y2783" s="8">
        <v>22.899000000000001</v>
      </c>
      <c r="Z2783" s="8">
        <v>6.5549999999999997</v>
      </c>
      <c r="AA2783" s="8">
        <v>1.1080000000000001</v>
      </c>
      <c r="AB2783" s="8">
        <v>0.13800000000000001</v>
      </c>
      <c r="AC2783" s="8">
        <v>0.01</v>
      </c>
    </row>
    <row r="2784" spans="1:29" ht="11.65" hidden="1" x14ac:dyDescent="0.35">
      <c r="A2784" s="12">
        <v>2767</v>
      </c>
      <c r="B2784" s="10" t="s">
        <v>1015</v>
      </c>
      <c r="C2784" s="11" t="s">
        <v>1208</v>
      </c>
      <c r="D2784" s="9"/>
      <c r="E2784" s="9">
        <v>604</v>
      </c>
      <c r="F2784" s="10" t="s">
        <v>1066</v>
      </c>
      <c r="G2784" s="9">
        <v>931</v>
      </c>
      <c r="H2784" s="9">
        <v>1980</v>
      </c>
      <c r="I2784" s="8">
        <v>1348.4480000000001</v>
      </c>
      <c r="J2784" s="8">
        <v>1219.931</v>
      </c>
      <c r="K2784" s="8">
        <v>1087.037</v>
      </c>
      <c r="L2784" s="8">
        <v>951.15599999999995</v>
      </c>
      <c r="M2784" s="8">
        <v>799.27499999999998</v>
      </c>
      <c r="N2784" s="8">
        <v>665.95</v>
      </c>
      <c r="O2784" s="8">
        <v>527.649</v>
      </c>
      <c r="P2784" s="8">
        <v>439.21899999999999</v>
      </c>
      <c r="Q2784" s="8">
        <v>383.82499999999999</v>
      </c>
      <c r="R2784" s="8">
        <v>330.13</v>
      </c>
      <c r="S2784" s="8">
        <v>270.77699999999999</v>
      </c>
      <c r="T2784" s="8">
        <v>223.41800000000001</v>
      </c>
      <c r="U2784" s="8">
        <v>177.14599999999999</v>
      </c>
      <c r="V2784" s="8">
        <v>144.369</v>
      </c>
      <c r="W2784" s="8">
        <v>104.77800000000001</v>
      </c>
      <c r="X2784" s="8">
        <v>61.156999999999996</v>
      </c>
      <c r="Y2784" s="8">
        <v>29.03</v>
      </c>
      <c r="Z2784" s="8">
        <v>8.6969999999999992</v>
      </c>
      <c r="AA2784" s="8">
        <v>1.6259999999999999</v>
      </c>
      <c r="AB2784" s="8">
        <v>0.17499999999999999</v>
      </c>
      <c r="AC2784" s="8">
        <v>1.2999999999999999E-2</v>
      </c>
    </row>
    <row r="2785" spans="1:29" ht="11.65" hidden="1" x14ac:dyDescent="0.35">
      <c r="A2785" s="12">
        <v>2768</v>
      </c>
      <c r="B2785" s="10" t="s">
        <v>1015</v>
      </c>
      <c r="C2785" s="11" t="s">
        <v>1208</v>
      </c>
      <c r="D2785" s="9"/>
      <c r="E2785" s="9">
        <v>604</v>
      </c>
      <c r="F2785" s="10" t="s">
        <v>1066</v>
      </c>
      <c r="G2785" s="9">
        <v>931</v>
      </c>
      <c r="H2785" s="9">
        <v>1985</v>
      </c>
      <c r="I2785" s="8">
        <v>1440.4749999999999</v>
      </c>
      <c r="J2785" s="8">
        <v>1311.07</v>
      </c>
      <c r="K2785" s="8">
        <v>1204.8869999999999</v>
      </c>
      <c r="L2785" s="8">
        <v>1068.3409999999999</v>
      </c>
      <c r="M2785" s="8">
        <v>931.86199999999997</v>
      </c>
      <c r="N2785" s="8">
        <v>782.59799999999996</v>
      </c>
      <c r="O2785" s="8">
        <v>652.43799999999999</v>
      </c>
      <c r="P2785" s="8">
        <v>516.57799999999997</v>
      </c>
      <c r="Q2785" s="8">
        <v>429.37299999999999</v>
      </c>
      <c r="R2785" s="8">
        <v>374.04</v>
      </c>
      <c r="S2785" s="8">
        <v>319.64999999999998</v>
      </c>
      <c r="T2785" s="8">
        <v>258.952</v>
      </c>
      <c r="U2785" s="8">
        <v>208.87700000000001</v>
      </c>
      <c r="V2785" s="8">
        <v>158.83699999999999</v>
      </c>
      <c r="W2785" s="8">
        <v>120.227</v>
      </c>
      <c r="X2785" s="8">
        <v>77.200999999999993</v>
      </c>
      <c r="Y2785" s="8">
        <v>36.267000000000003</v>
      </c>
      <c r="Z2785" s="8">
        <v>12.098000000000001</v>
      </c>
      <c r="AA2785" s="8">
        <v>2.319</v>
      </c>
      <c r="AB2785" s="8">
        <v>0.27300000000000002</v>
      </c>
      <c r="AC2785" s="8">
        <v>1.7999999999999999E-2</v>
      </c>
    </row>
    <row r="2786" spans="1:29" ht="11.65" hidden="1" x14ac:dyDescent="0.35">
      <c r="A2786" s="12">
        <v>2769</v>
      </c>
      <c r="B2786" s="10" t="s">
        <v>1015</v>
      </c>
      <c r="C2786" s="11" t="s">
        <v>1208</v>
      </c>
      <c r="D2786" s="9"/>
      <c r="E2786" s="9">
        <v>604</v>
      </c>
      <c r="F2786" s="10" t="s">
        <v>1066</v>
      </c>
      <c r="G2786" s="9">
        <v>931</v>
      </c>
      <c r="H2786" s="9">
        <v>1990</v>
      </c>
      <c r="I2786" s="8">
        <v>1528.3920000000001</v>
      </c>
      <c r="J2786" s="8">
        <v>1409.222</v>
      </c>
      <c r="K2786" s="8">
        <v>1292.752</v>
      </c>
      <c r="L2786" s="8">
        <v>1179.7180000000001</v>
      </c>
      <c r="M2786" s="8">
        <v>1043.432</v>
      </c>
      <c r="N2786" s="8">
        <v>911.04600000000005</v>
      </c>
      <c r="O2786" s="8">
        <v>766.07600000000002</v>
      </c>
      <c r="P2786" s="8">
        <v>638.80899999999997</v>
      </c>
      <c r="Q2786" s="8">
        <v>504.91800000000001</v>
      </c>
      <c r="R2786" s="8">
        <v>418.35599999999999</v>
      </c>
      <c r="S2786" s="8">
        <v>362.27199999999999</v>
      </c>
      <c r="T2786" s="8">
        <v>306.298</v>
      </c>
      <c r="U2786" s="8">
        <v>243.30799999999999</v>
      </c>
      <c r="V2786" s="8">
        <v>189.52600000000001</v>
      </c>
      <c r="W2786" s="8">
        <v>135.84299999999999</v>
      </c>
      <c r="X2786" s="8">
        <v>92.816999999999993</v>
      </c>
      <c r="Y2786" s="8">
        <v>49.414000000000001</v>
      </c>
      <c r="Z2786" s="8">
        <v>16.815000000000001</v>
      </c>
      <c r="AA2786" s="8">
        <v>3.585</v>
      </c>
      <c r="AB2786" s="8">
        <v>0.41499999999999998</v>
      </c>
      <c r="AC2786" s="8">
        <v>2.8000000000000001E-2</v>
      </c>
    </row>
    <row r="2787" spans="1:29" ht="11.65" hidden="1" x14ac:dyDescent="0.35">
      <c r="A2787" s="12">
        <v>2770</v>
      </c>
      <c r="B2787" s="10" t="s">
        <v>1015</v>
      </c>
      <c r="C2787" s="11" t="s">
        <v>1208</v>
      </c>
      <c r="D2787" s="9"/>
      <c r="E2787" s="9">
        <v>604</v>
      </c>
      <c r="F2787" s="10" t="s">
        <v>1066</v>
      </c>
      <c r="G2787" s="9">
        <v>931</v>
      </c>
      <c r="H2787" s="9">
        <v>1995</v>
      </c>
      <c r="I2787" s="8">
        <v>1530.2370000000001</v>
      </c>
      <c r="J2787" s="8">
        <v>1502.49</v>
      </c>
      <c r="K2787" s="8">
        <v>1381.7080000000001</v>
      </c>
      <c r="L2787" s="8">
        <v>1250.94</v>
      </c>
      <c r="M2787" s="8">
        <v>1139.837</v>
      </c>
      <c r="N2787" s="8">
        <v>1011.8630000000001</v>
      </c>
      <c r="O2787" s="8">
        <v>887.02200000000005</v>
      </c>
      <c r="P2787" s="8">
        <v>747.57799999999997</v>
      </c>
      <c r="Q2787" s="8">
        <v>623.44600000000003</v>
      </c>
      <c r="R2787" s="8">
        <v>491.46499999999997</v>
      </c>
      <c r="S2787" s="8">
        <v>405.23</v>
      </c>
      <c r="T2787" s="8">
        <v>347.89400000000001</v>
      </c>
      <c r="U2787" s="8">
        <v>289.286</v>
      </c>
      <c r="V2787" s="8">
        <v>223.63200000000001</v>
      </c>
      <c r="W2787" s="8">
        <v>166.05</v>
      </c>
      <c r="X2787" s="8">
        <v>107.639</v>
      </c>
      <c r="Y2787" s="8">
        <v>61.274000000000001</v>
      </c>
      <c r="Z2787" s="8">
        <v>23.736000000000001</v>
      </c>
      <c r="AA2787" s="8">
        <v>5.1440000000000001</v>
      </c>
      <c r="AB2787" s="8">
        <v>0.66500000000000004</v>
      </c>
      <c r="AC2787" s="8">
        <v>4.2999999999999997E-2</v>
      </c>
    </row>
    <row r="2788" spans="1:29" ht="11.65" hidden="1" x14ac:dyDescent="0.35">
      <c r="A2788" s="12">
        <v>2771</v>
      </c>
      <c r="B2788" s="10" t="s">
        <v>1015</v>
      </c>
      <c r="C2788" s="11" t="s">
        <v>1208</v>
      </c>
      <c r="D2788" s="9"/>
      <c r="E2788" s="9">
        <v>604</v>
      </c>
      <c r="F2788" s="10" t="s">
        <v>1066</v>
      </c>
      <c r="G2788" s="9">
        <v>931</v>
      </c>
      <c r="H2788" s="9">
        <v>2000</v>
      </c>
      <c r="I2788" s="8">
        <v>1468.1210000000001</v>
      </c>
      <c r="J2788" s="8">
        <v>1513.306</v>
      </c>
      <c r="K2788" s="8">
        <v>1481.4059999999999</v>
      </c>
      <c r="L2788" s="8">
        <v>1350.479</v>
      </c>
      <c r="M2788" s="8">
        <v>1220.6969999999999</v>
      </c>
      <c r="N2788" s="8">
        <v>1115.0450000000001</v>
      </c>
      <c r="O2788" s="8">
        <v>992.23400000000004</v>
      </c>
      <c r="P2788" s="8">
        <v>870.91800000000001</v>
      </c>
      <c r="Q2788" s="8">
        <v>733.38300000000004</v>
      </c>
      <c r="R2788" s="8">
        <v>609.90300000000002</v>
      </c>
      <c r="S2788" s="8">
        <v>478.26400000000001</v>
      </c>
      <c r="T2788" s="8">
        <v>390.94600000000003</v>
      </c>
      <c r="U2788" s="8">
        <v>330.36799999999999</v>
      </c>
      <c r="V2788" s="8">
        <v>267.82</v>
      </c>
      <c r="W2788" s="8">
        <v>198.12799999999999</v>
      </c>
      <c r="X2788" s="8">
        <v>134.251</v>
      </c>
      <c r="Y2788" s="8">
        <v>73.552000000000007</v>
      </c>
      <c r="Z2788" s="8">
        <v>31.271000000000001</v>
      </c>
      <c r="AA2788" s="8">
        <v>7.9429999999999996</v>
      </c>
      <c r="AB2788" s="8">
        <v>1.0640000000000001</v>
      </c>
      <c r="AC2788" s="8">
        <v>7.5999999999999998E-2</v>
      </c>
    </row>
    <row r="2789" spans="1:29" ht="11.65" hidden="1" x14ac:dyDescent="0.35">
      <c r="A2789" s="12">
        <v>2772</v>
      </c>
      <c r="B2789" s="10" t="s">
        <v>1015</v>
      </c>
      <c r="C2789" s="11" t="s">
        <v>1208</v>
      </c>
      <c r="D2789" s="9"/>
      <c r="E2789" s="9">
        <v>604</v>
      </c>
      <c r="F2789" s="10" t="s">
        <v>1066</v>
      </c>
      <c r="G2789" s="9">
        <v>931</v>
      </c>
      <c r="H2789" s="9">
        <v>2005</v>
      </c>
      <c r="I2789" s="8">
        <v>1441.0250000000001</v>
      </c>
      <c r="J2789" s="8">
        <v>1444.8910000000001</v>
      </c>
      <c r="K2789" s="8">
        <v>1491.0650000000001</v>
      </c>
      <c r="L2789" s="8">
        <v>1407.4090000000001</v>
      </c>
      <c r="M2789" s="8">
        <v>1287.9269999999999</v>
      </c>
      <c r="N2789" s="8">
        <v>1167.6890000000001</v>
      </c>
      <c r="O2789" s="8">
        <v>1066.53</v>
      </c>
      <c r="P2789" s="8">
        <v>953.49699999999996</v>
      </c>
      <c r="Q2789" s="8">
        <v>826.01700000000005</v>
      </c>
      <c r="R2789" s="8">
        <v>686.40200000000004</v>
      </c>
      <c r="S2789" s="8">
        <v>573.14700000000005</v>
      </c>
      <c r="T2789" s="8">
        <v>435.77499999999998</v>
      </c>
      <c r="U2789" s="8">
        <v>358.87900000000002</v>
      </c>
      <c r="V2789" s="8">
        <v>293.48399999999998</v>
      </c>
      <c r="W2789" s="8">
        <v>228.798</v>
      </c>
      <c r="X2789" s="8">
        <v>162.40700000000001</v>
      </c>
      <c r="Y2789" s="8">
        <v>94.998999999999995</v>
      </c>
      <c r="Z2789" s="8">
        <v>39.923999999999999</v>
      </c>
      <c r="AA2789" s="8">
        <v>11.492000000000001</v>
      </c>
      <c r="AB2789" s="8">
        <v>1.8460000000000001</v>
      </c>
      <c r="AC2789" s="8">
        <v>0.14000000000000001</v>
      </c>
    </row>
    <row r="2790" spans="1:29" ht="11.65" hidden="1" x14ac:dyDescent="0.35">
      <c r="A2790" s="12">
        <v>2773</v>
      </c>
      <c r="B2790" s="10" t="s">
        <v>1015</v>
      </c>
      <c r="C2790" s="11" t="s">
        <v>1208</v>
      </c>
      <c r="D2790" s="9"/>
      <c r="E2790" s="9">
        <v>604</v>
      </c>
      <c r="F2790" s="10" t="s">
        <v>1066</v>
      </c>
      <c r="G2790" s="9">
        <v>931</v>
      </c>
      <c r="H2790" s="9">
        <v>2010</v>
      </c>
      <c r="I2790" s="8">
        <v>1478.5</v>
      </c>
      <c r="J2790" s="8">
        <v>1398.271</v>
      </c>
      <c r="K2790" s="8">
        <v>1404.5740000000001</v>
      </c>
      <c r="L2790" s="8">
        <v>1368.982</v>
      </c>
      <c r="M2790" s="8">
        <v>1286.672</v>
      </c>
      <c r="N2790" s="8">
        <v>1196.54</v>
      </c>
      <c r="O2790" s="8">
        <v>1101.5509999999999</v>
      </c>
      <c r="P2790" s="8">
        <v>1018.501</v>
      </c>
      <c r="Q2790" s="8">
        <v>915.35400000000004</v>
      </c>
      <c r="R2790" s="8">
        <v>793.04200000000003</v>
      </c>
      <c r="S2790" s="8">
        <v>658.23099999999999</v>
      </c>
      <c r="T2790" s="8">
        <v>545.952</v>
      </c>
      <c r="U2790" s="8">
        <v>410.13200000000001</v>
      </c>
      <c r="V2790" s="8">
        <v>331.10899999999998</v>
      </c>
      <c r="W2790" s="8">
        <v>262.08</v>
      </c>
      <c r="X2790" s="8">
        <v>190.816</v>
      </c>
      <c r="Y2790" s="8">
        <v>119.035</v>
      </c>
      <c r="Z2790" s="8">
        <v>54.933999999999997</v>
      </c>
      <c r="AA2790" s="8">
        <v>16.190999999999999</v>
      </c>
      <c r="AB2790" s="8">
        <v>3.03</v>
      </c>
      <c r="AC2790" s="8">
        <v>0.28399999999999997</v>
      </c>
    </row>
    <row r="2791" spans="1:29" ht="11.65" hidden="1" x14ac:dyDescent="0.35">
      <c r="A2791" s="12">
        <v>2774</v>
      </c>
      <c r="B2791" s="10" t="s">
        <v>1015</v>
      </c>
      <c r="C2791" s="11" t="s">
        <v>1208</v>
      </c>
      <c r="D2791" s="9"/>
      <c r="E2791" s="9">
        <v>604</v>
      </c>
      <c r="F2791" s="10" t="s">
        <v>1066</v>
      </c>
      <c r="G2791" s="9">
        <v>931</v>
      </c>
      <c r="H2791" s="9">
        <v>2015</v>
      </c>
      <c r="I2791" s="8">
        <v>1369.806</v>
      </c>
      <c r="J2791" s="8">
        <v>1454.2139999999999</v>
      </c>
      <c r="K2791" s="8">
        <v>1361.383</v>
      </c>
      <c r="L2791" s="8">
        <v>1338.1949999999999</v>
      </c>
      <c r="M2791" s="8">
        <v>1315.87</v>
      </c>
      <c r="N2791" s="8">
        <v>1222.5889999999999</v>
      </c>
      <c r="O2791" s="8">
        <v>1141.31</v>
      </c>
      <c r="P2791" s="8">
        <v>1077.17</v>
      </c>
      <c r="Q2791" s="8">
        <v>1008.45</v>
      </c>
      <c r="R2791" s="8">
        <v>899.23699999999997</v>
      </c>
      <c r="S2791" s="8">
        <v>776.65899999999999</v>
      </c>
      <c r="T2791" s="8">
        <v>639.47900000000004</v>
      </c>
      <c r="U2791" s="8">
        <v>530.97299999999996</v>
      </c>
      <c r="V2791" s="8">
        <v>395.44200000000001</v>
      </c>
      <c r="W2791" s="8">
        <v>313.14</v>
      </c>
      <c r="X2791" s="8">
        <v>232.88800000000001</v>
      </c>
      <c r="Y2791" s="8">
        <v>157.02000000000001</v>
      </c>
      <c r="Z2791" s="8">
        <v>73.411000000000001</v>
      </c>
      <c r="AA2791" s="8">
        <v>24.687999999999999</v>
      </c>
      <c r="AB2791" s="8">
        <v>4.8949999999999996</v>
      </c>
      <c r="AC2791" s="8">
        <v>0.55500000000000005</v>
      </c>
    </row>
    <row r="2792" spans="1:29" ht="11.65" hidden="1" x14ac:dyDescent="0.35">
      <c r="A2792" s="12">
        <v>2775</v>
      </c>
      <c r="B2792" s="10" t="s">
        <v>1015</v>
      </c>
      <c r="C2792" s="11" t="s">
        <v>1208</v>
      </c>
      <c r="D2792" s="9"/>
      <c r="E2792" s="9">
        <v>604</v>
      </c>
      <c r="F2792" s="10" t="s">
        <v>1066</v>
      </c>
      <c r="G2792" s="9">
        <v>931</v>
      </c>
      <c r="H2792" s="9">
        <v>2020</v>
      </c>
      <c r="I2792" s="8">
        <v>1383.3969999999999</v>
      </c>
      <c r="J2792" s="8">
        <v>1302.683</v>
      </c>
      <c r="K2792" s="8">
        <v>1370.4960000000001</v>
      </c>
      <c r="L2792" s="8">
        <v>1256.8140000000001</v>
      </c>
      <c r="M2792" s="8">
        <v>1399.1179999999999</v>
      </c>
      <c r="N2792" s="8">
        <v>1406.3430000000001</v>
      </c>
      <c r="O2792" s="8">
        <v>1320.4110000000001</v>
      </c>
      <c r="P2792" s="8">
        <v>1228.7090000000001</v>
      </c>
      <c r="Q2792" s="8">
        <v>1120.269</v>
      </c>
      <c r="R2792" s="8">
        <v>997.90899999999999</v>
      </c>
      <c r="S2792" s="8">
        <v>892.08600000000001</v>
      </c>
      <c r="T2792" s="8">
        <v>763.84699999999998</v>
      </c>
      <c r="U2792" s="8">
        <v>630.35400000000004</v>
      </c>
      <c r="V2792" s="8">
        <v>527.78300000000002</v>
      </c>
      <c r="W2792" s="8">
        <v>379.33100000000002</v>
      </c>
      <c r="X2792" s="8">
        <v>279.57799999999997</v>
      </c>
      <c r="Y2792" s="8">
        <v>184.203</v>
      </c>
      <c r="Z2792" s="8">
        <v>103.41</v>
      </c>
      <c r="AA2792" s="8">
        <v>36.747</v>
      </c>
      <c r="AB2792" s="8">
        <v>8.6609999999999996</v>
      </c>
      <c r="AC2792" s="8">
        <v>1.091</v>
      </c>
    </row>
    <row r="2793" spans="1:29" ht="11.65" hidden="1" x14ac:dyDescent="0.35">
      <c r="A2793" s="12">
        <v>2776</v>
      </c>
      <c r="B2793" s="10" t="s">
        <v>1015</v>
      </c>
      <c r="C2793" s="11" t="s">
        <v>1209</v>
      </c>
      <c r="D2793" s="9"/>
      <c r="E2793" s="9">
        <v>740</v>
      </c>
      <c r="F2793" s="10" t="s">
        <v>1066</v>
      </c>
      <c r="G2793" s="9">
        <v>931</v>
      </c>
      <c r="H2793" s="9">
        <v>1950</v>
      </c>
      <c r="I2793" s="8">
        <v>18</v>
      </c>
      <c r="J2793" s="8">
        <v>13</v>
      </c>
      <c r="K2793" s="8">
        <v>11.999000000000001</v>
      </c>
      <c r="L2793" s="8">
        <v>10.999000000000001</v>
      </c>
      <c r="M2793" s="8">
        <v>8.9979999999999993</v>
      </c>
      <c r="N2793" s="8">
        <v>8</v>
      </c>
      <c r="O2793" s="8">
        <v>6.0019999999999998</v>
      </c>
      <c r="P2793" s="8">
        <v>6.0010000000000003</v>
      </c>
      <c r="Q2793" s="8">
        <v>5</v>
      </c>
      <c r="R2793" s="8">
        <v>4.0010000000000003</v>
      </c>
      <c r="S2793" s="8">
        <v>3.9990000000000001</v>
      </c>
      <c r="T2793" s="8">
        <v>3</v>
      </c>
      <c r="U2793" s="8">
        <v>1.9990000000000001</v>
      </c>
      <c r="V2793" s="8">
        <v>1.9990000000000001</v>
      </c>
      <c r="W2793" s="8">
        <v>2</v>
      </c>
      <c r="X2793" s="8">
        <v>2</v>
      </c>
      <c r="Y2793" s="8">
        <v>0.59699999999999998</v>
      </c>
      <c r="Z2793" s="8">
        <v>0.28100000000000003</v>
      </c>
      <c r="AA2793" s="8">
        <v>9.6000000000000002E-2</v>
      </c>
      <c r="AB2793" s="8">
        <v>2.3E-2</v>
      </c>
      <c r="AC2793" s="8">
        <v>3.0000000000000001E-3</v>
      </c>
    </row>
    <row r="2794" spans="1:29" ht="11.65" hidden="1" x14ac:dyDescent="0.35">
      <c r="A2794" s="12">
        <v>2777</v>
      </c>
      <c r="B2794" s="10" t="s">
        <v>1015</v>
      </c>
      <c r="C2794" s="11" t="s">
        <v>1209</v>
      </c>
      <c r="D2794" s="9"/>
      <c r="E2794" s="9">
        <v>740</v>
      </c>
      <c r="F2794" s="10" t="s">
        <v>1066</v>
      </c>
      <c r="G2794" s="9">
        <v>931</v>
      </c>
      <c r="H2794" s="9">
        <v>1955</v>
      </c>
      <c r="I2794" s="8">
        <v>22.594999999999999</v>
      </c>
      <c r="J2794" s="8">
        <v>16.922000000000001</v>
      </c>
      <c r="K2794" s="8">
        <v>12.997</v>
      </c>
      <c r="L2794" s="8">
        <v>10.992000000000001</v>
      </c>
      <c r="M2794" s="8">
        <v>10.007</v>
      </c>
      <c r="N2794" s="8">
        <v>9</v>
      </c>
      <c r="O2794" s="8">
        <v>7.9989999999999997</v>
      </c>
      <c r="P2794" s="8">
        <v>6</v>
      </c>
      <c r="Q2794" s="8">
        <v>5</v>
      </c>
      <c r="R2794" s="8">
        <v>4.9989999999999997</v>
      </c>
      <c r="S2794" s="8">
        <v>4</v>
      </c>
      <c r="T2794" s="8">
        <v>3.0009999999999999</v>
      </c>
      <c r="U2794" s="8">
        <v>2.9969999999999999</v>
      </c>
      <c r="V2794" s="8">
        <v>2.0009999999999999</v>
      </c>
      <c r="W2794" s="8">
        <v>2.0009999999999999</v>
      </c>
      <c r="X2794" s="8">
        <v>1.9990000000000001</v>
      </c>
      <c r="Y2794" s="8">
        <v>0.65</v>
      </c>
      <c r="Z2794" s="8">
        <v>0.252</v>
      </c>
      <c r="AA2794" s="8">
        <v>8.2000000000000003E-2</v>
      </c>
      <c r="AB2794" s="8">
        <v>1.9E-2</v>
      </c>
      <c r="AC2794" s="8">
        <v>3.0000000000000001E-3</v>
      </c>
    </row>
    <row r="2795" spans="1:29" ht="11.65" hidden="1" x14ac:dyDescent="0.35">
      <c r="A2795" s="12">
        <v>2778</v>
      </c>
      <c r="B2795" s="10" t="s">
        <v>1015</v>
      </c>
      <c r="C2795" s="11" t="s">
        <v>1209</v>
      </c>
      <c r="D2795" s="9"/>
      <c r="E2795" s="9">
        <v>740</v>
      </c>
      <c r="F2795" s="10" t="s">
        <v>1066</v>
      </c>
      <c r="G2795" s="9">
        <v>931</v>
      </c>
      <c r="H2795" s="9">
        <v>1960</v>
      </c>
      <c r="I2795" s="8">
        <v>28.521000000000001</v>
      </c>
      <c r="J2795" s="8">
        <v>21.533999999999999</v>
      </c>
      <c r="K2795" s="8">
        <v>16.916</v>
      </c>
      <c r="L2795" s="8">
        <v>11.989000000000001</v>
      </c>
      <c r="M2795" s="8">
        <v>10.996</v>
      </c>
      <c r="N2795" s="8">
        <v>10.006</v>
      </c>
      <c r="O2795" s="8">
        <v>9</v>
      </c>
      <c r="P2795" s="8">
        <v>7</v>
      </c>
      <c r="Q2795" s="8">
        <v>6.0019999999999998</v>
      </c>
      <c r="R2795" s="8">
        <v>4.9989999999999997</v>
      </c>
      <c r="S2795" s="8">
        <v>4</v>
      </c>
      <c r="T2795" s="8">
        <v>3.9990000000000001</v>
      </c>
      <c r="U2795" s="8">
        <v>2.9990000000000001</v>
      </c>
      <c r="V2795" s="8">
        <v>1.9970000000000001</v>
      </c>
      <c r="W2795" s="8">
        <v>2.0009999999999999</v>
      </c>
      <c r="X2795" s="8">
        <v>0.999</v>
      </c>
      <c r="Y2795" s="8">
        <v>0.61499999999999999</v>
      </c>
      <c r="Z2795" s="8">
        <v>0.28799999999999998</v>
      </c>
      <c r="AA2795" s="8">
        <v>7.6999999999999999E-2</v>
      </c>
      <c r="AB2795" s="8">
        <v>1.4999999999999999E-2</v>
      </c>
      <c r="AC2795" s="8">
        <v>2E-3</v>
      </c>
    </row>
    <row r="2796" spans="1:29" ht="11.65" hidden="1" x14ac:dyDescent="0.35">
      <c r="A2796" s="12">
        <v>2779</v>
      </c>
      <c r="B2796" s="10" t="s">
        <v>1015</v>
      </c>
      <c r="C2796" s="11" t="s">
        <v>1209</v>
      </c>
      <c r="D2796" s="9"/>
      <c r="E2796" s="9">
        <v>740</v>
      </c>
      <c r="F2796" s="10" t="s">
        <v>1066</v>
      </c>
      <c r="G2796" s="9">
        <v>931</v>
      </c>
      <c r="H2796" s="9">
        <v>1965</v>
      </c>
      <c r="I2796" s="8">
        <v>31.016999999999999</v>
      </c>
      <c r="J2796" s="8">
        <v>26.556999999999999</v>
      </c>
      <c r="K2796" s="8">
        <v>20.035</v>
      </c>
      <c r="L2796" s="8">
        <v>15.307</v>
      </c>
      <c r="M2796" s="8">
        <v>12.194000000000001</v>
      </c>
      <c r="N2796" s="8">
        <v>10.996</v>
      </c>
      <c r="O2796" s="8">
        <v>9.8070000000000004</v>
      </c>
      <c r="P2796" s="8">
        <v>8.2989999999999995</v>
      </c>
      <c r="Q2796" s="8">
        <v>6.899</v>
      </c>
      <c r="R2796" s="8">
        <v>5.1020000000000003</v>
      </c>
      <c r="S2796" s="8">
        <v>4.4989999999999997</v>
      </c>
      <c r="T2796" s="8">
        <v>4.0990000000000002</v>
      </c>
      <c r="U2796" s="8">
        <v>3.3969999999999998</v>
      </c>
      <c r="V2796" s="8">
        <v>2.6970000000000001</v>
      </c>
      <c r="W2796" s="8">
        <v>1.8979999999999999</v>
      </c>
      <c r="X2796" s="8">
        <v>1.2</v>
      </c>
      <c r="Y2796" s="8">
        <v>0.71799999999999997</v>
      </c>
      <c r="Z2796" s="8">
        <v>0.27500000000000002</v>
      </c>
      <c r="AA2796" s="8">
        <v>0.09</v>
      </c>
      <c r="AB2796" s="8">
        <v>1.4999999999999999E-2</v>
      </c>
      <c r="AC2796" s="8">
        <v>2E-3</v>
      </c>
    </row>
    <row r="2797" spans="1:29" ht="11.65" hidden="1" x14ac:dyDescent="0.35">
      <c r="A2797" s="12">
        <v>2780</v>
      </c>
      <c r="B2797" s="10" t="s">
        <v>1015</v>
      </c>
      <c r="C2797" s="11" t="s">
        <v>1209</v>
      </c>
      <c r="D2797" s="9"/>
      <c r="E2797" s="9">
        <v>740</v>
      </c>
      <c r="F2797" s="10" t="s">
        <v>1066</v>
      </c>
      <c r="G2797" s="9">
        <v>931</v>
      </c>
      <c r="H2797" s="9">
        <v>1970</v>
      </c>
      <c r="I2797" s="8">
        <v>30.803999999999998</v>
      </c>
      <c r="J2797" s="8">
        <v>30.4</v>
      </c>
      <c r="K2797" s="8">
        <v>26.151</v>
      </c>
      <c r="L2797" s="8">
        <v>19.023</v>
      </c>
      <c r="M2797" s="8">
        <v>13.512</v>
      </c>
      <c r="N2797" s="8">
        <v>10.694000000000001</v>
      </c>
      <c r="O2797" s="8">
        <v>10.095000000000001</v>
      </c>
      <c r="P2797" s="8">
        <v>9.2070000000000007</v>
      </c>
      <c r="Q2797" s="8">
        <v>7.7990000000000004</v>
      </c>
      <c r="R2797" s="8">
        <v>6.5</v>
      </c>
      <c r="S2797" s="8">
        <v>4.8019999999999996</v>
      </c>
      <c r="T2797" s="8">
        <v>4.0979999999999999</v>
      </c>
      <c r="U2797" s="8">
        <v>3.6970000000000001</v>
      </c>
      <c r="V2797" s="8">
        <v>2.8969999999999998</v>
      </c>
      <c r="W2797" s="8">
        <v>2.1989999999999998</v>
      </c>
      <c r="X2797" s="8">
        <v>1.397</v>
      </c>
      <c r="Y2797" s="8">
        <v>0.65800000000000003</v>
      </c>
      <c r="Z2797" s="8">
        <v>0.33100000000000002</v>
      </c>
      <c r="AA2797" s="8">
        <v>0.09</v>
      </c>
      <c r="AB2797" s="8">
        <v>1.9E-2</v>
      </c>
      <c r="AC2797" s="8">
        <v>2E-3</v>
      </c>
    </row>
    <row r="2798" spans="1:29" ht="11.65" hidden="1" x14ac:dyDescent="0.35">
      <c r="A2798" s="12">
        <v>2781</v>
      </c>
      <c r="B2798" s="10" t="s">
        <v>1015</v>
      </c>
      <c r="C2798" s="11" t="s">
        <v>1209</v>
      </c>
      <c r="D2798" s="9"/>
      <c r="E2798" s="9">
        <v>740</v>
      </c>
      <c r="F2798" s="10" t="s">
        <v>1066</v>
      </c>
      <c r="G2798" s="9">
        <v>931</v>
      </c>
      <c r="H2798" s="9">
        <v>1975</v>
      </c>
      <c r="I2798" s="8">
        <v>27.434000000000001</v>
      </c>
      <c r="J2798" s="8">
        <v>30.015000000000001</v>
      </c>
      <c r="K2798" s="8">
        <v>26.853999999999999</v>
      </c>
      <c r="L2798" s="8">
        <v>20.146000000000001</v>
      </c>
      <c r="M2798" s="8">
        <v>12.845000000000001</v>
      </c>
      <c r="N2798" s="8">
        <v>10.452999999999999</v>
      </c>
      <c r="O2798" s="8">
        <v>9.4250000000000007</v>
      </c>
      <c r="P2798" s="8">
        <v>9.0559999999999992</v>
      </c>
      <c r="Q2798" s="8">
        <v>7.4039999999999999</v>
      </c>
      <c r="R2798" s="8">
        <v>6.2869999999999999</v>
      </c>
      <c r="S2798" s="8">
        <v>4.8070000000000004</v>
      </c>
      <c r="T2798" s="8">
        <v>3.7</v>
      </c>
      <c r="U2798" s="8">
        <v>3.5110000000000001</v>
      </c>
      <c r="V2798" s="8">
        <v>2.774</v>
      </c>
      <c r="W2798" s="8">
        <v>2.218</v>
      </c>
      <c r="X2798" s="8">
        <v>1.4770000000000001</v>
      </c>
      <c r="Y2798" s="8">
        <v>0.28899999999999998</v>
      </c>
      <c r="Z2798" s="8">
        <v>0.318</v>
      </c>
      <c r="AA2798" s="8">
        <v>0.114</v>
      </c>
      <c r="AB2798" s="8">
        <v>1.9E-2</v>
      </c>
      <c r="AC2798" s="8">
        <v>2E-3</v>
      </c>
    </row>
    <row r="2799" spans="1:29" ht="11.65" hidden="1" x14ac:dyDescent="0.35">
      <c r="A2799" s="12">
        <v>2782</v>
      </c>
      <c r="B2799" s="10" t="s">
        <v>1015</v>
      </c>
      <c r="C2799" s="11" t="s">
        <v>1209</v>
      </c>
      <c r="D2799" s="9"/>
      <c r="E2799" s="9">
        <v>740</v>
      </c>
      <c r="F2799" s="10" t="s">
        <v>1066</v>
      </c>
      <c r="G2799" s="9">
        <v>931</v>
      </c>
      <c r="H2799" s="9">
        <v>1980</v>
      </c>
      <c r="I2799" s="8">
        <v>21.98</v>
      </c>
      <c r="J2799" s="8">
        <v>23.882000000000001</v>
      </c>
      <c r="K2799" s="8">
        <v>24.423999999999999</v>
      </c>
      <c r="L2799" s="8">
        <v>23.347999999999999</v>
      </c>
      <c r="M2799" s="8">
        <v>16.812999999999999</v>
      </c>
      <c r="N2799" s="8">
        <v>11.694000000000001</v>
      </c>
      <c r="O2799" s="8">
        <v>9.2970000000000006</v>
      </c>
      <c r="P2799" s="8">
        <v>8.5419999999999998</v>
      </c>
      <c r="Q2799" s="8">
        <v>8.0589999999999993</v>
      </c>
      <c r="R2799" s="8">
        <v>7.3949999999999996</v>
      </c>
      <c r="S2799" s="8">
        <v>6.0039999999999996</v>
      </c>
      <c r="T2799" s="8">
        <v>4.7949999999999999</v>
      </c>
      <c r="U2799" s="8">
        <v>3.35</v>
      </c>
      <c r="V2799" s="8">
        <v>2.653</v>
      </c>
      <c r="W2799" s="8">
        <v>2.2370000000000001</v>
      </c>
      <c r="X2799" s="8">
        <v>1.7869999999999999</v>
      </c>
      <c r="Y2799" s="8">
        <v>1.3859999999999999</v>
      </c>
      <c r="Z2799" s="8">
        <v>0.157</v>
      </c>
      <c r="AA2799" s="8">
        <v>0.111</v>
      </c>
      <c r="AB2799" s="8">
        <v>2.5999999999999999E-2</v>
      </c>
      <c r="AC2799" s="8">
        <v>3.0000000000000001E-3</v>
      </c>
    </row>
    <row r="2800" spans="1:29" ht="11.65" hidden="1" x14ac:dyDescent="0.35">
      <c r="A2800" s="12">
        <v>2783</v>
      </c>
      <c r="B2800" s="10" t="s">
        <v>1015</v>
      </c>
      <c r="C2800" s="11" t="s">
        <v>1209</v>
      </c>
      <c r="D2800" s="9"/>
      <c r="E2800" s="9">
        <v>740</v>
      </c>
      <c r="F2800" s="10" t="s">
        <v>1066</v>
      </c>
      <c r="G2800" s="9">
        <v>931</v>
      </c>
      <c r="H2800" s="9">
        <v>1985</v>
      </c>
      <c r="I2800" s="8">
        <v>23.361999999999998</v>
      </c>
      <c r="J2800" s="8">
        <v>19.454999999999998</v>
      </c>
      <c r="K2800" s="8">
        <v>20.957999999999998</v>
      </c>
      <c r="L2800" s="8">
        <v>20.023</v>
      </c>
      <c r="M2800" s="8">
        <v>19.576000000000001</v>
      </c>
      <c r="N2800" s="8">
        <v>14.772</v>
      </c>
      <c r="O2800" s="8">
        <v>11.084</v>
      </c>
      <c r="P2800" s="8">
        <v>9.19</v>
      </c>
      <c r="Q2800" s="8">
        <v>8.4160000000000004</v>
      </c>
      <c r="R2800" s="8">
        <v>7.8959999999999999</v>
      </c>
      <c r="S2800" s="8">
        <v>7.1849999999999996</v>
      </c>
      <c r="T2800" s="8">
        <v>5.7460000000000004</v>
      </c>
      <c r="U2800" s="8">
        <v>4.468</v>
      </c>
      <c r="V2800" s="8">
        <v>3.0049999999999999</v>
      </c>
      <c r="W2800" s="8">
        <v>2.2400000000000002</v>
      </c>
      <c r="X2800" s="8">
        <v>1.7030000000000001</v>
      </c>
      <c r="Y2800" s="8">
        <v>1.1879999999999999</v>
      </c>
      <c r="Z2800" s="8">
        <v>0.73299999999999998</v>
      </c>
      <c r="AA2800" s="8">
        <v>5.3999999999999999E-2</v>
      </c>
      <c r="AB2800" s="8">
        <v>2.9000000000000001E-2</v>
      </c>
      <c r="AC2800" s="8">
        <v>4.0000000000000001E-3</v>
      </c>
    </row>
    <row r="2801" spans="1:29" ht="11.65" hidden="1" x14ac:dyDescent="0.35">
      <c r="A2801" s="12">
        <v>2784</v>
      </c>
      <c r="B2801" s="10" t="s">
        <v>1015</v>
      </c>
      <c r="C2801" s="11" t="s">
        <v>1209</v>
      </c>
      <c r="D2801" s="9"/>
      <c r="E2801" s="9">
        <v>740</v>
      </c>
      <c r="F2801" s="10" t="s">
        <v>1066</v>
      </c>
      <c r="G2801" s="9">
        <v>931</v>
      </c>
      <c r="H2801" s="9">
        <v>1990</v>
      </c>
      <c r="I2801" s="8">
        <v>25.402999999999999</v>
      </c>
      <c r="J2801" s="8">
        <v>22.815000000000001</v>
      </c>
      <c r="K2801" s="8">
        <v>19.097999999999999</v>
      </c>
      <c r="L2801" s="8">
        <v>20.55</v>
      </c>
      <c r="M2801" s="8">
        <v>19.388999999999999</v>
      </c>
      <c r="N2801" s="8">
        <v>18.97</v>
      </c>
      <c r="O2801" s="8">
        <v>14.397</v>
      </c>
      <c r="P2801" s="8">
        <v>10.9</v>
      </c>
      <c r="Q2801" s="8">
        <v>9.0619999999999994</v>
      </c>
      <c r="R2801" s="8">
        <v>8.2539999999999996</v>
      </c>
      <c r="S2801" s="8">
        <v>7.6829999999999998</v>
      </c>
      <c r="T2801" s="8">
        <v>6.8879999999999999</v>
      </c>
      <c r="U2801" s="8">
        <v>5.3710000000000004</v>
      </c>
      <c r="V2801" s="8">
        <v>4.03</v>
      </c>
      <c r="W2801" s="8">
        <v>2.5569999999999999</v>
      </c>
      <c r="X2801" s="8">
        <v>1.73</v>
      </c>
      <c r="Y2801" s="8">
        <v>1.1579999999999999</v>
      </c>
      <c r="Z2801" s="8">
        <v>0.64600000000000002</v>
      </c>
      <c r="AA2801" s="8">
        <v>0.29699999999999999</v>
      </c>
      <c r="AB2801" s="8">
        <v>1.6E-2</v>
      </c>
      <c r="AC2801" s="8">
        <v>5.0000000000000001E-3</v>
      </c>
    </row>
    <row r="2802" spans="1:29" ht="11.65" hidden="1" x14ac:dyDescent="0.35">
      <c r="A2802" s="12">
        <v>2785</v>
      </c>
      <c r="B2802" s="10" t="s">
        <v>1015</v>
      </c>
      <c r="C2802" s="11" t="s">
        <v>1209</v>
      </c>
      <c r="D2802" s="9"/>
      <c r="E2802" s="9">
        <v>740</v>
      </c>
      <c r="F2802" s="10" t="s">
        <v>1066</v>
      </c>
      <c r="G2802" s="9">
        <v>931</v>
      </c>
      <c r="H2802" s="9">
        <v>1995</v>
      </c>
      <c r="I2802" s="8">
        <v>26.35</v>
      </c>
      <c r="J2802" s="8">
        <v>25.042999999999999</v>
      </c>
      <c r="K2802" s="8">
        <v>22.338999999999999</v>
      </c>
      <c r="L2802" s="8">
        <v>18.754000000000001</v>
      </c>
      <c r="M2802" s="8">
        <v>20.100999999999999</v>
      </c>
      <c r="N2802" s="8">
        <v>18.699000000000002</v>
      </c>
      <c r="O2802" s="8">
        <v>18.337</v>
      </c>
      <c r="P2802" s="8">
        <v>14.005000000000001</v>
      </c>
      <c r="Q2802" s="8">
        <v>10.689</v>
      </c>
      <c r="R2802" s="8">
        <v>8.891</v>
      </c>
      <c r="S2802" s="8">
        <v>8.0280000000000005</v>
      </c>
      <c r="T2802" s="8">
        <v>7.3639999999999999</v>
      </c>
      <c r="U2802" s="8">
        <v>6.4420000000000002</v>
      </c>
      <c r="V2802" s="8">
        <v>4.8419999999999996</v>
      </c>
      <c r="W2802" s="8">
        <v>3.4279999999999999</v>
      </c>
      <c r="X2802" s="8">
        <v>1.976</v>
      </c>
      <c r="Y2802" s="8">
        <v>1.177</v>
      </c>
      <c r="Z2802" s="8">
        <v>0.63</v>
      </c>
      <c r="AA2802" s="8">
        <v>0.26200000000000001</v>
      </c>
      <c r="AB2802" s="8">
        <v>8.3000000000000004E-2</v>
      </c>
      <c r="AC2802" s="8">
        <v>3.0000000000000001E-3</v>
      </c>
    </row>
    <row r="2803" spans="1:29" ht="11.65" hidden="1" x14ac:dyDescent="0.35">
      <c r="A2803" s="12">
        <v>2786</v>
      </c>
      <c r="B2803" s="10" t="s">
        <v>1015</v>
      </c>
      <c r="C2803" s="11" t="s">
        <v>1209</v>
      </c>
      <c r="D2803" s="9"/>
      <c r="E2803" s="9">
        <v>740</v>
      </c>
      <c r="F2803" s="10" t="s">
        <v>1066</v>
      </c>
      <c r="G2803" s="9">
        <v>931</v>
      </c>
      <c r="H2803" s="9">
        <v>2000</v>
      </c>
      <c r="I2803" s="8">
        <v>25.902000000000001</v>
      </c>
      <c r="J2803" s="8">
        <v>25.329000000000001</v>
      </c>
      <c r="K2803" s="8">
        <v>23.542000000000002</v>
      </c>
      <c r="L2803" s="8">
        <v>21.783000000000001</v>
      </c>
      <c r="M2803" s="8">
        <v>19.085999999999999</v>
      </c>
      <c r="N2803" s="8">
        <v>20.550999999999998</v>
      </c>
      <c r="O2803" s="8">
        <v>18.087</v>
      </c>
      <c r="P2803" s="8">
        <v>18.303999999999998</v>
      </c>
      <c r="Q2803" s="8">
        <v>12.919</v>
      </c>
      <c r="R2803" s="8">
        <v>10.444000000000001</v>
      </c>
      <c r="S2803" s="8">
        <v>9.0069999999999997</v>
      </c>
      <c r="T2803" s="8">
        <v>7.6379999999999999</v>
      </c>
      <c r="U2803" s="8">
        <v>6.8250000000000002</v>
      </c>
      <c r="V2803" s="8">
        <v>5.1269999999999998</v>
      </c>
      <c r="W2803" s="8">
        <v>3.8719999999999999</v>
      </c>
      <c r="X2803" s="8">
        <v>2.3170000000000002</v>
      </c>
      <c r="Y2803" s="8">
        <v>1.3440000000000001</v>
      </c>
      <c r="Z2803" s="8">
        <v>0.64</v>
      </c>
      <c r="AA2803" s="8">
        <v>0.25600000000000001</v>
      </c>
      <c r="AB2803" s="8">
        <v>7.1999999999999995E-2</v>
      </c>
      <c r="AC2803" s="8">
        <v>1.4E-2</v>
      </c>
    </row>
    <row r="2804" spans="1:29" ht="11.65" hidden="1" x14ac:dyDescent="0.35">
      <c r="A2804" s="12">
        <v>2787</v>
      </c>
      <c r="B2804" s="10" t="s">
        <v>1015</v>
      </c>
      <c r="C2804" s="11" t="s">
        <v>1209</v>
      </c>
      <c r="D2804" s="9"/>
      <c r="E2804" s="9">
        <v>740</v>
      </c>
      <c r="F2804" s="10" t="s">
        <v>1066</v>
      </c>
      <c r="G2804" s="9">
        <v>931</v>
      </c>
      <c r="H2804" s="9">
        <v>2005</v>
      </c>
      <c r="I2804" s="8">
        <v>25.696000000000002</v>
      </c>
      <c r="J2804" s="8">
        <v>25.31</v>
      </c>
      <c r="K2804" s="8">
        <v>24.812999999999999</v>
      </c>
      <c r="L2804" s="8">
        <v>22.49</v>
      </c>
      <c r="M2804" s="8">
        <v>21.271000000000001</v>
      </c>
      <c r="N2804" s="8">
        <v>18.616</v>
      </c>
      <c r="O2804" s="8">
        <v>19.954999999999998</v>
      </c>
      <c r="P2804" s="8">
        <v>17.323</v>
      </c>
      <c r="Q2804" s="8">
        <v>17.59</v>
      </c>
      <c r="R2804" s="8">
        <v>12.438000000000001</v>
      </c>
      <c r="S2804" s="8">
        <v>10.097</v>
      </c>
      <c r="T2804" s="8">
        <v>8.6349999999999998</v>
      </c>
      <c r="U2804" s="8">
        <v>7.1420000000000003</v>
      </c>
      <c r="V2804" s="8">
        <v>6.1550000000000002</v>
      </c>
      <c r="W2804" s="8">
        <v>4.3659999999999997</v>
      </c>
      <c r="X2804" s="8">
        <v>2.99</v>
      </c>
      <c r="Y2804" s="8">
        <v>1.5760000000000001</v>
      </c>
      <c r="Z2804" s="8">
        <v>0.73099999999999998</v>
      </c>
      <c r="AA2804" s="8">
        <v>0.26</v>
      </c>
      <c r="AB2804" s="8">
        <v>7.1999999999999995E-2</v>
      </c>
      <c r="AC2804" s="8">
        <v>1.4E-2</v>
      </c>
    </row>
    <row r="2805" spans="1:29" ht="11.65" hidden="1" x14ac:dyDescent="0.35">
      <c r="A2805" s="12">
        <v>2788</v>
      </c>
      <c r="B2805" s="10" t="s">
        <v>1015</v>
      </c>
      <c r="C2805" s="11" t="s">
        <v>1209</v>
      </c>
      <c r="D2805" s="9"/>
      <c r="E2805" s="9">
        <v>740</v>
      </c>
      <c r="F2805" s="10" t="s">
        <v>1066</v>
      </c>
      <c r="G2805" s="9">
        <v>931</v>
      </c>
      <c r="H2805" s="9">
        <v>2010</v>
      </c>
      <c r="I2805" s="8">
        <v>25.231999999999999</v>
      </c>
      <c r="J2805" s="8">
        <v>25.125</v>
      </c>
      <c r="K2805" s="8">
        <v>24.646000000000001</v>
      </c>
      <c r="L2805" s="8">
        <v>24.251000000000001</v>
      </c>
      <c r="M2805" s="8">
        <v>21.888000000000002</v>
      </c>
      <c r="N2805" s="8">
        <v>20.768999999999998</v>
      </c>
      <c r="O2805" s="8">
        <v>18.244</v>
      </c>
      <c r="P2805" s="8">
        <v>19.628</v>
      </c>
      <c r="Q2805" s="8">
        <v>17.033999999999999</v>
      </c>
      <c r="R2805" s="8">
        <v>17.263000000000002</v>
      </c>
      <c r="S2805" s="8">
        <v>12.125999999999999</v>
      </c>
      <c r="T2805" s="8">
        <v>9.7230000000000008</v>
      </c>
      <c r="U2805" s="8">
        <v>8.1259999999999994</v>
      </c>
      <c r="V2805" s="8">
        <v>6.4930000000000003</v>
      </c>
      <c r="W2805" s="8">
        <v>5.2969999999999997</v>
      </c>
      <c r="X2805" s="8">
        <v>3.43</v>
      </c>
      <c r="Y2805" s="8">
        <v>2.048</v>
      </c>
      <c r="Z2805" s="8">
        <v>0.88500000000000001</v>
      </c>
      <c r="AA2805" s="8">
        <v>0.308</v>
      </c>
      <c r="AB2805" s="8">
        <v>7.3999999999999996E-2</v>
      </c>
      <c r="AC2805" s="8">
        <v>1.4E-2</v>
      </c>
    </row>
    <row r="2806" spans="1:29" ht="11.65" hidden="1" x14ac:dyDescent="0.35">
      <c r="A2806" s="12">
        <v>2789</v>
      </c>
      <c r="B2806" s="10" t="s">
        <v>1015</v>
      </c>
      <c r="C2806" s="11" t="s">
        <v>1209</v>
      </c>
      <c r="D2806" s="9"/>
      <c r="E2806" s="9">
        <v>740</v>
      </c>
      <c r="F2806" s="10" t="s">
        <v>1066</v>
      </c>
      <c r="G2806" s="9">
        <v>931</v>
      </c>
      <c r="H2806" s="9">
        <v>2015</v>
      </c>
      <c r="I2806" s="8">
        <v>25.506</v>
      </c>
      <c r="J2806" s="8">
        <v>24.968</v>
      </c>
      <c r="K2806" s="8">
        <v>24.704000000000001</v>
      </c>
      <c r="L2806" s="8">
        <v>24.088999999999999</v>
      </c>
      <c r="M2806" s="8">
        <v>23.652999999999999</v>
      </c>
      <c r="N2806" s="8">
        <v>21.399000000000001</v>
      </c>
      <c r="O2806" s="8">
        <v>20.401</v>
      </c>
      <c r="P2806" s="8">
        <v>17.956</v>
      </c>
      <c r="Q2806" s="8">
        <v>19.337</v>
      </c>
      <c r="R2806" s="8">
        <v>16.741</v>
      </c>
      <c r="S2806" s="8">
        <v>16.884</v>
      </c>
      <c r="T2806" s="8">
        <v>11.711</v>
      </c>
      <c r="U2806" s="8">
        <v>9.19</v>
      </c>
      <c r="V2806" s="8">
        <v>7.4189999999999996</v>
      </c>
      <c r="W2806" s="8">
        <v>5.6139999999999999</v>
      </c>
      <c r="X2806" s="8">
        <v>4.2039999999999997</v>
      </c>
      <c r="Y2806" s="8">
        <v>2.3860000000000001</v>
      </c>
      <c r="Z2806" s="8">
        <v>1.17</v>
      </c>
      <c r="AA2806" s="8">
        <v>0.38300000000000001</v>
      </c>
      <c r="AB2806" s="8">
        <v>9.0999999999999998E-2</v>
      </c>
      <c r="AC2806" s="8">
        <v>1.4999999999999999E-2</v>
      </c>
    </row>
    <row r="2807" spans="1:29" ht="11.65" hidden="1" x14ac:dyDescent="0.35">
      <c r="A2807" s="12">
        <v>2790</v>
      </c>
      <c r="B2807" s="10" t="s">
        <v>1015</v>
      </c>
      <c r="C2807" s="11" t="s">
        <v>1209</v>
      </c>
      <c r="D2807" s="9"/>
      <c r="E2807" s="9">
        <v>740</v>
      </c>
      <c r="F2807" s="10" t="s">
        <v>1066</v>
      </c>
      <c r="G2807" s="9">
        <v>931</v>
      </c>
      <c r="H2807" s="9">
        <v>2020</v>
      </c>
      <c r="I2807" s="8">
        <v>25.138999999999999</v>
      </c>
      <c r="J2807" s="8">
        <v>25.376000000000001</v>
      </c>
      <c r="K2807" s="8">
        <v>24.867000000000001</v>
      </c>
      <c r="L2807" s="8">
        <v>24.376999999999999</v>
      </c>
      <c r="M2807" s="8">
        <v>23.513000000000002</v>
      </c>
      <c r="N2807" s="8">
        <v>23.061</v>
      </c>
      <c r="O2807" s="8">
        <v>20.904</v>
      </c>
      <c r="P2807" s="8">
        <v>20.001999999999999</v>
      </c>
      <c r="Q2807" s="8">
        <v>17.623999999999999</v>
      </c>
      <c r="R2807" s="8">
        <v>18.966999999999999</v>
      </c>
      <c r="S2807" s="8">
        <v>16.327000000000002</v>
      </c>
      <c r="T2807" s="8">
        <v>16.291</v>
      </c>
      <c r="U2807" s="8">
        <v>11.069000000000001</v>
      </c>
      <c r="V2807" s="8">
        <v>8.4019999999999992</v>
      </c>
      <c r="W2807" s="8">
        <v>6.4349999999999996</v>
      </c>
      <c r="X2807" s="8">
        <v>4.4790000000000001</v>
      </c>
      <c r="Y2807" s="8">
        <v>2.95</v>
      </c>
      <c r="Z2807" s="8">
        <v>1.38</v>
      </c>
      <c r="AA2807" s="8">
        <v>0.51500000000000001</v>
      </c>
      <c r="AB2807" s="8">
        <v>0.11600000000000001</v>
      </c>
      <c r="AC2807" s="8">
        <v>1.7999999999999999E-2</v>
      </c>
    </row>
    <row r="2808" spans="1:29" ht="11.65" hidden="1" x14ac:dyDescent="0.35">
      <c r="A2808" s="12">
        <v>2791</v>
      </c>
      <c r="B2808" s="10" t="s">
        <v>1015</v>
      </c>
      <c r="C2808" s="11" t="s">
        <v>1210</v>
      </c>
      <c r="D2808" s="9"/>
      <c r="E2808" s="9">
        <v>858</v>
      </c>
      <c r="F2808" s="10" t="s">
        <v>1066</v>
      </c>
      <c r="G2808" s="9">
        <v>931</v>
      </c>
      <c r="H2808" s="9">
        <v>1950</v>
      </c>
      <c r="I2808" s="8">
        <v>109.218</v>
      </c>
      <c r="J2808" s="8">
        <v>101.248</v>
      </c>
      <c r="K2808" s="8">
        <v>99.507000000000005</v>
      </c>
      <c r="L2808" s="8">
        <v>99.298000000000002</v>
      </c>
      <c r="M2808" s="8">
        <v>96.566000000000003</v>
      </c>
      <c r="N2808" s="8">
        <v>86.787000000000006</v>
      </c>
      <c r="O2808" s="8">
        <v>75.016999999999996</v>
      </c>
      <c r="P2808" s="8">
        <v>77.599999999999994</v>
      </c>
      <c r="Q2808" s="8">
        <v>65.668000000000006</v>
      </c>
      <c r="R2808" s="8">
        <v>59.826000000000001</v>
      </c>
      <c r="S2808" s="8">
        <v>52.45</v>
      </c>
      <c r="T2808" s="8">
        <v>45.987000000000002</v>
      </c>
      <c r="U2808" s="8">
        <v>39.668999999999997</v>
      </c>
      <c r="V2808" s="8">
        <v>33.496000000000002</v>
      </c>
      <c r="W2808" s="8">
        <v>26.417000000000002</v>
      </c>
      <c r="X2808" s="8">
        <v>18.88</v>
      </c>
      <c r="Y2808" s="8">
        <v>11.271000000000001</v>
      </c>
      <c r="Z2808" s="8">
        <v>5.1360000000000001</v>
      </c>
      <c r="AA2808" s="8">
        <v>1.7090000000000001</v>
      </c>
      <c r="AB2808" s="8">
        <v>0.39500000000000002</v>
      </c>
      <c r="AC2808" s="8">
        <v>6.9000000000000006E-2</v>
      </c>
    </row>
    <row r="2809" spans="1:29" ht="11.65" hidden="1" x14ac:dyDescent="0.35">
      <c r="A2809" s="12">
        <v>2792</v>
      </c>
      <c r="B2809" s="10" t="s">
        <v>1015</v>
      </c>
      <c r="C2809" s="11" t="s">
        <v>1210</v>
      </c>
      <c r="D2809" s="9"/>
      <c r="E2809" s="9">
        <v>858</v>
      </c>
      <c r="F2809" s="10" t="s">
        <v>1066</v>
      </c>
      <c r="G2809" s="9">
        <v>931</v>
      </c>
      <c r="H2809" s="9">
        <v>1955</v>
      </c>
      <c r="I2809" s="8">
        <v>113.16500000000001</v>
      </c>
      <c r="J2809" s="8">
        <v>109.06699999999999</v>
      </c>
      <c r="K2809" s="8">
        <v>101.35899999999999</v>
      </c>
      <c r="L2809" s="8">
        <v>99.525999999999996</v>
      </c>
      <c r="M2809" s="8">
        <v>99.33</v>
      </c>
      <c r="N2809" s="8">
        <v>96.995999999999995</v>
      </c>
      <c r="O2809" s="8">
        <v>87.052000000000007</v>
      </c>
      <c r="P2809" s="8">
        <v>74.998000000000005</v>
      </c>
      <c r="Q2809" s="8">
        <v>76.983999999999995</v>
      </c>
      <c r="R2809" s="8">
        <v>64.543000000000006</v>
      </c>
      <c r="S2809" s="8">
        <v>58.235999999999997</v>
      </c>
      <c r="T2809" s="8">
        <v>50.265000000000001</v>
      </c>
      <c r="U2809" s="8">
        <v>43.033000000000001</v>
      </c>
      <c r="V2809" s="8">
        <v>35.795000000000002</v>
      </c>
      <c r="W2809" s="8">
        <v>28.367000000000001</v>
      </c>
      <c r="X2809" s="8">
        <v>20.265999999999998</v>
      </c>
      <c r="Y2809" s="8">
        <v>12.282999999999999</v>
      </c>
      <c r="Z2809" s="8">
        <v>5.673</v>
      </c>
      <c r="AA2809" s="8">
        <v>1.9139999999999999</v>
      </c>
      <c r="AB2809" s="8">
        <v>0.45100000000000001</v>
      </c>
      <c r="AC2809" s="8">
        <v>7.9000000000000001E-2</v>
      </c>
    </row>
    <row r="2810" spans="1:29" ht="11.65" hidden="1" x14ac:dyDescent="0.35">
      <c r="A2810" s="12">
        <v>2793</v>
      </c>
      <c r="B2810" s="10" t="s">
        <v>1015</v>
      </c>
      <c r="C2810" s="11" t="s">
        <v>1210</v>
      </c>
      <c r="D2810" s="9"/>
      <c r="E2810" s="9">
        <v>858</v>
      </c>
      <c r="F2810" s="10" t="s">
        <v>1066</v>
      </c>
      <c r="G2810" s="9">
        <v>931</v>
      </c>
      <c r="H2810" s="9">
        <v>1960</v>
      </c>
      <c r="I2810" s="8">
        <v>125.36799999999999</v>
      </c>
      <c r="J2810" s="8">
        <v>113.58</v>
      </c>
      <c r="K2810" s="8">
        <v>109.533</v>
      </c>
      <c r="L2810" s="8">
        <v>101.729</v>
      </c>
      <c r="M2810" s="8">
        <v>100.074</v>
      </c>
      <c r="N2810" s="8">
        <v>100.76900000000001</v>
      </c>
      <c r="O2810" s="8">
        <v>98.125</v>
      </c>
      <c r="P2810" s="8">
        <v>87.682000000000002</v>
      </c>
      <c r="Q2810" s="8">
        <v>74.950999999999993</v>
      </c>
      <c r="R2810" s="8">
        <v>75.92</v>
      </c>
      <c r="S2810" s="8">
        <v>63.093000000000004</v>
      </c>
      <c r="T2810" s="8">
        <v>56.082000000000001</v>
      </c>
      <c r="U2810" s="8">
        <v>47.293999999999997</v>
      </c>
      <c r="V2810" s="8">
        <v>39.115000000000002</v>
      </c>
      <c r="W2810" s="8">
        <v>30.611000000000001</v>
      </c>
      <c r="X2810" s="8">
        <v>22.021000000000001</v>
      </c>
      <c r="Y2810" s="8">
        <v>13.39</v>
      </c>
      <c r="Z2810" s="8">
        <v>6.2919999999999998</v>
      </c>
      <c r="AA2810" s="8">
        <v>2.1509999999999998</v>
      </c>
      <c r="AB2810" s="8">
        <v>0.51200000000000001</v>
      </c>
      <c r="AC2810" s="8">
        <v>9.0999999999999998E-2</v>
      </c>
    </row>
    <row r="2811" spans="1:29" ht="11.65" hidden="1" x14ac:dyDescent="0.35">
      <c r="A2811" s="12">
        <v>2794</v>
      </c>
      <c r="B2811" s="10" t="s">
        <v>1015</v>
      </c>
      <c r="C2811" s="11" t="s">
        <v>1210</v>
      </c>
      <c r="D2811" s="9"/>
      <c r="E2811" s="9">
        <v>858</v>
      </c>
      <c r="F2811" s="10" t="s">
        <v>1066</v>
      </c>
      <c r="G2811" s="9">
        <v>931</v>
      </c>
      <c r="H2811" s="9">
        <v>1965</v>
      </c>
      <c r="I2811" s="8">
        <v>133.35</v>
      </c>
      <c r="J2811" s="8">
        <v>124.438</v>
      </c>
      <c r="K2811" s="8">
        <v>113.206</v>
      </c>
      <c r="L2811" s="8">
        <v>109.003</v>
      </c>
      <c r="M2811" s="8">
        <v>100.96</v>
      </c>
      <c r="N2811" s="8">
        <v>99.210999999999999</v>
      </c>
      <c r="O2811" s="8">
        <v>99.89</v>
      </c>
      <c r="P2811" s="8">
        <v>97.084999999999994</v>
      </c>
      <c r="Q2811" s="8">
        <v>86.527000000000001</v>
      </c>
      <c r="R2811" s="8">
        <v>73.61</v>
      </c>
      <c r="S2811" s="8">
        <v>73.994</v>
      </c>
      <c r="T2811" s="8">
        <v>60.728000000000002</v>
      </c>
      <c r="U2811" s="8">
        <v>52.933999999999997</v>
      </c>
      <c r="V2811" s="8">
        <v>43.238</v>
      </c>
      <c r="W2811" s="8">
        <v>33.759</v>
      </c>
      <c r="X2811" s="8">
        <v>24.103999999999999</v>
      </c>
      <c r="Y2811" s="8">
        <v>14.824</v>
      </c>
      <c r="Z2811" s="8">
        <v>7.01</v>
      </c>
      <c r="AA2811" s="8">
        <v>2.4409999999999998</v>
      </c>
      <c r="AB2811" s="8">
        <v>0.58799999999999997</v>
      </c>
      <c r="AC2811" s="8">
        <v>0.106</v>
      </c>
    </row>
    <row r="2812" spans="1:29" ht="11.65" hidden="1" x14ac:dyDescent="0.35">
      <c r="A2812" s="12">
        <v>2795</v>
      </c>
      <c r="B2812" s="10" t="s">
        <v>1015</v>
      </c>
      <c r="C2812" s="11" t="s">
        <v>1210</v>
      </c>
      <c r="D2812" s="9"/>
      <c r="E2812" s="9">
        <v>858</v>
      </c>
      <c r="F2812" s="10" t="s">
        <v>1066</v>
      </c>
      <c r="G2812" s="9">
        <v>931</v>
      </c>
      <c r="H2812" s="9">
        <v>1970</v>
      </c>
      <c r="I2812" s="8">
        <v>130.37700000000001</v>
      </c>
      <c r="J2812" s="8">
        <v>130.83500000000001</v>
      </c>
      <c r="K2812" s="8">
        <v>123.19499999999999</v>
      </c>
      <c r="L2812" s="8">
        <v>111.324</v>
      </c>
      <c r="M2812" s="8">
        <v>106.086</v>
      </c>
      <c r="N2812" s="8">
        <v>97.975999999999999</v>
      </c>
      <c r="O2812" s="8">
        <v>96.795000000000002</v>
      </c>
      <c r="P2812" s="8">
        <v>97.433000000000007</v>
      </c>
      <c r="Q2812" s="8">
        <v>94.994</v>
      </c>
      <c r="R2812" s="8">
        <v>84.457999999999998</v>
      </c>
      <c r="S2812" s="8">
        <v>71.355000000000004</v>
      </c>
      <c r="T2812" s="8">
        <v>71.072999999999993</v>
      </c>
      <c r="U2812" s="8">
        <v>57.247999999999998</v>
      </c>
      <c r="V2812" s="8">
        <v>48.41</v>
      </c>
      <c r="W2812" s="8">
        <v>37.344999999999999</v>
      </c>
      <c r="X2812" s="8">
        <v>26.672999999999998</v>
      </c>
      <c r="Y2812" s="8">
        <v>16.302</v>
      </c>
      <c r="Z2812" s="8">
        <v>7.8049999999999997</v>
      </c>
      <c r="AA2812" s="8">
        <v>2.7360000000000002</v>
      </c>
      <c r="AB2812" s="8">
        <v>0.67100000000000004</v>
      </c>
      <c r="AC2812" s="8">
        <v>0.122</v>
      </c>
    </row>
    <row r="2813" spans="1:29" ht="11.65" hidden="1" x14ac:dyDescent="0.35">
      <c r="A2813" s="12">
        <v>2796</v>
      </c>
      <c r="B2813" s="10" t="s">
        <v>1015</v>
      </c>
      <c r="C2813" s="11" t="s">
        <v>1210</v>
      </c>
      <c r="D2813" s="9"/>
      <c r="E2813" s="9">
        <v>858</v>
      </c>
      <c r="F2813" s="10" t="s">
        <v>1066</v>
      </c>
      <c r="G2813" s="9">
        <v>931</v>
      </c>
      <c r="H2813" s="9">
        <v>1975</v>
      </c>
      <c r="I2813" s="8">
        <v>135.06700000000001</v>
      </c>
      <c r="J2813" s="8">
        <v>122.349</v>
      </c>
      <c r="K2813" s="8">
        <v>126.56399999999999</v>
      </c>
      <c r="L2813" s="8">
        <v>116.509</v>
      </c>
      <c r="M2813" s="8">
        <v>100.84699999999999</v>
      </c>
      <c r="N2813" s="8">
        <v>95.528000000000006</v>
      </c>
      <c r="O2813" s="8">
        <v>90.034000000000006</v>
      </c>
      <c r="P2813" s="8">
        <v>89.340999999999994</v>
      </c>
      <c r="Q2813" s="8">
        <v>92.34</v>
      </c>
      <c r="R2813" s="8">
        <v>90.81</v>
      </c>
      <c r="S2813" s="8">
        <v>80.478999999999999</v>
      </c>
      <c r="T2813" s="8">
        <v>67.832999999999998</v>
      </c>
      <c r="U2813" s="8">
        <v>66.605000000000004</v>
      </c>
      <c r="V2813" s="8">
        <v>52.201999999999998</v>
      </c>
      <c r="W2813" s="8">
        <v>41.676000000000002</v>
      </c>
      <c r="X2813" s="8">
        <v>29.605</v>
      </c>
      <c r="Y2813" s="8">
        <v>18.123000000000001</v>
      </c>
      <c r="Z2813" s="8">
        <v>8.6270000000000007</v>
      </c>
      <c r="AA2813" s="8">
        <v>3.0609999999999999</v>
      </c>
      <c r="AB2813" s="8">
        <v>0.755</v>
      </c>
      <c r="AC2813" s="8">
        <v>0.14000000000000001</v>
      </c>
    </row>
    <row r="2814" spans="1:29" ht="11.65" hidden="1" x14ac:dyDescent="0.35">
      <c r="A2814" s="12">
        <v>2797</v>
      </c>
      <c r="B2814" s="10" t="s">
        <v>1015</v>
      </c>
      <c r="C2814" s="11" t="s">
        <v>1210</v>
      </c>
      <c r="D2814" s="9"/>
      <c r="E2814" s="9">
        <v>858</v>
      </c>
      <c r="F2814" s="10" t="s">
        <v>1066</v>
      </c>
      <c r="G2814" s="9">
        <v>931</v>
      </c>
      <c r="H2814" s="9">
        <v>1980</v>
      </c>
      <c r="I2814" s="8">
        <v>135.732</v>
      </c>
      <c r="J2814" s="8">
        <v>130.63499999999999</v>
      </c>
      <c r="K2814" s="8">
        <v>118.145</v>
      </c>
      <c r="L2814" s="8">
        <v>122.28700000000001</v>
      </c>
      <c r="M2814" s="8">
        <v>112.357</v>
      </c>
      <c r="N2814" s="8">
        <v>99.873000000000005</v>
      </c>
      <c r="O2814" s="8">
        <v>94.57</v>
      </c>
      <c r="P2814" s="8">
        <v>89.025000000000006</v>
      </c>
      <c r="Q2814" s="8">
        <v>87.436000000000007</v>
      </c>
      <c r="R2814" s="8">
        <v>90.179000000000002</v>
      </c>
      <c r="S2814" s="8">
        <v>88.331000000000003</v>
      </c>
      <c r="T2814" s="8">
        <v>77.507000000000005</v>
      </c>
      <c r="U2814" s="8">
        <v>64.477000000000004</v>
      </c>
      <c r="V2814" s="8">
        <v>61.572000000000003</v>
      </c>
      <c r="W2814" s="8">
        <v>45.767000000000003</v>
      </c>
      <c r="X2814" s="8">
        <v>33.582999999999998</v>
      </c>
      <c r="Y2814" s="8">
        <v>20.358000000000001</v>
      </c>
      <c r="Z2814" s="8">
        <v>9.4079999999999995</v>
      </c>
      <c r="AA2814" s="8">
        <v>3.2050000000000001</v>
      </c>
      <c r="AB2814" s="8">
        <v>0.76800000000000002</v>
      </c>
      <c r="AC2814" s="8">
        <v>0.13900000000000001</v>
      </c>
    </row>
    <row r="2815" spans="1:29" ht="11.65" hidden="1" x14ac:dyDescent="0.35">
      <c r="A2815" s="12">
        <v>2798</v>
      </c>
      <c r="B2815" s="10" t="s">
        <v>1015</v>
      </c>
      <c r="C2815" s="11" t="s">
        <v>1210</v>
      </c>
      <c r="D2815" s="9"/>
      <c r="E2815" s="9">
        <v>858</v>
      </c>
      <c r="F2815" s="10" t="s">
        <v>1066</v>
      </c>
      <c r="G2815" s="9">
        <v>931</v>
      </c>
      <c r="H2815" s="9">
        <v>1985</v>
      </c>
      <c r="I2815" s="8">
        <v>128.87100000000001</v>
      </c>
      <c r="J2815" s="8">
        <v>137.43799999999999</v>
      </c>
      <c r="K2815" s="8">
        <v>128.93299999999999</v>
      </c>
      <c r="L2815" s="8">
        <v>116.113</v>
      </c>
      <c r="M2815" s="8">
        <v>116.575</v>
      </c>
      <c r="N2815" s="8">
        <v>111</v>
      </c>
      <c r="O2815" s="8">
        <v>98.941000000000003</v>
      </c>
      <c r="P2815" s="8">
        <v>93.572000000000003</v>
      </c>
      <c r="Q2815" s="8">
        <v>87.772999999999996</v>
      </c>
      <c r="R2815" s="8">
        <v>85.608999999999995</v>
      </c>
      <c r="S2815" s="8">
        <v>87.82</v>
      </c>
      <c r="T2815" s="8">
        <v>85.307000000000002</v>
      </c>
      <c r="U2815" s="8">
        <v>73.766000000000005</v>
      </c>
      <c r="V2815" s="8">
        <v>59.920999999999999</v>
      </c>
      <c r="W2815" s="8">
        <v>54.481999999999999</v>
      </c>
      <c r="X2815" s="8">
        <v>37.270000000000003</v>
      </c>
      <c r="Y2815" s="8">
        <v>23.573</v>
      </c>
      <c r="Z2815" s="8">
        <v>11.112</v>
      </c>
      <c r="AA2815" s="8">
        <v>3.7730000000000001</v>
      </c>
      <c r="AB2815" s="8">
        <v>0.89200000000000002</v>
      </c>
      <c r="AC2815" s="8">
        <v>0.159</v>
      </c>
    </row>
    <row r="2816" spans="1:29" ht="11.65" hidden="1" x14ac:dyDescent="0.35">
      <c r="A2816" s="12">
        <v>2799</v>
      </c>
      <c r="B2816" s="10" t="s">
        <v>1015</v>
      </c>
      <c r="C2816" s="11" t="s">
        <v>1210</v>
      </c>
      <c r="D2816" s="9"/>
      <c r="E2816" s="9">
        <v>858</v>
      </c>
      <c r="F2816" s="10" t="s">
        <v>1066</v>
      </c>
      <c r="G2816" s="9">
        <v>931</v>
      </c>
      <c r="H2816" s="9">
        <v>1990</v>
      </c>
      <c r="I2816" s="8">
        <v>132.75899999999999</v>
      </c>
      <c r="J2816" s="8">
        <v>127.286</v>
      </c>
      <c r="K2816" s="8">
        <v>136.23699999999999</v>
      </c>
      <c r="L2816" s="8">
        <v>127.69499999999999</v>
      </c>
      <c r="M2816" s="8">
        <v>114.637</v>
      </c>
      <c r="N2816" s="8">
        <v>114.72799999999999</v>
      </c>
      <c r="O2816" s="8">
        <v>109.63800000000001</v>
      </c>
      <c r="P2816" s="8">
        <v>97.638999999999996</v>
      </c>
      <c r="Q2816" s="8">
        <v>92.201999999999998</v>
      </c>
      <c r="R2816" s="8">
        <v>86.167000000000002</v>
      </c>
      <c r="S2816" s="8">
        <v>83.483999999999995</v>
      </c>
      <c r="T2816" s="8">
        <v>84.9</v>
      </c>
      <c r="U2816" s="8">
        <v>81.347999999999999</v>
      </c>
      <c r="V2816" s="8">
        <v>68.611000000000004</v>
      </c>
      <c r="W2816" s="8">
        <v>53.142000000000003</v>
      </c>
      <c r="X2816" s="8">
        <v>44.600999999999999</v>
      </c>
      <c r="Y2816" s="8">
        <v>26.584</v>
      </c>
      <c r="Z2816" s="8">
        <v>13.462999999999999</v>
      </c>
      <c r="AA2816" s="8">
        <v>4.8120000000000003</v>
      </c>
      <c r="AB2816" s="8">
        <v>1.173</v>
      </c>
      <c r="AC2816" s="8">
        <v>0.21</v>
      </c>
    </row>
    <row r="2817" spans="1:29" ht="11.65" hidden="1" x14ac:dyDescent="0.35">
      <c r="A2817" s="12">
        <v>2800</v>
      </c>
      <c r="B2817" s="10" t="s">
        <v>1015</v>
      </c>
      <c r="C2817" s="11" t="s">
        <v>1210</v>
      </c>
      <c r="D2817" s="9"/>
      <c r="E2817" s="9">
        <v>858</v>
      </c>
      <c r="F2817" s="10" t="s">
        <v>1066</v>
      </c>
      <c r="G2817" s="9">
        <v>931</v>
      </c>
      <c r="H2817" s="9">
        <v>1995</v>
      </c>
      <c r="I2817" s="8">
        <v>137.36500000000001</v>
      </c>
      <c r="J2817" s="8">
        <v>131.21600000000001</v>
      </c>
      <c r="K2817" s="8">
        <v>126.122</v>
      </c>
      <c r="L2817" s="8">
        <v>134.98699999999999</v>
      </c>
      <c r="M2817" s="8">
        <v>126.17700000000001</v>
      </c>
      <c r="N2817" s="8">
        <v>112.792</v>
      </c>
      <c r="O2817" s="8">
        <v>113.36799999999999</v>
      </c>
      <c r="P2817" s="8">
        <v>108.303</v>
      </c>
      <c r="Q2817" s="8">
        <v>96.311000000000007</v>
      </c>
      <c r="R2817" s="8">
        <v>90.637</v>
      </c>
      <c r="S2817" s="8">
        <v>84.125</v>
      </c>
      <c r="T2817" s="8">
        <v>80.849000000000004</v>
      </c>
      <c r="U2817" s="8">
        <v>81.174000000000007</v>
      </c>
      <c r="V2817" s="8">
        <v>75.998999999999995</v>
      </c>
      <c r="W2817" s="8">
        <v>61.548000000000002</v>
      </c>
      <c r="X2817" s="8">
        <v>44.555</v>
      </c>
      <c r="Y2817" s="8">
        <v>32.988999999999997</v>
      </c>
      <c r="Z2817" s="8">
        <v>15.856</v>
      </c>
      <c r="AA2817" s="8">
        <v>6.1310000000000002</v>
      </c>
      <c r="AB2817" s="8">
        <v>1.5760000000000001</v>
      </c>
      <c r="AC2817" s="8">
        <v>0.28999999999999998</v>
      </c>
    </row>
    <row r="2818" spans="1:29" ht="11.65" hidden="1" x14ac:dyDescent="0.35">
      <c r="A2818" s="12">
        <v>2801</v>
      </c>
      <c r="B2818" s="10" t="s">
        <v>1015</v>
      </c>
      <c r="C2818" s="11" t="s">
        <v>1210</v>
      </c>
      <c r="D2818" s="9"/>
      <c r="E2818" s="9">
        <v>858</v>
      </c>
      <c r="F2818" s="10" t="s">
        <v>1066</v>
      </c>
      <c r="G2818" s="9">
        <v>931</v>
      </c>
      <c r="H2818" s="9">
        <v>2000</v>
      </c>
      <c r="I2818" s="8">
        <v>132.07499999999999</v>
      </c>
      <c r="J2818" s="8">
        <v>136.34399999999999</v>
      </c>
      <c r="K2818" s="8">
        <v>130.22300000000001</v>
      </c>
      <c r="L2818" s="8">
        <v>124.94499999999999</v>
      </c>
      <c r="M2818" s="8">
        <v>133.108</v>
      </c>
      <c r="N2818" s="8">
        <v>123.715</v>
      </c>
      <c r="O2818" s="8">
        <v>110.80500000000001</v>
      </c>
      <c r="P2818" s="8">
        <v>111.81</v>
      </c>
      <c r="Q2818" s="8">
        <v>106.85299999999999</v>
      </c>
      <c r="R2818" s="8">
        <v>94.697999999999993</v>
      </c>
      <c r="S2818" s="8">
        <v>88.646000000000001</v>
      </c>
      <c r="T2818" s="8">
        <v>81.596000000000004</v>
      </c>
      <c r="U2818" s="8">
        <v>77.396000000000001</v>
      </c>
      <c r="V2818" s="8">
        <v>76.05</v>
      </c>
      <c r="W2818" s="8">
        <v>68.727999999999994</v>
      </c>
      <c r="X2818" s="8">
        <v>52.247999999999998</v>
      </c>
      <c r="Y2818" s="8">
        <v>33.600999999999999</v>
      </c>
      <c r="Z2818" s="8">
        <v>20.271999999999998</v>
      </c>
      <c r="AA2818" s="8">
        <v>7.4749999999999996</v>
      </c>
      <c r="AB2818" s="8">
        <v>2.0840000000000001</v>
      </c>
      <c r="AC2818" s="8">
        <v>0.40400000000000003</v>
      </c>
    </row>
    <row r="2819" spans="1:29" ht="11.65" hidden="1" x14ac:dyDescent="0.35">
      <c r="A2819" s="12">
        <v>2802</v>
      </c>
      <c r="B2819" s="10" t="s">
        <v>1015</v>
      </c>
      <c r="C2819" s="11" t="s">
        <v>1210</v>
      </c>
      <c r="D2819" s="9"/>
      <c r="E2819" s="9">
        <v>858</v>
      </c>
      <c r="F2819" s="10" t="s">
        <v>1066</v>
      </c>
      <c r="G2819" s="9">
        <v>931</v>
      </c>
      <c r="H2819" s="9">
        <v>2005</v>
      </c>
      <c r="I2819" s="8">
        <v>123.732</v>
      </c>
      <c r="J2819" s="8">
        <v>128.93600000000001</v>
      </c>
      <c r="K2819" s="8">
        <v>132.83500000000001</v>
      </c>
      <c r="L2819" s="8">
        <v>126.193</v>
      </c>
      <c r="M2819" s="8">
        <v>118.43</v>
      </c>
      <c r="N2819" s="8">
        <v>124.339</v>
      </c>
      <c r="O2819" s="8">
        <v>117.04600000000001</v>
      </c>
      <c r="P2819" s="8">
        <v>106.483</v>
      </c>
      <c r="Q2819" s="8">
        <v>108.586</v>
      </c>
      <c r="R2819" s="8">
        <v>103.81100000000001</v>
      </c>
      <c r="S2819" s="8">
        <v>91.707999999999998</v>
      </c>
      <c r="T2819" s="8">
        <v>85.253</v>
      </c>
      <c r="U2819" s="8">
        <v>77.408000000000001</v>
      </c>
      <c r="V2819" s="8">
        <v>71.962999999999994</v>
      </c>
      <c r="W2819" s="8">
        <v>68.433000000000007</v>
      </c>
      <c r="X2819" s="8">
        <v>58.421999999999997</v>
      </c>
      <c r="Y2819" s="8">
        <v>39.610999999999997</v>
      </c>
      <c r="Z2819" s="8">
        <v>21.969000000000001</v>
      </c>
      <c r="AA2819" s="8">
        <v>10.757999999999999</v>
      </c>
      <c r="AB2819" s="8">
        <v>2.8969999999999998</v>
      </c>
      <c r="AC2819" s="8">
        <v>0.58199999999999996</v>
      </c>
    </row>
    <row r="2820" spans="1:29" ht="11.65" hidden="1" x14ac:dyDescent="0.35">
      <c r="A2820" s="12">
        <v>2803</v>
      </c>
      <c r="B2820" s="10" t="s">
        <v>1015</v>
      </c>
      <c r="C2820" s="11" t="s">
        <v>1210</v>
      </c>
      <c r="D2820" s="9"/>
      <c r="E2820" s="9">
        <v>858</v>
      </c>
      <c r="F2820" s="10" t="s">
        <v>1066</v>
      </c>
      <c r="G2820" s="9">
        <v>931</v>
      </c>
      <c r="H2820" s="9">
        <v>2010</v>
      </c>
      <c r="I2820" s="8">
        <v>115.74</v>
      </c>
      <c r="J2820" s="8">
        <v>122.038</v>
      </c>
      <c r="K2820" s="8">
        <v>127.307</v>
      </c>
      <c r="L2820" s="8">
        <v>130.64400000000001</v>
      </c>
      <c r="M2820" s="8">
        <v>122.93899999999999</v>
      </c>
      <c r="N2820" s="8">
        <v>114.139</v>
      </c>
      <c r="O2820" s="8">
        <v>120.902</v>
      </c>
      <c r="P2820" s="8">
        <v>114.526</v>
      </c>
      <c r="Q2820" s="8">
        <v>104.80800000000001</v>
      </c>
      <c r="R2820" s="8">
        <v>106.517</v>
      </c>
      <c r="S2820" s="8">
        <v>101.733</v>
      </c>
      <c r="T2820" s="8">
        <v>88.998999999999995</v>
      </c>
      <c r="U2820" s="8">
        <v>81.525999999999996</v>
      </c>
      <c r="V2820" s="8">
        <v>72.376000000000005</v>
      </c>
      <c r="W2820" s="8">
        <v>65.241</v>
      </c>
      <c r="X2820" s="8">
        <v>58.795999999999999</v>
      </c>
      <c r="Y2820" s="8">
        <v>46.167000000000002</v>
      </c>
      <c r="Z2820" s="8">
        <v>27.73</v>
      </c>
      <c r="AA2820" s="8">
        <v>12.704000000000001</v>
      </c>
      <c r="AB2820" s="8">
        <v>4.6630000000000003</v>
      </c>
      <c r="AC2820" s="8">
        <v>0.89200000000000002</v>
      </c>
    </row>
    <row r="2821" spans="1:29" ht="11.65" hidden="1" x14ac:dyDescent="0.35">
      <c r="A2821" s="12">
        <v>2804</v>
      </c>
      <c r="B2821" s="10" t="s">
        <v>1015</v>
      </c>
      <c r="C2821" s="11" t="s">
        <v>1210</v>
      </c>
      <c r="D2821" s="9"/>
      <c r="E2821" s="9">
        <v>858</v>
      </c>
      <c r="F2821" s="10" t="s">
        <v>1066</v>
      </c>
      <c r="G2821" s="9">
        <v>931</v>
      </c>
      <c r="H2821" s="9">
        <v>2015</v>
      </c>
      <c r="I2821" s="8">
        <v>116.376</v>
      </c>
      <c r="J2821" s="8">
        <v>114.574</v>
      </c>
      <c r="K2821" s="8">
        <v>120.916</v>
      </c>
      <c r="L2821" s="8">
        <v>126.124</v>
      </c>
      <c r="M2821" s="8">
        <v>128.38</v>
      </c>
      <c r="N2821" s="8">
        <v>120.137</v>
      </c>
      <c r="O2821" s="8">
        <v>111.991</v>
      </c>
      <c r="P2821" s="8">
        <v>119.367</v>
      </c>
      <c r="Q2821" s="8">
        <v>113.04900000000001</v>
      </c>
      <c r="R2821" s="8">
        <v>103.271</v>
      </c>
      <c r="S2821" s="8">
        <v>104.444</v>
      </c>
      <c r="T2821" s="8">
        <v>98.936000000000007</v>
      </c>
      <c r="U2821" s="8">
        <v>85.6</v>
      </c>
      <c r="V2821" s="8">
        <v>76.784999999999997</v>
      </c>
      <c r="W2821" s="8">
        <v>65.971999999999994</v>
      </c>
      <c r="X2821" s="8">
        <v>56.524000000000001</v>
      </c>
      <c r="Y2821" s="8">
        <v>47.323999999999998</v>
      </c>
      <c r="Z2821" s="8">
        <v>32.933</v>
      </c>
      <c r="AA2821" s="8">
        <v>16.478999999999999</v>
      </c>
      <c r="AB2821" s="8">
        <v>5.694</v>
      </c>
      <c r="AC2821" s="8">
        <v>1.4650000000000001</v>
      </c>
    </row>
    <row r="2822" spans="1:29" ht="11.65" hidden="1" x14ac:dyDescent="0.35">
      <c r="A2822" s="12">
        <v>2805</v>
      </c>
      <c r="B2822" s="10" t="s">
        <v>1015</v>
      </c>
      <c r="C2822" s="11" t="s">
        <v>1210</v>
      </c>
      <c r="D2822" s="9"/>
      <c r="E2822" s="9">
        <v>858</v>
      </c>
      <c r="F2822" s="10" t="s">
        <v>1066</v>
      </c>
      <c r="G2822" s="9">
        <v>931</v>
      </c>
      <c r="H2822" s="9">
        <v>2020</v>
      </c>
      <c r="I2822" s="8">
        <v>115.658</v>
      </c>
      <c r="J2822" s="8">
        <v>115.718</v>
      </c>
      <c r="K2822" s="8">
        <v>113.959</v>
      </c>
      <c r="L2822" s="8">
        <v>120.242</v>
      </c>
      <c r="M2822" s="8">
        <v>124.869</v>
      </c>
      <c r="N2822" s="8">
        <v>126.815</v>
      </c>
      <c r="O2822" s="8">
        <v>118.842</v>
      </c>
      <c r="P2822" s="8">
        <v>110.995</v>
      </c>
      <c r="Q2822" s="8">
        <v>118.233</v>
      </c>
      <c r="R2822" s="8">
        <v>111.679</v>
      </c>
      <c r="S2822" s="8">
        <v>101.54</v>
      </c>
      <c r="T2822" s="8">
        <v>101.98399999999999</v>
      </c>
      <c r="U2822" s="8">
        <v>95.540999999999997</v>
      </c>
      <c r="V2822" s="8">
        <v>81.040000000000006</v>
      </c>
      <c r="W2822" s="8">
        <v>70.486000000000004</v>
      </c>
      <c r="X2822" s="8">
        <v>57.744</v>
      </c>
      <c r="Y2822" s="8">
        <v>46.052999999999997</v>
      </c>
      <c r="Z2822" s="8">
        <v>34.360999999999997</v>
      </c>
      <c r="AA2822" s="8">
        <v>20.077000000000002</v>
      </c>
      <c r="AB2822" s="8">
        <v>7.617</v>
      </c>
      <c r="AC2822" s="8">
        <v>1.9379999999999999</v>
      </c>
    </row>
    <row r="2823" spans="1:29" ht="11.65" hidden="1" x14ac:dyDescent="0.35">
      <c r="A2823" s="12">
        <v>2806</v>
      </c>
      <c r="B2823" s="10" t="s">
        <v>1015</v>
      </c>
      <c r="C2823" s="11" t="s">
        <v>1211</v>
      </c>
      <c r="D2823" s="9"/>
      <c r="E2823" s="9">
        <v>862</v>
      </c>
      <c r="F2823" s="10" t="s">
        <v>1066</v>
      </c>
      <c r="G2823" s="9">
        <v>931</v>
      </c>
      <c r="H2823" s="9">
        <v>1950</v>
      </c>
      <c r="I2823" s="8">
        <v>505.35300000000001</v>
      </c>
      <c r="J2823" s="8">
        <v>399.49799999999999</v>
      </c>
      <c r="K2823" s="8">
        <v>330.53100000000001</v>
      </c>
      <c r="L2823" s="8">
        <v>277.19900000000001</v>
      </c>
      <c r="M2823" s="8">
        <v>233.358</v>
      </c>
      <c r="N2823" s="8">
        <v>197.14699999999999</v>
      </c>
      <c r="O2823" s="8">
        <v>166.51400000000001</v>
      </c>
      <c r="P2823" s="8">
        <v>139.696</v>
      </c>
      <c r="Q2823" s="8">
        <v>115.339</v>
      </c>
      <c r="R2823" s="8">
        <v>92.605999999999995</v>
      </c>
      <c r="S2823" s="8">
        <v>72.313000000000002</v>
      </c>
      <c r="T2823" s="8">
        <v>54.872999999999998</v>
      </c>
      <c r="U2823" s="8">
        <v>40.363999999999997</v>
      </c>
      <c r="V2823" s="8">
        <v>28.346</v>
      </c>
      <c r="W2823" s="8">
        <v>18.460999999999999</v>
      </c>
      <c r="X2823" s="8">
        <v>10.677</v>
      </c>
      <c r="Y2823" s="8">
        <v>5.1580000000000004</v>
      </c>
      <c r="Z2823" s="8">
        <v>1.915</v>
      </c>
      <c r="AA2823" s="8">
        <v>0.49</v>
      </c>
      <c r="AB2823" s="8">
        <v>7.4999999999999997E-2</v>
      </c>
      <c r="AC2823" s="8">
        <v>8.0000000000000002E-3</v>
      </c>
    </row>
    <row r="2824" spans="1:29" ht="11.65" hidden="1" x14ac:dyDescent="0.35">
      <c r="A2824" s="12">
        <v>2807</v>
      </c>
      <c r="B2824" s="10" t="s">
        <v>1015</v>
      </c>
      <c r="C2824" s="11" t="s">
        <v>1211</v>
      </c>
      <c r="D2824" s="9"/>
      <c r="E2824" s="9">
        <v>862</v>
      </c>
      <c r="F2824" s="10" t="s">
        <v>1066</v>
      </c>
      <c r="G2824" s="9">
        <v>931</v>
      </c>
      <c r="H2824" s="9">
        <v>1955</v>
      </c>
      <c r="I2824" s="8">
        <v>611.19899999999996</v>
      </c>
      <c r="J2824" s="8">
        <v>490.92</v>
      </c>
      <c r="K2824" s="8">
        <v>402.00299999999999</v>
      </c>
      <c r="L2824" s="8">
        <v>337.774</v>
      </c>
      <c r="M2824" s="8">
        <v>286.68799999999999</v>
      </c>
      <c r="N2824" s="8">
        <v>244.85900000000001</v>
      </c>
      <c r="O2824" s="8">
        <v>209.334</v>
      </c>
      <c r="P2824" s="8">
        <v>176.79400000000001</v>
      </c>
      <c r="Q2824" s="8">
        <v>145.92699999999999</v>
      </c>
      <c r="R2824" s="8">
        <v>116.371</v>
      </c>
      <c r="S2824" s="8">
        <v>89.516000000000005</v>
      </c>
      <c r="T2824" s="8">
        <v>66.790000000000006</v>
      </c>
      <c r="U2824" s="8">
        <v>48.319000000000003</v>
      </c>
      <c r="V2824" s="8">
        <v>33.639000000000003</v>
      </c>
      <c r="W2824" s="8">
        <v>21.937000000000001</v>
      </c>
      <c r="X2824" s="8">
        <v>12.897</v>
      </c>
      <c r="Y2824" s="8">
        <v>6.4740000000000002</v>
      </c>
      <c r="Z2824" s="8">
        <v>2.5779999999999998</v>
      </c>
      <c r="AA2824" s="8">
        <v>0.74099999999999999</v>
      </c>
      <c r="AB2824" s="8">
        <v>0.13300000000000001</v>
      </c>
      <c r="AC2824" s="8">
        <v>1.2999999999999999E-2</v>
      </c>
    </row>
    <row r="2825" spans="1:29" ht="11.65" hidden="1" x14ac:dyDescent="0.35">
      <c r="A2825" s="12">
        <v>2808</v>
      </c>
      <c r="B2825" s="10" t="s">
        <v>1015</v>
      </c>
      <c r="C2825" s="11" t="s">
        <v>1211</v>
      </c>
      <c r="D2825" s="9"/>
      <c r="E2825" s="9">
        <v>862</v>
      </c>
      <c r="F2825" s="10" t="s">
        <v>1066</v>
      </c>
      <c r="G2825" s="9">
        <v>931</v>
      </c>
      <c r="H2825" s="9">
        <v>1960</v>
      </c>
      <c r="I2825" s="8">
        <v>753.29899999999998</v>
      </c>
      <c r="J2825" s="8">
        <v>595.67100000000005</v>
      </c>
      <c r="K2825" s="8">
        <v>489.71199999999999</v>
      </c>
      <c r="L2825" s="8">
        <v>403.08199999999999</v>
      </c>
      <c r="M2825" s="8">
        <v>339.09899999999999</v>
      </c>
      <c r="N2825" s="8">
        <v>288.44799999999998</v>
      </c>
      <c r="O2825" s="8">
        <v>246.89400000000001</v>
      </c>
      <c r="P2825" s="8">
        <v>210.46</v>
      </c>
      <c r="Q2825" s="8">
        <v>175.97499999999999</v>
      </c>
      <c r="R2825" s="8">
        <v>142.649</v>
      </c>
      <c r="S2825" s="8">
        <v>111.06699999999999</v>
      </c>
      <c r="T2825" s="8">
        <v>82.953000000000003</v>
      </c>
      <c r="U2825" s="8">
        <v>59.628</v>
      </c>
      <c r="V2825" s="8">
        <v>41.064</v>
      </c>
      <c r="W2825" s="8">
        <v>26.666</v>
      </c>
      <c r="X2825" s="8">
        <v>15.778</v>
      </c>
      <c r="Y2825" s="8">
        <v>8.0850000000000009</v>
      </c>
      <c r="Z2825" s="8">
        <v>3.3570000000000002</v>
      </c>
      <c r="AA2825" s="8">
        <v>1.0329999999999999</v>
      </c>
      <c r="AB2825" s="8">
        <v>0.20399999999999999</v>
      </c>
      <c r="AC2825" s="8">
        <v>2.1999999999999999E-2</v>
      </c>
    </row>
    <row r="2826" spans="1:29" ht="11.65" hidden="1" x14ac:dyDescent="0.35">
      <c r="A2826" s="12">
        <v>2809</v>
      </c>
      <c r="B2826" s="10" t="s">
        <v>1015</v>
      </c>
      <c r="C2826" s="11" t="s">
        <v>1211</v>
      </c>
      <c r="D2826" s="9"/>
      <c r="E2826" s="9">
        <v>862</v>
      </c>
      <c r="F2826" s="10" t="s">
        <v>1066</v>
      </c>
      <c r="G2826" s="9">
        <v>931</v>
      </c>
      <c r="H2826" s="9">
        <v>1965</v>
      </c>
      <c r="I2826" s="8">
        <v>865.58500000000004</v>
      </c>
      <c r="J2826" s="8">
        <v>737.35599999999999</v>
      </c>
      <c r="K2826" s="8">
        <v>592.85199999999998</v>
      </c>
      <c r="L2826" s="8">
        <v>488.02499999999998</v>
      </c>
      <c r="M2826" s="8">
        <v>400.82799999999997</v>
      </c>
      <c r="N2826" s="8">
        <v>336.62099999999998</v>
      </c>
      <c r="O2826" s="8">
        <v>286.07799999999997</v>
      </c>
      <c r="P2826" s="8">
        <v>244.102</v>
      </c>
      <c r="Q2826" s="8">
        <v>206.672</v>
      </c>
      <c r="R2826" s="8">
        <v>170.84200000000001</v>
      </c>
      <c r="S2826" s="8">
        <v>136.24199999999999</v>
      </c>
      <c r="T2826" s="8">
        <v>103.69499999999999</v>
      </c>
      <c r="U2826" s="8">
        <v>75.001000000000005</v>
      </c>
      <c r="V2826" s="8">
        <v>51.514000000000003</v>
      </c>
      <c r="W2826" s="8">
        <v>33.225999999999999</v>
      </c>
      <c r="X2826" s="8">
        <v>19.637</v>
      </c>
      <c r="Y2826" s="8">
        <v>10.176</v>
      </c>
      <c r="Z2826" s="8">
        <v>4.3319999999999999</v>
      </c>
      <c r="AA2826" s="8">
        <v>1.391</v>
      </c>
      <c r="AB2826" s="8">
        <v>0.29099999999999998</v>
      </c>
      <c r="AC2826" s="8">
        <v>3.4000000000000002E-2</v>
      </c>
    </row>
    <row r="2827" spans="1:29" ht="11.65" hidden="1" x14ac:dyDescent="0.35">
      <c r="A2827" s="12">
        <v>2810</v>
      </c>
      <c r="B2827" s="10" t="s">
        <v>1015</v>
      </c>
      <c r="C2827" s="11" t="s">
        <v>1211</v>
      </c>
      <c r="D2827" s="9"/>
      <c r="E2827" s="9">
        <v>862</v>
      </c>
      <c r="F2827" s="10" t="s">
        <v>1066</v>
      </c>
      <c r="G2827" s="9">
        <v>931</v>
      </c>
      <c r="H2827" s="9">
        <v>1970</v>
      </c>
      <c r="I2827" s="8">
        <v>957.274</v>
      </c>
      <c r="J2827" s="8">
        <v>850.98699999999997</v>
      </c>
      <c r="K2827" s="8">
        <v>734.05200000000002</v>
      </c>
      <c r="L2827" s="8">
        <v>590.44799999999998</v>
      </c>
      <c r="M2827" s="8">
        <v>484.82799999999997</v>
      </c>
      <c r="N2827" s="8">
        <v>397.36200000000002</v>
      </c>
      <c r="O2827" s="8">
        <v>333.22899999999998</v>
      </c>
      <c r="P2827" s="8">
        <v>282.44600000000003</v>
      </c>
      <c r="Q2827" s="8">
        <v>239.73099999999999</v>
      </c>
      <c r="R2827" s="8">
        <v>201.232</v>
      </c>
      <c r="S2827" s="8">
        <v>164.19200000000001</v>
      </c>
      <c r="T2827" s="8">
        <v>128.44399999999999</v>
      </c>
      <c r="U2827" s="8">
        <v>95.031999999999996</v>
      </c>
      <c r="V2827" s="8">
        <v>65.930999999999997</v>
      </c>
      <c r="W2827" s="8">
        <v>42.582000000000001</v>
      </c>
      <c r="X2827" s="8">
        <v>25.137</v>
      </c>
      <c r="Y2827" s="8">
        <v>13.037000000000001</v>
      </c>
      <c r="Z2827" s="8">
        <v>5.6020000000000003</v>
      </c>
      <c r="AA2827" s="8">
        <v>1.841</v>
      </c>
      <c r="AB2827" s="8">
        <v>0.39700000000000002</v>
      </c>
      <c r="AC2827" s="8">
        <v>4.8000000000000001E-2</v>
      </c>
    </row>
    <row r="2828" spans="1:29" ht="11.65" hidden="1" x14ac:dyDescent="0.35">
      <c r="A2828" s="12">
        <v>2811</v>
      </c>
      <c r="B2828" s="10" t="s">
        <v>1015</v>
      </c>
      <c r="C2828" s="11" t="s">
        <v>1211</v>
      </c>
      <c r="D2828" s="9"/>
      <c r="E2828" s="9">
        <v>862</v>
      </c>
      <c r="F2828" s="10" t="s">
        <v>1066</v>
      </c>
      <c r="G2828" s="9">
        <v>931</v>
      </c>
      <c r="H2828" s="9">
        <v>1975</v>
      </c>
      <c r="I2828" s="8">
        <v>1009.98</v>
      </c>
      <c r="J2828" s="8">
        <v>945.83500000000004</v>
      </c>
      <c r="K2828" s="8">
        <v>847.98199999999997</v>
      </c>
      <c r="L2828" s="8">
        <v>731.59400000000005</v>
      </c>
      <c r="M2828" s="8">
        <v>587.27300000000002</v>
      </c>
      <c r="N2828" s="8">
        <v>481.35399999999998</v>
      </c>
      <c r="O2828" s="8">
        <v>393.98599999999999</v>
      </c>
      <c r="P2828" s="8">
        <v>329.67</v>
      </c>
      <c r="Q2828" s="8">
        <v>278.26600000000002</v>
      </c>
      <c r="R2828" s="8">
        <v>234.536</v>
      </c>
      <c r="S2828" s="8">
        <v>194.714</v>
      </c>
      <c r="T2828" s="8">
        <v>156.256</v>
      </c>
      <c r="U2828" s="8">
        <v>119.14700000000001</v>
      </c>
      <c r="V2828" s="8">
        <v>84.846000000000004</v>
      </c>
      <c r="W2828" s="8">
        <v>55.570999999999998</v>
      </c>
      <c r="X2828" s="8">
        <v>32.945</v>
      </c>
      <c r="Y2828" s="8">
        <v>17.045999999999999</v>
      </c>
      <c r="Z2828" s="8">
        <v>7.282</v>
      </c>
      <c r="AA2828" s="8">
        <v>2.3839999999999999</v>
      </c>
      <c r="AB2828" s="8">
        <v>0.52600000000000002</v>
      </c>
      <c r="AC2828" s="8">
        <v>6.7000000000000004E-2</v>
      </c>
    </row>
    <row r="2829" spans="1:29" ht="11.65" hidden="1" x14ac:dyDescent="0.35">
      <c r="A2829" s="12">
        <v>2812</v>
      </c>
      <c r="B2829" s="10" t="s">
        <v>1015</v>
      </c>
      <c r="C2829" s="11" t="s">
        <v>1211</v>
      </c>
      <c r="D2829" s="9"/>
      <c r="E2829" s="9">
        <v>862</v>
      </c>
      <c r="F2829" s="10" t="s">
        <v>1066</v>
      </c>
      <c r="G2829" s="9">
        <v>931</v>
      </c>
      <c r="H2829" s="9">
        <v>1980</v>
      </c>
      <c r="I2829" s="8">
        <v>1122.9870000000001</v>
      </c>
      <c r="J2829" s="8">
        <v>1001.8819999999999</v>
      </c>
      <c r="K2829" s="8">
        <v>943.10599999999999</v>
      </c>
      <c r="L2829" s="8">
        <v>845.44899999999996</v>
      </c>
      <c r="M2829" s="8">
        <v>728.27099999999996</v>
      </c>
      <c r="N2829" s="8">
        <v>583.86300000000006</v>
      </c>
      <c r="O2829" s="8">
        <v>477.96300000000002</v>
      </c>
      <c r="P2829" s="8">
        <v>390.42399999999998</v>
      </c>
      <c r="Q2829" s="8">
        <v>325.49299999999999</v>
      </c>
      <c r="R2829" s="8">
        <v>272.99700000000001</v>
      </c>
      <c r="S2829" s="8">
        <v>227.804</v>
      </c>
      <c r="T2829" s="8">
        <v>186.196</v>
      </c>
      <c r="U2829" s="8">
        <v>145.827</v>
      </c>
      <c r="V2829" s="8">
        <v>107.09699999999999</v>
      </c>
      <c r="W2829" s="8">
        <v>71.971000000000004</v>
      </c>
      <c r="X2829" s="8">
        <v>43.197000000000003</v>
      </c>
      <c r="Y2829" s="8">
        <v>22.428999999999998</v>
      </c>
      <c r="Z2829" s="8">
        <v>9.6760000000000002</v>
      </c>
      <c r="AA2829" s="8">
        <v>3.2330000000000001</v>
      </c>
      <c r="AB2829" s="8">
        <v>0.70599999999999996</v>
      </c>
      <c r="AC2829" s="8">
        <v>8.5999999999999993E-2</v>
      </c>
    </row>
    <row r="2830" spans="1:29" ht="11.65" hidden="1" x14ac:dyDescent="0.35">
      <c r="A2830" s="12">
        <v>2813</v>
      </c>
      <c r="B2830" s="10" t="s">
        <v>1015</v>
      </c>
      <c r="C2830" s="11" t="s">
        <v>1211</v>
      </c>
      <c r="D2830" s="9"/>
      <c r="E2830" s="9">
        <v>862</v>
      </c>
      <c r="F2830" s="10" t="s">
        <v>1066</v>
      </c>
      <c r="G2830" s="9">
        <v>931</v>
      </c>
      <c r="H2830" s="9">
        <v>1985</v>
      </c>
      <c r="I2830" s="8">
        <v>1212.7449999999999</v>
      </c>
      <c r="J2830" s="8">
        <v>1116.6379999999999</v>
      </c>
      <c r="K2830" s="8">
        <v>999.59699999999998</v>
      </c>
      <c r="L2830" s="8">
        <v>940.69600000000003</v>
      </c>
      <c r="M2830" s="8">
        <v>842.32799999999997</v>
      </c>
      <c r="N2830" s="8">
        <v>724.93499999999995</v>
      </c>
      <c r="O2830" s="8">
        <v>580.53200000000004</v>
      </c>
      <c r="P2830" s="8">
        <v>474.29500000000002</v>
      </c>
      <c r="Q2830" s="8">
        <v>386.05500000000001</v>
      </c>
      <c r="R2830" s="8">
        <v>320.05799999999999</v>
      </c>
      <c r="S2830" s="8">
        <v>266.02100000000002</v>
      </c>
      <c r="T2830" s="8">
        <v>218.626</v>
      </c>
      <c r="U2830" s="8">
        <v>174.13800000000001</v>
      </c>
      <c r="V2830" s="8">
        <v>131.13999999999999</v>
      </c>
      <c r="W2830" s="8">
        <v>91.063999999999993</v>
      </c>
      <c r="X2830" s="8">
        <v>56.043999999999997</v>
      </c>
      <c r="Y2830" s="8">
        <v>29.652000000000001</v>
      </c>
      <c r="Z2830" s="8">
        <v>13.042999999999999</v>
      </c>
      <c r="AA2830" s="8">
        <v>4.5830000000000002</v>
      </c>
      <c r="AB2830" s="8">
        <v>1.0189999999999999</v>
      </c>
      <c r="AC2830" s="8">
        <v>0.11</v>
      </c>
    </row>
    <row r="2831" spans="1:29" ht="11.65" hidden="1" x14ac:dyDescent="0.35">
      <c r="A2831" s="12">
        <v>2814</v>
      </c>
      <c r="B2831" s="10" t="s">
        <v>1015</v>
      </c>
      <c r="C2831" s="11" t="s">
        <v>1211</v>
      </c>
      <c r="D2831" s="9"/>
      <c r="E2831" s="9">
        <v>862</v>
      </c>
      <c r="F2831" s="10" t="s">
        <v>1066</v>
      </c>
      <c r="G2831" s="9">
        <v>931</v>
      </c>
      <c r="H2831" s="9">
        <v>1990</v>
      </c>
      <c r="I2831" s="8">
        <v>1322.0239999999999</v>
      </c>
      <c r="J2831" s="8">
        <v>1207.7190000000001</v>
      </c>
      <c r="K2831" s="8">
        <v>1114.789</v>
      </c>
      <c r="L2831" s="8">
        <v>997.48599999999999</v>
      </c>
      <c r="M2831" s="8">
        <v>937.83199999999999</v>
      </c>
      <c r="N2831" s="8">
        <v>839.23900000000003</v>
      </c>
      <c r="O2831" s="8">
        <v>721.36300000000006</v>
      </c>
      <c r="P2831" s="8">
        <v>576.375</v>
      </c>
      <c r="Q2831" s="8">
        <v>469.22500000000002</v>
      </c>
      <c r="R2831" s="8">
        <v>380.15199999999999</v>
      </c>
      <c r="S2831" s="8">
        <v>312.61</v>
      </c>
      <c r="T2831" s="8">
        <v>255.77099999999999</v>
      </c>
      <c r="U2831" s="8">
        <v>204.77799999999999</v>
      </c>
      <c r="V2831" s="8">
        <v>156.99</v>
      </c>
      <c r="W2831" s="8">
        <v>111.86499999999999</v>
      </c>
      <c r="X2831" s="8">
        <v>71.302000000000007</v>
      </c>
      <c r="Y2831" s="8">
        <v>38.979999999999997</v>
      </c>
      <c r="Z2831" s="8">
        <v>17.585000000000001</v>
      </c>
      <c r="AA2831" s="8">
        <v>6.31</v>
      </c>
      <c r="AB2831" s="8">
        <v>1.5069999999999999</v>
      </c>
      <c r="AC2831" s="8">
        <v>0.17100000000000001</v>
      </c>
    </row>
    <row r="2832" spans="1:29" ht="11.65" hidden="1" x14ac:dyDescent="0.35">
      <c r="A2832" s="12">
        <v>2815</v>
      </c>
      <c r="B2832" s="10" t="s">
        <v>1015</v>
      </c>
      <c r="C2832" s="11" t="s">
        <v>1211</v>
      </c>
      <c r="D2832" s="9"/>
      <c r="E2832" s="9">
        <v>862</v>
      </c>
      <c r="F2832" s="10" t="s">
        <v>1066</v>
      </c>
      <c r="G2832" s="9">
        <v>931</v>
      </c>
      <c r="H2832" s="9">
        <v>1995</v>
      </c>
      <c r="I2832" s="8">
        <v>1345.7159999999999</v>
      </c>
      <c r="J2832" s="8">
        <v>1317.6220000000001</v>
      </c>
      <c r="K2832" s="8">
        <v>1205.777</v>
      </c>
      <c r="L2832" s="8">
        <v>1112.3969999999999</v>
      </c>
      <c r="M2832" s="8">
        <v>994.39400000000001</v>
      </c>
      <c r="N2832" s="8">
        <v>934.30499999999995</v>
      </c>
      <c r="O2832" s="8">
        <v>835.12900000000002</v>
      </c>
      <c r="P2832" s="8">
        <v>716.49099999999999</v>
      </c>
      <c r="Q2832" s="8">
        <v>570.72199999999998</v>
      </c>
      <c r="R2832" s="8">
        <v>462.43400000000003</v>
      </c>
      <c r="S2832" s="8">
        <v>371.61599999999999</v>
      </c>
      <c r="T2832" s="8">
        <v>301.40699999999998</v>
      </c>
      <c r="U2832" s="8">
        <v>240.494</v>
      </c>
      <c r="V2832" s="8">
        <v>185.17699999999999</v>
      </c>
      <c r="W2832" s="8">
        <v>134.601</v>
      </c>
      <c r="X2832" s="8">
        <v>88.254000000000005</v>
      </c>
      <c r="Y2832" s="8">
        <v>50.694000000000003</v>
      </c>
      <c r="Z2832" s="8">
        <v>23.887</v>
      </c>
      <c r="AA2832" s="8">
        <v>8.7590000000000003</v>
      </c>
      <c r="AB2832" s="8">
        <v>2.2029999999999998</v>
      </c>
      <c r="AC2832" s="8">
        <v>0.28799999999999998</v>
      </c>
    </row>
    <row r="2833" spans="1:29" ht="11.65" hidden="1" x14ac:dyDescent="0.35">
      <c r="A2833" s="12">
        <v>2816</v>
      </c>
      <c r="B2833" s="10" t="s">
        <v>1015</v>
      </c>
      <c r="C2833" s="11" t="s">
        <v>1211</v>
      </c>
      <c r="D2833" s="9"/>
      <c r="E2833" s="9">
        <v>862</v>
      </c>
      <c r="F2833" s="10" t="s">
        <v>1066</v>
      </c>
      <c r="G2833" s="9">
        <v>931</v>
      </c>
      <c r="H2833" s="9">
        <v>2000</v>
      </c>
      <c r="I2833" s="8">
        <v>1364.7429999999999</v>
      </c>
      <c r="J2833" s="8">
        <v>1341.9749999999999</v>
      </c>
      <c r="K2833" s="8">
        <v>1315.5820000000001</v>
      </c>
      <c r="L2833" s="8">
        <v>1203.23</v>
      </c>
      <c r="M2833" s="8">
        <v>1109.0360000000001</v>
      </c>
      <c r="N2833" s="8">
        <v>990.75300000000004</v>
      </c>
      <c r="O2833" s="8">
        <v>929.91399999999999</v>
      </c>
      <c r="P2833" s="8">
        <v>829.93200000000002</v>
      </c>
      <c r="Q2833" s="8">
        <v>710.12400000000002</v>
      </c>
      <c r="R2833" s="8">
        <v>562.96100000000001</v>
      </c>
      <c r="S2833" s="8">
        <v>452.67599999999999</v>
      </c>
      <c r="T2833" s="8">
        <v>359.46800000000002</v>
      </c>
      <c r="U2833" s="8">
        <v>285.21699999999998</v>
      </c>
      <c r="V2833" s="8">
        <v>218.809</v>
      </c>
      <c r="W2833" s="8">
        <v>159.51499999999999</v>
      </c>
      <c r="X2833" s="8">
        <v>107.023</v>
      </c>
      <c r="Y2833" s="8">
        <v>63.997999999999998</v>
      </c>
      <c r="Z2833" s="8">
        <v>31.948</v>
      </c>
      <c r="AA2833" s="8">
        <v>12.231</v>
      </c>
      <c r="AB2833" s="8">
        <v>3.23</v>
      </c>
      <c r="AC2833" s="8">
        <v>0.47299999999999998</v>
      </c>
    </row>
    <row r="2834" spans="1:29" ht="11.65" hidden="1" x14ac:dyDescent="0.35">
      <c r="A2834" s="12">
        <v>2817</v>
      </c>
      <c r="B2834" s="10" t="s">
        <v>1015</v>
      </c>
      <c r="C2834" s="11" t="s">
        <v>1211</v>
      </c>
      <c r="D2834" s="9"/>
      <c r="E2834" s="9">
        <v>862</v>
      </c>
      <c r="F2834" s="10" t="s">
        <v>1066</v>
      </c>
      <c r="G2834" s="9">
        <v>931</v>
      </c>
      <c r="H2834" s="9">
        <v>2005</v>
      </c>
      <c r="I2834" s="8">
        <v>1396.7439999999999</v>
      </c>
      <c r="J2834" s="8">
        <v>1361.34</v>
      </c>
      <c r="K2834" s="8">
        <v>1339.19</v>
      </c>
      <c r="L2834" s="8">
        <v>1311.998</v>
      </c>
      <c r="M2834" s="8">
        <v>1198.5640000000001</v>
      </c>
      <c r="N2834" s="8">
        <v>1104.0039999999999</v>
      </c>
      <c r="O2834" s="8">
        <v>985.33199999999999</v>
      </c>
      <c r="P2834" s="8">
        <v>923.68100000000004</v>
      </c>
      <c r="Q2834" s="8">
        <v>822.68799999999999</v>
      </c>
      <c r="R2834" s="8">
        <v>700.89499999999998</v>
      </c>
      <c r="S2834" s="8">
        <v>551.88099999999997</v>
      </c>
      <c r="T2834" s="8">
        <v>439.26600000000002</v>
      </c>
      <c r="U2834" s="8">
        <v>342.71</v>
      </c>
      <c r="V2834" s="8">
        <v>261.92</v>
      </c>
      <c r="W2834" s="8">
        <v>189.858</v>
      </c>
      <c r="X2834" s="8">
        <v>128.43600000000001</v>
      </c>
      <c r="Y2834" s="8">
        <v>79.611999999999995</v>
      </c>
      <c r="Z2834" s="8">
        <v>41.665999999999997</v>
      </c>
      <c r="AA2834" s="8">
        <v>16.792999999999999</v>
      </c>
      <c r="AB2834" s="8">
        <v>4.7370000000000001</v>
      </c>
      <c r="AC2834" s="8">
        <v>0.77400000000000002</v>
      </c>
    </row>
    <row r="2835" spans="1:29" ht="11.65" hidden="1" x14ac:dyDescent="0.35">
      <c r="A2835" s="12">
        <v>2818</v>
      </c>
      <c r="B2835" s="10" t="s">
        <v>1015</v>
      </c>
      <c r="C2835" s="11" t="s">
        <v>1211</v>
      </c>
      <c r="D2835" s="9"/>
      <c r="E2835" s="9">
        <v>862</v>
      </c>
      <c r="F2835" s="10" t="s">
        <v>1066</v>
      </c>
      <c r="G2835" s="9">
        <v>931</v>
      </c>
      <c r="H2835" s="9">
        <v>2010</v>
      </c>
      <c r="I2835" s="8">
        <v>1417.25</v>
      </c>
      <c r="J2835" s="8">
        <v>1392.0619999999999</v>
      </c>
      <c r="K2835" s="8">
        <v>1349.2940000000001</v>
      </c>
      <c r="L2835" s="8">
        <v>1325.7539999999999</v>
      </c>
      <c r="M2835" s="8">
        <v>1297.04</v>
      </c>
      <c r="N2835" s="8">
        <v>1183.21</v>
      </c>
      <c r="O2835" s="8">
        <v>1088.2429999999999</v>
      </c>
      <c r="P2835" s="8">
        <v>969.28899999999999</v>
      </c>
      <c r="Q2835" s="8">
        <v>907.34100000000001</v>
      </c>
      <c r="R2835" s="8">
        <v>804.7</v>
      </c>
      <c r="S2835" s="8">
        <v>684.77099999999996</v>
      </c>
      <c r="T2835" s="8">
        <v>536.33399999999995</v>
      </c>
      <c r="U2835" s="8">
        <v>419.43299999999999</v>
      </c>
      <c r="V2835" s="8">
        <v>315.26600000000002</v>
      </c>
      <c r="W2835" s="8">
        <v>228.012</v>
      </c>
      <c r="X2835" s="8">
        <v>153.535</v>
      </c>
      <c r="Y2835" s="8">
        <v>96.25</v>
      </c>
      <c r="Z2835" s="8">
        <v>52.334000000000003</v>
      </c>
      <c r="AA2835" s="8">
        <v>22.344000000000001</v>
      </c>
      <c r="AB2835" s="8">
        <v>6.5919999999999996</v>
      </c>
      <c r="AC2835" s="8">
        <v>1.1319999999999999</v>
      </c>
    </row>
    <row r="2836" spans="1:29" ht="11.65" hidden="1" x14ac:dyDescent="0.35">
      <c r="A2836" s="12">
        <v>2819</v>
      </c>
      <c r="B2836" s="10" t="s">
        <v>1015</v>
      </c>
      <c r="C2836" s="11" t="s">
        <v>1211</v>
      </c>
      <c r="D2836" s="9"/>
      <c r="E2836" s="9">
        <v>862</v>
      </c>
      <c r="F2836" s="10" t="s">
        <v>1066</v>
      </c>
      <c r="G2836" s="9">
        <v>931</v>
      </c>
      <c r="H2836" s="9">
        <v>2015</v>
      </c>
      <c r="I2836" s="8">
        <v>1404.192</v>
      </c>
      <c r="J2836" s="8">
        <v>1398.529</v>
      </c>
      <c r="K2836" s="8">
        <v>1369.5709999999999</v>
      </c>
      <c r="L2836" s="8">
        <v>1324.71</v>
      </c>
      <c r="M2836" s="8">
        <v>1299.308</v>
      </c>
      <c r="N2836" s="8">
        <v>1269.9010000000001</v>
      </c>
      <c r="O2836" s="8">
        <v>1156.0229999999999</v>
      </c>
      <c r="P2836" s="8">
        <v>1061.117</v>
      </c>
      <c r="Q2836" s="8">
        <v>943.33699999999999</v>
      </c>
      <c r="R2836" s="8">
        <v>880.03300000000002</v>
      </c>
      <c r="S2836" s="8">
        <v>783.39700000000005</v>
      </c>
      <c r="T2836" s="8">
        <v>665.43299999999999</v>
      </c>
      <c r="U2836" s="8">
        <v>512.04499999999996</v>
      </c>
      <c r="V2836" s="8">
        <v>385.78699999999998</v>
      </c>
      <c r="W2836" s="8">
        <v>274.42</v>
      </c>
      <c r="X2836" s="8">
        <v>184.35300000000001</v>
      </c>
      <c r="Y2836" s="8">
        <v>114.982</v>
      </c>
      <c r="Z2836" s="8">
        <v>63.173000000000002</v>
      </c>
      <c r="AA2836" s="8">
        <v>27.994</v>
      </c>
      <c r="AB2836" s="8">
        <v>8.7330000000000005</v>
      </c>
      <c r="AC2836" s="8">
        <v>1.575</v>
      </c>
    </row>
    <row r="2837" spans="1:29" ht="11.65" hidden="1" x14ac:dyDescent="0.35">
      <c r="A2837" s="12">
        <v>2820</v>
      </c>
      <c r="B2837" s="10" t="s">
        <v>1015</v>
      </c>
      <c r="C2837" s="11" t="s">
        <v>1211</v>
      </c>
      <c r="D2837" s="9"/>
      <c r="E2837" s="9">
        <v>862</v>
      </c>
      <c r="F2837" s="10" t="s">
        <v>1066</v>
      </c>
      <c r="G2837" s="9">
        <v>931</v>
      </c>
      <c r="H2837" s="9">
        <v>2020</v>
      </c>
      <c r="I2837" s="8">
        <v>1160.5360000000001</v>
      </c>
      <c r="J2837" s="8">
        <v>1336.347</v>
      </c>
      <c r="K2837" s="8">
        <v>1298.047</v>
      </c>
      <c r="L2837" s="8">
        <v>1225.539</v>
      </c>
      <c r="M2837" s="8">
        <v>1046.904</v>
      </c>
      <c r="N2837" s="8">
        <v>1025.26</v>
      </c>
      <c r="O2837" s="8">
        <v>1056.1130000000001</v>
      </c>
      <c r="P2837" s="8">
        <v>1010.915</v>
      </c>
      <c r="Q2837" s="8">
        <v>963.84</v>
      </c>
      <c r="R2837" s="8">
        <v>875.20399999999995</v>
      </c>
      <c r="S2837" s="8">
        <v>827.00400000000002</v>
      </c>
      <c r="T2837" s="8">
        <v>737.93200000000002</v>
      </c>
      <c r="U2837" s="8">
        <v>620.43200000000002</v>
      </c>
      <c r="V2837" s="8">
        <v>461.51100000000002</v>
      </c>
      <c r="W2837" s="8">
        <v>329.79</v>
      </c>
      <c r="X2837" s="8">
        <v>218.03899999999999</v>
      </c>
      <c r="Y2837" s="8">
        <v>135.57300000000001</v>
      </c>
      <c r="Z2837" s="8">
        <v>75.356999999999999</v>
      </c>
      <c r="AA2837" s="8">
        <v>33.704999999999998</v>
      </c>
      <c r="AB2837" s="8">
        <v>10.875999999999999</v>
      </c>
      <c r="AC2837" s="8">
        <v>2.0870000000000002</v>
      </c>
    </row>
    <row r="2838" spans="1:29" ht="11.65" hidden="1" x14ac:dyDescent="0.35">
      <c r="A2838" s="28">
        <v>2821</v>
      </c>
      <c r="B2838" s="26" t="s">
        <v>1015</v>
      </c>
      <c r="C2838" s="27" t="s">
        <v>1212</v>
      </c>
      <c r="D2838" s="25"/>
      <c r="E2838" s="25">
        <v>927</v>
      </c>
      <c r="F2838" s="26" t="s">
        <v>1063</v>
      </c>
      <c r="G2838" s="25">
        <v>1828</v>
      </c>
      <c r="H2838" s="25">
        <v>1950</v>
      </c>
      <c r="I2838" s="24">
        <v>546.96799999999996</v>
      </c>
      <c r="J2838" s="24">
        <v>431.56400000000002</v>
      </c>
      <c r="K2838" s="24">
        <v>358.89299999999997</v>
      </c>
      <c r="L2838" s="24">
        <v>335.29</v>
      </c>
      <c r="M2838" s="24">
        <v>379.303</v>
      </c>
      <c r="N2838" s="24">
        <v>401.11799999999999</v>
      </c>
      <c r="O2838" s="24">
        <v>374.005</v>
      </c>
      <c r="P2838" s="24">
        <v>372.92399999999998</v>
      </c>
      <c r="Q2838" s="24">
        <v>324.91500000000002</v>
      </c>
      <c r="R2838" s="24">
        <v>285.339</v>
      </c>
      <c r="S2838" s="24">
        <v>268.83699999999999</v>
      </c>
      <c r="T2838" s="24">
        <v>252.685</v>
      </c>
      <c r="U2838" s="24">
        <v>221.995</v>
      </c>
      <c r="V2838" s="24">
        <v>174.792</v>
      </c>
      <c r="W2838" s="24">
        <v>127.371</v>
      </c>
      <c r="X2838" s="24">
        <v>78.980999999999995</v>
      </c>
      <c r="Y2838" s="24">
        <v>44.5</v>
      </c>
      <c r="Z2838" s="24">
        <v>19.297999999999998</v>
      </c>
      <c r="AA2838" s="24">
        <v>5.8840000000000003</v>
      </c>
      <c r="AB2838" s="24">
        <v>1.1080000000000001</v>
      </c>
      <c r="AC2838" s="24">
        <v>0.11799999999999999</v>
      </c>
    </row>
    <row r="2839" spans="1:29" ht="11.65" hidden="1" x14ac:dyDescent="0.35">
      <c r="A2839" s="28">
        <v>2822</v>
      </c>
      <c r="B2839" s="26" t="s">
        <v>1015</v>
      </c>
      <c r="C2839" s="27" t="s">
        <v>1212</v>
      </c>
      <c r="D2839" s="25"/>
      <c r="E2839" s="25">
        <v>927</v>
      </c>
      <c r="F2839" s="26" t="s">
        <v>1063</v>
      </c>
      <c r="G2839" s="25">
        <v>1828</v>
      </c>
      <c r="H2839" s="25">
        <v>1955</v>
      </c>
      <c r="I2839" s="24">
        <v>606.43799999999999</v>
      </c>
      <c r="J2839" s="24">
        <v>570.31600000000003</v>
      </c>
      <c r="K2839" s="24">
        <v>448.404</v>
      </c>
      <c r="L2839" s="24">
        <v>371.65899999999999</v>
      </c>
      <c r="M2839" s="24">
        <v>350.4</v>
      </c>
      <c r="N2839" s="24">
        <v>403.654</v>
      </c>
      <c r="O2839" s="24">
        <v>424.95</v>
      </c>
      <c r="P2839" s="24">
        <v>388.61200000000002</v>
      </c>
      <c r="Q2839" s="24">
        <v>383.27300000000002</v>
      </c>
      <c r="R2839" s="24">
        <v>327.06400000000002</v>
      </c>
      <c r="S2839" s="24">
        <v>283.36099999999999</v>
      </c>
      <c r="T2839" s="24">
        <v>260.88099999999997</v>
      </c>
      <c r="U2839" s="24">
        <v>239.99</v>
      </c>
      <c r="V2839" s="24">
        <v>202.80799999999999</v>
      </c>
      <c r="W2839" s="24">
        <v>150.18</v>
      </c>
      <c r="X2839" s="24">
        <v>96.956000000000003</v>
      </c>
      <c r="Y2839" s="24">
        <v>53.902999999999999</v>
      </c>
      <c r="Z2839" s="24">
        <v>21.193999999999999</v>
      </c>
      <c r="AA2839" s="24">
        <v>6.2539999999999996</v>
      </c>
      <c r="AB2839" s="24">
        <v>1.091</v>
      </c>
      <c r="AC2839" s="24">
        <v>0.109</v>
      </c>
    </row>
    <row r="2840" spans="1:29" ht="11.65" hidden="1" x14ac:dyDescent="0.35">
      <c r="A2840" s="28">
        <v>2823</v>
      </c>
      <c r="B2840" s="26" t="s">
        <v>1015</v>
      </c>
      <c r="C2840" s="27" t="s">
        <v>1212</v>
      </c>
      <c r="D2840" s="25"/>
      <c r="E2840" s="25">
        <v>927</v>
      </c>
      <c r="F2840" s="26" t="s">
        <v>1063</v>
      </c>
      <c r="G2840" s="25">
        <v>1828</v>
      </c>
      <c r="H2840" s="25">
        <v>1960</v>
      </c>
      <c r="I2840" s="24">
        <v>672.04100000000005</v>
      </c>
      <c r="J2840" s="24">
        <v>627.024</v>
      </c>
      <c r="K2840" s="24">
        <v>591.83900000000006</v>
      </c>
      <c r="L2840" s="24">
        <v>462.31400000000002</v>
      </c>
      <c r="M2840" s="24">
        <v>398.56200000000001</v>
      </c>
      <c r="N2840" s="24">
        <v>383.06099999999998</v>
      </c>
      <c r="O2840" s="24">
        <v>428.57799999999997</v>
      </c>
      <c r="P2840" s="24">
        <v>442.20299999999997</v>
      </c>
      <c r="Q2840" s="24">
        <v>396.66300000000001</v>
      </c>
      <c r="R2840" s="24">
        <v>384.36799999999999</v>
      </c>
      <c r="S2840" s="24">
        <v>323.69900000000001</v>
      </c>
      <c r="T2840" s="24">
        <v>275.29000000000002</v>
      </c>
      <c r="U2840" s="24">
        <v>250.196</v>
      </c>
      <c r="V2840" s="24">
        <v>221.48400000000001</v>
      </c>
      <c r="W2840" s="24">
        <v>175.751</v>
      </c>
      <c r="X2840" s="24">
        <v>116.352</v>
      </c>
      <c r="Y2840" s="24">
        <v>66.988</v>
      </c>
      <c r="Z2840" s="24">
        <v>26.573</v>
      </c>
      <c r="AA2840" s="24">
        <v>7.1779999999999999</v>
      </c>
      <c r="AB2840" s="24">
        <v>1.252</v>
      </c>
      <c r="AC2840" s="24">
        <v>0.11600000000000001</v>
      </c>
    </row>
    <row r="2841" spans="1:29" ht="11.65" hidden="1" x14ac:dyDescent="0.35">
      <c r="A2841" s="28">
        <v>2824</v>
      </c>
      <c r="B2841" s="26" t="s">
        <v>1015</v>
      </c>
      <c r="C2841" s="27" t="s">
        <v>1212</v>
      </c>
      <c r="D2841" s="25"/>
      <c r="E2841" s="25">
        <v>927</v>
      </c>
      <c r="F2841" s="26" t="s">
        <v>1063</v>
      </c>
      <c r="G2841" s="25">
        <v>1828</v>
      </c>
      <c r="H2841" s="25">
        <v>1965</v>
      </c>
      <c r="I2841" s="24">
        <v>711.66700000000003</v>
      </c>
      <c r="J2841" s="24">
        <v>694.85</v>
      </c>
      <c r="K2841" s="24">
        <v>646.36099999999999</v>
      </c>
      <c r="L2841" s="24">
        <v>610.46</v>
      </c>
      <c r="M2841" s="24">
        <v>487.36700000000002</v>
      </c>
      <c r="N2841" s="24">
        <v>430.738</v>
      </c>
      <c r="O2841" s="24">
        <v>403.76400000000001</v>
      </c>
      <c r="P2841" s="24">
        <v>443.86500000000001</v>
      </c>
      <c r="Q2841" s="24">
        <v>450.654</v>
      </c>
      <c r="R2841" s="24">
        <v>397.10500000000002</v>
      </c>
      <c r="S2841" s="24">
        <v>379.14699999999999</v>
      </c>
      <c r="T2841" s="24">
        <v>316.14</v>
      </c>
      <c r="U2841" s="24">
        <v>264.55500000000001</v>
      </c>
      <c r="V2841" s="24">
        <v>233.727</v>
      </c>
      <c r="W2841" s="24">
        <v>194.32499999999999</v>
      </c>
      <c r="X2841" s="24">
        <v>138.137</v>
      </c>
      <c r="Y2841" s="24">
        <v>80.081000000000003</v>
      </c>
      <c r="Z2841" s="24">
        <v>34.200000000000003</v>
      </c>
      <c r="AA2841" s="24">
        <v>9.4160000000000004</v>
      </c>
      <c r="AB2841" s="24">
        <v>1.508</v>
      </c>
      <c r="AC2841" s="24">
        <v>0.14199999999999999</v>
      </c>
    </row>
    <row r="2842" spans="1:29" ht="11.65" hidden="1" x14ac:dyDescent="0.35">
      <c r="A2842" s="28">
        <v>2825</v>
      </c>
      <c r="B2842" s="26" t="s">
        <v>1015</v>
      </c>
      <c r="C2842" s="27" t="s">
        <v>1212</v>
      </c>
      <c r="D2842" s="25"/>
      <c r="E2842" s="25">
        <v>927</v>
      </c>
      <c r="F2842" s="26" t="s">
        <v>1063</v>
      </c>
      <c r="G2842" s="25">
        <v>1828</v>
      </c>
      <c r="H2842" s="25">
        <v>1970</v>
      </c>
      <c r="I2842" s="24">
        <v>751.09699999999998</v>
      </c>
      <c r="J2842" s="24">
        <v>758.19100000000003</v>
      </c>
      <c r="K2842" s="24">
        <v>749.33</v>
      </c>
      <c r="L2842" s="24">
        <v>673.16399999999999</v>
      </c>
      <c r="M2842" s="24">
        <v>665.96799999999996</v>
      </c>
      <c r="N2842" s="24">
        <v>526.572</v>
      </c>
      <c r="O2842" s="24">
        <v>461.52</v>
      </c>
      <c r="P2842" s="24">
        <v>426.91800000000001</v>
      </c>
      <c r="Q2842" s="24">
        <v>466.20299999999997</v>
      </c>
      <c r="R2842" s="24">
        <v>463.51</v>
      </c>
      <c r="S2842" s="24">
        <v>397.25900000000001</v>
      </c>
      <c r="T2842" s="24">
        <v>371.84199999999998</v>
      </c>
      <c r="U2842" s="24">
        <v>314.16699999999997</v>
      </c>
      <c r="V2842" s="24">
        <v>247.673</v>
      </c>
      <c r="W2842" s="24">
        <v>205.78800000000001</v>
      </c>
      <c r="X2842" s="24">
        <v>150.01300000000001</v>
      </c>
      <c r="Y2842" s="24">
        <v>90.182000000000002</v>
      </c>
      <c r="Z2842" s="24">
        <v>41.222000000000001</v>
      </c>
      <c r="AA2842" s="24">
        <v>12.218999999999999</v>
      </c>
      <c r="AB2842" s="24">
        <v>1.9770000000000001</v>
      </c>
      <c r="AC2842" s="24">
        <v>0.17100000000000001</v>
      </c>
    </row>
    <row r="2843" spans="1:29" ht="11.65" hidden="1" x14ac:dyDescent="0.35">
      <c r="A2843" s="28">
        <v>2826</v>
      </c>
      <c r="B2843" s="26" t="s">
        <v>1015</v>
      </c>
      <c r="C2843" s="27" t="s">
        <v>1212</v>
      </c>
      <c r="D2843" s="25"/>
      <c r="E2843" s="25">
        <v>927</v>
      </c>
      <c r="F2843" s="26" t="s">
        <v>1063</v>
      </c>
      <c r="G2843" s="25">
        <v>1828</v>
      </c>
      <c r="H2843" s="25">
        <v>1975</v>
      </c>
      <c r="I2843" s="24">
        <v>767.721</v>
      </c>
      <c r="J2843" s="24">
        <v>755.90700000000004</v>
      </c>
      <c r="K2843" s="24">
        <v>778.00099999999998</v>
      </c>
      <c r="L2843" s="24">
        <v>748.69299999999998</v>
      </c>
      <c r="M2843" s="24">
        <v>698.21100000000001</v>
      </c>
      <c r="N2843" s="24">
        <v>684.77300000000002</v>
      </c>
      <c r="O2843" s="24">
        <v>548</v>
      </c>
      <c r="P2843" s="24">
        <v>478.24400000000003</v>
      </c>
      <c r="Q2843" s="24">
        <v>437.88299999999998</v>
      </c>
      <c r="R2843" s="24">
        <v>459.798</v>
      </c>
      <c r="S2843" s="24">
        <v>451.93200000000002</v>
      </c>
      <c r="T2843" s="24">
        <v>386.43299999999999</v>
      </c>
      <c r="U2843" s="24">
        <v>361.82</v>
      </c>
      <c r="V2843" s="24">
        <v>290.76</v>
      </c>
      <c r="W2843" s="24">
        <v>227.15799999999999</v>
      </c>
      <c r="X2843" s="24">
        <v>164.58699999999999</v>
      </c>
      <c r="Y2843" s="24">
        <v>110.392</v>
      </c>
      <c r="Z2843" s="24">
        <v>47.929000000000002</v>
      </c>
      <c r="AA2843" s="24">
        <v>15.414</v>
      </c>
      <c r="AB2843" s="24">
        <v>2.7440000000000002</v>
      </c>
      <c r="AC2843" s="24">
        <v>0.23599999999999999</v>
      </c>
    </row>
    <row r="2844" spans="1:29" ht="11.65" hidden="1" x14ac:dyDescent="0.35">
      <c r="A2844" s="28">
        <v>2827</v>
      </c>
      <c r="B2844" s="26" t="s">
        <v>1015</v>
      </c>
      <c r="C2844" s="27" t="s">
        <v>1212</v>
      </c>
      <c r="D2844" s="25"/>
      <c r="E2844" s="25">
        <v>927</v>
      </c>
      <c r="F2844" s="26" t="s">
        <v>1063</v>
      </c>
      <c r="G2844" s="25">
        <v>1828</v>
      </c>
      <c r="H2844" s="25">
        <v>1980</v>
      </c>
      <c r="I2844" s="24">
        <v>677.31799999999998</v>
      </c>
      <c r="J2844" s="24">
        <v>777.43799999999999</v>
      </c>
      <c r="K2844" s="24">
        <v>769.76700000000005</v>
      </c>
      <c r="L2844" s="24">
        <v>790.03800000000001</v>
      </c>
      <c r="M2844" s="24">
        <v>754.82399999999996</v>
      </c>
      <c r="N2844" s="24">
        <v>716.58600000000001</v>
      </c>
      <c r="O2844" s="24">
        <v>697.74099999999999</v>
      </c>
      <c r="P2844" s="24">
        <v>552.23800000000006</v>
      </c>
      <c r="Q2844" s="24">
        <v>473.036</v>
      </c>
      <c r="R2844" s="24">
        <v>429.69099999999997</v>
      </c>
      <c r="S2844" s="24">
        <v>450.17899999999997</v>
      </c>
      <c r="T2844" s="24">
        <v>437.53800000000001</v>
      </c>
      <c r="U2844" s="24">
        <v>372.79500000000002</v>
      </c>
      <c r="V2844" s="24">
        <v>339.28899999999999</v>
      </c>
      <c r="W2844" s="24">
        <v>261.05500000000001</v>
      </c>
      <c r="X2844" s="24">
        <v>184.77799999999999</v>
      </c>
      <c r="Y2844" s="24">
        <v>120.40300000000001</v>
      </c>
      <c r="Z2844" s="24">
        <v>63.164999999999999</v>
      </c>
      <c r="AA2844" s="24">
        <v>19.777999999999999</v>
      </c>
      <c r="AB2844" s="24">
        <v>3.984</v>
      </c>
      <c r="AC2844" s="24">
        <v>0.38400000000000001</v>
      </c>
    </row>
    <row r="2845" spans="1:29" ht="11.65" hidden="1" x14ac:dyDescent="0.35">
      <c r="A2845" s="28">
        <v>2828</v>
      </c>
      <c r="B2845" s="26" t="s">
        <v>1015</v>
      </c>
      <c r="C2845" s="27" t="s">
        <v>1212</v>
      </c>
      <c r="D2845" s="25"/>
      <c r="E2845" s="25">
        <v>927</v>
      </c>
      <c r="F2845" s="26" t="s">
        <v>1063</v>
      </c>
      <c r="G2845" s="25">
        <v>1828</v>
      </c>
      <c r="H2845" s="25">
        <v>1985</v>
      </c>
      <c r="I2845" s="24">
        <v>704.26099999999997</v>
      </c>
      <c r="J2845" s="24">
        <v>697.36800000000005</v>
      </c>
      <c r="K2845" s="24">
        <v>798.03200000000004</v>
      </c>
      <c r="L2845" s="24">
        <v>785.46199999999999</v>
      </c>
      <c r="M2845" s="24">
        <v>801.23199999999997</v>
      </c>
      <c r="N2845" s="24">
        <v>781.803</v>
      </c>
      <c r="O2845" s="24">
        <v>751.96900000000005</v>
      </c>
      <c r="P2845" s="24">
        <v>716.87900000000002</v>
      </c>
      <c r="Q2845" s="24">
        <v>559.947</v>
      </c>
      <c r="R2845" s="24">
        <v>474</v>
      </c>
      <c r="S2845" s="24">
        <v>425.892</v>
      </c>
      <c r="T2845" s="24">
        <v>442.07</v>
      </c>
      <c r="U2845" s="24">
        <v>429.16699999999997</v>
      </c>
      <c r="V2845" s="24">
        <v>354.38900000000001</v>
      </c>
      <c r="W2845" s="24">
        <v>309.28300000000002</v>
      </c>
      <c r="X2845" s="24">
        <v>220.351</v>
      </c>
      <c r="Y2845" s="24">
        <v>138.36799999999999</v>
      </c>
      <c r="Z2845" s="24">
        <v>71.77</v>
      </c>
      <c r="AA2845" s="24">
        <v>27.471</v>
      </c>
      <c r="AB2845" s="24">
        <v>5.3940000000000001</v>
      </c>
      <c r="AC2845" s="24">
        <v>0.60199999999999998</v>
      </c>
    </row>
    <row r="2846" spans="1:29" ht="11.65" hidden="1" x14ac:dyDescent="0.35">
      <c r="A2846" s="28">
        <v>2829</v>
      </c>
      <c r="B2846" s="26" t="s">
        <v>1015</v>
      </c>
      <c r="C2846" s="27" t="s">
        <v>1212</v>
      </c>
      <c r="D2846" s="25"/>
      <c r="E2846" s="25">
        <v>927</v>
      </c>
      <c r="F2846" s="26" t="s">
        <v>1063</v>
      </c>
      <c r="G2846" s="25">
        <v>1828</v>
      </c>
      <c r="H2846" s="25">
        <v>1990</v>
      </c>
      <c r="I2846" s="24">
        <v>747.01</v>
      </c>
      <c r="J2846" s="24">
        <v>735.89099999999996</v>
      </c>
      <c r="K2846" s="24">
        <v>727.61699999999996</v>
      </c>
      <c r="L2846" s="24">
        <v>823.19200000000001</v>
      </c>
      <c r="M2846" s="24">
        <v>807.00300000000004</v>
      </c>
      <c r="N2846" s="24">
        <v>845.56799999999998</v>
      </c>
      <c r="O2846" s="24">
        <v>833.61599999999999</v>
      </c>
      <c r="P2846" s="24">
        <v>776.94899999999996</v>
      </c>
      <c r="Q2846" s="24">
        <v>735.42100000000005</v>
      </c>
      <c r="R2846" s="24">
        <v>565.01499999999999</v>
      </c>
      <c r="S2846" s="24">
        <v>473.81700000000001</v>
      </c>
      <c r="T2846" s="24">
        <v>429.15600000000001</v>
      </c>
      <c r="U2846" s="24">
        <v>435.71699999999998</v>
      </c>
      <c r="V2846" s="24">
        <v>411.5</v>
      </c>
      <c r="W2846" s="24">
        <v>326.01900000000001</v>
      </c>
      <c r="X2846" s="24">
        <v>264.40499999999997</v>
      </c>
      <c r="Y2846" s="24">
        <v>169.20099999999999</v>
      </c>
      <c r="Z2846" s="24">
        <v>84.344999999999999</v>
      </c>
      <c r="AA2846" s="24">
        <v>31.507999999999999</v>
      </c>
      <c r="AB2846" s="24">
        <v>7.3949999999999996</v>
      </c>
      <c r="AC2846" s="24">
        <v>0.80700000000000005</v>
      </c>
    </row>
    <row r="2847" spans="1:29" ht="11.65" hidden="1" x14ac:dyDescent="0.35">
      <c r="A2847" s="28">
        <v>2830</v>
      </c>
      <c r="B2847" s="26" t="s">
        <v>1015</v>
      </c>
      <c r="C2847" s="27" t="s">
        <v>1212</v>
      </c>
      <c r="D2847" s="25"/>
      <c r="E2847" s="25">
        <v>927</v>
      </c>
      <c r="F2847" s="26" t="s">
        <v>1063</v>
      </c>
      <c r="G2847" s="25">
        <v>1828</v>
      </c>
      <c r="H2847" s="25">
        <v>1995</v>
      </c>
      <c r="I2847" s="24">
        <v>775.38400000000001</v>
      </c>
      <c r="J2847" s="24">
        <v>769.01700000000005</v>
      </c>
      <c r="K2847" s="24">
        <v>757.697</v>
      </c>
      <c r="L2847" s="24">
        <v>752.50400000000002</v>
      </c>
      <c r="M2847" s="24">
        <v>840.77800000000002</v>
      </c>
      <c r="N2847" s="24">
        <v>830.976</v>
      </c>
      <c r="O2847" s="24">
        <v>882.81200000000001</v>
      </c>
      <c r="P2847" s="24">
        <v>856.88400000000001</v>
      </c>
      <c r="Q2847" s="24">
        <v>795.90800000000002</v>
      </c>
      <c r="R2847" s="24">
        <v>735.81899999999996</v>
      </c>
      <c r="S2847" s="24">
        <v>562.73500000000001</v>
      </c>
      <c r="T2847" s="24">
        <v>471.18400000000003</v>
      </c>
      <c r="U2847" s="24">
        <v>422.56099999999998</v>
      </c>
      <c r="V2847" s="24">
        <v>419.54399999999998</v>
      </c>
      <c r="W2847" s="24">
        <v>383.17200000000003</v>
      </c>
      <c r="X2847" s="24">
        <v>281.267</v>
      </c>
      <c r="Y2847" s="24">
        <v>209.65600000000001</v>
      </c>
      <c r="Z2847" s="24">
        <v>108.339</v>
      </c>
      <c r="AA2847" s="24">
        <v>39.395000000000003</v>
      </c>
      <c r="AB2847" s="24">
        <v>9.2200000000000006</v>
      </c>
      <c r="AC2847" s="24">
        <v>1.181</v>
      </c>
    </row>
    <row r="2848" spans="1:29" ht="11.65" hidden="1" x14ac:dyDescent="0.35">
      <c r="A2848" s="28">
        <v>2831</v>
      </c>
      <c r="B2848" s="26" t="s">
        <v>1015</v>
      </c>
      <c r="C2848" s="27" t="s">
        <v>1212</v>
      </c>
      <c r="D2848" s="25"/>
      <c r="E2848" s="25">
        <v>927</v>
      </c>
      <c r="F2848" s="26" t="s">
        <v>1063</v>
      </c>
      <c r="G2848" s="25">
        <v>1828</v>
      </c>
      <c r="H2848" s="25">
        <v>2000</v>
      </c>
      <c r="I2848" s="24">
        <v>755.14499999999998</v>
      </c>
      <c r="J2848" s="24">
        <v>797.024</v>
      </c>
      <c r="K2848" s="24">
        <v>786.68200000000002</v>
      </c>
      <c r="L2848" s="24">
        <v>771.91600000000005</v>
      </c>
      <c r="M2848" s="24">
        <v>749.35</v>
      </c>
      <c r="N2848" s="24">
        <v>862.15</v>
      </c>
      <c r="O2848" s="24">
        <v>856.53300000000002</v>
      </c>
      <c r="P2848" s="24">
        <v>913.36500000000001</v>
      </c>
      <c r="Q2848" s="24">
        <v>869.20299999999997</v>
      </c>
      <c r="R2848" s="24">
        <v>798.14499999999998</v>
      </c>
      <c r="S2848" s="24">
        <v>740.29200000000003</v>
      </c>
      <c r="T2848" s="24">
        <v>554.45100000000002</v>
      </c>
      <c r="U2848" s="24">
        <v>464.42</v>
      </c>
      <c r="V2848" s="24">
        <v>405.78199999999998</v>
      </c>
      <c r="W2848" s="24">
        <v>392.43</v>
      </c>
      <c r="X2848" s="24">
        <v>340.05399999999997</v>
      </c>
      <c r="Y2848" s="24">
        <v>223.13900000000001</v>
      </c>
      <c r="Z2848" s="24">
        <v>138.172</v>
      </c>
      <c r="AA2848" s="24">
        <v>51.753</v>
      </c>
      <c r="AB2848" s="24">
        <v>11.468</v>
      </c>
      <c r="AC2848" s="24">
        <v>1.425</v>
      </c>
    </row>
    <row r="2849" spans="1:29" ht="11.65" hidden="1" x14ac:dyDescent="0.35">
      <c r="A2849" s="28">
        <v>2832</v>
      </c>
      <c r="B2849" s="26" t="s">
        <v>1015</v>
      </c>
      <c r="C2849" s="27" t="s">
        <v>1212</v>
      </c>
      <c r="D2849" s="25"/>
      <c r="E2849" s="25">
        <v>927</v>
      </c>
      <c r="F2849" s="26" t="s">
        <v>1063</v>
      </c>
      <c r="G2849" s="25">
        <v>1828</v>
      </c>
      <c r="H2849" s="25">
        <v>2005</v>
      </c>
      <c r="I2849" s="24">
        <v>756.56899999999996</v>
      </c>
      <c r="J2849" s="24">
        <v>783.32100000000003</v>
      </c>
      <c r="K2849" s="24">
        <v>825.91</v>
      </c>
      <c r="L2849" s="24">
        <v>824.07100000000003</v>
      </c>
      <c r="M2849" s="24">
        <v>834.49400000000003</v>
      </c>
      <c r="N2849" s="24">
        <v>793.17399999999998</v>
      </c>
      <c r="O2849" s="24">
        <v>914.52499999999998</v>
      </c>
      <c r="P2849" s="24">
        <v>890.00800000000004</v>
      </c>
      <c r="Q2849" s="24">
        <v>937.68700000000001</v>
      </c>
      <c r="R2849" s="24">
        <v>882.41499999999996</v>
      </c>
      <c r="S2849" s="24">
        <v>790.77499999999998</v>
      </c>
      <c r="T2849" s="24">
        <v>735.55499999999995</v>
      </c>
      <c r="U2849" s="24">
        <v>548.02300000000002</v>
      </c>
      <c r="V2849" s="24">
        <v>451.98899999999998</v>
      </c>
      <c r="W2849" s="24">
        <v>381.46899999999999</v>
      </c>
      <c r="X2849" s="24">
        <v>350.17899999999997</v>
      </c>
      <c r="Y2849" s="24">
        <v>279.23700000000002</v>
      </c>
      <c r="Z2849" s="24">
        <v>152.399</v>
      </c>
      <c r="AA2849" s="24">
        <v>68.84</v>
      </c>
      <c r="AB2849" s="24">
        <v>15.632</v>
      </c>
      <c r="AC2849" s="24">
        <v>1.8069999999999999</v>
      </c>
    </row>
    <row r="2850" spans="1:29" ht="11.65" hidden="1" x14ac:dyDescent="0.35">
      <c r="A2850" s="28">
        <v>2833</v>
      </c>
      <c r="B2850" s="26" t="s">
        <v>1015</v>
      </c>
      <c r="C2850" s="27" t="s">
        <v>1212</v>
      </c>
      <c r="D2850" s="25"/>
      <c r="E2850" s="25">
        <v>927</v>
      </c>
      <c r="F2850" s="26" t="s">
        <v>1063</v>
      </c>
      <c r="G2850" s="25">
        <v>1828</v>
      </c>
      <c r="H2850" s="25">
        <v>2010</v>
      </c>
      <c r="I2850" s="24">
        <v>863.33299999999997</v>
      </c>
      <c r="J2850" s="24">
        <v>801.64200000000005</v>
      </c>
      <c r="K2850" s="24">
        <v>819.10599999999999</v>
      </c>
      <c r="L2850" s="24">
        <v>872.01700000000005</v>
      </c>
      <c r="M2850" s="24">
        <v>945.01300000000003</v>
      </c>
      <c r="N2850" s="24">
        <v>955.47799999999995</v>
      </c>
      <c r="O2850" s="24">
        <v>885.52</v>
      </c>
      <c r="P2850" s="24">
        <v>975.21</v>
      </c>
      <c r="Q2850" s="24">
        <v>928.87099999999998</v>
      </c>
      <c r="R2850" s="24">
        <v>956.93100000000004</v>
      </c>
      <c r="S2850" s="24">
        <v>882.32100000000003</v>
      </c>
      <c r="T2850" s="24">
        <v>783.47199999999998</v>
      </c>
      <c r="U2850" s="24">
        <v>719.33</v>
      </c>
      <c r="V2850" s="24">
        <v>537.40300000000002</v>
      </c>
      <c r="W2850" s="24">
        <v>429.10700000000003</v>
      </c>
      <c r="X2850" s="24">
        <v>348.089</v>
      </c>
      <c r="Y2850" s="24">
        <v>297.74299999999999</v>
      </c>
      <c r="Z2850" s="24">
        <v>196.65100000000001</v>
      </c>
      <c r="AA2850" s="24">
        <v>78.457999999999998</v>
      </c>
      <c r="AB2850" s="24">
        <v>21.460999999999999</v>
      </c>
      <c r="AC2850" s="24">
        <v>2.456</v>
      </c>
    </row>
    <row r="2851" spans="1:29" ht="11.65" hidden="1" x14ac:dyDescent="0.35">
      <c r="A2851" s="28">
        <v>2834</v>
      </c>
      <c r="B2851" s="26" t="s">
        <v>1015</v>
      </c>
      <c r="C2851" s="27" t="s">
        <v>1212</v>
      </c>
      <c r="D2851" s="25"/>
      <c r="E2851" s="25">
        <v>927</v>
      </c>
      <c r="F2851" s="26" t="s">
        <v>1063</v>
      </c>
      <c r="G2851" s="25">
        <v>1828</v>
      </c>
      <c r="H2851" s="25">
        <v>2015</v>
      </c>
      <c r="I2851" s="24">
        <v>911.46199999999999</v>
      </c>
      <c r="J2851" s="24">
        <v>896.94600000000003</v>
      </c>
      <c r="K2851" s="24">
        <v>837.60699999999997</v>
      </c>
      <c r="L2851" s="24">
        <v>880.52800000000002</v>
      </c>
      <c r="M2851" s="24">
        <v>979.44</v>
      </c>
      <c r="N2851" s="24">
        <v>1046.7739999999999</v>
      </c>
      <c r="O2851" s="24">
        <v>1035.662</v>
      </c>
      <c r="P2851" s="24">
        <v>940.35699999999997</v>
      </c>
      <c r="Q2851" s="24">
        <v>1001.8869999999999</v>
      </c>
      <c r="R2851" s="24">
        <v>955.18899999999996</v>
      </c>
      <c r="S2851" s="24">
        <v>954.12800000000004</v>
      </c>
      <c r="T2851" s="24">
        <v>884.80899999999997</v>
      </c>
      <c r="U2851" s="24">
        <v>775.27499999999998</v>
      </c>
      <c r="V2851" s="24">
        <v>696.86300000000006</v>
      </c>
      <c r="W2851" s="24">
        <v>514.38</v>
      </c>
      <c r="X2851" s="24">
        <v>389.375</v>
      </c>
      <c r="Y2851" s="24">
        <v>304.33</v>
      </c>
      <c r="Z2851" s="24">
        <v>214.99</v>
      </c>
      <c r="AA2851" s="24">
        <v>104.223</v>
      </c>
      <c r="AB2851" s="24">
        <v>25.129000000000001</v>
      </c>
      <c r="AC2851" s="24">
        <v>3.3559999999999999</v>
      </c>
    </row>
    <row r="2852" spans="1:29" ht="11.65" hidden="1" x14ac:dyDescent="0.35">
      <c r="A2852" s="28">
        <v>2835</v>
      </c>
      <c r="B2852" s="26" t="s">
        <v>1015</v>
      </c>
      <c r="C2852" s="27" t="s">
        <v>1212</v>
      </c>
      <c r="D2852" s="25"/>
      <c r="E2852" s="25">
        <v>927</v>
      </c>
      <c r="F2852" s="26" t="s">
        <v>1063</v>
      </c>
      <c r="G2852" s="25">
        <v>1828</v>
      </c>
      <c r="H2852" s="25">
        <v>2020</v>
      </c>
      <c r="I2852" s="24">
        <v>958.77200000000005</v>
      </c>
      <c r="J2852" s="24">
        <v>951.21900000000005</v>
      </c>
      <c r="K2852" s="24">
        <v>941.09799999999996</v>
      </c>
      <c r="L2852" s="24">
        <v>891.19799999999998</v>
      </c>
      <c r="M2852" s="24">
        <v>941.46600000000001</v>
      </c>
      <c r="N2852" s="24">
        <v>1039.5640000000001</v>
      </c>
      <c r="O2852" s="24">
        <v>1098.855</v>
      </c>
      <c r="P2852" s="24">
        <v>1074.557</v>
      </c>
      <c r="Q2852" s="24">
        <v>963.56299999999999</v>
      </c>
      <c r="R2852" s="24">
        <v>1010.569</v>
      </c>
      <c r="S2852" s="24">
        <v>952.577</v>
      </c>
      <c r="T2852" s="24">
        <v>945.79399999999998</v>
      </c>
      <c r="U2852" s="24">
        <v>870.83900000000006</v>
      </c>
      <c r="V2852" s="24">
        <v>755.298</v>
      </c>
      <c r="W2852" s="24">
        <v>666.27700000000004</v>
      </c>
      <c r="X2852" s="24">
        <v>475.49</v>
      </c>
      <c r="Y2852" s="24">
        <v>335.57600000000002</v>
      </c>
      <c r="Z2852" s="24">
        <v>224.58799999999999</v>
      </c>
      <c r="AA2852" s="24">
        <v>117.461</v>
      </c>
      <c r="AB2852" s="24">
        <v>34.619999999999997</v>
      </c>
      <c r="AC2852" s="24">
        <v>3.9449999999999998</v>
      </c>
    </row>
    <row r="2853" spans="1:29" ht="11.65" hidden="1" x14ac:dyDescent="0.35">
      <c r="A2853" s="12">
        <v>2836</v>
      </c>
      <c r="B2853" s="10" t="s">
        <v>1015</v>
      </c>
      <c r="C2853" s="30" t="s">
        <v>1213</v>
      </c>
      <c r="D2853" s="9">
        <v>15</v>
      </c>
      <c r="E2853" s="9">
        <v>36</v>
      </c>
      <c r="F2853" s="10" t="s">
        <v>1066</v>
      </c>
      <c r="G2853" s="9">
        <v>927</v>
      </c>
      <c r="H2853" s="9">
        <v>1950</v>
      </c>
      <c r="I2853" s="8">
        <v>433.96800000000002</v>
      </c>
      <c r="J2853" s="8">
        <v>344.56400000000002</v>
      </c>
      <c r="K2853" s="8">
        <v>286.89299999999997</v>
      </c>
      <c r="L2853" s="8">
        <v>270.28899999999999</v>
      </c>
      <c r="M2853" s="8">
        <v>311.30399999999997</v>
      </c>
      <c r="N2853" s="8">
        <v>329.11700000000002</v>
      </c>
      <c r="O2853" s="8">
        <v>305.00400000000002</v>
      </c>
      <c r="P2853" s="8">
        <v>304.92200000000003</v>
      </c>
      <c r="Q2853" s="8">
        <v>262.91500000000002</v>
      </c>
      <c r="R2853" s="8">
        <v>232.33799999999999</v>
      </c>
      <c r="S2853" s="8">
        <v>220.83799999999999</v>
      </c>
      <c r="T2853" s="8">
        <v>209.684</v>
      </c>
      <c r="U2853" s="8">
        <v>181.99600000000001</v>
      </c>
      <c r="V2853" s="8">
        <v>139.792</v>
      </c>
      <c r="W2853" s="8">
        <v>100.37</v>
      </c>
      <c r="X2853" s="8">
        <v>63.98</v>
      </c>
      <c r="Y2853" s="8">
        <v>37.49</v>
      </c>
      <c r="Z2853" s="8">
        <v>15.782999999999999</v>
      </c>
      <c r="AA2853" s="8">
        <v>4.6840000000000002</v>
      </c>
      <c r="AB2853" s="8">
        <v>0.86199999999999999</v>
      </c>
      <c r="AC2853" s="8">
        <v>0.09</v>
      </c>
    </row>
    <row r="2854" spans="1:29" ht="11.65" hidden="1" x14ac:dyDescent="0.35">
      <c r="A2854" s="12">
        <v>2837</v>
      </c>
      <c r="B2854" s="10" t="s">
        <v>1015</v>
      </c>
      <c r="C2854" s="30" t="s">
        <v>1213</v>
      </c>
      <c r="D2854" s="9">
        <v>15</v>
      </c>
      <c r="E2854" s="9">
        <v>36</v>
      </c>
      <c r="F2854" s="10" t="s">
        <v>1066</v>
      </c>
      <c r="G2854" s="9">
        <v>927</v>
      </c>
      <c r="H2854" s="9">
        <v>1955</v>
      </c>
      <c r="I2854" s="8">
        <v>483.68200000000002</v>
      </c>
      <c r="J2854" s="8">
        <v>456.31400000000002</v>
      </c>
      <c r="K2854" s="8">
        <v>359.38900000000001</v>
      </c>
      <c r="L2854" s="8">
        <v>298.649</v>
      </c>
      <c r="M2854" s="8">
        <v>283.39299999999997</v>
      </c>
      <c r="N2854" s="8">
        <v>330.62900000000002</v>
      </c>
      <c r="O2854" s="8">
        <v>349.93900000000002</v>
      </c>
      <c r="P2854" s="8">
        <v>317.58100000000002</v>
      </c>
      <c r="Q2854" s="8">
        <v>313.26</v>
      </c>
      <c r="R2854" s="8">
        <v>265.06099999999998</v>
      </c>
      <c r="S2854" s="8">
        <v>229.33799999999999</v>
      </c>
      <c r="T2854" s="8">
        <v>214.852</v>
      </c>
      <c r="U2854" s="8">
        <v>198.97499999999999</v>
      </c>
      <c r="V2854" s="8">
        <v>165.81899999999999</v>
      </c>
      <c r="W2854" s="8">
        <v>119.09699999999999</v>
      </c>
      <c r="X2854" s="8">
        <v>76.998999999999995</v>
      </c>
      <c r="Y2854" s="8">
        <v>43.811999999999998</v>
      </c>
      <c r="Z2854" s="8">
        <v>17.712</v>
      </c>
      <c r="AA2854" s="8">
        <v>5.05</v>
      </c>
      <c r="AB2854" s="8">
        <v>0.84299999999999997</v>
      </c>
      <c r="AC2854" s="8">
        <v>0.08</v>
      </c>
    </row>
    <row r="2855" spans="1:29" ht="11.65" hidden="1" x14ac:dyDescent="0.35">
      <c r="A2855" s="12">
        <v>2838</v>
      </c>
      <c r="B2855" s="10" t="s">
        <v>1015</v>
      </c>
      <c r="C2855" s="30" t="s">
        <v>1213</v>
      </c>
      <c r="D2855" s="9">
        <v>15</v>
      </c>
      <c r="E2855" s="9">
        <v>36</v>
      </c>
      <c r="F2855" s="10" t="s">
        <v>1066</v>
      </c>
      <c r="G2855" s="9">
        <v>927</v>
      </c>
      <c r="H2855" s="9">
        <v>1960</v>
      </c>
      <c r="I2855" s="8">
        <v>530.90300000000002</v>
      </c>
      <c r="J2855" s="8">
        <v>502.27100000000002</v>
      </c>
      <c r="K2855" s="8">
        <v>475.82299999999998</v>
      </c>
      <c r="L2855" s="8">
        <v>373.29500000000002</v>
      </c>
      <c r="M2855" s="8">
        <v>323.54899999999998</v>
      </c>
      <c r="N2855" s="8">
        <v>312.04199999999997</v>
      </c>
      <c r="O2855" s="8">
        <v>352.56099999999998</v>
      </c>
      <c r="P2855" s="8">
        <v>366.19200000000001</v>
      </c>
      <c r="Q2855" s="8">
        <v>324.62700000000001</v>
      </c>
      <c r="R2855" s="8">
        <v>315.33999999999997</v>
      </c>
      <c r="S2855" s="8">
        <v>262.64999999999998</v>
      </c>
      <c r="T2855" s="8">
        <v>224.256</v>
      </c>
      <c r="U2855" s="8">
        <v>206.12799999999999</v>
      </c>
      <c r="V2855" s="8">
        <v>183.476</v>
      </c>
      <c r="W2855" s="8">
        <v>143.654</v>
      </c>
      <c r="X2855" s="8">
        <v>92.307000000000002</v>
      </c>
      <c r="Y2855" s="8">
        <v>53.545000000000002</v>
      </c>
      <c r="Z2855" s="8">
        <v>21.516999999999999</v>
      </c>
      <c r="AA2855" s="8">
        <v>5.9660000000000002</v>
      </c>
      <c r="AB2855" s="8">
        <v>0.996</v>
      </c>
      <c r="AC2855" s="8">
        <v>8.5999999999999993E-2</v>
      </c>
    </row>
    <row r="2856" spans="1:29" ht="11.65" hidden="1" x14ac:dyDescent="0.35">
      <c r="A2856" s="12">
        <v>2839</v>
      </c>
      <c r="B2856" s="10" t="s">
        <v>1015</v>
      </c>
      <c r="C2856" s="30" t="s">
        <v>1213</v>
      </c>
      <c r="D2856" s="9">
        <v>15</v>
      </c>
      <c r="E2856" s="9">
        <v>36</v>
      </c>
      <c r="F2856" s="10" t="s">
        <v>1066</v>
      </c>
      <c r="G2856" s="9">
        <v>927</v>
      </c>
      <c r="H2856" s="9">
        <v>1965</v>
      </c>
      <c r="I2856" s="8">
        <v>564.649</v>
      </c>
      <c r="J2856" s="8">
        <v>550.70100000000002</v>
      </c>
      <c r="K2856" s="8">
        <v>519.59</v>
      </c>
      <c r="L2856" s="8">
        <v>491.452</v>
      </c>
      <c r="M2856" s="8">
        <v>396.35199999999998</v>
      </c>
      <c r="N2856" s="8">
        <v>349.72199999999998</v>
      </c>
      <c r="O2856" s="8">
        <v>331.73700000000002</v>
      </c>
      <c r="P2856" s="8">
        <v>365.83499999999998</v>
      </c>
      <c r="Q2856" s="8">
        <v>372.66199999999998</v>
      </c>
      <c r="R2856" s="8">
        <v>325.072</v>
      </c>
      <c r="S2856" s="8">
        <v>311.125</v>
      </c>
      <c r="T2856" s="8">
        <v>257.11099999999999</v>
      </c>
      <c r="U2856" s="8">
        <v>215.52799999999999</v>
      </c>
      <c r="V2856" s="8">
        <v>191.68299999999999</v>
      </c>
      <c r="W2856" s="8">
        <v>160.27500000000001</v>
      </c>
      <c r="X2856" s="8">
        <v>113.07</v>
      </c>
      <c r="Y2856" s="8">
        <v>65.891999999999996</v>
      </c>
      <c r="Z2856" s="8">
        <v>27.396000000000001</v>
      </c>
      <c r="AA2856" s="8">
        <v>7.6580000000000004</v>
      </c>
      <c r="AB2856" s="8">
        <v>1.252</v>
      </c>
      <c r="AC2856" s="8">
        <v>0.111</v>
      </c>
    </row>
    <row r="2857" spans="1:29" ht="11.65" hidden="1" x14ac:dyDescent="0.35">
      <c r="A2857" s="12">
        <v>2840</v>
      </c>
      <c r="B2857" s="10" t="s">
        <v>1015</v>
      </c>
      <c r="C2857" s="30" t="s">
        <v>1213</v>
      </c>
      <c r="D2857" s="9">
        <v>15</v>
      </c>
      <c r="E2857" s="9">
        <v>36</v>
      </c>
      <c r="F2857" s="10" t="s">
        <v>1066</v>
      </c>
      <c r="G2857" s="9">
        <v>927</v>
      </c>
      <c r="H2857" s="9">
        <v>1970</v>
      </c>
      <c r="I2857" s="8">
        <v>605.33500000000004</v>
      </c>
      <c r="J2857" s="8">
        <v>610.73500000000001</v>
      </c>
      <c r="K2857" s="8">
        <v>604.65300000000002</v>
      </c>
      <c r="L2857" s="8">
        <v>545.84299999999996</v>
      </c>
      <c r="M2857" s="8">
        <v>553.47699999999998</v>
      </c>
      <c r="N2857" s="8">
        <v>435.60899999999998</v>
      </c>
      <c r="O2857" s="8">
        <v>380.18900000000002</v>
      </c>
      <c r="P2857" s="8">
        <v>354.19099999999997</v>
      </c>
      <c r="Q2857" s="8">
        <v>388.44400000000002</v>
      </c>
      <c r="R2857" s="8">
        <v>386.42200000000003</v>
      </c>
      <c r="S2857" s="8">
        <v>326.42</v>
      </c>
      <c r="T2857" s="8">
        <v>305.42</v>
      </c>
      <c r="U2857" s="8">
        <v>256.67200000000003</v>
      </c>
      <c r="V2857" s="8">
        <v>201.37</v>
      </c>
      <c r="W2857" s="8">
        <v>168.376</v>
      </c>
      <c r="X2857" s="8">
        <v>123.29</v>
      </c>
      <c r="Y2857" s="8">
        <v>72.930000000000007</v>
      </c>
      <c r="Z2857" s="8">
        <v>33.875999999999998</v>
      </c>
      <c r="AA2857" s="8">
        <v>9.827</v>
      </c>
      <c r="AB2857" s="8">
        <v>1.6120000000000001</v>
      </c>
      <c r="AC2857" s="8">
        <v>0.14199999999999999</v>
      </c>
    </row>
    <row r="2858" spans="1:29" ht="11.65" hidden="1" x14ac:dyDescent="0.35">
      <c r="A2858" s="12">
        <v>2841</v>
      </c>
      <c r="B2858" s="10" t="s">
        <v>1015</v>
      </c>
      <c r="C2858" s="30" t="s">
        <v>1213</v>
      </c>
      <c r="D2858" s="9">
        <v>15</v>
      </c>
      <c r="E2858" s="9">
        <v>36</v>
      </c>
      <c r="F2858" s="10" t="s">
        <v>1066</v>
      </c>
      <c r="G2858" s="9">
        <v>927</v>
      </c>
      <c r="H2858" s="9">
        <v>1975</v>
      </c>
      <c r="I2858" s="8">
        <v>619.00599999999997</v>
      </c>
      <c r="J2858" s="8">
        <v>606.50900000000001</v>
      </c>
      <c r="K2858" s="8">
        <v>622.971</v>
      </c>
      <c r="L2858" s="8">
        <v>602.83100000000002</v>
      </c>
      <c r="M2858" s="8">
        <v>573.22199999999998</v>
      </c>
      <c r="N2858" s="8">
        <v>564.41899999999998</v>
      </c>
      <c r="O2858" s="8">
        <v>449.59699999999998</v>
      </c>
      <c r="P2858" s="8">
        <v>395.54500000000002</v>
      </c>
      <c r="Q2858" s="8">
        <v>361.20600000000002</v>
      </c>
      <c r="R2858" s="8">
        <v>382.20499999999998</v>
      </c>
      <c r="S2858" s="8">
        <v>374.05200000000002</v>
      </c>
      <c r="T2858" s="8">
        <v>318.238</v>
      </c>
      <c r="U2858" s="8">
        <v>297.14699999999999</v>
      </c>
      <c r="V2858" s="8">
        <v>237.23500000000001</v>
      </c>
      <c r="W2858" s="8">
        <v>184.851</v>
      </c>
      <c r="X2858" s="8">
        <v>135.56800000000001</v>
      </c>
      <c r="Y2858" s="8">
        <v>92.849000000000004</v>
      </c>
      <c r="Z2858" s="8">
        <v>38.771000000000001</v>
      </c>
      <c r="AA2858" s="8">
        <v>12.759</v>
      </c>
      <c r="AB2858" s="8">
        <v>2.2229999999999999</v>
      </c>
      <c r="AC2858" s="8">
        <v>0.19400000000000001</v>
      </c>
    </row>
    <row r="2859" spans="1:29" ht="11.65" hidden="1" x14ac:dyDescent="0.35">
      <c r="A2859" s="12">
        <v>2842</v>
      </c>
      <c r="B2859" s="10" t="s">
        <v>1015</v>
      </c>
      <c r="C2859" s="30" t="s">
        <v>1213</v>
      </c>
      <c r="D2859" s="9">
        <v>15</v>
      </c>
      <c r="E2859" s="9">
        <v>36</v>
      </c>
      <c r="F2859" s="10" t="s">
        <v>1066</v>
      </c>
      <c r="G2859" s="9">
        <v>927</v>
      </c>
      <c r="H2859" s="9">
        <v>1980</v>
      </c>
      <c r="I2859" s="8">
        <v>551.06500000000005</v>
      </c>
      <c r="J2859" s="8">
        <v>631.85500000000002</v>
      </c>
      <c r="K2859" s="8">
        <v>620.78300000000002</v>
      </c>
      <c r="L2859" s="8">
        <v>638.22299999999996</v>
      </c>
      <c r="M2859" s="8">
        <v>623.44899999999996</v>
      </c>
      <c r="N2859" s="8">
        <v>596.83500000000004</v>
      </c>
      <c r="O2859" s="8">
        <v>579.56399999999996</v>
      </c>
      <c r="P2859" s="8">
        <v>457.63499999999999</v>
      </c>
      <c r="Q2859" s="8">
        <v>390.303</v>
      </c>
      <c r="R2859" s="8">
        <v>357.12599999999998</v>
      </c>
      <c r="S2859" s="8">
        <v>373.99599999999998</v>
      </c>
      <c r="T2859" s="8">
        <v>364.61</v>
      </c>
      <c r="U2859" s="8">
        <v>308.29300000000001</v>
      </c>
      <c r="V2859" s="8">
        <v>279.92500000000001</v>
      </c>
      <c r="W2859" s="8">
        <v>213.119</v>
      </c>
      <c r="X2859" s="8">
        <v>151.422</v>
      </c>
      <c r="Y2859" s="8">
        <v>98.406999999999996</v>
      </c>
      <c r="Z2859" s="8">
        <v>53.149000000000001</v>
      </c>
      <c r="AA2859" s="8">
        <v>16.041</v>
      </c>
      <c r="AB2859" s="8">
        <v>3.3170000000000002</v>
      </c>
      <c r="AC2859" s="8">
        <v>0.313</v>
      </c>
    </row>
    <row r="2860" spans="1:29" ht="11.65" hidden="1" x14ac:dyDescent="0.35">
      <c r="A2860" s="12">
        <v>2843</v>
      </c>
      <c r="B2860" s="10" t="s">
        <v>1015</v>
      </c>
      <c r="C2860" s="30" t="s">
        <v>1213</v>
      </c>
      <c r="D2860" s="9">
        <v>15</v>
      </c>
      <c r="E2860" s="9">
        <v>36</v>
      </c>
      <c r="F2860" s="10" t="s">
        <v>1066</v>
      </c>
      <c r="G2860" s="9">
        <v>927</v>
      </c>
      <c r="H2860" s="9">
        <v>1985</v>
      </c>
      <c r="I2860" s="8">
        <v>581.63900000000001</v>
      </c>
      <c r="J2860" s="8">
        <v>571.66499999999996</v>
      </c>
      <c r="K2860" s="8">
        <v>651.52099999999996</v>
      </c>
      <c r="L2860" s="8">
        <v>636.79899999999998</v>
      </c>
      <c r="M2860" s="8">
        <v>659.55200000000002</v>
      </c>
      <c r="N2860" s="8">
        <v>650.21900000000005</v>
      </c>
      <c r="O2860" s="8">
        <v>623.19600000000003</v>
      </c>
      <c r="P2860" s="8">
        <v>600.28899999999999</v>
      </c>
      <c r="Q2860" s="8">
        <v>465.73099999999999</v>
      </c>
      <c r="R2860" s="8">
        <v>392.459</v>
      </c>
      <c r="S2860" s="8">
        <v>355.22500000000002</v>
      </c>
      <c r="T2860" s="8">
        <v>368.334</v>
      </c>
      <c r="U2860" s="8">
        <v>358.56400000000002</v>
      </c>
      <c r="V2860" s="8">
        <v>292.221</v>
      </c>
      <c r="W2860" s="8">
        <v>256.642</v>
      </c>
      <c r="X2860" s="8">
        <v>181.03399999999999</v>
      </c>
      <c r="Y2860" s="8">
        <v>114.123</v>
      </c>
      <c r="Z2860" s="8">
        <v>58.87</v>
      </c>
      <c r="AA2860" s="8">
        <v>23.202999999999999</v>
      </c>
      <c r="AB2860" s="8">
        <v>4.3719999999999999</v>
      </c>
      <c r="AC2860" s="8">
        <v>0.496</v>
      </c>
    </row>
    <row r="2861" spans="1:29" ht="11.65" hidden="1" x14ac:dyDescent="0.35">
      <c r="A2861" s="12">
        <v>2844</v>
      </c>
      <c r="B2861" s="10" t="s">
        <v>1015</v>
      </c>
      <c r="C2861" s="30" t="s">
        <v>1213</v>
      </c>
      <c r="D2861" s="9">
        <v>15</v>
      </c>
      <c r="E2861" s="9">
        <v>36</v>
      </c>
      <c r="F2861" s="10" t="s">
        <v>1066</v>
      </c>
      <c r="G2861" s="9">
        <v>927</v>
      </c>
      <c r="H2861" s="9">
        <v>1990</v>
      </c>
      <c r="I2861" s="8">
        <v>611.92499999999995</v>
      </c>
      <c r="J2861" s="8">
        <v>611.96900000000005</v>
      </c>
      <c r="K2861" s="8">
        <v>600.21299999999997</v>
      </c>
      <c r="L2861" s="8">
        <v>677.58199999999999</v>
      </c>
      <c r="M2861" s="8">
        <v>669.16099999999994</v>
      </c>
      <c r="N2861" s="8">
        <v>703.673</v>
      </c>
      <c r="O2861" s="8">
        <v>693.78099999999995</v>
      </c>
      <c r="P2861" s="8">
        <v>654.18600000000004</v>
      </c>
      <c r="Q2861" s="8">
        <v>616.41700000000003</v>
      </c>
      <c r="R2861" s="8">
        <v>472.39800000000002</v>
      </c>
      <c r="S2861" s="8">
        <v>395.983</v>
      </c>
      <c r="T2861" s="8">
        <v>355.78399999999999</v>
      </c>
      <c r="U2861" s="8">
        <v>366.38400000000001</v>
      </c>
      <c r="V2861" s="8">
        <v>344.00400000000002</v>
      </c>
      <c r="W2861" s="8">
        <v>270.81400000000002</v>
      </c>
      <c r="X2861" s="8">
        <v>219.13900000000001</v>
      </c>
      <c r="Y2861" s="8">
        <v>139.09700000000001</v>
      </c>
      <c r="Z2861" s="8">
        <v>70.034000000000006</v>
      </c>
      <c r="AA2861" s="8">
        <v>26.055</v>
      </c>
      <c r="AB2861" s="8">
        <v>6.2629999999999999</v>
      </c>
      <c r="AC2861" s="8">
        <v>0.65500000000000003</v>
      </c>
    </row>
    <row r="2862" spans="1:29" ht="11.65" hidden="1" x14ac:dyDescent="0.35">
      <c r="A2862" s="12">
        <v>2845</v>
      </c>
      <c r="B2862" s="10" t="s">
        <v>1015</v>
      </c>
      <c r="C2862" s="30" t="s">
        <v>1213</v>
      </c>
      <c r="D2862" s="9">
        <v>15</v>
      </c>
      <c r="E2862" s="9">
        <v>36</v>
      </c>
      <c r="F2862" s="10" t="s">
        <v>1066</v>
      </c>
      <c r="G2862" s="9">
        <v>927</v>
      </c>
      <c r="H2862" s="9">
        <v>1995</v>
      </c>
      <c r="I2862" s="8">
        <v>631.90099999999995</v>
      </c>
      <c r="J2862" s="8">
        <v>629.48699999999997</v>
      </c>
      <c r="K2862" s="8">
        <v>629.74699999999996</v>
      </c>
      <c r="L2862" s="8">
        <v>618.82100000000003</v>
      </c>
      <c r="M2862" s="8">
        <v>697.62</v>
      </c>
      <c r="N2862" s="8">
        <v>687.56299999999999</v>
      </c>
      <c r="O2862" s="8">
        <v>729.61199999999997</v>
      </c>
      <c r="P2862" s="8">
        <v>712.24300000000005</v>
      </c>
      <c r="Q2862" s="8">
        <v>666.35799999999995</v>
      </c>
      <c r="R2862" s="8">
        <v>615.55100000000004</v>
      </c>
      <c r="S2862" s="8">
        <v>469.19</v>
      </c>
      <c r="T2862" s="8">
        <v>391.19099999999997</v>
      </c>
      <c r="U2862" s="8">
        <v>353.38</v>
      </c>
      <c r="V2862" s="8">
        <v>350.82499999999999</v>
      </c>
      <c r="W2862" s="8">
        <v>319.40499999999997</v>
      </c>
      <c r="X2862" s="8">
        <v>233.79</v>
      </c>
      <c r="Y2862" s="8">
        <v>174.38300000000001</v>
      </c>
      <c r="Z2862" s="8">
        <v>89.516000000000005</v>
      </c>
      <c r="AA2862" s="8">
        <v>32.853999999999999</v>
      </c>
      <c r="AB2862" s="8">
        <v>7.6210000000000004</v>
      </c>
      <c r="AC2862" s="8">
        <v>0.98899999999999999</v>
      </c>
    </row>
    <row r="2863" spans="1:29" ht="11.65" hidden="1" x14ac:dyDescent="0.35">
      <c r="A2863" s="12">
        <v>2846</v>
      </c>
      <c r="B2863" s="10" t="s">
        <v>1015</v>
      </c>
      <c r="C2863" s="30" t="s">
        <v>1213</v>
      </c>
      <c r="D2863" s="9">
        <v>15</v>
      </c>
      <c r="E2863" s="9">
        <v>36</v>
      </c>
      <c r="F2863" s="10" t="s">
        <v>1066</v>
      </c>
      <c r="G2863" s="9">
        <v>927</v>
      </c>
      <c r="H2863" s="9">
        <v>2000</v>
      </c>
      <c r="I2863" s="8">
        <v>617.26099999999997</v>
      </c>
      <c r="J2863" s="8">
        <v>650.79</v>
      </c>
      <c r="K2863" s="8">
        <v>644.25900000000001</v>
      </c>
      <c r="L2863" s="8">
        <v>636.44200000000001</v>
      </c>
      <c r="M2863" s="8">
        <v>622.47500000000002</v>
      </c>
      <c r="N2863" s="8">
        <v>723.29</v>
      </c>
      <c r="O2863" s="8">
        <v>703.88800000000003</v>
      </c>
      <c r="P2863" s="8">
        <v>755.10199999999998</v>
      </c>
      <c r="Q2863" s="8">
        <v>720.22900000000004</v>
      </c>
      <c r="R2863" s="8">
        <v>668.32600000000002</v>
      </c>
      <c r="S2863" s="8">
        <v>620.96699999999998</v>
      </c>
      <c r="T2863" s="8">
        <v>460.85399999999998</v>
      </c>
      <c r="U2863" s="8">
        <v>386.58699999999999</v>
      </c>
      <c r="V2863" s="8">
        <v>338.80099999999999</v>
      </c>
      <c r="W2863" s="8">
        <v>328.82100000000003</v>
      </c>
      <c r="X2863" s="8">
        <v>285.92</v>
      </c>
      <c r="Y2863" s="8">
        <v>184.839</v>
      </c>
      <c r="Z2863" s="8">
        <v>115.367</v>
      </c>
      <c r="AA2863" s="8">
        <v>42.938000000000002</v>
      </c>
      <c r="AB2863" s="8">
        <v>9.5630000000000006</v>
      </c>
      <c r="AC2863" s="8">
        <v>1.171</v>
      </c>
    </row>
    <row r="2864" spans="1:29" ht="11.65" hidden="1" x14ac:dyDescent="0.35">
      <c r="A2864" s="12">
        <v>2847</v>
      </c>
      <c r="B2864" s="10" t="s">
        <v>1015</v>
      </c>
      <c r="C2864" s="30" t="s">
        <v>1213</v>
      </c>
      <c r="D2864" s="9">
        <v>15</v>
      </c>
      <c r="E2864" s="9">
        <v>36</v>
      </c>
      <c r="F2864" s="10" t="s">
        <v>1066</v>
      </c>
      <c r="G2864" s="9">
        <v>927</v>
      </c>
      <c r="H2864" s="9">
        <v>2005</v>
      </c>
      <c r="I2864" s="8">
        <v>617.5</v>
      </c>
      <c r="J2864" s="8">
        <v>640.80499999999995</v>
      </c>
      <c r="K2864" s="8">
        <v>673.14</v>
      </c>
      <c r="L2864" s="8">
        <v>673.63900000000001</v>
      </c>
      <c r="M2864" s="8">
        <v>691.49800000000005</v>
      </c>
      <c r="N2864" s="8">
        <v>661.84500000000003</v>
      </c>
      <c r="O2864" s="8">
        <v>759.97</v>
      </c>
      <c r="P2864" s="8">
        <v>728.69799999999998</v>
      </c>
      <c r="Q2864" s="8">
        <v>773.78200000000004</v>
      </c>
      <c r="R2864" s="8">
        <v>727.971</v>
      </c>
      <c r="S2864" s="8">
        <v>663.6</v>
      </c>
      <c r="T2864" s="8">
        <v>614.61099999999999</v>
      </c>
      <c r="U2864" s="8">
        <v>456.32299999999998</v>
      </c>
      <c r="V2864" s="8">
        <v>376.15100000000001</v>
      </c>
      <c r="W2864" s="8">
        <v>318.601</v>
      </c>
      <c r="X2864" s="8">
        <v>294.59100000000001</v>
      </c>
      <c r="Y2864" s="8">
        <v>236.024</v>
      </c>
      <c r="Z2864" s="8">
        <v>127.072</v>
      </c>
      <c r="AA2864" s="8">
        <v>58.005000000000003</v>
      </c>
      <c r="AB2864" s="8">
        <v>13.125999999999999</v>
      </c>
      <c r="AC2864" s="8">
        <v>1.522</v>
      </c>
    </row>
    <row r="2865" spans="1:29" ht="11.65" hidden="1" x14ac:dyDescent="0.35">
      <c r="A2865" s="12">
        <v>2848</v>
      </c>
      <c r="B2865" s="10" t="s">
        <v>1015</v>
      </c>
      <c r="C2865" s="30" t="s">
        <v>1213</v>
      </c>
      <c r="D2865" s="9">
        <v>15</v>
      </c>
      <c r="E2865" s="9">
        <v>36</v>
      </c>
      <c r="F2865" s="10" t="s">
        <v>1066</v>
      </c>
      <c r="G2865" s="9">
        <v>927</v>
      </c>
      <c r="H2865" s="9">
        <v>2010</v>
      </c>
      <c r="I2865" s="8">
        <v>711.43499999999995</v>
      </c>
      <c r="J2865" s="8">
        <v>661.68499999999995</v>
      </c>
      <c r="K2865" s="8">
        <v>674.48900000000003</v>
      </c>
      <c r="L2865" s="8">
        <v>715.74800000000005</v>
      </c>
      <c r="M2865" s="8">
        <v>790.72500000000002</v>
      </c>
      <c r="N2865" s="8">
        <v>810.87</v>
      </c>
      <c r="O2865" s="8">
        <v>745.01700000000005</v>
      </c>
      <c r="P2865" s="8">
        <v>816.55100000000004</v>
      </c>
      <c r="Q2865" s="8">
        <v>766.56700000000001</v>
      </c>
      <c r="R2865" s="8">
        <v>790.17499999999995</v>
      </c>
      <c r="S2865" s="8">
        <v>734.53700000000003</v>
      </c>
      <c r="T2865" s="8">
        <v>655.13400000000001</v>
      </c>
      <c r="U2865" s="8">
        <v>601.33299999999997</v>
      </c>
      <c r="V2865" s="8">
        <v>448.47399999999999</v>
      </c>
      <c r="W2865" s="8">
        <v>355.46899999999999</v>
      </c>
      <c r="X2865" s="8">
        <v>293.22800000000001</v>
      </c>
      <c r="Y2865" s="8">
        <v>250.33199999999999</v>
      </c>
      <c r="Z2865" s="8">
        <v>167.08</v>
      </c>
      <c r="AA2865" s="8">
        <v>66.042000000000002</v>
      </c>
      <c r="AB2865" s="8">
        <v>18.323</v>
      </c>
      <c r="AC2865" s="8">
        <v>2.101</v>
      </c>
    </row>
    <row r="2866" spans="1:29" ht="11.65" hidden="1" x14ac:dyDescent="0.35">
      <c r="A2866" s="12">
        <v>2849</v>
      </c>
      <c r="B2866" s="10" t="s">
        <v>1015</v>
      </c>
      <c r="C2866" s="30" t="s">
        <v>1213</v>
      </c>
      <c r="D2866" s="9">
        <v>15</v>
      </c>
      <c r="E2866" s="9">
        <v>36</v>
      </c>
      <c r="F2866" s="10" t="s">
        <v>1066</v>
      </c>
      <c r="G2866" s="9">
        <v>927</v>
      </c>
      <c r="H2866" s="9">
        <v>2015</v>
      </c>
      <c r="I2866" s="8">
        <v>761.20600000000002</v>
      </c>
      <c r="J2866" s="8">
        <v>743.94799999999998</v>
      </c>
      <c r="K2866" s="8">
        <v>692.61500000000001</v>
      </c>
      <c r="L2866" s="8">
        <v>726.46299999999997</v>
      </c>
      <c r="M2866" s="8">
        <v>816.25800000000004</v>
      </c>
      <c r="N2866" s="8">
        <v>889.15</v>
      </c>
      <c r="O2866" s="8">
        <v>886.55499999999995</v>
      </c>
      <c r="P2866" s="8">
        <v>797.85400000000004</v>
      </c>
      <c r="Q2866" s="8">
        <v>837.89300000000003</v>
      </c>
      <c r="R2866" s="8">
        <v>791.56500000000005</v>
      </c>
      <c r="S2866" s="8">
        <v>789.10799999999995</v>
      </c>
      <c r="T2866" s="8">
        <v>736.53800000000001</v>
      </c>
      <c r="U2866" s="8">
        <v>647.50699999999995</v>
      </c>
      <c r="V2866" s="8">
        <v>580.74199999999996</v>
      </c>
      <c r="W2866" s="8">
        <v>429.012</v>
      </c>
      <c r="X2866" s="8">
        <v>326.12299999999999</v>
      </c>
      <c r="Y2866" s="8">
        <v>259.18700000000001</v>
      </c>
      <c r="Z2866" s="8">
        <v>181.71</v>
      </c>
      <c r="AA2866" s="8">
        <v>89.370999999999995</v>
      </c>
      <c r="AB2866" s="8">
        <v>21.439</v>
      </c>
      <c r="AC2866" s="8">
        <v>2.9</v>
      </c>
    </row>
    <row r="2867" spans="1:29" ht="11.65" hidden="1" x14ac:dyDescent="0.35">
      <c r="A2867" s="12">
        <v>2850</v>
      </c>
      <c r="B2867" s="10" t="s">
        <v>1015</v>
      </c>
      <c r="C2867" s="30" t="s">
        <v>1213</v>
      </c>
      <c r="D2867" s="9">
        <v>15</v>
      </c>
      <c r="E2867" s="9">
        <v>36</v>
      </c>
      <c r="F2867" s="10" t="s">
        <v>1066</v>
      </c>
      <c r="G2867" s="9">
        <v>927</v>
      </c>
      <c r="H2867" s="9">
        <v>2020</v>
      </c>
      <c r="I2867" s="8">
        <v>812.20799999999997</v>
      </c>
      <c r="J2867" s="8">
        <v>798.24099999999999</v>
      </c>
      <c r="K2867" s="8">
        <v>784.72799999999995</v>
      </c>
      <c r="L2867" s="8">
        <v>742.43100000000004</v>
      </c>
      <c r="M2867" s="8">
        <v>783.346</v>
      </c>
      <c r="N2867" s="8">
        <v>871.18100000000004</v>
      </c>
      <c r="O2867" s="8">
        <v>935.87599999999998</v>
      </c>
      <c r="P2867" s="8">
        <v>921.29200000000003</v>
      </c>
      <c r="Q2867" s="8">
        <v>818.34299999999996</v>
      </c>
      <c r="R2867" s="8">
        <v>845.81299999999999</v>
      </c>
      <c r="S2867" s="8">
        <v>789.39</v>
      </c>
      <c r="T2867" s="8">
        <v>782.01099999999997</v>
      </c>
      <c r="U2867" s="8">
        <v>724.81399999999996</v>
      </c>
      <c r="V2867" s="8">
        <v>630.85400000000004</v>
      </c>
      <c r="W2867" s="8">
        <v>555.78700000000003</v>
      </c>
      <c r="X2867" s="8">
        <v>397.18599999999998</v>
      </c>
      <c r="Y2867" s="8">
        <v>281.67200000000003</v>
      </c>
      <c r="Z2867" s="8">
        <v>192.29400000000001</v>
      </c>
      <c r="AA2867" s="8">
        <v>100.294</v>
      </c>
      <c r="AB2867" s="8">
        <v>30.076000000000001</v>
      </c>
      <c r="AC2867" s="8">
        <v>3.419</v>
      </c>
    </row>
    <row r="2868" spans="1:29" ht="11.65" hidden="1" x14ac:dyDescent="0.35">
      <c r="A2868" s="12">
        <v>2851</v>
      </c>
      <c r="B2868" s="10" t="s">
        <v>1015</v>
      </c>
      <c r="C2868" s="30" t="s">
        <v>1214</v>
      </c>
      <c r="D2868" s="9">
        <v>16</v>
      </c>
      <c r="E2868" s="9">
        <v>554</v>
      </c>
      <c r="F2868" s="10" t="s">
        <v>1066</v>
      </c>
      <c r="G2868" s="9">
        <v>927</v>
      </c>
      <c r="H2868" s="9">
        <v>1950</v>
      </c>
      <c r="I2868" s="8">
        <v>113</v>
      </c>
      <c r="J2868" s="8">
        <v>87</v>
      </c>
      <c r="K2868" s="8">
        <v>72</v>
      </c>
      <c r="L2868" s="8">
        <v>65.001000000000005</v>
      </c>
      <c r="M2868" s="8">
        <v>67.998999999999995</v>
      </c>
      <c r="N2868" s="8">
        <v>72.001000000000005</v>
      </c>
      <c r="O2868" s="8">
        <v>69.001000000000005</v>
      </c>
      <c r="P2868" s="8">
        <v>68.001999999999995</v>
      </c>
      <c r="Q2868" s="8">
        <v>62</v>
      </c>
      <c r="R2868" s="8">
        <v>53.000999999999998</v>
      </c>
      <c r="S2868" s="8">
        <v>47.999000000000002</v>
      </c>
      <c r="T2868" s="8">
        <v>43.000999999999998</v>
      </c>
      <c r="U2868" s="8">
        <v>39.999000000000002</v>
      </c>
      <c r="V2868" s="8">
        <v>35</v>
      </c>
      <c r="W2868" s="8">
        <v>27.001000000000001</v>
      </c>
      <c r="X2868" s="8">
        <v>15.000999999999999</v>
      </c>
      <c r="Y2868" s="8">
        <v>7.01</v>
      </c>
      <c r="Z2868" s="8">
        <v>3.5150000000000001</v>
      </c>
      <c r="AA2868" s="8">
        <v>1.2</v>
      </c>
      <c r="AB2868" s="8">
        <v>0.246</v>
      </c>
      <c r="AC2868" s="8">
        <v>2.8000000000000001E-2</v>
      </c>
    </row>
    <row r="2869" spans="1:29" ht="11.65" hidden="1" x14ac:dyDescent="0.35">
      <c r="A2869" s="12">
        <v>2852</v>
      </c>
      <c r="B2869" s="10" t="s">
        <v>1015</v>
      </c>
      <c r="C2869" s="30" t="s">
        <v>1214</v>
      </c>
      <c r="D2869" s="9">
        <v>16</v>
      </c>
      <c r="E2869" s="9">
        <v>554</v>
      </c>
      <c r="F2869" s="10" t="s">
        <v>1066</v>
      </c>
      <c r="G2869" s="9">
        <v>927</v>
      </c>
      <c r="H2869" s="9">
        <v>1955</v>
      </c>
      <c r="I2869" s="8">
        <v>122.756</v>
      </c>
      <c r="J2869" s="8">
        <v>114.002</v>
      </c>
      <c r="K2869" s="8">
        <v>89.015000000000001</v>
      </c>
      <c r="L2869" s="8">
        <v>73.010000000000005</v>
      </c>
      <c r="M2869" s="8">
        <v>67.007000000000005</v>
      </c>
      <c r="N2869" s="8">
        <v>73.025000000000006</v>
      </c>
      <c r="O2869" s="8">
        <v>75.010999999999996</v>
      </c>
      <c r="P2869" s="8">
        <v>71.031000000000006</v>
      </c>
      <c r="Q2869" s="8">
        <v>70.013000000000005</v>
      </c>
      <c r="R2869" s="8">
        <v>62.003</v>
      </c>
      <c r="S2869" s="8">
        <v>54.023000000000003</v>
      </c>
      <c r="T2869" s="8">
        <v>46.029000000000003</v>
      </c>
      <c r="U2869" s="8">
        <v>41.015000000000001</v>
      </c>
      <c r="V2869" s="8">
        <v>36.988999999999997</v>
      </c>
      <c r="W2869" s="8">
        <v>31.082999999999998</v>
      </c>
      <c r="X2869" s="8">
        <v>19.957000000000001</v>
      </c>
      <c r="Y2869" s="8">
        <v>10.090999999999999</v>
      </c>
      <c r="Z2869" s="8">
        <v>3.4820000000000002</v>
      </c>
      <c r="AA2869" s="8">
        <v>1.204</v>
      </c>
      <c r="AB2869" s="8">
        <v>0.248</v>
      </c>
      <c r="AC2869" s="8">
        <v>2.9000000000000001E-2</v>
      </c>
    </row>
    <row r="2870" spans="1:29" ht="11.65" hidden="1" x14ac:dyDescent="0.35">
      <c r="A2870" s="12">
        <v>2853</v>
      </c>
      <c r="B2870" s="10" t="s">
        <v>1015</v>
      </c>
      <c r="C2870" s="30" t="s">
        <v>1214</v>
      </c>
      <c r="D2870" s="9">
        <v>16</v>
      </c>
      <c r="E2870" s="9">
        <v>554</v>
      </c>
      <c r="F2870" s="10" t="s">
        <v>1066</v>
      </c>
      <c r="G2870" s="9">
        <v>927</v>
      </c>
      <c r="H2870" s="9">
        <v>1960</v>
      </c>
      <c r="I2870" s="8">
        <v>141.13800000000001</v>
      </c>
      <c r="J2870" s="8">
        <v>124.753</v>
      </c>
      <c r="K2870" s="8">
        <v>116.01600000000001</v>
      </c>
      <c r="L2870" s="8">
        <v>89.019000000000005</v>
      </c>
      <c r="M2870" s="8">
        <v>75.013000000000005</v>
      </c>
      <c r="N2870" s="8">
        <v>71.019000000000005</v>
      </c>
      <c r="O2870" s="8">
        <v>76.016999999999996</v>
      </c>
      <c r="P2870" s="8">
        <v>76.010999999999996</v>
      </c>
      <c r="Q2870" s="8">
        <v>72.036000000000001</v>
      </c>
      <c r="R2870" s="8">
        <v>69.028000000000006</v>
      </c>
      <c r="S2870" s="8">
        <v>61.048999999999999</v>
      </c>
      <c r="T2870" s="8">
        <v>51.033999999999999</v>
      </c>
      <c r="U2870" s="8">
        <v>44.067999999999998</v>
      </c>
      <c r="V2870" s="8">
        <v>38.008000000000003</v>
      </c>
      <c r="W2870" s="8">
        <v>32.097000000000001</v>
      </c>
      <c r="X2870" s="8">
        <v>24.045000000000002</v>
      </c>
      <c r="Y2870" s="8">
        <v>13.443</v>
      </c>
      <c r="Z2870" s="8">
        <v>5.056</v>
      </c>
      <c r="AA2870" s="8">
        <v>1.212</v>
      </c>
      <c r="AB2870" s="8">
        <v>0.25600000000000001</v>
      </c>
      <c r="AC2870" s="8">
        <v>0.03</v>
      </c>
    </row>
    <row r="2871" spans="1:29" ht="11.65" hidden="1" x14ac:dyDescent="0.35">
      <c r="A2871" s="12">
        <v>2854</v>
      </c>
      <c r="B2871" s="10" t="s">
        <v>1015</v>
      </c>
      <c r="C2871" s="30" t="s">
        <v>1214</v>
      </c>
      <c r="D2871" s="9">
        <v>16</v>
      </c>
      <c r="E2871" s="9">
        <v>554</v>
      </c>
      <c r="F2871" s="10" t="s">
        <v>1066</v>
      </c>
      <c r="G2871" s="9">
        <v>927</v>
      </c>
      <c r="H2871" s="9">
        <v>1965</v>
      </c>
      <c r="I2871" s="8">
        <v>147.018</v>
      </c>
      <c r="J2871" s="8">
        <v>144.149</v>
      </c>
      <c r="K2871" s="8">
        <v>126.771</v>
      </c>
      <c r="L2871" s="8">
        <v>119.008</v>
      </c>
      <c r="M2871" s="8">
        <v>91.015000000000001</v>
      </c>
      <c r="N2871" s="8">
        <v>81.016000000000005</v>
      </c>
      <c r="O2871" s="8">
        <v>72.027000000000001</v>
      </c>
      <c r="P2871" s="8">
        <v>78.03</v>
      </c>
      <c r="Q2871" s="8">
        <v>77.992000000000004</v>
      </c>
      <c r="R2871" s="8">
        <v>72.033000000000001</v>
      </c>
      <c r="S2871" s="8">
        <v>68.022000000000006</v>
      </c>
      <c r="T2871" s="8">
        <v>59.029000000000003</v>
      </c>
      <c r="U2871" s="8">
        <v>49.027000000000001</v>
      </c>
      <c r="V2871" s="8">
        <v>42.043999999999997</v>
      </c>
      <c r="W2871" s="8">
        <v>34.049999999999997</v>
      </c>
      <c r="X2871" s="8">
        <v>25.067</v>
      </c>
      <c r="Y2871" s="8">
        <v>14.189</v>
      </c>
      <c r="Z2871" s="8">
        <v>6.8040000000000003</v>
      </c>
      <c r="AA2871" s="8">
        <v>1.758</v>
      </c>
      <c r="AB2871" s="8">
        <v>0.25600000000000001</v>
      </c>
      <c r="AC2871" s="8">
        <v>3.1E-2</v>
      </c>
    </row>
    <row r="2872" spans="1:29" ht="11.65" hidden="1" x14ac:dyDescent="0.35">
      <c r="A2872" s="12">
        <v>2855</v>
      </c>
      <c r="B2872" s="10" t="s">
        <v>1015</v>
      </c>
      <c r="C2872" s="30" t="s">
        <v>1214</v>
      </c>
      <c r="D2872" s="9">
        <v>16</v>
      </c>
      <c r="E2872" s="9">
        <v>554</v>
      </c>
      <c r="F2872" s="10" t="s">
        <v>1066</v>
      </c>
      <c r="G2872" s="9">
        <v>927</v>
      </c>
      <c r="H2872" s="9">
        <v>1970</v>
      </c>
      <c r="I2872" s="8">
        <v>145.762</v>
      </c>
      <c r="J2872" s="8">
        <v>147.45599999999999</v>
      </c>
      <c r="K2872" s="8">
        <v>144.67699999999999</v>
      </c>
      <c r="L2872" s="8">
        <v>127.321</v>
      </c>
      <c r="M2872" s="8">
        <v>112.491</v>
      </c>
      <c r="N2872" s="8">
        <v>90.962999999999994</v>
      </c>
      <c r="O2872" s="8">
        <v>81.331000000000003</v>
      </c>
      <c r="P2872" s="8">
        <v>72.727000000000004</v>
      </c>
      <c r="Q2872" s="8">
        <v>77.759</v>
      </c>
      <c r="R2872" s="8">
        <v>77.087999999999994</v>
      </c>
      <c r="S2872" s="8">
        <v>70.838999999999999</v>
      </c>
      <c r="T2872" s="8">
        <v>66.421999999999997</v>
      </c>
      <c r="U2872" s="8">
        <v>57.494999999999997</v>
      </c>
      <c r="V2872" s="8">
        <v>46.302999999999997</v>
      </c>
      <c r="W2872" s="8">
        <v>37.411999999999999</v>
      </c>
      <c r="X2872" s="8">
        <v>26.722999999999999</v>
      </c>
      <c r="Y2872" s="8">
        <v>17.251999999999999</v>
      </c>
      <c r="Z2872" s="8">
        <v>7.3460000000000001</v>
      </c>
      <c r="AA2872" s="8">
        <v>2.3919999999999999</v>
      </c>
      <c r="AB2872" s="8">
        <v>0.36499999999999999</v>
      </c>
      <c r="AC2872" s="8">
        <v>2.9000000000000001E-2</v>
      </c>
    </row>
    <row r="2873" spans="1:29" ht="11.65" hidden="1" x14ac:dyDescent="0.35">
      <c r="A2873" s="12">
        <v>2856</v>
      </c>
      <c r="B2873" s="10" t="s">
        <v>1015</v>
      </c>
      <c r="C2873" s="30" t="s">
        <v>1214</v>
      </c>
      <c r="D2873" s="9">
        <v>16</v>
      </c>
      <c r="E2873" s="9">
        <v>554</v>
      </c>
      <c r="F2873" s="10" t="s">
        <v>1066</v>
      </c>
      <c r="G2873" s="9">
        <v>927</v>
      </c>
      <c r="H2873" s="9">
        <v>1975</v>
      </c>
      <c r="I2873" s="8">
        <v>148.715</v>
      </c>
      <c r="J2873" s="8">
        <v>149.398</v>
      </c>
      <c r="K2873" s="8">
        <v>155.03</v>
      </c>
      <c r="L2873" s="8">
        <v>145.86199999999999</v>
      </c>
      <c r="M2873" s="8">
        <v>124.989</v>
      </c>
      <c r="N2873" s="8">
        <v>120.354</v>
      </c>
      <c r="O2873" s="8">
        <v>98.403000000000006</v>
      </c>
      <c r="P2873" s="8">
        <v>82.698999999999998</v>
      </c>
      <c r="Q2873" s="8">
        <v>76.677000000000007</v>
      </c>
      <c r="R2873" s="8">
        <v>77.593000000000004</v>
      </c>
      <c r="S2873" s="8">
        <v>77.88</v>
      </c>
      <c r="T2873" s="8">
        <v>68.194999999999993</v>
      </c>
      <c r="U2873" s="8">
        <v>64.673000000000002</v>
      </c>
      <c r="V2873" s="8">
        <v>53.524999999999999</v>
      </c>
      <c r="W2873" s="8">
        <v>42.307000000000002</v>
      </c>
      <c r="X2873" s="8">
        <v>29.018999999999998</v>
      </c>
      <c r="Y2873" s="8">
        <v>17.542999999999999</v>
      </c>
      <c r="Z2873" s="8">
        <v>9.1579999999999995</v>
      </c>
      <c r="AA2873" s="8">
        <v>2.6549999999999998</v>
      </c>
      <c r="AB2873" s="8">
        <v>0.52100000000000002</v>
      </c>
      <c r="AC2873" s="8">
        <v>4.2000000000000003E-2</v>
      </c>
    </row>
    <row r="2874" spans="1:29" ht="11.65" hidden="1" x14ac:dyDescent="0.35">
      <c r="A2874" s="12">
        <v>2857</v>
      </c>
      <c r="B2874" s="10" t="s">
        <v>1015</v>
      </c>
      <c r="C2874" s="30" t="s">
        <v>1214</v>
      </c>
      <c r="D2874" s="9">
        <v>16</v>
      </c>
      <c r="E2874" s="9">
        <v>554</v>
      </c>
      <c r="F2874" s="10" t="s">
        <v>1066</v>
      </c>
      <c r="G2874" s="9">
        <v>927</v>
      </c>
      <c r="H2874" s="9">
        <v>1980</v>
      </c>
      <c r="I2874" s="8">
        <v>126.253</v>
      </c>
      <c r="J2874" s="8">
        <v>145.583</v>
      </c>
      <c r="K2874" s="8">
        <v>148.98400000000001</v>
      </c>
      <c r="L2874" s="8">
        <v>151.815</v>
      </c>
      <c r="M2874" s="8">
        <v>131.375</v>
      </c>
      <c r="N2874" s="8">
        <v>119.751</v>
      </c>
      <c r="O2874" s="8">
        <v>118.17700000000001</v>
      </c>
      <c r="P2874" s="8">
        <v>94.602999999999994</v>
      </c>
      <c r="Q2874" s="8">
        <v>82.733000000000004</v>
      </c>
      <c r="R2874" s="8">
        <v>72.564999999999998</v>
      </c>
      <c r="S2874" s="8">
        <v>76.183000000000007</v>
      </c>
      <c r="T2874" s="8">
        <v>72.927999999999997</v>
      </c>
      <c r="U2874" s="8">
        <v>64.501999999999995</v>
      </c>
      <c r="V2874" s="8">
        <v>59.363999999999997</v>
      </c>
      <c r="W2874" s="8">
        <v>47.936</v>
      </c>
      <c r="X2874" s="8">
        <v>33.356000000000002</v>
      </c>
      <c r="Y2874" s="8">
        <v>21.995999999999999</v>
      </c>
      <c r="Z2874" s="8">
        <v>10.016</v>
      </c>
      <c r="AA2874" s="8">
        <v>3.7370000000000001</v>
      </c>
      <c r="AB2874" s="8">
        <v>0.66700000000000004</v>
      </c>
      <c r="AC2874" s="8">
        <v>7.0999999999999994E-2</v>
      </c>
    </row>
    <row r="2875" spans="1:29" ht="11.65" hidden="1" x14ac:dyDescent="0.35">
      <c r="A2875" s="12">
        <v>2858</v>
      </c>
      <c r="B2875" s="10" t="s">
        <v>1015</v>
      </c>
      <c r="C2875" s="30" t="s">
        <v>1214</v>
      </c>
      <c r="D2875" s="9">
        <v>16</v>
      </c>
      <c r="E2875" s="9">
        <v>554</v>
      </c>
      <c r="F2875" s="10" t="s">
        <v>1066</v>
      </c>
      <c r="G2875" s="9">
        <v>927</v>
      </c>
      <c r="H2875" s="9">
        <v>1985</v>
      </c>
      <c r="I2875" s="8">
        <v>122.622</v>
      </c>
      <c r="J2875" s="8">
        <v>125.703</v>
      </c>
      <c r="K2875" s="8">
        <v>146.511</v>
      </c>
      <c r="L2875" s="8">
        <v>148.66300000000001</v>
      </c>
      <c r="M2875" s="8">
        <v>141.68</v>
      </c>
      <c r="N2875" s="8">
        <v>131.584</v>
      </c>
      <c r="O2875" s="8">
        <v>128.773</v>
      </c>
      <c r="P2875" s="8">
        <v>116.59</v>
      </c>
      <c r="Q2875" s="8">
        <v>94.215999999999994</v>
      </c>
      <c r="R2875" s="8">
        <v>81.540999999999997</v>
      </c>
      <c r="S2875" s="8">
        <v>70.667000000000002</v>
      </c>
      <c r="T2875" s="8">
        <v>73.736000000000004</v>
      </c>
      <c r="U2875" s="8">
        <v>70.602999999999994</v>
      </c>
      <c r="V2875" s="8">
        <v>62.167999999999999</v>
      </c>
      <c r="W2875" s="8">
        <v>52.640999999999998</v>
      </c>
      <c r="X2875" s="8">
        <v>39.317</v>
      </c>
      <c r="Y2875" s="8">
        <v>24.245000000000001</v>
      </c>
      <c r="Z2875" s="8">
        <v>12.9</v>
      </c>
      <c r="AA2875" s="8">
        <v>4.2679999999999998</v>
      </c>
      <c r="AB2875" s="8">
        <v>1.022</v>
      </c>
      <c r="AC2875" s="8">
        <v>0.106</v>
      </c>
    </row>
    <row r="2876" spans="1:29" ht="11.65" hidden="1" x14ac:dyDescent="0.35">
      <c r="A2876" s="12">
        <v>2859</v>
      </c>
      <c r="B2876" s="10" t="s">
        <v>1015</v>
      </c>
      <c r="C2876" s="30" t="s">
        <v>1214</v>
      </c>
      <c r="D2876" s="9">
        <v>16</v>
      </c>
      <c r="E2876" s="9">
        <v>554</v>
      </c>
      <c r="F2876" s="10" t="s">
        <v>1066</v>
      </c>
      <c r="G2876" s="9">
        <v>927</v>
      </c>
      <c r="H2876" s="9">
        <v>1990</v>
      </c>
      <c r="I2876" s="8">
        <v>135.08500000000001</v>
      </c>
      <c r="J2876" s="8">
        <v>123.922</v>
      </c>
      <c r="K2876" s="8">
        <v>127.404</v>
      </c>
      <c r="L2876" s="8">
        <v>145.61000000000001</v>
      </c>
      <c r="M2876" s="8">
        <v>137.84200000000001</v>
      </c>
      <c r="N2876" s="8">
        <v>141.89500000000001</v>
      </c>
      <c r="O2876" s="8">
        <v>139.83500000000001</v>
      </c>
      <c r="P2876" s="8">
        <v>122.76300000000001</v>
      </c>
      <c r="Q2876" s="8">
        <v>119.004</v>
      </c>
      <c r="R2876" s="8">
        <v>92.617000000000004</v>
      </c>
      <c r="S2876" s="8">
        <v>77.834000000000003</v>
      </c>
      <c r="T2876" s="8">
        <v>73.372</v>
      </c>
      <c r="U2876" s="8">
        <v>69.332999999999998</v>
      </c>
      <c r="V2876" s="8">
        <v>67.495999999999995</v>
      </c>
      <c r="W2876" s="8">
        <v>55.204999999999998</v>
      </c>
      <c r="X2876" s="8">
        <v>45.265999999999998</v>
      </c>
      <c r="Y2876" s="8">
        <v>30.103999999999999</v>
      </c>
      <c r="Z2876" s="8">
        <v>14.311</v>
      </c>
      <c r="AA2876" s="8">
        <v>5.4530000000000003</v>
      </c>
      <c r="AB2876" s="8">
        <v>1.1319999999999999</v>
      </c>
      <c r="AC2876" s="8">
        <v>0.152</v>
      </c>
    </row>
    <row r="2877" spans="1:29" ht="11.65" hidden="1" x14ac:dyDescent="0.35">
      <c r="A2877" s="12">
        <v>2860</v>
      </c>
      <c r="B2877" s="10" t="s">
        <v>1015</v>
      </c>
      <c r="C2877" s="30" t="s">
        <v>1214</v>
      </c>
      <c r="D2877" s="9">
        <v>16</v>
      </c>
      <c r="E2877" s="9">
        <v>554</v>
      </c>
      <c r="F2877" s="10" t="s">
        <v>1066</v>
      </c>
      <c r="G2877" s="9">
        <v>927</v>
      </c>
      <c r="H2877" s="9">
        <v>1995</v>
      </c>
      <c r="I2877" s="8">
        <v>143.483</v>
      </c>
      <c r="J2877" s="8">
        <v>139.53</v>
      </c>
      <c r="K2877" s="8">
        <v>127.95</v>
      </c>
      <c r="L2877" s="8">
        <v>133.68299999999999</v>
      </c>
      <c r="M2877" s="8">
        <v>143.15799999999999</v>
      </c>
      <c r="N2877" s="8">
        <v>143.41300000000001</v>
      </c>
      <c r="O2877" s="8">
        <v>153.19999999999999</v>
      </c>
      <c r="P2877" s="8">
        <v>144.64099999999999</v>
      </c>
      <c r="Q2877" s="8">
        <v>129.55000000000001</v>
      </c>
      <c r="R2877" s="8">
        <v>120.268</v>
      </c>
      <c r="S2877" s="8">
        <v>93.545000000000002</v>
      </c>
      <c r="T2877" s="8">
        <v>79.992999999999995</v>
      </c>
      <c r="U2877" s="8">
        <v>69.180999999999997</v>
      </c>
      <c r="V2877" s="8">
        <v>68.718999999999994</v>
      </c>
      <c r="W2877" s="8">
        <v>63.767000000000003</v>
      </c>
      <c r="X2877" s="8">
        <v>47.476999999999997</v>
      </c>
      <c r="Y2877" s="8">
        <v>35.273000000000003</v>
      </c>
      <c r="Z2877" s="8">
        <v>18.823</v>
      </c>
      <c r="AA2877" s="8">
        <v>6.5410000000000004</v>
      </c>
      <c r="AB2877" s="8">
        <v>1.599</v>
      </c>
      <c r="AC2877" s="8">
        <v>0.192</v>
      </c>
    </row>
    <row r="2878" spans="1:29" ht="11.65" hidden="1" x14ac:dyDescent="0.35">
      <c r="A2878" s="12">
        <v>2861</v>
      </c>
      <c r="B2878" s="10" t="s">
        <v>1015</v>
      </c>
      <c r="C2878" s="30" t="s">
        <v>1214</v>
      </c>
      <c r="D2878" s="9">
        <v>16</v>
      </c>
      <c r="E2878" s="9">
        <v>554</v>
      </c>
      <c r="F2878" s="10" t="s">
        <v>1066</v>
      </c>
      <c r="G2878" s="9">
        <v>927</v>
      </c>
      <c r="H2878" s="9">
        <v>2000</v>
      </c>
      <c r="I2878" s="8">
        <v>137.88399999999999</v>
      </c>
      <c r="J2878" s="8">
        <v>146.23400000000001</v>
      </c>
      <c r="K2878" s="8">
        <v>142.423</v>
      </c>
      <c r="L2878" s="8">
        <v>135.47399999999999</v>
      </c>
      <c r="M2878" s="8">
        <v>126.875</v>
      </c>
      <c r="N2878" s="8">
        <v>138.86000000000001</v>
      </c>
      <c r="O2878" s="8">
        <v>152.64500000000001</v>
      </c>
      <c r="P2878" s="8">
        <v>158.26300000000001</v>
      </c>
      <c r="Q2878" s="8">
        <v>148.97399999999999</v>
      </c>
      <c r="R2878" s="8">
        <v>129.81899999999999</v>
      </c>
      <c r="S2878" s="8">
        <v>119.325</v>
      </c>
      <c r="T2878" s="8">
        <v>93.596999999999994</v>
      </c>
      <c r="U2878" s="8">
        <v>77.832999999999998</v>
      </c>
      <c r="V2878" s="8">
        <v>66.980999999999995</v>
      </c>
      <c r="W2878" s="8">
        <v>63.609000000000002</v>
      </c>
      <c r="X2878" s="8">
        <v>54.134</v>
      </c>
      <c r="Y2878" s="8">
        <v>38.299999999999997</v>
      </c>
      <c r="Z2878" s="8">
        <v>22.805</v>
      </c>
      <c r="AA2878" s="8">
        <v>8.8149999999999995</v>
      </c>
      <c r="AB2878" s="8">
        <v>1.905</v>
      </c>
      <c r="AC2878" s="8">
        <v>0.254</v>
      </c>
    </row>
    <row r="2879" spans="1:29" ht="11.65" hidden="1" x14ac:dyDescent="0.35">
      <c r="A2879" s="12">
        <v>2862</v>
      </c>
      <c r="B2879" s="10" t="s">
        <v>1015</v>
      </c>
      <c r="C2879" s="30" t="s">
        <v>1214</v>
      </c>
      <c r="D2879" s="9">
        <v>16</v>
      </c>
      <c r="E2879" s="9">
        <v>554</v>
      </c>
      <c r="F2879" s="10" t="s">
        <v>1066</v>
      </c>
      <c r="G2879" s="9">
        <v>927</v>
      </c>
      <c r="H2879" s="9">
        <v>2005</v>
      </c>
      <c r="I2879" s="8">
        <v>139.06899999999999</v>
      </c>
      <c r="J2879" s="8">
        <v>142.51599999999999</v>
      </c>
      <c r="K2879" s="8">
        <v>152.77000000000001</v>
      </c>
      <c r="L2879" s="8">
        <v>150.43199999999999</v>
      </c>
      <c r="M2879" s="8">
        <v>142.99600000000001</v>
      </c>
      <c r="N2879" s="8">
        <v>131.32900000000001</v>
      </c>
      <c r="O2879" s="8">
        <v>154.55500000000001</v>
      </c>
      <c r="P2879" s="8">
        <v>161.31</v>
      </c>
      <c r="Q2879" s="8">
        <v>163.905</v>
      </c>
      <c r="R2879" s="8">
        <v>154.44399999999999</v>
      </c>
      <c r="S2879" s="8">
        <v>127.175</v>
      </c>
      <c r="T2879" s="8">
        <v>120.944</v>
      </c>
      <c r="U2879" s="8">
        <v>91.7</v>
      </c>
      <c r="V2879" s="8">
        <v>75.837999999999994</v>
      </c>
      <c r="W2879" s="8">
        <v>62.868000000000002</v>
      </c>
      <c r="X2879" s="8">
        <v>55.588000000000001</v>
      </c>
      <c r="Y2879" s="8">
        <v>43.213000000000001</v>
      </c>
      <c r="Z2879" s="8">
        <v>25.327000000000002</v>
      </c>
      <c r="AA2879" s="8">
        <v>10.835000000000001</v>
      </c>
      <c r="AB2879" s="8">
        <v>2.5059999999999998</v>
      </c>
      <c r="AC2879" s="8">
        <v>0.28499999999999998</v>
      </c>
    </row>
    <row r="2880" spans="1:29" ht="11.65" hidden="1" x14ac:dyDescent="0.35">
      <c r="A2880" s="12">
        <v>2863</v>
      </c>
      <c r="B2880" s="10" t="s">
        <v>1015</v>
      </c>
      <c r="C2880" s="30" t="s">
        <v>1214</v>
      </c>
      <c r="D2880" s="9">
        <v>16</v>
      </c>
      <c r="E2880" s="9">
        <v>554</v>
      </c>
      <c r="F2880" s="10" t="s">
        <v>1066</v>
      </c>
      <c r="G2880" s="9">
        <v>927</v>
      </c>
      <c r="H2880" s="9">
        <v>2010</v>
      </c>
      <c r="I2880" s="8">
        <v>151.898</v>
      </c>
      <c r="J2880" s="8">
        <v>139.95699999999999</v>
      </c>
      <c r="K2880" s="8">
        <v>144.61699999999999</v>
      </c>
      <c r="L2880" s="8">
        <v>156.26900000000001</v>
      </c>
      <c r="M2880" s="8">
        <v>154.28800000000001</v>
      </c>
      <c r="N2880" s="8">
        <v>144.608</v>
      </c>
      <c r="O2880" s="8">
        <v>140.50299999999999</v>
      </c>
      <c r="P2880" s="8">
        <v>158.65899999999999</v>
      </c>
      <c r="Q2880" s="8">
        <v>162.304</v>
      </c>
      <c r="R2880" s="8">
        <v>166.756</v>
      </c>
      <c r="S2880" s="8">
        <v>147.78399999999999</v>
      </c>
      <c r="T2880" s="8">
        <v>128.33799999999999</v>
      </c>
      <c r="U2880" s="8">
        <v>117.997</v>
      </c>
      <c r="V2880" s="8">
        <v>88.929000000000002</v>
      </c>
      <c r="W2880" s="8">
        <v>73.638000000000005</v>
      </c>
      <c r="X2880" s="8">
        <v>54.860999999999997</v>
      </c>
      <c r="Y2880" s="8">
        <v>47.411000000000001</v>
      </c>
      <c r="Z2880" s="8">
        <v>29.571000000000002</v>
      </c>
      <c r="AA2880" s="8">
        <v>12.416</v>
      </c>
      <c r="AB2880" s="8">
        <v>3.1379999999999999</v>
      </c>
      <c r="AC2880" s="8">
        <v>0.35499999999999998</v>
      </c>
    </row>
    <row r="2881" spans="1:29" ht="11.65" hidden="1" x14ac:dyDescent="0.35">
      <c r="A2881" s="12">
        <v>2864</v>
      </c>
      <c r="B2881" s="10" t="s">
        <v>1015</v>
      </c>
      <c r="C2881" s="30" t="s">
        <v>1214</v>
      </c>
      <c r="D2881" s="9">
        <v>16</v>
      </c>
      <c r="E2881" s="9">
        <v>554</v>
      </c>
      <c r="F2881" s="10" t="s">
        <v>1066</v>
      </c>
      <c r="G2881" s="9">
        <v>927</v>
      </c>
      <c r="H2881" s="9">
        <v>2015</v>
      </c>
      <c r="I2881" s="8">
        <v>150.256</v>
      </c>
      <c r="J2881" s="8">
        <v>152.99799999999999</v>
      </c>
      <c r="K2881" s="8">
        <v>144.99199999999999</v>
      </c>
      <c r="L2881" s="8">
        <v>154.065</v>
      </c>
      <c r="M2881" s="8">
        <v>163.18199999999999</v>
      </c>
      <c r="N2881" s="8">
        <v>157.624</v>
      </c>
      <c r="O2881" s="8">
        <v>149.107</v>
      </c>
      <c r="P2881" s="8">
        <v>142.50299999999999</v>
      </c>
      <c r="Q2881" s="8">
        <v>163.994</v>
      </c>
      <c r="R2881" s="8">
        <v>163.624</v>
      </c>
      <c r="S2881" s="8">
        <v>165.02</v>
      </c>
      <c r="T2881" s="8">
        <v>148.27099999999999</v>
      </c>
      <c r="U2881" s="8">
        <v>127.768</v>
      </c>
      <c r="V2881" s="8">
        <v>116.121</v>
      </c>
      <c r="W2881" s="8">
        <v>85.367999999999995</v>
      </c>
      <c r="X2881" s="8">
        <v>63.252000000000002</v>
      </c>
      <c r="Y2881" s="8">
        <v>45.143000000000001</v>
      </c>
      <c r="Z2881" s="8">
        <v>33.28</v>
      </c>
      <c r="AA2881" s="8">
        <v>14.852</v>
      </c>
      <c r="AB2881" s="8">
        <v>3.69</v>
      </c>
      <c r="AC2881" s="8">
        <v>0.45600000000000002</v>
      </c>
    </row>
    <row r="2882" spans="1:29" ht="11.65" hidden="1" x14ac:dyDescent="0.35">
      <c r="A2882" s="12">
        <v>2865</v>
      </c>
      <c r="B2882" s="10" t="s">
        <v>1015</v>
      </c>
      <c r="C2882" s="30" t="s">
        <v>1214</v>
      </c>
      <c r="D2882" s="9">
        <v>16</v>
      </c>
      <c r="E2882" s="9">
        <v>554</v>
      </c>
      <c r="F2882" s="10" t="s">
        <v>1066</v>
      </c>
      <c r="G2882" s="9">
        <v>927</v>
      </c>
      <c r="H2882" s="9">
        <v>2020</v>
      </c>
      <c r="I2882" s="8">
        <v>146.56399999999999</v>
      </c>
      <c r="J2882" s="8">
        <v>152.97800000000001</v>
      </c>
      <c r="K2882" s="8">
        <v>156.37</v>
      </c>
      <c r="L2882" s="8">
        <v>148.767</v>
      </c>
      <c r="M2882" s="8">
        <v>158.12</v>
      </c>
      <c r="N2882" s="8">
        <v>168.38300000000001</v>
      </c>
      <c r="O2882" s="8">
        <v>162.97900000000001</v>
      </c>
      <c r="P2882" s="8">
        <v>153.26499999999999</v>
      </c>
      <c r="Q2882" s="8">
        <v>145.22</v>
      </c>
      <c r="R2882" s="8">
        <v>164.756</v>
      </c>
      <c r="S2882" s="8">
        <v>163.18700000000001</v>
      </c>
      <c r="T2882" s="8">
        <v>163.78299999999999</v>
      </c>
      <c r="U2882" s="8">
        <v>146.02500000000001</v>
      </c>
      <c r="V2882" s="8">
        <v>124.444</v>
      </c>
      <c r="W2882" s="8">
        <v>110.49</v>
      </c>
      <c r="X2882" s="8">
        <v>78.304000000000002</v>
      </c>
      <c r="Y2882" s="8">
        <v>53.904000000000003</v>
      </c>
      <c r="Z2882" s="8">
        <v>32.293999999999997</v>
      </c>
      <c r="AA2882" s="8">
        <v>17.167000000000002</v>
      </c>
      <c r="AB2882" s="8">
        <v>4.5439999999999996</v>
      </c>
      <c r="AC2882" s="8">
        <v>0.52600000000000002</v>
      </c>
    </row>
    <row r="2883" spans="1:29" ht="23.25" hidden="1" x14ac:dyDescent="0.35">
      <c r="A2883" s="28">
        <v>2866</v>
      </c>
      <c r="B2883" s="26" t="s">
        <v>1015</v>
      </c>
      <c r="C2883" s="27" t="s">
        <v>1215</v>
      </c>
      <c r="D2883" s="25"/>
      <c r="E2883" s="25">
        <v>1835</v>
      </c>
      <c r="F2883" s="26" t="s">
        <v>1063</v>
      </c>
      <c r="G2883" s="25">
        <v>1828</v>
      </c>
      <c r="H2883" s="25">
        <v>1950</v>
      </c>
      <c r="I2883" s="24">
        <v>223.518</v>
      </c>
      <c r="J2883" s="24">
        <v>182.48099999999999</v>
      </c>
      <c r="K2883" s="24">
        <v>159.67599999999999</v>
      </c>
      <c r="L2883" s="24">
        <v>140.50399999999999</v>
      </c>
      <c r="M2883" s="24">
        <v>122.17400000000001</v>
      </c>
      <c r="N2883" s="24">
        <v>106.944</v>
      </c>
      <c r="O2883" s="24">
        <v>90.450999999999993</v>
      </c>
      <c r="P2883" s="24">
        <v>76.093000000000004</v>
      </c>
      <c r="Q2883" s="24">
        <v>63.228999999999999</v>
      </c>
      <c r="R2883" s="24">
        <v>52.524000000000001</v>
      </c>
      <c r="S2883" s="24">
        <v>42.710999999999999</v>
      </c>
      <c r="T2883" s="24">
        <v>28.716000000000001</v>
      </c>
      <c r="U2883" s="24">
        <v>24.559000000000001</v>
      </c>
      <c r="V2883" s="24">
        <v>21.440999999999999</v>
      </c>
      <c r="W2883" s="24">
        <v>14.829000000000001</v>
      </c>
      <c r="X2883" s="24">
        <v>8.3219999999999992</v>
      </c>
      <c r="Y2883" s="24">
        <v>3.2040000000000002</v>
      </c>
      <c r="Z2883" s="24">
        <v>1.0309999999999999</v>
      </c>
      <c r="AA2883" s="24">
        <v>0.23699999999999999</v>
      </c>
      <c r="AB2883" s="24">
        <v>3.2000000000000001E-2</v>
      </c>
      <c r="AC2883" s="24">
        <v>2E-3</v>
      </c>
    </row>
    <row r="2884" spans="1:29" ht="23.25" hidden="1" x14ac:dyDescent="0.35">
      <c r="A2884" s="28">
        <v>2867</v>
      </c>
      <c r="B2884" s="26" t="s">
        <v>1015</v>
      </c>
      <c r="C2884" s="27" t="s">
        <v>1215</v>
      </c>
      <c r="D2884" s="25"/>
      <c r="E2884" s="25">
        <v>1835</v>
      </c>
      <c r="F2884" s="26" t="s">
        <v>1063</v>
      </c>
      <c r="G2884" s="25">
        <v>1828</v>
      </c>
      <c r="H2884" s="25">
        <v>1955</v>
      </c>
      <c r="I2884" s="24">
        <v>260.798</v>
      </c>
      <c r="J2884" s="24">
        <v>201.41399999999999</v>
      </c>
      <c r="K2884" s="24">
        <v>172.08799999999999</v>
      </c>
      <c r="L2884" s="24">
        <v>149.59399999999999</v>
      </c>
      <c r="M2884" s="24">
        <v>129.99600000000001</v>
      </c>
      <c r="N2884" s="24">
        <v>112.163</v>
      </c>
      <c r="O2884" s="24">
        <v>97.417000000000002</v>
      </c>
      <c r="P2884" s="24">
        <v>81.652000000000001</v>
      </c>
      <c r="Q2884" s="24">
        <v>67.994</v>
      </c>
      <c r="R2884" s="24">
        <v>56.226999999999997</v>
      </c>
      <c r="S2884" s="24">
        <v>45.145000000000003</v>
      </c>
      <c r="T2884" s="24">
        <v>35.167000000000002</v>
      </c>
      <c r="U2884" s="24">
        <v>22.948</v>
      </c>
      <c r="V2884" s="24">
        <v>18.350000000000001</v>
      </c>
      <c r="W2884" s="24">
        <v>14.692</v>
      </c>
      <c r="X2884" s="24">
        <v>9.17</v>
      </c>
      <c r="Y2884" s="24">
        <v>4.694</v>
      </c>
      <c r="Z2884" s="24">
        <v>0.58899999999999997</v>
      </c>
      <c r="AA2884" s="24">
        <v>0.1</v>
      </c>
      <c r="AB2884" s="24">
        <v>1.7000000000000001E-2</v>
      </c>
      <c r="AC2884" s="24">
        <v>3.0000000000000001E-3</v>
      </c>
    </row>
    <row r="2885" spans="1:29" ht="23.25" hidden="1" x14ac:dyDescent="0.35">
      <c r="A2885" s="28">
        <v>2868</v>
      </c>
      <c r="B2885" s="26" t="s">
        <v>1015</v>
      </c>
      <c r="C2885" s="27" t="s">
        <v>1215</v>
      </c>
      <c r="D2885" s="25"/>
      <c r="E2885" s="25">
        <v>1835</v>
      </c>
      <c r="F2885" s="26" t="s">
        <v>1063</v>
      </c>
      <c r="G2885" s="25">
        <v>1828</v>
      </c>
      <c r="H2885" s="25">
        <v>1960</v>
      </c>
      <c r="I2885" s="24">
        <v>289.017</v>
      </c>
      <c r="J2885" s="24">
        <v>241.47</v>
      </c>
      <c r="K2885" s="24">
        <v>193.73599999999999</v>
      </c>
      <c r="L2885" s="24">
        <v>163.178</v>
      </c>
      <c r="M2885" s="24">
        <v>140.655</v>
      </c>
      <c r="N2885" s="24">
        <v>121.4</v>
      </c>
      <c r="O2885" s="24">
        <v>103.64400000000001</v>
      </c>
      <c r="P2885" s="24">
        <v>89.775000000000006</v>
      </c>
      <c r="Q2885" s="24">
        <v>74.468000000000004</v>
      </c>
      <c r="R2885" s="24">
        <v>61.948</v>
      </c>
      <c r="S2885" s="24">
        <v>49.33</v>
      </c>
      <c r="T2885" s="24">
        <v>38.741</v>
      </c>
      <c r="U2885" s="24">
        <v>29.388000000000002</v>
      </c>
      <c r="V2885" s="24">
        <v>17.597999999999999</v>
      </c>
      <c r="W2885" s="24">
        <v>13.178000000000001</v>
      </c>
      <c r="X2885" s="24">
        <v>9.1980000000000004</v>
      </c>
      <c r="Y2885" s="24">
        <v>4.7629999999999999</v>
      </c>
      <c r="Z2885" s="24">
        <v>0.65800000000000003</v>
      </c>
      <c r="AA2885" s="24">
        <v>6.4000000000000001E-2</v>
      </c>
      <c r="AB2885" s="24">
        <v>5.0000000000000001E-3</v>
      </c>
      <c r="AC2885" s="24">
        <v>2E-3</v>
      </c>
    </row>
    <row r="2886" spans="1:29" ht="23.25" hidden="1" x14ac:dyDescent="0.35">
      <c r="A2886" s="28">
        <v>2869</v>
      </c>
      <c r="B2886" s="26" t="s">
        <v>1015</v>
      </c>
      <c r="C2886" s="27" t="s">
        <v>1215</v>
      </c>
      <c r="D2886" s="25"/>
      <c r="E2886" s="25">
        <v>1835</v>
      </c>
      <c r="F2886" s="26" t="s">
        <v>1063</v>
      </c>
      <c r="G2886" s="25">
        <v>1828</v>
      </c>
      <c r="H2886" s="25">
        <v>1965</v>
      </c>
      <c r="I2886" s="24">
        <v>321.35700000000003</v>
      </c>
      <c r="J2886" s="24">
        <v>273.94299999999998</v>
      </c>
      <c r="K2886" s="24">
        <v>235.01300000000001</v>
      </c>
      <c r="L2886" s="24">
        <v>186.33799999999999</v>
      </c>
      <c r="M2886" s="24">
        <v>156.53700000000001</v>
      </c>
      <c r="N2886" s="24">
        <v>133.71</v>
      </c>
      <c r="O2886" s="24">
        <v>115.593</v>
      </c>
      <c r="P2886" s="24">
        <v>98.275000000000006</v>
      </c>
      <c r="Q2886" s="24">
        <v>83.837999999999994</v>
      </c>
      <c r="R2886" s="24">
        <v>69.040999999999997</v>
      </c>
      <c r="S2886" s="24">
        <v>56.186</v>
      </c>
      <c r="T2886" s="24">
        <v>43.609000000000002</v>
      </c>
      <c r="U2886" s="24">
        <v>32.890999999999998</v>
      </c>
      <c r="V2886" s="24">
        <v>23.51</v>
      </c>
      <c r="W2886" s="24">
        <v>13.19</v>
      </c>
      <c r="X2886" s="24">
        <v>8.4890000000000008</v>
      </c>
      <c r="Y2886" s="24">
        <v>4.867</v>
      </c>
      <c r="Z2886" s="24">
        <v>0.77600000000000002</v>
      </c>
      <c r="AA2886" s="24">
        <v>7.2999999999999995E-2</v>
      </c>
      <c r="AB2886" s="24">
        <v>0</v>
      </c>
      <c r="AC2886" s="24">
        <v>1E-3</v>
      </c>
    </row>
    <row r="2887" spans="1:29" ht="23.25" hidden="1" x14ac:dyDescent="0.35">
      <c r="A2887" s="28">
        <v>2870</v>
      </c>
      <c r="B2887" s="26" t="s">
        <v>1015</v>
      </c>
      <c r="C2887" s="27" t="s">
        <v>1215</v>
      </c>
      <c r="D2887" s="25"/>
      <c r="E2887" s="25">
        <v>1835</v>
      </c>
      <c r="F2887" s="26" t="s">
        <v>1063</v>
      </c>
      <c r="G2887" s="25">
        <v>1828</v>
      </c>
      <c r="H2887" s="25">
        <v>1970</v>
      </c>
      <c r="I2887" s="24">
        <v>351.10899999999998</v>
      </c>
      <c r="J2887" s="24">
        <v>305.73500000000001</v>
      </c>
      <c r="K2887" s="24">
        <v>267.49900000000002</v>
      </c>
      <c r="L2887" s="24">
        <v>227.23699999999999</v>
      </c>
      <c r="M2887" s="24">
        <v>178.96799999999999</v>
      </c>
      <c r="N2887" s="24">
        <v>149.68</v>
      </c>
      <c r="O2887" s="24">
        <v>128.02199999999999</v>
      </c>
      <c r="P2887" s="24">
        <v>110.203</v>
      </c>
      <c r="Q2887" s="24">
        <v>92.212000000000003</v>
      </c>
      <c r="R2887" s="24">
        <v>78.057000000000002</v>
      </c>
      <c r="S2887" s="24">
        <v>63.521000000000001</v>
      </c>
      <c r="T2887" s="24">
        <v>49.798000000000002</v>
      </c>
      <c r="U2887" s="24">
        <v>37.381</v>
      </c>
      <c r="V2887" s="24">
        <v>26.640999999999998</v>
      </c>
      <c r="W2887" s="24">
        <v>17.545999999999999</v>
      </c>
      <c r="X2887" s="24">
        <v>8.6950000000000003</v>
      </c>
      <c r="Y2887" s="24">
        <v>4.6550000000000002</v>
      </c>
      <c r="Z2887" s="24">
        <v>0.76400000000000001</v>
      </c>
      <c r="AA2887" s="24">
        <v>9.8000000000000004E-2</v>
      </c>
      <c r="AB2887" s="24">
        <v>2E-3</v>
      </c>
      <c r="AC2887" s="24">
        <v>0</v>
      </c>
    </row>
    <row r="2888" spans="1:29" ht="23.25" hidden="1" x14ac:dyDescent="0.35">
      <c r="A2888" s="28">
        <v>2871</v>
      </c>
      <c r="B2888" s="26" t="s">
        <v>1015</v>
      </c>
      <c r="C2888" s="27" t="s">
        <v>1215</v>
      </c>
      <c r="D2888" s="25"/>
      <c r="E2888" s="25">
        <v>1835</v>
      </c>
      <c r="F2888" s="26" t="s">
        <v>1063</v>
      </c>
      <c r="G2888" s="25">
        <v>1828</v>
      </c>
      <c r="H2888" s="25">
        <v>1975</v>
      </c>
      <c r="I2888" s="24">
        <v>390.303</v>
      </c>
      <c r="J2888" s="24">
        <v>335.57499999999999</v>
      </c>
      <c r="K2888" s="24">
        <v>299.44499999999999</v>
      </c>
      <c r="L2888" s="24">
        <v>259.24099999999999</v>
      </c>
      <c r="M2888" s="24">
        <v>217.81399999999999</v>
      </c>
      <c r="N2888" s="24">
        <v>171.39699999999999</v>
      </c>
      <c r="O2888" s="24">
        <v>143.14400000000001</v>
      </c>
      <c r="P2888" s="24">
        <v>121.489</v>
      </c>
      <c r="Q2888" s="24">
        <v>103.938</v>
      </c>
      <c r="R2888" s="24">
        <v>86.16</v>
      </c>
      <c r="S2888" s="24">
        <v>72.123000000000005</v>
      </c>
      <c r="T2888" s="24">
        <v>56.905000000000001</v>
      </c>
      <c r="U2888" s="24">
        <v>43.171999999999997</v>
      </c>
      <c r="V2888" s="24">
        <v>30.664999999999999</v>
      </c>
      <c r="W2888" s="24">
        <v>20.288</v>
      </c>
      <c r="X2888" s="24">
        <v>11.973000000000001</v>
      </c>
      <c r="Y2888" s="24">
        <v>5.0209999999999999</v>
      </c>
      <c r="Z2888" s="24">
        <v>0.91200000000000003</v>
      </c>
      <c r="AA2888" s="24">
        <v>0.106</v>
      </c>
      <c r="AB2888" s="24">
        <v>6.0000000000000001E-3</v>
      </c>
      <c r="AC2888" s="24">
        <v>0</v>
      </c>
    </row>
    <row r="2889" spans="1:29" ht="23.25" hidden="1" x14ac:dyDescent="0.35">
      <c r="A2889" s="28">
        <v>2872</v>
      </c>
      <c r="B2889" s="26" t="s">
        <v>1015</v>
      </c>
      <c r="C2889" s="27" t="s">
        <v>1215</v>
      </c>
      <c r="D2889" s="25"/>
      <c r="E2889" s="25">
        <v>1835</v>
      </c>
      <c r="F2889" s="26" t="s">
        <v>1063</v>
      </c>
      <c r="G2889" s="25">
        <v>1828</v>
      </c>
      <c r="H2889" s="25">
        <v>1980</v>
      </c>
      <c r="I2889" s="24">
        <v>434.87099999999998</v>
      </c>
      <c r="J2889" s="24">
        <v>375.53500000000003</v>
      </c>
      <c r="K2889" s="24">
        <v>330.44099999999997</v>
      </c>
      <c r="L2889" s="24">
        <v>290.55200000000002</v>
      </c>
      <c r="M2889" s="24">
        <v>247.17699999999999</v>
      </c>
      <c r="N2889" s="24">
        <v>208.51300000000001</v>
      </c>
      <c r="O2889" s="24">
        <v>165.286</v>
      </c>
      <c r="P2889" s="24">
        <v>136.87</v>
      </c>
      <c r="Q2889" s="24">
        <v>114.989</v>
      </c>
      <c r="R2889" s="24">
        <v>97.573999999999998</v>
      </c>
      <c r="S2889" s="24">
        <v>80.058999999999997</v>
      </c>
      <c r="T2889" s="24">
        <v>65.236999999999995</v>
      </c>
      <c r="U2889" s="24">
        <v>49.322000000000003</v>
      </c>
      <c r="V2889" s="24">
        <v>35.384</v>
      </c>
      <c r="W2889" s="24">
        <v>23.315999999999999</v>
      </c>
      <c r="X2889" s="24">
        <v>14.095000000000001</v>
      </c>
      <c r="Y2889" s="24">
        <v>7.0380000000000003</v>
      </c>
      <c r="Z2889" s="24">
        <v>1.1739999999999999</v>
      </c>
      <c r="AA2889" s="24">
        <v>0.157</v>
      </c>
      <c r="AB2889" s="24">
        <v>6.0000000000000001E-3</v>
      </c>
      <c r="AC2889" s="24">
        <v>0</v>
      </c>
    </row>
    <row r="2890" spans="1:29" ht="23.25" hidden="1" x14ac:dyDescent="0.35">
      <c r="A2890" s="28">
        <v>2873</v>
      </c>
      <c r="B2890" s="26" t="s">
        <v>1015</v>
      </c>
      <c r="C2890" s="27" t="s">
        <v>1215</v>
      </c>
      <c r="D2890" s="25"/>
      <c r="E2890" s="25">
        <v>1835</v>
      </c>
      <c r="F2890" s="26" t="s">
        <v>1063</v>
      </c>
      <c r="G2890" s="25">
        <v>1828</v>
      </c>
      <c r="H2890" s="25">
        <v>1985</v>
      </c>
      <c r="I2890" s="24">
        <v>479.18599999999998</v>
      </c>
      <c r="J2890" s="24">
        <v>423.06200000000001</v>
      </c>
      <c r="K2890" s="24">
        <v>371.904</v>
      </c>
      <c r="L2890" s="24">
        <v>323.95699999999999</v>
      </c>
      <c r="M2890" s="24">
        <v>282.20100000000002</v>
      </c>
      <c r="N2890" s="24">
        <v>241.84299999999999</v>
      </c>
      <c r="O2890" s="24">
        <v>203.80699999999999</v>
      </c>
      <c r="P2890" s="24">
        <v>158.881</v>
      </c>
      <c r="Q2890" s="24">
        <v>131.72300000000001</v>
      </c>
      <c r="R2890" s="24">
        <v>108.96599999999999</v>
      </c>
      <c r="S2890" s="24">
        <v>91.463999999999999</v>
      </c>
      <c r="T2890" s="24">
        <v>72.766999999999996</v>
      </c>
      <c r="U2890" s="24">
        <v>57.226999999999997</v>
      </c>
      <c r="V2890" s="24">
        <v>41.268000000000001</v>
      </c>
      <c r="W2890" s="24">
        <v>28.335000000000001</v>
      </c>
      <c r="X2890" s="24">
        <v>16.768000000000001</v>
      </c>
      <c r="Y2890" s="24">
        <v>8.6999999999999993</v>
      </c>
      <c r="Z2890" s="24">
        <v>1.6719999999999999</v>
      </c>
      <c r="AA2890" s="24">
        <v>0.20699999999999999</v>
      </c>
      <c r="AB2890" s="24">
        <v>1.4999999999999999E-2</v>
      </c>
      <c r="AC2890" s="24">
        <v>0</v>
      </c>
    </row>
    <row r="2891" spans="1:29" ht="23.25" hidden="1" x14ac:dyDescent="0.35">
      <c r="A2891" s="28">
        <v>2874</v>
      </c>
      <c r="B2891" s="26" t="s">
        <v>1015</v>
      </c>
      <c r="C2891" s="27" t="s">
        <v>1215</v>
      </c>
      <c r="D2891" s="25"/>
      <c r="E2891" s="25">
        <v>1835</v>
      </c>
      <c r="F2891" s="26" t="s">
        <v>1063</v>
      </c>
      <c r="G2891" s="25">
        <v>1828</v>
      </c>
      <c r="H2891" s="25">
        <v>1990</v>
      </c>
      <c r="I2891" s="24">
        <v>505.82799999999997</v>
      </c>
      <c r="J2891" s="24">
        <v>461.99900000000002</v>
      </c>
      <c r="K2891" s="24">
        <v>412.96600000000001</v>
      </c>
      <c r="L2891" s="24">
        <v>362.995</v>
      </c>
      <c r="M2891" s="24">
        <v>313.315</v>
      </c>
      <c r="N2891" s="24">
        <v>272.64600000000002</v>
      </c>
      <c r="O2891" s="24">
        <v>232.77699999999999</v>
      </c>
      <c r="P2891" s="24">
        <v>195.26</v>
      </c>
      <c r="Q2891" s="24">
        <v>152.00800000000001</v>
      </c>
      <c r="R2891" s="24">
        <v>124.65</v>
      </c>
      <c r="S2891" s="24">
        <v>102.066</v>
      </c>
      <c r="T2891" s="24">
        <v>83.364999999999995</v>
      </c>
      <c r="U2891" s="24">
        <v>64.724999999999994</v>
      </c>
      <c r="V2891" s="24">
        <v>48.378</v>
      </c>
      <c r="W2891" s="24">
        <v>32.786999999999999</v>
      </c>
      <c r="X2891" s="24">
        <v>20.492000000000001</v>
      </c>
      <c r="Y2891" s="24">
        <v>10.535</v>
      </c>
      <c r="Z2891" s="24">
        <v>2.1619999999999999</v>
      </c>
      <c r="AA2891" s="24">
        <v>0.313</v>
      </c>
      <c r="AB2891" s="24">
        <v>0.02</v>
      </c>
      <c r="AC2891" s="24">
        <v>0</v>
      </c>
    </row>
    <row r="2892" spans="1:29" ht="23.25" hidden="1" x14ac:dyDescent="0.35">
      <c r="A2892" s="28">
        <v>2875</v>
      </c>
      <c r="B2892" s="26" t="s">
        <v>1015</v>
      </c>
      <c r="C2892" s="27" t="s">
        <v>1215</v>
      </c>
      <c r="D2892" s="25"/>
      <c r="E2892" s="25">
        <v>1835</v>
      </c>
      <c r="F2892" s="26" t="s">
        <v>1063</v>
      </c>
      <c r="G2892" s="25">
        <v>1828</v>
      </c>
      <c r="H2892" s="25">
        <v>1995</v>
      </c>
      <c r="I2892" s="24">
        <v>545.48900000000003</v>
      </c>
      <c r="J2892" s="24">
        <v>488.51</v>
      </c>
      <c r="K2892" s="24">
        <v>454.69099999999997</v>
      </c>
      <c r="L2892" s="24">
        <v>403.53100000000001</v>
      </c>
      <c r="M2892" s="24">
        <v>349.76900000000001</v>
      </c>
      <c r="N2892" s="24">
        <v>303.73899999999998</v>
      </c>
      <c r="O2892" s="24">
        <v>264.56099999999998</v>
      </c>
      <c r="P2892" s="24">
        <v>224.65100000000001</v>
      </c>
      <c r="Q2892" s="24">
        <v>187.90799999999999</v>
      </c>
      <c r="R2892" s="24">
        <v>145.71199999999999</v>
      </c>
      <c r="S2892" s="24">
        <v>117.087</v>
      </c>
      <c r="T2892" s="24">
        <v>93.903999999999996</v>
      </c>
      <c r="U2892" s="24">
        <v>74.59</v>
      </c>
      <c r="V2892" s="24">
        <v>55.000999999999998</v>
      </c>
      <c r="W2892" s="24">
        <v>38.362000000000002</v>
      </c>
      <c r="X2892" s="24">
        <v>23.963999999999999</v>
      </c>
      <c r="Y2892" s="24">
        <v>12.743</v>
      </c>
      <c r="Z2892" s="24">
        <v>2.9529999999999998</v>
      </c>
      <c r="AA2892" s="24">
        <v>0.44600000000000001</v>
      </c>
      <c r="AB2892" s="24">
        <v>3.6999999999999998E-2</v>
      </c>
      <c r="AC2892" s="24">
        <v>1E-3</v>
      </c>
    </row>
    <row r="2893" spans="1:29" ht="23.25" hidden="1" x14ac:dyDescent="0.35">
      <c r="A2893" s="28">
        <v>2876</v>
      </c>
      <c r="B2893" s="26" t="s">
        <v>1015</v>
      </c>
      <c r="C2893" s="27" t="s">
        <v>1215</v>
      </c>
      <c r="D2893" s="25"/>
      <c r="E2893" s="25">
        <v>1835</v>
      </c>
      <c r="F2893" s="26" t="s">
        <v>1063</v>
      </c>
      <c r="G2893" s="25">
        <v>1828</v>
      </c>
      <c r="H2893" s="25">
        <v>2000</v>
      </c>
      <c r="I2893" s="24">
        <v>598.58799999999997</v>
      </c>
      <c r="J2893" s="24">
        <v>529.16399999999999</v>
      </c>
      <c r="K2893" s="24">
        <v>479.346</v>
      </c>
      <c r="L2893" s="24">
        <v>443.11099999999999</v>
      </c>
      <c r="M2893" s="24">
        <v>390.41199999999998</v>
      </c>
      <c r="N2893" s="24">
        <v>341.37099999999998</v>
      </c>
      <c r="O2893" s="24">
        <v>295.202</v>
      </c>
      <c r="P2893" s="24">
        <v>255.67</v>
      </c>
      <c r="Q2893" s="24">
        <v>215.55</v>
      </c>
      <c r="R2893" s="24">
        <v>178.506</v>
      </c>
      <c r="S2893" s="24">
        <v>137.38399999999999</v>
      </c>
      <c r="T2893" s="24">
        <v>107.663</v>
      </c>
      <c r="U2893" s="24">
        <v>84.724999999999994</v>
      </c>
      <c r="V2893" s="24">
        <v>63.750999999999998</v>
      </c>
      <c r="W2893" s="24">
        <v>44.075000000000003</v>
      </c>
      <c r="X2893" s="24">
        <v>28.315999999999999</v>
      </c>
      <c r="Y2893" s="24">
        <v>15.667999999999999</v>
      </c>
      <c r="Z2893" s="24">
        <v>3.9449999999999998</v>
      </c>
      <c r="AA2893" s="24">
        <v>0.61</v>
      </c>
      <c r="AB2893" s="24">
        <v>6.6000000000000003E-2</v>
      </c>
      <c r="AC2893" s="24">
        <v>3.0000000000000001E-3</v>
      </c>
    </row>
    <row r="2894" spans="1:29" ht="23.25" hidden="1" x14ac:dyDescent="0.35">
      <c r="A2894" s="28">
        <v>2877</v>
      </c>
      <c r="B2894" s="26" t="s">
        <v>1015</v>
      </c>
      <c r="C2894" s="27" t="s">
        <v>1215</v>
      </c>
      <c r="D2894" s="25"/>
      <c r="E2894" s="25">
        <v>1835</v>
      </c>
      <c r="F2894" s="26" t="s">
        <v>1063</v>
      </c>
      <c r="G2894" s="25">
        <v>1828</v>
      </c>
      <c r="H2894" s="25">
        <v>2005</v>
      </c>
      <c r="I2894" s="24">
        <v>624.64200000000005</v>
      </c>
      <c r="J2894" s="24">
        <v>572.49599999999998</v>
      </c>
      <c r="K2894" s="24">
        <v>509.23</v>
      </c>
      <c r="L2894" s="24">
        <v>460.59399999999999</v>
      </c>
      <c r="M2894" s="24">
        <v>423.16</v>
      </c>
      <c r="N2894" s="24">
        <v>374.75799999999998</v>
      </c>
      <c r="O2894" s="24">
        <v>327.524</v>
      </c>
      <c r="P2894" s="24">
        <v>284.98</v>
      </c>
      <c r="Q2894" s="24">
        <v>247.72300000000001</v>
      </c>
      <c r="R2894" s="24">
        <v>207.48699999999999</v>
      </c>
      <c r="S2894" s="24">
        <v>168.55799999999999</v>
      </c>
      <c r="T2894" s="24">
        <v>127.29300000000001</v>
      </c>
      <c r="U2894" s="24">
        <v>96.474999999999994</v>
      </c>
      <c r="V2894" s="24">
        <v>72.960999999999999</v>
      </c>
      <c r="W2894" s="24">
        <v>51.639000000000003</v>
      </c>
      <c r="X2894" s="24">
        <v>32.722000000000001</v>
      </c>
      <c r="Y2894" s="24">
        <v>18.007999999999999</v>
      </c>
      <c r="Z2894" s="24">
        <v>4.992</v>
      </c>
      <c r="AA2894" s="24">
        <v>0.85199999999999998</v>
      </c>
      <c r="AB2894" s="24">
        <v>8.7999999999999995E-2</v>
      </c>
      <c r="AC2894" s="24">
        <v>8.0000000000000002E-3</v>
      </c>
    </row>
    <row r="2895" spans="1:29" ht="23.25" hidden="1" x14ac:dyDescent="0.35">
      <c r="A2895" s="28">
        <v>2878</v>
      </c>
      <c r="B2895" s="26" t="s">
        <v>1015</v>
      </c>
      <c r="C2895" s="27" t="s">
        <v>1215</v>
      </c>
      <c r="D2895" s="25"/>
      <c r="E2895" s="25">
        <v>1835</v>
      </c>
      <c r="F2895" s="26" t="s">
        <v>1063</v>
      </c>
      <c r="G2895" s="25">
        <v>1828</v>
      </c>
      <c r="H2895" s="25">
        <v>2010</v>
      </c>
      <c r="I2895" s="24">
        <v>660.19299999999998</v>
      </c>
      <c r="J2895" s="24">
        <v>609.90700000000004</v>
      </c>
      <c r="K2895" s="24">
        <v>564.81700000000001</v>
      </c>
      <c r="L2895" s="24">
        <v>498.65699999999998</v>
      </c>
      <c r="M2895" s="24">
        <v>449.12900000000002</v>
      </c>
      <c r="N2895" s="24">
        <v>415.62700000000001</v>
      </c>
      <c r="O2895" s="24">
        <v>368.26600000000002</v>
      </c>
      <c r="P2895" s="24">
        <v>320.65100000000001</v>
      </c>
      <c r="Q2895" s="24">
        <v>274.93599999999998</v>
      </c>
      <c r="R2895" s="24">
        <v>237.404</v>
      </c>
      <c r="S2895" s="24">
        <v>196.809</v>
      </c>
      <c r="T2895" s="24">
        <v>158.31399999999999</v>
      </c>
      <c r="U2895" s="24">
        <v>115.52500000000001</v>
      </c>
      <c r="V2895" s="24">
        <v>84.912999999999997</v>
      </c>
      <c r="W2895" s="24">
        <v>60.518999999999998</v>
      </c>
      <c r="X2895" s="24">
        <v>39.375999999999998</v>
      </c>
      <c r="Y2895" s="24">
        <v>21.457999999999998</v>
      </c>
      <c r="Z2895" s="24">
        <v>6.016</v>
      </c>
      <c r="AA2895" s="24">
        <v>1.2010000000000001</v>
      </c>
      <c r="AB2895" s="24">
        <v>0.14699999999999999</v>
      </c>
      <c r="AC2895" s="24">
        <v>1.2E-2</v>
      </c>
    </row>
    <row r="2896" spans="1:29" ht="23.25" hidden="1" x14ac:dyDescent="0.35">
      <c r="A2896" s="28">
        <v>2879</v>
      </c>
      <c r="B2896" s="26" t="s">
        <v>1015</v>
      </c>
      <c r="C2896" s="27" t="s">
        <v>1215</v>
      </c>
      <c r="D2896" s="25"/>
      <c r="E2896" s="25">
        <v>1835</v>
      </c>
      <c r="F2896" s="26" t="s">
        <v>1063</v>
      </c>
      <c r="G2896" s="25">
        <v>1828</v>
      </c>
      <c r="H2896" s="25">
        <v>2015</v>
      </c>
      <c r="I2896" s="24">
        <v>689.78099999999995</v>
      </c>
      <c r="J2896" s="24">
        <v>654.23900000000003</v>
      </c>
      <c r="K2896" s="24">
        <v>602.14400000000001</v>
      </c>
      <c r="L2896" s="24">
        <v>554.65599999999995</v>
      </c>
      <c r="M2896" s="24">
        <v>486.52300000000002</v>
      </c>
      <c r="N2896" s="24">
        <v>437.38200000000001</v>
      </c>
      <c r="O2896" s="24">
        <v>405.66399999999999</v>
      </c>
      <c r="P2896" s="24">
        <v>359.85399999999998</v>
      </c>
      <c r="Q2896" s="24">
        <v>310.28100000000001</v>
      </c>
      <c r="R2896" s="24">
        <v>265.24799999999999</v>
      </c>
      <c r="S2896" s="24">
        <v>227.065</v>
      </c>
      <c r="T2896" s="24">
        <v>184.36600000000001</v>
      </c>
      <c r="U2896" s="24">
        <v>143.405</v>
      </c>
      <c r="V2896" s="24">
        <v>98.323999999999998</v>
      </c>
      <c r="W2896" s="24">
        <v>64.658000000000001</v>
      </c>
      <c r="X2896" s="24">
        <v>38.896000000000001</v>
      </c>
      <c r="Y2896" s="24">
        <v>20.074000000000002</v>
      </c>
      <c r="Z2896" s="24">
        <v>7.5839999999999996</v>
      </c>
      <c r="AA2896" s="24">
        <v>1.506</v>
      </c>
      <c r="AB2896" s="24">
        <v>0.23100000000000001</v>
      </c>
      <c r="AC2896" s="24">
        <v>2.1000000000000001E-2</v>
      </c>
    </row>
    <row r="2897" spans="1:29" ht="23.25" hidden="1" x14ac:dyDescent="0.35">
      <c r="A2897" s="28">
        <v>2880</v>
      </c>
      <c r="B2897" s="26" t="s">
        <v>1015</v>
      </c>
      <c r="C2897" s="27" t="s">
        <v>1215</v>
      </c>
      <c r="D2897" s="25"/>
      <c r="E2897" s="25">
        <v>1835</v>
      </c>
      <c r="F2897" s="26" t="s">
        <v>1063</v>
      </c>
      <c r="G2897" s="25">
        <v>1828</v>
      </c>
      <c r="H2897" s="25">
        <v>2020</v>
      </c>
      <c r="I2897" s="24">
        <v>717.23099999999999</v>
      </c>
      <c r="J2897" s="24">
        <v>678.29600000000005</v>
      </c>
      <c r="K2897" s="24">
        <v>646.76800000000003</v>
      </c>
      <c r="L2897" s="24">
        <v>595.98</v>
      </c>
      <c r="M2897" s="24">
        <v>545.89099999999996</v>
      </c>
      <c r="N2897" s="24">
        <v>476.38</v>
      </c>
      <c r="O2897" s="24">
        <v>429.49900000000002</v>
      </c>
      <c r="P2897" s="24">
        <v>397.05599999999998</v>
      </c>
      <c r="Q2897" s="24">
        <v>349.87799999999999</v>
      </c>
      <c r="R2897" s="24">
        <v>302.86799999999999</v>
      </c>
      <c r="S2897" s="24">
        <v>256.18799999999999</v>
      </c>
      <c r="T2897" s="24">
        <v>215.268</v>
      </c>
      <c r="U2897" s="24">
        <v>170.47399999999999</v>
      </c>
      <c r="V2897" s="24">
        <v>125.304</v>
      </c>
      <c r="W2897" s="24">
        <v>78.096000000000004</v>
      </c>
      <c r="X2897" s="24">
        <v>43.973999999999997</v>
      </c>
      <c r="Y2897" s="24">
        <v>21.625</v>
      </c>
      <c r="Z2897" s="24">
        <v>8.032</v>
      </c>
      <c r="AA2897" s="24">
        <v>2.0070000000000001</v>
      </c>
      <c r="AB2897" s="24">
        <v>0.30399999999999999</v>
      </c>
      <c r="AC2897" s="24">
        <v>3.5000000000000003E-2</v>
      </c>
    </row>
    <row r="2898" spans="1:29" ht="11.65" hidden="1" x14ac:dyDescent="0.35">
      <c r="A2898" s="23">
        <v>2881</v>
      </c>
      <c r="B2898" s="21" t="s">
        <v>1015</v>
      </c>
      <c r="C2898" s="29" t="s">
        <v>1216</v>
      </c>
      <c r="D2898" s="20"/>
      <c r="E2898" s="20">
        <v>928</v>
      </c>
      <c r="F2898" s="21" t="s">
        <v>1065</v>
      </c>
      <c r="G2898" s="20">
        <v>1835</v>
      </c>
      <c r="H2898" s="20">
        <v>1950</v>
      </c>
      <c r="I2898" s="19">
        <v>191.43799999999999</v>
      </c>
      <c r="J2898" s="19">
        <v>156.73099999999999</v>
      </c>
      <c r="K2898" s="19">
        <v>137.28700000000001</v>
      </c>
      <c r="L2898" s="19">
        <v>121.625</v>
      </c>
      <c r="M2898" s="19">
        <v>105.343</v>
      </c>
      <c r="N2898" s="19">
        <v>91.540999999999997</v>
      </c>
      <c r="O2898" s="19">
        <v>78.715000000000003</v>
      </c>
      <c r="P2898" s="19">
        <v>66.552999999999997</v>
      </c>
      <c r="Q2898" s="19">
        <v>55.588000000000001</v>
      </c>
      <c r="R2898" s="19">
        <v>46.415999999999997</v>
      </c>
      <c r="S2898" s="19">
        <v>37.781999999999996</v>
      </c>
      <c r="T2898" s="19">
        <v>24.963999999999999</v>
      </c>
      <c r="U2898" s="19">
        <v>21.256</v>
      </c>
      <c r="V2898" s="19">
        <v>19.280999999999999</v>
      </c>
      <c r="W2898" s="19">
        <v>13.289</v>
      </c>
      <c r="X2898" s="19">
        <v>7.3929999999999998</v>
      </c>
      <c r="Y2898" s="19">
        <v>2.6040000000000001</v>
      </c>
      <c r="Z2898" s="19">
        <v>0.85099999999999998</v>
      </c>
      <c r="AA2898" s="19">
        <v>0.19500000000000001</v>
      </c>
      <c r="AB2898" s="19">
        <v>0.03</v>
      </c>
      <c r="AC2898" s="19">
        <v>2E-3</v>
      </c>
    </row>
    <row r="2899" spans="1:29" ht="11.65" hidden="1" x14ac:dyDescent="0.35">
      <c r="A2899" s="23">
        <v>2882</v>
      </c>
      <c r="B2899" s="21" t="s">
        <v>1015</v>
      </c>
      <c r="C2899" s="29" t="s">
        <v>1216</v>
      </c>
      <c r="D2899" s="20"/>
      <c r="E2899" s="20">
        <v>928</v>
      </c>
      <c r="F2899" s="21" t="s">
        <v>1065</v>
      </c>
      <c r="G2899" s="20">
        <v>1835</v>
      </c>
      <c r="H2899" s="20">
        <v>1955</v>
      </c>
      <c r="I2899" s="19">
        <v>221.173</v>
      </c>
      <c r="J2899" s="19">
        <v>172.126</v>
      </c>
      <c r="K2899" s="19">
        <v>147.07599999999999</v>
      </c>
      <c r="L2899" s="19">
        <v>128.624</v>
      </c>
      <c r="M2899" s="19">
        <v>112.026</v>
      </c>
      <c r="N2899" s="19">
        <v>95.85</v>
      </c>
      <c r="O2899" s="19">
        <v>83.405000000000001</v>
      </c>
      <c r="P2899" s="19">
        <v>70.784000000000006</v>
      </c>
      <c r="Q2899" s="19">
        <v>59.194000000000003</v>
      </c>
      <c r="R2899" s="19">
        <v>49.067999999999998</v>
      </c>
      <c r="S2899" s="19">
        <v>39.494999999999997</v>
      </c>
      <c r="T2899" s="19">
        <v>30.562000000000001</v>
      </c>
      <c r="U2899" s="19">
        <v>19.465</v>
      </c>
      <c r="V2899" s="19">
        <v>15.484</v>
      </c>
      <c r="W2899" s="19">
        <v>12.975</v>
      </c>
      <c r="X2899" s="19">
        <v>8.0790000000000006</v>
      </c>
      <c r="Y2899" s="19">
        <v>4.1779999999999999</v>
      </c>
      <c r="Z2899" s="19">
        <v>0.38900000000000001</v>
      </c>
      <c r="AA2899" s="19">
        <v>6.7000000000000004E-2</v>
      </c>
      <c r="AB2899" s="19">
        <v>1.7000000000000001E-2</v>
      </c>
      <c r="AC2899" s="19">
        <v>3.0000000000000001E-3</v>
      </c>
    </row>
    <row r="2900" spans="1:29" ht="11.65" hidden="1" x14ac:dyDescent="0.35">
      <c r="A2900" s="23">
        <v>2883</v>
      </c>
      <c r="B2900" s="21" t="s">
        <v>1015</v>
      </c>
      <c r="C2900" s="29" t="s">
        <v>1216</v>
      </c>
      <c r="D2900" s="20"/>
      <c r="E2900" s="20">
        <v>928</v>
      </c>
      <c r="F2900" s="21" t="s">
        <v>1065</v>
      </c>
      <c r="G2900" s="20">
        <v>1835</v>
      </c>
      <c r="H2900" s="20">
        <v>1960</v>
      </c>
      <c r="I2900" s="19">
        <v>244.46700000000001</v>
      </c>
      <c r="J2900" s="19">
        <v>204.13499999999999</v>
      </c>
      <c r="K2900" s="19">
        <v>165.137</v>
      </c>
      <c r="L2900" s="19">
        <v>140.24</v>
      </c>
      <c r="M2900" s="19">
        <v>120.995</v>
      </c>
      <c r="N2900" s="19">
        <v>104.298</v>
      </c>
      <c r="O2900" s="19">
        <v>88.747</v>
      </c>
      <c r="P2900" s="19">
        <v>76.567999999999998</v>
      </c>
      <c r="Q2900" s="19">
        <v>64.724999999999994</v>
      </c>
      <c r="R2900" s="19">
        <v>53.389000000000003</v>
      </c>
      <c r="S2900" s="19">
        <v>42.767000000000003</v>
      </c>
      <c r="T2900" s="19">
        <v>33.588999999999999</v>
      </c>
      <c r="U2900" s="19">
        <v>25.146999999999998</v>
      </c>
      <c r="V2900" s="19">
        <v>14.680999999999999</v>
      </c>
      <c r="W2900" s="19">
        <v>10.829000000000001</v>
      </c>
      <c r="X2900" s="19">
        <v>8.0150000000000006</v>
      </c>
      <c r="Y2900" s="19">
        <v>4.1150000000000002</v>
      </c>
      <c r="Z2900" s="19">
        <v>0.47899999999999998</v>
      </c>
      <c r="AA2900" s="19">
        <v>2.5999999999999999E-2</v>
      </c>
      <c r="AB2900" s="19">
        <v>5.0000000000000001E-3</v>
      </c>
      <c r="AC2900" s="19">
        <v>2E-3</v>
      </c>
    </row>
    <row r="2901" spans="1:29" ht="11.65" hidden="1" x14ac:dyDescent="0.35">
      <c r="A2901" s="23">
        <v>2884</v>
      </c>
      <c r="B2901" s="21" t="s">
        <v>1015</v>
      </c>
      <c r="C2901" s="29" t="s">
        <v>1216</v>
      </c>
      <c r="D2901" s="20"/>
      <c r="E2901" s="20">
        <v>928</v>
      </c>
      <c r="F2901" s="21" t="s">
        <v>1065</v>
      </c>
      <c r="G2901" s="20">
        <v>1835</v>
      </c>
      <c r="H2901" s="20">
        <v>1965</v>
      </c>
      <c r="I2901" s="19">
        <v>269.66800000000001</v>
      </c>
      <c r="J2901" s="19">
        <v>230.071</v>
      </c>
      <c r="K2901" s="19">
        <v>198.75200000000001</v>
      </c>
      <c r="L2901" s="19">
        <v>159.88999999999999</v>
      </c>
      <c r="M2901" s="19">
        <v>134.16499999999999</v>
      </c>
      <c r="N2901" s="19">
        <v>114.702</v>
      </c>
      <c r="O2901" s="19">
        <v>98.790999999999997</v>
      </c>
      <c r="P2901" s="19">
        <v>83.581000000000003</v>
      </c>
      <c r="Q2901" s="19">
        <v>71.477999999999994</v>
      </c>
      <c r="R2901" s="19">
        <v>59.78</v>
      </c>
      <c r="S2901" s="19">
        <v>48.307000000000002</v>
      </c>
      <c r="T2901" s="19">
        <v>37.707000000000001</v>
      </c>
      <c r="U2901" s="19">
        <v>28.355</v>
      </c>
      <c r="V2901" s="19">
        <v>19.981000000000002</v>
      </c>
      <c r="W2901" s="19">
        <v>10.909000000000001</v>
      </c>
      <c r="X2901" s="19">
        <v>6.907</v>
      </c>
      <c r="Y2901" s="19">
        <v>4.1920000000000002</v>
      </c>
      <c r="Z2901" s="19">
        <v>0.53300000000000003</v>
      </c>
      <c r="AA2901" s="19">
        <v>3.7999999999999999E-2</v>
      </c>
      <c r="AB2901" s="19">
        <v>0</v>
      </c>
      <c r="AC2901" s="19">
        <v>1E-3</v>
      </c>
    </row>
    <row r="2902" spans="1:29" ht="11.65" hidden="1" x14ac:dyDescent="0.35">
      <c r="A2902" s="23">
        <v>2885</v>
      </c>
      <c r="B2902" s="21" t="s">
        <v>1015</v>
      </c>
      <c r="C2902" s="29" t="s">
        <v>1216</v>
      </c>
      <c r="D2902" s="20"/>
      <c r="E2902" s="20">
        <v>928</v>
      </c>
      <c r="F2902" s="21" t="s">
        <v>1065</v>
      </c>
      <c r="G2902" s="20">
        <v>1835</v>
      </c>
      <c r="H2902" s="20">
        <v>1970</v>
      </c>
      <c r="I2902" s="19">
        <v>296.39</v>
      </c>
      <c r="J2902" s="19">
        <v>254.68100000000001</v>
      </c>
      <c r="K2902" s="19">
        <v>224.40700000000001</v>
      </c>
      <c r="L2902" s="19">
        <v>193.238</v>
      </c>
      <c r="M2902" s="19">
        <v>154.179</v>
      </c>
      <c r="N2902" s="19">
        <v>128.97499999999999</v>
      </c>
      <c r="O2902" s="19">
        <v>109.732</v>
      </c>
      <c r="P2902" s="19">
        <v>93.893000000000001</v>
      </c>
      <c r="Q2902" s="19">
        <v>78.688000000000002</v>
      </c>
      <c r="R2902" s="19">
        <v>66.53</v>
      </c>
      <c r="S2902" s="19">
        <v>54.597000000000001</v>
      </c>
      <c r="T2902" s="19">
        <v>42.847000000000001</v>
      </c>
      <c r="U2902" s="19">
        <v>32.134999999999998</v>
      </c>
      <c r="V2902" s="19">
        <v>22.803000000000001</v>
      </c>
      <c r="W2902" s="19">
        <v>14.839</v>
      </c>
      <c r="X2902" s="19">
        <v>7.1970000000000001</v>
      </c>
      <c r="Y2902" s="19">
        <v>3.78</v>
      </c>
      <c r="Z2902" s="19">
        <v>0.52100000000000002</v>
      </c>
      <c r="AA2902" s="19">
        <v>4.3999999999999997E-2</v>
      </c>
      <c r="AB2902" s="19">
        <v>2E-3</v>
      </c>
      <c r="AC2902" s="19">
        <v>0</v>
      </c>
    </row>
    <row r="2903" spans="1:29" ht="11.65" hidden="1" x14ac:dyDescent="0.35">
      <c r="A2903" s="23">
        <v>2886</v>
      </c>
      <c r="B2903" s="21" t="s">
        <v>1015</v>
      </c>
      <c r="C2903" s="29" t="s">
        <v>1216</v>
      </c>
      <c r="D2903" s="20"/>
      <c r="E2903" s="20">
        <v>928</v>
      </c>
      <c r="F2903" s="21" t="s">
        <v>1065</v>
      </c>
      <c r="G2903" s="20">
        <v>1835</v>
      </c>
      <c r="H2903" s="20">
        <v>1975</v>
      </c>
      <c r="I2903" s="19">
        <v>336.351</v>
      </c>
      <c r="J2903" s="19">
        <v>283.39600000000002</v>
      </c>
      <c r="K2903" s="19">
        <v>251.26</v>
      </c>
      <c r="L2903" s="19">
        <v>219.97200000000001</v>
      </c>
      <c r="M2903" s="19">
        <v>187.44300000000001</v>
      </c>
      <c r="N2903" s="19">
        <v>148.77799999999999</v>
      </c>
      <c r="O2903" s="19">
        <v>123.604</v>
      </c>
      <c r="P2903" s="19">
        <v>104.688</v>
      </c>
      <c r="Q2903" s="19">
        <v>88.938999999999993</v>
      </c>
      <c r="R2903" s="19">
        <v>73.492000000000004</v>
      </c>
      <c r="S2903" s="19">
        <v>61.075000000000003</v>
      </c>
      <c r="T2903" s="19">
        <v>48.725000000000001</v>
      </c>
      <c r="U2903" s="19">
        <v>36.851999999999997</v>
      </c>
      <c r="V2903" s="19">
        <v>26.081</v>
      </c>
      <c r="W2903" s="19">
        <v>17.149999999999999</v>
      </c>
      <c r="X2903" s="19">
        <v>10.010999999999999</v>
      </c>
      <c r="Y2903" s="19">
        <v>4.0940000000000003</v>
      </c>
      <c r="Z2903" s="19">
        <v>0.58299999999999996</v>
      </c>
      <c r="AA2903" s="19">
        <v>5.2999999999999999E-2</v>
      </c>
      <c r="AB2903" s="19">
        <v>4.0000000000000001E-3</v>
      </c>
      <c r="AC2903" s="19">
        <v>0</v>
      </c>
    </row>
    <row r="2904" spans="1:29" ht="11.65" hidden="1" x14ac:dyDescent="0.35">
      <c r="A2904" s="23">
        <v>2887</v>
      </c>
      <c r="B2904" s="21" t="s">
        <v>1015</v>
      </c>
      <c r="C2904" s="29" t="s">
        <v>1216</v>
      </c>
      <c r="D2904" s="20"/>
      <c r="E2904" s="20">
        <v>928</v>
      </c>
      <c r="F2904" s="21" t="s">
        <v>1065</v>
      </c>
      <c r="G2904" s="20">
        <v>1835</v>
      </c>
      <c r="H2904" s="20">
        <v>1980</v>
      </c>
      <c r="I2904" s="19">
        <v>379.18900000000002</v>
      </c>
      <c r="J2904" s="19">
        <v>323.78500000000003</v>
      </c>
      <c r="K2904" s="19">
        <v>280.14100000000002</v>
      </c>
      <c r="L2904" s="19">
        <v>245.91800000000001</v>
      </c>
      <c r="M2904" s="19">
        <v>212.02199999999999</v>
      </c>
      <c r="N2904" s="19">
        <v>179.845</v>
      </c>
      <c r="O2904" s="19">
        <v>142.65899999999999</v>
      </c>
      <c r="P2904" s="19">
        <v>118.211</v>
      </c>
      <c r="Q2904" s="19">
        <v>99.001999999999995</v>
      </c>
      <c r="R2904" s="19">
        <v>83.361999999999995</v>
      </c>
      <c r="S2904" s="19">
        <v>68.033000000000001</v>
      </c>
      <c r="T2904" s="19">
        <v>55.057000000000002</v>
      </c>
      <c r="U2904" s="19">
        <v>42.13</v>
      </c>
      <c r="V2904" s="19">
        <v>29.93</v>
      </c>
      <c r="W2904" s="19">
        <v>19.803000000000001</v>
      </c>
      <c r="X2904" s="19">
        <v>11.849</v>
      </c>
      <c r="Y2904" s="19">
        <v>5.8010000000000002</v>
      </c>
      <c r="Z2904" s="19">
        <v>0.80800000000000005</v>
      </c>
      <c r="AA2904" s="19">
        <v>7.1999999999999995E-2</v>
      </c>
      <c r="AB2904" s="19">
        <v>4.0000000000000001E-3</v>
      </c>
      <c r="AC2904" s="19">
        <v>0</v>
      </c>
    </row>
    <row r="2905" spans="1:29" ht="11.65" hidden="1" x14ac:dyDescent="0.35">
      <c r="A2905" s="23">
        <v>2888</v>
      </c>
      <c r="B2905" s="21" t="s">
        <v>1015</v>
      </c>
      <c r="C2905" s="29" t="s">
        <v>1216</v>
      </c>
      <c r="D2905" s="20"/>
      <c r="E2905" s="20">
        <v>928</v>
      </c>
      <c r="F2905" s="21" t="s">
        <v>1065</v>
      </c>
      <c r="G2905" s="20">
        <v>1835</v>
      </c>
      <c r="H2905" s="20">
        <v>1985</v>
      </c>
      <c r="I2905" s="19">
        <v>418.56</v>
      </c>
      <c r="J2905" s="19">
        <v>369.774</v>
      </c>
      <c r="K2905" s="19">
        <v>320.85700000000003</v>
      </c>
      <c r="L2905" s="19">
        <v>274.447</v>
      </c>
      <c r="M2905" s="19">
        <v>241.267</v>
      </c>
      <c r="N2905" s="19">
        <v>208.32499999999999</v>
      </c>
      <c r="O2905" s="19">
        <v>174.547</v>
      </c>
      <c r="P2905" s="19">
        <v>137.345</v>
      </c>
      <c r="Q2905" s="19">
        <v>113.20399999999999</v>
      </c>
      <c r="R2905" s="19">
        <v>94.225999999999999</v>
      </c>
      <c r="S2905" s="19">
        <v>78.231999999999999</v>
      </c>
      <c r="T2905" s="19">
        <v>62.073</v>
      </c>
      <c r="U2905" s="19">
        <v>48.311999999999998</v>
      </c>
      <c r="V2905" s="19">
        <v>35.375</v>
      </c>
      <c r="W2905" s="19">
        <v>23.613</v>
      </c>
      <c r="X2905" s="19">
        <v>14.369</v>
      </c>
      <c r="Y2905" s="19">
        <v>7.165</v>
      </c>
      <c r="Z2905" s="19">
        <v>1.155</v>
      </c>
      <c r="AA2905" s="19">
        <v>0.106</v>
      </c>
      <c r="AB2905" s="19">
        <v>7.0000000000000001E-3</v>
      </c>
      <c r="AC2905" s="19">
        <v>0</v>
      </c>
    </row>
    <row r="2906" spans="1:29" ht="11.65" hidden="1" x14ac:dyDescent="0.35">
      <c r="A2906" s="23">
        <v>2889</v>
      </c>
      <c r="B2906" s="21" t="s">
        <v>1015</v>
      </c>
      <c r="C2906" s="29" t="s">
        <v>1216</v>
      </c>
      <c r="D2906" s="20"/>
      <c r="E2906" s="20">
        <v>928</v>
      </c>
      <c r="F2906" s="21" t="s">
        <v>1065</v>
      </c>
      <c r="G2906" s="20">
        <v>1835</v>
      </c>
      <c r="H2906" s="20">
        <v>1990</v>
      </c>
      <c r="I2906" s="19">
        <v>440.04199999999997</v>
      </c>
      <c r="J2906" s="19">
        <v>403.88600000000002</v>
      </c>
      <c r="K2906" s="19">
        <v>361.399</v>
      </c>
      <c r="L2906" s="19">
        <v>313.262</v>
      </c>
      <c r="M2906" s="19">
        <v>266.38</v>
      </c>
      <c r="N2906" s="19">
        <v>233.03299999999999</v>
      </c>
      <c r="O2906" s="19">
        <v>199.68600000000001</v>
      </c>
      <c r="P2906" s="19">
        <v>166.61600000000001</v>
      </c>
      <c r="Q2906" s="19">
        <v>130.821</v>
      </c>
      <c r="R2906" s="19">
        <v>107.292</v>
      </c>
      <c r="S2906" s="19">
        <v>87.905000000000001</v>
      </c>
      <c r="T2906" s="19">
        <v>71.17</v>
      </c>
      <c r="U2906" s="19">
        <v>54.695999999999998</v>
      </c>
      <c r="V2906" s="19">
        <v>40.628999999999998</v>
      </c>
      <c r="W2906" s="19">
        <v>27.797000000000001</v>
      </c>
      <c r="X2906" s="19">
        <v>16.981000000000002</v>
      </c>
      <c r="Y2906" s="19">
        <v>8.9039999999999999</v>
      </c>
      <c r="Z2906" s="19">
        <v>1.484</v>
      </c>
      <c r="AA2906" s="19">
        <v>0.16500000000000001</v>
      </c>
      <c r="AB2906" s="19">
        <v>1.0999999999999999E-2</v>
      </c>
      <c r="AC2906" s="19">
        <v>0</v>
      </c>
    </row>
    <row r="2907" spans="1:29" ht="11.65" hidden="1" x14ac:dyDescent="0.35">
      <c r="A2907" s="23">
        <v>2890</v>
      </c>
      <c r="B2907" s="21" t="s">
        <v>1015</v>
      </c>
      <c r="C2907" s="29" t="s">
        <v>1216</v>
      </c>
      <c r="D2907" s="20"/>
      <c r="E2907" s="20">
        <v>928</v>
      </c>
      <c r="F2907" s="21" t="s">
        <v>1065</v>
      </c>
      <c r="G2907" s="20">
        <v>1835</v>
      </c>
      <c r="H2907" s="20">
        <v>1995</v>
      </c>
      <c r="I2907" s="19">
        <v>477.52699999999999</v>
      </c>
      <c r="J2907" s="19">
        <v>425.803</v>
      </c>
      <c r="K2907" s="19">
        <v>396.971</v>
      </c>
      <c r="L2907" s="19">
        <v>354.73700000000002</v>
      </c>
      <c r="M2907" s="19">
        <v>305.22199999999998</v>
      </c>
      <c r="N2907" s="19">
        <v>260.25200000000001</v>
      </c>
      <c r="O2907" s="19">
        <v>226.21199999999999</v>
      </c>
      <c r="P2907" s="19">
        <v>192.98</v>
      </c>
      <c r="Q2907" s="19">
        <v>160.77500000000001</v>
      </c>
      <c r="R2907" s="19">
        <v>125.679</v>
      </c>
      <c r="S2907" s="19">
        <v>101.00700000000001</v>
      </c>
      <c r="T2907" s="19">
        <v>80.841999999999999</v>
      </c>
      <c r="U2907" s="19">
        <v>63.177</v>
      </c>
      <c r="V2907" s="19">
        <v>46.497</v>
      </c>
      <c r="W2907" s="19">
        <v>32.128999999999998</v>
      </c>
      <c r="X2907" s="19">
        <v>20.138999999999999</v>
      </c>
      <c r="Y2907" s="19">
        <v>10.474</v>
      </c>
      <c r="Z2907" s="19">
        <v>2.2360000000000002</v>
      </c>
      <c r="AA2907" s="19">
        <v>0.23799999999999999</v>
      </c>
      <c r="AB2907" s="19">
        <v>1.7999999999999999E-2</v>
      </c>
      <c r="AC2907" s="19">
        <v>0</v>
      </c>
    </row>
    <row r="2908" spans="1:29" ht="11.65" hidden="1" x14ac:dyDescent="0.35">
      <c r="A2908" s="23">
        <v>2891</v>
      </c>
      <c r="B2908" s="21" t="s">
        <v>1015</v>
      </c>
      <c r="C2908" s="29" t="s">
        <v>1216</v>
      </c>
      <c r="D2908" s="20"/>
      <c r="E2908" s="20">
        <v>928</v>
      </c>
      <c r="F2908" s="21" t="s">
        <v>1065</v>
      </c>
      <c r="G2908" s="20">
        <v>1835</v>
      </c>
      <c r="H2908" s="20">
        <v>2000</v>
      </c>
      <c r="I2908" s="19">
        <v>533.18200000000002</v>
      </c>
      <c r="J2908" s="19">
        <v>465.95400000000001</v>
      </c>
      <c r="K2908" s="19">
        <v>418.86799999999999</v>
      </c>
      <c r="L2908" s="19">
        <v>389.19099999999997</v>
      </c>
      <c r="M2908" s="19">
        <v>345.90499999999997</v>
      </c>
      <c r="N2908" s="19">
        <v>296.19900000000001</v>
      </c>
      <c r="O2908" s="19">
        <v>251.15</v>
      </c>
      <c r="P2908" s="19">
        <v>218.03299999999999</v>
      </c>
      <c r="Q2908" s="19">
        <v>185.24799999999999</v>
      </c>
      <c r="R2908" s="19">
        <v>153.148</v>
      </c>
      <c r="S2908" s="19">
        <v>118.367</v>
      </c>
      <c r="T2908" s="19">
        <v>93.265000000000001</v>
      </c>
      <c r="U2908" s="19">
        <v>72.572000000000003</v>
      </c>
      <c r="V2908" s="19">
        <v>54.095999999999997</v>
      </c>
      <c r="W2908" s="19">
        <v>37.436999999999998</v>
      </c>
      <c r="X2908" s="19">
        <v>23.596</v>
      </c>
      <c r="Y2908" s="19">
        <v>12.996</v>
      </c>
      <c r="Z2908" s="19">
        <v>2.9260000000000002</v>
      </c>
      <c r="AA2908" s="19">
        <v>0.39400000000000002</v>
      </c>
      <c r="AB2908" s="19">
        <v>3.1E-2</v>
      </c>
      <c r="AC2908" s="19">
        <v>2E-3</v>
      </c>
    </row>
    <row r="2909" spans="1:29" ht="11.65" hidden="1" x14ac:dyDescent="0.35">
      <c r="A2909" s="23">
        <v>2892</v>
      </c>
      <c r="B2909" s="21" t="s">
        <v>1015</v>
      </c>
      <c r="C2909" s="29" t="s">
        <v>1216</v>
      </c>
      <c r="D2909" s="20"/>
      <c r="E2909" s="20">
        <v>928</v>
      </c>
      <c r="F2909" s="21" t="s">
        <v>1065</v>
      </c>
      <c r="G2909" s="20">
        <v>1835</v>
      </c>
      <c r="H2909" s="20">
        <v>2005</v>
      </c>
      <c r="I2909" s="19">
        <v>561.16099999999994</v>
      </c>
      <c r="J2909" s="19">
        <v>509.923</v>
      </c>
      <c r="K2909" s="19">
        <v>448.7</v>
      </c>
      <c r="L2909" s="19">
        <v>404.12</v>
      </c>
      <c r="M2909" s="19">
        <v>375.52600000000001</v>
      </c>
      <c r="N2909" s="19">
        <v>333.51</v>
      </c>
      <c r="O2909" s="19">
        <v>285.32299999999998</v>
      </c>
      <c r="P2909" s="19">
        <v>244.108</v>
      </c>
      <c r="Q2909" s="19">
        <v>213.05500000000001</v>
      </c>
      <c r="R2909" s="19">
        <v>178.84800000000001</v>
      </c>
      <c r="S2909" s="19">
        <v>144.84</v>
      </c>
      <c r="T2909" s="19">
        <v>109.494</v>
      </c>
      <c r="U2909" s="19">
        <v>83.385000000000005</v>
      </c>
      <c r="V2909" s="19">
        <v>62.223999999999997</v>
      </c>
      <c r="W2909" s="19">
        <v>43.304000000000002</v>
      </c>
      <c r="X2909" s="19">
        <v>27.306999999999999</v>
      </c>
      <c r="Y2909" s="19">
        <v>14.775</v>
      </c>
      <c r="Z2909" s="19">
        <v>3.7240000000000002</v>
      </c>
      <c r="AA2909" s="19">
        <v>0.51</v>
      </c>
      <c r="AB2909" s="19">
        <v>4.5999999999999999E-2</v>
      </c>
      <c r="AC2909" s="19">
        <v>2E-3</v>
      </c>
    </row>
    <row r="2910" spans="1:29" ht="11.65" hidden="1" x14ac:dyDescent="0.35">
      <c r="A2910" s="23">
        <v>2893</v>
      </c>
      <c r="B2910" s="21" t="s">
        <v>1015</v>
      </c>
      <c r="C2910" s="29" t="s">
        <v>1216</v>
      </c>
      <c r="D2910" s="20"/>
      <c r="E2910" s="20">
        <v>928</v>
      </c>
      <c r="F2910" s="21" t="s">
        <v>1065</v>
      </c>
      <c r="G2910" s="20">
        <v>1835</v>
      </c>
      <c r="H2910" s="20">
        <v>2010</v>
      </c>
      <c r="I2910" s="19">
        <v>598.13099999999997</v>
      </c>
      <c r="J2910" s="19">
        <v>550.678</v>
      </c>
      <c r="K2910" s="19">
        <v>506.02100000000002</v>
      </c>
      <c r="L2910" s="19">
        <v>443.673</v>
      </c>
      <c r="M2910" s="19">
        <v>401.03699999999998</v>
      </c>
      <c r="N2910" s="19">
        <v>372.94600000000003</v>
      </c>
      <c r="O2910" s="19">
        <v>329.81299999999999</v>
      </c>
      <c r="P2910" s="19">
        <v>281.971</v>
      </c>
      <c r="Q2910" s="19">
        <v>238.20099999999999</v>
      </c>
      <c r="R2910" s="19">
        <v>205.07900000000001</v>
      </c>
      <c r="S2910" s="19">
        <v>169.166</v>
      </c>
      <c r="T2910" s="19">
        <v>135.85900000000001</v>
      </c>
      <c r="U2910" s="19">
        <v>99.822999999999993</v>
      </c>
      <c r="V2910" s="19">
        <v>73.498999999999995</v>
      </c>
      <c r="W2910" s="19">
        <v>51.593000000000004</v>
      </c>
      <c r="X2910" s="19">
        <v>32.799999999999997</v>
      </c>
      <c r="Y2910" s="19">
        <v>17.785</v>
      </c>
      <c r="Z2910" s="19">
        <v>4.4290000000000003</v>
      </c>
      <c r="AA2910" s="19">
        <v>0.73699999999999999</v>
      </c>
      <c r="AB2910" s="19">
        <v>6.8000000000000005E-2</v>
      </c>
      <c r="AC2910" s="19">
        <v>5.0000000000000001E-3</v>
      </c>
    </row>
    <row r="2911" spans="1:29" ht="11.65" hidden="1" x14ac:dyDescent="0.35">
      <c r="A2911" s="23">
        <v>2894</v>
      </c>
      <c r="B2911" s="21" t="s">
        <v>1015</v>
      </c>
      <c r="C2911" s="29" t="s">
        <v>1216</v>
      </c>
      <c r="D2911" s="20"/>
      <c r="E2911" s="20">
        <v>928</v>
      </c>
      <c r="F2911" s="21" t="s">
        <v>1065</v>
      </c>
      <c r="G2911" s="20">
        <v>1835</v>
      </c>
      <c r="H2911" s="20">
        <v>2015</v>
      </c>
      <c r="I2911" s="19">
        <v>629.51599999999996</v>
      </c>
      <c r="J2911" s="19">
        <v>593.48699999999997</v>
      </c>
      <c r="K2911" s="19">
        <v>546.34400000000005</v>
      </c>
      <c r="L2911" s="19">
        <v>500.08499999999998</v>
      </c>
      <c r="M2911" s="19">
        <v>438.64299999999997</v>
      </c>
      <c r="N2911" s="19">
        <v>392.983</v>
      </c>
      <c r="O2911" s="19">
        <v>364.995</v>
      </c>
      <c r="P2911" s="19">
        <v>323.12200000000001</v>
      </c>
      <c r="Q2911" s="19">
        <v>273.49099999999999</v>
      </c>
      <c r="R2911" s="19">
        <v>230.87</v>
      </c>
      <c r="S2911" s="19">
        <v>196.16300000000001</v>
      </c>
      <c r="T2911" s="19">
        <v>158.98099999999999</v>
      </c>
      <c r="U2911" s="19">
        <v>122.81</v>
      </c>
      <c r="V2911" s="19">
        <v>84.501999999999995</v>
      </c>
      <c r="W2911" s="19">
        <v>54.692999999999998</v>
      </c>
      <c r="X2911" s="19">
        <v>32.069000000000003</v>
      </c>
      <c r="Y2911" s="19">
        <v>15.698</v>
      </c>
      <c r="Z2911" s="19">
        <v>5.6660000000000004</v>
      </c>
      <c r="AA2911" s="19">
        <v>0.90700000000000003</v>
      </c>
      <c r="AB2911" s="19">
        <v>0.111</v>
      </c>
      <c r="AC2911" s="19">
        <v>7.0000000000000001E-3</v>
      </c>
    </row>
    <row r="2912" spans="1:29" ht="11.65" hidden="1" x14ac:dyDescent="0.35">
      <c r="A2912" s="23">
        <v>2895</v>
      </c>
      <c r="B2912" s="21" t="s">
        <v>1015</v>
      </c>
      <c r="C2912" s="29" t="s">
        <v>1216</v>
      </c>
      <c r="D2912" s="20"/>
      <c r="E2912" s="20">
        <v>928</v>
      </c>
      <c r="F2912" s="21" t="s">
        <v>1065</v>
      </c>
      <c r="G2912" s="20">
        <v>1835</v>
      </c>
      <c r="H2912" s="20">
        <v>2020</v>
      </c>
      <c r="I2912" s="19">
        <v>658.149</v>
      </c>
      <c r="J2912" s="19">
        <v>621.33900000000006</v>
      </c>
      <c r="K2912" s="19">
        <v>588.18399999999997</v>
      </c>
      <c r="L2912" s="19">
        <v>542.53499999999997</v>
      </c>
      <c r="M2912" s="19">
        <v>495.23200000000003</v>
      </c>
      <c r="N2912" s="19">
        <v>431.45699999999999</v>
      </c>
      <c r="O2912" s="19">
        <v>387.31900000000002</v>
      </c>
      <c r="P2912" s="19">
        <v>358.71199999999999</v>
      </c>
      <c r="Q2912" s="19">
        <v>314.95699999999999</v>
      </c>
      <c r="R2912" s="19">
        <v>267.49599999999998</v>
      </c>
      <c r="S2912" s="19">
        <v>223.148</v>
      </c>
      <c r="T2912" s="19">
        <v>185.63300000000001</v>
      </c>
      <c r="U2912" s="19">
        <v>146.54599999999999</v>
      </c>
      <c r="V2912" s="19">
        <v>106.36</v>
      </c>
      <c r="W2912" s="19">
        <v>65.775999999999996</v>
      </c>
      <c r="X2912" s="19">
        <v>35.935000000000002</v>
      </c>
      <c r="Y2912" s="19">
        <v>16.774999999999999</v>
      </c>
      <c r="Z2912" s="19">
        <v>5.5209999999999999</v>
      </c>
      <c r="AA2912" s="19">
        <v>1.2290000000000001</v>
      </c>
      <c r="AB2912" s="19">
        <v>0.13500000000000001</v>
      </c>
      <c r="AC2912" s="19">
        <v>1.2E-2</v>
      </c>
    </row>
    <row r="2913" spans="1:29" ht="11.65" hidden="1" x14ac:dyDescent="0.35">
      <c r="A2913" s="12">
        <v>2896</v>
      </c>
      <c r="B2913" s="10" t="s">
        <v>1015</v>
      </c>
      <c r="C2913" s="11" t="s">
        <v>1217</v>
      </c>
      <c r="D2913" s="9"/>
      <c r="E2913" s="9">
        <v>242</v>
      </c>
      <c r="F2913" s="10" t="s">
        <v>1066</v>
      </c>
      <c r="G2913" s="9">
        <v>928</v>
      </c>
      <c r="H2913" s="9">
        <v>1950</v>
      </c>
      <c r="I2913" s="8">
        <v>27</v>
      </c>
      <c r="J2913" s="8">
        <v>22</v>
      </c>
      <c r="K2913" s="8">
        <v>18.001000000000001</v>
      </c>
      <c r="L2913" s="8">
        <v>15.000999999999999</v>
      </c>
      <c r="M2913" s="8">
        <v>12.000999999999999</v>
      </c>
      <c r="N2913" s="8">
        <v>10</v>
      </c>
      <c r="O2913" s="8">
        <v>8.9990000000000006</v>
      </c>
      <c r="P2913" s="8">
        <v>7</v>
      </c>
      <c r="Q2913" s="8">
        <v>4.9989999999999997</v>
      </c>
      <c r="R2913" s="8">
        <v>3.9990000000000001</v>
      </c>
      <c r="S2913" s="8">
        <v>2.9990000000000001</v>
      </c>
      <c r="T2913" s="8">
        <v>2.0009999999999999</v>
      </c>
      <c r="U2913" s="8">
        <v>2</v>
      </c>
      <c r="V2913" s="8">
        <v>0.999</v>
      </c>
      <c r="W2913" s="8">
        <v>0.59899999999999998</v>
      </c>
      <c r="X2913" s="8">
        <v>0.2</v>
      </c>
      <c r="Y2913" s="8">
        <v>0.13900000000000001</v>
      </c>
      <c r="Z2913" s="8">
        <v>4.7E-2</v>
      </c>
      <c r="AA2913" s="8">
        <v>0.01</v>
      </c>
      <c r="AB2913" s="8">
        <v>0</v>
      </c>
      <c r="AC2913" s="8">
        <v>0</v>
      </c>
    </row>
    <row r="2914" spans="1:29" ht="11.65" hidden="1" x14ac:dyDescent="0.35">
      <c r="A2914" s="12">
        <v>2897</v>
      </c>
      <c r="B2914" s="10" t="s">
        <v>1015</v>
      </c>
      <c r="C2914" s="11" t="s">
        <v>1217</v>
      </c>
      <c r="D2914" s="9"/>
      <c r="E2914" s="9">
        <v>242</v>
      </c>
      <c r="F2914" s="10" t="s">
        <v>1066</v>
      </c>
      <c r="G2914" s="9">
        <v>928</v>
      </c>
      <c r="H2914" s="9">
        <v>1955</v>
      </c>
      <c r="I2914" s="8">
        <v>32.005000000000003</v>
      </c>
      <c r="J2914" s="8">
        <v>25.925999999999998</v>
      </c>
      <c r="K2914" s="8">
        <v>22.018999999999998</v>
      </c>
      <c r="L2914" s="8">
        <v>17.995999999999999</v>
      </c>
      <c r="M2914" s="8">
        <v>14.45</v>
      </c>
      <c r="N2914" s="8">
        <v>11.510999999999999</v>
      </c>
      <c r="O2914" s="8">
        <v>10.023999999999999</v>
      </c>
      <c r="P2914" s="8">
        <v>8.5090000000000003</v>
      </c>
      <c r="Q2914" s="8">
        <v>6.532</v>
      </c>
      <c r="R2914" s="8">
        <v>5.0129999999999999</v>
      </c>
      <c r="S2914" s="8">
        <v>3.492</v>
      </c>
      <c r="T2914" s="8">
        <v>2.02</v>
      </c>
      <c r="U2914" s="8">
        <v>1.5329999999999999</v>
      </c>
      <c r="V2914" s="8">
        <v>1.407</v>
      </c>
      <c r="W2914" s="8">
        <v>0.77600000000000002</v>
      </c>
      <c r="X2914" s="8">
        <v>0.69599999999999995</v>
      </c>
      <c r="Y2914" s="8">
        <v>0.378</v>
      </c>
      <c r="Z2914" s="8">
        <v>4.3999999999999997E-2</v>
      </c>
      <c r="AA2914" s="8">
        <v>8.9999999999999993E-3</v>
      </c>
      <c r="AB2914" s="8">
        <v>0</v>
      </c>
      <c r="AC2914" s="8">
        <v>0</v>
      </c>
    </row>
    <row r="2915" spans="1:29" ht="11.65" hidden="1" x14ac:dyDescent="0.35">
      <c r="A2915" s="12">
        <v>2898</v>
      </c>
      <c r="B2915" s="10" t="s">
        <v>1015</v>
      </c>
      <c r="C2915" s="11" t="s">
        <v>1217</v>
      </c>
      <c r="D2915" s="9"/>
      <c r="E2915" s="9">
        <v>242</v>
      </c>
      <c r="F2915" s="10" t="s">
        <v>1066</v>
      </c>
      <c r="G2915" s="9">
        <v>928</v>
      </c>
      <c r="H2915" s="9">
        <v>1960</v>
      </c>
      <c r="I2915" s="8">
        <v>37.853000000000002</v>
      </c>
      <c r="J2915" s="8">
        <v>30.202999999999999</v>
      </c>
      <c r="K2915" s="8">
        <v>25.408000000000001</v>
      </c>
      <c r="L2915" s="8">
        <v>21.02</v>
      </c>
      <c r="M2915" s="8">
        <v>16.959</v>
      </c>
      <c r="N2915" s="8">
        <v>13.455</v>
      </c>
      <c r="O2915" s="8">
        <v>10.555999999999999</v>
      </c>
      <c r="P2915" s="8">
        <v>9.0519999999999996</v>
      </c>
      <c r="Q2915" s="8">
        <v>8.02</v>
      </c>
      <c r="R2915" s="8">
        <v>6.04</v>
      </c>
      <c r="S2915" s="8">
        <v>4.032</v>
      </c>
      <c r="T2915" s="8">
        <v>2.9980000000000002</v>
      </c>
      <c r="U2915" s="8">
        <v>2.0009999999999999</v>
      </c>
      <c r="V2915" s="8">
        <v>1.0249999999999999</v>
      </c>
      <c r="W2915" s="8">
        <v>1.0609999999999999</v>
      </c>
      <c r="X2915" s="8">
        <v>0.621</v>
      </c>
      <c r="Y2915" s="8">
        <v>0.39100000000000001</v>
      </c>
      <c r="Z2915" s="8">
        <v>0.111</v>
      </c>
      <c r="AA2915" s="8">
        <v>7.0000000000000001E-3</v>
      </c>
      <c r="AB2915" s="8">
        <v>0</v>
      </c>
      <c r="AC2915" s="8">
        <v>0</v>
      </c>
    </row>
    <row r="2916" spans="1:29" ht="11.65" hidden="1" x14ac:dyDescent="0.35">
      <c r="A2916" s="12">
        <v>2899</v>
      </c>
      <c r="B2916" s="10" t="s">
        <v>1015</v>
      </c>
      <c r="C2916" s="11" t="s">
        <v>1217</v>
      </c>
      <c r="D2916" s="9"/>
      <c r="E2916" s="9">
        <v>242</v>
      </c>
      <c r="F2916" s="10" t="s">
        <v>1066</v>
      </c>
      <c r="G2916" s="9">
        <v>928</v>
      </c>
      <c r="H2916" s="9">
        <v>1965</v>
      </c>
      <c r="I2916" s="8">
        <v>40.26</v>
      </c>
      <c r="J2916" s="8">
        <v>36.421999999999997</v>
      </c>
      <c r="K2916" s="8">
        <v>30.27</v>
      </c>
      <c r="L2916" s="8">
        <v>25.018999999999998</v>
      </c>
      <c r="M2916" s="8">
        <v>20.584</v>
      </c>
      <c r="N2916" s="8">
        <v>16.510999999999999</v>
      </c>
      <c r="O2916" s="8">
        <v>13.422000000000001</v>
      </c>
      <c r="P2916" s="8">
        <v>10.645</v>
      </c>
      <c r="Q2916" s="8">
        <v>9.0280000000000005</v>
      </c>
      <c r="R2916" s="8">
        <v>7.8719999999999999</v>
      </c>
      <c r="S2916" s="8">
        <v>5.8680000000000003</v>
      </c>
      <c r="T2916" s="8">
        <v>4.1079999999999997</v>
      </c>
      <c r="U2916" s="8">
        <v>2.9950000000000001</v>
      </c>
      <c r="V2916" s="8">
        <v>1.915</v>
      </c>
      <c r="W2916" s="8">
        <v>1.1419999999999999</v>
      </c>
      <c r="X2916" s="8">
        <v>0.78500000000000003</v>
      </c>
      <c r="Y2916" s="8">
        <v>0.31900000000000001</v>
      </c>
      <c r="Z2916" s="8">
        <v>0.113</v>
      </c>
      <c r="AA2916" s="8">
        <v>1.7000000000000001E-2</v>
      </c>
      <c r="AB2916" s="8">
        <v>0</v>
      </c>
      <c r="AC2916" s="8">
        <v>0</v>
      </c>
    </row>
    <row r="2917" spans="1:29" ht="11.65" hidden="1" x14ac:dyDescent="0.35">
      <c r="A2917" s="12">
        <v>2900</v>
      </c>
      <c r="B2917" s="10" t="s">
        <v>1015</v>
      </c>
      <c r="C2917" s="11" t="s">
        <v>1217</v>
      </c>
      <c r="D2917" s="9"/>
      <c r="E2917" s="9">
        <v>242</v>
      </c>
      <c r="F2917" s="10" t="s">
        <v>1066</v>
      </c>
      <c r="G2917" s="9">
        <v>928</v>
      </c>
      <c r="H2917" s="9">
        <v>1970</v>
      </c>
      <c r="I2917" s="8">
        <v>38.606999999999999</v>
      </c>
      <c r="J2917" s="8">
        <v>37.558</v>
      </c>
      <c r="K2917" s="8">
        <v>35.805999999999997</v>
      </c>
      <c r="L2917" s="8">
        <v>29.510999999999999</v>
      </c>
      <c r="M2917" s="8">
        <v>24.306000000000001</v>
      </c>
      <c r="N2917" s="8">
        <v>19.966000000000001</v>
      </c>
      <c r="O2917" s="8">
        <v>16.024000000000001</v>
      </c>
      <c r="P2917" s="8">
        <v>13.003</v>
      </c>
      <c r="Q2917" s="8">
        <v>10.246</v>
      </c>
      <c r="R2917" s="8">
        <v>8.6539999999999999</v>
      </c>
      <c r="S2917" s="8">
        <v>7.4610000000000003</v>
      </c>
      <c r="T2917" s="8">
        <v>5.4429999999999996</v>
      </c>
      <c r="U2917" s="8">
        <v>3.72</v>
      </c>
      <c r="V2917" s="8">
        <v>2.59</v>
      </c>
      <c r="W2917" s="8">
        <v>1.55</v>
      </c>
      <c r="X2917" s="8">
        <v>0.83499999999999996</v>
      </c>
      <c r="Y2917" s="8">
        <v>0.42499999999999999</v>
      </c>
      <c r="Z2917" s="8">
        <v>9.5000000000000001E-2</v>
      </c>
      <c r="AA2917" s="8">
        <v>1.9E-2</v>
      </c>
      <c r="AB2917" s="8">
        <v>0</v>
      </c>
      <c r="AC2917" s="8">
        <v>0</v>
      </c>
    </row>
    <row r="2918" spans="1:29" ht="11.65" hidden="1" x14ac:dyDescent="0.35">
      <c r="A2918" s="12">
        <v>2901</v>
      </c>
      <c r="B2918" s="10" t="s">
        <v>1015</v>
      </c>
      <c r="C2918" s="11" t="s">
        <v>1217</v>
      </c>
      <c r="D2918" s="9"/>
      <c r="E2918" s="9">
        <v>242</v>
      </c>
      <c r="F2918" s="10" t="s">
        <v>1066</v>
      </c>
      <c r="G2918" s="9">
        <v>928</v>
      </c>
      <c r="H2918" s="9">
        <v>1975</v>
      </c>
      <c r="I2918" s="8">
        <v>39.817999999999998</v>
      </c>
      <c r="J2918" s="8">
        <v>36.201000000000001</v>
      </c>
      <c r="K2918" s="8">
        <v>37.707000000000001</v>
      </c>
      <c r="L2918" s="8">
        <v>35.746000000000002</v>
      </c>
      <c r="M2918" s="8">
        <v>28.981999999999999</v>
      </c>
      <c r="N2918" s="8">
        <v>23.21</v>
      </c>
      <c r="O2918" s="8">
        <v>18.847999999999999</v>
      </c>
      <c r="P2918" s="8">
        <v>15.367000000000001</v>
      </c>
      <c r="Q2918" s="8">
        <v>12.603999999999999</v>
      </c>
      <c r="R2918" s="8">
        <v>9.7870000000000008</v>
      </c>
      <c r="S2918" s="8">
        <v>8.1359999999999992</v>
      </c>
      <c r="T2918" s="8">
        <v>6.88</v>
      </c>
      <c r="U2918" s="8">
        <v>4.8479999999999999</v>
      </c>
      <c r="V2918" s="8">
        <v>3.0579999999999998</v>
      </c>
      <c r="W2918" s="8">
        <v>2.0339999999999998</v>
      </c>
      <c r="X2918" s="8">
        <v>1.165</v>
      </c>
      <c r="Y2918" s="8">
        <v>0.49</v>
      </c>
      <c r="Z2918" s="8">
        <v>0.13200000000000001</v>
      </c>
      <c r="AA2918" s="8">
        <v>1.7000000000000001E-2</v>
      </c>
      <c r="AB2918" s="8">
        <v>2E-3</v>
      </c>
      <c r="AC2918" s="8">
        <v>0</v>
      </c>
    </row>
    <row r="2919" spans="1:29" ht="11.65" hidden="1" x14ac:dyDescent="0.35">
      <c r="A2919" s="12">
        <v>2902</v>
      </c>
      <c r="B2919" s="10" t="s">
        <v>1015</v>
      </c>
      <c r="C2919" s="11" t="s">
        <v>1217</v>
      </c>
      <c r="D2919" s="9"/>
      <c r="E2919" s="9">
        <v>242</v>
      </c>
      <c r="F2919" s="10" t="s">
        <v>1066</v>
      </c>
      <c r="G2919" s="9">
        <v>928</v>
      </c>
      <c r="H2919" s="9">
        <v>1980</v>
      </c>
      <c r="I2919" s="8">
        <v>45.095999999999997</v>
      </c>
      <c r="J2919" s="8">
        <v>38.493000000000002</v>
      </c>
      <c r="K2919" s="8">
        <v>38.457000000000001</v>
      </c>
      <c r="L2919" s="8">
        <v>37.298999999999999</v>
      </c>
      <c r="M2919" s="8">
        <v>32.755000000000003</v>
      </c>
      <c r="N2919" s="8">
        <v>26.03</v>
      </c>
      <c r="O2919" s="8">
        <v>21.486000000000001</v>
      </c>
      <c r="P2919" s="8">
        <v>17.786000000000001</v>
      </c>
      <c r="Q2919" s="8">
        <v>14.199</v>
      </c>
      <c r="R2919" s="8">
        <v>11.673999999999999</v>
      </c>
      <c r="S2919" s="8">
        <v>9.2460000000000004</v>
      </c>
      <c r="T2919" s="8">
        <v>7.4279999999999999</v>
      </c>
      <c r="U2919" s="8">
        <v>5.7270000000000003</v>
      </c>
      <c r="V2919" s="8">
        <v>3.5569999999999999</v>
      </c>
      <c r="W2919" s="8">
        <v>2.202</v>
      </c>
      <c r="X2919" s="8">
        <v>1.4339999999999999</v>
      </c>
      <c r="Y2919" s="8">
        <v>0.61399999999999999</v>
      </c>
      <c r="Z2919" s="8">
        <v>0.158</v>
      </c>
      <c r="AA2919" s="8">
        <v>2.5000000000000001E-2</v>
      </c>
      <c r="AB2919" s="8">
        <v>2E-3</v>
      </c>
      <c r="AC2919" s="8">
        <v>0</v>
      </c>
    </row>
    <row r="2920" spans="1:29" ht="11.65" hidden="1" x14ac:dyDescent="0.35">
      <c r="A2920" s="12">
        <v>2903</v>
      </c>
      <c r="B2920" s="10" t="s">
        <v>1015</v>
      </c>
      <c r="C2920" s="11" t="s">
        <v>1217</v>
      </c>
      <c r="D2920" s="9"/>
      <c r="E2920" s="9">
        <v>242</v>
      </c>
      <c r="F2920" s="10" t="s">
        <v>1066</v>
      </c>
      <c r="G2920" s="9">
        <v>928</v>
      </c>
      <c r="H2920" s="9">
        <v>1985</v>
      </c>
      <c r="I2920" s="8">
        <v>51.051000000000002</v>
      </c>
      <c r="J2920" s="8">
        <v>45.398000000000003</v>
      </c>
      <c r="K2920" s="8">
        <v>39.1</v>
      </c>
      <c r="L2920" s="8">
        <v>36.276000000000003</v>
      </c>
      <c r="M2920" s="8">
        <v>37.024999999999999</v>
      </c>
      <c r="N2920" s="8">
        <v>33.21</v>
      </c>
      <c r="O2920" s="8">
        <v>24.911999999999999</v>
      </c>
      <c r="P2920" s="8">
        <v>19.905999999999999</v>
      </c>
      <c r="Q2920" s="8">
        <v>16.431999999999999</v>
      </c>
      <c r="R2920" s="8">
        <v>13.385999999999999</v>
      </c>
      <c r="S2920" s="8">
        <v>10.887</v>
      </c>
      <c r="T2920" s="8">
        <v>8.01</v>
      </c>
      <c r="U2920" s="8">
        <v>5.8289999999999997</v>
      </c>
      <c r="V2920" s="8">
        <v>4.4050000000000002</v>
      </c>
      <c r="W2920" s="8">
        <v>2.7</v>
      </c>
      <c r="X2920" s="8">
        <v>1.6850000000000001</v>
      </c>
      <c r="Y2920" s="8">
        <v>0.73199999999999998</v>
      </c>
      <c r="Z2920" s="8">
        <v>0.20699999999999999</v>
      </c>
      <c r="AA2920" s="8">
        <v>0.03</v>
      </c>
      <c r="AB2920" s="8">
        <v>2E-3</v>
      </c>
      <c r="AC2920" s="8">
        <v>0</v>
      </c>
    </row>
    <row r="2921" spans="1:29" ht="11.65" hidden="1" x14ac:dyDescent="0.35">
      <c r="A2921" s="12">
        <v>2904</v>
      </c>
      <c r="B2921" s="10" t="s">
        <v>1015</v>
      </c>
      <c r="C2921" s="11" t="s">
        <v>1217</v>
      </c>
      <c r="D2921" s="9"/>
      <c r="E2921" s="9">
        <v>242</v>
      </c>
      <c r="F2921" s="10" t="s">
        <v>1066</v>
      </c>
      <c r="G2921" s="9">
        <v>928</v>
      </c>
      <c r="H2921" s="9">
        <v>1990</v>
      </c>
      <c r="I2921" s="8">
        <v>48.567</v>
      </c>
      <c r="J2921" s="8">
        <v>46.475000000000001</v>
      </c>
      <c r="K2921" s="8">
        <v>41.207999999999998</v>
      </c>
      <c r="L2921" s="8">
        <v>35.625</v>
      </c>
      <c r="M2921" s="8">
        <v>32.759</v>
      </c>
      <c r="N2921" s="8">
        <v>32.976999999999997</v>
      </c>
      <c r="O2921" s="8">
        <v>28.783999999999999</v>
      </c>
      <c r="P2921" s="8">
        <v>21.363</v>
      </c>
      <c r="Q2921" s="8">
        <v>17.649999999999999</v>
      </c>
      <c r="R2921" s="8">
        <v>14.868</v>
      </c>
      <c r="S2921" s="8">
        <v>11.847</v>
      </c>
      <c r="T2921" s="8">
        <v>9.1609999999999996</v>
      </c>
      <c r="U2921" s="8">
        <v>6.359</v>
      </c>
      <c r="V2921" s="8">
        <v>4.42</v>
      </c>
      <c r="W2921" s="8">
        <v>3.238</v>
      </c>
      <c r="X2921" s="8">
        <v>1.9019999999999999</v>
      </c>
      <c r="Y2921" s="8">
        <v>1.01</v>
      </c>
      <c r="Z2921" s="8">
        <v>0.23599999999999999</v>
      </c>
      <c r="AA2921" s="8">
        <v>3.5999999999999997E-2</v>
      </c>
      <c r="AB2921" s="8">
        <v>2E-3</v>
      </c>
      <c r="AC2921" s="8">
        <v>0</v>
      </c>
    </row>
    <row r="2922" spans="1:29" ht="11.65" hidden="1" x14ac:dyDescent="0.35">
      <c r="A2922" s="12">
        <v>2905</v>
      </c>
      <c r="B2922" s="10" t="s">
        <v>1015</v>
      </c>
      <c r="C2922" s="11" t="s">
        <v>1217</v>
      </c>
      <c r="D2922" s="9"/>
      <c r="E2922" s="9">
        <v>242</v>
      </c>
      <c r="F2922" s="10" t="s">
        <v>1066</v>
      </c>
      <c r="G2922" s="9">
        <v>928</v>
      </c>
      <c r="H2922" s="9">
        <v>1995</v>
      </c>
      <c r="I2922" s="8">
        <v>48.256999999999998</v>
      </c>
      <c r="J2922" s="8">
        <v>44.837000000000003</v>
      </c>
      <c r="K2922" s="8">
        <v>44.593000000000004</v>
      </c>
      <c r="L2922" s="8">
        <v>40.139000000000003</v>
      </c>
      <c r="M2922" s="8">
        <v>33.869</v>
      </c>
      <c r="N2922" s="8">
        <v>30.91</v>
      </c>
      <c r="O2922" s="8">
        <v>30.138000000000002</v>
      </c>
      <c r="P2922" s="8">
        <v>26.561</v>
      </c>
      <c r="Q2922" s="8">
        <v>20.501999999999999</v>
      </c>
      <c r="R2922" s="8">
        <v>17.077999999999999</v>
      </c>
      <c r="S2922" s="8">
        <v>14.004</v>
      </c>
      <c r="T2922" s="8">
        <v>10.509</v>
      </c>
      <c r="U2922" s="8">
        <v>7.7469999999999999</v>
      </c>
      <c r="V2922" s="8">
        <v>5.1459999999999999</v>
      </c>
      <c r="W2922" s="8">
        <v>3.347</v>
      </c>
      <c r="X2922" s="8">
        <v>2.3820000000000001</v>
      </c>
      <c r="Y2922" s="8">
        <v>0.95599999999999996</v>
      </c>
      <c r="Z2922" s="8">
        <v>0.29899999999999999</v>
      </c>
      <c r="AA2922" s="8">
        <v>3.5000000000000003E-2</v>
      </c>
      <c r="AB2922" s="8">
        <v>2E-3</v>
      </c>
      <c r="AC2922" s="8">
        <v>0</v>
      </c>
    </row>
    <row r="2923" spans="1:29" ht="11.65" hidden="1" x14ac:dyDescent="0.35">
      <c r="A2923" s="12">
        <v>2906</v>
      </c>
      <c r="B2923" s="10" t="s">
        <v>1015</v>
      </c>
      <c r="C2923" s="11" t="s">
        <v>1217</v>
      </c>
      <c r="D2923" s="9"/>
      <c r="E2923" s="9">
        <v>242</v>
      </c>
      <c r="F2923" s="10" t="s">
        <v>1066</v>
      </c>
      <c r="G2923" s="9">
        <v>928</v>
      </c>
      <c r="H2923" s="9">
        <v>2000</v>
      </c>
      <c r="I2923" s="8">
        <v>47.715000000000003</v>
      </c>
      <c r="J2923" s="8">
        <v>46.756</v>
      </c>
      <c r="K2923" s="8">
        <v>43.401000000000003</v>
      </c>
      <c r="L2923" s="8">
        <v>43.122999999999998</v>
      </c>
      <c r="M2923" s="8">
        <v>37.671999999999997</v>
      </c>
      <c r="N2923" s="8">
        <v>30.132000000000001</v>
      </c>
      <c r="O2923" s="8">
        <v>27.009</v>
      </c>
      <c r="P2923" s="8">
        <v>27.132000000000001</v>
      </c>
      <c r="Q2923" s="8">
        <v>24.440999999999999</v>
      </c>
      <c r="R2923" s="8">
        <v>18.882000000000001</v>
      </c>
      <c r="S2923" s="8">
        <v>15.709</v>
      </c>
      <c r="T2923" s="8">
        <v>12.776</v>
      </c>
      <c r="U2923" s="8">
        <v>9.3610000000000007</v>
      </c>
      <c r="V2923" s="8">
        <v>6.6239999999999997</v>
      </c>
      <c r="W2923" s="8">
        <v>4.0979999999999999</v>
      </c>
      <c r="X2923" s="8">
        <v>2.407</v>
      </c>
      <c r="Y2923" s="8">
        <v>1.43</v>
      </c>
      <c r="Z2923" s="8">
        <v>0.312</v>
      </c>
      <c r="AA2923" s="8">
        <v>5.1999999999999998E-2</v>
      </c>
      <c r="AB2923" s="8">
        <v>3.0000000000000001E-3</v>
      </c>
      <c r="AC2923" s="8">
        <v>0</v>
      </c>
    </row>
    <row r="2924" spans="1:29" ht="11.65" hidden="1" x14ac:dyDescent="0.35">
      <c r="A2924" s="12">
        <v>2907</v>
      </c>
      <c r="B2924" s="10" t="s">
        <v>1015</v>
      </c>
      <c r="C2924" s="11" t="s">
        <v>1217</v>
      </c>
      <c r="D2924" s="9"/>
      <c r="E2924" s="9">
        <v>242</v>
      </c>
      <c r="F2924" s="10" t="s">
        <v>1066</v>
      </c>
      <c r="G2924" s="9">
        <v>928</v>
      </c>
      <c r="H2924" s="9">
        <v>2005</v>
      </c>
      <c r="I2924" s="8">
        <v>43.186999999999998</v>
      </c>
      <c r="J2924" s="8">
        <v>39.311</v>
      </c>
      <c r="K2924" s="8">
        <v>38.750999999999998</v>
      </c>
      <c r="L2924" s="8">
        <v>37.549999999999997</v>
      </c>
      <c r="M2924" s="8">
        <v>38.134999999999998</v>
      </c>
      <c r="N2924" s="8">
        <v>33.637999999999998</v>
      </c>
      <c r="O2924" s="8">
        <v>27.727</v>
      </c>
      <c r="P2924" s="8">
        <v>27.193000000000001</v>
      </c>
      <c r="Q2924" s="8">
        <v>29.047999999999998</v>
      </c>
      <c r="R2924" s="8">
        <v>25.472000000000001</v>
      </c>
      <c r="S2924" s="8">
        <v>18.474</v>
      </c>
      <c r="T2924" s="8">
        <v>14.853999999999999</v>
      </c>
      <c r="U2924" s="8">
        <v>11.571999999999999</v>
      </c>
      <c r="V2924" s="8">
        <v>7.9630000000000001</v>
      </c>
      <c r="W2924" s="8">
        <v>5.0490000000000004</v>
      </c>
      <c r="X2924" s="8">
        <v>2.8010000000000002</v>
      </c>
      <c r="Y2924" s="8">
        <v>1.2869999999999999</v>
      </c>
      <c r="Z2924" s="8">
        <v>0.51800000000000002</v>
      </c>
      <c r="AA2924" s="8">
        <v>6.3E-2</v>
      </c>
      <c r="AB2924" s="8">
        <v>5.0000000000000001E-3</v>
      </c>
      <c r="AC2924" s="8">
        <v>0</v>
      </c>
    </row>
    <row r="2925" spans="1:29" ht="11.65" hidden="1" x14ac:dyDescent="0.35">
      <c r="A2925" s="12">
        <v>2908</v>
      </c>
      <c r="B2925" s="10" t="s">
        <v>1015</v>
      </c>
      <c r="C2925" s="11" t="s">
        <v>1217</v>
      </c>
      <c r="D2925" s="9"/>
      <c r="E2925" s="9">
        <v>242</v>
      </c>
      <c r="F2925" s="10" t="s">
        <v>1066</v>
      </c>
      <c r="G2925" s="9">
        <v>928</v>
      </c>
      <c r="H2925" s="9">
        <v>2010</v>
      </c>
      <c r="I2925" s="8">
        <v>43.395000000000003</v>
      </c>
      <c r="J2925" s="8">
        <v>39.145000000000003</v>
      </c>
      <c r="K2925" s="8">
        <v>38</v>
      </c>
      <c r="L2925" s="8">
        <v>39.545999999999999</v>
      </c>
      <c r="M2925" s="8">
        <v>37.268000000000001</v>
      </c>
      <c r="N2925" s="8">
        <v>37.238999999999997</v>
      </c>
      <c r="O2925" s="8">
        <v>32.332000000000001</v>
      </c>
      <c r="P2925" s="8">
        <v>26.997</v>
      </c>
      <c r="Q2925" s="8">
        <v>26.036999999999999</v>
      </c>
      <c r="R2925" s="8">
        <v>26.155999999999999</v>
      </c>
      <c r="S2925" s="8">
        <v>22.547000000000001</v>
      </c>
      <c r="T2925" s="8">
        <v>16.812000000000001</v>
      </c>
      <c r="U2925" s="8">
        <v>13.285</v>
      </c>
      <c r="V2925" s="8">
        <v>9.9670000000000005</v>
      </c>
      <c r="W2925" s="8">
        <v>6.2519999999999998</v>
      </c>
      <c r="X2925" s="8">
        <v>3.7050000000000001</v>
      </c>
      <c r="Y2925" s="8">
        <v>1.589</v>
      </c>
      <c r="Z2925" s="8">
        <v>0.48399999999999999</v>
      </c>
      <c r="AA2925" s="8">
        <v>0.111</v>
      </c>
      <c r="AB2925" s="8">
        <v>6.0000000000000001E-3</v>
      </c>
      <c r="AC2925" s="8">
        <v>0</v>
      </c>
    </row>
    <row r="2926" spans="1:29" ht="11.65" hidden="1" x14ac:dyDescent="0.35">
      <c r="A2926" s="12">
        <v>2909</v>
      </c>
      <c r="B2926" s="10" t="s">
        <v>1015</v>
      </c>
      <c r="C2926" s="11" t="s">
        <v>1217</v>
      </c>
      <c r="D2926" s="9"/>
      <c r="E2926" s="9">
        <v>242</v>
      </c>
      <c r="F2926" s="10" t="s">
        <v>1066</v>
      </c>
      <c r="G2926" s="9">
        <v>928</v>
      </c>
      <c r="H2926" s="9">
        <v>2015</v>
      </c>
      <c r="I2926" s="8">
        <v>45.814</v>
      </c>
      <c r="J2926" s="8">
        <v>43.24</v>
      </c>
      <c r="K2926" s="8">
        <v>37.152999999999999</v>
      </c>
      <c r="L2926" s="8">
        <v>35.569000000000003</v>
      </c>
      <c r="M2926" s="8">
        <v>37.070999999999998</v>
      </c>
      <c r="N2926" s="8">
        <v>33.628999999999998</v>
      </c>
      <c r="O2926" s="8">
        <v>34.572000000000003</v>
      </c>
      <c r="P2926" s="8">
        <v>30.305</v>
      </c>
      <c r="Q2926" s="8">
        <v>24.048999999999999</v>
      </c>
      <c r="R2926" s="8">
        <v>24.295000000000002</v>
      </c>
      <c r="S2926" s="8">
        <v>24.503</v>
      </c>
      <c r="T2926" s="8">
        <v>19.622</v>
      </c>
      <c r="U2926" s="8">
        <v>13.818</v>
      </c>
      <c r="V2926" s="8">
        <v>10.333</v>
      </c>
      <c r="W2926" s="8">
        <v>7.0659999999999998</v>
      </c>
      <c r="X2926" s="8">
        <v>3.6440000000000001</v>
      </c>
      <c r="Y2926" s="8">
        <v>1.8620000000000001</v>
      </c>
      <c r="Z2926" s="8">
        <v>0.59799999999999998</v>
      </c>
      <c r="AA2926" s="8">
        <v>0.104</v>
      </c>
      <c r="AB2926" s="8">
        <v>1.2999999999999999E-2</v>
      </c>
      <c r="AC2926" s="8">
        <v>0</v>
      </c>
    </row>
    <row r="2927" spans="1:29" ht="11.65" hidden="1" x14ac:dyDescent="0.35">
      <c r="A2927" s="12">
        <v>2910</v>
      </c>
      <c r="B2927" s="10" t="s">
        <v>1015</v>
      </c>
      <c r="C2927" s="11" t="s">
        <v>1217</v>
      </c>
      <c r="D2927" s="9"/>
      <c r="E2927" s="9">
        <v>242</v>
      </c>
      <c r="F2927" s="10" t="s">
        <v>1066</v>
      </c>
      <c r="G2927" s="9">
        <v>928</v>
      </c>
      <c r="H2927" s="9">
        <v>2020</v>
      </c>
      <c r="I2927" s="8">
        <v>43.473999999999997</v>
      </c>
      <c r="J2927" s="8">
        <v>42.87</v>
      </c>
      <c r="K2927" s="8">
        <v>40.6</v>
      </c>
      <c r="L2927" s="8">
        <v>36.536999999999999</v>
      </c>
      <c r="M2927" s="8">
        <v>35.222999999999999</v>
      </c>
      <c r="N2927" s="8">
        <v>34.472999999999999</v>
      </c>
      <c r="O2927" s="8">
        <v>32.531999999999996</v>
      </c>
      <c r="P2927" s="8">
        <v>33.234000000000002</v>
      </c>
      <c r="Q2927" s="8">
        <v>27.585999999999999</v>
      </c>
      <c r="R2927" s="8">
        <v>24.081</v>
      </c>
      <c r="S2927" s="8">
        <v>23.407</v>
      </c>
      <c r="T2927" s="8">
        <v>21.861999999999998</v>
      </c>
      <c r="U2927" s="8">
        <v>17.634</v>
      </c>
      <c r="V2927" s="8">
        <v>12.18</v>
      </c>
      <c r="W2927" s="8">
        <v>8.49</v>
      </c>
      <c r="X2927" s="8">
        <v>4.9509999999999996</v>
      </c>
      <c r="Y2927" s="8">
        <v>2.44</v>
      </c>
      <c r="Z2927" s="8">
        <v>0.70899999999999996</v>
      </c>
      <c r="AA2927" s="8">
        <v>0.13100000000000001</v>
      </c>
      <c r="AB2927" s="8">
        <v>1.0999999999999999E-2</v>
      </c>
      <c r="AC2927" s="8">
        <v>1E-3</v>
      </c>
    </row>
    <row r="2928" spans="1:29" ht="11.65" hidden="1" x14ac:dyDescent="0.35">
      <c r="A2928" s="12">
        <v>2911</v>
      </c>
      <c r="B2928" s="10" t="s">
        <v>1015</v>
      </c>
      <c r="C2928" s="11" t="s">
        <v>1218</v>
      </c>
      <c r="D2928" s="9">
        <v>2</v>
      </c>
      <c r="E2928" s="9">
        <v>540</v>
      </c>
      <c r="F2928" s="10" t="s">
        <v>1066</v>
      </c>
      <c r="G2928" s="9">
        <v>928</v>
      </c>
      <c r="H2928" s="9">
        <v>1950</v>
      </c>
      <c r="I2928" s="8">
        <v>4.4160000000000004</v>
      </c>
      <c r="J2928" s="8">
        <v>3.8620000000000001</v>
      </c>
      <c r="K2928" s="8">
        <v>3.282</v>
      </c>
      <c r="L2928" s="8">
        <v>3.024</v>
      </c>
      <c r="M2928" s="8">
        <v>2.512</v>
      </c>
      <c r="N2928" s="8">
        <v>2.2810000000000001</v>
      </c>
      <c r="O2928" s="8">
        <v>2.048</v>
      </c>
      <c r="P2928" s="8">
        <v>1.8120000000000001</v>
      </c>
      <c r="Q2928" s="8">
        <v>1.8160000000000001</v>
      </c>
      <c r="R2928" s="8">
        <v>1.48</v>
      </c>
      <c r="S2928" s="8">
        <v>1.196</v>
      </c>
      <c r="T2928" s="8">
        <v>0.95699999999999996</v>
      </c>
      <c r="U2928" s="8">
        <v>0.72099999999999997</v>
      </c>
      <c r="V2928" s="8">
        <v>0.57099999999999995</v>
      </c>
      <c r="W2928" s="8">
        <v>0.36899999999999999</v>
      </c>
      <c r="X2928" s="8">
        <v>0.217</v>
      </c>
      <c r="Y2928" s="8">
        <v>8.1000000000000003E-2</v>
      </c>
      <c r="Z2928" s="8">
        <v>3.4000000000000002E-2</v>
      </c>
      <c r="AA2928" s="8">
        <v>8.9999999999999993E-3</v>
      </c>
      <c r="AB2928" s="8">
        <v>2E-3</v>
      </c>
      <c r="AC2928" s="8">
        <v>0</v>
      </c>
    </row>
    <row r="2929" spans="1:29" ht="11.65" hidden="1" x14ac:dyDescent="0.35">
      <c r="A2929" s="12">
        <v>2912</v>
      </c>
      <c r="B2929" s="10" t="s">
        <v>1015</v>
      </c>
      <c r="C2929" s="11" t="s">
        <v>1218</v>
      </c>
      <c r="D2929" s="9">
        <v>2</v>
      </c>
      <c r="E2929" s="9">
        <v>540</v>
      </c>
      <c r="F2929" s="10" t="s">
        <v>1066</v>
      </c>
      <c r="G2929" s="9">
        <v>928</v>
      </c>
      <c r="H2929" s="9">
        <v>1955</v>
      </c>
      <c r="I2929" s="8">
        <v>4.742</v>
      </c>
      <c r="J2929" s="8">
        <v>3.964</v>
      </c>
      <c r="K2929" s="8">
        <v>3.5310000000000001</v>
      </c>
      <c r="L2929" s="8">
        <v>3.0049999999999999</v>
      </c>
      <c r="M2929" s="8">
        <v>2.7490000000000001</v>
      </c>
      <c r="N2929" s="8">
        <v>2.25</v>
      </c>
      <c r="O2929" s="8">
        <v>2.1429999999999998</v>
      </c>
      <c r="P2929" s="8">
        <v>1.8959999999999999</v>
      </c>
      <c r="Q2929" s="8">
        <v>1.7749999999999999</v>
      </c>
      <c r="R2929" s="8">
        <v>1.712</v>
      </c>
      <c r="S2929" s="8">
        <v>1.232</v>
      </c>
      <c r="T2929" s="8">
        <v>0.98599999999999999</v>
      </c>
      <c r="U2929" s="8">
        <v>0.75600000000000001</v>
      </c>
      <c r="V2929" s="8">
        <v>0.55800000000000005</v>
      </c>
      <c r="W2929" s="8">
        <v>0.40699999999999997</v>
      </c>
      <c r="X2929" s="8">
        <v>0.217</v>
      </c>
      <c r="Y2929" s="8">
        <v>0.10100000000000001</v>
      </c>
      <c r="Z2929" s="8">
        <v>3.1E-2</v>
      </c>
      <c r="AA2929" s="8">
        <v>8.0000000000000002E-3</v>
      </c>
      <c r="AB2929" s="8">
        <v>0</v>
      </c>
      <c r="AC2929" s="8">
        <v>0</v>
      </c>
    </row>
    <row r="2930" spans="1:29" ht="11.65" hidden="1" x14ac:dyDescent="0.35">
      <c r="A2930" s="12">
        <v>2913</v>
      </c>
      <c r="B2930" s="10" t="s">
        <v>1015</v>
      </c>
      <c r="C2930" s="11" t="s">
        <v>1218</v>
      </c>
      <c r="D2930" s="9">
        <v>2</v>
      </c>
      <c r="E2930" s="9">
        <v>540</v>
      </c>
      <c r="F2930" s="10" t="s">
        <v>1066</v>
      </c>
      <c r="G2930" s="9">
        <v>928</v>
      </c>
      <c r="H2930" s="9">
        <v>1960</v>
      </c>
      <c r="I2930" s="8">
        <v>5.4740000000000002</v>
      </c>
      <c r="J2930" s="8">
        <v>4.7919999999999998</v>
      </c>
      <c r="K2930" s="8">
        <v>4.0789999999999997</v>
      </c>
      <c r="L2930" s="8">
        <v>3.53</v>
      </c>
      <c r="M2930" s="8">
        <v>2.9470000000000001</v>
      </c>
      <c r="N2930" s="8">
        <v>2.7189999999999999</v>
      </c>
      <c r="O2930" s="8">
        <v>2.3460000000000001</v>
      </c>
      <c r="P2930" s="8">
        <v>2.206</v>
      </c>
      <c r="Q2930" s="8">
        <v>1.956</v>
      </c>
      <c r="R2930" s="8">
        <v>1.7549999999999999</v>
      </c>
      <c r="S2930" s="8">
        <v>1.5980000000000001</v>
      </c>
      <c r="T2930" s="8">
        <v>1.131</v>
      </c>
      <c r="U2930" s="8">
        <v>0.872</v>
      </c>
      <c r="V2930" s="8">
        <v>0.64900000000000002</v>
      </c>
      <c r="W2930" s="8">
        <v>0.435</v>
      </c>
      <c r="X2930" s="8">
        <v>0.27200000000000002</v>
      </c>
      <c r="Y2930" s="8">
        <v>0.10199999999999999</v>
      </c>
      <c r="Z2930" s="8">
        <v>3.9E-2</v>
      </c>
      <c r="AA2930" s="8">
        <v>8.9999999999999993E-3</v>
      </c>
      <c r="AB2930" s="8">
        <v>0</v>
      </c>
      <c r="AC2930" s="8">
        <v>0</v>
      </c>
    </row>
    <row r="2931" spans="1:29" ht="11.65" hidden="1" x14ac:dyDescent="0.35">
      <c r="A2931" s="12">
        <v>2914</v>
      </c>
      <c r="B2931" s="10" t="s">
        <v>1015</v>
      </c>
      <c r="C2931" s="11" t="s">
        <v>1218</v>
      </c>
      <c r="D2931" s="9">
        <v>2</v>
      </c>
      <c r="E2931" s="9">
        <v>540</v>
      </c>
      <c r="F2931" s="10" t="s">
        <v>1066</v>
      </c>
      <c r="G2931" s="9">
        <v>928</v>
      </c>
      <c r="H2931" s="9">
        <v>1965</v>
      </c>
      <c r="I2931" s="8">
        <v>6.6210000000000004</v>
      </c>
      <c r="J2931" s="8">
        <v>5.6210000000000004</v>
      </c>
      <c r="K2931" s="8">
        <v>4.9119999999999999</v>
      </c>
      <c r="L2931" s="8">
        <v>4.1109999999999998</v>
      </c>
      <c r="M2931" s="8">
        <v>3.5190000000000001</v>
      </c>
      <c r="N2931" s="8">
        <v>3.0419999999999998</v>
      </c>
      <c r="O2931" s="8">
        <v>2.903</v>
      </c>
      <c r="P2931" s="8">
        <v>2.4820000000000002</v>
      </c>
      <c r="Q2931" s="8">
        <v>2.23</v>
      </c>
      <c r="R2931" s="8">
        <v>1.9350000000000001</v>
      </c>
      <c r="S2931" s="8">
        <v>1.6679999999999999</v>
      </c>
      <c r="T2931" s="8">
        <v>1.464</v>
      </c>
      <c r="U2931" s="8">
        <v>1.0189999999999999</v>
      </c>
      <c r="V2931" s="8">
        <v>0.74099999999999999</v>
      </c>
      <c r="W2931" s="8">
        <v>0.496</v>
      </c>
      <c r="X2931" s="8">
        <v>0.28699999999999998</v>
      </c>
      <c r="Y2931" s="8">
        <v>0.13600000000000001</v>
      </c>
      <c r="Z2931" s="8">
        <v>0.04</v>
      </c>
      <c r="AA2931" s="8">
        <v>0.01</v>
      </c>
      <c r="AB2931" s="8">
        <v>0</v>
      </c>
      <c r="AC2931" s="8">
        <v>0</v>
      </c>
    </row>
    <row r="2932" spans="1:29" ht="11.65" hidden="1" x14ac:dyDescent="0.35">
      <c r="A2932" s="12">
        <v>2915</v>
      </c>
      <c r="B2932" s="10" t="s">
        <v>1015</v>
      </c>
      <c r="C2932" s="11" t="s">
        <v>1218</v>
      </c>
      <c r="D2932" s="9">
        <v>2</v>
      </c>
      <c r="E2932" s="9">
        <v>540</v>
      </c>
      <c r="F2932" s="10" t="s">
        <v>1066</v>
      </c>
      <c r="G2932" s="9">
        <v>928</v>
      </c>
      <c r="H2932" s="9">
        <v>1970</v>
      </c>
      <c r="I2932" s="8">
        <v>7.8250000000000002</v>
      </c>
      <c r="J2932" s="8">
        <v>6.4409999999999998</v>
      </c>
      <c r="K2932" s="8">
        <v>5.66</v>
      </c>
      <c r="L2932" s="8">
        <v>4.9630000000000001</v>
      </c>
      <c r="M2932" s="8">
        <v>4.0780000000000003</v>
      </c>
      <c r="N2932" s="8">
        <v>3.681</v>
      </c>
      <c r="O2932" s="8">
        <v>3.26</v>
      </c>
      <c r="P2932" s="8">
        <v>3.0449999999999999</v>
      </c>
      <c r="Q2932" s="8">
        <v>2.5249999999999999</v>
      </c>
      <c r="R2932" s="8">
        <v>2.19</v>
      </c>
      <c r="S2932" s="8">
        <v>1.7809999999999999</v>
      </c>
      <c r="T2932" s="8">
        <v>1.5229999999999999</v>
      </c>
      <c r="U2932" s="8">
        <v>1.343</v>
      </c>
      <c r="V2932" s="8">
        <v>0.84499999999999997</v>
      </c>
      <c r="W2932" s="8">
        <v>0.55300000000000005</v>
      </c>
      <c r="X2932" s="8">
        <v>0.32200000000000001</v>
      </c>
      <c r="Y2932" s="8">
        <v>0.159</v>
      </c>
      <c r="Z2932" s="8">
        <v>5.7000000000000002E-2</v>
      </c>
      <c r="AA2932" s="8">
        <v>1.0999999999999999E-2</v>
      </c>
      <c r="AB2932" s="8">
        <v>2E-3</v>
      </c>
      <c r="AC2932" s="8">
        <v>0</v>
      </c>
    </row>
    <row r="2933" spans="1:29" ht="11.65" hidden="1" x14ac:dyDescent="0.35">
      <c r="A2933" s="12">
        <v>2916</v>
      </c>
      <c r="B2933" s="10" t="s">
        <v>1015</v>
      </c>
      <c r="C2933" s="11" t="s">
        <v>1218</v>
      </c>
      <c r="D2933" s="9">
        <v>2</v>
      </c>
      <c r="E2933" s="9">
        <v>540</v>
      </c>
      <c r="F2933" s="10" t="s">
        <v>1066</v>
      </c>
      <c r="G2933" s="9">
        <v>928</v>
      </c>
      <c r="H2933" s="9">
        <v>1975</v>
      </c>
      <c r="I2933" s="8">
        <v>9.7240000000000002</v>
      </c>
      <c r="J2933" s="8">
        <v>7.8730000000000002</v>
      </c>
      <c r="K2933" s="8">
        <v>6.9989999999999997</v>
      </c>
      <c r="L2933" s="8">
        <v>6.1559999999999997</v>
      </c>
      <c r="M2933" s="8">
        <v>5.2480000000000002</v>
      </c>
      <c r="N2933" s="8">
        <v>4.585</v>
      </c>
      <c r="O2933" s="8">
        <v>4.258</v>
      </c>
      <c r="P2933" s="8">
        <v>3.73</v>
      </c>
      <c r="Q2933" s="8">
        <v>3.327</v>
      </c>
      <c r="R2933" s="8">
        <v>2.6070000000000002</v>
      </c>
      <c r="S2933" s="8">
        <v>2.181</v>
      </c>
      <c r="T2933" s="8">
        <v>1.7070000000000001</v>
      </c>
      <c r="U2933" s="8">
        <v>1.399</v>
      </c>
      <c r="V2933" s="8">
        <v>1.1870000000000001</v>
      </c>
      <c r="W2933" s="8">
        <v>0.70399999999999996</v>
      </c>
      <c r="X2933" s="8">
        <v>0.40600000000000003</v>
      </c>
      <c r="Y2933" s="8">
        <v>0.246</v>
      </c>
      <c r="Z2933" s="8">
        <v>6.7000000000000004E-2</v>
      </c>
      <c r="AA2933" s="8">
        <v>1.4999999999999999E-2</v>
      </c>
      <c r="AB2933" s="8">
        <v>2E-3</v>
      </c>
      <c r="AC2933" s="8">
        <v>0</v>
      </c>
    </row>
    <row r="2934" spans="1:29" ht="11.65" hidden="1" x14ac:dyDescent="0.35">
      <c r="A2934" s="12">
        <v>2917</v>
      </c>
      <c r="B2934" s="10" t="s">
        <v>1015</v>
      </c>
      <c r="C2934" s="11" t="s">
        <v>1218</v>
      </c>
      <c r="D2934" s="9">
        <v>2</v>
      </c>
      <c r="E2934" s="9">
        <v>540</v>
      </c>
      <c r="F2934" s="10" t="s">
        <v>1066</v>
      </c>
      <c r="G2934" s="9">
        <v>928</v>
      </c>
      <c r="H2934" s="9">
        <v>1980</v>
      </c>
      <c r="I2934" s="8">
        <v>9.08</v>
      </c>
      <c r="J2934" s="8">
        <v>9.74</v>
      </c>
      <c r="K2934" s="8">
        <v>8.048</v>
      </c>
      <c r="L2934" s="8">
        <v>7.0990000000000002</v>
      </c>
      <c r="M2934" s="8">
        <v>5.9080000000000004</v>
      </c>
      <c r="N2934" s="8">
        <v>5.2370000000000001</v>
      </c>
      <c r="O2934" s="8">
        <v>4.7130000000000001</v>
      </c>
      <c r="P2934" s="8">
        <v>4.3979999999999997</v>
      </c>
      <c r="Q2934" s="8">
        <v>3.7370000000000001</v>
      </c>
      <c r="R2934" s="8">
        <v>3.1850000000000001</v>
      </c>
      <c r="S2934" s="8">
        <v>2.4209999999999998</v>
      </c>
      <c r="T2934" s="8">
        <v>1.992</v>
      </c>
      <c r="U2934" s="8">
        <v>1.5469999999999999</v>
      </c>
      <c r="V2934" s="8">
        <v>1.2210000000000001</v>
      </c>
      <c r="W2934" s="8">
        <v>0.95299999999999996</v>
      </c>
      <c r="X2934" s="8">
        <v>0.52900000000000003</v>
      </c>
      <c r="Y2934" s="8">
        <v>0.26500000000000001</v>
      </c>
      <c r="Z2934" s="8">
        <v>0.106</v>
      </c>
      <c r="AA2934" s="8">
        <v>1.7999999999999999E-2</v>
      </c>
      <c r="AB2934" s="8">
        <v>2E-3</v>
      </c>
      <c r="AC2934" s="8">
        <v>0</v>
      </c>
    </row>
    <row r="2935" spans="1:29" ht="11.65" hidden="1" x14ac:dyDescent="0.35">
      <c r="A2935" s="12">
        <v>2918</v>
      </c>
      <c r="B2935" s="10" t="s">
        <v>1015</v>
      </c>
      <c r="C2935" s="11" t="s">
        <v>1218</v>
      </c>
      <c r="D2935" s="9">
        <v>2</v>
      </c>
      <c r="E2935" s="9">
        <v>540</v>
      </c>
      <c r="F2935" s="10" t="s">
        <v>1066</v>
      </c>
      <c r="G2935" s="9">
        <v>928</v>
      </c>
      <c r="H2935" s="9">
        <v>1985</v>
      </c>
      <c r="I2935" s="8">
        <v>8.73</v>
      </c>
      <c r="J2935" s="8">
        <v>8.8629999999999995</v>
      </c>
      <c r="K2935" s="8">
        <v>9.8439999999999994</v>
      </c>
      <c r="L2935" s="8">
        <v>8.1370000000000005</v>
      </c>
      <c r="M2935" s="8">
        <v>6.7210000000000001</v>
      </c>
      <c r="N2935" s="8">
        <v>5.7380000000000004</v>
      </c>
      <c r="O2935" s="8">
        <v>5.1020000000000003</v>
      </c>
      <c r="P2935" s="8">
        <v>4.5839999999999996</v>
      </c>
      <c r="Q2935" s="8">
        <v>4.3120000000000003</v>
      </c>
      <c r="R2935" s="8">
        <v>3.5270000000000001</v>
      </c>
      <c r="S2935" s="8">
        <v>2.9430000000000001</v>
      </c>
      <c r="T2935" s="8">
        <v>2.2360000000000002</v>
      </c>
      <c r="U2935" s="8">
        <v>1.7929999999999999</v>
      </c>
      <c r="V2935" s="8">
        <v>1.3620000000000001</v>
      </c>
      <c r="W2935" s="8">
        <v>1.014</v>
      </c>
      <c r="X2935" s="8">
        <v>0.746</v>
      </c>
      <c r="Y2935" s="8">
        <v>0.35</v>
      </c>
      <c r="Z2935" s="8">
        <v>0.11799999999999999</v>
      </c>
      <c r="AA2935" s="8">
        <v>0.03</v>
      </c>
      <c r="AB2935" s="8">
        <v>3.0000000000000001E-3</v>
      </c>
      <c r="AC2935" s="8">
        <v>0</v>
      </c>
    </row>
    <row r="2936" spans="1:29" ht="11.65" hidden="1" x14ac:dyDescent="0.35">
      <c r="A2936" s="12">
        <v>2919</v>
      </c>
      <c r="B2936" s="10" t="s">
        <v>1015</v>
      </c>
      <c r="C2936" s="11" t="s">
        <v>1218</v>
      </c>
      <c r="D2936" s="9">
        <v>2</v>
      </c>
      <c r="E2936" s="9">
        <v>540</v>
      </c>
      <c r="F2936" s="10" t="s">
        <v>1066</v>
      </c>
      <c r="G2936" s="9">
        <v>928</v>
      </c>
      <c r="H2936" s="9">
        <v>1990</v>
      </c>
      <c r="I2936" s="8">
        <v>9.26</v>
      </c>
      <c r="J2936" s="8">
        <v>8.6120000000000001</v>
      </c>
      <c r="K2936" s="8">
        <v>8.9689999999999994</v>
      </c>
      <c r="L2936" s="8">
        <v>9.9559999999999995</v>
      </c>
      <c r="M2936" s="8">
        <v>7.8360000000000003</v>
      </c>
      <c r="N2936" s="8">
        <v>6.5490000000000004</v>
      </c>
      <c r="O2936" s="8">
        <v>5.9050000000000002</v>
      </c>
      <c r="P2936" s="8">
        <v>5.1479999999999997</v>
      </c>
      <c r="Q2936" s="8">
        <v>4.5090000000000003</v>
      </c>
      <c r="R2936" s="8">
        <v>4.1779999999999999</v>
      </c>
      <c r="S2936" s="8">
        <v>3.3479999999999999</v>
      </c>
      <c r="T2936" s="8">
        <v>2.782</v>
      </c>
      <c r="U2936" s="8">
        <v>2.0859999999999999</v>
      </c>
      <c r="V2936" s="8">
        <v>1.609</v>
      </c>
      <c r="W2936" s="8">
        <v>1.141</v>
      </c>
      <c r="X2936" s="8">
        <v>0.81100000000000005</v>
      </c>
      <c r="Y2936" s="8">
        <v>0.53900000000000003</v>
      </c>
      <c r="Z2936" s="8">
        <v>0.161</v>
      </c>
      <c r="AA2936" s="8">
        <v>3.5000000000000003E-2</v>
      </c>
      <c r="AB2936" s="8">
        <v>5.0000000000000001E-3</v>
      </c>
      <c r="AC2936" s="8">
        <v>0</v>
      </c>
    </row>
    <row r="2937" spans="1:29" ht="11.65" hidden="1" x14ac:dyDescent="0.35">
      <c r="A2937" s="12">
        <v>2920</v>
      </c>
      <c r="B2937" s="10" t="s">
        <v>1015</v>
      </c>
      <c r="C2937" s="11" t="s">
        <v>1218</v>
      </c>
      <c r="D2937" s="9">
        <v>2</v>
      </c>
      <c r="E2937" s="9">
        <v>540</v>
      </c>
      <c r="F2937" s="10" t="s">
        <v>1066</v>
      </c>
      <c r="G2937" s="9">
        <v>928</v>
      </c>
      <c r="H2937" s="9">
        <v>1995</v>
      </c>
      <c r="I2937" s="8">
        <v>9.8369999999999997</v>
      </c>
      <c r="J2937" s="8">
        <v>9.7680000000000007</v>
      </c>
      <c r="K2937" s="8">
        <v>8.9939999999999998</v>
      </c>
      <c r="L2937" s="8">
        <v>8.8699999999999992</v>
      </c>
      <c r="M2937" s="8">
        <v>9.0060000000000002</v>
      </c>
      <c r="N2937" s="8">
        <v>8.3539999999999992</v>
      </c>
      <c r="O2937" s="8">
        <v>7.8440000000000003</v>
      </c>
      <c r="P2937" s="8">
        <v>6.7119999999999997</v>
      </c>
      <c r="Q2937" s="8">
        <v>5.4690000000000003</v>
      </c>
      <c r="R2937" s="8">
        <v>4.891</v>
      </c>
      <c r="S2937" s="8">
        <v>3.8889999999999998</v>
      </c>
      <c r="T2937" s="8">
        <v>3.2879999999999998</v>
      </c>
      <c r="U2937" s="8">
        <v>2.4020000000000001</v>
      </c>
      <c r="V2937" s="8">
        <v>1.879</v>
      </c>
      <c r="W2937" s="8">
        <v>1.282</v>
      </c>
      <c r="X2937" s="8">
        <v>0.84599999999999997</v>
      </c>
      <c r="Y2937" s="8">
        <v>0.61099999999999999</v>
      </c>
      <c r="Z2937" s="8">
        <v>0.26200000000000001</v>
      </c>
      <c r="AA2937" s="8">
        <v>5.2999999999999999E-2</v>
      </c>
      <c r="AB2937" s="8">
        <v>6.0000000000000001E-3</v>
      </c>
      <c r="AC2937" s="8">
        <v>0</v>
      </c>
    </row>
    <row r="2938" spans="1:29" ht="11.65" hidden="1" x14ac:dyDescent="0.35">
      <c r="A2938" s="12">
        <v>2921</v>
      </c>
      <c r="B2938" s="10" t="s">
        <v>1015</v>
      </c>
      <c r="C2938" s="11" t="s">
        <v>1218</v>
      </c>
      <c r="D2938" s="9">
        <v>2</v>
      </c>
      <c r="E2938" s="9">
        <v>540</v>
      </c>
      <c r="F2938" s="10" t="s">
        <v>1066</v>
      </c>
      <c r="G2938" s="9">
        <v>928</v>
      </c>
      <c r="H2938" s="9">
        <v>2000</v>
      </c>
      <c r="I2938" s="8">
        <v>11.009</v>
      </c>
      <c r="J2938" s="8">
        <v>10.707000000000001</v>
      </c>
      <c r="K2938" s="8">
        <v>10.291</v>
      </c>
      <c r="L2938" s="8">
        <v>8.6210000000000004</v>
      </c>
      <c r="M2938" s="8">
        <v>8.6359999999999992</v>
      </c>
      <c r="N2938" s="8">
        <v>9.6679999999999993</v>
      </c>
      <c r="O2938" s="8">
        <v>9.1229999999999993</v>
      </c>
      <c r="P2938" s="8">
        <v>8.5939999999999994</v>
      </c>
      <c r="Q2938" s="8">
        <v>7.0129999999999999</v>
      </c>
      <c r="R2938" s="8">
        <v>5.5049999999999999</v>
      </c>
      <c r="S2938" s="8">
        <v>4.891</v>
      </c>
      <c r="T2938" s="8">
        <v>3.7010000000000001</v>
      </c>
      <c r="U2938" s="8">
        <v>3.1539999999999999</v>
      </c>
      <c r="V2938" s="8">
        <v>2.1240000000000001</v>
      </c>
      <c r="W2938" s="8">
        <v>1.8140000000000001</v>
      </c>
      <c r="X2938" s="8">
        <v>1.2150000000000001</v>
      </c>
      <c r="Y2938" s="8">
        <v>0.94899999999999995</v>
      </c>
      <c r="Z2938" s="8">
        <v>0.314</v>
      </c>
      <c r="AA2938" s="8">
        <v>0.09</v>
      </c>
      <c r="AB2938" s="8">
        <v>1.2E-2</v>
      </c>
      <c r="AC2938" s="8">
        <v>1E-3</v>
      </c>
    </row>
    <row r="2939" spans="1:29" ht="11.65" hidden="1" x14ac:dyDescent="0.35">
      <c r="A2939" s="12">
        <v>2922</v>
      </c>
      <c r="B2939" s="10" t="s">
        <v>1015</v>
      </c>
      <c r="C2939" s="11" t="s">
        <v>1218</v>
      </c>
      <c r="D2939" s="9">
        <v>2</v>
      </c>
      <c r="E2939" s="9">
        <v>540</v>
      </c>
      <c r="F2939" s="10" t="s">
        <v>1066</v>
      </c>
      <c r="G2939" s="9">
        <v>928</v>
      </c>
      <c r="H2939" s="9">
        <v>2005</v>
      </c>
      <c r="I2939" s="8">
        <v>10.336</v>
      </c>
      <c r="J2939" s="8">
        <v>11.038</v>
      </c>
      <c r="K2939" s="8">
        <v>10.739000000000001</v>
      </c>
      <c r="L2939" s="8">
        <v>10.507999999999999</v>
      </c>
      <c r="M2939" s="8">
        <v>9.0079999999999991</v>
      </c>
      <c r="N2939" s="8">
        <v>8.9860000000000007</v>
      </c>
      <c r="O2939" s="8">
        <v>9.9090000000000007</v>
      </c>
      <c r="P2939" s="8">
        <v>9.2629999999999999</v>
      </c>
      <c r="Q2939" s="8">
        <v>8.6579999999999995</v>
      </c>
      <c r="R2939" s="8">
        <v>7.0229999999999997</v>
      </c>
      <c r="S2939" s="8">
        <v>5.4720000000000004</v>
      </c>
      <c r="T2939" s="8">
        <v>4.8109999999999999</v>
      </c>
      <c r="U2939" s="8">
        <v>3.59</v>
      </c>
      <c r="V2939" s="8">
        <v>2.976</v>
      </c>
      <c r="W2939" s="8">
        <v>1.9079999999999999</v>
      </c>
      <c r="X2939" s="8">
        <v>1.4910000000000001</v>
      </c>
      <c r="Y2939" s="8">
        <v>0.85599999999999998</v>
      </c>
      <c r="Z2939" s="8">
        <v>0.51500000000000001</v>
      </c>
      <c r="AA2939" s="8">
        <v>0.11600000000000001</v>
      </c>
      <c r="AB2939" s="8">
        <v>1.9E-2</v>
      </c>
      <c r="AC2939" s="8">
        <v>1E-3</v>
      </c>
    </row>
    <row r="2940" spans="1:29" ht="11.65" hidden="1" x14ac:dyDescent="0.35">
      <c r="A2940" s="12">
        <v>2923</v>
      </c>
      <c r="B2940" s="10" t="s">
        <v>1015</v>
      </c>
      <c r="C2940" s="11" t="s">
        <v>1218</v>
      </c>
      <c r="D2940" s="9">
        <v>2</v>
      </c>
      <c r="E2940" s="9">
        <v>540</v>
      </c>
      <c r="F2940" s="10" t="s">
        <v>1066</v>
      </c>
      <c r="G2940" s="9">
        <v>928</v>
      </c>
      <c r="H2940" s="9">
        <v>2010</v>
      </c>
      <c r="I2940" s="8">
        <v>10.653</v>
      </c>
      <c r="J2940" s="8">
        <v>10.351000000000001</v>
      </c>
      <c r="K2940" s="8">
        <v>11.055999999999999</v>
      </c>
      <c r="L2940" s="8">
        <v>9.0380000000000003</v>
      </c>
      <c r="M2940" s="8">
        <v>9.89</v>
      </c>
      <c r="N2940" s="8">
        <v>10.007999999999999</v>
      </c>
      <c r="O2940" s="8">
        <v>9.8550000000000004</v>
      </c>
      <c r="P2940" s="8">
        <v>10.496</v>
      </c>
      <c r="Q2940" s="8">
        <v>9.2940000000000005</v>
      </c>
      <c r="R2940" s="8">
        <v>8.6379999999999999</v>
      </c>
      <c r="S2940" s="8">
        <v>6.9649999999999999</v>
      </c>
      <c r="T2940" s="8">
        <v>5.3819999999999997</v>
      </c>
      <c r="U2940" s="8">
        <v>4.6710000000000003</v>
      </c>
      <c r="V2940" s="8">
        <v>3.4039999999999999</v>
      </c>
      <c r="W2940" s="8">
        <v>2.6970000000000001</v>
      </c>
      <c r="X2940" s="8">
        <v>1.595</v>
      </c>
      <c r="Y2940" s="8">
        <v>1.08</v>
      </c>
      <c r="Z2940" s="8">
        <v>0.48599999999999999</v>
      </c>
      <c r="AA2940" s="8">
        <v>0.20399999999999999</v>
      </c>
      <c r="AB2940" s="8">
        <v>2.9000000000000001E-2</v>
      </c>
      <c r="AC2940" s="8">
        <v>3.0000000000000001E-3</v>
      </c>
    </row>
    <row r="2941" spans="1:29" ht="11.65" hidden="1" x14ac:dyDescent="0.35">
      <c r="A2941" s="12">
        <v>2924</v>
      </c>
      <c r="B2941" s="10" t="s">
        <v>1015</v>
      </c>
      <c r="C2941" s="11" t="s">
        <v>1218</v>
      </c>
      <c r="D2941" s="9">
        <v>2</v>
      </c>
      <c r="E2941" s="9">
        <v>540</v>
      </c>
      <c r="F2941" s="10" t="s">
        <v>1066</v>
      </c>
      <c r="G2941" s="9">
        <v>928</v>
      </c>
      <c r="H2941" s="9">
        <v>2015</v>
      </c>
      <c r="I2941" s="8">
        <v>10.505000000000001</v>
      </c>
      <c r="J2941" s="8">
        <v>10.661</v>
      </c>
      <c r="K2941" s="8">
        <v>10.366</v>
      </c>
      <c r="L2941" s="8">
        <v>11.166</v>
      </c>
      <c r="M2941" s="8">
        <v>9.23</v>
      </c>
      <c r="N2941" s="8">
        <v>10.061</v>
      </c>
      <c r="O2941" s="8">
        <v>10.122</v>
      </c>
      <c r="P2941" s="8">
        <v>9.9149999999999991</v>
      </c>
      <c r="Q2941" s="8">
        <v>10.505000000000001</v>
      </c>
      <c r="R2941" s="8">
        <v>9.2629999999999999</v>
      </c>
      <c r="S2941" s="8">
        <v>8.5609999999999999</v>
      </c>
      <c r="T2941" s="8">
        <v>6.8550000000000004</v>
      </c>
      <c r="U2941" s="8">
        <v>5.2359999999999998</v>
      </c>
      <c r="V2941" s="8">
        <v>4.4509999999999996</v>
      </c>
      <c r="W2941" s="8">
        <v>3.1139999999999999</v>
      </c>
      <c r="X2941" s="8">
        <v>2.2909999999999999</v>
      </c>
      <c r="Y2941" s="8">
        <v>1.1850000000000001</v>
      </c>
      <c r="Z2941" s="8">
        <v>0.63800000000000001</v>
      </c>
      <c r="AA2941" s="8">
        <v>0.20599999999999999</v>
      </c>
      <c r="AB2941" s="8">
        <v>5.3999999999999999E-2</v>
      </c>
      <c r="AC2941" s="8">
        <v>4.0000000000000001E-3</v>
      </c>
    </row>
    <row r="2942" spans="1:29" ht="11.65" hidden="1" x14ac:dyDescent="0.35">
      <c r="A2942" s="12">
        <v>2925</v>
      </c>
      <c r="B2942" s="10" t="s">
        <v>1015</v>
      </c>
      <c r="C2942" s="11" t="s">
        <v>1218</v>
      </c>
      <c r="D2942" s="9">
        <v>2</v>
      </c>
      <c r="E2942" s="9">
        <v>540</v>
      </c>
      <c r="F2942" s="10" t="s">
        <v>1066</v>
      </c>
      <c r="G2942" s="9">
        <v>928</v>
      </c>
      <c r="H2942" s="9">
        <v>2020</v>
      </c>
      <c r="I2942" s="8">
        <v>9.6739999999999995</v>
      </c>
      <c r="J2942" s="8">
        <v>10.521000000000001</v>
      </c>
      <c r="K2942" s="8">
        <v>10.68</v>
      </c>
      <c r="L2942" s="8">
        <v>10.502000000000001</v>
      </c>
      <c r="M2942" s="8">
        <v>11.401</v>
      </c>
      <c r="N2942" s="8">
        <v>9.4440000000000008</v>
      </c>
      <c r="O2942" s="8">
        <v>10.206</v>
      </c>
      <c r="P2942" s="8">
        <v>10.202</v>
      </c>
      <c r="Q2942" s="8">
        <v>9.9440000000000008</v>
      </c>
      <c r="R2942" s="8">
        <v>10.483000000000001</v>
      </c>
      <c r="S2942" s="8">
        <v>9.1950000000000003</v>
      </c>
      <c r="T2942" s="8">
        <v>8.4420000000000002</v>
      </c>
      <c r="U2942" s="8">
        <v>6.69</v>
      </c>
      <c r="V2942" s="8">
        <v>5.0119999999999996</v>
      </c>
      <c r="W2942" s="8">
        <v>4.101</v>
      </c>
      <c r="X2942" s="8">
        <v>2.6789999999999998</v>
      </c>
      <c r="Y2942" s="8">
        <v>1.74</v>
      </c>
      <c r="Z2942" s="8">
        <v>0.72599999999999998</v>
      </c>
      <c r="AA2942" s="8">
        <v>0.28399999999999997</v>
      </c>
      <c r="AB2942" s="8">
        <v>5.8999999999999997E-2</v>
      </c>
      <c r="AC2942" s="8">
        <v>8.0000000000000002E-3</v>
      </c>
    </row>
    <row r="2943" spans="1:29" ht="11.65" hidden="1" x14ac:dyDescent="0.35">
      <c r="A2943" s="12">
        <v>2926</v>
      </c>
      <c r="B2943" s="10" t="s">
        <v>1015</v>
      </c>
      <c r="C2943" s="11" t="s">
        <v>1219</v>
      </c>
      <c r="D2943" s="9"/>
      <c r="E2943" s="9">
        <v>598</v>
      </c>
      <c r="F2943" s="10" t="s">
        <v>1066</v>
      </c>
      <c r="G2943" s="9">
        <v>928</v>
      </c>
      <c r="H2943" s="9">
        <v>1950</v>
      </c>
      <c r="I2943" s="8">
        <v>148.648</v>
      </c>
      <c r="J2943" s="8">
        <v>120.78</v>
      </c>
      <c r="K2943" s="8">
        <v>108.169</v>
      </c>
      <c r="L2943" s="8">
        <v>96.423000000000002</v>
      </c>
      <c r="M2943" s="8">
        <v>85.247</v>
      </c>
      <c r="N2943" s="8">
        <v>74.311999999999998</v>
      </c>
      <c r="O2943" s="8">
        <v>64.010000000000005</v>
      </c>
      <c r="P2943" s="8">
        <v>54.627000000000002</v>
      </c>
      <c r="Q2943" s="8">
        <v>46.255000000000003</v>
      </c>
      <c r="R2943" s="8">
        <v>38.988</v>
      </c>
      <c r="S2943" s="8">
        <v>31.678999999999998</v>
      </c>
      <c r="T2943" s="8">
        <v>20.826000000000001</v>
      </c>
      <c r="U2943" s="8">
        <v>17.864999999999998</v>
      </c>
      <c r="V2943" s="8">
        <v>17.215</v>
      </c>
      <c r="W2943" s="8">
        <v>12.02</v>
      </c>
      <c r="X2943" s="8">
        <v>6.7830000000000004</v>
      </c>
      <c r="Y2943" s="8">
        <v>2.3279999999999998</v>
      </c>
      <c r="Z2943" s="8">
        <v>0.751</v>
      </c>
      <c r="AA2943" s="8">
        <v>0.17299999999999999</v>
      </c>
      <c r="AB2943" s="8">
        <v>2.8000000000000001E-2</v>
      </c>
      <c r="AC2943" s="8">
        <v>2E-3</v>
      </c>
    </row>
    <row r="2944" spans="1:29" ht="11.65" hidden="1" x14ac:dyDescent="0.35">
      <c r="A2944" s="12">
        <v>2927</v>
      </c>
      <c r="B2944" s="10" t="s">
        <v>1015</v>
      </c>
      <c r="C2944" s="11" t="s">
        <v>1219</v>
      </c>
      <c r="D2944" s="9"/>
      <c r="E2944" s="9">
        <v>598</v>
      </c>
      <c r="F2944" s="10" t="s">
        <v>1066</v>
      </c>
      <c r="G2944" s="9">
        <v>928</v>
      </c>
      <c r="H2944" s="9">
        <v>1955</v>
      </c>
      <c r="I2944" s="8">
        <v>171.55500000000001</v>
      </c>
      <c r="J2944" s="8">
        <v>131.279</v>
      </c>
      <c r="K2944" s="8">
        <v>111.544</v>
      </c>
      <c r="L2944" s="8">
        <v>100.023</v>
      </c>
      <c r="M2944" s="8">
        <v>87.882000000000005</v>
      </c>
      <c r="N2944" s="8">
        <v>76.706000000000003</v>
      </c>
      <c r="O2944" s="8">
        <v>66.472999999999999</v>
      </c>
      <c r="P2944" s="8">
        <v>56.868000000000002</v>
      </c>
      <c r="Q2944" s="8">
        <v>47.923999999999999</v>
      </c>
      <c r="R2944" s="8">
        <v>39.97</v>
      </c>
      <c r="S2944" s="8">
        <v>32.966999999999999</v>
      </c>
      <c r="T2944" s="8">
        <v>25.831</v>
      </c>
      <c r="U2944" s="8">
        <v>16.143000000000001</v>
      </c>
      <c r="V2944" s="8">
        <v>12.958</v>
      </c>
      <c r="W2944" s="8">
        <v>11.388</v>
      </c>
      <c r="X2944" s="8">
        <v>6.9379999999999997</v>
      </c>
      <c r="Y2944" s="8">
        <v>3.59</v>
      </c>
      <c r="Z2944" s="8">
        <v>0.29599999999999999</v>
      </c>
      <c r="AA2944" s="8">
        <v>4.8000000000000001E-2</v>
      </c>
      <c r="AB2944" s="8">
        <v>1.7000000000000001E-2</v>
      </c>
      <c r="AC2944" s="8">
        <v>3.0000000000000001E-3</v>
      </c>
    </row>
    <row r="2945" spans="1:29" ht="11.65" hidden="1" x14ac:dyDescent="0.35">
      <c r="A2945" s="12">
        <v>2928</v>
      </c>
      <c r="B2945" s="10" t="s">
        <v>1015</v>
      </c>
      <c r="C2945" s="11" t="s">
        <v>1219</v>
      </c>
      <c r="D2945" s="9"/>
      <c r="E2945" s="9">
        <v>598</v>
      </c>
      <c r="F2945" s="10" t="s">
        <v>1066</v>
      </c>
      <c r="G2945" s="9">
        <v>928</v>
      </c>
      <c r="H2945" s="9">
        <v>1960</v>
      </c>
      <c r="I2945" s="8">
        <v>185.905</v>
      </c>
      <c r="J2945" s="8">
        <v>156.59200000000001</v>
      </c>
      <c r="K2945" s="8">
        <v>124.745</v>
      </c>
      <c r="L2945" s="8">
        <v>105.992</v>
      </c>
      <c r="M2945" s="8">
        <v>93.751000000000005</v>
      </c>
      <c r="N2945" s="8">
        <v>81.41</v>
      </c>
      <c r="O2945" s="8">
        <v>70.644000000000005</v>
      </c>
      <c r="P2945" s="8">
        <v>60.726999999999997</v>
      </c>
      <c r="Q2945" s="8">
        <v>51.38</v>
      </c>
      <c r="R2945" s="8">
        <v>42.777999999999999</v>
      </c>
      <c r="S2945" s="8">
        <v>34.918999999999997</v>
      </c>
      <c r="T2945" s="8">
        <v>27.815999999999999</v>
      </c>
      <c r="U2945" s="8">
        <v>20.760999999999999</v>
      </c>
      <c r="V2945" s="8">
        <v>12.159000000000001</v>
      </c>
      <c r="W2945" s="8">
        <v>8.9130000000000003</v>
      </c>
      <c r="X2945" s="8">
        <v>6.8719999999999999</v>
      </c>
      <c r="Y2945" s="8">
        <v>3.52</v>
      </c>
      <c r="Z2945" s="8">
        <v>0.29599999999999999</v>
      </c>
      <c r="AA2945" s="8">
        <v>7.0000000000000001E-3</v>
      </c>
      <c r="AB2945" s="8">
        <v>5.0000000000000001E-3</v>
      </c>
      <c r="AC2945" s="8">
        <v>2E-3</v>
      </c>
    </row>
    <row r="2946" spans="1:29" ht="11.65" hidden="1" x14ac:dyDescent="0.35">
      <c r="A2946" s="12">
        <v>2929</v>
      </c>
      <c r="B2946" s="10" t="s">
        <v>1015</v>
      </c>
      <c r="C2946" s="11" t="s">
        <v>1219</v>
      </c>
      <c r="D2946" s="9"/>
      <c r="E2946" s="9">
        <v>598</v>
      </c>
      <c r="F2946" s="10" t="s">
        <v>1066</v>
      </c>
      <c r="G2946" s="9">
        <v>928</v>
      </c>
      <c r="H2946" s="9">
        <v>1965</v>
      </c>
      <c r="I2946" s="8">
        <v>204.82300000000001</v>
      </c>
      <c r="J2946" s="8">
        <v>172.97</v>
      </c>
      <c r="K2946" s="8">
        <v>150.994</v>
      </c>
      <c r="L2946" s="8">
        <v>120.092</v>
      </c>
      <c r="M2946" s="8">
        <v>100.607</v>
      </c>
      <c r="N2946" s="8">
        <v>88</v>
      </c>
      <c r="O2946" s="8">
        <v>75.953999999999994</v>
      </c>
      <c r="P2946" s="8">
        <v>65.421999999999997</v>
      </c>
      <c r="Q2946" s="8">
        <v>55.798000000000002</v>
      </c>
      <c r="R2946" s="8">
        <v>46.744999999999997</v>
      </c>
      <c r="S2946" s="8">
        <v>38.115000000000002</v>
      </c>
      <c r="T2946" s="8">
        <v>30.09</v>
      </c>
      <c r="U2946" s="8">
        <v>22.872</v>
      </c>
      <c r="V2946" s="8">
        <v>16.042999999999999</v>
      </c>
      <c r="W2946" s="8">
        <v>8.6020000000000003</v>
      </c>
      <c r="X2946" s="8">
        <v>5.5529999999999999</v>
      </c>
      <c r="Y2946" s="8">
        <v>3.6059999999999999</v>
      </c>
      <c r="Z2946" s="8">
        <v>0.34699999999999998</v>
      </c>
      <c r="AA2946" s="8">
        <v>4.0000000000000001E-3</v>
      </c>
      <c r="AB2946" s="8">
        <v>0</v>
      </c>
      <c r="AC2946" s="8">
        <v>1E-3</v>
      </c>
    </row>
    <row r="2947" spans="1:29" ht="11.65" hidden="1" x14ac:dyDescent="0.35">
      <c r="A2947" s="12">
        <v>2930</v>
      </c>
      <c r="B2947" s="10" t="s">
        <v>1015</v>
      </c>
      <c r="C2947" s="11" t="s">
        <v>1219</v>
      </c>
      <c r="D2947" s="9"/>
      <c r="E2947" s="9">
        <v>598</v>
      </c>
      <c r="F2947" s="10" t="s">
        <v>1066</v>
      </c>
      <c r="G2947" s="9">
        <v>928</v>
      </c>
      <c r="H2947" s="9">
        <v>1970</v>
      </c>
      <c r="I2947" s="8">
        <v>229.41399999999999</v>
      </c>
      <c r="J2947" s="8">
        <v>193.68</v>
      </c>
      <c r="K2947" s="8">
        <v>168.316</v>
      </c>
      <c r="L2947" s="8">
        <v>146.73400000000001</v>
      </c>
      <c r="M2947" s="8">
        <v>115.59399999999999</v>
      </c>
      <c r="N2947" s="8">
        <v>96.009</v>
      </c>
      <c r="O2947" s="8">
        <v>83.397000000000006</v>
      </c>
      <c r="P2947" s="8">
        <v>71.486000000000004</v>
      </c>
      <c r="Q2947" s="8">
        <v>61.085000000000001</v>
      </c>
      <c r="R2947" s="8">
        <v>51.572000000000003</v>
      </c>
      <c r="S2947" s="8">
        <v>42.363</v>
      </c>
      <c r="T2947" s="8">
        <v>33.488999999999997</v>
      </c>
      <c r="U2947" s="8">
        <v>25.306999999999999</v>
      </c>
      <c r="V2947" s="8">
        <v>18.129000000000001</v>
      </c>
      <c r="W2947" s="8">
        <v>11.691000000000001</v>
      </c>
      <c r="X2947" s="8">
        <v>5.5519999999999996</v>
      </c>
      <c r="Y2947" s="8">
        <v>3.03</v>
      </c>
      <c r="Z2947" s="8">
        <v>0.32500000000000001</v>
      </c>
      <c r="AA2947" s="8">
        <v>6.0000000000000001E-3</v>
      </c>
      <c r="AB2947" s="8">
        <v>0</v>
      </c>
      <c r="AC2947" s="8">
        <v>0</v>
      </c>
    </row>
    <row r="2948" spans="1:29" ht="11.65" hidden="1" x14ac:dyDescent="0.35">
      <c r="A2948" s="12">
        <v>2931</v>
      </c>
      <c r="B2948" s="10" t="s">
        <v>1015</v>
      </c>
      <c r="C2948" s="11" t="s">
        <v>1219</v>
      </c>
      <c r="D2948" s="9"/>
      <c r="E2948" s="9">
        <v>598</v>
      </c>
      <c r="F2948" s="10" t="s">
        <v>1066</v>
      </c>
      <c r="G2948" s="9">
        <v>928</v>
      </c>
      <c r="H2948" s="9">
        <v>1975</v>
      </c>
      <c r="I2948" s="8">
        <v>259.94499999999999</v>
      </c>
      <c r="J2948" s="8">
        <v>218.256</v>
      </c>
      <c r="K2948" s="8">
        <v>188.637</v>
      </c>
      <c r="L2948" s="8">
        <v>163.66300000000001</v>
      </c>
      <c r="M2948" s="8">
        <v>141.60499999999999</v>
      </c>
      <c r="N2948" s="8">
        <v>110.715</v>
      </c>
      <c r="O2948" s="8">
        <v>91.256</v>
      </c>
      <c r="P2948" s="8">
        <v>78.875</v>
      </c>
      <c r="Q2948" s="8">
        <v>67.186000000000007</v>
      </c>
      <c r="R2948" s="8">
        <v>56.826000000000001</v>
      </c>
      <c r="S2948" s="8">
        <v>47.098999999999997</v>
      </c>
      <c r="T2948" s="8">
        <v>37.590000000000003</v>
      </c>
      <c r="U2948" s="8">
        <v>28.521999999999998</v>
      </c>
      <c r="V2948" s="8">
        <v>20.37</v>
      </c>
      <c r="W2948" s="8">
        <v>13.464</v>
      </c>
      <c r="X2948" s="8">
        <v>7.7370000000000001</v>
      </c>
      <c r="Y2948" s="8">
        <v>3.0950000000000002</v>
      </c>
      <c r="Z2948" s="8">
        <v>0.32400000000000001</v>
      </c>
      <c r="AA2948" s="8">
        <v>1.2E-2</v>
      </c>
      <c r="AB2948" s="8">
        <v>0</v>
      </c>
      <c r="AC2948" s="8">
        <v>0</v>
      </c>
    </row>
    <row r="2949" spans="1:29" ht="11.65" hidden="1" x14ac:dyDescent="0.35">
      <c r="A2949" s="12">
        <v>2932</v>
      </c>
      <c r="B2949" s="10" t="s">
        <v>1015</v>
      </c>
      <c r="C2949" s="11" t="s">
        <v>1219</v>
      </c>
      <c r="D2949" s="9"/>
      <c r="E2949" s="9">
        <v>598</v>
      </c>
      <c r="F2949" s="10" t="s">
        <v>1066</v>
      </c>
      <c r="G2949" s="9">
        <v>928</v>
      </c>
      <c r="H2949" s="9">
        <v>1980</v>
      </c>
      <c r="I2949" s="8">
        <v>294.02699999999999</v>
      </c>
      <c r="J2949" s="8">
        <v>249.44499999999999</v>
      </c>
      <c r="K2949" s="8">
        <v>213.358</v>
      </c>
      <c r="L2949" s="8">
        <v>184.17599999999999</v>
      </c>
      <c r="M2949" s="8">
        <v>158.85499999999999</v>
      </c>
      <c r="N2949" s="8">
        <v>136.626</v>
      </c>
      <c r="O2949" s="8">
        <v>106.134</v>
      </c>
      <c r="P2949" s="8">
        <v>87.072000000000003</v>
      </c>
      <c r="Q2949" s="8">
        <v>74.793999999999997</v>
      </c>
      <c r="R2949" s="8">
        <v>63.08</v>
      </c>
      <c r="S2949" s="8">
        <v>52.441000000000003</v>
      </c>
      <c r="T2949" s="8">
        <v>42.323999999999998</v>
      </c>
      <c r="U2949" s="8">
        <v>32.517000000000003</v>
      </c>
      <c r="V2949" s="8">
        <v>23.388999999999999</v>
      </c>
      <c r="W2949" s="8">
        <v>15.468999999999999</v>
      </c>
      <c r="X2949" s="8">
        <v>9.1579999999999995</v>
      </c>
      <c r="Y2949" s="8">
        <v>4.4939999999999998</v>
      </c>
      <c r="Z2949" s="8">
        <v>0.44800000000000001</v>
      </c>
      <c r="AA2949" s="8">
        <v>1.4999999999999999E-2</v>
      </c>
      <c r="AB2949" s="8">
        <v>0</v>
      </c>
      <c r="AC2949" s="8">
        <v>0</v>
      </c>
    </row>
    <row r="2950" spans="1:29" ht="11.65" hidden="1" x14ac:dyDescent="0.35">
      <c r="A2950" s="12">
        <v>2933</v>
      </c>
      <c r="B2950" s="10" t="s">
        <v>1015</v>
      </c>
      <c r="C2950" s="11" t="s">
        <v>1219</v>
      </c>
      <c r="D2950" s="9"/>
      <c r="E2950" s="9">
        <v>598</v>
      </c>
      <c r="F2950" s="10" t="s">
        <v>1066</v>
      </c>
      <c r="G2950" s="9">
        <v>928</v>
      </c>
      <c r="H2950" s="9">
        <v>1985</v>
      </c>
      <c r="I2950" s="8">
        <v>324.83199999999999</v>
      </c>
      <c r="J2950" s="8">
        <v>285.32600000000002</v>
      </c>
      <c r="K2950" s="8">
        <v>246.24600000000001</v>
      </c>
      <c r="L2950" s="8">
        <v>210.40199999999999</v>
      </c>
      <c r="M2950" s="8">
        <v>180.709</v>
      </c>
      <c r="N2950" s="8">
        <v>155.11000000000001</v>
      </c>
      <c r="O2950" s="8">
        <v>132.851</v>
      </c>
      <c r="P2950" s="8">
        <v>102.795</v>
      </c>
      <c r="Q2950" s="8">
        <v>83.864999999999995</v>
      </c>
      <c r="R2950" s="8">
        <v>71.408000000000001</v>
      </c>
      <c r="S2950" s="8">
        <v>59.337000000000003</v>
      </c>
      <c r="T2950" s="8">
        <v>48.206000000000003</v>
      </c>
      <c r="U2950" s="8">
        <v>37.622</v>
      </c>
      <c r="V2950" s="8">
        <v>27.539000000000001</v>
      </c>
      <c r="W2950" s="8">
        <v>18.460999999999999</v>
      </c>
      <c r="X2950" s="8">
        <v>11.037000000000001</v>
      </c>
      <c r="Y2950" s="8">
        <v>5.6230000000000002</v>
      </c>
      <c r="Z2950" s="8">
        <v>0.65800000000000003</v>
      </c>
      <c r="AA2950" s="8">
        <v>2.1000000000000001E-2</v>
      </c>
      <c r="AB2950" s="8">
        <v>0</v>
      </c>
      <c r="AC2950" s="8">
        <v>0</v>
      </c>
    </row>
    <row r="2951" spans="1:29" ht="11.65" hidden="1" x14ac:dyDescent="0.35">
      <c r="A2951" s="12">
        <v>2934</v>
      </c>
      <c r="B2951" s="10" t="s">
        <v>1015</v>
      </c>
      <c r="C2951" s="11" t="s">
        <v>1219</v>
      </c>
      <c r="D2951" s="9"/>
      <c r="E2951" s="9">
        <v>598</v>
      </c>
      <c r="F2951" s="10" t="s">
        <v>1066</v>
      </c>
      <c r="G2951" s="9">
        <v>928</v>
      </c>
      <c r="H2951" s="9">
        <v>1990</v>
      </c>
      <c r="I2951" s="8">
        <v>345.05</v>
      </c>
      <c r="J2951" s="8">
        <v>316.09100000000001</v>
      </c>
      <c r="K2951" s="8">
        <v>281.72300000000001</v>
      </c>
      <c r="L2951" s="8">
        <v>242.899</v>
      </c>
      <c r="M2951" s="8">
        <v>206.679</v>
      </c>
      <c r="N2951" s="8">
        <v>176.71600000000001</v>
      </c>
      <c r="O2951" s="8">
        <v>150.96299999999999</v>
      </c>
      <c r="P2951" s="8">
        <v>128.80799999999999</v>
      </c>
      <c r="Q2951" s="8">
        <v>99.094999999999999</v>
      </c>
      <c r="R2951" s="8">
        <v>80.126999999999995</v>
      </c>
      <c r="S2951" s="8">
        <v>67.213999999999999</v>
      </c>
      <c r="T2951" s="8">
        <v>54.584000000000003</v>
      </c>
      <c r="U2951" s="8">
        <v>42.887</v>
      </c>
      <c r="V2951" s="8">
        <v>31.891999999999999</v>
      </c>
      <c r="W2951" s="8">
        <v>21.757000000000001</v>
      </c>
      <c r="X2951" s="8">
        <v>13.19</v>
      </c>
      <c r="Y2951" s="8">
        <v>6.7910000000000004</v>
      </c>
      <c r="Z2951" s="8">
        <v>0.9</v>
      </c>
      <c r="AA2951" s="8">
        <v>4.2999999999999997E-2</v>
      </c>
      <c r="AB2951" s="8">
        <v>0</v>
      </c>
      <c r="AC2951" s="8">
        <v>0</v>
      </c>
    </row>
    <row r="2952" spans="1:29" ht="11.65" hidden="1" x14ac:dyDescent="0.35">
      <c r="A2952" s="12">
        <v>2935</v>
      </c>
      <c r="B2952" s="10" t="s">
        <v>1015</v>
      </c>
      <c r="C2952" s="11" t="s">
        <v>1219</v>
      </c>
      <c r="D2952" s="9"/>
      <c r="E2952" s="9">
        <v>598</v>
      </c>
      <c r="F2952" s="10" t="s">
        <v>1066</v>
      </c>
      <c r="G2952" s="9">
        <v>928</v>
      </c>
      <c r="H2952" s="9">
        <v>1995</v>
      </c>
      <c r="I2952" s="8">
        <v>378.30700000000002</v>
      </c>
      <c r="J2952" s="8">
        <v>335.05900000000003</v>
      </c>
      <c r="K2952" s="8">
        <v>310.92500000000001</v>
      </c>
      <c r="L2952" s="8">
        <v>276.904</v>
      </c>
      <c r="M2952" s="8">
        <v>237.91200000000001</v>
      </c>
      <c r="N2952" s="8">
        <v>201.65100000000001</v>
      </c>
      <c r="O2952" s="8">
        <v>171.69399999999999</v>
      </c>
      <c r="P2952" s="8">
        <v>146.15299999999999</v>
      </c>
      <c r="Q2952" s="8">
        <v>124.033</v>
      </c>
      <c r="R2952" s="8">
        <v>94.605999999999995</v>
      </c>
      <c r="S2952" s="8">
        <v>75.421000000000006</v>
      </c>
      <c r="T2952" s="8">
        <v>61.914999999999999</v>
      </c>
      <c r="U2952" s="8">
        <v>48.707000000000001</v>
      </c>
      <c r="V2952" s="8">
        <v>36.54</v>
      </c>
      <c r="W2952" s="8">
        <v>25.391999999999999</v>
      </c>
      <c r="X2952" s="8">
        <v>15.725</v>
      </c>
      <c r="Y2952" s="8">
        <v>8.2319999999999993</v>
      </c>
      <c r="Z2952" s="8">
        <v>1.44</v>
      </c>
      <c r="AA2952" s="8">
        <v>9.4E-2</v>
      </c>
      <c r="AB2952" s="8">
        <v>2E-3</v>
      </c>
      <c r="AC2952" s="8">
        <v>0</v>
      </c>
    </row>
    <row r="2953" spans="1:29" ht="11.65" hidden="1" x14ac:dyDescent="0.35">
      <c r="A2953" s="12">
        <v>2936</v>
      </c>
      <c r="B2953" s="10" t="s">
        <v>1015</v>
      </c>
      <c r="C2953" s="11" t="s">
        <v>1219</v>
      </c>
      <c r="D2953" s="9"/>
      <c r="E2953" s="9">
        <v>598</v>
      </c>
      <c r="F2953" s="10" t="s">
        <v>1066</v>
      </c>
      <c r="G2953" s="9">
        <v>928</v>
      </c>
      <c r="H2953" s="9">
        <v>2000</v>
      </c>
      <c r="I2953" s="8">
        <v>429.44799999999998</v>
      </c>
      <c r="J2953" s="8">
        <v>368.46300000000002</v>
      </c>
      <c r="K2953" s="8">
        <v>329.70600000000002</v>
      </c>
      <c r="L2953" s="8">
        <v>305.74599999999998</v>
      </c>
      <c r="M2953" s="8">
        <v>271.42599999999999</v>
      </c>
      <c r="N2953" s="8">
        <v>232.36600000000001</v>
      </c>
      <c r="O2953" s="8">
        <v>196.172</v>
      </c>
      <c r="P2953" s="8">
        <v>166.45599999999999</v>
      </c>
      <c r="Q2953" s="8">
        <v>140.946</v>
      </c>
      <c r="R2953" s="8">
        <v>118.62</v>
      </c>
      <c r="S2953" s="8">
        <v>89.238</v>
      </c>
      <c r="T2953" s="8">
        <v>69.649000000000001</v>
      </c>
      <c r="U2953" s="8">
        <v>55.436999999999998</v>
      </c>
      <c r="V2953" s="8">
        <v>41.676000000000002</v>
      </c>
      <c r="W2953" s="8">
        <v>29.248999999999999</v>
      </c>
      <c r="X2953" s="8">
        <v>18.478999999999999</v>
      </c>
      <c r="Y2953" s="8">
        <v>9.9030000000000005</v>
      </c>
      <c r="Z2953" s="8">
        <v>2.0139999999999998</v>
      </c>
      <c r="AA2953" s="8">
        <v>0.183</v>
      </c>
      <c r="AB2953" s="8">
        <v>6.0000000000000001E-3</v>
      </c>
      <c r="AC2953" s="8">
        <v>0</v>
      </c>
    </row>
    <row r="2954" spans="1:29" ht="11.65" hidden="1" x14ac:dyDescent="0.35">
      <c r="A2954" s="12">
        <v>2937</v>
      </c>
      <c r="B2954" s="10" t="s">
        <v>1015</v>
      </c>
      <c r="C2954" s="11" t="s">
        <v>1219</v>
      </c>
      <c r="D2954" s="9"/>
      <c r="E2954" s="9">
        <v>598</v>
      </c>
      <c r="F2954" s="10" t="s">
        <v>1066</v>
      </c>
      <c r="G2954" s="9">
        <v>928</v>
      </c>
      <c r="H2954" s="9">
        <v>2005</v>
      </c>
      <c r="I2954" s="8">
        <v>458.29199999999997</v>
      </c>
      <c r="J2954" s="8">
        <v>415.21</v>
      </c>
      <c r="K2954" s="8">
        <v>359.18200000000002</v>
      </c>
      <c r="L2954" s="8">
        <v>321.23899999999998</v>
      </c>
      <c r="M2954" s="8">
        <v>297.11</v>
      </c>
      <c r="N2954" s="8">
        <v>262.95400000000001</v>
      </c>
      <c r="O2954" s="8">
        <v>224.30799999999999</v>
      </c>
      <c r="P2954" s="8">
        <v>188.74600000000001</v>
      </c>
      <c r="Q2954" s="8">
        <v>159.334</v>
      </c>
      <c r="R2954" s="8">
        <v>133.83099999999999</v>
      </c>
      <c r="S2954" s="8">
        <v>111.15600000000001</v>
      </c>
      <c r="T2954" s="8">
        <v>81.956999999999994</v>
      </c>
      <c r="U2954" s="8">
        <v>62.085000000000001</v>
      </c>
      <c r="V2954" s="8">
        <v>47.298999999999999</v>
      </c>
      <c r="W2954" s="8">
        <v>33.331000000000003</v>
      </c>
      <c r="X2954" s="8">
        <v>21.327000000000002</v>
      </c>
      <c r="Y2954" s="8">
        <v>11.693</v>
      </c>
      <c r="Z2954" s="8">
        <v>2.3769999999999998</v>
      </c>
      <c r="AA2954" s="8">
        <v>0.248</v>
      </c>
      <c r="AB2954" s="8">
        <v>0.01</v>
      </c>
      <c r="AC2954" s="8">
        <v>0</v>
      </c>
    </row>
    <row r="2955" spans="1:29" ht="11.65" hidden="1" x14ac:dyDescent="0.35">
      <c r="A2955" s="12">
        <v>2938</v>
      </c>
      <c r="B2955" s="10" t="s">
        <v>1015</v>
      </c>
      <c r="C2955" s="11" t="s">
        <v>1219</v>
      </c>
      <c r="D2955" s="9"/>
      <c r="E2955" s="9">
        <v>598</v>
      </c>
      <c r="F2955" s="10" t="s">
        <v>1066</v>
      </c>
      <c r="G2955" s="9">
        <v>928</v>
      </c>
      <c r="H2955" s="9">
        <v>2010</v>
      </c>
      <c r="I2955" s="8">
        <v>489.18200000000002</v>
      </c>
      <c r="J2955" s="8">
        <v>452.78699999999998</v>
      </c>
      <c r="K2955" s="8">
        <v>413.31099999999998</v>
      </c>
      <c r="L2955" s="8">
        <v>357.38799999999998</v>
      </c>
      <c r="M2955" s="8">
        <v>318.94900000000001</v>
      </c>
      <c r="N2955" s="8">
        <v>294.233</v>
      </c>
      <c r="O2955" s="8">
        <v>259.60000000000002</v>
      </c>
      <c r="P2955" s="8">
        <v>220.786</v>
      </c>
      <c r="Q2955" s="8">
        <v>184.89400000000001</v>
      </c>
      <c r="R2955" s="8">
        <v>154.899</v>
      </c>
      <c r="S2955" s="8">
        <v>128.517</v>
      </c>
      <c r="T2955" s="8">
        <v>104.753</v>
      </c>
      <c r="U2955" s="8">
        <v>75.105999999999995</v>
      </c>
      <c r="V2955" s="8">
        <v>54.582000000000001</v>
      </c>
      <c r="W2955" s="8">
        <v>39.076999999999998</v>
      </c>
      <c r="X2955" s="8">
        <v>25.21</v>
      </c>
      <c r="Y2955" s="8">
        <v>14.052</v>
      </c>
      <c r="Z2955" s="8">
        <v>3.0219999999999998</v>
      </c>
      <c r="AA2955" s="8">
        <v>0.32400000000000001</v>
      </c>
      <c r="AB2955" s="8">
        <v>1.6E-2</v>
      </c>
      <c r="AC2955" s="8">
        <v>0</v>
      </c>
    </row>
    <row r="2956" spans="1:29" ht="11.65" hidden="1" x14ac:dyDescent="0.35">
      <c r="A2956" s="12">
        <v>2939</v>
      </c>
      <c r="B2956" s="10" t="s">
        <v>1015</v>
      </c>
      <c r="C2956" s="11" t="s">
        <v>1219</v>
      </c>
      <c r="D2956" s="9"/>
      <c r="E2956" s="9">
        <v>598</v>
      </c>
      <c r="F2956" s="10" t="s">
        <v>1066</v>
      </c>
      <c r="G2956" s="9">
        <v>928</v>
      </c>
      <c r="H2956" s="9">
        <v>2015</v>
      </c>
      <c r="I2956" s="8">
        <v>509.13400000000001</v>
      </c>
      <c r="J2956" s="8">
        <v>483.42399999999998</v>
      </c>
      <c r="K2956" s="8">
        <v>450.14100000000002</v>
      </c>
      <c r="L2956" s="8">
        <v>410.512</v>
      </c>
      <c r="M2956" s="8">
        <v>353.75599999999997</v>
      </c>
      <c r="N2956" s="8">
        <v>315.089</v>
      </c>
      <c r="O2956" s="8">
        <v>290.16399999999999</v>
      </c>
      <c r="P2956" s="8">
        <v>255.28899999999999</v>
      </c>
      <c r="Q2956" s="8">
        <v>216.18</v>
      </c>
      <c r="R2956" s="8">
        <v>179.89400000000001</v>
      </c>
      <c r="S2956" s="8">
        <v>149.22300000000001</v>
      </c>
      <c r="T2956" s="8">
        <v>121.996</v>
      </c>
      <c r="U2956" s="8">
        <v>96.003</v>
      </c>
      <c r="V2956" s="8">
        <v>63.517000000000003</v>
      </c>
      <c r="W2956" s="8">
        <v>40.186999999999998</v>
      </c>
      <c r="X2956" s="8">
        <v>23.358000000000001</v>
      </c>
      <c r="Y2956" s="8">
        <v>11.108000000000001</v>
      </c>
      <c r="Z2956" s="8">
        <v>3.93</v>
      </c>
      <c r="AA2956" s="8">
        <v>0.45400000000000001</v>
      </c>
      <c r="AB2956" s="8">
        <v>2.3E-2</v>
      </c>
      <c r="AC2956" s="8">
        <v>1E-3</v>
      </c>
    </row>
    <row r="2957" spans="1:29" ht="11.65" hidden="1" x14ac:dyDescent="0.35">
      <c r="A2957" s="12">
        <v>2940</v>
      </c>
      <c r="B2957" s="10" t="s">
        <v>1015</v>
      </c>
      <c r="C2957" s="11" t="s">
        <v>1219</v>
      </c>
      <c r="D2957" s="9"/>
      <c r="E2957" s="9">
        <v>598</v>
      </c>
      <c r="F2957" s="10" t="s">
        <v>1066</v>
      </c>
      <c r="G2957" s="9">
        <v>928</v>
      </c>
      <c r="H2957" s="9">
        <v>2020</v>
      </c>
      <c r="I2957" s="8">
        <v>534.54100000000005</v>
      </c>
      <c r="J2957" s="8">
        <v>504.20800000000003</v>
      </c>
      <c r="K2957" s="8">
        <v>480.93</v>
      </c>
      <c r="L2957" s="8">
        <v>447.36099999999999</v>
      </c>
      <c r="M2957" s="8">
        <v>406.67700000000002</v>
      </c>
      <c r="N2957" s="8">
        <v>349.81299999999999</v>
      </c>
      <c r="O2957" s="8">
        <v>311.06200000000001</v>
      </c>
      <c r="P2957" s="8">
        <v>285.69600000000003</v>
      </c>
      <c r="Q2957" s="8">
        <v>250.316</v>
      </c>
      <c r="R2957" s="8">
        <v>210.65899999999999</v>
      </c>
      <c r="S2957" s="8">
        <v>173.61</v>
      </c>
      <c r="T2957" s="8">
        <v>141.96899999999999</v>
      </c>
      <c r="U2957" s="8">
        <v>112.295</v>
      </c>
      <c r="V2957" s="8">
        <v>82.1</v>
      </c>
      <c r="W2957" s="8">
        <v>47.87</v>
      </c>
      <c r="X2957" s="8">
        <v>24.959</v>
      </c>
      <c r="Y2957" s="8">
        <v>10.863</v>
      </c>
      <c r="Z2957" s="8">
        <v>3.3410000000000002</v>
      </c>
      <c r="AA2957" s="8">
        <v>0.64900000000000002</v>
      </c>
      <c r="AB2957" s="8">
        <v>3.5000000000000003E-2</v>
      </c>
      <c r="AC2957" s="8">
        <v>1E-3</v>
      </c>
    </row>
    <row r="2958" spans="1:29" ht="11.65" hidden="1" x14ac:dyDescent="0.35">
      <c r="A2958" s="12">
        <v>2941</v>
      </c>
      <c r="B2958" s="10" t="s">
        <v>1015</v>
      </c>
      <c r="C2958" s="11" t="s">
        <v>1220</v>
      </c>
      <c r="D2958" s="9"/>
      <c r="E2958" s="9">
        <v>90</v>
      </c>
      <c r="F2958" s="10" t="s">
        <v>1066</v>
      </c>
      <c r="G2958" s="9">
        <v>928</v>
      </c>
      <c r="H2958" s="9">
        <v>1950</v>
      </c>
      <c r="I2958" s="8">
        <v>7.101</v>
      </c>
      <c r="J2958" s="8">
        <v>6.7</v>
      </c>
      <c r="K2958" s="8">
        <v>5</v>
      </c>
      <c r="L2958" s="8">
        <v>4.8</v>
      </c>
      <c r="M2958" s="8">
        <v>3.6</v>
      </c>
      <c r="N2958" s="8">
        <v>3.3</v>
      </c>
      <c r="O2958" s="8">
        <v>2.2999999999999998</v>
      </c>
      <c r="P2958" s="8">
        <v>2</v>
      </c>
      <c r="Q2958" s="8">
        <v>1.6</v>
      </c>
      <c r="R2958" s="8">
        <v>1.2</v>
      </c>
      <c r="S2958" s="8">
        <v>1.3</v>
      </c>
      <c r="T2958" s="8">
        <v>0.69899999999999995</v>
      </c>
      <c r="U2958" s="8">
        <v>0.3</v>
      </c>
      <c r="V2958" s="8">
        <v>0.2</v>
      </c>
      <c r="W2958" s="8">
        <v>0.1</v>
      </c>
      <c r="X2958" s="8">
        <v>7.4999999999999997E-2</v>
      </c>
      <c r="Y2958" s="8">
        <v>1.4999999999999999E-2</v>
      </c>
      <c r="Z2958" s="8">
        <v>5.0000000000000001E-3</v>
      </c>
      <c r="AA2958" s="8">
        <v>0</v>
      </c>
      <c r="AB2958" s="8">
        <v>0</v>
      </c>
      <c r="AC2958" s="8">
        <v>0</v>
      </c>
    </row>
    <row r="2959" spans="1:29" ht="11.65" hidden="1" x14ac:dyDescent="0.35">
      <c r="A2959" s="12">
        <v>2942</v>
      </c>
      <c r="B2959" s="10" t="s">
        <v>1015</v>
      </c>
      <c r="C2959" s="11" t="s">
        <v>1220</v>
      </c>
      <c r="D2959" s="9"/>
      <c r="E2959" s="9">
        <v>90</v>
      </c>
      <c r="F2959" s="10" t="s">
        <v>1066</v>
      </c>
      <c r="G2959" s="9">
        <v>928</v>
      </c>
      <c r="H2959" s="9">
        <v>1955</v>
      </c>
      <c r="I2959" s="8">
        <v>7.8230000000000004</v>
      </c>
      <c r="J2959" s="8">
        <v>7.032</v>
      </c>
      <c r="K2959" s="8">
        <v>6.6820000000000004</v>
      </c>
      <c r="L2959" s="8">
        <v>4.83</v>
      </c>
      <c r="M2959" s="8">
        <v>4.6459999999999999</v>
      </c>
      <c r="N2959" s="8">
        <v>3.4780000000000002</v>
      </c>
      <c r="O2959" s="8">
        <v>3.1890000000000001</v>
      </c>
      <c r="P2959" s="8">
        <v>2.218</v>
      </c>
      <c r="Q2959" s="8">
        <v>1.91</v>
      </c>
      <c r="R2959" s="8">
        <v>1.5089999999999999</v>
      </c>
      <c r="S2959" s="8">
        <v>1.1080000000000001</v>
      </c>
      <c r="T2959" s="8">
        <v>1.1759999999999999</v>
      </c>
      <c r="U2959" s="8">
        <v>0.61299999999999999</v>
      </c>
      <c r="V2959" s="8">
        <v>0.25700000000000001</v>
      </c>
      <c r="W2959" s="8">
        <v>0.18</v>
      </c>
      <c r="X2959" s="8">
        <v>9.5000000000000001E-2</v>
      </c>
      <c r="Y2959" s="8">
        <v>5.0999999999999997E-2</v>
      </c>
      <c r="Z2959" s="8">
        <v>6.0000000000000001E-3</v>
      </c>
      <c r="AA2959" s="8">
        <v>0</v>
      </c>
      <c r="AB2959" s="8">
        <v>0</v>
      </c>
      <c r="AC2959" s="8">
        <v>0</v>
      </c>
    </row>
    <row r="2960" spans="1:29" ht="11.65" hidden="1" x14ac:dyDescent="0.35">
      <c r="A2960" s="12">
        <v>2943</v>
      </c>
      <c r="B2960" s="10" t="s">
        <v>1015</v>
      </c>
      <c r="C2960" s="11" t="s">
        <v>1220</v>
      </c>
      <c r="D2960" s="9"/>
      <c r="E2960" s="9">
        <v>90</v>
      </c>
      <c r="F2960" s="10" t="s">
        <v>1066</v>
      </c>
      <c r="G2960" s="9">
        <v>928</v>
      </c>
      <c r="H2960" s="9">
        <v>1960</v>
      </c>
      <c r="I2960" s="8">
        <v>9.3930000000000007</v>
      </c>
      <c r="J2960" s="8">
        <v>7.8479999999999999</v>
      </c>
      <c r="K2960" s="8">
        <v>7.07</v>
      </c>
      <c r="L2960" s="8">
        <v>6.4669999999999996</v>
      </c>
      <c r="M2960" s="8">
        <v>4.6520000000000001</v>
      </c>
      <c r="N2960" s="8">
        <v>4.4950000000000001</v>
      </c>
      <c r="O2960" s="8">
        <v>3.3690000000000002</v>
      </c>
      <c r="P2960" s="8">
        <v>3.0760000000000001</v>
      </c>
      <c r="Q2960" s="8">
        <v>2.1379999999999999</v>
      </c>
      <c r="R2960" s="8">
        <v>1.8180000000000001</v>
      </c>
      <c r="S2960" s="8">
        <v>1.411</v>
      </c>
      <c r="T2960" s="8">
        <v>1.0109999999999999</v>
      </c>
      <c r="U2960" s="8">
        <v>1.0309999999999999</v>
      </c>
      <c r="V2960" s="8">
        <v>0.503</v>
      </c>
      <c r="W2960" s="8">
        <v>0.187</v>
      </c>
      <c r="X2960" s="8">
        <v>0.10100000000000001</v>
      </c>
      <c r="Y2960" s="8">
        <v>3.5000000000000003E-2</v>
      </c>
      <c r="Z2960" s="8">
        <v>1.7000000000000001E-2</v>
      </c>
      <c r="AA2960" s="8">
        <v>1E-3</v>
      </c>
      <c r="AB2960" s="8">
        <v>0</v>
      </c>
      <c r="AC2960" s="8">
        <v>0</v>
      </c>
    </row>
    <row r="2961" spans="1:29" ht="11.65" hidden="1" x14ac:dyDescent="0.35">
      <c r="A2961" s="12">
        <v>2944</v>
      </c>
      <c r="B2961" s="10" t="s">
        <v>1015</v>
      </c>
      <c r="C2961" s="11" t="s">
        <v>1220</v>
      </c>
      <c r="D2961" s="9"/>
      <c r="E2961" s="9">
        <v>90</v>
      </c>
      <c r="F2961" s="10" t="s">
        <v>1066</v>
      </c>
      <c r="G2961" s="9">
        <v>928</v>
      </c>
      <c r="H2961" s="9">
        <v>1965</v>
      </c>
      <c r="I2961" s="8">
        <v>11.249000000000001</v>
      </c>
      <c r="J2961" s="8">
        <v>9.5069999999999997</v>
      </c>
      <c r="K2961" s="8">
        <v>7.97</v>
      </c>
      <c r="L2961" s="8">
        <v>6.9020000000000001</v>
      </c>
      <c r="M2961" s="8">
        <v>6.3109999999999999</v>
      </c>
      <c r="N2961" s="8">
        <v>4.5460000000000003</v>
      </c>
      <c r="O2961" s="8">
        <v>4.3680000000000003</v>
      </c>
      <c r="P2961" s="8">
        <v>3.27</v>
      </c>
      <c r="Q2961" s="8">
        <v>2.98</v>
      </c>
      <c r="R2961" s="8">
        <v>2.0569999999999999</v>
      </c>
      <c r="S2961" s="8">
        <v>1.718</v>
      </c>
      <c r="T2961" s="8">
        <v>1.306</v>
      </c>
      <c r="U2961" s="8">
        <v>0.90700000000000003</v>
      </c>
      <c r="V2961" s="8">
        <v>0.876</v>
      </c>
      <c r="W2961" s="8">
        <v>0.39900000000000002</v>
      </c>
      <c r="X2961" s="8">
        <v>0.124</v>
      </c>
      <c r="Y2961" s="8">
        <v>5.1999999999999998E-2</v>
      </c>
      <c r="Z2961" s="8">
        <v>1.2999999999999999E-2</v>
      </c>
      <c r="AA2961" s="8">
        <v>4.0000000000000001E-3</v>
      </c>
      <c r="AB2961" s="8">
        <v>0</v>
      </c>
      <c r="AC2961" s="8">
        <v>0</v>
      </c>
    </row>
    <row r="2962" spans="1:29" ht="11.65" hidden="1" x14ac:dyDescent="0.35">
      <c r="A2962" s="12">
        <v>2945</v>
      </c>
      <c r="B2962" s="10" t="s">
        <v>1015</v>
      </c>
      <c r="C2962" s="11" t="s">
        <v>1220</v>
      </c>
      <c r="D2962" s="9"/>
      <c r="E2962" s="9">
        <v>90</v>
      </c>
      <c r="F2962" s="10" t="s">
        <v>1066</v>
      </c>
      <c r="G2962" s="9">
        <v>928</v>
      </c>
      <c r="H2962" s="9">
        <v>1970</v>
      </c>
      <c r="I2962" s="8">
        <v>13.372999999999999</v>
      </c>
      <c r="J2962" s="8">
        <v>10.766</v>
      </c>
      <c r="K2962" s="8">
        <v>9.4120000000000008</v>
      </c>
      <c r="L2962" s="8">
        <v>7.9180000000000001</v>
      </c>
      <c r="M2962" s="8">
        <v>6.827</v>
      </c>
      <c r="N2962" s="8">
        <v>6.2080000000000002</v>
      </c>
      <c r="O2962" s="8">
        <v>4.45</v>
      </c>
      <c r="P2962" s="8">
        <v>4.2380000000000004</v>
      </c>
      <c r="Q2962" s="8">
        <v>3.1480000000000001</v>
      </c>
      <c r="R2962" s="8">
        <v>2.851</v>
      </c>
      <c r="S2962" s="8">
        <v>1.9710000000000001</v>
      </c>
      <c r="T2962" s="8">
        <v>1.651</v>
      </c>
      <c r="U2962" s="8">
        <v>1.228</v>
      </c>
      <c r="V2962" s="8">
        <v>0.82699999999999996</v>
      </c>
      <c r="W2962" s="8">
        <v>0.73899999999999999</v>
      </c>
      <c r="X2962" s="8">
        <v>0.312</v>
      </c>
      <c r="Y2962" s="8">
        <v>8.8999999999999996E-2</v>
      </c>
      <c r="Z2962" s="8">
        <v>0.02</v>
      </c>
      <c r="AA2962" s="8">
        <v>3.0000000000000001E-3</v>
      </c>
      <c r="AB2962" s="8">
        <v>0</v>
      </c>
      <c r="AC2962" s="8">
        <v>0</v>
      </c>
    </row>
    <row r="2963" spans="1:29" ht="11.65" hidden="1" x14ac:dyDescent="0.35">
      <c r="A2963" s="12">
        <v>2946</v>
      </c>
      <c r="B2963" s="10" t="s">
        <v>1015</v>
      </c>
      <c r="C2963" s="11" t="s">
        <v>1220</v>
      </c>
      <c r="D2963" s="9"/>
      <c r="E2963" s="9">
        <v>90</v>
      </c>
      <c r="F2963" s="10" t="s">
        <v>1066</v>
      </c>
      <c r="G2963" s="9">
        <v>928</v>
      </c>
      <c r="H2963" s="9">
        <v>1975</v>
      </c>
      <c r="I2963" s="8">
        <v>18.681999999999999</v>
      </c>
      <c r="J2963" s="8">
        <v>14.029</v>
      </c>
      <c r="K2963" s="8">
        <v>11.706</v>
      </c>
      <c r="L2963" s="8">
        <v>9.3369999999999997</v>
      </c>
      <c r="M2963" s="8">
        <v>7.3940000000000001</v>
      </c>
      <c r="N2963" s="8">
        <v>6.673</v>
      </c>
      <c r="O2963" s="8">
        <v>6.2359999999999998</v>
      </c>
      <c r="P2963" s="8">
        <v>4.2690000000000001</v>
      </c>
      <c r="Q2963" s="8">
        <v>3.8780000000000001</v>
      </c>
      <c r="R2963" s="8">
        <v>2.8109999999999999</v>
      </c>
      <c r="S2963" s="8">
        <v>2.5289999999999999</v>
      </c>
      <c r="T2963" s="8">
        <v>1.698</v>
      </c>
      <c r="U2963" s="8">
        <v>1.4370000000000001</v>
      </c>
      <c r="V2963" s="8">
        <v>0.99</v>
      </c>
      <c r="W2963" s="8">
        <v>0.61199999999999999</v>
      </c>
      <c r="X2963" s="8">
        <v>0.48899999999999999</v>
      </c>
      <c r="Y2963" s="8">
        <v>0.153</v>
      </c>
      <c r="Z2963" s="8">
        <v>3.5999999999999997E-2</v>
      </c>
      <c r="AA2963" s="8">
        <v>5.0000000000000001E-3</v>
      </c>
      <c r="AB2963" s="8">
        <v>0</v>
      </c>
      <c r="AC2963" s="8">
        <v>0</v>
      </c>
    </row>
    <row r="2964" spans="1:29" ht="11.65" hidden="1" x14ac:dyDescent="0.35">
      <c r="A2964" s="12">
        <v>2947</v>
      </c>
      <c r="B2964" s="10" t="s">
        <v>1015</v>
      </c>
      <c r="C2964" s="11" t="s">
        <v>1220</v>
      </c>
      <c r="D2964" s="9"/>
      <c r="E2964" s="9">
        <v>90</v>
      </c>
      <c r="F2964" s="10" t="s">
        <v>1066</v>
      </c>
      <c r="G2964" s="9">
        <v>928</v>
      </c>
      <c r="H2964" s="9">
        <v>1980</v>
      </c>
      <c r="I2964" s="8">
        <v>21.591999999999999</v>
      </c>
      <c r="J2964" s="8">
        <v>18.065000000000001</v>
      </c>
      <c r="K2964" s="8">
        <v>13.292</v>
      </c>
      <c r="L2964" s="8">
        <v>11.246</v>
      </c>
      <c r="M2964" s="8">
        <v>9.4019999999999992</v>
      </c>
      <c r="N2964" s="8">
        <v>7.6749999999999998</v>
      </c>
      <c r="O2964" s="8">
        <v>6.9050000000000002</v>
      </c>
      <c r="P2964" s="8">
        <v>6.1070000000000002</v>
      </c>
      <c r="Q2964" s="8">
        <v>4.0140000000000002</v>
      </c>
      <c r="R2964" s="8">
        <v>3.72</v>
      </c>
      <c r="S2964" s="8">
        <v>2.6520000000000001</v>
      </c>
      <c r="T2964" s="8">
        <v>2.3359999999999999</v>
      </c>
      <c r="U2964" s="8">
        <v>1.5580000000000001</v>
      </c>
      <c r="V2964" s="8">
        <v>1.1970000000000001</v>
      </c>
      <c r="W2964" s="8">
        <v>0.79400000000000004</v>
      </c>
      <c r="X2964" s="8">
        <v>0.46100000000000002</v>
      </c>
      <c r="Y2964" s="8">
        <v>0.27800000000000002</v>
      </c>
      <c r="Z2964" s="8">
        <v>6.3E-2</v>
      </c>
      <c r="AA2964" s="8">
        <v>0.01</v>
      </c>
      <c r="AB2964" s="8">
        <v>0</v>
      </c>
      <c r="AC2964" s="8">
        <v>0</v>
      </c>
    </row>
    <row r="2965" spans="1:29" ht="11.65" hidden="1" x14ac:dyDescent="0.35">
      <c r="A2965" s="12">
        <v>2948</v>
      </c>
      <c r="B2965" s="10" t="s">
        <v>1015</v>
      </c>
      <c r="C2965" s="11" t="s">
        <v>1220</v>
      </c>
      <c r="D2965" s="9"/>
      <c r="E2965" s="9">
        <v>90</v>
      </c>
      <c r="F2965" s="10" t="s">
        <v>1066</v>
      </c>
      <c r="G2965" s="9">
        <v>928</v>
      </c>
      <c r="H2965" s="9">
        <v>1985</v>
      </c>
      <c r="I2965" s="8">
        <v>23.45</v>
      </c>
      <c r="J2965" s="8">
        <v>20.997</v>
      </c>
      <c r="K2965" s="8">
        <v>17.890999999999998</v>
      </c>
      <c r="L2965" s="8">
        <v>13.151</v>
      </c>
      <c r="M2965" s="8">
        <v>11.074</v>
      </c>
      <c r="N2965" s="8">
        <v>9.2279999999999998</v>
      </c>
      <c r="O2965" s="8">
        <v>7.5149999999999997</v>
      </c>
      <c r="P2965" s="8">
        <v>6.7370000000000001</v>
      </c>
      <c r="Q2965" s="8">
        <v>5.93</v>
      </c>
      <c r="R2965" s="8">
        <v>3.8730000000000002</v>
      </c>
      <c r="S2965" s="8">
        <v>3.55</v>
      </c>
      <c r="T2965" s="8">
        <v>2.4849999999999999</v>
      </c>
      <c r="U2965" s="8">
        <v>2.125</v>
      </c>
      <c r="V2965" s="8">
        <v>1.347</v>
      </c>
      <c r="W2965" s="8">
        <v>0.94899999999999995</v>
      </c>
      <c r="X2965" s="8">
        <v>0.55000000000000004</v>
      </c>
      <c r="Y2965" s="8">
        <v>0.25600000000000001</v>
      </c>
      <c r="Z2965" s="8">
        <v>0.126</v>
      </c>
      <c r="AA2965" s="8">
        <v>1.9E-2</v>
      </c>
      <c r="AB2965" s="8">
        <v>2E-3</v>
      </c>
      <c r="AC2965" s="8">
        <v>0</v>
      </c>
    </row>
    <row r="2966" spans="1:29" ht="11.65" hidden="1" x14ac:dyDescent="0.35">
      <c r="A2966" s="12">
        <v>2949</v>
      </c>
      <c r="B2966" s="10" t="s">
        <v>1015</v>
      </c>
      <c r="C2966" s="11" t="s">
        <v>1220</v>
      </c>
      <c r="D2966" s="9"/>
      <c r="E2966" s="9">
        <v>90</v>
      </c>
      <c r="F2966" s="10" t="s">
        <v>1066</v>
      </c>
      <c r="G2966" s="9">
        <v>928</v>
      </c>
      <c r="H2966" s="9">
        <v>1990</v>
      </c>
      <c r="I2966" s="8">
        <v>25.695</v>
      </c>
      <c r="J2966" s="8">
        <v>22.29</v>
      </c>
      <c r="K2966" s="8">
        <v>20.59</v>
      </c>
      <c r="L2966" s="8">
        <v>17.651</v>
      </c>
      <c r="M2966" s="8">
        <v>12.903</v>
      </c>
      <c r="N2966" s="8">
        <v>10.821999999999999</v>
      </c>
      <c r="O2966" s="8">
        <v>8.9890000000000008</v>
      </c>
      <c r="P2966" s="8">
        <v>7.2930000000000001</v>
      </c>
      <c r="Q2966" s="8">
        <v>6.508</v>
      </c>
      <c r="R2966" s="8">
        <v>5.694</v>
      </c>
      <c r="S2966" s="8">
        <v>3.6760000000000002</v>
      </c>
      <c r="T2966" s="8">
        <v>3.3029999999999999</v>
      </c>
      <c r="U2966" s="8">
        <v>2.238</v>
      </c>
      <c r="V2966" s="8">
        <v>1.8120000000000001</v>
      </c>
      <c r="W2966" s="8">
        <v>1.0529999999999999</v>
      </c>
      <c r="X2966" s="8">
        <v>0.64400000000000002</v>
      </c>
      <c r="Y2966" s="8">
        <v>0.29799999999999999</v>
      </c>
      <c r="Z2966" s="8">
        <v>0.124</v>
      </c>
      <c r="AA2966" s="8">
        <v>4.2999999999999997E-2</v>
      </c>
      <c r="AB2966" s="8">
        <v>4.0000000000000001E-3</v>
      </c>
      <c r="AC2966" s="8">
        <v>0</v>
      </c>
    </row>
    <row r="2967" spans="1:29" ht="11.65" hidden="1" x14ac:dyDescent="0.35">
      <c r="A2967" s="12">
        <v>2950</v>
      </c>
      <c r="B2967" s="10" t="s">
        <v>1015</v>
      </c>
      <c r="C2967" s="11" t="s">
        <v>1220</v>
      </c>
      <c r="D2967" s="9"/>
      <c r="E2967" s="9">
        <v>90</v>
      </c>
      <c r="F2967" s="10" t="s">
        <v>1066</v>
      </c>
      <c r="G2967" s="9">
        <v>928</v>
      </c>
      <c r="H2967" s="9">
        <v>1995</v>
      </c>
      <c r="I2967" s="8">
        <v>28.481999999999999</v>
      </c>
      <c r="J2967" s="8">
        <v>24.710999999999999</v>
      </c>
      <c r="K2967" s="8">
        <v>21.954999999999998</v>
      </c>
      <c r="L2967" s="8">
        <v>20.361999999999998</v>
      </c>
      <c r="M2967" s="8">
        <v>17.367000000000001</v>
      </c>
      <c r="N2967" s="8">
        <v>12.651999999999999</v>
      </c>
      <c r="O2967" s="8">
        <v>10.582000000000001</v>
      </c>
      <c r="P2967" s="8">
        <v>8.7590000000000003</v>
      </c>
      <c r="Q2967" s="8">
        <v>7.077</v>
      </c>
      <c r="R2967" s="8">
        <v>6.2770000000000001</v>
      </c>
      <c r="S2967" s="8">
        <v>5.4269999999999996</v>
      </c>
      <c r="T2967" s="8">
        <v>3.4420000000000002</v>
      </c>
      <c r="U2967" s="8">
        <v>2.9969999999999999</v>
      </c>
      <c r="V2967" s="8">
        <v>1.929</v>
      </c>
      <c r="W2967" s="8">
        <v>1.4339999999999999</v>
      </c>
      <c r="X2967" s="8">
        <v>0.72599999999999998</v>
      </c>
      <c r="Y2967" s="8">
        <v>0.35699999999999998</v>
      </c>
      <c r="Z2967" s="8">
        <v>0.152</v>
      </c>
      <c r="AA2967" s="8">
        <v>4.4999999999999998E-2</v>
      </c>
      <c r="AB2967" s="8">
        <v>8.0000000000000002E-3</v>
      </c>
      <c r="AC2967" s="8">
        <v>0</v>
      </c>
    </row>
    <row r="2968" spans="1:29" ht="11.65" hidden="1" x14ac:dyDescent="0.35">
      <c r="A2968" s="12">
        <v>2951</v>
      </c>
      <c r="B2968" s="10" t="s">
        <v>1015</v>
      </c>
      <c r="C2968" s="11" t="s">
        <v>1220</v>
      </c>
      <c r="D2968" s="9"/>
      <c r="E2968" s="9">
        <v>90</v>
      </c>
      <c r="F2968" s="10" t="s">
        <v>1066</v>
      </c>
      <c r="G2968" s="9">
        <v>928</v>
      </c>
      <c r="H2968" s="9">
        <v>2000</v>
      </c>
      <c r="I2968" s="8">
        <v>31.274000000000001</v>
      </c>
      <c r="J2968" s="8">
        <v>27.7</v>
      </c>
      <c r="K2968" s="8">
        <v>24.420999999999999</v>
      </c>
      <c r="L2968" s="8">
        <v>21.745999999999999</v>
      </c>
      <c r="M2968" s="8">
        <v>20.093</v>
      </c>
      <c r="N2968" s="8">
        <v>17.085000000000001</v>
      </c>
      <c r="O2968" s="8">
        <v>12.412000000000001</v>
      </c>
      <c r="P2968" s="8">
        <v>10.349</v>
      </c>
      <c r="Q2968" s="8">
        <v>8.5329999999999995</v>
      </c>
      <c r="R2968" s="8">
        <v>6.8529999999999998</v>
      </c>
      <c r="S2968" s="8">
        <v>6.01</v>
      </c>
      <c r="T2968" s="8">
        <v>5.109</v>
      </c>
      <c r="U2968" s="8">
        <v>3.1440000000000001</v>
      </c>
      <c r="V2968" s="8">
        <v>2.6080000000000001</v>
      </c>
      <c r="W2968" s="8">
        <v>1.546</v>
      </c>
      <c r="X2968" s="8">
        <v>1.006</v>
      </c>
      <c r="Y2968" s="8">
        <v>0.41099999999999998</v>
      </c>
      <c r="Z2968" s="8">
        <v>0.184</v>
      </c>
      <c r="AA2968" s="8">
        <v>5.5E-2</v>
      </c>
      <c r="AB2968" s="8">
        <v>0.01</v>
      </c>
      <c r="AC2968" s="8">
        <v>1E-3</v>
      </c>
    </row>
    <row r="2969" spans="1:29" ht="11.65" hidden="1" x14ac:dyDescent="0.35">
      <c r="A2969" s="12">
        <v>2952</v>
      </c>
      <c r="B2969" s="10" t="s">
        <v>1015</v>
      </c>
      <c r="C2969" s="11" t="s">
        <v>1220</v>
      </c>
      <c r="D2969" s="9"/>
      <c r="E2969" s="9">
        <v>90</v>
      </c>
      <c r="F2969" s="10" t="s">
        <v>1066</v>
      </c>
      <c r="G2969" s="9">
        <v>928</v>
      </c>
      <c r="H2969" s="9">
        <v>2005</v>
      </c>
      <c r="I2969" s="8">
        <v>34.965000000000003</v>
      </c>
      <c r="J2969" s="8">
        <v>30.786000000000001</v>
      </c>
      <c r="K2969" s="8">
        <v>27.827000000000002</v>
      </c>
      <c r="L2969" s="8">
        <v>23.928999999999998</v>
      </c>
      <c r="M2969" s="8">
        <v>21.43</v>
      </c>
      <c r="N2969" s="8">
        <v>19.882999999999999</v>
      </c>
      <c r="O2969" s="8">
        <v>16.427</v>
      </c>
      <c r="P2969" s="8">
        <v>12.551</v>
      </c>
      <c r="Q2969" s="8">
        <v>10.667</v>
      </c>
      <c r="R2969" s="8">
        <v>8.2889999999999997</v>
      </c>
      <c r="S2969" s="8">
        <v>6.57</v>
      </c>
      <c r="T2969" s="8">
        <v>5.4269999999999996</v>
      </c>
      <c r="U2969" s="8">
        <v>4.2569999999999997</v>
      </c>
      <c r="V2969" s="8">
        <v>2.6419999999999999</v>
      </c>
      <c r="W2969" s="8">
        <v>2.1240000000000001</v>
      </c>
      <c r="X2969" s="8">
        <v>1.1459999999999999</v>
      </c>
      <c r="Y2969" s="8">
        <v>0.64300000000000002</v>
      </c>
      <c r="Z2969" s="8">
        <v>0.21299999999999999</v>
      </c>
      <c r="AA2969" s="8">
        <v>6.6000000000000003E-2</v>
      </c>
      <c r="AB2969" s="8">
        <v>1.2E-2</v>
      </c>
      <c r="AC2969" s="8">
        <v>1E-3</v>
      </c>
    </row>
    <row r="2970" spans="1:29" ht="11.65" hidden="1" x14ac:dyDescent="0.35">
      <c r="A2970" s="12">
        <v>2953</v>
      </c>
      <c r="B2970" s="10" t="s">
        <v>1015</v>
      </c>
      <c r="C2970" s="11" t="s">
        <v>1220</v>
      </c>
      <c r="D2970" s="9"/>
      <c r="E2970" s="9">
        <v>90</v>
      </c>
      <c r="F2970" s="10" t="s">
        <v>1066</v>
      </c>
      <c r="G2970" s="9">
        <v>928</v>
      </c>
      <c r="H2970" s="9">
        <v>2010</v>
      </c>
      <c r="I2970" s="8">
        <v>38.531999999999996</v>
      </c>
      <c r="J2970" s="8">
        <v>34.579000000000001</v>
      </c>
      <c r="K2970" s="8">
        <v>30.713999999999999</v>
      </c>
      <c r="L2970" s="8">
        <v>26.413</v>
      </c>
      <c r="M2970" s="8">
        <v>23.055</v>
      </c>
      <c r="N2970" s="8">
        <v>21.687999999999999</v>
      </c>
      <c r="O2970" s="8">
        <v>20.088000000000001</v>
      </c>
      <c r="P2970" s="8">
        <v>16.687999999999999</v>
      </c>
      <c r="Q2970" s="8">
        <v>12.085000000000001</v>
      </c>
      <c r="R2970" s="8">
        <v>9.6539999999999999</v>
      </c>
      <c r="S2970" s="8">
        <v>7.4160000000000004</v>
      </c>
      <c r="T2970" s="8">
        <v>5.577</v>
      </c>
      <c r="U2970" s="8">
        <v>4.681</v>
      </c>
      <c r="V2970" s="8">
        <v>3.6110000000000002</v>
      </c>
      <c r="W2970" s="8">
        <v>2.1179999999999999</v>
      </c>
      <c r="X2970" s="8">
        <v>1.6160000000000001</v>
      </c>
      <c r="Y2970" s="8">
        <v>0.72799999999999998</v>
      </c>
      <c r="Z2970" s="8">
        <v>0.33700000000000002</v>
      </c>
      <c r="AA2970" s="8">
        <v>7.8E-2</v>
      </c>
      <c r="AB2970" s="8">
        <v>1.4999999999999999E-2</v>
      </c>
      <c r="AC2970" s="8">
        <v>2E-3</v>
      </c>
    </row>
    <row r="2971" spans="1:29" ht="11.65" hidden="1" x14ac:dyDescent="0.35">
      <c r="A2971" s="12">
        <v>2954</v>
      </c>
      <c r="B2971" s="10" t="s">
        <v>1015</v>
      </c>
      <c r="C2971" s="11" t="s">
        <v>1220</v>
      </c>
      <c r="D2971" s="9"/>
      <c r="E2971" s="9">
        <v>90</v>
      </c>
      <c r="F2971" s="10" t="s">
        <v>1066</v>
      </c>
      <c r="G2971" s="9">
        <v>928</v>
      </c>
      <c r="H2971" s="9">
        <v>2015</v>
      </c>
      <c r="I2971" s="8">
        <v>45.298999999999999</v>
      </c>
      <c r="J2971" s="8">
        <v>38.29</v>
      </c>
      <c r="K2971" s="8">
        <v>34.399000000000001</v>
      </c>
      <c r="L2971" s="8">
        <v>30.143000000000001</v>
      </c>
      <c r="M2971" s="8">
        <v>25.462</v>
      </c>
      <c r="N2971" s="8">
        <v>22.16</v>
      </c>
      <c r="O2971" s="8">
        <v>20.978000000000002</v>
      </c>
      <c r="P2971" s="8">
        <v>19.527000000000001</v>
      </c>
      <c r="Q2971" s="8">
        <v>16.233000000000001</v>
      </c>
      <c r="R2971" s="8">
        <v>11.711</v>
      </c>
      <c r="S2971" s="8">
        <v>9.3030000000000008</v>
      </c>
      <c r="T2971" s="8">
        <v>7.0720000000000001</v>
      </c>
      <c r="U2971" s="8">
        <v>5.2279999999999998</v>
      </c>
      <c r="V2971" s="8">
        <v>4.2779999999999996</v>
      </c>
      <c r="W2971" s="8">
        <v>3.1509999999999998</v>
      </c>
      <c r="X2971" s="8">
        <v>1.69</v>
      </c>
      <c r="Y2971" s="8">
        <v>1.1000000000000001</v>
      </c>
      <c r="Z2971" s="8">
        <v>0.38700000000000001</v>
      </c>
      <c r="AA2971" s="8">
        <v>0.124</v>
      </c>
      <c r="AB2971" s="8">
        <v>1.9E-2</v>
      </c>
      <c r="AC2971" s="8">
        <v>2E-3</v>
      </c>
    </row>
    <row r="2972" spans="1:29" ht="11.65" hidden="1" x14ac:dyDescent="0.35">
      <c r="A2972" s="12">
        <v>2955</v>
      </c>
      <c r="B2972" s="10" t="s">
        <v>1015</v>
      </c>
      <c r="C2972" s="11" t="s">
        <v>1220</v>
      </c>
      <c r="D2972" s="9"/>
      <c r="E2972" s="9">
        <v>90</v>
      </c>
      <c r="F2972" s="10" t="s">
        <v>1066</v>
      </c>
      <c r="G2972" s="9">
        <v>928</v>
      </c>
      <c r="H2972" s="9">
        <v>2020</v>
      </c>
      <c r="I2972" s="8">
        <v>50.036999999999999</v>
      </c>
      <c r="J2972" s="8">
        <v>45.029000000000003</v>
      </c>
      <c r="K2972" s="8">
        <v>38.122</v>
      </c>
      <c r="L2972" s="8">
        <v>33.840000000000003</v>
      </c>
      <c r="M2972" s="8">
        <v>29.209</v>
      </c>
      <c r="N2972" s="8">
        <v>24.587</v>
      </c>
      <c r="O2972" s="8">
        <v>21.48</v>
      </c>
      <c r="P2972" s="8">
        <v>20.445</v>
      </c>
      <c r="Q2972" s="8">
        <v>19.074999999999999</v>
      </c>
      <c r="R2972" s="8">
        <v>15.821999999999999</v>
      </c>
      <c r="S2972" s="8">
        <v>11.337</v>
      </c>
      <c r="T2972" s="8">
        <v>8.92</v>
      </c>
      <c r="U2972" s="8">
        <v>6.6710000000000003</v>
      </c>
      <c r="V2972" s="8">
        <v>4.8079999999999998</v>
      </c>
      <c r="W2972" s="8">
        <v>3.762</v>
      </c>
      <c r="X2972" s="8">
        <v>2.5409999999999999</v>
      </c>
      <c r="Y2972" s="8">
        <v>1.1639999999999999</v>
      </c>
      <c r="Z2972" s="8">
        <v>0.59299999999999997</v>
      </c>
      <c r="AA2972" s="8">
        <v>0.14399999999999999</v>
      </c>
      <c r="AB2972" s="8">
        <v>2.8000000000000001E-2</v>
      </c>
      <c r="AC2972" s="8">
        <v>2E-3</v>
      </c>
    </row>
    <row r="2973" spans="1:29" ht="11.65" hidden="1" x14ac:dyDescent="0.35">
      <c r="A2973" s="12">
        <v>2956</v>
      </c>
      <c r="B2973" s="10" t="s">
        <v>1015</v>
      </c>
      <c r="C2973" s="11" t="s">
        <v>1221</v>
      </c>
      <c r="D2973" s="9"/>
      <c r="E2973" s="9">
        <v>548</v>
      </c>
      <c r="F2973" s="10" t="s">
        <v>1066</v>
      </c>
      <c r="G2973" s="9">
        <v>928</v>
      </c>
      <c r="H2973" s="9">
        <v>1950</v>
      </c>
      <c r="I2973" s="8">
        <v>4.2729999999999997</v>
      </c>
      <c r="J2973" s="8">
        <v>3.3889999999999998</v>
      </c>
      <c r="K2973" s="8">
        <v>2.835</v>
      </c>
      <c r="L2973" s="8">
        <v>2.3769999999999998</v>
      </c>
      <c r="M2973" s="8">
        <v>1.9830000000000001</v>
      </c>
      <c r="N2973" s="8">
        <v>1.6479999999999999</v>
      </c>
      <c r="O2973" s="8">
        <v>1.3580000000000001</v>
      </c>
      <c r="P2973" s="8">
        <v>1.1140000000000001</v>
      </c>
      <c r="Q2973" s="8">
        <v>0.91800000000000004</v>
      </c>
      <c r="R2973" s="8">
        <v>0.749</v>
      </c>
      <c r="S2973" s="8">
        <v>0.60799999999999998</v>
      </c>
      <c r="T2973" s="8">
        <v>0.48099999999999998</v>
      </c>
      <c r="U2973" s="8">
        <v>0.37</v>
      </c>
      <c r="V2973" s="8">
        <v>0.29599999999999999</v>
      </c>
      <c r="W2973" s="8">
        <v>0.20100000000000001</v>
      </c>
      <c r="X2973" s="8">
        <v>0.11799999999999999</v>
      </c>
      <c r="Y2973" s="8">
        <v>4.1000000000000002E-2</v>
      </c>
      <c r="Z2973" s="8">
        <v>1.4E-2</v>
      </c>
      <c r="AA2973" s="8">
        <v>3.0000000000000001E-3</v>
      </c>
      <c r="AB2973" s="8">
        <v>0</v>
      </c>
      <c r="AC2973" s="8">
        <v>0</v>
      </c>
    </row>
    <row r="2974" spans="1:29" ht="11.65" hidden="1" x14ac:dyDescent="0.35">
      <c r="A2974" s="12">
        <v>2957</v>
      </c>
      <c r="B2974" s="10" t="s">
        <v>1015</v>
      </c>
      <c r="C2974" s="11" t="s">
        <v>1221</v>
      </c>
      <c r="D2974" s="9"/>
      <c r="E2974" s="9">
        <v>548</v>
      </c>
      <c r="F2974" s="10" t="s">
        <v>1066</v>
      </c>
      <c r="G2974" s="9">
        <v>928</v>
      </c>
      <c r="H2974" s="9">
        <v>1955</v>
      </c>
      <c r="I2974" s="8">
        <v>5.048</v>
      </c>
      <c r="J2974" s="8">
        <v>3.9249999999999998</v>
      </c>
      <c r="K2974" s="8">
        <v>3.3</v>
      </c>
      <c r="L2974" s="8">
        <v>2.77</v>
      </c>
      <c r="M2974" s="8">
        <v>2.2989999999999999</v>
      </c>
      <c r="N2974" s="8">
        <v>1.905</v>
      </c>
      <c r="O2974" s="8">
        <v>1.5760000000000001</v>
      </c>
      <c r="P2974" s="8">
        <v>1.2929999999999999</v>
      </c>
      <c r="Q2974" s="8">
        <v>1.0529999999999999</v>
      </c>
      <c r="R2974" s="8">
        <v>0.86399999999999999</v>
      </c>
      <c r="S2974" s="8">
        <v>0.69599999999999995</v>
      </c>
      <c r="T2974" s="8">
        <v>0.54900000000000004</v>
      </c>
      <c r="U2974" s="8">
        <v>0.42</v>
      </c>
      <c r="V2974" s="8">
        <v>0.30399999999999999</v>
      </c>
      <c r="W2974" s="8">
        <v>0.224</v>
      </c>
      <c r="X2974" s="8">
        <v>0.13300000000000001</v>
      </c>
      <c r="Y2974" s="8">
        <v>5.8000000000000003E-2</v>
      </c>
      <c r="Z2974" s="8">
        <v>1.2E-2</v>
      </c>
      <c r="AA2974" s="8">
        <v>2E-3</v>
      </c>
      <c r="AB2974" s="8">
        <v>0</v>
      </c>
      <c r="AC2974" s="8">
        <v>0</v>
      </c>
    </row>
    <row r="2975" spans="1:29" ht="11.65" hidden="1" x14ac:dyDescent="0.35">
      <c r="A2975" s="12">
        <v>2958</v>
      </c>
      <c r="B2975" s="10" t="s">
        <v>1015</v>
      </c>
      <c r="C2975" s="11" t="s">
        <v>1221</v>
      </c>
      <c r="D2975" s="9"/>
      <c r="E2975" s="9">
        <v>548</v>
      </c>
      <c r="F2975" s="10" t="s">
        <v>1066</v>
      </c>
      <c r="G2975" s="9">
        <v>928</v>
      </c>
      <c r="H2975" s="9">
        <v>1960</v>
      </c>
      <c r="I2975" s="8">
        <v>5.8419999999999996</v>
      </c>
      <c r="J2975" s="8">
        <v>4.7</v>
      </c>
      <c r="K2975" s="8">
        <v>3.835</v>
      </c>
      <c r="L2975" s="8">
        <v>3.2309999999999999</v>
      </c>
      <c r="M2975" s="8">
        <v>2.6859999999999999</v>
      </c>
      <c r="N2975" s="8">
        <v>2.2189999999999999</v>
      </c>
      <c r="O2975" s="8">
        <v>1.8320000000000001</v>
      </c>
      <c r="P2975" s="8">
        <v>1.5069999999999999</v>
      </c>
      <c r="Q2975" s="8">
        <v>1.2310000000000001</v>
      </c>
      <c r="R2975" s="8">
        <v>0.998</v>
      </c>
      <c r="S2975" s="8">
        <v>0.80700000000000005</v>
      </c>
      <c r="T2975" s="8">
        <v>0.63300000000000001</v>
      </c>
      <c r="U2975" s="8">
        <v>0.48199999999999998</v>
      </c>
      <c r="V2975" s="8">
        <v>0.34499999999999997</v>
      </c>
      <c r="W2975" s="8">
        <v>0.23300000000000001</v>
      </c>
      <c r="X2975" s="8">
        <v>0.14899999999999999</v>
      </c>
      <c r="Y2975" s="8">
        <v>6.7000000000000004E-2</v>
      </c>
      <c r="Z2975" s="8">
        <v>1.6E-2</v>
      </c>
      <c r="AA2975" s="8">
        <v>2E-3</v>
      </c>
      <c r="AB2975" s="8">
        <v>0</v>
      </c>
      <c r="AC2975" s="8">
        <v>0</v>
      </c>
    </row>
    <row r="2976" spans="1:29" ht="11.65" hidden="1" x14ac:dyDescent="0.35">
      <c r="A2976" s="12">
        <v>2959</v>
      </c>
      <c r="B2976" s="10" t="s">
        <v>1015</v>
      </c>
      <c r="C2976" s="11" t="s">
        <v>1221</v>
      </c>
      <c r="D2976" s="9"/>
      <c r="E2976" s="9">
        <v>548</v>
      </c>
      <c r="F2976" s="10" t="s">
        <v>1066</v>
      </c>
      <c r="G2976" s="9">
        <v>928</v>
      </c>
      <c r="H2976" s="9">
        <v>1965</v>
      </c>
      <c r="I2976" s="8">
        <v>6.7149999999999999</v>
      </c>
      <c r="J2976" s="8">
        <v>5.5510000000000002</v>
      </c>
      <c r="K2976" s="8">
        <v>4.6059999999999999</v>
      </c>
      <c r="L2976" s="8">
        <v>3.766</v>
      </c>
      <c r="M2976" s="8">
        <v>3.1440000000000001</v>
      </c>
      <c r="N2976" s="8">
        <v>2.6030000000000002</v>
      </c>
      <c r="O2976" s="8">
        <v>2.1440000000000001</v>
      </c>
      <c r="P2976" s="8">
        <v>1.762</v>
      </c>
      <c r="Q2976" s="8">
        <v>1.4419999999999999</v>
      </c>
      <c r="R2976" s="8">
        <v>1.171</v>
      </c>
      <c r="S2976" s="8">
        <v>0.93799999999999994</v>
      </c>
      <c r="T2976" s="8">
        <v>0.73899999999999999</v>
      </c>
      <c r="U2976" s="8">
        <v>0.56200000000000006</v>
      </c>
      <c r="V2976" s="8">
        <v>0.40600000000000003</v>
      </c>
      <c r="W2976" s="8">
        <v>0.27</v>
      </c>
      <c r="X2976" s="8">
        <v>0.158</v>
      </c>
      <c r="Y2976" s="8">
        <v>7.9000000000000001E-2</v>
      </c>
      <c r="Z2976" s="8">
        <v>0.02</v>
      </c>
      <c r="AA2976" s="8">
        <v>3.0000000000000001E-3</v>
      </c>
      <c r="AB2976" s="8">
        <v>0</v>
      </c>
      <c r="AC2976" s="8">
        <v>0</v>
      </c>
    </row>
    <row r="2977" spans="1:29" ht="11.65" hidden="1" x14ac:dyDescent="0.35">
      <c r="A2977" s="12">
        <v>2960</v>
      </c>
      <c r="B2977" s="10" t="s">
        <v>1015</v>
      </c>
      <c r="C2977" s="11" t="s">
        <v>1221</v>
      </c>
      <c r="D2977" s="9"/>
      <c r="E2977" s="9">
        <v>548</v>
      </c>
      <c r="F2977" s="10" t="s">
        <v>1066</v>
      </c>
      <c r="G2977" s="9">
        <v>928</v>
      </c>
      <c r="H2977" s="9">
        <v>1970</v>
      </c>
      <c r="I2977" s="8">
        <v>7.1710000000000003</v>
      </c>
      <c r="J2977" s="8">
        <v>6.2359999999999998</v>
      </c>
      <c r="K2977" s="8">
        <v>5.2130000000000001</v>
      </c>
      <c r="L2977" s="8">
        <v>4.1120000000000001</v>
      </c>
      <c r="M2977" s="8">
        <v>3.3740000000000001</v>
      </c>
      <c r="N2977" s="8">
        <v>3.1110000000000002</v>
      </c>
      <c r="O2977" s="8">
        <v>2.601</v>
      </c>
      <c r="P2977" s="8">
        <v>2.121</v>
      </c>
      <c r="Q2977" s="8">
        <v>1.6839999999999999</v>
      </c>
      <c r="R2977" s="8">
        <v>1.2629999999999999</v>
      </c>
      <c r="S2977" s="8">
        <v>1.0209999999999999</v>
      </c>
      <c r="T2977" s="8">
        <v>0.74099999999999999</v>
      </c>
      <c r="U2977" s="8">
        <v>0.53700000000000003</v>
      </c>
      <c r="V2977" s="8">
        <v>0.41199999999999998</v>
      </c>
      <c r="W2977" s="8">
        <v>0.30599999999999999</v>
      </c>
      <c r="X2977" s="8">
        <v>0.17599999999999999</v>
      </c>
      <c r="Y2977" s="8">
        <v>7.6999999999999999E-2</v>
      </c>
      <c r="Z2977" s="8">
        <v>2.4E-2</v>
      </c>
      <c r="AA2977" s="8">
        <v>5.0000000000000001E-3</v>
      </c>
      <c r="AB2977" s="8">
        <v>0</v>
      </c>
      <c r="AC2977" s="8">
        <v>0</v>
      </c>
    </row>
    <row r="2978" spans="1:29" ht="11.65" hidden="1" x14ac:dyDescent="0.35">
      <c r="A2978" s="12">
        <v>2961</v>
      </c>
      <c r="B2978" s="10" t="s">
        <v>1015</v>
      </c>
      <c r="C2978" s="11" t="s">
        <v>1221</v>
      </c>
      <c r="D2978" s="9"/>
      <c r="E2978" s="9">
        <v>548</v>
      </c>
      <c r="F2978" s="10" t="s">
        <v>1066</v>
      </c>
      <c r="G2978" s="9">
        <v>928</v>
      </c>
      <c r="H2978" s="9">
        <v>1975</v>
      </c>
      <c r="I2978" s="8">
        <v>8.1820000000000004</v>
      </c>
      <c r="J2978" s="8">
        <v>7.0369999999999999</v>
      </c>
      <c r="K2978" s="8">
        <v>6.2110000000000003</v>
      </c>
      <c r="L2978" s="8">
        <v>5.07</v>
      </c>
      <c r="M2978" s="8">
        <v>4.2140000000000004</v>
      </c>
      <c r="N2978" s="8">
        <v>3.5950000000000002</v>
      </c>
      <c r="O2978" s="8">
        <v>3.0059999999999998</v>
      </c>
      <c r="P2978" s="8">
        <v>2.4470000000000001</v>
      </c>
      <c r="Q2978" s="8">
        <v>1.944</v>
      </c>
      <c r="R2978" s="8">
        <v>1.4610000000000001</v>
      </c>
      <c r="S2978" s="8">
        <v>1.1299999999999999</v>
      </c>
      <c r="T2978" s="8">
        <v>0.85</v>
      </c>
      <c r="U2978" s="8">
        <v>0.64600000000000002</v>
      </c>
      <c r="V2978" s="8">
        <v>0.47599999999999998</v>
      </c>
      <c r="W2978" s="8">
        <v>0.33600000000000002</v>
      </c>
      <c r="X2978" s="8">
        <v>0.214</v>
      </c>
      <c r="Y2978" s="8">
        <v>0.11</v>
      </c>
      <c r="Z2978" s="8">
        <v>2.4E-2</v>
      </c>
      <c r="AA2978" s="8">
        <v>4.0000000000000001E-3</v>
      </c>
      <c r="AB2978" s="8">
        <v>0</v>
      </c>
      <c r="AC2978" s="8">
        <v>0</v>
      </c>
    </row>
    <row r="2979" spans="1:29" ht="11.65" hidden="1" x14ac:dyDescent="0.35">
      <c r="A2979" s="12">
        <v>2962</v>
      </c>
      <c r="B2979" s="10" t="s">
        <v>1015</v>
      </c>
      <c r="C2979" s="11" t="s">
        <v>1221</v>
      </c>
      <c r="D2979" s="9"/>
      <c r="E2979" s="9">
        <v>548</v>
      </c>
      <c r="F2979" s="10" t="s">
        <v>1066</v>
      </c>
      <c r="G2979" s="9">
        <v>928</v>
      </c>
      <c r="H2979" s="9">
        <v>1980</v>
      </c>
      <c r="I2979" s="8">
        <v>9.3940000000000001</v>
      </c>
      <c r="J2979" s="8">
        <v>8.0419999999999998</v>
      </c>
      <c r="K2979" s="8">
        <v>6.9859999999999998</v>
      </c>
      <c r="L2979" s="8">
        <v>6.0979999999999999</v>
      </c>
      <c r="M2979" s="8">
        <v>5.1020000000000003</v>
      </c>
      <c r="N2979" s="8">
        <v>4.2770000000000001</v>
      </c>
      <c r="O2979" s="8">
        <v>3.4209999999999998</v>
      </c>
      <c r="P2979" s="8">
        <v>2.8479999999999999</v>
      </c>
      <c r="Q2979" s="8">
        <v>2.258</v>
      </c>
      <c r="R2979" s="8">
        <v>1.7030000000000001</v>
      </c>
      <c r="S2979" s="8">
        <v>1.2729999999999999</v>
      </c>
      <c r="T2979" s="8">
        <v>0.97699999999999998</v>
      </c>
      <c r="U2979" s="8">
        <v>0.78100000000000003</v>
      </c>
      <c r="V2979" s="8">
        <v>0.56599999999999995</v>
      </c>
      <c r="W2979" s="8">
        <v>0.38500000000000001</v>
      </c>
      <c r="X2979" s="8">
        <v>0.26700000000000002</v>
      </c>
      <c r="Y2979" s="8">
        <v>0.15</v>
      </c>
      <c r="Z2979" s="8">
        <v>3.3000000000000002E-2</v>
      </c>
      <c r="AA2979" s="8">
        <v>4.0000000000000001E-3</v>
      </c>
      <c r="AB2979" s="8">
        <v>0</v>
      </c>
      <c r="AC2979" s="8">
        <v>0</v>
      </c>
    </row>
    <row r="2980" spans="1:29" ht="11.65" hidden="1" x14ac:dyDescent="0.35">
      <c r="A2980" s="12">
        <v>2963</v>
      </c>
      <c r="B2980" s="10" t="s">
        <v>1015</v>
      </c>
      <c r="C2980" s="11" t="s">
        <v>1221</v>
      </c>
      <c r="D2980" s="9"/>
      <c r="E2980" s="9">
        <v>548</v>
      </c>
      <c r="F2980" s="10" t="s">
        <v>1066</v>
      </c>
      <c r="G2980" s="9">
        <v>928</v>
      </c>
      <c r="H2980" s="9">
        <v>1985</v>
      </c>
      <c r="I2980" s="8">
        <v>10.497</v>
      </c>
      <c r="J2980" s="8">
        <v>9.19</v>
      </c>
      <c r="K2980" s="8">
        <v>7.7759999999999998</v>
      </c>
      <c r="L2980" s="8">
        <v>6.4809999999999999</v>
      </c>
      <c r="M2980" s="8">
        <v>5.7380000000000004</v>
      </c>
      <c r="N2980" s="8">
        <v>5.0389999999999997</v>
      </c>
      <c r="O2980" s="8">
        <v>4.1669999999999998</v>
      </c>
      <c r="P2980" s="8">
        <v>3.323</v>
      </c>
      <c r="Q2980" s="8">
        <v>2.665</v>
      </c>
      <c r="R2980" s="8">
        <v>2.032</v>
      </c>
      <c r="S2980" s="8">
        <v>1.5149999999999999</v>
      </c>
      <c r="T2980" s="8">
        <v>1.1359999999999999</v>
      </c>
      <c r="U2980" s="8">
        <v>0.94299999999999995</v>
      </c>
      <c r="V2980" s="8">
        <v>0.72199999999999998</v>
      </c>
      <c r="W2980" s="8">
        <v>0.48899999999999999</v>
      </c>
      <c r="X2980" s="8">
        <v>0.35099999999999998</v>
      </c>
      <c r="Y2980" s="8">
        <v>0.20399999999999999</v>
      </c>
      <c r="Z2980" s="8">
        <v>4.5999999999999999E-2</v>
      </c>
      <c r="AA2980" s="8">
        <v>6.0000000000000001E-3</v>
      </c>
      <c r="AB2980" s="8">
        <v>0</v>
      </c>
      <c r="AC2980" s="8">
        <v>0</v>
      </c>
    </row>
    <row r="2981" spans="1:29" ht="11.65" hidden="1" x14ac:dyDescent="0.35">
      <c r="A2981" s="12">
        <v>2964</v>
      </c>
      <c r="B2981" s="10" t="s">
        <v>1015</v>
      </c>
      <c r="C2981" s="11" t="s">
        <v>1221</v>
      </c>
      <c r="D2981" s="9"/>
      <c r="E2981" s="9">
        <v>548</v>
      </c>
      <c r="F2981" s="10" t="s">
        <v>1066</v>
      </c>
      <c r="G2981" s="9">
        <v>928</v>
      </c>
      <c r="H2981" s="9">
        <v>1990</v>
      </c>
      <c r="I2981" s="8">
        <v>11.47</v>
      </c>
      <c r="J2981" s="8">
        <v>10.417999999999999</v>
      </c>
      <c r="K2981" s="8">
        <v>8.9090000000000007</v>
      </c>
      <c r="L2981" s="8">
        <v>7.1310000000000002</v>
      </c>
      <c r="M2981" s="8">
        <v>6.2030000000000003</v>
      </c>
      <c r="N2981" s="8">
        <v>5.9690000000000003</v>
      </c>
      <c r="O2981" s="8">
        <v>5.0449999999999999</v>
      </c>
      <c r="P2981" s="8">
        <v>4.0039999999999996</v>
      </c>
      <c r="Q2981" s="8">
        <v>3.0590000000000002</v>
      </c>
      <c r="R2981" s="8">
        <v>2.4249999999999998</v>
      </c>
      <c r="S2981" s="8">
        <v>1.82</v>
      </c>
      <c r="T2981" s="8">
        <v>1.34</v>
      </c>
      <c r="U2981" s="8">
        <v>1.1259999999999999</v>
      </c>
      <c r="V2981" s="8">
        <v>0.89600000000000002</v>
      </c>
      <c r="W2981" s="8">
        <v>0.60799999999999998</v>
      </c>
      <c r="X2981" s="8">
        <v>0.434</v>
      </c>
      <c r="Y2981" s="8">
        <v>0.26600000000000001</v>
      </c>
      <c r="Z2981" s="8">
        <v>6.3E-2</v>
      </c>
      <c r="AA2981" s="8">
        <v>8.0000000000000002E-3</v>
      </c>
      <c r="AB2981" s="8">
        <v>0</v>
      </c>
      <c r="AC2981" s="8">
        <v>0</v>
      </c>
    </row>
    <row r="2982" spans="1:29" ht="11.65" hidden="1" x14ac:dyDescent="0.35">
      <c r="A2982" s="12">
        <v>2965</v>
      </c>
      <c r="B2982" s="10" t="s">
        <v>1015</v>
      </c>
      <c r="C2982" s="11" t="s">
        <v>1221</v>
      </c>
      <c r="D2982" s="9"/>
      <c r="E2982" s="9">
        <v>548</v>
      </c>
      <c r="F2982" s="10" t="s">
        <v>1066</v>
      </c>
      <c r="G2982" s="9">
        <v>928</v>
      </c>
      <c r="H2982" s="9">
        <v>1995</v>
      </c>
      <c r="I2982" s="8">
        <v>12.644</v>
      </c>
      <c r="J2982" s="8">
        <v>11.428000000000001</v>
      </c>
      <c r="K2982" s="8">
        <v>10.504</v>
      </c>
      <c r="L2982" s="8">
        <v>8.4619999999999997</v>
      </c>
      <c r="M2982" s="8">
        <v>7.0679999999999996</v>
      </c>
      <c r="N2982" s="8">
        <v>6.6849999999999996</v>
      </c>
      <c r="O2982" s="8">
        <v>5.9539999999999997</v>
      </c>
      <c r="P2982" s="8">
        <v>4.7949999999999999</v>
      </c>
      <c r="Q2982" s="8">
        <v>3.694</v>
      </c>
      <c r="R2982" s="8">
        <v>2.827</v>
      </c>
      <c r="S2982" s="8">
        <v>2.266</v>
      </c>
      <c r="T2982" s="8">
        <v>1.6879999999999999</v>
      </c>
      <c r="U2982" s="8">
        <v>1.3240000000000001</v>
      </c>
      <c r="V2982" s="8">
        <v>1.0029999999999999</v>
      </c>
      <c r="W2982" s="8">
        <v>0.67400000000000004</v>
      </c>
      <c r="X2982" s="8">
        <v>0.46</v>
      </c>
      <c r="Y2982" s="8">
        <v>0.318</v>
      </c>
      <c r="Z2982" s="8">
        <v>8.3000000000000004E-2</v>
      </c>
      <c r="AA2982" s="8">
        <v>1.0999999999999999E-2</v>
      </c>
      <c r="AB2982" s="8">
        <v>0</v>
      </c>
      <c r="AC2982" s="8">
        <v>0</v>
      </c>
    </row>
    <row r="2983" spans="1:29" ht="11.65" hidden="1" x14ac:dyDescent="0.35">
      <c r="A2983" s="12">
        <v>2966</v>
      </c>
      <c r="B2983" s="10" t="s">
        <v>1015</v>
      </c>
      <c r="C2983" s="11" t="s">
        <v>1221</v>
      </c>
      <c r="D2983" s="9"/>
      <c r="E2983" s="9">
        <v>548</v>
      </c>
      <c r="F2983" s="10" t="s">
        <v>1066</v>
      </c>
      <c r="G2983" s="9">
        <v>928</v>
      </c>
      <c r="H2983" s="9">
        <v>2000</v>
      </c>
      <c r="I2983" s="8">
        <v>13.736000000000001</v>
      </c>
      <c r="J2983" s="8">
        <v>12.327999999999999</v>
      </c>
      <c r="K2983" s="8">
        <v>11.048999999999999</v>
      </c>
      <c r="L2983" s="8">
        <v>9.9550000000000001</v>
      </c>
      <c r="M2983" s="8">
        <v>8.0779999999999994</v>
      </c>
      <c r="N2983" s="8">
        <v>6.9480000000000004</v>
      </c>
      <c r="O2983" s="8">
        <v>6.4340000000000002</v>
      </c>
      <c r="P2983" s="8">
        <v>5.5019999999999998</v>
      </c>
      <c r="Q2983" s="8">
        <v>4.3150000000000004</v>
      </c>
      <c r="R2983" s="8">
        <v>3.2879999999999998</v>
      </c>
      <c r="S2983" s="8">
        <v>2.5190000000000001</v>
      </c>
      <c r="T2983" s="8">
        <v>2.0299999999999998</v>
      </c>
      <c r="U2983" s="8">
        <v>1.476</v>
      </c>
      <c r="V2983" s="8">
        <v>1.0640000000000001</v>
      </c>
      <c r="W2983" s="8">
        <v>0.73</v>
      </c>
      <c r="X2983" s="8">
        <v>0.48899999999999999</v>
      </c>
      <c r="Y2983" s="8">
        <v>0.30299999999999999</v>
      </c>
      <c r="Z2983" s="8">
        <v>0.10199999999999999</v>
      </c>
      <c r="AA2983" s="8">
        <v>1.4E-2</v>
      </c>
      <c r="AB2983" s="8">
        <v>0</v>
      </c>
      <c r="AC2983" s="8">
        <v>0</v>
      </c>
    </row>
    <row r="2984" spans="1:29" ht="11.65" hidden="1" x14ac:dyDescent="0.35">
      <c r="A2984" s="12">
        <v>2967</v>
      </c>
      <c r="B2984" s="10" t="s">
        <v>1015</v>
      </c>
      <c r="C2984" s="11" t="s">
        <v>1221</v>
      </c>
      <c r="D2984" s="9"/>
      <c r="E2984" s="9">
        <v>548</v>
      </c>
      <c r="F2984" s="10" t="s">
        <v>1066</v>
      </c>
      <c r="G2984" s="9">
        <v>928</v>
      </c>
      <c r="H2984" s="9">
        <v>2005</v>
      </c>
      <c r="I2984" s="8">
        <v>14.381</v>
      </c>
      <c r="J2984" s="8">
        <v>13.577999999999999</v>
      </c>
      <c r="K2984" s="8">
        <v>12.201000000000001</v>
      </c>
      <c r="L2984" s="8">
        <v>10.894</v>
      </c>
      <c r="M2984" s="8">
        <v>9.843</v>
      </c>
      <c r="N2984" s="8">
        <v>8.0489999999999995</v>
      </c>
      <c r="O2984" s="8">
        <v>6.952</v>
      </c>
      <c r="P2984" s="8">
        <v>6.3550000000000004</v>
      </c>
      <c r="Q2984" s="8">
        <v>5.3479999999999999</v>
      </c>
      <c r="R2984" s="8">
        <v>4.2329999999999997</v>
      </c>
      <c r="S2984" s="8">
        <v>3.1680000000000001</v>
      </c>
      <c r="T2984" s="8">
        <v>2.4449999999999998</v>
      </c>
      <c r="U2984" s="8">
        <v>1.881</v>
      </c>
      <c r="V2984" s="8">
        <v>1.3440000000000001</v>
      </c>
      <c r="W2984" s="8">
        <v>0.89200000000000002</v>
      </c>
      <c r="X2984" s="8">
        <v>0.54200000000000004</v>
      </c>
      <c r="Y2984" s="8">
        <v>0.29599999999999999</v>
      </c>
      <c r="Z2984" s="8">
        <v>0.10100000000000001</v>
      </c>
      <c r="AA2984" s="8">
        <v>1.7000000000000001E-2</v>
      </c>
      <c r="AB2984" s="8">
        <v>0</v>
      </c>
      <c r="AC2984" s="8">
        <v>0</v>
      </c>
    </row>
    <row r="2985" spans="1:29" ht="11.65" hidden="1" x14ac:dyDescent="0.35">
      <c r="A2985" s="12">
        <v>2968</v>
      </c>
      <c r="B2985" s="10" t="s">
        <v>1015</v>
      </c>
      <c r="C2985" s="11" t="s">
        <v>1221</v>
      </c>
      <c r="D2985" s="9"/>
      <c r="E2985" s="9">
        <v>548</v>
      </c>
      <c r="F2985" s="10" t="s">
        <v>1066</v>
      </c>
      <c r="G2985" s="9">
        <v>928</v>
      </c>
      <c r="H2985" s="9">
        <v>2010</v>
      </c>
      <c r="I2985" s="8">
        <v>16.369</v>
      </c>
      <c r="J2985" s="8">
        <v>13.816000000000001</v>
      </c>
      <c r="K2985" s="8">
        <v>12.94</v>
      </c>
      <c r="L2985" s="8">
        <v>11.288</v>
      </c>
      <c r="M2985" s="8">
        <v>11.875</v>
      </c>
      <c r="N2985" s="8">
        <v>9.7780000000000005</v>
      </c>
      <c r="O2985" s="8">
        <v>7.9379999999999997</v>
      </c>
      <c r="P2985" s="8">
        <v>7.0039999999999996</v>
      </c>
      <c r="Q2985" s="8">
        <v>5.891</v>
      </c>
      <c r="R2985" s="8">
        <v>5.7320000000000002</v>
      </c>
      <c r="S2985" s="8">
        <v>3.7210000000000001</v>
      </c>
      <c r="T2985" s="8">
        <v>3.335</v>
      </c>
      <c r="U2985" s="8">
        <v>2.08</v>
      </c>
      <c r="V2985" s="8">
        <v>1.9350000000000001</v>
      </c>
      <c r="W2985" s="8">
        <v>1.4490000000000001</v>
      </c>
      <c r="X2985" s="8">
        <v>0.67400000000000004</v>
      </c>
      <c r="Y2985" s="8">
        <v>0.33600000000000002</v>
      </c>
      <c r="Z2985" s="8">
        <v>0.1</v>
      </c>
      <c r="AA2985" s="8">
        <v>0.02</v>
      </c>
      <c r="AB2985" s="8">
        <v>2E-3</v>
      </c>
      <c r="AC2985" s="8">
        <v>0</v>
      </c>
    </row>
    <row r="2986" spans="1:29" ht="11.65" hidden="1" x14ac:dyDescent="0.35">
      <c r="A2986" s="12">
        <v>2969</v>
      </c>
      <c r="B2986" s="10" t="s">
        <v>1015</v>
      </c>
      <c r="C2986" s="11" t="s">
        <v>1221</v>
      </c>
      <c r="D2986" s="9"/>
      <c r="E2986" s="9">
        <v>548</v>
      </c>
      <c r="F2986" s="10" t="s">
        <v>1066</v>
      </c>
      <c r="G2986" s="9">
        <v>928</v>
      </c>
      <c r="H2986" s="9">
        <v>2015</v>
      </c>
      <c r="I2986" s="8">
        <v>18.763999999999999</v>
      </c>
      <c r="J2986" s="8">
        <v>17.872</v>
      </c>
      <c r="K2986" s="8">
        <v>14.285</v>
      </c>
      <c r="L2986" s="8">
        <v>12.695</v>
      </c>
      <c r="M2986" s="8">
        <v>13.124000000000001</v>
      </c>
      <c r="N2986" s="8">
        <v>12.044</v>
      </c>
      <c r="O2986" s="8">
        <v>9.1590000000000007</v>
      </c>
      <c r="P2986" s="8">
        <v>8.0860000000000003</v>
      </c>
      <c r="Q2986" s="8">
        <v>6.524</v>
      </c>
      <c r="R2986" s="8">
        <v>5.7069999999999999</v>
      </c>
      <c r="S2986" s="8">
        <v>4.5730000000000004</v>
      </c>
      <c r="T2986" s="8">
        <v>3.4359999999999999</v>
      </c>
      <c r="U2986" s="8">
        <v>2.5249999999999999</v>
      </c>
      <c r="V2986" s="8">
        <v>1.923</v>
      </c>
      <c r="W2986" s="8">
        <v>1.175</v>
      </c>
      <c r="X2986" s="8">
        <v>1.0860000000000001</v>
      </c>
      <c r="Y2986" s="8">
        <v>0.443</v>
      </c>
      <c r="Z2986" s="8">
        <v>0.113</v>
      </c>
      <c r="AA2986" s="8">
        <v>1.9E-2</v>
      </c>
      <c r="AB2986" s="8">
        <v>2E-3</v>
      </c>
      <c r="AC2986" s="8">
        <v>0</v>
      </c>
    </row>
    <row r="2987" spans="1:29" ht="11.65" hidden="1" x14ac:dyDescent="0.35">
      <c r="A2987" s="12">
        <v>2970</v>
      </c>
      <c r="B2987" s="10" t="s">
        <v>1015</v>
      </c>
      <c r="C2987" s="11" t="s">
        <v>1221</v>
      </c>
      <c r="D2987" s="9"/>
      <c r="E2987" s="9">
        <v>548</v>
      </c>
      <c r="F2987" s="10" t="s">
        <v>1066</v>
      </c>
      <c r="G2987" s="9">
        <v>928</v>
      </c>
      <c r="H2987" s="9">
        <v>2020</v>
      </c>
      <c r="I2987" s="8">
        <v>20.422999999999998</v>
      </c>
      <c r="J2987" s="8">
        <v>18.710999999999999</v>
      </c>
      <c r="K2987" s="8">
        <v>17.852</v>
      </c>
      <c r="L2987" s="8">
        <v>14.295</v>
      </c>
      <c r="M2987" s="8">
        <v>12.722</v>
      </c>
      <c r="N2987" s="8">
        <v>13.14</v>
      </c>
      <c r="O2987" s="8">
        <v>12.039</v>
      </c>
      <c r="P2987" s="8">
        <v>9.1349999999999998</v>
      </c>
      <c r="Q2987" s="8">
        <v>8.0359999999999996</v>
      </c>
      <c r="R2987" s="8">
        <v>6.4509999999999996</v>
      </c>
      <c r="S2987" s="8">
        <v>5.5990000000000002</v>
      </c>
      <c r="T2987" s="8">
        <v>4.4400000000000004</v>
      </c>
      <c r="U2987" s="8">
        <v>3.2559999999999998</v>
      </c>
      <c r="V2987" s="8">
        <v>2.2599999999999998</v>
      </c>
      <c r="W2987" s="8">
        <v>1.5529999999999999</v>
      </c>
      <c r="X2987" s="8">
        <v>0.80500000000000005</v>
      </c>
      <c r="Y2987" s="8">
        <v>0.56799999999999995</v>
      </c>
      <c r="Z2987" s="8">
        <v>0.152</v>
      </c>
      <c r="AA2987" s="8">
        <v>2.1000000000000001E-2</v>
      </c>
      <c r="AB2987" s="8">
        <v>2E-3</v>
      </c>
      <c r="AC2987" s="8">
        <v>0</v>
      </c>
    </row>
    <row r="2988" spans="1:29" ht="11.65" hidden="1" x14ac:dyDescent="0.35">
      <c r="A2988" s="23">
        <v>2971</v>
      </c>
      <c r="B2988" s="21" t="s">
        <v>1015</v>
      </c>
      <c r="C2988" s="29" t="s">
        <v>1222</v>
      </c>
      <c r="D2988" s="20"/>
      <c r="E2988" s="20">
        <v>954</v>
      </c>
      <c r="F2988" s="21" t="s">
        <v>1065</v>
      </c>
      <c r="G2988" s="20">
        <v>1835</v>
      </c>
      <c r="H2988" s="20">
        <v>1950</v>
      </c>
      <c r="I2988" s="19">
        <v>11.545999999999999</v>
      </c>
      <c r="J2988" s="19">
        <v>8.3330000000000002</v>
      </c>
      <c r="K2988" s="19">
        <v>7.45</v>
      </c>
      <c r="L2988" s="19">
        <v>6.2510000000000003</v>
      </c>
      <c r="M2988" s="19">
        <v>5.984</v>
      </c>
      <c r="N2988" s="19">
        <v>5.9450000000000003</v>
      </c>
      <c r="O2988" s="19">
        <v>4.5389999999999997</v>
      </c>
      <c r="P2988" s="19">
        <v>3.548</v>
      </c>
      <c r="Q2988" s="19">
        <v>2.8740000000000001</v>
      </c>
      <c r="R2988" s="19">
        <v>2.3530000000000002</v>
      </c>
      <c r="S2988" s="19">
        <v>1.891</v>
      </c>
      <c r="T2988" s="19">
        <v>1.6870000000000001</v>
      </c>
      <c r="U2988" s="19">
        <v>1.3520000000000001</v>
      </c>
      <c r="V2988" s="19">
        <v>0.99199999999999999</v>
      </c>
      <c r="W2988" s="19">
        <v>0.77400000000000002</v>
      </c>
      <c r="X2988" s="19">
        <v>0.53700000000000003</v>
      </c>
      <c r="Y2988" s="19">
        <v>0.38100000000000001</v>
      </c>
      <c r="Z2988" s="19">
        <v>9.7000000000000003E-2</v>
      </c>
      <c r="AA2988" s="19">
        <v>0.02</v>
      </c>
      <c r="AB2988" s="19">
        <v>0</v>
      </c>
      <c r="AC2988" s="19">
        <v>0</v>
      </c>
    </row>
    <row r="2989" spans="1:29" ht="11.65" hidden="1" x14ac:dyDescent="0.35">
      <c r="A2989" s="23">
        <v>2972</v>
      </c>
      <c r="B2989" s="21" t="s">
        <v>1015</v>
      </c>
      <c r="C2989" s="29" t="s">
        <v>1222</v>
      </c>
      <c r="D2989" s="20"/>
      <c r="E2989" s="20">
        <v>954</v>
      </c>
      <c r="F2989" s="21" t="s">
        <v>1065</v>
      </c>
      <c r="G2989" s="20">
        <v>1835</v>
      </c>
      <c r="H2989" s="20">
        <v>1955</v>
      </c>
      <c r="I2989" s="19">
        <v>13.916</v>
      </c>
      <c r="J2989" s="19">
        <v>10.457000000000001</v>
      </c>
      <c r="K2989" s="19">
        <v>8.6150000000000002</v>
      </c>
      <c r="L2989" s="19">
        <v>7.0259999999999998</v>
      </c>
      <c r="M2989" s="19">
        <v>6.383</v>
      </c>
      <c r="N2989" s="19">
        <v>6.1580000000000004</v>
      </c>
      <c r="O2989" s="19">
        <v>5.5830000000000002</v>
      </c>
      <c r="P2989" s="19">
        <v>4.1660000000000004</v>
      </c>
      <c r="Q2989" s="19">
        <v>3.2469999999999999</v>
      </c>
      <c r="R2989" s="19">
        <v>2.6720000000000002</v>
      </c>
      <c r="S2989" s="19">
        <v>2.149</v>
      </c>
      <c r="T2989" s="19">
        <v>1.7709999999999999</v>
      </c>
      <c r="U2989" s="19">
        <v>1.4870000000000001</v>
      </c>
      <c r="V2989" s="19">
        <v>1.153</v>
      </c>
      <c r="W2989" s="19">
        <v>0.77100000000000002</v>
      </c>
      <c r="X2989" s="19">
        <v>0.54800000000000004</v>
      </c>
      <c r="Y2989" s="19">
        <v>0.28000000000000003</v>
      </c>
      <c r="Z2989" s="19">
        <v>0.11899999999999999</v>
      </c>
      <c r="AA2989" s="19">
        <v>1.2999999999999999E-2</v>
      </c>
      <c r="AB2989" s="19">
        <v>0</v>
      </c>
      <c r="AC2989" s="19">
        <v>0</v>
      </c>
    </row>
    <row r="2990" spans="1:29" ht="11.65" hidden="1" x14ac:dyDescent="0.35">
      <c r="A2990" s="23">
        <v>2973</v>
      </c>
      <c r="B2990" s="21" t="s">
        <v>1015</v>
      </c>
      <c r="C2990" s="29" t="s">
        <v>1222</v>
      </c>
      <c r="D2990" s="20"/>
      <c r="E2990" s="20">
        <v>954</v>
      </c>
      <c r="F2990" s="21" t="s">
        <v>1065</v>
      </c>
      <c r="G2990" s="20">
        <v>1835</v>
      </c>
      <c r="H2990" s="20">
        <v>1960</v>
      </c>
      <c r="I2990" s="19">
        <v>16.234999999999999</v>
      </c>
      <c r="J2990" s="19">
        <v>13.507999999999999</v>
      </c>
      <c r="K2990" s="19">
        <v>10.645</v>
      </c>
      <c r="L2990" s="19">
        <v>7.6539999999999999</v>
      </c>
      <c r="M2990" s="19">
        <v>7.2009999999999996</v>
      </c>
      <c r="N2990" s="19">
        <v>6.4240000000000004</v>
      </c>
      <c r="O2990" s="19">
        <v>5.992</v>
      </c>
      <c r="P2990" s="19">
        <v>5.274</v>
      </c>
      <c r="Q2990" s="19">
        <v>3.8149999999999999</v>
      </c>
      <c r="R2990" s="19">
        <v>3.0680000000000001</v>
      </c>
      <c r="S2990" s="19">
        <v>2.4740000000000002</v>
      </c>
      <c r="T2990" s="19">
        <v>2.0139999999999998</v>
      </c>
      <c r="U2990" s="19">
        <v>1.573</v>
      </c>
      <c r="V2990" s="19">
        <v>1.2929999999999999</v>
      </c>
      <c r="W2990" s="19">
        <v>0.88</v>
      </c>
      <c r="X2990" s="19">
        <v>0.56499999999999995</v>
      </c>
      <c r="Y2990" s="19">
        <v>0.30299999999999999</v>
      </c>
      <c r="Z2990" s="19">
        <v>8.6999999999999994E-2</v>
      </c>
      <c r="AA2990" s="19">
        <v>2.1000000000000001E-2</v>
      </c>
      <c r="AB2990" s="19">
        <v>0</v>
      </c>
      <c r="AC2990" s="19">
        <v>0</v>
      </c>
    </row>
    <row r="2991" spans="1:29" ht="11.65" hidden="1" x14ac:dyDescent="0.35">
      <c r="A2991" s="23">
        <v>2974</v>
      </c>
      <c r="B2991" s="21" t="s">
        <v>1015</v>
      </c>
      <c r="C2991" s="29" t="s">
        <v>1222</v>
      </c>
      <c r="D2991" s="20"/>
      <c r="E2991" s="20">
        <v>954</v>
      </c>
      <c r="F2991" s="21" t="s">
        <v>1065</v>
      </c>
      <c r="G2991" s="20">
        <v>1835</v>
      </c>
      <c r="H2991" s="20">
        <v>1965</v>
      </c>
      <c r="I2991" s="19">
        <v>17.914999999999999</v>
      </c>
      <c r="J2991" s="19">
        <v>15.746</v>
      </c>
      <c r="K2991" s="19">
        <v>13.12</v>
      </c>
      <c r="L2991" s="19">
        <v>9.7629999999999999</v>
      </c>
      <c r="M2991" s="19">
        <v>8.2759999999999998</v>
      </c>
      <c r="N2991" s="19">
        <v>7.2279999999999998</v>
      </c>
      <c r="O2991" s="19">
        <v>6.4219999999999997</v>
      </c>
      <c r="P2991" s="19">
        <v>5.657</v>
      </c>
      <c r="Q2991" s="19">
        <v>4.8630000000000004</v>
      </c>
      <c r="R2991" s="19">
        <v>3.6659999999999999</v>
      </c>
      <c r="S2991" s="19">
        <v>2.8149999999999999</v>
      </c>
      <c r="T2991" s="19">
        <v>2.2650000000000001</v>
      </c>
      <c r="U2991" s="19">
        <v>1.7609999999999999</v>
      </c>
      <c r="V2991" s="19">
        <v>1.373</v>
      </c>
      <c r="W2991" s="19">
        <v>0.98899999999999999</v>
      </c>
      <c r="X2991" s="19">
        <v>0.63800000000000001</v>
      </c>
      <c r="Y2991" s="19">
        <v>0.33100000000000002</v>
      </c>
      <c r="Z2991" s="19">
        <v>9.9000000000000005E-2</v>
      </c>
      <c r="AA2991" s="19">
        <v>1.4999999999999999E-2</v>
      </c>
      <c r="AB2991" s="19">
        <v>0</v>
      </c>
      <c r="AC2991" s="19">
        <v>0</v>
      </c>
    </row>
    <row r="2992" spans="1:29" ht="11.65" hidden="1" x14ac:dyDescent="0.35">
      <c r="A2992" s="23">
        <v>2975</v>
      </c>
      <c r="B2992" s="21" t="s">
        <v>1015</v>
      </c>
      <c r="C2992" s="29" t="s">
        <v>1222</v>
      </c>
      <c r="D2992" s="20"/>
      <c r="E2992" s="20">
        <v>954</v>
      </c>
      <c r="F2992" s="21" t="s">
        <v>1065</v>
      </c>
      <c r="G2992" s="20">
        <v>1835</v>
      </c>
      <c r="H2992" s="20">
        <v>1970</v>
      </c>
      <c r="I2992" s="19">
        <v>19.045999999999999</v>
      </c>
      <c r="J2992" s="19">
        <v>17.651</v>
      </c>
      <c r="K2992" s="19">
        <v>15.603999999999999</v>
      </c>
      <c r="L2992" s="19">
        <v>12.715</v>
      </c>
      <c r="M2992" s="19">
        <v>10.247999999999999</v>
      </c>
      <c r="N2992" s="19">
        <v>7.9080000000000004</v>
      </c>
      <c r="O2992" s="19">
        <v>7.1219999999999999</v>
      </c>
      <c r="P2992" s="19">
        <v>6.0720000000000001</v>
      </c>
      <c r="Q2992" s="19">
        <v>5.2869999999999999</v>
      </c>
      <c r="R2992" s="19">
        <v>4.6360000000000001</v>
      </c>
      <c r="S2992" s="19">
        <v>3.3690000000000002</v>
      </c>
      <c r="T2992" s="19">
        <v>2.5779999999999998</v>
      </c>
      <c r="U2992" s="19">
        <v>1.9970000000000001</v>
      </c>
      <c r="V2992" s="19">
        <v>1.5509999999999999</v>
      </c>
      <c r="W2992" s="19">
        <v>1.0429999999999999</v>
      </c>
      <c r="X2992" s="19">
        <v>0.71199999999999997</v>
      </c>
      <c r="Y2992" s="19">
        <v>0.36799999999999999</v>
      </c>
      <c r="Z2992" s="19">
        <v>0.10100000000000001</v>
      </c>
      <c r="AA2992" s="19">
        <v>1.7999999999999999E-2</v>
      </c>
      <c r="AB2992" s="19">
        <v>0</v>
      </c>
      <c r="AC2992" s="19">
        <v>0</v>
      </c>
    </row>
    <row r="2993" spans="1:29" ht="11.65" hidden="1" x14ac:dyDescent="0.35">
      <c r="A2993" s="23">
        <v>2976</v>
      </c>
      <c r="B2993" s="21" t="s">
        <v>1015</v>
      </c>
      <c r="C2993" s="29" t="s">
        <v>1222</v>
      </c>
      <c r="D2993" s="20"/>
      <c r="E2993" s="20">
        <v>954</v>
      </c>
      <c r="F2993" s="21" t="s">
        <v>1065</v>
      </c>
      <c r="G2993" s="20">
        <v>1835</v>
      </c>
      <c r="H2993" s="20">
        <v>1975</v>
      </c>
      <c r="I2993" s="19">
        <v>20.268000000000001</v>
      </c>
      <c r="J2993" s="19">
        <v>18.57</v>
      </c>
      <c r="K2993" s="19">
        <v>16.527999999999999</v>
      </c>
      <c r="L2993" s="19">
        <v>14.348000000000001</v>
      </c>
      <c r="M2993" s="19">
        <v>12.215999999999999</v>
      </c>
      <c r="N2993" s="19">
        <v>9.6519999999999992</v>
      </c>
      <c r="O2993" s="19">
        <v>7.6719999999999997</v>
      </c>
      <c r="P2993" s="19">
        <v>6.3079999999999998</v>
      </c>
      <c r="Q2993" s="19">
        <v>5.4880000000000004</v>
      </c>
      <c r="R2993" s="19">
        <v>4.923</v>
      </c>
      <c r="S2993" s="19">
        <v>4.5339999999999998</v>
      </c>
      <c r="T2993" s="19">
        <v>3.3420000000000001</v>
      </c>
      <c r="U2993" s="19">
        <v>2.4409999999999998</v>
      </c>
      <c r="V2993" s="19">
        <v>1.907</v>
      </c>
      <c r="W2993" s="19">
        <v>1.2849999999999999</v>
      </c>
      <c r="X2993" s="19">
        <v>0.84599999999999997</v>
      </c>
      <c r="Y2993" s="19">
        <v>0.46700000000000003</v>
      </c>
      <c r="Z2993" s="19">
        <v>0.113</v>
      </c>
      <c r="AA2993" s="19">
        <v>1.7999999999999999E-2</v>
      </c>
      <c r="AB2993" s="19">
        <v>0</v>
      </c>
      <c r="AC2993" s="19">
        <v>0</v>
      </c>
    </row>
    <row r="2994" spans="1:29" ht="11.65" hidden="1" x14ac:dyDescent="0.35">
      <c r="A2994" s="23">
        <v>2977</v>
      </c>
      <c r="B2994" s="21" t="s">
        <v>1015</v>
      </c>
      <c r="C2994" s="29" t="s">
        <v>1222</v>
      </c>
      <c r="D2994" s="20"/>
      <c r="E2994" s="20">
        <v>954</v>
      </c>
      <c r="F2994" s="21" t="s">
        <v>1065</v>
      </c>
      <c r="G2994" s="20">
        <v>1835</v>
      </c>
      <c r="H2994" s="20">
        <v>1980</v>
      </c>
      <c r="I2994" s="19">
        <v>22.311</v>
      </c>
      <c r="J2994" s="19">
        <v>20.009</v>
      </c>
      <c r="K2994" s="19">
        <v>17.928999999999998</v>
      </c>
      <c r="L2994" s="19">
        <v>15.89</v>
      </c>
      <c r="M2994" s="19">
        <v>14.106</v>
      </c>
      <c r="N2994" s="19">
        <v>12.504</v>
      </c>
      <c r="O2994" s="19">
        <v>10.063000000000001</v>
      </c>
      <c r="P2994" s="19">
        <v>7.048</v>
      </c>
      <c r="Q2994" s="19">
        <v>5.9980000000000002</v>
      </c>
      <c r="R2994" s="19">
        <v>5.2069999999999999</v>
      </c>
      <c r="S2994" s="19">
        <v>4.79</v>
      </c>
      <c r="T2994" s="19">
        <v>4.1449999999999996</v>
      </c>
      <c r="U2994" s="19">
        <v>2.94</v>
      </c>
      <c r="V2994" s="19">
        <v>2.1520000000000001</v>
      </c>
      <c r="W2994" s="19">
        <v>1.4359999999999999</v>
      </c>
      <c r="X2994" s="19">
        <v>0.90700000000000003</v>
      </c>
      <c r="Y2994" s="19">
        <v>0.55200000000000005</v>
      </c>
      <c r="Z2994" s="19">
        <v>0.16700000000000001</v>
      </c>
      <c r="AA2994" s="19">
        <v>2.4E-2</v>
      </c>
      <c r="AB2994" s="19">
        <v>0</v>
      </c>
      <c r="AC2994" s="19">
        <v>0</v>
      </c>
    </row>
    <row r="2995" spans="1:29" ht="11.65" hidden="1" x14ac:dyDescent="0.35">
      <c r="A2995" s="23">
        <v>2978</v>
      </c>
      <c r="B2995" s="21" t="s">
        <v>1015</v>
      </c>
      <c r="C2995" s="29" t="s">
        <v>1222</v>
      </c>
      <c r="D2995" s="20"/>
      <c r="E2995" s="20">
        <v>954</v>
      </c>
      <c r="F2995" s="21" t="s">
        <v>1065</v>
      </c>
      <c r="G2995" s="20">
        <v>1835</v>
      </c>
      <c r="H2995" s="20">
        <v>1985</v>
      </c>
      <c r="I2995" s="19">
        <v>25.584</v>
      </c>
      <c r="J2995" s="19">
        <v>21.992000000000001</v>
      </c>
      <c r="K2995" s="19">
        <v>19.596</v>
      </c>
      <c r="L2995" s="19">
        <v>18.46</v>
      </c>
      <c r="M2995" s="19">
        <v>16.641999999999999</v>
      </c>
      <c r="N2995" s="19">
        <v>15.244</v>
      </c>
      <c r="O2995" s="19">
        <v>12.852</v>
      </c>
      <c r="P2995" s="19">
        <v>9.609</v>
      </c>
      <c r="Q2995" s="19">
        <v>7.3979999999999997</v>
      </c>
      <c r="R2995" s="19">
        <v>5.7720000000000002</v>
      </c>
      <c r="S2995" s="19">
        <v>4.9630000000000001</v>
      </c>
      <c r="T2995" s="19">
        <v>4.1749999999999998</v>
      </c>
      <c r="U2995" s="19">
        <v>3.5539999999999998</v>
      </c>
      <c r="V2995" s="19">
        <v>2.6680000000000001</v>
      </c>
      <c r="W2995" s="19">
        <v>1.8380000000000001</v>
      </c>
      <c r="X2995" s="19">
        <v>1.073</v>
      </c>
      <c r="Y2995" s="19">
        <v>0.57099999999999995</v>
      </c>
      <c r="Z2995" s="19">
        <v>0.215</v>
      </c>
      <c r="AA2995" s="19">
        <v>0.04</v>
      </c>
      <c r="AB2995" s="19">
        <v>2E-3</v>
      </c>
      <c r="AC2995" s="19">
        <v>0</v>
      </c>
    </row>
    <row r="2996" spans="1:29" ht="11.65" hidden="1" x14ac:dyDescent="0.35">
      <c r="A2996" s="23">
        <v>2979</v>
      </c>
      <c r="B2996" s="21" t="s">
        <v>1015</v>
      </c>
      <c r="C2996" s="29" t="s">
        <v>1222</v>
      </c>
      <c r="D2996" s="20"/>
      <c r="E2996" s="20">
        <v>954</v>
      </c>
      <c r="F2996" s="21" t="s">
        <v>1065</v>
      </c>
      <c r="G2996" s="20">
        <v>1835</v>
      </c>
      <c r="H2996" s="20">
        <v>1990</v>
      </c>
      <c r="I2996" s="19">
        <v>28.768000000000001</v>
      </c>
      <c r="J2996" s="19">
        <v>25.003</v>
      </c>
      <c r="K2996" s="19">
        <v>21.329000000000001</v>
      </c>
      <c r="L2996" s="19">
        <v>20.035</v>
      </c>
      <c r="M2996" s="19">
        <v>19.974</v>
      </c>
      <c r="N2996" s="19">
        <v>18.004999999999999</v>
      </c>
      <c r="O2996" s="19">
        <v>16.016999999999999</v>
      </c>
      <c r="P2996" s="19">
        <v>13.035</v>
      </c>
      <c r="Q2996" s="19">
        <v>9.7799999999999994</v>
      </c>
      <c r="R2996" s="19">
        <v>6.95</v>
      </c>
      <c r="S2996" s="19">
        <v>5.8079999999999998</v>
      </c>
      <c r="T2996" s="19">
        <v>4.6390000000000002</v>
      </c>
      <c r="U2996" s="19">
        <v>4.1509999999999998</v>
      </c>
      <c r="V2996" s="19">
        <v>3.0859999999999999</v>
      </c>
      <c r="W2996" s="19">
        <v>2.2549999999999999</v>
      </c>
      <c r="X2996" s="19">
        <v>1.341</v>
      </c>
      <c r="Y2996" s="19">
        <v>0.67900000000000005</v>
      </c>
      <c r="Z2996" s="19">
        <v>0.23799999999999999</v>
      </c>
      <c r="AA2996" s="19">
        <v>5.7000000000000002E-2</v>
      </c>
      <c r="AB2996" s="19">
        <v>3.0000000000000001E-3</v>
      </c>
      <c r="AC2996" s="19">
        <v>0</v>
      </c>
    </row>
    <row r="2997" spans="1:29" ht="11.65" hidden="1" x14ac:dyDescent="0.35">
      <c r="A2997" s="23">
        <v>2980</v>
      </c>
      <c r="B2997" s="21" t="s">
        <v>1015</v>
      </c>
      <c r="C2997" s="29" t="s">
        <v>1222</v>
      </c>
      <c r="D2997" s="20"/>
      <c r="E2997" s="20">
        <v>954</v>
      </c>
      <c r="F2997" s="21" t="s">
        <v>1065</v>
      </c>
      <c r="G2997" s="20">
        <v>1835</v>
      </c>
      <c r="H2997" s="20">
        <v>1995</v>
      </c>
      <c r="I2997" s="19">
        <v>30.300999999999998</v>
      </c>
      <c r="J2997" s="19">
        <v>27.643999999999998</v>
      </c>
      <c r="K2997" s="19">
        <v>24.829000000000001</v>
      </c>
      <c r="L2997" s="19">
        <v>20.86</v>
      </c>
      <c r="M2997" s="19">
        <v>19.177</v>
      </c>
      <c r="N2997" s="19">
        <v>19.529</v>
      </c>
      <c r="O2997" s="19">
        <v>17.670999999999999</v>
      </c>
      <c r="P2997" s="19">
        <v>15.305999999999999</v>
      </c>
      <c r="Q2997" s="19">
        <v>12.147</v>
      </c>
      <c r="R2997" s="19">
        <v>9.2420000000000009</v>
      </c>
      <c r="S2997" s="19">
        <v>6.3849999999999998</v>
      </c>
      <c r="T2997" s="19">
        <v>5.31</v>
      </c>
      <c r="U2997" s="19">
        <v>4.5890000000000004</v>
      </c>
      <c r="V2997" s="19">
        <v>3.4649999999999999</v>
      </c>
      <c r="W2997" s="19">
        <v>2.5710000000000002</v>
      </c>
      <c r="X2997" s="19">
        <v>1.696</v>
      </c>
      <c r="Y2997" s="19">
        <v>0.80500000000000005</v>
      </c>
      <c r="Z2997" s="19">
        <v>0.28999999999999998</v>
      </c>
      <c r="AA2997" s="19">
        <v>6.7000000000000004E-2</v>
      </c>
      <c r="AB2997" s="19">
        <v>6.0000000000000001E-3</v>
      </c>
      <c r="AC2997" s="19">
        <v>0</v>
      </c>
    </row>
    <row r="2998" spans="1:29" ht="11.65" hidden="1" x14ac:dyDescent="0.35">
      <c r="A2998" s="23">
        <v>2981</v>
      </c>
      <c r="B2998" s="21" t="s">
        <v>1015</v>
      </c>
      <c r="C2998" s="29" t="s">
        <v>1222</v>
      </c>
      <c r="D2998" s="20"/>
      <c r="E2998" s="20">
        <v>954</v>
      </c>
      <c r="F2998" s="21" t="s">
        <v>1065</v>
      </c>
      <c r="G2998" s="20">
        <v>1835</v>
      </c>
      <c r="H2998" s="20">
        <v>2000</v>
      </c>
      <c r="I2998" s="19">
        <v>28.847000000000001</v>
      </c>
      <c r="J2998" s="19">
        <v>26.643000000000001</v>
      </c>
      <c r="K2998" s="19">
        <v>26.181000000000001</v>
      </c>
      <c r="L2998" s="19">
        <v>23.861000000000001</v>
      </c>
      <c r="M2998" s="19">
        <v>20.594999999999999</v>
      </c>
      <c r="N2998" s="19">
        <v>21.495000000000001</v>
      </c>
      <c r="O2998" s="19">
        <v>21.181000000000001</v>
      </c>
      <c r="P2998" s="19">
        <v>17.38</v>
      </c>
      <c r="Q2998" s="19">
        <v>14.025</v>
      </c>
      <c r="R2998" s="19">
        <v>11.27</v>
      </c>
      <c r="S2998" s="19">
        <v>8.8460000000000001</v>
      </c>
      <c r="T2998" s="19">
        <v>5.7960000000000003</v>
      </c>
      <c r="U2998" s="19">
        <v>4.9779999999999998</v>
      </c>
      <c r="V2998" s="19">
        <v>3.94</v>
      </c>
      <c r="W2998" s="19">
        <v>2.5169999999999999</v>
      </c>
      <c r="X2998" s="19">
        <v>1.889</v>
      </c>
      <c r="Y2998" s="19">
        <v>1.212</v>
      </c>
      <c r="Z2998" s="19">
        <v>0.34399999999999997</v>
      </c>
      <c r="AA2998" s="19">
        <v>8.5999999999999993E-2</v>
      </c>
      <c r="AB2998" s="19">
        <v>6.0000000000000001E-3</v>
      </c>
      <c r="AC2998" s="19">
        <v>0</v>
      </c>
    </row>
    <row r="2999" spans="1:29" ht="11.65" hidden="1" x14ac:dyDescent="0.35">
      <c r="A2999" s="23">
        <v>2982</v>
      </c>
      <c r="B2999" s="21" t="s">
        <v>1015</v>
      </c>
      <c r="C2999" s="29" t="s">
        <v>1222</v>
      </c>
      <c r="D2999" s="20"/>
      <c r="E2999" s="20">
        <v>954</v>
      </c>
      <c r="F2999" s="21" t="s">
        <v>1065</v>
      </c>
      <c r="G2999" s="20">
        <v>1835</v>
      </c>
      <c r="H2999" s="20">
        <v>2005</v>
      </c>
      <c r="I2999" s="19">
        <v>27.402999999999999</v>
      </c>
      <c r="J2999" s="19">
        <v>27.478000000000002</v>
      </c>
      <c r="K2999" s="19">
        <v>25.626000000000001</v>
      </c>
      <c r="L2999" s="19">
        <v>24.988</v>
      </c>
      <c r="M2999" s="19">
        <v>21.291</v>
      </c>
      <c r="N2999" s="19">
        <v>18.277000000000001</v>
      </c>
      <c r="O2999" s="19">
        <v>19.202999999999999</v>
      </c>
      <c r="P2999" s="19">
        <v>18.617999999999999</v>
      </c>
      <c r="Q2999" s="19">
        <v>15.068</v>
      </c>
      <c r="R2999" s="19">
        <v>12.664999999999999</v>
      </c>
      <c r="S2999" s="19">
        <v>10.579000000000001</v>
      </c>
      <c r="T2999" s="19">
        <v>8.2710000000000008</v>
      </c>
      <c r="U2999" s="19">
        <v>5.2919999999999998</v>
      </c>
      <c r="V2999" s="19">
        <v>4.3579999999999997</v>
      </c>
      <c r="W2999" s="19">
        <v>3.4889999999999999</v>
      </c>
      <c r="X2999" s="19">
        <v>2.0209999999999999</v>
      </c>
      <c r="Y2999" s="19">
        <v>1.3149999999999999</v>
      </c>
      <c r="Z2999" s="19">
        <v>0.58099999999999996</v>
      </c>
      <c r="AA2999" s="19">
        <v>0.111</v>
      </c>
      <c r="AB2999" s="19">
        <v>1.7000000000000001E-2</v>
      </c>
      <c r="AC2999" s="19">
        <v>1E-3</v>
      </c>
    </row>
    <row r="3000" spans="1:29" ht="11.65" hidden="1" x14ac:dyDescent="0.35">
      <c r="A3000" s="23">
        <v>2983</v>
      </c>
      <c r="B3000" s="21" t="s">
        <v>1015</v>
      </c>
      <c r="C3000" s="29" t="s">
        <v>1222</v>
      </c>
      <c r="D3000" s="20"/>
      <c r="E3000" s="20">
        <v>954</v>
      </c>
      <c r="F3000" s="21" t="s">
        <v>1065</v>
      </c>
      <c r="G3000" s="20">
        <v>1835</v>
      </c>
      <c r="H3000" s="20">
        <v>2010</v>
      </c>
      <c r="I3000" s="19">
        <v>27.48</v>
      </c>
      <c r="J3000" s="19">
        <v>25.437000000000001</v>
      </c>
      <c r="K3000" s="19">
        <v>25.754000000000001</v>
      </c>
      <c r="L3000" s="19">
        <v>23.905000000000001</v>
      </c>
      <c r="M3000" s="19">
        <v>21.558</v>
      </c>
      <c r="N3000" s="19">
        <v>18.294</v>
      </c>
      <c r="O3000" s="19">
        <v>16.652999999999999</v>
      </c>
      <c r="P3000" s="19">
        <v>16.786999999999999</v>
      </c>
      <c r="Q3000" s="19">
        <v>15.897</v>
      </c>
      <c r="R3000" s="19">
        <v>14.18</v>
      </c>
      <c r="S3000" s="19">
        <v>12.589</v>
      </c>
      <c r="T3000" s="19">
        <v>10.121</v>
      </c>
      <c r="U3000" s="19">
        <v>7.1769999999999996</v>
      </c>
      <c r="V3000" s="19">
        <v>4.383</v>
      </c>
      <c r="W3000" s="19">
        <v>3.6240000000000001</v>
      </c>
      <c r="X3000" s="19">
        <v>2.512</v>
      </c>
      <c r="Y3000" s="19">
        <v>1.298</v>
      </c>
      <c r="Z3000" s="19">
        <v>0.64600000000000002</v>
      </c>
      <c r="AA3000" s="19">
        <v>0.221</v>
      </c>
      <c r="AB3000" s="19">
        <v>2.3E-2</v>
      </c>
      <c r="AC3000" s="19">
        <v>2E-3</v>
      </c>
    </row>
    <row r="3001" spans="1:29" ht="11.65" hidden="1" x14ac:dyDescent="0.35">
      <c r="A3001" s="23">
        <v>2984</v>
      </c>
      <c r="B3001" s="21" t="s">
        <v>1015</v>
      </c>
      <c r="C3001" s="29" t="s">
        <v>1222</v>
      </c>
      <c r="D3001" s="20"/>
      <c r="E3001" s="20">
        <v>954</v>
      </c>
      <c r="F3001" s="21" t="s">
        <v>1065</v>
      </c>
      <c r="G3001" s="20">
        <v>1835</v>
      </c>
      <c r="H3001" s="20">
        <v>2015</v>
      </c>
      <c r="I3001" s="19">
        <v>26.135000000000002</v>
      </c>
      <c r="J3001" s="19">
        <v>26.648</v>
      </c>
      <c r="K3001" s="19">
        <v>24.827999999999999</v>
      </c>
      <c r="L3001" s="19">
        <v>24.863</v>
      </c>
      <c r="M3001" s="19">
        <v>22.332999999999998</v>
      </c>
      <c r="N3001" s="19">
        <v>19.934000000000001</v>
      </c>
      <c r="O3001" s="19">
        <v>17.297000000000001</v>
      </c>
      <c r="P3001" s="19">
        <v>15.821999999999999</v>
      </c>
      <c r="Q3001" s="19">
        <v>15.512</v>
      </c>
      <c r="R3001" s="19">
        <v>14.898</v>
      </c>
      <c r="S3001" s="19">
        <v>13.414999999999999</v>
      </c>
      <c r="T3001" s="19">
        <v>11.644</v>
      </c>
      <c r="U3001" s="19">
        <v>9.2230000000000008</v>
      </c>
      <c r="V3001" s="19">
        <v>6.5510000000000002</v>
      </c>
      <c r="W3001" s="19">
        <v>3.7629999999999999</v>
      </c>
      <c r="X3001" s="19">
        <v>2.7469999999999999</v>
      </c>
      <c r="Y3001" s="19">
        <v>1.722</v>
      </c>
      <c r="Z3001" s="19">
        <v>0.73299999999999998</v>
      </c>
      <c r="AA3001" s="19">
        <v>0.25700000000000001</v>
      </c>
      <c r="AB3001" s="19">
        <v>5.8999999999999997E-2</v>
      </c>
      <c r="AC3001" s="19">
        <v>4.0000000000000001E-3</v>
      </c>
    </row>
    <row r="3002" spans="1:29" ht="11.65" hidden="1" x14ac:dyDescent="0.35">
      <c r="A3002" s="23">
        <v>2985</v>
      </c>
      <c r="B3002" s="21" t="s">
        <v>1015</v>
      </c>
      <c r="C3002" s="29" t="s">
        <v>1222</v>
      </c>
      <c r="D3002" s="20"/>
      <c r="E3002" s="20">
        <v>954</v>
      </c>
      <c r="F3002" s="21" t="s">
        <v>1065</v>
      </c>
      <c r="G3002" s="20">
        <v>1835</v>
      </c>
      <c r="H3002" s="20">
        <v>2020</v>
      </c>
      <c r="I3002" s="19">
        <v>26.163</v>
      </c>
      <c r="J3002" s="19">
        <v>25.683</v>
      </c>
      <c r="K3002" s="19">
        <v>26.315000000000001</v>
      </c>
      <c r="L3002" s="19">
        <v>24.082000000000001</v>
      </c>
      <c r="M3002" s="19">
        <v>23.609000000000002</v>
      </c>
      <c r="N3002" s="19">
        <v>21.05</v>
      </c>
      <c r="O3002" s="19">
        <v>18.888999999999999</v>
      </c>
      <c r="P3002" s="19">
        <v>16.466999999999999</v>
      </c>
      <c r="Q3002" s="19">
        <v>15.134</v>
      </c>
      <c r="R3002" s="19">
        <v>14.93</v>
      </c>
      <c r="S3002" s="19">
        <v>14.356</v>
      </c>
      <c r="T3002" s="19">
        <v>12.885</v>
      </c>
      <c r="U3002" s="19">
        <v>11.055999999999999</v>
      </c>
      <c r="V3002" s="19">
        <v>8.5559999999999992</v>
      </c>
      <c r="W3002" s="19">
        <v>5.8369999999999997</v>
      </c>
      <c r="X3002" s="19">
        <v>3.1150000000000002</v>
      </c>
      <c r="Y3002" s="19">
        <v>2.0390000000000001</v>
      </c>
      <c r="Z3002" s="19">
        <v>1.052</v>
      </c>
      <c r="AA3002" s="19">
        <v>0.34</v>
      </c>
      <c r="AB3002" s="19">
        <v>8.1000000000000003E-2</v>
      </c>
      <c r="AC3002" s="19">
        <v>1.2E-2</v>
      </c>
    </row>
    <row r="3003" spans="1:29" ht="11.65" hidden="1" x14ac:dyDescent="0.35">
      <c r="A3003" s="12">
        <v>2986</v>
      </c>
      <c r="B3003" s="10" t="s">
        <v>1015</v>
      </c>
      <c r="C3003" s="11" t="s">
        <v>1223</v>
      </c>
      <c r="D3003" s="9">
        <v>14</v>
      </c>
      <c r="E3003" s="9">
        <v>316</v>
      </c>
      <c r="F3003" s="10" t="s">
        <v>1066</v>
      </c>
      <c r="G3003" s="9">
        <v>954</v>
      </c>
      <c r="H3003" s="9">
        <v>1950</v>
      </c>
      <c r="I3003" s="8">
        <v>3.718</v>
      </c>
      <c r="J3003" s="8">
        <v>2.1880000000000002</v>
      </c>
      <c r="K3003" s="8">
        <v>1.974</v>
      </c>
      <c r="L3003" s="8">
        <v>1.5960000000000001</v>
      </c>
      <c r="M3003" s="8">
        <v>1.7829999999999999</v>
      </c>
      <c r="N3003" s="8">
        <v>2.0630000000000002</v>
      </c>
      <c r="O3003" s="8">
        <v>1.657</v>
      </c>
      <c r="P3003" s="8">
        <v>1.2050000000000001</v>
      </c>
      <c r="Q3003" s="8">
        <v>0.91100000000000003</v>
      </c>
      <c r="R3003" s="8">
        <v>0.64</v>
      </c>
      <c r="S3003" s="8">
        <v>0.42699999999999999</v>
      </c>
      <c r="T3003" s="8">
        <v>0.33100000000000002</v>
      </c>
      <c r="U3003" s="8">
        <v>0.24299999999999999</v>
      </c>
      <c r="V3003" s="8">
        <v>0.191</v>
      </c>
      <c r="W3003" s="8">
        <v>0.121</v>
      </c>
      <c r="X3003" s="8">
        <v>9.5000000000000001E-2</v>
      </c>
      <c r="Y3003" s="8">
        <v>4.1000000000000002E-2</v>
      </c>
      <c r="Z3003" s="8">
        <v>1.4E-2</v>
      </c>
      <c r="AA3003" s="8">
        <v>3.0000000000000001E-3</v>
      </c>
      <c r="AB3003" s="8">
        <v>0</v>
      </c>
      <c r="AC3003" s="8">
        <v>0</v>
      </c>
    </row>
    <row r="3004" spans="1:29" ht="11.65" hidden="1" x14ac:dyDescent="0.35">
      <c r="A3004" s="12">
        <v>2987</v>
      </c>
      <c r="B3004" s="10" t="s">
        <v>1015</v>
      </c>
      <c r="C3004" s="11" t="s">
        <v>1223</v>
      </c>
      <c r="D3004" s="9">
        <v>14</v>
      </c>
      <c r="E3004" s="9">
        <v>316</v>
      </c>
      <c r="F3004" s="10" t="s">
        <v>1066</v>
      </c>
      <c r="G3004" s="9">
        <v>954</v>
      </c>
      <c r="H3004" s="9">
        <v>1955</v>
      </c>
      <c r="I3004" s="8">
        <v>4.226</v>
      </c>
      <c r="J3004" s="8">
        <v>3.2280000000000002</v>
      </c>
      <c r="K3004" s="8">
        <v>2.6829999999999998</v>
      </c>
      <c r="L3004" s="8">
        <v>1.774</v>
      </c>
      <c r="M3004" s="8">
        <v>2.004</v>
      </c>
      <c r="N3004" s="8">
        <v>2.16</v>
      </c>
      <c r="O3004" s="8">
        <v>1.873</v>
      </c>
      <c r="P3004" s="8">
        <v>1.4430000000000001</v>
      </c>
      <c r="Q3004" s="8">
        <v>1.0640000000000001</v>
      </c>
      <c r="R3004" s="8">
        <v>0.78300000000000003</v>
      </c>
      <c r="S3004" s="8">
        <v>0.55000000000000004</v>
      </c>
      <c r="T3004" s="8">
        <v>0.42199999999999999</v>
      </c>
      <c r="U3004" s="8">
        <v>0.28299999999999997</v>
      </c>
      <c r="V3004" s="8">
        <v>0.223</v>
      </c>
      <c r="W3004" s="8">
        <v>0.13600000000000001</v>
      </c>
      <c r="X3004" s="8">
        <v>0.105</v>
      </c>
      <c r="Y3004" s="8">
        <v>4.7E-2</v>
      </c>
      <c r="Z3004" s="8">
        <v>1.6E-2</v>
      </c>
      <c r="AA3004" s="8">
        <v>4.0000000000000001E-3</v>
      </c>
      <c r="AB3004" s="8">
        <v>0</v>
      </c>
      <c r="AC3004" s="8">
        <v>0</v>
      </c>
    </row>
    <row r="3005" spans="1:29" ht="11.65" hidden="1" x14ac:dyDescent="0.35">
      <c r="A3005" s="12">
        <v>2988</v>
      </c>
      <c r="B3005" s="10" t="s">
        <v>1015</v>
      </c>
      <c r="C3005" s="11" t="s">
        <v>1223</v>
      </c>
      <c r="D3005" s="9">
        <v>14</v>
      </c>
      <c r="E3005" s="9">
        <v>316</v>
      </c>
      <c r="F3005" s="10" t="s">
        <v>1066</v>
      </c>
      <c r="G3005" s="9">
        <v>954</v>
      </c>
      <c r="H3005" s="9">
        <v>1960</v>
      </c>
      <c r="I3005" s="8">
        <v>5.1029999999999998</v>
      </c>
      <c r="J3005" s="8">
        <v>4.41</v>
      </c>
      <c r="K3005" s="8">
        <v>3.5950000000000002</v>
      </c>
      <c r="L3005" s="8">
        <v>1.9550000000000001</v>
      </c>
      <c r="M3005" s="8">
        <v>2.234</v>
      </c>
      <c r="N3005" s="8">
        <v>2.202</v>
      </c>
      <c r="O3005" s="8">
        <v>2.1070000000000002</v>
      </c>
      <c r="P3005" s="8">
        <v>1.724</v>
      </c>
      <c r="Q3005" s="8">
        <v>1.24</v>
      </c>
      <c r="R3005" s="8">
        <v>0.95299999999999996</v>
      </c>
      <c r="S3005" s="8">
        <v>0.70399999999999996</v>
      </c>
      <c r="T3005" s="8">
        <v>0.53300000000000003</v>
      </c>
      <c r="U3005" s="8">
        <v>0.33</v>
      </c>
      <c r="V3005" s="8">
        <v>0.25600000000000001</v>
      </c>
      <c r="W3005" s="8">
        <v>0.154</v>
      </c>
      <c r="X3005" s="8">
        <v>0.114</v>
      </c>
      <c r="Y3005" s="8">
        <v>5.1999999999999998E-2</v>
      </c>
      <c r="Z3005" s="8">
        <v>0.02</v>
      </c>
      <c r="AA3005" s="8">
        <v>4.0000000000000001E-3</v>
      </c>
      <c r="AB3005" s="8">
        <v>0</v>
      </c>
      <c r="AC3005" s="8">
        <v>0</v>
      </c>
    </row>
    <row r="3006" spans="1:29" ht="11.65" hidden="1" x14ac:dyDescent="0.35">
      <c r="A3006" s="12">
        <v>2989</v>
      </c>
      <c r="B3006" s="10" t="s">
        <v>1015</v>
      </c>
      <c r="C3006" s="11" t="s">
        <v>1223</v>
      </c>
      <c r="D3006" s="9">
        <v>14</v>
      </c>
      <c r="E3006" s="9">
        <v>316</v>
      </c>
      <c r="F3006" s="10" t="s">
        <v>1066</v>
      </c>
      <c r="G3006" s="9">
        <v>954</v>
      </c>
      <c r="H3006" s="9">
        <v>1965</v>
      </c>
      <c r="I3006" s="8">
        <v>5.3179999999999996</v>
      </c>
      <c r="J3006" s="8">
        <v>5.0049999999999999</v>
      </c>
      <c r="K3006" s="8">
        <v>4.0380000000000003</v>
      </c>
      <c r="L3006" s="8">
        <v>2.8260000000000001</v>
      </c>
      <c r="M3006" s="8">
        <v>2.87</v>
      </c>
      <c r="N3006" s="8">
        <v>2.5099999999999998</v>
      </c>
      <c r="O3006" s="8">
        <v>2.3660000000000001</v>
      </c>
      <c r="P3006" s="8">
        <v>1.958</v>
      </c>
      <c r="Q3006" s="8">
        <v>1.4810000000000001</v>
      </c>
      <c r="R3006" s="8">
        <v>1.135</v>
      </c>
      <c r="S3006" s="8">
        <v>0.83</v>
      </c>
      <c r="T3006" s="8">
        <v>0.628</v>
      </c>
      <c r="U3006" s="8">
        <v>0.40500000000000003</v>
      </c>
      <c r="V3006" s="8">
        <v>0.309</v>
      </c>
      <c r="W3006" s="8">
        <v>0.17199999999999999</v>
      </c>
      <c r="X3006" s="8">
        <v>0.126</v>
      </c>
      <c r="Y3006" s="8">
        <v>7.0999999999999994E-2</v>
      </c>
      <c r="Z3006" s="8">
        <v>2.1999999999999999E-2</v>
      </c>
      <c r="AA3006" s="8">
        <v>5.0000000000000001E-3</v>
      </c>
      <c r="AB3006" s="8">
        <v>0</v>
      </c>
      <c r="AC3006" s="8">
        <v>0</v>
      </c>
    </row>
    <row r="3007" spans="1:29" ht="11.65" hidden="1" x14ac:dyDescent="0.35">
      <c r="A3007" s="12">
        <v>2990</v>
      </c>
      <c r="B3007" s="10" t="s">
        <v>1015</v>
      </c>
      <c r="C3007" s="11" t="s">
        <v>1223</v>
      </c>
      <c r="D3007" s="9">
        <v>14</v>
      </c>
      <c r="E3007" s="9">
        <v>316</v>
      </c>
      <c r="F3007" s="10" t="s">
        <v>1066</v>
      </c>
      <c r="G3007" s="9">
        <v>954</v>
      </c>
      <c r="H3007" s="9">
        <v>1970</v>
      </c>
      <c r="I3007" s="8">
        <v>5.468</v>
      </c>
      <c r="J3007" s="8">
        <v>5.5609999999999999</v>
      </c>
      <c r="K3007" s="8">
        <v>4.8339999999999996</v>
      </c>
      <c r="L3007" s="8">
        <v>3.7370000000000001</v>
      </c>
      <c r="M3007" s="8">
        <v>3.6539999999999999</v>
      </c>
      <c r="N3007" s="8">
        <v>2.8580000000000001</v>
      </c>
      <c r="O3007" s="8">
        <v>2.653</v>
      </c>
      <c r="P3007" s="8">
        <v>2.2229999999999999</v>
      </c>
      <c r="Q3007" s="8">
        <v>1.7669999999999999</v>
      </c>
      <c r="R3007" s="8">
        <v>1.3480000000000001</v>
      </c>
      <c r="S3007" s="8">
        <v>0.97899999999999998</v>
      </c>
      <c r="T3007" s="8">
        <v>0.73699999999999999</v>
      </c>
      <c r="U3007" s="8">
        <v>0.497</v>
      </c>
      <c r="V3007" s="8">
        <v>0.36799999999999999</v>
      </c>
      <c r="W3007" s="8">
        <v>0.192</v>
      </c>
      <c r="X3007" s="8">
        <v>0.14099999999999999</v>
      </c>
      <c r="Y3007" s="8">
        <v>8.4000000000000005E-2</v>
      </c>
      <c r="Z3007" s="8">
        <v>2.9000000000000001E-2</v>
      </c>
      <c r="AA3007" s="8">
        <v>5.0000000000000001E-3</v>
      </c>
      <c r="AB3007" s="8">
        <v>0</v>
      </c>
      <c r="AC3007" s="8">
        <v>0</v>
      </c>
    </row>
    <row r="3008" spans="1:29" ht="11.65" hidden="1" x14ac:dyDescent="0.35">
      <c r="A3008" s="12">
        <v>2991</v>
      </c>
      <c r="B3008" s="10" t="s">
        <v>1015</v>
      </c>
      <c r="C3008" s="11" t="s">
        <v>1223</v>
      </c>
      <c r="D3008" s="9">
        <v>14</v>
      </c>
      <c r="E3008" s="9">
        <v>316</v>
      </c>
      <c r="F3008" s="10" t="s">
        <v>1066</v>
      </c>
      <c r="G3008" s="9">
        <v>954</v>
      </c>
      <c r="H3008" s="9">
        <v>1975</v>
      </c>
      <c r="I3008" s="8">
        <v>5.8620000000000001</v>
      </c>
      <c r="J3008" s="8">
        <v>5.7720000000000002</v>
      </c>
      <c r="K3008" s="8">
        <v>5.0860000000000003</v>
      </c>
      <c r="L3008" s="8">
        <v>4.3680000000000003</v>
      </c>
      <c r="M3008" s="8">
        <v>4.1390000000000002</v>
      </c>
      <c r="N3008" s="8">
        <v>3.8860000000000001</v>
      </c>
      <c r="O3008" s="8">
        <v>3.4660000000000002</v>
      </c>
      <c r="P3008" s="8">
        <v>2.532</v>
      </c>
      <c r="Q3008" s="8">
        <v>2.0649999999999999</v>
      </c>
      <c r="R3008" s="8">
        <v>1.659</v>
      </c>
      <c r="S3008" s="8">
        <v>1.325</v>
      </c>
      <c r="T3008" s="8">
        <v>0.98299999999999998</v>
      </c>
      <c r="U3008" s="8">
        <v>0.68600000000000005</v>
      </c>
      <c r="V3008" s="8">
        <v>0.51300000000000001</v>
      </c>
      <c r="W3008" s="8">
        <v>0.29199999999999998</v>
      </c>
      <c r="X3008" s="8">
        <v>0.191</v>
      </c>
      <c r="Y3008" s="8">
        <v>0.124</v>
      </c>
      <c r="Z3008" s="8">
        <v>3.5999999999999997E-2</v>
      </c>
      <c r="AA3008" s="8">
        <v>8.9999999999999993E-3</v>
      </c>
      <c r="AB3008" s="8">
        <v>0</v>
      </c>
      <c r="AC3008" s="8">
        <v>0</v>
      </c>
    </row>
    <row r="3009" spans="1:29" ht="11.65" hidden="1" x14ac:dyDescent="0.35">
      <c r="A3009" s="12">
        <v>2992</v>
      </c>
      <c r="B3009" s="10" t="s">
        <v>1015</v>
      </c>
      <c r="C3009" s="11" t="s">
        <v>1223</v>
      </c>
      <c r="D3009" s="9">
        <v>14</v>
      </c>
      <c r="E3009" s="9">
        <v>316</v>
      </c>
      <c r="F3009" s="10" t="s">
        <v>1066</v>
      </c>
      <c r="G3009" s="9">
        <v>954</v>
      </c>
      <c r="H3009" s="9">
        <v>1980</v>
      </c>
      <c r="I3009" s="8">
        <v>6.2229999999999999</v>
      </c>
      <c r="J3009" s="8">
        <v>5.9969999999999999</v>
      </c>
      <c r="K3009" s="8">
        <v>5.3</v>
      </c>
      <c r="L3009" s="8">
        <v>4.9930000000000003</v>
      </c>
      <c r="M3009" s="8">
        <v>4.9829999999999997</v>
      </c>
      <c r="N3009" s="8">
        <v>4.9770000000000003</v>
      </c>
      <c r="O3009" s="8">
        <v>4.468</v>
      </c>
      <c r="P3009" s="8">
        <v>2.8809999999999998</v>
      </c>
      <c r="Q3009" s="8">
        <v>2.4180000000000001</v>
      </c>
      <c r="R3009" s="8">
        <v>2.032</v>
      </c>
      <c r="S3009" s="8">
        <v>1.758</v>
      </c>
      <c r="T3009" s="8">
        <v>1.29</v>
      </c>
      <c r="U3009" s="8">
        <v>0.92700000000000005</v>
      </c>
      <c r="V3009" s="8">
        <v>0.69299999999999995</v>
      </c>
      <c r="W3009" s="8">
        <v>0.42</v>
      </c>
      <c r="X3009" s="8">
        <v>0.255</v>
      </c>
      <c r="Y3009" s="8">
        <v>0.156</v>
      </c>
      <c r="Z3009" s="8">
        <v>5.6000000000000001E-2</v>
      </c>
      <c r="AA3009" s="8">
        <v>1.0999999999999999E-2</v>
      </c>
      <c r="AB3009" s="8">
        <v>0</v>
      </c>
      <c r="AC3009" s="8">
        <v>0</v>
      </c>
    </row>
    <row r="3010" spans="1:29" ht="11.65" hidden="1" x14ac:dyDescent="0.35">
      <c r="A3010" s="12">
        <v>2993</v>
      </c>
      <c r="B3010" s="10" t="s">
        <v>1015</v>
      </c>
      <c r="C3010" s="11" t="s">
        <v>1223</v>
      </c>
      <c r="D3010" s="9">
        <v>14</v>
      </c>
      <c r="E3010" s="9">
        <v>316</v>
      </c>
      <c r="F3010" s="10" t="s">
        <v>1066</v>
      </c>
      <c r="G3010" s="9">
        <v>954</v>
      </c>
      <c r="H3010" s="9">
        <v>1985</v>
      </c>
      <c r="I3010" s="8">
        <v>6.7160000000000002</v>
      </c>
      <c r="J3010" s="8">
        <v>6.149</v>
      </c>
      <c r="K3010" s="8">
        <v>5.452</v>
      </c>
      <c r="L3010" s="8">
        <v>5.2080000000000002</v>
      </c>
      <c r="M3010" s="8">
        <v>5.391</v>
      </c>
      <c r="N3010" s="8">
        <v>5.5330000000000004</v>
      </c>
      <c r="O3010" s="8">
        <v>4.7690000000000001</v>
      </c>
      <c r="P3010" s="8">
        <v>3.6850000000000001</v>
      </c>
      <c r="Q3010" s="8">
        <v>3.0049999999999999</v>
      </c>
      <c r="R3010" s="8">
        <v>2.2400000000000002</v>
      </c>
      <c r="S3010" s="8">
        <v>2.0179999999999998</v>
      </c>
      <c r="T3010" s="8">
        <v>1.5940000000000001</v>
      </c>
      <c r="U3010" s="8">
        <v>1.2250000000000001</v>
      </c>
      <c r="V3010" s="8">
        <v>0.88700000000000001</v>
      </c>
      <c r="W3010" s="8">
        <v>0.56000000000000005</v>
      </c>
      <c r="X3010" s="8">
        <v>0.33800000000000002</v>
      </c>
      <c r="Y3010" s="8">
        <v>0.20899999999999999</v>
      </c>
      <c r="Z3010" s="8">
        <v>7.1999999999999995E-2</v>
      </c>
      <c r="AA3010" s="8">
        <v>1.4999999999999999E-2</v>
      </c>
      <c r="AB3010" s="8">
        <v>2E-3</v>
      </c>
      <c r="AC3010" s="8">
        <v>0</v>
      </c>
    </row>
    <row r="3011" spans="1:29" ht="11.65" hidden="1" x14ac:dyDescent="0.35">
      <c r="A3011" s="12">
        <v>2994</v>
      </c>
      <c r="B3011" s="10" t="s">
        <v>1015</v>
      </c>
      <c r="C3011" s="11" t="s">
        <v>1223</v>
      </c>
      <c r="D3011" s="9">
        <v>14</v>
      </c>
      <c r="E3011" s="9">
        <v>316</v>
      </c>
      <c r="F3011" s="10" t="s">
        <v>1066</v>
      </c>
      <c r="G3011" s="9">
        <v>954</v>
      </c>
      <c r="H3011" s="9">
        <v>1990</v>
      </c>
      <c r="I3011" s="8">
        <v>7.3209999999999997</v>
      </c>
      <c r="J3011" s="8">
        <v>6.2169999999999996</v>
      </c>
      <c r="K3011" s="8">
        <v>5.5540000000000003</v>
      </c>
      <c r="L3011" s="8">
        <v>5.4950000000000001</v>
      </c>
      <c r="M3011" s="8">
        <v>5.8239999999999998</v>
      </c>
      <c r="N3011" s="8">
        <v>5.9960000000000004</v>
      </c>
      <c r="O3011" s="8">
        <v>5.3049999999999997</v>
      </c>
      <c r="P3011" s="8">
        <v>4.4980000000000002</v>
      </c>
      <c r="Q3011" s="8">
        <v>3.6709999999999998</v>
      </c>
      <c r="R3011" s="8">
        <v>2.4590000000000001</v>
      </c>
      <c r="S3011" s="8">
        <v>2.2909999999999999</v>
      </c>
      <c r="T3011" s="8">
        <v>1.952</v>
      </c>
      <c r="U3011" s="8">
        <v>1.611</v>
      </c>
      <c r="V3011" s="8">
        <v>1.1140000000000001</v>
      </c>
      <c r="W3011" s="8">
        <v>0.73799999999999999</v>
      </c>
      <c r="X3011" s="8">
        <v>0.439</v>
      </c>
      <c r="Y3011" s="8">
        <v>0.26500000000000001</v>
      </c>
      <c r="Z3011" s="8">
        <v>9.8000000000000004E-2</v>
      </c>
      <c r="AA3011" s="8">
        <v>2.1999999999999999E-2</v>
      </c>
      <c r="AB3011" s="8">
        <v>3.0000000000000001E-3</v>
      </c>
      <c r="AC3011" s="8">
        <v>0</v>
      </c>
    </row>
    <row r="3012" spans="1:29" ht="11.65" hidden="1" x14ac:dyDescent="0.35">
      <c r="A3012" s="12">
        <v>2995</v>
      </c>
      <c r="B3012" s="10" t="s">
        <v>1015</v>
      </c>
      <c r="C3012" s="11" t="s">
        <v>1223</v>
      </c>
      <c r="D3012" s="9">
        <v>14</v>
      </c>
      <c r="E3012" s="9">
        <v>316</v>
      </c>
      <c r="F3012" s="10" t="s">
        <v>1066</v>
      </c>
      <c r="G3012" s="9">
        <v>954</v>
      </c>
      <c r="H3012" s="9">
        <v>1995</v>
      </c>
      <c r="I3012" s="8">
        <v>8.5180000000000007</v>
      </c>
      <c r="J3012" s="8">
        <v>7.274</v>
      </c>
      <c r="K3012" s="8">
        <v>6.2460000000000004</v>
      </c>
      <c r="L3012" s="8">
        <v>5.7089999999999996</v>
      </c>
      <c r="M3012" s="8">
        <v>5.8920000000000003</v>
      </c>
      <c r="N3012" s="8">
        <v>6.2469999999999999</v>
      </c>
      <c r="O3012" s="8">
        <v>6.1870000000000003</v>
      </c>
      <c r="P3012" s="8">
        <v>5.3360000000000003</v>
      </c>
      <c r="Q3012" s="8">
        <v>4.5460000000000003</v>
      </c>
      <c r="R3012" s="8">
        <v>3.6459999999999999</v>
      </c>
      <c r="S3012" s="8">
        <v>2.4830000000000001</v>
      </c>
      <c r="T3012" s="8">
        <v>2.3010000000000002</v>
      </c>
      <c r="U3012" s="8">
        <v>1.9390000000000001</v>
      </c>
      <c r="V3012" s="8">
        <v>1.482</v>
      </c>
      <c r="W3012" s="8">
        <v>0.91600000000000004</v>
      </c>
      <c r="X3012" s="8">
        <v>0.55500000000000005</v>
      </c>
      <c r="Y3012" s="8">
        <v>0.26100000000000001</v>
      </c>
      <c r="Z3012" s="8">
        <v>0.13100000000000001</v>
      </c>
      <c r="AA3012" s="8">
        <v>3.2000000000000001E-2</v>
      </c>
      <c r="AB3012" s="8">
        <v>4.0000000000000001E-3</v>
      </c>
      <c r="AC3012" s="8">
        <v>0</v>
      </c>
    </row>
    <row r="3013" spans="1:29" ht="11.65" hidden="1" x14ac:dyDescent="0.35">
      <c r="A3013" s="12">
        <v>2996</v>
      </c>
      <c r="B3013" s="10" t="s">
        <v>1015</v>
      </c>
      <c r="C3013" s="11" t="s">
        <v>1223</v>
      </c>
      <c r="D3013" s="9">
        <v>14</v>
      </c>
      <c r="E3013" s="9">
        <v>316</v>
      </c>
      <c r="F3013" s="10" t="s">
        <v>1066</v>
      </c>
      <c r="G3013" s="9">
        <v>954</v>
      </c>
      <c r="H3013" s="9">
        <v>2000</v>
      </c>
      <c r="I3013" s="8">
        <v>8.0150000000000006</v>
      </c>
      <c r="J3013" s="8">
        <v>7.8280000000000003</v>
      </c>
      <c r="K3013" s="8">
        <v>7.0919999999999996</v>
      </c>
      <c r="L3013" s="8">
        <v>6.15</v>
      </c>
      <c r="M3013" s="8">
        <v>5.85</v>
      </c>
      <c r="N3013" s="8">
        <v>6.2869999999999999</v>
      </c>
      <c r="O3013" s="8">
        <v>6.1619999999999999</v>
      </c>
      <c r="P3013" s="8">
        <v>6.0789999999999997</v>
      </c>
      <c r="Q3013" s="8">
        <v>5.0919999999999996</v>
      </c>
      <c r="R3013" s="8">
        <v>4.4429999999999996</v>
      </c>
      <c r="S3013" s="8">
        <v>3.7480000000000002</v>
      </c>
      <c r="T3013" s="8">
        <v>2.4710000000000001</v>
      </c>
      <c r="U3013" s="8">
        <v>2.359</v>
      </c>
      <c r="V3013" s="8">
        <v>1.782</v>
      </c>
      <c r="W3013" s="8">
        <v>1.0589999999999999</v>
      </c>
      <c r="X3013" s="8">
        <v>0.72299999999999998</v>
      </c>
      <c r="Y3013" s="8">
        <v>0.56699999999999995</v>
      </c>
      <c r="Z3013" s="8">
        <v>0.13700000000000001</v>
      </c>
      <c r="AA3013" s="8">
        <v>4.5999999999999999E-2</v>
      </c>
      <c r="AB3013" s="8">
        <v>6.0000000000000001E-3</v>
      </c>
      <c r="AC3013" s="8">
        <v>0</v>
      </c>
    </row>
    <row r="3014" spans="1:29" ht="11.65" hidden="1" x14ac:dyDescent="0.35">
      <c r="A3014" s="12">
        <v>2997</v>
      </c>
      <c r="B3014" s="10" t="s">
        <v>1015</v>
      </c>
      <c r="C3014" s="11" t="s">
        <v>1223</v>
      </c>
      <c r="D3014" s="9">
        <v>14</v>
      </c>
      <c r="E3014" s="9">
        <v>316</v>
      </c>
      <c r="F3014" s="10" t="s">
        <v>1066</v>
      </c>
      <c r="G3014" s="9">
        <v>954</v>
      </c>
      <c r="H3014" s="9">
        <v>2005</v>
      </c>
      <c r="I3014" s="8">
        <v>7.6909999999999998</v>
      </c>
      <c r="J3014" s="8">
        <v>7.5090000000000003</v>
      </c>
      <c r="K3014" s="8">
        <v>7.3369999999999997</v>
      </c>
      <c r="L3014" s="8">
        <v>6.641</v>
      </c>
      <c r="M3014" s="8">
        <v>5.7560000000000002</v>
      </c>
      <c r="N3014" s="8">
        <v>5.4770000000000003</v>
      </c>
      <c r="O3014" s="8">
        <v>5.8819999999999997</v>
      </c>
      <c r="P3014" s="8">
        <v>5.758</v>
      </c>
      <c r="Q3014" s="8">
        <v>5.67</v>
      </c>
      <c r="R3014" s="8">
        <v>4.7270000000000003</v>
      </c>
      <c r="S3014" s="8">
        <v>4.1020000000000003</v>
      </c>
      <c r="T3014" s="8">
        <v>3.4359999999999999</v>
      </c>
      <c r="U3014" s="8">
        <v>2.226</v>
      </c>
      <c r="V3014" s="8">
        <v>2.0830000000000002</v>
      </c>
      <c r="W3014" s="8">
        <v>1.548</v>
      </c>
      <c r="X3014" s="8">
        <v>0.876</v>
      </c>
      <c r="Y3014" s="8">
        <v>0.54500000000000004</v>
      </c>
      <c r="Z3014" s="8">
        <v>0.32500000000000001</v>
      </c>
      <c r="AA3014" s="8">
        <v>5.5E-2</v>
      </c>
      <c r="AB3014" s="8">
        <v>1.2999999999999999E-2</v>
      </c>
      <c r="AC3014" s="8">
        <v>1E-3</v>
      </c>
    </row>
    <row r="3015" spans="1:29" ht="11.65" hidden="1" x14ac:dyDescent="0.35">
      <c r="A3015" s="12">
        <v>2998</v>
      </c>
      <c r="B3015" s="10" t="s">
        <v>1015</v>
      </c>
      <c r="C3015" s="11" t="s">
        <v>1223</v>
      </c>
      <c r="D3015" s="9">
        <v>14</v>
      </c>
      <c r="E3015" s="9">
        <v>316</v>
      </c>
      <c r="F3015" s="10" t="s">
        <v>1066</v>
      </c>
      <c r="G3015" s="9">
        <v>954</v>
      </c>
      <c r="H3015" s="9">
        <v>2010</v>
      </c>
      <c r="I3015" s="8">
        <v>6.907</v>
      </c>
      <c r="J3015" s="8">
        <v>7.2039999999999997</v>
      </c>
      <c r="K3015" s="8">
        <v>7.0389999999999997</v>
      </c>
      <c r="L3015" s="8">
        <v>6.8710000000000004</v>
      </c>
      <c r="M3015" s="8">
        <v>6.2169999999999996</v>
      </c>
      <c r="N3015" s="8">
        <v>5.3890000000000002</v>
      </c>
      <c r="O3015" s="8">
        <v>5.1280000000000001</v>
      </c>
      <c r="P3015" s="8">
        <v>5.4939999999999998</v>
      </c>
      <c r="Q3015" s="8">
        <v>5.3710000000000004</v>
      </c>
      <c r="R3015" s="8">
        <v>5.2709999999999999</v>
      </c>
      <c r="S3015" s="8">
        <v>4.3710000000000004</v>
      </c>
      <c r="T3015" s="8">
        <v>3.766</v>
      </c>
      <c r="U3015" s="8">
        <v>3.1070000000000002</v>
      </c>
      <c r="V3015" s="8">
        <v>1.978</v>
      </c>
      <c r="W3015" s="8">
        <v>1.819</v>
      </c>
      <c r="X3015" s="8">
        <v>1.288</v>
      </c>
      <c r="Y3015" s="8">
        <v>0.69699999999999995</v>
      </c>
      <c r="Z3015" s="8">
        <v>0.33700000000000002</v>
      </c>
      <c r="AA3015" s="8">
        <v>0.14499999999999999</v>
      </c>
      <c r="AB3015" s="8">
        <v>1.4999999999999999E-2</v>
      </c>
      <c r="AC3015" s="8">
        <v>2E-3</v>
      </c>
    </row>
    <row r="3016" spans="1:29" ht="11.65" hidden="1" x14ac:dyDescent="0.35">
      <c r="A3016" s="12">
        <v>2999</v>
      </c>
      <c r="B3016" s="10" t="s">
        <v>1015</v>
      </c>
      <c r="C3016" s="11" t="s">
        <v>1223</v>
      </c>
      <c r="D3016" s="9">
        <v>14</v>
      </c>
      <c r="E3016" s="9">
        <v>316</v>
      </c>
      <c r="F3016" s="10" t="s">
        <v>1066</v>
      </c>
      <c r="G3016" s="9">
        <v>954</v>
      </c>
      <c r="H3016" s="9">
        <v>2015</v>
      </c>
      <c r="I3016" s="8">
        <v>6.6520000000000001</v>
      </c>
      <c r="J3016" s="8">
        <v>6.5750000000000002</v>
      </c>
      <c r="K3016" s="8">
        <v>6.8609999999999998</v>
      </c>
      <c r="L3016" s="8">
        <v>6.7030000000000003</v>
      </c>
      <c r="M3016" s="8">
        <v>6.54</v>
      </c>
      <c r="N3016" s="8">
        <v>5.9160000000000004</v>
      </c>
      <c r="O3016" s="8">
        <v>5.1260000000000003</v>
      </c>
      <c r="P3016" s="8">
        <v>4.8730000000000002</v>
      </c>
      <c r="Q3016" s="8">
        <v>5.21</v>
      </c>
      <c r="R3016" s="8">
        <v>5.077</v>
      </c>
      <c r="S3016" s="8">
        <v>4.9630000000000001</v>
      </c>
      <c r="T3016" s="8">
        <v>4.0890000000000004</v>
      </c>
      <c r="U3016" s="8">
        <v>3.48</v>
      </c>
      <c r="V3016" s="8">
        <v>2.8220000000000001</v>
      </c>
      <c r="W3016" s="8">
        <v>1.766</v>
      </c>
      <c r="X3016" s="8">
        <v>1.556</v>
      </c>
      <c r="Y3016" s="8">
        <v>1.0580000000000001</v>
      </c>
      <c r="Z3016" s="8">
        <v>0.45400000000000001</v>
      </c>
      <c r="AA3016" s="8">
        <v>0.16400000000000001</v>
      </c>
      <c r="AB3016" s="8">
        <v>4.5999999999999999E-2</v>
      </c>
      <c r="AC3016" s="8">
        <v>3.0000000000000001E-3</v>
      </c>
    </row>
    <row r="3017" spans="1:29" ht="11.65" hidden="1" x14ac:dyDescent="0.35">
      <c r="A3017" s="12">
        <v>3000</v>
      </c>
      <c r="B3017" s="10" t="s">
        <v>1015</v>
      </c>
      <c r="C3017" s="11" t="s">
        <v>1223</v>
      </c>
      <c r="D3017" s="9">
        <v>14</v>
      </c>
      <c r="E3017" s="9">
        <v>316</v>
      </c>
      <c r="F3017" s="10" t="s">
        <v>1066</v>
      </c>
      <c r="G3017" s="9">
        <v>954</v>
      </c>
      <c r="H3017" s="9">
        <v>2020</v>
      </c>
      <c r="I3017" s="8">
        <v>6.5910000000000002</v>
      </c>
      <c r="J3017" s="8">
        <v>6.5369999999999999</v>
      </c>
      <c r="K3017" s="8">
        <v>6.4569999999999999</v>
      </c>
      <c r="L3017" s="8">
        <v>6.7450000000000001</v>
      </c>
      <c r="M3017" s="8">
        <v>6.5890000000000004</v>
      </c>
      <c r="N3017" s="8">
        <v>6.4340000000000002</v>
      </c>
      <c r="O3017" s="8">
        <v>5.8230000000000004</v>
      </c>
      <c r="P3017" s="8">
        <v>5.0339999999999998</v>
      </c>
      <c r="Q3017" s="8">
        <v>4.7699999999999996</v>
      </c>
      <c r="R3017" s="8">
        <v>5.0999999999999996</v>
      </c>
      <c r="S3017" s="8">
        <v>4.9539999999999997</v>
      </c>
      <c r="T3017" s="8">
        <v>4.8339999999999996</v>
      </c>
      <c r="U3017" s="8">
        <v>3.948</v>
      </c>
      <c r="V3017" s="8">
        <v>3.3159999999999998</v>
      </c>
      <c r="W3017" s="8">
        <v>2.6339999999999999</v>
      </c>
      <c r="X3017" s="8">
        <v>1.5660000000000001</v>
      </c>
      <c r="Y3017" s="8">
        <v>1.278</v>
      </c>
      <c r="Z3017" s="8">
        <v>0.72499999999999998</v>
      </c>
      <c r="AA3017" s="8">
        <v>0.23899999999999999</v>
      </c>
      <c r="AB3017" s="8">
        <v>5.8999999999999997E-2</v>
      </c>
      <c r="AC3017" s="8">
        <v>0.01</v>
      </c>
    </row>
    <row r="3018" spans="1:29" ht="11.65" hidden="1" x14ac:dyDescent="0.35">
      <c r="A3018" s="12">
        <v>3001</v>
      </c>
      <c r="B3018" s="10" t="s">
        <v>1015</v>
      </c>
      <c r="C3018" s="11" t="s">
        <v>1224</v>
      </c>
      <c r="D3018" s="9"/>
      <c r="E3018" s="9">
        <v>296</v>
      </c>
      <c r="F3018" s="10" t="s">
        <v>1066</v>
      </c>
      <c r="G3018" s="9">
        <v>954</v>
      </c>
      <c r="H3018" s="9">
        <v>1950</v>
      </c>
      <c r="I3018" s="8">
        <v>2.726</v>
      </c>
      <c r="J3018" s="8">
        <v>1.9930000000000001</v>
      </c>
      <c r="K3018" s="8">
        <v>1.9490000000000001</v>
      </c>
      <c r="L3018" s="8">
        <v>1.823</v>
      </c>
      <c r="M3018" s="8">
        <v>1.714</v>
      </c>
      <c r="N3018" s="8">
        <v>1.635</v>
      </c>
      <c r="O3018" s="8">
        <v>0.94399999999999995</v>
      </c>
      <c r="P3018" s="8">
        <v>0.69199999999999995</v>
      </c>
      <c r="Q3018" s="8">
        <v>0.61399999999999999</v>
      </c>
      <c r="R3018" s="8">
        <v>0.53400000000000003</v>
      </c>
      <c r="S3018" s="8">
        <v>0.49099999999999999</v>
      </c>
      <c r="T3018" s="8">
        <v>0.51100000000000001</v>
      </c>
      <c r="U3018" s="8">
        <v>0.42099999999999999</v>
      </c>
      <c r="V3018" s="8">
        <v>0.28199999999999997</v>
      </c>
      <c r="W3018" s="8">
        <v>0.19600000000000001</v>
      </c>
      <c r="X3018" s="8">
        <v>0.13800000000000001</v>
      </c>
      <c r="Y3018" s="8">
        <v>7.5999999999999998E-2</v>
      </c>
      <c r="Z3018" s="8">
        <v>3.5000000000000003E-2</v>
      </c>
      <c r="AA3018" s="8">
        <v>8.9999999999999993E-3</v>
      </c>
      <c r="AB3018" s="8">
        <v>0</v>
      </c>
      <c r="AC3018" s="8">
        <v>0</v>
      </c>
    </row>
    <row r="3019" spans="1:29" ht="11.65" hidden="1" x14ac:dyDescent="0.35">
      <c r="A3019" s="12">
        <v>3002</v>
      </c>
      <c r="B3019" s="10" t="s">
        <v>1015</v>
      </c>
      <c r="C3019" s="11" t="s">
        <v>1224</v>
      </c>
      <c r="D3019" s="9"/>
      <c r="E3019" s="9">
        <v>296</v>
      </c>
      <c r="F3019" s="10" t="s">
        <v>1066</v>
      </c>
      <c r="G3019" s="9">
        <v>954</v>
      </c>
      <c r="H3019" s="9">
        <v>1955</v>
      </c>
      <c r="I3019" s="8">
        <v>3.2280000000000002</v>
      </c>
      <c r="J3019" s="8">
        <v>2.5030000000000001</v>
      </c>
      <c r="K3019" s="8">
        <v>1.929</v>
      </c>
      <c r="L3019" s="8">
        <v>1.86</v>
      </c>
      <c r="M3019" s="8">
        <v>1.621</v>
      </c>
      <c r="N3019" s="8">
        <v>1.544</v>
      </c>
      <c r="O3019" s="8">
        <v>1.5229999999999999</v>
      </c>
      <c r="P3019" s="8">
        <v>0.89700000000000002</v>
      </c>
      <c r="Q3019" s="8">
        <v>0.64200000000000002</v>
      </c>
      <c r="R3019" s="8">
        <v>0.60599999999999998</v>
      </c>
      <c r="S3019" s="8">
        <v>0.49199999999999999</v>
      </c>
      <c r="T3019" s="8">
        <v>0.44900000000000001</v>
      </c>
      <c r="U3019" s="8">
        <v>0.45300000000000001</v>
      </c>
      <c r="V3019" s="8">
        <v>0.35299999999999998</v>
      </c>
      <c r="W3019" s="8">
        <v>0.217</v>
      </c>
      <c r="X3019" s="8">
        <v>0.126</v>
      </c>
      <c r="Y3019" s="8">
        <v>7.0999999999999994E-2</v>
      </c>
      <c r="Z3019" s="8">
        <v>1.4999999999999999E-2</v>
      </c>
      <c r="AA3019" s="8">
        <v>3.0000000000000001E-3</v>
      </c>
      <c r="AB3019" s="8">
        <v>0</v>
      </c>
      <c r="AC3019" s="8">
        <v>0</v>
      </c>
    </row>
    <row r="3020" spans="1:29" ht="11.65" hidden="1" x14ac:dyDescent="0.35">
      <c r="A3020" s="12">
        <v>3003</v>
      </c>
      <c r="B3020" s="10" t="s">
        <v>1015</v>
      </c>
      <c r="C3020" s="11" t="s">
        <v>1224</v>
      </c>
      <c r="D3020" s="9"/>
      <c r="E3020" s="9">
        <v>296</v>
      </c>
      <c r="F3020" s="10" t="s">
        <v>1066</v>
      </c>
      <c r="G3020" s="9">
        <v>954</v>
      </c>
      <c r="H3020" s="9">
        <v>1960</v>
      </c>
      <c r="I3020" s="8">
        <v>3.81</v>
      </c>
      <c r="J3020" s="8">
        <v>2.9860000000000002</v>
      </c>
      <c r="K3020" s="8">
        <v>2.4319999999999999</v>
      </c>
      <c r="L3020" s="8">
        <v>1.8320000000000001</v>
      </c>
      <c r="M3020" s="8">
        <v>1.6559999999999999</v>
      </c>
      <c r="N3020" s="8">
        <v>1.446</v>
      </c>
      <c r="O3020" s="8">
        <v>1.4410000000000001</v>
      </c>
      <c r="P3020" s="8">
        <v>1.452</v>
      </c>
      <c r="Q3020" s="8">
        <v>0.83699999999999997</v>
      </c>
      <c r="R3020" s="8">
        <v>0.63600000000000001</v>
      </c>
      <c r="S3020" s="8">
        <v>0.55900000000000005</v>
      </c>
      <c r="T3020" s="8">
        <v>0.45</v>
      </c>
      <c r="U3020" s="8">
        <v>0.41799999999999998</v>
      </c>
      <c r="V3020" s="8">
        <v>0.39600000000000002</v>
      </c>
      <c r="W3020" s="8">
        <v>0.27700000000000002</v>
      </c>
      <c r="X3020" s="8">
        <v>0.151</v>
      </c>
      <c r="Y3020" s="8">
        <v>6.8000000000000005E-2</v>
      </c>
      <c r="Z3020" s="8">
        <v>1.4E-2</v>
      </c>
      <c r="AA3020" s="8">
        <v>0</v>
      </c>
      <c r="AB3020" s="8">
        <v>0</v>
      </c>
      <c r="AC3020" s="8">
        <v>0</v>
      </c>
    </row>
    <row r="3021" spans="1:29" ht="11.65" hidden="1" x14ac:dyDescent="0.35">
      <c r="A3021" s="12">
        <v>3004</v>
      </c>
      <c r="B3021" s="10" t="s">
        <v>1015</v>
      </c>
      <c r="C3021" s="11" t="s">
        <v>1224</v>
      </c>
      <c r="D3021" s="9"/>
      <c r="E3021" s="9">
        <v>296</v>
      </c>
      <c r="F3021" s="10" t="s">
        <v>1066</v>
      </c>
      <c r="G3021" s="9">
        <v>954</v>
      </c>
      <c r="H3021" s="9">
        <v>1965</v>
      </c>
      <c r="I3021" s="8">
        <v>4.157</v>
      </c>
      <c r="J3021" s="8">
        <v>3.5619999999999998</v>
      </c>
      <c r="K3021" s="8">
        <v>2.9</v>
      </c>
      <c r="L3021" s="8">
        <v>2.33</v>
      </c>
      <c r="M3021" s="8">
        <v>1.629</v>
      </c>
      <c r="N3021" s="8">
        <v>1.48</v>
      </c>
      <c r="O3021" s="8">
        <v>1.347</v>
      </c>
      <c r="P3021" s="8">
        <v>1.3759999999999999</v>
      </c>
      <c r="Q3021" s="8">
        <v>1.373</v>
      </c>
      <c r="R3021" s="8">
        <v>0.82599999999999996</v>
      </c>
      <c r="S3021" s="8">
        <v>0.58799999999999997</v>
      </c>
      <c r="T3021" s="8">
        <v>0.51600000000000001</v>
      </c>
      <c r="U3021" s="8">
        <v>0.42099999999999999</v>
      </c>
      <c r="V3021" s="8">
        <v>0.36499999999999999</v>
      </c>
      <c r="W3021" s="8">
        <v>0.31900000000000001</v>
      </c>
      <c r="X3021" s="8">
        <v>0.19900000000000001</v>
      </c>
      <c r="Y3021" s="8">
        <v>0.09</v>
      </c>
      <c r="Z3021" s="8">
        <v>1.2999999999999999E-2</v>
      </c>
      <c r="AA3021" s="8">
        <v>0</v>
      </c>
      <c r="AB3021" s="8">
        <v>0</v>
      </c>
      <c r="AC3021" s="8">
        <v>0</v>
      </c>
    </row>
    <row r="3022" spans="1:29" ht="11.65" hidden="1" x14ac:dyDescent="0.35">
      <c r="A3022" s="12">
        <v>3005</v>
      </c>
      <c r="B3022" s="10" t="s">
        <v>1015</v>
      </c>
      <c r="C3022" s="11" t="s">
        <v>1224</v>
      </c>
      <c r="D3022" s="9"/>
      <c r="E3022" s="9">
        <v>296</v>
      </c>
      <c r="F3022" s="10" t="s">
        <v>1066</v>
      </c>
      <c r="G3022" s="9">
        <v>954</v>
      </c>
      <c r="H3022" s="9">
        <v>1970</v>
      </c>
      <c r="I3022" s="8">
        <v>3.964</v>
      </c>
      <c r="J3022" s="8">
        <v>3.92</v>
      </c>
      <c r="K3022" s="8">
        <v>3.4609999999999999</v>
      </c>
      <c r="L3022" s="8">
        <v>2.7890000000000001</v>
      </c>
      <c r="M3022" s="8">
        <v>2.1230000000000002</v>
      </c>
      <c r="N3022" s="8">
        <v>1.454</v>
      </c>
      <c r="O3022" s="8">
        <v>1.393</v>
      </c>
      <c r="P3022" s="8">
        <v>1.2889999999999999</v>
      </c>
      <c r="Q3022" s="8">
        <v>1.3029999999999999</v>
      </c>
      <c r="R3022" s="8">
        <v>1.339</v>
      </c>
      <c r="S3022" s="8">
        <v>0.77</v>
      </c>
      <c r="T3022" s="8">
        <v>0.54500000000000004</v>
      </c>
      <c r="U3022" s="8">
        <v>0.47399999999999998</v>
      </c>
      <c r="V3022" s="8">
        <v>0.375</v>
      </c>
      <c r="W3022" s="8">
        <v>0.308</v>
      </c>
      <c r="X3022" s="8">
        <v>0.23100000000000001</v>
      </c>
      <c r="Y3022" s="8">
        <v>0.109</v>
      </c>
      <c r="Z3022" s="8">
        <v>1.7000000000000001E-2</v>
      </c>
      <c r="AA3022" s="8">
        <v>0</v>
      </c>
      <c r="AB3022" s="8">
        <v>0</v>
      </c>
      <c r="AC3022" s="8">
        <v>0</v>
      </c>
    </row>
    <row r="3023" spans="1:29" ht="11.65" hidden="1" x14ac:dyDescent="0.35">
      <c r="A3023" s="12">
        <v>3006</v>
      </c>
      <c r="B3023" s="10" t="s">
        <v>1015</v>
      </c>
      <c r="C3023" s="11" t="s">
        <v>1224</v>
      </c>
      <c r="D3023" s="9"/>
      <c r="E3023" s="9">
        <v>296</v>
      </c>
      <c r="F3023" s="10" t="s">
        <v>1066</v>
      </c>
      <c r="G3023" s="9">
        <v>954</v>
      </c>
      <c r="H3023" s="9">
        <v>1975</v>
      </c>
      <c r="I3023" s="8">
        <v>3.7010000000000001</v>
      </c>
      <c r="J3023" s="8">
        <v>3.76</v>
      </c>
      <c r="K3023" s="8">
        <v>3.8149999999999999</v>
      </c>
      <c r="L3023" s="8">
        <v>3.2949999999999999</v>
      </c>
      <c r="M3023" s="8">
        <v>2.58</v>
      </c>
      <c r="N3023" s="8">
        <v>1.9350000000000001</v>
      </c>
      <c r="O3023" s="8">
        <v>1.357</v>
      </c>
      <c r="P3023" s="8">
        <v>1.3340000000000001</v>
      </c>
      <c r="Q3023" s="8">
        <v>1.2230000000000001</v>
      </c>
      <c r="R3023" s="8">
        <v>1.274</v>
      </c>
      <c r="S3023" s="8">
        <v>1.262</v>
      </c>
      <c r="T3023" s="8">
        <v>0.71399999999999997</v>
      </c>
      <c r="U3023" s="8">
        <v>0.49</v>
      </c>
      <c r="V3023" s="8">
        <v>0.439</v>
      </c>
      <c r="W3023" s="8">
        <v>0.316</v>
      </c>
      <c r="X3023" s="8">
        <v>0.23200000000000001</v>
      </c>
      <c r="Y3023" s="8">
        <v>0.13400000000000001</v>
      </c>
      <c r="Z3023" s="8">
        <v>1.9E-2</v>
      </c>
      <c r="AA3023" s="8">
        <v>0</v>
      </c>
      <c r="AB3023" s="8">
        <v>0</v>
      </c>
      <c r="AC3023" s="8">
        <v>0</v>
      </c>
    </row>
    <row r="3024" spans="1:29" ht="11.65" hidden="1" x14ac:dyDescent="0.35">
      <c r="A3024" s="12">
        <v>3007</v>
      </c>
      <c r="B3024" s="10" t="s">
        <v>1015</v>
      </c>
      <c r="C3024" s="11" t="s">
        <v>1224</v>
      </c>
      <c r="D3024" s="9"/>
      <c r="E3024" s="9">
        <v>296</v>
      </c>
      <c r="F3024" s="10" t="s">
        <v>1066</v>
      </c>
      <c r="G3024" s="9">
        <v>954</v>
      </c>
      <c r="H3024" s="9">
        <v>1980</v>
      </c>
      <c r="I3024" s="8">
        <v>4.38</v>
      </c>
      <c r="J3024" s="8">
        <v>3.5089999999999999</v>
      </c>
      <c r="K3024" s="8">
        <v>3.661</v>
      </c>
      <c r="L3024" s="8">
        <v>3.5910000000000002</v>
      </c>
      <c r="M3024" s="8">
        <v>2.99</v>
      </c>
      <c r="N3024" s="8">
        <v>2.2789999999999999</v>
      </c>
      <c r="O3024" s="8">
        <v>1.766</v>
      </c>
      <c r="P3024" s="8">
        <v>1.2989999999999999</v>
      </c>
      <c r="Q3024" s="8">
        <v>1.2649999999999999</v>
      </c>
      <c r="R3024" s="8">
        <v>1.2</v>
      </c>
      <c r="S3024" s="8">
        <v>1.2030000000000001</v>
      </c>
      <c r="T3024" s="8">
        <v>1.1759999999999999</v>
      </c>
      <c r="U3024" s="8">
        <v>0.63200000000000001</v>
      </c>
      <c r="V3024" s="8">
        <v>0.41099999999999998</v>
      </c>
      <c r="W3024" s="8">
        <v>0.33300000000000002</v>
      </c>
      <c r="X3024" s="8">
        <v>0.21</v>
      </c>
      <c r="Y3024" s="8">
        <v>0.125</v>
      </c>
      <c r="Z3024" s="8">
        <v>3.5999999999999997E-2</v>
      </c>
      <c r="AA3024" s="8">
        <v>3.0000000000000001E-3</v>
      </c>
      <c r="AB3024" s="8">
        <v>0</v>
      </c>
      <c r="AC3024" s="8">
        <v>0</v>
      </c>
    </row>
    <row r="3025" spans="1:29" ht="11.65" hidden="1" x14ac:dyDescent="0.35">
      <c r="A3025" s="12">
        <v>3008</v>
      </c>
      <c r="B3025" s="10" t="s">
        <v>1015</v>
      </c>
      <c r="C3025" s="11" t="s">
        <v>1224</v>
      </c>
      <c r="D3025" s="9"/>
      <c r="E3025" s="9">
        <v>296</v>
      </c>
      <c r="F3025" s="10" t="s">
        <v>1066</v>
      </c>
      <c r="G3025" s="9">
        <v>954</v>
      </c>
      <c r="H3025" s="9">
        <v>1985</v>
      </c>
      <c r="I3025" s="8">
        <v>4.8890000000000002</v>
      </c>
      <c r="J3025" s="8">
        <v>4.1070000000000002</v>
      </c>
      <c r="K3025" s="8">
        <v>3.3210000000000002</v>
      </c>
      <c r="L3025" s="8">
        <v>3.8140000000000001</v>
      </c>
      <c r="M3025" s="8">
        <v>3.2050000000000001</v>
      </c>
      <c r="N3025" s="8">
        <v>2.5960000000000001</v>
      </c>
      <c r="O3025" s="8">
        <v>2.1339999999999999</v>
      </c>
      <c r="P3025" s="8">
        <v>1.7529999999999999</v>
      </c>
      <c r="Q3025" s="8">
        <v>1.3480000000000001</v>
      </c>
      <c r="R3025" s="8">
        <v>1.1910000000000001</v>
      </c>
      <c r="S3025" s="8">
        <v>1.0109999999999999</v>
      </c>
      <c r="T3025" s="8">
        <v>0.82699999999999996</v>
      </c>
      <c r="U3025" s="8">
        <v>0.77800000000000002</v>
      </c>
      <c r="V3025" s="8">
        <v>0.52400000000000002</v>
      </c>
      <c r="W3025" s="8">
        <v>0.40699999999999997</v>
      </c>
      <c r="X3025" s="8">
        <v>0.248</v>
      </c>
      <c r="Y3025" s="8">
        <v>0.1</v>
      </c>
      <c r="Z3025" s="8">
        <v>4.7E-2</v>
      </c>
      <c r="AA3025" s="8">
        <v>8.9999999999999993E-3</v>
      </c>
      <c r="AB3025" s="8">
        <v>0</v>
      </c>
      <c r="AC3025" s="8">
        <v>0</v>
      </c>
    </row>
    <row r="3026" spans="1:29" ht="11.65" hidden="1" x14ac:dyDescent="0.35">
      <c r="A3026" s="12">
        <v>3009</v>
      </c>
      <c r="B3026" s="10" t="s">
        <v>1015</v>
      </c>
      <c r="C3026" s="11" t="s">
        <v>1224</v>
      </c>
      <c r="D3026" s="9"/>
      <c r="E3026" s="9">
        <v>296</v>
      </c>
      <c r="F3026" s="10" t="s">
        <v>1066</v>
      </c>
      <c r="G3026" s="9">
        <v>954</v>
      </c>
      <c r="H3026" s="9">
        <v>1990</v>
      </c>
      <c r="I3026" s="8">
        <v>5.633</v>
      </c>
      <c r="J3026" s="8">
        <v>4.7770000000000001</v>
      </c>
      <c r="K3026" s="8">
        <v>3.863</v>
      </c>
      <c r="L3026" s="8">
        <v>3.157</v>
      </c>
      <c r="M3026" s="8">
        <v>3.758</v>
      </c>
      <c r="N3026" s="8">
        <v>3.1480000000000001</v>
      </c>
      <c r="O3026" s="8">
        <v>2.7909999999999999</v>
      </c>
      <c r="P3026" s="8">
        <v>2.0419999999999998</v>
      </c>
      <c r="Q3026" s="8">
        <v>1.7</v>
      </c>
      <c r="R3026" s="8">
        <v>1.3360000000000001</v>
      </c>
      <c r="S3026" s="8">
        <v>1.2190000000000001</v>
      </c>
      <c r="T3026" s="8">
        <v>0.84699999999999998</v>
      </c>
      <c r="U3026" s="8">
        <v>0.875</v>
      </c>
      <c r="V3026" s="8">
        <v>0.56200000000000006</v>
      </c>
      <c r="W3026" s="8">
        <v>0.435</v>
      </c>
      <c r="X3026" s="8">
        <v>0.26600000000000001</v>
      </c>
      <c r="Y3026" s="8">
        <v>0.12</v>
      </c>
      <c r="Z3026" s="8">
        <v>0.04</v>
      </c>
      <c r="AA3026" s="8">
        <v>1.2999999999999999E-2</v>
      </c>
      <c r="AB3026" s="8">
        <v>0</v>
      </c>
      <c r="AC3026" s="8">
        <v>0</v>
      </c>
    </row>
    <row r="3027" spans="1:29" ht="11.65" hidden="1" x14ac:dyDescent="0.35">
      <c r="A3027" s="12">
        <v>3010</v>
      </c>
      <c r="B3027" s="10" t="s">
        <v>1015</v>
      </c>
      <c r="C3027" s="11" t="s">
        <v>1224</v>
      </c>
      <c r="D3027" s="9"/>
      <c r="E3027" s="9">
        <v>296</v>
      </c>
      <c r="F3027" s="10" t="s">
        <v>1066</v>
      </c>
      <c r="G3027" s="9">
        <v>954</v>
      </c>
      <c r="H3027" s="9">
        <v>1995</v>
      </c>
      <c r="I3027" s="8">
        <v>5.7130000000000001</v>
      </c>
      <c r="J3027" s="8">
        <v>5.266</v>
      </c>
      <c r="K3027" s="8">
        <v>4.5529999999999999</v>
      </c>
      <c r="L3027" s="8">
        <v>3.653</v>
      </c>
      <c r="M3027" s="8">
        <v>2.9159999999999999</v>
      </c>
      <c r="N3027" s="8">
        <v>3.6219999999999999</v>
      </c>
      <c r="O3027" s="8">
        <v>3.0179999999999998</v>
      </c>
      <c r="P3027" s="8">
        <v>2.544</v>
      </c>
      <c r="Q3027" s="8">
        <v>1.802</v>
      </c>
      <c r="R3027" s="8">
        <v>1.498</v>
      </c>
      <c r="S3027" s="8">
        <v>1.2250000000000001</v>
      </c>
      <c r="T3027" s="8">
        <v>1.0209999999999999</v>
      </c>
      <c r="U3027" s="8">
        <v>0.81699999999999995</v>
      </c>
      <c r="V3027" s="8">
        <v>0.60599999999999998</v>
      </c>
      <c r="W3027" s="8">
        <v>0.46899999999999997</v>
      </c>
      <c r="X3027" s="8">
        <v>0.28599999999999998</v>
      </c>
      <c r="Y3027" s="8">
        <v>0.129</v>
      </c>
      <c r="Z3027" s="8">
        <v>4.5999999999999999E-2</v>
      </c>
      <c r="AA3027" s="8">
        <v>0.01</v>
      </c>
      <c r="AB3027" s="8">
        <v>2E-3</v>
      </c>
      <c r="AC3027" s="8">
        <v>0</v>
      </c>
    </row>
    <row r="3028" spans="1:29" ht="11.65" hidden="1" x14ac:dyDescent="0.35">
      <c r="A3028" s="12">
        <v>3011</v>
      </c>
      <c r="B3028" s="10" t="s">
        <v>1015</v>
      </c>
      <c r="C3028" s="11" t="s">
        <v>1224</v>
      </c>
      <c r="D3028" s="9"/>
      <c r="E3028" s="9">
        <v>296</v>
      </c>
      <c r="F3028" s="10" t="s">
        <v>1066</v>
      </c>
      <c r="G3028" s="9">
        <v>954</v>
      </c>
      <c r="H3028" s="9">
        <v>2000</v>
      </c>
      <c r="I3028" s="8">
        <v>5.8929999999999998</v>
      </c>
      <c r="J3028" s="8">
        <v>5.391</v>
      </c>
      <c r="K3028" s="8">
        <v>5.0890000000000004</v>
      </c>
      <c r="L3028" s="8">
        <v>4.4889999999999999</v>
      </c>
      <c r="M3028" s="8">
        <v>3.3839999999999999</v>
      </c>
      <c r="N3028" s="8">
        <v>2.9689999999999999</v>
      </c>
      <c r="O3028" s="8">
        <v>3.47</v>
      </c>
      <c r="P3028" s="8">
        <v>2.887</v>
      </c>
      <c r="Q3028" s="8">
        <v>2.3879999999999999</v>
      </c>
      <c r="R3028" s="8">
        <v>1.736</v>
      </c>
      <c r="S3028" s="8">
        <v>1.4470000000000001</v>
      </c>
      <c r="T3028" s="8">
        <v>1.075</v>
      </c>
      <c r="U3028" s="8">
        <v>0.90700000000000003</v>
      </c>
      <c r="V3028" s="8">
        <v>0.66100000000000003</v>
      </c>
      <c r="W3028" s="8">
        <v>0.51400000000000001</v>
      </c>
      <c r="X3028" s="8">
        <v>0.312</v>
      </c>
      <c r="Y3028" s="8">
        <v>0.13700000000000001</v>
      </c>
      <c r="Z3028" s="8">
        <v>5.1999999999999998E-2</v>
      </c>
      <c r="AA3028" s="8">
        <v>1.2E-2</v>
      </c>
      <c r="AB3028" s="8">
        <v>0</v>
      </c>
      <c r="AC3028" s="8">
        <v>0</v>
      </c>
    </row>
    <row r="3029" spans="1:29" ht="11.65" hidden="1" x14ac:dyDescent="0.35">
      <c r="A3029" s="12">
        <v>3012</v>
      </c>
      <c r="B3029" s="10" t="s">
        <v>1015</v>
      </c>
      <c r="C3029" s="11" t="s">
        <v>1224</v>
      </c>
      <c r="D3029" s="9"/>
      <c r="E3029" s="9">
        <v>296</v>
      </c>
      <c r="F3029" s="10" t="s">
        <v>1066</v>
      </c>
      <c r="G3029" s="9">
        <v>954</v>
      </c>
      <c r="H3029" s="9">
        <v>2005</v>
      </c>
      <c r="I3029" s="8">
        <v>5.25</v>
      </c>
      <c r="J3029" s="8">
        <v>6.1689999999999996</v>
      </c>
      <c r="K3029" s="8">
        <v>5.1929999999999996</v>
      </c>
      <c r="L3029" s="8">
        <v>5.2910000000000004</v>
      </c>
      <c r="M3029" s="8">
        <v>4.3230000000000004</v>
      </c>
      <c r="N3029" s="8">
        <v>3.5059999999999998</v>
      </c>
      <c r="O3029" s="8">
        <v>2.9340000000000002</v>
      </c>
      <c r="P3029" s="8">
        <v>3.3540000000000001</v>
      </c>
      <c r="Q3029" s="8">
        <v>2.6619999999999999</v>
      </c>
      <c r="R3029" s="8">
        <v>2.2440000000000002</v>
      </c>
      <c r="S3029" s="8">
        <v>1.6719999999999999</v>
      </c>
      <c r="T3029" s="8">
        <v>1.3049999999999999</v>
      </c>
      <c r="U3029" s="8">
        <v>0.92600000000000005</v>
      </c>
      <c r="V3029" s="8">
        <v>0.73399999999999999</v>
      </c>
      <c r="W3029" s="8">
        <v>0.68899999999999995</v>
      </c>
      <c r="X3029" s="8">
        <v>0.34699999999999998</v>
      </c>
      <c r="Y3029" s="8">
        <v>0.159</v>
      </c>
      <c r="Z3029" s="8">
        <v>6.0999999999999999E-2</v>
      </c>
      <c r="AA3029" s="8">
        <v>1.4999999999999999E-2</v>
      </c>
      <c r="AB3029" s="8">
        <v>2E-3</v>
      </c>
      <c r="AC3029" s="8">
        <v>0</v>
      </c>
    </row>
    <row r="3030" spans="1:29" ht="11.65" hidden="1" x14ac:dyDescent="0.35">
      <c r="A3030" s="12">
        <v>3013</v>
      </c>
      <c r="B3030" s="10" t="s">
        <v>1015</v>
      </c>
      <c r="C3030" s="11" t="s">
        <v>1224</v>
      </c>
      <c r="D3030" s="9"/>
      <c r="E3030" s="9">
        <v>296</v>
      </c>
      <c r="F3030" s="10" t="s">
        <v>1066</v>
      </c>
      <c r="G3030" s="9">
        <v>954</v>
      </c>
      <c r="H3030" s="9">
        <v>2010</v>
      </c>
      <c r="I3030" s="8">
        <v>6.867</v>
      </c>
      <c r="J3030" s="8">
        <v>5.2880000000000003</v>
      </c>
      <c r="K3030" s="8">
        <v>5.9669999999999996</v>
      </c>
      <c r="L3030" s="8">
        <v>5.3449999999999998</v>
      </c>
      <c r="M3030" s="8">
        <v>5.1260000000000003</v>
      </c>
      <c r="N3030" s="8">
        <v>4.3479999999999999</v>
      </c>
      <c r="O3030" s="8">
        <v>3.4980000000000002</v>
      </c>
      <c r="P3030" s="8">
        <v>2.9409999999999998</v>
      </c>
      <c r="Q3030" s="8">
        <v>3.206</v>
      </c>
      <c r="R3030" s="8">
        <v>2.7149999999999999</v>
      </c>
      <c r="S3030" s="8">
        <v>2.08</v>
      </c>
      <c r="T3030" s="8">
        <v>1.579</v>
      </c>
      <c r="U3030" s="8">
        <v>1.0669999999999999</v>
      </c>
      <c r="V3030" s="8">
        <v>0.874</v>
      </c>
      <c r="W3030" s="8">
        <v>0.68</v>
      </c>
      <c r="X3030" s="8">
        <v>0.41499999999999998</v>
      </c>
      <c r="Y3030" s="8">
        <v>0.17499999999999999</v>
      </c>
      <c r="Z3030" s="8">
        <v>8.2000000000000003E-2</v>
      </c>
      <c r="AA3030" s="8">
        <v>2.3E-2</v>
      </c>
      <c r="AB3030" s="8">
        <v>4.0000000000000001E-3</v>
      </c>
      <c r="AC3030" s="8">
        <v>0</v>
      </c>
    </row>
    <row r="3031" spans="1:29" ht="11.65" hidden="1" x14ac:dyDescent="0.35">
      <c r="A3031" s="12">
        <v>3014</v>
      </c>
      <c r="B3031" s="10" t="s">
        <v>1015</v>
      </c>
      <c r="C3031" s="11" t="s">
        <v>1224</v>
      </c>
      <c r="D3031" s="9"/>
      <c r="E3031" s="9">
        <v>296</v>
      </c>
      <c r="F3031" s="10" t="s">
        <v>1066</v>
      </c>
      <c r="G3031" s="9">
        <v>954</v>
      </c>
      <c r="H3031" s="9">
        <v>2015</v>
      </c>
      <c r="I3031" s="8">
        <v>6.9409999999999998</v>
      </c>
      <c r="J3031" s="8">
        <v>6.6760000000000002</v>
      </c>
      <c r="K3031" s="8">
        <v>5.2560000000000002</v>
      </c>
      <c r="L3031" s="8">
        <v>5.8650000000000002</v>
      </c>
      <c r="M3031" s="8">
        <v>5.1879999999999997</v>
      </c>
      <c r="N3031" s="8">
        <v>5.008</v>
      </c>
      <c r="O3031" s="8">
        <v>4.1790000000000003</v>
      </c>
      <c r="P3031" s="8">
        <v>3.4329999999999998</v>
      </c>
      <c r="Q3031" s="8">
        <v>2.7250000000000001</v>
      </c>
      <c r="R3031" s="8">
        <v>3.0470000000000002</v>
      </c>
      <c r="S3031" s="8">
        <v>2.532</v>
      </c>
      <c r="T3031" s="8">
        <v>1.782</v>
      </c>
      <c r="U3031" s="8">
        <v>1.35</v>
      </c>
      <c r="V3031" s="8">
        <v>1.0209999999999999</v>
      </c>
      <c r="W3031" s="8">
        <v>0.73199999999999998</v>
      </c>
      <c r="X3031" s="8">
        <v>0.372</v>
      </c>
      <c r="Y3031" s="8">
        <v>0.185</v>
      </c>
      <c r="Z3031" s="8">
        <v>0.10100000000000001</v>
      </c>
      <c r="AA3031" s="8">
        <v>3.5000000000000003E-2</v>
      </c>
      <c r="AB3031" s="8">
        <v>7.0000000000000001E-3</v>
      </c>
      <c r="AC3031" s="8">
        <v>1E-3</v>
      </c>
    </row>
    <row r="3032" spans="1:29" ht="11.65" hidden="1" x14ac:dyDescent="0.35">
      <c r="A3032" s="12">
        <v>3015</v>
      </c>
      <c r="B3032" s="10" t="s">
        <v>1015</v>
      </c>
      <c r="C3032" s="11" t="s">
        <v>1224</v>
      </c>
      <c r="D3032" s="9"/>
      <c r="E3032" s="9">
        <v>296</v>
      </c>
      <c r="F3032" s="10" t="s">
        <v>1066</v>
      </c>
      <c r="G3032" s="9">
        <v>954</v>
      </c>
      <c r="H3032" s="9">
        <v>2020</v>
      </c>
      <c r="I3032" s="8">
        <v>7.3890000000000002</v>
      </c>
      <c r="J3032" s="8">
        <v>6.8239999999999998</v>
      </c>
      <c r="K3032" s="8">
        <v>6.6079999999999997</v>
      </c>
      <c r="L3032" s="8">
        <v>5.0039999999999996</v>
      </c>
      <c r="M3032" s="8">
        <v>5.43</v>
      </c>
      <c r="N3032" s="8">
        <v>4.7830000000000004</v>
      </c>
      <c r="O3032" s="8">
        <v>4.6970000000000001</v>
      </c>
      <c r="P3032" s="8">
        <v>3.952</v>
      </c>
      <c r="Q3032" s="8">
        <v>3.2669999999999999</v>
      </c>
      <c r="R3032" s="8">
        <v>2.597</v>
      </c>
      <c r="S3032" s="8">
        <v>2.9089999999999998</v>
      </c>
      <c r="T3032" s="8">
        <v>2.3940000000000001</v>
      </c>
      <c r="U3032" s="8">
        <v>1.6579999999999999</v>
      </c>
      <c r="V3032" s="8">
        <v>1.2370000000000001</v>
      </c>
      <c r="W3032" s="8">
        <v>0.90700000000000003</v>
      </c>
      <c r="X3032" s="8">
        <v>0.60499999999999998</v>
      </c>
      <c r="Y3032" s="8">
        <v>0.27</v>
      </c>
      <c r="Z3032" s="8">
        <v>0.11</v>
      </c>
      <c r="AA3032" s="8">
        <v>4.7E-2</v>
      </c>
      <c r="AB3032" s="8">
        <v>1.2E-2</v>
      </c>
      <c r="AC3032" s="8">
        <v>2E-3</v>
      </c>
    </row>
    <row r="3033" spans="1:29" ht="11.65" hidden="1" x14ac:dyDescent="0.35">
      <c r="A3033" s="12">
        <v>3016</v>
      </c>
      <c r="B3033" s="10" t="s">
        <v>1015</v>
      </c>
      <c r="C3033" s="11" t="s">
        <v>1225</v>
      </c>
      <c r="D3033" s="9"/>
      <c r="E3033" s="9">
        <v>583</v>
      </c>
      <c r="F3033" s="10" t="s">
        <v>1066</v>
      </c>
      <c r="G3033" s="9">
        <v>954</v>
      </c>
      <c r="H3033" s="9">
        <v>1950</v>
      </c>
      <c r="I3033" s="8">
        <v>2.3980000000000001</v>
      </c>
      <c r="J3033" s="8">
        <v>2.0619999999999998</v>
      </c>
      <c r="K3033" s="8">
        <v>1.79</v>
      </c>
      <c r="L3033" s="8">
        <v>1.5549999999999999</v>
      </c>
      <c r="M3033" s="8">
        <v>1.3460000000000001</v>
      </c>
      <c r="N3033" s="8">
        <v>1.161</v>
      </c>
      <c r="O3033" s="8">
        <v>1</v>
      </c>
      <c r="P3033" s="8">
        <v>0.85799999999999998</v>
      </c>
      <c r="Q3033" s="8">
        <v>0.73499999999999999</v>
      </c>
      <c r="R3033" s="8">
        <v>0.625</v>
      </c>
      <c r="S3033" s="8">
        <v>0.52600000000000002</v>
      </c>
      <c r="T3033" s="8">
        <v>0.436</v>
      </c>
      <c r="U3033" s="8">
        <v>0.35199999999999998</v>
      </c>
      <c r="V3033" s="8">
        <v>0.27100000000000002</v>
      </c>
      <c r="W3033" s="8">
        <v>0.193</v>
      </c>
      <c r="X3033" s="8">
        <v>0.122</v>
      </c>
      <c r="Y3033" s="8">
        <v>8.8999999999999996E-2</v>
      </c>
      <c r="Z3033" s="8">
        <v>7.0000000000000001E-3</v>
      </c>
      <c r="AA3033" s="8">
        <v>0</v>
      </c>
      <c r="AB3033" s="8">
        <v>0</v>
      </c>
      <c r="AC3033" s="8">
        <v>0</v>
      </c>
    </row>
    <row r="3034" spans="1:29" ht="11.65" hidden="1" x14ac:dyDescent="0.35">
      <c r="A3034" s="12">
        <v>3017</v>
      </c>
      <c r="B3034" s="10" t="s">
        <v>1015</v>
      </c>
      <c r="C3034" s="11" t="s">
        <v>1225</v>
      </c>
      <c r="D3034" s="9"/>
      <c r="E3034" s="9">
        <v>583</v>
      </c>
      <c r="F3034" s="10" t="s">
        <v>1066</v>
      </c>
      <c r="G3034" s="9">
        <v>954</v>
      </c>
      <c r="H3034" s="9">
        <v>1955</v>
      </c>
      <c r="I3034" s="8">
        <v>3.5950000000000002</v>
      </c>
      <c r="J3034" s="8">
        <v>2.31</v>
      </c>
      <c r="K3034" s="8">
        <v>2.0369999999999999</v>
      </c>
      <c r="L3034" s="8">
        <v>1.7669999999999999</v>
      </c>
      <c r="M3034" s="8">
        <v>1.526</v>
      </c>
      <c r="N3034" s="8">
        <v>1.3129999999999999</v>
      </c>
      <c r="O3034" s="8">
        <v>1.131</v>
      </c>
      <c r="P3034" s="8">
        <v>0.97</v>
      </c>
      <c r="Q3034" s="8">
        <v>0.82899999999999996</v>
      </c>
      <c r="R3034" s="8">
        <v>0.70599999999999996</v>
      </c>
      <c r="S3034" s="8">
        <v>0.59199999999999997</v>
      </c>
      <c r="T3034" s="8">
        <v>0.49</v>
      </c>
      <c r="U3034" s="8">
        <v>0.39100000000000001</v>
      </c>
      <c r="V3034" s="8">
        <v>0.29899999999999999</v>
      </c>
      <c r="W3034" s="8">
        <v>0.21099999999999999</v>
      </c>
      <c r="X3034" s="8">
        <v>0.13</v>
      </c>
      <c r="Y3034" s="8">
        <v>6.6000000000000003E-2</v>
      </c>
      <c r="Z3034" s="8">
        <v>2.1000000000000001E-2</v>
      </c>
      <c r="AA3034" s="8">
        <v>0</v>
      </c>
      <c r="AB3034" s="8">
        <v>0</v>
      </c>
      <c r="AC3034" s="8">
        <v>0</v>
      </c>
    </row>
    <row r="3035" spans="1:29" ht="11.65" hidden="1" x14ac:dyDescent="0.35">
      <c r="A3035" s="12">
        <v>3018</v>
      </c>
      <c r="B3035" s="10" t="s">
        <v>1015</v>
      </c>
      <c r="C3035" s="11" t="s">
        <v>1225</v>
      </c>
      <c r="D3035" s="9"/>
      <c r="E3035" s="9">
        <v>583</v>
      </c>
      <c r="F3035" s="10" t="s">
        <v>1066</v>
      </c>
      <c r="G3035" s="9">
        <v>954</v>
      </c>
      <c r="H3035" s="9">
        <v>1960</v>
      </c>
      <c r="I3035" s="8">
        <v>4.0110000000000001</v>
      </c>
      <c r="J3035" s="8">
        <v>3.4769999999999999</v>
      </c>
      <c r="K3035" s="8">
        <v>2.2789999999999999</v>
      </c>
      <c r="L3035" s="8">
        <v>2.0099999999999998</v>
      </c>
      <c r="M3035" s="8">
        <v>1.7370000000000001</v>
      </c>
      <c r="N3035" s="8">
        <v>1.4910000000000001</v>
      </c>
      <c r="O3035" s="8">
        <v>1.2809999999999999</v>
      </c>
      <c r="P3035" s="8">
        <v>1.0960000000000001</v>
      </c>
      <c r="Q3035" s="8">
        <v>0.93799999999999994</v>
      </c>
      <c r="R3035" s="8">
        <v>0.79800000000000004</v>
      </c>
      <c r="S3035" s="8">
        <v>0.67</v>
      </c>
      <c r="T3035" s="8">
        <v>0.55200000000000005</v>
      </c>
      <c r="U3035" s="8">
        <v>0.442</v>
      </c>
      <c r="V3035" s="8">
        <v>0.33500000000000002</v>
      </c>
      <c r="W3035" s="8">
        <v>0.23499999999999999</v>
      </c>
      <c r="X3035" s="8">
        <v>0.14399999999999999</v>
      </c>
      <c r="Y3035" s="8">
        <v>7.1999999999999995E-2</v>
      </c>
      <c r="Z3035" s="8">
        <v>1.4E-2</v>
      </c>
      <c r="AA3035" s="8">
        <v>2E-3</v>
      </c>
      <c r="AB3035" s="8">
        <v>0</v>
      </c>
      <c r="AC3035" s="8">
        <v>0</v>
      </c>
    </row>
    <row r="3036" spans="1:29" ht="11.65" hidden="1" x14ac:dyDescent="0.35">
      <c r="A3036" s="12">
        <v>3019</v>
      </c>
      <c r="B3036" s="10" t="s">
        <v>1015</v>
      </c>
      <c r="C3036" s="11" t="s">
        <v>1225</v>
      </c>
      <c r="D3036" s="9"/>
      <c r="E3036" s="9">
        <v>583</v>
      </c>
      <c r="F3036" s="10" t="s">
        <v>1066</v>
      </c>
      <c r="G3036" s="9">
        <v>954</v>
      </c>
      <c r="H3036" s="9">
        <v>1965</v>
      </c>
      <c r="I3036" s="8">
        <v>4.5549999999999997</v>
      </c>
      <c r="J3036" s="8">
        <v>3.899</v>
      </c>
      <c r="K3036" s="8">
        <v>3.4409999999999998</v>
      </c>
      <c r="L3036" s="8">
        <v>2.2559999999999998</v>
      </c>
      <c r="M3036" s="8">
        <v>1.98</v>
      </c>
      <c r="N3036" s="8">
        <v>1.704</v>
      </c>
      <c r="O3036" s="8">
        <v>1.4610000000000001</v>
      </c>
      <c r="P3036" s="8">
        <v>1.2509999999999999</v>
      </c>
      <c r="Q3036" s="8">
        <v>1.0660000000000001</v>
      </c>
      <c r="R3036" s="8">
        <v>0.90500000000000003</v>
      </c>
      <c r="S3036" s="8">
        <v>0.75900000000000001</v>
      </c>
      <c r="T3036" s="8">
        <v>0.627</v>
      </c>
      <c r="U3036" s="8">
        <v>0.5</v>
      </c>
      <c r="V3036" s="8">
        <v>0.38200000000000001</v>
      </c>
      <c r="W3036" s="8">
        <v>0.26600000000000001</v>
      </c>
      <c r="X3036" s="8">
        <v>0.16200000000000001</v>
      </c>
      <c r="Y3036" s="8">
        <v>0.08</v>
      </c>
      <c r="Z3036" s="8">
        <v>1.7000000000000001E-2</v>
      </c>
      <c r="AA3036" s="8">
        <v>2E-3</v>
      </c>
      <c r="AB3036" s="8">
        <v>0</v>
      </c>
      <c r="AC3036" s="8">
        <v>0</v>
      </c>
    </row>
    <row r="3037" spans="1:29" ht="11.65" hidden="1" x14ac:dyDescent="0.35">
      <c r="A3037" s="12">
        <v>3020</v>
      </c>
      <c r="B3037" s="10" t="s">
        <v>1015</v>
      </c>
      <c r="C3037" s="11" t="s">
        <v>1225</v>
      </c>
      <c r="D3037" s="9"/>
      <c r="E3037" s="9">
        <v>583</v>
      </c>
      <c r="F3037" s="10" t="s">
        <v>1066</v>
      </c>
      <c r="G3037" s="9">
        <v>954</v>
      </c>
      <c r="H3037" s="9">
        <v>1970</v>
      </c>
      <c r="I3037" s="8">
        <v>5.3159999999999998</v>
      </c>
      <c r="J3037" s="8">
        <v>4.4509999999999996</v>
      </c>
      <c r="K3037" s="8">
        <v>3.867</v>
      </c>
      <c r="L3037" s="8">
        <v>3.407</v>
      </c>
      <c r="M3037" s="8">
        <v>2.226</v>
      </c>
      <c r="N3037" s="8">
        <v>1.946</v>
      </c>
      <c r="O3037" s="8">
        <v>1.669</v>
      </c>
      <c r="P3037" s="8">
        <v>1.427</v>
      </c>
      <c r="Q3037" s="8">
        <v>1.216</v>
      </c>
      <c r="R3037" s="8">
        <v>1.03</v>
      </c>
      <c r="S3037" s="8">
        <v>0.86599999999999999</v>
      </c>
      <c r="T3037" s="8">
        <v>0.71599999999999997</v>
      </c>
      <c r="U3037" s="8">
        <v>0.57299999999999995</v>
      </c>
      <c r="V3037" s="8">
        <v>0.436</v>
      </c>
      <c r="W3037" s="8">
        <v>0.30499999999999999</v>
      </c>
      <c r="X3037" s="8">
        <v>0.186</v>
      </c>
      <c r="Y3037" s="8">
        <v>9.0999999999999998E-2</v>
      </c>
      <c r="Z3037" s="8">
        <v>1.9E-2</v>
      </c>
      <c r="AA3037" s="8">
        <v>2E-3</v>
      </c>
      <c r="AB3037" s="8">
        <v>0</v>
      </c>
      <c r="AC3037" s="8">
        <v>0</v>
      </c>
    </row>
    <row r="3038" spans="1:29" ht="11.65" hidden="1" x14ac:dyDescent="0.35">
      <c r="A3038" s="12">
        <v>3021</v>
      </c>
      <c r="B3038" s="10" t="s">
        <v>1015</v>
      </c>
      <c r="C3038" s="11" t="s">
        <v>1225</v>
      </c>
      <c r="D3038" s="9"/>
      <c r="E3038" s="9">
        <v>583</v>
      </c>
      <c r="F3038" s="10" t="s">
        <v>1066</v>
      </c>
      <c r="G3038" s="9">
        <v>954</v>
      </c>
      <c r="H3038" s="9">
        <v>1975</v>
      </c>
      <c r="I3038" s="8">
        <v>5.5490000000000004</v>
      </c>
      <c r="J3038" s="8">
        <v>4.8479999999999999</v>
      </c>
      <c r="K3038" s="8">
        <v>3.8530000000000002</v>
      </c>
      <c r="L3038" s="8">
        <v>3.3290000000000002</v>
      </c>
      <c r="M3038" s="8">
        <v>2.8260000000000001</v>
      </c>
      <c r="N3038" s="8">
        <v>1.6220000000000001</v>
      </c>
      <c r="O3038" s="8">
        <v>1.2490000000000001</v>
      </c>
      <c r="P3038" s="8">
        <v>1.1279999999999999</v>
      </c>
      <c r="Q3038" s="8">
        <v>1.151</v>
      </c>
      <c r="R3038" s="8">
        <v>1.016</v>
      </c>
      <c r="S3038" s="8">
        <v>1.075</v>
      </c>
      <c r="T3038" s="8">
        <v>0.92600000000000005</v>
      </c>
      <c r="U3038" s="8">
        <v>0.69199999999999995</v>
      </c>
      <c r="V3038" s="8">
        <v>0.53</v>
      </c>
      <c r="W3038" s="8">
        <v>0.33400000000000002</v>
      </c>
      <c r="X3038" s="8">
        <v>0.22700000000000001</v>
      </c>
      <c r="Y3038" s="8">
        <v>0.114</v>
      </c>
      <c r="Z3038" s="8">
        <v>2.1999999999999999E-2</v>
      </c>
      <c r="AA3038" s="8">
        <v>3.0000000000000001E-3</v>
      </c>
      <c r="AB3038" s="8">
        <v>0</v>
      </c>
      <c r="AC3038" s="8">
        <v>0</v>
      </c>
    </row>
    <row r="3039" spans="1:29" ht="11.65" hidden="1" x14ac:dyDescent="0.35">
      <c r="A3039" s="12">
        <v>3022</v>
      </c>
      <c r="B3039" s="10" t="s">
        <v>1015</v>
      </c>
      <c r="C3039" s="11" t="s">
        <v>1225</v>
      </c>
      <c r="D3039" s="9"/>
      <c r="E3039" s="9">
        <v>583</v>
      </c>
      <c r="F3039" s="10" t="s">
        <v>1066</v>
      </c>
      <c r="G3039" s="9">
        <v>954</v>
      </c>
      <c r="H3039" s="9">
        <v>1980</v>
      </c>
      <c r="I3039" s="8">
        <v>6.1059999999999999</v>
      </c>
      <c r="J3039" s="8">
        <v>5.6349999999999998</v>
      </c>
      <c r="K3039" s="8">
        <v>4.8010000000000002</v>
      </c>
      <c r="L3039" s="8">
        <v>3.7570000000000001</v>
      </c>
      <c r="M3039" s="8">
        <v>3.23</v>
      </c>
      <c r="N3039" s="8">
        <v>2.7709999999999999</v>
      </c>
      <c r="O3039" s="8">
        <v>1.7569999999999999</v>
      </c>
      <c r="P3039" s="8">
        <v>1.49</v>
      </c>
      <c r="Q3039" s="8">
        <v>1.151</v>
      </c>
      <c r="R3039" s="8">
        <v>1.0980000000000001</v>
      </c>
      <c r="S3039" s="8">
        <v>0.98399999999999999</v>
      </c>
      <c r="T3039" s="8">
        <v>0.86899999999999999</v>
      </c>
      <c r="U3039" s="8">
        <v>0.74299999999999999</v>
      </c>
      <c r="V3039" s="8">
        <v>0.54700000000000004</v>
      </c>
      <c r="W3039" s="8">
        <v>0.35199999999999998</v>
      </c>
      <c r="X3039" s="8">
        <v>0.20599999999999999</v>
      </c>
      <c r="Y3039" s="8">
        <v>0.129</v>
      </c>
      <c r="Z3039" s="8">
        <v>2.9000000000000001E-2</v>
      </c>
      <c r="AA3039" s="8">
        <v>3.0000000000000001E-3</v>
      </c>
      <c r="AB3039" s="8">
        <v>0</v>
      </c>
      <c r="AC3039" s="8">
        <v>0</v>
      </c>
    </row>
    <row r="3040" spans="1:29" ht="11.65" hidden="1" x14ac:dyDescent="0.35">
      <c r="A3040" s="12">
        <v>3023</v>
      </c>
      <c r="B3040" s="10" t="s">
        <v>1015</v>
      </c>
      <c r="C3040" s="11" t="s">
        <v>1225</v>
      </c>
      <c r="D3040" s="9"/>
      <c r="E3040" s="9">
        <v>583</v>
      </c>
      <c r="F3040" s="10" t="s">
        <v>1066</v>
      </c>
      <c r="G3040" s="9">
        <v>954</v>
      </c>
      <c r="H3040" s="9">
        <v>1985</v>
      </c>
      <c r="I3040" s="8">
        <v>7.1269999999999998</v>
      </c>
      <c r="J3040" s="8">
        <v>6.0259999999999998</v>
      </c>
      <c r="K3040" s="8">
        <v>5.6040000000000001</v>
      </c>
      <c r="L3040" s="8">
        <v>4.7729999999999997</v>
      </c>
      <c r="M3040" s="8">
        <v>3.7229999999999999</v>
      </c>
      <c r="N3040" s="8">
        <v>3.1920000000000002</v>
      </c>
      <c r="O3040" s="8">
        <v>2.7320000000000002</v>
      </c>
      <c r="P3040" s="8">
        <v>1.73</v>
      </c>
      <c r="Q3040" s="8">
        <v>1.46</v>
      </c>
      <c r="R3040" s="8">
        <v>1.1200000000000001</v>
      </c>
      <c r="S3040" s="8">
        <v>1.0609999999999999</v>
      </c>
      <c r="T3040" s="8">
        <v>0.93400000000000005</v>
      </c>
      <c r="U3040" s="8">
        <v>0.80400000000000005</v>
      </c>
      <c r="V3040" s="8">
        <v>0.65900000000000003</v>
      </c>
      <c r="W3040" s="8">
        <v>0.44800000000000001</v>
      </c>
      <c r="X3040" s="8">
        <v>0.254</v>
      </c>
      <c r="Y3040" s="8">
        <v>0.11899999999999999</v>
      </c>
      <c r="Z3040" s="8">
        <v>3.4000000000000002E-2</v>
      </c>
      <c r="AA3040" s="8">
        <v>4.0000000000000001E-3</v>
      </c>
      <c r="AB3040" s="8">
        <v>0</v>
      </c>
      <c r="AC3040" s="8">
        <v>0</v>
      </c>
    </row>
    <row r="3041" spans="1:29" ht="11.65" hidden="1" x14ac:dyDescent="0.35">
      <c r="A3041" s="12">
        <v>3024</v>
      </c>
      <c r="B3041" s="10" t="s">
        <v>1015</v>
      </c>
      <c r="C3041" s="11" t="s">
        <v>1225</v>
      </c>
      <c r="D3041" s="9"/>
      <c r="E3041" s="9">
        <v>583</v>
      </c>
      <c r="F3041" s="10" t="s">
        <v>1066</v>
      </c>
      <c r="G3041" s="9">
        <v>954</v>
      </c>
      <c r="H3041" s="9">
        <v>1990</v>
      </c>
      <c r="I3041" s="8">
        <v>7.375</v>
      </c>
      <c r="J3041" s="8">
        <v>7.0780000000000003</v>
      </c>
      <c r="K3041" s="8">
        <v>6.0110000000000001</v>
      </c>
      <c r="L3041" s="8">
        <v>5.3460000000000001</v>
      </c>
      <c r="M3041" s="8">
        <v>4.3769999999999998</v>
      </c>
      <c r="N3041" s="8">
        <v>3.4260000000000002</v>
      </c>
      <c r="O3041" s="8">
        <v>3.0609999999999999</v>
      </c>
      <c r="P3041" s="8">
        <v>2.6560000000000001</v>
      </c>
      <c r="Q3041" s="8">
        <v>1.657</v>
      </c>
      <c r="R3041" s="8">
        <v>1.383</v>
      </c>
      <c r="S3041" s="8">
        <v>1.052</v>
      </c>
      <c r="T3041" s="8">
        <v>0.99199999999999999</v>
      </c>
      <c r="U3041" s="8">
        <v>0.84799999999999998</v>
      </c>
      <c r="V3041" s="8">
        <v>0.71399999999999997</v>
      </c>
      <c r="W3041" s="8">
        <v>0.56100000000000005</v>
      </c>
      <c r="X3041" s="8">
        <v>0.33</v>
      </c>
      <c r="Y3041" s="8">
        <v>0.14699999999999999</v>
      </c>
      <c r="Z3041" s="8">
        <v>3.2000000000000001E-2</v>
      </c>
      <c r="AA3041" s="8">
        <v>5.0000000000000001E-3</v>
      </c>
      <c r="AB3041" s="8">
        <v>0</v>
      </c>
      <c r="AC3041" s="8">
        <v>0</v>
      </c>
    </row>
    <row r="3042" spans="1:29" ht="11.65" hidden="1" x14ac:dyDescent="0.35">
      <c r="A3042" s="12">
        <v>3025</v>
      </c>
      <c r="B3042" s="10" t="s">
        <v>1015</v>
      </c>
      <c r="C3042" s="11" t="s">
        <v>1225</v>
      </c>
      <c r="D3042" s="9"/>
      <c r="E3042" s="9">
        <v>583</v>
      </c>
      <c r="F3042" s="10" t="s">
        <v>1066</v>
      </c>
      <c r="G3042" s="9">
        <v>954</v>
      </c>
      <c r="H3042" s="9">
        <v>1995</v>
      </c>
      <c r="I3042" s="8">
        <v>7.8339999999999996</v>
      </c>
      <c r="J3042" s="8">
        <v>7.3650000000000002</v>
      </c>
      <c r="K3042" s="8">
        <v>7.3639999999999999</v>
      </c>
      <c r="L3042" s="8">
        <v>6.0330000000000004</v>
      </c>
      <c r="M3042" s="8">
        <v>4.4450000000000003</v>
      </c>
      <c r="N3042" s="8">
        <v>3.5539999999999998</v>
      </c>
      <c r="O3042" s="8">
        <v>3.355</v>
      </c>
      <c r="P3042" s="8">
        <v>3.1560000000000001</v>
      </c>
      <c r="Q3042" s="8">
        <v>2.4849999999999999</v>
      </c>
      <c r="R3042" s="8">
        <v>1.6819999999999999</v>
      </c>
      <c r="S3042" s="8">
        <v>1.2030000000000001</v>
      </c>
      <c r="T3042" s="8">
        <v>0.97899999999999998</v>
      </c>
      <c r="U3042" s="8">
        <v>1.085</v>
      </c>
      <c r="V3042" s="8">
        <v>0.69199999999999995</v>
      </c>
      <c r="W3042" s="8">
        <v>0.66600000000000004</v>
      </c>
      <c r="X3042" s="8">
        <v>0.436</v>
      </c>
      <c r="Y3042" s="8">
        <v>0.183</v>
      </c>
      <c r="Z3042" s="8">
        <v>4.2000000000000003E-2</v>
      </c>
      <c r="AA3042" s="8">
        <v>5.0000000000000001E-3</v>
      </c>
      <c r="AB3042" s="8">
        <v>0</v>
      </c>
      <c r="AC3042" s="8">
        <v>0</v>
      </c>
    </row>
    <row r="3043" spans="1:29" ht="11.65" hidden="1" x14ac:dyDescent="0.35">
      <c r="A3043" s="12">
        <v>3026</v>
      </c>
      <c r="B3043" s="10" t="s">
        <v>1015</v>
      </c>
      <c r="C3043" s="11" t="s">
        <v>1225</v>
      </c>
      <c r="D3043" s="9"/>
      <c r="E3043" s="9">
        <v>583</v>
      </c>
      <c r="F3043" s="10" t="s">
        <v>1066</v>
      </c>
      <c r="G3043" s="9">
        <v>954</v>
      </c>
      <c r="H3043" s="9">
        <v>2000</v>
      </c>
      <c r="I3043" s="8">
        <v>7.3070000000000004</v>
      </c>
      <c r="J3043" s="8">
        <v>6.8780000000000001</v>
      </c>
      <c r="K3043" s="8">
        <v>6.7030000000000003</v>
      </c>
      <c r="L3043" s="8">
        <v>6.5819999999999999</v>
      </c>
      <c r="M3043" s="8">
        <v>4.6669999999999998</v>
      </c>
      <c r="N3043" s="8">
        <v>3.6970000000000001</v>
      </c>
      <c r="O3043" s="8">
        <v>3.5920000000000001</v>
      </c>
      <c r="P3043" s="8">
        <v>3.0569999999999999</v>
      </c>
      <c r="Q3043" s="8">
        <v>2.7010000000000001</v>
      </c>
      <c r="R3043" s="8">
        <v>2.2480000000000002</v>
      </c>
      <c r="S3043" s="8">
        <v>1.605</v>
      </c>
      <c r="T3043" s="8">
        <v>1.042</v>
      </c>
      <c r="U3043" s="8">
        <v>0.83</v>
      </c>
      <c r="V3043" s="8">
        <v>0.86199999999999999</v>
      </c>
      <c r="W3043" s="8">
        <v>0.47699999999999998</v>
      </c>
      <c r="X3043" s="8">
        <v>0.47699999999999998</v>
      </c>
      <c r="Y3043" s="8">
        <v>0.251</v>
      </c>
      <c r="Z3043" s="8">
        <v>5.3999999999999999E-2</v>
      </c>
      <c r="AA3043" s="8">
        <v>6.0000000000000001E-3</v>
      </c>
      <c r="AB3043" s="8">
        <v>0</v>
      </c>
      <c r="AC3043" s="8">
        <v>0</v>
      </c>
    </row>
    <row r="3044" spans="1:29" ht="11.65" hidden="1" x14ac:dyDescent="0.35">
      <c r="A3044" s="12">
        <v>3027</v>
      </c>
      <c r="B3044" s="10" t="s">
        <v>1015</v>
      </c>
      <c r="C3044" s="11" t="s">
        <v>1225</v>
      </c>
      <c r="D3044" s="9"/>
      <c r="E3044" s="9">
        <v>583</v>
      </c>
      <c r="F3044" s="10" t="s">
        <v>1066</v>
      </c>
      <c r="G3044" s="9">
        <v>954</v>
      </c>
      <c r="H3044" s="9">
        <v>2005</v>
      </c>
      <c r="I3044" s="8">
        <v>6.45</v>
      </c>
      <c r="J3044" s="8">
        <v>6.7640000000000002</v>
      </c>
      <c r="K3044" s="8">
        <v>6.7859999999999996</v>
      </c>
      <c r="L3044" s="8">
        <v>6.2240000000000002</v>
      </c>
      <c r="M3044" s="8">
        <v>5.585</v>
      </c>
      <c r="N3044" s="8">
        <v>3.552</v>
      </c>
      <c r="O3044" s="8">
        <v>2.7389999999999999</v>
      </c>
      <c r="P3044" s="8">
        <v>2.742</v>
      </c>
      <c r="Q3044" s="8">
        <v>2.4590000000000001</v>
      </c>
      <c r="R3044" s="8">
        <v>2.367</v>
      </c>
      <c r="S3044" s="8">
        <v>1.994</v>
      </c>
      <c r="T3044" s="8">
        <v>1.3720000000000001</v>
      </c>
      <c r="U3044" s="8">
        <v>0.88300000000000001</v>
      </c>
      <c r="V3044" s="8">
        <v>0.71099999999999997</v>
      </c>
      <c r="W3044" s="8">
        <v>0.69899999999999995</v>
      </c>
      <c r="X3044" s="8">
        <v>0.41399999999999998</v>
      </c>
      <c r="Y3044" s="8">
        <v>0.36799999999999999</v>
      </c>
      <c r="Z3044" s="8">
        <v>7.8E-2</v>
      </c>
      <c r="AA3044" s="8">
        <v>8.9999999999999993E-3</v>
      </c>
      <c r="AB3044" s="8">
        <v>0</v>
      </c>
      <c r="AC3044" s="8">
        <v>0</v>
      </c>
    </row>
    <row r="3045" spans="1:29" ht="11.65" hidden="1" x14ac:dyDescent="0.35">
      <c r="A3045" s="12">
        <v>3028</v>
      </c>
      <c r="B3045" s="10" t="s">
        <v>1015</v>
      </c>
      <c r="C3045" s="11" t="s">
        <v>1225</v>
      </c>
      <c r="D3045" s="9"/>
      <c r="E3045" s="9">
        <v>583</v>
      </c>
      <c r="F3045" s="10" t="s">
        <v>1066</v>
      </c>
      <c r="G3045" s="9">
        <v>954</v>
      </c>
      <c r="H3045" s="9">
        <v>2010</v>
      </c>
      <c r="I3045" s="8">
        <v>5.9359999999999999</v>
      </c>
      <c r="J3045" s="8">
        <v>5.8049999999999997</v>
      </c>
      <c r="K3045" s="8">
        <v>6.1719999999999997</v>
      </c>
      <c r="L3045" s="8">
        <v>5.7569999999999997</v>
      </c>
      <c r="M3045" s="8">
        <v>4.4569999999999999</v>
      </c>
      <c r="N3045" s="8">
        <v>3.806</v>
      </c>
      <c r="O3045" s="8">
        <v>3.1970000000000001</v>
      </c>
      <c r="P3045" s="8">
        <v>3.02</v>
      </c>
      <c r="Q3045" s="8">
        <v>2.8660000000000001</v>
      </c>
      <c r="R3045" s="8">
        <v>2.5499999999999998</v>
      </c>
      <c r="S3045" s="8">
        <v>2.3220000000000001</v>
      </c>
      <c r="T3045" s="8">
        <v>1.738</v>
      </c>
      <c r="U3045" s="8">
        <v>1.1240000000000001</v>
      </c>
      <c r="V3045" s="8">
        <v>0.65500000000000003</v>
      </c>
      <c r="W3045" s="8">
        <v>0.53900000000000003</v>
      </c>
      <c r="X3045" s="8">
        <v>0.40200000000000002</v>
      </c>
      <c r="Y3045" s="8">
        <v>0.19700000000000001</v>
      </c>
      <c r="Z3045" s="8">
        <v>0.11799999999999999</v>
      </c>
      <c r="AA3045" s="8">
        <v>1.4E-2</v>
      </c>
      <c r="AB3045" s="8">
        <v>0</v>
      </c>
      <c r="AC3045" s="8">
        <v>0</v>
      </c>
    </row>
    <row r="3046" spans="1:29" ht="11.65" hidden="1" x14ac:dyDescent="0.35">
      <c r="A3046" s="12">
        <v>3029</v>
      </c>
      <c r="B3046" s="10" t="s">
        <v>1015</v>
      </c>
      <c r="C3046" s="11" t="s">
        <v>1225</v>
      </c>
      <c r="D3046" s="9"/>
      <c r="E3046" s="9">
        <v>583</v>
      </c>
      <c r="F3046" s="10" t="s">
        <v>1066</v>
      </c>
      <c r="G3046" s="9">
        <v>954</v>
      </c>
      <c r="H3046" s="9">
        <v>2015</v>
      </c>
      <c r="I3046" s="8">
        <v>5.7859999999999996</v>
      </c>
      <c r="J3046" s="8">
        <v>5.8620000000000001</v>
      </c>
      <c r="K3046" s="8">
        <v>5.7539999999999996</v>
      </c>
      <c r="L3046" s="8">
        <v>5.9729999999999999</v>
      </c>
      <c r="M3046" s="8">
        <v>5.4210000000000003</v>
      </c>
      <c r="N3046" s="8">
        <v>4.1449999999999996</v>
      </c>
      <c r="O3046" s="8">
        <v>3.57</v>
      </c>
      <c r="P3046" s="8">
        <v>3.0259999999999998</v>
      </c>
      <c r="Q3046" s="8">
        <v>2.8889999999999998</v>
      </c>
      <c r="R3046" s="8">
        <v>2.7530000000000001</v>
      </c>
      <c r="S3046" s="8">
        <v>2.4409999999999998</v>
      </c>
      <c r="T3046" s="8">
        <v>2.2040000000000002</v>
      </c>
      <c r="U3046" s="8">
        <v>1.603</v>
      </c>
      <c r="V3046" s="8">
        <v>0.97399999999999998</v>
      </c>
      <c r="W3046" s="8">
        <v>0.50700000000000001</v>
      </c>
      <c r="X3046" s="8">
        <v>0.34899999999999998</v>
      </c>
      <c r="Y3046" s="8">
        <v>0.2</v>
      </c>
      <c r="Z3046" s="8">
        <v>6.5000000000000002E-2</v>
      </c>
      <c r="AA3046" s="8">
        <v>2.1000000000000001E-2</v>
      </c>
      <c r="AB3046" s="8">
        <v>0</v>
      </c>
      <c r="AC3046" s="8">
        <v>0</v>
      </c>
    </row>
    <row r="3047" spans="1:29" ht="11.65" hidden="1" x14ac:dyDescent="0.35">
      <c r="A3047" s="12">
        <v>3030</v>
      </c>
      <c r="B3047" s="10" t="s">
        <v>1015</v>
      </c>
      <c r="C3047" s="11" t="s">
        <v>1225</v>
      </c>
      <c r="D3047" s="9"/>
      <c r="E3047" s="9">
        <v>583</v>
      </c>
      <c r="F3047" s="10" t="s">
        <v>1066</v>
      </c>
      <c r="G3047" s="9">
        <v>954</v>
      </c>
      <c r="H3047" s="9">
        <v>2020</v>
      </c>
      <c r="I3047" s="8">
        <v>5.97</v>
      </c>
      <c r="J3047" s="8">
        <v>5.71</v>
      </c>
      <c r="K3047" s="8">
        <v>5.8120000000000003</v>
      </c>
      <c r="L3047" s="8">
        <v>5.56</v>
      </c>
      <c r="M3047" s="8">
        <v>5.641</v>
      </c>
      <c r="N3047" s="8">
        <v>5.1059999999999999</v>
      </c>
      <c r="O3047" s="8">
        <v>3.911</v>
      </c>
      <c r="P3047" s="8">
        <v>3.3980000000000001</v>
      </c>
      <c r="Q3047" s="8">
        <v>2.8969999999999998</v>
      </c>
      <c r="R3047" s="8">
        <v>2.7789999999999999</v>
      </c>
      <c r="S3047" s="8">
        <v>2.64</v>
      </c>
      <c r="T3047" s="8">
        <v>2.323</v>
      </c>
      <c r="U3047" s="8">
        <v>2.0449999999999999</v>
      </c>
      <c r="V3047" s="8">
        <v>1.3979999999999999</v>
      </c>
      <c r="W3047" s="8">
        <v>0.76100000000000001</v>
      </c>
      <c r="X3047" s="8">
        <v>0.33400000000000002</v>
      </c>
      <c r="Y3047" s="8">
        <v>0.17499999999999999</v>
      </c>
      <c r="Z3047" s="8">
        <v>6.6000000000000003E-2</v>
      </c>
      <c r="AA3047" s="8">
        <v>1.2999999999999999E-2</v>
      </c>
      <c r="AB3047" s="8">
        <v>2E-3</v>
      </c>
      <c r="AC3047" s="8">
        <v>0</v>
      </c>
    </row>
    <row r="3048" spans="1:29" ht="11.65" hidden="1" x14ac:dyDescent="0.35">
      <c r="A3048" s="23">
        <v>3031</v>
      </c>
      <c r="B3048" s="21" t="s">
        <v>1015</v>
      </c>
      <c r="C3048" s="29" t="s">
        <v>1226</v>
      </c>
      <c r="D3048" s="20">
        <v>17</v>
      </c>
      <c r="E3048" s="20">
        <v>957</v>
      </c>
      <c r="F3048" s="21" t="s">
        <v>1065</v>
      </c>
      <c r="G3048" s="20">
        <v>1835</v>
      </c>
      <c r="H3048" s="20">
        <v>1950</v>
      </c>
      <c r="I3048" s="19">
        <v>20.533999999999999</v>
      </c>
      <c r="J3048" s="19">
        <v>17.417000000000002</v>
      </c>
      <c r="K3048" s="19">
        <v>14.939</v>
      </c>
      <c r="L3048" s="19">
        <v>12.628</v>
      </c>
      <c r="M3048" s="19">
        <v>10.847</v>
      </c>
      <c r="N3048" s="19">
        <v>9.4580000000000002</v>
      </c>
      <c r="O3048" s="19">
        <v>7.1970000000000001</v>
      </c>
      <c r="P3048" s="19">
        <v>5.992</v>
      </c>
      <c r="Q3048" s="19">
        <v>4.7670000000000003</v>
      </c>
      <c r="R3048" s="19">
        <v>3.7549999999999999</v>
      </c>
      <c r="S3048" s="19">
        <v>3.0379999999999998</v>
      </c>
      <c r="T3048" s="19">
        <v>2.0649999999999999</v>
      </c>
      <c r="U3048" s="19">
        <v>1.9510000000000001</v>
      </c>
      <c r="V3048" s="19">
        <v>1.1679999999999999</v>
      </c>
      <c r="W3048" s="19">
        <v>0.76600000000000001</v>
      </c>
      <c r="X3048" s="19">
        <v>0.39200000000000002</v>
      </c>
      <c r="Y3048" s="19">
        <v>0.219</v>
      </c>
      <c r="Z3048" s="19">
        <v>8.3000000000000004E-2</v>
      </c>
      <c r="AA3048" s="19">
        <v>2.1999999999999999E-2</v>
      </c>
      <c r="AB3048" s="19">
        <v>2E-3</v>
      </c>
      <c r="AC3048" s="19">
        <v>0</v>
      </c>
    </row>
    <row r="3049" spans="1:29" ht="11.65" hidden="1" x14ac:dyDescent="0.35">
      <c r="A3049" s="23">
        <v>3032</v>
      </c>
      <c r="B3049" s="21" t="s">
        <v>1015</v>
      </c>
      <c r="C3049" s="29" t="s">
        <v>1226</v>
      </c>
      <c r="D3049" s="20">
        <v>17</v>
      </c>
      <c r="E3049" s="20">
        <v>957</v>
      </c>
      <c r="F3049" s="21" t="s">
        <v>1065</v>
      </c>
      <c r="G3049" s="20">
        <v>1835</v>
      </c>
      <c r="H3049" s="20">
        <v>1955</v>
      </c>
      <c r="I3049" s="19">
        <v>25.709</v>
      </c>
      <c r="J3049" s="19">
        <v>18.831</v>
      </c>
      <c r="K3049" s="19">
        <v>16.396999999999998</v>
      </c>
      <c r="L3049" s="19">
        <v>13.944000000000001</v>
      </c>
      <c r="M3049" s="19">
        <v>11.587</v>
      </c>
      <c r="N3049" s="19">
        <v>10.154999999999999</v>
      </c>
      <c r="O3049" s="19">
        <v>8.4290000000000003</v>
      </c>
      <c r="P3049" s="19">
        <v>6.702</v>
      </c>
      <c r="Q3049" s="19">
        <v>5.5529999999999999</v>
      </c>
      <c r="R3049" s="19">
        <v>4.4870000000000001</v>
      </c>
      <c r="S3049" s="19">
        <v>3.5009999999999999</v>
      </c>
      <c r="T3049" s="19">
        <v>2.8340000000000001</v>
      </c>
      <c r="U3049" s="19">
        <v>1.996</v>
      </c>
      <c r="V3049" s="19">
        <v>1.7130000000000001</v>
      </c>
      <c r="W3049" s="19">
        <v>0.94599999999999995</v>
      </c>
      <c r="X3049" s="19">
        <v>0.54300000000000004</v>
      </c>
      <c r="Y3049" s="19">
        <v>0.23599999999999999</v>
      </c>
      <c r="Z3049" s="19">
        <v>8.1000000000000003E-2</v>
      </c>
      <c r="AA3049" s="19">
        <v>0.02</v>
      </c>
      <c r="AB3049" s="19">
        <v>0</v>
      </c>
      <c r="AC3049" s="19">
        <v>0</v>
      </c>
    </row>
    <row r="3050" spans="1:29" ht="11.65" hidden="1" x14ac:dyDescent="0.35">
      <c r="A3050" s="23">
        <v>3033</v>
      </c>
      <c r="B3050" s="21" t="s">
        <v>1015</v>
      </c>
      <c r="C3050" s="29" t="s">
        <v>1226</v>
      </c>
      <c r="D3050" s="20">
        <v>17</v>
      </c>
      <c r="E3050" s="20">
        <v>957</v>
      </c>
      <c r="F3050" s="21" t="s">
        <v>1065</v>
      </c>
      <c r="G3050" s="20">
        <v>1835</v>
      </c>
      <c r="H3050" s="20">
        <v>1960</v>
      </c>
      <c r="I3050" s="19">
        <v>28.315000000000001</v>
      </c>
      <c r="J3050" s="19">
        <v>23.827000000000002</v>
      </c>
      <c r="K3050" s="19">
        <v>17.954000000000001</v>
      </c>
      <c r="L3050" s="19">
        <v>15.284000000000001</v>
      </c>
      <c r="M3050" s="19">
        <v>12.459</v>
      </c>
      <c r="N3050" s="19">
        <v>10.678000000000001</v>
      </c>
      <c r="O3050" s="19">
        <v>8.9049999999999994</v>
      </c>
      <c r="P3050" s="19">
        <v>7.9329999999999998</v>
      </c>
      <c r="Q3050" s="19">
        <v>5.9279999999999999</v>
      </c>
      <c r="R3050" s="19">
        <v>5.4909999999999997</v>
      </c>
      <c r="S3050" s="19">
        <v>4.0890000000000004</v>
      </c>
      <c r="T3050" s="19">
        <v>3.1379999999999999</v>
      </c>
      <c r="U3050" s="19">
        <v>2.6680000000000001</v>
      </c>
      <c r="V3050" s="19">
        <v>1.6240000000000001</v>
      </c>
      <c r="W3050" s="19">
        <v>1.4690000000000001</v>
      </c>
      <c r="X3050" s="19">
        <v>0.61799999999999999</v>
      </c>
      <c r="Y3050" s="19">
        <v>0.34499999999999997</v>
      </c>
      <c r="Z3050" s="19">
        <v>9.1999999999999998E-2</v>
      </c>
      <c r="AA3050" s="19">
        <v>1.7000000000000001E-2</v>
      </c>
      <c r="AB3050" s="19">
        <v>0</v>
      </c>
      <c r="AC3050" s="19">
        <v>0</v>
      </c>
    </row>
    <row r="3051" spans="1:29" ht="11.65" hidden="1" x14ac:dyDescent="0.35">
      <c r="A3051" s="23">
        <v>3034</v>
      </c>
      <c r="B3051" s="21" t="s">
        <v>1015</v>
      </c>
      <c r="C3051" s="29" t="s">
        <v>1226</v>
      </c>
      <c r="D3051" s="20">
        <v>17</v>
      </c>
      <c r="E3051" s="20">
        <v>957</v>
      </c>
      <c r="F3051" s="21" t="s">
        <v>1065</v>
      </c>
      <c r="G3051" s="20">
        <v>1835</v>
      </c>
      <c r="H3051" s="20">
        <v>1965</v>
      </c>
      <c r="I3051" s="19">
        <v>33.774000000000001</v>
      </c>
      <c r="J3051" s="19">
        <v>28.126000000000001</v>
      </c>
      <c r="K3051" s="19">
        <v>23.140999999999998</v>
      </c>
      <c r="L3051" s="19">
        <v>16.684999999999999</v>
      </c>
      <c r="M3051" s="19">
        <v>14.096</v>
      </c>
      <c r="N3051" s="19">
        <v>11.78</v>
      </c>
      <c r="O3051" s="19">
        <v>10.38</v>
      </c>
      <c r="P3051" s="19">
        <v>9.0370000000000008</v>
      </c>
      <c r="Q3051" s="19">
        <v>7.4969999999999999</v>
      </c>
      <c r="R3051" s="19">
        <v>5.5949999999999998</v>
      </c>
      <c r="S3051" s="19">
        <v>5.0640000000000001</v>
      </c>
      <c r="T3051" s="19">
        <v>3.637</v>
      </c>
      <c r="U3051" s="19">
        <v>2.7749999999999999</v>
      </c>
      <c r="V3051" s="19">
        <v>2.1560000000000001</v>
      </c>
      <c r="W3051" s="19">
        <v>1.292</v>
      </c>
      <c r="X3051" s="19">
        <v>0.94399999999999995</v>
      </c>
      <c r="Y3051" s="19">
        <v>0.34399999999999997</v>
      </c>
      <c r="Z3051" s="19">
        <v>0.14399999999999999</v>
      </c>
      <c r="AA3051" s="19">
        <v>0.02</v>
      </c>
      <c r="AB3051" s="19">
        <v>0</v>
      </c>
      <c r="AC3051" s="19">
        <v>0</v>
      </c>
    </row>
    <row r="3052" spans="1:29" ht="11.65" hidden="1" x14ac:dyDescent="0.35">
      <c r="A3052" s="23">
        <v>3035</v>
      </c>
      <c r="B3052" s="21" t="s">
        <v>1015</v>
      </c>
      <c r="C3052" s="29" t="s">
        <v>1226</v>
      </c>
      <c r="D3052" s="20">
        <v>17</v>
      </c>
      <c r="E3052" s="20">
        <v>957</v>
      </c>
      <c r="F3052" s="21" t="s">
        <v>1065</v>
      </c>
      <c r="G3052" s="20">
        <v>1835</v>
      </c>
      <c r="H3052" s="20">
        <v>1970</v>
      </c>
      <c r="I3052" s="19">
        <v>35.673000000000002</v>
      </c>
      <c r="J3052" s="19">
        <v>33.402999999999999</v>
      </c>
      <c r="K3052" s="19">
        <v>27.488</v>
      </c>
      <c r="L3052" s="19">
        <v>21.283999999999999</v>
      </c>
      <c r="M3052" s="19">
        <v>14.541</v>
      </c>
      <c r="N3052" s="19">
        <v>12.797000000000001</v>
      </c>
      <c r="O3052" s="19">
        <v>11.167999999999999</v>
      </c>
      <c r="P3052" s="19">
        <v>10.238</v>
      </c>
      <c r="Q3052" s="19">
        <v>8.2370000000000001</v>
      </c>
      <c r="R3052" s="19">
        <v>6.891</v>
      </c>
      <c r="S3052" s="19">
        <v>5.5549999999999997</v>
      </c>
      <c r="T3052" s="19">
        <v>4.3730000000000002</v>
      </c>
      <c r="U3052" s="19">
        <v>3.2490000000000001</v>
      </c>
      <c r="V3052" s="19">
        <v>2.2869999999999999</v>
      </c>
      <c r="W3052" s="19">
        <v>1.6639999999999999</v>
      </c>
      <c r="X3052" s="19">
        <v>0.78600000000000003</v>
      </c>
      <c r="Y3052" s="19">
        <v>0.50700000000000001</v>
      </c>
      <c r="Z3052" s="19">
        <v>0.14199999999999999</v>
      </c>
      <c r="AA3052" s="19">
        <v>3.5999999999999997E-2</v>
      </c>
      <c r="AB3052" s="19">
        <v>0</v>
      </c>
      <c r="AC3052" s="19">
        <v>0</v>
      </c>
    </row>
    <row r="3053" spans="1:29" ht="11.65" hidden="1" x14ac:dyDescent="0.35">
      <c r="A3053" s="23">
        <v>3036</v>
      </c>
      <c r="B3053" s="21" t="s">
        <v>1015</v>
      </c>
      <c r="C3053" s="29" t="s">
        <v>1226</v>
      </c>
      <c r="D3053" s="20">
        <v>17</v>
      </c>
      <c r="E3053" s="20">
        <v>957</v>
      </c>
      <c r="F3053" s="21" t="s">
        <v>1065</v>
      </c>
      <c r="G3053" s="20">
        <v>1835</v>
      </c>
      <c r="H3053" s="20">
        <v>1975</v>
      </c>
      <c r="I3053" s="19">
        <v>33.683999999999997</v>
      </c>
      <c r="J3053" s="19">
        <v>33.609000000000002</v>
      </c>
      <c r="K3053" s="19">
        <v>31.657</v>
      </c>
      <c r="L3053" s="19">
        <v>24.920999999999999</v>
      </c>
      <c r="M3053" s="19">
        <v>18.155000000000001</v>
      </c>
      <c r="N3053" s="19">
        <v>12.967000000000001</v>
      </c>
      <c r="O3053" s="19">
        <v>11.868</v>
      </c>
      <c r="P3053" s="19">
        <v>10.493</v>
      </c>
      <c r="Q3053" s="19">
        <v>9.5109999999999992</v>
      </c>
      <c r="R3053" s="19">
        <v>7.7450000000000001</v>
      </c>
      <c r="S3053" s="19">
        <v>6.5140000000000002</v>
      </c>
      <c r="T3053" s="19">
        <v>4.8380000000000001</v>
      </c>
      <c r="U3053" s="19">
        <v>3.879</v>
      </c>
      <c r="V3053" s="19">
        <v>2.677</v>
      </c>
      <c r="W3053" s="19">
        <v>1.853</v>
      </c>
      <c r="X3053" s="19">
        <v>1.1160000000000001</v>
      </c>
      <c r="Y3053" s="19">
        <v>0.46</v>
      </c>
      <c r="Z3053" s="19">
        <v>0.216</v>
      </c>
      <c r="AA3053" s="19">
        <v>3.5000000000000003E-2</v>
      </c>
      <c r="AB3053" s="19">
        <v>2E-3</v>
      </c>
      <c r="AC3053" s="19">
        <v>0</v>
      </c>
    </row>
    <row r="3054" spans="1:29" ht="11.65" hidden="1" x14ac:dyDescent="0.35">
      <c r="A3054" s="23">
        <v>3037</v>
      </c>
      <c r="B3054" s="21" t="s">
        <v>1015</v>
      </c>
      <c r="C3054" s="29" t="s">
        <v>1226</v>
      </c>
      <c r="D3054" s="20">
        <v>17</v>
      </c>
      <c r="E3054" s="20">
        <v>957</v>
      </c>
      <c r="F3054" s="21" t="s">
        <v>1065</v>
      </c>
      <c r="G3054" s="20">
        <v>1835</v>
      </c>
      <c r="H3054" s="20">
        <v>1980</v>
      </c>
      <c r="I3054" s="19">
        <v>33.371000000000002</v>
      </c>
      <c r="J3054" s="19">
        <v>31.741</v>
      </c>
      <c r="K3054" s="19">
        <v>32.371000000000002</v>
      </c>
      <c r="L3054" s="19">
        <v>28.744</v>
      </c>
      <c r="M3054" s="19">
        <v>21.048999999999999</v>
      </c>
      <c r="N3054" s="19">
        <v>16.164000000000001</v>
      </c>
      <c r="O3054" s="19">
        <v>12.564</v>
      </c>
      <c r="P3054" s="19">
        <v>11.611000000000001</v>
      </c>
      <c r="Q3054" s="19">
        <v>9.9890000000000008</v>
      </c>
      <c r="R3054" s="19">
        <v>9.0050000000000008</v>
      </c>
      <c r="S3054" s="19">
        <v>7.2359999999999998</v>
      </c>
      <c r="T3054" s="19">
        <v>6.0350000000000001</v>
      </c>
      <c r="U3054" s="19">
        <v>4.2519999999999998</v>
      </c>
      <c r="V3054" s="19">
        <v>3.302</v>
      </c>
      <c r="W3054" s="19">
        <v>2.077</v>
      </c>
      <c r="X3054" s="19">
        <v>1.339</v>
      </c>
      <c r="Y3054" s="19">
        <v>0.68500000000000005</v>
      </c>
      <c r="Z3054" s="19">
        <v>0.19900000000000001</v>
      </c>
      <c r="AA3054" s="19">
        <v>6.0999999999999999E-2</v>
      </c>
      <c r="AB3054" s="19">
        <v>2E-3</v>
      </c>
      <c r="AC3054" s="19">
        <v>0</v>
      </c>
    </row>
    <row r="3055" spans="1:29" ht="11.65" hidden="1" x14ac:dyDescent="0.35">
      <c r="A3055" s="23">
        <v>3038</v>
      </c>
      <c r="B3055" s="21" t="s">
        <v>1015</v>
      </c>
      <c r="C3055" s="29" t="s">
        <v>1226</v>
      </c>
      <c r="D3055" s="20">
        <v>17</v>
      </c>
      <c r="E3055" s="20">
        <v>957</v>
      </c>
      <c r="F3055" s="21" t="s">
        <v>1065</v>
      </c>
      <c r="G3055" s="20">
        <v>1835</v>
      </c>
      <c r="H3055" s="20">
        <v>1985</v>
      </c>
      <c r="I3055" s="19">
        <v>35.042000000000002</v>
      </c>
      <c r="J3055" s="19">
        <v>31.295999999999999</v>
      </c>
      <c r="K3055" s="19">
        <v>31.451000000000001</v>
      </c>
      <c r="L3055" s="19">
        <v>31.05</v>
      </c>
      <c r="M3055" s="19">
        <v>24.292000000000002</v>
      </c>
      <c r="N3055" s="19">
        <v>18.274000000000001</v>
      </c>
      <c r="O3055" s="19">
        <v>16.408000000000001</v>
      </c>
      <c r="P3055" s="19">
        <v>11.927</v>
      </c>
      <c r="Q3055" s="19">
        <v>11.121</v>
      </c>
      <c r="R3055" s="19">
        <v>8.968</v>
      </c>
      <c r="S3055" s="19">
        <v>8.2690000000000001</v>
      </c>
      <c r="T3055" s="19">
        <v>6.5190000000000001</v>
      </c>
      <c r="U3055" s="19">
        <v>5.3609999999999998</v>
      </c>
      <c r="V3055" s="19">
        <v>3.2250000000000001</v>
      </c>
      <c r="W3055" s="19">
        <v>2.8839999999999999</v>
      </c>
      <c r="X3055" s="19">
        <v>1.3260000000000001</v>
      </c>
      <c r="Y3055" s="19">
        <v>0.96399999999999997</v>
      </c>
      <c r="Z3055" s="19">
        <v>0.30199999999999999</v>
      </c>
      <c r="AA3055" s="19">
        <v>6.0999999999999999E-2</v>
      </c>
      <c r="AB3055" s="19">
        <v>6.0000000000000001E-3</v>
      </c>
      <c r="AC3055" s="19">
        <v>0</v>
      </c>
    </row>
    <row r="3056" spans="1:29" ht="11.65" hidden="1" x14ac:dyDescent="0.35">
      <c r="A3056" s="23">
        <v>3039</v>
      </c>
      <c r="B3056" s="21" t="s">
        <v>1015</v>
      </c>
      <c r="C3056" s="29" t="s">
        <v>1226</v>
      </c>
      <c r="D3056" s="20">
        <v>17</v>
      </c>
      <c r="E3056" s="20">
        <v>957</v>
      </c>
      <c r="F3056" s="21" t="s">
        <v>1065</v>
      </c>
      <c r="G3056" s="20">
        <v>1835</v>
      </c>
      <c r="H3056" s="20">
        <v>1990</v>
      </c>
      <c r="I3056" s="19">
        <v>37.018000000000001</v>
      </c>
      <c r="J3056" s="19">
        <v>33.11</v>
      </c>
      <c r="K3056" s="19">
        <v>30.238</v>
      </c>
      <c r="L3056" s="19">
        <v>29.698</v>
      </c>
      <c r="M3056" s="19">
        <v>26.960999999999999</v>
      </c>
      <c r="N3056" s="19">
        <v>21.608000000000001</v>
      </c>
      <c r="O3056" s="19">
        <v>17.074000000000002</v>
      </c>
      <c r="P3056" s="19">
        <v>15.609</v>
      </c>
      <c r="Q3056" s="19">
        <v>11.407</v>
      </c>
      <c r="R3056" s="19">
        <v>10.407999999999999</v>
      </c>
      <c r="S3056" s="19">
        <v>8.3529999999999998</v>
      </c>
      <c r="T3056" s="19">
        <v>7.556</v>
      </c>
      <c r="U3056" s="19">
        <v>5.8780000000000001</v>
      </c>
      <c r="V3056" s="19">
        <v>4.6630000000000003</v>
      </c>
      <c r="W3056" s="19">
        <v>2.7349999999999999</v>
      </c>
      <c r="X3056" s="19">
        <v>2.17</v>
      </c>
      <c r="Y3056" s="19">
        <v>0.95199999999999996</v>
      </c>
      <c r="Z3056" s="19">
        <v>0.44</v>
      </c>
      <c r="AA3056" s="19">
        <v>9.0999999999999998E-2</v>
      </c>
      <c r="AB3056" s="19">
        <v>6.0000000000000001E-3</v>
      </c>
      <c r="AC3056" s="19">
        <v>0</v>
      </c>
    </row>
    <row r="3057" spans="1:29" ht="11.65" hidden="1" x14ac:dyDescent="0.35">
      <c r="A3057" s="23">
        <v>3040</v>
      </c>
      <c r="B3057" s="21" t="s">
        <v>1015</v>
      </c>
      <c r="C3057" s="29" t="s">
        <v>1226</v>
      </c>
      <c r="D3057" s="20">
        <v>17</v>
      </c>
      <c r="E3057" s="20">
        <v>957</v>
      </c>
      <c r="F3057" s="21" t="s">
        <v>1065</v>
      </c>
      <c r="G3057" s="20">
        <v>1835</v>
      </c>
      <c r="H3057" s="20">
        <v>1995</v>
      </c>
      <c r="I3057" s="19">
        <v>37.661000000000001</v>
      </c>
      <c r="J3057" s="19">
        <v>35.063000000000002</v>
      </c>
      <c r="K3057" s="19">
        <v>32.890999999999998</v>
      </c>
      <c r="L3057" s="19">
        <v>27.934000000000001</v>
      </c>
      <c r="M3057" s="19">
        <v>25.37</v>
      </c>
      <c r="N3057" s="19">
        <v>23.957999999999998</v>
      </c>
      <c r="O3057" s="19">
        <v>20.678000000000001</v>
      </c>
      <c r="P3057" s="19">
        <v>16.364999999999998</v>
      </c>
      <c r="Q3057" s="19">
        <v>14.986000000000001</v>
      </c>
      <c r="R3057" s="19">
        <v>10.791</v>
      </c>
      <c r="S3057" s="19">
        <v>9.6950000000000003</v>
      </c>
      <c r="T3057" s="19">
        <v>7.7519999999999998</v>
      </c>
      <c r="U3057" s="19">
        <v>6.8239999999999998</v>
      </c>
      <c r="V3057" s="19">
        <v>5.0389999999999997</v>
      </c>
      <c r="W3057" s="19">
        <v>3.6619999999999999</v>
      </c>
      <c r="X3057" s="19">
        <v>2.129</v>
      </c>
      <c r="Y3057" s="19">
        <v>1.464</v>
      </c>
      <c r="Z3057" s="19">
        <v>0.42699999999999999</v>
      </c>
      <c r="AA3057" s="19">
        <v>0.14099999999999999</v>
      </c>
      <c r="AB3057" s="19">
        <v>1.2999999999999999E-2</v>
      </c>
      <c r="AC3057" s="19">
        <v>1E-3</v>
      </c>
    </row>
    <row r="3058" spans="1:29" ht="11.65" hidden="1" x14ac:dyDescent="0.35">
      <c r="A3058" s="23">
        <v>3041</v>
      </c>
      <c r="B3058" s="21" t="s">
        <v>1015</v>
      </c>
      <c r="C3058" s="29" t="s">
        <v>1226</v>
      </c>
      <c r="D3058" s="20">
        <v>17</v>
      </c>
      <c r="E3058" s="20">
        <v>957</v>
      </c>
      <c r="F3058" s="21" t="s">
        <v>1065</v>
      </c>
      <c r="G3058" s="20">
        <v>1835</v>
      </c>
      <c r="H3058" s="20">
        <v>2000</v>
      </c>
      <c r="I3058" s="19">
        <v>36.558999999999997</v>
      </c>
      <c r="J3058" s="19">
        <v>36.567</v>
      </c>
      <c r="K3058" s="19">
        <v>34.296999999999997</v>
      </c>
      <c r="L3058" s="19">
        <v>30.059000000000001</v>
      </c>
      <c r="M3058" s="19">
        <v>23.911999999999999</v>
      </c>
      <c r="N3058" s="19">
        <v>23.677</v>
      </c>
      <c r="O3058" s="19">
        <v>22.870999999999999</v>
      </c>
      <c r="P3058" s="19">
        <v>20.257000000000001</v>
      </c>
      <c r="Q3058" s="19">
        <v>16.277000000000001</v>
      </c>
      <c r="R3058" s="19">
        <v>14.087999999999999</v>
      </c>
      <c r="S3058" s="19">
        <v>10.170999999999999</v>
      </c>
      <c r="T3058" s="19">
        <v>8.6020000000000003</v>
      </c>
      <c r="U3058" s="19">
        <v>7.1749999999999998</v>
      </c>
      <c r="V3058" s="19">
        <v>5.7149999999999999</v>
      </c>
      <c r="W3058" s="19">
        <v>4.1210000000000004</v>
      </c>
      <c r="X3058" s="19">
        <v>2.831</v>
      </c>
      <c r="Y3058" s="19">
        <v>1.46</v>
      </c>
      <c r="Z3058" s="19">
        <v>0.67500000000000004</v>
      </c>
      <c r="AA3058" s="19">
        <v>0.13</v>
      </c>
      <c r="AB3058" s="19">
        <v>2.9000000000000001E-2</v>
      </c>
      <c r="AC3058" s="19">
        <v>1E-3</v>
      </c>
    </row>
    <row r="3059" spans="1:29" ht="11.65" hidden="1" x14ac:dyDescent="0.35">
      <c r="A3059" s="23">
        <v>3042</v>
      </c>
      <c r="B3059" s="21" t="s">
        <v>1015</v>
      </c>
      <c r="C3059" s="29" t="s">
        <v>1226</v>
      </c>
      <c r="D3059" s="20">
        <v>17</v>
      </c>
      <c r="E3059" s="20">
        <v>957</v>
      </c>
      <c r="F3059" s="21" t="s">
        <v>1065</v>
      </c>
      <c r="G3059" s="20">
        <v>1835</v>
      </c>
      <c r="H3059" s="20">
        <v>2005</v>
      </c>
      <c r="I3059" s="19">
        <v>36.078000000000003</v>
      </c>
      <c r="J3059" s="19">
        <v>35.094999999999999</v>
      </c>
      <c r="K3059" s="19">
        <v>34.904000000000003</v>
      </c>
      <c r="L3059" s="19">
        <v>31.486000000000001</v>
      </c>
      <c r="M3059" s="19">
        <v>26.343</v>
      </c>
      <c r="N3059" s="19">
        <v>22.971</v>
      </c>
      <c r="O3059" s="19">
        <v>22.998000000000001</v>
      </c>
      <c r="P3059" s="19">
        <v>22.254000000000001</v>
      </c>
      <c r="Q3059" s="19">
        <v>19.600000000000001</v>
      </c>
      <c r="R3059" s="19">
        <v>15.974</v>
      </c>
      <c r="S3059" s="19">
        <v>13.138999999999999</v>
      </c>
      <c r="T3059" s="19">
        <v>9.5280000000000005</v>
      </c>
      <c r="U3059" s="19">
        <v>7.798</v>
      </c>
      <c r="V3059" s="19">
        <v>6.3789999999999996</v>
      </c>
      <c r="W3059" s="19">
        <v>4.8460000000000001</v>
      </c>
      <c r="X3059" s="19">
        <v>3.3940000000000001</v>
      </c>
      <c r="Y3059" s="19">
        <v>1.9179999999999999</v>
      </c>
      <c r="Z3059" s="19">
        <v>0.68700000000000006</v>
      </c>
      <c r="AA3059" s="19">
        <v>0.23100000000000001</v>
      </c>
      <c r="AB3059" s="19">
        <v>2.5000000000000001E-2</v>
      </c>
      <c r="AC3059" s="19">
        <v>5.0000000000000001E-3</v>
      </c>
    </row>
    <row r="3060" spans="1:29" ht="11.65" hidden="1" x14ac:dyDescent="0.35">
      <c r="A3060" s="23">
        <v>3043</v>
      </c>
      <c r="B3060" s="21" t="s">
        <v>1015</v>
      </c>
      <c r="C3060" s="29" t="s">
        <v>1226</v>
      </c>
      <c r="D3060" s="20">
        <v>17</v>
      </c>
      <c r="E3060" s="20">
        <v>957</v>
      </c>
      <c r="F3060" s="21" t="s">
        <v>1065</v>
      </c>
      <c r="G3060" s="20">
        <v>1835</v>
      </c>
      <c r="H3060" s="20">
        <v>2010</v>
      </c>
      <c r="I3060" s="19">
        <v>34.582000000000001</v>
      </c>
      <c r="J3060" s="19">
        <v>33.792000000000002</v>
      </c>
      <c r="K3060" s="19">
        <v>33.042000000000002</v>
      </c>
      <c r="L3060" s="19">
        <v>31.079000000000001</v>
      </c>
      <c r="M3060" s="19">
        <v>26.533999999999999</v>
      </c>
      <c r="N3060" s="19">
        <v>24.387</v>
      </c>
      <c r="O3060" s="19">
        <v>21.8</v>
      </c>
      <c r="P3060" s="19">
        <v>21.893000000000001</v>
      </c>
      <c r="Q3060" s="19">
        <v>20.838000000000001</v>
      </c>
      <c r="R3060" s="19">
        <v>18.145</v>
      </c>
      <c r="S3060" s="19">
        <v>15.054</v>
      </c>
      <c r="T3060" s="19">
        <v>12.334</v>
      </c>
      <c r="U3060" s="19">
        <v>8.5250000000000004</v>
      </c>
      <c r="V3060" s="19">
        <v>7.0309999999999997</v>
      </c>
      <c r="W3060" s="19">
        <v>5.3019999999999996</v>
      </c>
      <c r="X3060" s="19">
        <v>4.0640000000000001</v>
      </c>
      <c r="Y3060" s="19">
        <v>2.375</v>
      </c>
      <c r="Z3060" s="19">
        <v>0.94099999999999995</v>
      </c>
      <c r="AA3060" s="19">
        <v>0.24299999999999999</v>
      </c>
      <c r="AB3060" s="19">
        <v>5.6000000000000001E-2</v>
      </c>
      <c r="AC3060" s="19">
        <v>5.0000000000000001E-3</v>
      </c>
    </row>
    <row r="3061" spans="1:29" ht="11.65" hidden="1" x14ac:dyDescent="0.35">
      <c r="A3061" s="23">
        <v>3044</v>
      </c>
      <c r="B3061" s="21" t="s">
        <v>1015</v>
      </c>
      <c r="C3061" s="29" t="s">
        <v>1226</v>
      </c>
      <c r="D3061" s="20">
        <v>17</v>
      </c>
      <c r="E3061" s="20">
        <v>957</v>
      </c>
      <c r="F3061" s="21" t="s">
        <v>1065</v>
      </c>
      <c r="G3061" s="20">
        <v>1835</v>
      </c>
      <c r="H3061" s="20">
        <v>2015</v>
      </c>
      <c r="I3061" s="19">
        <v>34.130000000000003</v>
      </c>
      <c r="J3061" s="19">
        <v>34.103999999999999</v>
      </c>
      <c r="K3061" s="19">
        <v>30.972000000000001</v>
      </c>
      <c r="L3061" s="19">
        <v>29.707999999999998</v>
      </c>
      <c r="M3061" s="19">
        <v>25.547000000000001</v>
      </c>
      <c r="N3061" s="19">
        <v>24.465</v>
      </c>
      <c r="O3061" s="19">
        <v>23.372</v>
      </c>
      <c r="P3061" s="19">
        <v>20.91</v>
      </c>
      <c r="Q3061" s="19">
        <v>21.277999999999999</v>
      </c>
      <c r="R3061" s="19">
        <v>19.48</v>
      </c>
      <c r="S3061" s="19">
        <v>17.486999999999998</v>
      </c>
      <c r="T3061" s="19">
        <v>13.741</v>
      </c>
      <c r="U3061" s="19">
        <v>11.372</v>
      </c>
      <c r="V3061" s="19">
        <v>7.2709999999999999</v>
      </c>
      <c r="W3061" s="19">
        <v>6.202</v>
      </c>
      <c r="X3061" s="19">
        <v>4.08</v>
      </c>
      <c r="Y3061" s="19">
        <v>2.6539999999999999</v>
      </c>
      <c r="Z3061" s="19">
        <v>1.1850000000000001</v>
      </c>
      <c r="AA3061" s="19">
        <v>0.34200000000000003</v>
      </c>
      <c r="AB3061" s="19">
        <v>6.0999999999999999E-2</v>
      </c>
      <c r="AC3061" s="19">
        <v>0.01</v>
      </c>
    </row>
    <row r="3062" spans="1:29" ht="11.65" hidden="1" x14ac:dyDescent="0.35">
      <c r="A3062" s="23">
        <v>3045</v>
      </c>
      <c r="B3062" s="21" t="s">
        <v>1015</v>
      </c>
      <c r="C3062" s="29" t="s">
        <v>1226</v>
      </c>
      <c r="D3062" s="20">
        <v>17</v>
      </c>
      <c r="E3062" s="20">
        <v>957</v>
      </c>
      <c r="F3062" s="21" t="s">
        <v>1065</v>
      </c>
      <c r="G3062" s="20">
        <v>1835</v>
      </c>
      <c r="H3062" s="20">
        <v>2020</v>
      </c>
      <c r="I3062" s="19">
        <v>32.918999999999997</v>
      </c>
      <c r="J3062" s="19">
        <v>31.274000000000001</v>
      </c>
      <c r="K3062" s="19">
        <v>32.268999999999998</v>
      </c>
      <c r="L3062" s="19">
        <v>29.363</v>
      </c>
      <c r="M3062" s="19">
        <v>27.05</v>
      </c>
      <c r="N3062" s="19">
        <v>23.873000000000001</v>
      </c>
      <c r="O3062" s="19">
        <v>23.291</v>
      </c>
      <c r="P3062" s="19">
        <v>21.876999999999999</v>
      </c>
      <c r="Q3062" s="19">
        <v>19.786999999999999</v>
      </c>
      <c r="R3062" s="19">
        <v>20.442</v>
      </c>
      <c r="S3062" s="19">
        <v>18.684000000000001</v>
      </c>
      <c r="T3062" s="19">
        <v>16.75</v>
      </c>
      <c r="U3062" s="19">
        <v>12.872</v>
      </c>
      <c r="V3062" s="19">
        <v>10.388</v>
      </c>
      <c r="W3062" s="19">
        <v>6.4829999999999997</v>
      </c>
      <c r="X3062" s="19">
        <v>4.9240000000000004</v>
      </c>
      <c r="Y3062" s="19">
        <v>2.8109999999999999</v>
      </c>
      <c r="Z3062" s="19">
        <v>1.4590000000000001</v>
      </c>
      <c r="AA3062" s="19">
        <v>0.438</v>
      </c>
      <c r="AB3062" s="19">
        <v>8.7999999999999995E-2</v>
      </c>
      <c r="AC3062" s="19">
        <v>1.0999999999999999E-2</v>
      </c>
    </row>
    <row r="3063" spans="1:29" ht="11.65" hidden="1" x14ac:dyDescent="0.35">
      <c r="A3063" s="12">
        <v>3046</v>
      </c>
      <c r="B3063" s="10" t="s">
        <v>1015</v>
      </c>
      <c r="C3063" s="11" t="s">
        <v>1227</v>
      </c>
      <c r="D3063" s="9">
        <v>2</v>
      </c>
      <c r="E3063" s="9">
        <v>258</v>
      </c>
      <c r="F3063" s="10" t="s">
        <v>1066</v>
      </c>
      <c r="G3063" s="9">
        <v>957</v>
      </c>
      <c r="H3063" s="9">
        <v>1950</v>
      </c>
      <c r="I3063" s="8">
        <v>4.4269999999999996</v>
      </c>
      <c r="J3063" s="8">
        <v>4.1520000000000001</v>
      </c>
      <c r="K3063" s="8">
        <v>3.8130000000000002</v>
      </c>
      <c r="L3063" s="8">
        <v>3.3170000000000002</v>
      </c>
      <c r="M3063" s="8">
        <v>2.669</v>
      </c>
      <c r="N3063" s="8">
        <v>2.3809999999999998</v>
      </c>
      <c r="O3063" s="8">
        <v>1.78</v>
      </c>
      <c r="P3063" s="8">
        <v>1.617</v>
      </c>
      <c r="Q3063" s="8">
        <v>1.4330000000000001</v>
      </c>
      <c r="R3063" s="8">
        <v>1.004</v>
      </c>
      <c r="S3063" s="8">
        <v>0.67900000000000005</v>
      </c>
      <c r="T3063" s="8">
        <v>0.55600000000000005</v>
      </c>
      <c r="U3063" s="8">
        <v>0.432</v>
      </c>
      <c r="V3063" s="8">
        <v>0.28699999999999998</v>
      </c>
      <c r="W3063" s="8">
        <v>0.14399999999999999</v>
      </c>
      <c r="X3063" s="8">
        <v>5.7000000000000002E-2</v>
      </c>
      <c r="Y3063" s="8">
        <v>2.3E-2</v>
      </c>
      <c r="Z3063" s="8">
        <v>1.2E-2</v>
      </c>
      <c r="AA3063" s="8">
        <v>4.0000000000000001E-3</v>
      </c>
      <c r="AB3063" s="8">
        <v>0</v>
      </c>
      <c r="AC3063" s="8">
        <v>0</v>
      </c>
    </row>
    <row r="3064" spans="1:29" ht="11.65" hidden="1" x14ac:dyDescent="0.35">
      <c r="A3064" s="12">
        <v>3047</v>
      </c>
      <c r="B3064" s="10" t="s">
        <v>1015</v>
      </c>
      <c r="C3064" s="11" t="s">
        <v>1227</v>
      </c>
      <c r="D3064" s="9">
        <v>2</v>
      </c>
      <c r="E3064" s="9">
        <v>258</v>
      </c>
      <c r="F3064" s="10" t="s">
        <v>1066</v>
      </c>
      <c r="G3064" s="9">
        <v>957</v>
      </c>
      <c r="H3064" s="9">
        <v>1955</v>
      </c>
      <c r="I3064" s="8">
        <v>6.1859999999999999</v>
      </c>
      <c r="J3064" s="8">
        <v>4.2119999999999997</v>
      </c>
      <c r="K3064" s="8">
        <v>4.07</v>
      </c>
      <c r="L3064" s="8">
        <v>3.6269999999999998</v>
      </c>
      <c r="M3064" s="8">
        <v>3.0960000000000001</v>
      </c>
      <c r="N3064" s="8">
        <v>2.4860000000000002</v>
      </c>
      <c r="O3064" s="8">
        <v>2.254</v>
      </c>
      <c r="P3064" s="8">
        <v>1.64</v>
      </c>
      <c r="Q3064" s="8">
        <v>1.5680000000000001</v>
      </c>
      <c r="R3064" s="8">
        <v>1.3520000000000001</v>
      </c>
      <c r="S3064" s="8">
        <v>0.92500000000000004</v>
      </c>
      <c r="T3064" s="8">
        <v>0.60699999999999998</v>
      </c>
      <c r="U3064" s="8">
        <v>0.46300000000000002</v>
      </c>
      <c r="V3064" s="8">
        <v>0.36799999999999999</v>
      </c>
      <c r="W3064" s="8">
        <v>0.19800000000000001</v>
      </c>
      <c r="X3064" s="8">
        <v>8.5999999999999993E-2</v>
      </c>
      <c r="Y3064" s="8">
        <v>2.8000000000000001E-2</v>
      </c>
      <c r="Z3064" s="8">
        <v>8.0000000000000002E-3</v>
      </c>
      <c r="AA3064" s="8">
        <v>3.0000000000000001E-3</v>
      </c>
      <c r="AB3064" s="8">
        <v>0</v>
      </c>
      <c r="AC3064" s="8">
        <v>0</v>
      </c>
    </row>
    <row r="3065" spans="1:29" ht="11.65" hidden="1" x14ac:dyDescent="0.35">
      <c r="A3065" s="12">
        <v>3048</v>
      </c>
      <c r="B3065" s="10" t="s">
        <v>1015</v>
      </c>
      <c r="C3065" s="11" t="s">
        <v>1227</v>
      </c>
      <c r="D3065" s="9">
        <v>2</v>
      </c>
      <c r="E3065" s="9">
        <v>258</v>
      </c>
      <c r="F3065" s="10" t="s">
        <v>1066</v>
      </c>
      <c r="G3065" s="9">
        <v>957</v>
      </c>
      <c r="H3065" s="9">
        <v>1960</v>
      </c>
      <c r="I3065" s="8">
        <v>6.6180000000000003</v>
      </c>
      <c r="J3065" s="8">
        <v>5.9480000000000004</v>
      </c>
      <c r="K3065" s="8">
        <v>4.0629999999999997</v>
      </c>
      <c r="L3065" s="8">
        <v>4.0659999999999998</v>
      </c>
      <c r="M3065" s="8">
        <v>3.2069999999999999</v>
      </c>
      <c r="N3065" s="8">
        <v>2.7759999999999998</v>
      </c>
      <c r="O3065" s="8">
        <v>2.3029999999999999</v>
      </c>
      <c r="P3065" s="8">
        <v>2.2130000000000001</v>
      </c>
      <c r="Q3065" s="8">
        <v>1.4390000000000001</v>
      </c>
      <c r="R3065" s="8">
        <v>1.7110000000000001</v>
      </c>
      <c r="S3065" s="8">
        <v>1.27</v>
      </c>
      <c r="T3065" s="8">
        <v>0.85399999999999998</v>
      </c>
      <c r="U3065" s="8">
        <v>0.54900000000000004</v>
      </c>
      <c r="V3065" s="8">
        <v>0.36399999999999999</v>
      </c>
      <c r="W3065" s="8">
        <v>0.36399999999999999</v>
      </c>
      <c r="X3065" s="8">
        <v>0.127</v>
      </c>
      <c r="Y3065" s="8">
        <v>4.4999999999999998E-2</v>
      </c>
      <c r="Z3065" s="8">
        <v>1.0999999999999999E-2</v>
      </c>
      <c r="AA3065" s="8">
        <v>1E-3</v>
      </c>
      <c r="AB3065" s="8">
        <v>0</v>
      </c>
      <c r="AC3065" s="8">
        <v>0</v>
      </c>
    </row>
    <row r="3066" spans="1:29" ht="11.65" hidden="1" x14ac:dyDescent="0.35">
      <c r="A3066" s="12">
        <v>3049</v>
      </c>
      <c r="B3066" s="10" t="s">
        <v>1015</v>
      </c>
      <c r="C3066" s="11" t="s">
        <v>1227</v>
      </c>
      <c r="D3066" s="9">
        <v>2</v>
      </c>
      <c r="E3066" s="9">
        <v>258</v>
      </c>
      <c r="F3066" s="10" t="s">
        <v>1066</v>
      </c>
      <c r="G3066" s="9">
        <v>957</v>
      </c>
      <c r="H3066" s="9">
        <v>1965</v>
      </c>
      <c r="I3066" s="8">
        <v>7.95</v>
      </c>
      <c r="J3066" s="8">
        <v>7.0069999999999997</v>
      </c>
      <c r="K3066" s="8">
        <v>6.2519999999999998</v>
      </c>
      <c r="L3066" s="8">
        <v>3.8570000000000002</v>
      </c>
      <c r="M3066" s="8">
        <v>3.9940000000000002</v>
      </c>
      <c r="N3066" s="8">
        <v>3.0289999999999999</v>
      </c>
      <c r="O3066" s="8">
        <v>2.8580000000000001</v>
      </c>
      <c r="P3066" s="8">
        <v>2.472</v>
      </c>
      <c r="Q3066" s="8">
        <v>2.2290000000000001</v>
      </c>
      <c r="R3066" s="8">
        <v>1.3340000000000001</v>
      </c>
      <c r="S3066" s="8">
        <v>1.6830000000000001</v>
      </c>
      <c r="T3066" s="8">
        <v>1.111</v>
      </c>
      <c r="U3066" s="8">
        <v>0.72699999999999998</v>
      </c>
      <c r="V3066" s="8">
        <v>0.441</v>
      </c>
      <c r="W3066" s="8">
        <v>0.254</v>
      </c>
      <c r="X3066" s="8">
        <v>0.23799999999999999</v>
      </c>
      <c r="Y3066" s="8">
        <v>5.3999999999999999E-2</v>
      </c>
      <c r="Z3066" s="8">
        <v>1.7000000000000001E-2</v>
      </c>
      <c r="AA3066" s="8">
        <v>3.0000000000000001E-3</v>
      </c>
      <c r="AB3066" s="8">
        <v>0</v>
      </c>
      <c r="AC3066" s="8">
        <v>0</v>
      </c>
    </row>
    <row r="3067" spans="1:29" ht="11.65" hidden="1" x14ac:dyDescent="0.35">
      <c r="A3067" s="12">
        <v>3050</v>
      </c>
      <c r="B3067" s="10" t="s">
        <v>1015</v>
      </c>
      <c r="C3067" s="11" t="s">
        <v>1227</v>
      </c>
      <c r="D3067" s="9">
        <v>2</v>
      </c>
      <c r="E3067" s="9">
        <v>258</v>
      </c>
      <c r="F3067" s="10" t="s">
        <v>1066</v>
      </c>
      <c r="G3067" s="9">
        <v>957</v>
      </c>
      <c r="H3067" s="9">
        <v>1970</v>
      </c>
      <c r="I3067" s="8">
        <v>9.3759999999999994</v>
      </c>
      <c r="J3067" s="8">
        <v>8.3759999999999994</v>
      </c>
      <c r="K3067" s="8">
        <v>7.1689999999999996</v>
      </c>
      <c r="L3067" s="8">
        <v>5.4619999999999997</v>
      </c>
      <c r="M3067" s="8">
        <v>3.9260000000000002</v>
      </c>
      <c r="N3067" s="8">
        <v>3.72</v>
      </c>
      <c r="O3067" s="8">
        <v>3.3980000000000001</v>
      </c>
      <c r="P3067" s="8">
        <v>3.1539999999999999</v>
      </c>
      <c r="Q3067" s="8">
        <v>2.3570000000000002</v>
      </c>
      <c r="R3067" s="8">
        <v>1.946</v>
      </c>
      <c r="S3067" s="8">
        <v>1.4570000000000001</v>
      </c>
      <c r="T3067" s="8">
        <v>1.381</v>
      </c>
      <c r="U3067" s="8">
        <v>0.98</v>
      </c>
      <c r="V3067" s="8">
        <v>0.60699999999999998</v>
      </c>
      <c r="W3067" s="8">
        <v>0.308</v>
      </c>
      <c r="X3067" s="8">
        <v>0.182</v>
      </c>
      <c r="Y3067" s="8">
        <v>0.108</v>
      </c>
      <c r="Z3067" s="8">
        <v>2.3E-2</v>
      </c>
      <c r="AA3067" s="8">
        <v>5.0000000000000001E-3</v>
      </c>
      <c r="AB3067" s="8">
        <v>0</v>
      </c>
      <c r="AC3067" s="8">
        <v>0</v>
      </c>
    </row>
    <row r="3068" spans="1:29" ht="11.65" hidden="1" x14ac:dyDescent="0.35">
      <c r="A3068" s="12">
        <v>3051</v>
      </c>
      <c r="B3068" s="10" t="s">
        <v>1015</v>
      </c>
      <c r="C3068" s="11" t="s">
        <v>1227</v>
      </c>
      <c r="D3068" s="9">
        <v>2</v>
      </c>
      <c r="E3068" s="9">
        <v>258</v>
      </c>
      <c r="F3068" s="10" t="s">
        <v>1066</v>
      </c>
      <c r="G3068" s="9">
        <v>957</v>
      </c>
      <c r="H3068" s="9">
        <v>1975</v>
      </c>
      <c r="I3068" s="8">
        <v>9.51</v>
      </c>
      <c r="J3068" s="8">
        <v>9.5380000000000003</v>
      </c>
      <c r="K3068" s="8">
        <v>8.407</v>
      </c>
      <c r="L3068" s="8">
        <v>7.11</v>
      </c>
      <c r="M3068" s="8">
        <v>5.5880000000000001</v>
      </c>
      <c r="N3068" s="8">
        <v>4.13</v>
      </c>
      <c r="O3068" s="8">
        <v>3.9260000000000002</v>
      </c>
      <c r="P3068" s="8">
        <v>3.4510000000000001</v>
      </c>
      <c r="Q3068" s="8">
        <v>3.0779999999999998</v>
      </c>
      <c r="R3068" s="8">
        <v>2.246</v>
      </c>
      <c r="S3068" s="8">
        <v>1.865</v>
      </c>
      <c r="T3068" s="8">
        <v>1.3340000000000001</v>
      </c>
      <c r="U3068" s="8">
        <v>1.2609999999999999</v>
      </c>
      <c r="V3068" s="8">
        <v>0.83099999999999996</v>
      </c>
      <c r="W3068" s="8">
        <v>0.50700000000000001</v>
      </c>
      <c r="X3068" s="8">
        <v>0.21299999999999999</v>
      </c>
      <c r="Y3068" s="8">
        <v>0.106</v>
      </c>
      <c r="Z3068" s="8">
        <v>4.9000000000000002E-2</v>
      </c>
      <c r="AA3068" s="8">
        <v>6.0000000000000001E-3</v>
      </c>
      <c r="AB3068" s="8">
        <v>0</v>
      </c>
      <c r="AC3068" s="8">
        <v>0</v>
      </c>
    </row>
    <row r="3069" spans="1:29" ht="11.65" hidden="1" x14ac:dyDescent="0.35">
      <c r="A3069" s="12">
        <v>3052</v>
      </c>
      <c r="B3069" s="10" t="s">
        <v>1015</v>
      </c>
      <c r="C3069" s="11" t="s">
        <v>1227</v>
      </c>
      <c r="D3069" s="9">
        <v>2</v>
      </c>
      <c r="E3069" s="9">
        <v>258</v>
      </c>
      <c r="F3069" s="10" t="s">
        <v>1066</v>
      </c>
      <c r="G3069" s="9">
        <v>957</v>
      </c>
      <c r="H3069" s="9">
        <v>1980</v>
      </c>
      <c r="I3069" s="8">
        <v>10.343999999999999</v>
      </c>
      <c r="J3069" s="8">
        <v>9.8209999999999997</v>
      </c>
      <c r="K3069" s="8">
        <v>9.8320000000000007</v>
      </c>
      <c r="L3069" s="8">
        <v>8.51</v>
      </c>
      <c r="M3069" s="8">
        <v>6.98</v>
      </c>
      <c r="N3069" s="8">
        <v>5.82</v>
      </c>
      <c r="O3069" s="8">
        <v>4.3719999999999999</v>
      </c>
      <c r="P3069" s="8">
        <v>4.141</v>
      </c>
      <c r="Q3069" s="8">
        <v>3.4079999999999999</v>
      </c>
      <c r="R3069" s="8">
        <v>2.919</v>
      </c>
      <c r="S3069" s="8">
        <v>2.0990000000000002</v>
      </c>
      <c r="T3069" s="8">
        <v>1.78</v>
      </c>
      <c r="U3069" s="8">
        <v>1.167</v>
      </c>
      <c r="V3069" s="8">
        <v>1.125</v>
      </c>
      <c r="W3069" s="8">
        <v>0.65100000000000002</v>
      </c>
      <c r="X3069" s="8">
        <v>0.40799999999999997</v>
      </c>
      <c r="Y3069" s="8">
        <v>0.126</v>
      </c>
      <c r="Z3069" s="8">
        <v>4.7E-2</v>
      </c>
      <c r="AA3069" s="8">
        <v>1.4E-2</v>
      </c>
      <c r="AB3069" s="8">
        <v>2E-3</v>
      </c>
      <c r="AC3069" s="8">
        <v>0</v>
      </c>
    </row>
    <row r="3070" spans="1:29" ht="11.65" hidden="1" x14ac:dyDescent="0.35">
      <c r="A3070" s="12">
        <v>3053</v>
      </c>
      <c r="B3070" s="10" t="s">
        <v>1015</v>
      </c>
      <c r="C3070" s="11" t="s">
        <v>1227</v>
      </c>
      <c r="D3070" s="9">
        <v>2</v>
      </c>
      <c r="E3070" s="9">
        <v>258</v>
      </c>
      <c r="F3070" s="10" t="s">
        <v>1066</v>
      </c>
      <c r="G3070" s="9">
        <v>957</v>
      </c>
      <c r="H3070" s="9">
        <v>1985</v>
      </c>
      <c r="I3070" s="8">
        <v>11.019</v>
      </c>
      <c r="J3070" s="8">
        <v>10.079000000000001</v>
      </c>
      <c r="K3070" s="8">
        <v>10.478</v>
      </c>
      <c r="L3070" s="8">
        <v>10.147</v>
      </c>
      <c r="M3070" s="8">
        <v>7.8769999999999998</v>
      </c>
      <c r="N3070" s="8">
        <v>7.2750000000000004</v>
      </c>
      <c r="O3070" s="8">
        <v>6.6070000000000002</v>
      </c>
      <c r="P3070" s="8">
        <v>4.2229999999999999</v>
      </c>
      <c r="Q3070" s="8">
        <v>4.3760000000000003</v>
      </c>
      <c r="R3070" s="8">
        <v>3</v>
      </c>
      <c r="S3070" s="8">
        <v>2.8460000000000001</v>
      </c>
      <c r="T3070" s="8">
        <v>1.976</v>
      </c>
      <c r="U3070" s="8">
        <v>1.758</v>
      </c>
      <c r="V3070" s="8">
        <v>0.79600000000000004</v>
      </c>
      <c r="W3070" s="8">
        <v>1.161</v>
      </c>
      <c r="X3070" s="8">
        <v>0.31</v>
      </c>
      <c r="Y3070" s="8">
        <v>0.36499999999999999</v>
      </c>
      <c r="Z3070" s="8">
        <v>5.8999999999999997E-2</v>
      </c>
      <c r="AA3070" s="8">
        <v>1.6E-2</v>
      </c>
      <c r="AB3070" s="8">
        <v>3.0000000000000001E-3</v>
      </c>
      <c r="AC3070" s="8">
        <v>0</v>
      </c>
    </row>
    <row r="3071" spans="1:29" ht="11.65" hidden="1" x14ac:dyDescent="0.35">
      <c r="A3071" s="12">
        <v>3054</v>
      </c>
      <c r="B3071" s="10" t="s">
        <v>1015</v>
      </c>
      <c r="C3071" s="11" t="s">
        <v>1227</v>
      </c>
      <c r="D3071" s="9">
        <v>2</v>
      </c>
      <c r="E3071" s="9">
        <v>258</v>
      </c>
      <c r="F3071" s="10" t="s">
        <v>1066</v>
      </c>
      <c r="G3071" s="9">
        <v>957</v>
      </c>
      <c r="H3071" s="9">
        <v>1990</v>
      </c>
      <c r="I3071" s="8">
        <v>13.212999999999999</v>
      </c>
      <c r="J3071" s="8">
        <v>11.19</v>
      </c>
      <c r="K3071" s="8">
        <v>10.147</v>
      </c>
      <c r="L3071" s="8">
        <v>10.256</v>
      </c>
      <c r="M3071" s="8">
        <v>10.021000000000001</v>
      </c>
      <c r="N3071" s="8">
        <v>8.0749999999999993</v>
      </c>
      <c r="O3071" s="8">
        <v>7.1740000000000004</v>
      </c>
      <c r="P3071" s="8">
        <v>6.36</v>
      </c>
      <c r="Q3071" s="8">
        <v>4.3159999999999998</v>
      </c>
      <c r="R3071" s="8">
        <v>4.2039999999999997</v>
      </c>
      <c r="S3071" s="8">
        <v>3.0049999999999999</v>
      </c>
      <c r="T3071" s="8">
        <v>2.66</v>
      </c>
      <c r="U3071" s="8">
        <v>1.8180000000000001</v>
      </c>
      <c r="V3071" s="8">
        <v>1.512</v>
      </c>
      <c r="W3071" s="8">
        <v>0.75800000000000001</v>
      </c>
      <c r="X3071" s="8">
        <v>0.80500000000000005</v>
      </c>
      <c r="Y3071" s="8">
        <v>0.23300000000000001</v>
      </c>
      <c r="Z3071" s="8">
        <v>0.17799999999999999</v>
      </c>
      <c r="AA3071" s="8">
        <v>2.1000000000000001E-2</v>
      </c>
      <c r="AB3071" s="8">
        <v>4.0000000000000001E-3</v>
      </c>
      <c r="AC3071" s="8">
        <v>0</v>
      </c>
    </row>
    <row r="3072" spans="1:29" ht="11.65" hidden="1" x14ac:dyDescent="0.35">
      <c r="A3072" s="12">
        <v>3055</v>
      </c>
      <c r="B3072" s="10" t="s">
        <v>1015</v>
      </c>
      <c r="C3072" s="11" t="s">
        <v>1227</v>
      </c>
      <c r="D3072" s="9">
        <v>2</v>
      </c>
      <c r="E3072" s="9">
        <v>258</v>
      </c>
      <c r="F3072" s="10" t="s">
        <v>1066</v>
      </c>
      <c r="G3072" s="9">
        <v>957</v>
      </c>
      <c r="H3072" s="9">
        <v>1995</v>
      </c>
      <c r="I3072" s="8">
        <v>12.131</v>
      </c>
      <c r="J3072" s="8">
        <v>12.737</v>
      </c>
      <c r="K3072" s="8">
        <v>11.473000000000001</v>
      </c>
      <c r="L3072" s="8">
        <v>9.8350000000000009</v>
      </c>
      <c r="M3072" s="8">
        <v>9.875</v>
      </c>
      <c r="N3072" s="8">
        <v>9.6829999999999998</v>
      </c>
      <c r="O3072" s="8">
        <v>8.7810000000000006</v>
      </c>
      <c r="P3072" s="8">
        <v>6.968</v>
      </c>
      <c r="Q3072" s="8">
        <v>5.9870000000000001</v>
      </c>
      <c r="R3072" s="8">
        <v>4.2560000000000002</v>
      </c>
      <c r="S3072" s="8">
        <v>3.8069999999999999</v>
      </c>
      <c r="T3072" s="8">
        <v>2.899</v>
      </c>
      <c r="U3072" s="8">
        <v>2.3730000000000002</v>
      </c>
      <c r="V3072" s="8">
        <v>1.5469999999999999</v>
      </c>
      <c r="W3072" s="8">
        <v>1.202</v>
      </c>
      <c r="X3072" s="8">
        <v>0.58599999999999997</v>
      </c>
      <c r="Y3072" s="8">
        <v>0.55500000000000005</v>
      </c>
      <c r="Z3072" s="8">
        <v>0.114</v>
      </c>
      <c r="AA3072" s="8">
        <v>6.3E-2</v>
      </c>
      <c r="AB3072" s="8">
        <v>5.0000000000000001E-3</v>
      </c>
      <c r="AC3072" s="8">
        <v>1E-3</v>
      </c>
    </row>
    <row r="3073" spans="1:29" ht="11.65" hidden="1" x14ac:dyDescent="0.35">
      <c r="A3073" s="12">
        <v>3056</v>
      </c>
      <c r="B3073" s="10" t="s">
        <v>1015</v>
      </c>
      <c r="C3073" s="11" t="s">
        <v>1227</v>
      </c>
      <c r="D3073" s="9">
        <v>2</v>
      </c>
      <c r="E3073" s="9">
        <v>258</v>
      </c>
      <c r="F3073" s="10" t="s">
        <v>1066</v>
      </c>
      <c r="G3073" s="9">
        <v>957</v>
      </c>
      <c r="H3073" s="9">
        <v>2000</v>
      </c>
      <c r="I3073" s="8">
        <v>11.6</v>
      </c>
      <c r="J3073" s="8">
        <v>12.173</v>
      </c>
      <c r="K3073" s="8">
        <v>13.266</v>
      </c>
      <c r="L3073" s="8">
        <v>11.654</v>
      </c>
      <c r="M3073" s="8">
        <v>8.8049999999999997</v>
      </c>
      <c r="N3073" s="8">
        <v>10.278</v>
      </c>
      <c r="O3073" s="8">
        <v>10.29</v>
      </c>
      <c r="P3073" s="8">
        <v>9.5960000000000001</v>
      </c>
      <c r="Q3073" s="8">
        <v>6.9420000000000002</v>
      </c>
      <c r="R3073" s="8">
        <v>6.2489999999999997</v>
      </c>
      <c r="S3073" s="8">
        <v>4.1840000000000002</v>
      </c>
      <c r="T3073" s="8">
        <v>3.7109999999999999</v>
      </c>
      <c r="U3073" s="8">
        <v>2.794</v>
      </c>
      <c r="V3073" s="8">
        <v>2.137</v>
      </c>
      <c r="W3073" s="8">
        <v>1.365</v>
      </c>
      <c r="X3073" s="8">
        <v>1.012</v>
      </c>
      <c r="Y3073" s="8">
        <v>0.45800000000000002</v>
      </c>
      <c r="Z3073" s="8">
        <v>0.28999999999999998</v>
      </c>
      <c r="AA3073" s="8">
        <v>4.2999999999999997E-2</v>
      </c>
      <c r="AB3073" s="8">
        <v>1.6E-2</v>
      </c>
      <c r="AC3073" s="8">
        <v>1E-3</v>
      </c>
    </row>
    <row r="3074" spans="1:29" ht="11.65" hidden="1" x14ac:dyDescent="0.35">
      <c r="A3074" s="12">
        <v>3057</v>
      </c>
      <c r="B3074" s="10" t="s">
        <v>1015</v>
      </c>
      <c r="C3074" s="11" t="s">
        <v>1227</v>
      </c>
      <c r="D3074" s="9">
        <v>2</v>
      </c>
      <c r="E3074" s="9">
        <v>258</v>
      </c>
      <c r="F3074" s="10" t="s">
        <v>1066</v>
      </c>
      <c r="G3074" s="9">
        <v>957</v>
      </c>
      <c r="H3074" s="9">
        <v>2005</v>
      </c>
      <c r="I3074" s="8">
        <v>11.204000000000001</v>
      </c>
      <c r="J3074" s="8">
        <v>11.837</v>
      </c>
      <c r="K3074" s="8">
        <v>12.32</v>
      </c>
      <c r="L3074" s="8">
        <v>12.983000000000001</v>
      </c>
      <c r="M3074" s="8">
        <v>10.96</v>
      </c>
      <c r="N3074" s="8">
        <v>9.8130000000000006</v>
      </c>
      <c r="O3074" s="8">
        <v>10.304</v>
      </c>
      <c r="P3074" s="8">
        <v>10.175000000000001</v>
      </c>
      <c r="Q3074" s="8">
        <v>9.266</v>
      </c>
      <c r="R3074" s="8">
        <v>7.0430000000000001</v>
      </c>
      <c r="S3074" s="8">
        <v>5.9459999999999997</v>
      </c>
      <c r="T3074" s="8">
        <v>4.101</v>
      </c>
      <c r="U3074" s="8">
        <v>3.53</v>
      </c>
      <c r="V3074" s="8">
        <v>2.5419999999999998</v>
      </c>
      <c r="W3074" s="8">
        <v>1.8959999999999999</v>
      </c>
      <c r="X3074" s="8">
        <v>1.137</v>
      </c>
      <c r="Y3074" s="8">
        <v>0.71399999999999997</v>
      </c>
      <c r="Z3074" s="8">
        <v>0.251</v>
      </c>
      <c r="AA3074" s="8">
        <v>0.11700000000000001</v>
      </c>
      <c r="AB3074" s="8">
        <v>1.2E-2</v>
      </c>
      <c r="AC3074" s="8">
        <v>3.0000000000000001E-3</v>
      </c>
    </row>
    <row r="3075" spans="1:29" ht="11.65" hidden="1" x14ac:dyDescent="0.35">
      <c r="A3075" s="12">
        <v>3058</v>
      </c>
      <c r="B3075" s="10" t="s">
        <v>1015</v>
      </c>
      <c r="C3075" s="11" t="s">
        <v>1227</v>
      </c>
      <c r="D3075" s="9">
        <v>2</v>
      </c>
      <c r="E3075" s="9">
        <v>258</v>
      </c>
      <c r="F3075" s="10" t="s">
        <v>1066</v>
      </c>
      <c r="G3075" s="9">
        <v>957</v>
      </c>
      <c r="H3075" s="9">
        <v>2010</v>
      </c>
      <c r="I3075" s="8">
        <v>10.317</v>
      </c>
      <c r="J3075" s="8">
        <v>10.904999999999999</v>
      </c>
      <c r="K3075" s="8">
        <v>11.613</v>
      </c>
      <c r="L3075" s="8">
        <v>11.393000000000001</v>
      </c>
      <c r="M3075" s="8">
        <v>11.821999999999999</v>
      </c>
      <c r="N3075" s="8">
        <v>10.968999999999999</v>
      </c>
      <c r="O3075" s="8">
        <v>9.2639999999999993</v>
      </c>
      <c r="P3075" s="8">
        <v>10.023999999999999</v>
      </c>
      <c r="Q3075" s="8">
        <v>10.061999999999999</v>
      </c>
      <c r="R3075" s="8">
        <v>8.5990000000000002</v>
      </c>
      <c r="S3075" s="8">
        <v>6.7190000000000003</v>
      </c>
      <c r="T3075" s="8">
        <v>5.9</v>
      </c>
      <c r="U3075" s="8">
        <v>3.778</v>
      </c>
      <c r="V3075" s="8">
        <v>3.3069999999999999</v>
      </c>
      <c r="W3075" s="8">
        <v>2.222</v>
      </c>
      <c r="X3075" s="8">
        <v>1.776</v>
      </c>
      <c r="Y3075" s="8">
        <v>0.83199999999999996</v>
      </c>
      <c r="Z3075" s="8">
        <v>0.40899999999999997</v>
      </c>
      <c r="AA3075" s="8">
        <v>0.105</v>
      </c>
      <c r="AB3075" s="8">
        <v>3.1E-2</v>
      </c>
      <c r="AC3075" s="8">
        <v>2E-3</v>
      </c>
    </row>
    <row r="3076" spans="1:29" ht="11.65" hidden="1" x14ac:dyDescent="0.35">
      <c r="A3076" s="12">
        <v>3059</v>
      </c>
      <c r="B3076" s="10" t="s">
        <v>1015</v>
      </c>
      <c r="C3076" s="11" t="s">
        <v>1227</v>
      </c>
      <c r="D3076" s="9">
        <v>2</v>
      </c>
      <c r="E3076" s="9">
        <v>258</v>
      </c>
      <c r="F3076" s="10" t="s">
        <v>1066</v>
      </c>
      <c r="G3076" s="9">
        <v>957</v>
      </c>
      <c r="H3076" s="9">
        <v>2015</v>
      </c>
      <c r="I3076" s="8">
        <v>9.4830000000000005</v>
      </c>
      <c r="J3076" s="8">
        <v>11.307</v>
      </c>
      <c r="K3076" s="8">
        <v>10.339</v>
      </c>
      <c r="L3076" s="8">
        <v>11.16</v>
      </c>
      <c r="M3076" s="8">
        <v>9.8469999999999995</v>
      </c>
      <c r="N3076" s="8">
        <v>11.872</v>
      </c>
      <c r="O3076" s="8">
        <v>10.834</v>
      </c>
      <c r="P3076" s="8">
        <v>9.4480000000000004</v>
      </c>
      <c r="Q3076" s="8">
        <v>10.478999999999999</v>
      </c>
      <c r="R3076" s="8">
        <v>9.1999999999999993</v>
      </c>
      <c r="S3076" s="8">
        <v>8.5220000000000002</v>
      </c>
      <c r="T3076" s="8">
        <v>6.2889999999999997</v>
      </c>
      <c r="U3076" s="8">
        <v>5.5069999999999997</v>
      </c>
      <c r="V3076" s="8">
        <v>3.2250000000000001</v>
      </c>
      <c r="W3076" s="8">
        <v>3.0369999999999999</v>
      </c>
      <c r="X3076" s="8">
        <v>1.821</v>
      </c>
      <c r="Y3076" s="8">
        <v>1.369</v>
      </c>
      <c r="Z3076" s="8">
        <v>0.495</v>
      </c>
      <c r="AA3076" s="8">
        <v>0.18099999999999999</v>
      </c>
      <c r="AB3076" s="8">
        <v>3.1E-2</v>
      </c>
      <c r="AC3076" s="8">
        <v>6.0000000000000001E-3</v>
      </c>
    </row>
    <row r="3077" spans="1:29" ht="11.65" hidden="1" x14ac:dyDescent="0.35">
      <c r="A3077" s="12">
        <v>3060</v>
      </c>
      <c r="B3077" s="10" t="s">
        <v>1015</v>
      </c>
      <c r="C3077" s="11" t="s">
        <v>1227</v>
      </c>
      <c r="D3077" s="9">
        <v>2</v>
      </c>
      <c r="E3077" s="9">
        <v>258</v>
      </c>
      <c r="F3077" s="10" t="s">
        <v>1066</v>
      </c>
      <c r="G3077" s="9">
        <v>957</v>
      </c>
      <c r="H3077" s="9">
        <v>2020</v>
      </c>
      <c r="I3077" s="8">
        <v>9.81</v>
      </c>
      <c r="J3077" s="8">
        <v>9.4079999999999995</v>
      </c>
      <c r="K3077" s="8">
        <v>11.242000000000001</v>
      </c>
      <c r="L3077" s="8">
        <v>10.055999999999999</v>
      </c>
      <c r="M3077" s="8">
        <v>10.651999999999999</v>
      </c>
      <c r="N3077" s="8">
        <v>9.3659999999999997</v>
      </c>
      <c r="O3077" s="8">
        <v>11.510999999999999</v>
      </c>
      <c r="P3077" s="8">
        <v>10.574999999999999</v>
      </c>
      <c r="Q3077" s="8">
        <v>9.2560000000000002</v>
      </c>
      <c r="R3077" s="8">
        <v>10.31</v>
      </c>
      <c r="S3077" s="8">
        <v>9.0190000000000001</v>
      </c>
      <c r="T3077" s="8">
        <v>8.2959999999999994</v>
      </c>
      <c r="U3077" s="8">
        <v>6.0419999999999998</v>
      </c>
      <c r="V3077" s="8">
        <v>5.1539999999999999</v>
      </c>
      <c r="W3077" s="8">
        <v>2.8919999999999999</v>
      </c>
      <c r="X3077" s="8">
        <v>2.5590000000000002</v>
      </c>
      <c r="Y3077" s="8">
        <v>1.3680000000000001</v>
      </c>
      <c r="Z3077" s="8">
        <v>0.83799999999999997</v>
      </c>
      <c r="AA3077" s="8">
        <v>0.22700000000000001</v>
      </c>
      <c r="AB3077" s="8">
        <v>5.6000000000000001E-2</v>
      </c>
      <c r="AC3077" s="8">
        <v>6.0000000000000001E-3</v>
      </c>
    </row>
    <row r="3078" spans="1:29" ht="11.65" hidden="1" x14ac:dyDescent="0.35">
      <c r="A3078" s="12">
        <v>3061</v>
      </c>
      <c r="B3078" s="10" t="s">
        <v>1015</v>
      </c>
      <c r="C3078" s="11" t="s">
        <v>1228</v>
      </c>
      <c r="D3078" s="9"/>
      <c r="E3078" s="9">
        <v>882</v>
      </c>
      <c r="F3078" s="10" t="s">
        <v>1066</v>
      </c>
      <c r="G3078" s="9">
        <v>957</v>
      </c>
      <c r="H3078" s="9">
        <v>1950</v>
      </c>
      <c r="I3078" s="8">
        <v>7.0960000000000001</v>
      </c>
      <c r="J3078" s="8">
        <v>6.0090000000000003</v>
      </c>
      <c r="K3078" s="8">
        <v>4.9640000000000004</v>
      </c>
      <c r="L3078" s="8">
        <v>4.0679999999999996</v>
      </c>
      <c r="M3078" s="8">
        <v>3.879</v>
      </c>
      <c r="N3078" s="8">
        <v>3.4420000000000002</v>
      </c>
      <c r="O3078" s="8">
        <v>2.4969999999999999</v>
      </c>
      <c r="P3078" s="8">
        <v>2.0270000000000001</v>
      </c>
      <c r="Q3078" s="8">
        <v>1.482</v>
      </c>
      <c r="R3078" s="8">
        <v>1.149</v>
      </c>
      <c r="S3078" s="8">
        <v>1.032</v>
      </c>
      <c r="T3078" s="8">
        <v>0.57299999999999995</v>
      </c>
      <c r="U3078" s="8">
        <v>0.70099999999999996</v>
      </c>
      <c r="V3078" s="8">
        <v>0.33900000000000002</v>
      </c>
      <c r="W3078" s="8">
        <v>0.23499999999999999</v>
      </c>
      <c r="X3078" s="8">
        <v>0.13100000000000001</v>
      </c>
      <c r="Y3078" s="8">
        <v>9.0999999999999998E-2</v>
      </c>
      <c r="Z3078" s="8">
        <v>3.4000000000000002E-2</v>
      </c>
      <c r="AA3078" s="8">
        <v>8.9999999999999993E-3</v>
      </c>
      <c r="AB3078" s="8">
        <v>2E-3</v>
      </c>
      <c r="AC3078" s="8">
        <v>0</v>
      </c>
    </row>
    <row r="3079" spans="1:29" ht="11.65" hidden="1" x14ac:dyDescent="0.35">
      <c r="A3079" s="12">
        <v>3062</v>
      </c>
      <c r="B3079" s="10" t="s">
        <v>1015</v>
      </c>
      <c r="C3079" s="11" t="s">
        <v>1228</v>
      </c>
      <c r="D3079" s="9"/>
      <c r="E3079" s="9">
        <v>882</v>
      </c>
      <c r="F3079" s="10" t="s">
        <v>1066</v>
      </c>
      <c r="G3079" s="9">
        <v>957</v>
      </c>
      <c r="H3079" s="9">
        <v>1955</v>
      </c>
      <c r="I3079" s="8">
        <v>9.5310000000000006</v>
      </c>
      <c r="J3079" s="8">
        <v>6.8070000000000004</v>
      </c>
      <c r="K3079" s="8">
        <v>5.8170000000000002</v>
      </c>
      <c r="L3079" s="8">
        <v>4.7140000000000004</v>
      </c>
      <c r="M3079" s="8">
        <v>3.7109999999999999</v>
      </c>
      <c r="N3079" s="8">
        <v>3.5209999999999999</v>
      </c>
      <c r="O3079" s="8">
        <v>2.6259999999999999</v>
      </c>
      <c r="P3079" s="8">
        <v>2.3159999999999998</v>
      </c>
      <c r="Q3079" s="8">
        <v>1.79</v>
      </c>
      <c r="R3079" s="8">
        <v>1.3979999999999999</v>
      </c>
      <c r="S3079" s="8">
        <v>1.056</v>
      </c>
      <c r="T3079" s="8">
        <v>0.98699999999999999</v>
      </c>
      <c r="U3079" s="8">
        <v>0.59899999999999998</v>
      </c>
      <c r="V3079" s="8">
        <v>0.58799999999999997</v>
      </c>
      <c r="W3079" s="8">
        <v>0.28899999999999998</v>
      </c>
      <c r="X3079" s="8">
        <v>0.14499999999999999</v>
      </c>
      <c r="Y3079" s="8">
        <v>6.4000000000000001E-2</v>
      </c>
      <c r="Z3079" s="8">
        <v>3.3000000000000002E-2</v>
      </c>
      <c r="AA3079" s="8">
        <v>8.9999999999999993E-3</v>
      </c>
      <c r="AB3079" s="8">
        <v>0</v>
      </c>
      <c r="AC3079" s="8">
        <v>0</v>
      </c>
    </row>
    <row r="3080" spans="1:29" ht="11.65" hidden="1" x14ac:dyDescent="0.35">
      <c r="A3080" s="12">
        <v>3063</v>
      </c>
      <c r="B3080" s="10" t="s">
        <v>1015</v>
      </c>
      <c r="C3080" s="11" t="s">
        <v>1228</v>
      </c>
      <c r="D3080" s="9"/>
      <c r="E3080" s="9">
        <v>882</v>
      </c>
      <c r="F3080" s="10" t="s">
        <v>1066</v>
      </c>
      <c r="G3080" s="9">
        <v>957</v>
      </c>
      <c r="H3080" s="9">
        <v>1960</v>
      </c>
      <c r="I3080" s="8">
        <v>10.472</v>
      </c>
      <c r="J3080" s="8">
        <v>9.1829999999999998</v>
      </c>
      <c r="K3080" s="8">
        <v>6.6790000000000003</v>
      </c>
      <c r="L3080" s="8">
        <v>5.4619999999999997</v>
      </c>
      <c r="M3080" s="8">
        <v>4.3849999999999998</v>
      </c>
      <c r="N3080" s="8">
        <v>3.8119999999999998</v>
      </c>
      <c r="O3080" s="8">
        <v>2.96</v>
      </c>
      <c r="P3080" s="8">
        <v>2.5219999999999998</v>
      </c>
      <c r="Q3080" s="8">
        <v>2.0110000000000001</v>
      </c>
      <c r="R3080" s="8">
        <v>1.7829999999999999</v>
      </c>
      <c r="S3080" s="8">
        <v>1.1879999999999999</v>
      </c>
      <c r="T3080" s="8">
        <v>0.89400000000000002</v>
      </c>
      <c r="U3080" s="8">
        <v>1.028</v>
      </c>
      <c r="V3080" s="8">
        <v>0.42199999999999999</v>
      </c>
      <c r="W3080" s="8">
        <v>0.46200000000000002</v>
      </c>
      <c r="X3080" s="8">
        <v>0.124</v>
      </c>
      <c r="Y3080" s="8">
        <v>7.4999999999999997E-2</v>
      </c>
      <c r="Z3080" s="8">
        <v>2.4E-2</v>
      </c>
      <c r="AA3080" s="8">
        <v>8.0000000000000002E-3</v>
      </c>
      <c r="AB3080" s="8">
        <v>0</v>
      </c>
      <c r="AC3080" s="8">
        <v>0</v>
      </c>
    </row>
    <row r="3081" spans="1:29" ht="11.65" hidden="1" x14ac:dyDescent="0.35">
      <c r="A3081" s="12">
        <v>3064</v>
      </c>
      <c r="B3081" s="10" t="s">
        <v>1015</v>
      </c>
      <c r="C3081" s="11" t="s">
        <v>1228</v>
      </c>
      <c r="D3081" s="9"/>
      <c r="E3081" s="9">
        <v>882</v>
      </c>
      <c r="F3081" s="10" t="s">
        <v>1066</v>
      </c>
      <c r="G3081" s="9">
        <v>957</v>
      </c>
      <c r="H3081" s="9">
        <v>1965</v>
      </c>
      <c r="I3081" s="8">
        <v>12.534000000000001</v>
      </c>
      <c r="J3081" s="8">
        <v>10.539</v>
      </c>
      <c r="K3081" s="8">
        <v>8.766</v>
      </c>
      <c r="L3081" s="8">
        <v>6.0819999999999999</v>
      </c>
      <c r="M3081" s="8">
        <v>4.8179999999999996</v>
      </c>
      <c r="N3081" s="8">
        <v>4.1050000000000004</v>
      </c>
      <c r="O3081" s="8">
        <v>3.6339999999999999</v>
      </c>
      <c r="P3081" s="8">
        <v>2.93</v>
      </c>
      <c r="Q3081" s="8">
        <v>2.202</v>
      </c>
      <c r="R3081" s="8">
        <v>1.919</v>
      </c>
      <c r="S3081" s="8">
        <v>1.579</v>
      </c>
      <c r="T3081" s="8">
        <v>1.095</v>
      </c>
      <c r="U3081" s="8">
        <v>0.85599999999999998</v>
      </c>
      <c r="V3081" s="8">
        <v>0.80200000000000005</v>
      </c>
      <c r="W3081" s="8">
        <v>0.38300000000000001</v>
      </c>
      <c r="X3081" s="8">
        <v>0.28599999999999998</v>
      </c>
      <c r="Y3081" s="8">
        <v>6.7000000000000004E-2</v>
      </c>
      <c r="Z3081" s="8">
        <v>0.03</v>
      </c>
      <c r="AA3081" s="8">
        <v>5.0000000000000001E-3</v>
      </c>
      <c r="AB3081" s="8">
        <v>0</v>
      </c>
      <c r="AC3081" s="8">
        <v>0</v>
      </c>
    </row>
    <row r="3082" spans="1:29" ht="11.65" hidden="1" x14ac:dyDescent="0.35">
      <c r="A3082" s="12">
        <v>3065</v>
      </c>
      <c r="B3082" s="10" t="s">
        <v>1015</v>
      </c>
      <c r="C3082" s="11" t="s">
        <v>1228</v>
      </c>
      <c r="D3082" s="9"/>
      <c r="E3082" s="9">
        <v>882</v>
      </c>
      <c r="F3082" s="10" t="s">
        <v>1066</v>
      </c>
      <c r="G3082" s="9">
        <v>957</v>
      </c>
      <c r="H3082" s="9">
        <v>1970</v>
      </c>
      <c r="I3082" s="8">
        <v>12.987</v>
      </c>
      <c r="J3082" s="8">
        <v>12.377000000000001</v>
      </c>
      <c r="K3082" s="8">
        <v>9.8849999999999998</v>
      </c>
      <c r="L3082" s="8">
        <v>8.0850000000000009</v>
      </c>
      <c r="M3082" s="8">
        <v>4.6509999999999998</v>
      </c>
      <c r="N3082" s="8">
        <v>4.3760000000000003</v>
      </c>
      <c r="O3082" s="8">
        <v>3.4910000000000001</v>
      </c>
      <c r="P3082" s="8">
        <v>3.4319999999999999</v>
      </c>
      <c r="Q3082" s="8">
        <v>2.5720000000000001</v>
      </c>
      <c r="R3082" s="8">
        <v>2.169</v>
      </c>
      <c r="S3082" s="8">
        <v>1.944</v>
      </c>
      <c r="T3082" s="8">
        <v>1.395</v>
      </c>
      <c r="U3082" s="8">
        <v>1.0860000000000001</v>
      </c>
      <c r="V3082" s="8">
        <v>0.68799999999999994</v>
      </c>
      <c r="W3082" s="8">
        <v>0.66100000000000003</v>
      </c>
      <c r="X3082" s="8">
        <v>0.216</v>
      </c>
      <c r="Y3082" s="8">
        <v>0.158</v>
      </c>
      <c r="Z3082" s="8">
        <v>2.7E-2</v>
      </c>
      <c r="AA3082" s="8">
        <v>8.0000000000000002E-3</v>
      </c>
      <c r="AB3082" s="8">
        <v>0</v>
      </c>
      <c r="AC3082" s="8">
        <v>0</v>
      </c>
    </row>
    <row r="3083" spans="1:29" ht="11.65" hidden="1" x14ac:dyDescent="0.35">
      <c r="A3083" s="12">
        <v>3066</v>
      </c>
      <c r="B3083" s="10" t="s">
        <v>1015</v>
      </c>
      <c r="C3083" s="11" t="s">
        <v>1228</v>
      </c>
      <c r="D3083" s="9"/>
      <c r="E3083" s="9">
        <v>882</v>
      </c>
      <c r="F3083" s="10" t="s">
        <v>1066</v>
      </c>
      <c r="G3083" s="9">
        <v>957</v>
      </c>
      <c r="H3083" s="9">
        <v>1975</v>
      </c>
      <c r="I3083" s="8">
        <v>12.682</v>
      </c>
      <c r="J3083" s="8">
        <v>12.266999999999999</v>
      </c>
      <c r="K3083" s="8">
        <v>11.573</v>
      </c>
      <c r="L3083" s="8">
        <v>8.77</v>
      </c>
      <c r="M3083" s="8">
        <v>6.1619999999999999</v>
      </c>
      <c r="N3083" s="8">
        <v>3.7639999999999998</v>
      </c>
      <c r="O3083" s="8">
        <v>3.7949999999999999</v>
      </c>
      <c r="P3083" s="8">
        <v>3.032</v>
      </c>
      <c r="Q3083" s="8">
        <v>3.0790000000000002</v>
      </c>
      <c r="R3083" s="8">
        <v>2.403</v>
      </c>
      <c r="S3083" s="8">
        <v>2.2029999999999998</v>
      </c>
      <c r="T3083" s="8">
        <v>1.5629999999999999</v>
      </c>
      <c r="U3083" s="8">
        <v>1.27</v>
      </c>
      <c r="V3083" s="8">
        <v>0.84599999999999997</v>
      </c>
      <c r="W3083" s="8">
        <v>0.54600000000000004</v>
      </c>
      <c r="X3083" s="8">
        <v>0.40200000000000002</v>
      </c>
      <c r="Y3083" s="8">
        <v>0.122</v>
      </c>
      <c r="Z3083" s="8">
        <v>6.6000000000000003E-2</v>
      </c>
      <c r="AA3083" s="8">
        <v>7.0000000000000001E-3</v>
      </c>
      <c r="AB3083" s="8">
        <v>0</v>
      </c>
      <c r="AC3083" s="8">
        <v>0</v>
      </c>
    </row>
    <row r="3084" spans="1:29" ht="11.65" hidden="1" x14ac:dyDescent="0.35">
      <c r="A3084" s="12">
        <v>3067</v>
      </c>
      <c r="B3084" s="10" t="s">
        <v>1015</v>
      </c>
      <c r="C3084" s="11" t="s">
        <v>1228</v>
      </c>
      <c r="D3084" s="9"/>
      <c r="E3084" s="9">
        <v>882</v>
      </c>
      <c r="F3084" s="10" t="s">
        <v>1066</v>
      </c>
      <c r="G3084" s="9">
        <v>957</v>
      </c>
      <c r="H3084" s="9">
        <v>1980</v>
      </c>
      <c r="I3084" s="8">
        <v>11.461</v>
      </c>
      <c r="J3084" s="8">
        <v>11.414</v>
      </c>
      <c r="K3084" s="8">
        <v>11.159000000000001</v>
      </c>
      <c r="L3084" s="8">
        <v>10.182</v>
      </c>
      <c r="M3084" s="8">
        <v>6.657</v>
      </c>
      <c r="N3084" s="8">
        <v>4.8360000000000003</v>
      </c>
      <c r="O3084" s="8">
        <v>3.4220000000000002</v>
      </c>
      <c r="P3084" s="8">
        <v>3.464</v>
      </c>
      <c r="Q3084" s="8">
        <v>2.7010000000000001</v>
      </c>
      <c r="R3084" s="8">
        <v>2.8780000000000001</v>
      </c>
      <c r="S3084" s="8">
        <v>2.23</v>
      </c>
      <c r="T3084" s="8">
        <v>1.9159999999999999</v>
      </c>
      <c r="U3084" s="8">
        <v>1.3660000000000001</v>
      </c>
      <c r="V3084" s="8">
        <v>1.0069999999999999</v>
      </c>
      <c r="W3084" s="8">
        <v>0.64500000000000002</v>
      </c>
      <c r="X3084" s="8">
        <v>0.34399999999999997</v>
      </c>
      <c r="Y3084" s="8">
        <v>0.23400000000000001</v>
      </c>
      <c r="Z3084" s="8">
        <v>5.1999999999999998E-2</v>
      </c>
      <c r="AA3084" s="8">
        <v>1.7999999999999999E-2</v>
      </c>
      <c r="AB3084" s="8">
        <v>0</v>
      </c>
      <c r="AC3084" s="8">
        <v>0</v>
      </c>
    </row>
    <row r="3085" spans="1:29" ht="11.65" hidden="1" x14ac:dyDescent="0.35">
      <c r="A3085" s="12">
        <v>3068</v>
      </c>
      <c r="B3085" s="10" t="s">
        <v>1015</v>
      </c>
      <c r="C3085" s="11" t="s">
        <v>1228</v>
      </c>
      <c r="D3085" s="9"/>
      <c r="E3085" s="9">
        <v>882</v>
      </c>
      <c r="F3085" s="10" t="s">
        <v>1066</v>
      </c>
      <c r="G3085" s="9">
        <v>957</v>
      </c>
      <c r="H3085" s="9">
        <v>1985</v>
      </c>
      <c r="I3085" s="8">
        <v>10.991</v>
      </c>
      <c r="J3085" s="8">
        <v>10.56</v>
      </c>
      <c r="K3085" s="8">
        <v>10.532999999999999</v>
      </c>
      <c r="L3085" s="8">
        <v>10.055999999999999</v>
      </c>
      <c r="M3085" s="8">
        <v>7.6369999999999996</v>
      </c>
      <c r="N3085" s="8">
        <v>4.915</v>
      </c>
      <c r="O3085" s="8">
        <v>4.5419999999999998</v>
      </c>
      <c r="P3085" s="8">
        <v>3.1619999999999999</v>
      </c>
      <c r="Q3085" s="8">
        <v>3.2730000000000001</v>
      </c>
      <c r="R3085" s="8">
        <v>2.476</v>
      </c>
      <c r="S3085" s="8">
        <v>2.65</v>
      </c>
      <c r="T3085" s="8">
        <v>1.9790000000000001</v>
      </c>
      <c r="U3085" s="8">
        <v>1.6419999999999999</v>
      </c>
      <c r="V3085" s="8">
        <v>0.98099999999999998</v>
      </c>
      <c r="W3085" s="8">
        <v>0.751</v>
      </c>
      <c r="X3085" s="8">
        <v>0.38700000000000001</v>
      </c>
      <c r="Y3085" s="8">
        <v>0.20699999999999999</v>
      </c>
      <c r="Z3085" s="8">
        <v>0.10199999999999999</v>
      </c>
      <c r="AA3085" s="8">
        <v>1.4999999999999999E-2</v>
      </c>
      <c r="AB3085" s="8">
        <v>3.0000000000000001E-3</v>
      </c>
      <c r="AC3085" s="8">
        <v>0</v>
      </c>
    </row>
    <row r="3086" spans="1:29" ht="11.65" hidden="1" x14ac:dyDescent="0.35">
      <c r="A3086" s="12">
        <v>3069</v>
      </c>
      <c r="B3086" s="10" t="s">
        <v>1015</v>
      </c>
      <c r="C3086" s="11" t="s">
        <v>1228</v>
      </c>
      <c r="D3086" s="9"/>
      <c r="E3086" s="9">
        <v>882</v>
      </c>
      <c r="F3086" s="10" t="s">
        <v>1066</v>
      </c>
      <c r="G3086" s="9">
        <v>957</v>
      </c>
      <c r="H3086" s="9">
        <v>1990</v>
      </c>
      <c r="I3086" s="8">
        <v>10.884</v>
      </c>
      <c r="J3086" s="8">
        <v>10.006</v>
      </c>
      <c r="K3086" s="8">
        <v>9.7850000000000001</v>
      </c>
      <c r="L3086" s="8">
        <v>9.7710000000000008</v>
      </c>
      <c r="M3086" s="8">
        <v>7.3440000000000003</v>
      </c>
      <c r="N3086" s="8">
        <v>6.1040000000000001</v>
      </c>
      <c r="O3086" s="8">
        <v>4.2270000000000003</v>
      </c>
      <c r="P3086" s="8">
        <v>4.1180000000000003</v>
      </c>
      <c r="Q3086" s="8">
        <v>2.9729999999999999</v>
      </c>
      <c r="R3086" s="8">
        <v>3.0289999999999999</v>
      </c>
      <c r="S3086" s="8">
        <v>2.2549999999999999</v>
      </c>
      <c r="T3086" s="8">
        <v>2.327</v>
      </c>
      <c r="U3086" s="8">
        <v>1.75</v>
      </c>
      <c r="V3086" s="8">
        <v>1.4219999999999999</v>
      </c>
      <c r="W3086" s="8">
        <v>0.82199999999999995</v>
      </c>
      <c r="X3086" s="8">
        <v>0.58499999999999996</v>
      </c>
      <c r="Y3086" s="8">
        <v>0.29199999999999998</v>
      </c>
      <c r="Z3086" s="8">
        <v>9.0999999999999998E-2</v>
      </c>
      <c r="AA3086" s="8">
        <v>2.9000000000000001E-2</v>
      </c>
      <c r="AB3086" s="8">
        <v>2E-3</v>
      </c>
      <c r="AC3086" s="8">
        <v>0</v>
      </c>
    </row>
    <row r="3087" spans="1:29" ht="11.65" hidden="1" x14ac:dyDescent="0.35">
      <c r="A3087" s="12">
        <v>3070</v>
      </c>
      <c r="B3087" s="10" t="s">
        <v>1015</v>
      </c>
      <c r="C3087" s="11" t="s">
        <v>1228</v>
      </c>
      <c r="D3087" s="9"/>
      <c r="E3087" s="9">
        <v>882</v>
      </c>
      <c r="F3087" s="10" t="s">
        <v>1066</v>
      </c>
      <c r="G3087" s="9">
        <v>957</v>
      </c>
      <c r="H3087" s="9">
        <v>1995</v>
      </c>
      <c r="I3087" s="8">
        <v>12.03</v>
      </c>
      <c r="J3087" s="8">
        <v>10.663</v>
      </c>
      <c r="K3087" s="8">
        <v>10.039999999999999</v>
      </c>
      <c r="L3087" s="8">
        <v>8.6189999999999998</v>
      </c>
      <c r="M3087" s="8">
        <v>7.2690000000000001</v>
      </c>
      <c r="N3087" s="8">
        <v>6.3140000000000001</v>
      </c>
      <c r="O3087" s="8">
        <v>5.4930000000000003</v>
      </c>
      <c r="P3087" s="8">
        <v>3.7949999999999999</v>
      </c>
      <c r="Q3087" s="8">
        <v>3.9009999999999998</v>
      </c>
      <c r="R3087" s="8">
        <v>2.84</v>
      </c>
      <c r="S3087" s="8">
        <v>2.8879999999999999</v>
      </c>
      <c r="T3087" s="8">
        <v>1.9059999999999999</v>
      </c>
      <c r="U3087" s="8">
        <v>2.0830000000000002</v>
      </c>
      <c r="V3087" s="8">
        <v>1.5249999999999999</v>
      </c>
      <c r="W3087" s="8">
        <v>1.0589999999999999</v>
      </c>
      <c r="X3087" s="8">
        <v>0.64600000000000002</v>
      </c>
      <c r="Y3087" s="8">
        <v>0.38100000000000001</v>
      </c>
      <c r="Z3087" s="8">
        <v>0.126</v>
      </c>
      <c r="AA3087" s="8">
        <v>2.5000000000000001E-2</v>
      </c>
      <c r="AB3087" s="8">
        <v>4.0000000000000001E-3</v>
      </c>
      <c r="AC3087" s="8">
        <v>0</v>
      </c>
    </row>
    <row r="3088" spans="1:29" ht="11.65" hidden="1" x14ac:dyDescent="0.35">
      <c r="A3088" s="12">
        <v>3071</v>
      </c>
      <c r="B3088" s="10" t="s">
        <v>1015</v>
      </c>
      <c r="C3088" s="11" t="s">
        <v>1228</v>
      </c>
      <c r="D3088" s="9"/>
      <c r="E3088" s="9">
        <v>882</v>
      </c>
      <c r="F3088" s="10" t="s">
        <v>1066</v>
      </c>
      <c r="G3088" s="9">
        <v>957</v>
      </c>
      <c r="H3088" s="9">
        <v>2000</v>
      </c>
      <c r="I3088" s="8">
        <v>12.204000000000001</v>
      </c>
      <c r="J3088" s="8">
        <v>11.689</v>
      </c>
      <c r="K3088" s="8">
        <v>10.026999999999999</v>
      </c>
      <c r="L3088" s="8">
        <v>8.2279999999999998</v>
      </c>
      <c r="M3088" s="8">
        <v>6.7510000000000003</v>
      </c>
      <c r="N3088" s="8">
        <v>6.2329999999999997</v>
      </c>
      <c r="O3088" s="8">
        <v>5.6079999999999997</v>
      </c>
      <c r="P3088" s="8">
        <v>4.8680000000000003</v>
      </c>
      <c r="Q3088" s="8">
        <v>4.085</v>
      </c>
      <c r="R3088" s="8">
        <v>3.218</v>
      </c>
      <c r="S3088" s="8">
        <v>2.532</v>
      </c>
      <c r="T3088" s="8">
        <v>2.1720000000000002</v>
      </c>
      <c r="U3088" s="8">
        <v>1.8129999999999999</v>
      </c>
      <c r="V3088" s="8">
        <v>1.518</v>
      </c>
      <c r="W3088" s="8">
        <v>1.1930000000000001</v>
      </c>
      <c r="X3088" s="8">
        <v>0.82099999999999995</v>
      </c>
      <c r="Y3088" s="8">
        <v>0.435</v>
      </c>
      <c r="Z3088" s="8">
        <v>0.14599999999999999</v>
      </c>
      <c r="AA3088" s="8">
        <v>2.8000000000000001E-2</v>
      </c>
      <c r="AB3088" s="8">
        <v>3.0000000000000001E-3</v>
      </c>
      <c r="AC3088" s="8">
        <v>0</v>
      </c>
    </row>
    <row r="3089" spans="1:29" ht="11.65" hidden="1" x14ac:dyDescent="0.35">
      <c r="A3089" s="12">
        <v>3072</v>
      </c>
      <c r="B3089" s="10" t="s">
        <v>1015</v>
      </c>
      <c r="C3089" s="11" t="s">
        <v>1228</v>
      </c>
      <c r="D3089" s="9"/>
      <c r="E3089" s="9">
        <v>882</v>
      </c>
      <c r="F3089" s="10" t="s">
        <v>1066</v>
      </c>
      <c r="G3089" s="9">
        <v>957</v>
      </c>
      <c r="H3089" s="9">
        <v>2005</v>
      </c>
      <c r="I3089" s="8">
        <v>12.127000000000001</v>
      </c>
      <c r="J3089" s="8">
        <v>11.288</v>
      </c>
      <c r="K3089" s="8">
        <v>10.675000000000001</v>
      </c>
      <c r="L3089" s="8">
        <v>8.41</v>
      </c>
      <c r="M3089" s="8">
        <v>6.6260000000000003</v>
      </c>
      <c r="N3089" s="8">
        <v>6.0670000000000002</v>
      </c>
      <c r="O3089" s="8">
        <v>5.7210000000000001</v>
      </c>
      <c r="P3089" s="8">
        <v>5.24</v>
      </c>
      <c r="Q3089" s="8">
        <v>4.5960000000000001</v>
      </c>
      <c r="R3089" s="8">
        <v>3.8010000000000002</v>
      </c>
      <c r="S3089" s="8">
        <v>3.1230000000000002</v>
      </c>
      <c r="T3089" s="8">
        <v>2.3069999999999999</v>
      </c>
      <c r="U3089" s="8">
        <v>1.915</v>
      </c>
      <c r="V3089" s="8">
        <v>1.659</v>
      </c>
      <c r="W3089" s="8">
        <v>1.236</v>
      </c>
      <c r="X3089" s="8">
        <v>1.036</v>
      </c>
      <c r="Y3089" s="8">
        <v>0.54600000000000004</v>
      </c>
      <c r="Z3089" s="8">
        <v>0.18099999999999999</v>
      </c>
      <c r="AA3089" s="8">
        <v>3.5999999999999997E-2</v>
      </c>
      <c r="AB3089" s="8">
        <v>3.0000000000000001E-3</v>
      </c>
      <c r="AC3089" s="8">
        <v>0</v>
      </c>
    </row>
    <row r="3090" spans="1:29" ht="11.65" hidden="1" x14ac:dyDescent="0.35">
      <c r="A3090" s="12">
        <v>3073</v>
      </c>
      <c r="B3090" s="10" t="s">
        <v>1015</v>
      </c>
      <c r="C3090" s="11" t="s">
        <v>1228</v>
      </c>
      <c r="D3090" s="9"/>
      <c r="E3090" s="9">
        <v>882</v>
      </c>
      <c r="F3090" s="10" t="s">
        <v>1066</v>
      </c>
      <c r="G3090" s="9">
        <v>957</v>
      </c>
      <c r="H3090" s="9">
        <v>2010</v>
      </c>
      <c r="I3090" s="8">
        <v>12.441000000000001</v>
      </c>
      <c r="J3090" s="8">
        <v>11.337999999999999</v>
      </c>
      <c r="K3090" s="8">
        <v>10.516999999999999</v>
      </c>
      <c r="L3090" s="8">
        <v>9.2289999999999992</v>
      </c>
      <c r="M3090" s="8">
        <v>7.0209999999999999</v>
      </c>
      <c r="N3090" s="8">
        <v>6.1360000000000001</v>
      </c>
      <c r="O3090" s="8">
        <v>5.6219999999999999</v>
      </c>
      <c r="P3090" s="8">
        <v>5.1749999999999998</v>
      </c>
      <c r="Q3090" s="8">
        <v>4.8070000000000004</v>
      </c>
      <c r="R3090" s="8">
        <v>4.24</v>
      </c>
      <c r="S3090" s="8">
        <v>3.5470000000000002</v>
      </c>
      <c r="T3090" s="8">
        <v>2.778</v>
      </c>
      <c r="U3090" s="8">
        <v>1.974</v>
      </c>
      <c r="V3090" s="8">
        <v>1.756</v>
      </c>
      <c r="W3090" s="8">
        <v>1.35</v>
      </c>
      <c r="X3090" s="8">
        <v>1.008</v>
      </c>
      <c r="Y3090" s="8">
        <v>0.74199999999999999</v>
      </c>
      <c r="Z3090" s="8">
        <v>0.23300000000000001</v>
      </c>
      <c r="AA3090" s="8">
        <v>4.5999999999999999E-2</v>
      </c>
      <c r="AB3090" s="8">
        <v>5.0000000000000001E-3</v>
      </c>
      <c r="AC3090" s="8">
        <v>0</v>
      </c>
    </row>
    <row r="3091" spans="1:29" ht="11.65" hidden="1" x14ac:dyDescent="0.35">
      <c r="A3091" s="12">
        <v>3074</v>
      </c>
      <c r="B3091" s="10" t="s">
        <v>1015</v>
      </c>
      <c r="C3091" s="11" t="s">
        <v>1228</v>
      </c>
      <c r="D3091" s="9"/>
      <c r="E3091" s="9">
        <v>882</v>
      </c>
      <c r="F3091" s="10" t="s">
        <v>1066</v>
      </c>
      <c r="G3091" s="9">
        <v>957</v>
      </c>
      <c r="H3091" s="9">
        <v>2015</v>
      </c>
      <c r="I3091" s="8">
        <v>13.92</v>
      </c>
      <c r="J3091" s="8">
        <v>12.32</v>
      </c>
      <c r="K3091" s="8">
        <v>9.9939999999999998</v>
      </c>
      <c r="L3091" s="8">
        <v>8.8580000000000005</v>
      </c>
      <c r="M3091" s="8">
        <v>7.3</v>
      </c>
      <c r="N3091" s="8">
        <v>5.859</v>
      </c>
      <c r="O3091" s="8">
        <v>5.8070000000000004</v>
      </c>
      <c r="P3091" s="8">
        <v>5.391</v>
      </c>
      <c r="Q3091" s="8">
        <v>4.9409999999999998</v>
      </c>
      <c r="R3091" s="8">
        <v>4.59</v>
      </c>
      <c r="S3091" s="8">
        <v>3.9710000000000001</v>
      </c>
      <c r="T3091" s="8">
        <v>3.2370000000000001</v>
      </c>
      <c r="U3091" s="8">
        <v>2.399</v>
      </c>
      <c r="V3091" s="8">
        <v>1.5840000000000001</v>
      </c>
      <c r="W3091" s="8">
        <v>1.486</v>
      </c>
      <c r="X3091" s="8">
        <v>0.93</v>
      </c>
      <c r="Y3091" s="8">
        <v>0.503</v>
      </c>
      <c r="Z3091" s="8">
        <v>0.318</v>
      </c>
      <c r="AA3091" s="8">
        <v>5.8999999999999997E-2</v>
      </c>
      <c r="AB3091" s="8">
        <v>6.0000000000000001E-3</v>
      </c>
      <c r="AC3091" s="8">
        <v>0</v>
      </c>
    </row>
    <row r="3092" spans="1:29" ht="11.65" hidden="1" x14ac:dyDescent="0.35">
      <c r="A3092" s="12">
        <v>3075</v>
      </c>
      <c r="B3092" s="10" t="s">
        <v>1015</v>
      </c>
      <c r="C3092" s="11" t="s">
        <v>1228</v>
      </c>
      <c r="D3092" s="9"/>
      <c r="E3092" s="9">
        <v>882</v>
      </c>
      <c r="F3092" s="10" t="s">
        <v>1066</v>
      </c>
      <c r="G3092" s="9">
        <v>957</v>
      </c>
      <c r="H3092" s="9">
        <v>2020</v>
      </c>
      <c r="I3092" s="8">
        <v>12.965</v>
      </c>
      <c r="J3092" s="8">
        <v>11.608000000000001</v>
      </c>
      <c r="K3092" s="8">
        <v>10.913</v>
      </c>
      <c r="L3092" s="8">
        <v>9.2989999999999995</v>
      </c>
      <c r="M3092" s="8">
        <v>7.798</v>
      </c>
      <c r="N3092" s="8">
        <v>6.851</v>
      </c>
      <c r="O3092" s="8">
        <v>5.4569999999999999</v>
      </c>
      <c r="P3092" s="8">
        <v>4.9870000000000001</v>
      </c>
      <c r="Q3092" s="8">
        <v>4.7990000000000004</v>
      </c>
      <c r="R3092" s="8">
        <v>4.5570000000000004</v>
      </c>
      <c r="S3092" s="8">
        <v>4.234</v>
      </c>
      <c r="T3092" s="8">
        <v>3.7170000000000001</v>
      </c>
      <c r="U3092" s="8">
        <v>2.899</v>
      </c>
      <c r="V3092" s="8">
        <v>2.1190000000000002</v>
      </c>
      <c r="W3092" s="8">
        <v>1.52</v>
      </c>
      <c r="X3092" s="8">
        <v>1.0960000000000001</v>
      </c>
      <c r="Y3092" s="8">
        <v>0.57599999999999996</v>
      </c>
      <c r="Z3092" s="8">
        <v>0.22</v>
      </c>
      <c r="AA3092" s="8">
        <v>8.4000000000000005E-2</v>
      </c>
      <c r="AB3092" s="8">
        <v>8.0000000000000002E-3</v>
      </c>
      <c r="AC3092" s="8">
        <v>0</v>
      </c>
    </row>
    <row r="3093" spans="1:29" ht="11.65" hidden="1" x14ac:dyDescent="0.35">
      <c r="A3093" s="12">
        <v>3076</v>
      </c>
      <c r="B3093" s="10" t="s">
        <v>1015</v>
      </c>
      <c r="C3093" s="11" t="s">
        <v>1229</v>
      </c>
      <c r="D3093" s="9"/>
      <c r="E3093" s="9">
        <v>776</v>
      </c>
      <c r="F3093" s="10" t="s">
        <v>1066</v>
      </c>
      <c r="G3093" s="9">
        <v>957</v>
      </c>
      <c r="H3093" s="9">
        <v>1950</v>
      </c>
      <c r="I3093" s="8">
        <v>4.5650000000000004</v>
      </c>
      <c r="J3093" s="8">
        <v>3.6269999999999998</v>
      </c>
      <c r="K3093" s="8">
        <v>3</v>
      </c>
      <c r="L3093" s="8">
        <v>2.4809999999999999</v>
      </c>
      <c r="M3093" s="8">
        <v>2.0390000000000001</v>
      </c>
      <c r="N3093" s="8">
        <v>1.6639999999999999</v>
      </c>
      <c r="O3093" s="8">
        <v>1.3560000000000001</v>
      </c>
      <c r="P3093" s="8">
        <v>1.097</v>
      </c>
      <c r="Q3093" s="8">
        <v>0.88400000000000001</v>
      </c>
      <c r="R3093" s="8">
        <v>0.70899999999999996</v>
      </c>
      <c r="S3093" s="8">
        <v>0.55900000000000005</v>
      </c>
      <c r="T3093" s="8">
        <v>0.433</v>
      </c>
      <c r="U3093" s="8">
        <v>0.32100000000000001</v>
      </c>
      <c r="V3093" s="8">
        <v>0.22600000000000001</v>
      </c>
      <c r="W3093" s="8">
        <v>0.14499999999999999</v>
      </c>
      <c r="X3093" s="8">
        <v>7.9000000000000001E-2</v>
      </c>
      <c r="Y3093" s="8">
        <v>2.9000000000000001E-2</v>
      </c>
      <c r="Z3093" s="8">
        <v>1.2E-2</v>
      </c>
      <c r="AA3093" s="8">
        <v>4.0000000000000001E-3</v>
      </c>
      <c r="AB3093" s="8">
        <v>0</v>
      </c>
      <c r="AC3093" s="8">
        <v>0</v>
      </c>
    </row>
    <row r="3094" spans="1:29" ht="11.65" hidden="1" x14ac:dyDescent="0.35">
      <c r="A3094" s="12">
        <v>3077</v>
      </c>
      <c r="B3094" s="10" t="s">
        <v>1015</v>
      </c>
      <c r="C3094" s="11" t="s">
        <v>1229</v>
      </c>
      <c r="D3094" s="9"/>
      <c r="E3094" s="9">
        <v>776</v>
      </c>
      <c r="F3094" s="10" t="s">
        <v>1066</v>
      </c>
      <c r="G3094" s="9">
        <v>957</v>
      </c>
      <c r="H3094" s="9">
        <v>1955</v>
      </c>
      <c r="I3094" s="8">
        <v>5.0549999999999997</v>
      </c>
      <c r="J3094" s="8">
        <v>3.8069999999999999</v>
      </c>
      <c r="K3094" s="8">
        <v>3.258</v>
      </c>
      <c r="L3094" s="8">
        <v>2.8490000000000002</v>
      </c>
      <c r="M3094" s="8">
        <v>2.4289999999999998</v>
      </c>
      <c r="N3094" s="8">
        <v>2.161</v>
      </c>
      <c r="O3094" s="8">
        <v>1.8140000000000001</v>
      </c>
      <c r="P3094" s="8">
        <v>1.353</v>
      </c>
      <c r="Q3094" s="8">
        <v>1.0640000000000001</v>
      </c>
      <c r="R3094" s="8">
        <v>0.86</v>
      </c>
      <c r="S3094" s="8">
        <v>0.72899999999999998</v>
      </c>
      <c r="T3094" s="8">
        <v>0.60499999999999998</v>
      </c>
      <c r="U3094" s="8">
        <v>0.48099999999999998</v>
      </c>
      <c r="V3094" s="8">
        <v>0.36</v>
      </c>
      <c r="W3094" s="8">
        <v>0.216</v>
      </c>
      <c r="X3094" s="8">
        <v>0.153</v>
      </c>
      <c r="Y3094" s="8">
        <v>6.7000000000000004E-2</v>
      </c>
      <c r="Z3094" s="8">
        <v>1.0999999999999999E-2</v>
      </c>
      <c r="AA3094" s="8">
        <v>3.0000000000000001E-3</v>
      </c>
      <c r="AB3094" s="8">
        <v>0</v>
      </c>
      <c r="AC3094" s="8">
        <v>0</v>
      </c>
    </row>
    <row r="3095" spans="1:29" ht="11.65" hidden="1" x14ac:dyDescent="0.35">
      <c r="A3095" s="12">
        <v>3078</v>
      </c>
      <c r="B3095" s="10" t="s">
        <v>1015</v>
      </c>
      <c r="C3095" s="11" t="s">
        <v>1229</v>
      </c>
      <c r="D3095" s="9"/>
      <c r="E3095" s="9">
        <v>776</v>
      </c>
      <c r="F3095" s="10" t="s">
        <v>1066</v>
      </c>
      <c r="G3095" s="9">
        <v>957</v>
      </c>
      <c r="H3095" s="9">
        <v>1960</v>
      </c>
      <c r="I3095" s="8">
        <v>5.6529999999999996</v>
      </c>
      <c r="J3095" s="8">
        <v>4.2220000000000004</v>
      </c>
      <c r="K3095" s="8">
        <v>3.5750000000000002</v>
      </c>
      <c r="L3095" s="8">
        <v>2.9689999999999999</v>
      </c>
      <c r="M3095" s="8">
        <v>2.5459999999999998</v>
      </c>
      <c r="N3095" s="8">
        <v>2.1259999999999999</v>
      </c>
      <c r="O3095" s="8">
        <v>1.931</v>
      </c>
      <c r="P3095" s="8">
        <v>1.667</v>
      </c>
      <c r="Q3095" s="8">
        <v>1.2529999999999999</v>
      </c>
      <c r="R3095" s="8">
        <v>1.0189999999999999</v>
      </c>
      <c r="S3095" s="8">
        <v>0.86499999999999999</v>
      </c>
      <c r="T3095" s="8">
        <v>0.71799999999999997</v>
      </c>
      <c r="U3095" s="8">
        <v>0.59299999999999997</v>
      </c>
      <c r="V3095" s="8">
        <v>0.46200000000000002</v>
      </c>
      <c r="W3095" s="8">
        <v>0.34300000000000003</v>
      </c>
      <c r="X3095" s="8">
        <v>0.214</v>
      </c>
      <c r="Y3095" s="8">
        <v>0.129</v>
      </c>
      <c r="Z3095" s="8">
        <v>2.5999999999999999E-2</v>
      </c>
      <c r="AA3095" s="8">
        <v>3.0000000000000001E-3</v>
      </c>
      <c r="AB3095" s="8">
        <v>0</v>
      </c>
      <c r="AC3095" s="8">
        <v>0</v>
      </c>
    </row>
    <row r="3096" spans="1:29" ht="11.65" hidden="1" x14ac:dyDescent="0.35">
      <c r="A3096" s="12">
        <v>3079</v>
      </c>
      <c r="B3096" s="10" t="s">
        <v>1015</v>
      </c>
      <c r="C3096" s="11" t="s">
        <v>1229</v>
      </c>
      <c r="D3096" s="9"/>
      <c r="E3096" s="9">
        <v>776</v>
      </c>
      <c r="F3096" s="10" t="s">
        <v>1066</v>
      </c>
      <c r="G3096" s="9">
        <v>957</v>
      </c>
      <c r="H3096" s="9">
        <v>1965</v>
      </c>
      <c r="I3096" s="8">
        <v>7.1159999999999997</v>
      </c>
      <c r="J3096" s="8">
        <v>5.3929999999999998</v>
      </c>
      <c r="K3096" s="8">
        <v>4.085</v>
      </c>
      <c r="L3096" s="8">
        <v>3.5489999999999999</v>
      </c>
      <c r="M3096" s="8">
        <v>2.9470000000000001</v>
      </c>
      <c r="N3096" s="8">
        <v>2.6190000000000002</v>
      </c>
      <c r="O3096" s="8">
        <v>2.1909999999999998</v>
      </c>
      <c r="P3096" s="8">
        <v>2.0259999999999998</v>
      </c>
      <c r="Q3096" s="8">
        <v>1.702</v>
      </c>
      <c r="R3096" s="8">
        <v>1.206</v>
      </c>
      <c r="S3096" s="8">
        <v>0.94199999999999995</v>
      </c>
      <c r="T3096" s="8">
        <v>0.755</v>
      </c>
      <c r="U3096" s="8">
        <v>0.64200000000000002</v>
      </c>
      <c r="V3096" s="8">
        <v>0.51300000000000001</v>
      </c>
      <c r="W3096" s="8">
        <v>0.34399999999999997</v>
      </c>
      <c r="X3096" s="8">
        <v>0.214</v>
      </c>
      <c r="Y3096" s="8">
        <v>0.11600000000000001</v>
      </c>
      <c r="Z3096" s="8">
        <v>5.0999999999999997E-2</v>
      </c>
      <c r="AA3096" s="8">
        <v>7.0000000000000001E-3</v>
      </c>
      <c r="AB3096" s="8">
        <v>0</v>
      </c>
      <c r="AC3096" s="8">
        <v>0</v>
      </c>
    </row>
    <row r="3097" spans="1:29" ht="11.65" hidden="1" x14ac:dyDescent="0.35">
      <c r="A3097" s="12">
        <v>3080</v>
      </c>
      <c r="B3097" s="10" t="s">
        <v>1015</v>
      </c>
      <c r="C3097" s="11" t="s">
        <v>1229</v>
      </c>
      <c r="D3097" s="9"/>
      <c r="E3097" s="9">
        <v>776</v>
      </c>
      <c r="F3097" s="10" t="s">
        <v>1066</v>
      </c>
      <c r="G3097" s="9">
        <v>957</v>
      </c>
      <c r="H3097" s="9">
        <v>1970</v>
      </c>
      <c r="I3097" s="8">
        <v>7.306</v>
      </c>
      <c r="J3097" s="8">
        <v>6.8739999999999997</v>
      </c>
      <c r="K3097" s="8">
        <v>5.44</v>
      </c>
      <c r="L3097" s="8">
        <v>4.0780000000000003</v>
      </c>
      <c r="M3097" s="8">
        <v>3.2469999999999999</v>
      </c>
      <c r="N3097" s="8">
        <v>2.6509999999999998</v>
      </c>
      <c r="O3097" s="8">
        <v>2.3959999999999999</v>
      </c>
      <c r="P3097" s="8">
        <v>2.0489999999999999</v>
      </c>
      <c r="Q3097" s="8">
        <v>1.821</v>
      </c>
      <c r="R3097" s="8">
        <v>1.514</v>
      </c>
      <c r="S3097" s="8">
        <v>1.1200000000000001</v>
      </c>
      <c r="T3097" s="8">
        <v>0.79200000000000004</v>
      </c>
      <c r="U3097" s="8">
        <v>0.60199999999999998</v>
      </c>
      <c r="V3097" s="8">
        <v>0.504</v>
      </c>
      <c r="W3097" s="8">
        <v>0.376</v>
      </c>
      <c r="X3097" s="8">
        <v>0.20899999999999999</v>
      </c>
      <c r="Y3097" s="8">
        <v>0.11</v>
      </c>
      <c r="Z3097" s="8">
        <v>4.5999999999999999E-2</v>
      </c>
      <c r="AA3097" s="8">
        <v>1.2999999999999999E-2</v>
      </c>
      <c r="AB3097" s="8">
        <v>0</v>
      </c>
      <c r="AC3097" s="8">
        <v>0</v>
      </c>
    </row>
    <row r="3098" spans="1:29" ht="11.65" hidden="1" x14ac:dyDescent="0.35">
      <c r="A3098" s="12">
        <v>3081</v>
      </c>
      <c r="B3098" s="10" t="s">
        <v>1015</v>
      </c>
      <c r="C3098" s="11" t="s">
        <v>1229</v>
      </c>
      <c r="D3098" s="9"/>
      <c r="E3098" s="9">
        <v>776</v>
      </c>
      <c r="F3098" s="10" t="s">
        <v>1066</v>
      </c>
      <c r="G3098" s="9">
        <v>957</v>
      </c>
      <c r="H3098" s="9">
        <v>1975</v>
      </c>
      <c r="I3098" s="8">
        <v>6.2149999999999999</v>
      </c>
      <c r="J3098" s="8">
        <v>6.7240000000000002</v>
      </c>
      <c r="K3098" s="8">
        <v>6.4790000000000001</v>
      </c>
      <c r="L3098" s="8">
        <v>4.8230000000000004</v>
      </c>
      <c r="M3098" s="8">
        <v>3.419</v>
      </c>
      <c r="N3098" s="8">
        <v>2.702</v>
      </c>
      <c r="O3098" s="8">
        <v>2.3759999999999999</v>
      </c>
      <c r="P3098" s="8">
        <v>2.254</v>
      </c>
      <c r="Q3098" s="8">
        <v>1.94</v>
      </c>
      <c r="R3098" s="8">
        <v>1.7110000000000001</v>
      </c>
      <c r="S3098" s="8">
        <v>1.3839999999999999</v>
      </c>
      <c r="T3098" s="8">
        <v>1.008</v>
      </c>
      <c r="U3098" s="8">
        <v>0.68200000000000005</v>
      </c>
      <c r="V3098" s="8">
        <v>0.501</v>
      </c>
      <c r="W3098" s="8">
        <v>0.40799999999999997</v>
      </c>
      <c r="X3098" s="8">
        <v>0.27400000000000002</v>
      </c>
      <c r="Y3098" s="8">
        <v>0.13100000000000001</v>
      </c>
      <c r="Z3098" s="8">
        <v>4.3999999999999997E-2</v>
      </c>
      <c r="AA3098" s="8">
        <v>1.0999999999999999E-2</v>
      </c>
      <c r="AB3098" s="8">
        <v>2E-3</v>
      </c>
      <c r="AC3098" s="8">
        <v>0</v>
      </c>
    </row>
    <row r="3099" spans="1:29" ht="11.65" hidden="1" x14ac:dyDescent="0.35">
      <c r="A3099" s="12">
        <v>3082</v>
      </c>
      <c r="B3099" s="10" t="s">
        <v>1015</v>
      </c>
      <c r="C3099" s="11" t="s">
        <v>1229</v>
      </c>
      <c r="D3099" s="9"/>
      <c r="E3099" s="9">
        <v>776</v>
      </c>
      <c r="F3099" s="10" t="s">
        <v>1066</v>
      </c>
      <c r="G3099" s="9">
        <v>957</v>
      </c>
      <c r="H3099" s="9">
        <v>1980</v>
      </c>
      <c r="I3099" s="8">
        <v>6.431</v>
      </c>
      <c r="J3099" s="8">
        <v>5.7210000000000001</v>
      </c>
      <c r="K3099" s="8">
        <v>6.6319999999999997</v>
      </c>
      <c r="L3099" s="8">
        <v>5.577</v>
      </c>
      <c r="M3099" s="8">
        <v>3.96</v>
      </c>
      <c r="N3099" s="8">
        <v>2.8639999999999999</v>
      </c>
      <c r="O3099" s="8">
        <v>2.5790000000000002</v>
      </c>
      <c r="P3099" s="8">
        <v>2.403</v>
      </c>
      <c r="Q3099" s="8">
        <v>2.1419999999999999</v>
      </c>
      <c r="R3099" s="8">
        <v>1.883</v>
      </c>
      <c r="S3099" s="8">
        <v>1.665</v>
      </c>
      <c r="T3099" s="8">
        <v>1.3089999999999999</v>
      </c>
      <c r="U3099" s="8">
        <v>0.91700000000000004</v>
      </c>
      <c r="V3099" s="8">
        <v>0.58699999999999997</v>
      </c>
      <c r="W3099" s="8">
        <v>0.39800000000000002</v>
      </c>
      <c r="X3099" s="8">
        <v>0.30199999999999999</v>
      </c>
      <c r="Y3099" s="8">
        <v>0.17699999999999999</v>
      </c>
      <c r="Z3099" s="8">
        <v>5.1999999999999998E-2</v>
      </c>
      <c r="AA3099" s="8">
        <v>0.01</v>
      </c>
      <c r="AB3099" s="8">
        <v>0</v>
      </c>
      <c r="AC3099" s="8">
        <v>0</v>
      </c>
    </row>
    <row r="3100" spans="1:29" ht="11.65" hidden="1" x14ac:dyDescent="0.35">
      <c r="A3100" s="12">
        <v>3083</v>
      </c>
      <c r="B3100" s="10" t="s">
        <v>1015</v>
      </c>
      <c r="C3100" s="11" t="s">
        <v>1229</v>
      </c>
      <c r="D3100" s="9"/>
      <c r="E3100" s="9">
        <v>776</v>
      </c>
      <c r="F3100" s="10" t="s">
        <v>1066</v>
      </c>
      <c r="G3100" s="9">
        <v>957</v>
      </c>
      <c r="H3100" s="9">
        <v>1985</v>
      </c>
      <c r="I3100" s="8">
        <v>6.9530000000000003</v>
      </c>
      <c r="J3100" s="8">
        <v>5.81</v>
      </c>
      <c r="K3100" s="8">
        <v>5.7809999999999997</v>
      </c>
      <c r="L3100" s="8">
        <v>6.1289999999999996</v>
      </c>
      <c r="M3100" s="8">
        <v>4.5119999999999996</v>
      </c>
      <c r="N3100" s="8">
        <v>2.9</v>
      </c>
      <c r="O3100" s="8">
        <v>2.552</v>
      </c>
      <c r="P3100" s="8">
        <v>2.3809999999999998</v>
      </c>
      <c r="Q3100" s="8">
        <v>1.8939999999999999</v>
      </c>
      <c r="R3100" s="8">
        <v>1.7470000000000001</v>
      </c>
      <c r="S3100" s="8">
        <v>1.5389999999999999</v>
      </c>
      <c r="T3100" s="8">
        <v>1.3720000000000001</v>
      </c>
      <c r="U3100" s="8">
        <v>1.028</v>
      </c>
      <c r="V3100" s="8">
        <v>0.74099999999999999</v>
      </c>
      <c r="W3100" s="8">
        <v>0.49299999999999999</v>
      </c>
      <c r="X3100" s="8">
        <v>0.31</v>
      </c>
      <c r="Y3100" s="8">
        <v>0.20399999999999999</v>
      </c>
      <c r="Z3100" s="8">
        <v>6.8000000000000005E-2</v>
      </c>
      <c r="AA3100" s="8">
        <v>1.2999999999999999E-2</v>
      </c>
      <c r="AB3100" s="8">
        <v>0</v>
      </c>
      <c r="AC3100" s="8">
        <v>0</v>
      </c>
    </row>
    <row r="3101" spans="1:29" ht="11.65" hidden="1" x14ac:dyDescent="0.35">
      <c r="A3101" s="12">
        <v>3084</v>
      </c>
      <c r="B3101" s="10" t="s">
        <v>1015</v>
      </c>
      <c r="C3101" s="11" t="s">
        <v>1229</v>
      </c>
      <c r="D3101" s="9"/>
      <c r="E3101" s="9">
        <v>776</v>
      </c>
      <c r="F3101" s="10" t="s">
        <v>1066</v>
      </c>
      <c r="G3101" s="9">
        <v>957</v>
      </c>
      <c r="H3101" s="9">
        <v>1990</v>
      </c>
      <c r="I3101" s="8">
        <v>6.4610000000000003</v>
      </c>
      <c r="J3101" s="8">
        <v>6.2709999999999999</v>
      </c>
      <c r="K3101" s="8">
        <v>5.3220000000000001</v>
      </c>
      <c r="L3101" s="8">
        <v>5.19</v>
      </c>
      <c r="M3101" s="8">
        <v>5.3979999999999997</v>
      </c>
      <c r="N3101" s="8">
        <v>3.4430000000000001</v>
      </c>
      <c r="O3101" s="8">
        <v>2.464</v>
      </c>
      <c r="P3101" s="8">
        <v>2.375</v>
      </c>
      <c r="Q3101" s="8">
        <v>1.9419999999999999</v>
      </c>
      <c r="R3101" s="8">
        <v>1.5680000000000001</v>
      </c>
      <c r="S3101" s="8">
        <v>1.4850000000000001</v>
      </c>
      <c r="T3101" s="8">
        <v>1.419</v>
      </c>
      <c r="U3101" s="8">
        <v>1.2749999999999999</v>
      </c>
      <c r="V3101" s="8">
        <v>0.91100000000000003</v>
      </c>
      <c r="W3101" s="8">
        <v>0.627</v>
      </c>
      <c r="X3101" s="8">
        <v>0.38900000000000001</v>
      </c>
      <c r="Y3101" s="8">
        <v>0.21299999999999999</v>
      </c>
      <c r="Z3101" s="8">
        <v>7.2999999999999995E-2</v>
      </c>
      <c r="AA3101" s="8">
        <v>1.4E-2</v>
      </c>
      <c r="AB3101" s="8">
        <v>0</v>
      </c>
      <c r="AC3101" s="8">
        <v>0</v>
      </c>
    </row>
    <row r="3102" spans="1:29" ht="11.65" hidden="1" x14ac:dyDescent="0.35">
      <c r="A3102" s="12">
        <v>3085</v>
      </c>
      <c r="B3102" s="10" t="s">
        <v>1015</v>
      </c>
      <c r="C3102" s="11" t="s">
        <v>1229</v>
      </c>
      <c r="D3102" s="9"/>
      <c r="E3102" s="9">
        <v>776</v>
      </c>
      <c r="F3102" s="10" t="s">
        <v>1066</v>
      </c>
      <c r="G3102" s="9">
        <v>957</v>
      </c>
      <c r="H3102" s="9">
        <v>1995</v>
      </c>
      <c r="I3102" s="8">
        <v>6.5720000000000001</v>
      </c>
      <c r="J3102" s="8">
        <v>5.6660000000000004</v>
      </c>
      <c r="K3102" s="8">
        <v>5.8959999999999999</v>
      </c>
      <c r="L3102" s="8">
        <v>4.99</v>
      </c>
      <c r="M3102" s="8">
        <v>4.1219999999999999</v>
      </c>
      <c r="N3102" s="8">
        <v>3.89</v>
      </c>
      <c r="O3102" s="8">
        <v>2.66</v>
      </c>
      <c r="P3102" s="8">
        <v>2.411</v>
      </c>
      <c r="Q3102" s="8">
        <v>2.2559999999999998</v>
      </c>
      <c r="R3102" s="8">
        <v>1.7430000000000001</v>
      </c>
      <c r="S3102" s="8">
        <v>1.538</v>
      </c>
      <c r="T3102" s="8">
        <v>1.486</v>
      </c>
      <c r="U3102" s="8">
        <v>1.3440000000000001</v>
      </c>
      <c r="V3102" s="8">
        <v>1.121</v>
      </c>
      <c r="W3102" s="8">
        <v>0.75800000000000001</v>
      </c>
      <c r="X3102" s="8">
        <v>0.48399999999999999</v>
      </c>
      <c r="Y3102" s="8">
        <v>0.26100000000000001</v>
      </c>
      <c r="Z3102" s="8">
        <v>7.4999999999999997E-2</v>
      </c>
      <c r="AA3102" s="8">
        <v>1.4999999999999999E-2</v>
      </c>
      <c r="AB3102" s="8">
        <v>0</v>
      </c>
      <c r="AC3102" s="8">
        <v>0</v>
      </c>
    </row>
    <row r="3103" spans="1:29" ht="11.65" hidden="1" x14ac:dyDescent="0.35">
      <c r="A3103" s="12">
        <v>3086</v>
      </c>
      <c r="B3103" s="10" t="s">
        <v>1015</v>
      </c>
      <c r="C3103" s="11" t="s">
        <v>1229</v>
      </c>
      <c r="D3103" s="9"/>
      <c r="E3103" s="9">
        <v>776</v>
      </c>
      <c r="F3103" s="10" t="s">
        <v>1066</v>
      </c>
      <c r="G3103" s="9">
        <v>957</v>
      </c>
      <c r="H3103" s="9">
        <v>2000</v>
      </c>
      <c r="I3103" s="8">
        <v>6.4480000000000004</v>
      </c>
      <c r="J3103" s="8">
        <v>6.319</v>
      </c>
      <c r="K3103" s="8">
        <v>5.29</v>
      </c>
      <c r="L3103" s="8">
        <v>5.4089999999999998</v>
      </c>
      <c r="M3103" s="8">
        <v>4.3710000000000004</v>
      </c>
      <c r="N3103" s="8">
        <v>3.3260000000000001</v>
      </c>
      <c r="O3103" s="8">
        <v>3.1349999999999998</v>
      </c>
      <c r="P3103" s="8">
        <v>2.2349999999999999</v>
      </c>
      <c r="Q3103" s="8">
        <v>2.2170000000000001</v>
      </c>
      <c r="R3103" s="8">
        <v>2.044</v>
      </c>
      <c r="S3103" s="8">
        <v>1.538</v>
      </c>
      <c r="T3103" s="8">
        <v>1.3979999999999999</v>
      </c>
      <c r="U3103" s="8">
        <v>1.3</v>
      </c>
      <c r="V3103" s="8">
        <v>1.1399999999999999</v>
      </c>
      <c r="W3103" s="8">
        <v>0.92100000000000004</v>
      </c>
      <c r="X3103" s="8">
        <v>0.57799999999999996</v>
      </c>
      <c r="Y3103" s="8">
        <v>0.32400000000000001</v>
      </c>
      <c r="Z3103" s="8">
        <v>9.2999999999999999E-2</v>
      </c>
      <c r="AA3103" s="8">
        <v>1.4E-2</v>
      </c>
      <c r="AB3103" s="8">
        <v>0</v>
      </c>
      <c r="AC3103" s="8">
        <v>0</v>
      </c>
    </row>
    <row r="3104" spans="1:29" ht="11.65" hidden="1" x14ac:dyDescent="0.35">
      <c r="A3104" s="12">
        <v>3087</v>
      </c>
      <c r="B3104" s="10" t="s">
        <v>1015</v>
      </c>
      <c r="C3104" s="11" t="s">
        <v>1229</v>
      </c>
      <c r="D3104" s="9"/>
      <c r="E3104" s="9">
        <v>776</v>
      </c>
      <c r="F3104" s="10" t="s">
        <v>1066</v>
      </c>
      <c r="G3104" s="9">
        <v>957</v>
      </c>
      <c r="H3104" s="9">
        <v>2005</v>
      </c>
      <c r="I3104" s="8">
        <v>6.6449999999999996</v>
      </c>
      <c r="J3104" s="8">
        <v>6.117</v>
      </c>
      <c r="K3104" s="8">
        <v>5.8109999999999999</v>
      </c>
      <c r="L3104" s="8">
        <v>4.7789999999999999</v>
      </c>
      <c r="M3104" s="8">
        <v>4.7</v>
      </c>
      <c r="N3104" s="8">
        <v>3.5779999999999998</v>
      </c>
      <c r="O3104" s="8">
        <v>3.2839999999999998</v>
      </c>
      <c r="P3104" s="8">
        <v>3.1720000000000002</v>
      </c>
      <c r="Q3104" s="8">
        <v>2.36</v>
      </c>
      <c r="R3104" s="8">
        <v>2.2719999999999998</v>
      </c>
      <c r="S3104" s="8">
        <v>1.655</v>
      </c>
      <c r="T3104" s="8">
        <v>1.3420000000000001</v>
      </c>
      <c r="U3104" s="8">
        <v>1.1910000000000001</v>
      </c>
      <c r="V3104" s="8">
        <v>1.093</v>
      </c>
      <c r="W3104" s="8">
        <v>0.96099999999999997</v>
      </c>
      <c r="X3104" s="8">
        <v>0.74399999999999999</v>
      </c>
      <c r="Y3104" s="8">
        <v>0.41199999999999998</v>
      </c>
      <c r="Z3104" s="8">
        <v>0.121</v>
      </c>
      <c r="AA3104" s="8">
        <v>1.9E-2</v>
      </c>
      <c r="AB3104" s="8">
        <v>0</v>
      </c>
      <c r="AC3104" s="8">
        <v>0</v>
      </c>
    </row>
    <row r="3105" spans="1:29" ht="11.65" hidden="1" x14ac:dyDescent="0.35">
      <c r="A3105" s="12">
        <v>3088</v>
      </c>
      <c r="B3105" s="10" t="s">
        <v>1015</v>
      </c>
      <c r="C3105" s="11" t="s">
        <v>1229</v>
      </c>
      <c r="D3105" s="9"/>
      <c r="E3105" s="9">
        <v>776</v>
      </c>
      <c r="F3105" s="10" t="s">
        <v>1066</v>
      </c>
      <c r="G3105" s="9">
        <v>957</v>
      </c>
      <c r="H3105" s="9">
        <v>2010</v>
      </c>
      <c r="I3105" s="8">
        <v>6.6559999999999997</v>
      </c>
      <c r="J3105" s="8">
        <v>6.2160000000000002</v>
      </c>
      <c r="K3105" s="8">
        <v>5.7889999999999997</v>
      </c>
      <c r="L3105" s="8">
        <v>5.399</v>
      </c>
      <c r="M3105" s="8">
        <v>4.1109999999999998</v>
      </c>
      <c r="N3105" s="8">
        <v>3.9209999999999998</v>
      </c>
      <c r="O3105" s="8">
        <v>3.5339999999999998</v>
      </c>
      <c r="P3105" s="8">
        <v>3.3239999999999998</v>
      </c>
      <c r="Q3105" s="8">
        <v>2.661</v>
      </c>
      <c r="R3105" s="8">
        <v>2.1779999999999999</v>
      </c>
      <c r="S3105" s="8">
        <v>2.0990000000000002</v>
      </c>
      <c r="T3105" s="8">
        <v>1.415</v>
      </c>
      <c r="U3105" s="8">
        <v>1.202</v>
      </c>
      <c r="V3105" s="8">
        <v>0.98299999999999998</v>
      </c>
      <c r="W3105" s="8">
        <v>0.877</v>
      </c>
      <c r="X3105" s="8">
        <v>0.755</v>
      </c>
      <c r="Y3105" s="8">
        <v>0.53200000000000003</v>
      </c>
      <c r="Z3105" s="8">
        <v>0.16700000000000001</v>
      </c>
      <c r="AA3105" s="8">
        <v>0.03</v>
      </c>
      <c r="AB3105" s="8">
        <v>2E-3</v>
      </c>
      <c r="AC3105" s="8">
        <v>0</v>
      </c>
    </row>
    <row r="3106" spans="1:29" ht="11.65" hidden="1" x14ac:dyDescent="0.35">
      <c r="A3106" s="12">
        <v>3089</v>
      </c>
      <c r="B3106" s="10" t="s">
        <v>1015</v>
      </c>
      <c r="C3106" s="11" t="s">
        <v>1229</v>
      </c>
      <c r="D3106" s="9"/>
      <c r="E3106" s="9">
        <v>776</v>
      </c>
      <c r="F3106" s="10" t="s">
        <v>1066</v>
      </c>
      <c r="G3106" s="9">
        <v>957</v>
      </c>
      <c r="H3106" s="9">
        <v>2015</v>
      </c>
      <c r="I3106" s="8">
        <v>6.0880000000000001</v>
      </c>
      <c r="J3106" s="8">
        <v>5.774</v>
      </c>
      <c r="K3106" s="8">
        <v>5.7409999999999997</v>
      </c>
      <c r="L3106" s="8">
        <v>5.0709999999999997</v>
      </c>
      <c r="M3106" s="8">
        <v>4.1280000000000001</v>
      </c>
      <c r="N3106" s="8">
        <v>3.512</v>
      </c>
      <c r="O3106" s="8">
        <v>3.508</v>
      </c>
      <c r="P3106" s="8">
        <v>2.944</v>
      </c>
      <c r="Q3106" s="8">
        <v>2.7290000000000001</v>
      </c>
      <c r="R3106" s="8">
        <v>2.548</v>
      </c>
      <c r="S3106" s="8">
        <v>2.012</v>
      </c>
      <c r="T3106" s="8">
        <v>1.679</v>
      </c>
      <c r="U3106" s="8">
        <v>1.3939999999999999</v>
      </c>
      <c r="V3106" s="8">
        <v>1.069</v>
      </c>
      <c r="W3106" s="8">
        <v>0.86699999999999999</v>
      </c>
      <c r="X3106" s="8">
        <v>0.66900000000000004</v>
      </c>
      <c r="Y3106" s="8">
        <v>0.40899999999999997</v>
      </c>
      <c r="Z3106" s="8">
        <v>0.22</v>
      </c>
      <c r="AA3106" s="8">
        <v>4.1000000000000002E-2</v>
      </c>
      <c r="AB3106" s="8">
        <v>4.0000000000000001E-3</v>
      </c>
      <c r="AC3106" s="8">
        <v>0</v>
      </c>
    </row>
    <row r="3107" spans="1:29" ht="11.65" hidden="1" x14ac:dyDescent="0.35">
      <c r="A3107" s="12">
        <v>3090</v>
      </c>
      <c r="B3107" s="10" t="s">
        <v>1015</v>
      </c>
      <c r="C3107" s="11" t="s">
        <v>1229</v>
      </c>
      <c r="D3107" s="9"/>
      <c r="E3107" s="9">
        <v>776</v>
      </c>
      <c r="F3107" s="10" t="s">
        <v>1066</v>
      </c>
      <c r="G3107" s="9">
        <v>957</v>
      </c>
      <c r="H3107" s="9">
        <v>2020</v>
      </c>
      <c r="I3107" s="8">
        <v>5.9379999999999997</v>
      </c>
      <c r="J3107" s="8">
        <v>6.0179999999999998</v>
      </c>
      <c r="K3107" s="8">
        <v>5.7190000000000003</v>
      </c>
      <c r="L3107" s="8">
        <v>5.4939999999999998</v>
      </c>
      <c r="M3107" s="8">
        <v>4.6500000000000004</v>
      </c>
      <c r="N3107" s="8">
        <v>3.7349999999999999</v>
      </c>
      <c r="O3107" s="8">
        <v>3.2210000000000001</v>
      </c>
      <c r="P3107" s="8">
        <v>3.3</v>
      </c>
      <c r="Q3107" s="8">
        <v>2.7959999999999998</v>
      </c>
      <c r="R3107" s="8">
        <v>2.613</v>
      </c>
      <c r="S3107" s="8">
        <v>2.4420000000000002</v>
      </c>
      <c r="T3107" s="8">
        <v>1.9159999999999999</v>
      </c>
      <c r="U3107" s="8">
        <v>1.5669999999999999</v>
      </c>
      <c r="V3107" s="8">
        <v>1.2470000000000001</v>
      </c>
      <c r="W3107" s="8">
        <v>0.88400000000000001</v>
      </c>
      <c r="X3107" s="8">
        <v>0.63200000000000001</v>
      </c>
      <c r="Y3107" s="8">
        <v>0.39200000000000002</v>
      </c>
      <c r="Z3107" s="8">
        <v>0.17</v>
      </c>
      <c r="AA3107" s="8">
        <v>5.3999999999999999E-2</v>
      </c>
      <c r="AB3107" s="8">
        <v>5.0000000000000001E-3</v>
      </c>
      <c r="AC3107" s="8">
        <v>0</v>
      </c>
    </row>
    <row r="3108" spans="1:29" ht="11.65" hidden="1" x14ac:dyDescent="0.35">
      <c r="A3108" s="28">
        <v>3091</v>
      </c>
      <c r="B3108" s="26" t="s">
        <v>1015</v>
      </c>
      <c r="C3108" s="27" t="s">
        <v>1230</v>
      </c>
      <c r="D3108" s="25"/>
      <c r="E3108" s="25">
        <v>1829</v>
      </c>
      <c r="F3108" s="26" t="s">
        <v>1063</v>
      </c>
      <c r="G3108" s="25">
        <v>1828</v>
      </c>
      <c r="H3108" s="25">
        <v>1950</v>
      </c>
      <c r="I3108" s="24">
        <v>34580.182999999997</v>
      </c>
      <c r="J3108" s="24">
        <v>28107.975999999999</v>
      </c>
      <c r="K3108" s="24">
        <v>31508.241000000002</v>
      </c>
      <c r="L3108" s="24">
        <v>29498.951000000001</v>
      </c>
      <c r="M3108" s="24">
        <v>32055.684000000001</v>
      </c>
      <c r="N3108" s="24">
        <v>30512.615000000002</v>
      </c>
      <c r="O3108" s="24">
        <v>23913.72</v>
      </c>
      <c r="P3108" s="24">
        <v>28600.440999999999</v>
      </c>
      <c r="Q3108" s="24">
        <v>27071.828000000001</v>
      </c>
      <c r="R3108" s="24">
        <v>24495.213</v>
      </c>
      <c r="S3108" s="24">
        <v>21276.924999999999</v>
      </c>
      <c r="T3108" s="24">
        <v>18217.399000000001</v>
      </c>
      <c r="U3108" s="24">
        <v>15953.427</v>
      </c>
      <c r="V3108" s="24">
        <v>13106.349</v>
      </c>
      <c r="W3108" s="24">
        <v>9528.6299999999992</v>
      </c>
      <c r="X3108" s="24">
        <v>6102.2790000000005</v>
      </c>
      <c r="Y3108" s="24">
        <v>2950.2849999999999</v>
      </c>
      <c r="Z3108" s="24">
        <v>1276.306</v>
      </c>
      <c r="AA3108" s="24">
        <v>385.97</v>
      </c>
      <c r="AB3108" s="24">
        <v>83.096000000000004</v>
      </c>
      <c r="AC3108" s="24">
        <v>13.718</v>
      </c>
    </row>
    <row r="3109" spans="1:29" ht="11.65" hidden="1" x14ac:dyDescent="0.35">
      <c r="A3109" s="28">
        <v>3092</v>
      </c>
      <c r="B3109" s="26" t="s">
        <v>1015</v>
      </c>
      <c r="C3109" s="27" t="s">
        <v>1230</v>
      </c>
      <c r="D3109" s="25"/>
      <c r="E3109" s="25">
        <v>1829</v>
      </c>
      <c r="F3109" s="26" t="s">
        <v>1063</v>
      </c>
      <c r="G3109" s="25">
        <v>1828</v>
      </c>
      <c r="H3109" s="25">
        <v>1955</v>
      </c>
      <c r="I3109" s="24">
        <v>37563.167999999998</v>
      </c>
      <c r="J3109" s="24">
        <v>34144.608999999997</v>
      </c>
      <c r="K3109" s="24">
        <v>28119.142</v>
      </c>
      <c r="L3109" s="24">
        <v>31433.668000000001</v>
      </c>
      <c r="M3109" s="24">
        <v>29203.292000000001</v>
      </c>
      <c r="N3109" s="24">
        <v>31606.144</v>
      </c>
      <c r="O3109" s="24">
        <v>30150.155999999999</v>
      </c>
      <c r="P3109" s="24">
        <v>23576.319</v>
      </c>
      <c r="Q3109" s="24">
        <v>28146.201000000001</v>
      </c>
      <c r="R3109" s="24">
        <v>26325.405999999999</v>
      </c>
      <c r="S3109" s="24">
        <v>24097.003000000001</v>
      </c>
      <c r="T3109" s="24">
        <v>20362.817999999999</v>
      </c>
      <c r="U3109" s="24">
        <v>17188.707999999999</v>
      </c>
      <c r="V3109" s="24">
        <v>14431.598</v>
      </c>
      <c r="W3109" s="24">
        <v>10897.165000000001</v>
      </c>
      <c r="X3109" s="24">
        <v>7054.3509999999997</v>
      </c>
      <c r="Y3109" s="24">
        <v>3821.163</v>
      </c>
      <c r="Z3109" s="24">
        <v>1338.414</v>
      </c>
      <c r="AA3109" s="24">
        <v>395.75700000000001</v>
      </c>
      <c r="AB3109" s="24">
        <v>76.262</v>
      </c>
      <c r="AC3109" s="24">
        <v>10.907999999999999</v>
      </c>
    </row>
    <row r="3110" spans="1:29" ht="11.65" hidden="1" x14ac:dyDescent="0.35">
      <c r="A3110" s="28">
        <v>3093</v>
      </c>
      <c r="B3110" s="26" t="s">
        <v>1015</v>
      </c>
      <c r="C3110" s="27" t="s">
        <v>1230</v>
      </c>
      <c r="D3110" s="25"/>
      <c r="E3110" s="25">
        <v>1829</v>
      </c>
      <c r="F3110" s="26" t="s">
        <v>1063</v>
      </c>
      <c r="G3110" s="25">
        <v>1828</v>
      </c>
      <c r="H3110" s="25">
        <v>1960</v>
      </c>
      <c r="I3110" s="24">
        <v>39166.190999999999</v>
      </c>
      <c r="J3110" s="24">
        <v>37427.726000000002</v>
      </c>
      <c r="K3110" s="24">
        <v>34318.419000000002</v>
      </c>
      <c r="L3110" s="24">
        <v>28009.821</v>
      </c>
      <c r="M3110" s="24">
        <v>31240.09</v>
      </c>
      <c r="N3110" s="24">
        <v>28880.871999999999</v>
      </c>
      <c r="O3110" s="24">
        <v>31382.585999999999</v>
      </c>
      <c r="P3110" s="24">
        <v>29852.09</v>
      </c>
      <c r="Q3110" s="24">
        <v>23114.95</v>
      </c>
      <c r="R3110" s="24">
        <v>27635.018</v>
      </c>
      <c r="S3110" s="24">
        <v>25937.457999999999</v>
      </c>
      <c r="T3110" s="24">
        <v>23269.501</v>
      </c>
      <c r="U3110" s="24">
        <v>19359.490000000002</v>
      </c>
      <c r="V3110" s="24">
        <v>15686.04</v>
      </c>
      <c r="W3110" s="24">
        <v>12188.859</v>
      </c>
      <c r="X3110" s="24">
        <v>8215.5889999999999</v>
      </c>
      <c r="Y3110" s="24">
        <v>4408.8059999999996</v>
      </c>
      <c r="Z3110" s="24">
        <v>1798.643</v>
      </c>
      <c r="AA3110" s="24">
        <v>425.47399999999999</v>
      </c>
      <c r="AB3110" s="24">
        <v>78.228999999999999</v>
      </c>
      <c r="AC3110" s="24">
        <v>9.4870000000000001</v>
      </c>
    </row>
    <row r="3111" spans="1:29" ht="11.65" hidden="1" x14ac:dyDescent="0.35">
      <c r="A3111" s="28">
        <v>3094</v>
      </c>
      <c r="B3111" s="26" t="s">
        <v>1015</v>
      </c>
      <c r="C3111" s="27" t="s">
        <v>1230</v>
      </c>
      <c r="D3111" s="25"/>
      <c r="E3111" s="25">
        <v>1829</v>
      </c>
      <c r="F3111" s="26" t="s">
        <v>1063</v>
      </c>
      <c r="G3111" s="25">
        <v>1828</v>
      </c>
      <c r="H3111" s="25">
        <v>1965</v>
      </c>
      <c r="I3111" s="24">
        <v>38269.995999999999</v>
      </c>
      <c r="J3111" s="24">
        <v>39217.805999999997</v>
      </c>
      <c r="K3111" s="24">
        <v>37400.381999999998</v>
      </c>
      <c r="L3111" s="24">
        <v>34273.002</v>
      </c>
      <c r="M3111" s="24">
        <v>28085.419000000002</v>
      </c>
      <c r="N3111" s="24">
        <v>31093.228999999999</v>
      </c>
      <c r="O3111" s="24">
        <v>28645.88</v>
      </c>
      <c r="P3111" s="24">
        <v>31131.449000000001</v>
      </c>
      <c r="Q3111" s="24">
        <v>29541.498</v>
      </c>
      <c r="R3111" s="24">
        <v>22743.439999999999</v>
      </c>
      <c r="S3111" s="24">
        <v>27102.42</v>
      </c>
      <c r="T3111" s="24">
        <v>25321.968000000001</v>
      </c>
      <c r="U3111" s="24">
        <v>22063.97</v>
      </c>
      <c r="V3111" s="24">
        <v>17760.740000000002</v>
      </c>
      <c r="W3111" s="24">
        <v>13521.932000000001</v>
      </c>
      <c r="X3111" s="24">
        <v>9483.3080000000009</v>
      </c>
      <c r="Y3111" s="24">
        <v>5384.4219999999996</v>
      </c>
      <c r="Z3111" s="24">
        <v>2128.453</v>
      </c>
      <c r="AA3111" s="24">
        <v>589.11</v>
      </c>
      <c r="AB3111" s="24">
        <v>85.033000000000001</v>
      </c>
      <c r="AC3111" s="24">
        <v>9.4290000000000003</v>
      </c>
    </row>
    <row r="3112" spans="1:29" ht="11.65" hidden="1" x14ac:dyDescent="0.35">
      <c r="A3112" s="28">
        <v>3095</v>
      </c>
      <c r="B3112" s="26" t="s">
        <v>1015</v>
      </c>
      <c r="C3112" s="27" t="s">
        <v>1230</v>
      </c>
      <c r="D3112" s="25"/>
      <c r="E3112" s="25">
        <v>1829</v>
      </c>
      <c r="F3112" s="26" t="s">
        <v>1063</v>
      </c>
      <c r="G3112" s="25">
        <v>1828</v>
      </c>
      <c r="H3112" s="25">
        <v>1970</v>
      </c>
      <c r="I3112" s="24">
        <v>35421.538999999997</v>
      </c>
      <c r="J3112" s="24">
        <v>38481.982000000004</v>
      </c>
      <c r="K3112" s="24">
        <v>39214.197</v>
      </c>
      <c r="L3112" s="24">
        <v>37331.364000000001</v>
      </c>
      <c r="M3112" s="24">
        <v>34210.868999999999</v>
      </c>
      <c r="N3112" s="24">
        <v>27895.957999999999</v>
      </c>
      <c r="O3112" s="24">
        <v>30903.279999999999</v>
      </c>
      <c r="P3112" s="24">
        <v>28295.986000000001</v>
      </c>
      <c r="Q3112" s="24">
        <v>30759.756000000001</v>
      </c>
      <c r="R3112" s="24">
        <v>29230.455000000002</v>
      </c>
      <c r="S3112" s="24">
        <v>22184.626</v>
      </c>
      <c r="T3112" s="24">
        <v>26364.664000000001</v>
      </c>
      <c r="U3112" s="24">
        <v>24111.704000000002</v>
      </c>
      <c r="V3112" s="24">
        <v>20413.083999999999</v>
      </c>
      <c r="W3112" s="24">
        <v>15366.743</v>
      </c>
      <c r="X3112" s="24">
        <v>10453.141</v>
      </c>
      <c r="Y3112" s="24">
        <v>6367.1750000000002</v>
      </c>
      <c r="Z3112" s="24">
        <v>2690.8319999999999</v>
      </c>
      <c r="AA3112" s="24">
        <v>726.19799999999998</v>
      </c>
      <c r="AB3112" s="24">
        <v>124.11199999999999</v>
      </c>
      <c r="AC3112" s="24">
        <v>10.565</v>
      </c>
    </row>
    <row r="3113" spans="1:29" ht="11.65" hidden="1" x14ac:dyDescent="0.35">
      <c r="A3113" s="28">
        <v>3096</v>
      </c>
      <c r="B3113" s="26" t="s">
        <v>1015</v>
      </c>
      <c r="C3113" s="27" t="s">
        <v>1230</v>
      </c>
      <c r="D3113" s="25"/>
      <c r="E3113" s="25">
        <v>1829</v>
      </c>
      <c r="F3113" s="26" t="s">
        <v>1063</v>
      </c>
      <c r="G3113" s="25">
        <v>1828</v>
      </c>
      <c r="H3113" s="25">
        <v>1975</v>
      </c>
      <c r="I3113" s="24">
        <v>34062.389000000003</v>
      </c>
      <c r="J3113" s="24">
        <v>35526.993999999999</v>
      </c>
      <c r="K3113" s="24">
        <v>38562.410000000003</v>
      </c>
      <c r="L3113" s="24">
        <v>39267.716999999997</v>
      </c>
      <c r="M3113" s="24">
        <v>37542.466</v>
      </c>
      <c r="N3113" s="24">
        <v>34362.345999999998</v>
      </c>
      <c r="O3113" s="24">
        <v>28084.192999999999</v>
      </c>
      <c r="P3113" s="24">
        <v>30847.644</v>
      </c>
      <c r="Q3113" s="24">
        <v>28110.844000000001</v>
      </c>
      <c r="R3113" s="24">
        <v>30349.317999999999</v>
      </c>
      <c r="S3113" s="24">
        <v>28757.656999999999</v>
      </c>
      <c r="T3113" s="24">
        <v>21573.745999999999</v>
      </c>
      <c r="U3113" s="24">
        <v>25068.694</v>
      </c>
      <c r="V3113" s="24">
        <v>22474.242999999999</v>
      </c>
      <c r="W3113" s="24">
        <v>17703.748</v>
      </c>
      <c r="X3113" s="24">
        <v>12141.851000000001</v>
      </c>
      <c r="Y3113" s="24">
        <v>7199.085</v>
      </c>
      <c r="Z3113" s="24">
        <v>3291.0030000000002</v>
      </c>
      <c r="AA3113" s="24">
        <v>964.47699999999998</v>
      </c>
      <c r="AB3113" s="24">
        <v>159.73099999999999</v>
      </c>
      <c r="AC3113" s="24">
        <v>15.884</v>
      </c>
    </row>
    <row r="3114" spans="1:29" ht="11.65" hidden="1" x14ac:dyDescent="0.35">
      <c r="A3114" s="28">
        <v>3097</v>
      </c>
      <c r="B3114" s="26" t="s">
        <v>1015</v>
      </c>
      <c r="C3114" s="27" t="s">
        <v>1230</v>
      </c>
      <c r="D3114" s="25"/>
      <c r="E3114" s="25">
        <v>1829</v>
      </c>
      <c r="F3114" s="26" t="s">
        <v>1063</v>
      </c>
      <c r="G3114" s="25">
        <v>1828</v>
      </c>
      <c r="H3114" s="25">
        <v>1980</v>
      </c>
      <c r="I3114" s="24">
        <v>33194.83</v>
      </c>
      <c r="J3114" s="24">
        <v>34032.563000000002</v>
      </c>
      <c r="K3114" s="24">
        <v>35781.637000000002</v>
      </c>
      <c r="L3114" s="24">
        <v>38944.381000000001</v>
      </c>
      <c r="M3114" s="24">
        <v>39595.207000000002</v>
      </c>
      <c r="N3114" s="24">
        <v>37675.614999999998</v>
      </c>
      <c r="O3114" s="24">
        <v>34525.044000000002</v>
      </c>
      <c r="P3114" s="24">
        <v>27999.217000000001</v>
      </c>
      <c r="Q3114" s="24">
        <v>30745.806</v>
      </c>
      <c r="R3114" s="24">
        <v>27858.208999999999</v>
      </c>
      <c r="S3114" s="24">
        <v>29900.454000000002</v>
      </c>
      <c r="T3114" s="24">
        <v>28047.191999999999</v>
      </c>
      <c r="U3114" s="24">
        <v>20727.667000000001</v>
      </c>
      <c r="V3114" s="24">
        <v>23477.503000000001</v>
      </c>
      <c r="W3114" s="24">
        <v>19858.401000000002</v>
      </c>
      <c r="X3114" s="24">
        <v>14381.013000000001</v>
      </c>
      <c r="Y3114" s="24">
        <v>8286.4629999999997</v>
      </c>
      <c r="Z3114" s="24">
        <v>3904.1729999999998</v>
      </c>
      <c r="AA3114" s="24">
        <v>1262.7260000000001</v>
      </c>
      <c r="AB3114" s="24">
        <v>236.68199999999999</v>
      </c>
      <c r="AC3114" s="24">
        <v>23.242999999999999</v>
      </c>
    </row>
    <row r="3115" spans="1:29" ht="11.65" hidden="1" x14ac:dyDescent="0.35">
      <c r="A3115" s="28">
        <v>3098</v>
      </c>
      <c r="B3115" s="26" t="s">
        <v>1015</v>
      </c>
      <c r="C3115" s="27" t="s">
        <v>1230</v>
      </c>
      <c r="D3115" s="25"/>
      <c r="E3115" s="25">
        <v>1829</v>
      </c>
      <c r="F3115" s="26" t="s">
        <v>1063</v>
      </c>
      <c r="G3115" s="25">
        <v>1828</v>
      </c>
      <c r="H3115" s="25">
        <v>1985</v>
      </c>
      <c r="I3115" s="24">
        <v>33752.707000000002</v>
      </c>
      <c r="J3115" s="24">
        <v>33365.03</v>
      </c>
      <c r="K3115" s="24">
        <v>34337.004000000001</v>
      </c>
      <c r="L3115" s="24">
        <v>36116.75</v>
      </c>
      <c r="M3115" s="24">
        <v>39280.769999999997</v>
      </c>
      <c r="N3115" s="24">
        <v>39815.324999999997</v>
      </c>
      <c r="O3115" s="24">
        <v>37888.534</v>
      </c>
      <c r="P3115" s="24">
        <v>34419.618000000002</v>
      </c>
      <c r="Q3115" s="24">
        <v>27897.829000000002</v>
      </c>
      <c r="R3115" s="24">
        <v>30378.788</v>
      </c>
      <c r="S3115" s="24">
        <v>27386.134999999998</v>
      </c>
      <c r="T3115" s="24">
        <v>29093.469000000001</v>
      </c>
      <c r="U3115" s="24">
        <v>26780.919000000002</v>
      </c>
      <c r="V3115" s="24">
        <v>19388.969000000001</v>
      </c>
      <c r="W3115" s="24">
        <v>20786.48</v>
      </c>
      <c r="X3115" s="24">
        <v>16193.902</v>
      </c>
      <c r="Y3115" s="24">
        <v>10053.554</v>
      </c>
      <c r="Z3115" s="24">
        <v>4588.5209999999997</v>
      </c>
      <c r="AA3115" s="24">
        <v>1566.3530000000001</v>
      </c>
      <c r="AB3115" s="24">
        <v>324.96499999999997</v>
      </c>
      <c r="AC3115" s="24">
        <v>36.485999999999997</v>
      </c>
    </row>
    <row r="3116" spans="1:29" ht="11.65" hidden="1" x14ac:dyDescent="0.35">
      <c r="A3116" s="28">
        <v>3099</v>
      </c>
      <c r="B3116" s="26" t="s">
        <v>1015</v>
      </c>
      <c r="C3116" s="27" t="s">
        <v>1230</v>
      </c>
      <c r="D3116" s="25"/>
      <c r="E3116" s="25">
        <v>1829</v>
      </c>
      <c r="F3116" s="26" t="s">
        <v>1063</v>
      </c>
      <c r="G3116" s="25">
        <v>1828</v>
      </c>
      <c r="H3116" s="25">
        <v>1990</v>
      </c>
      <c r="I3116" s="24">
        <v>33794.353999999999</v>
      </c>
      <c r="J3116" s="24">
        <v>33964.68</v>
      </c>
      <c r="K3116" s="24">
        <v>33851.75</v>
      </c>
      <c r="L3116" s="24">
        <v>34914.588000000003</v>
      </c>
      <c r="M3116" s="24">
        <v>36530.896000000001</v>
      </c>
      <c r="N3116" s="24">
        <v>39433.442000000003</v>
      </c>
      <c r="O3116" s="24">
        <v>40114.177000000003</v>
      </c>
      <c r="P3116" s="24">
        <v>37879.120000000003</v>
      </c>
      <c r="Q3116" s="24">
        <v>34393.764000000003</v>
      </c>
      <c r="R3116" s="24">
        <v>27550.073</v>
      </c>
      <c r="S3116" s="24">
        <v>29863.696</v>
      </c>
      <c r="T3116" s="24">
        <v>26671.824000000001</v>
      </c>
      <c r="U3116" s="24">
        <v>27936.753000000001</v>
      </c>
      <c r="V3116" s="24">
        <v>25133.343000000001</v>
      </c>
      <c r="W3116" s="24">
        <v>17287.276000000002</v>
      </c>
      <c r="X3116" s="24">
        <v>17219.150000000001</v>
      </c>
      <c r="Y3116" s="24">
        <v>11724.33</v>
      </c>
      <c r="Z3116" s="24">
        <v>5756.31</v>
      </c>
      <c r="AA3116" s="24">
        <v>1885.4839999999999</v>
      </c>
      <c r="AB3116" s="24">
        <v>414.38499999999999</v>
      </c>
      <c r="AC3116" s="24">
        <v>50.472999999999999</v>
      </c>
    </row>
    <row r="3117" spans="1:29" ht="11.65" hidden="1" x14ac:dyDescent="0.35">
      <c r="A3117" s="28">
        <v>3100</v>
      </c>
      <c r="B3117" s="26" t="s">
        <v>1015</v>
      </c>
      <c r="C3117" s="27" t="s">
        <v>1230</v>
      </c>
      <c r="D3117" s="25"/>
      <c r="E3117" s="25">
        <v>1829</v>
      </c>
      <c r="F3117" s="26" t="s">
        <v>1063</v>
      </c>
      <c r="G3117" s="25">
        <v>1828</v>
      </c>
      <c r="H3117" s="25">
        <v>1995</v>
      </c>
      <c r="I3117" s="24">
        <v>30941.313999999998</v>
      </c>
      <c r="J3117" s="24">
        <v>34235.290999999997</v>
      </c>
      <c r="K3117" s="24">
        <v>34713.137000000002</v>
      </c>
      <c r="L3117" s="24">
        <v>34475.26</v>
      </c>
      <c r="M3117" s="24">
        <v>35326.199999999997</v>
      </c>
      <c r="N3117" s="24">
        <v>37043.754999999997</v>
      </c>
      <c r="O3117" s="24">
        <v>40080.33</v>
      </c>
      <c r="P3117" s="24">
        <v>40339.03</v>
      </c>
      <c r="Q3117" s="24">
        <v>37840.627999999997</v>
      </c>
      <c r="R3117" s="24">
        <v>33982.385000000002</v>
      </c>
      <c r="S3117" s="24">
        <v>27215.296999999999</v>
      </c>
      <c r="T3117" s="24">
        <v>29139.335999999999</v>
      </c>
      <c r="U3117" s="24">
        <v>25682.780999999999</v>
      </c>
      <c r="V3117" s="24">
        <v>26179.398000000001</v>
      </c>
      <c r="W3117" s="24">
        <v>22445.221000000001</v>
      </c>
      <c r="X3117" s="24">
        <v>14470.252</v>
      </c>
      <c r="Y3117" s="24">
        <v>12532.91</v>
      </c>
      <c r="Z3117" s="24">
        <v>6888.3090000000002</v>
      </c>
      <c r="AA3117" s="24">
        <v>2433.5250000000001</v>
      </c>
      <c r="AB3117" s="24">
        <v>502.44900000000001</v>
      </c>
      <c r="AC3117" s="24">
        <v>65.073999999999998</v>
      </c>
    </row>
    <row r="3118" spans="1:29" ht="11.65" hidden="1" x14ac:dyDescent="0.35">
      <c r="A3118" s="28">
        <v>3101</v>
      </c>
      <c r="B3118" s="26" t="s">
        <v>1015</v>
      </c>
      <c r="C3118" s="27" t="s">
        <v>1230</v>
      </c>
      <c r="D3118" s="25"/>
      <c r="E3118" s="25">
        <v>1829</v>
      </c>
      <c r="F3118" s="26" t="s">
        <v>1063</v>
      </c>
      <c r="G3118" s="25">
        <v>1828</v>
      </c>
      <c r="H3118" s="25">
        <v>2000</v>
      </c>
      <c r="I3118" s="24">
        <v>28358.579000000002</v>
      </c>
      <c r="J3118" s="24">
        <v>31474.252</v>
      </c>
      <c r="K3118" s="24">
        <v>35057.894999999997</v>
      </c>
      <c r="L3118" s="24">
        <v>35425.938000000002</v>
      </c>
      <c r="M3118" s="24">
        <v>35124.142</v>
      </c>
      <c r="N3118" s="24">
        <v>36096.962</v>
      </c>
      <c r="O3118" s="24">
        <v>37640.228999999999</v>
      </c>
      <c r="P3118" s="24">
        <v>40364.514999999999</v>
      </c>
      <c r="Q3118" s="24">
        <v>40292.457999999999</v>
      </c>
      <c r="R3118" s="24">
        <v>37614.968000000001</v>
      </c>
      <c r="S3118" s="24">
        <v>33656.845999999998</v>
      </c>
      <c r="T3118" s="24">
        <v>26679.375</v>
      </c>
      <c r="U3118" s="24">
        <v>28164.415000000001</v>
      </c>
      <c r="V3118" s="24">
        <v>24271.156999999999</v>
      </c>
      <c r="W3118" s="24">
        <v>23577.492999999999</v>
      </c>
      <c r="X3118" s="24">
        <v>18891.683000000001</v>
      </c>
      <c r="Y3118" s="24">
        <v>10800.351000000001</v>
      </c>
      <c r="Z3118" s="24">
        <v>7450.4269999999997</v>
      </c>
      <c r="AA3118" s="24">
        <v>2923.9250000000002</v>
      </c>
      <c r="AB3118" s="24">
        <v>639.02800000000002</v>
      </c>
      <c r="AC3118" s="24">
        <v>74.451999999999998</v>
      </c>
    </row>
    <row r="3119" spans="1:29" ht="11.65" hidden="1" x14ac:dyDescent="0.35">
      <c r="A3119" s="28">
        <v>3102</v>
      </c>
      <c r="B3119" s="26" t="s">
        <v>1015</v>
      </c>
      <c r="C3119" s="27" t="s">
        <v>1230</v>
      </c>
      <c r="D3119" s="25"/>
      <c r="E3119" s="25">
        <v>1829</v>
      </c>
      <c r="F3119" s="26" t="s">
        <v>1063</v>
      </c>
      <c r="G3119" s="25">
        <v>1828</v>
      </c>
      <c r="H3119" s="25">
        <v>2005</v>
      </c>
      <c r="I3119" s="24">
        <v>28620.455000000002</v>
      </c>
      <c r="J3119" s="24">
        <v>28681.263999999999</v>
      </c>
      <c r="K3119" s="24">
        <v>32120.289000000001</v>
      </c>
      <c r="L3119" s="24">
        <v>35754.326000000001</v>
      </c>
      <c r="M3119" s="24">
        <v>36420.252999999997</v>
      </c>
      <c r="N3119" s="24">
        <v>36193.457000000002</v>
      </c>
      <c r="O3119" s="24">
        <v>36920.875</v>
      </c>
      <c r="P3119" s="24">
        <v>38217.898999999998</v>
      </c>
      <c r="Q3119" s="24">
        <v>40576.233999999997</v>
      </c>
      <c r="R3119" s="24">
        <v>40146.593999999997</v>
      </c>
      <c r="S3119" s="24">
        <v>37263.247000000003</v>
      </c>
      <c r="T3119" s="24">
        <v>33083.406000000003</v>
      </c>
      <c r="U3119" s="24">
        <v>25901.502</v>
      </c>
      <c r="V3119" s="24">
        <v>26744.208999999999</v>
      </c>
      <c r="W3119" s="24">
        <v>22132.397000000001</v>
      </c>
      <c r="X3119" s="24">
        <v>19969.999</v>
      </c>
      <c r="Y3119" s="24">
        <v>14204.346</v>
      </c>
      <c r="Z3119" s="24">
        <v>6694.7470000000003</v>
      </c>
      <c r="AA3119" s="24">
        <v>3254.8560000000002</v>
      </c>
      <c r="AB3119" s="24">
        <v>780.00800000000004</v>
      </c>
      <c r="AC3119" s="24">
        <v>92.171000000000006</v>
      </c>
    </row>
    <row r="3120" spans="1:29" ht="11.65" hidden="1" x14ac:dyDescent="0.35">
      <c r="A3120" s="28">
        <v>3103</v>
      </c>
      <c r="B3120" s="26" t="s">
        <v>1015</v>
      </c>
      <c r="C3120" s="27" t="s">
        <v>1230</v>
      </c>
      <c r="D3120" s="25"/>
      <c r="E3120" s="25">
        <v>1829</v>
      </c>
      <c r="F3120" s="26" t="s">
        <v>1063</v>
      </c>
      <c r="G3120" s="25">
        <v>1828</v>
      </c>
      <c r="H3120" s="25">
        <v>2010</v>
      </c>
      <c r="I3120" s="24">
        <v>30376.321</v>
      </c>
      <c r="J3120" s="24">
        <v>28926.186000000002</v>
      </c>
      <c r="K3120" s="24">
        <v>29492.162</v>
      </c>
      <c r="L3120" s="24">
        <v>33002.019</v>
      </c>
      <c r="M3120" s="24">
        <v>36752.163999999997</v>
      </c>
      <c r="N3120" s="24">
        <v>37283.983</v>
      </c>
      <c r="O3120" s="24">
        <v>37061.631000000001</v>
      </c>
      <c r="P3120" s="24">
        <v>37399.828999999998</v>
      </c>
      <c r="Q3120" s="24">
        <v>38132.589999999997</v>
      </c>
      <c r="R3120" s="24">
        <v>40658.796999999999</v>
      </c>
      <c r="S3120" s="24">
        <v>39860.855000000003</v>
      </c>
      <c r="T3120" s="24">
        <v>36782.048999999999</v>
      </c>
      <c r="U3120" s="24">
        <v>31852.835999999999</v>
      </c>
      <c r="V3120" s="24">
        <v>25035.624</v>
      </c>
      <c r="W3120" s="24">
        <v>24620.135999999999</v>
      </c>
      <c r="X3120" s="24">
        <v>19226.832999999999</v>
      </c>
      <c r="Y3120" s="24">
        <v>15666.244000000001</v>
      </c>
      <c r="Z3120" s="24">
        <v>9117.4979999999996</v>
      </c>
      <c r="AA3120" s="24">
        <v>3164.2860000000001</v>
      </c>
      <c r="AB3120" s="24">
        <v>935.54100000000005</v>
      </c>
      <c r="AC3120" s="24">
        <v>120.08799999999999</v>
      </c>
    </row>
    <row r="3121" spans="1:29" ht="11.65" hidden="1" x14ac:dyDescent="0.35">
      <c r="A3121" s="28">
        <v>3104</v>
      </c>
      <c r="B3121" s="26" t="s">
        <v>1015</v>
      </c>
      <c r="C3121" s="27" t="s">
        <v>1230</v>
      </c>
      <c r="D3121" s="25"/>
      <c r="E3121" s="25">
        <v>1829</v>
      </c>
      <c r="F3121" s="26" t="s">
        <v>1063</v>
      </c>
      <c r="G3121" s="25">
        <v>1828</v>
      </c>
      <c r="H3121" s="25">
        <v>2015</v>
      </c>
      <c r="I3121" s="24">
        <v>30264.511999999999</v>
      </c>
      <c r="J3121" s="24">
        <v>30624.460999999999</v>
      </c>
      <c r="K3121" s="24">
        <v>29220.118999999999</v>
      </c>
      <c r="L3121" s="24">
        <v>30149.739000000001</v>
      </c>
      <c r="M3121" s="24">
        <v>34054.120000000003</v>
      </c>
      <c r="N3121" s="24">
        <v>37710.445</v>
      </c>
      <c r="O3121" s="24">
        <v>38002.995999999999</v>
      </c>
      <c r="P3121" s="24">
        <v>37487.504000000001</v>
      </c>
      <c r="Q3121" s="24">
        <v>37551.972999999998</v>
      </c>
      <c r="R3121" s="24">
        <v>38073.512000000002</v>
      </c>
      <c r="S3121" s="24">
        <v>40291.24</v>
      </c>
      <c r="T3121" s="24">
        <v>39170.093999999997</v>
      </c>
      <c r="U3121" s="24">
        <v>35748.644</v>
      </c>
      <c r="V3121" s="24">
        <v>30489.109</v>
      </c>
      <c r="W3121" s="24">
        <v>23390.83</v>
      </c>
      <c r="X3121" s="24">
        <v>21679.661</v>
      </c>
      <c r="Y3121" s="24">
        <v>15376.974</v>
      </c>
      <c r="Z3121" s="24">
        <v>10377.098</v>
      </c>
      <c r="AA3121" s="24">
        <v>4472.933</v>
      </c>
      <c r="AB3121" s="24">
        <v>979.26599999999996</v>
      </c>
      <c r="AC3121" s="24">
        <v>152.803</v>
      </c>
    </row>
    <row r="3122" spans="1:29" ht="11.65" hidden="1" x14ac:dyDescent="0.35">
      <c r="A3122" s="28">
        <v>3105</v>
      </c>
      <c r="B3122" s="26" t="s">
        <v>1015</v>
      </c>
      <c r="C3122" s="27" t="s">
        <v>1230</v>
      </c>
      <c r="D3122" s="25"/>
      <c r="E3122" s="25">
        <v>1829</v>
      </c>
      <c r="F3122" s="26" t="s">
        <v>1063</v>
      </c>
      <c r="G3122" s="25">
        <v>1828</v>
      </c>
      <c r="H3122" s="25">
        <v>2020</v>
      </c>
      <c r="I3122" s="24">
        <v>29605.75</v>
      </c>
      <c r="J3122" s="24">
        <v>30582.894</v>
      </c>
      <c r="K3122" s="24">
        <v>30855.269</v>
      </c>
      <c r="L3122" s="24">
        <v>29818.379000000001</v>
      </c>
      <c r="M3122" s="24">
        <v>31094.321</v>
      </c>
      <c r="N3122" s="24">
        <v>35060.055999999997</v>
      </c>
      <c r="O3122" s="24">
        <v>38487.930999999997</v>
      </c>
      <c r="P3122" s="24">
        <v>38423.584999999999</v>
      </c>
      <c r="Q3122" s="24">
        <v>37669.722999999998</v>
      </c>
      <c r="R3122" s="24">
        <v>37535.982000000004</v>
      </c>
      <c r="S3122" s="24">
        <v>37770.192000000003</v>
      </c>
      <c r="T3122" s="24">
        <v>39674.923000000003</v>
      </c>
      <c r="U3122" s="24">
        <v>38071.741000000002</v>
      </c>
      <c r="V3122" s="24">
        <v>34247.995999999999</v>
      </c>
      <c r="W3122" s="24">
        <v>28347.838</v>
      </c>
      <c r="X3122" s="24">
        <v>20837.842000000001</v>
      </c>
      <c r="Y3122" s="24">
        <v>17343.866000000002</v>
      </c>
      <c r="Z3122" s="24">
        <v>10455.013000000001</v>
      </c>
      <c r="AA3122" s="24">
        <v>5307.3370000000004</v>
      </c>
      <c r="AB3122" s="24">
        <v>1488.0809999999999</v>
      </c>
      <c r="AC3122" s="24">
        <v>185.47499999999999</v>
      </c>
    </row>
    <row r="3123" spans="1:29" ht="11.65" hidden="1" x14ac:dyDescent="0.35">
      <c r="A3123" s="17">
        <v>3106</v>
      </c>
      <c r="B3123" s="15" t="s">
        <v>1015</v>
      </c>
      <c r="C3123" s="16" t="s">
        <v>1231</v>
      </c>
      <c r="D3123" s="14"/>
      <c r="E3123" s="14">
        <v>917</v>
      </c>
      <c r="F3123" s="15" t="s">
        <v>1232</v>
      </c>
      <c r="G3123" s="14">
        <v>1829</v>
      </c>
      <c r="H3123" s="14">
        <v>1950</v>
      </c>
      <c r="I3123" s="13">
        <v>25350.001</v>
      </c>
      <c r="J3123" s="13">
        <v>20718.462</v>
      </c>
      <c r="K3123" s="13">
        <v>25266.472000000002</v>
      </c>
      <c r="L3123" s="13">
        <v>23412.577000000001</v>
      </c>
      <c r="M3123" s="13">
        <v>25349.839</v>
      </c>
      <c r="N3123" s="13">
        <v>23481.022000000001</v>
      </c>
      <c r="O3123" s="13">
        <v>17291.446</v>
      </c>
      <c r="P3123" s="13">
        <v>22308.706999999999</v>
      </c>
      <c r="Q3123" s="13">
        <v>21304.720000000001</v>
      </c>
      <c r="R3123" s="13">
        <v>19386.037</v>
      </c>
      <c r="S3123" s="13">
        <v>16608.171999999999</v>
      </c>
      <c r="T3123" s="13">
        <v>14087.22</v>
      </c>
      <c r="U3123" s="13">
        <v>12332.187</v>
      </c>
      <c r="V3123" s="13">
        <v>10036.767</v>
      </c>
      <c r="W3123" s="13">
        <v>7513.5379999999996</v>
      </c>
      <c r="X3123" s="13">
        <v>4816.7830000000004</v>
      </c>
      <c r="Y3123" s="13">
        <v>2334.14</v>
      </c>
      <c r="Z3123" s="13">
        <v>950.71100000000001</v>
      </c>
      <c r="AA3123" s="13">
        <v>259.065</v>
      </c>
      <c r="AB3123" s="13">
        <v>50.347000000000001</v>
      </c>
      <c r="AC3123" s="13">
        <v>8.516</v>
      </c>
    </row>
    <row r="3124" spans="1:29" ht="11.65" hidden="1" x14ac:dyDescent="0.35">
      <c r="A3124" s="17">
        <v>3107</v>
      </c>
      <c r="B3124" s="15" t="s">
        <v>1015</v>
      </c>
      <c r="C3124" s="16" t="s">
        <v>1231</v>
      </c>
      <c r="D3124" s="14"/>
      <c r="E3124" s="14">
        <v>917</v>
      </c>
      <c r="F3124" s="15" t="s">
        <v>1232</v>
      </c>
      <c r="G3124" s="14">
        <v>1829</v>
      </c>
      <c r="H3124" s="14">
        <v>1955</v>
      </c>
      <c r="I3124" s="13">
        <v>27175.334999999999</v>
      </c>
      <c r="J3124" s="13">
        <v>24893.311000000002</v>
      </c>
      <c r="K3124" s="13">
        <v>20644.370999999999</v>
      </c>
      <c r="L3124" s="13">
        <v>25187.421999999999</v>
      </c>
      <c r="M3124" s="13">
        <v>23079.452000000001</v>
      </c>
      <c r="N3124" s="13">
        <v>24878.023000000001</v>
      </c>
      <c r="O3124" s="13">
        <v>23086.656999999999</v>
      </c>
      <c r="P3124" s="13">
        <v>16954.971000000001</v>
      </c>
      <c r="Q3124" s="13">
        <v>21914.897000000001</v>
      </c>
      <c r="R3124" s="13">
        <v>20822.707999999999</v>
      </c>
      <c r="S3124" s="13">
        <v>18818.474999999999</v>
      </c>
      <c r="T3124" s="13">
        <v>15902.088</v>
      </c>
      <c r="U3124" s="13">
        <v>13200.647000000001</v>
      </c>
      <c r="V3124" s="13">
        <v>11088.971</v>
      </c>
      <c r="W3124" s="13">
        <v>8372.2219999999998</v>
      </c>
      <c r="X3124" s="13">
        <v>5492.5940000000001</v>
      </c>
      <c r="Y3124" s="13">
        <v>2928.89</v>
      </c>
      <c r="Z3124" s="13">
        <v>1018.341</v>
      </c>
      <c r="AA3124" s="13">
        <v>273.98700000000002</v>
      </c>
      <c r="AB3124" s="13">
        <v>45.524999999999999</v>
      </c>
      <c r="AC3124" s="13">
        <v>5.81</v>
      </c>
    </row>
    <row r="3125" spans="1:29" ht="11.65" hidden="1" x14ac:dyDescent="0.35">
      <c r="A3125" s="17">
        <v>3108</v>
      </c>
      <c r="B3125" s="15" t="s">
        <v>1015</v>
      </c>
      <c r="C3125" s="16" t="s">
        <v>1231</v>
      </c>
      <c r="D3125" s="14"/>
      <c r="E3125" s="14">
        <v>917</v>
      </c>
      <c r="F3125" s="15" t="s">
        <v>1232</v>
      </c>
      <c r="G3125" s="14">
        <v>1829</v>
      </c>
      <c r="H3125" s="14">
        <v>1960</v>
      </c>
      <c r="I3125" s="13">
        <v>27926.097000000002</v>
      </c>
      <c r="J3125" s="13">
        <v>26985.42</v>
      </c>
      <c r="K3125" s="13">
        <v>24996.57</v>
      </c>
      <c r="L3125" s="13">
        <v>20565.772000000001</v>
      </c>
      <c r="M3125" s="13">
        <v>24859.071</v>
      </c>
      <c r="N3125" s="13">
        <v>22631.643</v>
      </c>
      <c r="O3125" s="13">
        <v>24549.05</v>
      </c>
      <c r="P3125" s="13">
        <v>22758.982</v>
      </c>
      <c r="Q3125" s="13">
        <v>16538.172999999999</v>
      </c>
      <c r="R3125" s="13">
        <v>21447.537</v>
      </c>
      <c r="S3125" s="13">
        <v>20236.935000000001</v>
      </c>
      <c r="T3125" s="13">
        <v>18109.791000000001</v>
      </c>
      <c r="U3125" s="13">
        <v>15059.477000000001</v>
      </c>
      <c r="V3125" s="13">
        <v>12046.791999999999</v>
      </c>
      <c r="W3125" s="13">
        <v>9387.9789999999994</v>
      </c>
      <c r="X3125" s="13">
        <v>6203.4279999999999</v>
      </c>
      <c r="Y3125" s="13">
        <v>3338.9059999999999</v>
      </c>
      <c r="Z3125" s="13">
        <v>1329.5709999999999</v>
      </c>
      <c r="AA3125" s="13">
        <v>305.78199999999998</v>
      </c>
      <c r="AB3125" s="13">
        <v>49.036000000000001</v>
      </c>
      <c r="AC3125" s="13">
        <v>4.8979999999999997</v>
      </c>
    </row>
    <row r="3126" spans="1:29" ht="11.65" hidden="1" x14ac:dyDescent="0.35">
      <c r="A3126" s="17">
        <v>3109</v>
      </c>
      <c r="B3126" s="15" t="s">
        <v>1015</v>
      </c>
      <c r="C3126" s="16" t="s">
        <v>1231</v>
      </c>
      <c r="D3126" s="14"/>
      <c r="E3126" s="14">
        <v>917</v>
      </c>
      <c r="F3126" s="15" t="s">
        <v>1232</v>
      </c>
      <c r="G3126" s="14">
        <v>1829</v>
      </c>
      <c r="H3126" s="14">
        <v>1965</v>
      </c>
      <c r="I3126" s="13">
        <v>27493.56</v>
      </c>
      <c r="J3126" s="13">
        <v>27909.613000000001</v>
      </c>
      <c r="K3126" s="13">
        <v>26896.14</v>
      </c>
      <c r="L3126" s="13">
        <v>24881.413</v>
      </c>
      <c r="M3126" s="13">
        <v>20425.473000000002</v>
      </c>
      <c r="N3126" s="13">
        <v>24624.258000000002</v>
      </c>
      <c r="O3126" s="13">
        <v>22346.566999999999</v>
      </c>
      <c r="P3126" s="13">
        <v>24299.167000000001</v>
      </c>
      <c r="Q3126" s="13">
        <v>22491.52</v>
      </c>
      <c r="R3126" s="13">
        <v>16255.218999999999</v>
      </c>
      <c r="S3126" s="13">
        <v>21092.203000000001</v>
      </c>
      <c r="T3126" s="13">
        <v>19719.596000000001</v>
      </c>
      <c r="U3126" s="13">
        <v>17256.906999999999</v>
      </c>
      <c r="V3126" s="13">
        <v>13814.418</v>
      </c>
      <c r="W3126" s="13">
        <v>10310.16</v>
      </c>
      <c r="X3126" s="13">
        <v>7211.5290000000005</v>
      </c>
      <c r="Y3126" s="13">
        <v>4015.5349999999999</v>
      </c>
      <c r="Z3126" s="13">
        <v>1556.742</v>
      </c>
      <c r="AA3126" s="13">
        <v>412.017</v>
      </c>
      <c r="AB3126" s="13">
        <v>56.408000000000001</v>
      </c>
      <c r="AC3126" s="13">
        <v>5.2240000000000002</v>
      </c>
    </row>
    <row r="3127" spans="1:29" ht="11.65" hidden="1" x14ac:dyDescent="0.35">
      <c r="A3127" s="17">
        <v>3110</v>
      </c>
      <c r="B3127" s="15" t="s">
        <v>1015</v>
      </c>
      <c r="C3127" s="16" t="s">
        <v>1231</v>
      </c>
      <c r="D3127" s="14"/>
      <c r="E3127" s="14">
        <v>917</v>
      </c>
      <c r="F3127" s="15" t="s">
        <v>1232</v>
      </c>
      <c r="G3127" s="14">
        <v>1829</v>
      </c>
      <c r="H3127" s="14">
        <v>1970</v>
      </c>
      <c r="I3127" s="13">
        <v>25886.257000000001</v>
      </c>
      <c r="J3127" s="13">
        <v>27486.905999999999</v>
      </c>
      <c r="K3127" s="13">
        <v>27836.167000000001</v>
      </c>
      <c r="L3127" s="13">
        <v>26738.962</v>
      </c>
      <c r="M3127" s="13">
        <v>24684.191999999999</v>
      </c>
      <c r="N3127" s="13">
        <v>20176.759999999998</v>
      </c>
      <c r="O3127" s="13">
        <v>24337.998</v>
      </c>
      <c r="P3127" s="13">
        <v>21966.395</v>
      </c>
      <c r="Q3127" s="13">
        <v>23950.307000000001</v>
      </c>
      <c r="R3127" s="13">
        <v>22268.026000000002</v>
      </c>
      <c r="S3127" s="13">
        <v>15849.602999999999</v>
      </c>
      <c r="T3127" s="13">
        <v>20523.718000000001</v>
      </c>
      <c r="U3127" s="13">
        <v>18879.7</v>
      </c>
      <c r="V3127" s="13">
        <v>15910.351000000001</v>
      </c>
      <c r="W3127" s="13">
        <v>11893.841</v>
      </c>
      <c r="X3127" s="13">
        <v>7860.3829999999998</v>
      </c>
      <c r="Y3127" s="13">
        <v>4748.6229999999996</v>
      </c>
      <c r="Z3127" s="13">
        <v>1933.75</v>
      </c>
      <c r="AA3127" s="13">
        <v>501.22</v>
      </c>
      <c r="AB3127" s="13">
        <v>79.947999999999993</v>
      </c>
      <c r="AC3127" s="13">
        <v>6.2619999999999996</v>
      </c>
    </row>
    <row r="3128" spans="1:29" ht="11.65" hidden="1" x14ac:dyDescent="0.35">
      <c r="A3128" s="17">
        <v>3111</v>
      </c>
      <c r="B3128" s="15" t="s">
        <v>1015</v>
      </c>
      <c r="C3128" s="16" t="s">
        <v>1231</v>
      </c>
      <c r="D3128" s="14"/>
      <c r="E3128" s="14">
        <v>917</v>
      </c>
      <c r="F3128" s="15" t="s">
        <v>1232</v>
      </c>
      <c r="G3128" s="14">
        <v>1829</v>
      </c>
      <c r="H3128" s="14">
        <v>1975</v>
      </c>
      <c r="I3128" s="13">
        <v>25124.503000000001</v>
      </c>
      <c r="J3128" s="13">
        <v>25852.668000000001</v>
      </c>
      <c r="K3128" s="13">
        <v>27420.05</v>
      </c>
      <c r="L3128" s="13">
        <v>27729.089</v>
      </c>
      <c r="M3128" s="13">
        <v>26725.149000000001</v>
      </c>
      <c r="N3128" s="13">
        <v>24649.059000000001</v>
      </c>
      <c r="O3128" s="13">
        <v>20154.839</v>
      </c>
      <c r="P3128" s="13">
        <v>24263.99</v>
      </c>
      <c r="Q3128" s="13">
        <v>21794.920999999998</v>
      </c>
      <c r="R3128" s="13">
        <v>23622.337</v>
      </c>
      <c r="S3128" s="13">
        <v>21941.923999999999</v>
      </c>
      <c r="T3128" s="13">
        <v>15437.049000000001</v>
      </c>
      <c r="U3128" s="13">
        <v>19553.235000000001</v>
      </c>
      <c r="V3128" s="13">
        <v>17478.964</v>
      </c>
      <c r="W3128" s="13">
        <v>13829.624</v>
      </c>
      <c r="X3128" s="13">
        <v>9241.4619999999995</v>
      </c>
      <c r="Y3128" s="13">
        <v>5227.6049999999996</v>
      </c>
      <c r="Z3128" s="13">
        <v>2350.2890000000002</v>
      </c>
      <c r="AA3128" s="13">
        <v>645.23299999999995</v>
      </c>
      <c r="AB3128" s="13">
        <v>98.838999999999999</v>
      </c>
      <c r="AC3128" s="13">
        <v>8.9260000000000002</v>
      </c>
    </row>
    <row r="3129" spans="1:29" ht="11.65" hidden="1" x14ac:dyDescent="0.35">
      <c r="A3129" s="17">
        <v>3112</v>
      </c>
      <c r="B3129" s="15" t="s">
        <v>1015</v>
      </c>
      <c r="C3129" s="16" t="s">
        <v>1231</v>
      </c>
      <c r="D3129" s="14"/>
      <c r="E3129" s="14">
        <v>917</v>
      </c>
      <c r="F3129" s="15" t="s">
        <v>1232</v>
      </c>
      <c r="G3129" s="14">
        <v>1829</v>
      </c>
      <c r="H3129" s="14">
        <v>1980</v>
      </c>
      <c r="I3129" s="13">
        <v>24289.361000000001</v>
      </c>
      <c r="J3129" s="13">
        <v>24999.78</v>
      </c>
      <c r="K3129" s="13">
        <v>25899.510999999999</v>
      </c>
      <c r="L3129" s="13">
        <v>27557.047999999999</v>
      </c>
      <c r="M3129" s="13">
        <v>27772.73</v>
      </c>
      <c r="N3129" s="13">
        <v>26660.022000000001</v>
      </c>
      <c r="O3129" s="13">
        <v>24571.08</v>
      </c>
      <c r="P3129" s="13">
        <v>20065.832999999999</v>
      </c>
      <c r="Q3129" s="13">
        <v>24107.351999999999</v>
      </c>
      <c r="R3129" s="13">
        <v>21545.635999999999</v>
      </c>
      <c r="S3129" s="13">
        <v>23206.934000000001</v>
      </c>
      <c r="T3129" s="13">
        <v>21325.811000000002</v>
      </c>
      <c r="U3129" s="13">
        <v>14781.51</v>
      </c>
      <c r="V3129" s="13">
        <v>18162.093000000001</v>
      </c>
      <c r="W3129" s="13">
        <v>15388.73</v>
      </c>
      <c r="X3129" s="13">
        <v>10997.591</v>
      </c>
      <c r="Y3129" s="13">
        <v>6198.201</v>
      </c>
      <c r="Z3129" s="13">
        <v>2681.9250000000002</v>
      </c>
      <c r="AA3129" s="13">
        <v>827.52300000000002</v>
      </c>
      <c r="AB3129" s="13">
        <v>139.15</v>
      </c>
      <c r="AC3129" s="13">
        <v>12.173999999999999</v>
      </c>
    </row>
    <row r="3130" spans="1:29" ht="11.65" hidden="1" x14ac:dyDescent="0.35">
      <c r="A3130" s="17">
        <v>3113</v>
      </c>
      <c r="B3130" s="15" t="s">
        <v>1015</v>
      </c>
      <c r="C3130" s="16" t="s">
        <v>1231</v>
      </c>
      <c r="D3130" s="14"/>
      <c r="E3130" s="14">
        <v>917</v>
      </c>
      <c r="F3130" s="15" t="s">
        <v>1232</v>
      </c>
      <c r="G3130" s="14">
        <v>1829</v>
      </c>
      <c r="H3130" s="14">
        <v>1985</v>
      </c>
      <c r="I3130" s="13">
        <v>24168.534</v>
      </c>
      <c r="J3130" s="13">
        <v>24329.588</v>
      </c>
      <c r="K3130" s="13">
        <v>25056.393</v>
      </c>
      <c r="L3130" s="13">
        <v>25953.166000000001</v>
      </c>
      <c r="M3130" s="13">
        <v>27652.026999999998</v>
      </c>
      <c r="N3130" s="13">
        <v>27815.618999999999</v>
      </c>
      <c r="O3130" s="13">
        <v>26634.772000000001</v>
      </c>
      <c r="P3130" s="13">
        <v>24485.879000000001</v>
      </c>
      <c r="Q3130" s="13">
        <v>19924.93</v>
      </c>
      <c r="R3130" s="13">
        <v>23788.565999999999</v>
      </c>
      <c r="S3130" s="13">
        <v>21136.245999999999</v>
      </c>
      <c r="T3130" s="13">
        <v>22555.829000000002</v>
      </c>
      <c r="U3130" s="13">
        <v>20348.715</v>
      </c>
      <c r="V3130" s="13">
        <v>13712.151</v>
      </c>
      <c r="W3130" s="13">
        <v>16039.674999999999</v>
      </c>
      <c r="X3130" s="13">
        <v>12363.98</v>
      </c>
      <c r="Y3130" s="13">
        <v>7494.6670000000004</v>
      </c>
      <c r="Z3130" s="13">
        <v>3261.9960000000001</v>
      </c>
      <c r="AA3130" s="13">
        <v>980.23400000000004</v>
      </c>
      <c r="AB3130" s="13">
        <v>185.971</v>
      </c>
      <c r="AC3130" s="13">
        <v>17.864000000000001</v>
      </c>
    </row>
    <row r="3131" spans="1:29" ht="11.65" hidden="1" x14ac:dyDescent="0.35">
      <c r="A3131" s="17">
        <v>3114</v>
      </c>
      <c r="B3131" s="15" t="s">
        <v>1015</v>
      </c>
      <c r="C3131" s="16" t="s">
        <v>1231</v>
      </c>
      <c r="D3131" s="14"/>
      <c r="E3131" s="14">
        <v>917</v>
      </c>
      <c r="F3131" s="15" t="s">
        <v>1232</v>
      </c>
      <c r="G3131" s="14">
        <v>1829</v>
      </c>
      <c r="H3131" s="14">
        <v>1990</v>
      </c>
      <c r="I3131" s="13">
        <v>23454.281999999999</v>
      </c>
      <c r="J3131" s="13">
        <v>24230.543000000001</v>
      </c>
      <c r="K3131" s="13">
        <v>24446.775000000001</v>
      </c>
      <c r="L3131" s="13">
        <v>25250.842000000001</v>
      </c>
      <c r="M3131" s="13">
        <v>26071.901000000002</v>
      </c>
      <c r="N3131" s="13">
        <v>27697.125</v>
      </c>
      <c r="O3131" s="13">
        <v>27837.83</v>
      </c>
      <c r="P3131" s="13">
        <v>26588.741000000002</v>
      </c>
      <c r="Q3131" s="13">
        <v>24333.137999999999</v>
      </c>
      <c r="R3131" s="13">
        <v>19671.232</v>
      </c>
      <c r="S3131" s="13">
        <v>23330.378000000001</v>
      </c>
      <c r="T3131" s="13">
        <v>20572.137999999999</v>
      </c>
      <c r="U3131" s="13">
        <v>21625.187999999998</v>
      </c>
      <c r="V3131" s="13">
        <v>18999.531999999999</v>
      </c>
      <c r="W3131" s="13">
        <v>12192.85</v>
      </c>
      <c r="X3131" s="13">
        <v>13133.834000000001</v>
      </c>
      <c r="Y3131" s="13">
        <v>8810.2990000000009</v>
      </c>
      <c r="Z3131" s="13">
        <v>4107.7299999999996</v>
      </c>
      <c r="AA3131" s="13">
        <v>1245.6300000000001</v>
      </c>
      <c r="AB3131" s="13">
        <v>229.255</v>
      </c>
      <c r="AC3131" s="13">
        <v>24.431999999999999</v>
      </c>
    </row>
    <row r="3132" spans="1:29" ht="11.65" hidden="1" x14ac:dyDescent="0.35">
      <c r="A3132" s="17">
        <v>3115</v>
      </c>
      <c r="B3132" s="15" t="s">
        <v>1015</v>
      </c>
      <c r="C3132" s="16" t="s">
        <v>1231</v>
      </c>
      <c r="D3132" s="14"/>
      <c r="E3132" s="14">
        <v>917</v>
      </c>
      <c r="F3132" s="15" t="s">
        <v>1232</v>
      </c>
      <c r="G3132" s="14">
        <v>1829</v>
      </c>
      <c r="H3132" s="14">
        <v>1995</v>
      </c>
      <c r="I3132" s="13">
        <v>20215.473000000002</v>
      </c>
      <c r="J3132" s="13">
        <v>23727.855</v>
      </c>
      <c r="K3132" s="13">
        <v>24520.44</v>
      </c>
      <c r="L3132" s="13">
        <v>24625.254000000001</v>
      </c>
      <c r="M3132" s="13">
        <v>25397.760999999999</v>
      </c>
      <c r="N3132" s="13">
        <v>26311.348999999998</v>
      </c>
      <c r="O3132" s="13">
        <v>27901.882000000001</v>
      </c>
      <c r="P3132" s="13">
        <v>27945.491999999998</v>
      </c>
      <c r="Q3132" s="13">
        <v>26528.262999999999</v>
      </c>
      <c r="R3132" s="13">
        <v>24103.214</v>
      </c>
      <c r="S3132" s="13">
        <v>19391.579000000002</v>
      </c>
      <c r="T3132" s="13">
        <v>22743.379000000001</v>
      </c>
      <c r="U3132" s="13">
        <v>19783.626</v>
      </c>
      <c r="V3132" s="13">
        <v>20208.668000000001</v>
      </c>
      <c r="W3132" s="13">
        <v>16957.621999999999</v>
      </c>
      <c r="X3132" s="13">
        <v>10103.805</v>
      </c>
      <c r="Y3132" s="13">
        <v>9484.3520000000008</v>
      </c>
      <c r="Z3132" s="13">
        <v>4971.2719999999999</v>
      </c>
      <c r="AA3132" s="13">
        <v>1613.742</v>
      </c>
      <c r="AB3132" s="13">
        <v>294.68299999999999</v>
      </c>
      <c r="AC3132" s="13">
        <v>29.199000000000002</v>
      </c>
    </row>
    <row r="3133" spans="1:29" ht="11.65" hidden="1" x14ac:dyDescent="0.35">
      <c r="A3133" s="17">
        <v>3116</v>
      </c>
      <c r="B3133" s="15" t="s">
        <v>1015</v>
      </c>
      <c r="C3133" s="16" t="s">
        <v>1231</v>
      </c>
      <c r="D3133" s="14"/>
      <c r="E3133" s="14">
        <v>917</v>
      </c>
      <c r="F3133" s="15" t="s">
        <v>1232</v>
      </c>
      <c r="G3133" s="14">
        <v>1829</v>
      </c>
      <c r="H3133" s="14">
        <v>2000</v>
      </c>
      <c r="I3133" s="13">
        <v>17918.269</v>
      </c>
      <c r="J3133" s="13">
        <v>20303.541000000001</v>
      </c>
      <c r="K3133" s="13">
        <v>23935.473000000002</v>
      </c>
      <c r="L3133" s="13">
        <v>24696.811000000002</v>
      </c>
      <c r="M3133" s="13">
        <v>24783.200000000001</v>
      </c>
      <c r="N3133" s="13">
        <v>25549.826000000001</v>
      </c>
      <c r="O3133" s="13">
        <v>26419.876</v>
      </c>
      <c r="P3133" s="13">
        <v>27908.764999999999</v>
      </c>
      <c r="Q3133" s="13">
        <v>27804.297999999999</v>
      </c>
      <c r="R3133" s="13">
        <v>26236.526999999998</v>
      </c>
      <c r="S3133" s="13">
        <v>23676.128000000001</v>
      </c>
      <c r="T3133" s="13">
        <v>18949.669000000002</v>
      </c>
      <c r="U3133" s="13">
        <v>21877.821</v>
      </c>
      <c r="V3133" s="13">
        <v>18606.647000000001</v>
      </c>
      <c r="W3133" s="13">
        <v>18128.830999999998</v>
      </c>
      <c r="X3133" s="13">
        <v>14096.371999999999</v>
      </c>
      <c r="Y3133" s="13">
        <v>7360.5159999999996</v>
      </c>
      <c r="Z3133" s="13">
        <v>5458.768</v>
      </c>
      <c r="AA3133" s="13">
        <v>1995.5909999999999</v>
      </c>
      <c r="AB3133" s="13">
        <v>387.02800000000002</v>
      </c>
      <c r="AC3133" s="13">
        <v>36.918999999999997</v>
      </c>
    </row>
    <row r="3134" spans="1:29" ht="11.65" hidden="1" x14ac:dyDescent="0.35">
      <c r="A3134" s="17">
        <v>3117</v>
      </c>
      <c r="B3134" s="15" t="s">
        <v>1015</v>
      </c>
      <c r="C3134" s="16" t="s">
        <v>1231</v>
      </c>
      <c r="D3134" s="14"/>
      <c r="E3134" s="14">
        <v>917</v>
      </c>
      <c r="F3134" s="15" t="s">
        <v>1232</v>
      </c>
      <c r="G3134" s="14">
        <v>1829</v>
      </c>
      <c r="H3134" s="14">
        <v>2005</v>
      </c>
      <c r="I3134" s="13">
        <v>17876.856</v>
      </c>
      <c r="J3134" s="13">
        <v>18113.456999999999</v>
      </c>
      <c r="K3134" s="13">
        <v>20569.944</v>
      </c>
      <c r="L3134" s="13">
        <v>24221.611000000001</v>
      </c>
      <c r="M3134" s="13">
        <v>25258.655999999999</v>
      </c>
      <c r="N3134" s="13">
        <v>25455.133000000002</v>
      </c>
      <c r="O3134" s="13">
        <v>26035.136999999999</v>
      </c>
      <c r="P3134" s="13">
        <v>26752.342000000001</v>
      </c>
      <c r="Q3134" s="13">
        <v>28028.82</v>
      </c>
      <c r="R3134" s="13">
        <v>27671.041000000001</v>
      </c>
      <c r="S3134" s="13">
        <v>25926.128000000001</v>
      </c>
      <c r="T3134" s="13">
        <v>23202.109</v>
      </c>
      <c r="U3134" s="13">
        <v>18336.547999999999</v>
      </c>
      <c r="V3134" s="13">
        <v>20704.297999999999</v>
      </c>
      <c r="W3134" s="13">
        <v>16896.46</v>
      </c>
      <c r="X3134" s="13">
        <v>15226.871999999999</v>
      </c>
      <c r="Y3134" s="13">
        <v>10511.146000000001</v>
      </c>
      <c r="Z3134" s="13">
        <v>4429.4979999999996</v>
      </c>
      <c r="AA3134" s="13">
        <v>2294.4960000000001</v>
      </c>
      <c r="AB3134" s="13">
        <v>503.262</v>
      </c>
      <c r="AC3134" s="13">
        <v>50.612000000000002</v>
      </c>
    </row>
    <row r="3135" spans="1:29" ht="11.65" hidden="1" x14ac:dyDescent="0.35">
      <c r="A3135" s="17">
        <v>3118</v>
      </c>
      <c r="B3135" s="15" t="s">
        <v>1015</v>
      </c>
      <c r="C3135" s="16" t="s">
        <v>1231</v>
      </c>
      <c r="D3135" s="14"/>
      <c r="E3135" s="14">
        <v>917</v>
      </c>
      <c r="F3135" s="15" t="s">
        <v>1232</v>
      </c>
      <c r="G3135" s="14">
        <v>1829</v>
      </c>
      <c r="H3135" s="14">
        <v>2010</v>
      </c>
      <c r="I3135" s="13">
        <v>19245.419999999998</v>
      </c>
      <c r="J3135" s="13">
        <v>17952.856</v>
      </c>
      <c r="K3135" s="13">
        <v>18344.659</v>
      </c>
      <c r="L3135" s="13">
        <v>21110.182000000001</v>
      </c>
      <c r="M3135" s="13">
        <v>24957.151999999998</v>
      </c>
      <c r="N3135" s="13">
        <v>25796.960999999999</v>
      </c>
      <c r="O3135" s="13">
        <v>25977.832999999999</v>
      </c>
      <c r="P3135" s="13">
        <v>26240.223000000002</v>
      </c>
      <c r="Q3135" s="13">
        <v>26558.091</v>
      </c>
      <c r="R3135" s="13">
        <v>28093.197</v>
      </c>
      <c r="S3135" s="13">
        <v>27373.058000000001</v>
      </c>
      <c r="T3135" s="13">
        <v>25524.233</v>
      </c>
      <c r="U3135" s="13">
        <v>22170.75</v>
      </c>
      <c r="V3135" s="13">
        <v>17739.737000000001</v>
      </c>
      <c r="W3135" s="13">
        <v>19020.625</v>
      </c>
      <c r="X3135" s="13">
        <v>14630.118</v>
      </c>
      <c r="Y3135" s="13">
        <v>11779.11</v>
      </c>
      <c r="Z3135" s="13">
        <v>6576.8289999999997</v>
      </c>
      <c r="AA3135" s="13">
        <v>2007.17</v>
      </c>
      <c r="AB3135" s="13">
        <v>628.24</v>
      </c>
      <c r="AC3135" s="13">
        <v>71.191000000000003</v>
      </c>
    </row>
    <row r="3136" spans="1:29" ht="11.65" hidden="1" x14ac:dyDescent="0.35">
      <c r="A3136" s="17">
        <v>3119</v>
      </c>
      <c r="B3136" s="15" t="s">
        <v>1015</v>
      </c>
      <c r="C3136" s="16" t="s">
        <v>1231</v>
      </c>
      <c r="D3136" s="14"/>
      <c r="E3136" s="14">
        <v>917</v>
      </c>
      <c r="F3136" s="15" t="s">
        <v>1232</v>
      </c>
      <c r="G3136" s="14">
        <v>1829</v>
      </c>
      <c r="H3136" s="14">
        <v>2015</v>
      </c>
      <c r="I3136" s="13">
        <v>19567.990000000002</v>
      </c>
      <c r="J3136" s="13">
        <v>19399.237000000001</v>
      </c>
      <c r="K3136" s="13">
        <v>18172.246999999999</v>
      </c>
      <c r="L3136" s="13">
        <v>18634.191999999999</v>
      </c>
      <c r="M3136" s="13">
        <v>21537.905999999999</v>
      </c>
      <c r="N3136" s="13">
        <v>25405.662</v>
      </c>
      <c r="O3136" s="13">
        <v>26123.272000000001</v>
      </c>
      <c r="P3136" s="13">
        <v>26170.082999999999</v>
      </c>
      <c r="Q3136" s="13">
        <v>26275.387999999999</v>
      </c>
      <c r="R3136" s="13">
        <v>26504.023000000001</v>
      </c>
      <c r="S3136" s="13">
        <v>27835.48</v>
      </c>
      <c r="T3136" s="13">
        <v>26894.773000000001</v>
      </c>
      <c r="U3136" s="13">
        <v>24809.607</v>
      </c>
      <c r="V3136" s="13">
        <v>21225.135999999999</v>
      </c>
      <c r="W3136" s="13">
        <v>16598.268</v>
      </c>
      <c r="X3136" s="13">
        <v>16693.978999999999</v>
      </c>
      <c r="Y3136" s="13">
        <v>11607.179</v>
      </c>
      <c r="Z3136" s="13">
        <v>7631.4790000000003</v>
      </c>
      <c r="AA3136" s="13">
        <v>3112.2840000000001</v>
      </c>
      <c r="AB3136" s="13">
        <v>584.76</v>
      </c>
      <c r="AC3136" s="13">
        <v>93.533000000000001</v>
      </c>
    </row>
    <row r="3137" spans="1:29" ht="11.65" hidden="1" x14ac:dyDescent="0.35">
      <c r="A3137" s="17">
        <v>3120</v>
      </c>
      <c r="B3137" s="15" t="s">
        <v>1015</v>
      </c>
      <c r="C3137" s="16" t="s">
        <v>1231</v>
      </c>
      <c r="D3137" s="14"/>
      <c r="E3137" s="14">
        <v>917</v>
      </c>
      <c r="F3137" s="15" t="s">
        <v>1232</v>
      </c>
      <c r="G3137" s="14">
        <v>1829</v>
      </c>
      <c r="H3137" s="14">
        <v>2020</v>
      </c>
      <c r="I3137" s="13">
        <v>19009.129000000001</v>
      </c>
      <c r="J3137" s="13">
        <v>19814.776000000002</v>
      </c>
      <c r="K3137" s="13">
        <v>19570.838</v>
      </c>
      <c r="L3137" s="13">
        <v>18434.936000000002</v>
      </c>
      <c r="M3137" s="13">
        <v>18999.21</v>
      </c>
      <c r="N3137" s="13">
        <v>22021.518</v>
      </c>
      <c r="O3137" s="13">
        <v>25823.486000000001</v>
      </c>
      <c r="P3137" s="13">
        <v>26332.5</v>
      </c>
      <c r="Q3137" s="13">
        <v>26251.263999999999</v>
      </c>
      <c r="R3137" s="13">
        <v>26254.025000000001</v>
      </c>
      <c r="S3137" s="13">
        <v>26299.716</v>
      </c>
      <c r="T3137" s="13">
        <v>27451.322</v>
      </c>
      <c r="U3137" s="13">
        <v>26160.696</v>
      </c>
      <c r="V3137" s="13">
        <v>23788.031999999999</v>
      </c>
      <c r="W3137" s="13">
        <v>19710.3</v>
      </c>
      <c r="X3137" s="13">
        <v>14777.41</v>
      </c>
      <c r="Y3137" s="13">
        <v>13228.222</v>
      </c>
      <c r="Z3137" s="13">
        <v>7768.2070000000003</v>
      </c>
      <c r="AA3137" s="13">
        <v>3789.7620000000002</v>
      </c>
      <c r="AB3137" s="13">
        <v>987.66700000000003</v>
      </c>
      <c r="AC3137" s="13">
        <v>102.056</v>
      </c>
    </row>
    <row r="3138" spans="1:29" ht="11.65" hidden="1" x14ac:dyDescent="0.35">
      <c r="A3138" s="23">
        <v>3121</v>
      </c>
      <c r="B3138" s="21" t="s">
        <v>1015</v>
      </c>
      <c r="C3138" s="22" t="s">
        <v>1233</v>
      </c>
      <c r="D3138" s="20"/>
      <c r="E3138" s="20">
        <v>923</v>
      </c>
      <c r="F3138" s="21" t="s">
        <v>1065</v>
      </c>
      <c r="G3138" s="20">
        <v>917</v>
      </c>
      <c r="H3138" s="20">
        <v>1950</v>
      </c>
      <c r="I3138" s="19">
        <v>11033.941000000001</v>
      </c>
      <c r="J3138" s="19">
        <v>8145.6570000000002</v>
      </c>
      <c r="K3138" s="19">
        <v>12063.454</v>
      </c>
      <c r="L3138" s="19">
        <v>10413.553</v>
      </c>
      <c r="M3138" s="19">
        <v>12288.602999999999</v>
      </c>
      <c r="N3138" s="19">
        <v>10099.957</v>
      </c>
      <c r="O3138" s="19">
        <v>7147.6019999999999</v>
      </c>
      <c r="P3138" s="19">
        <v>9733.509</v>
      </c>
      <c r="Q3138" s="19">
        <v>8773.5879999999997</v>
      </c>
      <c r="R3138" s="19">
        <v>7743.5410000000002</v>
      </c>
      <c r="S3138" s="19">
        <v>6145.4279999999999</v>
      </c>
      <c r="T3138" s="19">
        <v>4984.6369999999997</v>
      </c>
      <c r="U3138" s="19">
        <v>4304.1840000000002</v>
      </c>
      <c r="V3138" s="19">
        <v>3392.9209999999998</v>
      </c>
      <c r="W3138" s="19">
        <v>2361.0740000000001</v>
      </c>
      <c r="X3138" s="19">
        <v>1511.0619999999999</v>
      </c>
      <c r="Y3138" s="19">
        <v>700.76499999999999</v>
      </c>
      <c r="Z3138" s="19">
        <v>304.52</v>
      </c>
      <c r="AA3138" s="19">
        <v>100.357</v>
      </c>
      <c r="AB3138" s="19">
        <v>26.800999999999998</v>
      </c>
      <c r="AC3138" s="19">
        <v>6.7960000000000003</v>
      </c>
    </row>
    <row r="3139" spans="1:29" ht="11.65" hidden="1" x14ac:dyDescent="0.35">
      <c r="A3139" s="23">
        <v>3122</v>
      </c>
      <c r="B3139" s="21" t="s">
        <v>1015</v>
      </c>
      <c r="C3139" s="22" t="s">
        <v>1233</v>
      </c>
      <c r="D3139" s="20"/>
      <c r="E3139" s="20">
        <v>923</v>
      </c>
      <c r="F3139" s="21" t="s">
        <v>1065</v>
      </c>
      <c r="G3139" s="20">
        <v>917</v>
      </c>
      <c r="H3139" s="20">
        <v>1955</v>
      </c>
      <c r="I3139" s="19">
        <v>13039.842000000001</v>
      </c>
      <c r="J3139" s="19">
        <v>10743.625</v>
      </c>
      <c r="K3139" s="19">
        <v>8108.3639999999996</v>
      </c>
      <c r="L3139" s="19">
        <v>12069.19</v>
      </c>
      <c r="M3139" s="19">
        <v>10270.004000000001</v>
      </c>
      <c r="N3139" s="19">
        <v>12057.737999999999</v>
      </c>
      <c r="O3139" s="19">
        <v>9950.3080000000009</v>
      </c>
      <c r="P3139" s="19">
        <v>7003.6540000000005</v>
      </c>
      <c r="Q3139" s="19">
        <v>9576.5400000000009</v>
      </c>
      <c r="R3139" s="19">
        <v>8574.7070000000003</v>
      </c>
      <c r="S3139" s="19">
        <v>7515.9229999999998</v>
      </c>
      <c r="T3139" s="19">
        <v>5880.4859999999999</v>
      </c>
      <c r="U3139" s="19">
        <v>4648.5230000000001</v>
      </c>
      <c r="V3139" s="19">
        <v>3845.5340000000001</v>
      </c>
      <c r="W3139" s="19">
        <v>2810.3670000000002</v>
      </c>
      <c r="X3139" s="19">
        <v>1710.94</v>
      </c>
      <c r="Y3139" s="19">
        <v>945.22</v>
      </c>
      <c r="Z3139" s="19">
        <v>307.33199999999999</v>
      </c>
      <c r="AA3139" s="19">
        <v>89.989000000000004</v>
      </c>
      <c r="AB3139" s="19">
        <v>18.103000000000002</v>
      </c>
      <c r="AC3139" s="19">
        <v>3.4470000000000001</v>
      </c>
    </row>
    <row r="3140" spans="1:29" ht="11.65" hidden="1" x14ac:dyDescent="0.35">
      <c r="A3140" s="23">
        <v>3123</v>
      </c>
      <c r="B3140" s="21" t="s">
        <v>1015</v>
      </c>
      <c r="C3140" s="22" t="s">
        <v>1233</v>
      </c>
      <c r="D3140" s="20"/>
      <c r="E3140" s="20">
        <v>923</v>
      </c>
      <c r="F3140" s="21" t="s">
        <v>1065</v>
      </c>
      <c r="G3140" s="20">
        <v>917</v>
      </c>
      <c r="H3140" s="20">
        <v>1960</v>
      </c>
      <c r="I3140" s="19">
        <v>13101.948</v>
      </c>
      <c r="J3140" s="19">
        <v>12881.856</v>
      </c>
      <c r="K3140" s="19">
        <v>10800.179</v>
      </c>
      <c r="L3140" s="19">
        <v>8032.9589999999998</v>
      </c>
      <c r="M3140" s="19">
        <v>11899.718999999999</v>
      </c>
      <c r="N3140" s="19">
        <v>10088.143</v>
      </c>
      <c r="O3140" s="19">
        <v>11933.002</v>
      </c>
      <c r="P3140" s="19">
        <v>9836.6149999999998</v>
      </c>
      <c r="Q3140" s="19">
        <v>6786.7550000000001</v>
      </c>
      <c r="R3140" s="19">
        <v>9334.09</v>
      </c>
      <c r="S3140" s="19">
        <v>8297.5990000000002</v>
      </c>
      <c r="T3140" s="19">
        <v>7216.3019999999997</v>
      </c>
      <c r="U3140" s="19">
        <v>5578.26</v>
      </c>
      <c r="V3140" s="19">
        <v>4239.7470000000003</v>
      </c>
      <c r="W3140" s="19">
        <v>3225.0410000000002</v>
      </c>
      <c r="X3140" s="19">
        <v>2034.1690000000001</v>
      </c>
      <c r="Y3140" s="19">
        <v>999.12</v>
      </c>
      <c r="Z3140" s="19">
        <v>432.82799999999997</v>
      </c>
      <c r="AA3140" s="19">
        <v>95.287000000000006</v>
      </c>
      <c r="AB3140" s="19">
        <v>17.108000000000001</v>
      </c>
      <c r="AC3140" s="19">
        <v>2.2599999999999998</v>
      </c>
    </row>
    <row r="3141" spans="1:29" ht="11.65" hidden="1" x14ac:dyDescent="0.35">
      <c r="A3141" s="23">
        <v>3124</v>
      </c>
      <c r="B3141" s="21" t="s">
        <v>1015</v>
      </c>
      <c r="C3141" s="22" t="s">
        <v>1233</v>
      </c>
      <c r="D3141" s="20"/>
      <c r="E3141" s="20">
        <v>923</v>
      </c>
      <c r="F3141" s="21" t="s">
        <v>1065</v>
      </c>
      <c r="G3141" s="20">
        <v>917</v>
      </c>
      <c r="H3141" s="20">
        <v>1965</v>
      </c>
      <c r="I3141" s="19">
        <v>11453.64</v>
      </c>
      <c r="J3141" s="19">
        <v>13086.433000000001</v>
      </c>
      <c r="K3141" s="19">
        <v>12759.188</v>
      </c>
      <c r="L3141" s="19">
        <v>10700.432000000001</v>
      </c>
      <c r="M3141" s="19">
        <v>7951.2420000000002</v>
      </c>
      <c r="N3141" s="19">
        <v>11788.378000000001</v>
      </c>
      <c r="O3141" s="19">
        <v>9925.0210000000006</v>
      </c>
      <c r="P3141" s="19">
        <v>11796.225</v>
      </c>
      <c r="Q3141" s="19">
        <v>9727.0300000000007</v>
      </c>
      <c r="R3141" s="19">
        <v>6643.53</v>
      </c>
      <c r="S3141" s="19">
        <v>9207.7009999999991</v>
      </c>
      <c r="T3141" s="19">
        <v>8124.2070000000003</v>
      </c>
      <c r="U3141" s="19">
        <v>6851.9740000000002</v>
      </c>
      <c r="V3141" s="19">
        <v>5079.9380000000001</v>
      </c>
      <c r="W3141" s="19">
        <v>3575.569</v>
      </c>
      <c r="X3141" s="19">
        <v>2459.2339999999999</v>
      </c>
      <c r="Y3141" s="19">
        <v>1346.355</v>
      </c>
      <c r="Z3141" s="19">
        <v>465.40600000000001</v>
      </c>
      <c r="AA3141" s="19">
        <v>136.553</v>
      </c>
      <c r="AB3141" s="19">
        <v>18.263999999999999</v>
      </c>
      <c r="AC3141" s="19">
        <v>2.0379999999999998</v>
      </c>
    </row>
    <row r="3142" spans="1:29" ht="11.65" hidden="1" x14ac:dyDescent="0.35">
      <c r="A3142" s="23">
        <v>3125</v>
      </c>
      <c r="B3142" s="21" t="s">
        <v>1015</v>
      </c>
      <c r="C3142" s="22" t="s">
        <v>1233</v>
      </c>
      <c r="D3142" s="20"/>
      <c r="E3142" s="20">
        <v>923</v>
      </c>
      <c r="F3142" s="21" t="s">
        <v>1065</v>
      </c>
      <c r="G3142" s="20">
        <v>917</v>
      </c>
      <c r="H3142" s="20">
        <v>1970</v>
      </c>
      <c r="I3142" s="19">
        <v>10261.987999999999</v>
      </c>
      <c r="J3142" s="19">
        <v>11497.378000000001</v>
      </c>
      <c r="K3142" s="19">
        <v>12998.789000000001</v>
      </c>
      <c r="L3142" s="19">
        <v>12620.035</v>
      </c>
      <c r="M3142" s="19">
        <v>10582.413</v>
      </c>
      <c r="N3142" s="19">
        <v>7854.1379999999999</v>
      </c>
      <c r="O3142" s="19">
        <v>11647.221</v>
      </c>
      <c r="P3142" s="19">
        <v>9679.94</v>
      </c>
      <c r="Q3142" s="19">
        <v>11560.09</v>
      </c>
      <c r="R3142" s="19">
        <v>9682.9429999999993</v>
      </c>
      <c r="S3142" s="19">
        <v>6484.02</v>
      </c>
      <c r="T3142" s="19">
        <v>9006.3960000000006</v>
      </c>
      <c r="U3142" s="19">
        <v>7805.3370000000004</v>
      </c>
      <c r="V3142" s="19">
        <v>6276.2539999999999</v>
      </c>
      <c r="W3142" s="19">
        <v>4293.8710000000001</v>
      </c>
      <c r="X3142" s="19">
        <v>2635.2440000000001</v>
      </c>
      <c r="Y3142" s="19">
        <v>1656.383</v>
      </c>
      <c r="Z3142" s="19">
        <v>637.73400000000004</v>
      </c>
      <c r="AA3142" s="19">
        <v>151.434</v>
      </c>
      <c r="AB3142" s="19">
        <v>27.638000000000002</v>
      </c>
      <c r="AC3142" s="19">
        <v>2.2290000000000001</v>
      </c>
    </row>
    <row r="3143" spans="1:29" ht="11.65" hidden="1" x14ac:dyDescent="0.35">
      <c r="A3143" s="23">
        <v>3126</v>
      </c>
      <c r="B3143" s="21" t="s">
        <v>1015</v>
      </c>
      <c r="C3143" s="22" t="s">
        <v>1233</v>
      </c>
      <c r="D3143" s="20"/>
      <c r="E3143" s="20">
        <v>923</v>
      </c>
      <c r="F3143" s="21" t="s">
        <v>1065</v>
      </c>
      <c r="G3143" s="20">
        <v>917</v>
      </c>
      <c r="H3143" s="20">
        <v>1975</v>
      </c>
      <c r="I3143" s="19">
        <v>11016.234</v>
      </c>
      <c r="J3143" s="19">
        <v>10202.664000000001</v>
      </c>
      <c r="K3143" s="19">
        <v>11371.294</v>
      </c>
      <c r="L3143" s="19">
        <v>12790.481</v>
      </c>
      <c r="M3143" s="19">
        <v>12516.61</v>
      </c>
      <c r="N3143" s="19">
        <v>10522.25</v>
      </c>
      <c r="O3143" s="19">
        <v>7815.96</v>
      </c>
      <c r="P3143" s="19">
        <v>11573.423000000001</v>
      </c>
      <c r="Q3143" s="19">
        <v>9567.6380000000008</v>
      </c>
      <c r="R3143" s="19">
        <v>11364.463</v>
      </c>
      <c r="S3143" s="19">
        <v>9590.9560000000001</v>
      </c>
      <c r="T3143" s="19">
        <v>6340.6620000000003</v>
      </c>
      <c r="U3143" s="19">
        <v>8528.3770000000004</v>
      </c>
      <c r="V3143" s="19">
        <v>7194.7060000000001</v>
      </c>
      <c r="W3143" s="19">
        <v>5384.7470000000003</v>
      </c>
      <c r="X3143" s="19">
        <v>3251.1120000000001</v>
      </c>
      <c r="Y3143" s="19">
        <v>1736.6590000000001</v>
      </c>
      <c r="Z3143" s="19">
        <v>802.80399999999997</v>
      </c>
      <c r="AA3143" s="19">
        <v>213.09</v>
      </c>
      <c r="AB3143" s="19">
        <v>31.109000000000002</v>
      </c>
      <c r="AC3143" s="19">
        <v>3.4449999999999998</v>
      </c>
    </row>
    <row r="3144" spans="1:29" ht="11.65" hidden="1" x14ac:dyDescent="0.35">
      <c r="A3144" s="23">
        <v>3127</v>
      </c>
      <c r="B3144" s="21" t="s">
        <v>1015</v>
      </c>
      <c r="C3144" s="22" t="s">
        <v>1233</v>
      </c>
      <c r="D3144" s="20"/>
      <c r="E3144" s="20">
        <v>923</v>
      </c>
      <c r="F3144" s="21" t="s">
        <v>1065</v>
      </c>
      <c r="G3144" s="20">
        <v>917</v>
      </c>
      <c r="H3144" s="20">
        <v>1980</v>
      </c>
      <c r="I3144" s="19">
        <v>11563.525</v>
      </c>
      <c r="J3144" s="19">
        <v>10909.638000000001</v>
      </c>
      <c r="K3144" s="19">
        <v>10149.233</v>
      </c>
      <c r="L3144" s="19">
        <v>11349.236999999999</v>
      </c>
      <c r="M3144" s="19">
        <v>12735.102000000001</v>
      </c>
      <c r="N3144" s="19">
        <v>12468.716</v>
      </c>
      <c r="O3144" s="19">
        <v>10487.662</v>
      </c>
      <c r="P3144" s="19">
        <v>7738.0360000000001</v>
      </c>
      <c r="Q3144" s="19">
        <v>11445.737999999999</v>
      </c>
      <c r="R3144" s="19">
        <v>9422.0490000000009</v>
      </c>
      <c r="S3144" s="19">
        <v>11123.460999999999</v>
      </c>
      <c r="T3144" s="19">
        <v>9268.6370000000006</v>
      </c>
      <c r="U3144" s="19">
        <v>6035.915</v>
      </c>
      <c r="V3144" s="19">
        <v>7825.3450000000003</v>
      </c>
      <c r="W3144" s="19">
        <v>6227.9229999999998</v>
      </c>
      <c r="X3144" s="19">
        <v>4174.4679999999998</v>
      </c>
      <c r="Y3144" s="19">
        <v>2072.7170000000001</v>
      </c>
      <c r="Z3144" s="19">
        <v>852.92499999999995</v>
      </c>
      <c r="AA3144" s="19">
        <v>284.39100000000002</v>
      </c>
      <c r="AB3144" s="19">
        <v>49.646999999999998</v>
      </c>
      <c r="AC3144" s="19">
        <v>4.7530000000000001</v>
      </c>
    </row>
    <row r="3145" spans="1:29" ht="11.65" hidden="1" x14ac:dyDescent="0.35">
      <c r="A3145" s="23">
        <v>3128</v>
      </c>
      <c r="B3145" s="21" t="s">
        <v>1015</v>
      </c>
      <c r="C3145" s="22" t="s">
        <v>1233</v>
      </c>
      <c r="D3145" s="20"/>
      <c r="E3145" s="20">
        <v>923</v>
      </c>
      <c r="F3145" s="21" t="s">
        <v>1065</v>
      </c>
      <c r="G3145" s="20">
        <v>917</v>
      </c>
      <c r="H3145" s="20">
        <v>1985</v>
      </c>
      <c r="I3145" s="19">
        <v>11837.638999999999</v>
      </c>
      <c r="J3145" s="19">
        <v>11593.485000000001</v>
      </c>
      <c r="K3145" s="19">
        <v>10918.226000000001</v>
      </c>
      <c r="L3145" s="19">
        <v>10139.044</v>
      </c>
      <c r="M3145" s="19">
        <v>11369.386</v>
      </c>
      <c r="N3145" s="19">
        <v>12743.799000000001</v>
      </c>
      <c r="O3145" s="19">
        <v>12430.222</v>
      </c>
      <c r="P3145" s="19">
        <v>10424.696</v>
      </c>
      <c r="Q3145" s="19">
        <v>7658.4610000000002</v>
      </c>
      <c r="R3145" s="19">
        <v>11246.656999999999</v>
      </c>
      <c r="S3145" s="19">
        <v>9198.5349999999999</v>
      </c>
      <c r="T3145" s="19">
        <v>10756.716</v>
      </c>
      <c r="U3145" s="19">
        <v>8745.5550000000003</v>
      </c>
      <c r="V3145" s="19">
        <v>5508.8370000000004</v>
      </c>
      <c r="W3145" s="19">
        <v>6748.4110000000001</v>
      </c>
      <c r="X3145" s="19">
        <v>4815.6530000000002</v>
      </c>
      <c r="Y3145" s="19">
        <v>2666.1990000000001</v>
      </c>
      <c r="Z3145" s="19">
        <v>1004.641</v>
      </c>
      <c r="AA3145" s="19">
        <v>295.93400000000003</v>
      </c>
      <c r="AB3145" s="19">
        <v>64.897000000000006</v>
      </c>
      <c r="AC3145" s="19">
        <v>7.2610000000000001</v>
      </c>
    </row>
    <row r="3146" spans="1:29" ht="11.65" hidden="1" x14ac:dyDescent="0.35">
      <c r="A3146" s="23">
        <v>3129</v>
      </c>
      <c r="B3146" s="21" t="s">
        <v>1015</v>
      </c>
      <c r="C3146" s="22" t="s">
        <v>1233</v>
      </c>
      <c r="D3146" s="20"/>
      <c r="E3146" s="20">
        <v>923</v>
      </c>
      <c r="F3146" s="21" t="s">
        <v>1065</v>
      </c>
      <c r="G3146" s="20">
        <v>917</v>
      </c>
      <c r="H3146" s="20">
        <v>1990</v>
      </c>
      <c r="I3146" s="19">
        <v>11330.449000000001</v>
      </c>
      <c r="J3146" s="19">
        <v>11803.403</v>
      </c>
      <c r="K3146" s="19">
        <v>11598.726000000001</v>
      </c>
      <c r="L3146" s="19">
        <v>10954.642</v>
      </c>
      <c r="M3146" s="19">
        <v>10084.815000000001</v>
      </c>
      <c r="N3146" s="19">
        <v>11299.200999999999</v>
      </c>
      <c r="O3146" s="19">
        <v>12667.234</v>
      </c>
      <c r="P3146" s="19">
        <v>12312.475</v>
      </c>
      <c r="Q3146" s="19">
        <v>10292.594999999999</v>
      </c>
      <c r="R3146" s="19">
        <v>7509.5110000000004</v>
      </c>
      <c r="S3146" s="19">
        <v>10977.576999999999</v>
      </c>
      <c r="T3146" s="19">
        <v>8916.6689999999999</v>
      </c>
      <c r="U3146" s="19">
        <v>10207.974</v>
      </c>
      <c r="V3146" s="19">
        <v>7995.2049999999999</v>
      </c>
      <c r="W3146" s="19">
        <v>4743.5360000000001</v>
      </c>
      <c r="X3146" s="19">
        <v>5301.2420000000002</v>
      </c>
      <c r="Y3146" s="19">
        <v>3238.0070000000001</v>
      </c>
      <c r="Z3146" s="19">
        <v>1312.2470000000001</v>
      </c>
      <c r="AA3146" s="19">
        <v>345.74</v>
      </c>
      <c r="AB3146" s="19">
        <v>66.105000000000004</v>
      </c>
      <c r="AC3146" s="19">
        <v>9.2520000000000007</v>
      </c>
    </row>
    <row r="3147" spans="1:29" ht="11.65" hidden="1" x14ac:dyDescent="0.35">
      <c r="A3147" s="23">
        <v>3130</v>
      </c>
      <c r="B3147" s="21" t="s">
        <v>1015</v>
      </c>
      <c r="C3147" s="22" t="s">
        <v>1233</v>
      </c>
      <c r="D3147" s="20"/>
      <c r="E3147" s="20">
        <v>923</v>
      </c>
      <c r="F3147" s="21" t="s">
        <v>1065</v>
      </c>
      <c r="G3147" s="20">
        <v>917</v>
      </c>
      <c r="H3147" s="20">
        <v>1995</v>
      </c>
      <c r="I3147" s="19">
        <v>8559.6020000000008</v>
      </c>
      <c r="J3147" s="19">
        <v>11443.835999999999</v>
      </c>
      <c r="K3147" s="19">
        <v>11908.312</v>
      </c>
      <c r="L3147" s="19">
        <v>11593.391</v>
      </c>
      <c r="M3147" s="19">
        <v>10881.156000000001</v>
      </c>
      <c r="N3147" s="19">
        <v>10087.678</v>
      </c>
      <c r="O3147" s="19">
        <v>11312.754000000001</v>
      </c>
      <c r="P3147" s="19">
        <v>12643.218999999999</v>
      </c>
      <c r="Q3147" s="19">
        <v>12220.828</v>
      </c>
      <c r="R3147" s="19">
        <v>10147.387000000001</v>
      </c>
      <c r="S3147" s="19">
        <v>7354.95</v>
      </c>
      <c r="T3147" s="19">
        <v>10590.415000000001</v>
      </c>
      <c r="U3147" s="19">
        <v>8442.8209999999999</v>
      </c>
      <c r="V3147" s="19">
        <v>9330.5570000000007</v>
      </c>
      <c r="W3147" s="19">
        <v>6856.1580000000004</v>
      </c>
      <c r="X3147" s="19">
        <v>3711.1779999999999</v>
      </c>
      <c r="Y3147" s="19">
        <v>3506.6680000000001</v>
      </c>
      <c r="Z3147" s="19">
        <v>1586.2429999999999</v>
      </c>
      <c r="AA3147" s="19">
        <v>436.09300000000002</v>
      </c>
      <c r="AB3147" s="19">
        <v>69.290000000000006</v>
      </c>
      <c r="AC3147" s="19">
        <v>8.1509999999999998</v>
      </c>
    </row>
    <row r="3148" spans="1:29" ht="11.65" hidden="1" x14ac:dyDescent="0.35">
      <c r="A3148" s="23">
        <v>3131</v>
      </c>
      <c r="B3148" s="21" t="s">
        <v>1015</v>
      </c>
      <c r="C3148" s="22" t="s">
        <v>1233</v>
      </c>
      <c r="D3148" s="20"/>
      <c r="E3148" s="20">
        <v>923</v>
      </c>
      <c r="F3148" s="21" t="s">
        <v>1065</v>
      </c>
      <c r="G3148" s="20">
        <v>917</v>
      </c>
      <c r="H3148" s="20">
        <v>2000</v>
      </c>
      <c r="I3148" s="19">
        <v>6819.8739999999998</v>
      </c>
      <c r="J3148" s="19">
        <v>8584.1389999999992</v>
      </c>
      <c r="K3148" s="19">
        <v>11559.76</v>
      </c>
      <c r="L3148" s="19">
        <v>12008.819</v>
      </c>
      <c r="M3148" s="19">
        <v>11552.776</v>
      </c>
      <c r="N3148" s="19">
        <v>10792.423000000001</v>
      </c>
      <c r="O3148" s="19">
        <v>10069.466</v>
      </c>
      <c r="P3148" s="19">
        <v>11273.38</v>
      </c>
      <c r="Q3148" s="19">
        <v>12527.718999999999</v>
      </c>
      <c r="R3148" s="19">
        <v>12041.956</v>
      </c>
      <c r="S3148" s="19">
        <v>9909.8080000000009</v>
      </c>
      <c r="T3148" s="19">
        <v>7150.9089999999997</v>
      </c>
      <c r="U3148" s="19">
        <v>10033.547</v>
      </c>
      <c r="V3148" s="19">
        <v>7731.2049999999999</v>
      </c>
      <c r="W3148" s="19">
        <v>8053.4449999999997</v>
      </c>
      <c r="X3148" s="19">
        <v>5303.6450000000004</v>
      </c>
      <c r="Y3148" s="19">
        <v>2391.4580000000001</v>
      </c>
      <c r="Z3148" s="19">
        <v>1700.0329999999999</v>
      </c>
      <c r="AA3148" s="19">
        <v>507.94099999999997</v>
      </c>
      <c r="AB3148" s="19">
        <v>80.930999999999997</v>
      </c>
      <c r="AC3148" s="19">
        <v>7.3609999999999998</v>
      </c>
    </row>
    <row r="3149" spans="1:29" ht="11.65" hidden="1" x14ac:dyDescent="0.35">
      <c r="A3149" s="23">
        <v>3132</v>
      </c>
      <c r="B3149" s="21" t="s">
        <v>1015</v>
      </c>
      <c r="C3149" s="22" t="s">
        <v>1233</v>
      </c>
      <c r="D3149" s="20"/>
      <c r="E3149" s="20">
        <v>923</v>
      </c>
      <c r="F3149" s="21" t="s">
        <v>1065</v>
      </c>
      <c r="G3149" s="20">
        <v>917</v>
      </c>
      <c r="H3149" s="20">
        <v>2005</v>
      </c>
      <c r="I3149" s="19">
        <v>6789.8729999999996</v>
      </c>
      <c r="J3149" s="19">
        <v>6842.8860000000004</v>
      </c>
      <c r="K3149" s="19">
        <v>8627.9719999999998</v>
      </c>
      <c r="L3149" s="19">
        <v>11569.575000000001</v>
      </c>
      <c r="M3149" s="19">
        <v>11987.566000000001</v>
      </c>
      <c r="N3149" s="19">
        <v>11488.733</v>
      </c>
      <c r="O3149" s="19">
        <v>10710.27</v>
      </c>
      <c r="P3149" s="19">
        <v>10017.549999999999</v>
      </c>
      <c r="Q3149" s="19">
        <v>11172.806</v>
      </c>
      <c r="R3149" s="19">
        <v>12321.44</v>
      </c>
      <c r="S3149" s="19">
        <v>11763.352999999999</v>
      </c>
      <c r="T3149" s="19">
        <v>9568.3220000000001</v>
      </c>
      <c r="U3149" s="19">
        <v>6760.8370000000004</v>
      </c>
      <c r="V3149" s="19">
        <v>9265.848</v>
      </c>
      <c r="W3149" s="19">
        <v>6703.6120000000001</v>
      </c>
      <c r="X3149" s="19">
        <v>6322.2920000000004</v>
      </c>
      <c r="Y3149" s="19">
        <v>3516.9050000000002</v>
      </c>
      <c r="Z3149" s="19">
        <v>1189.5160000000001</v>
      </c>
      <c r="AA3149" s="19">
        <v>561.55100000000004</v>
      </c>
      <c r="AB3149" s="19">
        <v>97.343999999999994</v>
      </c>
      <c r="AC3149" s="19">
        <v>8.5570000000000004</v>
      </c>
    </row>
    <row r="3150" spans="1:29" ht="11.65" hidden="1" x14ac:dyDescent="0.35">
      <c r="A3150" s="23">
        <v>3133</v>
      </c>
      <c r="B3150" s="21" t="s">
        <v>1015</v>
      </c>
      <c r="C3150" s="22" t="s">
        <v>1233</v>
      </c>
      <c r="D3150" s="20"/>
      <c r="E3150" s="20">
        <v>923</v>
      </c>
      <c r="F3150" s="21" t="s">
        <v>1065</v>
      </c>
      <c r="G3150" s="20">
        <v>917</v>
      </c>
      <c r="H3150" s="20">
        <v>2010</v>
      </c>
      <c r="I3150" s="19">
        <v>7788.9409999999998</v>
      </c>
      <c r="J3150" s="19">
        <v>6766.3490000000002</v>
      </c>
      <c r="K3150" s="19">
        <v>6796.3649999999998</v>
      </c>
      <c r="L3150" s="19">
        <v>8884.2510000000002</v>
      </c>
      <c r="M3150" s="19">
        <v>11715.023999999999</v>
      </c>
      <c r="N3150" s="19">
        <v>11693.083000000001</v>
      </c>
      <c r="O3150" s="19">
        <v>11370.950999999999</v>
      </c>
      <c r="P3150" s="19">
        <v>10638.421</v>
      </c>
      <c r="Q3150" s="19">
        <v>9740.0990000000002</v>
      </c>
      <c r="R3150" s="19">
        <v>11259.519</v>
      </c>
      <c r="S3150" s="19">
        <v>12109.194</v>
      </c>
      <c r="T3150" s="19">
        <v>11568.903</v>
      </c>
      <c r="U3150" s="19">
        <v>8809.7279999999992</v>
      </c>
      <c r="V3150" s="19">
        <v>6557.8969999999999</v>
      </c>
      <c r="W3150" s="19">
        <v>8260.4860000000008</v>
      </c>
      <c r="X3150" s="19">
        <v>5428.5889999999999</v>
      </c>
      <c r="Y3150" s="19">
        <v>4458.1559999999999</v>
      </c>
      <c r="Z3150" s="19">
        <v>1854.779</v>
      </c>
      <c r="AA3150" s="19">
        <v>427.64400000000001</v>
      </c>
      <c r="AB3150" s="19">
        <v>119.447</v>
      </c>
      <c r="AC3150" s="19">
        <v>11.351000000000001</v>
      </c>
    </row>
    <row r="3151" spans="1:29" ht="11.65" hidden="1" x14ac:dyDescent="0.35">
      <c r="A3151" s="23">
        <v>3134</v>
      </c>
      <c r="B3151" s="21" t="s">
        <v>1015</v>
      </c>
      <c r="C3151" s="22" t="s">
        <v>1233</v>
      </c>
      <c r="D3151" s="20"/>
      <c r="E3151" s="20">
        <v>923</v>
      </c>
      <c r="F3151" s="21" t="s">
        <v>1065</v>
      </c>
      <c r="G3151" s="20">
        <v>917</v>
      </c>
      <c r="H3151" s="20">
        <v>2015</v>
      </c>
      <c r="I3151" s="19">
        <v>8304.7029999999995</v>
      </c>
      <c r="J3151" s="19">
        <v>7819.884</v>
      </c>
      <c r="K3151" s="19">
        <v>6806.5460000000003</v>
      </c>
      <c r="L3151" s="19">
        <v>6840.4179999999997</v>
      </c>
      <c r="M3151" s="19">
        <v>8914.1090000000004</v>
      </c>
      <c r="N3151" s="19">
        <v>11717.571</v>
      </c>
      <c r="O3151" s="19">
        <v>11654.803</v>
      </c>
      <c r="P3151" s="19">
        <v>11312.647999999999</v>
      </c>
      <c r="Q3151" s="19">
        <v>10560.869000000001</v>
      </c>
      <c r="R3151" s="19">
        <v>9629.0789999999997</v>
      </c>
      <c r="S3151" s="19">
        <v>11062.983</v>
      </c>
      <c r="T3151" s="19">
        <v>11784.816999999999</v>
      </c>
      <c r="U3151" s="19">
        <v>11121.135</v>
      </c>
      <c r="V3151" s="19">
        <v>8294.8889999999992</v>
      </c>
      <c r="W3151" s="19">
        <v>5945.9610000000002</v>
      </c>
      <c r="X3151" s="19">
        <v>6886.6019999999999</v>
      </c>
      <c r="Y3151" s="19">
        <v>3941.6260000000002</v>
      </c>
      <c r="Z3151" s="19">
        <v>2513.0659999999998</v>
      </c>
      <c r="AA3151" s="19">
        <v>728.30700000000002</v>
      </c>
      <c r="AB3151" s="19">
        <v>100.642</v>
      </c>
      <c r="AC3151" s="19">
        <v>14.888999999999999</v>
      </c>
    </row>
    <row r="3152" spans="1:29" ht="11.65" hidden="1" x14ac:dyDescent="0.35">
      <c r="A3152" s="23">
        <v>3135</v>
      </c>
      <c r="B3152" s="21" t="s">
        <v>1015</v>
      </c>
      <c r="C3152" s="22" t="s">
        <v>1233</v>
      </c>
      <c r="D3152" s="20"/>
      <c r="E3152" s="20">
        <v>923</v>
      </c>
      <c r="F3152" s="21" t="s">
        <v>1065</v>
      </c>
      <c r="G3152" s="20">
        <v>917</v>
      </c>
      <c r="H3152" s="20">
        <v>2020</v>
      </c>
      <c r="I3152" s="19">
        <v>8065.0730000000003</v>
      </c>
      <c r="J3152" s="19">
        <v>8330.9760000000006</v>
      </c>
      <c r="K3152" s="19">
        <v>7818.085</v>
      </c>
      <c r="L3152" s="19">
        <v>6823.7219999999998</v>
      </c>
      <c r="M3152" s="19">
        <v>6837.7079999999996</v>
      </c>
      <c r="N3152" s="19">
        <v>8944.4230000000007</v>
      </c>
      <c r="O3152" s="19">
        <v>11710.795</v>
      </c>
      <c r="P3152" s="19">
        <v>11578.566999999999</v>
      </c>
      <c r="Q3152" s="19">
        <v>11216.748</v>
      </c>
      <c r="R3152" s="19">
        <v>10446.932000000001</v>
      </c>
      <c r="S3152" s="19">
        <v>9469.8029999999999</v>
      </c>
      <c r="T3152" s="19">
        <v>10824.084999999999</v>
      </c>
      <c r="U3152" s="19">
        <v>11334.843999999999</v>
      </c>
      <c r="V3152" s="19">
        <v>10509.95</v>
      </c>
      <c r="W3152" s="19">
        <v>7471.4989999999998</v>
      </c>
      <c r="X3152" s="19">
        <v>5068.9139999999998</v>
      </c>
      <c r="Y3152" s="19">
        <v>5078.6289999999999</v>
      </c>
      <c r="Z3152" s="19">
        <v>2350.5059999999999</v>
      </c>
      <c r="AA3152" s="19">
        <v>1085.5999999999999</v>
      </c>
      <c r="AB3152" s="19">
        <v>200.16900000000001</v>
      </c>
      <c r="AC3152" s="19">
        <v>16.21</v>
      </c>
    </row>
    <row r="3153" spans="1:29" ht="11.65" hidden="1" x14ac:dyDescent="0.35">
      <c r="A3153" s="12">
        <v>3136</v>
      </c>
      <c r="B3153" s="10" t="s">
        <v>1015</v>
      </c>
      <c r="C3153" s="18" t="s">
        <v>1234</v>
      </c>
      <c r="D3153" s="9"/>
      <c r="E3153" s="9">
        <v>112</v>
      </c>
      <c r="F3153" s="10" t="s">
        <v>1066</v>
      </c>
      <c r="G3153" s="9">
        <v>923</v>
      </c>
      <c r="H3153" s="9">
        <v>1950</v>
      </c>
      <c r="I3153" s="8">
        <v>325.45600000000002</v>
      </c>
      <c r="J3153" s="8">
        <v>287.71600000000001</v>
      </c>
      <c r="K3153" s="8">
        <v>420.00599999999997</v>
      </c>
      <c r="L3153" s="8">
        <v>403.12</v>
      </c>
      <c r="M3153" s="8">
        <v>424.67200000000003</v>
      </c>
      <c r="N3153" s="8">
        <v>338.16800000000001</v>
      </c>
      <c r="O3153" s="8">
        <v>223.35900000000001</v>
      </c>
      <c r="P3153" s="8">
        <v>326.54899999999998</v>
      </c>
      <c r="Q3153" s="8">
        <v>299.53500000000003</v>
      </c>
      <c r="R3153" s="8">
        <v>280.76400000000001</v>
      </c>
      <c r="S3153" s="8">
        <v>202.505</v>
      </c>
      <c r="T3153" s="8">
        <v>178.56899999999999</v>
      </c>
      <c r="U3153" s="8">
        <v>183.03899999999999</v>
      </c>
      <c r="V3153" s="8">
        <v>152.74600000000001</v>
      </c>
      <c r="W3153" s="8">
        <v>119.379</v>
      </c>
      <c r="X3153" s="8">
        <v>85.709000000000003</v>
      </c>
      <c r="Y3153" s="8">
        <v>39.512</v>
      </c>
      <c r="Z3153" s="8">
        <v>20.283999999999999</v>
      </c>
      <c r="AA3153" s="8">
        <v>7.7060000000000004</v>
      </c>
      <c r="AB3153" s="8">
        <v>1.9239999999999999</v>
      </c>
      <c r="AC3153" s="8">
        <v>0.29299999999999998</v>
      </c>
    </row>
    <row r="3154" spans="1:29" ht="11.65" hidden="1" x14ac:dyDescent="0.35">
      <c r="A3154" s="12">
        <v>3137</v>
      </c>
      <c r="B3154" s="10" t="s">
        <v>1015</v>
      </c>
      <c r="C3154" s="18" t="s">
        <v>1234</v>
      </c>
      <c r="D3154" s="9"/>
      <c r="E3154" s="9">
        <v>112</v>
      </c>
      <c r="F3154" s="10" t="s">
        <v>1066</v>
      </c>
      <c r="G3154" s="9">
        <v>923</v>
      </c>
      <c r="H3154" s="9">
        <v>1955</v>
      </c>
      <c r="I3154" s="8">
        <v>392.12200000000001</v>
      </c>
      <c r="J3154" s="8">
        <v>307.32100000000003</v>
      </c>
      <c r="K3154" s="8">
        <v>269.529</v>
      </c>
      <c r="L3154" s="8">
        <v>398.64699999999999</v>
      </c>
      <c r="M3154" s="8">
        <v>379.17</v>
      </c>
      <c r="N3154" s="8">
        <v>401.68599999999998</v>
      </c>
      <c r="O3154" s="8">
        <v>318.64499999999998</v>
      </c>
      <c r="P3154" s="8">
        <v>206.44300000000001</v>
      </c>
      <c r="Q3154" s="8">
        <v>306.65199999999999</v>
      </c>
      <c r="R3154" s="8">
        <v>276.44200000000001</v>
      </c>
      <c r="S3154" s="8">
        <v>257.279</v>
      </c>
      <c r="T3154" s="8">
        <v>182.006</v>
      </c>
      <c r="U3154" s="8">
        <v>157.09299999999999</v>
      </c>
      <c r="V3154" s="8">
        <v>156.41900000000001</v>
      </c>
      <c r="W3154" s="8">
        <v>121.29</v>
      </c>
      <c r="X3154" s="8">
        <v>83.727999999999994</v>
      </c>
      <c r="Y3154" s="8">
        <v>49.892000000000003</v>
      </c>
      <c r="Z3154" s="8">
        <v>17.568000000000001</v>
      </c>
      <c r="AA3154" s="8">
        <v>5.9359999999999999</v>
      </c>
      <c r="AB3154" s="8">
        <v>1.357</v>
      </c>
      <c r="AC3154" s="8">
        <v>0.217</v>
      </c>
    </row>
    <row r="3155" spans="1:29" ht="11.65" hidden="1" x14ac:dyDescent="0.35">
      <c r="A3155" s="12">
        <v>3138</v>
      </c>
      <c r="B3155" s="10" t="s">
        <v>1015</v>
      </c>
      <c r="C3155" s="18" t="s">
        <v>1234</v>
      </c>
      <c r="D3155" s="9"/>
      <c r="E3155" s="9">
        <v>112</v>
      </c>
      <c r="F3155" s="10" t="s">
        <v>1066</v>
      </c>
      <c r="G3155" s="9">
        <v>923</v>
      </c>
      <c r="H3155" s="9">
        <v>1960</v>
      </c>
      <c r="I3155" s="8">
        <v>466.29199999999997</v>
      </c>
      <c r="J3155" s="8">
        <v>380.35399999999998</v>
      </c>
      <c r="K3155" s="8">
        <v>298.267</v>
      </c>
      <c r="L3155" s="8">
        <v>260.697</v>
      </c>
      <c r="M3155" s="8">
        <v>387.351</v>
      </c>
      <c r="N3155" s="8">
        <v>367.18900000000002</v>
      </c>
      <c r="O3155" s="8">
        <v>389.49400000000003</v>
      </c>
      <c r="P3155" s="8">
        <v>307.79899999999998</v>
      </c>
      <c r="Q3155" s="8">
        <v>197.26</v>
      </c>
      <c r="R3155" s="8">
        <v>293.13400000000001</v>
      </c>
      <c r="S3155" s="8">
        <v>260.87099999999998</v>
      </c>
      <c r="T3155" s="8">
        <v>240.33699999999999</v>
      </c>
      <c r="U3155" s="8">
        <v>166.018</v>
      </c>
      <c r="V3155" s="8">
        <v>138.84299999999999</v>
      </c>
      <c r="W3155" s="8">
        <v>129.721</v>
      </c>
      <c r="X3155" s="8">
        <v>89.647999999999996</v>
      </c>
      <c r="Y3155" s="8">
        <v>51.314</v>
      </c>
      <c r="Z3155" s="8">
        <v>22.693000000000001</v>
      </c>
      <c r="AA3155" s="8">
        <v>5.3140000000000001</v>
      </c>
      <c r="AB3155" s="8">
        <v>1.0860000000000001</v>
      </c>
      <c r="AC3155" s="8">
        <v>0.159</v>
      </c>
    </row>
    <row r="3156" spans="1:29" ht="11.65" hidden="1" x14ac:dyDescent="0.35">
      <c r="A3156" s="12">
        <v>3139</v>
      </c>
      <c r="B3156" s="10" t="s">
        <v>1015</v>
      </c>
      <c r="C3156" s="18" t="s">
        <v>1234</v>
      </c>
      <c r="D3156" s="9"/>
      <c r="E3156" s="9">
        <v>112</v>
      </c>
      <c r="F3156" s="10" t="s">
        <v>1066</v>
      </c>
      <c r="G3156" s="9">
        <v>923</v>
      </c>
      <c r="H3156" s="9">
        <v>1965</v>
      </c>
      <c r="I3156" s="8">
        <v>425.37900000000002</v>
      </c>
      <c r="J3156" s="8">
        <v>458.08199999999999</v>
      </c>
      <c r="K3156" s="8">
        <v>373.74700000000001</v>
      </c>
      <c r="L3156" s="8">
        <v>292.87400000000002</v>
      </c>
      <c r="M3156" s="8">
        <v>255.07300000000001</v>
      </c>
      <c r="N3156" s="8">
        <v>380.512</v>
      </c>
      <c r="O3156" s="8">
        <v>359.62299999999999</v>
      </c>
      <c r="P3156" s="8">
        <v>381.17899999999997</v>
      </c>
      <c r="Q3156" s="8">
        <v>300.15600000000001</v>
      </c>
      <c r="R3156" s="8">
        <v>189.88399999999999</v>
      </c>
      <c r="S3156" s="8">
        <v>281.34199999999998</v>
      </c>
      <c r="T3156" s="8">
        <v>247.22399999999999</v>
      </c>
      <c r="U3156" s="8">
        <v>223.703</v>
      </c>
      <c r="V3156" s="8">
        <v>149.55000000000001</v>
      </c>
      <c r="W3156" s="8">
        <v>117.599</v>
      </c>
      <c r="X3156" s="8">
        <v>99.013000000000005</v>
      </c>
      <c r="Y3156" s="8">
        <v>58.125999999999998</v>
      </c>
      <c r="Z3156" s="8">
        <v>23.484000000000002</v>
      </c>
      <c r="AA3156" s="8">
        <v>6.9009999999999998</v>
      </c>
      <c r="AB3156" s="8">
        <v>0.98599999999999999</v>
      </c>
      <c r="AC3156" s="8">
        <v>0.127</v>
      </c>
    </row>
    <row r="3157" spans="1:29" ht="11.65" hidden="1" x14ac:dyDescent="0.35">
      <c r="A3157" s="12">
        <v>3140</v>
      </c>
      <c r="B3157" s="10" t="s">
        <v>1015</v>
      </c>
      <c r="C3157" s="18" t="s">
        <v>1234</v>
      </c>
      <c r="D3157" s="9"/>
      <c r="E3157" s="9">
        <v>112</v>
      </c>
      <c r="F3157" s="10" t="s">
        <v>1066</v>
      </c>
      <c r="G3157" s="9">
        <v>923</v>
      </c>
      <c r="H3157" s="9">
        <v>1970</v>
      </c>
      <c r="I3157" s="8">
        <v>351.35500000000002</v>
      </c>
      <c r="J3157" s="8">
        <v>427.642</v>
      </c>
      <c r="K3157" s="8">
        <v>460.75900000000001</v>
      </c>
      <c r="L3157" s="8">
        <v>375.99799999999999</v>
      </c>
      <c r="M3157" s="8">
        <v>294.35199999999998</v>
      </c>
      <c r="N3157" s="8">
        <v>256.572</v>
      </c>
      <c r="O3157" s="8">
        <v>381.596</v>
      </c>
      <c r="P3157" s="8">
        <v>360.36200000000002</v>
      </c>
      <c r="Q3157" s="8">
        <v>380.47399999999999</v>
      </c>
      <c r="R3157" s="8">
        <v>297.50900000000001</v>
      </c>
      <c r="S3157" s="8">
        <v>187.09299999999999</v>
      </c>
      <c r="T3157" s="8">
        <v>273.54599999999999</v>
      </c>
      <c r="U3157" s="8">
        <v>236.26900000000001</v>
      </c>
      <c r="V3157" s="8">
        <v>207.495</v>
      </c>
      <c r="W3157" s="8">
        <v>130.90899999999999</v>
      </c>
      <c r="X3157" s="8">
        <v>93.177999999999997</v>
      </c>
      <c r="Y3157" s="8">
        <v>66.614000000000004</v>
      </c>
      <c r="Z3157" s="8">
        <v>27.477</v>
      </c>
      <c r="AA3157" s="8">
        <v>7.4219999999999997</v>
      </c>
      <c r="AB3157" s="8">
        <v>1.335</v>
      </c>
      <c r="AC3157" s="8">
        <v>0.11799999999999999</v>
      </c>
    </row>
    <row r="3158" spans="1:29" ht="11.65" hidden="1" x14ac:dyDescent="0.35">
      <c r="A3158" s="12">
        <v>3141</v>
      </c>
      <c r="B3158" s="10" t="s">
        <v>1015</v>
      </c>
      <c r="C3158" s="18" t="s">
        <v>1234</v>
      </c>
      <c r="D3158" s="9"/>
      <c r="E3158" s="9">
        <v>112</v>
      </c>
      <c r="F3158" s="10" t="s">
        <v>1066</v>
      </c>
      <c r="G3158" s="9">
        <v>923</v>
      </c>
      <c r="H3158" s="9">
        <v>1975</v>
      </c>
      <c r="I3158" s="8">
        <v>363.55399999999997</v>
      </c>
      <c r="J3158" s="8">
        <v>355.11099999999999</v>
      </c>
      <c r="K3158" s="8">
        <v>421.154</v>
      </c>
      <c r="L3158" s="8">
        <v>433.21800000000002</v>
      </c>
      <c r="M3158" s="8">
        <v>359.44900000000001</v>
      </c>
      <c r="N3158" s="8">
        <v>297.66699999999997</v>
      </c>
      <c r="O3158" s="8">
        <v>258.88099999999997</v>
      </c>
      <c r="P3158" s="8">
        <v>381.21800000000002</v>
      </c>
      <c r="Q3158" s="8">
        <v>355.88099999999997</v>
      </c>
      <c r="R3158" s="8">
        <v>376.00200000000001</v>
      </c>
      <c r="S3158" s="8">
        <v>306.65100000000001</v>
      </c>
      <c r="T3158" s="8">
        <v>187.38200000000001</v>
      </c>
      <c r="U3158" s="8">
        <v>257.57</v>
      </c>
      <c r="V3158" s="8">
        <v>225.91</v>
      </c>
      <c r="W3158" s="8">
        <v>173.91499999999999</v>
      </c>
      <c r="X3158" s="8">
        <v>103.57599999999999</v>
      </c>
      <c r="Y3158" s="8">
        <v>74.564999999999998</v>
      </c>
      <c r="Z3158" s="8">
        <v>32.003</v>
      </c>
      <c r="AA3158" s="8">
        <v>8.89</v>
      </c>
      <c r="AB3158" s="8">
        <v>1.476</v>
      </c>
      <c r="AC3158" s="8">
        <v>0.159</v>
      </c>
    </row>
    <row r="3159" spans="1:29" ht="11.65" hidden="1" x14ac:dyDescent="0.35">
      <c r="A3159" s="12">
        <v>3142</v>
      </c>
      <c r="B3159" s="10" t="s">
        <v>1015</v>
      </c>
      <c r="C3159" s="18" t="s">
        <v>1234</v>
      </c>
      <c r="D3159" s="9"/>
      <c r="E3159" s="9">
        <v>112</v>
      </c>
      <c r="F3159" s="10" t="s">
        <v>1066</v>
      </c>
      <c r="G3159" s="9">
        <v>923</v>
      </c>
      <c r="H3159" s="9">
        <v>1980</v>
      </c>
      <c r="I3159" s="8">
        <v>361.29899999999998</v>
      </c>
      <c r="J3159" s="8">
        <v>355.44600000000003</v>
      </c>
      <c r="K3159" s="8">
        <v>351.60899999999998</v>
      </c>
      <c r="L3159" s="8">
        <v>410.47199999999998</v>
      </c>
      <c r="M3159" s="8">
        <v>415.26</v>
      </c>
      <c r="N3159" s="8">
        <v>367.59300000000002</v>
      </c>
      <c r="O3159" s="8">
        <v>316.67599999999999</v>
      </c>
      <c r="P3159" s="8">
        <v>245.33500000000001</v>
      </c>
      <c r="Q3159" s="8">
        <v>375.90100000000001</v>
      </c>
      <c r="R3159" s="8">
        <v>344.471</v>
      </c>
      <c r="S3159" s="8">
        <v>375.39400000000001</v>
      </c>
      <c r="T3159" s="8">
        <v>309.98</v>
      </c>
      <c r="U3159" s="8">
        <v>185.31200000000001</v>
      </c>
      <c r="V3159" s="8">
        <v>233.38399999999999</v>
      </c>
      <c r="W3159" s="8">
        <v>198.87799999999999</v>
      </c>
      <c r="X3159" s="8">
        <v>143.477</v>
      </c>
      <c r="Y3159" s="8">
        <v>79.778000000000006</v>
      </c>
      <c r="Z3159" s="8">
        <v>36.835999999999999</v>
      </c>
      <c r="AA3159" s="8">
        <v>10.792</v>
      </c>
      <c r="AB3159" s="8">
        <v>1.8660000000000001</v>
      </c>
      <c r="AC3159" s="8">
        <v>0.19</v>
      </c>
    </row>
    <row r="3160" spans="1:29" ht="11.65" hidden="1" x14ac:dyDescent="0.35">
      <c r="A3160" s="12">
        <v>3143</v>
      </c>
      <c r="B3160" s="10" t="s">
        <v>1015</v>
      </c>
      <c r="C3160" s="18" t="s">
        <v>1234</v>
      </c>
      <c r="D3160" s="9"/>
      <c r="E3160" s="9">
        <v>112</v>
      </c>
      <c r="F3160" s="10" t="s">
        <v>1066</v>
      </c>
      <c r="G3160" s="9">
        <v>923</v>
      </c>
      <c r="H3160" s="9">
        <v>1985</v>
      </c>
      <c r="I3160" s="8">
        <v>393.09899999999999</v>
      </c>
      <c r="J3160" s="8">
        <v>361.9</v>
      </c>
      <c r="K3160" s="8">
        <v>353.88600000000002</v>
      </c>
      <c r="L3160" s="8">
        <v>356.548</v>
      </c>
      <c r="M3160" s="8">
        <v>404.90499999999997</v>
      </c>
      <c r="N3160" s="8">
        <v>418.39499999999998</v>
      </c>
      <c r="O3160" s="8">
        <v>370.50400000000002</v>
      </c>
      <c r="P3160" s="8">
        <v>315.108</v>
      </c>
      <c r="Q3160" s="8">
        <v>243.89699999999999</v>
      </c>
      <c r="R3160" s="8">
        <v>368.48399999999998</v>
      </c>
      <c r="S3160" s="8">
        <v>338.303</v>
      </c>
      <c r="T3160" s="8">
        <v>369.49400000000003</v>
      </c>
      <c r="U3160" s="8">
        <v>295.12200000000001</v>
      </c>
      <c r="V3160" s="8">
        <v>171.54</v>
      </c>
      <c r="W3160" s="8">
        <v>205.67099999999999</v>
      </c>
      <c r="X3160" s="8">
        <v>156.864</v>
      </c>
      <c r="Y3160" s="8">
        <v>100.40300000000001</v>
      </c>
      <c r="Z3160" s="8">
        <v>40.027000000000001</v>
      </c>
      <c r="AA3160" s="8">
        <v>12.742000000000001</v>
      </c>
      <c r="AB3160" s="8">
        <v>2.351</v>
      </c>
      <c r="AC3160" s="8">
        <v>0.25</v>
      </c>
    </row>
    <row r="3161" spans="1:29" ht="11.65" hidden="1" x14ac:dyDescent="0.35">
      <c r="A3161" s="12">
        <v>3144</v>
      </c>
      <c r="B3161" s="10" t="s">
        <v>1015</v>
      </c>
      <c r="C3161" s="18" t="s">
        <v>1234</v>
      </c>
      <c r="D3161" s="9"/>
      <c r="E3161" s="9">
        <v>112</v>
      </c>
      <c r="F3161" s="10" t="s">
        <v>1066</v>
      </c>
      <c r="G3161" s="9">
        <v>923</v>
      </c>
      <c r="H3161" s="9">
        <v>1990</v>
      </c>
      <c r="I3161" s="8">
        <v>382.79899999999998</v>
      </c>
      <c r="J3161" s="8">
        <v>394.86</v>
      </c>
      <c r="K3161" s="8">
        <v>363.75900000000001</v>
      </c>
      <c r="L3161" s="8">
        <v>359.73200000000003</v>
      </c>
      <c r="M3161" s="8">
        <v>341.68900000000002</v>
      </c>
      <c r="N3161" s="8">
        <v>404.58499999999998</v>
      </c>
      <c r="O3161" s="8">
        <v>424.488</v>
      </c>
      <c r="P3161" s="8">
        <v>371.57299999999998</v>
      </c>
      <c r="Q3161" s="8">
        <v>311.59399999999999</v>
      </c>
      <c r="R3161" s="8">
        <v>239.69800000000001</v>
      </c>
      <c r="S3161" s="8">
        <v>358.19299999999998</v>
      </c>
      <c r="T3161" s="8">
        <v>327.86900000000003</v>
      </c>
      <c r="U3161" s="8">
        <v>353.154</v>
      </c>
      <c r="V3161" s="8">
        <v>269.596</v>
      </c>
      <c r="W3161" s="8">
        <v>148.38200000000001</v>
      </c>
      <c r="X3161" s="8">
        <v>162.62100000000001</v>
      </c>
      <c r="Y3161" s="8">
        <v>100.575</v>
      </c>
      <c r="Z3161" s="8">
        <v>54.325000000000003</v>
      </c>
      <c r="AA3161" s="8">
        <v>16.484000000000002</v>
      </c>
      <c r="AB3161" s="8">
        <v>3.86</v>
      </c>
      <c r="AC3161" s="8">
        <v>0.48799999999999999</v>
      </c>
    </row>
    <row r="3162" spans="1:29" ht="11.65" hidden="1" x14ac:dyDescent="0.35">
      <c r="A3162" s="12">
        <v>3145</v>
      </c>
      <c r="B3162" s="10" t="s">
        <v>1015</v>
      </c>
      <c r="C3162" s="18" t="s">
        <v>1234</v>
      </c>
      <c r="D3162" s="9"/>
      <c r="E3162" s="9">
        <v>112</v>
      </c>
      <c r="F3162" s="10" t="s">
        <v>1066</v>
      </c>
      <c r="G3162" s="9">
        <v>923</v>
      </c>
      <c r="H3162" s="9">
        <v>1995</v>
      </c>
      <c r="I3162" s="8">
        <v>289.25299999999999</v>
      </c>
      <c r="J3162" s="8">
        <v>385.67099999999999</v>
      </c>
      <c r="K3162" s="8">
        <v>395.762</v>
      </c>
      <c r="L3162" s="8">
        <v>364.22199999999998</v>
      </c>
      <c r="M3162" s="8">
        <v>349.75099999999998</v>
      </c>
      <c r="N3162" s="8">
        <v>336.96899999999999</v>
      </c>
      <c r="O3162" s="8">
        <v>404.00799999999998</v>
      </c>
      <c r="P3162" s="8">
        <v>422.11099999999999</v>
      </c>
      <c r="Q3162" s="8">
        <v>367.03699999999998</v>
      </c>
      <c r="R3162" s="8">
        <v>304.911</v>
      </c>
      <c r="S3162" s="8">
        <v>232.464</v>
      </c>
      <c r="T3162" s="8">
        <v>342.92200000000003</v>
      </c>
      <c r="U3162" s="8">
        <v>308.13</v>
      </c>
      <c r="V3162" s="8">
        <v>321.91199999999998</v>
      </c>
      <c r="W3162" s="8">
        <v>231.94499999999999</v>
      </c>
      <c r="X3162" s="8">
        <v>115.364</v>
      </c>
      <c r="Y3162" s="8">
        <v>103.15600000000001</v>
      </c>
      <c r="Z3162" s="8">
        <v>51.752000000000002</v>
      </c>
      <c r="AA3162" s="8">
        <v>20.434999999999999</v>
      </c>
      <c r="AB3162" s="8">
        <v>4.3049999999999997</v>
      </c>
      <c r="AC3162" s="8">
        <v>0.67300000000000004</v>
      </c>
    </row>
    <row r="3163" spans="1:29" ht="11.65" hidden="1" x14ac:dyDescent="0.35">
      <c r="A3163" s="12">
        <v>3146</v>
      </c>
      <c r="B3163" s="10" t="s">
        <v>1015</v>
      </c>
      <c r="C3163" s="18" t="s">
        <v>1234</v>
      </c>
      <c r="D3163" s="9"/>
      <c r="E3163" s="9">
        <v>112</v>
      </c>
      <c r="F3163" s="10" t="s">
        <v>1066</v>
      </c>
      <c r="G3163" s="9">
        <v>923</v>
      </c>
      <c r="H3163" s="9">
        <v>2000</v>
      </c>
      <c r="I3163" s="8">
        <v>221.935</v>
      </c>
      <c r="J3163" s="8">
        <v>286.85399999999998</v>
      </c>
      <c r="K3163" s="8">
        <v>381.29300000000001</v>
      </c>
      <c r="L3163" s="8">
        <v>387.58600000000001</v>
      </c>
      <c r="M3163" s="8">
        <v>351.13400000000001</v>
      </c>
      <c r="N3163" s="8">
        <v>343.61500000000001</v>
      </c>
      <c r="O3163" s="8">
        <v>340.78699999999998</v>
      </c>
      <c r="P3163" s="8">
        <v>400.36700000000002</v>
      </c>
      <c r="Q3163" s="8">
        <v>418.52199999999999</v>
      </c>
      <c r="R3163" s="8">
        <v>360.995</v>
      </c>
      <c r="S3163" s="8">
        <v>298.40899999999999</v>
      </c>
      <c r="T3163" s="8">
        <v>225.078</v>
      </c>
      <c r="U3163" s="8">
        <v>329.37</v>
      </c>
      <c r="V3163" s="8">
        <v>282.012</v>
      </c>
      <c r="W3163" s="8">
        <v>280.137</v>
      </c>
      <c r="X3163" s="8">
        <v>181.81200000000001</v>
      </c>
      <c r="Y3163" s="8">
        <v>80.626000000000005</v>
      </c>
      <c r="Z3163" s="8">
        <v>46.999000000000002</v>
      </c>
      <c r="AA3163" s="8">
        <v>15.747</v>
      </c>
      <c r="AB3163" s="8">
        <v>3.7949999999999999</v>
      </c>
      <c r="AC3163" s="8">
        <v>0.51400000000000001</v>
      </c>
    </row>
    <row r="3164" spans="1:29" ht="11.65" hidden="1" x14ac:dyDescent="0.35">
      <c r="A3164" s="12">
        <v>3147</v>
      </c>
      <c r="B3164" s="10" t="s">
        <v>1015</v>
      </c>
      <c r="C3164" s="18" t="s">
        <v>1234</v>
      </c>
      <c r="D3164" s="9"/>
      <c r="E3164" s="9">
        <v>112</v>
      </c>
      <c r="F3164" s="10" t="s">
        <v>1066</v>
      </c>
      <c r="G3164" s="9">
        <v>923</v>
      </c>
      <c r="H3164" s="9">
        <v>2005</v>
      </c>
      <c r="I3164" s="8">
        <v>216.636</v>
      </c>
      <c r="J3164" s="8">
        <v>221.13200000000001</v>
      </c>
      <c r="K3164" s="8">
        <v>287.10399999999998</v>
      </c>
      <c r="L3164" s="8">
        <v>371.63</v>
      </c>
      <c r="M3164" s="8">
        <v>372.83499999999998</v>
      </c>
      <c r="N3164" s="8">
        <v>344.32600000000002</v>
      </c>
      <c r="O3164" s="8">
        <v>340.37400000000002</v>
      </c>
      <c r="P3164" s="8">
        <v>337.92700000000002</v>
      </c>
      <c r="Q3164" s="8">
        <v>395.79300000000001</v>
      </c>
      <c r="R3164" s="8">
        <v>410.65699999999998</v>
      </c>
      <c r="S3164" s="8">
        <v>353.50200000000001</v>
      </c>
      <c r="T3164" s="8">
        <v>288.85199999999998</v>
      </c>
      <c r="U3164" s="8">
        <v>212.49</v>
      </c>
      <c r="V3164" s="8">
        <v>302.351</v>
      </c>
      <c r="W3164" s="8">
        <v>243.87100000000001</v>
      </c>
      <c r="X3164" s="8">
        <v>220.55799999999999</v>
      </c>
      <c r="Y3164" s="8">
        <v>122.488</v>
      </c>
      <c r="Z3164" s="8">
        <v>37.409999999999997</v>
      </c>
      <c r="AA3164" s="8">
        <v>14.667</v>
      </c>
      <c r="AB3164" s="8">
        <v>3.032</v>
      </c>
      <c r="AC3164" s="8">
        <v>0.46200000000000002</v>
      </c>
    </row>
    <row r="3165" spans="1:29" ht="11.65" hidden="1" x14ac:dyDescent="0.35">
      <c r="A3165" s="12">
        <v>3148</v>
      </c>
      <c r="B3165" s="10" t="s">
        <v>1015</v>
      </c>
      <c r="C3165" s="18" t="s">
        <v>1234</v>
      </c>
      <c r="D3165" s="9"/>
      <c r="E3165" s="9">
        <v>112</v>
      </c>
      <c r="F3165" s="10" t="s">
        <v>1066</v>
      </c>
      <c r="G3165" s="9">
        <v>923</v>
      </c>
      <c r="H3165" s="9">
        <v>2010</v>
      </c>
      <c r="I3165" s="8">
        <v>248.15100000000001</v>
      </c>
      <c r="J3165" s="8">
        <v>212.81700000000001</v>
      </c>
      <c r="K3165" s="8">
        <v>220.923</v>
      </c>
      <c r="L3165" s="8">
        <v>291.29500000000002</v>
      </c>
      <c r="M3165" s="8">
        <v>374.66</v>
      </c>
      <c r="N3165" s="8">
        <v>367.81700000000001</v>
      </c>
      <c r="O3165" s="8">
        <v>341.32600000000002</v>
      </c>
      <c r="P3165" s="8">
        <v>337.67599999999999</v>
      </c>
      <c r="Q3165" s="8">
        <v>334.64299999999997</v>
      </c>
      <c r="R3165" s="8">
        <v>390.39699999999999</v>
      </c>
      <c r="S3165" s="8">
        <v>403.38499999999999</v>
      </c>
      <c r="T3165" s="8">
        <v>345.10500000000002</v>
      </c>
      <c r="U3165" s="8">
        <v>276.25599999999997</v>
      </c>
      <c r="V3165" s="8">
        <v>197.452</v>
      </c>
      <c r="W3165" s="8">
        <v>268.28500000000003</v>
      </c>
      <c r="X3165" s="8">
        <v>196.446</v>
      </c>
      <c r="Y3165" s="8">
        <v>155.32499999999999</v>
      </c>
      <c r="Z3165" s="8">
        <v>61.96</v>
      </c>
      <c r="AA3165" s="8">
        <v>13.186</v>
      </c>
      <c r="AB3165" s="8">
        <v>3.298</v>
      </c>
      <c r="AC3165" s="8">
        <v>0.442</v>
      </c>
    </row>
    <row r="3166" spans="1:29" ht="11.65" hidden="1" x14ac:dyDescent="0.35">
      <c r="A3166" s="12">
        <v>3149</v>
      </c>
      <c r="B3166" s="10" t="s">
        <v>1015</v>
      </c>
      <c r="C3166" s="18" t="s">
        <v>1234</v>
      </c>
      <c r="D3166" s="9"/>
      <c r="E3166" s="9">
        <v>112</v>
      </c>
      <c r="F3166" s="10" t="s">
        <v>1066</v>
      </c>
      <c r="G3166" s="9">
        <v>923</v>
      </c>
      <c r="H3166" s="9">
        <v>2015</v>
      </c>
      <c r="I3166" s="8">
        <v>280.108</v>
      </c>
      <c r="J3166" s="8">
        <v>250.696</v>
      </c>
      <c r="K3166" s="8">
        <v>214.697</v>
      </c>
      <c r="L3166" s="8">
        <v>222.62700000000001</v>
      </c>
      <c r="M3166" s="8">
        <v>292.738</v>
      </c>
      <c r="N3166" s="8">
        <v>375.49900000000002</v>
      </c>
      <c r="O3166" s="8">
        <v>368.10399999999998</v>
      </c>
      <c r="P3166" s="8">
        <v>341.08100000000002</v>
      </c>
      <c r="Q3166" s="8">
        <v>336.851</v>
      </c>
      <c r="R3166" s="8">
        <v>333.11</v>
      </c>
      <c r="S3166" s="8">
        <v>386.44900000000001</v>
      </c>
      <c r="T3166" s="8">
        <v>395.10399999999998</v>
      </c>
      <c r="U3166" s="8">
        <v>332.90600000000001</v>
      </c>
      <c r="V3166" s="8">
        <v>260.50400000000002</v>
      </c>
      <c r="W3166" s="8">
        <v>178.684</v>
      </c>
      <c r="X3166" s="8">
        <v>223.21700000000001</v>
      </c>
      <c r="Y3166" s="8">
        <v>139.66499999999999</v>
      </c>
      <c r="Z3166" s="8">
        <v>87.4</v>
      </c>
      <c r="AA3166" s="8">
        <v>24.132000000000001</v>
      </c>
      <c r="AB3166" s="8">
        <v>3.0289999999999999</v>
      </c>
      <c r="AC3166" s="8">
        <v>0.41199999999999998</v>
      </c>
    </row>
    <row r="3167" spans="1:29" ht="11.65" hidden="1" x14ac:dyDescent="0.35">
      <c r="A3167" s="12">
        <v>3150</v>
      </c>
      <c r="B3167" s="10" t="s">
        <v>1015</v>
      </c>
      <c r="C3167" s="18" t="s">
        <v>1234</v>
      </c>
      <c r="D3167" s="9"/>
      <c r="E3167" s="9">
        <v>112</v>
      </c>
      <c r="F3167" s="10" t="s">
        <v>1066</v>
      </c>
      <c r="G3167" s="9">
        <v>923</v>
      </c>
      <c r="H3167" s="9">
        <v>2020</v>
      </c>
      <c r="I3167" s="8">
        <v>270.721</v>
      </c>
      <c r="J3167" s="8">
        <v>288.77699999999999</v>
      </c>
      <c r="K3167" s="8">
        <v>236.34100000000001</v>
      </c>
      <c r="L3167" s="8">
        <v>215.643</v>
      </c>
      <c r="M3167" s="8">
        <v>206.864</v>
      </c>
      <c r="N3167" s="8">
        <v>318.601</v>
      </c>
      <c r="O3167" s="8">
        <v>397.19900000000001</v>
      </c>
      <c r="P3167" s="8">
        <v>355.59100000000001</v>
      </c>
      <c r="Q3167" s="8">
        <v>331.661</v>
      </c>
      <c r="R3167" s="8">
        <v>331.21300000000002</v>
      </c>
      <c r="S3167" s="8">
        <v>316.83999999999997</v>
      </c>
      <c r="T3167" s="8">
        <v>410.04199999999997</v>
      </c>
      <c r="U3167" s="8">
        <v>380.267</v>
      </c>
      <c r="V3167" s="8">
        <v>352.62</v>
      </c>
      <c r="W3167" s="8">
        <v>170.42599999999999</v>
      </c>
      <c r="X3167" s="8">
        <v>181.065</v>
      </c>
      <c r="Y3167" s="8">
        <v>164.774</v>
      </c>
      <c r="Z3167" s="8">
        <v>80.674999999999997</v>
      </c>
      <c r="AA3167" s="8">
        <v>34.743000000000002</v>
      </c>
      <c r="AB3167" s="8">
        <v>5.5270000000000001</v>
      </c>
      <c r="AC3167" s="8">
        <v>0.36399999999999999</v>
      </c>
    </row>
    <row r="3168" spans="1:29" ht="11.65" hidden="1" x14ac:dyDescent="0.35">
      <c r="A3168" s="12">
        <v>3151</v>
      </c>
      <c r="B3168" s="10" t="s">
        <v>1015</v>
      </c>
      <c r="C3168" s="18" t="s">
        <v>1235</v>
      </c>
      <c r="D3168" s="9"/>
      <c r="E3168" s="9">
        <v>100</v>
      </c>
      <c r="F3168" s="10" t="s">
        <v>1066</v>
      </c>
      <c r="G3168" s="9">
        <v>923</v>
      </c>
      <c r="H3168" s="9">
        <v>1950</v>
      </c>
      <c r="I3168" s="8">
        <v>358</v>
      </c>
      <c r="J3168" s="8">
        <v>299</v>
      </c>
      <c r="K3168" s="8">
        <v>297.00099999999998</v>
      </c>
      <c r="L3168" s="8">
        <v>337.99900000000002</v>
      </c>
      <c r="M3168" s="8">
        <v>340.00099999999998</v>
      </c>
      <c r="N3168" s="8">
        <v>336.99900000000002</v>
      </c>
      <c r="O3168" s="8">
        <v>205.001</v>
      </c>
      <c r="P3168" s="8">
        <v>263.00099999999998</v>
      </c>
      <c r="Q3168" s="8">
        <v>252</v>
      </c>
      <c r="R3168" s="8">
        <v>217</v>
      </c>
      <c r="S3168" s="8">
        <v>180</v>
      </c>
      <c r="T3168" s="8">
        <v>140.999</v>
      </c>
      <c r="U3168" s="8">
        <v>137.999</v>
      </c>
      <c r="V3168" s="8">
        <v>109.999</v>
      </c>
      <c r="W3168" s="8">
        <v>78.201999999999998</v>
      </c>
      <c r="X3168" s="8">
        <v>45.795000000000002</v>
      </c>
      <c r="Y3168" s="8">
        <v>17.971</v>
      </c>
      <c r="Z3168" s="8">
        <v>7.5810000000000004</v>
      </c>
      <c r="AA3168" s="8">
        <v>2.077</v>
      </c>
      <c r="AB3168" s="8">
        <v>0.33200000000000002</v>
      </c>
      <c r="AC3168" s="8">
        <v>0.03</v>
      </c>
    </row>
    <row r="3169" spans="1:29" ht="11.65" hidden="1" x14ac:dyDescent="0.35">
      <c r="A3169" s="12">
        <v>3152</v>
      </c>
      <c r="B3169" s="10" t="s">
        <v>1015</v>
      </c>
      <c r="C3169" s="18" t="s">
        <v>1235</v>
      </c>
      <c r="D3169" s="9"/>
      <c r="E3169" s="9">
        <v>100</v>
      </c>
      <c r="F3169" s="10" t="s">
        <v>1066</v>
      </c>
      <c r="G3169" s="9">
        <v>923</v>
      </c>
      <c r="H3169" s="9">
        <v>1955</v>
      </c>
      <c r="I3169" s="8">
        <v>343.57100000000003</v>
      </c>
      <c r="J3169" s="8">
        <v>348.33499999999998</v>
      </c>
      <c r="K3169" s="8">
        <v>293.863</v>
      </c>
      <c r="L3169" s="8">
        <v>290.75400000000002</v>
      </c>
      <c r="M3169" s="8">
        <v>330.61700000000002</v>
      </c>
      <c r="N3169" s="8">
        <v>333.14100000000002</v>
      </c>
      <c r="O3169" s="8">
        <v>330.66699999999997</v>
      </c>
      <c r="P3169" s="8">
        <v>202.1</v>
      </c>
      <c r="Q3169" s="8">
        <v>254.874</v>
      </c>
      <c r="R3169" s="8">
        <v>244.404</v>
      </c>
      <c r="S3169" s="8">
        <v>208.959</v>
      </c>
      <c r="T3169" s="8">
        <v>169.94900000000001</v>
      </c>
      <c r="U3169" s="8">
        <v>130.30000000000001</v>
      </c>
      <c r="V3169" s="8">
        <v>122.01900000000001</v>
      </c>
      <c r="W3169" s="8">
        <v>90.091999999999999</v>
      </c>
      <c r="X3169" s="8">
        <v>55.878</v>
      </c>
      <c r="Y3169" s="8">
        <v>26.369</v>
      </c>
      <c r="Z3169" s="8">
        <v>8.5299999999999994</v>
      </c>
      <c r="AA3169" s="8">
        <v>2.843</v>
      </c>
      <c r="AB3169" s="8">
        <v>0.60199999999999998</v>
      </c>
      <c r="AC3169" s="8">
        <v>7.0000000000000007E-2</v>
      </c>
    </row>
    <row r="3170" spans="1:29" ht="11.65" hidden="1" x14ac:dyDescent="0.35">
      <c r="A3170" s="12">
        <v>3153</v>
      </c>
      <c r="B3170" s="10" t="s">
        <v>1015</v>
      </c>
      <c r="C3170" s="18" t="s">
        <v>1235</v>
      </c>
      <c r="D3170" s="9"/>
      <c r="E3170" s="9">
        <v>100</v>
      </c>
      <c r="F3170" s="10" t="s">
        <v>1066</v>
      </c>
      <c r="G3170" s="9">
        <v>923</v>
      </c>
      <c r="H3170" s="9">
        <v>1960</v>
      </c>
      <c r="I3170" s="8">
        <v>324.09100000000001</v>
      </c>
      <c r="J3170" s="8">
        <v>338.09800000000001</v>
      </c>
      <c r="K3170" s="8">
        <v>345.62799999999999</v>
      </c>
      <c r="L3170" s="8">
        <v>291.072</v>
      </c>
      <c r="M3170" s="8">
        <v>288.72300000000001</v>
      </c>
      <c r="N3170" s="8">
        <v>327.41699999999997</v>
      </c>
      <c r="O3170" s="8">
        <v>329.51900000000001</v>
      </c>
      <c r="P3170" s="8">
        <v>325.50200000000001</v>
      </c>
      <c r="Q3170" s="8">
        <v>197.41300000000001</v>
      </c>
      <c r="R3170" s="8">
        <v>250.12700000000001</v>
      </c>
      <c r="S3170" s="8">
        <v>237.74799999999999</v>
      </c>
      <c r="T3170" s="8">
        <v>200.476</v>
      </c>
      <c r="U3170" s="8">
        <v>159.952</v>
      </c>
      <c r="V3170" s="8">
        <v>117.18300000000001</v>
      </c>
      <c r="W3170" s="8">
        <v>100.76</v>
      </c>
      <c r="X3170" s="8">
        <v>65.522000000000006</v>
      </c>
      <c r="Y3170" s="8">
        <v>32.744999999999997</v>
      </c>
      <c r="Z3170" s="8">
        <v>12.486000000000001</v>
      </c>
      <c r="AA3170" s="8">
        <v>3.09</v>
      </c>
      <c r="AB3170" s="8">
        <v>0.78900000000000003</v>
      </c>
      <c r="AC3170" s="8">
        <v>0.125</v>
      </c>
    </row>
    <row r="3171" spans="1:29" ht="11.65" hidden="1" x14ac:dyDescent="0.35">
      <c r="A3171" s="12">
        <v>3154</v>
      </c>
      <c r="B3171" s="10" t="s">
        <v>1015</v>
      </c>
      <c r="C3171" s="18" t="s">
        <v>1235</v>
      </c>
      <c r="D3171" s="9"/>
      <c r="E3171" s="9">
        <v>100</v>
      </c>
      <c r="F3171" s="10" t="s">
        <v>1066</v>
      </c>
      <c r="G3171" s="9">
        <v>923</v>
      </c>
      <c r="H3171" s="9">
        <v>1965</v>
      </c>
      <c r="I3171" s="8">
        <v>313.64999999999998</v>
      </c>
      <c r="J3171" s="8">
        <v>322.38200000000001</v>
      </c>
      <c r="K3171" s="8">
        <v>337.61700000000002</v>
      </c>
      <c r="L3171" s="8">
        <v>342.46699999999998</v>
      </c>
      <c r="M3171" s="8">
        <v>289.00599999999997</v>
      </c>
      <c r="N3171" s="8">
        <v>287.33999999999997</v>
      </c>
      <c r="O3171" s="8">
        <v>325.45499999999998</v>
      </c>
      <c r="P3171" s="8">
        <v>326.84699999999998</v>
      </c>
      <c r="Q3171" s="8">
        <v>322.82499999999999</v>
      </c>
      <c r="R3171" s="8">
        <v>194.179</v>
      </c>
      <c r="S3171" s="8">
        <v>244.44300000000001</v>
      </c>
      <c r="T3171" s="8">
        <v>232.14500000000001</v>
      </c>
      <c r="U3171" s="8">
        <v>191.72499999999999</v>
      </c>
      <c r="V3171" s="8">
        <v>145.41499999999999</v>
      </c>
      <c r="W3171" s="8">
        <v>99.525000000000006</v>
      </c>
      <c r="X3171" s="8">
        <v>74.759</v>
      </c>
      <c r="Y3171" s="8">
        <v>41.417000000000002</v>
      </c>
      <c r="Z3171" s="8">
        <v>15.788</v>
      </c>
      <c r="AA3171" s="8">
        <v>4.6669999999999998</v>
      </c>
      <c r="AB3171" s="8">
        <v>0.875</v>
      </c>
      <c r="AC3171" s="8">
        <v>0.16300000000000001</v>
      </c>
    </row>
    <row r="3172" spans="1:29" ht="11.65" hidden="1" x14ac:dyDescent="0.35">
      <c r="A3172" s="12">
        <v>3155</v>
      </c>
      <c r="B3172" s="10" t="s">
        <v>1015</v>
      </c>
      <c r="C3172" s="18" t="s">
        <v>1235</v>
      </c>
      <c r="D3172" s="9"/>
      <c r="E3172" s="9">
        <v>100</v>
      </c>
      <c r="F3172" s="10" t="s">
        <v>1066</v>
      </c>
      <c r="G3172" s="9">
        <v>923</v>
      </c>
      <c r="H3172" s="9">
        <v>1970</v>
      </c>
      <c r="I3172" s="8">
        <v>315.14600000000002</v>
      </c>
      <c r="J3172" s="8">
        <v>309.12700000000001</v>
      </c>
      <c r="K3172" s="8">
        <v>324.49799999999999</v>
      </c>
      <c r="L3172" s="8">
        <v>334.02100000000002</v>
      </c>
      <c r="M3172" s="8">
        <v>339.48</v>
      </c>
      <c r="N3172" s="8">
        <v>286.42200000000003</v>
      </c>
      <c r="O3172" s="8">
        <v>286.19099999999997</v>
      </c>
      <c r="P3172" s="8">
        <v>322.42200000000003</v>
      </c>
      <c r="Q3172" s="8">
        <v>323.57499999999999</v>
      </c>
      <c r="R3172" s="8">
        <v>318.75299999999999</v>
      </c>
      <c r="S3172" s="8">
        <v>189.72399999999999</v>
      </c>
      <c r="T3172" s="8">
        <v>236.73</v>
      </c>
      <c r="U3172" s="8">
        <v>222.648</v>
      </c>
      <c r="V3172" s="8">
        <v>175.37899999999999</v>
      </c>
      <c r="W3172" s="8">
        <v>123.822</v>
      </c>
      <c r="X3172" s="8">
        <v>74.421999999999997</v>
      </c>
      <c r="Y3172" s="8">
        <v>45.776000000000003</v>
      </c>
      <c r="Z3172" s="8">
        <v>19.651</v>
      </c>
      <c r="AA3172" s="8">
        <v>5.657</v>
      </c>
      <c r="AB3172" s="8">
        <v>1.242</v>
      </c>
      <c r="AC3172" s="8">
        <v>0.17299999999999999</v>
      </c>
    </row>
    <row r="3173" spans="1:29" ht="11.65" hidden="1" x14ac:dyDescent="0.35">
      <c r="A3173" s="12">
        <v>3156</v>
      </c>
      <c r="B3173" s="10" t="s">
        <v>1015</v>
      </c>
      <c r="C3173" s="18" t="s">
        <v>1235</v>
      </c>
      <c r="D3173" s="9"/>
      <c r="E3173" s="9">
        <v>100</v>
      </c>
      <c r="F3173" s="10" t="s">
        <v>1066</v>
      </c>
      <c r="G3173" s="9">
        <v>923</v>
      </c>
      <c r="H3173" s="9">
        <v>1975</v>
      </c>
      <c r="I3173" s="8">
        <v>330</v>
      </c>
      <c r="J3173" s="8">
        <v>310.10199999999998</v>
      </c>
      <c r="K3173" s="8">
        <v>306.44799999999998</v>
      </c>
      <c r="L3173" s="8">
        <v>318.87700000000001</v>
      </c>
      <c r="M3173" s="8">
        <v>330.24900000000002</v>
      </c>
      <c r="N3173" s="8">
        <v>336.83600000000001</v>
      </c>
      <c r="O3173" s="8">
        <v>284.71100000000001</v>
      </c>
      <c r="P3173" s="8">
        <v>284.05799999999999</v>
      </c>
      <c r="Q3173" s="8">
        <v>318.42200000000003</v>
      </c>
      <c r="R3173" s="8">
        <v>317.512</v>
      </c>
      <c r="S3173" s="8">
        <v>309.33100000000002</v>
      </c>
      <c r="T3173" s="8">
        <v>185.81299999999999</v>
      </c>
      <c r="U3173" s="8">
        <v>227.238</v>
      </c>
      <c r="V3173" s="8">
        <v>201.553</v>
      </c>
      <c r="W3173" s="8">
        <v>149.87200000000001</v>
      </c>
      <c r="X3173" s="8">
        <v>90.813000000000002</v>
      </c>
      <c r="Y3173" s="8">
        <v>44.988</v>
      </c>
      <c r="Z3173" s="8">
        <v>20.759</v>
      </c>
      <c r="AA3173" s="8">
        <v>6.4939999999999998</v>
      </c>
      <c r="AB3173" s="8">
        <v>1.343</v>
      </c>
      <c r="AC3173" s="8">
        <v>0.19700000000000001</v>
      </c>
    </row>
    <row r="3174" spans="1:29" ht="11.65" hidden="1" x14ac:dyDescent="0.35">
      <c r="A3174" s="12">
        <v>3157</v>
      </c>
      <c r="B3174" s="10" t="s">
        <v>1015</v>
      </c>
      <c r="C3174" s="18" t="s">
        <v>1235</v>
      </c>
      <c r="D3174" s="9"/>
      <c r="E3174" s="9">
        <v>100</v>
      </c>
      <c r="F3174" s="10" t="s">
        <v>1066</v>
      </c>
      <c r="G3174" s="9">
        <v>923</v>
      </c>
      <c r="H3174" s="9">
        <v>1980</v>
      </c>
      <c r="I3174" s="8">
        <v>330.97699999999998</v>
      </c>
      <c r="J3174" s="8">
        <v>321.62</v>
      </c>
      <c r="K3174" s="8">
        <v>303.74799999999999</v>
      </c>
      <c r="L3174" s="8">
        <v>303.52</v>
      </c>
      <c r="M3174" s="8">
        <v>310.17200000000003</v>
      </c>
      <c r="N3174" s="8">
        <v>324.71600000000001</v>
      </c>
      <c r="O3174" s="8">
        <v>333.26100000000002</v>
      </c>
      <c r="P3174" s="8">
        <v>280.81700000000001</v>
      </c>
      <c r="Q3174" s="8">
        <v>279.90199999999999</v>
      </c>
      <c r="R3174" s="8">
        <v>312.39800000000002</v>
      </c>
      <c r="S3174" s="8">
        <v>308.12099999999998</v>
      </c>
      <c r="T3174" s="8">
        <v>297.553</v>
      </c>
      <c r="U3174" s="8">
        <v>176.66300000000001</v>
      </c>
      <c r="V3174" s="8">
        <v>208.45</v>
      </c>
      <c r="W3174" s="8">
        <v>168.88200000000001</v>
      </c>
      <c r="X3174" s="8">
        <v>112.553</v>
      </c>
      <c r="Y3174" s="8">
        <v>54.704000000000001</v>
      </c>
      <c r="Z3174" s="8">
        <v>20.103999999999999</v>
      </c>
      <c r="AA3174" s="8">
        <v>6.5090000000000003</v>
      </c>
      <c r="AB3174" s="8">
        <v>1.405</v>
      </c>
      <c r="AC3174" s="8">
        <v>0.20100000000000001</v>
      </c>
    </row>
    <row r="3175" spans="1:29" ht="11.65" hidden="1" x14ac:dyDescent="0.35">
      <c r="A3175" s="12">
        <v>3158</v>
      </c>
      <c r="B3175" s="10" t="s">
        <v>1015</v>
      </c>
      <c r="C3175" s="18" t="s">
        <v>1235</v>
      </c>
      <c r="D3175" s="9"/>
      <c r="E3175" s="9">
        <v>100</v>
      </c>
      <c r="F3175" s="10" t="s">
        <v>1066</v>
      </c>
      <c r="G3175" s="9">
        <v>923</v>
      </c>
      <c r="H3175" s="9">
        <v>1985</v>
      </c>
      <c r="I3175" s="8">
        <v>295.673</v>
      </c>
      <c r="J3175" s="8">
        <v>328.89699999999999</v>
      </c>
      <c r="K3175" s="8">
        <v>321.07799999999997</v>
      </c>
      <c r="L3175" s="8">
        <v>300.39999999999998</v>
      </c>
      <c r="M3175" s="8">
        <v>299.65499999999997</v>
      </c>
      <c r="N3175" s="8">
        <v>311.255</v>
      </c>
      <c r="O3175" s="8">
        <v>324.34100000000001</v>
      </c>
      <c r="P3175" s="8">
        <v>332.60599999999999</v>
      </c>
      <c r="Q3175" s="8">
        <v>278.22199999999998</v>
      </c>
      <c r="R3175" s="8">
        <v>275.74299999999999</v>
      </c>
      <c r="S3175" s="8">
        <v>306.74400000000003</v>
      </c>
      <c r="T3175" s="8">
        <v>299.42500000000001</v>
      </c>
      <c r="U3175" s="8">
        <v>286.48</v>
      </c>
      <c r="V3175" s="8">
        <v>159.49600000000001</v>
      </c>
      <c r="W3175" s="8">
        <v>178.142</v>
      </c>
      <c r="X3175" s="8">
        <v>127.57</v>
      </c>
      <c r="Y3175" s="8">
        <v>66.953999999999994</v>
      </c>
      <c r="Z3175" s="8">
        <v>24.297999999999998</v>
      </c>
      <c r="AA3175" s="8">
        <v>6.1639999999999997</v>
      </c>
      <c r="AB3175" s="8">
        <v>1.3069999999999999</v>
      </c>
      <c r="AC3175" s="8">
        <v>0.17699999999999999</v>
      </c>
    </row>
    <row r="3176" spans="1:29" ht="11.65" hidden="1" x14ac:dyDescent="0.35">
      <c r="A3176" s="12">
        <v>3159</v>
      </c>
      <c r="B3176" s="10" t="s">
        <v>1015</v>
      </c>
      <c r="C3176" s="18" t="s">
        <v>1235</v>
      </c>
      <c r="D3176" s="9"/>
      <c r="E3176" s="9">
        <v>100</v>
      </c>
      <c r="F3176" s="10" t="s">
        <v>1066</v>
      </c>
      <c r="G3176" s="9">
        <v>923</v>
      </c>
      <c r="H3176" s="9">
        <v>1990</v>
      </c>
      <c r="I3176" s="8">
        <v>272.51299999999998</v>
      </c>
      <c r="J3176" s="8">
        <v>285.61799999999999</v>
      </c>
      <c r="K3176" s="8">
        <v>318.09300000000002</v>
      </c>
      <c r="L3176" s="8">
        <v>313.726</v>
      </c>
      <c r="M3176" s="8">
        <v>288.75299999999999</v>
      </c>
      <c r="N3176" s="8">
        <v>289.32600000000002</v>
      </c>
      <c r="O3176" s="8">
        <v>305.06700000000001</v>
      </c>
      <c r="P3176" s="8">
        <v>316.53199999999998</v>
      </c>
      <c r="Q3176" s="8">
        <v>325.36399999999998</v>
      </c>
      <c r="R3176" s="8">
        <v>270.69600000000003</v>
      </c>
      <c r="S3176" s="8">
        <v>266.69900000000001</v>
      </c>
      <c r="T3176" s="8">
        <v>295.37400000000002</v>
      </c>
      <c r="U3176" s="8">
        <v>283.91699999999997</v>
      </c>
      <c r="V3176" s="8">
        <v>263.20999999999998</v>
      </c>
      <c r="W3176" s="8">
        <v>136.21600000000001</v>
      </c>
      <c r="X3176" s="8">
        <v>135.41499999999999</v>
      </c>
      <c r="Y3176" s="8">
        <v>79.364999999999995</v>
      </c>
      <c r="Z3176" s="8">
        <v>30.04</v>
      </c>
      <c r="AA3176" s="8">
        <v>6.9</v>
      </c>
      <c r="AB3176" s="8">
        <v>1.0660000000000001</v>
      </c>
      <c r="AC3176" s="8">
        <v>0.124</v>
      </c>
    </row>
    <row r="3177" spans="1:29" ht="11.65" hidden="1" x14ac:dyDescent="0.35">
      <c r="A3177" s="12">
        <v>3160</v>
      </c>
      <c r="B3177" s="10" t="s">
        <v>1015</v>
      </c>
      <c r="C3177" s="18" t="s">
        <v>1235</v>
      </c>
      <c r="D3177" s="9"/>
      <c r="E3177" s="9">
        <v>100</v>
      </c>
      <c r="F3177" s="10" t="s">
        <v>1066</v>
      </c>
      <c r="G3177" s="9">
        <v>923</v>
      </c>
      <c r="H3177" s="9">
        <v>1995</v>
      </c>
      <c r="I3177" s="8">
        <v>204.506</v>
      </c>
      <c r="J3177" s="8">
        <v>255.126</v>
      </c>
      <c r="K3177" s="8">
        <v>271.029</v>
      </c>
      <c r="L3177" s="8">
        <v>300.03500000000003</v>
      </c>
      <c r="M3177" s="8">
        <v>292.505</v>
      </c>
      <c r="N3177" s="8">
        <v>272.80099999999999</v>
      </c>
      <c r="O3177" s="8">
        <v>273.55099999999999</v>
      </c>
      <c r="P3177" s="8">
        <v>288.72300000000001</v>
      </c>
      <c r="Q3177" s="8">
        <v>300.61500000000001</v>
      </c>
      <c r="R3177" s="8">
        <v>311.19900000000001</v>
      </c>
      <c r="S3177" s="8">
        <v>258.62</v>
      </c>
      <c r="T3177" s="8">
        <v>253.22200000000001</v>
      </c>
      <c r="U3177" s="8">
        <v>276.95499999999998</v>
      </c>
      <c r="V3177" s="8">
        <v>257.05500000000001</v>
      </c>
      <c r="W3177" s="8">
        <v>224.13499999999999</v>
      </c>
      <c r="X3177" s="8">
        <v>104.372</v>
      </c>
      <c r="Y3177" s="8">
        <v>86.287999999999997</v>
      </c>
      <c r="Z3177" s="8">
        <v>36.454999999999998</v>
      </c>
      <c r="AA3177" s="8">
        <v>8.86</v>
      </c>
      <c r="AB3177" s="8">
        <v>1.1850000000000001</v>
      </c>
      <c r="AC3177" s="8">
        <v>9.7000000000000003E-2</v>
      </c>
    </row>
    <row r="3178" spans="1:29" ht="11.65" hidden="1" x14ac:dyDescent="0.35">
      <c r="A3178" s="12">
        <v>3161</v>
      </c>
      <c r="B3178" s="10" t="s">
        <v>1015</v>
      </c>
      <c r="C3178" s="18" t="s">
        <v>1235</v>
      </c>
      <c r="D3178" s="9"/>
      <c r="E3178" s="9">
        <v>100</v>
      </c>
      <c r="F3178" s="10" t="s">
        <v>1066</v>
      </c>
      <c r="G3178" s="9">
        <v>923</v>
      </c>
      <c r="H3178" s="9">
        <v>2000</v>
      </c>
      <c r="I3178" s="8">
        <v>156.49799999999999</v>
      </c>
      <c r="J3178" s="8">
        <v>200.804</v>
      </c>
      <c r="K3178" s="8">
        <v>252.96</v>
      </c>
      <c r="L3178" s="8">
        <v>262.952</v>
      </c>
      <c r="M3178" s="8">
        <v>289.899</v>
      </c>
      <c r="N3178" s="8">
        <v>281.08800000000002</v>
      </c>
      <c r="O3178" s="8">
        <v>262.50599999999997</v>
      </c>
      <c r="P3178" s="8">
        <v>267.69200000000001</v>
      </c>
      <c r="Q3178" s="8">
        <v>280.755</v>
      </c>
      <c r="R3178" s="8">
        <v>293.37700000000001</v>
      </c>
      <c r="S3178" s="8">
        <v>302.63600000000002</v>
      </c>
      <c r="T3178" s="8">
        <v>247.31299999999999</v>
      </c>
      <c r="U3178" s="8">
        <v>238.68799999999999</v>
      </c>
      <c r="V3178" s="8">
        <v>253.49199999999999</v>
      </c>
      <c r="W3178" s="8">
        <v>221.84399999999999</v>
      </c>
      <c r="X3178" s="8">
        <v>172.471</v>
      </c>
      <c r="Y3178" s="8">
        <v>65.581999999999994</v>
      </c>
      <c r="Z3178" s="8">
        <v>38.357999999999997</v>
      </c>
      <c r="AA3178" s="8">
        <v>9.9730000000000008</v>
      </c>
      <c r="AB3178" s="8">
        <v>1.282</v>
      </c>
      <c r="AC3178" s="8">
        <v>8.5000000000000006E-2</v>
      </c>
    </row>
    <row r="3179" spans="1:29" ht="11.65" hidden="1" x14ac:dyDescent="0.35">
      <c r="A3179" s="12">
        <v>3162</v>
      </c>
      <c r="B3179" s="10" t="s">
        <v>1015</v>
      </c>
      <c r="C3179" s="18" t="s">
        <v>1235</v>
      </c>
      <c r="D3179" s="9"/>
      <c r="E3179" s="9">
        <v>100</v>
      </c>
      <c r="F3179" s="10" t="s">
        <v>1066</v>
      </c>
      <c r="G3179" s="9">
        <v>923</v>
      </c>
      <c r="H3179" s="9">
        <v>2005</v>
      </c>
      <c r="I3179" s="8">
        <v>160.68600000000001</v>
      </c>
      <c r="J3179" s="8">
        <v>150.78700000000001</v>
      </c>
      <c r="K3179" s="8">
        <v>197.02</v>
      </c>
      <c r="L3179" s="8">
        <v>247.61199999999999</v>
      </c>
      <c r="M3179" s="8">
        <v>251.392</v>
      </c>
      <c r="N3179" s="8">
        <v>278.04899999999998</v>
      </c>
      <c r="O3179" s="8">
        <v>272.19299999999998</v>
      </c>
      <c r="P3179" s="8">
        <v>254.11699999999999</v>
      </c>
      <c r="Q3179" s="8">
        <v>259.774</v>
      </c>
      <c r="R3179" s="8">
        <v>273.48599999999999</v>
      </c>
      <c r="S3179" s="8">
        <v>286.43799999999999</v>
      </c>
      <c r="T3179" s="8">
        <v>296.16800000000001</v>
      </c>
      <c r="U3179" s="8">
        <v>238.625</v>
      </c>
      <c r="V3179" s="8">
        <v>222.31700000000001</v>
      </c>
      <c r="W3179" s="8">
        <v>224.77699999999999</v>
      </c>
      <c r="X3179" s="8">
        <v>174.73099999999999</v>
      </c>
      <c r="Y3179" s="8">
        <v>113.819</v>
      </c>
      <c r="Z3179" s="8">
        <v>31.013000000000002</v>
      </c>
      <c r="AA3179" s="8">
        <v>11.522</v>
      </c>
      <c r="AB3179" s="8">
        <v>1.6779999999999999</v>
      </c>
      <c r="AC3179" s="8">
        <v>0.108</v>
      </c>
    </row>
    <row r="3180" spans="1:29" ht="11.65" hidden="1" x14ac:dyDescent="0.35">
      <c r="A3180" s="12">
        <v>3163</v>
      </c>
      <c r="B3180" s="10" t="s">
        <v>1015</v>
      </c>
      <c r="C3180" s="18" t="s">
        <v>1235</v>
      </c>
      <c r="D3180" s="9"/>
      <c r="E3180" s="9">
        <v>100</v>
      </c>
      <c r="F3180" s="10" t="s">
        <v>1066</v>
      </c>
      <c r="G3180" s="9">
        <v>923</v>
      </c>
      <c r="H3180" s="9">
        <v>2010</v>
      </c>
      <c r="I3180" s="8">
        <v>182.24600000000001</v>
      </c>
      <c r="J3180" s="8">
        <v>155.43299999999999</v>
      </c>
      <c r="K3180" s="8">
        <v>149.142</v>
      </c>
      <c r="L3180" s="8">
        <v>194.238</v>
      </c>
      <c r="M3180" s="8">
        <v>239.80199999999999</v>
      </c>
      <c r="N3180" s="8">
        <v>236.00700000000001</v>
      </c>
      <c r="O3180" s="8">
        <v>266.392</v>
      </c>
      <c r="P3180" s="8">
        <v>263.87599999999998</v>
      </c>
      <c r="Q3180" s="8">
        <v>244.637</v>
      </c>
      <c r="R3180" s="8">
        <v>249.59100000000001</v>
      </c>
      <c r="S3180" s="8">
        <v>264.86599999999999</v>
      </c>
      <c r="T3180" s="8">
        <v>279.00400000000002</v>
      </c>
      <c r="U3180" s="8">
        <v>288.38600000000002</v>
      </c>
      <c r="V3180" s="8">
        <v>226.404</v>
      </c>
      <c r="W3180" s="8">
        <v>200.11199999999999</v>
      </c>
      <c r="X3180" s="8">
        <v>183.37</v>
      </c>
      <c r="Y3180" s="8">
        <v>117.821</v>
      </c>
      <c r="Z3180" s="8">
        <v>55.848999999999997</v>
      </c>
      <c r="AA3180" s="8">
        <v>9.9380000000000006</v>
      </c>
      <c r="AB3180" s="8">
        <v>2.1110000000000002</v>
      </c>
      <c r="AC3180" s="8">
        <v>0.154</v>
      </c>
    </row>
    <row r="3181" spans="1:29" ht="11.65" hidden="1" x14ac:dyDescent="0.35">
      <c r="A3181" s="12">
        <v>3164</v>
      </c>
      <c r="B3181" s="10" t="s">
        <v>1015</v>
      </c>
      <c r="C3181" s="18" t="s">
        <v>1235</v>
      </c>
      <c r="D3181" s="9"/>
      <c r="E3181" s="9">
        <v>100</v>
      </c>
      <c r="F3181" s="10" t="s">
        <v>1066</v>
      </c>
      <c r="G3181" s="9">
        <v>923</v>
      </c>
      <c r="H3181" s="9">
        <v>2015</v>
      </c>
      <c r="I3181" s="8">
        <v>164.19200000000001</v>
      </c>
      <c r="J3181" s="8">
        <v>180.65299999999999</v>
      </c>
      <c r="K3181" s="8">
        <v>154.42500000000001</v>
      </c>
      <c r="L3181" s="8">
        <v>147.858</v>
      </c>
      <c r="M3181" s="8">
        <v>191.886</v>
      </c>
      <c r="N3181" s="8">
        <v>235.58500000000001</v>
      </c>
      <c r="O3181" s="8">
        <v>230.642</v>
      </c>
      <c r="P3181" s="8">
        <v>261.84800000000001</v>
      </c>
      <c r="Q3181" s="8">
        <v>260.10199999999998</v>
      </c>
      <c r="R3181" s="8">
        <v>240.715</v>
      </c>
      <c r="S3181" s="8">
        <v>244.678</v>
      </c>
      <c r="T3181" s="8">
        <v>257.935</v>
      </c>
      <c r="U3181" s="8">
        <v>269.93599999999998</v>
      </c>
      <c r="V3181" s="8">
        <v>274.04599999999999</v>
      </c>
      <c r="W3181" s="8">
        <v>207.46</v>
      </c>
      <c r="X3181" s="8">
        <v>168.417</v>
      </c>
      <c r="Y3181" s="8">
        <v>130.017</v>
      </c>
      <c r="Z3181" s="8">
        <v>60.384</v>
      </c>
      <c r="AA3181" s="8">
        <v>15.89</v>
      </c>
      <c r="AB3181" s="8">
        <v>1.343</v>
      </c>
      <c r="AC3181" s="8">
        <v>9.2999999999999999E-2</v>
      </c>
    </row>
    <row r="3182" spans="1:29" ht="11.65" hidden="1" x14ac:dyDescent="0.35">
      <c r="A3182" s="12">
        <v>3165</v>
      </c>
      <c r="B3182" s="10" t="s">
        <v>1015</v>
      </c>
      <c r="C3182" s="18" t="s">
        <v>1235</v>
      </c>
      <c r="D3182" s="9"/>
      <c r="E3182" s="9">
        <v>100</v>
      </c>
      <c r="F3182" s="10" t="s">
        <v>1066</v>
      </c>
      <c r="G3182" s="9">
        <v>923</v>
      </c>
      <c r="H3182" s="9">
        <v>2020</v>
      </c>
      <c r="I3182" s="8">
        <v>151.94300000000001</v>
      </c>
      <c r="J3182" s="8">
        <v>163.636</v>
      </c>
      <c r="K3182" s="8">
        <v>180.22</v>
      </c>
      <c r="L3182" s="8">
        <v>152.495</v>
      </c>
      <c r="M3182" s="8">
        <v>144.52699999999999</v>
      </c>
      <c r="N3182" s="8">
        <v>188.65600000000001</v>
      </c>
      <c r="O3182" s="8">
        <v>232.91200000000001</v>
      </c>
      <c r="P3182" s="8">
        <v>228.44200000000001</v>
      </c>
      <c r="Q3182" s="8">
        <v>259.363</v>
      </c>
      <c r="R3182" s="8">
        <v>256.71300000000002</v>
      </c>
      <c r="S3182" s="8">
        <v>236.166</v>
      </c>
      <c r="T3182" s="8">
        <v>237.857</v>
      </c>
      <c r="U3182" s="8">
        <v>247.58199999999999</v>
      </c>
      <c r="V3182" s="8">
        <v>254.54300000000001</v>
      </c>
      <c r="W3182" s="8">
        <v>249.78200000000001</v>
      </c>
      <c r="X3182" s="8">
        <v>176.28</v>
      </c>
      <c r="Y3182" s="8">
        <v>124.00700000000001</v>
      </c>
      <c r="Z3182" s="8">
        <v>67.286000000000001</v>
      </c>
      <c r="AA3182" s="8">
        <v>18.870999999999999</v>
      </c>
      <c r="AB3182" s="8">
        <v>2.9350000000000001</v>
      </c>
      <c r="AC3182" s="8">
        <v>0.108</v>
      </c>
    </row>
    <row r="3183" spans="1:29" ht="11.65" hidden="1" x14ac:dyDescent="0.35">
      <c r="A3183" s="12">
        <v>3166</v>
      </c>
      <c r="B3183" s="10" t="s">
        <v>1015</v>
      </c>
      <c r="C3183" s="18" t="s">
        <v>1236</v>
      </c>
      <c r="D3183" s="9"/>
      <c r="E3183" s="9">
        <v>203</v>
      </c>
      <c r="F3183" s="10" t="s">
        <v>1066</v>
      </c>
      <c r="G3183" s="9">
        <v>923</v>
      </c>
      <c r="H3183" s="9">
        <v>1950</v>
      </c>
      <c r="I3183" s="8">
        <v>436.85899999999998</v>
      </c>
      <c r="J3183" s="8">
        <v>355.91</v>
      </c>
      <c r="K3183" s="8">
        <v>271.60599999999999</v>
      </c>
      <c r="L3183" s="8">
        <v>305.75700000000001</v>
      </c>
      <c r="M3183" s="8">
        <v>341.76499999999999</v>
      </c>
      <c r="N3183" s="8">
        <v>395.125</v>
      </c>
      <c r="O3183" s="8">
        <v>205.625</v>
      </c>
      <c r="P3183" s="8">
        <v>364.56900000000002</v>
      </c>
      <c r="Q3183" s="8">
        <v>367.96499999999997</v>
      </c>
      <c r="R3183" s="8">
        <v>346.65199999999999</v>
      </c>
      <c r="S3183" s="8">
        <v>307.22300000000001</v>
      </c>
      <c r="T3183" s="8">
        <v>247.661</v>
      </c>
      <c r="U3183" s="8">
        <v>208.185</v>
      </c>
      <c r="V3183" s="8">
        <v>169.36199999999999</v>
      </c>
      <c r="W3183" s="8">
        <v>123.642</v>
      </c>
      <c r="X3183" s="8">
        <v>78.882999999999996</v>
      </c>
      <c r="Y3183" s="8">
        <v>37.683</v>
      </c>
      <c r="Z3183" s="8">
        <v>12.271000000000001</v>
      </c>
      <c r="AA3183" s="8">
        <v>2.4929999999999999</v>
      </c>
      <c r="AB3183" s="8">
        <v>0.22900000000000001</v>
      </c>
      <c r="AC3183" s="8">
        <v>8.0000000000000002E-3</v>
      </c>
    </row>
    <row r="3184" spans="1:29" ht="11.65" hidden="1" x14ac:dyDescent="0.35">
      <c r="A3184" s="12">
        <v>3167</v>
      </c>
      <c r="B3184" s="10" t="s">
        <v>1015</v>
      </c>
      <c r="C3184" s="18" t="s">
        <v>1236</v>
      </c>
      <c r="D3184" s="9"/>
      <c r="E3184" s="9">
        <v>203</v>
      </c>
      <c r="F3184" s="10" t="s">
        <v>1066</v>
      </c>
      <c r="G3184" s="9">
        <v>923</v>
      </c>
      <c r="H3184" s="9">
        <v>1955</v>
      </c>
      <c r="I3184" s="8">
        <v>421.238</v>
      </c>
      <c r="J3184" s="8">
        <v>435.327</v>
      </c>
      <c r="K3184" s="8">
        <v>355.84899999999999</v>
      </c>
      <c r="L3184" s="8">
        <v>272.88200000000001</v>
      </c>
      <c r="M3184" s="8">
        <v>309.14</v>
      </c>
      <c r="N3184" s="8">
        <v>345.66399999999999</v>
      </c>
      <c r="O3184" s="8">
        <v>397.274</v>
      </c>
      <c r="P3184" s="8">
        <v>207.214</v>
      </c>
      <c r="Q3184" s="8">
        <v>362.33300000000003</v>
      </c>
      <c r="R3184" s="8">
        <v>362.93900000000002</v>
      </c>
      <c r="S3184" s="8">
        <v>338.39800000000002</v>
      </c>
      <c r="T3184" s="8">
        <v>295.26900000000001</v>
      </c>
      <c r="U3184" s="8">
        <v>231.97</v>
      </c>
      <c r="V3184" s="8">
        <v>185.75899999999999</v>
      </c>
      <c r="W3184" s="8">
        <v>138.43899999999999</v>
      </c>
      <c r="X3184" s="8">
        <v>86.787000000000006</v>
      </c>
      <c r="Y3184" s="8">
        <v>43.195</v>
      </c>
      <c r="Z3184" s="8">
        <v>14.371</v>
      </c>
      <c r="AA3184" s="8">
        <v>2.8340000000000001</v>
      </c>
      <c r="AB3184" s="8">
        <v>0.307</v>
      </c>
      <c r="AC3184" s="8">
        <v>1.4E-2</v>
      </c>
    </row>
    <row r="3185" spans="1:29" ht="11.65" hidden="1" x14ac:dyDescent="0.35">
      <c r="A3185" s="12">
        <v>3168</v>
      </c>
      <c r="B3185" s="10" t="s">
        <v>1015</v>
      </c>
      <c r="C3185" s="18" t="s">
        <v>1236</v>
      </c>
      <c r="D3185" s="9"/>
      <c r="E3185" s="9">
        <v>203</v>
      </c>
      <c r="F3185" s="10" t="s">
        <v>1066</v>
      </c>
      <c r="G3185" s="9">
        <v>923</v>
      </c>
      <c r="H3185" s="9">
        <v>1960</v>
      </c>
      <c r="I3185" s="8">
        <v>354.39800000000002</v>
      </c>
      <c r="J3185" s="8">
        <v>418.35</v>
      </c>
      <c r="K3185" s="8">
        <v>434.036</v>
      </c>
      <c r="L3185" s="8">
        <v>355.46300000000002</v>
      </c>
      <c r="M3185" s="8">
        <v>272.86099999999999</v>
      </c>
      <c r="N3185" s="8">
        <v>307.01400000000001</v>
      </c>
      <c r="O3185" s="8">
        <v>339.25099999999998</v>
      </c>
      <c r="P3185" s="8">
        <v>388.63900000000001</v>
      </c>
      <c r="Q3185" s="8">
        <v>202.74700000000001</v>
      </c>
      <c r="R3185" s="8">
        <v>357.42500000000001</v>
      </c>
      <c r="S3185" s="8">
        <v>354.85599999999999</v>
      </c>
      <c r="T3185" s="8">
        <v>326.43</v>
      </c>
      <c r="U3185" s="8">
        <v>278.39100000000002</v>
      </c>
      <c r="V3185" s="8">
        <v>209.61699999999999</v>
      </c>
      <c r="W3185" s="8">
        <v>154.73099999999999</v>
      </c>
      <c r="X3185" s="8">
        <v>100.626</v>
      </c>
      <c r="Y3185" s="8">
        <v>50.24</v>
      </c>
      <c r="Z3185" s="8">
        <v>17.591999999999999</v>
      </c>
      <c r="AA3185" s="8">
        <v>3.5659999999999998</v>
      </c>
      <c r="AB3185" s="8">
        <v>0.371</v>
      </c>
      <c r="AC3185" s="8">
        <v>0.02</v>
      </c>
    </row>
    <row r="3186" spans="1:29" ht="11.65" hidden="1" x14ac:dyDescent="0.35">
      <c r="A3186" s="12">
        <v>3169</v>
      </c>
      <c r="B3186" s="10" t="s">
        <v>1015</v>
      </c>
      <c r="C3186" s="18" t="s">
        <v>1236</v>
      </c>
      <c r="D3186" s="9"/>
      <c r="E3186" s="9">
        <v>203</v>
      </c>
      <c r="F3186" s="10" t="s">
        <v>1066</v>
      </c>
      <c r="G3186" s="9">
        <v>923</v>
      </c>
      <c r="H3186" s="9">
        <v>1965</v>
      </c>
      <c r="I3186" s="8">
        <v>336.29300000000001</v>
      </c>
      <c r="J3186" s="8">
        <v>353.51499999999999</v>
      </c>
      <c r="K3186" s="8">
        <v>417.86</v>
      </c>
      <c r="L3186" s="8">
        <v>433.60700000000003</v>
      </c>
      <c r="M3186" s="8">
        <v>355.35599999999999</v>
      </c>
      <c r="N3186" s="8">
        <v>273.04399999999998</v>
      </c>
      <c r="O3186" s="8">
        <v>306.64299999999997</v>
      </c>
      <c r="P3186" s="8">
        <v>337.90899999999999</v>
      </c>
      <c r="Q3186" s="8">
        <v>385.75400000000002</v>
      </c>
      <c r="R3186" s="8">
        <v>200.40899999999999</v>
      </c>
      <c r="S3186" s="8">
        <v>350.24099999999999</v>
      </c>
      <c r="T3186" s="8">
        <v>343.41300000000001</v>
      </c>
      <c r="U3186" s="8">
        <v>309.15800000000002</v>
      </c>
      <c r="V3186" s="8">
        <v>253.429</v>
      </c>
      <c r="W3186" s="8">
        <v>177.387</v>
      </c>
      <c r="X3186" s="8">
        <v>114.761</v>
      </c>
      <c r="Y3186" s="8">
        <v>59.726999999999997</v>
      </c>
      <c r="Z3186" s="8">
        <v>21.111000000000001</v>
      </c>
      <c r="AA3186" s="8">
        <v>4.5940000000000003</v>
      </c>
      <c r="AB3186" s="8">
        <v>0.502</v>
      </c>
      <c r="AC3186" s="8">
        <v>2.5999999999999999E-2</v>
      </c>
    </row>
    <row r="3187" spans="1:29" ht="11.65" hidden="1" x14ac:dyDescent="0.35">
      <c r="A3187" s="12">
        <v>3170</v>
      </c>
      <c r="B3187" s="10" t="s">
        <v>1015</v>
      </c>
      <c r="C3187" s="18" t="s">
        <v>1236</v>
      </c>
      <c r="D3187" s="9"/>
      <c r="E3187" s="9">
        <v>203</v>
      </c>
      <c r="F3187" s="10" t="s">
        <v>1066</v>
      </c>
      <c r="G3187" s="9">
        <v>923</v>
      </c>
      <c r="H3187" s="9">
        <v>1970</v>
      </c>
      <c r="I3187" s="8">
        <v>333.80599999999998</v>
      </c>
      <c r="J3187" s="8">
        <v>332.33800000000002</v>
      </c>
      <c r="K3187" s="8">
        <v>351.16699999999997</v>
      </c>
      <c r="L3187" s="8">
        <v>415.86500000000001</v>
      </c>
      <c r="M3187" s="8">
        <v>430.71199999999999</v>
      </c>
      <c r="N3187" s="8">
        <v>352.53699999999998</v>
      </c>
      <c r="O3187" s="8">
        <v>269.17500000000001</v>
      </c>
      <c r="P3187" s="8">
        <v>300.28699999999998</v>
      </c>
      <c r="Q3187" s="8">
        <v>329.41199999999998</v>
      </c>
      <c r="R3187" s="8">
        <v>374.46499999999997</v>
      </c>
      <c r="S3187" s="8">
        <v>191.946</v>
      </c>
      <c r="T3187" s="8">
        <v>336.464</v>
      </c>
      <c r="U3187" s="8">
        <v>323.14100000000002</v>
      </c>
      <c r="V3187" s="8">
        <v>280.32799999999997</v>
      </c>
      <c r="W3187" s="8">
        <v>213.899</v>
      </c>
      <c r="X3187" s="8">
        <v>131.43600000000001</v>
      </c>
      <c r="Y3187" s="8">
        <v>68.147999999999996</v>
      </c>
      <c r="Z3187" s="8">
        <v>25.303999999999998</v>
      </c>
      <c r="AA3187" s="8">
        <v>5.7060000000000004</v>
      </c>
      <c r="AB3187" s="8">
        <v>0.67400000000000004</v>
      </c>
      <c r="AC3187" s="8">
        <v>3.6999999999999998E-2</v>
      </c>
    </row>
    <row r="3188" spans="1:29" ht="11.65" hidden="1" x14ac:dyDescent="0.35">
      <c r="A3188" s="12">
        <v>3171</v>
      </c>
      <c r="B3188" s="10" t="s">
        <v>1015</v>
      </c>
      <c r="C3188" s="18" t="s">
        <v>1236</v>
      </c>
      <c r="D3188" s="9"/>
      <c r="E3188" s="9">
        <v>203</v>
      </c>
      <c r="F3188" s="10" t="s">
        <v>1066</v>
      </c>
      <c r="G3188" s="9">
        <v>923</v>
      </c>
      <c r="H3188" s="9">
        <v>1975</v>
      </c>
      <c r="I3188" s="8">
        <v>412.66500000000002</v>
      </c>
      <c r="J3188" s="8">
        <v>333.18599999999998</v>
      </c>
      <c r="K3188" s="8">
        <v>332.053</v>
      </c>
      <c r="L3188" s="8">
        <v>350.9</v>
      </c>
      <c r="M3188" s="8">
        <v>415.64800000000002</v>
      </c>
      <c r="N3188" s="8">
        <v>430.54399999999998</v>
      </c>
      <c r="O3188" s="8">
        <v>352.18900000000002</v>
      </c>
      <c r="P3188" s="8">
        <v>268.44</v>
      </c>
      <c r="Q3188" s="8">
        <v>298.346</v>
      </c>
      <c r="R3188" s="8">
        <v>325.31700000000001</v>
      </c>
      <c r="S3188" s="8">
        <v>366.60300000000001</v>
      </c>
      <c r="T3188" s="8">
        <v>185.71100000000001</v>
      </c>
      <c r="U3188" s="8">
        <v>318.63900000000001</v>
      </c>
      <c r="V3188" s="8">
        <v>294.19900000000001</v>
      </c>
      <c r="W3188" s="8">
        <v>237.107</v>
      </c>
      <c r="X3188" s="8">
        <v>158.67400000000001</v>
      </c>
      <c r="Y3188" s="8">
        <v>78.168000000000006</v>
      </c>
      <c r="Z3188" s="8">
        <v>29.033000000000001</v>
      </c>
      <c r="AA3188" s="8">
        <v>6.7880000000000003</v>
      </c>
      <c r="AB3188" s="8">
        <v>0.83299999999999996</v>
      </c>
      <c r="AC3188" s="8">
        <v>0.05</v>
      </c>
    </row>
    <row r="3189" spans="1:29" ht="11.65" hidden="1" x14ac:dyDescent="0.35">
      <c r="A3189" s="12">
        <v>3172</v>
      </c>
      <c r="B3189" s="10" t="s">
        <v>1015</v>
      </c>
      <c r="C3189" s="18" t="s">
        <v>1236</v>
      </c>
      <c r="D3189" s="9"/>
      <c r="E3189" s="9">
        <v>203</v>
      </c>
      <c r="F3189" s="10" t="s">
        <v>1066</v>
      </c>
      <c r="G3189" s="9">
        <v>923</v>
      </c>
      <c r="H3189" s="9">
        <v>1980</v>
      </c>
      <c r="I3189" s="8">
        <v>436.517</v>
      </c>
      <c r="J3189" s="8">
        <v>411.97399999999999</v>
      </c>
      <c r="K3189" s="8">
        <v>332.91500000000002</v>
      </c>
      <c r="L3189" s="8">
        <v>331.92500000000001</v>
      </c>
      <c r="M3189" s="8">
        <v>350.92700000000002</v>
      </c>
      <c r="N3189" s="8">
        <v>415.59500000000003</v>
      </c>
      <c r="O3189" s="8">
        <v>430.04199999999997</v>
      </c>
      <c r="P3189" s="8">
        <v>351.21499999999997</v>
      </c>
      <c r="Q3189" s="8">
        <v>266.86099999999999</v>
      </c>
      <c r="R3189" s="8">
        <v>295.02999999999997</v>
      </c>
      <c r="S3189" s="8">
        <v>319.07299999999998</v>
      </c>
      <c r="T3189" s="8">
        <v>354.84699999999998</v>
      </c>
      <c r="U3189" s="8">
        <v>176.054</v>
      </c>
      <c r="V3189" s="8">
        <v>291.31400000000002</v>
      </c>
      <c r="W3189" s="8">
        <v>250.774</v>
      </c>
      <c r="X3189" s="8">
        <v>178.08799999999999</v>
      </c>
      <c r="Y3189" s="8">
        <v>95.739000000000004</v>
      </c>
      <c r="Z3189" s="8">
        <v>33.646000000000001</v>
      </c>
      <c r="AA3189" s="8">
        <v>7.694</v>
      </c>
      <c r="AB3189" s="8">
        <v>0.95099999999999996</v>
      </c>
      <c r="AC3189" s="8">
        <v>5.8999999999999997E-2</v>
      </c>
    </row>
    <row r="3190" spans="1:29" ht="11.65" hidden="1" x14ac:dyDescent="0.35">
      <c r="A3190" s="12">
        <v>3173</v>
      </c>
      <c r="B3190" s="10" t="s">
        <v>1015</v>
      </c>
      <c r="C3190" s="18" t="s">
        <v>1236</v>
      </c>
      <c r="D3190" s="9"/>
      <c r="E3190" s="9">
        <v>203</v>
      </c>
      <c r="F3190" s="10" t="s">
        <v>1066</v>
      </c>
      <c r="G3190" s="9">
        <v>923</v>
      </c>
      <c r="H3190" s="9">
        <v>1985</v>
      </c>
      <c r="I3190" s="8">
        <v>337.51600000000002</v>
      </c>
      <c r="J3190" s="8">
        <v>435.21600000000001</v>
      </c>
      <c r="K3190" s="8">
        <v>411.34899999999999</v>
      </c>
      <c r="L3190" s="8">
        <v>331.43099999999998</v>
      </c>
      <c r="M3190" s="8">
        <v>328.58600000000001</v>
      </c>
      <c r="N3190" s="8">
        <v>346.18599999999998</v>
      </c>
      <c r="O3190" s="8">
        <v>408.63</v>
      </c>
      <c r="P3190" s="8">
        <v>421.59399999999999</v>
      </c>
      <c r="Q3190" s="8">
        <v>344.822</v>
      </c>
      <c r="R3190" s="8">
        <v>262.76400000000001</v>
      </c>
      <c r="S3190" s="8">
        <v>289.31599999999997</v>
      </c>
      <c r="T3190" s="8">
        <v>309.01799999999997</v>
      </c>
      <c r="U3190" s="8">
        <v>335.81599999999997</v>
      </c>
      <c r="V3190" s="8">
        <v>160.57</v>
      </c>
      <c r="W3190" s="8">
        <v>248.315</v>
      </c>
      <c r="X3190" s="8">
        <v>188.24199999999999</v>
      </c>
      <c r="Y3190" s="8">
        <v>107.114</v>
      </c>
      <c r="Z3190" s="8">
        <v>40.954999999999998</v>
      </c>
      <c r="AA3190" s="8">
        <v>8.93</v>
      </c>
      <c r="AB3190" s="8">
        <v>1.081</v>
      </c>
      <c r="AC3190" s="8">
        <v>6.6000000000000003E-2</v>
      </c>
    </row>
    <row r="3191" spans="1:29" ht="11.65" hidden="1" x14ac:dyDescent="0.35">
      <c r="A3191" s="12">
        <v>3174</v>
      </c>
      <c r="B3191" s="10" t="s">
        <v>1015</v>
      </c>
      <c r="C3191" s="18" t="s">
        <v>1236</v>
      </c>
      <c r="D3191" s="9"/>
      <c r="E3191" s="9">
        <v>203</v>
      </c>
      <c r="F3191" s="10" t="s">
        <v>1066</v>
      </c>
      <c r="G3191" s="9">
        <v>923</v>
      </c>
      <c r="H3191" s="9">
        <v>1990</v>
      </c>
      <c r="I3191" s="8">
        <v>315.13900000000001</v>
      </c>
      <c r="J3191" s="8">
        <v>336.39299999999997</v>
      </c>
      <c r="K3191" s="8">
        <v>434.86399999999998</v>
      </c>
      <c r="L3191" s="8">
        <v>411.80099999999999</v>
      </c>
      <c r="M3191" s="8">
        <v>331.55700000000002</v>
      </c>
      <c r="N3191" s="8">
        <v>328.44900000000001</v>
      </c>
      <c r="O3191" s="8">
        <v>346.279</v>
      </c>
      <c r="P3191" s="8">
        <v>407.18700000000001</v>
      </c>
      <c r="Q3191" s="8">
        <v>417.08199999999999</v>
      </c>
      <c r="R3191" s="8">
        <v>340.05799999999999</v>
      </c>
      <c r="S3191" s="8">
        <v>259.08499999999998</v>
      </c>
      <c r="T3191" s="8">
        <v>281.78300000000002</v>
      </c>
      <c r="U3191" s="8">
        <v>294.702</v>
      </c>
      <c r="V3191" s="8">
        <v>308.62</v>
      </c>
      <c r="W3191" s="8">
        <v>138.614</v>
      </c>
      <c r="X3191" s="8">
        <v>190.607</v>
      </c>
      <c r="Y3191" s="8">
        <v>117.764</v>
      </c>
      <c r="Z3191" s="8">
        <v>48.116</v>
      </c>
      <c r="AA3191" s="8">
        <v>11.53</v>
      </c>
      <c r="AB3191" s="8">
        <v>1.331</v>
      </c>
      <c r="AC3191" s="8">
        <v>7.9000000000000001E-2</v>
      </c>
    </row>
    <row r="3192" spans="1:29" ht="11.65" hidden="1" x14ac:dyDescent="0.35">
      <c r="A3192" s="12">
        <v>3175</v>
      </c>
      <c r="B3192" s="10" t="s">
        <v>1015</v>
      </c>
      <c r="C3192" s="18" t="s">
        <v>1236</v>
      </c>
      <c r="D3192" s="9"/>
      <c r="E3192" s="9">
        <v>203</v>
      </c>
      <c r="F3192" s="10" t="s">
        <v>1066</v>
      </c>
      <c r="G3192" s="9">
        <v>923</v>
      </c>
      <c r="H3192" s="9">
        <v>1995</v>
      </c>
      <c r="I3192" s="8">
        <v>288.86399999999998</v>
      </c>
      <c r="J3192" s="8">
        <v>315.32600000000002</v>
      </c>
      <c r="K3192" s="8">
        <v>336.45699999999999</v>
      </c>
      <c r="L3192" s="8">
        <v>435.35899999999998</v>
      </c>
      <c r="M3192" s="8">
        <v>413.38</v>
      </c>
      <c r="N3192" s="8">
        <v>333.75099999999998</v>
      </c>
      <c r="O3192" s="8">
        <v>330.03800000000001</v>
      </c>
      <c r="P3192" s="8">
        <v>346.61900000000003</v>
      </c>
      <c r="Q3192" s="8">
        <v>405.63600000000002</v>
      </c>
      <c r="R3192" s="8">
        <v>413.21100000000001</v>
      </c>
      <c r="S3192" s="8">
        <v>334.55599999999998</v>
      </c>
      <c r="T3192" s="8">
        <v>252.203</v>
      </c>
      <c r="U3192" s="8">
        <v>269.10199999999998</v>
      </c>
      <c r="V3192" s="8">
        <v>272.42099999999999</v>
      </c>
      <c r="W3192" s="8">
        <v>269.322</v>
      </c>
      <c r="X3192" s="8">
        <v>109.541</v>
      </c>
      <c r="Y3192" s="8">
        <v>125.36199999999999</v>
      </c>
      <c r="Z3192" s="8">
        <v>57.146000000000001</v>
      </c>
      <c r="AA3192" s="8">
        <v>14.545999999999999</v>
      </c>
      <c r="AB3192" s="8">
        <v>1.857</v>
      </c>
      <c r="AC3192" s="8">
        <v>0.10299999999999999</v>
      </c>
    </row>
    <row r="3193" spans="1:29" ht="11.65" hidden="1" x14ac:dyDescent="0.35">
      <c r="A3193" s="12">
        <v>3176</v>
      </c>
      <c r="B3193" s="10" t="s">
        <v>1015</v>
      </c>
      <c r="C3193" s="18" t="s">
        <v>1236</v>
      </c>
      <c r="D3193" s="9"/>
      <c r="E3193" s="9">
        <v>203</v>
      </c>
      <c r="F3193" s="10" t="s">
        <v>1066</v>
      </c>
      <c r="G3193" s="9">
        <v>923</v>
      </c>
      <c r="H3193" s="9">
        <v>2000</v>
      </c>
      <c r="I3193" s="8">
        <v>217.51599999999999</v>
      </c>
      <c r="J3193" s="8">
        <v>289.13200000000001</v>
      </c>
      <c r="K3193" s="8">
        <v>315.69099999999997</v>
      </c>
      <c r="L3193" s="8">
        <v>337.81900000000002</v>
      </c>
      <c r="M3193" s="8">
        <v>437.61900000000003</v>
      </c>
      <c r="N3193" s="8">
        <v>416.541</v>
      </c>
      <c r="O3193" s="8">
        <v>337.09800000000001</v>
      </c>
      <c r="P3193" s="8">
        <v>331.774</v>
      </c>
      <c r="Q3193" s="8">
        <v>346.56700000000001</v>
      </c>
      <c r="R3193" s="8">
        <v>402.93299999999999</v>
      </c>
      <c r="S3193" s="8">
        <v>407.51799999999997</v>
      </c>
      <c r="T3193" s="8">
        <v>326.68900000000002</v>
      </c>
      <c r="U3193" s="8">
        <v>242.53100000000001</v>
      </c>
      <c r="V3193" s="8">
        <v>251.732</v>
      </c>
      <c r="W3193" s="8">
        <v>242.34200000000001</v>
      </c>
      <c r="X3193" s="8">
        <v>218.06800000000001</v>
      </c>
      <c r="Y3193" s="8">
        <v>75.631</v>
      </c>
      <c r="Z3193" s="8">
        <v>65.046000000000006</v>
      </c>
      <c r="AA3193" s="8">
        <v>18.91</v>
      </c>
      <c r="AB3193" s="8">
        <v>2.5449999999999999</v>
      </c>
      <c r="AC3193" s="8">
        <v>0.153</v>
      </c>
    </row>
    <row r="3194" spans="1:29" ht="11.65" hidden="1" x14ac:dyDescent="0.35">
      <c r="A3194" s="12">
        <v>3177</v>
      </c>
      <c r="B3194" s="10" t="s">
        <v>1015</v>
      </c>
      <c r="C3194" s="18" t="s">
        <v>1236</v>
      </c>
      <c r="D3194" s="9"/>
      <c r="E3194" s="9">
        <v>203</v>
      </c>
      <c r="F3194" s="10" t="s">
        <v>1066</v>
      </c>
      <c r="G3194" s="9">
        <v>923</v>
      </c>
      <c r="H3194" s="9">
        <v>2005</v>
      </c>
      <c r="I3194" s="8">
        <v>227.614</v>
      </c>
      <c r="J3194" s="8">
        <v>218.18600000000001</v>
      </c>
      <c r="K3194" s="8">
        <v>289.315</v>
      </c>
      <c r="L3194" s="8">
        <v>317.10199999999998</v>
      </c>
      <c r="M3194" s="8">
        <v>341.27300000000002</v>
      </c>
      <c r="N3194" s="8">
        <v>440.99599999999998</v>
      </c>
      <c r="O3194" s="8">
        <v>419.00400000000002</v>
      </c>
      <c r="P3194" s="8">
        <v>338.92700000000002</v>
      </c>
      <c r="Q3194" s="8">
        <v>331.971</v>
      </c>
      <c r="R3194" s="8">
        <v>344.76400000000001</v>
      </c>
      <c r="S3194" s="8">
        <v>397.84399999999999</v>
      </c>
      <c r="T3194" s="8">
        <v>398.70400000000001</v>
      </c>
      <c r="U3194" s="8">
        <v>315.25799999999998</v>
      </c>
      <c r="V3194" s="8">
        <v>228.934</v>
      </c>
      <c r="W3194" s="8">
        <v>227.56899999999999</v>
      </c>
      <c r="X3194" s="8">
        <v>201.566</v>
      </c>
      <c r="Y3194" s="8">
        <v>154.94</v>
      </c>
      <c r="Z3194" s="8">
        <v>41.024999999999999</v>
      </c>
      <c r="AA3194" s="8">
        <v>22.821999999999999</v>
      </c>
      <c r="AB3194" s="8">
        <v>3.5659999999999998</v>
      </c>
      <c r="AC3194" s="8">
        <v>0.22700000000000001</v>
      </c>
    </row>
    <row r="3195" spans="1:29" ht="11.65" hidden="1" x14ac:dyDescent="0.35">
      <c r="A3195" s="12">
        <v>3178</v>
      </c>
      <c r="B3195" s="10" t="s">
        <v>1015</v>
      </c>
      <c r="C3195" s="18" t="s">
        <v>1236</v>
      </c>
      <c r="D3195" s="9"/>
      <c r="E3195" s="9">
        <v>203</v>
      </c>
      <c r="F3195" s="10" t="s">
        <v>1066</v>
      </c>
      <c r="G3195" s="9">
        <v>923</v>
      </c>
      <c r="H3195" s="9">
        <v>2010</v>
      </c>
      <c r="I3195" s="8">
        <v>276.85700000000003</v>
      </c>
      <c r="J3195" s="8">
        <v>233.48599999999999</v>
      </c>
      <c r="K3195" s="8">
        <v>219.804</v>
      </c>
      <c r="L3195" s="8">
        <v>295.70499999999998</v>
      </c>
      <c r="M3195" s="8">
        <v>335.27300000000002</v>
      </c>
      <c r="N3195" s="8">
        <v>359.31599999999997</v>
      </c>
      <c r="O3195" s="8">
        <v>448.16399999999999</v>
      </c>
      <c r="P3195" s="8">
        <v>422.88299999999998</v>
      </c>
      <c r="Q3195" s="8">
        <v>343.42200000000003</v>
      </c>
      <c r="R3195" s="8">
        <v>335.31299999999999</v>
      </c>
      <c r="S3195" s="8">
        <v>344.733</v>
      </c>
      <c r="T3195" s="8">
        <v>391.25200000000001</v>
      </c>
      <c r="U3195" s="8">
        <v>385.88400000000001</v>
      </c>
      <c r="V3195" s="8">
        <v>300.685</v>
      </c>
      <c r="W3195" s="8">
        <v>213.17400000000001</v>
      </c>
      <c r="X3195" s="8">
        <v>197.005</v>
      </c>
      <c r="Y3195" s="8">
        <v>151.464</v>
      </c>
      <c r="Z3195" s="8">
        <v>89.774000000000001</v>
      </c>
      <c r="AA3195" s="8">
        <v>15.77</v>
      </c>
      <c r="AB3195" s="8">
        <v>4.6929999999999996</v>
      </c>
      <c r="AC3195" s="8">
        <v>0.34100000000000003</v>
      </c>
    </row>
    <row r="3196" spans="1:29" ht="11.65" hidden="1" x14ac:dyDescent="0.35">
      <c r="A3196" s="12">
        <v>3179</v>
      </c>
      <c r="B3196" s="10" t="s">
        <v>1015</v>
      </c>
      <c r="C3196" s="18" t="s">
        <v>1236</v>
      </c>
      <c r="D3196" s="9"/>
      <c r="E3196" s="9">
        <v>203</v>
      </c>
      <c r="F3196" s="10" t="s">
        <v>1066</v>
      </c>
      <c r="G3196" s="9">
        <v>923</v>
      </c>
      <c r="H3196" s="9">
        <v>2015</v>
      </c>
      <c r="I3196" s="8">
        <v>267.51</v>
      </c>
      <c r="J3196" s="8">
        <v>278.024</v>
      </c>
      <c r="K3196" s="8">
        <v>234.12100000000001</v>
      </c>
      <c r="L3196" s="8">
        <v>221.715</v>
      </c>
      <c r="M3196" s="8">
        <v>300.12299999999999</v>
      </c>
      <c r="N3196" s="8">
        <v>340.66</v>
      </c>
      <c r="O3196" s="8">
        <v>363.601</v>
      </c>
      <c r="P3196" s="8">
        <v>450.55099999999999</v>
      </c>
      <c r="Q3196" s="8">
        <v>423.51799999999997</v>
      </c>
      <c r="R3196" s="8">
        <v>342.58800000000002</v>
      </c>
      <c r="S3196" s="8">
        <v>332.548</v>
      </c>
      <c r="T3196" s="8">
        <v>339.14800000000002</v>
      </c>
      <c r="U3196" s="8">
        <v>380.20800000000003</v>
      </c>
      <c r="V3196" s="8">
        <v>367.96499999999997</v>
      </c>
      <c r="W3196" s="8">
        <v>278.04500000000002</v>
      </c>
      <c r="X3196" s="8">
        <v>186.54400000000001</v>
      </c>
      <c r="Y3196" s="8">
        <v>152.762</v>
      </c>
      <c r="Z3196" s="8">
        <v>92.281999999999996</v>
      </c>
      <c r="AA3196" s="8">
        <v>36.460999999999999</v>
      </c>
      <c r="AB3196" s="8">
        <v>3.5619999999999998</v>
      </c>
      <c r="AC3196" s="8">
        <v>0.47399999999999998</v>
      </c>
    </row>
    <row r="3197" spans="1:29" ht="11.65" hidden="1" x14ac:dyDescent="0.35">
      <c r="A3197" s="12">
        <v>3180</v>
      </c>
      <c r="B3197" s="10" t="s">
        <v>1015</v>
      </c>
      <c r="C3197" s="18" t="s">
        <v>1236</v>
      </c>
      <c r="D3197" s="9"/>
      <c r="E3197" s="9">
        <v>203</v>
      </c>
      <c r="F3197" s="10" t="s">
        <v>1066</v>
      </c>
      <c r="G3197" s="9">
        <v>923</v>
      </c>
      <c r="H3197" s="9">
        <v>2020</v>
      </c>
      <c r="I3197" s="8">
        <v>271.654</v>
      </c>
      <c r="J3197" s="8">
        <v>269.80599999999998</v>
      </c>
      <c r="K3197" s="8">
        <v>279.25900000000001</v>
      </c>
      <c r="L3197" s="8">
        <v>237.762</v>
      </c>
      <c r="M3197" s="8">
        <v>230.20500000000001</v>
      </c>
      <c r="N3197" s="8">
        <v>310.43200000000002</v>
      </c>
      <c r="O3197" s="8">
        <v>349.02600000000001</v>
      </c>
      <c r="P3197" s="8">
        <v>369.024</v>
      </c>
      <c r="Q3197" s="8">
        <v>453.03699999999998</v>
      </c>
      <c r="R3197" s="8">
        <v>423.57799999999997</v>
      </c>
      <c r="S3197" s="8">
        <v>340.77100000000002</v>
      </c>
      <c r="T3197" s="8">
        <v>328.05099999999999</v>
      </c>
      <c r="U3197" s="8">
        <v>330.61099999999999</v>
      </c>
      <c r="V3197" s="8">
        <v>363.79</v>
      </c>
      <c r="W3197" s="8">
        <v>342.03300000000002</v>
      </c>
      <c r="X3197" s="8">
        <v>245.733</v>
      </c>
      <c r="Y3197" s="8">
        <v>147.501</v>
      </c>
      <c r="Z3197" s="8">
        <v>96.063000000000002</v>
      </c>
      <c r="AA3197" s="8">
        <v>39.094000000000001</v>
      </c>
      <c r="AB3197" s="8">
        <v>8.7210000000000001</v>
      </c>
      <c r="AC3197" s="8">
        <v>0.309</v>
      </c>
    </row>
    <row r="3198" spans="1:29" ht="11.65" hidden="1" x14ac:dyDescent="0.35">
      <c r="A3198" s="12">
        <v>3181</v>
      </c>
      <c r="B3198" s="10" t="s">
        <v>1015</v>
      </c>
      <c r="C3198" s="18" t="s">
        <v>1237</v>
      </c>
      <c r="D3198" s="9"/>
      <c r="E3198" s="9">
        <v>348</v>
      </c>
      <c r="F3198" s="10" t="s">
        <v>1066</v>
      </c>
      <c r="G3198" s="9">
        <v>923</v>
      </c>
      <c r="H3198" s="9">
        <v>1950</v>
      </c>
      <c r="I3198" s="8">
        <v>403.61900000000003</v>
      </c>
      <c r="J3198" s="8">
        <v>378.702</v>
      </c>
      <c r="K3198" s="8">
        <v>363.495</v>
      </c>
      <c r="L3198" s="8">
        <v>378.012</v>
      </c>
      <c r="M3198" s="8">
        <v>396.82</v>
      </c>
      <c r="N3198" s="8">
        <v>411.46899999999999</v>
      </c>
      <c r="O3198" s="8">
        <v>262.65100000000001</v>
      </c>
      <c r="P3198" s="8">
        <v>383.66300000000001</v>
      </c>
      <c r="Q3198" s="8">
        <v>365.096</v>
      </c>
      <c r="R3198" s="8">
        <v>328.34300000000002</v>
      </c>
      <c r="S3198" s="8">
        <v>303.113</v>
      </c>
      <c r="T3198" s="8">
        <v>248.066</v>
      </c>
      <c r="U3198" s="8">
        <v>211.22300000000001</v>
      </c>
      <c r="V3198" s="8">
        <v>173.80099999999999</v>
      </c>
      <c r="W3198" s="8">
        <v>118.753</v>
      </c>
      <c r="X3198" s="8">
        <v>69.489999999999995</v>
      </c>
      <c r="Y3198" s="8">
        <v>33.061</v>
      </c>
      <c r="Z3198" s="8">
        <v>11.375</v>
      </c>
      <c r="AA3198" s="8">
        <v>2.294</v>
      </c>
      <c r="AB3198" s="8">
        <v>0.254</v>
      </c>
      <c r="AC3198" s="8">
        <v>1.2E-2</v>
      </c>
    </row>
    <row r="3199" spans="1:29" ht="11.65" hidden="1" x14ac:dyDescent="0.35">
      <c r="A3199" s="12">
        <v>3182</v>
      </c>
      <c r="B3199" s="10" t="s">
        <v>1015</v>
      </c>
      <c r="C3199" s="18" t="s">
        <v>1237</v>
      </c>
      <c r="D3199" s="9"/>
      <c r="E3199" s="9">
        <v>348</v>
      </c>
      <c r="F3199" s="10" t="s">
        <v>1066</v>
      </c>
      <c r="G3199" s="9">
        <v>923</v>
      </c>
      <c r="H3199" s="9">
        <v>1955</v>
      </c>
      <c r="I3199" s="8">
        <v>461.22</v>
      </c>
      <c r="J3199" s="8">
        <v>393.48500000000001</v>
      </c>
      <c r="K3199" s="8">
        <v>383.15800000000002</v>
      </c>
      <c r="L3199" s="8">
        <v>358.68</v>
      </c>
      <c r="M3199" s="8">
        <v>376.82100000000003</v>
      </c>
      <c r="N3199" s="8">
        <v>394.16800000000001</v>
      </c>
      <c r="O3199" s="8">
        <v>426.78</v>
      </c>
      <c r="P3199" s="8">
        <v>234.404</v>
      </c>
      <c r="Q3199" s="8">
        <v>391.74099999999999</v>
      </c>
      <c r="R3199" s="8">
        <v>354.51900000000001</v>
      </c>
      <c r="S3199" s="8">
        <v>321.03500000000003</v>
      </c>
      <c r="T3199" s="8">
        <v>289.03399999999999</v>
      </c>
      <c r="U3199" s="8">
        <v>226.54300000000001</v>
      </c>
      <c r="V3199" s="8">
        <v>188.52</v>
      </c>
      <c r="W3199" s="8">
        <v>141.54400000000001</v>
      </c>
      <c r="X3199" s="8">
        <v>82.337000000000003</v>
      </c>
      <c r="Y3199" s="8">
        <v>35.991999999999997</v>
      </c>
      <c r="Z3199" s="8">
        <v>12.178000000000001</v>
      </c>
      <c r="AA3199" s="8">
        <v>2.5129999999999999</v>
      </c>
      <c r="AB3199" s="8">
        <v>0.26900000000000002</v>
      </c>
      <c r="AC3199" s="8">
        <v>1.4999999999999999E-2</v>
      </c>
    </row>
    <row r="3200" spans="1:29" ht="11.65" hidden="1" x14ac:dyDescent="0.35">
      <c r="A3200" s="12">
        <v>3183</v>
      </c>
      <c r="B3200" s="10" t="s">
        <v>1015</v>
      </c>
      <c r="C3200" s="18" t="s">
        <v>1237</v>
      </c>
      <c r="D3200" s="9"/>
      <c r="E3200" s="9">
        <v>348</v>
      </c>
      <c r="F3200" s="10" t="s">
        <v>1066</v>
      </c>
      <c r="G3200" s="9">
        <v>923</v>
      </c>
      <c r="H3200" s="9">
        <v>1960</v>
      </c>
      <c r="I3200" s="8">
        <v>398.57900000000001</v>
      </c>
      <c r="J3200" s="8">
        <v>454.15600000000001</v>
      </c>
      <c r="K3200" s="8">
        <v>387.23899999999998</v>
      </c>
      <c r="L3200" s="8">
        <v>376.96600000000001</v>
      </c>
      <c r="M3200" s="8">
        <v>346.52100000000002</v>
      </c>
      <c r="N3200" s="8">
        <v>365.05099999999999</v>
      </c>
      <c r="O3200" s="8">
        <v>382.32100000000003</v>
      </c>
      <c r="P3200" s="8">
        <v>419.05599999999998</v>
      </c>
      <c r="Q3200" s="8">
        <v>226.511</v>
      </c>
      <c r="R3200" s="8">
        <v>380.15600000000001</v>
      </c>
      <c r="S3200" s="8">
        <v>342.79599999999999</v>
      </c>
      <c r="T3200" s="8">
        <v>306.30399999999997</v>
      </c>
      <c r="U3200" s="8">
        <v>269.435</v>
      </c>
      <c r="V3200" s="8">
        <v>202.2</v>
      </c>
      <c r="W3200" s="8">
        <v>154.95099999999999</v>
      </c>
      <c r="X3200" s="8">
        <v>100.986</v>
      </c>
      <c r="Y3200" s="8">
        <v>47.673000000000002</v>
      </c>
      <c r="Z3200" s="8">
        <v>14.419</v>
      </c>
      <c r="AA3200" s="8">
        <v>3.044</v>
      </c>
      <c r="AB3200" s="8">
        <v>0.35099999999999998</v>
      </c>
      <c r="AC3200" s="8">
        <v>1.9E-2</v>
      </c>
    </row>
    <row r="3201" spans="1:29" ht="11.65" hidden="1" x14ac:dyDescent="0.35">
      <c r="A3201" s="12">
        <v>3184</v>
      </c>
      <c r="B3201" s="10" t="s">
        <v>1015</v>
      </c>
      <c r="C3201" s="18" t="s">
        <v>1237</v>
      </c>
      <c r="D3201" s="9"/>
      <c r="E3201" s="9">
        <v>348</v>
      </c>
      <c r="F3201" s="10" t="s">
        <v>1066</v>
      </c>
      <c r="G3201" s="9">
        <v>923</v>
      </c>
      <c r="H3201" s="9">
        <v>1965</v>
      </c>
      <c r="I3201" s="8">
        <v>308.00700000000001</v>
      </c>
      <c r="J3201" s="8">
        <v>396.18099999999998</v>
      </c>
      <c r="K3201" s="8">
        <v>454.214</v>
      </c>
      <c r="L3201" s="8">
        <v>384.65600000000001</v>
      </c>
      <c r="M3201" s="8">
        <v>374.29700000000003</v>
      </c>
      <c r="N3201" s="8">
        <v>345.214</v>
      </c>
      <c r="O3201" s="8">
        <v>363.63400000000001</v>
      </c>
      <c r="P3201" s="8">
        <v>378.95100000000002</v>
      </c>
      <c r="Q3201" s="8">
        <v>415.89600000000002</v>
      </c>
      <c r="R3201" s="8">
        <v>222.636</v>
      </c>
      <c r="S3201" s="8">
        <v>371.75299999999999</v>
      </c>
      <c r="T3201" s="8">
        <v>331.10199999999998</v>
      </c>
      <c r="U3201" s="8">
        <v>289.85899999999998</v>
      </c>
      <c r="V3201" s="8">
        <v>245.45599999999999</v>
      </c>
      <c r="W3201" s="8">
        <v>171.14599999999999</v>
      </c>
      <c r="X3201" s="8">
        <v>114.128</v>
      </c>
      <c r="Y3201" s="8">
        <v>59.67</v>
      </c>
      <c r="Z3201" s="8">
        <v>19.550999999999998</v>
      </c>
      <c r="AA3201" s="8">
        <v>3.7160000000000002</v>
      </c>
      <c r="AB3201" s="8">
        <v>0.41699999999999998</v>
      </c>
      <c r="AC3201" s="8">
        <v>2.4E-2</v>
      </c>
    </row>
    <row r="3202" spans="1:29" ht="11.65" hidden="1" x14ac:dyDescent="0.35">
      <c r="A3202" s="12">
        <v>3185</v>
      </c>
      <c r="B3202" s="10" t="s">
        <v>1015</v>
      </c>
      <c r="C3202" s="18" t="s">
        <v>1237</v>
      </c>
      <c r="D3202" s="9"/>
      <c r="E3202" s="9">
        <v>348</v>
      </c>
      <c r="F3202" s="10" t="s">
        <v>1066</v>
      </c>
      <c r="G3202" s="9">
        <v>923</v>
      </c>
      <c r="H3202" s="9">
        <v>1970</v>
      </c>
      <c r="I3202" s="8">
        <v>346.77600000000001</v>
      </c>
      <c r="J3202" s="8">
        <v>307.69600000000003</v>
      </c>
      <c r="K3202" s="8">
        <v>395.42</v>
      </c>
      <c r="L3202" s="8">
        <v>455.10599999999999</v>
      </c>
      <c r="M3202" s="8">
        <v>384.05399999999997</v>
      </c>
      <c r="N3202" s="8">
        <v>371.86500000000001</v>
      </c>
      <c r="O3202" s="8">
        <v>343.58800000000002</v>
      </c>
      <c r="P3202" s="8">
        <v>361.44299999999998</v>
      </c>
      <c r="Q3202" s="8">
        <v>374.84300000000002</v>
      </c>
      <c r="R3202" s="8">
        <v>409.80200000000002</v>
      </c>
      <c r="S3202" s="8">
        <v>217.15299999999999</v>
      </c>
      <c r="T3202" s="8">
        <v>359.28</v>
      </c>
      <c r="U3202" s="8">
        <v>313.52100000000002</v>
      </c>
      <c r="V3202" s="8">
        <v>263.916</v>
      </c>
      <c r="W3202" s="8">
        <v>208.33500000000001</v>
      </c>
      <c r="X3202" s="8">
        <v>128.51400000000001</v>
      </c>
      <c r="Y3202" s="8">
        <v>69.153000000000006</v>
      </c>
      <c r="Z3202" s="8">
        <v>25.367000000000001</v>
      </c>
      <c r="AA3202" s="8">
        <v>5.258</v>
      </c>
      <c r="AB3202" s="8">
        <v>0.55700000000000005</v>
      </c>
      <c r="AC3202" s="8">
        <v>3.2000000000000001E-2</v>
      </c>
    </row>
    <row r="3203" spans="1:29" ht="11.65" hidden="1" x14ac:dyDescent="0.35">
      <c r="A3203" s="12">
        <v>3186</v>
      </c>
      <c r="B3203" s="10" t="s">
        <v>1015</v>
      </c>
      <c r="C3203" s="18" t="s">
        <v>1237</v>
      </c>
      <c r="D3203" s="9"/>
      <c r="E3203" s="9">
        <v>348</v>
      </c>
      <c r="F3203" s="10" t="s">
        <v>1066</v>
      </c>
      <c r="G3203" s="9">
        <v>923</v>
      </c>
      <c r="H3203" s="9">
        <v>1975</v>
      </c>
      <c r="I3203" s="8">
        <v>377.89299999999997</v>
      </c>
      <c r="J3203" s="8">
        <v>343.42</v>
      </c>
      <c r="K3203" s="8">
        <v>307.66699999999997</v>
      </c>
      <c r="L3203" s="8">
        <v>394.20299999999997</v>
      </c>
      <c r="M3203" s="8">
        <v>450.005</v>
      </c>
      <c r="N3203" s="8">
        <v>378.58100000000002</v>
      </c>
      <c r="O3203" s="8">
        <v>367.81799999999998</v>
      </c>
      <c r="P3203" s="8">
        <v>340.34300000000002</v>
      </c>
      <c r="Q3203" s="8">
        <v>357.96300000000002</v>
      </c>
      <c r="R3203" s="8">
        <v>369.06700000000001</v>
      </c>
      <c r="S3203" s="8">
        <v>401.86500000000001</v>
      </c>
      <c r="T3203" s="8">
        <v>210.184</v>
      </c>
      <c r="U3203" s="8">
        <v>341.10700000000003</v>
      </c>
      <c r="V3203" s="8">
        <v>286.95100000000002</v>
      </c>
      <c r="W3203" s="8">
        <v>224.70400000000001</v>
      </c>
      <c r="X3203" s="8">
        <v>157.26900000000001</v>
      </c>
      <c r="Y3203" s="8">
        <v>79.238</v>
      </c>
      <c r="Z3203" s="8">
        <v>30.286000000000001</v>
      </c>
      <c r="AA3203" s="8">
        <v>6.9729999999999999</v>
      </c>
      <c r="AB3203" s="8">
        <v>0.79</v>
      </c>
      <c r="AC3203" s="8">
        <v>4.1000000000000002E-2</v>
      </c>
    </row>
    <row r="3204" spans="1:29" ht="11.65" hidden="1" x14ac:dyDescent="0.35">
      <c r="A3204" s="12">
        <v>3187</v>
      </c>
      <c r="B3204" s="10" t="s">
        <v>1015</v>
      </c>
      <c r="C3204" s="18" t="s">
        <v>1237</v>
      </c>
      <c r="D3204" s="9"/>
      <c r="E3204" s="9">
        <v>348</v>
      </c>
      <c r="F3204" s="10" t="s">
        <v>1066</v>
      </c>
      <c r="G3204" s="9">
        <v>923</v>
      </c>
      <c r="H3204" s="9">
        <v>1980</v>
      </c>
      <c r="I3204" s="8">
        <v>426.34300000000002</v>
      </c>
      <c r="J3204" s="8">
        <v>378.51299999999998</v>
      </c>
      <c r="K3204" s="8">
        <v>344.04</v>
      </c>
      <c r="L3204" s="8">
        <v>308.03100000000001</v>
      </c>
      <c r="M3204" s="8">
        <v>393.49</v>
      </c>
      <c r="N3204" s="8">
        <v>446.762</v>
      </c>
      <c r="O3204" s="8">
        <v>375.18400000000003</v>
      </c>
      <c r="P3204" s="8">
        <v>364.52100000000002</v>
      </c>
      <c r="Q3204" s="8">
        <v>336.51799999999997</v>
      </c>
      <c r="R3204" s="8">
        <v>352.65499999999997</v>
      </c>
      <c r="S3204" s="8">
        <v>359.839</v>
      </c>
      <c r="T3204" s="8">
        <v>388.45800000000003</v>
      </c>
      <c r="U3204" s="8">
        <v>199.19300000000001</v>
      </c>
      <c r="V3204" s="8">
        <v>311.85700000000003</v>
      </c>
      <c r="W3204" s="8">
        <v>245.61</v>
      </c>
      <c r="X3204" s="8">
        <v>169.447</v>
      </c>
      <c r="Y3204" s="8">
        <v>99.432000000000002</v>
      </c>
      <c r="Z3204" s="8">
        <v>35.140999999999998</v>
      </c>
      <c r="AA3204" s="8">
        <v>8.4169999999999998</v>
      </c>
      <c r="AB3204" s="8">
        <v>1.0649999999999999</v>
      </c>
      <c r="AC3204" s="8">
        <v>0.06</v>
      </c>
    </row>
    <row r="3205" spans="1:29" ht="11.65" hidden="1" x14ac:dyDescent="0.35">
      <c r="A3205" s="12">
        <v>3188</v>
      </c>
      <c r="B3205" s="10" t="s">
        <v>1015</v>
      </c>
      <c r="C3205" s="18" t="s">
        <v>1237</v>
      </c>
      <c r="D3205" s="9"/>
      <c r="E3205" s="9">
        <v>348</v>
      </c>
      <c r="F3205" s="10" t="s">
        <v>1066</v>
      </c>
      <c r="G3205" s="9">
        <v>923</v>
      </c>
      <c r="H3205" s="9">
        <v>1985</v>
      </c>
      <c r="I3205" s="8">
        <v>314.21199999999999</v>
      </c>
      <c r="J3205" s="8">
        <v>424.65499999999997</v>
      </c>
      <c r="K3205" s="8">
        <v>377.6</v>
      </c>
      <c r="L3205" s="8">
        <v>339.404</v>
      </c>
      <c r="M3205" s="8">
        <v>303.27499999999998</v>
      </c>
      <c r="N3205" s="8">
        <v>386.86599999999999</v>
      </c>
      <c r="O3205" s="8">
        <v>439.42399999999998</v>
      </c>
      <c r="P3205" s="8">
        <v>368.959</v>
      </c>
      <c r="Q3205" s="8">
        <v>357.67700000000002</v>
      </c>
      <c r="R3205" s="8">
        <v>328.447</v>
      </c>
      <c r="S3205" s="8">
        <v>341.161</v>
      </c>
      <c r="T3205" s="8">
        <v>343.673</v>
      </c>
      <c r="U3205" s="8">
        <v>362.339</v>
      </c>
      <c r="V3205" s="8">
        <v>179.43100000000001</v>
      </c>
      <c r="W3205" s="8">
        <v>262.89699999999999</v>
      </c>
      <c r="X3205" s="8">
        <v>184.10300000000001</v>
      </c>
      <c r="Y3205" s="8">
        <v>101.08199999999999</v>
      </c>
      <c r="Z3205" s="8">
        <v>44.606999999999999</v>
      </c>
      <c r="AA3205" s="8">
        <v>10.102</v>
      </c>
      <c r="AB3205" s="8">
        <v>1.361</v>
      </c>
      <c r="AC3205" s="8">
        <v>8.5999999999999993E-2</v>
      </c>
    </row>
    <row r="3206" spans="1:29" ht="11.65" hidden="1" x14ac:dyDescent="0.35">
      <c r="A3206" s="12">
        <v>3189</v>
      </c>
      <c r="B3206" s="10" t="s">
        <v>1015</v>
      </c>
      <c r="C3206" s="18" t="s">
        <v>1237</v>
      </c>
      <c r="D3206" s="9"/>
      <c r="E3206" s="9">
        <v>348</v>
      </c>
      <c r="F3206" s="10" t="s">
        <v>1066</v>
      </c>
      <c r="G3206" s="9">
        <v>923</v>
      </c>
      <c r="H3206" s="9">
        <v>1990</v>
      </c>
      <c r="I3206" s="8">
        <v>299.99599999999998</v>
      </c>
      <c r="J3206" s="8">
        <v>311.26900000000001</v>
      </c>
      <c r="K3206" s="8">
        <v>423.59899999999999</v>
      </c>
      <c r="L3206" s="8">
        <v>377.16699999999997</v>
      </c>
      <c r="M3206" s="8">
        <v>335.10500000000002</v>
      </c>
      <c r="N3206" s="8">
        <v>298.81</v>
      </c>
      <c r="O3206" s="8">
        <v>379.90199999999999</v>
      </c>
      <c r="P3206" s="8">
        <v>430.97500000000002</v>
      </c>
      <c r="Q3206" s="8">
        <v>361.392</v>
      </c>
      <c r="R3206" s="8">
        <v>348.94200000000001</v>
      </c>
      <c r="S3206" s="8">
        <v>317.87900000000002</v>
      </c>
      <c r="T3206" s="8">
        <v>325.90499999999997</v>
      </c>
      <c r="U3206" s="8">
        <v>322.27999999999997</v>
      </c>
      <c r="V3206" s="8">
        <v>326.52499999999998</v>
      </c>
      <c r="W3206" s="8">
        <v>152.74799999999999</v>
      </c>
      <c r="X3206" s="8">
        <v>201.31100000000001</v>
      </c>
      <c r="Y3206" s="8">
        <v>116.39100000000001</v>
      </c>
      <c r="Z3206" s="8">
        <v>47.561999999999998</v>
      </c>
      <c r="AA3206" s="8">
        <v>13.715</v>
      </c>
      <c r="AB3206" s="8">
        <v>1.772</v>
      </c>
      <c r="AC3206" s="8">
        <v>0.121</v>
      </c>
    </row>
    <row r="3207" spans="1:29" ht="11.65" hidden="1" x14ac:dyDescent="0.35">
      <c r="A3207" s="12">
        <v>3190</v>
      </c>
      <c r="B3207" s="10" t="s">
        <v>1015</v>
      </c>
      <c r="C3207" s="18" t="s">
        <v>1237</v>
      </c>
      <c r="D3207" s="9"/>
      <c r="E3207" s="9">
        <v>348</v>
      </c>
      <c r="F3207" s="10" t="s">
        <v>1066</v>
      </c>
      <c r="G3207" s="9">
        <v>923</v>
      </c>
      <c r="H3207" s="9">
        <v>1995</v>
      </c>
      <c r="I3207" s="8">
        <v>291.80399999999997</v>
      </c>
      <c r="J3207" s="8">
        <v>304.48399999999998</v>
      </c>
      <c r="K3207" s="8">
        <v>318.49299999999999</v>
      </c>
      <c r="L3207" s="8">
        <v>419.52699999999999</v>
      </c>
      <c r="M3207" s="8">
        <v>374.84</v>
      </c>
      <c r="N3207" s="8">
        <v>337.339</v>
      </c>
      <c r="O3207" s="8">
        <v>301.87299999999999</v>
      </c>
      <c r="P3207" s="8">
        <v>381.16800000000001</v>
      </c>
      <c r="Q3207" s="8">
        <v>428.68700000000001</v>
      </c>
      <c r="R3207" s="8">
        <v>358.44900000000001</v>
      </c>
      <c r="S3207" s="8">
        <v>344.678</v>
      </c>
      <c r="T3207" s="8">
        <v>311.15499999999997</v>
      </c>
      <c r="U3207" s="8">
        <v>313.065</v>
      </c>
      <c r="V3207" s="8">
        <v>299.05599999999998</v>
      </c>
      <c r="W3207" s="8">
        <v>286.84699999999998</v>
      </c>
      <c r="X3207" s="8">
        <v>121.941</v>
      </c>
      <c r="Y3207" s="8">
        <v>136.40199999999999</v>
      </c>
      <c r="Z3207" s="8">
        <v>57.415999999999997</v>
      </c>
      <c r="AA3207" s="8">
        <v>15.401</v>
      </c>
      <c r="AB3207" s="8">
        <v>2.508</v>
      </c>
      <c r="AC3207" s="8">
        <v>0.16400000000000001</v>
      </c>
    </row>
    <row r="3208" spans="1:29" ht="11.65" hidden="1" x14ac:dyDescent="0.35">
      <c r="A3208" s="12">
        <v>3191</v>
      </c>
      <c r="B3208" s="10" t="s">
        <v>1015</v>
      </c>
      <c r="C3208" s="18" t="s">
        <v>1237</v>
      </c>
      <c r="D3208" s="9"/>
      <c r="E3208" s="9">
        <v>348</v>
      </c>
      <c r="F3208" s="10" t="s">
        <v>1066</v>
      </c>
      <c r="G3208" s="9">
        <v>923</v>
      </c>
      <c r="H3208" s="9">
        <v>2000</v>
      </c>
      <c r="I3208" s="8">
        <v>240.05799999999999</v>
      </c>
      <c r="J3208" s="8">
        <v>291.27800000000002</v>
      </c>
      <c r="K3208" s="8">
        <v>308.27199999999999</v>
      </c>
      <c r="L3208" s="8">
        <v>325.82600000000002</v>
      </c>
      <c r="M3208" s="8">
        <v>416.34899999999999</v>
      </c>
      <c r="N3208" s="8">
        <v>371.90300000000002</v>
      </c>
      <c r="O3208" s="8">
        <v>338.54599999999999</v>
      </c>
      <c r="P3208" s="8">
        <v>303.72199999999998</v>
      </c>
      <c r="Q3208" s="8">
        <v>380.43099999999998</v>
      </c>
      <c r="R3208" s="8">
        <v>423.61399999999998</v>
      </c>
      <c r="S3208" s="8">
        <v>352.46300000000002</v>
      </c>
      <c r="T3208" s="8">
        <v>336.9</v>
      </c>
      <c r="U3208" s="8">
        <v>299.82799999999997</v>
      </c>
      <c r="V3208" s="8">
        <v>293.517</v>
      </c>
      <c r="W3208" s="8">
        <v>265.82100000000003</v>
      </c>
      <c r="X3208" s="8">
        <v>231.33600000000001</v>
      </c>
      <c r="Y3208" s="8">
        <v>85.858000000000004</v>
      </c>
      <c r="Z3208" s="8">
        <v>69.753</v>
      </c>
      <c r="AA3208" s="8">
        <v>19.367999999999999</v>
      </c>
      <c r="AB3208" s="8">
        <v>2.9590000000000001</v>
      </c>
      <c r="AC3208" s="8">
        <v>0.23599999999999999</v>
      </c>
    </row>
    <row r="3209" spans="1:29" ht="11.65" hidden="1" x14ac:dyDescent="0.35">
      <c r="A3209" s="12">
        <v>3192</v>
      </c>
      <c r="B3209" s="10" t="s">
        <v>1015</v>
      </c>
      <c r="C3209" s="18" t="s">
        <v>1237</v>
      </c>
      <c r="D3209" s="9"/>
      <c r="E3209" s="9">
        <v>348</v>
      </c>
      <c r="F3209" s="10" t="s">
        <v>1066</v>
      </c>
      <c r="G3209" s="9">
        <v>923</v>
      </c>
      <c r="H3209" s="9">
        <v>2005</v>
      </c>
      <c r="I3209" s="8">
        <v>231.73</v>
      </c>
      <c r="J3209" s="8">
        <v>240.29599999999999</v>
      </c>
      <c r="K3209" s="8">
        <v>290.91800000000001</v>
      </c>
      <c r="L3209" s="8">
        <v>308.952</v>
      </c>
      <c r="M3209" s="8">
        <v>329.22199999999998</v>
      </c>
      <c r="N3209" s="8">
        <v>419.37799999999999</v>
      </c>
      <c r="O3209" s="8">
        <v>374.18400000000003</v>
      </c>
      <c r="P3209" s="8">
        <v>340.55700000000002</v>
      </c>
      <c r="Q3209" s="8">
        <v>303.45100000000002</v>
      </c>
      <c r="R3209" s="8">
        <v>376.43400000000003</v>
      </c>
      <c r="S3209" s="8">
        <v>415.93599999999998</v>
      </c>
      <c r="T3209" s="8">
        <v>342.06299999999999</v>
      </c>
      <c r="U3209" s="8">
        <v>324.92</v>
      </c>
      <c r="V3209" s="8">
        <v>281.21199999999999</v>
      </c>
      <c r="W3209" s="8">
        <v>262.71199999999999</v>
      </c>
      <c r="X3209" s="8">
        <v>218.846</v>
      </c>
      <c r="Y3209" s="8">
        <v>162.46299999999999</v>
      </c>
      <c r="Z3209" s="8">
        <v>46.9</v>
      </c>
      <c r="AA3209" s="8">
        <v>25.364999999999998</v>
      </c>
      <c r="AB3209" s="8">
        <v>3.956</v>
      </c>
      <c r="AC3209" s="8">
        <v>0.31</v>
      </c>
    </row>
    <row r="3210" spans="1:29" ht="11.65" hidden="1" x14ac:dyDescent="0.35">
      <c r="A3210" s="12">
        <v>3193</v>
      </c>
      <c r="B3210" s="10" t="s">
        <v>1015</v>
      </c>
      <c r="C3210" s="18" t="s">
        <v>1237</v>
      </c>
      <c r="D3210" s="9"/>
      <c r="E3210" s="9">
        <v>348</v>
      </c>
      <c r="F3210" s="10" t="s">
        <v>1066</v>
      </c>
      <c r="G3210" s="9">
        <v>923</v>
      </c>
      <c r="H3210" s="9">
        <v>2010</v>
      </c>
      <c r="I3210" s="8">
        <v>235.17099999999999</v>
      </c>
      <c r="J3210" s="8">
        <v>234.28399999999999</v>
      </c>
      <c r="K3210" s="8">
        <v>248.00700000000001</v>
      </c>
      <c r="L3210" s="8">
        <v>304.66000000000003</v>
      </c>
      <c r="M3210" s="8">
        <v>295.13799999999998</v>
      </c>
      <c r="N3210" s="8">
        <v>317.62599999999998</v>
      </c>
      <c r="O3210" s="8">
        <v>405.30399999999997</v>
      </c>
      <c r="P3210" s="8">
        <v>388.661</v>
      </c>
      <c r="Q3210" s="8">
        <v>337.65199999999999</v>
      </c>
      <c r="R3210" s="8">
        <v>303.596</v>
      </c>
      <c r="S3210" s="8">
        <v>375.21</v>
      </c>
      <c r="T3210" s="8">
        <v>423.72500000000002</v>
      </c>
      <c r="U3210" s="8">
        <v>331.36099999999999</v>
      </c>
      <c r="V3210" s="8">
        <v>298.45299999999997</v>
      </c>
      <c r="W3210" s="8">
        <v>253.32300000000001</v>
      </c>
      <c r="X3210" s="8">
        <v>210.595</v>
      </c>
      <c r="Y3210" s="8">
        <v>137.38499999999999</v>
      </c>
      <c r="Z3210" s="8">
        <v>92.244</v>
      </c>
      <c r="AA3210" s="8">
        <v>18.387</v>
      </c>
      <c r="AB3210" s="8">
        <v>5.6779999999999999</v>
      </c>
      <c r="AC3210" s="8">
        <v>0.44900000000000001</v>
      </c>
    </row>
    <row r="3211" spans="1:29" ht="11.65" hidden="1" x14ac:dyDescent="0.35">
      <c r="A3211" s="12">
        <v>3194</v>
      </c>
      <c r="B3211" s="10" t="s">
        <v>1015</v>
      </c>
      <c r="C3211" s="18" t="s">
        <v>1237</v>
      </c>
      <c r="D3211" s="9"/>
      <c r="E3211" s="9">
        <v>348</v>
      </c>
      <c r="F3211" s="10" t="s">
        <v>1066</v>
      </c>
      <c r="G3211" s="9">
        <v>923</v>
      </c>
      <c r="H3211" s="9">
        <v>2015</v>
      </c>
      <c r="I3211" s="8">
        <v>217.77799999999999</v>
      </c>
      <c r="J3211" s="8">
        <v>235.38200000000001</v>
      </c>
      <c r="K3211" s="8">
        <v>234.50700000000001</v>
      </c>
      <c r="L3211" s="8">
        <v>249.559</v>
      </c>
      <c r="M3211" s="8">
        <v>307.36500000000001</v>
      </c>
      <c r="N3211" s="8">
        <v>297.55799999999999</v>
      </c>
      <c r="O3211" s="8">
        <v>319.10500000000002</v>
      </c>
      <c r="P3211" s="8">
        <v>405.53500000000003</v>
      </c>
      <c r="Q3211" s="8">
        <v>387.51</v>
      </c>
      <c r="R3211" s="8">
        <v>334.67700000000002</v>
      </c>
      <c r="S3211" s="8">
        <v>297.99799999999999</v>
      </c>
      <c r="T3211" s="8">
        <v>364.09199999999998</v>
      </c>
      <c r="U3211" s="8">
        <v>404.99599999999998</v>
      </c>
      <c r="V3211" s="8">
        <v>310.61700000000002</v>
      </c>
      <c r="W3211" s="8">
        <v>270.86500000000001</v>
      </c>
      <c r="X3211" s="8">
        <v>215.13499999999999</v>
      </c>
      <c r="Y3211" s="8">
        <v>156.28800000000001</v>
      </c>
      <c r="Z3211" s="8">
        <v>79.897999999999996</v>
      </c>
      <c r="AA3211" s="8">
        <v>37.261000000000003</v>
      </c>
      <c r="AB3211" s="8">
        <v>4.4109999999999996</v>
      </c>
      <c r="AC3211" s="8">
        <v>0.67200000000000004</v>
      </c>
    </row>
    <row r="3212" spans="1:29" ht="11.65" hidden="1" x14ac:dyDescent="0.35">
      <c r="A3212" s="12">
        <v>3195</v>
      </c>
      <c r="B3212" s="10" t="s">
        <v>1015</v>
      </c>
      <c r="C3212" s="18" t="s">
        <v>1237</v>
      </c>
      <c r="D3212" s="9"/>
      <c r="E3212" s="9">
        <v>348</v>
      </c>
      <c r="F3212" s="10" t="s">
        <v>1066</v>
      </c>
      <c r="G3212" s="9">
        <v>923</v>
      </c>
      <c r="H3212" s="9">
        <v>2020</v>
      </c>
      <c r="I3212" s="8">
        <v>224.09</v>
      </c>
      <c r="J3212" s="8">
        <v>218.06</v>
      </c>
      <c r="K3212" s="8">
        <v>235.637</v>
      </c>
      <c r="L3212" s="8">
        <v>236.11500000000001</v>
      </c>
      <c r="M3212" s="8">
        <v>252.381</v>
      </c>
      <c r="N3212" s="8">
        <v>309.83100000000002</v>
      </c>
      <c r="O3212" s="8">
        <v>299.16800000000001</v>
      </c>
      <c r="P3212" s="8">
        <v>319.80700000000002</v>
      </c>
      <c r="Q3212" s="8">
        <v>404.94299999999998</v>
      </c>
      <c r="R3212" s="8">
        <v>385.11099999999999</v>
      </c>
      <c r="S3212" s="8">
        <v>329.68799999999999</v>
      </c>
      <c r="T3212" s="8">
        <v>290.10199999999998</v>
      </c>
      <c r="U3212" s="8">
        <v>348.75700000000001</v>
      </c>
      <c r="V3212" s="8">
        <v>381.22899999999998</v>
      </c>
      <c r="W3212" s="8">
        <v>285.02</v>
      </c>
      <c r="X3212" s="8">
        <v>235.57400000000001</v>
      </c>
      <c r="Y3212" s="8">
        <v>165.548</v>
      </c>
      <c r="Z3212" s="8">
        <v>95.391000000000005</v>
      </c>
      <c r="AA3212" s="8">
        <v>34.963000000000001</v>
      </c>
      <c r="AB3212" s="8">
        <v>10.167</v>
      </c>
      <c r="AC3212" s="8">
        <v>0.48</v>
      </c>
    </row>
    <row r="3213" spans="1:29" ht="11.65" hidden="1" x14ac:dyDescent="0.35">
      <c r="A3213" s="12">
        <v>3196</v>
      </c>
      <c r="B3213" s="10" t="s">
        <v>1015</v>
      </c>
      <c r="C3213" s="18" t="s">
        <v>1238</v>
      </c>
      <c r="D3213" s="9"/>
      <c r="E3213" s="9">
        <v>616</v>
      </c>
      <c r="F3213" s="10" t="s">
        <v>1066</v>
      </c>
      <c r="G3213" s="9">
        <v>923</v>
      </c>
      <c r="H3213" s="9">
        <v>1950</v>
      </c>
      <c r="I3213" s="8">
        <v>1450</v>
      </c>
      <c r="J3213" s="8">
        <v>1000</v>
      </c>
      <c r="K3213" s="8">
        <v>1152</v>
      </c>
      <c r="L3213" s="8">
        <v>1208</v>
      </c>
      <c r="M3213" s="8">
        <v>1210</v>
      </c>
      <c r="N3213" s="8">
        <v>1108.001</v>
      </c>
      <c r="O3213" s="8">
        <v>732.00099999999998</v>
      </c>
      <c r="P3213" s="8">
        <v>955.99900000000002</v>
      </c>
      <c r="Q3213" s="8">
        <v>942.99900000000002</v>
      </c>
      <c r="R3213" s="8">
        <v>829.00099999999998</v>
      </c>
      <c r="S3213" s="8">
        <v>677.99900000000002</v>
      </c>
      <c r="T3213" s="8">
        <v>507.99900000000002</v>
      </c>
      <c r="U3213" s="8">
        <v>434.99900000000002</v>
      </c>
      <c r="V3213" s="8">
        <v>313</v>
      </c>
      <c r="W3213" s="8">
        <v>214.001</v>
      </c>
      <c r="X3213" s="8">
        <v>140</v>
      </c>
      <c r="Y3213" s="8">
        <v>76.239000000000004</v>
      </c>
      <c r="Z3213" s="8">
        <v>31.698</v>
      </c>
      <c r="AA3213" s="8">
        <v>8.5820000000000007</v>
      </c>
      <c r="AB3213" s="8">
        <v>1.3640000000000001</v>
      </c>
      <c r="AC3213" s="8">
        <v>0.122</v>
      </c>
    </row>
    <row r="3214" spans="1:29" ht="11.65" hidden="1" x14ac:dyDescent="0.35">
      <c r="A3214" s="12">
        <v>3197</v>
      </c>
      <c r="B3214" s="10" t="s">
        <v>1015</v>
      </c>
      <c r="C3214" s="18" t="s">
        <v>1238</v>
      </c>
      <c r="D3214" s="9"/>
      <c r="E3214" s="9">
        <v>616</v>
      </c>
      <c r="F3214" s="10" t="s">
        <v>1066</v>
      </c>
      <c r="G3214" s="9">
        <v>923</v>
      </c>
      <c r="H3214" s="9">
        <v>1955</v>
      </c>
      <c r="I3214" s="8">
        <v>1740.0820000000001</v>
      </c>
      <c r="J3214" s="8">
        <v>1430.8589999999999</v>
      </c>
      <c r="K3214" s="8">
        <v>995.47</v>
      </c>
      <c r="L3214" s="8">
        <v>1146.3330000000001</v>
      </c>
      <c r="M3214" s="8">
        <v>1198.6500000000001</v>
      </c>
      <c r="N3214" s="8">
        <v>1197.646</v>
      </c>
      <c r="O3214" s="8">
        <v>1094.1500000000001</v>
      </c>
      <c r="P3214" s="8">
        <v>720.60299999999995</v>
      </c>
      <c r="Q3214" s="8">
        <v>937.08100000000002</v>
      </c>
      <c r="R3214" s="8">
        <v>918.07600000000002</v>
      </c>
      <c r="S3214" s="8">
        <v>798.85900000000004</v>
      </c>
      <c r="T3214" s="8">
        <v>643.18499999999995</v>
      </c>
      <c r="U3214" s="8">
        <v>468.52800000000002</v>
      </c>
      <c r="V3214" s="8">
        <v>381.02100000000002</v>
      </c>
      <c r="W3214" s="8">
        <v>250.95</v>
      </c>
      <c r="X3214" s="8">
        <v>148.19999999999999</v>
      </c>
      <c r="Y3214" s="8">
        <v>77.730999999999995</v>
      </c>
      <c r="Z3214" s="8">
        <v>30.788</v>
      </c>
      <c r="AA3214" s="8">
        <v>8.5990000000000002</v>
      </c>
      <c r="AB3214" s="8">
        <v>1.4419999999999999</v>
      </c>
      <c r="AC3214" s="8">
        <v>0.13700000000000001</v>
      </c>
    </row>
    <row r="3215" spans="1:29" ht="11.65" hidden="1" x14ac:dyDescent="0.35">
      <c r="A3215" s="12">
        <v>3198</v>
      </c>
      <c r="B3215" s="10" t="s">
        <v>1015</v>
      </c>
      <c r="C3215" s="18" t="s">
        <v>1238</v>
      </c>
      <c r="D3215" s="9"/>
      <c r="E3215" s="9">
        <v>616</v>
      </c>
      <c r="F3215" s="10" t="s">
        <v>1066</v>
      </c>
      <c r="G3215" s="9">
        <v>923</v>
      </c>
      <c r="H3215" s="9">
        <v>1960</v>
      </c>
      <c r="I3215" s="8">
        <v>1755.7159999999999</v>
      </c>
      <c r="J3215" s="8">
        <v>1705.702</v>
      </c>
      <c r="K3215" s="8">
        <v>1408.2660000000001</v>
      </c>
      <c r="L3215" s="8">
        <v>964.58299999999997</v>
      </c>
      <c r="M3215" s="8">
        <v>1097.288</v>
      </c>
      <c r="N3215" s="8">
        <v>1166.875</v>
      </c>
      <c r="O3215" s="8">
        <v>1185.797</v>
      </c>
      <c r="P3215" s="8">
        <v>1091.0340000000001</v>
      </c>
      <c r="Q3215" s="8">
        <v>678.66399999999999</v>
      </c>
      <c r="R3215" s="8">
        <v>900.97500000000002</v>
      </c>
      <c r="S3215" s="8">
        <v>906.42100000000005</v>
      </c>
      <c r="T3215" s="8">
        <v>771.15899999999999</v>
      </c>
      <c r="U3215" s="8">
        <v>611.98900000000003</v>
      </c>
      <c r="V3215" s="8">
        <v>417.03199999999998</v>
      </c>
      <c r="W3215" s="8">
        <v>314.20999999999998</v>
      </c>
      <c r="X3215" s="8">
        <v>180.94200000000001</v>
      </c>
      <c r="Y3215" s="8">
        <v>88.472999999999999</v>
      </c>
      <c r="Z3215" s="8">
        <v>34.468000000000004</v>
      </c>
      <c r="AA3215" s="8">
        <v>9.1020000000000003</v>
      </c>
      <c r="AB3215" s="8">
        <v>1.571</v>
      </c>
      <c r="AC3215" s="8">
        <v>0.156</v>
      </c>
    </row>
    <row r="3216" spans="1:29" ht="11.65" hidden="1" x14ac:dyDescent="0.35">
      <c r="A3216" s="12">
        <v>3199</v>
      </c>
      <c r="B3216" s="10" t="s">
        <v>1015</v>
      </c>
      <c r="C3216" s="18" t="s">
        <v>1238</v>
      </c>
      <c r="D3216" s="9"/>
      <c r="E3216" s="9">
        <v>616</v>
      </c>
      <c r="F3216" s="10" t="s">
        <v>1066</v>
      </c>
      <c r="G3216" s="9">
        <v>923</v>
      </c>
      <c r="H3216" s="9">
        <v>1965</v>
      </c>
      <c r="I3216" s="8">
        <v>1378.617</v>
      </c>
      <c r="J3216" s="8">
        <v>1740.471</v>
      </c>
      <c r="K3216" s="8">
        <v>1698.106</v>
      </c>
      <c r="L3216" s="8">
        <v>1402.3720000000001</v>
      </c>
      <c r="M3216" s="8">
        <v>960.15499999999997</v>
      </c>
      <c r="N3216" s="8">
        <v>1092.3309999999999</v>
      </c>
      <c r="O3216" s="8">
        <v>1157.556</v>
      </c>
      <c r="P3216" s="8">
        <v>1170.586</v>
      </c>
      <c r="Q3216" s="8">
        <v>1079.6590000000001</v>
      </c>
      <c r="R3216" s="8">
        <v>670.56299999999999</v>
      </c>
      <c r="S3216" s="8">
        <v>878.04399999999998</v>
      </c>
      <c r="T3216" s="8">
        <v>873.73299999999995</v>
      </c>
      <c r="U3216" s="8">
        <v>728.83699999999999</v>
      </c>
      <c r="V3216" s="8">
        <v>557.99199999999996</v>
      </c>
      <c r="W3216" s="8">
        <v>356.654</v>
      </c>
      <c r="X3216" s="8">
        <v>239.196</v>
      </c>
      <c r="Y3216" s="8">
        <v>112.52500000000001</v>
      </c>
      <c r="Z3216" s="8">
        <v>40.875</v>
      </c>
      <c r="AA3216" s="8">
        <v>10.853999999999999</v>
      </c>
      <c r="AB3216" s="8">
        <v>1.744</v>
      </c>
      <c r="AC3216" s="8">
        <v>0.16900000000000001</v>
      </c>
    </row>
    <row r="3217" spans="1:29" ht="11.65" hidden="1" x14ac:dyDescent="0.35">
      <c r="A3217" s="12">
        <v>3200</v>
      </c>
      <c r="B3217" s="10" t="s">
        <v>1015</v>
      </c>
      <c r="C3217" s="18" t="s">
        <v>1238</v>
      </c>
      <c r="D3217" s="9"/>
      <c r="E3217" s="9">
        <v>616</v>
      </c>
      <c r="F3217" s="10" t="s">
        <v>1066</v>
      </c>
      <c r="G3217" s="9">
        <v>923</v>
      </c>
      <c r="H3217" s="9">
        <v>1970</v>
      </c>
      <c r="I3217" s="8">
        <v>1252.21</v>
      </c>
      <c r="J3217" s="8">
        <v>1368.9480000000001</v>
      </c>
      <c r="K3217" s="8">
        <v>1732.355</v>
      </c>
      <c r="L3217" s="8">
        <v>1688.259</v>
      </c>
      <c r="M3217" s="8">
        <v>1388.9480000000001</v>
      </c>
      <c r="N3217" s="8">
        <v>948.87400000000002</v>
      </c>
      <c r="O3217" s="8">
        <v>1084.6400000000001</v>
      </c>
      <c r="P3217" s="8">
        <v>1147.48</v>
      </c>
      <c r="Q3217" s="8">
        <v>1153.3589999999999</v>
      </c>
      <c r="R3217" s="8">
        <v>1059.1990000000001</v>
      </c>
      <c r="S3217" s="8">
        <v>653.75599999999997</v>
      </c>
      <c r="T3217" s="8">
        <v>847.02200000000005</v>
      </c>
      <c r="U3217" s="8">
        <v>827.65300000000002</v>
      </c>
      <c r="V3217" s="8">
        <v>667.38099999999997</v>
      </c>
      <c r="W3217" s="8">
        <v>477.37599999999998</v>
      </c>
      <c r="X3217" s="8">
        <v>273.98599999999999</v>
      </c>
      <c r="Y3217" s="8">
        <v>150.804</v>
      </c>
      <c r="Z3217" s="8">
        <v>52.762</v>
      </c>
      <c r="AA3217" s="8">
        <v>13.048</v>
      </c>
      <c r="AB3217" s="8">
        <v>2.1179999999999999</v>
      </c>
      <c r="AC3217" s="8">
        <v>0.19</v>
      </c>
    </row>
    <row r="3218" spans="1:29" ht="11.65" hidden="1" x14ac:dyDescent="0.35">
      <c r="A3218" s="12">
        <v>3201</v>
      </c>
      <c r="B3218" s="10" t="s">
        <v>1015</v>
      </c>
      <c r="C3218" s="18" t="s">
        <v>1238</v>
      </c>
      <c r="D3218" s="9"/>
      <c r="E3218" s="9">
        <v>616</v>
      </c>
      <c r="F3218" s="10" t="s">
        <v>1066</v>
      </c>
      <c r="G3218" s="9">
        <v>923</v>
      </c>
      <c r="H3218" s="9">
        <v>1975</v>
      </c>
      <c r="I3218" s="8">
        <v>1369.704</v>
      </c>
      <c r="J3218" s="8">
        <v>1238.883</v>
      </c>
      <c r="K3218" s="8">
        <v>1362.3240000000001</v>
      </c>
      <c r="L3218" s="8">
        <v>1715.961</v>
      </c>
      <c r="M3218" s="8">
        <v>1663.7670000000001</v>
      </c>
      <c r="N3218" s="8">
        <v>1371.1769999999999</v>
      </c>
      <c r="O3218" s="8">
        <v>937.34699999999998</v>
      </c>
      <c r="P3218" s="8">
        <v>1074.547</v>
      </c>
      <c r="Q3218" s="8">
        <v>1133.02</v>
      </c>
      <c r="R3218" s="8">
        <v>1132.846</v>
      </c>
      <c r="S3218" s="8">
        <v>1032.82</v>
      </c>
      <c r="T3218" s="8">
        <v>629.99699999999996</v>
      </c>
      <c r="U3218" s="8">
        <v>806.37400000000002</v>
      </c>
      <c r="V3218" s="8">
        <v>762.98400000000004</v>
      </c>
      <c r="W3218" s="8">
        <v>577.82799999999997</v>
      </c>
      <c r="X3218" s="8">
        <v>366.91800000000001</v>
      </c>
      <c r="Y3218" s="8">
        <v>177.21</v>
      </c>
      <c r="Z3218" s="8">
        <v>74.05</v>
      </c>
      <c r="AA3218" s="8">
        <v>16.881</v>
      </c>
      <c r="AB3218" s="8">
        <v>2.464</v>
      </c>
      <c r="AC3218" s="8">
        <v>0.21299999999999999</v>
      </c>
    </row>
    <row r="3219" spans="1:29" ht="11.65" hidden="1" x14ac:dyDescent="0.35">
      <c r="A3219" s="12">
        <v>3202</v>
      </c>
      <c r="B3219" s="10" t="s">
        <v>1015</v>
      </c>
      <c r="C3219" s="18" t="s">
        <v>1238</v>
      </c>
      <c r="D3219" s="9"/>
      <c r="E3219" s="9">
        <v>616</v>
      </c>
      <c r="F3219" s="10" t="s">
        <v>1066</v>
      </c>
      <c r="G3219" s="9">
        <v>923</v>
      </c>
      <c r="H3219" s="9">
        <v>1980</v>
      </c>
      <c r="I3219" s="8">
        <v>1563.646</v>
      </c>
      <c r="J3219" s="8">
        <v>1375.6669999999999</v>
      </c>
      <c r="K3219" s="8">
        <v>1241.133</v>
      </c>
      <c r="L3219" s="8">
        <v>1356.9380000000001</v>
      </c>
      <c r="M3219" s="8">
        <v>1698.8140000000001</v>
      </c>
      <c r="N3219" s="8">
        <v>1638.854</v>
      </c>
      <c r="O3219" s="8">
        <v>1352.809</v>
      </c>
      <c r="P3219" s="8">
        <v>924.79300000000001</v>
      </c>
      <c r="Q3219" s="8">
        <v>1060.9970000000001</v>
      </c>
      <c r="R3219" s="8">
        <v>1112.8109999999999</v>
      </c>
      <c r="S3219" s="8">
        <v>1104.346</v>
      </c>
      <c r="T3219" s="8">
        <v>996.38599999999997</v>
      </c>
      <c r="U3219" s="8">
        <v>595.46400000000006</v>
      </c>
      <c r="V3219" s="8">
        <v>745.42100000000005</v>
      </c>
      <c r="W3219" s="8">
        <v>665.00599999999997</v>
      </c>
      <c r="X3219" s="8">
        <v>454.04500000000002</v>
      </c>
      <c r="Y3219" s="8">
        <v>242.40700000000001</v>
      </c>
      <c r="Z3219" s="8">
        <v>87.813999999999993</v>
      </c>
      <c r="AA3219" s="8">
        <v>24.236000000000001</v>
      </c>
      <c r="AB3219" s="8">
        <v>3.3250000000000002</v>
      </c>
      <c r="AC3219" s="8">
        <v>0.26300000000000001</v>
      </c>
    </row>
    <row r="3220" spans="1:29" ht="11.65" hidden="1" x14ac:dyDescent="0.35">
      <c r="A3220" s="12">
        <v>3203</v>
      </c>
      <c r="B3220" s="10" t="s">
        <v>1015</v>
      </c>
      <c r="C3220" s="18" t="s">
        <v>1238</v>
      </c>
      <c r="D3220" s="9"/>
      <c r="E3220" s="9">
        <v>616</v>
      </c>
      <c r="F3220" s="10" t="s">
        <v>1066</v>
      </c>
      <c r="G3220" s="9">
        <v>923</v>
      </c>
      <c r="H3220" s="9">
        <v>1985</v>
      </c>
      <c r="I3220" s="8">
        <v>1659.462</v>
      </c>
      <c r="J3220" s="8">
        <v>1580.307</v>
      </c>
      <c r="K3220" s="8">
        <v>1395.31</v>
      </c>
      <c r="L3220" s="8">
        <v>1236.0830000000001</v>
      </c>
      <c r="M3220" s="8">
        <v>1326.9649999999999</v>
      </c>
      <c r="N3220" s="8">
        <v>1652.047</v>
      </c>
      <c r="O3220" s="8">
        <v>1620.8309999999999</v>
      </c>
      <c r="P3220" s="8">
        <v>1373.35</v>
      </c>
      <c r="Q3220" s="8">
        <v>925.60699999999997</v>
      </c>
      <c r="R3220" s="8">
        <v>1044.789</v>
      </c>
      <c r="S3220" s="8">
        <v>1081.201</v>
      </c>
      <c r="T3220" s="8">
        <v>1059.104</v>
      </c>
      <c r="U3220" s="8">
        <v>931.79300000000001</v>
      </c>
      <c r="V3220" s="8">
        <v>540.62</v>
      </c>
      <c r="W3220" s="8">
        <v>652.32399999999996</v>
      </c>
      <c r="X3220" s="8">
        <v>513.80700000000002</v>
      </c>
      <c r="Y3220" s="8">
        <v>293.10199999999998</v>
      </c>
      <c r="Z3220" s="8">
        <v>119.37</v>
      </c>
      <c r="AA3220" s="8">
        <v>29.018999999999998</v>
      </c>
      <c r="AB3220" s="8">
        <v>4.8040000000000003</v>
      </c>
      <c r="AC3220" s="8">
        <v>0.34699999999999998</v>
      </c>
    </row>
    <row r="3221" spans="1:29" ht="11.65" hidden="1" x14ac:dyDescent="0.35">
      <c r="A3221" s="12">
        <v>3204</v>
      </c>
      <c r="B3221" s="10" t="s">
        <v>1015</v>
      </c>
      <c r="C3221" s="18" t="s">
        <v>1238</v>
      </c>
      <c r="D3221" s="9"/>
      <c r="E3221" s="9">
        <v>616</v>
      </c>
      <c r="F3221" s="10" t="s">
        <v>1066</v>
      </c>
      <c r="G3221" s="9">
        <v>923</v>
      </c>
      <c r="H3221" s="9">
        <v>1990</v>
      </c>
      <c r="I3221" s="8">
        <v>1436.93</v>
      </c>
      <c r="J3221" s="8">
        <v>1645.14</v>
      </c>
      <c r="K3221" s="8">
        <v>1570.6959999999999</v>
      </c>
      <c r="L3221" s="8">
        <v>1389.473</v>
      </c>
      <c r="M3221" s="8">
        <v>1225.31</v>
      </c>
      <c r="N3221" s="8">
        <v>1304.5609999999999</v>
      </c>
      <c r="O3221" s="8">
        <v>1612.365</v>
      </c>
      <c r="P3221" s="8">
        <v>1580.403</v>
      </c>
      <c r="Q3221" s="8">
        <v>1346.952</v>
      </c>
      <c r="R3221" s="8">
        <v>908.09199999999998</v>
      </c>
      <c r="S3221" s="8">
        <v>1023.077</v>
      </c>
      <c r="T3221" s="8">
        <v>1047.009</v>
      </c>
      <c r="U3221" s="8">
        <v>1006.264</v>
      </c>
      <c r="V3221" s="8">
        <v>857.66300000000001</v>
      </c>
      <c r="W3221" s="8">
        <v>471.83</v>
      </c>
      <c r="X3221" s="8">
        <v>517.37599999999998</v>
      </c>
      <c r="Y3221" s="8">
        <v>341.61900000000003</v>
      </c>
      <c r="Z3221" s="8">
        <v>145.81200000000001</v>
      </c>
      <c r="AA3221" s="8">
        <v>39.006999999999998</v>
      </c>
      <c r="AB3221" s="8">
        <v>5.5359999999999996</v>
      </c>
      <c r="AC3221" s="8">
        <v>0.46700000000000003</v>
      </c>
    </row>
    <row r="3222" spans="1:29" ht="11.65" hidden="1" x14ac:dyDescent="0.35">
      <c r="A3222" s="12">
        <v>3205</v>
      </c>
      <c r="B3222" s="10" t="s">
        <v>1015</v>
      </c>
      <c r="C3222" s="18" t="s">
        <v>1238</v>
      </c>
      <c r="D3222" s="9"/>
      <c r="E3222" s="9">
        <v>616</v>
      </c>
      <c r="F3222" s="10" t="s">
        <v>1066</v>
      </c>
      <c r="G3222" s="9">
        <v>923</v>
      </c>
      <c r="H3222" s="9">
        <v>1995</v>
      </c>
      <c r="I3222" s="8">
        <v>1249.2850000000001</v>
      </c>
      <c r="J3222" s="8">
        <v>1430.857</v>
      </c>
      <c r="K3222" s="8">
        <v>1641.6469999999999</v>
      </c>
      <c r="L3222" s="8">
        <v>1563.1320000000001</v>
      </c>
      <c r="M3222" s="8">
        <v>1374.1790000000001</v>
      </c>
      <c r="N3222" s="8">
        <v>1207.3689999999999</v>
      </c>
      <c r="O3222" s="8">
        <v>1287.9459999999999</v>
      </c>
      <c r="P3222" s="8">
        <v>1595.558</v>
      </c>
      <c r="Q3222" s="8">
        <v>1561.4570000000001</v>
      </c>
      <c r="R3222" s="8">
        <v>1325.1379999999999</v>
      </c>
      <c r="S3222" s="8">
        <v>887.48500000000001</v>
      </c>
      <c r="T3222" s="8">
        <v>991.38300000000004</v>
      </c>
      <c r="U3222" s="8">
        <v>997.48599999999999</v>
      </c>
      <c r="V3222" s="8">
        <v>930.35500000000002</v>
      </c>
      <c r="W3222" s="8">
        <v>751.54499999999996</v>
      </c>
      <c r="X3222" s="8">
        <v>376.755</v>
      </c>
      <c r="Y3222" s="8">
        <v>350.12900000000002</v>
      </c>
      <c r="Z3222" s="8">
        <v>174.78399999999999</v>
      </c>
      <c r="AA3222" s="8">
        <v>48.725999999999999</v>
      </c>
      <c r="AB3222" s="8">
        <v>7.3280000000000003</v>
      </c>
      <c r="AC3222" s="8">
        <v>0.53</v>
      </c>
    </row>
    <row r="3223" spans="1:29" ht="11.65" hidden="1" x14ac:dyDescent="0.35">
      <c r="A3223" s="12">
        <v>3206</v>
      </c>
      <c r="B3223" s="10" t="s">
        <v>1015</v>
      </c>
      <c r="C3223" s="18" t="s">
        <v>1238</v>
      </c>
      <c r="D3223" s="9"/>
      <c r="E3223" s="9">
        <v>616</v>
      </c>
      <c r="F3223" s="10" t="s">
        <v>1066</v>
      </c>
      <c r="G3223" s="9">
        <v>923</v>
      </c>
      <c r="H3223" s="9">
        <v>2000</v>
      </c>
      <c r="I3223" s="8">
        <v>1001.518</v>
      </c>
      <c r="J3223" s="8">
        <v>1245.4290000000001</v>
      </c>
      <c r="K3223" s="8">
        <v>1428.54</v>
      </c>
      <c r="L3223" s="8">
        <v>1638.0360000000001</v>
      </c>
      <c r="M3223" s="8">
        <v>1557.373</v>
      </c>
      <c r="N3223" s="8">
        <v>1366.9939999999999</v>
      </c>
      <c r="O3223" s="8">
        <v>1199.0609999999999</v>
      </c>
      <c r="P3223" s="8">
        <v>1277.835</v>
      </c>
      <c r="Q3223" s="8">
        <v>1580.4749999999999</v>
      </c>
      <c r="R3223" s="8">
        <v>1540.3150000000001</v>
      </c>
      <c r="S3223" s="8">
        <v>1298.588</v>
      </c>
      <c r="T3223" s="8">
        <v>862.005</v>
      </c>
      <c r="U3223" s="8">
        <v>949.85299999999995</v>
      </c>
      <c r="V3223" s="8">
        <v>930.51499999999999</v>
      </c>
      <c r="W3223" s="8">
        <v>827.85799999999995</v>
      </c>
      <c r="X3223" s="8">
        <v>611.68399999999997</v>
      </c>
      <c r="Y3223" s="8">
        <v>262.3</v>
      </c>
      <c r="Z3223" s="8">
        <v>187.452</v>
      </c>
      <c r="AA3223" s="8">
        <v>62.116</v>
      </c>
      <c r="AB3223" s="8">
        <v>9.8209999999999997</v>
      </c>
      <c r="AC3223" s="8">
        <v>0.74</v>
      </c>
    </row>
    <row r="3224" spans="1:29" ht="11.65" hidden="1" x14ac:dyDescent="0.35">
      <c r="A3224" s="12">
        <v>3207</v>
      </c>
      <c r="B3224" s="10" t="s">
        <v>1015</v>
      </c>
      <c r="C3224" s="18" t="s">
        <v>1238</v>
      </c>
      <c r="D3224" s="9"/>
      <c r="E3224" s="9">
        <v>616</v>
      </c>
      <c r="F3224" s="10" t="s">
        <v>1066</v>
      </c>
      <c r="G3224" s="9">
        <v>923</v>
      </c>
      <c r="H3224" s="9">
        <v>2005</v>
      </c>
      <c r="I3224" s="8">
        <v>869.82500000000005</v>
      </c>
      <c r="J3224" s="8">
        <v>994.30799999999999</v>
      </c>
      <c r="K3224" s="8">
        <v>1239.5630000000001</v>
      </c>
      <c r="L3224" s="8">
        <v>1422.2329999999999</v>
      </c>
      <c r="M3224" s="8">
        <v>1627.5029999999999</v>
      </c>
      <c r="N3224" s="8">
        <v>1538.893</v>
      </c>
      <c r="O3224" s="8">
        <v>1340.8689999999999</v>
      </c>
      <c r="P3224" s="8">
        <v>1182.146</v>
      </c>
      <c r="Q3224" s="8">
        <v>1270.6969999999999</v>
      </c>
      <c r="R3224" s="8">
        <v>1565.0429999999999</v>
      </c>
      <c r="S3224" s="8">
        <v>1515.722</v>
      </c>
      <c r="T3224" s="8">
        <v>1265.8710000000001</v>
      </c>
      <c r="U3224" s="8">
        <v>829.78</v>
      </c>
      <c r="V3224" s="8">
        <v>896.25599999999997</v>
      </c>
      <c r="W3224" s="8">
        <v>844.99699999999996</v>
      </c>
      <c r="X3224" s="8">
        <v>698.24400000000003</v>
      </c>
      <c r="Y3224" s="8">
        <v>448.459</v>
      </c>
      <c r="Z3224" s="8">
        <v>152.04499999999999</v>
      </c>
      <c r="AA3224" s="8">
        <v>74.049000000000007</v>
      </c>
      <c r="AB3224" s="8">
        <v>14.303000000000001</v>
      </c>
      <c r="AC3224" s="8">
        <v>1.149</v>
      </c>
    </row>
    <row r="3225" spans="1:29" ht="11.65" hidden="1" x14ac:dyDescent="0.35">
      <c r="A3225" s="12">
        <v>3208</v>
      </c>
      <c r="B3225" s="10" t="s">
        <v>1015</v>
      </c>
      <c r="C3225" s="18" t="s">
        <v>1238</v>
      </c>
      <c r="D3225" s="9"/>
      <c r="E3225" s="9">
        <v>616</v>
      </c>
      <c r="F3225" s="10" t="s">
        <v>1066</v>
      </c>
      <c r="G3225" s="9">
        <v>923</v>
      </c>
      <c r="H3225" s="9">
        <v>2010</v>
      </c>
      <c r="I3225" s="8">
        <v>977.24199999999996</v>
      </c>
      <c r="J3225" s="8">
        <v>873.005</v>
      </c>
      <c r="K3225" s="8">
        <v>989.46199999999999</v>
      </c>
      <c r="L3225" s="8">
        <v>1223.366</v>
      </c>
      <c r="M3225" s="8">
        <v>1396.383</v>
      </c>
      <c r="N3225" s="8">
        <v>1593.825</v>
      </c>
      <c r="O3225" s="8">
        <v>1513.577</v>
      </c>
      <c r="P3225" s="8">
        <v>1333.912</v>
      </c>
      <c r="Q3225" s="8">
        <v>1177.1420000000001</v>
      </c>
      <c r="R3225" s="8">
        <v>1258.1189999999999</v>
      </c>
      <c r="S3225" s="8">
        <v>1540.3409999999999</v>
      </c>
      <c r="T3225" s="8">
        <v>1478.578</v>
      </c>
      <c r="U3225" s="8">
        <v>1218.8499999999999</v>
      </c>
      <c r="V3225" s="8">
        <v>783.24099999999999</v>
      </c>
      <c r="W3225" s="8">
        <v>821.327</v>
      </c>
      <c r="X3225" s="8">
        <v>729.65099999999995</v>
      </c>
      <c r="Y3225" s="8">
        <v>532.66</v>
      </c>
      <c r="Z3225" s="8">
        <v>272.52300000000002</v>
      </c>
      <c r="AA3225" s="8">
        <v>64.436000000000007</v>
      </c>
      <c r="AB3225" s="8">
        <v>18.192</v>
      </c>
      <c r="AC3225" s="8">
        <v>1.7589999999999999</v>
      </c>
    </row>
    <row r="3226" spans="1:29" ht="11.65" hidden="1" x14ac:dyDescent="0.35">
      <c r="A3226" s="12">
        <v>3209</v>
      </c>
      <c r="B3226" s="10" t="s">
        <v>1015</v>
      </c>
      <c r="C3226" s="18" t="s">
        <v>1238</v>
      </c>
      <c r="D3226" s="9"/>
      <c r="E3226" s="9">
        <v>616</v>
      </c>
      <c r="F3226" s="10" t="s">
        <v>1066</v>
      </c>
      <c r="G3226" s="9">
        <v>923</v>
      </c>
      <c r="H3226" s="9">
        <v>2015</v>
      </c>
      <c r="I3226" s="8">
        <v>919.84100000000001</v>
      </c>
      <c r="J3226" s="8">
        <v>969.245</v>
      </c>
      <c r="K3226" s="8">
        <v>859.14800000000002</v>
      </c>
      <c r="L3226" s="8">
        <v>977.06100000000004</v>
      </c>
      <c r="M3226" s="8">
        <v>1209.7919999999999</v>
      </c>
      <c r="N3226" s="8">
        <v>1369.789</v>
      </c>
      <c r="O3226" s="8">
        <v>1552.5930000000001</v>
      </c>
      <c r="P3226" s="8">
        <v>1473.152</v>
      </c>
      <c r="Q3226" s="8">
        <v>1300.799</v>
      </c>
      <c r="R3226" s="8">
        <v>1148.3389999999999</v>
      </c>
      <c r="S3226" s="8">
        <v>1227.501</v>
      </c>
      <c r="T3226" s="8">
        <v>1496.8810000000001</v>
      </c>
      <c r="U3226" s="8">
        <v>1423.1610000000001</v>
      </c>
      <c r="V3226" s="8">
        <v>1155.3869999999999</v>
      </c>
      <c r="W3226" s="8">
        <v>722.99400000000003</v>
      </c>
      <c r="X3226" s="8">
        <v>720.41099999999994</v>
      </c>
      <c r="Y3226" s="8">
        <v>575.11400000000003</v>
      </c>
      <c r="Z3226" s="8">
        <v>345.98899999999998</v>
      </c>
      <c r="AA3226" s="8">
        <v>129.631</v>
      </c>
      <c r="AB3226" s="8">
        <v>19.507000000000001</v>
      </c>
      <c r="AC3226" s="8">
        <v>2.9409999999999998</v>
      </c>
    </row>
    <row r="3227" spans="1:29" ht="11.65" hidden="1" x14ac:dyDescent="0.35">
      <c r="A3227" s="12">
        <v>3210</v>
      </c>
      <c r="B3227" s="10" t="s">
        <v>1015</v>
      </c>
      <c r="C3227" s="18" t="s">
        <v>1238</v>
      </c>
      <c r="D3227" s="9"/>
      <c r="E3227" s="9">
        <v>616</v>
      </c>
      <c r="F3227" s="10" t="s">
        <v>1066</v>
      </c>
      <c r="G3227" s="9">
        <v>923</v>
      </c>
      <c r="H3227" s="9">
        <v>2020</v>
      </c>
      <c r="I3227" s="8">
        <v>917.59500000000003</v>
      </c>
      <c r="J3227" s="8">
        <v>926.36400000000003</v>
      </c>
      <c r="K3227" s="8">
        <v>963.23199999999997</v>
      </c>
      <c r="L3227" s="8">
        <v>852.94</v>
      </c>
      <c r="M3227" s="8">
        <v>970.66399999999999</v>
      </c>
      <c r="N3227" s="8">
        <v>1202.068</v>
      </c>
      <c r="O3227" s="8">
        <v>1355.691</v>
      </c>
      <c r="P3227" s="8">
        <v>1532.51</v>
      </c>
      <c r="Q3227" s="8">
        <v>1455.923</v>
      </c>
      <c r="R3227" s="8">
        <v>1285.107</v>
      </c>
      <c r="S3227" s="8">
        <v>1127.8869999999999</v>
      </c>
      <c r="T3227" s="8">
        <v>1196.2750000000001</v>
      </c>
      <c r="U3227" s="8">
        <v>1445.0250000000001</v>
      </c>
      <c r="V3227" s="8">
        <v>1354.3579999999999</v>
      </c>
      <c r="W3227" s="8">
        <v>1076.251</v>
      </c>
      <c r="X3227" s="8">
        <v>645.08699999999999</v>
      </c>
      <c r="Y3227" s="8">
        <v>584.92700000000002</v>
      </c>
      <c r="Z3227" s="8">
        <v>391.93</v>
      </c>
      <c r="AA3227" s="8">
        <v>177.35499999999999</v>
      </c>
      <c r="AB3227" s="8">
        <v>43.716000000000001</v>
      </c>
      <c r="AC3227" s="8">
        <v>3.8170000000000002</v>
      </c>
    </row>
    <row r="3228" spans="1:29" ht="11.65" hidden="1" x14ac:dyDescent="0.35">
      <c r="A3228" s="12">
        <v>3211</v>
      </c>
      <c r="B3228" s="10" t="s">
        <v>1015</v>
      </c>
      <c r="C3228" s="18" t="s">
        <v>1239</v>
      </c>
      <c r="D3228" s="9">
        <v>18</v>
      </c>
      <c r="E3228" s="9">
        <v>498</v>
      </c>
      <c r="F3228" s="10" t="s">
        <v>1066</v>
      </c>
      <c r="G3228" s="9">
        <v>923</v>
      </c>
      <c r="H3228" s="9">
        <v>1950</v>
      </c>
      <c r="I3228" s="8">
        <v>99.734999999999999</v>
      </c>
      <c r="J3228" s="8">
        <v>100.58499999999999</v>
      </c>
      <c r="K3228" s="8">
        <v>123.03</v>
      </c>
      <c r="L3228" s="8">
        <v>114.411</v>
      </c>
      <c r="M3228" s="8">
        <v>118.29600000000001</v>
      </c>
      <c r="N3228" s="8">
        <v>108.73099999999999</v>
      </c>
      <c r="O3228" s="8">
        <v>69.613</v>
      </c>
      <c r="P3228" s="8">
        <v>98.406000000000006</v>
      </c>
      <c r="Q3228" s="8">
        <v>75.674999999999997</v>
      </c>
      <c r="R3228" s="8">
        <v>75.201999999999998</v>
      </c>
      <c r="S3228" s="8">
        <v>55.595999999999997</v>
      </c>
      <c r="T3228" s="8">
        <v>43.851999999999997</v>
      </c>
      <c r="U3228" s="8">
        <v>48.588000000000001</v>
      </c>
      <c r="V3228" s="8">
        <v>41.104999999999997</v>
      </c>
      <c r="W3228" s="8">
        <v>32.865000000000002</v>
      </c>
      <c r="X3228" s="8">
        <v>23.867999999999999</v>
      </c>
      <c r="Y3228" s="8">
        <v>10.210000000000001</v>
      </c>
      <c r="Z3228" s="8">
        <v>5.1989999999999998</v>
      </c>
      <c r="AA3228" s="8">
        <v>1.9910000000000001</v>
      </c>
      <c r="AB3228" s="8">
        <v>0.51300000000000001</v>
      </c>
      <c r="AC3228" s="8">
        <v>8.3000000000000004E-2</v>
      </c>
    </row>
    <row r="3229" spans="1:29" ht="11.65" hidden="1" x14ac:dyDescent="0.35">
      <c r="A3229" s="12">
        <v>3212</v>
      </c>
      <c r="B3229" s="10" t="s">
        <v>1015</v>
      </c>
      <c r="C3229" s="18" t="s">
        <v>1239</v>
      </c>
      <c r="D3229" s="9">
        <v>18</v>
      </c>
      <c r="E3229" s="9">
        <v>498</v>
      </c>
      <c r="F3229" s="10" t="s">
        <v>1066</v>
      </c>
      <c r="G3229" s="9">
        <v>923</v>
      </c>
      <c r="H3229" s="9">
        <v>1955</v>
      </c>
      <c r="I3229" s="8">
        <v>158.13499999999999</v>
      </c>
      <c r="J3229" s="8">
        <v>103.52500000000001</v>
      </c>
      <c r="K3229" s="8">
        <v>105.524</v>
      </c>
      <c r="L3229" s="8">
        <v>138.13300000000001</v>
      </c>
      <c r="M3229" s="8">
        <v>119.428</v>
      </c>
      <c r="N3229" s="8">
        <v>123.42700000000001</v>
      </c>
      <c r="O3229" s="8">
        <v>113.32599999999999</v>
      </c>
      <c r="P3229" s="8">
        <v>72.116</v>
      </c>
      <c r="Q3229" s="8">
        <v>101.223</v>
      </c>
      <c r="R3229" s="8">
        <v>76.718000000000004</v>
      </c>
      <c r="S3229" s="8">
        <v>74.716999999999999</v>
      </c>
      <c r="T3229" s="8">
        <v>53.612000000000002</v>
      </c>
      <c r="U3229" s="8">
        <v>40.808999999999997</v>
      </c>
      <c r="V3229" s="8">
        <v>43.216000000000001</v>
      </c>
      <c r="W3229" s="8">
        <v>33.588000000000001</v>
      </c>
      <c r="X3229" s="8">
        <v>23.83</v>
      </c>
      <c r="Y3229" s="8">
        <v>13.010999999999999</v>
      </c>
      <c r="Z3229" s="8">
        <v>4.0209999999999999</v>
      </c>
      <c r="AA3229" s="8">
        <v>1.3779999999999999</v>
      </c>
      <c r="AB3229" s="8">
        <v>0.32400000000000001</v>
      </c>
      <c r="AC3229" s="8">
        <v>5.6000000000000001E-2</v>
      </c>
    </row>
    <row r="3230" spans="1:29" ht="11.65" hidden="1" x14ac:dyDescent="0.35">
      <c r="A3230" s="12">
        <v>3213</v>
      </c>
      <c r="B3230" s="10" t="s">
        <v>1015</v>
      </c>
      <c r="C3230" s="18" t="s">
        <v>1239</v>
      </c>
      <c r="D3230" s="9">
        <v>18</v>
      </c>
      <c r="E3230" s="9">
        <v>498</v>
      </c>
      <c r="F3230" s="10" t="s">
        <v>1066</v>
      </c>
      <c r="G3230" s="9">
        <v>923</v>
      </c>
      <c r="H3230" s="9">
        <v>1960</v>
      </c>
      <c r="I3230" s="8">
        <v>195.726</v>
      </c>
      <c r="J3230" s="8">
        <v>164.09700000000001</v>
      </c>
      <c r="K3230" s="8">
        <v>109.505</v>
      </c>
      <c r="L3230" s="8">
        <v>119.95099999999999</v>
      </c>
      <c r="M3230" s="8">
        <v>143.69200000000001</v>
      </c>
      <c r="N3230" s="8">
        <v>125</v>
      </c>
      <c r="O3230" s="8">
        <v>128.59899999999999</v>
      </c>
      <c r="P3230" s="8">
        <v>117.197</v>
      </c>
      <c r="Q3230" s="8">
        <v>75.403999999999996</v>
      </c>
      <c r="R3230" s="8">
        <v>102.392</v>
      </c>
      <c r="S3230" s="8">
        <v>76.995000000000005</v>
      </c>
      <c r="T3230" s="8">
        <v>72.388999999999996</v>
      </c>
      <c r="U3230" s="8">
        <v>50.595999999999997</v>
      </c>
      <c r="V3230" s="8">
        <v>37.000999999999998</v>
      </c>
      <c r="W3230" s="8">
        <v>35.908000000000001</v>
      </c>
      <c r="X3230" s="8">
        <v>24.841999999999999</v>
      </c>
      <c r="Y3230" s="8">
        <v>12.805</v>
      </c>
      <c r="Z3230" s="8">
        <v>5.3579999999999997</v>
      </c>
      <c r="AA3230" s="8">
        <v>1.1259999999999999</v>
      </c>
      <c r="AB3230" s="8">
        <v>0.24099999999999999</v>
      </c>
      <c r="AC3230" s="8">
        <v>3.7999999999999999E-2</v>
      </c>
    </row>
    <row r="3231" spans="1:29" ht="11.65" hidden="1" x14ac:dyDescent="0.35">
      <c r="A3231" s="12">
        <v>3214</v>
      </c>
      <c r="B3231" s="10" t="s">
        <v>1015</v>
      </c>
      <c r="C3231" s="18" t="s">
        <v>1239</v>
      </c>
      <c r="D3231" s="9">
        <v>18</v>
      </c>
      <c r="E3231" s="9">
        <v>498</v>
      </c>
      <c r="F3231" s="10" t="s">
        <v>1066</v>
      </c>
      <c r="G3231" s="9">
        <v>923</v>
      </c>
      <c r="H3231" s="9">
        <v>1965</v>
      </c>
      <c r="I3231" s="8">
        <v>192.85</v>
      </c>
      <c r="J3231" s="8">
        <v>200.06299999999999</v>
      </c>
      <c r="K3231" s="8">
        <v>169.05799999999999</v>
      </c>
      <c r="L3231" s="8">
        <v>123.4</v>
      </c>
      <c r="M3231" s="8">
        <v>123.25</v>
      </c>
      <c r="N3231" s="8">
        <v>147.07300000000001</v>
      </c>
      <c r="O3231" s="8">
        <v>128.29400000000001</v>
      </c>
      <c r="P3231" s="8">
        <v>131.09100000000001</v>
      </c>
      <c r="Q3231" s="8">
        <v>118.697</v>
      </c>
      <c r="R3231" s="8">
        <v>76.241</v>
      </c>
      <c r="S3231" s="8">
        <v>100.411</v>
      </c>
      <c r="T3231" s="8">
        <v>74.137</v>
      </c>
      <c r="U3231" s="8">
        <v>67.234999999999999</v>
      </c>
      <c r="V3231" s="8">
        <v>45.161000000000001</v>
      </c>
      <c r="W3231" s="8">
        <v>30.774999999999999</v>
      </c>
      <c r="X3231" s="8">
        <v>26.495999999999999</v>
      </c>
      <c r="Y3231" s="8">
        <v>13.582000000000001</v>
      </c>
      <c r="Z3231" s="8">
        <v>5.3470000000000004</v>
      </c>
      <c r="AA3231" s="8">
        <v>1.5209999999999999</v>
      </c>
      <c r="AB3231" s="8">
        <v>0.2</v>
      </c>
      <c r="AC3231" s="8">
        <v>2.8000000000000001E-2</v>
      </c>
    </row>
    <row r="3232" spans="1:29" ht="11.65" hidden="1" x14ac:dyDescent="0.35">
      <c r="A3232" s="12">
        <v>3215</v>
      </c>
      <c r="B3232" s="10" t="s">
        <v>1015</v>
      </c>
      <c r="C3232" s="18" t="s">
        <v>1239</v>
      </c>
      <c r="D3232" s="9">
        <v>18</v>
      </c>
      <c r="E3232" s="9">
        <v>498</v>
      </c>
      <c r="F3232" s="10" t="s">
        <v>1066</v>
      </c>
      <c r="G3232" s="9">
        <v>923</v>
      </c>
      <c r="H3232" s="9">
        <v>1970</v>
      </c>
      <c r="I3232" s="8">
        <v>167.41900000000001</v>
      </c>
      <c r="J3232" s="8">
        <v>196.10400000000001</v>
      </c>
      <c r="K3232" s="8">
        <v>204.38499999999999</v>
      </c>
      <c r="L3232" s="8">
        <v>182.02</v>
      </c>
      <c r="M3232" s="8">
        <v>125.902</v>
      </c>
      <c r="N3232" s="8">
        <v>125.589</v>
      </c>
      <c r="O3232" s="8">
        <v>149.27799999999999</v>
      </c>
      <c r="P3232" s="8">
        <v>130.108</v>
      </c>
      <c r="Q3232" s="8">
        <v>132.011</v>
      </c>
      <c r="R3232" s="8">
        <v>118.13800000000001</v>
      </c>
      <c r="S3232" s="8">
        <v>75.105999999999995</v>
      </c>
      <c r="T3232" s="8">
        <v>95.980999999999995</v>
      </c>
      <c r="U3232" s="8">
        <v>69.055999999999997</v>
      </c>
      <c r="V3232" s="8">
        <v>60.042000000000002</v>
      </c>
      <c r="W3232" s="8">
        <v>37.658999999999999</v>
      </c>
      <c r="X3232" s="8">
        <v>23.027999999999999</v>
      </c>
      <c r="Y3232" s="8">
        <v>14.465999999999999</v>
      </c>
      <c r="Z3232" s="8">
        <v>5.99</v>
      </c>
      <c r="AA3232" s="8">
        <v>1.6080000000000001</v>
      </c>
      <c r="AB3232" s="8">
        <v>0.28100000000000003</v>
      </c>
      <c r="AC3232" s="8">
        <v>2.3E-2</v>
      </c>
    </row>
    <row r="3233" spans="1:29" ht="11.65" hidden="1" x14ac:dyDescent="0.35">
      <c r="A3233" s="12">
        <v>3216</v>
      </c>
      <c r="B3233" s="10" t="s">
        <v>1015</v>
      </c>
      <c r="C3233" s="18" t="s">
        <v>1239</v>
      </c>
      <c r="D3233" s="9">
        <v>18</v>
      </c>
      <c r="E3233" s="9">
        <v>498</v>
      </c>
      <c r="F3233" s="10" t="s">
        <v>1066</v>
      </c>
      <c r="G3233" s="9">
        <v>923</v>
      </c>
      <c r="H3233" s="9">
        <v>1975</v>
      </c>
      <c r="I3233" s="8">
        <v>183.387</v>
      </c>
      <c r="J3233" s="8">
        <v>168.035</v>
      </c>
      <c r="K3233" s="8">
        <v>196.626</v>
      </c>
      <c r="L3233" s="8">
        <v>198.084</v>
      </c>
      <c r="M3233" s="8">
        <v>183.935</v>
      </c>
      <c r="N3233" s="8">
        <v>128.178</v>
      </c>
      <c r="O3233" s="8">
        <v>124.866</v>
      </c>
      <c r="P3233" s="8">
        <v>147.33500000000001</v>
      </c>
      <c r="Q3233" s="8">
        <v>127.387</v>
      </c>
      <c r="R3233" s="8">
        <v>129.96199999999999</v>
      </c>
      <c r="S3233" s="8">
        <v>121.52</v>
      </c>
      <c r="T3233" s="8">
        <v>74.23</v>
      </c>
      <c r="U3233" s="8">
        <v>89.239000000000004</v>
      </c>
      <c r="V3233" s="8">
        <v>63.652000000000001</v>
      </c>
      <c r="W3233" s="8">
        <v>46.813000000000002</v>
      </c>
      <c r="X3233" s="8">
        <v>27.640999999999998</v>
      </c>
      <c r="Y3233" s="8">
        <v>16.023</v>
      </c>
      <c r="Z3233" s="8">
        <v>6.57</v>
      </c>
      <c r="AA3233" s="8">
        <v>1.861</v>
      </c>
      <c r="AB3233" s="8">
        <v>0.308</v>
      </c>
      <c r="AC3233" s="8">
        <v>3.2000000000000001E-2</v>
      </c>
    </row>
    <row r="3234" spans="1:29" ht="11.65" hidden="1" x14ac:dyDescent="0.35">
      <c r="A3234" s="12">
        <v>3217</v>
      </c>
      <c r="B3234" s="10" t="s">
        <v>1015</v>
      </c>
      <c r="C3234" s="18" t="s">
        <v>1239</v>
      </c>
      <c r="D3234" s="9">
        <v>18</v>
      </c>
      <c r="E3234" s="9">
        <v>498</v>
      </c>
      <c r="F3234" s="10" t="s">
        <v>1066</v>
      </c>
      <c r="G3234" s="9">
        <v>923</v>
      </c>
      <c r="H3234" s="9">
        <v>1980</v>
      </c>
      <c r="I3234" s="8">
        <v>186.36600000000001</v>
      </c>
      <c r="J3234" s="8">
        <v>178.13300000000001</v>
      </c>
      <c r="K3234" s="8">
        <v>164.88399999999999</v>
      </c>
      <c r="L3234" s="8">
        <v>190.47</v>
      </c>
      <c r="M3234" s="8">
        <v>187.91</v>
      </c>
      <c r="N3234" s="8">
        <v>177.994</v>
      </c>
      <c r="O3234" s="8">
        <v>137.089</v>
      </c>
      <c r="P3234" s="8">
        <v>115.65600000000001</v>
      </c>
      <c r="Q3234" s="8">
        <v>142.09800000000001</v>
      </c>
      <c r="R3234" s="8">
        <v>123.529</v>
      </c>
      <c r="S3234" s="8">
        <v>127.845</v>
      </c>
      <c r="T3234" s="8">
        <v>116.66500000000001</v>
      </c>
      <c r="U3234" s="8">
        <v>72.867000000000004</v>
      </c>
      <c r="V3234" s="8">
        <v>77.888000000000005</v>
      </c>
      <c r="W3234" s="8">
        <v>52.543999999999997</v>
      </c>
      <c r="X3234" s="8">
        <v>35.363999999999997</v>
      </c>
      <c r="Y3234" s="8">
        <v>17.538</v>
      </c>
      <c r="Z3234" s="8">
        <v>7.2779999999999996</v>
      </c>
      <c r="AA3234" s="8">
        <v>2.0419999999999998</v>
      </c>
      <c r="AB3234" s="8">
        <v>0.35699999999999998</v>
      </c>
      <c r="AC3234" s="8">
        <v>3.5999999999999997E-2</v>
      </c>
    </row>
    <row r="3235" spans="1:29" ht="11.65" hidden="1" x14ac:dyDescent="0.35">
      <c r="A3235" s="12">
        <v>3218</v>
      </c>
      <c r="B3235" s="10" t="s">
        <v>1015</v>
      </c>
      <c r="C3235" s="18" t="s">
        <v>1239</v>
      </c>
      <c r="D3235" s="9">
        <v>18</v>
      </c>
      <c r="E3235" s="9">
        <v>498</v>
      </c>
      <c r="F3235" s="10" t="s">
        <v>1066</v>
      </c>
      <c r="G3235" s="9">
        <v>923</v>
      </c>
      <c r="H3235" s="9">
        <v>1985</v>
      </c>
      <c r="I3235" s="8">
        <v>205.798</v>
      </c>
      <c r="J3235" s="8">
        <v>185.37899999999999</v>
      </c>
      <c r="K3235" s="8">
        <v>173.15600000000001</v>
      </c>
      <c r="L3235" s="8">
        <v>169.45699999999999</v>
      </c>
      <c r="M3235" s="8">
        <v>179.125</v>
      </c>
      <c r="N3235" s="8">
        <v>190.399</v>
      </c>
      <c r="O3235" s="8">
        <v>177.452</v>
      </c>
      <c r="P3235" s="8">
        <v>135.15799999999999</v>
      </c>
      <c r="Q3235" s="8">
        <v>112.69199999999999</v>
      </c>
      <c r="R3235" s="8">
        <v>135.55699999999999</v>
      </c>
      <c r="S3235" s="8">
        <v>119.84399999999999</v>
      </c>
      <c r="T3235" s="8">
        <v>123.184</v>
      </c>
      <c r="U3235" s="8">
        <v>107.265</v>
      </c>
      <c r="V3235" s="8">
        <v>63.868000000000002</v>
      </c>
      <c r="W3235" s="8">
        <v>64.61</v>
      </c>
      <c r="X3235" s="8">
        <v>38.915999999999997</v>
      </c>
      <c r="Y3235" s="8">
        <v>22.033999999999999</v>
      </c>
      <c r="Z3235" s="8">
        <v>7.6669999999999998</v>
      </c>
      <c r="AA3235" s="8">
        <v>2.1720000000000002</v>
      </c>
      <c r="AB3235" s="8">
        <v>0.377</v>
      </c>
      <c r="AC3235" s="8">
        <v>0.04</v>
      </c>
    </row>
    <row r="3236" spans="1:29" ht="11.65" hidden="1" x14ac:dyDescent="0.35">
      <c r="A3236" s="12">
        <v>3219</v>
      </c>
      <c r="B3236" s="10" t="s">
        <v>1015</v>
      </c>
      <c r="C3236" s="18" t="s">
        <v>1239</v>
      </c>
      <c r="D3236" s="9">
        <v>18</v>
      </c>
      <c r="E3236" s="9">
        <v>498</v>
      </c>
      <c r="F3236" s="10" t="s">
        <v>1066</v>
      </c>
      <c r="G3236" s="9">
        <v>923</v>
      </c>
      <c r="H3236" s="9">
        <v>1990</v>
      </c>
      <c r="I3236" s="8">
        <v>209.006</v>
      </c>
      <c r="J3236" s="8">
        <v>204.45599999999999</v>
      </c>
      <c r="K3236" s="8">
        <v>185.547</v>
      </c>
      <c r="L3236" s="8">
        <v>169.786</v>
      </c>
      <c r="M3236" s="8">
        <v>145.239</v>
      </c>
      <c r="N3236" s="8">
        <v>176.09</v>
      </c>
      <c r="O3236" s="8">
        <v>192.71899999999999</v>
      </c>
      <c r="P3236" s="8">
        <v>176.92599999999999</v>
      </c>
      <c r="Q3236" s="8">
        <v>132.226</v>
      </c>
      <c r="R3236" s="8">
        <v>108.72199999999999</v>
      </c>
      <c r="S3236" s="8">
        <v>128.56200000000001</v>
      </c>
      <c r="T3236" s="8">
        <v>112.846</v>
      </c>
      <c r="U3236" s="8">
        <v>113.691</v>
      </c>
      <c r="V3236" s="8">
        <v>93.605000000000004</v>
      </c>
      <c r="W3236" s="8">
        <v>51.722000000000001</v>
      </c>
      <c r="X3236" s="8">
        <v>47.127000000000002</v>
      </c>
      <c r="Y3236" s="8">
        <v>23.262</v>
      </c>
      <c r="Z3236" s="8">
        <v>10.366</v>
      </c>
      <c r="AA3236" s="8">
        <v>2.4740000000000002</v>
      </c>
      <c r="AB3236" s="8">
        <v>0.43</v>
      </c>
      <c r="AC3236" s="8">
        <v>4.4999999999999998E-2</v>
      </c>
    </row>
    <row r="3237" spans="1:29" ht="11.65" hidden="1" x14ac:dyDescent="0.35">
      <c r="A3237" s="12">
        <v>3220</v>
      </c>
      <c r="B3237" s="10" t="s">
        <v>1015</v>
      </c>
      <c r="C3237" s="18" t="s">
        <v>1239</v>
      </c>
      <c r="D3237" s="9">
        <v>18</v>
      </c>
      <c r="E3237" s="9">
        <v>498</v>
      </c>
      <c r="F3237" s="10" t="s">
        <v>1066</v>
      </c>
      <c r="G3237" s="9">
        <v>923</v>
      </c>
      <c r="H3237" s="9">
        <v>1995</v>
      </c>
      <c r="I3237" s="8">
        <v>160.65600000000001</v>
      </c>
      <c r="J3237" s="8">
        <v>205.179</v>
      </c>
      <c r="K3237" s="8">
        <v>201.226</v>
      </c>
      <c r="L3237" s="8">
        <v>180.66399999999999</v>
      </c>
      <c r="M3237" s="8">
        <v>160.16200000000001</v>
      </c>
      <c r="N3237" s="8">
        <v>139.01</v>
      </c>
      <c r="O3237" s="8">
        <v>170.66300000000001</v>
      </c>
      <c r="P3237" s="8">
        <v>186.58500000000001</v>
      </c>
      <c r="Q3237" s="8">
        <v>170.191</v>
      </c>
      <c r="R3237" s="8">
        <v>125.387</v>
      </c>
      <c r="S3237" s="8">
        <v>102.578</v>
      </c>
      <c r="T3237" s="8">
        <v>118.581</v>
      </c>
      <c r="U3237" s="8">
        <v>100.68</v>
      </c>
      <c r="V3237" s="8">
        <v>97.025999999999996</v>
      </c>
      <c r="W3237" s="8">
        <v>73.718999999999994</v>
      </c>
      <c r="X3237" s="8">
        <v>35.970999999999997</v>
      </c>
      <c r="Y3237" s="8">
        <v>24.385000000000002</v>
      </c>
      <c r="Z3237" s="8">
        <v>10.885999999999999</v>
      </c>
      <c r="AA3237" s="8">
        <v>3.32</v>
      </c>
      <c r="AB3237" s="8">
        <v>0.48599999999999999</v>
      </c>
      <c r="AC3237" s="8">
        <v>0.05</v>
      </c>
    </row>
    <row r="3238" spans="1:29" ht="11.65" hidden="1" x14ac:dyDescent="0.35">
      <c r="A3238" s="12">
        <v>3221</v>
      </c>
      <c r="B3238" s="10" t="s">
        <v>1015</v>
      </c>
      <c r="C3238" s="18" t="s">
        <v>1239</v>
      </c>
      <c r="D3238" s="9">
        <v>18</v>
      </c>
      <c r="E3238" s="9">
        <v>498</v>
      </c>
      <c r="F3238" s="10" t="s">
        <v>1066</v>
      </c>
      <c r="G3238" s="9">
        <v>923</v>
      </c>
      <c r="H3238" s="9">
        <v>2000</v>
      </c>
      <c r="I3238" s="8">
        <v>118.11199999999999</v>
      </c>
      <c r="J3238" s="8">
        <v>159.12299999999999</v>
      </c>
      <c r="K3238" s="8">
        <v>206.06</v>
      </c>
      <c r="L3238" s="8">
        <v>197.88900000000001</v>
      </c>
      <c r="M3238" s="8">
        <v>175.26400000000001</v>
      </c>
      <c r="N3238" s="8">
        <v>149.084</v>
      </c>
      <c r="O3238" s="8">
        <v>129.09</v>
      </c>
      <c r="P3238" s="8">
        <v>164.26599999999999</v>
      </c>
      <c r="Q3238" s="8">
        <v>175.977</v>
      </c>
      <c r="R3238" s="8">
        <v>165.57900000000001</v>
      </c>
      <c r="S3238" s="8">
        <v>106.111</v>
      </c>
      <c r="T3238" s="8">
        <v>95.914000000000001</v>
      </c>
      <c r="U3238" s="8">
        <v>102.104</v>
      </c>
      <c r="V3238" s="8">
        <v>85.44</v>
      </c>
      <c r="W3238" s="8">
        <v>76.638000000000005</v>
      </c>
      <c r="X3238" s="8">
        <v>51.558999999999997</v>
      </c>
      <c r="Y3238" s="8">
        <v>17.559999999999999</v>
      </c>
      <c r="Z3238" s="8">
        <v>11.257</v>
      </c>
      <c r="AA3238" s="8">
        <v>3.4390000000000001</v>
      </c>
      <c r="AB3238" s="8">
        <v>0.64200000000000002</v>
      </c>
      <c r="AC3238" s="8">
        <v>5.6000000000000001E-2</v>
      </c>
    </row>
    <row r="3239" spans="1:29" ht="11.65" hidden="1" x14ac:dyDescent="0.35">
      <c r="A3239" s="12">
        <v>3222</v>
      </c>
      <c r="B3239" s="10" t="s">
        <v>1015</v>
      </c>
      <c r="C3239" s="18" t="s">
        <v>1239</v>
      </c>
      <c r="D3239" s="9">
        <v>18</v>
      </c>
      <c r="E3239" s="9">
        <v>498</v>
      </c>
      <c r="F3239" s="10" t="s">
        <v>1066</v>
      </c>
      <c r="G3239" s="9">
        <v>923</v>
      </c>
      <c r="H3239" s="9">
        <v>2005</v>
      </c>
      <c r="I3239" s="8">
        <v>98.995000000000005</v>
      </c>
      <c r="J3239" s="8">
        <v>117.953</v>
      </c>
      <c r="K3239" s="8">
        <v>158.46299999999999</v>
      </c>
      <c r="L3239" s="8">
        <v>205.1</v>
      </c>
      <c r="M3239" s="8">
        <v>197.774</v>
      </c>
      <c r="N3239" s="8">
        <v>173.96899999999999</v>
      </c>
      <c r="O3239" s="8">
        <v>147.958</v>
      </c>
      <c r="P3239" s="8">
        <v>127.176</v>
      </c>
      <c r="Q3239" s="8">
        <v>161.41499999999999</v>
      </c>
      <c r="R3239" s="8">
        <v>171.3</v>
      </c>
      <c r="S3239" s="8">
        <v>161.19800000000001</v>
      </c>
      <c r="T3239" s="8">
        <v>100.565</v>
      </c>
      <c r="U3239" s="8">
        <v>86.915000000000006</v>
      </c>
      <c r="V3239" s="8">
        <v>89.218000000000004</v>
      </c>
      <c r="W3239" s="8">
        <v>69.230999999999995</v>
      </c>
      <c r="X3239" s="8">
        <v>56.100999999999999</v>
      </c>
      <c r="Y3239" s="8">
        <v>31.271999999999998</v>
      </c>
      <c r="Z3239" s="8">
        <v>8.266</v>
      </c>
      <c r="AA3239" s="8">
        <v>3.6640000000000001</v>
      </c>
      <c r="AB3239" s="8">
        <v>0.69399999999999995</v>
      </c>
      <c r="AC3239" s="8">
        <v>7.6999999999999999E-2</v>
      </c>
    </row>
    <row r="3240" spans="1:29" ht="11.65" hidden="1" x14ac:dyDescent="0.35">
      <c r="A3240" s="12">
        <v>3223</v>
      </c>
      <c r="B3240" s="10" t="s">
        <v>1015</v>
      </c>
      <c r="C3240" s="18" t="s">
        <v>1239</v>
      </c>
      <c r="D3240" s="9">
        <v>18</v>
      </c>
      <c r="E3240" s="9">
        <v>498</v>
      </c>
      <c r="F3240" s="10" t="s">
        <v>1066</v>
      </c>
      <c r="G3240" s="9">
        <v>923</v>
      </c>
      <c r="H3240" s="9">
        <v>2010</v>
      </c>
      <c r="I3240" s="8">
        <v>107.205</v>
      </c>
      <c r="J3240" s="8">
        <v>101.568</v>
      </c>
      <c r="K3240" s="8">
        <v>120.30500000000001</v>
      </c>
      <c r="L3240" s="8">
        <v>163.5</v>
      </c>
      <c r="M3240" s="8">
        <v>202.577</v>
      </c>
      <c r="N3240" s="8">
        <v>178.56800000000001</v>
      </c>
      <c r="O3240" s="8">
        <v>155.501</v>
      </c>
      <c r="P3240" s="8">
        <v>140.41900000000001</v>
      </c>
      <c r="Q3240" s="8">
        <v>131.34399999999999</v>
      </c>
      <c r="R3240" s="8">
        <v>160.36000000000001</v>
      </c>
      <c r="S3240" s="8">
        <v>162.512</v>
      </c>
      <c r="T3240" s="8">
        <v>149.29300000000001</v>
      </c>
      <c r="U3240" s="8">
        <v>89.293000000000006</v>
      </c>
      <c r="V3240" s="8">
        <v>76.253</v>
      </c>
      <c r="W3240" s="8">
        <v>73.141000000000005</v>
      </c>
      <c r="X3240" s="8">
        <v>53.392000000000003</v>
      </c>
      <c r="Y3240" s="8">
        <v>38.06</v>
      </c>
      <c r="Z3240" s="8">
        <v>14.781000000000001</v>
      </c>
      <c r="AA3240" s="8">
        <v>2.706</v>
      </c>
      <c r="AB3240" s="8">
        <v>0.74299999999999999</v>
      </c>
      <c r="AC3240" s="8">
        <v>8.5000000000000006E-2</v>
      </c>
    </row>
    <row r="3241" spans="1:29" ht="11.65" hidden="1" x14ac:dyDescent="0.35">
      <c r="A3241" s="12">
        <v>3224</v>
      </c>
      <c r="B3241" s="10" t="s">
        <v>1015</v>
      </c>
      <c r="C3241" s="18" t="s">
        <v>1239</v>
      </c>
      <c r="D3241" s="9">
        <v>18</v>
      </c>
      <c r="E3241" s="9">
        <v>498</v>
      </c>
      <c r="F3241" s="10" t="s">
        <v>1066</v>
      </c>
      <c r="G3241" s="9">
        <v>923</v>
      </c>
      <c r="H3241" s="9">
        <v>2015</v>
      </c>
      <c r="I3241" s="8">
        <v>107.47499999999999</v>
      </c>
      <c r="J3241" s="8">
        <v>105.642</v>
      </c>
      <c r="K3241" s="8">
        <v>98.319000000000003</v>
      </c>
      <c r="L3241" s="8">
        <v>118.90900000000001</v>
      </c>
      <c r="M3241" s="8">
        <v>162.892</v>
      </c>
      <c r="N3241" s="8">
        <v>206.87700000000001</v>
      </c>
      <c r="O3241" s="8">
        <v>176.245</v>
      </c>
      <c r="P3241" s="8">
        <v>153.40100000000001</v>
      </c>
      <c r="Q3241" s="8">
        <v>136.577</v>
      </c>
      <c r="R3241" s="8">
        <v>127.099</v>
      </c>
      <c r="S3241" s="8">
        <v>161.69</v>
      </c>
      <c r="T3241" s="8">
        <v>154.357</v>
      </c>
      <c r="U3241" s="8">
        <v>148.27099999999999</v>
      </c>
      <c r="V3241" s="8">
        <v>73.177000000000007</v>
      </c>
      <c r="W3241" s="8">
        <v>66.441000000000003</v>
      </c>
      <c r="X3241" s="8">
        <v>56.276000000000003</v>
      </c>
      <c r="Y3241" s="8">
        <v>36.082000000000001</v>
      </c>
      <c r="Z3241" s="8">
        <v>18.992999999999999</v>
      </c>
      <c r="AA3241" s="8">
        <v>5.0629999999999997</v>
      </c>
      <c r="AB3241" s="8">
        <v>0.56799999999999995</v>
      </c>
      <c r="AC3241" s="8">
        <v>8.4000000000000005E-2</v>
      </c>
    </row>
    <row r="3242" spans="1:29" ht="11.65" hidden="1" x14ac:dyDescent="0.35">
      <c r="A3242" s="12">
        <v>3225</v>
      </c>
      <c r="B3242" s="10" t="s">
        <v>1015</v>
      </c>
      <c r="C3242" s="18" t="s">
        <v>1239</v>
      </c>
      <c r="D3242" s="9">
        <v>18</v>
      </c>
      <c r="E3242" s="9">
        <v>498</v>
      </c>
      <c r="F3242" s="10" t="s">
        <v>1066</v>
      </c>
      <c r="G3242" s="9">
        <v>923</v>
      </c>
      <c r="H3242" s="9">
        <v>2020</v>
      </c>
      <c r="I3242" s="8">
        <v>98.566000000000003</v>
      </c>
      <c r="J3242" s="8">
        <v>107.224</v>
      </c>
      <c r="K3242" s="8">
        <v>105.482</v>
      </c>
      <c r="L3242" s="8">
        <v>97.8</v>
      </c>
      <c r="M3242" s="8">
        <v>118.02800000000001</v>
      </c>
      <c r="N3242" s="8">
        <v>161.94999999999999</v>
      </c>
      <c r="O3242" s="8">
        <v>205.82</v>
      </c>
      <c r="P3242" s="8">
        <v>175.173</v>
      </c>
      <c r="Q3242" s="8">
        <v>152.172</v>
      </c>
      <c r="R3242" s="8">
        <v>134.822</v>
      </c>
      <c r="S3242" s="8">
        <v>124.559</v>
      </c>
      <c r="T3242" s="8">
        <v>156.77500000000001</v>
      </c>
      <c r="U3242" s="8">
        <v>146.07400000000001</v>
      </c>
      <c r="V3242" s="8">
        <v>136.35400000000001</v>
      </c>
      <c r="W3242" s="8">
        <v>64.242999999999995</v>
      </c>
      <c r="X3242" s="8">
        <v>52.643000000000001</v>
      </c>
      <c r="Y3242" s="8">
        <v>37.753</v>
      </c>
      <c r="Z3242" s="8">
        <v>18.603999999999999</v>
      </c>
      <c r="AA3242" s="8">
        <v>6.7850000000000001</v>
      </c>
      <c r="AB3242" s="8">
        <v>1.115</v>
      </c>
      <c r="AC3242" s="8">
        <v>6.8000000000000005E-2</v>
      </c>
    </row>
    <row r="3243" spans="1:29" ht="11.65" hidden="1" x14ac:dyDescent="0.35">
      <c r="A3243" s="12">
        <v>3226</v>
      </c>
      <c r="B3243" s="10" t="s">
        <v>1015</v>
      </c>
      <c r="C3243" s="18" t="s">
        <v>1240</v>
      </c>
      <c r="D3243" s="9"/>
      <c r="E3243" s="9">
        <v>642</v>
      </c>
      <c r="F3243" s="10" t="s">
        <v>1066</v>
      </c>
      <c r="G3243" s="9">
        <v>923</v>
      </c>
      <c r="H3243" s="9">
        <v>1950</v>
      </c>
      <c r="I3243" s="8">
        <v>807.63800000000003</v>
      </c>
      <c r="J3243" s="8">
        <v>641.01</v>
      </c>
      <c r="K3243" s="8">
        <v>831.98699999999997</v>
      </c>
      <c r="L3243" s="8">
        <v>791.99800000000005</v>
      </c>
      <c r="M3243" s="8">
        <v>781.51300000000003</v>
      </c>
      <c r="N3243" s="8">
        <v>715.26300000000003</v>
      </c>
      <c r="O3243" s="8">
        <v>446.108</v>
      </c>
      <c r="P3243" s="8">
        <v>645.96</v>
      </c>
      <c r="Q3243" s="8">
        <v>573.27499999999998</v>
      </c>
      <c r="R3243" s="8">
        <v>475.721</v>
      </c>
      <c r="S3243" s="8">
        <v>445.61700000000002</v>
      </c>
      <c r="T3243" s="8">
        <v>374.51499999999999</v>
      </c>
      <c r="U3243" s="8">
        <v>313.94799999999998</v>
      </c>
      <c r="V3243" s="8">
        <v>252.12100000000001</v>
      </c>
      <c r="W3243" s="8">
        <v>158.666</v>
      </c>
      <c r="X3243" s="8">
        <v>77.078000000000003</v>
      </c>
      <c r="Y3243" s="8">
        <v>34.588999999999999</v>
      </c>
      <c r="Z3243" s="8">
        <v>13.307</v>
      </c>
      <c r="AA3243" s="8">
        <v>4.992</v>
      </c>
      <c r="AB3243" s="8">
        <v>1.6</v>
      </c>
      <c r="AC3243" s="8">
        <v>0.30399999999999999</v>
      </c>
    </row>
    <row r="3244" spans="1:29" ht="11.65" hidden="1" x14ac:dyDescent="0.35">
      <c r="A3244" s="12">
        <v>3227</v>
      </c>
      <c r="B3244" s="10" t="s">
        <v>1015</v>
      </c>
      <c r="C3244" s="18" t="s">
        <v>1240</v>
      </c>
      <c r="D3244" s="9"/>
      <c r="E3244" s="9">
        <v>642</v>
      </c>
      <c r="F3244" s="10" t="s">
        <v>1066</v>
      </c>
      <c r="G3244" s="9">
        <v>923</v>
      </c>
      <c r="H3244" s="9">
        <v>1955</v>
      </c>
      <c r="I3244" s="8">
        <v>951.31100000000004</v>
      </c>
      <c r="J3244" s="8">
        <v>790.77800000000002</v>
      </c>
      <c r="K3244" s="8">
        <v>637.31299999999999</v>
      </c>
      <c r="L3244" s="8">
        <v>827.45899999999995</v>
      </c>
      <c r="M3244" s="8">
        <v>786.09100000000001</v>
      </c>
      <c r="N3244" s="8">
        <v>773.99099999999999</v>
      </c>
      <c r="O3244" s="8">
        <v>707.21299999999997</v>
      </c>
      <c r="P3244" s="8">
        <v>439.84800000000001</v>
      </c>
      <c r="Q3244" s="8">
        <v>634.96900000000005</v>
      </c>
      <c r="R3244" s="8">
        <v>560.37400000000002</v>
      </c>
      <c r="S3244" s="8">
        <v>459.72500000000002</v>
      </c>
      <c r="T3244" s="8">
        <v>424.05200000000002</v>
      </c>
      <c r="U3244" s="8">
        <v>346.35700000000003</v>
      </c>
      <c r="V3244" s="8">
        <v>274.404</v>
      </c>
      <c r="W3244" s="8">
        <v>199.76900000000001</v>
      </c>
      <c r="X3244" s="8">
        <v>107.161</v>
      </c>
      <c r="Y3244" s="8">
        <v>42.853000000000002</v>
      </c>
      <c r="Z3244" s="8">
        <v>15.058999999999999</v>
      </c>
      <c r="AA3244" s="8">
        <v>4.2960000000000003</v>
      </c>
      <c r="AB3244" s="8">
        <v>1.139</v>
      </c>
      <c r="AC3244" s="8">
        <v>0.27900000000000003</v>
      </c>
    </row>
    <row r="3245" spans="1:29" ht="11.65" hidden="1" x14ac:dyDescent="0.35">
      <c r="A3245" s="12">
        <v>3228</v>
      </c>
      <c r="B3245" s="10" t="s">
        <v>1015</v>
      </c>
      <c r="C3245" s="18" t="s">
        <v>1240</v>
      </c>
      <c r="D3245" s="9"/>
      <c r="E3245" s="9">
        <v>642</v>
      </c>
      <c r="F3245" s="10" t="s">
        <v>1066</v>
      </c>
      <c r="G3245" s="9">
        <v>923</v>
      </c>
      <c r="H3245" s="9">
        <v>1960</v>
      </c>
      <c r="I3245" s="8">
        <v>910.524</v>
      </c>
      <c r="J3245" s="8">
        <v>935.37099999999998</v>
      </c>
      <c r="K3245" s="8">
        <v>787.125</v>
      </c>
      <c r="L3245" s="8">
        <v>634.51700000000005</v>
      </c>
      <c r="M3245" s="8">
        <v>822.53700000000003</v>
      </c>
      <c r="N3245" s="8">
        <v>780.00900000000001</v>
      </c>
      <c r="O3245" s="8">
        <v>766.92499999999995</v>
      </c>
      <c r="P3245" s="8">
        <v>699.07399999999996</v>
      </c>
      <c r="Q3245" s="8">
        <v>433.49400000000003</v>
      </c>
      <c r="R3245" s="8">
        <v>622.56399999999996</v>
      </c>
      <c r="S3245" s="8">
        <v>543.74400000000003</v>
      </c>
      <c r="T3245" s="8">
        <v>439.83199999999999</v>
      </c>
      <c r="U3245" s="8">
        <v>395.14499999999998</v>
      </c>
      <c r="V3245" s="8">
        <v>306.22500000000002</v>
      </c>
      <c r="W3245" s="8">
        <v>221.19900000000001</v>
      </c>
      <c r="X3245" s="8">
        <v>138.46600000000001</v>
      </c>
      <c r="Y3245" s="8">
        <v>61.554000000000002</v>
      </c>
      <c r="Z3245" s="8">
        <v>19.341000000000001</v>
      </c>
      <c r="AA3245" s="8">
        <v>5.0490000000000004</v>
      </c>
      <c r="AB3245" s="8">
        <v>1.018</v>
      </c>
      <c r="AC3245" s="8">
        <v>0.214</v>
      </c>
    </row>
    <row r="3246" spans="1:29" ht="11.65" hidden="1" x14ac:dyDescent="0.35">
      <c r="A3246" s="12">
        <v>3229</v>
      </c>
      <c r="B3246" s="10" t="s">
        <v>1015</v>
      </c>
      <c r="C3246" s="18" t="s">
        <v>1240</v>
      </c>
      <c r="D3246" s="9"/>
      <c r="E3246" s="9">
        <v>642</v>
      </c>
      <c r="F3246" s="10" t="s">
        <v>1066</v>
      </c>
      <c r="G3246" s="9">
        <v>923</v>
      </c>
      <c r="H3246" s="9">
        <v>1965</v>
      </c>
      <c r="I3246" s="8">
        <v>720.17899999999997</v>
      </c>
      <c r="J3246" s="8">
        <v>903.03200000000004</v>
      </c>
      <c r="K3246" s="8">
        <v>932.87699999999995</v>
      </c>
      <c r="L3246" s="8">
        <v>785.01800000000003</v>
      </c>
      <c r="M3246" s="8">
        <v>632.06200000000001</v>
      </c>
      <c r="N3246" s="8">
        <v>818.46799999999996</v>
      </c>
      <c r="O3246" s="8">
        <v>775.30799999999999</v>
      </c>
      <c r="P3246" s="8">
        <v>761.04499999999996</v>
      </c>
      <c r="Q3246" s="8">
        <v>691.65300000000002</v>
      </c>
      <c r="R3246" s="8">
        <v>426.5</v>
      </c>
      <c r="S3246" s="8">
        <v>607.98400000000004</v>
      </c>
      <c r="T3246" s="8">
        <v>524.95500000000004</v>
      </c>
      <c r="U3246" s="8">
        <v>415.83699999999999</v>
      </c>
      <c r="V3246" s="8">
        <v>357.726</v>
      </c>
      <c r="W3246" s="8">
        <v>257.58</v>
      </c>
      <c r="X3246" s="8">
        <v>161.63499999999999</v>
      </c>
      <c r="Y3246" s="8">
        <v>81.527000000000001</v>
      </c>
      <c r="Z3246" s="8">
        <v>27.431000000000001</v>
      </c>
      <c r="AA3246" s="8">
        <v>5.484</v>
      </c>
      <c r="AB3246" s="8">
        <v>0.75900000000000001</v>
      </c>
      <c r="AC3246" s="8">
        <v>8.5000000000000006E-2</v>
      </c>
    </row>
    <row r="3247" spans="1:29" ht="11.65" hidden="1" x14ac:dyDescent="0.35">
      <c r="A3247" s="12">
        <v>3230</v>
      </c>
      <c r="B3247" s="10" t="s">
        <v>1015</v>
      </c>
      <c r="C3247" s="18" t="s">
        <v>1240</v>
      </c>
      <c r="D3247" s="9"/>
      <c r="E3247" s="9">
        <v>642</v>
      </c>
      <c r="F3247" s="10" t="s">
        <v>1066</v>
      </c>
      <c r="G3247" s="9">
        <v>923</v>
      </c>
      <c r="H3247" s="9">
        <v>1970</v>
      </c>
      <c r="I3247" s="8">
        <v>990.47199999999998</v>
      </c>
      <c r="J3247" s="8">
        <v>714.05600000000004</v>
      </c>
      <c r="K3247" s="8">
        <v>900.76900000000001</v>
      </c>
      <c r="L3247" s="8">
        <v>930.62400000000002</v>
      </c>
      <c r="M3247" s="8">
        <v>782.05600000000004</v>
      </c>
      <c r="N3247" s="8">
        <v>628.90899999999999</v>
      </c>
      <c r="O3247" s="8">
        <v>813.50400000000002</v>
      </c>
      <c r="P3247" s="8">
        <v>769.41899999999998</v>
      </c>
      <c r="Q3247" s="8">
        <v>753.32100000000003</v>
      </c>
      <c r="R3247" s="8">
        <v>681.10400000000004</v>
      </c>
      <c r="S3247" s="8">
        <v>416.327</v>
      </c>
      <c r="T3247" s="8">
        <v>586.68600000000004</v>
      </c>
      <c r="U3247" s="8">
        <v>496.01900000000001</v>
      </c>
      <c r="V3247" s="8">
        <v>376.68200000000002</v>
      </c>
      <c r="W3247" s="8">
        <v>297.72399999999999</v>
      </c>
      <c r="X3247" s="8">
        <v>184.976</v>
      </c>
      <c r="Y3247" s="8">
        <v>92.045000000000002</v>
      </c>
      <c r="Z3247" s="8">
        <v>32.89</v>
      </c>
      <c r="AA3247" s="8">
        <v>6.8630000000000004</v>
      </c>
      <c r="AB3247" s="8">
        <v>0.66900000000000004</v>
      </c>
      <c r="AC3247" s="8">
        <v>1.7999999999999999E-2</v>
      </c>
    </row>
    <row r="3248" spans="1:29" ht="11.65" hidden="1" x14ac:dyDescent="0.35">
      <c r="A3248" s="12">
        <v>3231</v>
      </c>
      <c r="B3248" s="10" t="s">
        <v>1015</v>
      </c>
      <c r="C3248" s="18" t="s">
        <v>1240</v>
      </c>
      <c r="D3248" s="9"/>
      <c r="E3248" s="9">
        <v>642</v>
      </c>
      <c r="F3248" s="10" t="s">
        <v>1066</v>
      </c>
      <c r="G3248" s="9">
        <v>923</v>
      </c>
      <c r="H3248" s="9">
        <v>1975</v>
      </c>
      <c r="I3248" s="8">
        <v>985.12599999999998</v>
      </c>
      <c r="J3248" s="8">
        <v>984.19799999999998</v>
      </c>
      <c r="K3248" s="8">
        <v>712.33199999999999</v>
      </c>
      <c r="L3248" s="8">
        <v>898.50900000000001</v>
      </c>
      <c r="M3248" s="8">
        <v>927.173</v>
      </c>
      <c r="N3248" s="8">
        <v>778.42899999999997</v>
      </c>
      <c r="O3248" s="8">
        <v>625.42200000000003</v>
      </c>
      <c r="P3248" s="8">
        <v>807.79399999999998</v>
      </c>
      <c r="Q3248" s="8">
        <v>762.05</v>
      </c>
      <c r="R3248" s="8">
        <v>742.84</v>
      </c>
      <c r="S3248" s="8">
        <v>666.51199999999994</v>
      </c>
      <c r="T3248" s="8">
        <v>402.36900000000003</v>
      </c>
      <c r="U3248" s="8">
        <v>555.84400000000005</v>
      </c>
      <c r="V3248" s="8">
        <v>452.74299999999999</v>
      </c>
      <c r="W3248" s="8">
        <v>319.48899999999998</v>
      </c>
      <c r="X3248" s="8">
        <v>219.73500000000001</v>
      </c>
      <c r="Y3248" s="8">
        <v>108.602</v>
      </c>
      <c r="Z3248" s="8">
        <v>38.664000000000001</v>
      </c>
      <c r="AA3248" s="8">
        <v>8.4209999999999994</v>
      </c>
      <c r="AB3248" s="8">
        <v>0.84</v>
      </c>
      <c r="AC3248" s="8">
        <v>1.4E-2</v>
      </c>
    </row>
    <row r="3249" spans="1:29" ht="11.65" hidden="1" x14ac:dyDescent="0.35">
      <c r="A3249" s="12">
        <v>3232</v>
      </c>
      <c r="B3249" s="10" t="s">
        <v>1015</v>
      </c>
      <c r="C3249" s="18" t="s">
        <v>1240</v>
      </c>
      <c r="D3249" s="9"/>
      <c r="E3249" s="9">
        <v>642</v>
      </c>
      <c r="F3249" s="10" t="s">
        <v>1066</v>
      </c>
      <c r="G3249" s="9">
        <v>923</v>
      </c>
      <c r="H3249" s="9">
        <v>1980</v>
      </c>
      <c r="I3249" s="8">
        <v>1000.908</v>
      </c>
      <c r="J3249" s="8">
        <v>977.43799999999999</v>
      </c>
      <c r="K3249" s="8">
        <v>980.83699999999999</v>
      </c>
      <c r="L3249" s="8">
        <v>707.32399999999996</v>
      </c>
      <c r="M3249" s="8">
        <v>887.57</v>
      </c>
      <c r="N3249" s="8">
        <v>913.46900000000005</v>
      </c>
      <c r="O3249" s="8">
        <v>766.34799999999996</v>
      </c>
      <c r="P3249" s="8">
        <v>615.67499999999995</v>
      </c>
      <c r="Q3249" s="8">
        <v>796.74800000000005</v>
      </c>
      <c r="R3249" s="8">
        <v>749.17</v>
      </c>
      <c r="S3249" s="8">
        <v>725.375</v>
      </c>
      <c r="T3249" s="8">
        <v>643.03399999999999</v>
      </c>
      <c r="U3249" s="8">
        <v>380.57299999999998</v>
      </c>
      <c r="V3249" s="8">
        <v>508.041</v>
      </c>
      <c r="W3249" s="8">
        <v>386.24799999999999</v>
      </c>
      <c r="X3249" s="8">
        <v>239.25</v>
      </c>
      <c r="Y3249" s="8">
        <v>129.49600000000001</v>
      </c>
      <c r="Z3249" s="8">
        <v>43.935000000000002</v>
      </c>
      <c r="AA3249" s="8">
        <v>9.0969999999999995</v>
      </c>
      <c r="AB3249" s="8">
        <v>0.88900000000000001</v>
      </c>
      <c r="AC3249" s="8">
        <v>1.4999999999999999E-2</v>
      </c>
    </row>
    <row r="3250" spans="1:29" ht="11.65" hidden="1" x14ac:dyDescent="0.35">
      <c r="A3250" s="12">
        <v>3233</v>
      </c>
      <c r="B3250" s="10" t="s">
        <v>1015</v>
      </c>
      <c r="C3250" s="18" t="s">
        <v>1240</v>
      </c>
      <c r="D3250" s="9"/>
      <c r="E3250" s="9">
        <v>642</v>
      </c>
      <c r="F3250" s="10" t="s">
        <v>1066</v>
      </c>
      <c r="G3250" s="9">
        <v>923</v>
      </c>
      <c r="H3250" s="9">
        <v>1985</v>
      </c>
      <c r="I3250" s="8">
        <v>857.17</v>
      </c>
      <c r="J3250" s="8">
        <v>991.26099999999997</v>
      </c>
      <c r="K3250" s="8">
        <v>972.81799999999998</v>
      </c>
      <c r="L3250" s="8">
        <v>971.91499999999996</v>
      </c>
      <c r="M3250" s="8">
        <v>689.24400000000003</v>
      </c>
      <c r="N3250" s="8">
        <v>864.53499999999997</v>
      </c>
      <c r="O3250" s="8">
        <v>892.77300000000002</v>
      </c>
      <c r="P3250" s="8">
        <v>749.98199999999997</v>
      </c>
      <c r="Q3250" s="8">
        <v>602.4</v>
      </c>
      <c r="R3250" s="8">
        <v>780.61199999999997</v>
      </c>
      <c r="S3250" s="8">
        <v>729.67200000000003</v>
      </c>
      <c r="T3250" s="8">
        <v>699.09699999999998</v>
      </c>
      <c r="U3250" s="8">
        <v>608.37599999999998</v>
      </c>
      <c r="V3250" s="8">
        <v>347.05900000000003</v>
      </c>
      <c r="W3250" s="8">
        <v>433.791</v>
      </c>
      <c r="X3250" s="8">
        <v>290.923</v>
      </c>
      <c r="Y3250" s="8">
        <v>143.92099999999999</v>
      </c>
      <c r="Z3250" s="8">
        <v>55.139000000000003</v>
      </c>
      <c r="AA3250" s="8">
        <v>11.682</v>
      </c>
      <c r="AB3250" s="8">
        <v>1.373</v>
      </c>
      <c r="AC3250" s="8">
        <v>7.3999999999999996E-2</v>
      </c>
    </row>
    <row r="3251" spans="1:29" ht="11.65" hidden="1" x14ac:dyDescent="0.35">
      <c r="A3251" s="12">
        <v>3234</v>
      </c>
      <c r="B3251" s="10" t="s">
        <v>1015</v>
      </c>
      <c r="C3251" s="18" t="s">
        <v>1240</v>
      </c>
      <c r="D3251" s="9"/>
      <c r="E3251" s="9">
        <v>642</v>
      </c>
      <c r="F3251" s="10" t="s">
        <v>1066</v>
      </c>
      <c r="G3251" s="9">
        <v>923</v>
      </c>
      <c r="H3251" s="9">
        <v>1990</v>
      </c>
      <c r="I3251" s="8">
        <v>885.89499999999998</v>
      </c>
      <c r="J3251" s="8">
        <v>847.88300000000004</v>
      </c>
      <c r="K3251" s="8">
        <v>986.55899999999997</v>
      </c>
      <c r="L3251" s="8">
        <v>963.86500000000001</v>
      </c>
      <c r="M3251" s="8">
        <v>953.21299999999997</v>
      </c>
      <c r="N3251" s="8">
        <v>667.18799999999999</v>
      </c>
      <c r="O3251" s="8">
        <v>843.93899999999996</v>
      </c>
      <c r="P3251" s="8">
        <v>875.27</v>
      </c>
      <c r="Q3251" s="8">
        <v>734.99300000000005</v>
      </c>
      <c r="R3251" s="8">
        <v>588.63699999999994</v>
      </c>
      <c r="S3251" s="8">
        <v>760.08199999999999</v>
      </c>
      <c r="T3251" s="8">
        <v>703.10599999999999</v>
      </c>
      <c r="U3251" s="8">
        <v>661.649</v>
      </c>
      <c r="V3251" s="8">
        <v>556.61800000000005</v>
      </c>
      <c r="W3251" s="8">
        <v>296.762</v>
      </c>
      <c r="X3251" s="8">
        <v>329.11700000000002</v>
      </c>
      <c r="Y3251" s="8">
        <v>177.59399999999999</v>
      </c>
      <c r="Z3251" s="8">
        <v>61.183999999999997</v>
      </c>
      <c r="AA3251" s="8">
        <v>14.324999999999999</v>
      </c>
      <c r="AB3251" s="8">
        <v>1.665</v>
      </c>
      <c r="AC3251" s="8">
        <v>0.107</v>
      </c>
    </row>
    <row r="3252" spans="1:29" ht="11.65" hidden="1" x14ac:dyDescent="0.35">
      <c r="A3252" s="12">
        <v>3235</v>
      </c>
      <c r="B3252" s="10" t="s">
        <v>1015</v>
      </c>
      <c r="C3252" s="18" t="s">
        <v>1240</v>
      </c>
      <c r="D3252" s="9"/>
      <c r="E3252" s="9">
        <v>642</v>
      </c>
      <c r="F3252" s="10" t="s">
        <v>1066</v>
      </c>
      <c r="G3252" s="9">
        <v>923</v>
      </c>
      <c r="H3252" s="9">
        <v>1995</v>
      </c>
      <c r="I3252" s="8">
        <v>616.90200000000004</v>
      </c>
      <c r="J3252" s="8">
        <v>870.72799999999995</v>
      </c>
      <c r="K3252" s="8">
        <v>839.89099999999996</v>
      </c>
      <c r="L3252" s="8">
        <v>966.87199999999996</v>
      </c>
      <c r="M3252" s="8">
        <v>920.29499999999996</v>
      </c>
      <c r="N3252" s="8">
        <v>899.923</v>
      </c>
      <c r="O3252" s="8">
        <v>622.54100000000005</v>
      </c>
      <c r="P3252" s="8">
        <v>809.07</v>
      </c>
      <c r="Q3252" s="8">
        <v>847.07100000000003</v>
      </c>
      <c r="R3252" s="8">
        <v>711.25199999999995</v>
      </c>
      <c r="S3252" s="8">
        <v>567.10799999999995</v>
      </c>
      <c r="T3252" s="8">
        <v>729.125</v>
      </c>
      <c r="U3252" s="8">
        <v>663.577</v>
      </c>
      <c r="V3252" s="8">
        <v>605.01400000000001</v>
      </c>
      <c r="W3252" s="8">
        <v>479.12700000000001</v>
      </c>
      <c r="X3252" s="8">
        <v>226.911</v>
      </c>
      <c r="Y3252" s="8">
        <v>204.72</v>
      </c>
      <c r="Z3252" s="8">
        <v>80.156000000000006</v>
      </c>
      <c r="AA3252" s="8">
        <v>17.719000000000001</v>
      </c>
      <c r="AB3252" s="8">
        <v>2.4220000000000002</v>
      </c>
      <c r="AC3252" s="8">
        <v>0.14499999999999999</v>
      </c>
    </row>
    <row r="3253" spans="1:29" ht="11.65" hidden="1" x14ac:dyDescent="0.35">
      <c r="A3253" s="12">
        <v>3236</v>
      </c>
      <c r="B3253" s="10" t="s">
        <v>1015</v>
      </c>
      <c r="C3253" s="18" t="s">
        <v>1240</v>
      </c>
      <c r="D3253" s="9"/>
      <c r="E3253" s="9">
        <v>642</v>
      </c>
      <c r="F3253" s="10" t="s">
        <v>1066</v>
      </c>
      <c r="G3253" s="9">
        <v>923</v>
      </c>
      <c r="H3253" s="9">
        <v>2000</v>
      </c>
      <c r="I3253" s="8">
        <v>536.25</v>
      </c>
      <c r="J3253" s="8">
        <v>605.73299999999995</v>
      </c>
      <c r="K3253" s="8">
        <v>863.78099999999995</v>
      </c>
      <c r="L3253" s="8">
        <v>824.43499999999995</v>
      </c>
      <c r="M3253" s="8">
        <v>913.87699999999995</v>
      </c>
      <c r="N3253" s="8">
        <v>836.23800000000006</v>
      </c>
      <c r="O3253" s="8">
        <v>840.60299999999995</v>
      </c>
      <c r="P3253" s="8">
        <v>596.06700000000001</v>
      </c>
      <c r="Q3253" s="8">
        <v>785.87199999999996</v>
      </c>
      <c r="R3253" s="8">
        <v>824.072</v>
      </c>
      <c r="S3253" s="8">
        <v>688.28</v>
      </c>
      <c r="T3253" s="8">
        <v>543.4</v>
      </c>
      <c r="U3253" s="8">
        <v>688.452</v>
      </c>
      <c r="V3253" s="8">
        <v>607.67399999999998</v>
      </c>
      <c r="W3253" s="8">
        <v>522.33600000000001</v>
      </c>
      <c r="X3253" s="8">
        <v>371.346</v>
      </c>
      <c r="Y3253" s="8">
        <v>143.15</v>
      </c>
      <c r="Z3253" s="8">
        <v>91.21</v>
      </c>
      <c r="AA3253" s="8">
        <v>22.003</v>
      </c>
      <c r="AB3253" s="8">
        <v>2.6859999999999999</v>
      </c>
      <c r="AC3253" s="8">
        <v>0.20699999999999999</v>
      </c>
    </row>
    <row r="3254" spans="1:29" ht="11.65" hidden="1" x14ac:dyDescent="0.35">
      <c r="A3254" s="12">
        <v>3237</v>
      </c>
      <c r="B3254" s="10" t="s">
        <v>1015</v>
      </c>
      <c r="C3254" s="18" t="s">
        <v>1240</v>
      </c>
      <c r="D3254" s="9"/>
      <c r="E3254" s="9">
        <v>642</v>
      </c>
      <c r="F3254" s="10" t="s">
        <v>1066</v>
      </c>
      <c r="G3254" s="9">
        <v>923</v>
      </c>
      <c r="H3254" s="9">
        <v>2005</v>
      </c>
      <c r="I3254" s="8">
        <v>508.49200000000002</v>
      </c>
      <c r="J3254" s="8">
        <v>532.30899999999997</v>
      </c>
      <c r="K3254" s="8">
        <v>601.11900000000003</v>
      </c>
      <c r="L3254" s="8">
        <v>847.73699999999997</v>
      </c>
      <c r="M3254" s="8">
        <v>764.60400000000004</v>
      </c>
      <c r="N3254" s="8">
        <v>836.29499999999996</v>
      </c>
      <c r="O3254" s="8">
        <v>796.00199999999995</v>
      </c>
      <c r="P3254" s="8">
        <v>825.28</v>
      </c>
      <c r="Q3254" s="8">
        <v>585.37</v>
      </c>
      <c r="R3254" s="8">
        <v>768.22699999999998</v>
      </c>
      <c r="S3254" s="8">
        <v>799.91499999999996</v>
      </c>
      <c r="T3254" s="8">
        <v>662.24400000000003</v>
      </c>
      <c r="U3254" s="8">
        <v>514.73400000000004</v>
      </c>
      <c r="V3254" s="8">
        <v>635.94899999999996</v>
      </c>
      <c r="W3254" s="8">
        <v>533.27700000000004</v>
      </c>
      <c r="X3254" s="8">
        <v>413.99799999999999</v>
      </c>
      <c r="Y3254" s="8">
        <v>245.964</v>
      </c>
      <c r="Z3254" s="8">
        <v>71.656999999999996</v>
      </c>
      <c r="AA3254" s="8">
        <v>30.701000000000001</v>
      </c>
      <c r="AB3254" s="8">
        <v>4.5350000000000001</v>
      </c>
      <c r="AC3254" s="8">
        <v>0.30199999999999999</v>
      </c>
    </row>
    <row r="3255" spans="1:29" ht="11.65" hidden="1" x14ac:dyDescent="0.35">
      <c r="A3255" s="12">
        <v>3238</v>
      </c>
      <c r="B3255" s="10" t="s">
        <v>1015</v>
      </c>
      <c r="C3255" s="18" t="s">
        <v>1240</v>
      </c>
      <c r="D3255" s="9"/>
      <c r="E3255" s="9">
        <v>642</v>
      </c>
      <c r="F3255" s="10" t="s">
        <v>1066</v>
      </c>
      <c r="G3255" s="9">
        <v>923</v>
      </c>
      <c r="H3255" s="9">
        <v>2010</v>
      </c>
      <c r="I3255" s="8">
        <v>539.54899999999998</v>
      </c>
      <c r="J3255" s="8">
        <v>501.53899999999999</v>
      </c>
      <c r="K3255" s="8">
        <v>531.178</v>
      </c>
      <c r="L3255" s="8">
        <v>582.029</v>
      </c>
      <c r="M3255" s="8">
        <v>737.16399999999999</v>
      </c>
      <c r="N3255" s="8">
        <v>631.84699999999998</v>
      </c>
      <c r="O3255" s="8">
        <v>792.505</v>
      </c>
      <c r="P3255" s="8">
        <v>774.17700000000002</v>
      </c>
      <c r="Q3255" s="8">
        <v>798.202</v>
      </c>
      <c r="R3255" s="8">
        <v>569.70799999999997</v>
      </c>
      <c r="S3255" s="8">
        <v>746.44200000000001</v>
      </c>
      <c r="T3255" s="8">
        <v>772.01300000000003</v>
      </c>
      <c r="U3255" s="8">
        <v>630.19600000000003</v>
      </c>
      <c r="V3255" s="8">
        <v>479.053</v>
      </c>
      <c r="W3255" s="8">
        <v>566.79600000000005</v>
      </c>
      <c r="X3255" s="8">
        <v>434.83699999999999</v>
      </c>
      <c r="Y3255" s="8">
        <v>285.41800000000001</v>
      </c>
      <c r="Z3255" s="8">
        <v>127.768</v>
      </c>
      <c r="AA3255" s="8">
        <v>24.661999999999999</v>
      </c>
      <c r="AB3255" s="8">
        <v>6.2809999999999997</v>
      </c>
      <c r="AC3255" s="8">
        <v>0.47799999999999998</v>
      </c>
    </row>
    <row r="3256" spans="1:29" ht="11.65" hidden="1" x14ac:dyDescent="0.35">
      <c r="A3256" s="12">
        <v>3239</v>
      </c>
      <c r="B3256" s="10" t="s">
        <v>1015</v>
      </c>
      <c r="C3256" s="18" t="s">
        <v>1240</v>
      </c>
      <c r="D3256" s="9"/>
      <c r="E3256" s="9">
        <v>642</v>
      </c>
      <c r="F3256" s="10" t="s">
        <v>1066</v>
      </c>
      <c r="G3256" s="9">
        <v>923</v>
      </c>
      <c r="H3256" s="9">
        <v>2015</v>
      </c>
      <c r="I3256" s="8">
        <v>477.77199999999999</v>
      </c>
      <c r="J3256" s="8">
        <v>530.34699999999998</v>
      </c>
      <c r="K3256" s="8">
        <v>496.41899999999998</v>
      </c>
      <c r="L3256" s="8">
        <v>517.27800000000002</v>
      </c>
      <c r="M3256" s="8">
        <v>550.45399999999995</v>
      </c>
      <c r="N3256" s="8">
        <v>698.27200000000005</v>
      </c>
      <c r="O3256" s="8">
        <v>599.16</v>
      </c>
      <c r="P3256" s="8">
        <v>767.87199999999996</v>
      </c>
      <c r="Q3256" s="8">
        <v>755.35900000000004</v>
      </c>
      <c r="R3256" s="8">
        <v>781.16499999999996</v>
      </c>
      <c r="S3256" s="8">
        <v>554.33500000000004</v>
      </c>
      <c r="T3256" s="8">
        <v>723.34799999999996</v>
      </c>
      <c r="U3256" s="8">
        <v>740.11599999999999</v>
      </c>
      <c r="V3256" s="8">
        <v>592.21299999999997</v>
      </c>
      <c r="W3256" s="8">
        <v>433.7</v>
      </c>
      <c r="X3256" s="8">
        <v>476.637</v>
      </c>
      <c r="Y3256" s="8">
        <v>315.66800000000001</v>
      </c>
      <c r="Z3256" s="8">
        <v>160.208</v>
      </c>
      <c r="AA3256" s="8">
        <v>48.649000000000001</v>
      </c>
      <c r="AB3256" s="8">
        <v>5.5970000000000004</v>
      </c>
      <c r="AC3256" s="8">
        <v>0.751</v>
      </c>
    </row>
    <row r="3257" spans="1:29" ht="11.65" hidden="1" x14ac:dyDescent="0.35">
      <c r="A3257" s="12">
        <v>3240</v>
      </c>
      <c r="B3257" s="10" t="s">
        <v>1015</v>
      </c>
      <c r="C3257" s="18" t="s">
        <v>1240</v>
      </c>
      <c r="D3257" s="9"/>
      <c r="E3257" s="9">
        <v>642</v>
      </c>
      <c r="F3257" s="10" t="s">
        <v>1066</v>
      </c>
      <c r="G3257" s="9">
        <v>923</v>
      </c>
      <c r="H3257" s="9">
        <v>2020</v>
      </c>
      <c r="I3257" s="8">
        <v>456.82299999999998</v>
      </c>
      <c r="J3257" s="8">
        <v>469.15800000000002</v>
      </c>
      <c r="K3257" s="8">
        <v>525.49599999999998</v>
      </c>
      <c r="L3257" s="8">
        <v>483.24200000000002</v>
      </c>
      <c r="M3257" s="8">
        <v>487.34800000000001</v>
      </c>
      <c r="N3257" s="8">
        <v>513.76199999999994</v>
      </c>
      <c r="O3257" s="8">
        <v>666.99300000000005</v>
      </c>
      <c r="P3257" s="8">
        <v>576.43799999999999</v>
      </c>
      <c r="Q3257" s="8">
        <v>750.12900000000002</v>
      </c>
      <c r="R3257" s="8">
        <v>740.16</v>
      </c>
      <c r="S3257" s="8">
        <v>764.42399999999998</v>
      </c>
      <c r="T3257" s="8">
        <v>537.37099999999998</v>
      </c>
      <c r="U3257" s="8">
        <v>693.88499999999999</v>
      </c>
      <c r="V3257" s="8">
        <v>697.96500000000003</v>
      </c>
      <c r="W3257" s="8">
        <v>541.93899999999996</v>
      </c>
      <c r="X3257" s="8">
        <v>370.577</v>
      </c>
      <c r="Y3257" s="8">
        <v>353.46</v>
      </c>
      <c r="Z3257" s="8">
        <v>181.29599999999999</v>
      </c>
      <c r="AA3257" s="8">
        <v>61.734000000000002</v>
      </c>
      <c r="AB3257" s="8">
        <v>10.895</v>
      </c>
      <c r="AC3257" s="8">
        <v>0.67500000000000004</v>
      </c>
    </row>
    <row r="3258" spans="1:29" ht="11.65" hidden="1" x14ac:dyDescent="0.35">
      <c r="A3258" s="12">
        <v>3241</v>
      </c>
      <c r="B3258" s="10" t="s">
        <v>1015</v>
      </c>
      <c r="C3258" s="18" t="s">
        <v>1241</v>
      </c>
      <c r="D3258" s="9"/>
      <c r="E3258" s="9">
        <v>643</v>
      </c>
      <c r="F3258" s="10" t="s">
        <v>1066</v>
      </c>
      <c r="G3258" s="9">
        <v>923</v>
      </c>
      <c r="H3258" s="9">
        <v>1950</v>
      </c>
      <c r="I3258" s="8">
        <v>5457.85</v>
      </c>
      <c r="J3258" s="8">
        <v>3448.5360000000001</v>
      </c>
      <c r="K3258" s="8">
        <v>6255.6869999999999</v>
      </c>
      <c r="L3258" s="8">
        <v>5169.0420000000004</v>
      </c>
      <c r="M3258" s="8">
        <v>6403.152</v>
      </c>
      <c r="N3258" s="8">
        <v>4814.1040000000003</v>
      </c>
      <c r="O3258" s="8">
        <v>3695.944</v>
      </c>
      <c r="P3258" s="8">
        <v>4673.8459999999995</v>
      </c>
      <c r="Q3258" s="8">
        <v>4166.71</v>
      </c>
      <c r="R3258" s="8">
        <v>3668.9250000000002</v>
      </c>
      <c r="S3258" s="8">
        <v>2854.212</v>
      </c>
      <c r="T3258" s="8">
        <v>2306.6669999999999</v>
      </c>
      <c r="U3258" s="8">
        <v>1928.2819999999999</v>
      </c>
      <c r="V3258" s="8">
        <v>1470.258</v>
      </c>
      <c r="W3258" s="8">
        <v>940.70799999999997</v>
      </c>
      <c r="X3258" s="8">
        <v>561.08399999999995</v>
      </c>
      <c r="Y3258" s="8">
        <v>254.333</v>
      </c>
      <c r="Z3258" s="8">
        <v>103.803</v>
      </c>
      <c r="AA3258" s="8">
        <v>33.561999999999998</v>
      </c>
      <c r="AB3258" s="8">
        <v>11.574</v>
      </c>
      <c r="AC3258" s="8">
        <v>4.585</v>
      </c>
    </row>
    <row r="3259" spans="1:29" ht="11.65" hidden="1" x14ac:dyDescent="0.35">
      <c r="A3259" s="12">
        <v>3242</v>
      </c>
      <c r="B3259" s="10" t="s">
        <v>1015</v>
      </c>
      <c r="C3259" s="18" t="s">
        <v>1241</v>
      </c>
      <c r="D3259" s="9"/>
      <c r="E3259" s="9">
        <v>643</v>
      </c>
      <c r="F3259" s="10" t="s">
        <v>1066</v>
      </c>
      <c r="G3259" s="9">
        <v>923</v>
      </c>
      <c r="H3259" s="9">
        <v>1955</v>
      </c>
      <c r="I3259" s="8">
        <v>6315.93</v>
      </c>
      <c r="J3259" s="8">
        <v>5244.1909999999998</v>
      </c>
      <c r="K3259" s="8">
        <v>3422.8739999999998</v>
      </c>
      <c r="L3259" s="8">
        <v>6280.95</v>
      </c>
      <c r="M3259" s="8">
        <v>5060.22</v>
      </c>
      <c r="N3259" s="8">
        <v>6215.4830000000002</v>
      </c>
      <c r="O3259" s="8">
        <v>4688.0540000000001</v>
      </c>
      <c r="P3259" s="8">
        <v>3611.4290000000001</v>
      </c>
      <c r="Q3259" s="8">
        <v>4580.558</v>
      </c>
      <c r="R3259" s="8">
        <v>4070.3110000000001</v>
      </c>
      <c r="S3259" s="8">
        <v>3563.6190000000001</v>
      </c>
      <c r="T3259" s="8">
        <v>2738.1239999999998</v>
      </c>
      <c r="U3259" s="8">
        <v>2161.8890000000001</v>
      </c>
      <c r="V3259" s="8">
        <v>1736.7909999999999</v>
      </c>
      <c r="W3259" s="8">
        <v>1238.019</v>
      </c>
      <c r="X3259" s="8">
        <v>700.64300000000003</v>
      </c>
      <c r="Y3259" s="8">
        <v>402.51799999999997</v>
      </c>
      <c r="Z3259" s="8">
        <v>119.548</v>
      </c>
      <c r="AA3259" s="8">
        <v>33.89</v>
      </c>
      <c r="AB3259" s="8">
        <v>6.7530000000000001</v>
      </c>
      <c r="AC3259" s="8">
        <v>1.782</v>
      </c>
    </row>
    <row r="3260" spans="1:29" ht="11.65" hidden="1" x14ac:dyDescent="0.35">
      <c r="A3260" s="12">
        <v>3243</v>
      </c>
      <c r="B3260" s="10" t="s">
        <v>1015</v>
      </c>
      <c r="C3260" s="18" t="s">
        <v>1241</v>
      </c>
      <c r="D3260" s="9"/>
      <c r="E3260" s="9">
        <v>643</v>
      </c>
      <c r="F3260" s="10" t="s">
        <v>1066</v>
      </c>
      <c r="G3260" s="9">
        <v>923</v>
      </c>
      <c r="H3260" s="9">
        <v>1960</v>
      </c>
      <c r="I3260" s="8">
        <v>6509.5529999999999</v>
      </c>
      <c r="J3260" s="8">
        <v>6172.5590000000002</v>
      </c>
      <c r="K3260" s="8">
        <v>5188.1580000000004</v>
      </c>
      <c r="L3260" s="8">
        <v>3418.6060000000002</v>
      </c>
      <c r="M3260" s="8">
        <v>6150.9719999999998</v>
      </c>
      <c r="N3260" s="8">
        <v>4923.6109999999999</v>
      </c>
      <c r="O3260" s="8">
        <v>6145.0029999999997</v>
      </c>
      <c r="P3260" s="8">
        <v>4557.7870000000003</v>
      </c>
      <c r="Q3260" s="8">
        <v>3449.8580000000002</v>
      </c>
      <c r="R3260" s="8">
        <v>4581.3919999999998</v>
      </c>
      <c r="S3260" s="8">
        <v>3956.627</v>
      </c>
      <c r="T3260" s="8">
        <v>3443.2660000000001</v>
      </c>
      <c r="U3260" s="8">
        <v>2559.3159999999998</v>
      </c>
      <c r="V3260" s="8">
        <v>1952.2670000000001</v>
      </c>
      <c r="W3260" s="8">
        <v>1477.7619999999999</v>
      </c>
      <c r="X3260" s="8">
        <v>955.62599999999998</v>
      </c>
      <c r="Y3260" s="8">
        <v>499.09399999999999</v>
      </c>
      <c r="Z3260" s="8">
        <v>194.00200000000001</v>
      </c>
      <c r="AA3260" s="8">
        <v>40.396000000000001</v>
      </c>
      <c r="AB3260" s="8">
        <v>7.1029999999999998</v>
      </c>
      <c r="AC3260" s="8">
        <v>0.98099999999999998</v>
      </c>
    </row>
    <row r="3261" spans="1:29" ht="11.65" hidden="1" x14ac:dyDescent="0.35">
      <c r="A3261" s="12">
        <v>3244</v>
      </c>
      <c r="B3261" s="10" t="s">
        <v>1015</v>
      </c>
      <c r="C3261" s="18" t="s">
        <v>1241</v>
      </c>
      <c r="D3261" s="9"/>
      <c r="E3261" s="9">
        <v>643</v>
      </c>
      <c r="F3261" s="10" t="s">
        <v>1066</v>
      </c>
      <c r="G3261" s="9">
        <v>923</v>
      </c>
      <c r="H3261" s="9">
        <v>1965</v>
      </c>
      <c r="I3261" s="8">
        <v>5686.7870000000003</v>
      </c>
      <c r="J3261" s="8">
        <v>6489.1149999999998</v>
      </c>
      <c r="K3261" s="8">
        <v>6067.9489999999996</v>
      </c>
      <c r="L3261" s="8">
        <v>5105.348</v>
      </c>
      <c r="M3261" s="8">
        <v>3371.058</v>
      </c>
      <c r="N3261" s="8">
        <v>6060.9080000000004</v>
      </c>
      <c r="O3261" s="8">
        <v>4798.0150000000003</v>
      </c>
      <c r="P3261" s="8">
        <v>6044.1970000000001</v>
      </c>
      <c r="Q3261" s="8">
        <v>4482.0940000000001</v>
      </c>
      <c r="R3261" s="8">
        <v>3358.2869999999998</v>
      </c>
      <c r="S3261" s="8">
        <v>4526.4989999999998</v>
      </c>
      <c r="T3261" s="8">
        <v>3877.3380000000002</v>
      </c>
      <c r="U3261" s="8">
        <v>3266.9490000000001</v>
      </c>
      <c r="V3261" s="8">
        <v>2321.7550000000001</v>
      </c>
      <c r="W3261" s="8">
        <v>1634.8710000000001</v>
      </c>
      <c r="X3261" s="8">
        <v>1132.635</v>
      </c>
      <c r="Y3261" s="8">
        <v>635.928</v>
      </c>
      <c r="Z3261" s="8">
        <v>242.36199999999999</v>
      </c>
      <c r="AA3261" s="8">
        <v>66.031000000000006</v>
      </c>
      <c r="AB3261" s="8">
        <v>8.5</v>
      </c>
      <c r="AC3261" s="8">
        <v>0.92800000000000005</v>
      </c>
    </row>
    <row r="3262" spans="1:29" ht="11.65" hidden="1" x14ac:dyDescent="0.35">
      <c r="A3262" s="12">
        <v>3245</v>
      </c>
      <c r="B3262" s="10" t="s">
        <v>1015</v>
      </c>
      <c r="C3262" s="18" t="s">
        <v>1241</v>
      </c>
      <c r="D3262" s="9"/>
      <c r="E3262" s="9">
        <v>643</v>
      </c>
      <c r="F3262" s="10" t="s">
        <v>1066</v>
      </c>
      <c r="G3262" s="9">
        <v>923</v>
      </c>
      <c r="H3262" s="9">
        <v>1970</v>
      </c>
      <c r="I3262" s="8">
        <v>4636.0330000000004</v>
      </c>
      <c r="J3262" s="8">
        <v>5738.4059999999999</v>
      </c>
      <c r="K3262" s="8">
        <v>6398.88</v>
      </c>
      <c r="L3262" s="8">
        <v>5935.8109999999997</v>
      </c>
      <c r="M3262" s="8">
        <v>5019.16</v>
      </c>
      <c r="N3262" s="8">
        <v>3311.09</v>
      </c>
      <c r="O3262" s="8">
        <v>5941.2039999999997</v>
      </c>
      <c r="P3262" s="8">
        <v>4598.6490000000003</v>
      </c>
      <c r="Q3262" s="8">
        <v>5862.8280000000004</v>
      </c>
      <c r="R3262" s="8">
        <v>4498.3190000000004</v>
      </c>
      <c r="S3262" s="8">
        <v>3267.3009999999999</v>
      </c>
      <c r="T3262" s="8">
        <v>4451.0200000000004</v>
      </c>
      <c r="U3262" s="8">
        <v>3761.2579999999998</v>
      </c>
      <c r="V3262" s="8">
        <v>2987.2719999999999</v>
      </c>
      <c r="W3262" s="8">
        <v>1955.7629999999999</v>
      </c>
      <c r="X3262" s="8">
        <v>1177.673</v>
      </c>
      <c r="Y3262" s="8">
        <v>794.298</v>
      </c>
      <c r="Z3262" s="8">
        <v>310.28800000000001</v>
      </c>
      <c r="AA3262" s="8">
        <v>83.034000000000006</v>
      </c>
      <c r="AB3262" s="8">
        <v>14.005000000000001</v>
      </c>
      <c r="AC3262" s="8">
        <v>1.091</v>
      </c>
    </row>
    <row r="3263" spans="1:29" ht="11.65" hidden="1" x14ac:dyDescent="0.35">
      <c r="A3263" s="12">
        <v>3246</v>
      </c>
      <c r="B3263" s="10" t="s">
        <v>1015</v>
      </c>
      <c r="C3263" s="18" t="s">
        <v>1241</v>
      </c>
      <c r="D3263" s="9"/>
      <c r="E3263" s="9">
        <v>643</v>
      </c>
      <c r="F3263" s="10" t="s">
        <v>1066</v>
      </c>
      <c r="G3263" s="9">
        <v>923</v>
      </c>
      <c r="H3263" s="9">
        <v>1975</v>
      </c>
      <c r="I3263" s="8">
        <v>4946.6329999999998</v>
      </c>
      <c r="J3263" s="8">
        <v>4603.3810000000003</v>
      </c>
      <c r="K3263" s="8">
        <v>5643.5540000000001</v>
      </c>
      <c r="L3263" s="8">
        <v>6280.75</v>
      </c>
      <c r="M3263" s="8">
        <v>5895.6530000000002</v>
      </c>
      <c r="N3263" s="8">
        <v>4980.4319999999998</v>
      </c>
      <c r="O3263" s="8">
        <v>3287.5360000000001</v>
      </c>
      <c r="P3263" s="8">
        <v>5895.1360000000004</v>
      </c>
      <c r="Q3263" s="8">
        <v>4532.5</v>
      </c>
      <c r="R3263" s="8">
        <v>5745.9870000000001</v>
      </c>
      <c r="S3263" s="8">
        <v>4458.3540000000003</v>
      </c>
      <c r="T3263" s="8">
        <v>3191.5639999999999</v>
      </c>
      <c r="U3263" s="8">
        <v>4193.8329999999996</v>
      </c>
      <c r="V3263" s="8">
        <v>3471.143</v>
      </c>
      <c r="W3263" s="8">
        <v>2582.2739999999999</v>
      </c>
      <c r="X3263" s="8">
        <v>1469.365</v>
      </c>
      <c r="Y3263" s="8">
        <v>790.17399999999998</v>
      </c>
      <c r="Z3263" s="8">
        <v>388.23</v>
      </c>
      <c r="AA3263" s="8">
        <v>106.907</v>
      </c>
      <c r="AB3263" s="8">
        <v>17.817</v>
      </c>
      <c r="AC3263" s="8">
        <v>1.778</v>
      </c>
    </row>
    <row r="3264" spans="1:29" ht="11.65" hidden="1" x14ac:dyDescent="0.35">
      <c r="A3264" s="12">
        <v>3247</v>
      </c>
      <c r="B3264" s="10" t="s">
        <v>1015</v>
      </c>
      <c r="C3264" s="18" t="s">
        <v>1241</v>
      </c>
      <c r="D3264" s="9"/>
      <c r="E3264" s="9">
        <v>643</v>
      </c>
      <c r="F3264" s="10" t="s">
        <v>1066</v>
      </c>
      <c r="G3264" s="9">
        <v>923</v>
      </c>
      <c r="H3264" s="9">
        <v>1980</v>
      </c>
      <c r="I3264" s="8">
        <v>5182.0119999999997</v>
      </c>
      <c r="J3264" s="8">
        <v>4906.8789999999999</v>
      </c>
      <c r="K3264" s="8">
        <v>4579.8280000000004</v>
      </c>
      <c r="L3264" s="8">
        <v>5675.4610000000002</v>
      </c>
      <c r="M3264" s="8">
        <v>6310.5709999999999</v>
      </c>
      <c r="N3264" s="8">
        <v>5885.0529999999999</v>
      </c>
      <c r="O3264" s="8">
        <v>4955.8810000000003</v>
      </c>
      <c r="P3264" s="8">
        <v>3265.509</v>
      </c>
      <c r="Q3264" s="8">
        <v>5826.6530000000002</v>
      </c>
      <c r="R3264" s="8">
        <v>4458.8069999999998</v>
      </c>
      <c r="S3264" s="8">
        <v>5609.777</v>
      </c>
      <c r="T3264" s="8">
        <v>4286.9560000000001</v>
      </c>
      <c r="U3264" s="8">
        <v>3025.5880000000002</v>
      </c>
      <c r="V3264" s="8">
        <v>3843.5630000000001</v>
      </c>
      <c r="W3264" s="8">
        <v>3012.9110000000001</v>
      </c>
      <c r="X3264" s="8">
        <v>2011.87</v>
      </c>
      <c r="Y3264" s="8">
        <v>933.95699999999999</v>
      </c>
      <c r="Z3264" s="8">
        <v>402.00099999999998</v>
      </c>
      <c r="AA3264" s="8">
        <v>150.84299999999999</v>
      </c>
      <c r="AB3264" s="8">
        <v>28.483000000000001</v>
      </c>
      <c r="AC3264" s="8">
        <v>3.1419999999999999</v>
      </c>
    </row>
    <row r="3265" spans="1:29" ht="11.65" hidden="1" x14ac:dyDescent="0.35">
      <c r="A3265" s="12">
        <v>3248</v>
      </c>
      <c r="B3265" s="10" t="s">
        <v>1015</v>
      </c>
      <c r="C3265" s="18" t="s">
        <v>1241</v>
      </c>
      <c r="D3265" s="9"/>
      <c r="E3265" s="9">
        <v>643</v>
      </c>
      <c r="F3265" s="10" t="s">
        <v>1066</v>
      </c>
      <c r="G3265" s="9">
        <v>923</v>
      </c>
      <c r="H3265" s="9">
        <v>1985</v>
      </c>
      <c r="I3265" s="8">
        <v>5701.0290000000005</v>
      </c>
      <c r="J3265" s="8">
        <v>5212.0249999999996</v>
      </c>
      <c r="K3265" s="8">
        <v>4911.9250000000002</v>
      </c>
      <c r="L3265" s="8">
        <v>4598.8810000000003</v>
      </c>
      <c r="M3265" s="8">
        <v>5804.6880000000001</v>
      </c>
      <c r="N3265" s="8">
        <v>6394.0630000000001</v>
      </c>
      <c r="O3265" s="8">
        <v>5896.3819999999996</v>
      </c>
      <c r="P3265" s="8">
        <v>4915.8370000000004</v>
      </c>
      <c r="Q3265" s="8">
        <v>3228.4679999999998</v>
      </c>
      <c r="R3265" s="8">
        <v>5727.0770000000002</v>
      </c>
      <c r="S3265" s="8">
        <v>4344.9279999999999</v>
      </c>
      <c r="T3265" s="8">
        <v>5408.8029999999999</v>
      </c>
      <c r="U3265" s="8">
        <v>4042.4270000000001</v>
      </c>
      <c r="V3265" s="8">
        <v>2764.8440000000001</v>
      </c>
      <c r="W3265" s="8">
        <v>3317.4560000000001</v>
      </c>
      <c r="X3265" s="8">
        <v>2349.5279999999998</v>
      </c>
      <c r="Y3265" s="8">
        <v>1303.9739999999999</v>
      </c>
      <c r="Z3265" s="8">
        <v>468.52</v>
      </c>
      <c r="AA3265" s="8">
        <v>152.90100000000001</v>
      </c>
      <c r="AB3265" s="8">
        <v>38.677999999999997</v>
      </c>
      <c r="AC3265" s="8">
        <v>4.8010000000000002</v>
      </c>
    </row>
    <row r="3266" spans="1:29" ht="11.65" hidden="1" x14ac:dyDescent="0.35">
      <c r="A3266" s="12">
        <v>3249</v>
      </c>
      <c r="B3266" s="10" t="s">
        <v>1015</v>
      </c>
      <c r="C3266" s="18" t="s">
        <v>1241</v>
      </c>
      <c r="D3266" s="9"/>
      <c r="E3266" s="9">
        <v>643</v>
      </c>
      <c r="F3266" s="10" t="s">
        <v>1066</v>
      </c>
      <c r="G3266" s="9">
        <v>923</v>
      </c>
      <c r="H3266" s="9">
        <v>1990</v>
      </c>
      <c r="I3266" s="8">
        <v>5638.04</v>
      </c>
      <c r="J3266" s="8">
        <v>5712.2290000000003</v>
      </c>
      <c r="K3266" s="8">
        <v>5246.4849999999997</v>
      </c>
      <c r="L3266" s="8">
        <v>4972.6409999999996</v>
      </c>
      <c r="M3266" s="8">
        <v>4635.2110000000002</v>
      </c>
      <c r="N3266" s="8">
        <v>5805.5</v>
      </c>
      <c r="O3266" s="8">
        <v>6393.03</v>
      </c>
      <c r="P3266" s="8">
        <v>5868.3059999999996</v>
      </c>
      <c r="Q3266" s="8">
        <v>4867.4930000000004</v>
      </c>
      <c r="R3266" s="8">
        <v>3161.364</v>
      </c>
      <c r="S3266" s="8">
        <v>5589.5919999999996</v>
      </c>
      <c r="T3266" s="8">
        <v>4228.2449999999999</v>
      </c>
      <c r="U3266" s="8">
        <v>5134.6040000000003</v>
      </c>
      <c r="V3266" s="8">
        <v>3687.9409999999998</v>
      </c>
      <c r="W3266" s="8">
        <v>2375.3119999999999</v>
      </c>
      <c r="X3266" s="8">
        <v>2633.4850000000001</v>
      </c>
      <c r="Y3266" s="8">
        <v>1651.251</v>
      </c>
      <c r="Z3266" s="8">
        <v>656.29100000000005</v>
      </c>
      <c r="AA3266" s="8">
        <v>171.55799999999999</v>
      </c>
      <c r="AB3266" s="8">
        <v>36.176000000000002</v>
      </c>
      <c r="AC3266" s="8">
        <v>5.8179999999999996</v>
      </c>
    </row>
    <row r="3267" spans="1:29" ht="11.65" hidden="1" x14ac:dyDescent="0.35">
      <c r="A3267" s="12">
        <v>3250</v>
      </c>
      <c r="B3267" s="10" t="s">
        <v>1015</v>
      </c>
      <c r="C3267" s="18" t="s">
        <v>1241</v>
      </c>
      <c r="D3267" s="9"/>
      <c r="E3267" s="9">
        <v>643</v>
      </c>
      <c r="F3267" s="10" t="s">
        <v>1066</v>
      </c>
      <c r="G3267" s="9">
        <v>923</v>
      </c>
      <c r="H3267" s="9">
        <v>1995</v>
      </c>
      <c r="I3267" s="8">
        <v>3919.3919999999998</v>
      </c>
      <c r="J3267" s="8">
        <v>5767.7560000000003</v>
      </c>
      <c r="K3267" s="8">
        <v>5814.4840000000004</v>
      </c>
      <c r="L3267" s="8">
        <v>5294.567</v>
      </c>
      <c r="M3267" s="8">
        <v>5034.723</v>
      </c>
      <c r="N3267" s="8">
        <v>4733.933</v>
      </c>
      <c r="O3267" s="8">
        <v>5880.9179999999997</v>
      </c>
      <c r="P3267" s="8">
        <v>6435.5870000000004</v>
      </c>
      <c r="Q3267" s="8">
        <v>5861.8609999999999</v>
      </c>
      <c r="R3267" s="8">
        <v>4820.0839999999998</v>
      </c>
      <c r="S3267" s="8">
        <v>3111.739</v>
      </c>
      <c r="T3267" s="8">
        <v>5388.5820000000003</v>
      </c>
      <c r="U3267" s="8">
        <v>4009.8890000000001</v>
      </c>
      <c r="V3267" s="8">
        <v>4695.884</v>
      </c>
      <c r="W3267" s="8">
        <v>3148.9850000000001</v>
      </c>
      <c r="X3267" s="8">
        <v>1880.874</v>
      </c>
      <c r="Y3267" s="8">
        <v>1812.4659999999999</v>
      </c>
      <c r="Z3267" s="8">
        <v>818.85599999999999</v>
      </c>
      <c r="AA3267" s="8">
        <v>226.40700000000001</v>
      </c>
      <c r="AB3267" s="8">
        <v>36.067999999999998</v>
      </c>
      <c r="AC3267" s="8">
        <v>4.7190000000000003</v>
      </c>
    </row>
    <row r="3268" spans="1:29" ht="11.65" hidden="1" x14ac:dyDescent="0.35">
      <c r="A3268" s="12">
        <v>3251</v>
      </c>
      <c r="B3268" s="10" t="s">
        <v>1015</v>
      </c>
      <c r="C3268" s="18" t="s">
        <v>1241</v>
      </c>
      <c r="D3268" s="9"/>
      <c r="E3268" s="9">
        <v>643</v>
      </c>
      <c r="F3268" s="10" t="s">
        <v>1066</v>
      </c>
      <c r="G3268" s="9">
        <v>923</v>
      </c>
      <c r="H3268" s="9">
        <v>2000</v>
      </c>
      <c r="I3268" s="8">
        <v>3137.2849999999999</v>
      </c>
      <c r="J3268" s="8">
        <v>3992.4070000000002</v>
      </c>
      <c r="K3268" s="8">
        <v>5916.0450000000001</v>
      </c>
      <c r="L3268" s="8">
        <v>5959.5870000000004</v>
      </c>
      <c r="M3268" s="8">
        <v>5386.915</v>
      </c>
      <c r="N3268" s="8">
        <v>5123.2510000000002</v>
      </c>
      <c r="O3268" s="8">
        <v>4828.357</v>
      </c>
      <c r="P3268" s="8">
        <v>5924.2219999999998</v>
      </c>
      <c r="Q3268" s="8">
        <v>6424.5519999999997</v>
      </c>
      <c r="R3268" s="8">
        <v>5809.6869999999999</v>
      </c>
      <c r="S3268" s="8">
        <v>4736.2529999999997</v>
      </c>
      <c r="T3268" s="8">
        <v>3060.549</v>
      </c>
      <c r="U3268" s="8">
        <v>5113.0010000000002</v>
      </c>
      <c r="V3268" s="8">
        <v>3665.4430000000002</v>
      </c>
      <c r="W3268" s="8">
        <v>4037.48</v>
      </c>
      <c r="X3268" s="8">
        <v>2401.9090000000001</v>
      </c>
      <c r="Y3268" s="8">
        <v>1190.49</v>
      </c>
      <c r="Z3268" s="8">
        <v>879.58900000000006</v>
      </c>
      <c r="AA3268" s="8">
        <v>267.25900000000001</v>
      </c>
      <c r="AB3268" s="8">
        <v>43.273000000000003</v>
      </c>
      <c r="AC3268" s="8">
        <v>4.0250000000000004</v>
      </c>
    </row>
    <row r="3269" spans="1:29" ht="11.65" hidden="1" x14ac:dyDescent="0.35">
      <c r="A3269" s="12">
        <v>3252</v>
      </c>
      <c r="B3269" s="10" t="s">
        <v>1015</v>
      </c>
      <c r="C3269" s="18" t="s">
        <v>1241</v>
      </c>
      <c r="D3269" s="9"/>
      <c r="E3269" s="9">
        <v>643</v>
      </c>
      <c r="F3269" s="10" t="s">
        <v>1066</v>
      </c>
      <c r="G3269" s="9">
        <v>923</v>
      </c>
      <c r="H3269" s="9">
        <v>2005</v>
      </c>
      <c r="I3269" s="8">
        <v>3387.1489999999999</v>
      </c>
      <c r="J3269" s="8">
        <v>3178.614</v>
      </c>
      <c r="K3269" s="8">
        <v>4061.0320000000002</v>
      </c>
      <c r="L3269" s="8">
        <v>5972.1490000000003</v>
      </c>
      <c r="M3269" s="8">
        <v>6040.0640000000003</v>
      </c>
      <c r="N3269" s="8">
        <v>5456.8249999999998</v>
      </c>
      <c r="O3269" s="8">
        <v>5142.3959999999997</v>
      </c>
      <c r="P3269" s="8">
        <v>4840.0479999999998</v>
      </c>
      <c r="Q3269" s="8">
        <v>5886.3909999999996</v>
      </c>
      <c r="R3269" s="8">
        <v>6320.2110000000002</v>
      </c>
      <c r="S3269" s="8">
        <v>5675.9709999999995</v>
      </c>
      <c r="T3269" s="8">
        <v>4565.83</v>
      </c>
      <c r="U3269" s="8">
        <v>2871.9740000000002</v>
      </c>
      <c r="V3269" s="8">
        <v>4721.8410000000003</v>
      </c>
      <c r="W3269" s="8">
        <v>3128.277</v>
      </c>
      <c r="X3269" s="8">
        <v>3112.3519999999999</v>
      </c>
      <c r="Y3269" s="8">
        <v>1545.1089999999999</v>
      </c>
      <c r="Z3269" s="8">
        <v>576.06500000000005</v>
      </c>
      <c r="AA3269" s="8">
        <v>283.923</v>
      </c>
      <c r="AB3269" s="8">
        <v>50.097999999999999</v>
      </c>
      <c r="AC3269" s="8">
        <v>4.5439999999999996</v>
      </c>
    </row>
    <row r="3270" spans="1:29" ht="11.65" hidden="1" x14ac:dyDescent="0.35">
      <c r="A3270" s="12">
        <v>3253</v>
      </c>
      <c r="B3270" s="10" t="s">
        <v>1015</v>
      </c>
      <c r="C3270" s="18" t="s">
        <v>1241</v>
      </c>
      <c r="D3270" s="9"/>
      <c r="E3270" s="9">
        <v>643</v>
      </c>
      <c r="F3270" s="10" t="s">
        <v>1066</v>
      </c>
      <c r="G3270" s="9">
        <v>923</v>
      </c>
      <c r="H3270" s="9">
        <v>2010</v>
      </c>
      <c r="I3270" s="8">
        <v>3930.9340000000002</v>
      </c>
      <c r="J3270" s="8">
        <v>3376.6149999999998</v>
      </c>
      <c r="K3270" s="8">
        <v>3138.2640000000001</v>
      </c>
      <c r="L3270" s="8">
        <v>4313.7839999999997</v>
      </c>
      <c r="M3270" s="8">
        <v>6168.8789999999999</v>
      </c>
      <c r="N3270" s="8">
        <v>5975.4790000000003</v>
      </c>
      <c r="O3270" s="8">
        <v>5471.8050000000003</v>
      </c>
      <c r="P3270" s="8">
        <v>5130.5879999999997</v>
      </c>
      <c r="Q3270" s="8">
        <v>4634.9939999999997</v>
      </c>
      <c r="R3270" s="8">
        <v>5988.5309999999999</v>
      </c>
      <c r="S3270" s="8">
        <v>6228.9889999999996</v>
      </c>
      <c r="T3270" s="8">
        <v>5704.63</v>
      </c>
      <c r="U3270" s="8">
        <v>4042.5140000000001</v>
      </c>
      <c r="V3270" s="8">
        <v>2891.3519999999999</v>
      </c>
      <c r="W3270" s="8">
        <v>4199.8810000000003</v>
      </c>
      <c r="X3270" s="8">
        <v>2500.5889999999999</v>
      </c>
      <c r="Y3270" s="8">
        <v>2179.7199999999998</v>
      </c>
      <c r="Z3270" s="8">
        <v>792.67100000000005</v>
      </c>
      <c r="AA3270" s="8">
        <v>202.429</v>
      </c>
      <c r="AB3270" s="8">
        <v>59.241999999999997</v>
      </c>
      <c r="AC3270" s="8">
        <v>5.8869999999999996</v>
      </c>
    </row>
    <row r="3271" spans="1:29" ht="11.65" hidden="1" x14ac:dyDescent="0.35">
      <c r="A3271" s="12">
        <v>3254</v>
      </c>
      <c r="B3271" s="10" t="s">
        <v>1015</v>
      </c>
      <c r="C3271" s="18" t="s">
        <v>1241</v>
      </c>
      <c r="D3271" s="9"/>
      <c r="E3271" s="9">
        <v>643</v>
      </c>
      <c r="F3271" s="10" t="s">
        <v>1066</v>
      </c>
      <c r="G3271" s="9">
        <v>923</v>
      </c>
      <c r="H3271" s="9">
        <v>2015</v>
      </c>
      <c r="I3271" s="8">
        <v>4529.4579999999996</v>
      </c>
      <c r="J3271" s="8">
        <v>3964.7269999999999</v>
      </c>
      <c r="K3271" s="8">
        <v>3430.0120000000002</v>
      </c>
      <c r="L3271" s="8">
        <v>3199.9229999999998</v>
      </c>
      <c r="M3271" s="8">
        <v>4375.1559999999999</v>
      </c>
      <c r="N3271" s="8">
        <v>6223.9859999999999</v>
      </c>
      <c r="O3271" s="8">
        <v>6022.56</v>
      </c>
      <c r="P3271" s="8">
        <v>5506.9350000000004</v>
      </c>
      <c r="Q3271" s="8">
        <v>5142.4470000000001</v>
      </c>
      <c r="R3271" s="8">
        <v>4612.2269999999999</v>
      </c>
      <c r="S3271" s="8">
        <v>5894.9639999999999</v>
      </c>
      <c r="T3271" s="8">
        <v>6077.4489999999996</v>
      </c>
      <c r="U3271" s="8">
        <v>5500.0609999999997</v>
      </c>
      <c r="V3271" s="8">
        <v>3832.5230000000001</v>
      </c>
      <c r="W3271" s="8">
        <v>2636.2710000000002</v>
      </c>
      <c r="X3271" s="8">
        <v>3497.1619999999998</v>
      </c>
      <c r="Y3271" s="8">
        <v>1792.8140000000001</v>
      </c>
      <c r="Z3271" s="8">
        <v>1213.4269999999999</v>
      </c>
      <c r="AA3271" s="8">
        <v>307.29500000000002</v>
      </c>
      <c r="AB3271" s="8">
        <v>46.924999999999997</v>
      </c>
      <c r="AC3271" s="8">
        <v>7.3819999999999997</v>
      </c>
    </row>
    <row r="3272" spans="1:29" ht="11.65" hidden="1" x14ac:dyDescent="0.35">
      <c r="A3272" s="12">
        <v>3255</v>
      </c>
      <c r="B3272" s="10" t="s">
        <v>1015</v>
      </c>
      <c r="C3272" s="18" t="s">
        <v>1241</v>
      </c>
      <c r="D3272" s="9"/>
      <c r="E3272" s="9">
        <v>643</v>
      </c>
      <c r="F3272" s="10" t="s">
        <v>1066</v>
      </c>
      <c r="G3272" s="9">
        <v>923</v>
      </c>
      <c r="H3272" s="9">
        <v>2020</v>
      </c>
      <c r="I3272" s="8">
        <v>4508.8649999999998</v>
      </c>
      <c r="J3272" s="8">
        <v>4548.68</v>
      </c>
      <c r="K3272" s="8">
        <v>3988.1590000000001</v>
      </c>
      <c r="L3272" s="8">
        <v>3460.8249999999998</v>
      </c>
      <c r="M3272" s="8">
        <v>3240.7629999999999</v>
      </c>
      <c r="N3272" s="8">
        <v>4417.2479999999996</v>
      </c>
      <c r="O3272" s="8">
        <v>6243.12</v>
      </c>
      <c r="P3272" s="8">
        <v>6013.65</v>
      </c>
      <c r="Q3272" s="8">
        <v>5476.6909999999998</v>
      </c>
      <c r="R3272" s="8">
        <v>5095.8770000000004</v>
      </c>
      <c r="S3272" s="8">
        <v>4550.6639999999998</v>
      </c>
      <c r="T3272" s="8">
        <v>5757.1210000000001</v>
      </c>
      <c r="U3272" s="8">
        <v>5848.3410000000003</v>
      </c>
      <c r="V3272" s="8">
        <v>5171.8530000000001</v>
      </c>
      <c r="W3272" s="8">
        <v>3467.8429999999998</v>
      </c>
      <c r="X3272" s="8">
        <v>2222.1350000000002</v>
      </c>
      <c r="Y3272" s="8">
        <v>2565.34</v>
      </c>
      <c r="Z3272" s="8">
        <v>1070.6859999999999</v>
      </c>
      <c r="AA3272" s="8">
        <v>546.47799999999995</v>
      </c>
      <c r="AB3272" s="8">
        <v>91.201999999999998</v>
      </c>
      <c r="AC3272" s="8">
        <v>8.6199999999999992</v>
      </c>
    </row>
    <row r="3273" spans="1:29" ht="11.65" hidden="1" x14ac:dyDescent="0.35">
      <c r="A3273" s="12">
        <v>3256</v>
      </c>
      <c r="B3273" s="10" t="s">
        <v>1015</v>
      </c>
      <c r="C3273" s="18" t="s">
        <v>1242</v>
      </c>
      <c r="D3273" s="9"/>
      <c r="E3273" s="9">
        <v>703</v>
      </c>
      <c r="F3273" s="10" t="s">
        <v>1066</v>
      </c>
      <c r="G3273" s="9">
        <v>923</v>
      </c>
      <c r="H3273" s="9">
        <v>1950</v>
      </c>
      <c r="I3273" s="8">
        <v>183.21100000000001</v>
      </c>
      <c r="J3273" s="8">
        <v>158.58699999999999</v>
      </c>
      <c r="K3273" s="8">
        <v>148.72499999999999</v>
      </c>
      <c r="L3273" s="8">
        <v>153.94900000000001</v>
      </c>
      <c r="M3273" s="8">
        <v>152.95699999999999</v>
      </c>
      <c r="N3273" s="8">
        <v>156.227</v>
      </c>
      <c r="O3273" s="8">
        <v>87.263000000000005</v>
      </c>
      <c r="P3273" s="8">
        <v>129.65799999999999</v>
      </c>
      <c r="Q3273" s="8">
        <v>124.569</v>
      </c>
      <c r="R3273" s="8">
        <v>113.212</v>
      </c>
      <c r="S3273" s="8">
        <v>97.278000000000006</v>
      </c>
      <c r="T3273" s="8">
        <v>72.180000000000007</v>
      </c>
      <c r="U3273" s="8">
        <v>63.649000000000001</v>
      </c>
      <c r="V3273" s="8">
        <v>49.688000000000002</v>
      </c>
      <c r="W3273" s="8">
        <v>36.817999999999998</v>
      </c>
      <c r="X3273" s="8">
        <v>25.8</v>
      </c>
      <c r="Y3273" s="8">
        <v>11.686</v>
      </c>
      <c r="Z3273" s="8">
        <v>4.2329999999999997</v>
      </c>
      <c r="AA3273" s="8">
        <v>0.85</v>
      </c>
      <c r="AB3273" s="8">
        <v>0.125</v>
      </c>
      <c r="AC3273" s="8">
        <v>1.0999999999999999E-2</v>
      </c>
    </row>
    <row r="3274" spans="1:29" ht="11.65" hidden="1" x14ac:dyDescent="0.35">
      <c r="A3274" s="12">
        <v>3257</v>
      </c>
      <c r="B3274" s="10" t="s">
        <v>1015</v>
      </c>
      <c r="C3274" s="18" t="s">
        <v>1242</v>
      </c>
      <c r="D3274" s="9"/>
      <c r="E3274" s="9">
        <v>703</v>
      </c>
      <c r="F3274" s="10" t="s">
        <v>1066</v>
      </c>
      <c r="G3274" s="9">
        <v>923</v>
      </c>
      <c r="H3274" s="9">
        <v>1955</v>
      </c>
      <c r="I3274" s="8">
        <v>227.595</v>
      </c>
      <c r="J3274" s="8">
        <v>186.191</v>
      </c>
      <c r="K3274" s="8">
        <v>159.63</v>
      </c>
      <c r="L3274" s="8">
        <v>147.37799999999999</v>
      </c>
      <c r="M3274" s="8">
        <v>151.74299999999999</v>
      </c>
      <c r="N3274" s="8">
        <v>151.88</v>
      </c>
      <c r="O3274" s="8">
        <v>157.78899999999999</v>
      </c>
      <c r="P3274" s="8">
        <v>89.055000000000007</v>
      </c>
      <c r="Q3274" s="8">
        <v>127.068</v>
      </c>
      <c r="R3274" s="8">
        <v>122.79</v>
      </c>
      <c r="S3274" s="8">
        <v>112.76</v>
      </c>
      <c r="T3274" s="8">
        <v>95.894000000000005</v>
      </c>
      <c r="U3274" s="8">
        <v>69.331999999999994</v>
      </c>
      <c r="V3274" s="8">
        <v>57.015999999999998</v>
      </c>
      <c r="W3274" s="8">
        <v>41.223999999999997</v>
      </c>
      <c r="X3274" s="8">
        <v>26.454000000000001</v>
      </c>
      <c r="Y3274" s="8">
        <v>14.432</v>
      </c>
      <c r="Z3274" s="8">
        <v>4.5609999999999999</v>
      </c>
      <c r="AA3274" s="8">
        <v>1.046</v>
      </c>
      <c r="AB3274" s="8">
        <v>0.115</v>
      </c>
      <c r="AC3274" s="8">
        <v>8.9999999999999993E-3</v>
      </c>
    </row>
    <row r="3275" spans="1:29" ht="11.65" hidden="1" x14ac:dyDescent="0.35">
      <c r="A3275" s="12">
        <v>3258</v>
      </c>
      <c r="B3275" s="10" t="s">
        <v>1015</v>
      </c>
      <c r="C3275" s="18" t="s">
        <v>1242</v>
      </c>
      <c r="D3275" s="9"/>
      <c r="E3275" s="9">
        <v>703</v>
      </c>
      <c r="F3275" s="10" t="s">
        <v>1066</v>
      </c>
      <c r="G3275" s="9">
        <v>923</v>
      </c>
      <c r="H3275" s="9">
        <v>1960</v>
      </c>
      <c r="I3275" s="8">
        <v>223.20500000000001</v>
      </c>
      <c r="J3275" s="8">
        <v>227.501</v>
      </c>
      <c r="K3275" s="8">
        <v>187.352</v>
      </c>
      <c r="L3275" s="8">
        <v>160.167</v>
      </c>
      <c r="M3275" s="8">
        <v>143.971</v>
      </c>
      <c r="N3275" s="8">
        <v>149.27500000000001</v>
      </c>
      <c r="O3275" s="8">
        <v>150.80699999999999</v>
      </c>
      <c r="P3275" s="8">
        <v>157.62200000000001</v>
      </c>
      <c r="Q3275" s="8">
        <v>86.652000000000001</v>
      </c>
      <c r="R3275" s="8">
        <v>127.282</v>
      </c>
      <c r="S3275" s="8">
        <v>118.86199999999999</v>
      </c>
      <c r="T3275" s="8">
        <v>108.73</v>
      </c>
      <c r="U3275" s="8">
        <v>92.683000000000007</v>
      </c>
      <c r="V3275" s="8">
        <v>61.215000000000003</v>
      </c>
      <c r="W3275" s="8">
        <v>48.448</v>
      </c>
      <c r="X3275" s="8">
        <v>29.876000000000001</v>
      </c>
      <c r="Y3275" s="8">
        <v>15.683</v>
      </c>
      <c r="Z3275" s="8">
        <v>5.91</v>
      </c>
      <c r="AA3275" s="8">
        <v>1.1499999999999999</v>
      </c>
      <c r="AB3275" s="8">
        <v>0.13700000000000001</v>
      </c>
      <c r="AC3275" s="8">
        <v>8.0000000000000002E-3</v>
      </c>
    </row>
    <row r="3276" spans="1:29" ht="11.65" hidden="1" x14ac:dyDescent="0.35">
      <c r="A3276" s="12">
        <v>3259</v>
      </c>
      <c r="B3276" s="10" t="s">
        <v>1015</v>
      </c>
      <c r="C3276" s="18" t="s">
        <v>1242</v>
      </c>
      <c r="D3276" s="9"/>
      <c r="E3276" s="9">
        <v>703</v>
      </c>
      <c r="F3276" s="10" t="s">
        <v>1066</v>
      </c>
      <c r="G3276" s="9">
        <v>923</v>
      </c>
      <c r="H3276" s="9">
        <v>1965</v>
      </c>
      <c r="I3276" s="8">
        <v>205.27600000000001</v>
      </c>
      <c r="J3276" s="8">
        <v>220.43100000000001</v>
      </c>
      <c r="K3276" s="8">
        <v>227.31800000000001</v>
      </c>
      <c r="L3276" s="8">
        <v>184.447</v>
      </c>
      <c r="M3276" s="8">
        <v>156.41999999999999</v>
      </c>
      <c r="N3276" s="8">
        <v>141.15700000000001</v>
      </c>
      <c r="O3276" s="8">
        <v>147.84700000000001</v>
      </c>
      <c r="P3276" s="8">
        <v>149.16300000000001</v>
      </c>
      <c r="Q3276" s="8">
        <v>156.53200000000001</v>
      </c>
      <c r="R3276" s="8">
        <v>84.97</v>
      </c>
      <c r="S3276" s="8">
        <v>124.82299999999999</v>
      </c>
      <c r="T3276" s="8">
        <v>114.96899999999999</v>
      </c>
      <c r="U3276" s="8">
        <v>104.035</v>
      </c>
      <c r="V3276" s="8">
        <v>84.388999999999996</v>
      </c>
      <c r="W3276" s="8">
        <v>51.918999999999997</v>
      </c>
      <c r="X3276" s="8">
        <v>36.741999999999997</v>
      </c>
      <c r="Y3276" s="8">
        <v>17.47</v>
      </c>
      <c r="Z3276" s="8">
        <v>6.9080000000000004</v>
      </c>
      <c r="AA3276" s="8">
        <v>1.6339999999999999</v>
      </c>
      <c r="AB3276" s="8">
        <v>0.17299999999999999</v>
      </c>
      <c r="AC3276" s="8">
        <v>1.0999999999999999E-2</v>
      </c>
    </row>
    <row r="3277" spans="1:29" ht="11.65" hidden="1" x14ac:dyDescent="0.35">
      <c r="A3277" s="12">
        <v>3260</v>
      </c>
      <c r="B3277" s="10" t="s">
        <v>1015</v>
      </c>
      <c r="C3277" s="18" t="s">
        <v>1242</v>
      </c>
      <c r="D3277" s="9"/>
      <c r="E3277" s="9">
        <v>703</v>
      </c>
      <c r="F3277" s="10" t="s">
        <v>1066</v>
      </c>
      <c r="G3277" s="9">
        <v>923</v>
      </c>
      <c r="H3277" s="9">
        <v>1970</v>
      </c>
      <c r="I3277" s="8">
        <v>188.53399999999999</v>
      </c>
      <c r="J3277" s="8">
        <v>200.69800000000001</v>
      </c>
      <c r="K3277" s="8">
        <v>220.965</v>
      </c>
      <c r="L3277" s="8">
        <v>225.143</v>
      </c>
      <c r="M3277" s="8">
        <v>177.84200000000001</v>
      </c>
      <c r="N3277" s="8">
        <v>151.304</v>
      </c>
      <c r="O3277" s="8">
        <v>138.82599999999999</v>
      </c>
      <c r="P3277" s="8">
        <v>146.17500000000001</v>
      </c>
      <c r="Q3277" s="8">
        <v>146.18899999999999</v>
      </c>
      <c r="R3277" s="8">
        <v>154.898</v>
      </c>
      <c r="S3277" s="8">
        <v>82.432000000000002</v>
      </c>
      <c r="T3277" s="8">
        <v>120.801</v>
      </c>
      <c r="U3277" s="8">
        <v>108.526</v>
      </c>
      <c r="V3277" s="8">
        <v>95.570999999999998</v>
      </c>
      <c r="W3277" s="8">
        <v>71.227999999999994</v>
      </c>
      <c r="X3277" s="8">
        <v>38.938000000000002</v>
      </c>
      <c r="Y3277" s="8">
        <v>22.702999999999999</v>
      </c>
      <c r="Z3277" s="8">
        <v>7.0629999999999997</v>
      </c>
      <c r="AA3277" s="8">
        <v>1.877</v>
      </c>
      <c r="AB3277" s="8">
        <v>0.23699999999999999</v>
      </c>
      <c r="AC3277" s="8">
        <v>1.2E-2</v>
      </c>
    </row>
    <row r="3278" spans="1:29" ht="11.65" hidden="1" x14ac:dyDescent="0.35">
      <c r="A3278" s="12">
        <v>3261</v>
      </c>
      <c r="B3278" s="10" t="s">
        <v>1015</v>
      </c>
      <c r="C3278" s="18" t="s">
        <v>1242</v>
      </c>
      <c r="D3278" s="9"/>
      <c r="E3278" s="9">
        <v>703</v>
      </c>
      <c r="F3278" s="10" t="s">
        <v>1066</v>
      </c>
      <c r="G3278" s="9">
        <v>923</v>
      </c>
      <c r="H3278" s="9">
        <v>1975</v>
      </c>
      <c r="I3278" s="8">
        <v>215.142</v>
      </c>
      <c r="J3278" s="8">
        <v>187.935</v>
      </c>
      <c r="K3278" s="8">
        <v>199.84200000000001</v>
      </c>
      <c r="L3278" s="8">
        <v>218.89099999999999</v>
      </c>
      <c r="M3278" s="8">
        <v>220.42699999999999</v>
      </c>
      <c r="N3278" s="8">
        <v>176.17699999999999</v>
      </c>
      <c r="O3278" s="8">
        <v>151.226</v>
      </c>
      <c r="P3278" s="8">
        <v>137.233</v>
      </c>
      <c r="Q3278" s="8">
        <v>144.249</v>
      </c>
      <c r="R3278" s="8">
        <v>144.10499999999999</v>
      </c>
      <c r="S3278" s="8">
        <v>152.131</v>
      </c>
      <c r="T3278" s="8">
        <v>79.427999999999997</v>
      </c>
      <c r="U3278" s="8">
        <v>114.956</v>
      </c>
      <c r="V3278" s="8">
        <v>99.289000000000001</v>
      </c>
      <c r="W3278" s="8">
        <v>82.26</v>
      </c>
      <c r="X3278" s="8">
        <v>53.536000000000001</v>
      </c>
      <c r="Y3278" s="8">
        <v>23.716999999999999</v>
      </c>
      <c r="Z3278" s="8">
        <v>10.367000000000001</v>
      </c>
      <c r="AA3278" s="8">
        <v>1.9239999999999999</v>
      </c>
      <c r="AB3278" s="8">
        <v>0.28399999999999997</v>
      </c>
      <c r="AC3278" s="8">
        <v>1.7999999999999999E-2</v>
      </c>
    </row>
    <row r="3279" spans="1:29" ht="11.65" hidden="1" x14ac:dyDescent="0.35">
      <c r="A3279" s="12">
        <v>3262</v>
      </c>
      <c r="B3279" s="10" t="s">
        <v>1015</v>
      </c>
      <c r="C3279" s="18" t="s">
        <v>1242</v>
      </c>
      <c r="D3279" s="9"/>
      <c r="E3279" s="9">
        <v>703</v>
      </c>
      <c r="F3279" s="10" t="s">
        <v>1066</v>
      </c>
      <c r="G3279" s="9">
        <v>923</v>
      </c>
      <c r="H3279" s="9">
        <v>1980</v>
      </c>
      <c r="I3279" s="8">
        <v>237.53399999999999</v>
      </c>
      <c r="J3279" s="8">
        <v>215.803</v>
      </c>
      <c r="K3279" s="8">
        <v>186.595</v>
      </c>
      <c r="L3279" s="8">
        <v>199.17699999999999</v>
      </c>
      <c r="M3279" s="8">
        <v>216.76900000000001</v>
      </c>
      <c r="N3279" s="8">
        <v>217.12200000000001</v>
      </c>
      <c r="O3279" s="8">
        <v>173.726</v>
      </c>
      <c r="P3279" s="8">
        <v>150.00299999999999</v>
      </c>
      <c r="Q3279" s="8">
        <v>136.04599999999999</v>
      </c>
      <c r="R3279" s="8">
        <v>142.38900000000001</v>
      </c>
      <c r="S3279" s="8">
        <v>141.09700000000001</v>
      </c>
      <c r="T3279" s="8">
        <v>147.20699999999999</v>
      </c>
      <c r="U3279" s="8">
        <v>75.542000000000002</v>
      </c>
      <c r="V3279" s="8">
        <v>105.886</v>
      </c>
      <c r="W3279" s="8">
        <v>86.016000000000005</v>
      </c>
      <c r="X3279" s="8">
        <v>63.3</v>
      </c>
      <c r="Y3279" s="8">
        <v>33.411000000000001</v>
      </c>
      <c r="Z3279" s="8">
        <v>10.682</v>
      </c>
      <c r="AA3279" s="8">
        <v>3.0110000000000001</v>
      </c>
      <c r="AB3279" s="8">
        <v>0.307</v>
      </c>
      <c r="AC3279" s="8">
        <v>2.3E-2</v>
      </c>
    </row>
    <row r="3280" spans="1:29" ht="11.65" hidden="1" x14ac:dyDescent="0.35">
      <c r="A3280" s="12">
        <v>3263</v>
      </c>
      <c r="B3280" s="10" t="s">
        <v>1015</v>
      </c>
      <c r="C3280" s="18" t="s">
        <v>1242</v>
      </c>
      <c r="D3280" s="9"/>
      <c r="E3280" s="9">
        <v>703</v>
      </c>
      <c r="F3280" s="10" t="s">
        <v>1066</v>
      </c>
      <c r="G3280" s="9">
        <v>923</v>
      </c>
      <c r="H3280" s="9">
        <v>1985</v>
      </c>
      <c r="I3280" s="8">
        <v>221.31100000000001</v>
      </c>
      <c r="J3280" s="8">
        <v>236.102</v>
      </c>
      <c r="K3280" s="8">
        <v>213.59299999999999</v>
      </c>
      <c r="L3280" s="8">
        <v>183.80099999999999</v>
      </c>
      <c r="M3280" s="8">
        <v>197.03</v>
      </c>
      <c r="N3280" s="8">
        <v>213.17099999999999</v>
      </c>
      <c r="O3280" s="8">
        <v>214.018</v>
      </c>
      <c r="P3280" s="8">
        <v>173.202</v>
      </c>
      <c r="Q3280" s="8">
        <v>149.18199999999999</v>
      </c>
      <c r="R3280" s="8">
        <v>133.97300000000001</v>
      </c>
      <c r="S3280" s="8">
        <v>139.63399999999999</v>
      </c>
      <c r="T3280" s="8">
        <v>136.762</v>
      </c>
      <c r="U3280" s="8">
        <v>139.739</v>
      </c>
      <c r="V3280" s="8">
        <v>69.209999999999994</v>
      </c>
      <c r="W3280" s="8">
        <v>91.649000000000001</v>
      </c>
      <c r="X3280" s="8">
        <v>66.429000000000002</v>
      </c>
      <c r="Y3280" s="8">
        <v>38.984999999999999</v>
      </c>
      <c r="Z3280" s="8">
        <v>14.986000000000001</v>
      </c>
      <c r="AA3280" s="8">
        <v>3.1339999999999999</v>
      </c>
      <c r="AB3280" s="8">
        <v>0.47499999999999998</v>
      </c>
      <c r="AC3280" s="8">
        <v>2.5000000000000001E-2</v>
      </c>
    </row>
    <row r="3281" spans="1:29" ht="11.65" hidden="1" x14ac:dyDescent="0.35">
      <c r="A3281" s="12">
        <v>3264</v>
      </c>
      <c r="B3281" s="10" t="s">
        <v>1015</v>
      </c>
      <c r="C3281" s="18" t="s">
        <v>1242</v>
      </c>
      <c r="D3281" s="9"/>
      <c r="E3281" s="9">
        <v>703</v>
      </c>
      <c r="F3281" s="10" t="s">
        <v>1066</v>
      </c>
      <c r="G3281" s="9">
        <v>923</v>
      </c>
      <c r="H3281" s="9">
        <v>1990</v>
      </c>
      <c r="I3281" s="8">
        <v>203.583</v>
      </c>
      <c r="J3281" s="8">
        <v>219.19</v>
      </c>
      <c r="K3281" s="8">
        <v>234.50299999999999</v>
      </c>
      <c r="L3281" s="8">
        <v>212.46100000000001</v>
      </c>
      <c r="M3281" s="8">
        <v>182.18799999999999</v>
      </c>
      <c r="N3281" s="8">
        <v>194.398</v>
      </c>
      <c r="O3281" s="8">
        <v>210.155</v>
      </c>
      <c r="P3281" s="8">
        <v>211.32599999999999</v>
      </c>
      <c r="Q3281" s="8">
        <v>170.90899999999999</v>
      </c>
      <c r="R3281" s="8">
        <v>146.84399999999999</v>
      </c>
      <c r="S3281" s="8">
        <v>131.03899999999999</v>
      </c>
      <c r="T3281" s="8">
        <v>135.154</v>
      </c>
      <c r="U3281" s="8">
        <v>129.88499999999999</v>
      </c>
      <c r="V3281" s="8">
        <v>128.26900000000001</v>
      </c>
      <c r="W3281" s="8">
        <v>59.914000000000001</v>
      </c>
      <c r="X3281" s="8">
        <v>71.638999999999996</v>
      </c>
      <c r="Y3281" s="8">
        <v>42.430999999999997</v>
      </c>
      <c r="Z3281" s="8">
        <v>18.2</v>
      </c>
      <c r="AA3281" s="8">
        <v>4.5060000000000002</v>
      </c>
      <c r="AB3281" s="8">
        <v>0.51200000000000001</v>
      </c>
      <c r="AC3281" s="8">
        <v>3.7999999999999999E-2</v>
      </c>
    </row>
    <row r="3282" spans="1:29" ht="11.65" hidden="1" x14ac:dyDescent="0.35">
      <c r="A3282" s="12">
        <v>3265</v>
      </c>
      <c r="B3282" s="10" t="s">
        <v>1015</v>
      </c>
      <c r="C3282" s="18" t="s">
        <v>1242</v>
      </c>
      <c r="D3282" s="9"/>
      <c r="E3282" s="9">
        <v>703</v>
      </c>
      <c r="F3282" s="10" t="s">
        <v>1066</v>
      </c>
      <c r="G3282" s="9">
        <v>923</v>
      </c>
      <c r="H3282" s="9">
        <v>1995</v>
      </c>
      <c r="I3282" s="8">
        <v>178.102</v>
      </c>
      <c r="J3282" s="8">
        <v>201.82900000000001</v>
      </c>
      <c r="K3282" s="8">
        <v>218.875</v>
      </c>
      <c r="L3282" s="8">
        <v>234.46600000000001</v>
      </c>
      <c r="M3282" s="8">
        <v>210.602</v>
      </c>
      <c r="N3282" s="8">
        <v>180.76300000000001</v>
      </c>
      <c r="O3282" s="8">
        <v>193.4</v>
      </c>
      <c r="P3282" s="8">
        <v>208.90199999999999</v>
      </c>
      <c r="Q3282" s="8">
        <v>210.328</v>
      </c>
      <c r="R3282" s="8">
        <v>169.37200000000001</v>
      </c>
      <c r="S3282" s="8">
        <v>143.96199999999999</v>
      </c>
      <c r="T3282" s="8">
        <v>126.752</v>
      </c>
      <c r="U3282" s="8">
        <v>128.36199999999999</v>
      </c>
      <c r="V3282" s="8">
        <v>119.44499999999999</v>
      </c>
      <c r="W3282" s="8">
        <v>111.48399999999999</v>
      </c>
      <c r="X3282" s="8">
        <v>47.582999999999998</v>
      </c>
      <c r="Y3282" s="8">
        <v>47.68</v>
      </c>
      <c r="Z3282" s="8">
        <v>21.06</v>
      </c>
      <c r="AA3282" s="8">
        <v>5.8719999999999999</v>
      </c>
      <c r="AB3282" s="8">
        <v>0.80100000000000005</v>
      </c>
      <c r="AC3282" s="8">
        <v>4.5999999999999999E-2</v>
      </c>
    </row>
    <row r="3283" spans="1:29" ht="11.65" hidden="1" x14ac:dyDescent="0.35">
      <c r="A3283" s="12">
        <v>3266</v>
      </c>
      <c r="B3283" s="10" t="s">
        <v>1015</v>
      </c>
      <c r="C3283" s="18" t="s">
        <v>1242</v>
      </c>
      <c r="D3283" s="9"/>
      <c r="E3283" s="9">
        <v>703</v>
      </c>
      <c r="F3283" s="10" t="s">
        <v>1066</v>
      </c>
      <c r="G3283" s="9">
        <v>923</v>
      </c>
      <c r="H3283" s="9">
        <v>2000</v>
      </c>
      <c r="I3283" s="8">
        <v>139.863</v>
      </c>
      <c r="J3283" s="8">
        <v>177.16499999999999</v>
      </c>
      <c r="K3283" s="8">
        <v>202.947</v>
      </c>
      <c r="L3283" s="8">
        <v>220.34200000000001</v>
      </c>
      <c r="M3283" s="8">
        <v>234.47399999999999</v>
      </c>
      <c r="N3283" s="8">
        <v>208.72399999999999</v>
      </c>
      <c r="O3283" s="8">
        <v>179.30799999999999</v>
      </c>
      <c r="P3283" s="8">
        <v>193.31200000000001</v>
      </c>
      <c r="Q3283" s="8">
        <v>207.30600000000001</v>
      </c>
      <c r="R3283" s="8">
        <v>207.85900000000001</v>
      </c>
      <c r="S3283" s="8">
        <v>166.93799999999999</v>
      </c>
      <c r="T3283" s="8">
        <v>140.01499999999999</v>
      </c>
      <c r="U3283" s="8">
        <v>120.58</v>
      </c>
      <c r="V3283" s="8">
        <v>118.777</v>
      </c>
      <c r="W3283" s="8">
        <v>105.11</v>
      </c>
      <c r="X3283" s="8">
        <v>88.936000000000007</v>
      </c>
      <c r="Y3283" s="8">
        <v>32.808</v>
      </c>
      <c r="Z3283" s="8">
        <v>24.859000000000002</v>
      </c>
      <c r="AA3283" s="8">
        <v>7.0529999999999999</v>
      </c>
      <c r="AB3283" s="8">
        <v>1.087</v>
      </c>
      <c r="AC3283" s="8">
        <v>7.1999999999999995E-2</v>
      </c>
    </row>
    <row r="3284" spans="1:29" ht="11.65" hidden="1" x14ac:dyDescent="0.35">
      <c r="A3284" s="12">
        <v>3267</v>
      </c>
      <c r="B3284" s="10" t="s">
        <v>1015</v>
      </c>
      <c r="C3284" s="18" t="s">
        <v>1242</v>
      </c>
      <c r="D3284" s="9"/>
      <c r="E3284" s="9">
        <v>703</v>
      </c>
      <c r="F3284" s="10" t="s">
        <v>1066</v>
      </c>
      <c r="G3284" s="9">
        <v>923</v>
      </c>
      <c r="H3284" s="9">
        <v>2005</v>
      </c>
      <c r="I3284" s="8">
        <v>126.46</v>
      </c>
      <c r="J3284" s="8">
        <v>139.709</v>
      </c>
      <c r="K3284" s="8">
        <v>177.03700000000001</v>
      </c>
      <c r="L3284" s="8">
        <v>202.761</v>
      </c>
      <c r="M3284" s="8">
        <v>220.08199999999999</v>
      </c>
      <c r="N3284" s="8">
        <v>234.18799999999999</v>
      </c>
      <c r="O3284" s="8">
        <v>208.375</v>
      </c>
      <c r="P3284" s="8">
        <v>178.8</v>
      </c>
      <c r="Q3284" s="8">
        <v>192.27500000000001</v>
      </c>
      <c r="R3284" s="8">
        <v>205.28</v>
      </c>
      <c r="S3284" s="8">
        <v>204.60900000000001</v>
      </c>
      <c r="T3284" s="8">
        <v>162.751</v>
      </c>
      <c r="U3284" s="8">
        <v>134.50200000000001</v>
      </c>
      <c r="V3284" s="8">
        <v>112.901</v>
      </c>
      <c r="W3284" s="8">
        <v>106.13800000000001</v>
      </c>
      <c r="X3284" s="8">
        <v>85.900999999999996</v>
      </c>
      <c r="Y3284" s="8">
        <v>61.912999999999997</v>
      </c>
      <c r="Z3284" s="8">
        <v>17.606999999999999</v>
      </c>
      <c r="AA3284" s="8">
        <v>8.702</v>
      </c>
      <c r="AB3284" s="8">
        <v>1.389</v>
      </c>
      <c r="AC3284" s="8">
        <v>0.105</v>
      </c>
    </row>
    <row r="3285" spans="1:29" ht="11.65" hidden="1" x14ac:dyDescent="0.35">
      <c r="A3285" s="12">
        <v>3268</v>
      </c>
      <c r="B3285" s="10" t="s">
        <v>1015</v>
      </c>
      <c r="C3285" s="18" t="s">
        <v>1242</v>
      </c>
      <c r="D3285" s="9"/>
      <c r="E3285" s="9">
        <v>703</v>
      </c>
      <c r="F3285" s="10" t="s">
        <v>1066</v>
      </c>
      <c r="G3285" s="9">
        <v>923</v>
      </c>
      <c r="H3285" s="9">
        <v>2010</v>
      </c>
      <c r="I3285" s="8">
        <v>136.636</v>
      </c>
      <c r="J3285" s="8">
        <v>127.18300000000001</v>
      </c>
      <c r="K3285" s="8">
        <v>140.26</v>
      </c>
      <c r="L3285" s="8">
        <v>176.48099999999999</v>
      </c>
      <c r="M3285" s="8">
        <v>200.959</v>
      </c>
      <c r="N3285" s="8">
        <v>216.77099999999999</v>
      </c>
      <c r="O3285" s="8">
        <v>228.572</v>
      </c>
      <c r="P3285" s="8">
        <v>203.64400000000001</v>
      </c>
      <c r="Q3285" s="8">
        <v>178.31399999999999</v>
      </c>
      <c r="R3285" s="8">
        <v>192.072</v>
      </c>
      <c r="S3285" s="8">
        <v>202.584</v>
      </c>
      <c r="T3285" s="8">
        <v>200.08099999999999</v>
      </c>
      <c r="U3285" s="8">
        <v>157.35400000000001</v>
      </c>
      <c r="V3285" s="8">
        <v>127.34</v>
      </c>
      <c r="W3285" s="8">
        <v>102.357</v>
      </c>
      <c r="X3285" s="8">
        <v>88.703000000000003</v>
      </c>
      <c r="Y3285" s="8">
        <v>61.451000000000001</v>
      </c>
      <c r="Z3285" s="8">
        <v>33.957000000000001</v>
      </c>
      <c r="AA3285" s="8">
        <v>6.4119999999999999</v>
      </c>
      <c r="AB3285" s="8">
        <v>1.6970000000000001</v>
      </c>
      <c r="AC3285" s="8">
        <v>0.13200000000000001</v>
      </c>
    </row>
    <row r="3286" spans="1:29" ht="11.65" hidden="1" x14ac:dyDescent="0.35">
      <c r="A3286" s="12">
        <v>3269</v>
      </c>
      <c r="B3286" s="10" t="s">
        <v>1015</v>
      </c>
      <c r="C3286" s="18" t="s">
        <v>1242</v>
      </c>
      <c r="D3286" s="9"/>
      <c r="E3286" s="9">
        <v>703</v>
      </c>
      <c r="F3286" s="10" t="s">
        <v>1066</v>
      </c>
      <c r="G3286" s="9">
        <v>923</v>
      </c>
      <c r="H3286" s="9">
        <v>2015</v>
      </c>
      <c r="I3286" s="8">
        <v>138.42599999999999</v>
      </c>
      <c r="J3286" s="8">
        <v>138.042</v>
      </c>
      <c r="K3286" s="8">
        <v>128.256</v>
      </c>
      <c r="L3286" s="8">
        <v>141.292</v>
      </c>
      <c r="M3286" s="8">
        <v>177.988</v>
      </c>
      <c r="N3286" s="8">
        <v>201.89699999999999</v>
      </c>
      <c r="O3286" s="8">
        <v>214.494</v>
      </c>
      <c r="P3286" s="8">
        <v>224.42</v>
      </c>
      <c r="Q3286" s="8">
        <v>200.304</v>
      </c>
      <c r="R3286" s="8">
        <v>177.02099999999999</v>
      </c>
      <c r="S3286" s="8">
        <v>190.50899999999999</v>
      </c>
      <c r="T3286" s="8">
        <v>198.32400000000001</v>
      </c>
      <c r="U3286" s="8">
        <v>193.48599999999999</v>
      </c>
      <c r="V3286" s="8">
        <v>149.02799999999999</v>
      </c>
      <c r="W3286" s="8">
        <v>116.456</v>
      </c>
      <c r="X3286" s="8">
        <v>87.947999999999993</v>
      </c>
      <c r="Y3286" s="8">
        <v>66.650000000000006</v>
      </c>
      <c r="Z3286" s="8">
        <v>35.790999999999997</v>
      </c>
      <c r="AA3286" s="8">
        <v>12.707000000000001</v>
      </c>
      <c r="AB3286" s="8">
        <v>1.216</v>
      </c>
      <c r="AC3286" s="8">
        <v>0.14499999999999999</v>
      </c>
    </row>
    <row r="3287" spans="1:29" ht="11.65" hidden="1" x14ac:dyDescent="0.35">
      <c r="A3287" s="12">
        <v>3270</v>
      </c>
      <c r="B3287" s="10" t="s">
        <v>1015</v>
      </c>
      <c r="C3287" s="18" t="s">
        <v>1242</v>
      </c>
      <c r="D3287" s="9"/>
      <c r="E3287" s="9">
        <v>703</v>
      </c>
      <c r="F3287" s="10" t="s">
        <v>1066</v>
      </c>
      <c r="G3287" s="9">
        <v>923</v>
      </c>
      <c r="H3287" s="9">
        <v>2020</v>
      </c>
      <c r="I3287" s="8">
        <v>138.506</v>
      </c>
      <c r="J3287" s="8">
        <v>138.268</v>
      </c>
      <c r="K3287" s="8">
        <v>137.95099999999999</v>
      </c>
      <c r="L3287" s="8">
        <v>128.18199999999999</v>
      </c>
      <c r="M3287" s="8">
        <v>141.68</v>
      </c>
      <c r="N3287" s="8">
        <v>178.172</v>
      </c>
      <c r="O3287" s="8">
        <v>200.91900000000001</v>
      </c>
      <c r="P3287" s="8">
        <v>212.67699999999999</v>
      </c>
      <c r="Q3287" s="8">
        <v>222.655</v>
      </c>
      <c r="R3287" s="8">
        <v>198.7</v>
      </c>
      <c r="S3287" s="8">
        <v>174.80799999999999</v>
      </c>
      <c r="T3287" s="8">
        <v>186.78700000000001</v>
      </c>
      <c r="U3287" s="8">
        <v>192.304</v>
      </c>
      <c r="V3287" s="8">
        <v>184.46</v>
      </c>
      <c r="W3287" s="8">
        <v>138.28399999999999</v>
      </c>
      <c r="X3287" s="8">
        <v>102.23699999999999</v>
      </c>
      <c r="Y3287" s="8">
        <v>67.974000000000004</v>
      </c>
      <c r="Z3287" s="8">
        <v>40.222000000000001</v>
      </c>
      <c r="AA3287" s="8">
        <v>13.851000000000001</v>
      </c>
      <c r="AB3287" s="8">
        <v>2.4239999999999999</v>
      </c>
      <c r="AC3287" s="8">
        <v>0.10299999999999999</v>
      </c>
    </row>
    <row r="3288" spans="1:29" ht="11.65" hidden="1" x14ac:dyDescent="0.35">
      <c r="A3288" s="12">
        <v>3271</v>
      </c>
      <c r="B3288" s="10" t="s">
        <v>1015</v>
      </c>
      <c r="C3288" s="18" t="s">
        <v>1243</v>
      </c>
      <c r="D3288" s="9">
        <v>19</v>
      </c>
      <c r="E3288" s="9">
        <v>804</v>
      </c>
      <c r="F3288" s="10" t="s">
        <v>1066</v>
      </c>
      <c r="G3288" s="9">
        <v>923</v>
      </c>
      <c r="H3288" s="9">
        <v>1950</v>
      </c>
      <c r="I3288" s="8">
        <v>1511.5730000000001</v>
      </c>
      <c r="J3288" s="8">
        <v>1475.6110000000001</v>
      </c>
      <c r="K3288" s="8">
        <v>2199.9169999999999</v>
      </c>
      <c r="L3288" s="8">
        <v>1551.2650000000001</v>
      </c>
      <c r="M3288" s="8">
        <v>2119.4270000000001</v>
      </c>
      <c r="N3288" s="8">
        <v>1715.87</v>
      </c>
      <c r="O3288" s="8">
        <v>1220.037</v>
      </c>
      <c r="P3288" s="8">
        <v>1891.8579999999999</v>
      </c>
      <c r="Q3288" s="8">
        <v>1605.7639999999999</v>
      </c>
      <c r="R3288" s="8">
        <v>1408.721</v>
      </c>
      <c r="S3288" s="8">
        <v>1021.885</v>
      </c>
      <c r="T3288" s="8">
        <v>864.12900000000002</v>
      </c>
      <c r="U3288" s="8">
        <v>774.27200000000005</v>
      </c>
      <c r="V3288" s="8">
        <v>660.84100000000001</v>
      </c>
      <c r="W3288" s="8">
        <v>538.04</v>
      </c>
      <c r="X3288" s="8">
        <v>403.35500000000002</v>
      </c>
      <c r="Y3288" s="8">
        <v>185.48099999999999</v>
      </c>
      <c r="Z3288" s="8">
        <v>94.769000000000005</v>
      </c>
      <c r="AA3288" s="8">
        <v>35.81</v>
      </c>
      <c r="AB3288" s="8">
        <v>8.8859999999999992</v>
      </c>
      <c r="AC3288" s="8">
        <v>1.3480000000000001</v>
      </c>
    </row>
    <row r="3289" spans="1:29" ht="11.65" hidden="1" x14ac:dyDescent="0.35">
      <c r="A3289" s="12">
        <v>3272</v>
      </c>
      <c r="B3289" s="10" t="s">
        <v>1015</v>
      </c>
      <c r="C3289" s="18" t="s">
        <v>1243</v>
      </c>
      <c r="D3289" s="9">
        <v>19</v>
      </c>
      <c r="E3289" s="9">
        <v>804</v>
      </c>
      <c r="F3289" s="10" t="s">
        <v>1066</v>
      </c>
      <c r="G3289" s="9">
        <v>923</v>
      </c>
      <c r="H3289" s="9">
        <v>1955</v>
      </c>
      <c r="I3289" s="8">
        <v>2028.6379999999999</v>
      </c>
      <c r="J3289" s="8">
        <v>1503.6130000000001</v>
      </c>
      <c r="K3289" s="8">
        <v>1485.154</v>
      </c>
      <c r="L3289" s="8">
        <v>2207.9740000000002</v>
      </c>
      <c r="M3289" s="8">
        <v>1558.124</v>
      </c>
      <c r="N3289" s="8">
        <v>2120.652</v>
      </c>
      <c r="O3289" s="8">
        <v>1716.41</v>
      </c>
      <c r="P3289" s="8">
        <v>1220.442</v>
      </c>
      <c r="Q3289" s="8">
        <v>1880.0409999999999</v>
      </c>
      <c r="R3289" s="8">
        <v>1588.134</v>
      </c>
      <c r="S3289" s="8">
        <v>1380.5719999999999</v>
      </c>
      <c r="T3289" s="8">
        <v>989.36099999999999</v>
      </c>
      <c r="U3289" s="8">
        <v>815.702</v>
      </c>
      <c r="V3289" s="8">
        <v>700.36900000000003</v>
      </c>
      <c r="W3289" s="8">
        <v>555.452</v>
      </c>
      <c r="X3289" s="8">
        <v>395.92200000000003</v>
      </c>
      <c r="Y3289" s="8">
        <v>239.227</v>
      </c>
      <c r="Z3289" s="8">
        <v>80.707999999999998</v>
      </c>
      <c r="AA3289" s="8">
        <v>26.654</v>
      </c>
      <c r="AB3289" s="8">
        <v>5.7949999999999999</v>
      </c>
      <c r="AC3289" s="8">
        <v>0.86799999999999999</v>
      </c>
    </row>
    <row r="3290" spans="1:29" ht="11.65" hidden="1" x14ac:dyDescent="0.35">
      <c r="A3290" s="12">
        <v>3273</v>
      </c>
      <c r="B3290" s="10" t="s">
        <v>1015</v>
      </c>
      <c r="C3290" s="18" t="s">
        <v>1243</v>
      </c>
      <c r="D3290" s="9">
        <v>19</v>
      </c>
      <c r="E3290" s="9">
        <v>804</v>
      </c>
      <c r="F3290" s="10" t="s">
        <v>1066</v>
      </c>
      <c r="G3290" s="9">
        <v>923</v>
      </c>
      <c r="H3290" s="9">
        <v>1960</v>
      </c>
      <c r="I3290" s="8">
        <v>1963.864</v>
      </c>
      <c r="J3290" s="8">
        <v>2085.6680000000001</v>
      </c>
      <c r="K3290" s="8">
        <v>1654.6030000000001</v>
      </c>
      <c r="L3290" s="8">
        <v>1450.9369999999999</v>
      </c>
      <c r="M3290" s="8">
        <v>2245.8029999999999</v>
      </c>
      <c r="N3290" s="8">
        <v>1576.702</v>
      </c>
      <c r="O3290" s="8">
        <v>2115.2860000000001</v>
      </c>
      <c r="P3290" s="8">
        <v>1772.905</v>
      </c>
      <c r="Q3290" s="8">
        <v>1238.752</v>
      </c>
      <c r="R3290" s="8">
        <v>1718.643</v>
      </c>
      <c r="S3290" s="8">
        <v>1498.6790000000001</v>
      </c>
      <c r="T3290" s="8">
        <v>1307.3789999999999</v>
      </c>
      <c r="U3290" s="8">
        <v>994.73500000000001</v>
      </c>
      <c r="V3290" s="8">
        <v>798.16399999999999</v>
      </c>
      <c r="W3290" s="8">
        <v>587.351</v>
      </c>
      <c r="X3290" s="8">
        <v>347.63499999999999</v>
      </c>
      <c r="Y3290" s="8">
        <v>139.53899999999999</v>
      </c>
      <c r="Z3290" s="8">
        <v>106.559</v>
      </c>
      <c r="AA3290" s="8">
        <v>23.45</v>
      </c>
      <c r="AB3290" s="8">
        <v>4.4409999999999998</v>
      </c>
      <c r="AC3290" s="8">
        <v>0.54</v>
      </c>
    </row>
    <row r="3291" spans="1:29" ht="11.65" hidden="1" x14ac:dyDescent="0.35">
      <c r="A3291" s="12">
        <v>3274</v>
      </c>
      <c r="B3291" s="10" t="s">
        <v>1015</v>
      </c>
      <c r="C3291" s="18" t="s">
        <v>1243</v>
      </c>
      <c r="D3291" s="9">
        <v>19</v>
      </c>
      <c r="E3291" s="9">
        <v>804</v>
      </c>
      <c r="F3291" s="10" t="s">
        <v>1066</v>
      </c>
      <c r="G3291" s="9">
        <v>923</v>
      </c>
      <c r="H3291" s="9">
        <v>1965</v>
      </c>
      <c r="I3291" s="8">
        <v>1886.6020000000001</v>
      </c>
      <c r="J3291" s="8">
        <v>2003.1610000000001</v>
      </c>
      <c r="K3291" s="8">
        <v>2080.442</v>
      </c>
      <c r="L3291" s="8">
        <v>1646.2429999999999</v>
      </c>
      <c r="M3291" s="8">
        <v>1434.5650000000001</v>
      </c>
      <c r="N3291" s="8">
        <v>2242.3310000000001</v>
      </c>
      <c r="O3291" s="8">
        <v>1562.646</v>
      </c>
      <c r="P3291" s="8">
        <v>2115.2570000000001</v>
      </c>
      <c r="Q3291" s="8">
        <v>1773.7639999999999</v>
      </c>
      <c r="R3291" s="8">
        <v>1219.8610000000001</v>
      </c>
      <c r="S3291" s="8">
        <v>1722.1610000000001</v>
      </c>
      <c r="T3291" s="8">
        <v>1505.191</v>
      </c>
      <c r="U3291" s="8">
        <v>1254.636</v>
      </c>
      <c r="V3291" s="8">
        <v>919.06500000000005</v>
      </c>
      <c r="W3291" s="8">
        <v>678.11300000000006</v>
      </c>
      <c r="X3291" s="8">
        <v>459.86900000000003</v>
      </c>
      <c r="Y3291" s="8">
        <v>266.38299999999998</v>
      </c>
      <c r="Z3291" s="8">
        <v>62.548999999999999</v>
      </c>
      <c r="AA3291" s="8">
        <v>31.151</v>
      </c>
      <c r="AB3291" s="8">
        <v>4.1079999999999997</v>
      </c>
      <c r="AC3291" s="8">
        <v>0.47699999999999998</v>
      </c>
    </row>
    <row r="3292" spans="1:29" ht="11.65" hidden="1" x14ac:dyDescent="0.35">
      <c r="A3292" s="12">
        <v>3275</v>
      </c>
      <c r="B3292" s="10" t="s">
        <v>1015</v>
      </c>
      <c r="C3292" s="18" t="s">
        <v>1243</v>
      </c>
      <c r="D3292" s="9">
        <v>19</v>
      </c>
      <c r="E3292" s="9">
        <v>804</v>
      </c>
      <c r="F3292" s="10" t="s">
        <v>1066</v>
      </c>
      <c r="G3292" s="9">
        <v>923</v>
      </c>
      <c r="H3292" s="9">
        <v>1970</v>
      </c>
      <c r="I3292" s="8">
        <v>1680.2370000000001</v>
      </c>
      <c r="J3292" s="8">
        <v>1902.3630000000001</v>
      </c>
      <c r="K3292" s="8">
        <v>2009.5909999999999</v>
      </c>
      <c r="L3292" s="8">
        <v>2077.1880000000001</v>
      </c>
      <c r="M3292" s="8">
        <v>1639.9069999999999</v>
      </c>
      <c r="N3292" s="8">
        <v>1420.9760000000001</v>
      </c>
      <c r="O3292" s="8">
        <v>2239.2190000000001</v>
      </c>
      <c r="P3292" s="8">
        <v>1543.595</v>
      </c>
      <c r="Q3292" s="8">
        <v>2104.078</v>
      </c>
      <c r="R3292" s="8">
        <v>1770.7560000000001</v>
      </c>
      <c r="S3292" s="8">
        <v>1203.182</v>
      </c>
      <c r="T3292" s="8">
        <v>1698.866</v>
      </c>
      <c r="U3292" s="8">
        <v>1447.2460000000001</v>
      </c>
      <c r="V3292" s="8">
        <v>1162.1880000000001</v>
      </c>
      <c r="W3292" s="8">
        <v>777.15599999999995</v>
      </c>
      <c r="X3292" s="8">
        <v>509.09300000000002</v>
      </c>
      <c r="Y3292" s="8">
        <v>332.37599999999998</v>
      </c>
      <c r="Z3292" s="8">
        <v>130.94200000000001</v>
      </c>
      <c r="AA3292" s="8">
        <v>20.960999999999999</v>
      </c>
      <c r="AB3292" s="8">
        <v>6.52</v>
      </c>
      <c r="AC3292" s="8">
        <v>0.53500000000000003</v>
      </c>
    </row>
    <row r="3293" spans="1:29" ht="11.65" hidden="1" x14ac:dyDescent="0.35">
      <c r="A3293" s="12">
        <v>3276</v>
      </c>
      <c r="B3293" s="10" t="s">
        <v>1015</v>
      </c>
      <c r="C3293" s="18" t="s">
        <v>1243</v>
      </c>
      <c r="D3293" s="9">
        <v>19</v>
      </c>
      <c r="E3293" s="9">
        <v>804</v>
      </c>
      <c r="F3293" s="10" t="s">
        <v>1066</v>
      </c>
      <c r="G3293" s="9">
        <v>923</v>
      </c>
      <c r="H3293" s="9">
        <v>1975</v>
      </c>
      <c r="I3293" s="8">
        <v>1832.13</v>
      </c>
      <c r="J3293" s="8">
        <v>1678.413</v>
      </c>
      <c r="K3293" s="8">
        <v>1889.2940000000001</v>
      </c>
      <c r="L3293" s="8">
        <v>1981.088</v>
      </c>
      <c r="M3293" s="8">
        <v>2070.3040000000001</v>
      </c>
      <c r="N3293" s="8">
        <v>1644.229</v>
      </c>
      <c r="O3293" s="8">
        <v>1425.9639999999999</v>
      </c>
      <c r="P3293" s="8">
        <v>2237.319</v>
      </c>
      <c r="Q3293" s="8">
        <v>1537.82</v>
      </c>
      <c r="R3293" s="8">
        <v>2080.8249999999998</v>
      </c>
      <c r="S3293" s="8">
        <v>1775.1690000000001</v>
      </c>
      <c r="T3293" s="8">
        <v>1193.9839999999999</v>
      </c>
      <c r="U3293" s="8">
        <v>1623.577</v>
      </c>
      <c r="V3293" s="8">
        <v>1336.2819999999999</v>
      </c>
      <c r="W3293" s="8">
        <v>990.48500000000001</v>
      </c>
      <c r="X3293" s="8">
        <v>603.58500000000004</v>
      </c>
      <c r="Y3293" s="8">
        <v>343.97399999999999</v>
      </c>
      <c r="Z3293" s="8">
        <v>172.84200000000001</v>
      </c>
      <c r="AA3293" s="8">
        <v>47.951000000000001</v>
      </c>
      <c r="AB3293" s="8">
        <v>4.9539999999999997</v>
      </c>
      <c r="AC3293" s="8">
        <v>0.94299999999999995</v>
      </c>
    </row>
    <row r="3294" spans="1:29" ht="11.65" hidden="1" x14ac:dyDescent="0.35">
      <c r="A3294" s="12">
        <v>3277</v>
      </c>
      <c r="B3294" s="10" t="s">
        <v>1015</v>
      </c>
      <c r="C3294" s="18" t="s">
        <v>1243</v>
      </c>
      <c r="D3294" s="9">
        <v>19</v>
      </c>
      <c r="E3294" s="9">
        <v>804</v>
      </c>
      <c r="F3294" s="10" t="s">
        <v>1066</v>
      </c>
      <c r="G3294" s="9">
        <v>923</v>
      </c>
      <c r="H3294" s="9">
        <v>1980</v>
      </c>
      <c r="I3294" s="8">
        <v>1837.923</v>
      </c>
      <c r="J3294" s="8">
        <v>1788.165</v>
      </c>
      <c r="K3294" s="8">
        <v>1663.644</v>
      </c>
      <c r="L3294" s="8">
        <v>1865.9190000000001</v>
      </c>
      <c r="M3294" s="8">
        <v>1963.6189999999999</v>
      </c>
      <c r="N3294" s="8">
        <v>2081.558</v>
      </c>
      <c r="O3294" s="8">
        <v>1646.646</v>
      </c>
      <c r="P3294" s="8">
        <v>1424.5119999999999</v>
      </c>
      <c r="Q3294" s="8">
        <v>2224.0140000000001</v>
      </c>
      <c r="R3294" s="8">
        <v>1530.789</v>
      </c>
      <c r="S3294" s="8">
        <v>2052.5940000000001</v>
      </c>
      <c r="T3294" s="8">
        <v>1727.5509999999999</v>
      </c>
      <c r="U3294" s="8">
        <v>1148.6590000000001</v>
      </c>
      <c r="V3294" s="8">
        <v>1499.5409999999999</v>
      </c>
      <c r="W3294" s="8">
        <v>1161.0540000000001</v>
      </c>
      <c r="X3294" s="8">
        <v>767.07399999999996</v>
      </c>
      <c r="Y3294" s="8">
        <v>386.255</v>
      </c>
      <c r="Z3294" s="8">
        <v>175.488</v>
      </c>
      <c r="AA3294" s="8">
        <v>61.75</v>
      </c>
      <c r="AB3294" s="8">
        <v>10.999000000000001</v>
      </c>
      <c r="AC3294" s="8">
        <v>0.76400000000000001</v>
      </c>
    </row>
    <row r="3295" spans="1:29" ht="11.65" hidden="1" x14ac:dyDescent="0.35">
      <c r="A3295" s="12">
        <v>3278</v>
      </c>
      <c r="B3295" s="10" t="s">
        <v>1015</v>
      </c>
      <c r="C3295" s="18" t="s">
        <v>1243</v>
      </c>
      <c r="D3295" s="9">
        <v>19</v>
      </c>
      <c r="E3295" s="9">
        <v>804</v>
      </c>
      <c r="F3295" s="10" t="s">
        <v>1066</v>
      </c>
      <c r="G3295" s="9">
        <v>923</v>
      </c>
      <c r="H3295" s="9">
        <v>1985</v>
      </c>
      <c r="I3295" s="8">
        <v>1852.3689999999999</v>
      </c>
      <c r="J3295" s="8">
        <v>1837.7429999999999</v>
      </c>
      <c r="K3295" s="8">
        <v>1787.511</v>
      </c>
      <c r="L3295" s="8">
        <v>1651.124</v>
      </c>
      <c r="M3295" s="8">
        <v>1835.913</v>
      </c>
      <c r="N3295" s="8">
        <v>1966.8820000000001</v>
      </c>
      <c r="O3295" s="8">
        <v>2085.8670000000002</v>
      </c>
      <c r="P3295" s="8">
        <v>1638.9</v>
      </c>
      <c r="Q3295" s="8">
        <v>1415.4939999999999</v>
      </c>
      <c r="R3295" s="8">
        <v>2189.2109999999998</v>
      </c>
      <c r="S3295" s="8">
        <v>1507.732</v>
      </c>
      <c r="T3295" s="8">
        <v>2008.1559999999999</v>
      </c>
      <c r="U3295" s="8">
        <v>1636.1980000000001</v>
      </c>
      <c r="V3295" s="8">
        <v>1052.1990000000001</v>
      </c>
      <c r="W3295" s="8">
        <v>1293.556</v>
      </c>
      <c r="X3295" s="8">
        <v>899.27099999999996</v>
      </c>
      <c r="Y3295" s="8">
        <v>488.63</v>
      </c>
      <c r="Z3295" s="8">
        <v>189.072</v>
      </c>
      <c r="AA3295" s="8">
        <v>59.088000000000001</v>
      </c>
      <c r="AB3295" s="8">
        <v>13.09</v>
      </c>
      <c r="AC3295" s="8">
        <v>1.395</v>
      </c>
    </row>
    <row r="3296" spans="1:29" ht="11.65" hidden="1" x14ac:dyDescent="0.35">
      <c r="A3296" s="12">
        <v>3279</v>
      </c>
      <c r="B3296" s="10" t="s">
        <v>1015</v>
      </c>
      <c r="C3296" s="18" t="s">
        <v>1243</v>
      </c>
      <c r="D3296" s="9">
        <v>19</v>
      </c>
      <c r="E3296" s="9">
        <v>804</v>
      </c>
      <c r="F3296" s="10" t="s">
        <v>1066</v>
      </c>
      <c r="G3296" s="9">
        <v>923</v>
      </c>
      <c r="H3296" s="9">
        <v>1990</v>
      </c>
      <c r="I3296" s="8">
        <v>1686.548</v>
      </c>
      <c r="J3296" s="8">
        <v>1846.365</v>
      </c>
      <c r="K3296" s="8">
        <v>1834.6210000000001</v>
      </c>
      <c r="L3296" s="8">
        <v>1783.99</v>
      </c>
      <c r="M3296" s="8">
        <v>1646.55</v>
      </c>
      <c r="N3296" s="8">
        <v>1830.2940000000001</v>
      </c>
      <c r="O3296" s="8">
        <v>1959.29</v>
      </c>
      <c r="P3296" s="8">
        <v>2073.9769999999999</v>
      </c>
      <c r="Q3296" s="8">
        <v>1624.59</v>
      </c>
      <c r="R3296" s="8">
        <v>1396.4580000000001</v>
      </c>
      <c r="S3296" s="8">
        <v>2143.3690000000001</v>
      </c>
      <c r="T3296" s="8">
        <v>1459.3779999999999</v>
      </c>
      <c r="U3296" s="8">
        <v>1907.828</v>
      </c>
      <c r="V3296" s="8">
        <v>1503.1579999999999</v>
      </c>
      <c r="W3296" s="8">
        <v>912.03599999999994</v>
      </c>
      <c r="X3296" s="8">
        <v>1012.544</v>
      </c>
      <c r="Y3296" s="8">
        <v>587.755</v>
      </c>
      <c r="Z3296" s="8">
        <v>240.351</v>
      </c>
      <c r="AA3296" s="8">
        <v>65.241</v>
      </c>
      <c r="AB3296" s="8">
        <v>13.757</v>
      </c>
      <c r="AC3296" s="8">
        <v>1.9650000000000001</v>
      </c>
    </row>
    <row r="3297" spans="1:29" ht="11.65" hidden="1" x14ac:dyDescent="0.35">
      <c r="A3297" s="12">
        <v>3280</v>
      </c>
      <c r="B3297" s="10" t="s">
        <v>1015</v>
      </c>
      <c r="C3297" s="18" t="s">
        <v>1243</v>
      </c>
      <c r="D3297" s="9">
        <v>19</v>
      </c>
      <c r="E3297" s="9">
        <v>804</v>
      </c>
      <c r="F3297" s="10" t="s">
        <v>1066</v>
      </c>
      <c r="G3297" s="9">
        <v>923</v>
      </c>
      <c r="H3297" s="9">
        <v>1995</v>
      </c>
      <c r="I3297" s="8">
        <v>1360.838</v>
      </c>
      <c r="J3297" s="8">
        <v>1706.88</v>
      </c>
      <c r="K3297" s="8">
        <v>1870.4480000000001</v>
      </c>
      <c r="L3297" s="8">
        <v>1834.547</v>
      </c>
      <c r="M3297" s="8">
        <v>1750.7190000000001</v>
      </c>
      <c r="N3297" s="8">
        <v>1645.82</v>
      </c>
      <c r="O3297" s="8">
        <v>1847.816</v>
      </c>
      <c r="P3297" s="8">
        <v>1968.896</v>
      </c>
      <c r="Q3297" s="8">
        <v>2067.9450000000002</v>
      </c>
      <c r="R3297" s="8">
        <v>1608.384</v>
      </c>
      <c r="S3297" s="8">
        <v>1371.76</v>
      </c>
      <c r="T3297" s="8">
        <v>2076.4899999999998</v>
      </c>
      <c r="U3297" s="8">
        <v>1375.575</v>
      </c>
      <c r="V3297" s="8">
        <v>1732.3889999999999</v>
      </c>
      <c r="W3297" s="8">
        <v>1279.049</v>
      </c>
      <c r="X3297" s="8">
        <v>691.86599999999999</v>
      </c>
      <c r="Y3297" s="8">
        <v>616.08000000000004</v>
      </c>
      <c r="Z3297" s="8">
        <v>277.73200000000003</v>
      </c>
      <c r="AA3297" s="8">
        <v>74.807000000000002</v>
      </c>
      <c r="AB3297" s="8">
        <v>12.33</v>
      </c>
      <c r="AC3297" s="8">
        <v>1.6240000000000001</v>
      </c>
    </row>
    <row r="3298" spans="1:29" ht="11.65" hidden="1" x14ac:dyDescent="0.35">
      <c r="A3298" s="12">
        <v>3281</v>
      </c>
      <c r="B3298" s="10" t="s">
        <v>1015</v>
      </c>
      <c r="C3298" s="18" t="s">
        <v>1243</v>
      </c>
      <c r="D3298" s="9">
        <v>19</v>
      </c>
      <c r="E3298" s="9">
        <v>804</v>
      </c>
      <c r="F3298" s="10" t="s">
        <v>1066</v>
      </c>
      <c r="G3298" s="9">
        <v>923</v>
      </c>
      <c r="H3298" s="9">
        <v>2000</v>
      </c>
      <c r="I3298" s="8">
        <v>1050.8389999999999</v>
      </c>
      <c r="J3298" s="8">
        <v>1336.2139999999999</v>
      </c>
      <c r="K3298" s="8">
        <v>1684.171</v>
      </c>
      <c r="L3298" s="8">
        <v>1854.347</v>
      </c>
      <c r="M3298" s="8">
        <v>1789.8720000000001</v>
      </c>
      <c r="N3298" s="8">
        <v>1694.9849999999999</v>
      </c>
      <c r="O3298" s="8">
        <v>1614.11</v>
      </c>
      <c r="P3298" s="8">
        <v>1814.123</v>
      </c>
      <c r="Q3298" s="8">
        <v>1927.2619999999999</v>
      </c>
      <c r="R3298" s="8">
        <v>2013.5250000000001</v>
      </c>
      <c r="S3298" s="8">
        <v>1552.6120000000001</v>
      </c>
      <c r="T3298" s="8">
        <v>1313.046</v>
      </c>
      <c r="U3298" s="8">
        <v>1949.14</v>
      </c>
      <c r="V3298" s="8">
        <v>1242.6030000000001</v>
      </c>
      <c r="W3298" s="8">
        <v>1473.8789999999999</v>
      </c>
      <c r="X3298" s="8">
        <v>974.524</v>
      </c>
      <c r="Y3298" s="8">
        <v>437.45299999999997</v>
      </c>
      <c r="Z3298" s="8">
        <v>285.51</v>
      </c>
      <c r="AA3298" s="8">
        <v>82.072999999999993</v>
      </c>
      <c r="AB3298" s="8">
        <v>12.840999999999999</v>
      </c>
      <c r="AC3298" s="8">
        <v>1.2729999999999999</v>
      </c>
    </row>
    <row r="3299" spans="1:29" ht="11.65" hidden="1" x14ac:dyDescent="0.35">
      <c r="A3299" s="12">
        <v>3282</v>
      </c>
      <c r="B3299" s="10" t="s">
        <v>1015</v>
      </c>
      <c r="C3299" s="18" t="s">
        <v>1243</v>
      </c>
      <c r="D3299" s="9">
        <v>19</v>
      </c>
      <c r="E3299" s="9">
        <v>804</v>
      </c>
      <c r="F3299" s="10" t="s">
        <v>1066</v>
      </c>
      <c r="G3299" s="9">
        <v>923</v>
      </c>
      <c r="H3299" s="9">
        <v>2005</v>
      </c>
      <c r="I3299" s="8">
        <v>962.28599999999994</v>
      </c>
      <c r="J3299" s="8">
        <v>1049.5920000000001</v>
      </c>
      <c r="K3299" s="8">
        <v>1326.4010000000001</v>
      </c>
      <c r="L3299" s="8">
        <v>1674.299</v>
      </c>
      <c r="M3299" s="8">
        <v>1842.817</v>
      </c>
      <c r="N3299" s="8">
        <v>1765.8140000000001</v>
      </c>
      <c r="O3299" s="8">
        <v>1668.915</v>
      </c>
      <c r="P3299" s="8">
        <v>1592.5719999999999</v>
      </c>
      <c r="Q3299" s="8">
        <v>1785.6690000000001</v>
      </c>
      <c r="R3299" s="8">
        <v>1886.038</v>
      </c>
      <c r="S3299" s="8">
        <v>1952.2180000000001</v>
      </c>
      <c r="T3299" s="8">
        <v>1485.2739999999999</v>
      </c>
      <c r="U3299" s="8">
        <v>1231.6389999999999</v>
      </c>
      <c r="V3299" s="8">
        <v>1774.8689999999999</v>
      </c>
      <c r="W3299" s="8">
        <v>1062.7629999999999</v>
      </c>
      <c r="X3299" s="8">
        <v>1139.9949999999999</v>
      </c>
      <c r="Y3299" s="8">
        <v>630.47799999999995</v>
      </c>
      <c r="Z3299" s="8">
        <v>207.52799999999999</v>
      </c>
      <c r="AA3299" s="8">
        <v>86.135999999999996</v>
      </c>
      <c r="AB3299" s="8">
        <v>14.093</v>
      </c>
      <c r="AC3299" s="8">
        <v>1.2729999999999999</v>
      </c>
    </row>
    <row r="3300" spans="1:29" ht="11.65" hidden="1" x14ac:dyDescent="0.35">
      <c r="A3300" s="12">
        <v>3283</v>
      </c>
      <c r="B3300" s="10" t="s">
        <v>1015</v>
      </c>
      <c r="C3300" s="18" t="s">
        <v>1243</v>
      </c>
      <c r="D3300" s="9">
        <v>19</v>
      </c>
      <c r="E3300" s="9">
        <v>804</v>
      </c>
      <c r="F3300" s="10" t="s">
        <v>1066</v>
      </c>
      <c r="G3300" s="9">
        <v>923</v>
      </c>
      <c r="H3300" s="9">
        <v>2010</v>
      </c>
      <c r="I3300" s="8">
        <v>1154.95</v>
      </c>
      <c r="J3300" s="8">
        <v>950.41899999999998</v>
      </c>
      <c r="K3300" s="8">
        <v>1039.02</v>
      </c>
      <c r="L3300" s="8">
        <v>1339.193</v>
      </c>
      <c r="M3300" s="8">
        <v>1764.1890000000001</v>
      </c>
      <c r="N3300" s="8">
        <v>1815.827</v>
      </c>
      <c r="O3300" s="8">
        <v>1747.8050000000001</v>
      </c>
      <c r="P3300" s="8">
        <v>1642.585</v>
      </c>
      <c r="Q3300" s="8">
        <v>1559.749</v>
      </c>
      <c r="R3300" s="8">
        <v>1811.8320000000001</v>
      </c>
      <c r="S3300" s="8">
        <v>1840.1320000000001</v>
      </c>
      <c r="T3300" s="8">
        <v>1825.222</v>
      </c>
      <c r="U3300" s="8">
        <v>1389.634</v>
      </c>
      <c r="V3300" s="8">
        <v>1177.664</v>
      </c>
      <c r="W3300" s="8">
        <v>1562.09</v>
      </c>
      <c r="X3300" s="8">
        <v>834.00099999999998</v>
      </c>
      <c r="Y3300" s="8">
        <v>798.85199999999998</v>
      </c>
      <c r="Z3300" s="8">
        <v>313.25200000000001</v>
      </c>
      <c r="AA3300" s="8">
        <v>69.718000000000004</v>
      </c>
      <c r="AB3300" s="8">
        <v>17.512</v>
      </c>
      <c r="AC3300" s="8">
        <v>1.6240000000000001</v>
      </c>
    </row>
    <row r="3301" spans="1:29" ht="11.65" hidden="1" x14ac:dyDescent="0.35">
      <c r="A3301" s="12">
        <v>3284</v>
      </c>
      <c r="B3301" s="10" t="s">
        <v>1015</v>
      </c>
      <c r="C3301" s="18" t="s">
        <v>1243</v>
      </c>
      <c r="D3301" s="9">
        <v>19</v>
      </c>
      <c r="E3301" s="9">
        <v>804</v>
      </c>
      <c r="F3301" s="10" t="s">
        <v>1066</v>
      </c>
      <c r="G3301" s="9">
        <v>923</v>
      </c>
      <c r="H3301" s="9">
        <v>2015</v>
      </c>
      <c r="I3301" s="8">
        <v>1202.143</v>
      </c>
      <c r="J3301" s="8">
        <v>1167.126</v>
      </c>
      <c r="K3301" s="8">
        <v>956.64200000000005</v>
      </c>
      <c r="L3301" s="8">
        <v>1044.1959999999999</v>
      </c>
      <c r="M3301" s="8">
        <v>1345.7149999999999</v>
      </c>
      <c r="N3301" s="8">
        <v>1767.4480000000001</v>
      </c>
      <c r="O3301" s="8">
        <v>1808.299</v>
      </c>
      <c r="P3301" s="8">
        <v>1727.8530000000001</v>
      </c>
      <c r="Q3301" s="8">
        <v>1617.402</v>
      </c>
      <c r="R3301" s="8">
        <v>1532.1379999999999</v>
      </c>
      <c r="S3301" s="8">
        <v>1772.3109999999999</v>
      </c>
      <c r="T3301" s="8">
        <v>1778.1790000000001</v>
      </c>
      <c r="U3301" s="8">
        <v>1727.9939999999999</v>
      </c>
      <c r="V3301" s="8">
        <v>1279.4290000000001</v>
      </c>
      <c r="W3301" s="8">
        <v>1035.0450000000001</v>
      </c>
      <c r="X3301" s="8">
        <v>1254.855</v>
      </c>
      <c r="Y3301" s="8">
        <v>576.56600000000003</v>
      </c>
      <c r="Z3301" s="8">
        <v>418.69400000000002</v>
      </c>
      <c r="AA3301" s="8">
        <v>111.218</v>
      </c>
      <c r="AB3301" s="8">
        <v>14.484</v>
      </c>
      <c r="AC3301" s="8">
        <v>1.9350000000000001</v>
      </c>
    </row>
    <row r="3302" spans="1:29" ht="11.65" hidden="1" x14ac:dyDescent="0.35">
      <c r="A3302" s="12">
        <v>3285</v>
      </c>
      <c r="B3302" s="10" t="s">
        <v>1015</v>
      </c>
      <c r="C3302" s="18" t="s">
        <v>1243</v>
      </c>
      <c r="D3302" s="9">
        <v>19</v>
      </c>
      <c r="E3302" s="9">
        <v>804</v>
      </c>
      <c r="F3302" s="10" t="s">
        <v>1066</v>
      </c>
      <c r="G3302" s="9">
        <v>923</v>
      </c>
      <c r="H3302" s="9">
        <v>2020</v>
      </c>
      <c r="I3302" s="8">
        <v>1026.31</v>
      </c>
      <c r="J3302" s="8">
        <v>1201.0029999999999</v>
      </c>
      <c r="K3302" s="8">
        <v>1166.308</v>
      </c>
      <c r="L3302" s="8">
        <v>958.71799999999996</v>
      </c>
      <c r="M3302" s="8">
        <v>1045.248</v>
      </c>
      <c r="N3302" s="8">
        <v>1343.703</v>
      </c>
      <c r="O3302" s="8">
        <v>1759.9469999999999</v>
      </c>
      <c r="P3302" s="8">
        <v>1795.2550000000001</v>
      </c>
      <c r="Q3302" s="8">
        <v>1710.174</v>
      </c>
      <c r="R3302" s="8">
        <v>1595.6510000000001</v>
      </c>
      <c r="S3302" s="8">
        <v>1503.9960000000001</v>
      </c>
      <c r="T3302" s="8">
        <v>1723.704</v>
      </c>
      <c r="U3302" s="8">
        <v>1701.998</v>
      </c>
      <c r="V3302" s="8">
        <v>1612.778</v>
      </c>
      <c r="W3302" s="8">
        <v>1135.6780000000001</v>
      </c>
      <c r="X3302" s="8">
        <v>837.58299999999997</v>
      </c>
      <c r="Y3302" s="8">
        <v>867.34500000000003</v>
      </c>
      <c r="Z3302" s="8">
        <v>308.35300000000001</v>
      </c>
      <c r="AA3302" s="8">
        <v>151.726</v>
      </c>
      <c r="AB3302" s="8">
        <v>23.466999999999999</v>
      </c>
      <c r="AC3302" s="8">
        <v>1.6659999999999999</v>
      </c>
    </row>
    <row r="3303" spans="1:29" ht="11.65" hidden="1" x14ac:dyDescent="0.35">
      <c r="A3303" s="23">
        <v>3286</v>
      </c>
      <c r="B3303" s="21" t="s">
        <v>1015</v>
      </c>
      <c r="C3303" s="22" t="s">
        <v>1244</v>
      </c>
      <c r="D3303" s="20"/>
      <c r="E3303" s="20">
        <v>924</v>
      </c>
      <c r="F3303" s="21" t="s">
        <v>1065</v>
      </c>
      <c r="G3303" s="20">
        <v>917</v>
      </c>
      <c r="H3303" s="20">
        <v>1950</v>
      </c>
      <c r="I3303" s="19">
        <v>3434.902</v>
      </c>
      <c r="J3303" s="19">
        <v>2939.3870000000002</v>
      </c>
      <c r="K3303" s="19">
        <v>2693.1120000000001</v>
      </c>
      <c r="L3303" s="19">
        <v>2637.9929999999999</v>
      </c>
      <c r="M3303" s="19">
        <v>2799.1280000000002</v>
      </c>
      <c r="N3303" s="19">
        <v>3034.607</v>
      </c>
      <c r="O3303" s="19">
        <v>2727.03</v>
      </c>
      <c r="P3303" s="19">
        <v>3004.4879999999998</v>
      </c>
      <c r="Q3303" s="19">
        <v>2962.6239999999998</v>
      </c>
      <c r="R3303" s="19">
        <v>2777.6439999999998</v>
      </c>
      <c r="S3303" s="19">
        <v>2521.663</v>
      </c>
      <c r="T3303" s="19">
        <v>2225.2919999999999</v>
      </c>
      <c r="U3303" s="19">
        <v>1994.2</v>
      </c>
      <c r="V3303" s="19">
        <v>1706.682</v>
      </c>
      <c r="W3303" s="19">
        <v>1353.105</v>
      </c>
      <c r="X3303" s="19">
        <v>895.52200000000005</v>
      </c>
      <c r="Y3303" s="19">
        <v>474.33199999999999</v>
      </c>
      <c r="Z3303" s="19">
        <v>188.54599999999999</v>
      </c>
      <c r="AA3303" s="19">
        <v>46.89</v>
      </c>
      <c r="AB3303" s="19">
        <v>6.6959999999999997</v>
      </c>
      <c r="AC3303" s="19">
        <v>0.437</v>
      </c>
    </row>
    <row r="3304" spans="1:29" ht="11.65" hidden="1" x14ac:dyDescent="0.35">
      <c r="A3304" s="23">
        <v>3287</v>
      </c>
      <c r="B3304" s="21" t="s">
        <v>1015</v>
      </c>
      <c r="C3304" s="22" t="s">
        <v>1244</v>
      </c>
      <c r="D3304" s="20"/>
      <c r="E3304" s="20">
        <v>924</v>
      </c>
      <c r="F3304" s="21" t="s">
        <v>1065</v>
      </c>
      <c r="G3304" s="20">
        <v>917</v>
      </c>
      <c r="H3304" s="20">
        <v>1955</v>
      </c>
      <c r="I3304" s="19">
        <v>3068.4319999999998</v>
      </c>
      <c r="J3304" s="19">
        <v>3376.1480000000001</v>
      </c>
      <c r="K3304" s="19">
        <v>2926.03</v>
      </c>
      <c r="L3304" s="19">
        <v>2673.6329999999998</v>
      </c>
      <c r="M3304" s="19">
        <v>2596.424</v>
      </c>
      <c r="N3304" s="19">
        <v>2752.7370000000001</v>
      </c>
      <c r="O3304" s="19">
        <v>2976.5459999999998</v>
      </c>
      <c r="P3304" s="19">
        <v>2665.02</v>
      </c>
      <c r="Q3304" s="19">
        <v>2937.692</v>
      </c>
      <c r="R3304" s="19">
        <v>2876.7089999999998</v>
      </c>
      <c r="S3304" s="19">
        <v>2687.7620000000002</v>
      </c>
      <c r="T3304" s="19">
        <v>2398.261</v>
      </c>
      <c r="U3304" s="19">
        <v>2084.3910000000001</v>
      </c>
      <c r="V3304" s="19">
        <v>1803.616</v>
      </c>
      <c r="W3304" s="19">
        <v>1440.8409999999999</v>
      </c>
      <c r="X3304" s="19">
        <v>1011.879</v>
      </c>
      <c r="Y3304" s="19">
        <v>553.11300000000006</v>
      </c>
      <c r="Z3304" s="19">
        <v>214.11600000000001</v>
      </c>
      <c r="AA3304" s="19">
        <v>56.768000000000001</v>
      </c>
      <c r="AB3304" s="19">
        <v>8.2490000000000006</v>
      </c>
      <c r="AC3304" s="19">
        <v>0.628</v>
      </c>
    </row>
    <row r="3305" spans="1:29" ht="11.65" hidden="1" x14ac:dyDescent="0.35">
      <c r="A3305" s="23">
        <v>3288</v>
      </c>
      <c r="B3305" s="21" t="s">
        <v>1015</v>
      </c>
      <c r="C3305" s="22" t="s">
        <v>1244</v>
      </c>
      <c r="D3305" s="20"/>
      <c r="E3305" s="20">
        <v>924</v>
      </c>
      <c r="F3305" s="21" t="s">
        <v>1065</v>
      </c>
      <c r="G3305" s="20">
        <v>917</v>
      </c>
      <c r="H3305" s="20">
        <v>1960</v>
      </c>
      <c r="I3305" s="19">
        <v>3203.2669999999998</v>
      </c>
      <c r="J3305" s="19">
        <v>3041.0140000000001</v>
      </c>
      <c r="K3305" s="19">
        <v>3369.32</v>
      </c>
      <c r="L3305" s="19">
        <v>2936.0859999999998</v>
      </c>
      <c r="M3305" s="19">
        <v>2662.2620000000002</v>
      </c>
      <c r="N3305" s="19">
        <v>2570.0189999999998</v>
      </c>
      <c r="O3305" s="19">
        <v>2717.893</v>
      </c>
      <c r="P3305" s="19">
        <v>2943.1669999999999</v>
      </c>
      <c r="Q3305" s="19">
        <v>2648.0529999999999</v>
      </c>
      <c r="R3305" s="19">
        <v>2884.5</v>
      </c>
      <c r="S3305" s="19">
        <v>2808.402</v>
      </c>
      <c r="T3305" s="19">
        <v>2594.8359999999998</v>
      </c>
      <c r="U3305" s="19">
        <v>2275.4450000000002</v>
      </c>
      <c r="V3305" s="19">
        <v>1912.0229999999999</v>
      </c>
      <c r="W3305" s="19">
        <v>1544.704</v>
      </c>
      <c r="X3305" s="19">
        <v>1087.5809999999999</v>
      </c>
      <c r="Y3305" s="19">
        <v>635.18399999999997</v>
      </c>
      <c r="Z3305" s="19">
        <v>259.375</v>
      </c>
      <c r="AA3305" s="19">
        <v>67.406000000000006</v>
      </c>
      <c r="AB3305" s="19">
        <v>10.537000000000001</v>
      </c>
      <c r="AC3305" s="19">
        <v>0.81699999999999995</v>
      </c>
    </row>
    <row r="3306" spans="1:29" ht="11.65" hidden="1" x14ac:dyDescent="0.35">
      <c r="A3306" s="23">
        <v>3289</v>
      </c>
      <c r="B3306" s="21" t="s">
        <v>1015</v>
      </c>
      <c r="C3306" s="22" t="s">
        <v>1244</v>
      </c>
      <c r="D3306" s="20"/>
      <c r="E3306" s="20">
        <v>924</v>
      </c>
      <c r="F3306" s="21" t="s">
        <v>1065</v>
      </c>
      <c r="G3306" s="20">
        <v>917</v>
      </c>
      <c r="H3306" s="20">
        <v>1965</v>
      </c>
      <c r="I3306" s="19">
        <v>3584.0680000000002</v>
      </c>
      <c r="J3306" s="19">
        <v>3186.8719999999998</v>
      </c>
      <c r="K3306" s="19">
        <v>3042.0340000000001</v>
      </c>
      <c r="L3306" s="19">
        <v>3349.2249999999999</v>
      </c>
      <c r="M3306" s="19">
        <v>2909.7559999999999</v>
      </c>
      <c r="N3306" s="19">
        <v>2650.3939999999998</v>
      </c>
      <c r="O3306" s="19">
        <v>2552.3829999999998</v>
      </c>
      <c r="P3306" s="19">
        <v>2711.1619999999998</v>
      </c>
      <c r="Q3306" s="19">
        <v>2925.4780000000001</v>
      </c>
      <c r="R3306" s="19">
        <v>2597.9259999999999</v>
      </c>
      <c r="S3306" s="19">
        <v>2819.7510000000002</v>
      </c>
      <c r="T3306" s="19">
        <v>2729.645</v>
      </c>
      <c r="U3306" s="19">
        <v>2474.511</v>
      </c>
      <c r="V3306" s="19">
        <v>2088.4110000000001</v>
      </c>
      <c r="W3306" s="19">
        <v>1643.9949999999999</v>
      </c>
      <c r="X3306" s="19">
        <v>1205.7539999999999</v>
      </c>
      <c r="Y3306" s="19">
        <v>715.76800000000003</v>
      </c>
      <c r="Z3306" s="19">
        <v>304.38499999999999</v>
      </c>
      <c r="AA3306" s="19">
        <v>84.106999999999999</v>
      </c>
      <c r="AB3306" s="19">
        <v>13.041</v>
      </c>
      <c r="AC3306" s="19">
        <v>1.1399999999999999</v>
      </c>
    </row>
    <row r="3307" spans="1:29" ht="11.65" hidden="1" x14ac:dyDescent="0.35">
      <c r="A3307" s="23">
        <v>3290</v>
      </c>
      <c r="B3307" s="21" t="s">
        <v>1015</v>
      </c>
      <c r="C3307" s="22" t="s">
        <v>1244</v>
      </c>
      <c r="D3307" s="20"/>
      <c r="E3307" s="20">
        <v>924</v>
      </c>
      <c r="F3307" s="21" t="s">
        <v>1065</v>
      </c>
      <c r="G3307" s="20">
        <v>917</v>
      </c>
      <c r="H3307" s="20">
        <v>1970</v>
      </c>
      <c r="I3307" s="19">
        <v>3507.9609999999998</v>
      </c>
      <c r="J3307" s="19">
        <v>3557.7440000000001</v>
      </c>
      <c r="K3307" s="19">
        <v>3181.1640000000002</v>
      </c>
      <c r="L3307" s="19">
        <v>3058.4079999999999</v>
      </c>
      <c r="M3307" s="19">
        <v>3368.5410000000002</v>
      </c>
      <c r="N3307" s="19">
        <v>2866.3560000000002</v>
      </c>
      <c r="O3307" s="19">
        <v>2614.567</v>
      </c>
      <c r="P3307" s="19">
        <v>2530.4699999999998</v>
      </c>
      <c r="Q3307" s="19">
        <v>2685.7020000000002</v>
      </c>
      <c r="R3307" s="19">
        <v>2884.0509999999999</v>
      </c>
      <c r="S3307" s="19">
        <v>2535.8960000000002</v>
      </c>
      <c r="T3307" s="19">
        <v>2728.3760000000002</v>
      </c>
      <c r="U3307" s="19">
        <v>2602.9639999999999</v>
      </c>
      <c r="V3307" s="19">
        <v>2284.8870000000002</v>
      </c>
      <c r="W3307" s="19">
        <v>1823.35</v>
      </c>
      <c r="X3307" s="19">
        <v>1287.155</v>
      </c>
      <c r="Y3307" s="19">
        <v>799.47500000000002</v>
      </c>
      <c r="Z3307" s="19">
        <v>361.88600000000002</v>
      </c>
      <c r="AA3307" s="19">
        <v>105.495</v>
      </c>
      <c r="AB3307" s="19">
        <v>17.719000000000001</v>
      </c>
      <c r="AC3307" s="19">
        <v>1.5780000000000001</v>
      </c>
    </row>
    <row r="3308" spans="1:29" ht="11.65" hidden="1" x14ac:dyDescent="0.35">
      <c r="A3308" s="23">
        <v>3291</v>
      </c>
      <c r="B3308" s="21" t="s">
        <v>1015</v>
      </c>
      <c r="C3308" s="22" t="s">
        <v>1244</v>
      </c>
      <c r="D3308" s="20"/>
      <c r="E3308" s="20">
        <v>924</v>
      </c>
      <c r="F3308" s="21" t="s">
        <v>1065</v>
      </c>
      <c r="G3308" s="20">
        <v>917</v>
      </c>
      <c r="H3308" s="20">
        <v>1975</v>
      </c>
      <c r="I3308" s="19">
        <v>3099.502</v>
      </c>
      <c r="J3308" s="19">
        <v>3468.5630000000001</v>
      </c>
      <c r="K3308" s="19">
        <v>3546.7040000000002</v>
      </c>
      <c r="L3308" s="19">
        <v>3215.431</v>
      </c>
      <c r="M3308" s="19">
        <v>3100.3310000000001</v>
      </c>
      <c r="N3308" s="19">
        <v>3360.8829999999998</v>
      </c>
      <c r="O3308" s="19">
        <v>2842.8409999999999</v>
      </c>
      <c r="P3308" s="19">
        <v>2599.518</v>
      </c>
      <c r="Q3308" s="19">
        <v>2506.683</v>
      </c>
      <c r="R3308" s="19">
        <v>2647.21</v>
      </c>
      <c r="S3308" s="19">
        <v>2824.366</v>
      </c>
      <c r="T3308" s="19">
        <v>2459.3809999999999</v>
      </c>
      <c r="U3308" s="19">
        <v>2603.8980000000001</v>
      </c>
      <c r="V3308" s="19">
        <v>2409.5169999999998</v>
      </c>
      <c r="W3308" s="19">
        <v>2008.107</v>
      </c>
      <c r="X3308" s="19">
        <v>1448.008</v>
      </c>
      <c r="Y3308" s="19">
        <v>885.94</v>
      </c>
      <c r="Z3308" s="19">
        <v>417.64499999999998</v>
      </c>
      <c r="AA3308" s="19">
        <v>130.339</v>
      </c>
      <c r="AB3308" s="19">
        <v>22.625</v>
      </c>
      <c r="AC3308" s="19">
        <v>2.141</v>
      </c>
    </row>
    <row r="3309" spans="1:29" ht="11.65" hidden="1" x14ac:dyDescent="0.35">
      <c r="A3309" s="23">
        <v>3292</v>
      </c>
      <c r="B3309" s="21" t="s">
        <v>1015</v>
      </c>
      <c r="C3309" s="22" t="s">
        <v>1244</v>
      </c>
      <c r="D3309" s="20"/>
      <c r="E3309" s="20">
        <v>924</v>
      </c>
      <c r="F3309" s="21" t="s">
        <v>1065</v>
      </c>
      <c r="G3309" s="20">
        <v>917</v>
      </c>
      <c r="H3309" s="20">
        <v>1980</v>
      </c>
      <c r="I3309" s="19">
        <v>2775.4720000000002</v>
      </c>
      <c r="J3309" s="19">
        <v>3089.11</v>
      </c>
      <c r="K3309" s="19">
        <v>3473.5610000000001</v>
      </c>
      <c r="L3309" s="19">
        <v>3584.9589999999998</v>
      </c>
      <c r="M3309" s="19">
        <v>3256.8820000000001</v>
      </c>
      <c r="N3309" s="19">
        <v>3100.5079999999998</v>
      </c>
      <c r="O3309" s="19">
        <v>3346.9059999999999</v>
      </c>
      <c r="P3309" s="19">
        <v>2833.9360000000001</v>
      </c>
      <c r="Q3309" s="19">
        <v>2587.453</v>
      </c>
      <c r="R3309" s="19">
        <v>2483.9769999999999</v>
      </c>
      <c r="S3309" s="19">
        <v>2595.8719999999998</v>
      </c>
      <c r="T3309" s="19">
        <v>2739.2109999999998</v>
      </c>
      <c r="U3309" s="19">
        <v>2350.06</v>
      </c>
      <c r="V3309" s="19">
        <v>2420.89</v>
      </c>
      <c r="W3309" s="19">
        <v>2133.9209999999998</v>
      </c>
      <c r="X3309" s="19">
        <v>1626.184</v>
      </c>
      <c r="Y3309" s="19">
        <v>1006.202</v>
      </c>
      <c r="Z3309" s="19">
        <v>476.08</v>
      </c>
      <c r="AA3309" s="19">
        <v>155.41999999999999</v>
      </c>
      <c r="AB3309" s="19">
        <v>29.274999999999999</v>
      </c>
      <c r="AC3309" s="19">
        <v>2.798</v>
      </c>
    </row>
    <row r="3310" spans="1:29" ht="11.65" hidden="1" x14ac:dyDescent="0.35">
      <c r="A3310" s="23">
        <v>3293</v>
      </c>
      <c r="B3310" s="21" t="s">
        <v>1015</v>
      </c>
      <c r="C3310" s="22" t="s">
        <v>1244</v>
      </c>
      <c r="D3310" s="20"/>
      <c r="E3310" s="20">
        <v>924</v>
      </c>
      <c r="F3310" s="21" t="s">
        <v>1065</v>
      </c>
      <c r="G3310" s="20">
        <v>917</v>
      </c>
      <c r="H3310" s="20">
        <v>1985</v>
      </c>
      <c r="I3310" s="19">
        <v>2862.4430000000002</v>
      </c>
      <c r="J3310" s="19">
        <v>2778.87</v>
      </c>
      <c r="K3310" s="19">
        <v>3089.92</v>
      </c>
      <c r="L3310" s="19">
        <v>3487.596</v>
      </c>
      <c r="M3310" s="19">
        <v>3633.0450000000001</v>
      </c>
      <c r="N3310" s="19">
        <v>3248.5590000000002</v>
      </c>
      <c r="O3310" s="19">
        <v>3076.8220000000001</v>
      </c>
      <c r="P3310" s="19">
        <v>3340.0219999999999</v>
      </c>
      <c r="Q3310" s="19">
        <v>2811.6979999999999</v>
      </c>
      <c r="R3310" s="19">
        <v>2557.9209999999998</v>
      </c>
      <c r="S3310" s="19">
        <v>2441.886</v>
      </c>
      <c r="T3310" s="19">
        <v>2525.6590000000001</v>
      </c>
      <c r="U3310" s="19">
        <v>2619.9009999999998</v>
      </c>
      <c r="V3310" s="19">
        <v>2189.7710000000002</v>
      </c>
      <c r="W3310" s="19">
        <v>2156.614</v>
      </c>
      <c r="X3310" s="19">
        <v>1754.0260000000001</v>
      </c>
      <c r="Y3310" s="19">
        <v>1158.3130000000001</v>
      </c>
      <c r="Z3310" s="19">
        <v>566.01199999999994</v>
      </c>
      <c r="AA3310" s="19">
        <v>187.88900000000001</v>
      </c>
      <c r="AB3310" s="19">
        <v>37.640999999999998</v>
      </c>
      <c r="AC3310" s="19">
        <v>3.9489999999999998</v>
      </c>
    </row>
    <row r="3311" spans="1:29" ht="11.65" hidden="1" x14ac:dyDescent="0.35">
      <c r="A3311" s="23">
        <v>3294</v>
      </c>
      <c r="B3311" s="21" t="s">
        <v>1015</v>
      </c>
      <c r="C3311" s="22" t="s">
        <v>1244</v>
      </c>
      <c r="D3311" s="20"/>
      <c r="E3311" s="20">
        <v>924</v>
      </c>
      <c r="F3311" s="21" t="s">
        <v>1065</v>
      </c>
      <c r="G3311" s="20">
        <v>917</v>
      </c>
      <c r="H3311" s="20">
        <v>1990</v>
      </c>
      <c r="I3311" s="19">
        <v>3022.9830000000002</v>
      </c>
      <c r="J3311" s="19">
        <v>2891.3470000000002</v>
      </c>
      <c r="K3311" s="19">
        <v>2800.8539999999998</v>
      </c>
      <c r="L3311" s="19">
        <v>3112.6460000000002</v>
      </c>
      <c r="M3311" s="19">
        <v>3514.694</v>
      </c>
      <c r="N3311" s="19">
        <v>3635.0219999999999</v>
      </c>
      <c r="O3311" s="19">
        <v>3268.1590000000001</v>
      </c>
      <c r="P3311" s="19">
        <v>3094.2890000000002</v>
      </c>
      <c r="Q3311" s="19">
        <v>3330.6909999999998</v>
      </c>
      <c r="R3311" s="19">
        <v>2789.681</v>
      </c>
      <c r="S3311" s="19">
        <v>2517.5369999999998</v>
      </c>
      <c r="T3311" s="19">
        <v>2380.5680000000002</v>
      </c>
      <c r="U3311" s="19">
        <v>2426.3629999999998</v>
      </c>
      <c r="V3311" s="19">
        <v>2452.011</v>
      </c>
      <c r="W3311" s="19">
        <v>1968.655</v>
      </c>
      <c r="X3311" s="19">
        <v>1798.0260000000001</v>
      </c>
      <c r="Y3311" s="19">
        <v>1285.9169999999999</v>
      </c>
      <c r="Z3311" s="19">
        <v>673.92</v>
      </c>
      <c r="AA3311" s="19">
        <v>231.822</v>
      </c>
      <c r="AB3311" s="19">
        <v>46.915999999999997</v>
      </c>
      <c r="AC3311" s="19">
        <v>5.2149999999999999</v>
      </c>
    </row>
    <row r="3312" spans="1:29" ht="11.65" hidden="1" x14ac:dyDescent="0.35">
      <c r="A3312" s="23">
        <v>3295</v>
      </c>
      <c r="B3312" s="21" t="s">
        <v>1015</v>
      </c>
      <c r="C3312" s="22" t="s">
        <v>1244</v>
      </c>
      <c r="D3312" s="20"/>
      <c r="E3312" s="20">
        <v>924</v>
      </c>
      <c r="F3312" s="21" t="s">
        <v>1065</v>
      </c>
      <c r="G3312" s="20">
        <v>917</v>
      </c>
      <c r="H3312" s="20">
        <v>1995</v>
      </c>
      <c r="I3312" s="19">
        <v>2988.6410000000001</v>
      </c>
      <c r="J3312" s="19">
        <v>3028.5630000000001</v>
      </c>
      <c r="K3312" s="19">
        <v>2900.7440000000001</v>
      </c>
      <c r="L3312" s="19">
        <v>2815.3960000000002</v>
      </c>
      <c r="M3312" s="19">
        <v>3152.944</v>
      </c>
      <c r="N3312" s="19">
        <v>3540.1970000000001</v>
      </c>
      <c r="O3312" s="19">
        <v>3627.585</v>
      </c>
      <c r="P3312" s="19">
        <v>3267.3710000000001</v>
      </c>
      <c r="Q3312" s="19">
        <v>3082.893</v>
      </c>
      <c r="R3312" s="19">
        <v>3298.2550000000001</v>
      </c>
      <c r="S3312" s="19">
        <v>2754.1289999999999</v>
      </c>
      <c r="T3312" s="19">
        <v>2464.4349999999999</v>
      </c>
      <c r="U3312" s="19">
        <v>2295.8760000000002</v>
      </c>
      <c r="V3312" s="19">
        <v>2279.2669999999998</v>
      </c>
      <c r="W3312" s="19">
        <v>2210.5430000000001</v>
      </c>
      <c r="X3312" s="19">
        <v>1660.722</v>
      </c>
      <c r="Y3312" s="19">
        <v>1340.0160000000001</v>
      </c>
      <c r="Z3312" s="19">
        <v>771.39400000000001</v>
      </c>
      <c r="AA3312" s="19">
        <v>286.55799999999999</v>
      </c>
      <c r="AB3312" s="19">
        <v>59.737000000000002</v>
      </c>
      <c r="AC3312" s="19">
        <v>6.601</v>
      </c>
    </row>
    <row r="3313" spans="1:29" ht="11.65" hidden="1" x14ac:dyDescent="0.35">
      <c r="A3313" s="23">
        <v>3296</v>
      </c>
      <c r="B3313" s="21" t="s">
        <v>1015</v>
      </c>
      <c r="C3313" s="22" t="s">
        <v>1244</v>
      </c>
      <c r="D3313" s="20"/>
      <c r="E3313" s="20">
        <v>924</v>
      </c>
      <c r="F3313" s="21" t="s">
        <v>1065</v>
      </c>
      <c r="G3313" s="20">
        <v>917</v>
      </c>
      <c r="H3313" s="20">
        <v>2000</v>
      </c>
      <c r="I3313" s="19">
        <v>2722.9229999999998</v>
      </c>
      <c r="J3313" s="19">
        <v>2998.3290000000002</v>
      </c>
      <c r="K3313" s="19">
        <v>3042.1</v>
      </c>
      <c r="L3313" s="19">
        <v>2905.3690000000001</v>
      </c>
      <c r="M3313" s="19">
        <v>2894.5120000000002</v>
      </c>
      <c r="N3313" s="19">
        <v>3259.6190000000001</v>
      </c>
      <c r="O3313" s="19">
        <v>3601.1509999999998</v>
      </c>
      <c r="P3313" s="19">
        <v>3644.2669999999998</v>
      </c>
      <c r="Q3313" s="19">
        <v>3267.8139999999999</v>
      </c>
      <c r="R3313" s="19">
        <v>3068.2179999999998</v>
      </c>
      <c r="S3313" s="19">
        <v>3255.9229999999998</v>
      </c>
      <c r="T3313" s="19">
        <v>2703.4769999999999</v>
      </c>
      <c r="U3313" s="19">
        <v>2391.3850000000002</v>
      </c>
      <c r="V3313" s="19">
        <v>2181.7449999999999</v>
      </c>
      <c r="W3313" s="19">
        <v>2076.09</v>
      </c>
      <c r="X3313" s="19">
        <v>1881.8330000000001</v>
      </c>
      <c r="Y3313" s="19">
        <v>1269.299</v>
      </c>
      <c r="Z3313" s="19">
        <v>822.80799999999999</v>
      </c>
      <c r="AA3313" s="19">
        <v>334.66199999999998</v>
      </c>
      <c r="AB3313" s="19">
        <v>74.021000000000001</v>
      </c>
      <c r="AC3313" s="19">
        <v>8.1989999999999998</v>
      </c>
    </row>
    <row r="3314" spans="1:29" ht="11.65" hidden="1" x14ac:dyDescent="0.35">
      <c r="A3314" s="23">
        <v>3297</v>
      </c>
      <c r="B3314" s="21" t="s">
        <v>1015</v>
      </c>
      <c r="C3314" s="22" t="s">
        <v>1244</v>
      </c>
      <c r="D3314" s="20"/>
      <c r="E3314" s="20">
        <v>924</v>
      </c>
      <c r="F3314" s="21" t="s">
        <v>1065</v>
      </c>
      <c r="G3314" s="20">
        <v>917</v>
      </c>
      <c r="H3314" s="20">
        <v>2005</v>
      </c>
      <c r="I3314" s="19">
        <v>2681.56</v>
      </c>
      <c r="J3314" s="19">
        <v>2737.433</v>
      </c>
      <c r="K3314" s="19">
        <v>3012.2130000000002</v>
      </c>
      <c r="L3314" s="19">
        <v>3088.4409999999998</v>
      </c>
      <c r="M3314" s="19">
        <v>3064.62</v>
      </c>
      <c r="N3314" s="19">
        <v>3055.4650000000001</v>
      </c>
      <c r="O3314" s="19">
        <v>3351.5430000000001</v>
      </c>
      <c r="P3314" s="19">
        <v>3640.0619999999999</v>
      </c>
      <c r="Q3314" s="19">
        <v>3652.364</v>
      </c>
      <c r="R3314" s="19">
        <v>3247.5590000000002</v>
      </c>
      <c r="S3314" s="19">
        <v>3023.7049999999999</v>
      </c>
      <c r="T3314" s="19">
        <v>3182.7840000000001</v>
      </c>
      <c r="U3314" s="19">
        <v>2617.7280000000001</v>
      </c>
      <c r="V3314" s="19">
        <v>2278.1129999999998</v>
      </c>
      <c r="W3314" s="19">
        <v>2012.9190000000001</v>
      </c>
      <c r="X3314" s="19">
        <v>1797.787</v>
      </c>
      <c r="Y3314" s="19">
        <v>1459.066</v>
      </c>
      <c r="Z3314" s="19">
        <v>806.02099999999996</v>
      </c>
      <c r="AA3314" s="19">
        <v>370.49</v>
      </c>
      <c r="AB3314" s="19">
        <v>89.77</v>
      </c>
      <c r="AC3314" s="19">
        <v>10.398999999999999</v>
      </c>
    </row>
    <row r="3315" spans="1:29" ht="11.65" hidden="1" x14ac:dyDescent="0.35">
      <c r="A3315" s="23">
        <v>3298</v>
      </c>
      <c r="B3315" s="21" t="s">
        <v>1015</v>
      </c>
      <c r="C3315" s="22" t="s">
        <v>1244</v>
      </c>
      <c r="D3315" s="20"/>
      <c r="E3315" s="20">
        <v>924</v>
      </c>
      <c r="F3315" s="21" t="s">
        <v>1065</v>
      </c>
      <c r="G3315" s="20">
        <v>917</v>
      </c>
      <c r="H3315" s="20">
        <v>2010</v>
      </c>
      <c r="I3315" s="19">
        <v>2985.5140000000001</v>
      </c>
      <c r="J3315" s="19">
        <v>2727.9470000000001</v>
      </c>
      <c r="K3315" s="19">
        <v>2814.73</v>
      </c>
      <c r="L3315" s="19">
        <v>3140.5729999999999</v>
      </c>
      <c r="M3315" s="19">
        <v>3342.011</v>
      </c>
      <c r="N3315" s="19">
        <v>3364.3220000000001</v>
      </c>
      <c r="O3315" s="19">
        <v>3286.576</v>
      </c>
      <c r="P3315" s="19">
        <v>3401.1219999999998</v>
      </c>
      <c r="Q3315" s="19">
        <v>3643.931</v>
      </c>
      <c r="R3315" s="19">
        <v>3637.67</v>
      </c>
      <c r="S3315" s="19">
        <v>3278.395</v>
      </c>
      <c r="T3315" s="19">
        <v>3007.002</v>
      </c>
      <c r="U3315" s="19">
        <v>3131.875</v>
      </c>
      <c r="V3315" s="19">
        <v>2516.7109999999998</v>
      </c>
      <c r="W3315" s="19">
        <v>2120.491</v>
      </c>
      <c r="X3315" s="19">
        <v>1787.75</v>
      </c>
      <c r="Y3315" s="19">
        <v>1458.8679999999999</v>
      </c>
      <c r="Z3315" s="19">
        <v>963.08199999999999</v>
      </c>
      <c r="AA3315" s="19">
        <v>386.435</v>
      </c>
      <c r="AB3315" s="19">
        <v>106.55</v>
      </c>
      <c r="AC3315" s="19">
        <v>13.483000000000001</v>
      </c>
    </row>
    <row r="3316" spans="1:29" ht="11.65" hidden="1" x14ac:dyDescent="0.35">
      <c r="A3316" s="23">
        <v>3299</v>
      </c>
      <c r="B3316" s="21" t="s">
        <v>1015</v>
      </c>
      <c r="C3316" s="22" t="s">
        <v>1244</v>
      </c>
      <c r="D3316" s="20"/>
      <c r="E3316" s="20">
        <v>924</v>
      </c>
      <c r="F3316" s="21" t="s">
        <v>1065</v>
      </c>
      <c r="G3316" s="20">
        <v>917</v>
      </c>
      <c r="H3316" s="20">
        <v>2015</v>
      </c>
      <c r="I3316" s="19">
        <v>3070.6779999999999</v>
      </c>
      <c r="J3316" s="19">
        <v>3020.2959999999998</v>
      </c>
      <c r="K3316" s="19">
        <v>2751.0079999999998</v>
      </c>
      <c r="L3316" s="19">
        <v>2904.6529999999998</v>
      </c>
      <c r="M3316" s="19">
        <v>3303.317</v>
      </c>
      <c r="N3316" s="19">
        <v>3477.5859999999998</v>
      </c>
      <c r="O3316" s="19">
        <v>3462.0059999999999</v>
      </c>
      <c r="P3316" s="19">
        <v>3352.9670000000001</v>
      </c>
      <c r="Q3316" s="19">
        <v>3427.9760000000001</v>
      </c>
      <c r="R3316" s="19">
        <v>3663.415</v>
      </c>
      <c r="S3316" s="19">
        <v>3607.53</v>
      </c>
      <c r="T3316" s="19">
        <v>3230.9549999999999</v>
      </c>
      <c r="U3316" s="19">
        <v>2925.83</v>
      </c>
      <c r="V3316" s="19">
        <v>3027.9369999999999</v>
      </c>
      <c r="W3316" s="19">
        <v>2348.4229999999998</v>
      </c>
      <c r="X3316" s="19">
        <v>1892.4739999999999</v>
      </c>
      <c r="Y3316" s="19">
        <v>1456.2070000000001</v>
      </c>
      <c r="Z3316" s="19">
        <v>995.81</v>
      </c>
      <c r="AA3316" s="19">
        <v>481.30599999999998</v>
      </c>
      <c r="AB3316" s="19">
        <v>117.57599999999999</v>
      </c>
      <c r="AC3316" s="19">
        <v>16.943000000000001</v>
      </c>
    </row>
    <row r="3317" spans="1:29" ht="11.65" hidden="1" x14ac:dyDescent="0.35">
      <c r="A3317" s="23">
        <v>3300</v>
      </c>
      <c r="B3317" s="21" t="s">
        <v>1015</v>
      </c>
      <c r="C3317" s="22" t="s">
        <v>1244</v>
      </c>
      <c r="D3317" s="20"/>
      <c r="E3317" s="20">
        <v>924</v>
      </c>
      <c r="F3317" s="21" t="s">
        <v>1065</v>
      </c>
      <c r="G3317" s="20">
        <v>917</v>
      </c>
      <c r="H3317" s="20">
        <v>2020</v>
      </c>
      <c r="I3317" s="19">
        <v>2960.6959999999999</v>
      </c>
      <c r="J3317" s="19">
        <v>3095.4180000000001</v>
      </c>
      <c r="K3317" s="19">
        <v>3029.6320000000001</v>
      </c>
      <c r="L3317" s="19">
        <v>2842.2130000000002</v>
      </c>
      <c r="M3317" s="19">
        <v>3061.4670000000001</v>
      </c>
      <c r="N3317" s="19">
        <v>3464.7159999999999</v>
      </c>
      <c r="O3317" s="19">
        <v>3596.3649999999998</v>
      </c>
      <c r="P3317" s="19">
        <v>3517.875</v>
      </c>
      <c r="Q3317" s="19">
        <v>3383.6039999999998</v>
      </c>
      <c r="R3317" s="19">
        <v>3440.9810000000002</v>
      </c>
      <c r="S3317" s="19">
        <v>3630.384</v>
      </c>
      <c r="T3317" s="19">
        <v>3575.6979999999999</v>
      </c>
      <c r="U3317" s="19">
        <v>3152.125</v>
      </c>
      <c r="V3317" s="19">
        <v>2839.0210000000002</v>
      </c>
      <c r="W3317" s="19">
        <v>2824.8649999999998</v>
      </c>
      <c r="X3317" s="19">
        <v>2129.471</v>
      </c>
      <c r="Y3317" s="19">
        <v>1539.3710000000001</v>
      </c>
      <c r="Z3317" s="19">
        <v>1010.122</v>
      </c>
      <c r="AA3317" s="19">
        <v>509.798</v>
      </c>
      <c r="AB3317" s="19">
        <v>150.84299999999999</v>
      </c>
      <c r="AC3317" s="19">
        <v>19.224</v>
      </c>
    </row>
    <row r="3318" spans="1:29" ht="11.65" hidden="1" x14ac:dyDescent="0.35">
      <c r="A3318" s="12">
        <v>3301</v>
      </c>
      <c r="B3318" s="10" t="s">
        <v>1015</v>
      </c>
      <c r="C3318" s="18" t="s">
        <v>1245</v>
      </c>
      <c r="D3318" s="9">
        <v>20</v>
      </c>
      <c r="E3318" s="9">
        <v>830</v>
      </c>
      <c r="F3318" s="10" t="s">
        <v>1066</v>
      </c>
      <c r="G3318" s="9">
        <v>924</v>
      </c>
      <c r="H3318" s="9">
        <v>1950</v>
      </c>
      <c r="I3318" s="8">
        <v>4.1840000000000002</v>
      </c>
      <c r="J3318" s="8">
        <v>3.0790000000000002</v>
      </c>
      <c r="K3318" s="8">
        <v>3.43</v>
      </c>
      <c r="L3318" s="8">
        <v>3.359</v>
      </c>
      <c r="M3318" s="8">
        <v>3.7040000000000002</v>
      </c>
      <c r="N3318" s="8">
        <v>3.8279999999999998</v>
      </c>
      <c r="O3318" s="8">
        <v>3.4990000000000001</v>
      </c>
      <c r="P3318" s="8">
        <v>3.927</v>
      </c>
      <c r="Q3318" s="8">
        <v>3.8330000000000002</v>
      </c>
      <c r="R3318" s="8">
        <v>3.5880000000000001</v>
      </c>
      <c r="S3318" s="8">
        <v>3.4380000000000002</v>
      </c>
      <c r="T3318" s="8">
        <v>3.0489999999999999</v>
      </c>
      <c r="U3318" s="8">
        <v>2.9209999999999998</v>
      </c>
      <c r="V3318" s="8">
        <v>2.52</v>
      </c>
      <c r="W3318" s="8">
        <v>2.0419999999999998</v>
      </c>
      <c r="X3318" s="8">
        <v>1.4159999999999999</v>
      </c>
      <c r="Y3318" s="8">
        <v>0.83399999999999996</v>
      </c>
      <c r="Z3318" s="8">
        <v>0.502</v>
      </c>
      <c r="AA3318" s="8">
        <v>0</v>
      </c>
      <c r="AB3318" s="8">
        <v>0</v>
      </c>
      <c r="AC3318" s="8">
        <v>0</v>
      </c>
    </row>
    <row r="3319" spans="1:29" ht="11.65" hidden="1" x14ac:dyDescent="0.35">
      <c r="A3319" s="12">
        <v>3302</v>
      </c>
      <c r="B3319" s="10" t="s">
        <v>1015</v>
      </c>
      <c r="C3319" s="18" t="s">
        <v>1245</v>
      </c>
      <c r="D3319" s="9">
        <v>20</v>
      </c>
      <c r="E3319" s="9">
        <v>830</v>
      </c>
      <c r="F3319" s="10" t="s">
        <v>1066</v>
      </c>
      <c r="G3319" s="9">
        <v>924</v>
      </c>
      <c r="H3319" s="9">
        <v>1955</v>
      </c>
      <c r="I3319" s="8">
        <v>4.0599999999999996</v>
      </c>
      <c r="J3319" s="8">
        <v>3.2869999999999999</v>
      </c>
      <c r="K3319" s="8">
        <v>3.72</v>
      </c>
      <c r="L3319" s="8">
        <v>3.3330000000000002</v>
      </c>
      <c r="M3319" s="8">
        <v>3.7709999999999999</v>
      </c>
      <c r="N3319" s="8">
        <v>3.6640000000000001</v>
      </c>
      <c r="O3319" s="8">
        <v>3.5150000000000001</v>
      </c>
      <c r="P3319" s="8">
        <v>3.8180000000000001</v>
      </c>
      <c r="Q3319" s="8">
        <v>3.6869999999999998</v>
      </c>
      <c r="R3319" s="8">
        <v>3.7690000000000001</v>
      </c>
      <c r="S3319" s="8">
        <v>3.6669999999999998</v>
      </c>
      <c r="T3319" s="8">
        <v>3.3330000000000002</v>
      </c>
      <c r="U3319" s="8">
        <v>3.1309999999999998</v>
      </c>
      <c r="V3319" s="8">
        <v>2.6840000000000002</v>
      </c>
      <c r="W3319" s="8">
        <v>2.2090000000000001</v>
      </c>
      <c r="X3319" s="8">
        <v>1.577</v>
      </c>
      <c r="Y3319" s="8">
        <v>0.94099999999999995</v>
      </c>
      <c r="Z3319" s="8">
        <v>0.373</v>
      </c>
      <c r="AA3319" s="8">
        <v>0.14499999999999999</v>
      </c>
      <c r="AB3319" s="8">
        <v>0</v>
      </c>
      <c r="AC3319" s="8">
        <v>0</v>
      </c>
    </row>
    <row r="3320" spans="1:29" ht="11.65" hidden="1" x14ac:dyDescent="0.35">
      <c r="A3320" s="12">
        <v>3303</v>
      </c>
      <c r="B3320" s="10" t="s">
        <v>1015</v>
      </c>
      <c r="C3320" s="18" t="s">
        <v>1245</v>
      </c>
      <c r="D3320" s="9">
        <v>20</v>
      </c>
      <c r="E3320" s="9">
        <v>830</v>
      </c>
      <c r="F3320" s="10" t="s">
        <v>1066</v>
      </c>
      <c r="G3320" s="9">
        <v>924</v>
      </c>
      <c r="H3320" s="9">
        <v>1960</v>
      </c>
      <c r="I3320" s="8">
        <v>3.9649999999999999</v>
      </c>
      <c r="J3320" s="8">
        <v>3.4780000000000002</v>
      </c>
      <c r="K3320" s="8">
        <v>4.0179999999999998</v>
      </c>
      <c r="L3320" s="8">
        <v>3.3</v>
      </c>
      <c r="M3320" s="8">
        <v>3.8380000000000001</v>
      </c>
      <c r="N3320" s="8">
        <v>3.5059999999999998</v>
      </c>
      <c r="O3320" s="8">
        <v>3.5230000000000001</v>
      </c>
      <c r="P3320" s="8">
        <v>3.7029999999999998</v>
      </c>
      <c r="Q3320" s="8">
        <v>3.5409999999999999</v>
      </c>
      <c r="R3320" s="8">
        <v>3.9510000000000001</v>
      </c>
      <c r="S3320" s="8">
        <v>3.911</v>
      </c>
      <c r="T3320" s="8">
        <v>3.6429999999999998</v>
      </c>
      <c r="U3320" s="8">
        <v>3.359</v>
      </c>
      <c r="V3320" s="8">
        <v>2.8730000000000002</v>
      </c>
      <c r="W3320" s="8">
        <v>2.41</v>
      </c>
      <c r="X3320" s="8">
        <v>1.7829999999999999</v>
      </c>
      <c r="Y3320" s="8">
        <v>1.08</v>
      </c>
      <c r="Z3320" s="8">
        <v>0.438</v>
      </c>
      <c r="AA3320" s="8">
        <v>0.114</v>
      </c>
      <c r="AB3320" s="8">
        <v>2.5000000000000001E-2</v>
      </c>
      <c r="AC3320" s="8">
        <v>0</v>
      </c>
    </row>
    <row r="3321" spans="1:29" ht="11.65" hidden="1" x14ac:dyDescent="0.35">
      <c r="A3321" s="12">
        <v>3304</v>
      </c>
      <c r="B3321" s="10" t="s">
        <v>1015</v>
      </c>
      <c r="C3321" s="18" t="s">
        <v>1245</v>
      </c>
      <c r="D3321" s="9">
        <v>20</v>
      </c>
      <c r="E3321" s="9">
        <v>830</v>
      </c>
      <c r="F3321" s="10" t="s">
        <v>1066</v>
      </c>
      <c r="G3321" s="9">
        <v>924</v>
      </c>
      <c r="H3321" s="9">
        <v>1965</v>
      </c>
      <c r="I3321" s="8">
        <v>4.08</v>
      </c>
      <c r="J3321" s="8">
        <v>3.948</v>
      </c>
      <c r="K3321" s="8">
        <v>4.05</v>
      </c>
      <c r="L3321" s="8">
        <v>3.516</v>
      </c>
      <c r="M3321" s="8">
        <v>4.3899999999999997</v>
      </c>
      <c r="N3321" s="8">
        <v>3.7029999999999998</v>
      </c>
      <c r="O3321" s="8">
        <v>3.6850000000000001</v>
      </c>
      <c r="P3321" s="8">
        <v>3.63</v>
      </c>
      <c r="Q3321" s="8">
        <v>3.5830000000000002</v>
      </c>
      <c r="R3321" s="8">
        <v>3.9260000000000002</v>
      </c>
      <c r="S3321" s="8">
        <v>3.8359999999999999</v>
      </c>
      <c r="T3321" s="8">
        <v>3.8159999999999998</v>
      </c>
      <c r="U3321" s="8">
        <v>3.569</v>
      </c>
      <c r="V3321" s="8">
        <v>3.1120000000000001</v>
      </c>
      <c r="W3321" s="8">
        <v>2.5619999999999998</v>
      </c>
      <c r="X3321" s="8">
        <v>1.8779999999999999</v>
      </c>
      <c r="Y3321" s="8">
        <v>1.222</v>
      </c>
      <c r="Z3321" s="8">
        <v>0.51300000000000001</v>
      </c>
      <c r="AA3321" s="8">
        <v>0.13500000000000001</v>
      </c>
      <c r="AB3321" s="8">
        <v>1.9E-2</v>
      </c>
      <c r="AC3321" s="8">
        <v>2E-3</v>
      </c>
    </row>
    <row r="3322" spans="1:29" ht="11.65" hidden="1" x14ac:dyDescent="0.35">
      <c r="A3322" s="12">
        <v>3305</v>
      </c>
      <c r="B3322" s="10" t="s">
        <v>1015</v>
      </c>
      <c r="C3322" s="18" t="s">
        <v>1245</v>
      </c>
      <c r="D3322" s="9">
        <v>20</v>
      </c>
      <c r="E3322" s="9">
        <v>830</v>
      </c>
      <c r="F3322" s="10" t="s">
        <v>1066</v>
      </c>
      <c r="G3322" s="9">
        <v>924</v>
      </c>
      <c r="H3322" s="9">
        <v>1970</v>
      </c>
      <c r="I3322" s="8">
        <v>4.2469999999999999</v>
      </c>
      <c r="J3322" s="8">
        <v>4.5110000000000001</v>
      </c>
      <c r="K3322" s="8">
        <v>4.0510000000000002</v>
      </c>
      <c r="L3322" s="8">
        <v>3.774</v>
      </c>
      <c r="M3322" s="8">
        <v>5.1189999999999998</v>
      </c>
      <c r="N3322" s="8">
        <v>3.9780000000000002</v>
      </c>
      <c r="O3322" s="8">
        <v>3.8759999999999999</v>
      </c>
      <c r="P3322" s="8">
        <v>3.5640000000000001</v>
      </c>
      <c r="Q3322" s="8">
        <v>3.6509999999999998</v>
      </c>
      <c r="R3322" s="8">
        <v>3.8479999999999999</v>
      </c>
      <c r="S3322" s="8">
        <v>3.7040000000000002</v>
      </c>
      <c r="T3322" s="8">
        <v>3.9550000000000001</v>
      </c>
      <c r="U3322" s="8">
        <v>3.78</v>
      </c>
      <c r="V3322" s="8">
        <v>3.3719999999999999</v>
      </c>
      <c r="W3322" s="8">
        <v>2.6960000000000002</v>
      </c>
      <c r="X3322" s="8">
        <v>1.9410000000000001</v>
      </c>
      <c r="Y3322" s="8">
        <v>1.359</v>
      </c>
      <c r="Z3322" s="8">
        <v>0.59699999999999998</v>
      </c>
      <c r="AA3322" s="8">
        <v>0.16600000000000001</v>
      </c>
      <c r="AB3322" s="8">
        <v>2.5000000000000001E-2</v>
      </c>
      <c r="AC3322" s="8">
        <v>2E-3</v>
      </c>
    </row>
    <row r="3323" spans="1:29" ht="11.65" hidden="1" x14ac:dyDescent="0.35">
      <c r="A3323" s="12">
        <v>3306</v>
      </c>
      <c r="B3323" s="10" t="s">
        <v>1015</v>
      </c>
      <c r="C3323" s="18" t="s">
        <v>1245</v>
      </c>
      <c r="D3323" s="9">
        <v>20</v>
      </c>
      <c r="E3323" s="9">
        <v>830</v>
      </c>
      <c r="F3323" s="10" t="s">
        <v>1066</v>
      </c>
      <c r="G3323" s="9">
        <v>924</v>
      </c>
      <c r="H3323" s="9">
        <v>1975</v>
      </c>
      <c r="I3323" s="8">
        <v>3.5419999999999998</v>
      </c>
      <c r="J3323" s="8">
        <v>4.3179999999999996</v>
      </c>
      <c r="K3323" s="8">
        <v>4.5999999999999996</v>
      </c>
      <c r="L3323" s="8">
        <v>4.5620000000000003</v>
      </c>
      <c r="M3323" s="8">
        <v>5.2030000000000003</v>
      </c>
      <c r="N3323" s="8">
        <v>5.4569999999999999</v>
      </c>
      <c r="O3323" s="8">
        <v>4.0110000000000001</v>
      </c>
      <c r="P3323" s="8">
        <v>3.9350000000000001</v>
      </c>
      <c r="Q3323" s="8">
        <v>3.6749999999999998</v>
      </c>
      <c r="R3323" s="8">
        <v>3.7269999999999999</v>
      </c>
      <c r="S3323" s="8">
        <v>3.8730000000000002</v>
      </c>
      <c r="T3323" s="8">
        <v>3.351</v>
      </c>
      <c r="U3323" s="8">
        <v>3.839</v>
      </c>
      <c r="V3323" s="8">
        <v>3.4780000000000002</v>
      </c>
      <c r="W3323" s="8">
        <v>2.95</v>
      </c>
      <c r="X3323" s="8">
        <v>2.1619999999999999</v>
      </c>
      <c r="Y3323" s="8">
        <v>1.379</v>
      </c>
      <c r="Z3323" s="8">
        <v>0.67600000000000005</v>
      </c>
      <c r="AA3323" s="8">
        <v>0.19800000000000001</v>
      </c>
      <c r="AB3323" s="8">
        <v>3.2000000000000001E-2</v>
      </c>
      <c r="AC3323" s="8">
        <v>3.0000000000000001E-3</v>
      </c>
    </row>
    <row r="3324" spans="1:29" ht="11.65" hidden="1" x14ac:dyDescent="0.35">
      <c r="A3324" s="12">
        <v>3307</v>
      </c>
      <c r="B3324" s="10" t="s">
        <v>1015</v>
      </c>
      <c r="C3324" s="18" t="s">
        <v>1245</v>
      </c>
      <c r="D3324" s="9">
        <v>20</v>
      </c>
      <c r="E3324" s="9">
        <v>830</v>
      </c>
      <c r="F3324" s="10" t="s">
        <v>1066</v>
      </c>
      <c r="G3324" s="9">
        <v>924</v>
      </c>
      <c r="H3324" s="9">
        <v>1980</v>
      </c>
      <c r="I3324" s="8">
        <v>3.3610000000000002</v>
      </c>
      <c r="J3324" s="8">
        <v>3.6480000000000001</v>
      </c>
      <c r="K3324" s="8">
        <v>4.4539999999999997</v>
      </c>
      <c r="L3324" s="8">
        <v>5.0069999999999997</v>
      </c>
      <c r="M3324" s="8">
        <v>5.3929999999999998</v>
      </c>
      <c r="N3324" s="8">
        <v>5.1109999999999998</v>
      </c>
      <c r="O3324" s="8">
        <v>5.0579999999999998</v>
      </c>
      <c r="P3324" s="8">
        <v>4.0510000000000002</v>
      </c>
      <c r="Q3324" s="8">
        <v>4.0270000000000001</v>
      </c>
      <c r="R3324" s="8">
        <v>3.726</v>
      </c>
      <c r="S3324" s="8">
        <v>3.7429999999999999</v>
      </c>
      <c r="T3324" s="8">
        <v>3.633</v>
      </c>
      <c r="U3324" s="8">
        <v>3.49</v>
      </c>
      <c r="V3324" s="8">
        <v>3.4540000000000002</v>
      </c>
      <c r="W3324" s="8">
        <v>3.044</v>
      </c>
      <c r="X3324" s="8">
        <v>2.415</v>
      </c>
      <c r="Y3324" s="8">
        <v>1.518</v>
      </c>
      <c r="Z3324" s="8">
        <v>0.70799999999999996</v>
      </c>
      <c r="AA3324" s="8">
        <v>0.23200000000000001</v>
      </c>
      <c r="AB3324" s="8">
        <v>4.1000000000000002E-2</v>
      </c>
      <c r="AC3324" s="8">
        <v>4.0000000000000001E-3</v>
      </c>
    </row>
    <row r="3325" spans="1:29" ht="11.65" hidden="1" x14ac:dyDescent="0.35">
      <c r="A3325" s="12">
        <v>3308</v>
      </c>
      <c r="B3325" s="10" t="s">
        <v>1015</v>
      </c>
      <c r="C3325" s="18" t="s">
        <v>1245</v>
      </c>
      <c r="D3325" s="9">
        <v>20</v>
      </c>
      <c r="E3325" s="9">
        <v>830</v>
      </c>
      <c r="F3325" s="10" t="s">
        <v>1066</v>
      </c>
      <c r="G3325" s="9">
        <v>924</v>
      </c>
      <c r="H3325" s="9">
        <v>1985</v>
      </c>
      <c r="I3325" s="8">
        <v>3.4870000000000001</v>
      </c>
      <c r="J3325" s="8">
        <v>3.48</v>
      </c>
      <c r="K3325" s="8">
        <v>3.827</v>
      </c>
      <c r="L3325" s="8">
        <v>4.8</v>
      </c>
      <c r="M3325" s="8">
        <v>6.17</v>
      </c>
      <c r="N3325" s="8">
        <v>5.6429999999999998</v>
      </c>
      <c r="O3325" s="8">
        <v>5.12</v>
      </c>
      <c r="P3325" s="8">
        <v>5.2889999999999997</v>
      </c>
      <c r="Q3325" s="8">
        <v>4.1559999999999997</v>
      </c>
      <c r="R3325" s="8">
        <v>4.0350000000000001</v>
      </c>
      <c r="S3325" s="8">
        <v>3.7320000000000002</v>
      </c>
      <c r="T3325" s="8">
        <v>3.6539999999999999</v>
      </c>
      <c r="U3325" s="8">
        <v>3.5419999999999998</v>
      </c>
      <c r="V3325" s="8">
        <v>3.2360000000000002</v>
      </c>
      <c r="W3325" s="8">
        <v>3.1480000000000001</v>
      </c>
      <c r="X3325" s="8">
        <v>2.552</v>
      </c>
      <c r="Y3325" s="8">
        <v>1.772</v>
      </c>
      <c r="Z3325" s="8">
        <v>0.81399999999999995</v>
      </c>
      <c r="AA3325" s="8">
        <v>0.25900000000000001</v>
      </c>
      <c r="AB3325" s="8">
        <v>5.0999999999999997E-2</v>
      </c>
      <c r="AC3325" s="8">
        <v>5.0000000000000001E-3</v>
      </c>
    </row>
    <row r="3326" spans="1:29" ht="11.65" hidden="1" x14ac:dyDescent="0.35">
      <c r="A3326" s="12">
        <v>3309</v>
      </c>
      <c r="B3326" s="10" t="s">
        <v>1015</v>
      </c>
      <c r="C3326" s="18" t="s">
        <v>1245</v>
      </c>
      <c r="D3326" s="9">
        <v>20</v>
      </c>
      <c r="E3326" s="9">
        <v>830</v>
      </c>
      <c r="F3326" s="10" t="s">
        <v>1066</v>
      </c>
      <c r="G3326" s="9">
        <v>924</v>
      </c>
      <c r="H3326" s="9">
        <v>1990</v>
      </c>
      <c r="I3326" s="8">
        <v>3.95</v>
      </c>
      <c r="J3326" s="8">
        <v>3.5779999999999998</v>
      </c>
      <c r="K3326" s="8">
        <v>3.5920000000000001</v>
      </c>
      <c r="L3326" s="8">
        <v>4.2709999999999999</v>
      </c>
      <c r="M3326" s="8">
        <v>6.6050000000000004</v>
      </c>
      <c r="N3326" s="8">
        <v>6.5529999999999999</v>
      </c>
      <c r="O3326" s="8">
        <v>5.649</v>
      </c>
      <c r="P3326" s="8">
        <v>5.2169999999999996</v>
      </c>
      <c r="Q3326" s="8">
        <v>5.3310000000000004</v>
      </c>
      <c r="R3326" s="8">
        <v>4.2130000000000001</v>
      </c>
      <c r="S3326" s="8">
        <v>3.9980000000000002</v>
      </c>
      <c r="T3326" s="8">
        <v>3.621</v>
      </c>
      <c r="U3326" s="8">
        <v>3.5</v>
      </c>
      <c r="V3326" s="8">
        <v>3.302</v>
      </c>
      <c r="W3326" s="8">
        <v>2.9159999999999999</v>
      </c>
      <c r="X3326" s="8">
        <v>2.6659999999999999</v>
      </c>
      <c r="Y3326" s="8">
        <v>1.95</v>
      </c>
      <c r="Z3326" s="8">
        <v>0.98299999999999998</v>
      </c>
      <c r="AA3326" s="8">
        <v>0.313</v>
      </c>
      <c r="AB3326" s="8">
        <v>6.2E-2</v>
      </c>
      <c r="AC3326" s="8">
        <v>7.0000000000000001E-3</v>
      </c>
    </row>
    <row r="3327" spans="1:29" ht="11.65" hidden="1" x14ac:dyDescent="0.35">
      <c r="A3327" s="12">
        <v>3310</v>
      </c>
      <c r="B3327" s="10" t="s">
        <v>1015</v>
      </c>
      <c r="C3327" s="18" t="s">
        <v>1245</v>
      </c>
      <c r="D3327" s="9">
        <v>20</v>
      </c>
      <c r="E3327" s="9">
        <v>830</v>
      </c>
      <c r="F3327" s="10" t="s">
        <v>1066</v>
      </c>
      <c r="G3327" s="9">
        <v>924</v>
      </c>
      <c r="H3327" s="9">
        <v>1995</v>
      </c>
      <c r="I3327" s="8">
        <v>4.0339999999999998</v>
      </c>
      <c r="J3327" s="8">
        <v>4.133</v>
      </c>
      <c r="K3327" s="8">
        <v>3.7010000000000001</v>
      </c>
      <c r="L3327" s="8">
        <v>3.843</v>
      </c>
      <c r="M3327" s="8">
        <v>5.2880000000000003</v>
      </c>
      <c r="N3327" s="8">
        <v>6.7190000000000003</v>
      </c>
      <c r="O3327" s="8">
        <v>6.4139999999999997</v>
      </c>
      <c r="P3327" s="8">
        <v>5.6849999999999996</v>
      </c>
      <c r="Q3327" s="8">
        <v>5.1449999999999996</v>
      </c>
      <c r="R3327" s="8">
        <v>5.468</v>
      </c>
      <c r="S3327" s="8">
        <v>3.9750000000000001</v>
      </c>
      <c r="T3327" s="8">
        <v>3.871</v>
      </c>
      <c r="U3327" s="8">
        <v>3.3889999999999998</v>
      </c>
      <c r="V3327" s="8">
        <v>3.2240000000000002</v>
      </c>
      <c r="W3327" s="8">
        <v>2.927</v>
      </c>
      <c r="X3327" s="8">
        <v>2.4460000000000002</v>
      </c>
      <c r="Y3327" s="8">
        <v>2.0779999999999998</v>
      </c>
      <c r="Z3327" s="8">
        <v>1.129</v>
      </c>
      <c r="AA3327" s="8">
        <v>0.4</v>
      </c>
      <c r="AB3327" s="8">
        <v>8.1000000000000003E-2</v>
      </c>
      <c r="AC3327" s="8">
        <v>8.9999999999999993E-3</v>
      </c>
    </row>
    <row r="3328" spans="1:29" ht="11.65" hidden="1" x14ac:dyDescent="0.35">
      <c r="A3328" s="12">
        <v>3311</v>
      </c>
      <c r="B3328" s="10" t="s">
        <v>1015</v>
      </c>
      <c r="C3328" s="18" t="s">
        <v>1245</v>
      </c>
      <c r="D3328" s="9">
        <v>20</v>
      </c>
      <c r="E3328" s="9">
        <v>830</v>
      </c>
      <c r="F3328" s="10" t="s">
        <v>1066</v>
      </c>
      <c r="G3328" s="9">
        <v>924</v>
      </c>
      <c r="H3328" s="9">
        <v>2000</v>
      </c>
      <c r="I3328" s="8">
        <v>3.879</v>
      </c>
      <c r="J3328" s="8">
        <v>4.0960000000000001</v>
      </c>
      <c r="K3328" s="8">
        <v>4.3490000000000002</v>
      </c>
      <c r="L3328" s="8">
        <v>3.9550000000000001</v>
      </c>
      <c r="M3328" s="8">
        <v>4.8120000000000003</v>
      </c>
      <c r="N3328" s="8">
        <v>5.5510000000000002</v>
      </c>
      <c r="O3328" s="8">
        <v>6.5460000000000003</v>
      </c>
      <c r="P3328" s="8">
        <v>6.3689999999999998</v>
      </c>
      <c r="Q3328" s="8">
        <v>5.7949999999999999</v>
      </c>
      <c r="R3328" s="8">
        <v>5.22</v>
      </c>
      <c r="S3328" s="8">
        <v>5.4560000000000004</v>
      </c>
      <c r="T3328" s="8">
        <v>3.867</v>
      </c>
      <c r="U3328" s="8">
        <v>3.7360000000000002</v>
      </c>
      <c r="V3328" s="8">
        <v>3.1680000000000001</v>
      </c>
      <c r="W3328" s="8">
        <v>2.9910000000000001</v>
      </c>
      <c r="X3328" s="8">
        <v>2.5299999999999998</v>
      </c>
      <c r="Y3328" s="8">
        <v>1.875</v>
      </c>
      <c r="Z3328" s="8">
        <v>1.2969999999999999</v>
      </c>
      <c r="AA3328" s="8">
        <v>0.51700000000000002</v>
      </c>
      <c r="AB3328" s="8">
        <v>0.11899999999999999</v>
      </c>
      <c r="AC3328" s="8">
        <v>1.4E-2</v>
      </c>
    </row>
    <row r="3329" spans="1:29" ht="11.65" hidden="1" x14ac:dyDescent="0.35">
      <c r="A3329" s="12">
        <v>3312</v>
      </c>
      <c r="B3329" s="10" t="s">
        <v>1015</v>
      </c>
      <c r="C3329" s="18" t="s">
        <v>1245</v>
      </c>
      <c r="D3329" s="9">
        <v>20</v>
      </c>
      <c r="E3329" s="9">
        <v>830</v>
      </c>
      <c r="F3329" s="10" t="s">
        <v>1066</v>
      </c>
      <c r="G3329" s="9">
        <v>924</v>
      </c>
      <c r="H3329" s="9">
        <v>2005</v>
      </c>
      <c r="I3329" s="8">
        <v>3.984</v>
      </c>
      <c r="J3329" s="8">
        <v>3.9009999999999998</v>
      </c>
      <c r="K3329" s="8">
        <v>4.18</v>
      </c>
      <c r="L3329" s="8">
        <v>4.1779999999999999</v>
      </c>
      <c r="M3329" s="8">
        <v>4.7560000000000002</v>
      </c>
      <c r="N3329" s="8">
        <v>5.1740000000000004</v>
      </c>
      <c r="O3329" s="8">
        <v>5.7690000000000001</v>
      </c>
      <c r="P3329" s="8">
        <v>6.0119999999999996</v>
      </c>
      <c r="Q3329" s="8">
        <v>6.2389999999999999</v>
      </c>
      <c r="R3329" s="8">
        <v>5.8920000000000003</v>
      </c>
      <c r="S3329" s="8">
        <v>5.5880000000000001</v>
      </c>
      <c r="T3329" s="8">
        <v>4.5140000000000002</v>
      </c>
      <c r="U3329" s="8">
        <v>4.2569999999999997</v>
      </c>
      <c r="V3329" s="8">
        <v>3.2879999999999998</v>
      </c>
      <c r="W3329" s="8">
        <v>3.0430000000000001</v>
      </c>
      <c r="X3329" s="8">
        <v>2.5659999999999998</v>
      </c>
      <c r="Y3329" s="8">
        <v>1.954</v>
      </c>
      <c r="Z3329" s="8">
        <v>1.2290000000000001</v>
      </c>
      <c r="AA3329" s="8">
        <v>0.63700000000000001</v>
      </c>
      <c r="AB3329" s="8">
        <v>0.17</v>
      </c>
      <c r="AC3329" s="8">
        <v>2.3E-2</v>
      </c>
    </row>
    <row r="3330" spans="1:29" ht="11.65" hidden="1" x14ac:dyDescent="0.35">
      <c r="A3330" s="12">
        <v>3313</v>
      </c>
      <c r="B3330" s="10" t="s">
        <v>1015</v>
      </c>
      <c r="C3330" s="18" t="s">
        <v>1245</v>
      </c>
      <c r="D3330" s="9">
        <v>20</v>
      </c>
      <c r="E3330" s="9">
        <v>830</v>
      </c>
      <c r="F3330" s="10" t="s">
        <v>1066</v>
      </c>
      <c r="G3330" s="9">
        <v>924</v>
      </c>
      <c r="H3330" s="9">
        <v>2010</v>
      </c>
      <c r="I3330" s="8">
        <v>4.1550000000000002</v>
      </c>
      <c r="J3330" s="8">
        <v>3.85</v>
      </c>
      <c r="K3330" s="8">
        <v>4.1669999999999998</v>
      </c>
      <c r="L3330" s="8">
        <v>4.4489999999999998</v>
      </c>
      <c r="M3330" s="8">
        <v>4.9829999999999997</v>
      </c>
      <c r="N3330" s="8">
        <v>5.2930000000000001</v>
      </c>
      <c r="O3330" s="8">
        <v>5.4029999999999996</v>
      </c>
      <c r="P3330" s="8">
        <v>5.7809999999999997</v>
      </c>
      <c r="Q3330" s="8">
        <v>6.7119999999999997</v>
      </c>
      <c r="R3330" s="8">
        <v>6.6769999999999996</v>
      </c>
      <c r="S3330" s="8">
        <v>5.8979999999999997</v>
      </c>
      <c r="T3330" s="8">
        <v>5.0780000000000003</v>
      </c>
      <c r="U3330" s="8">
        <v>4.8680000000000003</v>
      </c>
      <c r="V3330" s="8">
        <v>3.4809999999999999</v>
      </c>
      <c r="W3330" s="8">
        <v>3.206</v>
      </c>
      <c r="X3330" s="8">
        <v>2.6819999999999999</v>
      </c>
      <c r="Y3330" s="8">
        <v>2.089</v>
      </c>
      <c r="Z3330" s="8">
        <v>1.3440000000000001</v>
      </c>
      <c r="AA3330" s="8">
        <v>0.65100000000000002</v>
      </c>
      <c r="AB3330" s="8">
        <v>0.23200000000000001</v>
      </c>
      <c r="AC3330" s="8">
        <v>3.6999999999999998E-2</v>
      </c>
    </row>
    <row r="3331" spans="1:29" ht="11.65" hidden="1" x14ac:dyDescent="0.35">
      <c r="A3331" s="12">
        <v>3314</v>
      </c>
      <c r="B3331" s="10" t="s">
        <v>1015</v>
      </c>
      <c r="C3331" s="18" t="s">
        <v>1245</v>
      </c>
      <c r="D3331" s="9">
        <v>20</v>
      </c>
      <c r="E3331" s="9">
        <v>830</v>
      </c>
      <c r="F3331" s="10" t="s">
        <v>1066</v>
      </c>
      <c r="G3331" s="9">
        <v>924</v>
      </c>
      <c r="H3331" s="9">
        <v>2015</v>
      </c>
      <c r="I3331" s="8">
        <v>4.3339999999999996</v>
      </c>
      <c r="J3331" s="8">
        <v>4.0190000000000001</v>
      </c>
      <c r="K3331" s="8">
        <v>4.1980000000000004</v>
      </c>
      <c r="L3331" s="8">
        <v>4.4260000000000002</v>
      </c>
      <c r="M3331" s="8">
        <v>4.9370000000000003</v>
      </c>
      <c r="N3331" s="8">
        <v>5.3879999999999999</v>
      </c>
      <c r="O3331" s="8">
        <v>5.633</v>
      </c>
      <c r="P3331" s="8">
        <v>5.6180000000000003</v>
      </c>
      <c r="Q3331" s="8">
        <v>6.56</v>
      </c>
      <c r="R3331" s="8">
        <v>6.8979999999999997</v>
      </c>
      <c r="S3331" s="8">
        <v>6.3419999999999996</v>
      </c>
      <c r="T3331" s="8">
        <v>5.4409999999999998</v>
      </c>
      <c r="U3331" s="8">
        <v>4.8310000000000004</v>
      </c>
      <c r="V3331" s="8">
        <v>4.218</v>
      </c>
      <c r="W3331" s="8">
        <v>3.2890000000000001</v>
      </c>
      <c r="X3331" s="8">
        <v>2.827</v>
      </c>
      <c r="Y3331" s="8">
        <v>2.2029999999999998</v>
      </c>
      <c r="Z3331" s="8">
        <v>1.47</v>
      </c>
      <c r="AA3331" s="8">
        <v>0.73699999999999999</v>
      </c>
      <c r="AB3331" s="8">
        <v>0.247</v>
      </c>
      <c r="AC3331" s="8">
        <v>5.5E-2</v>
      </c>
    </row>
    <row r="3332" spans="1:29" ht="11.65" hidden="1" x14ac:dyDescent="0.35">
      <c r="A3332" s="12">
        <v>3315</v>
      </c>
      <c r="B3332" s="10" t="s">
        <v>1015</v>
      </c>
      <c r="C3332" s="18" t="s">
        <v>1245</v>
      </c>
      <c r="D3332" s="9">
        <v>20</v>
      </c>
      <c r="E3332" s="9">
        <v>830</v>
      </c>
      <c r="F3332" s="10" t="s">
        <v>1066</v>
      </c>
      <c r="G3332" s="9">
        <v>924</v>
      </c>
      <c r="H3332" s="9">
        <v>2020</v>
      </c>
      <c r="I3332" s="8">
        <v>4.2359999999999998</v>
      </c>
      <c r="J3332" s="8">
        <v>4.4219999999999997</v>
      </c>
      <c r="K3332" s="8">
        <v>4.0860000000000003</v>
      </c>
      <c r="L3332" s="8">
        <v>4.55</v>
      </c>
      <c r="M3332" s="8">
        <v>5.056</v>
      </c>
      <c r="N3332" s="8">
        <v>5.5410000000000004</v>
      </c>
      <c r="O3332" s="8">
        <v>5.843</v>
      </c>
      <c r="P3332" s="8">
        <v>5.9459999999999997</v>
      </c>
      <c r="Q3332" s="8">
        <v>5.8220000000000001</v>
      </c>
      <c r="R3332" s="8">
        <v>6.6790000000000003</v>
      </c>
      <c r="S3332" s="8">
        <v>6.9509999999999996</v>
      </c>
      <c r="T3332" s="8">
        <v>6.3470000000000004</v>
      </c>
      <c r="U3332" s="8">
        <v>5.4</v>
      </c>
      <c r="V3332" s="8">
        <v>4.734</v>
      </c>
      <c r="W3332" s="8">
        <v>4.0309999999999997</v>
      </c>
      <c r="X3332" s="8">
        <v>3.0019999999999998</v>
      </c>
      <c r="Y3332" s="8">
        <v>2.3730000000000002</v>
      </c>
      <c r="Z3332" s="8">
        <v>1.581</v>
      </c>
      <c r="AA3332" s="8">
        <v>0.83</v>
      </c>
      <c r="AB3332" s="8">
        <v>0.29399999999999998</v>
      </c>
      <c r="AC3332" s="8">
        <v>6.5000000000000002E-2</v>
      </c>
    </row>
    <row r="3333" spans="1:29" ht="11.65" hidden="1" x14ac:dyDescent="0.35">
      <c r="A3333" s="12">
        <v>3316</v>
      </c>
      <c r="B3333" s="10" t="s">
        <v>1015</v>
      </c>
      <c r="C3333" s="18" t="s">
        <v>1246</v>
      </c>
      <c r="D3333" s="9">
        <v>21</v>
      </c>
      <c r="E3333" s="9">
        <v>208</v>
      </c>
      <c r="F3333" s="10" t="s">
        <v>1066</v>
      </c>
      <c r="G3333" s="9">
        <v>924</v>
      </c>
      <c r="H3333" s="9">
        <v>1950</v>
      </c>
      <c r="I3333" s="8">
        <v>206.13</v>
      </c>
      <c r="J3333" s="8">
        <v>189.13</v>
      </c>
      <c r="K3333" s="8">
        <v>154.36799999999999</v>
      </c>
      <c r="L3333" s="8">
        <v>143.84299999999999</v>
      </c>
      <c r="M3333" s="8">
        <v>147.625</v>
      </c>
      <c r="N3333" s="8">
        <v>161.66</v>
      </c>
      <c r="O3333" s="8">
        <v>155.77799999999999</v>
      </c>
      <c r="P3333" s="8">
        <v>159.13300000000001</v>
      </c>
      <c r="Q3333" s="8">
        <v>154.69499999999999</v>
      </c>
      <c r="R3333" s="8">
        <v>141.405</v>
      </c>
      <c r="S3333" s="8">
        <v>128.94300000000001</v>
      </c>
      <c r="T3333" s="8">
        <v>110.29</v>
      </c>
      <c r="U3333" s="8">
        <v>94.864000000000004</v>
      </c>
      <c r="V3333" s="8">
        <v>78.478999999999999</v>
      </c>
      <c r="W3333" s="8">
        <v>58.753</v>
      </c>
      <c r="X3333" s="8">
        <v>36.978000000000002</v>
      </c>
      <c r="Y3333" s="8">
        <v>19.619</v>
      </c>
      <c r="Z3333" s="8">
        <v>7.34</v>
      </c>
      <c r="AA3333" s="8">
        <v>1.861</v>
      </c>
      <c r="AB3333" s="8">
        <v>0.23899999999999999</v>
      </c>
      <c r="AC3333" s="8">
        <v>1.4999999999999999E-2</v>
      </c>
    </row>
    <row r="3334" spans="1:29" ht="11.65" hidden="1" x14ac:dyDescent="0.35">
      <c r="A3334" s="12">
        <v>3317</v>
      </c>
      <c r="B3334" s="10" t="s">
        <v>1015</v>
      </c>
      <c r="C3334" s="18" t="s">
        <v>1246</v>
      </c>
      <c r="D3334" s="9">
        <v>21</v>
      </c>
      <c r="E3334" s="9">
        <v>208</v>
      </c>
      <c r="F3334" s="10" t="s">
        <v>1066</v>
      </c>
      <c r="G3334" s="9">
        <v>924</v>
      </c>
      <c r="H3334" s="9">
        <v>1955</v>
      </c>
      <c r="I3334" s="8">
        <v>181.547</v>
      </c>
      <c r="J3334" s="8">
        <v>204.875</v>
      </c>
      <c r="K3334" s="8">
        <v>188.245</v>
      </c>
      <c r="L3334" s="8">
        <v>153.279</v>
      </c>
      <c r="M3334" s="8">
        <v>142.625</v>
      </c>
      <c r="N3334" s="8">
        <v>146.941</v>
      </c>
      <c r="O3334" s="8">
        <v>159.96700000000001</v>
      </c>
      <c r="P3334" s="8">
        <v>153.16900000000001</v>
      </c>
      <c r="Q3334" s="8">
        <v>156.94499999999999</v>
      </c>
      <c r="R3334" s="8">
        <v>152.16200000000001</v>
      </c>
      <c r="S3334" s="8">
        <v>137.89500000000001</v>
      </c>
      <c r="T3334" s="8">
        <v>124.53400000000001</v>
      </c>
      <c r="U3334" s="8">
        <v>104.005</v>
      </c>
      <c r="V3334" s="8">
        <v>86.311000000000007</v>
      </c>
      <c r="W3334" s="8">
        <v>66.688999999999993</v>
      </c>
      <c r="X3334" s="8">
        <v>43.838999999999999</v>
      </c>
      <c r="Y3334" s="8">
        <v>22.858000000000001</v>
      </c>
      <c r="Z3334" s="8">
        <v>8.5579999999999998</v>
      </c>
      <c r="AA3334" s="8">
        <v>2.0070000000000001</v>
      </c>
      <c r="AB3334" s="8">
        <v>0.27100000000000002</v>
      </c>
      <c r="AC3334" s="8">
        <v>1.7000000000000001E-2</v>
      </c>
    </row>
    <row r="3335" spans="1:29" ht="11.65" hidden="1" x14ac:dyDescent="0.35">
      <c r="A3335" s="12">
        <v>3318</v>
      </c>
      <c r="B3335" s="10" t="s">
        <v>1015</v>
      </c>
      <c r="C3335" s="18" t="s">
        <v>1246</v>
      </c>
      <c r="D3335" s="9">
        <v>21</v>
      </c>
      <c r="E3335" s="9">
        <v>208</v>
      </c>
      <c r="F3335" s="10" t="s">
        <v>1066</v>
      </c>
      <c r="G3335" s="9">
        <v>924</v>
      </c>
      <c r="H3335" s="9">
        <v>1960</v>
      </c>
      <c r="I3335" s="8">
        <v>178.45500000000001</v>
      </c>
      <c r="J3335" s="8">
        <v>179.792</v>
      </c>
      <c r="K3335" s="8">
        <v>203.58</v>
      </c>
      <c r="L3335" s="8">
        <v>186.273</v>
      </c>
      <c r="M3335" s="8">
        <v>149.71100000000001</v>
      </c>
      <c r="N3335" s="8">
        <v>139.79599999999999</v>
      </c>
      <c r="O3335" s="8">
        <v>144.863</v>
      </c>
      <c r="P3335" s="8">
        <v>157.99100000000001</v>
      </c>
      <c r="Q3335" s="8">
        <v>151.29400000000001</v>
      </c>
      <c r="R3335" s="8">
        <v>154.392</v>
      </c>
      <c r="S3335" s="8">
        <v>148.69</v>
      </c>
      <c r="T3335" s="8">
        <v>133.46799999999999</v>
      </c>
      <c r="U3335" s="8">
        <v>118.07</v>
      </c>
      <c r="V3335" s="8">
        <v>95.814999999999998</v>
      </c>
      <c r="W3335" s="8">
        <v>74.239000000000004</v>
      </c>
      <c r="X3335" s="8">
        <v>50.944000000000003</v>
      </c>
      <c r="Y3335" s="8">
        <v>27.507000000000001</v>
      </c>
      <c r="Z3335" s="8">
        <v>10.467000000000001</v>
      </c>
      <c r="AA3335" s="8">
        <v>2.4809999999999999</v>
      </c>
      <c r="AB3335" s="8">
        <v>0.314</v>
      </c>
      <c r="AC3335" s="8">
        <v>2.1000000000000001E-2</v>
      </c>
    </row>
    <row r="3336" spans="1:29" ht="11.65" hidden="1" x14ac:dyDescent="0.35">
      <c r="A3336" s="12">
        <v>3319</v>
      </c>
      <c r="B3336" s="10" t="s">
        <v>1015</v>
      </c>
      <c r="C3336" s="18" t="s">
        <v>1246</v>
      </c>
      <c r="D3336" s="9">
        <v>21</v>
      </c>
      <c r="E3336" s="9">
        <v>208</v>
      </c>
      <c r="F3336" s="10" t="s">
        <v>1066</v>
      </c>
      <c r="G3336" s="9">
        <v>924</v>
      </c>
      <c r="H3336" s="9">
        <v>1965</v>
      </c>
      <c r="I3336" s="8">
        <v>191.91300000000001</v>
      </c>
      <c r="J3336" s="8">
        <v>179.084</v>
      </c>
      <c r="K3336" s="8">
        <v>180.34299999999999</v>
      </c>
      <c r="L3336" s="8">
        <v>202.547</v>
      </c>
      <c r="M3336" s="8">
        <v>184.29</v>
      </c>
      <c r="N3336" s="8">
        <v>149.28399999999999</v>
      </c>
      <c r="O3336" s="8">
        <v>139.75800000000001</v>
      </c>
      <c r="P3336" s="8">
        <v>144.47399999999999</v>
      </c>
      <c r="Q3336" s="8">
        <v>157.102</v>
      </c>
      <c r="R3336" s="8">
        <v>149.33600000000001</v>
      </c>
      <c r="S3336" s="8">
        <v>151.40199999999999</v>
      </c>
      <c r="T3336" s="8">
        <v>144.18700000000001</v>
      </c>
      <c r="U3336" s="8">
        <v>127.51600000000001</v>
      </c>
      <c r="V3336" s="8">
        <v>108.839</v>
      </c>
      <c r="W3336" s="8">
        <v>83.379000000000005</v>
      </c>
      <c r="X3336" s="8">
        <v>57.442999999999998</v>
      </c>
      <c r="Y3336" s="8">
        <v>32.728999999999999</v>
      </c>
      <c r="Z3336" s="8">
        <v>12.875999999999999</v>
      </c>
      <c r="AA3336" s="8">
        <v>3.0960000000000001</v>
      </c>
      <c r="AB3336" s="8">
        <v>0.41</v>
      </c>
      <c r="AC3336" s="8">
        <v>2.7E-2</v>
      </c>
    </row>
    <row r="3337" spans="1:29" ht="11.65" hidden="1" x14ac:dyDescent="0.35">
      <c r="A3337" s="12">
        <v>3320</v>
      </c>
      <c r="B3337" s="10" t="s">
        <v>1015</v>
      </c>
      <c r="C3337" s="18" t="s">
        <v>1246</v>
      </c>
      <c r="D3337" s="9">
        <v>21</v>
      </c>
      <c r="E3337" s="9">
        <v>208</v>
      </c>
      <c r="F3337" s="10" t="s">
        <v>1066</v>
      </c>
      <c r="G3337" s="9">
        <v>924</v>
      </c>
      <c r="H3337" s="9">
        <v>1970</v>
      </c>
      <c r="I3337" s="8">
        <v>188.084</v>
      </c>
      <c r="J3337" s="8">
        <v>191.79</v>
      </c>
      <c r="K3337" s="8">
        <v>179.136</v>
      </c>
      <c r="L3337" s="8">
        <v>180.50899999999999</v>
      </c>
      <c r="M3337" s="8">
        <v>201.81800000000001</v>
      </c>
      <c r="N3337" s="8">
        <v>182.59399999999999</v>
      </c>
      <c r="O3337" s="8">
        <v>148.86099999999999</v>
      </c>
      <c r="P3337" s="8">
        <v>139.44399999999999</v>
      </c>
      <c r="Q3337" s="8">
        <v>143.511</v>
      </c>
      <c r="R3337" s="8">
        <v>155.084</v>
      </c>
      <c r="S3337" s="8">
        <v>146.221</v>
      </c>
      <c r="T3337" s="8">
        <v>146.85300000000001</v>
      </c>
      <c r="U3337" s="8">
        <v>137.92699999999999</v>
      </c>
      <c r="V3337" s="8">
        <v>118.325</v>
      </c>
      <c r="W3337" s="8">
        <v>95.471000000000004</v>
      </c>
      <c r="X3337" s="8">
        <v>66.599999999999994</v>
      </c>
      <c r="Y3337" s="8">
        <v>39.009</v>
      </c>
      <c r="Z3337" s="8">
        <v>16.303000000000001</v>
      </c>
      <c r="AA3337" s="8">
        <v>4.2119999999999997</v>
      </c>
      <c r="AB3337" s="8">
        <v>0.57499999999999996</v>
      </c>
      <c r="AC3337" s="8">
        <v>3.9E-2</v>
      </c>
    </row>
    <row r="3338" spans="1:29" ht="11.65" hidden="1" x14ac:dyDescent="0.35">
      <c r="A3338" s="12">
        <v>3321</v>
      </c>
      <c r="B3338" s="10" t="s">
        <v>1015</v>
      </c>
      <c r="C3338" s="18" t="s">
        <v>1246</v>
      </c>
      <c r="D3338" s="9">
        <v>21</v>
      </c>
      <c r="E3338" s="9">
        <v>208</v>
      </c>
      <c r="F3338" s="10" t="s">
        <v>1066</v>
      </c>
      <c r="G3338" s="9">
        <v>924</v>
      </c>
      <c r="H3338" s="9">
        <v>1975</v>
      </c>
      <c r="I3338" s="8">
        <v>176.63</v>
      </c>
      <c r="J3338" s="8">
        <v>188.79300000000001</v>
      </c>
      <c r="K3338" s="8">
        <v>192.16900000000001</v>
      </c>
      <c r="L3338" s="8">
        <v>179.36799999999999</v>
      </c>
      <c r="M3338" s="8">
        <v>181.88900000000001</v>
      </c>
      <c r="N3338" s="8">
        <v>201.86799999999999</v>
      </c>
      <c r="O3338" s="8">
        <v>183.14099999999999</v>
      </c>
      <c r="P3338" s="8">
        <v>148.76499999999999</v>
      </c>
      <c r="Q3338" s="8">
        <v>138.602</v>
      </c>
      <c r="R3338" s="8">
        <v>141.63999999999999</v>
      </c>
      <c r="S3338" s="8">
        <v>151.905</v>
      </c>
      <c r="T3338" s="8">
        <v>141.70599999999999</v>
      </c>
      <c r="U3338" s="8">
        <v>140.40899999999999</v>
      </c>
      <c r="V3338" s="8">
        <v>128.71199999999999</v>
      </c>
      <c r="W3338" s="8">
        <v>105.46</v>
      </c>
      <c r="X3338" s="8">
        <v>78.082999999999998</v>
      </c>
      <c r="Y3338" s="8">
        <v>47.307000000000002</v>
      </c>
      <c r="Z3338" s="8">
        <v>21.251000000000001</v>
      </c>
      <c r="AA3338" s="8">
        <v>5.9909999999999997</v>
      </c>
      <c r="AB3338" s="8">
        <v>0.90900000000000003</v>
      </c>
      <c r="AC3338" s="8">
        <v>6.3E-2</v>
      </c>
    </row>
    <row r="3339" spans="1:29" ht="11.65" hidden="1" x14ac:dyDescent="0.35">
      <c r="A3339" s="12">
        <v>3322</v>
      </c>
      <c r="B3339" s="10" t="s">
        <v>1015</v>
      </c>
      <c r="C3339" s="18" t="s">
        <v>1246</v>
      </c>
      <c r="D3339" s="9">
        <v>21</v>
      </c>
      <c r="E3339" s="9">
        <v>208</v>
      </c>
      <c r="F3339" s="10" t="s">
        <v>1066</v>
      </c>
      <c r="G3339" s="9">
        <v>924</v>
      </c>
      <c r="H3339" s="9">
        <v>1980</v>
      </c>
      <c r="I3339" s="8">
        <v>152.81899999999999</v>
      </c>
      <c r="J3339" s="8">
        <v>177.959</v>
      </c>
      <c r="K3339" s="8">
        <v>189.62899999999999</v>
      </c>
      <c r="L3339" s="8">
        <v>193.31700000000001</v>
      </c>
      <c r="M3339" s="8">
        <v>181.00399999999999</v>
      </c>
      <c r="N3339" s="8">
        <v>181.50700000000001</v>
      </c>
      <c r="O3339" s="8">
        <v>201.535</v>
      </c>
      <c r="P3339" s="8">
        <v>182.184</v>
      </c>
      <c r="Q3339" s="8">
        <v>147.86000000000001</v>
      </c>
      <c r="R3339" s="8">
        <v>136.803</v>
      </c>
      <c r="S3339" s="8">
        <v>138.71</v>
      </c>
      <c r="T3339" s="8">
        <v>147.13900000000001</v>
      </c>
      <c r="U3339" s="8">
        <v>135.196</v>
      </c>
      <c r="V3339" s="8">
        <v>131.12100000000001</v>
      </c>
      <c r="W3339" s="8">
        <v>115.175</v>
      </c>
      <c r="X3339" s="8">
        <v>87.74</v>
      </c>
      <c r="Y3339" s="8">
        <v>56.746000000000002</v>
      </c>
      <c r="Z3339" s="8">
        <v>27.097000000000001</v>
      </c>
      <c r="AA3339" s="8">
        <v>8.218</v>
      </c>
      <c r="AB3339" s="8">
        <v>1.3640000000000001</v>
      </c>
      <c r="AC3339" s="8">
        <v>0.10299999999999999</v>
      </c>
    </row>
    <row r="3340" spans="1:29" ht="11.65" hidden="1" x14ac:dyDescent="0.35">
      <c r="A3340" s="12">
        <v>3323</v>
      </c>
      <c r="B3340" s="10" t="s">
        <v>1015</v>
      </c>
      <c r="C3340" s="18" t="s">
        <v>1246</v>
      </c>
      <c r="D3340" s="9">
        <v>21</v>
      </c>
      <c r="E3340" s="9">
        <v>208</v>
      </c>
      <c r="F3340" s="10" t="s">
        <v>1066</v>
      </c>
      <c r="G3340" s="9">
        <v>924</v>
      </c>
      <c r="H3340" s="9">
        <v>1985</v>
      </c>
      <c r="I3340" s="8">
        <v>129.70400000000001</v>
      </c>
      <c r="J3340" s="8">
        <v>152.976</v>
      </c>
      <c r="K3340" s="8">
        <v>178.011</v>
      </c>
      <c r="L3340" s="8">
        <v>190.291</v>
      </c>
      <c r="M3340" s="8">
        <v>193.98099999999999</v>
      </c>
      <c r="N3340" s="8">
        <v>180.51499999999999</v>
      </c>
      <c r="O3340" s="8">
        <v>180.72800000000001</v>
      </c>
      <c r="P3340" s="8">
        <v>200.55099999999999</v>
      </c>
      <c r="Q3340" s="8">
        <v>180.86199999999999</v>
      </c>
      <c r="R3340" s="8">
        <v>146.01599999999999</v>
      </c>
      <c r="S3340" s="8">
        <v>133.852</v>
      </c>
      <c r="T3340" s="8">
        <v>134.202</v>
      </c>
      <c r="U3340" s="8">
        <v>140.256</v>
      </c>
      <c r="V3340" s="8">
        <v>126.005</v>
      </c>
      <c r="W3340" s="8">
        <v>117.735</v>
      </c>
      <c r="X3340" s="8">
        <v>96.665999999999997</v>
      </c>
      <c r="Y3340" s="8">
        <v>64.852000000000004</v>
      </c>
      <c r="Z3340" s="8">
        <v>33.192</v>
      </c>
      <c r="AA3340" s="8">
        <v>10.944000000000001</v>
      </c>
      <c r="AB3340" s="8">
        <v>1.966</v>
      </c>
      <c r="AC3340" s="8">
        <v>0.16700000000000001</v>
      </c>
    </row>
    <row r="3341" spans="1:29" ht="11.65" hidden="1" x14ac:dyDescent="0.35">
      <c r="A3341" s="12">
        <v>3324</v>
      </c>
      <c r="B3341" s="10" t="s">
        <v>1015</v>
      </c>
      <c r="C3341" s="18" t="s">
        <v>1246</v>
      </c>
      <c r="D3341" s="9">
        <v>21</v>
      </c>
      <c r="E3341" s="9">
        <v>208</v>
      </c>
      <c r="F3341" s="10" t="s">
        <v>1066</v>
      </c>
      <c r="G3341" s="9">
        <v>924</v>
      </c>
      <c r="H3341" s="9">
        <v>1990</v>
      </c>
      <c r="I3341" s="8">
        <v>141.459</v>
      </c>
      <c r="J3341" s="8">
        <v>131.54900000000001</v>
      </c>
      <c r="K3341" s="8">
        <v>154.23500000000001</v>
      </c>
      <c r="L3341" s="8">
        <v>179.46799999999999</v>
      </c>
      <c r="M3341" s="8">
        <v>192.084</v>
      </c>
      <c r="N3341" s="8">
        <v>194.673</v>
      </c>
      <c r="O3341" s="8">
        <v>180.93</v>
      </c>
      <c r="P3341" s="8">
        <v>180.71799999999999</v>
      </c>
      <c r="Q3341" s="8">
        <v>199.685</v>
      </c>
      <c r="R3341" s="8">
        <v>178.863</v>
      </c>
      <c r="S3341" s="8">
        <v>143.209</v>
      </c>
      <c r="T3341" s="8">
        <v>129.49100000000001</v>
      </c>
      <c r="U3341" s="8">
        <v>127.852</v>
      </c>
      <c r="V3341" s="8">
        <v>130.37799999999999</v>
      </c>
      <c r="W3341" s="8">
        <v>113.02200000000001</v>
      </c>
      <c r="X3341" s="8">
        <v>99.103999999999999</v>
      </c>
      <c r="Y3341" s="8">
        <v>72.741</v>
      </c>
      <c r="Z3341" s="8">
        <v>38.997999999999998</v>
      </c>
      <c r="AA3341" s="8">
        <v>13.884</v>
      </c>
      <c r="AB3341" s="8">
        <v>2.7109999999999999</v>
      </c>
      <c r="AC3341" s="8">
        <v>0.25</v>
      </c>
    </row>
    <row r="3342" spans="1:29" ht="11.65" hidden="1" x14ac:dyDescent="0.35">
      <c r="A3342" s="12">
        <v>3325</v>
      </c>
      <c r="B3342" s="10" t="s">
        <v>1015</v>
      </c>
      <c r="C3342" s="18" t="s">
        <v>1246</v>
      </c>
      <c r="D3342" s="9">
        <v>21</v>
      </c>
      <c r="E3342" s="9">
        <v>208</v>
      </c>
      <c r="F3342" s="10" t="s">
        <v>1066</v>
      </c>
      <c r="G3342" s="9">
        <v>924</v>
      </c>
      <c r="H3342" s="9">
        <v>1995</v>
      </c>
      <c r="I3342" s="8">
        <v>165.08799999999999</v>
      </c>
      <c r="J3342" s="8">
        <v>144.376</v>
      </c>
      <c r="K3342" s="8">
        <v>133.93700000000001</v>
      </c>
      <c r="L3342" s="8">
        <v>156.87700000000001</v>
      </c>
      <c r="M3342" s="8">
        <v>184.38800000000001</v>
      </c>
      <c r="N3342" s="8">
        <v>195.989</v>
      </c>
      <c r="O3342" s="8">
        <v>197.19300000000001</v>
      </c>
      <c r="P3342" s="8">
        <v>182.846</v>
      </c>
      <c r="Q3342" s="8">
        <v>181.114</v>
      </c>
      <c r="R3342" s="8">
        <v>198.44399999999999</v>
      </c>
      <c r="S3342" s="8">
        <v>176.28899999999999</v>
      </c>
      <c r="T3342" s="8">
        <v>139.608</v>
      </c>
      <c r="U3342" s="8">
        <v>123.79300000000001</v>
      </c>
      <c r="V3342" s="8">
        <v>118.953</v>
      </c>
      <c r="W3342" s="8">
        <v>116.483</v>
      </c>
      <c r="X3342" s="8">
        <v>94.593999999999994</v>
      </c>
      <c r="Y3342" s="8">
        <v>73.959999999999994</v>
      </c>
      <c r="Z3342" s="8">
        <v>43.698999999999998</v>
      </c>
      <c r="AA3342" s="8">
        <v>16.335999999999999</v>
      </c>
      <c r="AB3342" s="8">
        <v>3.3439999999999999</v>
      </c>
      <c r="AC3342" s="8">
        <v>0.33600000000000002</v>
      </c>
    </row>
    <row r="3343" spans="1:29" ht="11.65" hidden="1" x14ac:dyDescent="0.35">
      <c r="A3343" s="12">
        <v>3326</v>
      </c>
      <c r="B3343" s="10" t="s">
        <v>1015</v>
      </c>
      <c r="C3343" s="18" t="s">
        <v>1246</v>
      </c>
      <c r="D3343" s="9">
        <v>21</v>
      </c>
      <c r="E3343" s="9">
        <v>208</v>
      </c>
      <c r="F3343" s="10" t="s">
        <v>1066</v>
      </c>
      <c r="G3343" s="9">
        <v>924</v>
      </c>
      <c r="H3343" s="9">
        <v>2000</v>
      </c>
      <c r="I3343" s="8">
        <v>164.756</v>
      </c>
      <c r="J3343" s="8">
        <v>167.845</v>
      </c>
      <c r="K3343" s="8">
        <v>147.31899999999999</v>
      </c>
      <c r="L3343" s="8">
        <v>137.392</v>
      </c>
      <c r="M3343" s="8">
        <v>163.81800000000001</v>
      </c>
      <c r="N3343" s="8">
        <v>189.72800000000001</v>
      </c>
      <c r="O3343" s="8">
        <v>199.05600000000001</v>
      </c>
      <c r="P3343" s="8">
        <v>199.77199999999999</v>
      </c>
      <c r="Q3343" s="8">
        <v>183.839</v>
      </c>
      <c r="R3343" s="8">
        <v>180.446</v>
      </c>
      <c r="S3343" s="8">
        <v>196.017</v>
      </c>
      <c r="T3343" s="8">
        <v>172.27500000000001</v>
      </c>
      <c r="U3343" s="8">
        <v>134.392</v>
      </c>
      <c r="V3343" s="8">
        <v>115.447</v>
      </c>
      <c r="W3343" s="8">
        <v>106.27</v>
      </c>
      <c r="X3343" s="8">
        <v>97.977000000000004</v>
      </c>
      <c r="Y3343" s="8">
        <v>72.253</v>
      </c>
      <c r="Z3343" s="8">
        <v>45.786000000000001</v>
      </c>
      <c r="AA3343" s="8">
        <v>19.242000000000001</v>
      </c>
      <c r="AB3343" s="8">
        <v>4.2140000000000004</v>
      </c>
      <c r="AC3343" s="8">
        <v>0.45300000000000001</v>
      </c>
    </row>
    <row r="3344" spans="1:29" ht="11.65" hidden="1" x14ac:dyDescent="0.35">
      <c r="A3344" s="12">
        <v>3327</v>
      </c>
      <c r="B3344" s="10" t="s">
        <v>1015</v>
      </c>
      <c r="C3344" s="18" t="s">
        <v>1246</v>
      </c>
      <c r="D3344" s="9">
        <v>21</v>
      </c>
      <c r="E3344" s="9">
        <v>208</v>
      </c>
      <c r="F3344" s="10" t="s">
        <v>1066</v>
      </c>
      <c r="G3344" s="9">
        <v>924</v>
      </c>
      <c r="H3344" s="9">
        <v>2005</v>
      </c>
      <c r="I3344" s="8">
        <v>159.38399999999999</v>
      </c>
      <c r="J3344" s="8">
        <v>166.35900000000001</v>
      </c>
      <c r="K3344" s="8">
        <v>169.51400000000001</v>
      </c>
      <c r="L3344" s="8">
        <v>149.94200000000001</v>
      </c>
      <c r="M3344" s="8">
        <v>144.21299999999999</v>
      </c>
      <c r="N3344" s="8">
        <v>168.512</v>
      </c>
      <c r="O3344" s="8">
        <v>190.98500000000001</v>
      </c>
      <c r="P3344" s="8">
        <v>196.98400000000001</v>
      </c>
      <c r="Q3344" s="8">
        <v>203.05</v>
      </c>
      <c r="R3344" s="8">
        <v>182.953</v>
      </c>
      <c r="S3344" s="8">
        <v>178.03800000000001</v>
      </c>
      <c r="T3344" s="8">
        <v>191.61799999999999</v>
      </c>
      <c r="U3344" s="8">
        <v>166.12799999999999</v>
      </c>
      <c r="V3344" s="8">
        <v>126.96</v>
      </c>
      <c r="W3344" s="8">
        <v>104.245</v>
      </c>
      <c r="X3344" s="8">
        <v>90.171000000000006</v>
      </c>
      <c r="Y3344" s="8">
        <v>75.209000000000003</v>
      </c>
      <c r="Z3344" s="8">
        <v>45.795000000000002</v>
      </c>
      <c r="AA3344" s="8">
        <v>20.605</v>
      </c>
      <c r="AB3344" s="8">
        <v>5.1219999999999999</v>
      </c>
      <c r="AC3344" s="8">
        <v>0.58699999999999997</v>
      </c>
    </row>
    <row r="3345" spans="1:29" ht="11.65" hidden="1" x14ac:dyDescent="0.35">
      <c r="A3345" s="12">
        <v>3328</v>
      </c>
      <c r="B3345" s="10" t="s">
        <v>1015</v>
      </c>
      <c r="C3345" s="18" t="s">
        <v>1246</v>
      </c>
      <c r="D3345" s="9">
        <v>21</v>
      </c>
      <c r="E3345" s="9">
        <v>208</v>
      </c>
      <c r="F3345" s="10" t="s">
        <v>1066</v>
      </c>
      <c r="G3345" s="9">
        <v>924</v>
      </c>
      <c r="H3345" s="9">
        <v>2010</v>
      </c>
      <c r="I3345" s="8">
        <v>158.648</v>
      </c>
      <c r="J3345" s="8">
        <v>160.565</v>
      </c>
      <c r="K3345" s="8">
        <v>167.13800000000001</v>
      </c>
      <c r="L3345" s="8">
        <v>172.17500000000001</v>
      </c>
      <c r="M3345" s="8">
        <v>162.27500000000001</v>
      </c>
      <c r="N3345" s="8">
        <v>155.03800000000001</v>
      </c>
      <c r="O3345" s="8">
        <v>173.07900000000001</v>
      </c>
      <c r="P3345" s="8">
        <v>193.31299999999999</v>
      </c>
      <c r="Q3345" s="8">
        <v>198.19900000000001</v>
      </c>
      <c r="R3345" s="8">
        <v>203.102</v>
      </c>
      <c r="S3345" s="8">
        <v>181.40299999999999</v>
      </c>
      <c r="T3345" s="8">
        <v>174.50399999999999</v>
      </c>
      <c r="U3345" s="8">
        <v>185.732</v>
      </c>
      <c r="V3345" s="8">
        <v>157.95599999999999</v>
      </c>
      <c r="W3345" s="8">
        <v>117.261</v>
      </c>
      <c r="X3345" s="8">
        <v>90.227999999999994</v>
      </c>
      <c r="Y3345" s="8">
        <v>70.899000000000001</v>
      </c>
      <c r="Z3345" s="8">
        <v>48.923999999999999</v>
      </c>
      <c r="AA3345" s="8">
        <v>21.507999999999999</v>
      </c>
      <c r="AB3345" s="8">
        <v>5.8479999999999999</v>
      </c>
      <c r="AC3345" s="8">
        <v>0.77100000000000002</v>
      </c>
    </row>
    <row r="3346" spans="1:29" ht="11.65" hidden="1" x14ac:dyDescent="0.35">
      <c r="A3346" s="12">
        <v>3329</v>
      </c>
      <c r="B3346" s="10" t="s">
        <v>1015</v>
      </c>
      <c r="C3346" s="18" t="s">
        <v>1246</v>
      </c>
      <c r="D3346" s="9">
        <v>21</v>
      </c>
      <c r="E3346" s="9">
        <v>208</v>
      </c>
      <c r="F3346" s="10" t="s">
        <v>1066</v>
      </c>
      <c r="G3346" s="9">
        <v>924</v>
      </c>
      <c r="H3346" s="9">
        <v>2015</v>
      </c>
      <c r="I3346" s="8">
        <v>143.678</v>
      </c>
      <c r="J3346" s="8">
        <v>161.66800000000001</v>
      </c>
      <c r="K3346" s="8">
        <v>161.43600000000001</v>
      </c>
      <c r="L3346" s="8">
        <v>174.523</v>
      </c>
      <c r="M3346" s="8">
        <v>189.23099999999999</v>
      </c>
      <c r="N3346" s="8">
        <v>168.892</v>
      </c>
      <c r="O3346" s="8">
        <v>155.023</v>
      </c>
      <c r="P3346" s="8">
        <v>178.50200000000001</v>
      </c>
      <c r="Q3346" s="8">
        <v>189.41300000000001</v>
      </c>
      <c r="R3346" s="8">
        <v>209.58699999999999</v>
      </c>
      <c r="S3346" s="8">
        <v>197.71600000000001</v>
      </c>
      <c r="T3346" s="8">
        <v>178.767</v>
      </c>
      <c r="U3346" s="8">
        <v>165.39699999999999</v>
      </c>
      <c r="V3346" s="8">
        <v>192.083</v>
      </c>
      <c r="W3346" s="8">
        <v>141.50800000000001</v>
      </c>
      <c r="X3346" s="8">
        <v>102.919</v>
      </c>
      <c r="Y3346" s="8">
        <v>69.543000000000006</v>
      </c>
      <c r="Z3346" s="8">
        <v>47.976999999999997</v>
      </c>
      <c r="AA3346" s="8">
        <v>24.466999999999999</v>
      </c>
      <c r="AB3346" s="8">
        <v>6.5830000000000002</v>
      </c>
      <c r="AC3346" s="8">
        <v>0.97399999999999998</v>
      </c>
    </row>
    <row r="3347" spans="1:29" ht="11.65" hidden="1" x14ac:dyDescent="0.35">
      <c r="A3347" s="12">
        <v>3330</v>
      </c>
      <c r="B3347" s="10" t="s">
        <v>1015</v>
      </c>
      <c r="C3347" s="18" t="s">
        <v>1246</v>
      </c>
      <c r="D3347" s="9">
        <v>21</v>
      </c>
      <c r="E3347" s="9">
        <v>208</v>
      </c>
      <c r="F3347" s="10" t="s">
        <v>1066</v>
      </c>
      <c r="G3347" s="9">
        <v>924</v>
      </c>
      <c r="H3347" s="9">
        <v>2020</v>
      </c>
      <c r="I3347" s="8">
        <v>150.22399999999999</v>
      </c>
      <c r="J3347" s="8">
        <v>144.83699999999999</v>
      </c>
      <c r="K3347" s="8">
        <v>163.71199999999999</v>
      </c>
      <c r="L3347" s="8">
        <v>166.167</v>
      </c>
      <c r="M3347" s="8">
        <v>182.17400000000001</v>
      </c>
      <c r="N3347" s="8">
        <v>196.88499999999999</v>
      </c>
      <c r="O3347" s="8">
        <v>174.18600000000001</v>
      </c>
      <c r="P3347" s="8">
        <v>157.97200000000001</v>
      </c>
      <c r="Q3347" s="8">
        <v>180.32</v>
      </c>
      <c r="R3347" s="8">
        <v>189.505</v>
      </c>
      <c r="S3347" s="8">
        <v>207.82599999999999</v>
      </c>
      <c r="T3347" s="8">
        <v>194.83600000000001</v>
      </c>
      <c r="U3347" s="8">
        <v>175.124</v>
      </c>
      <c r="V3347" s="8">
        <v>159.06100000000001</v>
      </c>
      <c r="W3347" s="8">
        <v>179.64599999999999</v>
      </c>
      <c r="X3347" s="8">
        <v>125.82599999999999</v>
      </c>
      <c r="Y3347" s="8">
        <v>83.099000000000004</v>
      </c>
      <c r="Z3347" s="8">
        <v>47.837000000000003</v>
      </c>
      <c r="AA3347" s="8">
        <v>24.683</v>
      </c>
      <c r="AB3347" s="8">
        <v>7.8129999999999997</v>
      </c>
      <c r="AC3347" s="8">
        <v>1.109</v>
      </c>
    </row>
    <row r="3348" spans="1:29" ht="11.65" hidden="1" x14ac:dyDescent="0.35">
      <c r="A3348" s="12">
        <v>3331</v>
      </c>
      <c r="B3348" s="10" t="s">
        <v>1015</v>
      </c>
      <c r="C3348" s="18" t="s">
        <v>1247</v>
      </c>
      <c r="D3348" s="9"/>
      <c r="E3348" s="9">
        <v>233</v>
      </c>
      <c r="F3348" s="10" t="s">
        <v>1066</v>
      </c>
      <c r="G3348" s="9">
        <v>924</v>
      </c>
      <c r="H3348" s="9">
        <v>1950</v>
      </c>
      <c r="I3348" s="8">
        <v>43.164000000000001</v>
      </c>
      <c r="J3348" s="8">
        <v>42.631</v>
      </c>
      <c r="K3348" s="8">
        <v>50.802999999999997</v>
      </c>
      <c r="L3348" s="8">
        <v>49.026000000000003</v>
      </c>
      <c r="M3348" s="8">
        <v>52.045999999999999</v>
      </c>
      <c r="N3348" s="8">
        <v>45.295999999999999</v>
      </c>
      <c r="O3348" s="8">
        <v>32.152000000000001</v>
      </c>
      <c r="P3348" s="8">
        <v>44.494999999999997</v>
      </c>
      <c r="Q3348" s="8">
        <v>44.14</v>
      </c>
      <c r="R3348" s="8">
        <v>42.987000000000002</v>
      </c>
      <c r="S3348" s="8">
        <v>38.457999999999998</v>
      </c>
      <c r="T3348" s="8">
        <v>34.283000000000001</v>
      </c>
      <c r="U3348" s="8">
        <v>30.73</v>
      </c>
      <c r="V3348" s="8">
        <v>27.088000000000001</v>
      </c>
      <c r="W3348" s="8">
        <v>22.38</v>
      </c>
      <c r="X3348" s="8">
        <v>17.141999999999999</v>
      </c>
      <c r="Y3348" s="8">
        <v>9.3409999999999993</v>
      </c>
      <c r="Z3348" s="8">
        <v>4.0069999999999997</v>
      </c>
      <c r="AA3348" s="8">
        <v>1.113</v>
      </c>
      <c r="AB3348" s="8">
        <v>0.17899999999999999</v>
      </c>
      <c r="AC3348" s="8">
        <v>1.6E-2</v>
      </c>
    </row>
    <row r="3349" spans="1:29" ht="11.65" hidden="1" x14ac:dyDescent="0.35">
      <c r="A3349" s="12">
        <v>3332</v>
      </c>
      <c r="B3349" s="10" t="s">
        <v>1015</v>
      </c>
      <c r="C3349" s="18" t="s">
        <v>1247</v>
      </c>
      <c r="D3349" s="9"/>
      <c r="E3349" s="9">
        <v>233</v>
      </c>
      <c r="F3349" s="10" t="s">
        <v>1066</v>
      </c>
      <c r="G3349" s="9">
        <v>924</v>
      </c>
      <c r="H3349" s="9">
        <v>1955</v>
      </c>
      <c r="I3349" s="8">
        <v>44.762</v>
      </c>
      <c r="J3349" s="8">
        <v>44.137999999999998</v>
      </c>
      <c r="K3349" s="8">
        <v>43.84</v>
      </c>
      <c r="L3349" s="8">
        <v>52.146000000000001</v>
      </c>
      <c r="M3349" s="8">
        <v>50.343000000000004</v>
      </c>
      <c r="N3349" s="8">
        <v>53.146000000000001</v>
      </c>
      <c r="O3349" s="8">
        <v>46.24</v>
      </c>
      <c r="P3349" s="8">
        <v>32.927</v>
      </c>
      <c r="Q3349" s="8">
        <v>45.137999999999998</v>
      </c>
      <c r="R3349" s="8">
        <v>44.539000000000001</v>
      </c>
      <c r="S3349" s="8">
        <v>42.936999999999998</v>
      </c>
      <c r="T3349" s="8">
        <v>37.932000000000002</v>
      </c>
      <c r="U3349" s="8">
        <v>32.927999999999997</v>
      </c>
      <c r="V3349" s="8">
        <v>28.324000000000002</v>
      </c>
      <c r="W3349" s="8">
        <v>23.22</v>
      </c>
      <c r="X3349" s="8">
        <v>16.914000000000001</v>
      </c>
      <c r="Y3349" s="8">
        <v>10.035</v>
      </c>
      <c r="Z3349" s="8">
        <v>4.3010000000000002</v>
      </c>
      <c r="AA3349" s="8">
        <v>1.177</v>
      </c>
      <c r="AB3349" s="8">
        <v>0.185</v>
      </c>
      <c r="AC3349" s="8">
        <v>1.7000000000000001E-2</v>
      </c>
    </row>
    <row r="3350" spans="1:29" ht="11.65" hidden="1" x14ac:dyDescent="0.35">
      <c r="A3350" s="12">
        <v>3333</v>
      </c>
      <c r="B3350" s="10" t="s">
        <v>1015</v>
      </c>
      <c r="C3350" s="18" t="s">
        <v>1247</v>
      </c>
      <c r="D3350" s="9"/>
      <c r="E3350" s="9">
        <v>233</v>
      </c>
      <c r="F3350" s="10" t="s">
        <v>1066</v>
      </c>
      <c r="G3350" s="9">
        <v>924</v>
      </c>
      <c r="H3350" s="9">
        <v>1960</v>
      </c>
      <c r="I3350" s="8">
        <v>46.396000000000001</v>
      </c>
      <c r="J3350" s="8">
        <v>46.341000000000001</v>
      </c>
      <c r="K3350" s="8">
        <v>44.180999999999997</v>
      </c>
      <c r="L3350" s="8">
        <v>40.423000000000002</v>
      </c>
      <c r="M3350" s="8">
        <v>50.026000000000003</v>
      </c>
      <c r="N3350" s="8">
        <v>51.433999999999997</v>
      </c>
      <c r="O3350" s="8">
        <v>56.512</v>
      </c>
      <c r="P3350" s="8">
        <v>50.765999999999998</v>
      </c>
      <c r="Q3350" s="8">
        <v>34.871000000000002</v>
      </c>
      <c r="R3350" s="8">
        <v>44.902999999999999</v>
      </c>
      <c r="S3350" s="8">
        <v>44.656999999999996</v>
      </c>
      <c r="T3350" s="8">
        <v>42.45</v>
      </c>
      <c r="U3350" s="8">
        <v>37.515000000000001</v>
      </c>
      <c r="V3350" s="8">
        <v>31.571999999999999</v>
      </c>
      <c r="W3350" s="8">
        <v>25.469000000000001</v>
      </c>
      <c r="X3350" s="8">
        <v>17.533000000000001</v>
      </c>
      <c r="Y3350" s="8">
        <v>8.3420000000000005</v>
      </c>
      <c r="Z3350" s="8">
        <v>4.7220000000000004</v>
      </c>
      <c r="AA3350" s="8">
        <v>1.3069999999999999</v>
      </c>
      <c r="AB3350" s="8">
        <v>0.2</v>
      </c>
      <c r="AC3350" s="8">
        <v>1.7000000000000001E-2</v>
      </c>
    </row>
    <row r="3351" spans="1:29" ht="11.65" hidden="1" x14ac:dyDescent="0.35">
      <c r="A3351" s="12">
        <v>3334</v>
      </c>
      <c r="B3351" s="10" t="s">
        <v>1015</v>
      </c>
      <c r="C3351" s="18" t="s">
        <v>1247</v>
      </c>
      <c r="D3351" s="9"/>
      <c r="E3351" s="9">
        <v>233</v>
      </c>
      <c r="F3351" s="10" t="s">
        <v>1066</v>
      </c>
      <c r="G3351" s="9">
        <v>924</v>
      </c>
      <c r="H3351" s="9">
        <v>1965</v>
      </c>
      <c r="I3351" s="8">
        <v>47.491</v>
      </c>
      <c r="J3351" s="8">
        <v>47.883000000000003</v>
      </c>
      <c r="K3351" s="8">
        <v>47.076000000000001</v>
      </c>
      <c r="L3351" s="8">
        <v>46.343000000000004</v>
      </c>
      <c r="M3351" s="8">
        <v>43.290999999999997</v>
      </c>
      <c r="N3351" s="8">
        <v>53.097000000000001</v>
      </c>
      <c r="O3351" s="8">
        <v>52.296999999999997</v>
      </c>
      <c r="P3351" s="8">
        <v>56.64</v>
      </c>
      <c r="Q3351" s="8">
        <v>50.451999999999998</v>
      </c>
      <c r="R3351" s="8">
        <v>34.508000000000003</v>
      </c>
      <c r="S3351" s="8">
        <v>44.98</v>
      </c>
      <c r="T3351" s="8">
        <v>44.506999999999998</v>
      </c>
      <c r="U3351" s="8">
        <v>41.231000000000002</v>
      </c>
      <c r="V3351" s="8">
        <v>35.03</v>
      </c>
      <c r="W3351" s="8">
        <v>27.420999999999999</v>
      </c>
      <c r="X3351" s="8">
        <v>19.82</v>
      </c>
      <c r="Y3351" s="8">
        <v>11.489000000000001</v>
      </c>
      <c r="Z3351" s="8">
        <v>3.9470000000000001</v>
      </c>
      <c r="AA3351" s="8">
        <v>1.4390000000000001</v>
      </c>
      <c r="AB3351" s="8">
        <v>0.224</v>
      </c>
      <c r="AC3351" s="8">
        <v>1.9E-2</v>
      </c>
    </row>
    <row r="3352" spans="1:29" ht="11.65" hidden="1" x14ac:dyDescent="0.35">
      <c r="A3352" s="12">
        <v>3335</v>
      </c>
      <c r="B3352" s="10" t="s">
        <v>1015</v>
      </c>
      <c r="C3352" s="18" t="s">
        <v>1247</v>
      </c>
      <c r="D3352" s="9"/>
      <c r="E3352" s="9">
        <v>233</v>
      </c>
      <c r="F3352" s="10" t="s">
        <v>1066</v>
      </c>
      <c r="G3352" s="9">
        <v>924</v>
      </c>
      <c r="H3352" s="9">
        <v>1970</v>
      </c>
      <c r="I3352" s="8">
        <v>47.662999999999997</v>
      </c>
      <c r="J3352" s="8">
        <v>49.26</v>
      </c>
      <c r="K3352" s="8">
        <v>49.468000000000004</v>
      </c>
      <c r="L3352" s="8">
        <v>48.235999999999997</v>
      </c>
      <c r="M3352" s="8">
        <v>48.601999999999997</v>
      </c>
      <c r="N3352" s="8">
        <v>45.978000000000002</v>
      </c>
      <c r="O3352" s="8">
        <v>55.889000000000003</v>
      </c>
      <c r="P3352" s="8">
        <v>53.04</v>
      </c>
      <c r="Q3352" s="8">
        <v>56.655000000000001</v>
      </c>
      <c r="R3352" s="8">
        <v>49.996000000000002</v>
      </c>
      <c r="S3352" s="8">
        <v>34.002000000000002</v>
      </c>
      <c r="T3352" s="8">
        <v>44.601999999999997</v>
      </c>
      <c r="U3352" s="8">
        <v>43.594000000000001</v>
      </c>
      <c r="V3352" s="8">
        <v>38.783000000000001</v>
      </c>
      <c r="W3352" s="8">
        <v>30.873000000000001</v>
      </c>
      <c r="X3352" s="8">
        <v>21.315000000000001</v>
      </c>
      <c r="Y3352" s="8">
        <v>12.962</v>
      </c>
      <c r="Z3352" s="8">
        <v>5.5049999999999999</v>
      </c>
      <c r="AA3352" s="8">
        <v>1.246</v>
      </c>
      <c r="AB3352" s="8">
        <v>0.26200000000000001</v>
      </c>
      <c r="AC3352" s="8">
        <v>2.3E-2</v>
      </c>
    </row>
    <row r="3353" spans="1:29" ht="11.65" hidden="1" x14ac:dyDescent="0.35">
      <c r="A3353" s="12">
        <v>3336</v>
      </c>
      <c r="B3353" s="10" t="s">
        <v>1015</v>
      </c>
      <c r="C3353" s="18" t="s">
        <v>1247</v>
      </c>
      <c r="D3353" s="9"/>
      <c r="E3353" s="9">
        <v>233</v>
      </c>
      <c r="F3353" s="10" t="s">
        <v>1066</v>
      </c>
      <c r="G3353" s="9">
        <v>924</v>
      </c>
      <c r="H3353" s="9">
        <v>1975</v>
      </c>
      <c r="I3353" s="8">
        <v>52.3</v>
      </c>
      <c r="J3353" s="8">
        <v>48.573999999999998</v>
      </c>
      <c r="K3353" s="8">
        <v>49.353999999999999</v>
      </c>
      <c r="L3353" s="8">
        <v>51.548999999999999</v>
      </c>
      <c r="M3353" s="8">
        <v>53.38</v>
      </c>
      <c r="N3353" s="8">
        <v>51.720999999999997</v>
      </c>
      <c r="O3353" s="8">
        <v>46.776000000000003</v>
      </c>
      <c r="P3353" s="8">
        <v>56.499000000000002</v>
      </c>
      <c r="Q3353" s="8">
        <v>52.970999999999997</v>
      </c>
      <c r="R3353" s="8">
        <v>56.14</v>
      </c>
      <c r="S3353" s="8">
        <v>49.643999999999998</v>
      </c>
      <c r="T3353" s="8">
        <v>33.463999999999999</v>
      </c>
      <c r="U3353" s="8">
        <v>43.042999999999999</v>
      </c>
      <c r="V3353" s="8">
        <v>40.572000000000003</v>
      </c>
      <c r="W3353" s="8">
        <v>34.100999999999999</v>
      </c>
      <c r="X3353" s="8">
        <v>24.259</v>
      </c>
      <c r="Y3353" s="8">
        <v>14.276</v>
      </c>
      <c r="Z3353" s="8">
        <v>6.36</v>
      </c>
      <c r="AA3353" s="8">
        <v>1.829</v>
      </c>
      <c r="AB3353" s="8">
        <v>0.247</v>
      </c>
      <c r="AC3353" s="8">
        <v>2.9000000000000001E-2</v>
      </c>
    </row>
    <row r="3354" spans="1:29" ht="11.65" hidden="1" x14ac:dyDescent="0.35">
      <c r="A3354" s="12">
        <v>3337</v>
      </c>
      <c r="B3354" s="10" t="s">
        <v>1015</v>
      </c>
      <c r="C3354" s="18" t="s">
        <v>1247</v>
      </c>
      <c r="D3354" s="9"/>
      <c r="E3354" s="9">
        <v>233</v>
      </c>
      <c r="F3354" s="10" t="s">
        <v>1066</v>
      </c>
      <c r="G3354" s="9">
        <v>924</v>
      </c>
      <c r="H3354" s="9">
        <v>1980</v>
      </c>
      <c r="I3354" s="8">
        <v>53.189</v>
      </c>
      <c r="J3354" s="8">
        <v>53.561999999999998</v>
      </c>
      <c r="K3354" s="8">
        <v>49.374000000000002</v>
      </c>
      <c r="L3354" s="8">
        <v>50.478999999999999</v>
      </c>
      <c r="M3354" s="8">
        <v>54.197000000000003</v>
      </c>
      <c r="N3354" s="8">
        <v>57.34</v>
      </c>
      <c r="O3354" s="8">
        <v>53.914000000000001</v>
      </c>
      <c r="P3354" s="8">
        <v>47.195</v>
      </c>
      <c r="Q3354" s="8">
        <v>56.642000000000003</v>
      </c>
      <c r="R3354" s="8">
        <v>52.534999999999997</v>
      </c>
      <c r="S3354" s="8">
        <v>55.156999999999996</v>
      </c>
      <c r="T3354" s="8">
        <v>48.545000000000002</v>
      </c>
      <c r="U3354" s="8">
        <v>32.262999999999998</v>
      </c>
      <c r="V3354" s="8">
        <v>40.188000000000002</v>
      </c>
      <c r="W3354" s="8">
        <v>35.441000000000003</v>
      </c>
      <c r="X3354" s="8">
        <v>26.74</v>
      </c>
      <c r="Y3354" s="8">
        <v>15.795</v>
      </c>
      <c r="Z3354" s="8">
        <v>6.8819999999999997</v>
      </c>
      <c r="AA3354" s="8">
        <v>2.08</v>
      </c>
      <c r="AB3354" s="8">
        <v>0.35599999999999998</v>
      </c>
      <c r="AC3354" s="8">
        <v>2.8000000000000001E-2</v>
      </c>
    </row>
    <row r="3355" spans="1:29" ht="11.65" hidden="1" x14ac:dyDescent="0.35">
      <c r="A3355" s="12">
        <v>3338</v>
      </c>
      <c r="B3355" s="10" t="s">
        <v>1015</v>
      </c>
      <c r="C3355" s="18" t="s">
        <v>1247</v>
      </c>
      <c r="D3355" s="9"/>
      <c r="E3355" s="9">
        <v>233</v>
      </c>
      <c r="F3355" s="10" t="s">
        <v>1066</v>
      </c>
      <c r="G3355" s="9">
        <v>924</v>
      </c>
      <c r="H3355" s="9">
        <v>1985</v>
      </c>
      <c r="I3355" s="8">
        <v>56.741</v>
      </c>
      <c r="J3355" s="8">
        <v>54.03</v>
      </c>
      <c r="K3355" s="8">
        <v>53.588999999999999</v>
      </c>
      <c r="L3355" s="8">
        <v>49.81</v>
      </c>
      <c r="M3355" s="8">
        <v>54.222999999999999</v>
      </c>
      <c r="N3355" s="8">
        <v>58.039000000000001</v>
      </c>
      <c r="O3355" s="8">
        <v>58.286999999999999</v>
      </c>
      <c r="P3355" s="8">
        <v>54.026000000000003</v>
      </c>
      <c r="Q3355" s="8">
        <v>46.826999999999998</v>
      </c>
      <c r="R3355" s="8">
        <v>55.780999999999999</v>
      </c>
      <c r="S3355" s="8">
        <v>51.576999999999998</v>
      </c>
      <c r="T3355" s="8">
        <v>53.753</v>
      </c>
      <c r="U3355" s="8">
        <v>46.366</v>
      </c>
      <c r="V3355" s="8">
        <v>29.829000000000001</v>
      </c>
      <c r="W3355" s="8">
        <v>35.238999999999997</v>
      </c>
      <c r="X3355" s="8">
        <v>28.1</v>
      </c>
      <c r="Y3355" s="8">
        <v>17.669</v>
      </c>
      <c r="Z3355" s="8">
        <v>7.76</v>
      </c>
      <c r="AA3355" s="8">
        <v>2.3050000000000002</v>
      </c>
      <c r="AB3355" s="8">
        <v>0.42099999999999999</v>
      </c>
      <c r="AC3355" s="8">
        <v>0.04</v>
      </c>
    </row>
    <row r="3356" spans="1:29" ht="11.65" hidden="1" x14ac:dyDescent="0.35">
      <c r="A3356" s="12">
        <v>3339</v>
      </c>
      <c r="B3356" s="10" t="s">
        <v>1015</v>
      </c>
      <c r="C3356" s="18" t="s">
        <v>1247</v>
      </c>
      <c r="D3356" s="9"/>
      <c r="E3356" s="9">
        <v>233</v>
      </c>
      <c r="F3356" s="10" t="s">
        <v>1066</v>
      </c>
      <c r="G3356" s="9">
        <v>924</v>
      </c>
      <c r="H3356" s="9">
        <v>1990</v>
      </c>
      <c r="I3356" s="8">
        <v>58.338999999999999</v>
      </c>
      <c r="J3356" s="8">
        <v>57.567999999999998</v>
      </c>
      <c r="K3356" s="8">
        <v>54.389000000000003</v>
      </c>
      <c r="L3356" s="8">
        <v>53.079000000000001</v>
      </c>
      <c r="M3356" s="8">
        <v>50.637999999999998</v>
      </c>
      <c r="N3356" s="8">
        <v>56.811</v>
      </c>
      <c r="O3356" s="8">
        <v>60.417999999999999</v>
      </c>
      <c r="P3356" s="8">
        <v>58.637999999999998</v>
      </c>
      <c r="Q3356" s="8">
        <v>53.902000000000001</v>
      </c>
      <c r="R3356" s="8">
        <v>46.088000000000001</v>
      </c>
      <c r="S3356" s="8">
        <v>54.576000000000001</v>
      </c>
      <c r="T3356" s="8">
        <v>50.000999999999998</v>
      </c>
      <c r="U3356" s="8">
        <v>51.368000000000002</v>
      </c>
      <c r="V3356" s="8">
        <v>42.887</v>
      </c>
      <c r="W3356" s="8">
        <v>25.986999999999998</v>
      </c>
      <c r="X3356" s="8">
        <v>27.91</v>
      </c>
      <c r="Y3356" s="8">
        <v>18.931999999999999</v>
      </c>
      <c r="Z3356" s="8">
        <v>8.7110000000000003</v>
      </c>
      <c r="AA3356" s="8">
        <v>2.5539999999999998</v>
      </c>
      <c r="AB3356" s="8">
        <v>0.44600000000000001</v>
      </c>
      <c r="AC3356" s="8">
        <v>4.3999999999999997E-2</v>
      </c>
    </row>
    <row r="3357" spans="1:29" ht="11.65" hidden="1" x14ac:dyDescent="0.35">
      <c r="A3357" s="12">
        <v>3340</v>
      </c>
      <c r="B3357" s="10" t="s">
        <v>1015</v>
      </c>
      <c r="C3357" s="18" t="s">
        <v>1247</v>
      </c>
      <c r="D3357" s="9"/>
      <c r="E3357" s="9">
        <v>233</v>
      </c>
      <c r="F3357" s="10" t="s">
        <v>1066</v>
      </c>
      <c r="G3357" s="9">
        <v>924</v>
      </c>
      <c r="H3357" s="9">
        <v>1995</v>
      </c>
      <c r="I3357" s="8">
        <v>38.75</v>
      </c>
      <c r="J3357" s="8">
        <v>53.204000000000001</v>
      </c>
      <c r="K3357" s="8">
        <v>52.311999999999998</v>
      </c>
      <c r="L3357" s="8">
        <v>48.465000000000003</v>
      </c>
      <c r="M3357" s="8">
        <v>48.655000000000001</v>
      </c>
      <c r="N3357" s="8">
        <v>47.048000000000002</v>
      </c>
      <c r="O3357" s="8">
        <v>51.26</v>
      </c>
      <c r="P3357" s="8">
        <v>54.045000000000002</v>
      </c>
      <c r="Q3357" s="8">
        <v>52.921999999999997</v>
      </c>
      <c r="R3357" s="8">
        <v>49.679000000000002</v>
      </c>
      <c r="S3357" s="8">
        <v>43.21</v>
      </c>
      <c r="T3357" s="8">
        <v>50.904000000000003</v>
      </c>
      <c r="U3357" s="8">
        <v>46.06</v>
      </c>
      <c r="V3357" s="8">
        <v>45.692</v>
      </c>
      <c r="W3357" s="8">
        <v>36.237000000000002</v>
      </c>
      <c r="X3357" s="8">
        <v>20.003</v>
      </c>
      <c r="Y3357" s="8">
        <v>18.574000000000002</v>
      </c>
      <c r="Z3357" s="8">
        <v>9.4440000000000008</v>
      </c>
      <c r="AA3357" s="8">
        <v>2.8220000000000001</v>
      </c>
      <c r="AB3357" s="8">
        <v>0.46200000000000002</v>
      </c>
      <c r="AC3357" s="8">
        <v>4.3999999999999997E-2</v>
      </c>
    </row>
    <row r="3358" spans="1:29" ht="11.65" hidden="1" x14ac:dyDescent="0.35">
      <c r="A3358" s="12">
        <v>3341</v>
      </c>
      <c r="B3358" s="10" t="s">
        <v>1015</v>
      </c>
      <c r="C3358" s="18" t="s">
        <v>1247</v>
      </c>
      <c r="D3358" s="9"/>
      <c r="E3358" s="9">
        <v>233</v>
      </c>
      <c r="F3358" s="10" t="s">
        <v>1066</v>
      </c>
      <c r="G3358" s="9">
        <v>924</v>
      </c>
      <c r="H3358" s="9">
        <v>2000</v>
      </c>
      <c r="I3358" s="8">
        <v>29.776</v>
      </c>
      <c r="J3358" s="8">
        <v>38.667000000000002</v>
      </c>
      <c r="K3358" s="8">
        <v>50.247999999999998</v>
      </c>
      <c r="L3358" s="8">
        <v>49.527000000000001</v>
      </c>
      <c r="M3358" s="8">
        <v>47.662999999999997</v>
      </c>
      <c r="N3358" s="8">
        <v>49.244</v>
      </c>
      <c r="O3358" s="8">
        <v>46.176000000000002</v>
      </c>
      <c r="P3358" s="8">
        <v>50.85</v>
      </c>
      <c r="Q3358" s="8">
        <v>52.831000000000003</v>
      </c>
      <c r="R3358" s="8">
        <v>51.460999999999999</v>
      </c>
      <c r="S3358" s="8">
        <v>47.51</v>
      </c>
      <c r="T3358" s="8">
        <v>42.289000000000001</v>
      </c>
      <c r="U3358" s="8">
        <v>48.97</v>
      </c>
      <c r="V3358" s="8">
        <v>42.863</v>
      </c>
      <c r="W3358" s="8">
        <v>40.845999999999997</v>
      </c>
      <c r="X3358" s="8">
        <v>29.661000000000001</v>
      </c>
      <c r="Y3358" s="8">
        <v>13.981</v>
      </c>
      <c r="Z3358" s="8">
        <v>9.9740000000000002</v>
      </c>
      <c r="AA3358" s="8">
        <v>3.3809999999999998</v>
      </c>
      <c r="AB3358" s="8">
        <v>0.58199999999999996</v>
      </c>
      <c r="AC3358" s="8">
        <v>5.1999999999999998E-2</v>
      </c>
    </row>
    <row r="3359" spans="1:29" ht="11.65" hidden="1" x14ac:dyDescent="0.35">
      <c r="A3359" s="12">
        <v>3342</v>
      </c>
      <c r="B3359" s="10" t="s">
        <v>1015</v>
      </c>
      <c r="C3359" s="18" t="s">
        <v>1247</v>
      </c>
      <c r="D3359" s="9"/>
      <c r="E3359" s="9">
        <v>233</v>
      </c>
      <c r="F3359" s="10" t="s">
        <v>1066</v>
      </c>
      <c r="G3359" s="9">
        <v>924</v>
      </c>
      <c r="H3359" s="9">
        <v>2005</v>
      </c>
      <c r="I3359" s="8">
        <v>32.268999999999998</v>
      </c>
      <c r="J3359" s="8">
        <v>29.393000000000001</v>
      </c>
      <c r="K3359" s="8">
        <v>38.295999999999999</v>
      </c>
      <c r="L3359" s="8">
        <v>49.607999999999997</v>
      </c>
      <c r="M3359" s="8">
        <v>48.348999999999997</v>
      </c>
      <c r="N3359" s="8">
        <v>46.325000000000003</v>
      </c>
      <c r="O3359" s="8">
        <v>48.185000000000002</v>
      </c>
      <c r="P3359" s="8">
        <v>45.029000000000003</v>
      </c>
      <c r="Q3359" s="8">
        <v>49.540999999999997</v>
      </c>
      <c r="R3359" s="8">
        <v>51.393999999999998</v>
      </c>
      <c r="S3359" s="8">
        <v>49.917000000000002</v>
      </c>
      <c r="T3359" s="8">
        <v>45.603000000000002</v>
      </c>
      <c r="U3359" s="8">
        <v>40.133000000000003</v>
      </c>
      <c r="V3359" s="8">
        <v>45.805999999999997</v>
      </c>
      <c r="W3359" s="8">
        <v>38.283999999999999</v>
      </c>
      <c r="X3359" s="8">
        <v>33.816000000000003</v>
      </c>
      <c r="Y3359" s="8">
        <v>21.273</v>
      </c>
      <c r="Z3359" s="8">
        <v>7.8230000000000004</v>
      </c>
      <c r="AA3359" s="8">
        <v>3.8210000000000002</v>
      </c>
      <c r="AB3359" s="8">
        <v>0.73599999999999999</v>
      </c>
      <c r="AC3359" s="8">
        <v>6.3E-2</v>
      </c>
    </row>
    <row r="3360" spans="1:29" ht="11.65" hidden="1" x14ac:dyDescent="0.35">
      <c r="A3360" s="12">
        <v>3343</v>
      </c>
      <c r="B3360" s="10" t="s">
        <v>1015</v>
      </c>
      <c r="C3360" s="18" t="s">
        <v>1247</v>
      </c>
      <c r="D3360" s="9"/>
      <c r="E3360" s="9">
        <v>233</v>
      </c>
      <c r="F3360" s="10" t="s">
        <v>1066</v>
      </c>
      <c r="G3360" s="9">
        <v>924</v>
      </c>
      <c r="H3360" s="9">
        <v>2010</v>
      </c>
      <c r="I3360" s="8">
        <v>37.646999999999998</v>
      </c>
      <c r="J3360" s="8">
        <v>31.564</v>
      </c>
      <c r="K3360" s="8">
        <v>28.7</v>
      </c>
      <c r="L3360" s="8">
        <v>37.69</v>
      </c>
      <c r="M3360" s="8">
        <v>48.828000000000003</v>
      </c>
      <c r="N3360" s="8">
        <v>46.609000000000002</v>
      </c>
      <c r="O3360" s="8">
        <v>44.570999999999998</v>
      </c>
      <c r="P3360" s="8">
        <v>46.664999999999999</v>
      </c>
      <c r="Q3360" s="8">
        <v>43.665999999999997</v>
      </c>
      <c r="R3360" s="8">
        <v>47.978999999999999</v>
      </c>
      <c r="S3360" s="8">
        <v>49.631</v>
      </c>
      <c r="T3360" s="8">
        <v>48.296999999999997</v>
      </c>
      <c r="U3360" s="8">
        <v>43.768999999999998</v>
      </c>
      <c r="V3360" s="8">
        <v>38.036000000000001</v>
      </c>
      <c r="W3360" s="8">
        <v>42.235999999999997</v>
      </c>
      <c r="X3360" s="8">
        <v>32.975000000000001</v>
      </c>
      <c r="Y3360" s="8">
        <v>26.06</v>
      </c>
      <c r="Z3360" s="8">
        <v>12.683</v>
      </c>
      <c r="AA3360" s="8">
        <v>3.1789999999999998</v>
      </c>
      <c r="AB3360" s="8">
        <v>0.877</v>
      </c>
      <c r="AC3360" s="8">
        <v>8.5000000000000006E-2</v>
      </c>
    </row>
    <row r="3361" spans="1:29" ht="11.65" hidden="1" x14ac:dyDescent="0.35">
      <c r="A3361" s="12">
        <v>3344</v>
      </c>
      <c r="B3361" s="10" t="s">
        <v>1015</v>
      </c>
      <c r="C3361" s="18" t="s">
        <v>1247</v>
      </c>
      <c r="D3361" s="9"/>
      <c r="E3361" s="9">
        <v>233</v>
      </c>
      <c r="F3361" s="10" t="s">
        <v>1066</v>
      </c>
      <c r="G3361" s="9">
        <v>924</v>
      </c>
      <c r="H3361" s="9">
        <v>2015</v>
      </c>
      <c r="I3361" s="8">
        <v>34.622999999999998</v>
      </c>
      <c r="J3361" s="8">
        <v>37.317</v>
      </c>
      <c r="K3361" s="8">
        <v>31.193999999999999</v>
      </c>
      <c r="L3361" s="8">
        <v>28.288</v>
      </c>
      <c r="M3361" s="8">
        <v>37.021000000000001</v>
      </c>
      <c r="N3361" s="8">
        <v>47.832000000000001</v>
      </c>
      <c r="O3361" s="8">
        <v>45.622</v>
      </c>
      <c r="P3361" s="8">
        <v>43.616</v>
      </c>
      <c r="Q3361" s="8">
        <v>45.668999999999997</v>
      </c>
      <c r="R3361" s="8">
        <v>42.72</v>
      </c>
      <c r="S3361" s="8">
        <v>46.923999999999999</v>
      </c>
      <c r="T3361" s="8">
        <v>48.41</v>
      </c>
      <c r="U3361" s="8">
        <v>46.802</v>
      </c>
      <c r="V3361" s="8">
        <v>41.749000000000002</v>
      </c>
      <c r="W3361" s="8">
        <v>35.335999999999999</v>
      </c>
      <c r="X3361" s="8">
        <v>37.265999999999998</v>
      </c>
      <c r="Y3361" s="8">
        <v>26.209</v>
      </c>
      <c r="Z3361" s="8">
        <v>16.812999999999999</v>
      </c>
      <c r="AA3361" s="8">
        <v>5.6890000000000001</v>
      </c>
      <c r="AB3361" s="8">
        <v>0.873</v>
      </c>
      <c r="AC3361" s="8">
        <v>0.13200000000000001</v>
      </c>
    </row>
    <row r="3362" spans="1:29" ht="11.65" hidden="1" x14ac:dyDescent="0.35">
      <c r="A3362" s="12">
        <v>3345</v>
      </c>
      <c r="B3362" s="10" t="s">
        <v>1015</v>
      </c>
      <c r="C3362" s="18" t="s">
        <v>1247</v>
      </c>
      <c r="D3362" s="9"/>
      <c r="E3362" s="9">
        <v>233</v>
      </c>
      <c r="F3362" s="10" t="s">
        <v>1066</v>
      </c>
      <c r="G3362" s="9">
        <v>924</v>
      </c>
      <c r="H3362" s="9">
        <v>2020</v>
      </c>
      <c r="I3362" s="8">
        <v>33.343000000000004</v>
      </c>
      <c r="J3362" s="8">
        <v>36.408000000000001</v>
      </c>
      <c r="K3362" s="8">
        <v>36.459000000000003</v>
      </c>
      <c r="L3362" s="8">
        <v>30.318000000000001</v>
      </c>
      <c r="M3362" s="8">
        <v>28.443000000000001</v>
      </c>
      <c r="N3362" s="8">
        <v>41.274999999999999</v>
      </c>
      <c r="O3362" s="8">
        <v>47.859000000000002</v>
      </c>
      <c r="P3362" s="8">
        <v>44.529000000000003</v>
      </c>
      <c r="Q3362" s="8">
        <v>42.895000000000003</v>
      </c>
      <c r="R3362" s="8">
        <v>47.347000000000001</v>
      </c>
      <c r="S3362" s="8">
        <v>38.963000000000001</v>
      </c>
      <c r="T3362" s="8">
        <v>46.594999999999999</v>
      </c>
      <c r="U3362" s="8">
        <v>47.121000000000002</v>
      </c>
      <c r="V3362" s="8">
        <v>49.283000000000001</v>
      </c>
      <c r="W3362" s="8">
        <v>32.619999999999997</v>
      </c>
      <c r="X3362" s="8">
        <v>36.151000000000003</v>
      </c>
      <c r="Y3362" s="8">
        <v>31.16</v>
      </c>
      <c r="Z3362" s="8">
        <v>17.631</v>
      </c>
      <c r="AA3362" s="8">
        <v>7.9980000000000002</v>
      </c>
      <c r="AB3362" s="8">
        <v>1.5640000000000001</v>
      </c>
      <c r="AC3362" s="8">
        <v>0.121</v>
      </c>
    </row>
    <row r="3363" spans="1:29" ht="11.65" hidden="1" x14ac:dyDescent="0.35">
      <c r="A3363" s="12">
        <v>3346</v>
      </c>
      <c r="B3363" s="10" t="s">
        <v>1015</v>
      </c>
      <c r="C3363" s="18" t="s">
        <v>1248</v>
      </c>
      <c r="D3363" s="9">
        <v>22</v>
      </c>
      <c r="E3363" s="9">
        <v>246</v>
      </c>
      <c r="F3363" s="10" t="s">
        <v>1066</v>
      </c>
      <c r="G3363" s="9">
        <v>924</v>
      </c>
      <c r="H3363" s="9">
        <v>1950</v>
      </c>
      <c r="I3363" s="8">
        <v>244.83799999999999</v>
      </c>
      <c r="J3363" s="8">
        <v>176.74100000000001</v>
      </c>
      <c r="K3363" s="8">
        <v>162.874</v>
      </c>
      <c r="L3363" s="8">
        <v>155.15600000000001</v>
      </c>
      <c r="M3363" s="8">
        <v>162.06899999999999</v>
      </c>
      <c r="N3363" s="8">
        <v>161.80000000000001</v>
      </c>
      <c r="O3363" s="8">
        <v>142.32300000000001</v>
      </c>
      <c r="P3363" s="8">
        <v>154.01499999999999</v>
      </c>
      <c r="Q3363" s="8">
        <v>151.101</v>
      </c>
      <c r="R3363" s="8">
        <v>129.64099999999999</v>
      </c>
      <c r="S3363" s="8">
        <v>112.976</v>
      </c>
      <c r="T3363" s="8">
        <v>91.811999999999998</v>
      </c>
      <c r="U3363" s="8">
        <v>81.814999999999998</v>
      </c>
      <c r="V3363" s="8">
        <v>65.754999999999995</v>
      </c>
      <c r="W3363" s="8">
        <v>48.784999999999997</v>
      </c>
      <c r="X3363" s="8">
        <v>31.652999999999999</v>
      </c>
      <c r="Y3363" s="8">
        <v>13.401</v>
      </c>
      <c r="Z3363" s="8">
        <v>5.4390000000000001</v>
      </c>
      <c r="AA3363" s="8">
        <v>1.165</v>
      </c>
      <c r="AB3363" s="8">
        <v>0.13500000000000001</v>
      </c>
      <c r="AC3363" s="8">
        <v>3.0000000000000001E-3</v>
      </c>
    </row>
    <row r="3364" spans="1:29" ht="11.65" hidden="1" x14ac:dyDescent="0.35">
      <c r="A3364" s="12">
        <v>3347</v>
      </c>
      <c r="B3364" s="10" t="s">
        <v>1015</v>
      </c>
      <c r="C3364" s="18" t="s">
        <v>1248</v>
      </c>
      <c r="D3364" s="9">
        <v>22</v>
      </c>
      <c r="E3364" s="9">
        <v>246</v>
      </c>
      <c r="F3364" s="10" t="s">
        <v>1066</v>
      </c>
      <c r="G3364" s="9">
        <v>924</v>
      </c>
      <c r="H3364" s="9">
        <v>1955</v>
      </c>
      <c r="I3364" s="8">
        <v>218.80600000000001</v>
      </c>
      <c r="J3364" s="8">
        <v>242.251</v>
      </c>
      <c r="K3364" s="8">
        <v>175.98500000000001</v>
      </c>
      <c r="L3364" s="8">
        <v>160.5</v>
      </c>
      <c r="M3364" s="8">
        <v>150.03100000000001</v>
      </c>
      <c r="N3364" s="8">
        <v>157.792</v>
      </c>
      <c r="O3364" s="8">
        <v>158.21799999999999</v>
      </c>
      <c r="P3364" s="8">
        <v>139.458</v>
      </c>
      <c r="Q3364" s="8">
        <v>151.04400000000001</v>
      </c>
      <c r="R3364" s="8">
        <v>147.863</v>
      </c>
      <c r="S3364" s="8">
        <v>125.90600000000001</v>
      </c>
      <c r="T3364" s="8">
        <v>107.989</v>
      </c>
      <c r="U3364" s="8">
        <v>85.521000000000001</v>
      </c>
      <c r="V3364" s="8">
        <v>72.623000000000005</v>
      </c>
      <c r="W3364" s="8">
        <v>53.360999999999997</v>
      </c>
      <c r="X3364" s="8">
        <v>34.052</v>
      </c>
      <c r="Y3364" s="8">
        <v>17.585000000000001</v>
      </c>
      <c r="Z3364" s="8">
        <v>5.2110000000000003</v>
      </c>
      <c r="AA3364" s="8">
        <v>1.246</v>
      </c>
      <c r="AB3364" s="8">
        <v>0.14000000000000001</v>
      </c>
      <c r="AC3364" s="8">
        <v>8.0000000000000002E-3</v>
      </c>
    </row>
    <row r="3365" spans="1:29" ht="11.65" hidden="1" x14ac:dyDescent="0.35">
      <c r="A3365" s="12">
        <v>3348</v>
      </c>
      <c r="B3365" s="10" t="s">
        <v>1015</v>
      </c>
      <c r="C3365" s="18" t="s">
        <v>1248</v>
      </c>
      <c r="D3365" s="9">
        <v>22</v>
      </c>
      <c r="E3365" s="9">
        <v>246</v>
      </c>
      <c r="F3365" s="10" t="s">
        <v>1066</v>
      </c>
      <c r="G3365" s="9">
        <v>924</v>
      </c>
      <c r="H3365" s="9">
        <v>1960</v>
      </c>
      <c r="I3365" s="8">
        <v>202.12100000000001</v>
      </c>
      <c r="J3365" s="8">
        <v>217.87100000000001</v>
      </c>
      <c r="K3365" s="8">
        <v>240.59399999999999</v>
      </c>
      <c r="L3365" s="8">
        <v>175.30699999999999</v>
      </c>
      <c r="M3365" s="8">
        <v>154.547</v>
      </c>
      <c r="N3365" s="8">
        <v>143.255</v>
      </c>
      <c r="O3365" s="8">
        <v>153.69999999999999</v>
      </c>
      <c r="P3365" s="8">
        <v>155.30000000000001</v>
      </c>
      <c r="Q3365" s="8">
        <v>137.053</v>
      </c>
      <c r="R3365" s="8">
        <v>148.18799999999999</v>
      </c>
      <c r="S3365" s="8">
        <v>144.08099999999999</v>
      </c>
      <c r="T3365" s="8">
        <v>121.17100000000001</v>
      </c>
      <c r="U3365" s="8">
        <v>101.56</v>
      </c>
      <c r="V3365" s="8">
        <v>77.078000000000003</v>
      </c>
      <c r="W3365" s="8">
        <v>60.183</v>
      </c>
      <c r="X3365" s="8">
        <v>38.405999999999999</v>
      </c>
      <c r="Y3365" s="8">
        <v>19.777999999999999</v>
      </c>
      <c r="Z3365" s="8">
        <v>6.9980000000000002</v>
      </c>
      <c r="AA3365" s="8">
        <v>1.2989999999999999</v>
      </c>
      <c r="AB3365" s="8">
        <v>0.16700000000000001</v>
      </c>
      <c r="AC3365" s="8">
        <v>0.01</v>
      </c>
    </row>
    <row r="3366" spans="1:29" ht="11.65" hidden="1" x14ac:dyDescent="0.35">
      <c r="A3366" s="12">
        <v>3349</v>
      </c>
      <c r="B3366" s="10" t="s">
        <v>1015</v>
      </c>
      <c r="C3366" s="18" t="s">
        <v>1248</v>
      </c>
      <c r="D3366" s="9">
        <v>22</v>
      </c>
      <c r="E3366" s="9">
        <v>246</v>
      </c>
      <c r="F3366" s="10" t="s">
        <v>1066</v>
      </c>
      <c r="G3366" s="9">
        <v>924</v>
      </c>
      <c r="H3366" s="9">
        <v>1965</v>
      </c>
      <c r="I3366" s="8">
        <v>193.02</v>
      </c>
      <c r="J3366" s="8">
        <v>199.09200000000001</v>
      </c>
      <c r="K3366" s="8">
        <v>216.23699999999999</v>
      </c>
      <c r="L3366" s="8">
        <v>236.02</v>
      </c>
      <c r="M3366" s="8">
        <v>167.524</v>
      </c>
      <c r="N3366" s="8">
        <v>146.33799999999999</v>
      </c>
      <c r="O3366" s="8">
        <v>138.19800000000001</v>
      </c>
      <c r="P3366" s="8">
        <v>151.16</v>
      </c>
      <c r="Q3366" s="8">
        <v>152.81700000000001</v>
      </c>
      <c r="R3366" s="8">
        <v>134.19200000000001</v>
      </c>
      <c r="S3366" s="8">
        <v>144.34800000000001</v>
      </c>
      <c r="T3366" s="8">
        <v>138.53899999999999</v>
      </c>
      <c r="U3366" s="8">
        <v>114.28700000000001</v>
      </c>
      <c r="V3366" s="8">
        <v>91.581999999999994</v>
      </c>
      <c r="W3366" s="8">
        <v>64.320999999999998</v>
      </c>
      <c r="X3366" s="8">
        <v>43.293999999999997</v>
      </c>
      <c r="Y3366" s="8">
        <v>21.917999999999999</v>
      </c>
      <c r="Z3366" s="8">
        <v>7.7350000000000003</v>
      </c>
      <c r="AA3366" s="8">
        <v>1.679</v>
      </c>
      <c r="AB3366" s="8">
        <v>0.16400000000000001</v>
      </c>
      <c r="AC3366" s="8">
        <v>1.0999999999999999E-2</v>
      </c>
    </row>
    <row r="3367" spans="1:29" ht="11.65" hidden="1" x14ac:dyDescent="0.35">
      <c r="A3367" s="12">
        <v>3350</v>
      </c>
      <c r="B3367" s="10" t="s">
        <v>1015</v>
      </c>
      <c r="C3367" s="18" t="s">
        <v>1248</v>
      </c>
      <c r="D3367" s="9">
        <v>22</v>
      </c>
      <c r="E3367" s="9">
        <v>246</v>
      </c>
      <c r="F3367" s="10" t="s">
        <v>1066</v>
      </c>
      <c r="G3367" s="9">
        <v>924</v>
      </c>
      <c r="H3367" s="9">
        <v>1970</v>
      </c>
      <c r="I3367" s="8">
        <v>170.50200000000001</v>
      </c>
      <c r="J3367" s="8">
        <v>188.41800000000001</v>
      </c>
      <c r="K3367" s="8">
        <v>197.179</v>
      </c>
      <c r="L3367" s="8">
        <v>208.351</v>
      </c>
      <c r="M3367" s="8">
        <v>217.46299999999999</v>
      </c>
      <c r="N3367" s="8">
        <v>156.15899999999999</v>
      </c>
      <c r="O3367" s="8">
        <v>143.78</v>
      </c>
      <c r="P3367" s="8">
        <v>137.27500000000001</v>
      </c>
      <c r="Q3367" s="8">
        <v>148.327</v>
      </c>
      <c r="R3367" s="8">
        <v>149.64099999999999</v>
      </c>
      <c r="S3367" s="8">
        <v>130.708</v>
      </c>
      <c r="T3367" s="8">
        <v>139.203</v>
      </c>
      <c r="U3367" s="8">
        <v>131.53</v>
      </c>
      <c r="V3367" s="8">
        <v>104.367</v>
      </c>
      <c r="W3367" s="8">
        <v>77.819999999999993</v>
      </c>
      <c r="X3367" s="8">
        <v>47.48</v>
      </c>
      <c r="Y3367" s="8">
        <v>25.385000000000002</v>
      </c>
      <c r="Z3367" s="8">
        <v>8.9139999999999997</v>
      </c>
      <c r="AA3367" s="8">
        <v>1.9339999999999999</v>
      </c>
      <c r="AB3367" s="8">
        <v>0.22500000000000001</v>
      </c>
      <c r="AC3367" s="8">
        <v>1.0999999999999999E-2</v>
      </c>
    </row>
    <row r="3368" spans="1:29" ht="11.65" hidden="1" x14ac:dyDescent="0.35">
      <c r="A3368" s="12">
        <v>3351</v>
      </c>
      <c r="B3368" s="10" t="s">
        <v>1015</v>
      </c>
      <c r="C3368" s="18" t="s">
        <v>1248</v>
      </c>
      <c r="D3368" s="9">
        <v>22</v>
      </c>
      <c r="E3368" s="9">
        <v>246</v>
      </c>
      <c r="F3368" s="10" t="s">
        <v>1066</v>
      </c>
      <c r="G3368" s="9">
        <v>924</v>
      </c>
      <c r="H3368" s="9">
        <v>1975</v>
      </c>
      <c r="I3368" s="8">
        <v>147.71600000000001</v>
      </c>
      <c r="J3368" s="8">
        <v>171.73599999999999</v>
      </c>
      <c r="K3368" s="8">
        <v>188.69200000000001</v>
      </c>
      <c r="L3368" s="8">
        <v>195.547</v>
      </c>
      <c r="M3368" s="8">
        <v>205.43299999999999</v>
      </c>
      <c r="N3368" s="8">
        <v>218.85400000000001</v>
      </c>
      <c r="O3368" s="8">
        <v>157.39400000000001</v>
      </c>
      <c r="P3368" s="8">
        <v>143.916</v>
      </c>
      <c r="Q3368" s="8">
        <v>136.53</v>
      </c>
      <c r="R3368" s="8">
        <v>146.83000000000001</v>
      </c>
      <c r="S3368" s="8">
        <v>147.095</v>
      </c>
      <c r="T3368" s="8">
        <v>127.208</v>
      </c>
      <c r="U3368" s="8">
        <v>133.20699999999999</v>
      </c>
      <c r="V3368" s="8">
        <v>121.827</v>
      </c>
      <c r="W3368" s="8">
        <v>90.828000000000003</v>
      </c>
      <c r="X3368" s="8">
        <v>60.133000000000003</v>
      </c>
      <c r="Y3368" s="8">
        <v>30.218</v>
      </c>
      <c r="Z3368" s="8">
        <v>11.398999999999999</v>
      </c>
      <c r="AA3368" s="8">
        <v>2.6030000000000002</v>
      </c>
      <c r="AB3368" s="8">
        <v>0.314</v>
      </c>
      <c r="AC3368" s="8">
        <v>1.9E-2</v>
      </c>
    </row>
    <row r="3369" spans="1:29" ht="11.65" hidden="1" x14ac:dyDescent="0.35">
      <c r="A3369" s="12">
        <v>3352</v>
      </c>
      <c r="B3369" s="10" t="s">
        <v>1015</v>
      </c>
      <c r="C3369" s="18" t="s">
        <v>1248</v>
      </c>
      <c r="D3369" s="9">
        <v>22</v>
      </c>
      <c r="E3369" s="9">
        <v>246</v>
      </c>
      <c r="F3369" s="10" t="s">
        <v>1066</v>
      </c>
      <c r="G3369" s="9">
        <v>924</v>
      </c>
      <c r="H3369" s="9">
        <v>1980</v>
      </c>
      <c r="I3369" s="8">
        <v>156.67400000000001</v>
      </c>
      <c r="J3369" s="8">
        <v>146.53200000000001</v>
      </c>
      <c r="K3369" s="8">
        <v>171.96700000000001</v>
      </c>
      <c r="L3369" s="8">
        <v>187.077</v>
      </c>
      <c r="M3369" s="8">
        <v>187.55699999999999</v>
      </c>
      <c r="N3369" s="8">
        <v>198.29300000000001</v>
      </c>
      <c r="O3369" s="8">
        <v>214.13200000000001</v>
      </c>
      <c r="P3369" s="8">
        <v>155.376</v>
      </c>
      <c r="Q3369" s="8">
        <v>142.43799999999999</v>
      </c>
      <c r="R3369" s="8">
        <v>134.96600000000001</v>
      </c>
      <c r="S3369" s="8">
        <v>144.44900000000001</v>
      </c>
      <c r="T3369" s="8">
        <v>143.50200000000001</v>
      </c>
      <c r="U3369" s="8">
        <v>122.30800000000001</v>
      </c>
      <c r="V3369" s="8">
        <v>124.92400000000001</v>
      </c>
      <c r="W3369" s="8">
        <v>108.316</v>
      </c>
      <c r="X3369" s="8">
        <v>73.350999999999999</v>
      </c>
      <c r="Y3369" s="8">
        <v>41.374000000000002</v>
      </c>
      <c r="Z3369" s="8">
        <v>15.532</v>
      </c>
      <c r="AA3369" s="8">
        <v>3.8980000000000001</v>
      </c>
      <c r="AB3369" s="8">
        <v>0.52800000000000002</v>
      </c>
      <c r="AC3369" s="8">
        <v>3.3000000000000002E-2</v>
      </c>
    </row>
    <row r="3370" spans="1:29" ht="11.65" hidden="1" x14ac:dyDescent="0.35">
      <c r="A3370" s="12">
        <v>3353</v>
      </c>
      <c r="B3370" s="10" t="s">
        <v>1015</v>
      </c>
      <c r="C3370" s="18" t="s">
        <v>1248</v>
      </c>
      <c r="D3370" s="9">
        <v>22</v>
      </c>
      <c r="E3370" s="9">
        <v>246</v>
      </c>
      <c r="F3370" s="10" t="s">
        <v>1066</v>
      </c>
      <c r="G3370" s="9">
        <v>924</v>
      </c>
      <c r="H3370" s="9">
        <v>1985</v>
      </c>
      <c r="I3370" s="8">
        <v>159.024</v>
      </c>
      <c r="J3370" s="8">
        <v>158.66</v>
      </c>
      <c r="K3370" s="8">
        <v>147.89400000000001</v>
      </c>
      <c r="L3370" s="8">
        <v>172.12200000000001</v>
      </c>
      <c r="M3370" s="8">
        <v>185.166</v>
      </c>
      <c r="N3370" s="8">
        <v>187.767</v>
      </c>
      <c r="O3370" s="8">
        <v>199.386</v>
      </c>
      <c r="P3370" s="8">
        <v>214.63</v>
      </c>
      <c r="Q3370" s="8">
        <v>154.93199999999999</v>
      </c>
      <c r="R3370" s="8">
        <v>141.36600000000001</v>
      </c>
      <c r="S3370" s="8">
        <v>133.28899999999999</v>
      </c>
      <c r="T3370" s="8">
        <v>141.59</v>
      </c>
      <c r="U3370" s="8">
        <v>138.755</v>
      </c>
      <c r="V3370" s="8">
        <v>115.342</v>
      </c>
      <c r="W3370" s="8">
        <v>112.41</v>
      </c>
      <c r="X3370" s="8">
        <v>89.260999999999996</v>
      </c>
      <c r="Y3370" s="8">
        <v>52.081000000000003</v>
      </c>
      <c r="Z3370" s="8">
        <v>22.593</v>
      </c>
      <c r="AA3370" s="8">
        <v>5.9290000000000003</v>
      </c>
      <c r="AB3370" s="8">
        <v>0.90800000000000003</v>
      </c>
      <c r="AC3370" s="8">
        <v>6.6000000000000003E-2</v>
      </c>
    </row>
    <row r="3371" spans="1:29" ht="11.65" hidden="1" x14ac:dyDescent="0.35">
      <c r="A3371" s="12">
        <v>3354</v>
      </c>
      <c r="B3371" s="10" t="s">
        <v>1015</v>
      </c>
      <c r="C3371" s="18" t="s">
        <v>1248</v>
      </c>
      <c r="D3371" s="9">
        <v>22</v>
      </c>
      <c r="E3371" s="9">
        <v>246</v>
      </c>
      <c r="F3371" s="10" t="s">
        <v>1066</v>
      </c>
      <c r="G3371" s="9">
        <v>924</v>
      </c>
      <c r="H3371" s="9">
        <v>1990</v>
      </c>
      <c r="I3371" s="8">
        <v>152.227</v>
      </c>
      <c r="J3371" s="8">
        <v>159.965</v>
      </c>
      <c r="K3371" s="8">
        <v>159.30000000000001</v>
      </c>
      <c r="L3371" s="8">
        <v>147.94</v>
      </c>
      <c r="M3371" s="8">
        <v>171.113</v>
      </c>
      <c r="N3371" s="8">
        <v>184.72499999999999</v>
      </c>
      <c r="O3371" s="8">
        <v>188.42599999999999</v>
      </c>
      <c r="P3371" s="8">
        <v>199.61199999999999</v>
      </c>
      <c r="Q3371" s="8">
        <v>213.94200000000001</v>
      </c>
      <c r="R3371" s="8">
        <v>153.804</v>
      </c>
      <c r="S3371" s="8">
        <v>139.512</v>
      </c>
      <c r="T3371" s="8">
        <v>130.78899999999999</v>
      </c>
      <c r="U3371" s="8">
        <v>137.28200000000001</v>
      </c>
      <c r="V3371" s="8">
        <v>131.42099999999999</v>
      </c>
      <c r="W3371" s="8">
        <v>104.379</v>
      </c>
      <c r="X3371" s="8">
        <v>93.802000000000007</v>
      </c>
      <c r="Y3371" s="8">
        <v>64.519000000000005</v>
      </c>
      <c r="Z3371" s="8">
        <v>28.875</v>
      </c>
      <c r="AA3371" s="8">
        <v>8.5410000000000004</v>
      </c>
      <c r="AB3371" s="8">
        <v>1.3069999999999999</v>
      </c>
      <c r="AC3371" s="8">
        <v>0.10199999999999999</v>
      </c>
    </row>
    <row r="3372" spans="1:29" ht="11.65" hidden="1" x14ac:dyDescent="0.35">
      <c r="A3372" s="12">
        <v>3355</v>
      </c>
      <c r="B3372" s="10" t="s">
        <v>1015</v>
      </c>
      <c r="C3372" s="18" t="s">
        <v>1248</v>
      </c>
      <c r="D3372" s="9">
        <v>22</v>
      </c>
      <c r="E3372" s="9">
        <v>246</v>
      </c>
      <c r="F3372" s="10" t="s">
        <v>1066</v>
      </c>
      <c r="G3372" s="9">
        <v>924</v>
      </c>
      <c r="H3372" s="9">
        <v>1995</v>
      </c>
      <c r="I3372" s="8">
        <v>160.26400000000001</v>
      </c>
      <c r="J3372" s="8">
        <v>154.27199999999999</v>
      </c>
      <c r="K3372" s="8">
        <v>161.625</v>
      </c>
      <c r="L3372" s="8">
        <v>160.465</v>
      </c>
      <c r="M3372" s="8">
        <v>148.89400000000001</v>
      </c>
      <c r="N3372" s="8">
        <v>172.821</v>
      </c>
      <c r="O3372" s="8">
        <v>186.42699999999999</v>
      </c>
      <c r="P3372" s="8">
        <v>189.80199999999999</v>
      </c>
      <c r="Q3372" s="8">
        <v>200.20500000000001</v>
      </c>
      <c r="R3372" s="8">
        <v>213.11199999999999</v>
      </c>
      <c r="S3372" s="8">
        <v>152.315</v>
      </c>
      <c r="T3372" s="8">
        <v>137.59899999999999</v>
      </c>
      <c r="U3372" s="8">
        <v>127.61</v>
      </c>
      <c r="V3372" s="8">
        <v>131.417</v>
      </c>
      <c r="W3372" s="8">
        <v>120.919</v>
      </c>
      <c r="X3372" s="8">
        <v>88.968999999999994</v>
      </c>
      <c r="Y3372" s="8">
        <v>69.835999999999999</v>
      </c>
      <c r="Z3372" s="8">
        <v>36.656999999999996</v>
      </c>
      <c r="AA3372" s="8">
        <v>11.148</v>
      </c>
      <c r="AB3372" s="8">
        <v>1.889</v>
      </c>
      <c r="AC3372" s="8">
        <v>0.14000000000000001</v>
      </c>
    </row>
    <row r="3373" spans="1:29" ht="11.65" hidden="1" x14ac:dyDescent="0.35">
      <c r="A3373" s="12">
        <v>3356</v>
      </c>
      <c r="B3373" s="10" t="s">
        <v>1015</v>
      </c>
      <c r="C3373" s="18" t="s">
        <v>1248</v>
      </c>
      <c r="D3373" s="9">
        <v>22</v>
      </c>
      <c r="E3373" s="9">
        <v>246</v>
      </c>
      <c r="F3373" s="10" t="s">
        <v>1066</v>
      </c>
      <c r="G3373" s="9">
        <v>924</v>
      </c>
      <c r="H3373" s="9">
        <v>2000</v>
      </c>
      <c r="I3373" s="8">
        <v>144.268</v>
      </c>
      <c r="J3373" s="8">
        <v>161.095</v>
      </c>
      <c r="K3373" s="8">
        <v>155.316</v>
      </c>
      <c r="L3373" s="8">
        <v>162.40799999999999</v>
      </c>
      <c r="M3373" s="8">
        <v>160.524</v>
      </c>
      <c r="N3373" s="8">
        <v>149.298</v>
      </c>
      <c r="O3373" s="8">
        <v>172.80199999999999</v>
      </c>
      <c r="P3373" s="8">
        <v>186.42400000000001</v>
      </c>
      <c r="Q3373" s="8">
        <v>189.54599999999999</v>
      </c>
      <c r="R3373" s="8">
        <v>199.161</v>
      </c>
      <c r="S3373" s="8">
        <v>211.03200000000001</v>
      </c>
      <c r="T3373" s="8">
        <v>149.941</v>
      </c>
      <c r="U3373" s="8">
        <v>134.578</v>
      </c>
      <c r="V3373" s="8">
        <v>122.849</v>
      </c>
      <c r="W3373" s="8">
        <v>122.58199999999999</v>
      </c>
      <c r="X3373" s="8">
        <v>105.45</v>
      </c>
      <c r="Y3373" s="8">
        <v>68.682000000000002</v>
      </c>
      <c r="Z3373" s="8">
        <v>41.978000000000002</v>
      </c>
      <c r="AA3373" s="8">
        <v>14.74</v>
      </c>
      <c r="AB3373" s="8">
        <v>2.5030000000000001</v>
      </c>
      <c r="AC3373" s="8">
        <v>0.19800000000000001</v>
      </c>
    </row>
    <row r="3374" spans="1:29" ht="11.65" hidden="1" x14ac:dyDescent="0.35">
      <c r="A3374" s="12">
        <v>3357</v>
      </c>
      <c r="B3374" s="10" t="s">
        <v>1015</v>
      </c>
      <c r="C3374" s="18" t="s">
        <v>1248</v>
      </c>
      <c r="D3374" s="9">
        <v>22</v>
      </c>
      <c r="E3374" s="9">
        <v>246</v>
      </c>
      <c r="F3374" s="10" t="s">
        <v>1066</v>
      </c>
      <c r="G3374" s="9">
        <v>924</v>
      </c>
      <c r="H3374" s="9">
        <v>2005</v>
      </c>
      <c r="I3374" s="8">
        <v>139.05199999999999</v>
      </c>
      <c r="J3374" s="8">
        <v>145.28700000000001</v>
      </c>
      <c r="K3374" s="8">
        <v>162.102</v>
      </c>
      <c r="L3374" s="8">
        <v>156.374</v>
      </c>
      <c r="M3374" s="8">
        <v>163.273</v>
      </c>
      <c r="N3374" s="8">
        <v>161.88900000000001</v>
      </c>
      <c r="O3374" s="8">
        <v>150.37299999999999</v>
      </c>
      <c r="P3374" s="8">
        <v>173.30699999999999</v>
      </c>
      <c r="Q3374" s="8">
        <v>186.59299999999999</v>
      </c>
      <c r="R3374" s="8">
        <v>189.02500000000001</v>
      </c>
      <c r="S3374" s="8">
        <v>197.50899999999999</v>
      </c>
      <c r="T3374" s="8">
        <v>207.90899999999999</v>
      </c>
      <c r="U3374" s="8">
        <v>146.46</v>
      </c>
      <c r="V3374" s="8">
        <v>129.96600000000001</v>
      </c>
      <c r="W3374" s="8">
        <v>115.83</v>
      </c>
      <c r="X3374" s="8">
        <v>109.657</v>
      </c>
      <c r="Y3374" s="8">
        <v>85.007999999999996</v>
      </c>
      <c r="Z3374" s="8">
        <v>43.557000000000002</v>
      </c>
      <c r="AA3374" s="8">
        <v>17.969000000000001</v>
      </c>
      <c r="AB3374" s="8">
        <v>3.51</v>
      </c>
      <c r="AC3374" s="8">
        <v>0.27700000000000002</v>
      </c>
    </row>
    <row r="3375" spans="1:29" ht="11.65" hidden="1" x14ac:dyDescent="0.35">
      <c r="A3375" s="12">
        <v>3358</v>
      </c>
      <c r="B3375" s="10" t="s">
        <v>1015</v>
      </c>
      <c r="C3375" s="18" t="s">
        <v>1248</v>
      </c>
      <c r="D3375" s="9">
        <v>22</v>
      </c>
      <c r="E3375" s="9">
        <v>246</v>
      </c>
      <c r="F3375" s="10" t="s">
        <v>1066</v>
      </c>
      <c r="G3375" s="9">
        <v>924</v>
      </c>
      <c r="H3375" s="9">
        <v>2010</v>
      </c>
      <c r="I3375" s="8">
        <v>147.459</v>
      </c>
      <c r="J3375" s="8">
        <v>140.548</v>
      </c>
      <c r="K3375" s="8">
        <v>145.51599999999999</v>
      </c>
      <c r="L3375" s="8">
        <v>164.42400000000001</v>
      </c>
      <c r="M3375" s="8">
        <v>159.11199999999999</v>
      </c>
      <c r="N3375" s="8">
        <v>168.38499999999999</v>
      </c>
      <c r="O3375" s="8">
        <v>164.399</v>
      </c>
      <c r="P3375" s="8">
        <v>151.37899999999999</v>
      </c>
      <c r="Q3375" s="8">
        <v>174.255</v>
      </c>
      <c r="R3375" s="8">
        <v>187.673</v>
      </c>
      <c r="S3375" s="8">
        <v>187.386</v>
      </c>
      <c r="T3375" s="8">
        <v>194.863</v>
      </c>
      <c r="U3375" s="8">
        <v>205.91499999999999</v>
      </c>
      <c r="V3375" s="8">
        <v>142.75800000000001</v>
      </c>
      <c r="W3375" s="8">
        <v>121.63</v>
      </c>
      <c r="X3375" s="8">
        <v>103.736</v>
      </c>
      <c r="Y3375" s="8">
        <v>89.611999999999995</v>
      </c>
      <c r="Z3375" s="8">
        <v>57.451999999999998</v>
      </c>
      <c r="AA3375" s="8">
        <v>20.631</v>
      </c>
      <c r="AB3375" s="8">
        <v>4.88</v>
      </c>
      <c r="AC3375" s="8">
        <v>0.44</v>
      </c>
    </row>
    <row r="3376" spans="1:29" ht="11.65" hidden="1" x14ac:dyDescent="0.35">
      <c r="A3376" s="12">
        <v>3359</v>
      </c>
      <c r="B3376" s="10" t="s">
        <v>1015</v>
      </c>
      <c r="C3376" s="18" t="s">
        <v>1248</v>
      </c>
      <c r="D3376" s="9">
        <v>22</v>
      </c>
      <c r="E3376" s="9">
        <v>246</v>
      </c>
      <c r="F3376" s="10" t="s">
        <v>1066</v>
      </c>
      <c r="G3376" s="9">
        <v>924</v>
      </c>
      <c r="H3376" s="9">
        <v>2015</v>
      </c>
      <c r="I3376" s="8">
        <v>146.57400000000001</v>
      </c>
      <c r="J3376" s="8">
        <v>149.99799999999999</v>
      </c>
      <c r="K3376" s="8">
        <v>142.61699999999999</v>
      </c>
      <c r="L3376" s="8">
        <v>147.696</v>
      </c>
      <c r="M3376" s="8">
        <v>170.27099999999999</v>
      </c>
      <c r="N3376" s="8">
        <v>165.28100000000001</v>
      </c>
      <c r="O3376" s="8">
        <v>172.21</v>
      </c>
      <c r="P3376" s="8">
        <v>167.017</v>
      </c>
      <c r="Q3376" s="8">
        <v>153.249</v>
      </c>
      <c r="R3376" s="8">
        <v>175.05199999999999</v>
      </c>
      <c r="S3376" s="8">
        <v>187.386</v>
      </c>
      <c r="T3376" s="8">
        <v>185.52600000000001</v>
      </c>
      <c r="U3376" s="8">
        <v>190.899</v>
      </c>
      <c r="V3376" s="8">
        <v>199.22200000000001</v>
      </c>
      <c r="W3376" s="8">
        <v>135.523</v>
      </c>
      <c r="X3376" s="8">
        <v>111.166</v>
      </c>
      <c r="Y3376" s="8">
        <v>86.995000000000005</v>
      </c>
      <c r="Z3376" s="8">
        <v>62.371000000000002</v>
      </c>
      <c r="AA3376" s="8">
        <v>28.097000000000001</v>
      </c>
      <c r="AB3376" s="8">
        <v>5.7309999999999999</v>
      </c>
      <c r="AC3376" s="8">
        <v>0.63200000000000001</v>
      </c>
    </row>
    <row r="3377" spans="1:29" ht="11.65" hidden="1" x14ac:dyDescent="0.35">
      <c r="A3377" s="12">
        <v>3360</v>
      </c>
      <c r="B3377" s="10" t="s">
        <v>1015</v>
      </c>
      <c r="C3377" s="18" t="s">
        <v>1248</v>
      </c>
      <c r="D3377" s="9">
        <v>22</v>
      </c>
      <c r="E3377" s="9">
        <v>246</v>
      </c>
      <c r="F3377" s="10" t="s">
        <v>1066</v>
      </c>
      <c r="G3377" s="9">
        <v>924</v>
      </c>
      <c r="H3377" s="9">
        <v>2020</v>
      </c>
      <c r="I3377" s="8">
        <v>128.87200000000001</v>
      </c>
      <c r="J3377" s="8">
        <v>148.70400000000001</v>
      </c>
      <c r="K3377" s="8">
        <v>151.72999999999999</v>
      </c>
      <c r="L3377" s="8">
        <v>144.44200000000001</v>
      </c>
      <c r="M3377" s="8">
        <v>152.60499999999999</v>
      </c>
      <c r="N3377" s="8">
        <v>175.40899999999999</v>
      </c>
      <c r="O3377" s="8">
        <v>168.47300000000001</v>
      </c>
      <c r="P3377" s="8">
        <v>174.36600000000001</v>
      </c>
      <c r="Q3377" s="8">
        <v>168.50800000000001</v>
      </c>
      <c r="R3377" s="8">
        <v>153.958</v>
      </c>
      <c r="S3377" s="8">
        <v>174.78100000000001</v>
      </c>
      <c r="T3377" s="8">
        <v>185.59399999999999</v>
      </c>
      <c r="U3377" s="8">
        <v>182.05</v>
      </c>
      <c r="V3377" s="8">
        <v>185.273</v>
      </c>
      <c r="W3377" s="8">
        <v>190.12299999999999</v>
      </c>
      <c r="X3377" s="8">
        <v>125.145</v>
      </c>
      <c r="Y3377" s="8">
        <v>94.965999999999994</v>
      </c>
      <c r="Z3377" s="8">
        <v>62.427999999999997</v>
      </c>
      <c r="AA3377" s="8">
        <v>31.850999999999999</v>
      </c>
      <c r="AB3377" s="8">
        <v>8.2129999999999992</v>
      </c>
      <c r="AC3377" s="8">
        <v>0.82099999999999995</v>
      </c>
    </row>
    <row r="3378" spans="1:29" ht="11.65" hidden="1" x14ac:dyDescent="0.35">
      <c r="A3378" s="12">
        <v>3361</v>
      </c>
      <c r="B3378" s="10" t="s">
        <v>1015</v>
      </c>
      <c r="C3378" s="18" t="s">
        <v>1249</v>
      </c>
      <c r="D3378" s="9"/>
      <c r="E3378" s="9">
        <v>352</v>
      </c>
      <c r="F3378" s="10" t="s">
        <v>1066</v>
      </c>
      <c r="G3378" s="9">
        <v>924</v>
      </c>
      <c r="H3378" s="9">
        <v>1950</v>
      </c>
      <c r="I3378" s="8">
        <v>8.7260000000000009</v>
      </c>
      <c r="J3378" s="8">
        <v>7.0119999999999996</v>
      </c>
      <c r="K3378" s="8">
        <v>5.6269999999999998</v>
      </c>
      <c r="L3378" s="8">
        <v>5.9770000000000003</v>
      </c>
      <c r="M3378" s="8">
        <v>5.9279999999999999</v>
      </c>
      <c r="N3378" s="8">
        <v>5.52</v>
      </c>
      <c r="O3378" s="8">
        <v>4.8719999999999999</v>
      </c>
      <c r="P3378" s="8">
        <v>4.5620000000000003</v>
      </c>
      <c r="Q3378" s="8">
        <v>4.0789999999999997</v>
      </c>
      <c r="R3378" s="8">
        <v>3.7650000000000001</v>
      </c>
      <c r="S3378" s="8">
        <v>3.504</v>
      </c>
      <c r="T3378" s="8">
        <v>3.214</v>
      </c>
      <c r="U3378" s="8">
        <v>2.444</v>
      </c>
      <c r="V3378" s="8">
        <v>1.9019999999999999</v>
      </c>
      <c r="W3378" s="8">
        <v>1.6719999999999999</v>
      </c>
      <c r="X3378" s="8">
        <v>1.19</v>
      </c>
      <c r="Y3378" s="8">
        <v>0.75600000000000001</v>
      </c>
      <c r="Z3378" s="8">
        <v>0.41899999999999998</v>
      </c>
      <c r="AA3378" s="8">
        <v>0.125</v>
      </c>
      <c r="AB3378" s="8">
        <v>2.3E-2</v>
      </c>
      <c r="AC3378" s="8">
        <v>4.0000000000000001E-3</v>
      </c>
    </row>
    <row r="3379" spans="1:29" ht="11.65" hidden="1" x14ac:dyDescent="0.35">
      <c r="A3379" s="12">
        <v>3362</v>
      </c>
      <c r="B3379" s="10" t="s">
        <v>1015</v>
      </c>
      <c r="C3379" s="18" t="s">
        <v>1249</v>
      </c>
      <c r="D3379" s="9"/>
      <c r="E3379" s="9">
        <v>352</v>
      </c>
      <c r="F3379" s="10" t="s">
        <v>1066</v>
      </c>
      <c r="G3379" s="9">
        <v>924</v>
      </c>
      <c r="H3379" s="9">
        <v>1955</v>
      </c>
      <c r="I3379" s="8">
        <v>9.827</v>
      </c>
      <c r="J3379" s="8">
        <v>8.6660000000000004</v>
      </c>
      <c r="K3379" s="8">
        <v>7.0030000000000001</v>
      </c>
      <c r="L3379" s="8">
        <v>5.6050000000000004</v>
      </c>
      <c r="M3379" s="8">
        <v>5.883</v>
      </c>
      <c r="N3379" s="8">
        <v>5.806</v>
      </c>
      <c r="O3379" s="8">
        <v>5.3760000000000003</v>
      </c>
      <c r="P3379" s="8">
        <v>4.7690000000000001</v>
      </c>
      <c r="Q3379" s="8">
        <v>4.4790000000000001</v>
      </c>
      <c r="R3379" s="8">
        <v>3.9940000000000002</v>
      </c>
      <c r="S3379" s="8">
        <v>3.649</v>
      </c>
      <c r="T3379" s="8">
        <v>3.3969999999999998</v>
      </c>
      <c r="U3379" s="8">
        <v>3.08</v>
      </c>
      <c r="V3379" s="8">
        <v>2.2440000000000002</v>
      </c>
      <c r="W3379" s="8">
        <v>1.67</v>
      </c>
      <c r="X3379" s="8">
        <v>1.36</v>
      </c>
      <c r="Y3379" s="8">
        <v>0.85299999999999998</v>
      </c>
      <c r="Z3379" s="8">
        <v>0.40899999999999997</v>
      </c>
      <c r="AA3379" s="8">
        <v>0.158</v>
      </c>
      <c r="AB3379" s="8">
        <v>2.8000000000000001E-2</v>
      </c>
      <c r="AC3379" s="8">
        <v>3.0000000000000001E-3</v>
      </c>
    </row>
    <row r="3380" spans="1:29" ht="11.65" hidden="1" x14ac:dyDescent="0.35">
      <c r="A3380" s="12">
        <v>3363</v>
      </c>
      <c r="B3380" s="10" t="s">
        <v>1015</v>
      </c>
      <c r="C3380" s="18" t="s">
        <v>1249</v>
      </c>
      <c r="D3380" s="9"/>
      <c r="E3380" s="9">
        <v>352</v>
      </c>
      <c r="F3380" s="10" t="s">
        <v>1066</v>
      </c>
      <c r="G3380" s="9">
        <v>924</v>
      </c>
      <c r="H3380" s="9">
        <v>1960</v>
      </c>
      <c r="I3380" s="8">
        <v>11.193</v>
      </c>
      <c r="J3380" s="8">
        <v>9.8719999999999999</v>
      </c>
      <c r="K3380" s="8">
        <v>8.641</v>
      </c>
      <c r="L3380" s="8">
        <v>6.9870000000000001</v>
      </c>
      <c r="M3380" s="8">
        <v>5.5720000000000001</v>
      </c>
      <c r="N3380" s="8">
        <v>5.8689999999999998</v>
      </c>
      <c r="O3380" s="8">
        <v>5.7960000000000003</v>
      </c>
      <c r="P3380" s="8">
        <v>5.3630000000000004</v>
      </c>
      <c r="Q3380" s="8">
        <v>4.7510000000000003</v>
      </c>
      <c r="R3380" s="8">
        <v>4.4349999999999996</v>
      </c>
      <c r="S3380" s="8">
        <v>3.9279999999999999</v>
      </c>
      <c r="T3380" s="8">
        <v>3.5150000000000001</v>
      </c>
      <c r="U3380" s="8">
        <v>3.2210000000000001</v>
      </c>
      <c r="V3380" s="8">
        <v>2.8650000000000002</v>
      </c>
      <c r="W3380" s="8">
        <v>1.99</v>
      </c>
      <c r="X3380" s="8">
        <v>1.3540000000000001</v>
      </c>
      <c r="Y3380" s="8">
        <v>0.88500000000000001</v>
      </c>
      <c r="Z3380" s="8">
        <v>0.438</v>
      </c>
      <c r="AA3380" s="8">
        <v>0.151</v>
      </c>
      <c r="AB3380" s="8">
        <v>3.6999999999999998E-2</v>
      </c>
      <c r="AC3380" s="8">
        <v>4.0000000000000001E-3</v>
      </c>
    </row>
    <row r="3381" spans="1:29" ht="11.65" hidden="1" x14ac:dyDescent="0.35">
      <c r="A3381" s="12">
        <v>3364</v>
      </c>
      <c r="B3381" s="10" t="s">
        <v>1015</v>
      </c>
      <c r="C3381" s="18" t="s">
        <v>1249</v>
      </c>
      <c r="D3381" s="9"/>
      <c r="E3381" s="9">
        <v>352</v>
      </c>
      <c r="F3381" s="10" t="s">
        <v>1066</v>
      </c>
      <c r="G3381" s="9">
        <v>924</v>
      </c>
      <c r="H3381" s="9">
        <v>1965</v>
      </c>
      <c r="I3381" s="8">
        <v>11.404</v>
      </c>
      <c r="J3381" s="8">
        <v>11.071</v>
      </c>
      <c r="K3381" s="8">
        <v>9.875</v>
      </c>
      <c r="L3381" s="8">
        <v>8.6159999999999997</v>
      </c>
      <c r="M3381" s="8">
        <v>6.9829999999999997</v>
      </c>
      <c r="N3381" s="8">
        <v>5.5410000000000004</v>
      </c>
      <c r="O3381" s="8">
        <v>5.7779999999999996</v>
      </c>
      <c r="P3381" s="8">
        <v>5.665</v>
      </c>
      <c r="Q3381" s="8">
        <v>5.2389999999999999</v>
      </c>
      <c r="R3381" s="8">
        <v>4.6459999999999999</v>
      </c>
      <c r="S3381" s="8">
        <v>4.3380000000000001</v>
      </c>
      <c r="T3381" s="8">
        <v>3.8050000000000002</v>
      </c>
      <c r="U3381" s="8">
        <v>3.375</v>
      </c>
      <c r="V3381" s="8">
        <v>3.044</v>
      </c>
      <c r="W3381" s="8">
        <v>2.5459999999999998</v>
      </c>
      <c r="X3381" s="8">
        <v>1.6240000000000001</v>
      </c>
      <c r="Y3381" s="8">
        <v>0.90300000000000002</v>
      </c>
      <c r="Z3381" s="8">
        <v>0.45900000000000002</v>
      </c>
      <c r="AA3381" s="8">
        <v>0.158</v>
      </c>
      <c r="AB3381" s="8">
        <v>3.4000000000000002E-2</v>
      </c>
      <c r="AC3381" s="8">
        <v>5.0000000000000001E-3</v>
      </c>
    </row>
    <row r="3382" spans="1:29" ht="11.65" hidden="1" x14ac:dyDescent="0.35">
      <c r="A3382" s="12">
        <v>3365</v>
      </c>
      <c r="B3382" s="10" t="s">
        <v>1015</v>
      </c>
      <c r="C3382" s="18" t="s">
        <v>1249</v>
      </c>
      <c r="D3382" s="9"/>
      <c r="E3382" s="9">
        <v>352</v>
      </c>
      <c r="F3382" s="10" t="s">
        <v>1066</v>
      </c>
      <c r="G3382" s="9">
        <v>924</v>
      </c>
      <c r="H3382" s="9">
        <v>1970</v>
      </c>
      <c r="I3382" s="8">
        <v>10.365</v>
      </c>
      <c r="J3382" s="8">
        <v>11.239000000000001</v>
      </c>
      <c r="K3382" s="8">
        <v>10.959</v>
      </c>
      <c r="L3382" s="8">
        <v>9.7370000000000001</v>
      </c>
      <c r="M3382" s="8">
        <v>8.2449999999999992</v>
      </c>
      <c r="N3382" s="8">
        <v>6.6539999999999999</v>
      </c>
      <c r="O3382" s="8">
        <v>5.4249999999999998</v>
      </c>
      <c r="P3382" s="8">
        <v>5.6589999999999998</v>
      </c>
      <c r="Q3382" s="8">
        <v>5.5529999999999999</v>
      </c>
      <c r="R3382" s="8">
        <v>5.1440000000000001</v>
      </c>
      <c r="S3382" s="8">
        <v>4.5469999999999997</v>
      </c>
      <c r="T3382" s="8">
        <v>4.2279999999999998</v>
      </c>
      <c r="U3382" s="8">
        <v>3.633</v>
      </c>
      <c r="V3382" s="8">
        <v>3.1190000000000002</v>
      </c>
      <c r="W3382" s="8">
        <v>2.7069999999999999</v>
      </c>
      <c r="X3382" s="8">
        <v>2.1070000000000002</v>
      </c>
      <c r="Y3382" s="8">
        <v>1.101</v>
      </c>
      <c r="Z3382" s="8">
        <v>0.46100000000000002</v>
      </c>
      <c r="AA3382" s="8">
        <v>0.153</v>
      </c>
      <c r="AB3382" s="8">
        <v>2.9000000000000001E-2</v>
      </c>
      <c r="AC3382" s="8">
        <v>3.0000000000000001E-3</v>
      </c>
    </row>
    <row r="3383" spans="1:29" ht="11.65" hidden="1" x14ac:dyDescent="0.35">
      <c r="A3383" s="12">
        <v>3366</v>
      </c>
      <c r="B3383" s="10" t="s">
        <v>1015</v>
      </c>
      <c r="C3383" s="18" t="s">
        <v>1249</v>
      </c>
      <c r="D3383" s="9"/>
      <c r="E3383" s="9">
        <v>352</v>
      </c>
      <c r="F3383" s="10" t="s">
        <v>1066</v>
      </c>
      <c r="G3383" s="9">
        <v>924</v>
      </c>
      <c r="H3383" s="9">
        <v>1975</v>
      </c>
      <c r="I3383" s="8">
        <v>10.430999999999999</v>
      </c>
      <c r="J3383" s="8">
        <v>10.365</v>
      </c>
      <c r="K3383" s="8">
        <v>11.198</v>
      </c>
      <c r="L3383" s="8">
        <v>10.916</v>
      </c>
      <c r="M3383" s="8">
        <v>9.4960000000000004</v>
      </c>
      <c r="N3383" s="8">
        <v>8.0869999999999997</v>
      </c>
      <c r="O3383" s="8">
        <v>6.5650000000000004</v>
      </c>
      <c r="P3383" s="8">
        <v>5.3650000000000002</v>
      </c>
      <c r="Q3383" s="8">
        <v>5.61</v>
      </c>
      <c r="R3383" s="8">
        <v>5.484</v>
      </c>
      <c r="S3383" s="8">
        <v>5.0419999999999998</v>
      </c>
      <c r="T3383" s="8">
        <v>4.407</v>
      </c>
      <c r="U3383" s="8">
        <v>4.0289999999999999</v>
      </c>
      <c r="V3383" s="8">
        <v>3.3919999999999999</v>
      </c>
      <c r="W3383" s="8">
        <v>2.8410000000000002</v>
      </c>
      <c r="X3383" s="8">
        <v>2.2789999999999999</v>
      </c>
      <c r="Y3383" s="8">
        <v>1.5640000000000001</v>
      </c>
      <c r="Z3383" s="8">
        <v>0.61499999999999999</v>
      </c>
      <c r="AA3383" s="8">
        <v>0.17299999999999999</v>
      </c>
      <c r="AB3383" s="8">
        <v>3.3000000000000002E-2</v>
      </c>
      <c r="AC3383" s="8">
        <v>3.0000000000000001E-3</v>
      </c>
    </row>
    <row r="3384" spans="1:29" ht="11.65" hidden="1" x14ac:dyDescent="0.35">
      <c r="A3384" s="12">
        <v>3367</v>
      </c>
      <c r="B3384" s="10" t="s">
        <v>1015</v>
      </c>
      <c r="C3384" s="18" t="s">
        <v>1249</v>
      </c>
      <c r="D3384" s="9"/>
      <c r="E3384" s="9">
        <v>352</v>
      </c>
      <c r="F3384" s="10" t="s">
        <v>1066</v>
      </c>
      <c r="G3384" s="9">
        <v>924</v>
      </c>
      <c r="H3384" s="9">
        <v>1980</v>
      </c>
      <c r="I3384" s="8">
        <v>10.214</v>
      </c>
      <c r="J3384" s="8">
        <v>10.175000000000001</v>
      </c>
      <c r="K3384" s="8">
        <v>10.244</v>
      </c>
      <c r="L3384" s="8">
        <v>11.045999999999999</v>
      </c>
      <c r="M3384" s="8">
        <v>10.417999999999999</v>
      </c>
      <c r="N3384" s="8">
        <v>9.0500000000000007</v>
      </c>
      <c r="O3384" s="8">
        <v>7.84</v>
      </c>
      <c r="P3384" s="8">
        <v>6.4480000000000004</v>
      </c>
      <c r="Q3384" s="8">
        <v>5.2670000000000003</v>
      </c>
      <c r="R3384" s="8">
        <v>5.5190000000000001</v>
      </c>
      <c r="S3384" s="8">
        <v>5.3769999999999998</v>
      </c>
      <c r="T3384" s="8">
        <v>4.9160000000000004</v>
      </c>
      <c r="U3384" s="8">
        <v>4.242</v>
      </c>
      <c r="V3384" s="8">
        <v>3.7890000000000001</v>
      </c>
      <c r="W3384" s="8">
        <v>3.0950000000000002</v>
      </c>
      <c r="X3384" s="8">
        <v>2.4590000000000001</v>
      </c>
      <c r="Y3384" s="8">
        <v>1.768</v>
      </c>
      <c r="Z3384" s="8">
        <v>0.97499999999999998</v>
      </c>
      <c r="AA3384" s="8">
        <v>0.29099999999999998</v>
      </c>
      <c r="AB3384" s="8">
        <v>5.3999999999999999E-2</v>
      </c>
      <c r="AC3384" s="8">
        <v>6.0000000000000001E-3</v>
      </c>
    </row>
    <row r="3385" spans="1:29" ht="11.65" hidden="1" x14ac:dyDescent="0.35">
      <c r="A3385" s="12">
        <v>3368</v>
      </c>
      <c r="B3385" s="10" t="s">
        <v>1015</v>
      </c>
      <c r="C3385" s="18" t="s">
        <v>1249</v>
      </c>
      <c r="D3385" s="9"/>
      <c r="E3385" s="9">
        <v>352</v>
      </c>
      <c r="F3385" s="10" t="s">
        <v>1066</v>
      </c>
      <c r="G3385" s="9">
        <v>924</v>
      </c>
      <c r="H3385" s="9">
        <v>1985</v>
      </c>
      <c r="I3385" s="8">
        <v>10.42</v>
      </c>
      <c r="J3385" s="8">
        <v>10.234</v>
      </c>
      <c r="K3385" s="8">
        <v>10.247999999999999</v>
      </c>
      <c r="L3385" s="8">
        <v>10.303000000000001</v>
      </c>
      <c r="M3385" s="8">
        <v>10.891999999999999</v>
      </c>
      <c r="N3385" s="8">
        <v>10.273999999999999</v>
      </c>
      <c r="O3385" s="8">
        <v>9.0719999999999992</v>
      </c>
      <c r="P3385" s="8">
        <v>7.8659999999999997</v>
      </c>
      <c r="Q3385" s="8">
        <v>6.4189999999999996</v>
      </c>
      <c r="R3385" s="8">
        <v>5.2240000000000002</v>
      </c>
      <c r="S3385" s="8">
        <v>5.4649999999999999</v>
      </c>
      <c r="T3385" s="8">
        <v>5.2889999999999997</v>
      </c>
      <c r="U3385" s="8">
        <v>4.7619999999999996</v>
      </c>
      <c r="V3385" s="8">
        <v>4</v>
      </c>
      <c r="W3385" s="8">
        <v>3.4510000000000001</v>
      </c>
      <c r="X3385" s="8">
        <v>2.6269999999999998</v>
      </c>
      <c r="Y3385" s="8">
        <v>1.885</v>
      </c>
      <c r="Z3385" s="8">
        <v>1.119</v>
      </c>
      <c r="AA3385" s="8">
        <v>0.45500000000000002</v>
      </c>
      <c r="AB3385" s="8">
        <v>8.5999999999999993E-2</v>
      </c>
      <c r="AC3385" s="8">
        <v>8.9999999999999993E-3</v>
      </c>
    </row>
    <row r="3386" spans="1:29" ht="11.65" hidden="1" x14ac:dyDescent="0.35">
      <c r="A3386" s="12">
        <v>3369</v>
      </c>
      <c r="B3386" s="10" t="s">
        <v>1015</v>
      </c>
      <c r="C3386" s="18" t="s">
        <v>1249</v>
      </c>
      <c r="D3386" s="9"/>
      <c r="E3386" s="9">
        <v>352</v>
      </c>
      <c r="F3386" s="10" t="s">
        <v>1066</v>
      </c>
      <c r="G3386" s="9">
        <v>924</v>
      </c>
      <c r="H3386" s="9">
        <v>1990</v>
      </c>
      <c r="I3386" s="8">
        <v>10.493</v>
      </c>
      <c r="J3386" s="8">
        <v>10.367000000000001</v>
      </c>
      <c r="K3386" s="8">
        <v>10.255000000000001</v>
      </c>
      <c r="L3386" s="8">
        <v>10.353999999999999</v>
      </c>
      <c r="M3386" s="8">
        <v>10.343</v>
      </c>
      <c r="N3386" s="8">
        <v>10.79</v>
      </c>
      <c r="O3386" s="8">
        <v>10.260999999999999</v>
      </c>
      <c r="P3386" s="8">
        <v>9.1530000000000005</v>
      </c>
      <c r="Q3386" s="8">
        <v>7.867</v>
      </c>
      <c r="R3386" s="8">
        <v>6.3979999999999997</v>
      </c>
      <c r="S3386" s="8">
        <v>5.1609999999999996</v>
      </c>
      <c r="T3386" s="8">
        <v>5.3559999999999999</v>
      </c>
      <c r="U3386" s="8">
        <v>5.1239999999999997</v>
      </c>
      <c r="V3386" s="8">
        <v>4.5220000000000002</v>
      </c>
      <c r="W3386" s="8">
        <v>3.6789999999999998</v>
      </c>
      <c r="X3386" s="8">
        <v>2.9369999999999998</v>
      </c>
      <c r="Y3386" s="8">
        <v>2.0640000000000001</v>
      </c>
      <c r="Z3386" s="8">
        <v>1.2030000000000001</v>
      </c>
      <c r="AA3386" s="8">
        <v>0.51800000000000002</v>
      </c>
      <c r="AB3386" s="8">
        <v>0.129</v>
      </c>
      <c r="AC3386" s="8">
        <v>1.2999999999999999E-2</v>
      </c>
    </row>
    <row r="3387" spans="1:29" ht="11.65" hidden="1" x14ac:dyDescent="0.35">
      <c r="A3387" s="12">
        <v>3370</v>
      </c>
      <c r="B3387" s="10" t="s">
        <v>1015</v>
      </c>
      <c r="C3387" s="18" t="s">
        <v>1249</v>
      </c>
      <c r="D3387" s="9"/>
      <c r="E3387" s="9">
        <v>352</v>
      </c>
      <c r="F3387" s="10" t="s">
        <v>1066</v>
      </c>
      <c r="G3387" s="9">
        <v>924</v>
      </c>
      <c r="H3387" s="9">
        <v>1995</v>
      </c>
      <c r="I3387" s="8">
        <v>11.058</v>
      </c>
      <c r="J3387" s="8">
        <v>10.395</v>
      </c>
      <c r="K3387" s="8">
        <v>10.346</v>
      </c>
      <c r="L3387" s="8">
        <v>10.335000000000001</v>
      </c>
      <c r="M3387" s="8">
        <v>10.255000000000001</v>
      </c>
      <c r="N3387" s="8">
        <v>10.108000000000001</v>
      </c>
      <c r="O3387" s="8">
        <v>10.616</v>
      </c>
      <c r="P3387" s="8">
        <v>10.247</v>
      </c>
      <c r="Q3387" s="8">
        <v>9.1359999999999992</v>
      </c>
      <c r="R3387" s="8">
        <v>7.8019999999999996</v>
      </c>
      <c r="S3387" s="8">
        <v>6.2779999999999996</v>
      </c>
      <c r="T3387" s="8">
        <v>5.07</v>
      </c>
      <c r="U3387" s="8">
        <v>5.1840000000000002</v>
      </c>
      <c r="V3387" s="8">
        <v>4.9020000000000001</v>
      </c>
      <c r="W3387" s="8">
        <v>4.18</v>
      </c>
      <c r="X3387" s="8">
        <v>3.1749999999999998</v>
      </c>
      <c r="Y3387" s="8">
        <v>2.2629999999999999</v>
      </c>
      <c r="Z3387" s="8">
        <v>1.325</v>
      </c>
      <c r="AA3387" s="8">
        <v>0.55800000000000005</v>
      </c>
      <c r="AB3387" s="8">
        <v>0.14699999999999999</v>
      </c>
      <c r="AC3387" s="8">
        <v>0.02</v>
      </c>
    </row>
    <row r="3388" spans="1:29" ht="11.65" hidden="1" x14ac:dyDescent="0.35">
      <c r="A3388" s="12">
        <v>3371</v>
      </c>
      <c r="B3388" s="10" t="s">
        <v>1015</v>
      </c>
      <c r="C3388" s="18" t="s">
        <v>1249</v>
      </c>
      <c r="D3388" s="9"/>
      <c r="E3388" s="9">
        <v>352</v>
      </c>
      <c r="F3388" s="10" t="s">
        <v>1066</v>
      </c>
      <c r="G3388" s="9">
        <v>924</v>
      </c>
      <c r="H3388" s="9">
        <v>2000</v>
      </c>
      <c r="I3388" s="8">
        <v>10.398999999999999</v>
      </c>
      <c r="J3388" s="8">
        <v>11.259</v>
      </c>
      <c r="K3388" s="8">
        <v>10.211</v>
      </c>
      <c r="L3388" s="8">
        <v>10.643000000000001</v>
      </c>
      <c r="M3388" s="8">
        <v>10.439</v>
      </c>
      <c r="N3388" s="8">
        <v>10.16</v>
      </c>
      <c r="O3388" s="8">
        <v>10.105</v>
      </c>
      <c r="P3388" s="8">
        <v>10.750999999999999</v>
      </c>
      <c r="Q3388" s="8">
        <v>10.359</v>
      </c>
      <c r="R3388" s="8">
        <v>9.0830000000000002</v>
      </c>
      <c r="S3388" s="8">
        <v>7.7869999999999999</v>
      </c>
      <c r="T3388" s="8">
        <v>6.1139999999999999</v>
      </c>
      <c r="U3388" s="8">
        <v>4.8840000000000003</v>
      </c>
      <c r="V3388" s="8">
        <v>5.056</v>
      </c>
      <c r="W3388" s="8">
        <v>4.4740000000000002</v>
      </c>
      <c r="X3388" s="8">
        <v>3.7389999999999999</v>
      </c>
      <c r="Y3388" s="8">
        <v>2.4510000000000001</v>
      </c>
      <c r="Z3388" s="8">
        <v>1.4279999999999999</v>
      </c>
      <c r="AA3388" s="8">
        <v>0.59</v>
      </c>
      <c r="AB3388" s="8">
        <v>0.14799999999999999</v>
      </c>
      <c r="AC3388" s="8">
        <v>0.02</v>
      </c>
    </row>
    <row r="3389" spans="1:29" ht="11.65" hidden="1" x14ac:dyDescent="0.35">
      <c r="A3389" s="12">
        <v>3372</v>
      </c>
      <c r="B3389" s="10" t="s">
        <v>1015</v>
      </c>
      <c r="C3389" s="18" t="s">
        <v>1249</v>
      </c>
      <c r="D3389" s="9"/>
      <c r="E3389" s="9">
        <v>352</v>
      </c>
      <c r="F3389" s="10" t="s">
        <v>1066</v>
      </c>
      <c r="G3389" s="9">
        <v>924</v>
      </c>
      <c r="H3389" s="9">
        <v>2005</v>
      </c>
      <c r="I3389" s="8">
        <v>10.210000000000001</v>
      </c>
      <c r="J3389" s="8">
        <v>10.382999999999999</v>
      </c>
      <c r="K3389" s="8">
        <v>11.416</v>
      </c>
      <c r="L3389" s="8">
        <v>10.413</v>
      </c>
      <c r="M3389" s="8">
        <v>10.657</v>
      </c>
      <c r="N3389" s="8">
        <v>10.462</v>
      </c>
      <c r="O3389" s="8">
        <v>10.135999999999999</v>
      </c>
      <c r="P3389" s="8">
        <v>10.272</v>
      </c>
      <c r="Q3389" s="8">
        <v>10.864000000000001</v>
      </c>
      <c r="R3389" s="8">
        <v>10.4</v>
      </c>
      <c r="S3389" s="8">
        <v>9.09</v>
      </c>
      <c r="T3389" s="8">
        <v>7.7249999999999996</v>
      </c>
      <c r="U3389" s="8">
        <v>6</v>
      </c>
      <c r="V3389" s="8">
        <v>4.6959999999999997</v>
      </c>
      <c r="W3389" s="8">
        <v>4.7430000000000003</v>
      </c>
      <c r="X3389" s="8">
        <v>4.0259999999999998</v>
      </c>
      <c r="Y3389" s="8">
        <v>3.0470000000000002</v>
      </c>
      <c r="Z3389" s="8">
        <v>1.6339999999999999</v>
      </c>
      <c r="AA3389" s="8">
        <v>0.69399999999999995</v>
      </c>
      <c r="AB3389" s="8">
        <v>0.17799999999999999</v>
      </c>
      <c r="AC3389" s="8">
        <v>2.4E-2</v>
      </c>
    </row>
    <row r="3390" spans="1:29" ht="11.65" hidden="1" x14ac:dyDescent="0.35">
      <c r="A3390" s="12">
        <v>3373</v>
      </c>
      <c r="B3390" s="10" t="s">
        <v>1015</v>
      </c>
      <c r="C3390" s="18" t="s">
        <v>1249</v>
      </c>
      <c r="D3390" s="9"/>
      <c r="E3390" s="9">
        <v>352</v>
      </c>
      <c r="F3390" s="10" t="s">
        <v>1066</v>
      </c>
      <c r="G3390" s="9">
        <v>924</v>
      </c>
      <c r="H3390" s="9">
        <v>2010</v>
      </c>
      <c r="I3390" s="8">
        <v>11.433999999999999</v>
      </c>
      <c r="J3390" s="8">
        <v>10.548</v>
      </c>
      <c r="K3390" s="8">
        <v>10.635</v>
      </c>
      <c r="L3390" s="8">
        <v>11.759</v>
      </c>
      <c r="M3390" s="8">
        <v>11.43</v>
      </c>
      <c r="N3390" s="8">
        <v>11.898</v>
      </c>
      <c r="O3390" s="8">
        <v>11.007999999999999</v>
      </c>
      <c r="P3390" s="8">
        <v>10.55</v>
      </c>
      <c r="Q3390" s="8">
        <v>10.576000000000001</v>
      </c>
      <c r="R3390" s="8">
        <v>11.095000000000001</v>
      </c>
      <c r="S3390" s="8">
        <v>10.541</v>
      </c>
      <c r="T3390" s="8">
        <v>9.0820000000000007</v>
      </c>
      <c r="U3390" s="8">
        <v>7.5949999999999998</v>
      </c>
      <c r="V3390" s="8">
        <v>5.7750000000000004</v>
      </c>
      <c r="W3390" s="8">
        <v>4.4029999999999996</v>
      </c>
      <c r="X3390" s="8">
        <v>4.2169999999999996</v>
      </c>
      <c r="Y3390" s="8">
        <v>3.2989999999999999</v>
      </c>
      <c r="Z3390" s="8">
        <v>2.0819999999999999</v>
      </c>
      <c r="AA3390" s="8">
        <v>0.80500000000000005</v>
      </c>
      <c r="AB3390" s="8">
        <v>0.20200000000000001</v>
      </c>
      <c r="AC3390" s="8">
        <v>2.5999999999999999E-2</v>
      </c>
    </row>
    <row r="3391" spans="1:29" ht="11.65" hidden="1" x14ac:dyDescent="0.35">
      <c r="A3391" s="12">
        <v>3374</v>
      </c>
      <c r="B3391" s="10" t="s">
        <v>1015</v>
      </c>
      <c r="C3391" s="18" t="s">
        <v>1249</v>
      </c>
      <c r="D3391" s="9"/>
      <c r="E3391" s="9">
        <v>352</v>
      </c>
      <c r="F3391" s="10" t="s">
        <v>1066</v>
      </c>
      <c r="G3391" s="9">
        <v>924</v>
      </c>
      <c r="H3391" s="9">
        <v>2015</v>
      </c>
      <c r="I3391" s="8">
        <v>11.118</v>
      </c>
      <c r="J3391" s="8">
        <v>11.218</v>
      </c>
      <c r="K3391" s="8">
        <v>10.507999999999999</v>
      </c>
      <c r="L3391" s="8">
        <v>10.714</v>
      </c>
      <c r="M3391" s="8">
        <v>12.242000000000001</v>
      </c>
      <c r="N3391" s="8">
        <v>11.337999999999999</v>
      </c>
      <c r="O3391" s="8">
        <v>11.454000000000001</v>
      </c>
      <c r="P3391" s="8">
        <v>10.813000000000001</v>
      </c>
      <c r="Q3391" s="8">
        <v>10.445</v>
      </c>
      <c r="R3391" s="8">
        <v>10.494</v>
      </c>
      <c r="S3391" s="8">
        <v>10.974</v>
      </c>
      <c r="T3391" s="8">
        <v>10.433</v>
      </c>
      <c r="U3391" s="8">
        <v>8.8320000000000007</v>
      </c>
      <c r="V3391" s="8">
        <v>7.306</v>
      </c>
      <c r="W3391" s="8">
        <v>5.4809999999999999</v>
      </c>
      <c r="X3391" s="8">
        <v>3.9980000000000002</v>
      </c>
      <c r="Y3391" s="8">
        <v>3.5859999999999999</v>
      </c>
      <c r="Z3391" s="8">
        <v>2.286</v>
      </c>
      <c r="AA3391" s="8">
        <v>1.034</v>
      </c>
      <c r="AB3391" s="8">
        <v>0.246</v>
      </c>
      <c r="AC3391" s="8">
        <v>3.2000000000000001E-2</v>
      </c>
    </row>
    <row r="3392" spans="1:29" ht="11.65" hidden="1" x14ac:dyDescent="0.35">
      <c r="A3392" s="12">
        <v>3375</v>
      </c>
      <c r="B3392" s="10" t="s">
        <v>1015</v>
      </c>
      <c r="C3392" s="18" t="s">
        <v>1249</v>
      </c>
      <c r="D3392" s="9"/>
      <c r="E3392" s="9">
        <v>352</v>
      </c>
      <c r="F3392" s="10" t="s">
        <v>1066</v>
      </c>
      <c r="G3392" s="9">
        <v>924</v>
      </c>
      <c r="H3392" s="9">
        <v>2020</v>
      </c>
      <c r="I3392" s="8">
        <v>9.9580000000000002</v>
      </c>
      <c r="J3392" s="8">
        <v>11.138</v>
      </c>
      <c r="K3392" s="8">
        <v>11.231999999999999</v>
      </c>
      <c r="L3392" s="8">
        <v>10.606999999999999</v>
      </c>
      <c r="M3392" s="8">
        <v>10.89</v>
      </c>
      <c r="N3392" s="8">
        <v>12.401</v>
      </c>
      <c r="O3392" s="8">
        <v>11.456</v>
      </c>
      <c r="P3392" s="8">
        <v>11.523999999999999</v>
      </c>
      <c r="Q3392" s="8">
        <v>10.834</v>
      </c>
      <c r="R3392" s="8">
        <v>10.435</v>
      </c>
      <c r="S3392" s="8">
        <v>10.455</v>
      </c>
      <c r="T3392" s="8">
        <v>10.872999999999999</v>
      </c>
      <c r="U3392" s="8">
        <v>10.231</v>
      </c>
      <c r="V3392" s="8">
        <v>8.5210000000000008</v>
      </c>
      <c r="W3392" s="8">
        <v>6.9169999999999998</v>
      </c>
      <c r="X3392" s="8">
        <v>4.9800000000000004</v>
      </c>
      <c r="Y3392" s="8">
        <v>3.34</v>
      </c>
      <c r="Z3392" s="8">
        <v>2.5289999999999999</v>
      </c>
      <c r="AA3392" s="8">
        <v>1.1599999999999999</v>
      </c>
      <c r="AB3392" s="8">
        <v>0.32400000000000001</v>
      </c>
      <c r="AC3392" s="8">
        <v>0.04</v>
      </c>
    </row>
    <row r="3393" spans="1:29" ht="11.65" hidden="1" x14ac:dyDescent="0.35">
      <c r="A3393" s="12">
        <v>3376</v>
      </c>
      <c r="B3393" s="10" t="s">
        <v>1015</v>
      </c>
      <c r="C3393" s="18" t="s">
        <v>1250</v>
      </c>
      <c r="D3393" s="9"/>
      <c r="E3393" s="9">
        <v>372</v>
      </c>
      <c r="F3393" s="10" t="s">
        <v>1066</v>
      </c>
      <c r="G3393" s="9">
        <v>924</v>
      </c>
      <c r="H3393" s="9">
        <v>1950</v>
      </c>
      <c r="I3393" s="8">
        <v>151.15799999999999</v>
      </c>
      <c r="J3393" s="8">
        <v>132.523</v>
      </c>
      <c r="K3393" s="8">
        <v>124.226</v>
      </c>
      <c r="L3393" s="8">
        <v>109.05800000000001</v>
      </c>
      <c r="M3393" s="8">
        <v>95.259</v>
      </c>
      <c r="N3393" s="8">
        <v>98.524000000000001</v>
      </c>
      <c r="O3393" s="8">
        <v>94.174999999999997</v>
      </c>
      <c r="P3393" s="8">
        <v>98.2</v>
      </c>
      <c r="Q3393" s="8">
        <v>84.119</v>
      </c>
      <c r="R3393" s="8">
        <v>80.507000000000005</v>
      </c>
      <c r="S3393" s="8">
        <v>76.304000000000002</v>
      </c>
      <c r="T3393" s="8">
        <v>63.442</v>
      </c>
      <c r="U3393" s="8">
        <v>60.844999999999999</v>
      </c>
      <c r="V3393" s="8">
        <v>55.268000000000001</v>
      </c>
      <c r="W3393" s="8">
        <v>50.73</v>
      </c>
      <c r="X3393" s="8">
        <v>32.356000000000002</v>
      </c>
      <c r="Y3393" s="8">
        <v>16.617000000000001</v>
      </c>
      <c r="Z3393" s="8">
        <v>5.7670000000000003</v>
      </c>
      <c r="AA3393" s="8">
        <v>1.514</v>
      </c>
      <c r="AB3393" s="8">
        <v>0.28599999999999998</v>
      </c>
      <c r="AC3393" s="8">
        <v>1.7999999999999999E-2</v>
      </c>
    </row>
    <row r="3394" spans="1:29" ht="11.65" hidden="1" x14ac:dyDescent="0.35">
      <c r="A3394" s="12">
        <v>3377</v>
      </c>
      <c r="B3394" s="10" t="s">
        <v>1015</v>
      </c>
      <c r="C3394" s="18" t="s">
        <v>1250</v>
      </c>
      <c r="D3394" s="9"/>
      <c r="E3394" s="9">
        <v>372</v>
      </c>
      <c r="F3394" s="10" t="s">
        <v>1066</v>
      </c>
      <c r="G3394" s="9">
        <v>924</v>
      </c>
      <c r="H3394" s="9">
        <v>1955</v>
      </c>
      <c r="I3394" s="8">
        <v>145.20599999999999</v>
      </c>
      <c r="J3394" s="8">
        <v>146.108</v>
      </c>
      <c r="K3394" s="8">
        <v>124.226</v>
      </c>
      <c r="L3394" s="8">
        <v>107.736</v>
      </c>
      <c r="M3394" s="8">
        <v>90.561000000000007</v>
      </c>
      <c r="N3394" s="8">
        <v>83.543999999999997</v>
      </c>
      <c r="O3394" s="8">
        <v>91.87</v>
      </c>
      <c r="P3394" s="8">
        <v>89.257999999999996</v>
      </c>
      <c r="Q3394" s="8">
        <v>93.078999999999994</v>
      </c>
      <c r="R3394" s="8">
        <v>78.995000000000005</v>
      </c>
      <c r="S3394" s="8">
        <v>75.363</v>
      </c>
      <c r="T3394" s="8">
        <v>70.665000000000006</v>
      </c>
      <c r="U3394" s="8">
        <v>57.877000000000002</v>
      </c>
      <c r="V3394" s="8">
        <v>54.674999999999997</v>
      </c>
      <c r="W3394" s="8">
        <v>46.017000000000003</v>
      </c>
      <c r="X3394" s="8">
        <v>35.700000000000003</v>
      </c>
      <c r="Y3394" s="8">
        <v>19.093</v>
      </c>
      <c r="Z3394" s="8">
        <v>7.3150000000000004</v>
      </c>
      <c r="AA3394" s="8">
        <v>1.748</v>
      </c>
      <c r="AB3394" s="8">
        <v>0.29399999999999998</v>
      </c>
      <c r="AC3394" s="8">
        <v>3.4000000000000002E-2</v>
      </c>
    </row>
    <row r="3395" spans="1:29" ht="11.65" hidden="1" x14ac:dyDescent="0.35">
      <c r="A3395" s="12">
        <v>3378</v>
      </c>
      <c r="B3395" s="10" t="s">
        <v>1015</v>
      </c>
      <c r="C3395" s="18" t="s">
        <v>1250</v>
      </c>
      <c r="D3395" s="9"/>
      <c r="E3395" s="9">
        <v>372</v>
      </c>
      <c r="F3395" s="10" t="s">
        <v>1066</v>
      </c>
      <c r="G3395" s="9">
        <v>924</v>
      </c>
      <c r="H3395" s="9">
        <v>1960</v>
      </c>
      <c r="I3395" s="8">
        <v>138.702</v>
      </c>
      <c r="J3395" s="8">
        <v>142.36500000000001</v>
      </c>
      <c r="K3395" s="8">
        <v>141.10599999999999</v>
      </c>
      <c r="L3395" s="8">
        <v>114.246</v>
      </c>
      <c r="M3395" s="8">
        <v>87.7</v>
      </c>
      <c r="N3395" s="8">
        <v>68.394999999999996</v>
      </c>
      <c r="O3395" s="8">
        <v>69.763000000000005</v>
      </c>
      <c r="P3395" s="8">
        <v>84.257000000000005</v>
      </c>
      <c r="Q3395" s="8">
        <v>83.548000000000002</v>
      </c>
      <c r="R3395" s="8">
        <v>87.141999999999996</v>
      </c>
      <c r="S3395" s="8">
        <v>72.805999999999997</v>
      </c>
      <c r="T3395" s="8">
        <v>69.183000000000007</v>
      </c>
      <c r="U3395" s="8">
        <v>63.706000000000003</v>
      </c>
      <c r="V3395" s="8">
        <v>51.067999999999998</v>
      </c>
      <c r="W3395" s="8">
        <v>46.673999999999999</v>
      </c>
      <c r="X3395" s="8">
        <v>34.317999999999998</v>
      </c>
      <c r="Y3395" s="8">
        <v>21.97</v>
      </c>
      <c r="Z3395" s="8">
        <v>8.5340000000000007</v>
      </c>
      <c r="AA3395" s="8">
        <v>2.306</v>
      </c>
      <c r="AB3395" s="8">
        <v>0.34699999999999998</v>
      </c>
      <c r="AC3395" s="8">
        <v>3.5999999999999997E-2</v>
      </c>
    </row>
    <row r="3396" spans="1:29" ht="11.65" hidden="1" x14ac:dyDescent="0.35">
      <c r="A3396" s="12">
        <v>3379</v>
      </c>
      <c r="B3396" s="10" t="s">
        <v>1015</v>
      </c>
      <c r="C3396" s="18" t="s">
        <v>1250</v>
      </c>
      <c r="D3396" s="9"/>
      <c r="E3396" s="9">
        <v>372</v>
      </c>
      <c r="F3396" s="10" t="s">
        <v>1066</v>
      </c>
      <c r="G3396" s="9">
        <v>924</v>
      </c>
      <c r="H3396" s="9">
        <v>1965</v>
      </c>
      <c r="I3396" s="8">
        <v>144.334</v>
      </c>
      <c r="J3396" s="8">
        <v>139.40899999999999</v>
      </c>
      <c r="K3396" s="8">
        <v>141.55099999999999</v>
      </c>
      <c r="L3396" s="8">
        <v>131.96899999999999</v>
      </c>
      <c r="M3396" s="8">
        <v>96.572000000000003</v>
      </c>
      <c r="N3396" s="8">
        <v>75.251999999999995</v>
      </c>
      <c r="O3396" s="8">
        <v>63.89</v>
      </c>
      <c r="P3396" s="8">
        <v>67.646000000000001</v>
      </c>
      <c r="Q3396" s="8">
        <v>81.748000000000005</v>
      </c>
      <c r="R3396" s="8">
        <v>80.236999999999995</v>
      </c>
      <c r="S3396" s="8">
        <v>82.537999999999997</v>
      </c>
      <c r="T3396" s="8">
        <v>67.608999999999995</v>
      </c>
      <c r="U3396" s="8">
        <v>63.502000000000002</v>
      </c>
      <c r="V3396" s="8">
        <v>56.685000000000002</v>
      </c>
      <c r="W3396" s="8">
        <v>44.218000000000004</v>
      </c>
      <c r="X3396" s="8">
        <v>34.728999999999999</v>
      </c>
      <c r="Y3396" s="8">
        <v>20.908999999999999</v>
      </c>
      <c r="Z3396" s="8">
        <v>10.135999999999999</v>
      </c>
      <c r="AA3396" s="8">
        <v>2.7069999999999999</v>
      </c>
      <c r="AB3396" s="8">
        <v>0.44900000000000001</v>
      </c>
      <c r="AC3396" s="8">
        <v>3.7999999999999999E-2</v>
      </c>
    </row>
    <row r="3397" spans="1:29" ht="11.65" hidden="1" x14ac:dyDescent="0.35">
      <c r="A3397" s="12">
        <v>3380</v>
      </c>
      <c r="B3397" s="10" t="s">
        <v>1015</v>
      </c>
      <c r="C3397" s="18" t="s">
        <v>1250</v>
      </c>
      <c r="D3397" s="9"/>
      <c r="E3397" s="9">
        <v>372</v>
      </c>
      <c r="F3397" s="10" t="s">
        <v>1066</v>
      </c>
      <c r="G3397" s="9">
        <v>924</v>
      </c>
      <c r="H3397" s="9">
        <v>1970</v>
      </c>
      <c r="I3397" s="8">
        <v>147.261</v>
      </c>
      <c r="J3397" s="8">
        <v>147.06899999999999</v>
      </c>
      <c r="K3397" s="8">
        <v>140.01599999999999</v>
      </c>
      <c r="L3397" s="8">
        <v>136.14599999999999</v>
      </c>
      <c r="M3397" s="8">
        <v>117.262</v>
      </c>
      <c r="N3397" s="8">
        <v>83.98</v>
      </c>
      <c r="O3397" s="8">
        <v>72.313999999999993</v>
      </c>
      <c r="P3397" s="8">
        <v>64.191999999999993</v>
      </c>
      <c r="Q3397" s="8">
        <v>67.106999999999999</v>
      </c>
      <c r="R3397" s="8">
        <v>79.783000000000001</v>
      </c>
      <c r="S3397" s="8">
        <v>76.858999999999995</v>
      </c>
      <c r="T3397" s="8">
        <v>77.808999999999997</v>
      </c>
      <c r="U3397" s="8">
        <v>62.575000000000003</v>
      </c>
      <c r="V3397" s="8">
        <v>57.529000000000003</v>
      </c>
      <c r="W3397" s="8">
        <v>49.895000000000003</v>
      </c>
      <c r="X3397" s="8">
        <v>33.515000000000001</v>
      </c>
      <c r="Y3397" s="8">
        <v>21.73</v>
      </c>
      <c r="Z3397" s="8">
        <v>9.9120000000000008</v>
      </c>
      <c r="AA3397" s="8">
        <v>3.351</v>
      </c>
      <c r="AB3397" s="8">
        <v>0.54600000000000004</v>
      </c>
      <c r="AC3397" s="8">
        <v>0.05</v>
      </c>
    </row>
    <row r="3398" spans="1:29" ht="11.65" hidden="1" x14ac:dyDescent="0.35">
      <c r="A3398" s="12">
        <v>3381</v>
      </c>
      <c r="B3398" s="10" t="s">
        <v>1015</v>
      </c>
      <c r="C3398" s="18" t="s">
        <v>1250</v>
      </c>
      <c r="D3398" s="9"/>
      <c r="E3398" s="9">
        <v>372</v>
      </c>
      <c r="F3398" s="10" t="s">
        <v>1066</v>
      </c>
      <c r="G3398" s="9">
        <v>924</v>
      </c>
      <c r="H3398" s="9">
        <v>1975</v>
      </c>
      <c r="I3398" s="8">
        <v>167.797</v>
      </c>
      <c r="J3398" s="8">
        <v>151.77199999999999</v>
      </c>
      <c r="K3398" s="8">
        <v>152.31899999999999</v>
      </c>
      <c r="L3398" s="8">
        <v>139.35400000000001</v>
      </c>
      <c r="M3398" s="8">
        <v>130.935</v>
      </c>
      <c r="N3398" s="8">
        <v>115.27800000000001</v>
      </c>
      <c r="O3398" s="8">
        <v>86.822000000000003</v>
      </c>
      <c r="P3398" s="8">
        <v>75.766999999999996</v>
      </c>
      <c r="Q3398" s="8">
        <v>65.930000000000007</v>
      </c>
      <c r="R3398" s="8">
        <v>66.933000000000007</v>
      </c>
      <c r="S3398" s="8">
        <v>78.013999999999996</v>
      </c>
      <c r="T3398" s="8">
        <v>73.587999999999994</v>
      </c>
      <c r="U3398" s="8">
        <v>73.552000000000007</v>
      </c>
      <c r="V3398" s="8">
        <v>58.393000000000001</v>
      </c>
      <c r="W3398" s="8">
        <v>50.241999999999997</v>
      </c>
      <c r="X3398" s="8">
        <v>37.921999999999997</v>
      </c>
      <c r="Y3398" s="8">
        <v>22.236999999999998</v>
      </c>
      <c r="Z3398" s="8">
        <v>10.895</v>
      </c>
      <c r="AA3398" s="8">
        <v>3.3119999999999998</v>
      </c>
      <c r="AB3398" s="8">
        <v>0.68200000000000005</v>
      </c>
      <c r="AC3398" s="8">
        <v>6.0999999999999999E-2</v>
      </c>
    </row>
    <row r="3399" spans="1:29" ht="11.65" hidden="1" x14ac:dyDescent="0.35">
      <c r="A3399" s="12">
        <v>3382</v>
      </c>
      <c r="B3399" s="10" t="s">
        <v>1015</v>
      </c>
      <c r="C3399" s="18" t="s">
        <v>1250</v>
      </c>
      <c r="D3399" s="9"/>
      <c r="E3399" s="9">
        <v>372</v>
      </c>
      <c r="F3399" s="10" t="s">
        <v>1066</v>
      </c>
      <c r="G3399" s="9">
        <v>924</v>
      </c>
      <c r="H3399" s="9">
        <v>1980</v>
      </c>
      <c r="I3399" s="8">
        <v>173.77500000000001</v>
      </c>
      <c r="J3399" s="8">
        <v>171.67699999999999</v>
      </c>
      <c r="K3399" s="8">
        <v>157.33500000000001</v>
      </c>
      <c r="L3399" s="8">
        <v>155.45599999999999</v>
      </c>
      <c r="M3399" s="8">
        <v>136.46100000000001</v>
      </c>
      <c r="N3399" s="8">
        <v>126.334</v>
      </c>
      <c r="O3399" s="8">
        <v>116.152</v>
      </c>
      <c r="P3399" s="8">
        <v>91.281000000000006</v>
      </c>
      <c r="Q3399" s="8">
        <v>78.899000000000001</v>
      </c>
      <c r="R3399" s="8">
        <v>66.914000000000001</v>
      </c>
      <c r="S3399" s="8">
        <v>65.948999999999998</v>
      </c>
      <c r="T3399" s="8">
        <v>75.453000000000003</v>
      </c>
      <c r="U3399" s="8">
        <v>69.518000000000001</v>
      </c>
      <c r="V3399" s="8">
        <v>68.406999999999996</v>
      </c>
      <c r="W3399" s="8">
        <v>51.875999999999998</v>
      </c>
      <c r="X3399" s="8">
        <v>39.542000000000002</v>
      </c>
      <c r="Y3399" s="8">
        <v>24.949000000000002</v>
      </c>
      <c r="Z3399" s="8">
        <v>10.932</v>
      </c>
      <c r="AA3399" s="8">
        <v>3.714</v>
      </c>
      <c r="AB3399" s="8">
        <v>0.67100000000000004</v>
      </c>
      <c r="AC3399" s="8">
        <v>7.5999999999999998E-2</v>
      </c>
    </row>
    <row r="3400" spans="1:29" ht="11.65" hidden="1" x14ac:dyDescent="0.35">
      <c r="A3400" s="12">
        <v>3383</v>
      </c>
      <c r="B3400" s="10" t="s">
        <v>1015</v>
      </c>
      <c r="C3400" s="18" t="s">
        <v>1250</v>
      </c>
      <c r="D3400" s="9"/>
      <c r="E3400" s="9">
        <v>372</v>
      </c>
      <c r="F3400" s="10" t="s">
        <v>1066</v>
      </c>
      <c r="G3400" s="9">
        <v>924</v>
      </c>
      <c r="H3400" s="9">
        <v>1985</v>
      </c>
      <c r="I3400" s="8">
        <v>165.95500000000001</v>
      </c>
      <c r="J3400" s="8">
        <v>173.07499999999999</v>
      </c>
      <c r="K3400" s="8">
        <v>171.672</v>
      </c>
      <c r="L3400" s="8">
        <v>154.70500000000001</v>
      </c>
      <c r="M3400" s="8">
        <v>144.66399999999999</v>
      </c>
      <c r="N3400" s="8">
        <v>125.97499999999999</v>
      </c>
      <c r="O3400" s="8">
        <v>123.2</v>
      </c>
      <c r="P3400" s="8">
        <v>115.621</v>
      </c>
      <c r="Q3400" s="8">
        <v>90.911000000000001</v>
      </c>
      <c r="R3400" s="8">
        <v>77.709000000000003</v>
      </c>
      <c r="S3400" s="8">
        <v>65.144000000000005</v>
      </c>
      <c r="T3400" s="8">
        <v>63.494</v>
      </c>
      <c r="U3400" s="8">
        <v>71.713999999999999</v>
      </c>
      <c r="V3400" s="8">
        <v>65.405000000000001</v>
      </c>
      <c r="W3400" s="8">
        <v>60.487000000000002</v>
      </c>
      <c r="X3400" s="8">
        <v>40.677</v>
      </c>
      <c r="Y3400" s="8">
        <v>27.048999999999999</v>
      </c>
      <c r="Z3400" s="8">
        <v>13.145</v>
      </c>
      <c r="AA3400" s="8">
        <v>4.016</v>
      </c>
      <c r="AB3400" s="8">
        <v>0.81799999999999995</v>
      </c>
      <c r="AC3400" s="8">
        <v>8.5000000000000006E-2</v>
      </c>
    </row>
    <row r="3401" spans="1:29" ht="11.65" hidden="1" x14ac:dyDescent="0.35">
      <c r="A3401" s="12">
        <v>3384</v>
      </c>
      <c r="B3401" s="10" t="s">
        <v>1015</v>
      </c>
      <c r="C3401" s="18" t="s">
        <v>1250</v>
      </c>
      <c r="D3401" s="9"/>
      <c r="E3401" s="9">
        <v>372</v>
      </c>
      <c r="F3401" s="10" t="s">
        <v>1066</v>
      </c>
      <c r="G3401" s="9">
        <v>924</v>
      </c>
      <c r="H3401" s="9">
        <v>1990</v>
      </c>
      <c r="I3401" s="8">
        <v>135.66499999999999</v>
      </c>
      <c r="J3401" s="8">
        <v>164.363</v>
      </c>
      <c r="K3401" s="8">
        <v>171.17400000000001</v>
      </c>
      <c r="L3401" s="8">
        <v>166.601</v>
      </c>
      <c r="M3401" s="8">
        <v>136.34100000000001</v>
      </c>
      <c r="N3401" s="8">
        <v>124.01300000000001</v>
      </c>
      <c r="O3401" s="8">
        <v>117.501</v>
      </c>
      <c r="P3401" s="8">
        <v>120.916</v>
      </c>
      <c r="Q3401" s="8">
        <v>114.20099999999999</v>
      </c>
      <c r="R3401" s="8">
        <v>89.346999999999994</v>
      </c>
      <c r="S3401" s="8">
        <v>75.795000000000002</v>
      </c>
      <c r="T3401" s="8">
        <v>63.222000000000001</v>
      </c>
      <c r="U3401" s="8">
        <v>61.018000000000001</v>
      </c>
      <c r="V3401" s="8">
        <v>67.561999999999998</v>
      </c>
      <c r="W3401" s="8">
        <v>58.456000000000003</v>
      </c>
      <c r="X3401" s="8">
        <v>48.499000000000002</v>
      </c>
      <c r="Y3401" s="8">
        <v>28.663</v>
      </c>
      <c r="Z3401" s="8">
        <v>14.754</v>
      </c>
      <c r="AA3401" s="8">
        <v>4.8849999999999998</v>
      </c>
      <c r="AB3401" s="8">
        <v>0.88800000000000001</v>
      </c>
      <c r="AC3401" s="8">
        <v>9.8000000000000004E-2</v>
      </c>
    </row>
    <row r="3402" spans="1:29" ht="11.65" hidden="1" x14ac:dyDescent="0.35">
      <c r="A3402" s="12">
        <v>3385</v>
      </c>
      <c r="B3402" s="10" t="s">
        <v>1015</v>
      </c>
      <c r="C3402" s="18" t="s">
        <v>1250</v>
      </c>
      <c r="D3402" s="9"/>
      <c r="E3402" s="9">
        <v>372</v>
      </c>
      <c r="F3402" s="10" t="s">
        <v>1066</v>
      </c>
      <c r="G3402" s="9">
        <v>924</v>
      </c>
      <c r="H3402" s="9">
        <v>1995</v>
      </c>
      <c r="I3402" s="8">
        <v>120.246</v>
      </c>
      <c r="J3402" s="8">
        <v>137.613</v>
      </c>
      <c r="K3402" s="8">
        <v>166.69900000000001</v>
      </c>
      <c r="L3402" s="8">
        <v>170.054</v>
      </c>
      <c r="M3402" s="8">
        <v>155.125</v>
      </c>
      <c r="N3402" s="8">
        <v>124.889</v>
      </c>
      <c r="O3402" s="8">
        <v>124.13800000000001</v>
      </c>
      <c r="P3402" s="8">
        <v>120.96299999999999</v>
      </c>
      <c r="Q3402" s="8">
        <v>122.746</v>
      </c>
      <c r="R3402" s="8">
        <v>114.47499999999999</v>
      </c>
      <c r="S3402" s="8">
        <v>89.18</v>
      </c>
      <c r="T3402" s="8">
        <v>75.168999999999997</v>
      </c>
      <c r="U3402" s="8">
        <v>61.698999999999998</v>
      </c>
      <c r="V3402" s="8">
        <v>58.408999999999999</v>
      </c>
      <c r="W3402" s="8">
        <v>61.125999999999998</v>
      </c>
      <c r="X3402" s="8">
        <v>47.829000000000001</v>
      </c>
      <c r="Y3402" s="8">
        <v>34.798000000000002</v>
      </c>
      <c r="Z3402" s="8">
        <v>16.352</v>
      </c>
      <c r="AA3402" s="8">
        <v>5.7270000000000003</v>
      </c>
      <c r="AB3402" s="8">
        <v>1.1160000000000001</v>
      </c>
      <c r="AC3402" s="8">
        <v>0.109</v>
      </c>
    </row>
    <row r="3403" spans="1:29" ht="11.65" hidden="1" x14ac:dyDescent="0.35">
      <c r="A3403" s="12">
        <v>3386</v>
      </c>
      <c r="B3403" s="10" t="s">
        <v>1015</v>
      </c>
      <c r="C3403" s="18" t="s">
        <v>1250</v>
      </c>
      <c r="D3403" s="9"/>
      <c r="E3403" s="9">
        <v>372</v>
      </c>
      <c r="F3403" s="10" t="s">
        <v>1066</v>
      </c>
      <c r="G3403" s="9">
        <v>924</v>
      </c>
      <c r="H3403" s="9">
        <v>2000</v>
      </c>
      <c r="I3403" s="8">
        <v>126.617</v>
      </c>
      <c r="J3403" s="8">
        <v>124.938</v>
      </c>
      <c r="K3403" s="8">
        <v>143.011</v>
      </c>
      <c r="L3403" s="8">
        <v>167.875</v>
      </c>
      <c r="M3403" s="8">
        <v>164.27500000000001</v>
      </c>
      <c r="N3403" s="8">
        <v>151.18700000000001</v>
      </c>
      <c r="O3403" s="8">
        <v>132.53</v>
      </c>
      <c r="P3403" s="8">
        <v>135.44800000000001</v>
      </c>
      <c r="Q3403" s="8">
        <v>127.49</v>
      </c>
      <c r="R3403" s="8">
        <v>124.77200000000001</v>
      </c>
      <c r="S3403" s="8">
        <v>114.749</v>
      </c>
      <c r="T3403" s="8">
        <v>88.656999999999996</v>
      </c>
      <c r="U3403" s="8">
        <v>73.980999999999995</v>
      </c>
      <c r="V3403" s="8">
        <v>59.758000000000003</v>
      </c>
      <c r="W3403" s="8">
        <v>53.662999999999997</v>
      </c>
      <c r="X3403" s="8">
        <v>51.055</v>
      </c>
      <c r="Y3403" s="8">
        <v>34.857999999999997</v>
      </c>
      <c r="Z3403" s="8">
        <v>19.943999999999999</v>
      </c>
      <c r="AA3403" s="8">
        <v>6.3710000000000004</v>
      </c>
      <c r="AB3403" s="8">
        <v>1.3109999999999999</v>
      </c>
      <c r="AC3403" s="8">
        <v>0.13400000000000001</v>
      </c>
    </row>
    <row r="3404" spans="1:29" ht="11.65" hidden="1" x14ac:dyDescent="0.35">
      <c r="A3404" s="12">
        <v>3387</v>
      </c>
      <c r="B3404" s="10" t="s">
        <v>1015</v>
      </c>
      <c r="C3404" s="18" t="s">
        <v>1250</v>
      </c>
      <c r="D3404" s="9"/>
      <c r="E3404" s="9">
        <v>372</v>
      </c>
      <c r="F3404" s="10" t="s">
        <v>1066</v>
      </c>
      <c r="G3404" s="9">
        <v>924</v>
      </c>
      <c r="H3404" s="9">
        <v>2005</v>
      </c>
      <c r="I3404" s="8">
        <v>145.089</v>
      </c>
      <c r="J3404" s="8">
        <v>131.03299999999999</v>
      </c>
      <c r="K3404" s="8">
        <v>130.98099999999999</v>
      </c>
      <c r="L3404" s="8">
        <v>145.09</v>
      </c>
      <c r="M3404" s="8">
        <v>172.96299999999999</v>
      </c>
      <c r="N3404" s="8">
        <v>179.55099999999999</v>
      </c>
      <c r="O3404" s="8">
        <v>172.696</v>
      </c>
      <c r="P3404" s="8">
        <v>150.87799999999999</v>
      </c>
      <c r="Q3404" s="8">
        <v>144.816</v>
      </c>
      <c r="R3404" s="8">
        <v>130.804</v>
      </c>
      <c r="S3404" s="8">
        <v>125.721</v>
      </c>
      <c r="T3404" s="8">
        <v>113.90900000000001</v>
      </c>
      <c r="U3404" s="8">
        <v>86.843000000000004</v>
      </c>
      <c r="V3404" s="8">
        <v>70.986000000000004</v>
      </c>
      <c r="W3404" s="8">
        <v>55.298999999999999</v>
      </c>
      <c r="X3404" s="8">
        <v>46.188000000000002</v>
      </c>
      <c r="Y3404" s="8">
        <v>39.124000000000002</v>
      </c>
      <c r="Z3404" s="8">
        <v>21.594000000000001</v>
      </c>
      <c r="AA3404" s="8">
        <v>8.5299999999999994</v>
      </c>
      <c r="AB3404" s="8">
        <v>1.6339999999999999</v>
      </c>
      <c r="AC3404" s="8">
        <v>0.17399999999999999</v>
      </c>
    </row>
    <row r="3405" spans="1:29" ht="11.65" hidden="1" x14ac:dyDescent="0.35">
      <c r="A3405" s="12">
        <v>3388</v>
      </c>
      <c r="B3405" s="10" t="s">
        <v>1015</v>
      </c>
      <c r="C3405" s="18" t="s">
        <v>1250</v>
      </c>
      <c r="D3405" s="9"/>
      <c r="E3405" s="9">
        <v>372</v>
      </c>
      <c r="F3405" s="10" t="s">
        <v>1066</v>
      </c>
      <c r="G3405" s="9">
        <v>924</v>
      </c>
      <c r="H3405" s="9">
        <v>2010</v>
      </c>
      <c r="I3405" s="8">
        <v>171.93799999999999</v>
      </c>
      <c r="J3405" s="8">
        <v>150.57400000000001</v>
      </c>
      <c r="K3405" s="8">
        <v>139.09399999999999</v>
      </c>
      <c r="L3405" s="8">
        <v>137.655</v>
      </c>
      <c r="M3405" s="8">
        <v>157.90799999999999</v>
      </c>
      <c r="N3405" s="8">
        <v>194.45099999999999</v>
      </c>
      <c r="O3405" s="8">
        <v>200.46</v>
      </c>
      <c r="P3405" s="8">
        <v>187.36199999999999</v>
      </c>
      <c r="Q3405" s="8">
        <v>159.101</v>
      </c>
      <c r="R3405" s="8">
        <v>149.33199999999999</v>
      </c>
      <c r="S3405" s="8">
        <v>133.012</v>
      </c>
      <c r="T3405" s="8">
        <v>125.437</v>
      </c>
      <c r="U3405" s="8">
        <v>111.511</v>
      </c>
      <c r="V3405" s="8">
        <v>83.453999999999994</v>
      </c>
      <c r="W3405" s="8">
        <v>66.322000000000003</v>
      </c>
      <c r="X3405" s="8">
        <v>48.585999999999999</v>
      </c>
      <c r="Y3405" s="8">
        <v>36.567999999999998</v>
      </c>
      <c r="Z3405" s="8">
        <v>25.641999999999999</v>
      </c>
      <c r="AA3405" s="8">
        <v>10.231</v>
      </c>
      <c r="AB3405" s="8">
        <v>2.4990000000000001</v>
      </c>
      <c r="AC3405" s="8">
        <v>0.251</v>
      </c>
    </row>
    <row r="3406" spans="1:29" ht="11.65" hidden="1" x14ac:dyDescent="0.35">
      <c r="A3406" s="12">
        <v>3389</v>
      </c>
      <c r="B3406" s="10" t="s">
        <v>1015</v>
      </c>
      <c r="C3406" s="18" t="s">
        <v>1250</v>
      </c>
      <c r="D3406" s="9"/>
      <c r="E3406" s="9">
        <v>372</v>
      </c>
      <c r="F3406" s="10" t="s">
        <v>1066</v>
      </c>
      <c r="G3406" s="9">
        <v>924</v>
      </c>
      <c r="H3406" s="9">
        <v>2015</v>
      </c>
      <c r="I3406" s="8">
        <v>173.21199999999999</v>
      </c>
      <c r="J3406" s="8">
        <v>174.00700000000001</v>
      </c>
      <c r="K3406" s="8">
        <v>150.20400000000001</v>
      </c>
      <c r="L3406" s="8">
        <v>135.684</v>
      </c>
      <c r="M3406" s="8">
        <v>125.646</v>
      </c>
      <c r="N3406" s="8">
        <v>145.499</v>
      </c>
      <c r="O3406" s="8">
        <v>190.89699999999999</v>
      </c>
      <c r="P3406" s="8">
        <v>198.58699999999999</v>
      </c>
      <c r="Q3406" s="8">
        <v>183.93600000000001</v>
      </c>
      <c r="R3406" s="8">
        <v>156.773</v>
      </c>
      <c r="S3406" s="8">
        <v>146.78800000000001</v>
      </c>
      <c r="T3406" s="8">
        <v>129.179</v>
      </c>
      <c r="U3406" s="8">
        <v>120.95399999999999</v>
      </c>
      <c r="V3406" s="8">
        <v>105.866</v>
      </c>
      <c r="W3406" s="8">
        <v>76.492000000000004</v>
      </c>
      <c r="X3406" s="8">
        <v>58.006999999999998</v>
      </c>
      <c r="Y3406" s="8">
        <v>38.392000000000003</v>
      </c>
      <c r="Z3406" s="8">
        <v>23.942</v>
      </c>
      <c r="AA3406" s="8">
        <v>12.38</v>
      </c>
      <c r="AB3406" s="8">
        <v>3.0459999999999998</v>
      </c>
      <c r="AC3406" s="8">
        <v>0.38500000000000001</v>
      </c>
    </row>
    <row r="3407" spans="1:29" ht="11.65" hidden="1" x14ac:dyDescent="0.35">
      <c r="A3407" s="12">
        <v>3390</v>
      </c>
      <c r="B3407" s="10" t="s">
        <v>1015</v>
      </c>
      <c r="C3407" s="18" t="s">
        <v>1250</v>
      </c>
      <c r="D3407" s="9"/>
      <c r="E3407" s="9">
        <v>372</v>
      </c>
      <c r="F3407" s="10" t="s">
        <v>1066</v>
      </c>
      <c r="G3407" s="9">
        <v>924</v>
      </c>
      <c r="H3407" s="9">
        <v>2020</v>
      </c>
      <c r="I3407" s="8">
        <v>152.09299999999999</v>
      </c>
      <c r="J3407" s="8">
        <v>174.42099999999999</v>
      </c>
      <c r="K3407" s="8">
        <v>174.65600000000001</v>
      </c>
      <c r="L3407" s="8">
        <v>153.16200000000001</v>
      </c>
      <c r="M3407" s="8">
        <v>143.018</v>
      </c>
      <c r="N3407" s="8">
        <v>136.45500000000001</v>
      </c>
      <c r="O3407" s="8">
        <v>156.01499999999999</v>
      </c>
      <c r="P3407" s="8">
        <v>198.05699999999999</v>
      </c>
      <c r="Q3407" s="8">
        <v>202.94399999999999</v>
      </c>
      <c r="R3407" s="8">
        <v>185.755</v>
      </c>
      <c r="S3407" s="8">
        <v>156.798</v>
      </c>
      <c r="T3407" s="8">
        <v>145.60400000000001</v>
      </c>
      <c r="U3407" s="8">
        <v>126.855</v>
      </c>
      <c r="V3407" s="8">
        <v>117.548</v>
      </c>
      <c r="W3407" s="8">
        <v>101.042</v>
      </c>
      <c r="X3407" s="8">
        <v>69.974000000000004</v>
      </c>
      <c r="Y3407" s="8">
        <v>48.451999999999998</v>
      </c>
      <c r="Z3407" s="8">
        <v>26.79</v>
      </c>
      <c r="AA3407" s="8">
        <v>12.304</v>
      </c>
      <c r="AB3407" s="8">
        <v>3.9860000000000002</v>
      </c>
      <c r="AC3407" s="8">
        <v>0.51800000000000002</v>
      </c>
    </row>
    <row r="3408" spans="1:29" ht="11.65" hidden="1" x14ac:dyDescent="0.35">
      <c r="A3408" s="12">
        <v>3391</v>
      </c>
      <c r="B3408" s="10" t="s">
        <v>1015</v>
      </c>
      <c r="C3408" s="18" t="s">
        <v>1251</v>
      </c>
      <c r="D3408" s="9"/>
      <c r="E3408" s="9">
        <v>428</v>
      </c>
      <c r="F3408" s="10" t="s">
        <v>1066</v>
      </c>
      <c r="G3408" s="9">
        <v>924</v>
      </c>
      <c r="H3408" s="9">
        <v>1950</v>
      </c>
      <c r="I3408" s="8">
        <v>73.87</v>
      </c>
      <c r="J3408" s="8">
        <v>80.47</v>
      </c>
      <c r="K3408" s="8">
        <v>90.33</v>
      </c>
      <c r="L3408" s="8">
        <v>84.998999999999995</v>
      </c>
      <c r="M3408" s="8">
        <v>95.01</v>
      </c>
      <c r="N3408" s="8">
        <v>84.34</v>
      </c>
      <c r="O3408" s="8">
        <v>55.640999999999998</v>
      </c>
      <c r="P3408" s="8">
        <v>77.540000000000006</v>
      </c>
      <c r="Q3408" s="8">
        <v>77.09</v>
      </c>
      <c r="R3408" s="8">
        <v>74.06</v>
      </c>
      <c r="S3408" s="8">
        <v>64.36</v>
      </c>
      <c r="T3408" s="8">
        <v>57.24</v>
      </c>
      <c r="U3408" s="8">
        <v>53.48</v>
      </c>
      <c r="V3408" s="8">
        <v>44.3</v>
      </c>
      <c r="W3408" s="8">
        <v>36.040999999999997</v>
      </c>
      <c r="X3408" s="8">
        <v>25.420999999999999</v>
      </c>
      <c r="Y3408" s="8">
        <v>10.999000000000001</v>
      </c>
      <c r="Z3408" s="8">
        <v>5.9640000000000004</v>
      </c>
      <c r="AA3408" s="8">
        <v>1.6639999999999999</v>
      </c>
      <c r="AB3408" s="8">
        <v>0.26900000000000002</v>
      </c>
      <c r="AC3408" s="8">
        <v>2.5000000000000001E-2</v>
      </c>
    </row>
    <row r="3409" spans="1:29" ht="11.65" hidden="1" x14ac:dyDescent="0.35">
      <c r="A3409" s="12">
        <v>3392</v>
      </c>
      <c r="B3409" s="10" t="s">
        <v>1015</v>
      </c>
      <c r="C3409" s="18" t="s">
        <v>1251</v>
      </c>
      <c r="D3409" s="9"/>
      <c r="E3409" s="9">
        <v>428</v>
      </c>
      <c r="F3409" s="10" t="s">
        <v>1066</v>
      </c>
      <c r="G3409" s="9">
        <v>924</v>
      </c>
      <c r="H3409" s="9">
        <v>1955</v>
      </c>
      <c r="I3409" s="8">
        <v>75.897000000000006</v>
      </c>
      <c r="J3409" s="8">
        <v>72.171000000000006</v>
      </c>
      <c r="K3409" s="8">
        <v>80.292000000000002</v>
      </c>
      <c r="L3409" s="8">
        <v>90.384</v>
      </c>
      <c r="M3409" s="8">
        <v>87.513999999999996</v>
      </c>
      <c r="N3409" s="8">
        <v>97.066999999999993</v>
      </c>
      <c r="O3409" s="8">
        <v>85.611999999999995</v>
      </c>
      <c r="P3409" s="8">
        <v>56.412999999999997</v>
      </c>
      <c r="Q3409" s="8">
        <v>77.338999999999999</v>
      </c>
      <c r="R3409" s="8">
        <v>76.236999999999995</v>
      </c>
      <c r="S3409" s="8">
        <v>72.447999999999993</v>
      </c>
      <c r="T3409" s="8">
        <v>62.124000000000002</v>
      </c>
      <c r="U3409" s="8">
        <v>54.137</v>
      </c>
      <c r="V3409" s="8">
        <v>48.930999999999997</v>
      </c>
      <c r="W3409" s="8">
        <v>38.088000000000001</v>
      </c>
      <c r="X3409" s="8">
        <v>27.649000000000001</v>
      </c>
      <c r="Y3409" s="8">
        <v>16.309000000000001</v>
      </c>
      <c r="Z3409" s="8">
        <v>5.3369999999999997</v>
      </c>
      <c r="AA3409" s="8">
        <v>1.9450000000000001</v>
      </c>
      <c r="AB3409" s="8">
        <v>0.32300000000000001</v>
      </c>
      <c r="AC3409" s="8">
        <v>2.9000000000000001E-2</v>
      </c>
    </row>
    <row r="3410" spans="1:29" ht="11.65" hidden="1" x14ac:dyDescent="0.35">
      <c r="A3410" s="12">
        <v>3393</v>
      </c>
      <c r="B3410" s="10" t="s">
        <v>1015</v>
      </c>
      <c r="C3410" s="18" t="s">
        <v>1251</v>
      </c>
      <c r="D3410" s="9"/>
      <c r="E3410" s="9">
        <v>428</v>
      </c>
      <c r="F3410" s="10" t="s">
        <v>1066</v>
      </c>
      <c r="G3410" s="9">
        <v>924</v>
      </c>
      <c r="H3410" s="9">
        <v>1960</v>
      </c>
      <c r="I3410" s="8">
        <v>82.02</v>
      </c>
      <c r="J3410" s="8">
        <v>76.161000000000001</v>
      </c>
      <c r="K3410" s="8">
        <v>71.796999999999997</v>
      </c>
      <c r="L3410" s="8">
        <v>80.584000000000003</v>
      </c>
      <c r="M3410" s="8">
        <v>90.718000000000004</v>
      </c>
      <c r="N3410" s="8">
        <v>90.024000000000001</v>
      </c>
      <c r="O3410" s="8">
        <v>101.34</v>
      </c>
      <c r="P3410" s="8">
        <v>91.486000000000004</v>
      </c>
      <c r="Q3410" s="8">
        <v>58.222000000000001</v>
      </c>
      <c r="R3410" s="8">
        <v>80.268000000000001</v>
      </c>
      <c r="S3410" s="8">
        <v>79.459999999999994</v>
      </c>
      <c r="T3410" s="8">
        <v>75.081999999999994</v>
      </c>
      <c r="U3410" s="8">
        <v>61.927</v>
      </c>
      <c r="V3410" s="8">
        <v>52.026000000000003</v>
      </c>
      <c r="W3410" s="8">
        <v>41.854999999999997</v>
      </c>
      <c r="X3410" s="8">
        <v>29.74</v>
      </c>
      <c r="Y3410" s="8">
        <v>16.731999999999999</v>
      </c>
      <c r="Z3410" s="8">
        <v>8.0730000000000004</v>
      </c>
      <c r="AA3410" s="8">
        <v>1.798</v>
      </c>
      <c r="AB3410" s="8">
        <v>0.38600000000000001</v>
      </c>
      <c r="AC3410" s="8">
        <v>3.5000000000000003E-2</v>
      </c>
    </row>
    <row r="3411" spans="1:29" ht="11.65" hidden="1" x14ac:dyDescent="0.35">
      <c r="A3411" s="12">
        <v>3394</v>
      </c>
      <c r="B3411" s="10" t="s">
        <v>1015</v>
      </c>
      <c r="C3411" s="18" t="s">
        <v>1251</v>
      </c>
      <c r="D3411" s="9"/>
      <c r="E3411" s="9">
        <v>428</v>
      </c>
      <c r="F3411" s="10" t="s">
        <v>1066</v>
      </c>
      <c r="G3411" s="9">
        <v>924</v>
      </c>
      <c r="H3411" s="9">
        <v>1965</v>
      </c>
      <c r="I3411" s="8">
        <v>84.117000000000004</v>
      </c>
      <c r="J3411" s="8">
        <v>83.789000000000001</v>
      </c>
      <c r="K3411" s="8">
        <v>78.093000000000004</v>
      </c>
      <c r="L3411" s="8">
        <v>75.849000000000004</v>
      </c>
      <c r="M3411" s="8">
        <v>84.774000000000001</v>
      </c>
      <c r="N3411" s="8">
        <v>95.471999999999994</v>
      </c>
      <c r="O3411" s="8">
        <v>91.13</v>
      </c>
      <c r="P3411" s="8">
        <v>101.827</v>
      </c>
      <c r="Q3411" s="8">
        <v>91.811000000000007</v>
      </c>
      <c r="R3411" s="8">
        <v>57.777000000000001</v>
      </c>
      <c r="S3411" s="8">
        <v>80.712000000000003</v>
      </c>
      <c r="T3411" s="8">
        <v>78.430000000000007</v>
      </c>
      <c r="U3411" s="8">
        <v>73.105000000000004</v>
      </c>
      <c r="V3411" s="8">
        <v>58.335000000000001</v>
      </c>
      <c r="W3411" s="8">
        <v>45.725000000000001</v>
      </c>
      <c r="X3411" s="8">
        <v>33.210999999999999</v>
      </c>
      <c r="Y3411" s="8">
        <v>19.454999999999998</v>
      </c>
      <c r="Z3411" s="8">
        <v>8.3230000000000004</v>
      </c>
      <c r="AA3411" s="8">
        <v>2.718</v>
      </c>
      <c r="AB3411" s="8">
        <v>0.36599999999999999</v>
      </c>
      <c r="AC3411" s="8">
        <v>4.3999999999999997E-2</v>
      </c>
    </row>
    <row r="3412" spans="1:29" ht="11.65" hidden="1" x14ac:dyDescent="0.35">
      <c r="A3412" s="12">
        <v>3395</v>
      </c>
      <c r="B3412" s="10" t="s">
        <v>1015</v>
      </c>
      <c r="C3412" s="18" t="s">
        <v>1251</v>
      </c>
      <c r="D3412" s="9"/>
      <c r="E3412" s="9">
        <v>428</v>
      </c>
      <c r="F3412" s="10" t="s">
        <v>1066</v>
      </c>
      <c r="G3412" s="9">
        <v>924</v>
      </c>
      <c r="H3412" s="9">
        <v>1970</v>
      </c>
      <c r="I3412" s="8">
        <v>78.646000000000001</v>
      </c>
      <c r="J3412" s="8">
        <v>86.575000000000003</v>
      </c>
      <c r="K3412" s="8">
        <v>85.974000000000004</v>
      </c>
      <c r="L3412" s="8">
        <v>79.522000000000006</v>
      </c>
      <c r="M3412" s="8">
        <v>79.147000000000006</v>
      </c>
      <c r="N3412" s="8">
        <v>88.343000000000004</v>
      </c>
      <c r="O3412" s="8">
        <v>100.14700000000001</v>
      </c>
      <c r="P3412" s="8">
        <v>92.150999999999996</v>
      </c>
      <c r="Q3412" s="8">
        <v>102.131</v>
      </c>
      <c r="R3412" s="8">
        <v>91.501000000000005</v>
      </c>
      <c r="S3412" s="8">
        <v>56.997</v>
      </c>
      <c r="T3412" s="8">
        <v>79.888999999999996</v>
      </c>
      <c r="U3412" s="8">
        <v>76.072999999999993</v>
      </c>
      <c r="V3412" s="8">
        <v>68.430000000000007</v>
      </c>
      <c r="W3412" s="8">
        <v>51.72</v>
      </c>
      <c r="X3412" s="8">
        <v>35.942</v>
      </c>
      <c r="Y3412" s="8">
        <v>22.69</v>
      </c>
      <c r="Z3412" s="8">
        <v>9.8239999999999998</v>
      </c>
      <c r="AA3412" s="8">
        <v>2.871</v>
      </c>
      <c r="AB3412" s="8">
        <v>0.57699999999999996</v>
      </c>
      <c r="AC3412" s="8">
        <v>4.4999999999999998E-2</v>
      </c>
    </row>
    <row r="3413" spans="1:29" ht="11.65" hidden="1" x14ac:dyDescent="0.35">
      <c r="A3413" s="12">
        <v>3396</v>
      </c>
      <c r="B3413" s="10" t="s">
        <v>1015</v>
      </c>
      <c r="C3413" s="18" t="s">
        <v>1251</v>
      </c>
      <c r="D3413" s="9"/>
      <c r="E3413" s="9">
        <v>428</v>
      </c>
      <c r="F3413" s="10" t="s">
        <v>1066</v>
      </c>
      <c r="G3413" s="9">
        <v>924</v>
      </c>
      <c r="H3413" s="9">
        <v>1975</v>
      </c>
      <c r="I3413" s="8">
        <v>87.411000000000001</v>
      </c>
      <c r="J3413" s="8">
        <v>79.105999999999995</v>
      </c>
      <c r="K3413" s="8">
        <v>86.085999999999999</v>
      </c>
      <c r="L3413" s="8">
        <v>92.067999999999998</v>
      </c>
      <c r="M3413" s="8">
        <v>88.275000000000006</v>
      </c>
      <c r="N3413" s="8">
        <v>83.823999999999998</v>
      </c>
      <c r="O3413" s="8">
        <v>89.671999999999997</v>
      </c>
      <c r="P3413" s="8">
        <v>101.084</v>
      </c>
      <c r="Q3413" s="8">
        <v>91.453999999999994</v>
      </c>
      <c r="R3413" s="8">
        <v>100.489</v>
      </c>
      <c r="S3413" s="8">
        <v>90.128</v>
      </c>
      <c r="T3413" s="8">
        <v>55.606000000000002</v>
      </c>
      <c r="U3413" s="8">
        <v>76.082999999999998</v>
      </c>
      <c r="V3413" s="8">
        <v>70.183999999999997</v>
      </c>
      <c r="W3413" s="8">
        <v>59.817</v>
      </c>
      <c r="X3413" s="8">
        <v>40.534999999999997</v>
      </c>
      <c r="Y3413" s="8">
        <v>24.558</v>
      </c>
      <c r="Z3413" s="8">
        <v>11.688000000000001</v>
      </c>
      <c r="AA3413" s="8">
        <v>3.4870000000000001</v>
      </c>
      <c r="AB3413" s="8">
        <v>0.627</v>
      </c>
      <c r="AC3413" s="8">
        <v>7.0999999999999994E-2</v>
      </c>
    </row>
    <row r="3414" spans="1:29" ht="11.65" hidden="1" x14ac:dyDescent="0.35">
      <c r="A3414" s="12">
        <v>3397</v>
      </c>
      <c r="B3414" s="10" t="s">
        <v>1015</v>
      </c>
      <c r="C3414" s="18" t="s">
        <v>1251</v>
      </c>
      <c r="D3414" s="9"/>
      <c r="E3414" s="9">
        <v>428</v>
      </c>
      <c r="F3414" s="10" t="s">
        <v>1066</v>
      </c>
      <c r="G3414" s="9">
        <v>924</v>
      </c>
      <c r="H3414" s="9">
        <v>1980</v>
      </c>
      <c r="I3414" s="8">
        <v>83.992999999999995</v>
      </c>
      <c r="J3414" s="8">
        <v>87.451999999999998</v>
      </c>
      <c r="K3414" s="8">
        <v>79.471999999999994</v>
      </c>
      <c r="L3414" s="8">
        <v>90.546000000000006</v>
      </c>
      <c r="M3414" s="8">
        <v>98.753</v>
      </c>
      <c r="N3414" s="8">
        <v>93.188999999999993</v>
      </c>
      <c r="O3414" s="8">
        <v>85.373000000000005</v>
      </c>
      <c r="P3414" s="8">
        <v>89.551000000000002</v>
      </c>
      <c r="Q3414" s="8">
        <v>101</v>
      </c>
      <c r="R3414" s="8">
        <v>90.158000000000001</v>
      </c>
      <c r="S3414" s="8">
        <v>98.067999999999998</v>
      </c>
      <c r="T3414" s="8">
        <v>87.42</v>
      </c>
      <c r="U3414" s="8">
        <v>52.753</v>
      </c>
      <c r="V3414" s="8">
        <v>70.076999999999998</v>
      </c>
      <c r="W3414" s="8">
        <v>60.73</v>
      </c>
      <c r="X3414" s="8">
        <v>46.749000000000002</v>
      </c>
      <c r="Y3414" s="8">
        <v>26.981000000000002</v>
      </c>
      <c r="Z3414" s="8">
        <v>12.339</v>
      </c>
      <c r="AA3414" s="8">
        <v>4.0270000000000001</v>
      </c>
      <c r="AB3414" s="8">
        <v>0.73899999999999999</v>
      </c>
      <c r="AC3414" s="8">
        <v>7.8E-2</v>
      </c>
    </row>
    <row r="3415" spans="1:29" ht="11.65" hidden="1" x14ac:dyDescent="0.35">
      <c r="A3415" s="12">
        <v>3398</v>
      </c>
      <c r="B3415" s="10" t="s">
        <v>1015</v>
      </c>
      <c r="C3415" s="18" t="s">
        <v>1251</v>
      </c>
      <c r="D3415" s="9"/>
      <c r="E3415" s="9">
        <v>428</v>
      </c>
      <c r="F3415" s="10" t="s">
        <v>1066</v>
      </c>
      <c r="G3415" s="9">
        <v>924</v>
      </c>
      <c r="H3415" s="9">
        <v>1985</v>
      </c>
      <c r="I3415" s="8">
        <v>94.209000000000003</v>
      </c>
      <c r="J3415" s="8">
        <v>85.225999999999999</v>
      </c>
      <c r="K3415" s="8">
        <v>88.308000000000007</v>
      </c>
      <c r="L3415" s="8">
        <v>80.438000000000002</v>
      </c>
      <c r="M3415" s="8">
        <v>97.207999999999998</v>
      </c>
      <c r="N3415" s="8">
        <v>101.232</v>
      </c>
      <c r="O3415" s="8">
        <v>94.251000000000005</v>
      </c>
      <c r="P3415" s="8">
        <v>84.93</v>
      </c>
      <c r="Q3415" s="8">
        <v>88.325999999999993</v>
      </c>
      <c r="R3415" s="8">
        <v>99.438999999999993</v>
      </c>
      <c r="S3415" s="8">
        <v>88.581999999999994</v>
      </c>
      <c r="T3415" s="8">
        <v>95.742999999999995</v>
      </c>
      <c r="U3415" s="8">
        <v>83.384</v>
      </c>
      <c r="V3415" s="8">
        <v>48.610999999999997</v>
      </c>
      <c r="W3415" s="8">
        <v>61.444000000000003</v>
      </c>
      <c r="X3415" s="8">
        <v>47.481000000000002</v>
      </c>
      <c r="Y3415" s="8">
        <v>30.908000000000001</v>
      </c>
      <c r="Z3415" s="8">
        <v>13.756</v>
      </c>
      <c r="AA3415" s="8">
        <v>4.3609999999999998</v>
      </c>
      <c r="AB3415" s="8">
        <v>0.89600000000000002</v>
      </c>
      <c r="AC3415" s="8">
        <v>9.6000000000000002E-2</v>
      </c>
    </row>
    <row r="3416" spans="1:29" ht="11.65" hidden="1" x14ac:dyDescent="0.35">
      <c r="A3416" s="12">
        <v>3399</v>
      </c>
      <c r="B3416" s="10" t="s">
        <v>1015</v>
      </c>
      <c r="C3416" s="18" t="s">
        <v>1251</v>
      </c>
      <c r="D3416" s="9"/>
      <c r="E3416" s="9">
        <v>428</v>
      </c>
      <c r="F3416" s="10" t="s">
        <v>1066</v>
      </c>
      <c r="G3416" s="9">
        <v>924</v>
      </c>
      <c r="H3416" s="9">
        <v>1990</v>
      </c>
      <c r="I3416" s="8">
        <v>100.095</v>
      </c>
      <c r="J3416" s="8">
        <v>95.12</v>
      </c>
      <c r="K3416" s="8">
        <v>84.915000000000006</v>
      </c>
      <c r="L3416" s="8">
        <v>90.284999999999997</v>
      </c>
      <c r="M3416" s="8">
        <v>86.778999999999996</v>
      </c>
      <c r="N3416" s="8">
        <v>101.57899999999999</v>
      </c>
      <c r="O3416" s="8">
        <v>102.58499999999999</v>
      </c>
      <c r="P3416" s="8">
        <v>94.682000000000002</v>
      </c>
      <c r="Q3416" s="8">
        <v>84.718999999999994</v>
      </c>
      <c r="R3416" s="8">
        <v>87.444000000000003</v>
      </c>
      <c r="S3416" s="8">
        <v>97.483000000000004</v>
      </c>
      <c r="T3416" s="8">
        <v>85.778999999999996</v>
      </c>
      <c r="U3416" s="8">
        <v>90.974000000000004</v>
      </c>
      <c r="V3416" s="8">
        <v>76.641000000000005</v>
      </c>
      <c r="W3416" s="8">
        <v>42.276000000000003</v>
      </c>
      <c r="X3416" s="8">
        <v>48.398000000000003</v>
      </c>
      <c r="Y3416" s="8">
        <v>31.594999999999999</v>
      </c>
      <c r="Z3416" s="8">
        <v>15.805999999999999</v>
      </c>
      <c r="AA3416" s="8">
        <v>4.8109999999999999</v>
      </c>
      <c r="AB3416" s="8">
        <v>0.93799999999999994</v>
      </c>
      <c r="AC3416" s="8">
        <v>0.111</v>
      </c>
    </row>
    <row r="3417" spans="1:29" ht="11.65" hidden="1" x14ac:dyDescent="0.35">
      <c r="A3417" s="12">
        <v>3400</v>
      </c>
      <c r="B3417" s="10" t="s">
        <v>1015</v>
      </c>
      <c r="C3417" s="18" t="s">
        <v>1251</v>
      </c>
      <c r="D3417" s="9"/>
      <c r="E3417" s="9">
        <v>428</v>
      </c>
      <c r="F3417" s="10" t="s">
        <v>1066</v>
      </c>
      <c r="G3417" s="9">
        <v>924</v>
      </c>
      <c r="H3417" s="9">
        <v>1995</v>
      </c>
      <c r="I3417" s="8">
        <v>69.91</v>
      </c>
      <c r="J3417" s="8">
        <v>94.793000000000006</v>
      </c>
      <c r="K3417" s="8">
        <v>90.135000000000005</v>
      </c>
      <c r="L3417" s="8">
        <v>80.83</v>
      </c>
      <c r="M3417" s="8">
        <v>85.891000000000005</v>
      </c>
      <c r="N3417" s="8">
        <v>81.635000000000005</v>
      </c>
      <c r="O3417" s="8">
        <v>94.12</v>
      </c>
      <c r="P3417" s="8">
        <v>94.403999999999996</v>
      </c>
      <c r="Q3417" s="8">
        <v>87.194000000000003</v>
      </c>
      <c r="R3417" s="8">
        <v>79.474999999999994</v>
      </c>
      <c r="S3417" s="8">
        <v>83.393000000000001</v>
      </c>
      <c r="T3417" s="8">
        <v>92.513999999999996</v>
      </c>
      <c r="U3417" s="8">
        <v>80.290999999999997</v>
      </c>
      <c r="V3417" s="8">
        <v>83.102999999999994</v>
      </c>
      <c r="W3417" s="8">
        <v>66.078000000000003</v>
      </c>
      <c r="X3417" s="8">
        <v>33.344000000000001</v>
      </c>
      <c r="Y3417" s="8">
        <v>32.314</v>
      </c>
      <c r="Z3417" s="8">
        <v>16.425000000000001</v>
      </c>
      <c r="AA3417" s="8">
        <v>5.702</v>
      </c>
      <c r="AB3417" s="8">
        <v>1.069</v>
      </c>
      <c r="AC3417" s="8">
        <v>0.12</v>
      </c>
    </row>
    <row r="3418" spans="1:29" ht="11.65" hidden="1" x14ac:dyDescent="0.35">
      <c r="A3418" s="12">
        <v>3401</v>
      </c>
      <c r="B3418" s="10" t="s">
        <v>1015</v>
      </c>
      <c r="C3418" s="18" t="s">
        <v>1251</v>
      </c>
      <c r="D3418" s="9"/>
      <c r="E3418" s="9">
        <v>428</v>
      </c>
      <c r="F3418" s="10" t="s">
        <v>1066</v>
      </c>
      <c r="G3418" s="9">
        <v>924</v>
      </c>
      <c r="H3418" s="9">
        <v>2000</v>
      </c>
      <c r="I3418" s="8">
        <v>46.82</v>
      </c>
      <c r="J3418" s="8">
        <v>69.747</v>
      </c>
      <c r="K3418" s="8">
        <v>91.203999999999994</v>
      </c>
      <c r="L3418" s="8">
        <v>87.486000000000004</v>
      </c>
      <c r="M3418" s="8">
        <v>79.054000000000002</v>
      </c>
      <c r="N3418" s="8">
        <v>81.75</v>
      </c>
      <c r="O3418" s="8">
        <v>79.242000000000004</v>
      </c>
      <c r="P3418" s="8">
        <v>91.037999999999997</v>
      </c>
      <c r="Q3418" s="8">
        <v>91.308000000000007</v>
      </c>
      <c r="R3418" s="8">
        <v>83.661000000000001</v>
      </c>
      <c r="S3418" s="8">
        <v>76.751999999999995</v>
      </c>
      <c r="T3418" s="8">
        <v>79.715999999999994</v>
      </c>
      <c r="U3418" s="8">
        <v>86.697999999999993</v>
      </c>
      <c r="V3418" s="8">
        <v>73.683999999999997</v>
      </c>
      <c r="W3418" s="8">
        <v>71.608999999999995</v>
      </c>
      <c r="X3418" s="8">
        <v>51.8</v>
      </c>
      <c r="Y3418" s="8">
        <v>22.645</v>
      </c>
      <c r="Z3418" s="8">
        <v>17.27</v>
      </c>
      <c r="AA3418" s="8">
        <v>5.819</v>
      </c>
      <c r="AB3418" s="8">
        <v>1.1579999999999999</v>
      </c>
      <c r="AC3418" s="8">
        <v>0.11899999999999999</v>
      </c>
    </row>
    <row r="3419" spans="1:29" ht="11.65" hidden="1" x14ac:dyDescent="0.35">
      <c r="A3419" s="12">
        <v>3402</v>
      </c>
      <c r="B3419" s="10" t="s">
        <v>1015</v>
      </c>
      <c r="C3419" s="18" t="s">
        <v>1251</v>
      </c>
      <c r="D3419" s="9"/>
      <c r="E3419" s="9">
        <v>428</v>
      </c>
      <c r="F3419" s="10" t="s">
        <v>1066</v>
      </c>
      <c r="G3419" s="9">
        <v>924</v>
      </c>
      <c r="H3419" s="9">
        <v>2005</v>
      </c>
      <c r="I3419" s="8">
        <v>49.167999999999999</v>
      </c>
      <c r="J3419" s="8">
        <v>44.533999999999999</v>
      </c>
      <c r="K3419" s="8">
        <v>67.936999999999998</v>
      </c>
      <c r="L3419" s="8">
        <v>89.082999999999998</v>
      </c>
      <c r="M3419" s="8">
        <v>83.658000000000001</v>
      </c>
      <c r="N3419" s="8">
        <v>74.991</v>
      </c>
      <c r="O3419" s="8">
        <v>78.563999999999993</v>
      </c>
      <c r="P3419" s="8">
        <v>75.790000000000006</v>
      </c>
      <c r="Q3419" s="8">
        <v>86.853999999999999</v>
      </c>
      <c r="R3419" s="8">
        <v>87.081999999999994</v>
      </c>
      <c r="S3419" s="8">
        <v>79.072000000000003</v>
      </c>
      <c r="T3419" s="8">
        <v>71.808999999999997</v>
      </c>
      <c r="U3419" s="8">
        <v>74.465999999999994</v>
      </c>
      <c r="V3419" s="8">
        <v>79.253</v>
      </c>
      <c r="W3419" s="8">
        <v>64.41</v>
      </c>
      <c r="X3419" s="8">
        <v>57.543999999999997</v>
      </c>
      <c r="Y3419" s="8">
        <v>35.131999999999998</v>
      </c>
      <c r="Z3419" s="8">
        <v>12.339</v>
      </c>
      <c r="AA3419" s="8">
        <v>6.4029999999999996</v>
      </c>
      <c r="AB3419" s="8">
        <v>1.2709999999999999</v>
      </c>
      <c r="AC3419" s="8">
        <v>0.13700000000000001</v>
      </c>
    </row>
    <row r="3420" spans="1:29" ht="11.65" hidden="1" x14ac:dyDescent="0.35">
      <c r="A3420" s="12">
        <v>3403</v>
      </c>
      <c r="B3420" s="10" t="s">
        <v>1015</v>
      </c>
      <c r="C3420" s="18" t="s">
        <v>1251</v>
      </c>
      <c r="D3420" s="9"/>
      <c r="E3420" s="9">
        <v>428</v>
      </c>
      <c r="F3420" s="10" t="s">
        <v>1066</v>
      </c>
      <c r="G3420" s="9">
        <v>924</v>
      </c>
      <c r="H3420" s="9">
        <v>2010</v>
      </c>
      <c r="I3420" s="8">
        <v>55.209000000000003</v>
      </c>
      <c r="J3420" s="8">
        <v>47.817999999999998</v>
      </c>
      <c r="K3420" s="8">
        <v>42.725999999999999</v>
      </c>
      <c r="L3420" s="8">
        <v>65.046000000000006</v>
      </c>
      <c r="M3420" s="8">
        <v>80.554000000000002</v>
      </c>
      <c r="N3420" s="8">
        <v>74.738</v>
      </c>
      <c r="O3420" s="8">
        <v>69.486999999999995</v>
      </c>
      <c r="P3420" s="8">
        <v>74.427000000000007</v>
      </c>
      <c r="Q3420" s="8">
        <v>71.978999999999999</v>
      </c>
      <c r="R3420" s="8">
        <v>81.99</v>
      </c>
      <c r="S3420" s="8">
        <v>82.605999999999995</v>
      </c>
      <c r="T3420" s="8">
        <v>74.424000000000007</v>
      </c>
      <c r="U3420" s="8">
        <v>67.09</v>
      </c>
      <c r="V3420" s="8">
        <v>69.353999999999999</v>
      </c>
      <c r="W3420" s="8">
        <v>70.879000000000005</v>
      </c>
      <c r="X3420" s="8">
        <v>53.307000000000002</v>
      </c>
      <c r="Y3420" s="8">
        <v>41.036999999999999</v>
      </c>
      <c r="Z3420" s="8">
        <v>19.568999999999999</v>
      </c>
      <c r="AA3420" s="8">
        <v>4.7350000000000003</v>
      </c>
      <c r="AB3420" s="8">
        <v>1.458</v>
      </c>
      <c r="AC3420" s="8">
        <v>0.157</v>
      </c>
    </row>
    <row r="3421" spans="1:29" ht="11.65" hidden="1" x14ac:dyDescent="0.35">
      <c r="A3421" s="12">
        <v>3404</v>
      </c>
      <c r="B3421" s="10" t="s">
        <v>1015</v>
      </c>
      <c r="C3421" s="18" t="s">
        <v>1251</v>
      </c>
      <c r="D3421" s="9"/>
      <c r="E3421" s="9">
        <v>428</v>
      </c>
      <c r="F3421" s="10" t="s">
        <v>1066</v>
      </c>
      <c r="G3421" s="9">
        <v>924</v>
      </c>
      <c r="H3421" s="9">
        <v>2015</v>
      </c>
      <c r="I3421" s="8">
        <v>48.965000000000003</v>
      </c>
      <c r="J3421" s="8">
        <v>52.226999999999997</v>
      </c>
      <c r="K3421" s="8">
        <v>45.802999999999997</v>
      </c>
      <c r="L3421" s="8">
        <v>42.280999999999999</v>
      </c>
      <c r="M3421" s="8">
        <v>60.688000000000002</v>
      </c>
      <c r="N3421" s="8">
        <v>70.894999999999996</v>
      </c>
      <c r="O3421" s="8">
        <v>66.897000000000006</v>
      </c>
      <c r="P3421" s="8">
        <v>65.040999999999997</v>
      </c>
      <c r="Q3421" s="8">
        <v>70.180999999999997</v>
      </c>
      <c r="R3421" s="8">
        <v>69.075000000000003</v>
      </c>
      <c r="S3421" s="8">
        <v>77.885999999999996</v>
      </c>
      <c r="T3421" s="8">
        <v>78.311000000000007</v>
      </c>
      <c r="U3421" s="8">
        <v>70.343999999999994</v>
      </c>
      <c r="V3421" s="8">
        <v>62.476999999999997</v>
      </c>
      <c r="W3421" s="8">
        <v>62.552</v>
      </c>
      <c r="X3421" s="8">
        <v>60.078000000000003</v>
      </c>
      <c r="Y3421" s="8">
        <v>40.308999999999997</v>
      </c>
      <c r="Z3421" s="8">
        <v>25.975000000000001</v>
      </c>
      <c r="AA3421" s="8">
        <v>9.9339999999999993</v>
      </c>
      <c r="AB3421" s="8">
        <v>1.698</v>
      </c>
      <c r="AC3421" s="8">
        <v>0.33100000000000002</v>
      </c>
    </row>
    <row r="3422" spans="1:29" ht="11.65" hidden="1" x14ac:dyDescent="0.35">
      <c r="A3422" s="12">
        <v>3405</v>
      </c>
      <c r="B3422" s="10" t="s">
        <v>1015</v>
      </c>
      <c r="C3422" s="18" t="s">
        <v>1251</v>
      </c>
      <c r="D3422" s="9"/>
      <c r="E3422" s="9">
        <v>428</v>
      </c>
      <c r="F3422" s="10" t="s">
        <v>1066</v>
      </c>
      <c r="G3422" s="9">
        <v>924</v>
      </c>
      <c r="H3422" s="9">
        <v>2020</v>
      </c>
      <c r="I3422" s="8">
        <v>54.579000000000001</v>
      </c>
      <c r="J3422" s="8">
        <v>45.018000000000001</v>
      </c>
      <c r="K3422" s="8">
        <v>49.615000000000002</v>
      </c>
      <c r="L3422" s="8">
        <v>42.712000000000003</v>
      </c>
      <c r="M3422" s="8">
        <v>33.372</v>
      </c>
      <c r="N3422" s="8">
        <v>57.396999999999998</v>
      </c>
      <c r="O3422" s="8">
        <v>69.510000000000005</v>
      </c>
      <c r="P3422" s="8">
        <v>59.545999999999999</v>
      </c>
      <c r="Q3422" s="8">
        <v>61.128999999999998</v>
      </c>
      <c r="R3422" s="8">
        <v>68.512</v>
      </c>
      <c r="S3422" s="8">
        <v>62.552999999999997</v>
      </c>
      <c r="T3422" s="8">
        <v>78.576999999999998</v>
      </c>
      <c r="U3422" s="8">
        <v>73.215000000000003</v>
      </c>
      <c r="V3422" s="8">
        <v>72.45</v>
      </c>
      <c r="W3422" s="8">
        <v>47.887999999999998</v>
      </c>
      <c r="X3422" s="8">
        <v>60.41</v>
      </c>
      <c r="Y3422" s="8">
        <v>35.036000000000001</v>
      </c>
      <c r="Z3422" s="8">
        <v>26.638000000000002</v>
      </c>
      <c r="AA3422" s="8">
        <v>14.24</v>
      </c>
      <c r="AB3422" s="8">
        <v>3.9889999999999999</v>
      </c>
      <c r="AC3422" s="8">
        <v>0.48</v>
      </c>
    </row>
    <row r="3423" spans="1:29" ht="11.65" hidden="1" x14ac:dyDescent="0.35">
      <c r="A3423" s="12">
        <v>3406</v>
      </c>
      <c r="B3423" s="10" t="s">
        <v>1015</v>
      </c>
      <c r="C3423" s="18" t="s">
        <v>1252</v>
      </c>
      <c r="D3423" s="9"/>
      <c r="E3423" s="9">
        <v>440</v>
      </c>
      <c r="F3423" s="10" t="s">
        <v>1066</v>
      </c>
      <c r="G3423" s="9">
        <v>924</v>
      </c>
      <c r="H3423" s="9">
        <v>1950</v>
      </c>
      <c r="I3423" s="8">
        <v>110.77500000000001</v>
      </c>
      <c r="J3423" s="8">
        <v>116.907</v>
      </c>
      <c r="K3423" s="8">
        <v>126.798</v>
      </c>
      <c r="L3423" s="8">
        <v>127.193</v>
      </c>
      <c r="M3423" s="8">
        <v>128.47800000000001</v>
      </c>
      <c r="N3423" s="8">
        <v>106.127</v>
      </c>
      <c r="O3423" s="8">
        <v>68.641999999999996</v>
      </c>
      <c r="P3423" s="8">
        <v>92.081000000000003</v>
      </c>
      <c r="Q3423" s="8">
        <v>94.653000000000006</v>
      </c>
      <c r="R3423" s="8">
        <v>89.808000000000007</v>
      </c>
      <c r="S3423" s="8">
        <v>74.575000000000003</v>
      </c>
      <c r="T3423" s="8">
        <v>59.442</v>
      </c>
      <c r="U3423" s="8">
        <v>60.432000000000002</v>
      </c>
      <c r="V3423" s="8">
        <v>52.222000000000001</v>
      </c>
      <c r="W3423" s="8">
        <v>42.432000000000002</v>
      </c>
      <c r="X3423" s="8">
        <v>32.145000000000003</v>
      </c>
      <c r="Y3423" s="8">
        <v>17.045999999999999</v>
      </c>
      <c r="Z3423" s="8">
        <v>7.2839999999999998</v>
      </c>
      <c r="AA3423" s="8">
        <v>2.0169999999999999</v>
      </c>
      <c r="AB3423" s="8">
        <v>0.32600000000000001</v>
      </c>
      <c r="AC3423" s="8">
        <v>2.9000000000000001E-2</v>
      </c>
    </row>
    <row r="3424" spans="1:29" ht="11.65" hidden="1" x14ac:dyDescent="0.35">
      <c r="A3424" s="12">
        <v>3407</v>
      </c>
      <c r="B3424" s="10" t="s">
        <v>1015</v>
      </c>
      <c r="C3424" s="18" t="s">
        <v>1252</v>
      </c>
      <c r="D3424" s="9"/>
      <c r="E3424" s="9">
        <v>440</v>
      </c>
      <c r="F3424" s="10" t="s">
        <v>1066</v>
      </c>
      <c r="G3424" s="9">
        <v>924</v>
      </c>
      <c r="H3424" s="9">
        <v>1955</v>
      </c>
      <c r="I3424" s="8">
        <v>129.547</v>
      </c>
      <c r="J3424" s="8">
        <v>106.92100000000001</v>
      </c>
      <c r="K3424" s="8">
        <v>113.622</v>
      </c>
      <c r="L3424" s="8">
        <v>123.32299999999999</v>
      </c>
      <c r="M3424" s="8">
        <v>123.322</v>
      </c>
      <c r="N3424" s="8">
        <v>124.423</v>
      </c>
      <c r="O3424" s="8">
        <v>102.62</v>
      </c>
      <c r="P3424" s="8">
        <v>65.813000000000002</v>
      </c>
      <c r="Q3424" s="8">
        <v>88.516999999999996</v>
      </c>
      <c r="R3424" s="8">
        <v>90.417000000000002</v>
      </c>
      <c r="S3424" s="8">
        <v>84.915999999999997</v>
      </c>
      <c r="T3424" s="8">
        <v>69.412999999999997</v>
      </c>
      <c r="U3424" s="8">
        <v>53.908999999999999</v>
      </c>
      <c r="V3424" s="8">
        <v>52.51</v>
      </c>
      <c r="W3424" s="8">
        <v>42.107999999999997</v>
      </c>
      <c r="X3424" s="8">
        <v>30.204000000000001</v>
      </c>
      <c r="Y3424" s="8">
        <v>14.49</v>
      </c>
      <c r="Z3424" s="8">
        <v>9.1750000000000007</v>
      </c>
      <c r="AA3424" s="8">
        <v>3.0350000000000001</v>
      </c>
      <c r="AB3424" s="8">
        <v>0.56000000000000005</v>
      </c>
      <c r="AC3424" s="8">
        <v>5.1999999999999998E-2</v>
      </c>
    </row>
    <row r="3425" spans="1:29" ht="11.65" hidden="1" x14ac:dyDescent="0.35">
      <c r="A3425" s="12">
        <v>3408</v>
      </c>
      <c r="B3425" s="10" t="s">
        <v>1015</v>
      </c>
      <c r="C3425" s="18" t="s">
        <v>1252</v>
      </c>
      <c r="D3425" s="9"/>
      <c r="E3425" s="9">
        <v>440</v>
      </c>
      <c r="F3425" s="10" t="s">
        <v>1066</v>
      </c>
      <c r="G3425" s="9">
        <v>924</v>
      </c>
      <c r="H3425" s="9">
        <v>1960</v>
      </c>
      <c r="I3425" s="8">
        <v>135.89599999999999</v>
      </c>
      <c r="J3425" s="8">
        <v>120.65600000000001</v>
      </c>
      <c r="K3425" s="8">
        <v>113.831</v>
      </c>
      <c r="L3425" s="8">
        <v>117.06699999999999</v>
      </c>
      <c r="M3425" s="8">
        <v>121.86499999999999</v>
      </c>
      <c r="N3425" s="8">
        <v>125.76300000000001</v>
      </c>
      <c r="O3425" s="8">
        <v>126.867</v>
      </c>
      <c r="P3425" s="8">
        <v>106.295</v>
      </c>
      <c r="Q3425" s="8">
        <v>69.611000000000004</v>
      </c>
      <c r="R3425" s="8">
        <v>83.915999999999997</v>
      </c>
      <c r="S3425" s="8">
        <v>84.74</v>
      </c>
      <c r="T3425" s="8">
        <v>79.911000000000001</v>
      </c>
      <c r="U3425" s="8">
        <v>68.259</v>
      </c>
      <c r="V3425" s="8">
        <v>51.790999999999997</v>
      </c>
      <c r="W3425" s="8">
        <v>40.332999999999998</v>
      </c>
      <c r="X3425" s="8">
        <v>23.864000000000001</v>
      </c>
      <c r="Y3425" s="8">
        <v>9.4960000000000004</v>
      </c>
      <c r="Z3425" s="8">
        <v>7.9370000000000003</v>
      </c>
      <c r="AA3425" s="8">
        <v>3.9119999999999999</v>
      </c>
      <c r="AB3425" s="8">
        <v>0.86899999999999999</v>
      </c>
      <c r="AC3425" s="8">
        <v>9.2999999999999999E-2</v>
      </c>
    </row>
    <row r="3426" spans="1:29" ht="11.65" hidden="1" x14ac:dyDescent="0.35">
      <c r="A3426" s="12">
        <v>3409</v>
      </c>
      <c r="B3426" s="10" t="s">
        <v>1015</v>
      </c>
      <c r="C3426" s="18" t="s">
        <v>1252</v>
      </c>
      <c r="D3426" s="9"/>
      <c r="E3426" s="9">
        <v>440</v>
      </c>
      <c r="F3426" s="10" t="s">
        <v>1066</v>
      </c>
      <c r="G3426" s="9">
        <v>924</v>
      </c>
      <c r="H3426" s="9">
        <v>1965</v>
      </c>
      <c r="I3426" s="8">
        <v>140.27600000000001</v>
      </c>
      <c r="J3426" s="8">
        <v>138.815</v>
      </c>
      <c r="K3426" s="8">
        <v>118.503</v>
      </c>
      <c r="L3426" s="8">
        <v>111.087</v>
      </c>
      <c r="M3426" s="8">
        <v>115.872</v>
      </c>
      <c r="N3426" s="8">
        <v>122.812</v>
      </c>
      <c r="O3426" s="8">
        <v>124.907</v>
      </c>
      <c r="P3426" s="8">
        <v>126.099</v>
      </c>
      <c r="Q3426" s="8">
        <v>105.581</v>
      </c>
      <c r="R3426" s="8">
        <v>68.322000000000003</v>
      </c>
      <c r="S3426" s="8">
        <v>83.48</v>
      </c>
      <c r="T3426" s="8">
        <v>84.745000000000005</v>
      </c>
      <c r="U3426" s="8">
        <v>76.716999999999999</v>
      </c>
      <c r="V3426" s="8">
        <v>63.014000000000003</v>
      </c>
      <c r="W3426" s="8">
        <v>43.860999999999997</v>
      </c>
      <c r="X3426" s="8">
        <v>32.332999999999998</v>
      </c>
      <c r="Y3426" s="8">
        <v>17.837</v>
      </c>
      <c r="Z3426" s="8">
        <v>5.2249999999999996</v>
      </c>
      <c r="AA3426" s="8">
        <v>3.387</v>
      </c>
      <c r="AB3426" s="8">
        <v>1.2190000000000001</v>
      </c>
      <c r="AC3426" s="8">
        <v>0.187</v>
      </c>
    </row>
    <row r="3427" spans="1:29" ht="11.65" hidden="1" x14ac:dyDescent="0.35">
      <c r="A3427" s="12">
        <v>3410</v>
      </c>
      <c r="B3427" s="10" t="s">
        <v>1015</v>
      </c>
      <c r="C3427" s="18" t="s">
        <v>1252</v>
      </c>
      <c r="D3427" s="9"/>
      <c r="E3427" s="9">
        <v>440</v>
      </c>
      <c r="F3427" s="10" t="s">
        <v>1066</v>
      </c>
      <c r="G3427" s="9">
        <v>924</v>
      </c>
      <c r="H3427" s="9">
        <v>1970</v>
      </c>
      <c r="I3427" s="8">
        <v>131.655</v>
      </c>
      <c r="J3427" s="8">
        <v>143.61699999999999</v>
      </c>
      <c r="K3427" s="8">
        <v>141.58000000000001</v>
      </c>
      <c r="L3427" s="8">
        <v>116.83199999999999</v>
      </c>
      <c r="M3427" s="8">
        <v>109.096</v>
      </c>
      <c r="N3427" s="8">
        <v>114.967</v>
      </c>
      <c r="O3427" s="8">
        <v>123.837</v>
      </c>
      <c r="P3427" s="8">
        <v>124.004</v>
      </c>
      <c r="Q3427" s="8">
        <v>125.04900000000001</v>
      </c>
      <c r="R3427" s="8">
        <v>104.643</v>
      </c>
      <c r="S3427" s="8">
        <v>66.790000000000006</v>
      </c>
      <c r="T3427" s="8">
        <v>82.242000000000004</v>
      </c>
      <c r="U3427" s="8">
        <v>83.338999999999999</v>
      </c>
      <c r="V3427" s="8">
        <v>71.694999999999993</v>
      </c>
      <c r="W3427" s="8">
        <v>55.247999999999998</v>
      </c>
      <c r="X3427" s="8">
        <v>33.503999999999998</v>
      </c>
      <c r="Y3427" s="8">
        <v>23.498000000000001</v>
      </c>
      <c r="Z3427" s="8">
        <v>10.105</v>
      </c>
      <c r="AA3427" s="8">
        <v>2.2759999999999998</v>
      </c>
      <c r="AB3427" s="8">
        <v>1.0609999999999999</v>
      </c>
      <c r="AC3427" s="8">
        <v>0.26800000000000002</v>
      </c>
    </row>
    <row r="3428" spans="1:29" ht="11.65" hidden="1" x14ac:dyDescent="0.35">
      <c r="A3428" s="12">
        <v>3411</v>
      </c>
      <c r="B3428" s="10" t="s">
        <v>1015</v>
      </c>
      <c r="C3428" s="18" t="s">
        <v>1252</v>
      </c>
      <c r="D3428" s="9"/>
      <c r="E3428" s="9">
        <v>440</v>
      </c>
      <c r="F3428" s="10" t="s">
        <v>1066</v>
      </c>
      <c r="G3428" s="9">
        <v>924</v>
      </c>
      <c r="H3428" s="9">
        <v>1975</v>
      </c>
      <c r="I3428" s="8">
        <v>130.70500000000001</v>
      </c>
      <c r="J3428" s="8">
        <v>132.89500000000001</v>
      </c>
      <c r="K3428" s="8">
        <v>142.55799999999999</v>
      </c>
      <c r="L3428" s="8">
        <v>138.679</v>
      </c>
      <c r="M3428" s="8">
        <v>120.086</v>
      </c>
      <c r="N3428" s="8">
        <v>113.807</v>
      </c>
      <c r="O3428" s="8">
        <v>116.943</v>
      </c>
      <c r="P3428" s="8">
        <v>124.70399999999999</v>
      </c>
      <c r="Q3428" s="8">
        <v>123.512</v>
      </c>
      <c r="R3428" s="8">
        <v>122.819</v>
      </c>
      <c r="S3428" s="8">
        <v>104.815</v>
      </c>
      <c r="T3428" s="8">
        <v>66.391999999999996</v>
      </c>
      <c r="U3428" s="8">
        <v>79.513999999999996</v>
      </c>
      <c r="V3428" s="8">
        <v>77.728999999999999</v>
      </c>
      <c r="W3428" s="8">
        <v>63.320999999999998</v>
      </c>
      <c r="X3428" s="8">
        <v>43.585999999999999</v>
      </c>
      <c r="Y3428" s="8">
        <v>25.395</v>
      </c>
      <c r="Z3428" s="8">
        <v>13.381</v>
      </c>
      <c r="AA3428" s="8">
        <v>4.4189999999999996</v>
      </c>
      <c r="AB3428" s="8">
        <v>0.71199999999999997</v>
      </c>
      <c r="AC3428" s="8">
        <v>0.254</v>
      </c>
    </row>
    <row r="3429" spans="1:29" ht="11.65" hidden="1" x14ac:dyDescent="0.35">
      <c r="A3429" s="12">
        <v>3412</v>
      </c>
      <c r="B3429" s="10" t="s">
        <v>1015</v>
      </c>
      <c r="C3429" s="18" t="s">
        <v>1252</v>
      </c>
      <c r="D3429" s="9"/>
      <c r="E3429" s="9">
        <v>440</v>
      </c>
      <c r="F3429" s="10" t="s">
        <v>1066</v>
      </c>
      <c r="G3429" s="9">
        <v>924</v>
      </c>
      <c r="H3429" s="9">
        <v>1980</v>
      </c>
      <c r="I3429" s="8">
        <v>126.434</v>
      </c>
      <c r="J3429" s="8">
        <v>133.25200000000001</v>
      </c>
      <c r="K3429" s="8">
        <v>133.892</v>
      </c>
      <c r="L3429" s="8">
        <v>142.75700000000001</v>
      </c>
      <c r="M3429" s="8">
        <v>138.352</v>
      </c>
      <c r="N3429" s="8">
        <v>123.03</v>
      </c>
      <c r="O3429" s="8">
        <v>117.18600000000001</v>
      </c>
      <c r="P3429" s="8">
        <v>118.035</v>
      </c>
      <c r="Q3429" s="8">
        <v>124.523</v>
      </c>
      <c r="R3429" s="8">
        <v>122.282</v>
      </c>
      <c r="S3429" s="8">
        <v>120.21599999999999</v>
      </c>
      <c r="T3429" s="8">
        <v>103.44199999999999</v>
      </c>
      <c r="U3429" s="8">
        <v>64.367999999999995</v>
      </c>
      <c r="V3429" s="8">
        <v>74.468000000000004</v>
      </c>
      <c r="W3429" s="8">
        <v>68.799000000000007</v>
      </c>
      <c r="X3429" s="8">
        <v>50.938000000000002</v>
      </c>
      <c r="Y3429" s="8">
        <v>30.081</v>
      </c>
      <c r="Z3429" s="8">
        <v>14.1</v>
      </c>
      <c r="AA3429" s="8">
        <v>5.8019999999999996</v>
      </c>
      <c r="AB3429" s="8">
        <v>1.4330000000000001</v>
      </c>
      <c r="AC3429" s="8">
        <v>0.19900000000000001</v>
      </c>
    </row>
    <row r="3430" spans="1:29" ht="11.65" hidden="1" x14ac:dyDescent="0.35">
      <c r="A3430" s="12">
        <v>3413</v>
      </c>
      <c r="B3430" s="10" t="s">
        <v>1015</v>
      </c>
      <c r="C3430" s="18" t="s">
        <v>1252</v>
      </c>
      <c r="D3430" s="9"/>
      <c r="E3430" s="9">
        <v>440</v>
      </c>
      <c r="F3430" s="10" t="s">
        <v>1066</v>
      </c>
      <c r="G3430" s="9">
        <v>924</v>
      </c>
      <c r="H3430" s="9">
        <v>1985</v>
      </c>
      <c r="I3430" s="8">
        <v>134.99299999999999</v>
      </c>
      <c r="J3430" s="8">
        <v>128.91800000000001</v>
      </c>
      <c r="K3430" s="8">
        <v>134.28100000000001</v>
      </c>
      <c r="L3430" s="8">
        <v>133.79</v>
      </c>
      <c r="M3430" s="8">
        <v>146.35</v>
      </c>
      <c r="N3430" s="8">
        <v>144.09700000000001</v>
      </c>
      <c r="O3430" s="8">
        <v>124.953</v>
      </c>
      <c r="P3430" s="8">
        <v>117.224</v>
      </c>
      <c r="Q3430" s="8">
        <v>117.053</v>
      </c>
      <c r="R3430" s="8">
        <v>122.16800000000001</v>
      </c>
      <c r="S3430" s="8">
        <v>120.113</v>
      </c>
      <c r="T3430" s="8">
        <v>117.748</v>
      </c>
      <c r="U3430" s="8">
        <v>99.228999999999999</v>
      </c>
      <c r="V3430" s="8">
        <v>59.435000000000002</v>
      </c>
      <c r="W3430" s="8">
        <v>65.918000000000006</v>
      </c>
      <c r="X3430" s="8">
        <v>55.421999999999997</v>
      </c>
      <c r="Y3430" s="8">
        <v>33.71</v>
      </c>
      <c r="Z3430" s="8">
        <v>16.646000000000001</v>
      </c>
      <c r="AA3430" s="8">
        <v>6.085</v>
      </c>
      <c r="AB3430" s="8">
        <v>1.8839999999999999</v>
      </c>
      <c r="AC3430" s="8">
        <v>0.33500000000000002</v>
      </c>
    </row>
    <row r="3431" spans="1:29" ht="11.65" hidden="1" x14ac:dyDescent="0.35">
      <c r="A3431" s="12">
        <v>3414</v>
      </c>
      <c r="B3431" s="10" t="s">
        <v>1015</v>
      </c>
      <c r="C3431" s="18" t="s">
        <v>1252</v>
      </c>
      <c r="D3431" s="9"/>
      <c r="E3431" s="9">
        <v>440</v>
      </c>
      <c r="F3431" s="10" t="s">
        <v>1066</v>
      </c>
      <c r="G3431" s="9">
        <v>924</v>
      </c>
      <c r="H3431" s="9">
        <v>1990</v>
      </c>
      <c r="I3431" s="8">
        <v>141.52199999999999</v>
      </c>
      <c r="J3431" s="8">
        <v>138.053</v>
      </c>
      <c r="K3431" s="8">
        <v>130.14500000000001</v>
      </c>
      <c r="L3431" s="8">
        <v>135.30500000000001</v>
      </c>
      <c r="M3431" s="8">
        <v>134.78200000000001</v>
      </c>
      <c r="N3431" s="8">
        <v>149.03800000000001</v>
      </c>
      <c r="O3431" s="8">
        <v>147.53899999999999</v>
      </c>
      <c r="P3431" s="8">
        <v>125.34699999999999</v>
      </c>
      <c r="Q3431" s="8">
        <v>116.27500000000001</v>
      </c>
      <c r="R3431" s="8">
        <v>115.386</v>
      </c>
      <c r="S3431" s="8">
        <v>119.379</v>
      </c>
      <c r="T3431" s="8">
        <v>116.958</v>
      </c>
      <c r="U3431" s="8">
        <v>113.46599999999999</v>
      </c>
      <c r="V3431" s="8">
        <v>92.897000000000006</v>
      </c>
      <c r="W3431" s="8">
        <v>52.564</v>
      </c>
      <c r="X3431" s="8">
        <v>53.51</v>
      </c>
      <c r="Y3431" s="8">
        <v>37.899000000000001</v>
      </c>
      <c r="Z3431" s="8">
        <v>18.312999999999999</v>
      </c>
      <c r="AA3431" s="8">
        <v>6.609</v>
      </c>
      <c r="AB3431" s="8">
        <v>1.712</v>
      </c>
      <c r="AC3431" s="8">
        <v>0.38400000000000001</v>
      </c>
    </row>
    <row r="3432" spans="1:29" ht="11.65" hidden="1" x14ac:dyDescent="0.35">
      <c r="A3432" s="12">
        <v>3415</v>
      </c>
      <c r="B3432" s="10" t="s">
        <v>1015</v>
      </c>
      <c r="C3432" s="18" t="s">
        <v>1252</v>
      </c>
      <c r="D3432" s="9"/>
      <c r="E3432" s="9">
        <v>440</v>
      </c>
      <c r="F3432" s="10" t="s">
        <v>1066</v>
      </c>
      <c r="G3432" s="9">
        <v>924</v>
      </c>
      <c r="H3432" s="9">
        <v>1995</v>
      </c>
      <c r="I3432" s="8">
        <v>117.797</v>
      </c>
      <c r="J3432" s="8">
        <v>136.292</v>
      </c>
      <c r="K3432" s="8">
        <v>132.47</v>
      </c>
      <c r="L3432" s="8">
        <v>125.434</v>
      </c>
      <c r="M3432" s="8">
        <v>131.79</v>
      </c>
      <c r="N3432" s="8">
        <v>131.75700000000001</v>
      </c>
      <c r="O3432" s="8">
        <v>143.90899999999999</v>
      </c>
      <c r="P3432" s="8">
        <v>140.89500000000001</v>
      </c>
      <c r="Q3432" s="8">
        <v>119.264</v>
      </c>
      <c r="R3432" s="8">
        <v>110.65900000000001</v>
      </c>
      <c r="S3432" s="8">
        <v>110.71899999999999</v>
      </c>
      <c r="T3432" s="8">
        <v>113.718</v>
      </c>
      <c r="U3432" s="8">
        <v>109.86799999999999</v>
      </c>
      <c r="V3432" s="8">
        <v>103.916</v>
      </c>
      <c r="W3432" s="8">
        <v>81.52</v>
      </c>
      <c r="X3432" s="8">
        <v>42.372999999999998</v>
      </c>
      <c r="Y3432" s="8">
        <v>35.924999999999997</v>
      </c>
      <c r="Z3432" s="8">
        <v>20.454999999999998</v>
      </c>
      <c r="AA3432" s="8">
        <v>7.0369999999999999</v>
      </c>
      <c r="AB3432" s="8">
        <v>1.6850000000000001</v>
      </c>
      <c r="AC3432" s="8">
        <v>0.3</v>
      </c>
    </row>
    <row r="3433" spans="1:29" ht="11.65" hidden="1" x14ac:dyDescent="0.35">
      <c r="A3433" s="12">
        <v>3416</v>
      </c>
      <c r="B3433" s="10" t="s">
        <v>1015</v>
      </c>
      <c r="C3433" s="18" t="s">
        <v>1252</v>
      </c>
      <c r="D3433" s="9"/>
      <c r="E3433" s="9">
        <v>440</v>
      </c>
      <c r="F3433" s="10" t="s">
        <v>1066</v>
      </c>
      <c r="G3433" s="9">
        <v>924</v>
      </c>
      <c r="H3433" s="9">
        <v>2000</v>
      </c>
      <c r="I3433" s="8">
        <v>88.668000000000006</v>
      </c>
      <c r="J3433" s="8">
        <v>118.21899999999999</v>
      </c>
      <c r="K3433" s="8">
        <v>135.892</v>
      </c>
      <c r="L3433" s="8">
        <v>127.845</v>
      </c>
      <c r="M3433" s="8">
        <v>115.702</v>
      </c>
      <c r="N3433" s="8">
        <v>124.56100000000001</v>
      </c>
      <c r="O3433" s="8">
        <v>126.405</v>
      </c>
      <c r="P3433" s="8">
        <v>142.001</v>
      </c>
      <c r="Q3433" s="8">
        <v>133.708</v>
      </c>
      <c r="R3433" s="8">
        <v>113.675</v>
      </c>
      <c r="S3433" s="8">
        <v>103.45699999999999</v>
      </c>
      <c r="T3433" s="8">
        <v>104.754</v>
      </c>
      <c r="U3433" s="8">
        <v>107.504</v>
      </c>
      <c r="V3433" s="8">
        <v>101.062</v>
      </c>
      <c r="W3433" s="8">
        <v>92.909000000000006</v>
      </c>
      <c r="X3433" s="8">
        <v>67.701999999999998</v>
      </c>
      <c r="Y3433" s="8">
        <v>29.99</v>
      </c>
      <c r="Z3433" s="8">
        <v>19.596</v>
      </c>
      <c r="AA3433" s="8">
        <v>7.492</v>
      </c>
      <c r="AB3433" s="8">
        <v>1.5049999999999999</v>
      </c>
      <c r="AC3433" s="8">
        <v>0.21</v>
      </c>
    </row>
    <row r="3434" spans="1:29" ht="11.65" hidden="1" x14ac:dyDescent="0.35">
      <c r="A3434" s="12">
        <v>3417</v>
      </c>
      <c r="B3434" s="10" t="s">
        <v>1015</v>
      </c>
      <c r="C3434" s="18" t="s">
        <v>1252</v>
      </c>
      <c r="D3434" s="9"/>
      <c r="E3434" s="9">
        <v>440</v>
      </c>
      <c r="F3434" s="10" t="s">
        <v>1066</v>
      </c>
      <c r="G3434" s="9">
        <v>924</v>
      </c>
      <c r="H3434" s="9">
        <v>2005</v>
      </c>
      <c r="I3434" s="8">
        <v>71.715999999999994</v>
      </c>
      <c r="J3434" s="8">
        <v>86.454999999999998</v>
      </c>
      <c r="K3434" s="8">
        <v>115.062</v>
      </c>
      <c r="L3434" s="8">
        <v>126.83499999999999</v>
      </c>
      <c r="M3434" s="8">
        <v>117.742</v>
      </c>
      <c r="N3434" s="8">
        <v>107.601</v>
      </c>
      <c r="O3434" s="8">
        <v>118.149</v>
      </c>
      <c r="P3434" s="8">
        <v>121.129</v>
      </c>
      <c r="Q3434" s="8">
        <v>137.11199999999999</v>
      </c>
      <c r="R3434" s="8">
        <v>128.72800000000001</v>
      </c>
      <c r="S3434" s="8">
        <v>108.63200000000001</v>
      </c>
      <c r="T3434" s="8">
        <v>98.828999999999994</v>
      </c>
      <c r="U3434" s="8">
        <v>99.718999999999994</v>
      </c>
      <c r="V3434" s="8">
        <v>103.21599999999999</v>
      </c>
      <c r="W3434" s="8">
        <v>93.415000000000006</v>
      </c>
      <c r="X3434" s="8">
        <v>79.364000000000004</v>
      </c>
      <c r="Y3434" s="8">
        <v>50.25</v>
      </c>
      <c r="Z3434" s="8">
        <v>17.09</v>
      </c>
      <c r="AA3434" s="8">
        <v>7.7140000000000004</v>
      </c>
      <c r="AB3434" s="8">
        <v>1.738</v>
      </c>
      <c r="AC3434" s="8">
        <v>0.19</v>
      </c>
    </row>
    <row r="3435" spans="1:29" ht="11.65" hidden="1" x14ac:dyDescent="0.35">
      <c r="A3435" s="12">
        <v>3418</v>
      </c>
      <c r="B3435" s="10" t="s">
        <v>1015</v>
      </c>
      <c r="C3435" s="18" t="s">
        <v>1252</v>
      </c>
      <c r="D3435" s="9"/>
      <c r="E3435" s="9">
        <v>440</v>
      </c>
      <c r="F3435" s="10" t="s">
        <v>1066</v>
      </c>
      <c r="G3435" s="9">
        <v>924</v>
      </c>
      <c r="H3435" s="9">
        <v>2010</v>
      </c>
      <c r="I3435" s="8">
        <v>72.116</v>
      </c>
      <c r="J3435" s="8">
        <v>68.474999999999994</v>
      </c>
      <c r="K3435" s="8">
        <v>84.078000000000003</v>
      </c>
      <c r="L3435" s="8">
        <v>110.694</v>
      </c>
      <c r="M3435" s="8">
        <v>113.139</v>
      </c>
      <c r="N3435" s="8">
        <v>101.76</v>
      </c>
      <c r="O3435" s="8">
        <v>99.867000000000004</v>
      </c>
      <c r="P3435" s="8">
        <v>110.95099999999999</v>
      </c>
      <c r="Q3435" s="8">
        <v>114.331</v>
      </c>
      <c r="R3435" s="8">
        <v>131.18</v>
      </c>
      <c r="S3435" s="8">
        <v>123.10299999999999</v>
      </c>
      <c r="T3435" s="8">
        <v>102.967</v>
      </c>
      <c r="U3435" s="8">
        <v>92.418999999999997</v>
      </c>
      <c r="V3435" s="8">
        <v>91.881</v>
      </c>
      <c r="W3435" s="8">
        <v>93.436000000000007</v>
      </c>
      <c r="X3435" s="8">
        <v>79.465000000000003</v>
      </c>
      <c r="Y3435" s="8">
        <v>58.604999999999997</v>
      </c>
      <c r="Z3435" s="8">
        <v>28.61</v>
      </c>
      <c r="AA3435" s="8">
        <v>6.7610000000000001</v>
      </c>
      <c r="AB3435" s="8">
        <v>1.8160000000000001</v>
      </c>
      <c r="AC3435" s="8">
        <v>0.217</v>
      </c>
    </row>
    <row r="3436" spans="1:29" ht="11.65" hidden="1" x14ac:dyDescent="0.35">
      <c r="A3436" s="12">
        <v>3419</v>
      </c>
      <c r="B3436" s="10" t="s">
        <v>1015</v>
      </c>
      <c r="C3436" s="18" t="s">
        <v>1252</v>
      </c>
      <c r="D3436" s="9"/>
      <c r="E3436" s="9">
        <v>440</v>
      </c>
      <c r="F3436" s="10" t="s">
        <v>1066</v>
      </c>
      <c r="G3436" s="9">
        <v>924</v>
      </c>
      <c r="H3436" s="9">
        <v>2015</v>
      </c>
      <c r="I3436" s="8">
        <v>73.813000000000002</v>
      </c>
      <c r="J3436" s="8">
        <v>67.878</v>
      </c>
      <c r="K3436" s="8">
        <v>67.091999999999999</v>
      </c>
      <c r="L3436" s="8">
        <v>82.432000000000002</v>
      </c>
      <c r="M3436" s="8">
        <v>100.15600000000001</v>
      </c>
      <c r="N3436" s="8">
        <v>95.174000000000007</v>
      </c>
      <c r="O3436" s="8">
        <v>88.382999999999996</v>
      </c>
      <c r="P3436" s="8">
        <v>91.284000000000006</v>
      </c>
      <c r="Q3436" s="8">
        <v>104.351</v>
      </c>
      <c r="R3436" s="8">
        <v>108.858</v>
      </c>
      <c r="S3436" s="8">
        <v>123.286</v>
      </c>
      <c r="T3436" s="8">
        <v>116.357</v>
      </c>
      <c r="U3436" s="8">
        <v>97.954999999999998</v>
      </c>
      <c r="V3436" s="8">
        <v>87.025000000000006</v>
      </c>
      <c r="W3436" s="8">
        <v>84.352000000000004</v>
      </c>
      <c r="X3436" s="8">
        <v>81.658000000000001</v>
      </c>
      <c r="Y3436" s="8">
        <v>62.131999999999998</v>
      </c>
      <c r="Z3436" s="8">
        <v>35.637</v>
      </c>
      <c r="AA3436" s="8">
        <v>12.068</v>
      </c>
      <c r="AB3436" s="8">
        <v>1.6259999999999999</v>
      </c>
      <c r="AC3436" s="8">
        <v>0.218</v>
      </c>
    </row>
    <row r="3437" spans="1:29" ht="11.65" hidden="1" x14ac:dyDescent="0.35">
      <c r="A3437" s="12">
        <v>3420</v>
      </c>
      <c r="B3437" s="10" t="s">
        <v>1015</v>
      </c>
      <c r="C3437" s="18" t="s">
        <v>1252</v>
      </c>
      <c r="D3437" s="9"/>
      <c r="E3437" s="9">
        <v>440</v>
      </c>
      <c r="F3437" s="10" t="s">
        <v>1066</v>
      </c>
      <c r="G3437" s="9">
        <v>924</v>
      </c>
      <c r="H3437" s="9">
        <v>2020</v>
      </c>
      <c r="I3437" s="8">
        <v>70.376000000000005</v>
      </c>
      <c r="J3437" s="8">
        <v>75.414000000000001</v>
      </c>
      <c r="K3437" s="8">
        <v>59.154000000000003</v>
      </c>
      <c r="L3437" s="8">
        <v>59.115000000000002</v>
      </c>
      <c r="M3437" s="8">
        <v>65.191999999999993</v>
      </c>
      <c r="N3437" s="8">
        <v>87.266000000000005</v>
      </c>
      <c r="O3437" s="8">
        <v>89.53</v>
      </c>
      <c r="P3437" s="8">
        <v>73.018000000000001</v>
      </c>
      <c r="Q3437" s="8">
        <v>81.052000000000007</v>
      </c>
      <c r="R3437" s="8">
        <v>100.556</v>
      </c>
      <c r="S3437" s="8">
        <v>96.837999999999994</v>
      </c>
      <c r="T3437" s="8">
        <v>127.997</v>
      </c>
      <c r="U3437" s="8">
        <v>105.453</v>
      </c>
      <c r="V3437" s="8">
        <v>99.980999999999995</v>
      </c>
      <c r="W3437" s="8">
        <v>69.855999999999995</v>
      </c>
      <c r="X3437" s="8">
        <v>77.646000000000001</v>
      </c>
      <c r="Y3437" s="8">
        <v>55.337000000000003</v>
      </c>
      <c r="Z3437" s="8">
        <v>42.103999999999999</v>
      </c>
      <c r="AA3437" s="8">
        <v>20.678999999999998</v>
      </c>
      <c r="AB3437" s="8">
        <v>5.2590000000000003</v>
      </c>
      <c r="AC3437" s="8">
        <v>0.48099999999999998</v>
      </c>
    </row>
    <row r="3438" spans="1:29" ht="11.65" hidden="1" x14ac:dyDescent="0.35">
      <c r="A3438" s="12">
        <v>3421</v>
      </c>
      <c r="B3438" s="10" t="s">
        <v>1015</v>
      </c>
      <c r="C3438" s="18" t="s">
        <v>1253</v>
      </c>
      <c r="D3438" s="9">
        <v>23</v>
      </c>
      <c r="E3438" s="9">
        <v>578</v>
      </c>
      <c r="F3438" s="10" t="s">
        <v>1066</v>
      </c>
      <c r="G3438" s="9">
        <v>924</v>
      </c>
      <c r="H3438" s="9">
        <v>1950</v>
      </c>
      <c r="I3438" s="8">
        <v>155.227</v>
      </c>
      <c r="J3438" s="8">
        <v>127.316</v>
      </c>
      <c r="K3438" s="8">
        <v>103.428</v>
      </c>
      <c r="L3438" s="8">
        <v>101.736</v>
      </c>
      <c r="M3438" s="8">
        <v>113.262</v>
      </c>
      <c r="N3438" s="8">
        <v>132.37899999999999</v>
      </c>
      <c r="O3438" s="8">
        <v>129.63499999999999</v>
      </c>
      <c r="P3438" s="8">
        <v>124.39</v>
      </c>
      <c r="Q3438" s="8">
        <v>116.85599999999999</v>
      </c>
      <c r="R3438" s="8">
        <v>110.624</v>
      </c>
      <c r="S3438" s="8">
        <v>101.959</v>
      </c>
      <c r="T3438" s="8">
        <v>85.552999999999997</v>
      </c>
      <c r="U3438" s="8">
        <v>71.753</v>
      </c>
      <c r="V3438" s="8">
        <v>58.587000000000003</v>
      </c>
      <c r="W3438" s="8">
        <v>48.69</v>
      </c>
      <c r="X3438" s="8">
        <v>33.048999999999999</v>
      </c>
      <c r="Y3438" s="8">
        <v>20.161999999999999</v>
      </c>
      <c r="Z3438" s="8">
        <v>9.4250000000000007</v>
      </c>
      <c r="AA3438" s="8">
        <v>2.7530000000000001</v>
      </c>
      <c r="AB3438" s="8">
        <v>0.51</v>
      </c>
      <c r="AC3438" s="8">
        <v>2.8000000000000001E-2</v>
      </c>
    </row>
    <row r="3439" spans="1:29" ht="11.65" hidden="1" x14ac:dyDescent="0.35">
      <c r="A3439" s="12">
        <v>3422</v>
      </c>
      <c r="B3439" s="10" t="s">
        <v>1015</v>
      </c>
      <c r="C3439" s="18" t="s">
        <v>1253</v>
      </c>
      <c r="D3439" s="9">
        <v>23</v>
      </c>
      <c r="E3439" s="9">
        <v>578</v>
      </c>
      <c r="F3439" s="10" t="s">
        <v>1066</v>
      </c>
      <c r="G3439" s="9">
        <v>924</v>
      </c>
      <c r="H3439" s="9">
        <v>1955</v>
      </c>
      <c r="I3439" s="8">
        <v>147.93100000000001</v>
      </c>
      <c r="J3439" s="8">
        <v>154.48099999999999</v>
      </c>
      <c r="K3439" s="8">
        <v>125.562</v>
      </c>
      <c r="L3439" s="8">
        <v>103.17400000000001</v>
      </c>
      <c r="M3439" s="8">
        <v>100.53</v>
      </c>
      <c r="N3439" s="8">
        <v>112.02200000000001</v>
      </c>
      <c r="O3439" s="8">
        <v>130.797</v>
      </c>
      <c r="P3439" s="8">
        <v>127.785</v>
      </c>
      <c r="Q3439" s="8">
        <v>123.086</v>
      </c>
      <c r="R3439" s="8">
        <v>115.377</v>
      </c>
      <c r="S3439" s="8">
        <v>108.346</v>
      </c>
      <c r="T3439" s="8">
        <v>98.962000000000003</v>
      </c>
      <c r="U3439" s="8">
        <v>81.954999999999998</v>
      </c>
      <c r="V3439" s="8">
        <v>66.879000000000005</v>
      </c>
      <c r="W3439" s="8">
        <v>52.183</v>
      </c>
      <c r="X3439" s="8">
        <v>38.481000000000002</v>
      </c>
      <c r="Y3439" s="8">
        <v>22.402000000000001</v>
      </c>
      <c r="Z3439" s="8">
        <v>10.071999999999999</v>
      </c>
      <c r="AA3439" s="8">
        <v>3.1549999999999998</v>
      </c>
      <c r="AB3439" s="8">
        <v>0.52600000000000002</v>
      </c>
      <c r="AC3439" s="8">
        <v>0.05</v>
      </c>
    </row>
    <row r="3440" spans="1:29" ht="11.65" hidden="1" x14ac:dyDescent="0.35">
      <c r="A3440" s="12">
        <v>3423</v>
      </c>
      <c r="B3440" s="10" t="s">
        <v>1015</v>
      </c>
      <c r="C3440" s="18" t="s">
        <v>1253</v>
      </c>
      <c r="D3440" s="9">
        <v>23</v>
      </c>
      <c r="E3440" s="9">
        <v>578</v>
      </c>
      <c r="F3440" s="10" t="s">
        <v>1066</v>
      </c>
      <c r="G3440" s="9">
        <v>924</v>
      </c>
      <c r="H3440" s="9">
        <v>1960</v>
      </c>
      <c r="I3440" s="8">
        <v>150.648</v>
      </c>
      <c r="J3440" s="8">
        <v>147.32900000000001</v>
      </c>
      <c r="K3440" s="8">
        <v>154.40600000000001</v>
      </c>
      <c r="L3440" s="8">
        <v>126.271</v>
      </c>
      <c r="M3440" s="8">
        <v>101.625</v>
      </c>
      <c r="N3440" s="8">
        <v>98.697999999999993</v>
      </c>
      <c r="O3440" s="8">
        <v>110.499</v>
      </c>
      <c r="P3440" s="8">
        <v>128.86799999999999</v>
      </c>
      <c r="Q3440" s="8">
        <v>126.858</v>
      </c>
      <c r="R3440" s="8">
        <v>121.35899999999999</v>
      </c>
      <c r="S3440" s="8">
        <v>113.393</v>
      </c>
      <c r="T3440" s="8">
        <v>105.532</v>
      </c>
      <c r="U3440" s="8">
        <v>94.754000000000005</v>
      </c>
      <c r="V3440" s="8">
        <v>76.516999999999996</v>
      </c>
      <c r="W3440" s="8">
        <v>58.884</v>
      </c>
      <c r="X3440" s="8">
        <v>41.341000000000001</v>
      </c>
      <c r="Y3440" s="8">
        <v>25.869</v>
      </c>
      <c r="Z3440" s="8">
        <v>11.24</v>
      </c>
      <c r="AA3440" s="8">
        <v>3.32</v>
      </c>
      <c r="AB3440" s="8">
        <v>0.57599999999999996</v>
      </c>
      <c r="AC3440" s="8">
        <v>0.05</v>
      </c>
    </row>
    <row r="3441" spans="1:29" ht="11.65" hidden="1" x14ac:dyDescent="0.35">
      <c r="A3441" s="12">
        <v>3424</v>
      </c>
      <c r="B3441" s="10" t="s">
        <v>1015</v>
      </c>
      <c r="C3441" s="18" t="s">
        <v>1253</v>
      </c>
      <c r="D3441" s="9">
        <v>23</v>
      </c>
      <c r="E3441" s="9">
        <v>578</v>
      </c>
      <c r="F3441" s="10" t="s">
        <v>1066</v>
      </c>
      <c r="G3441" s="9">
        <v>924</v>
      </c>
      <c r="H3441" s="9">
        <v>1965</v>
      </c>
      <c r="I3441" s="8">
        <v>151.62899999999999</v>
      </c>
      <c r="J3441" s="8">
        <v>150.334</v>
      </c>
      <c r="K3441" s="8">
        <v>147.28</v>
      </c>
      <c r="L3441" s="8">
        <v>153.977</v>
      </c>
      <c r="M3441" s="8">
        <v>124.425</v>
      </c>
      <c r="N3441" s="8">
        <v>100.652</v>
      </c>
      <c r="O3441" s="8">
        <v>98.313000000000002</v>
      </c>
      <c r="P3441" s="8">
        <v>110.065</v>
      </c>
      <c r="Q3441" s="8">
        <v>128.09800000000001</v>
      </c>
      <c r="R3441" s="8">
        <v>125.666</v>
      </c>
      <c r="S3441" s="8">
        <v>119.55500000000001</v>
      </c>
      <c r="T3441" s="8">
        <v>110.801</v>
      </c>
      <c r="U3441" s="8">
        <v>101.461</v>
      </c>
      <c r="V3441" s="8">
        <v>88.572000000000003</v>
      </c>
      <c r="W3441" s="8">
        <v>67.542000000000002</v>
      </c>
      <c r="X3441" s="8">
        <v>46.706000000000003</v>
      </c>
      <c r="Y3441" s="8">
        <v>27.725000000000001</v>
      </c>
      <c r="Z3441" s="8">
        <v>12.692</v>
      </c>
      <c r="AA3441" s="8">
        <v>3.613</v>
      </c>
      <c r="AB3441" s="8">
        <v>0.59199999999999997</v>
      </c>
      <c r="AC3441" s="8">
        <v>5.1999999999999998E-2</v>
      </c>
    </row>
    <row r="3442" spans="1:29" ht="11.65" hidden="1" x14ac:dyDescent="0.35">
      <c r="A3442" s="12">
        <v>3425</v>
      </c>
      <c r="B3442" s="10" t="s">
        <v>1015</v>
      </c>
      <c r="C3442" s="18" t="s">
        <v>1253</v>
      </c>
      <c r="D3442" s="9">
        <v>23</v>
      </c>
      <c r="E3442" s="9">
        <v>578</v>
      </c>
      <c r="F3442" s="10" t="s">
        <v>1066</v>
      </c>
      <c r="G3442" s="9">
        <v>924</v>
      </c>
      <c r="H3442" s="9">
        <v>1970</v>
      </c>
      <c r="I3442" s="8">
        <v>160.19499999999999</v>
      </c>
      <c r="J3442" s="8">
        <v>151.54</v>
      </c>
      <c r="K3442" s="8">
        <v>150.548</v>
      </c>
      <c r="L3442" s="8">
        <v>147.24700000000001</v>
      </c>
      <c r="M3442" s="8">
        <v>152.15299999999999</v>
      </c>
      <c r="N3442" s="8">
        <v>122.629</v>
      </c>
      <c r="O3442" s="8">
        <v>100.30200000000001</v>
      </c>
      <c r="P3442" s="8">
        <v>98.031999999999996</v>
      </c>
      <c r="Q3442" s="8">
        <v>109.422</v>
      </c>
      <c r="R3442" s="8">
        <v>127.14</v>
      </c>
      <c r="S3442" s="8">
        <v>123.68899999999999</v>
      </c>
      <c r="T3442" s="8">
        <v>116.99299999999999</v>
      </c>
      <c r="U3442" s="8">
        <v>107.00700000000001</v>
      </c>
      <c r="V3442" s="8">
        <v>95.665999999999997</v>
      </c>
      <c r="W3442" s="8">
        <v>79.304000000000002</v>
      </c>
      <c r="X3442" s="8">
        <v>55.192999999999998</v>
      </c>
      <c r="Y3442" s="8">
        <v>31.998999999999999</v>
      </c>
      <c r="Z3442" s="8">
        <v>14.305</v>
      </c>
      <c r="AA3442" s="8">
        <v>4.4379999999999997</v>
      </c>
      <c r="AB3442" s="8">
        <v>0.72799999999999998</v>
      </c>
      <c r="AC3442" s="8">
        <v>6.2E-2</v>
      </c>
    </row>
    <row r="3443" spans="1:29" ht="11.65" hidden="1" x14ac:dyDescent="0.35">
      <c r="A3443" s="12">
        <v>3426</v>
      </c>
      <c r="B3443" s="10" t="s">
        <v>1015</v>
      </c>
      <c r="C3443" s="18" t="s">
        <v>1253</v>
      </c>
      <c r="D3443" s="9">
        <v>23</v>
      </c>
      <c r="E3443" s="9">
        <v>578</v>
      </c>
      <c r="F3443" s="10" t="s">
        <v>1066</v>
      </c>
      <c r="G3443" s="9">
        <v>924</v>
      </c>
      <c r="H3443" s="9">
        <v>1975</v>
      </c>
      <c r="I3443" s="8">
        <v>151.24199999999999</v>
      </c>
      <c r="J3443" s="8">
        <v>161.245</v>
      </c>
      <c r="K3443" s="8">
        <v>152.24299999999999</v>
      </c>
      <c r="L3443" s="8">
        <v>150.83799999999999</v>
      </c>
      <c r="M3443" s="8">
        <v>146.99299999999999</v>
      </c>
      <c r="N3443" s="8">
        <v>152.179</v>
      </c>
      <c r="O3443" s="8">
        <v>122.786</v>
      </c>
      <c r="P3443" s="8">
        <v>100.42</v>
      </c>
      <c r="Q3443" s="8">
        <v>97.765000000000001</v>
      </c>
      <c r="R3443" s="8">
        <v>108.685</v>
      </c>
      <c r="S3443" s="8">
        <v>125.48099999999999</v>
      </c>
      <c r="T3443" s="8">
        <v>121.18</v>
      </c>
      <c r="U3443" s="8">
        <v>113.05800000000001</v>
      </c>
      <c r="V3443" s="8">
        <v>101.169</v>
      </c>
      <c r="W3443" s="8">
        <v>86.26</v>
      </c>
      <c r="X3443" s="8">
        <v>64.835999999999999</v>
      </c>
      <c r="Y3443" s="8">
        <v>38.012999999999998</v>
      </c>
      <c r="Z3443" s="8">
        <v>16.884</v>
      </c>
      <c r="AA3443" s="8">
        <v>5.07</v>
      </c>
      <c r="AB3443" s="8">
        <v>0.91100000000000003</v>
      </c>
      <c r="AC3443" s="8">
        <v>7.4999999999999997E-2</v>
      </c>
    </row>
    <row r="3444" spans="1:29" ht="11.65" hidden="1" x14ac:dyDescent="0.35">
      <c r="A3444" s="12">
        <v>3427</v>
      </c>
      <c r="B3444" s="10" t="s">
        <v>1015</v>
      </c>
      <c r="C3444" s="18" t="s">
        <v>1253</v>
      </c>
      <c r="D3444" s="9">
        <v>23</v>
      </c>
      <c r="E3444" s="9">
        <v>578</v>
      </c>
      <c r="F3444" s="10" t="s">
        <v>1066</v>
      </c>
      <c r="G3444" s="9">
        <v>924</v>
      </c>
      <c r="H3444" s="9">
        <v>1980</v>
      </c>
      <c r="I3444" s="8">
        <v>127.387</v>
      </c>
      <c r="J3444" s="8">
        <v>152.49100000000001</v>
      </c>
      <c r="K3444" s="8">
        <v>161.87799999999999</v>
      </c>
      <c r="L3444" s="8">
        <v>152.898</v>
      </c>
      <c r="M3444" s="8">
        <v>151.40700000000001</v>
      </c>
      <c r="N3444" s="8">
        <v>147.798</v>
      </c>
      <c r="O3444" s="8">
        <v>152.774</v>
      </c>
      <c r="P3444" s="8">
        <v>123.13</v>
      </c>
      <c r="Q3444" s="8">
        <v>100.328</v>
      </c>
      <c r="R3444" s="8">
        <v>97.241</v>
      </c>
      <c r="S3444" s="8">
        <v>107.328</v>
      </c>
      <c r="T3444" s="8">
        <v>122.907</v>
      </c>
      <c r="U3444" s="8">
        <v>117.303</v>
      </c>
      <c r="V3444" s="8">
        <v>106.96599999999999</v>
      </c>
      <c r="W3444" s="8">
        <v>91.983999999999995</v>
      </c>
      <c r="X3444" s="8">
        <v>72.36</v>
      </c>
      <c r="Y3444" s="8">
        <v>46.119</v>
      </c>
      <c r="Z3444" s="8">
        <v>21.251999999999999</v>
      </c>
      <c r="AA3444" s="8">
        <v>6.4420000000000002</v>
      </c>
      <c r="AB3444" s="8">
        <v>1.139</v>
      </c>
      <c r="AC3444" s="8">
        <v>0.106</v>
      </c>
    </row>
    <row r="3445" spans="1:29" ht="11.65" hidden="1" x14ac:dyDescent="0.35">
      <c r="A3445" s="12">
        <v>3428</v>
      </c>
      <c r="B3445" s="10" t="s">
        <v>1015</v>
      </c>
      <c r="C3445" s="18" t="s">
        <v>1253</v>
      </c>
      <c r="D3445" s="9">
        <v>23</v>
      </c>
      <c r="E3445" s="9">
        <v>578</v>
      </c>
      <c r="F3445" s="10" t="s">
        <v>1066</v>
      </c>
      <c r="G3445" s="9">
        <v>924</v>
      </c>
      <c r="H3445" s="9">
        <v>1985</v>
      </c>
      <c r="I3445" s="8">
        <v>123.768</v>
      </c>
      <c r="J3445" s="8">
        <v>128.607</v>
      </c>
      <c r="K3445" s="8">
        <v>153.21299999999999</v>
      </c>
      <c r="L3445" s="8">
        <v>162.95099999999999</v>
      </c>
      <c r="M3445" s="8">
        <v>154.32400000000001</v>
      </c>
      <c r="N3445" s="8">
        <v>152.965</v>
      </c>
      <c r="O3445" s="8">
        <v>148.80500000000001</v>
      </c>
      <c r="P3445" s="8">
        <v>153.16900000000001</v>
      </c>
      <c r="Q3445" s="8">
        <v>122.985</v>
      </c>
      <c r="R3445" s="8">
        <v>99.798000000000002</v>
      </c>
      <c r="S3445" s="8">
        <v>96.093000000000004</v>
      </c>
      <c r="T3445" s="8">
        <v>105.084</v>
      </c>
      <c r="U3445" s="8">
        <v>118.911</v>
      </c>
      <c r="V3445" s="8">
        <v>111.43</v>
      </c>
      <c r="W3445" s="8">
        <v>97.966999999999999</v>
      </c>
      <c r="X3445" s="8">
        <v>78.438999999999993</v>
      </c>
      <c r="Y3445" s="8">
        <v>53.726999999999997</v>
      </c>
      <c r="Z3445" s="8">
        <v>27.137</v>
      </c>
      <c r="AA3445" s="8">
        <v>8.6940000000000008</v>
      </c>
      <c r="AB3445" s="8">
        <v>1.597</v>
      </c>
      <c r="AC3445" s="8">
        <v>0.14699999999999999</v>
      </c>
    </row>
    <row r="3446" spans="1:29" ht="11.65" hidden="1" x14ac:dyDescent="0.35">
      <c r="A3446" s="12">
        <v>3429</v>
      </c>
      <c r="B3446" s="10" t="s">
        <v>1015</v>
      </c>
      <c r="C3446" s="18" t="s">
        <v>1253</v>
      </c>
      <c r="D3446" s="9">
        <v>23</v>
      </c>
      <c r="E3446" s="9">
        <v>578</v>
      </c>
      <c r="F3446" s="10" t="s">
        <v>1066</v>
      </c>
      <c r="G3446" s="9">
        <v>924</v>
      </c>
      <c r="H3446" s="9">
        <v>1990</v>
      </c>
      <c r="I3446" s="8">
        <v>136.655</v>
      </c>
      <c r="J3446" s="8">
        <v>125.53</v>
      </c>
      <c r="K3446" s="8">
        <v>129.65799999999999</v>
      </c>
      <c r="L3446" s="8">
        <v>154.27699999999999</v>
      </c>
      <c r="M3446" s="8">
        <v>164.54900000000001</v>
      </c>
      <c r="N3446" s="8">
        <v>157.18299999999999</v>
      </c>
      <c r="O3446" s="8">
        <v>154.87299999999999</v>
      </c>
      <c r="P3446" s="8">
        <v>149.32300000000001</v>
      </c>
      <c r="Q3446" s="8">
        <v>152.773</v>
      </c>
      <c r="R3446" s="8">
        <v>122.18600000000001</v>
      </c>
      <c r="S3446" s="8">
        <v>98.582999999999998</v>
      </c>
      <c r="T3446" s="8">
        <v>94.204999999999998</v>
      </c>
      <c r="U3446" s="8">
        <v>101.729</v>
      </c>
      <c r="V3446" s="8">
        <v>113.248</v>
      </c>
      <c r="W3446" s="8">
        <v>102.61199999999999</v>
      </c>
      <c r="X3446" s="8">
        <v>84.245999999999995</v>
      </c>
      <c r="Y3446" s="8">
        <v>60</v>
      </c>
      <c r="Z3446" s="8">
        <v>32.162999999999997</v>
      </c>
      <c r="AA3446" s="8">
        <v>11.221</v>
      </c>
      <c r="AB3446" s="8">
        <v>2.1480000000000001</v>
      </c>
      <c r="AC3446" s="8">
        <v>0.2</v>
      </c>
    </row>
    <row r="3447" spans="1:29" ht="11.65" hidden="1" x14ac:dyDescent="0.35">
      <c r="A3447" s="12">
        <v>3430</v>
      </c>
      <c r="B3447" s="10" t="s">
        <v>1015</v>
      </c>
      <c r="C3447" s="18" t="s">
        <v>1253</v>
      </c>
      <c r="D3447" s="9">
        <v>23</v>
      </c>
      <c r="E3447" s="9">
        <v>578</v>
      </c>
      <c r="F3447" s="10" t="s">
        <v>1066</v>
      </c>
      <c r="G3447" s="9">
        <v>924</v>
      </c>
      <c r="H3447" s="9">
        <v>1995</v>
      </c>
      <c r="I3447" s="8">
        <v>147.61799999999999</v>
      </c>
      <c r="J3447" s="8">
        <v>138.80600000000001</v>
      </c>
      <c r="K3447" s="8">
        <v>127.274</v>
      </c>
      <c r="L3447" s="8">
        <v>131.625</v>
      </c>
      <c r="M3447" s="8">
        <v>157.39400000000001</v>
      </c>
      <c r="N3447" s="8">
        <v>168.19800000000001</v>
      </c>
      <c r="O3447" s="8">
        <v>159.53</v>
      </c>
      <c r="P3447" s="8">
        <v>156.06100000000001</v>
      </c>
      <c r="Q3447" s="8">
        <v>149.71799999999999</v>
      </c>
      <c r="R3447" s="8">
        <v>152.34399999999999</v>
      </c>
      <c r="S3447" s="8">
        <v>121.12</v>
      </c>
      <c r="T3447" s="8">
        <v>97.07</v>
      </c>
      <c r="U3447" s="8">
        <v>91.722999999999999</v>
      </c>
      <c r="V3447" s="8">
        <v>97.111999999999995</v>
      </c>
      <c r="W3447" s="8">
        <v>104.708</v>
      </c>
      <c r="X3447" s="8">
        <v>89.277000000000001</v>
      </c>
      <c r="Y3447" s="8">
        <v>64.707999999999998</v>
      </c>
      <c r="Z3447" s="8">
        <v>36.716000000000001</v>
      </c>
      <c r="AA3447" s="8">
        <v>13.417999999999999</v>
      </c>
      <c r="AB3447" s="8">
        <v>2.714</v>
      </c>
      <c r="AC3447" s="8">
        <v>0.25800000000000001</v>
      </c>
    </row>
    <row r="3448" spans="1:29" ht="11.65" hidden="1" x14ac:dyDescent="0.35">
      <c r="A3448" s="12">
        <v>3431</v>
      </c>
      <c r="B3448" s="10" t="s">
        <v>1015</v>
      </c>
      <c r="C3448" s="18" t="s">
        <v>1253</v>
      </c>
      <c r="D3448" s="9">
        <v>23</v>
      </c>
      <c r="E3448" s="9">
        <v>578</v>
      </c>
      <c r="F3448" s="10" t="s">
        <v>1066</v>
      </c>
      <c r="G3448" s="9">
        <v>924</v>
      </c>
      <c r="H3448" s="9">
        <v>2000</v>
      </c>
      <c r="I3448" s="8">
        <v>146.87200000000001</v>
      </c>
      <c r="J3448" s="8">
        <v>150.011</v>
      </c>
      <c r="K3448" s="8">
        <v>140.654</v>
      </c>
      <c r="L3448" s="8">
        <v>129.619</v>
      </c>
      <c r="M3448" s="8">
        <v>136.30199999999999</v>
      </c>
      <c r="N3448" s="8">
        <v>162.608</v>
      </c>
      <c r="O3448" s="8">
        <v>171.93</v>
      </c>
      <c r="P3448" s="8">
        <v>161.34399999999999</v>
      </c>
      <c r="Q3448" s="8">
        <v>156.71299999999999</v>
      </c>
      <c r="R3448" s="8">
        <v>149.352</v>
      </c>
      <c r="S3448" s="8">
        <v>150.80199999999999</v>
      </c>
      <c r="T3448" s="8">
        <v>119.033</v>
      </c>
      <c r="U3448" s="8">
        <v>94.58</v>
      </c>
      <c r="V3448" s="8">
        <v>87.837999999999994</v>
      </c>
      <c r="W3448" s="8">
        <v>90.25</v>
      </c>
      <c r="X3448" s="8">
        <v>92.054000000000002</v>
      </c>
      <c r="Y3448" s="8">
        <v>70.218000000000004</v>
      </c>
      <c r="Z3448" s="8">
        <v>40.770000000000003</v>
      </c>
      <c r="AA3448" s="8">
        <v>15.815</v>
      </c>
      <c r="AB3448" s="8">
        <v>3.2810000000000001</v>
      </c>
      <c r="AC3448" s="8">
        <v>0.318</v>
      </c>
    </row>
    <row r="3449" spans="1:29" ht="11.65" hidden="1" x14ac:dyDescent="0.35">
      <c r="A3449" s="12">
        <v>3432</v>
      </c>
      <c r="B3449" s="10" t="s">
        <v>1015</v>
      </c>
      <c r="C3449" s="18" t="s">
        <v>1253</v>
      </c>
      <c r="D3449" s="9">
        <v>23</v>
      </c>
      <c r="E3449" s="9">
        <v>578</v>
      </c>
      <c r="F3449" s="10" t="s">
        <v>1066</v>
      </c>
      <c r="G3449" s="9">
        <v>924</v>
      </c>
      <c r="H3449" s="9">
        <v>2005</v>
      </c>
      <c r="I3449" s="8">
        <v>141.1</v>
      </c>
      <c r="J3449" s="8">
        <v>149.267</v>
      </c>
      <c r="K3449" s="8">
        <v>152.38399999999999</v>
      </c>
      <c r="L3449" s="8">
        <v>143.316</v>
      </c>
      <c r="M3449" s="8">
        <v>135.17500000000001</v>
      </c>
      <c r="N3449" s="8">
        <v>143.72800000000001</v>
      </c>
      <c r="O3449" s="8">
        <v>167.48</v>
      </c>
      <c r="P3449" s="8">
        <v>174.572</v>
      </c>
      <c r="Q3449" s="8">
        <v>162.59700000000001</v>
      </c>
      <c r="R3449" s="8">
        <v>156.76400000000001</v>
      </c>
      <c r="S3449" s="8">
        <v>148.08000000000001</v>
      </c>
      <c r="T3449" s="8">
        <v>148.12100000000001</v>
      </c>
      <c r="U3449" s="8">
        <v>115.65300000000001</v>
      </c>
      <c r="V3449" s="8">
        <v>90.447000000000003</v>
      </c>
      <c r="W3449" s="8">
        <v>82.064999999999998</v>
      </c>
      <c r="X3449" s="8">
        <v>80.096999999999994</v>
      </c>
      <c r="Y3449" s="8">
        <v>74.808999999999997</v>
      </c>
      <c r="Z3449" s="8">
        <v>45.713000000000001</v>
      </c>
      <c r="AA3449" s="8">
        <v>18.32</v>
      </c>
      <c r="AB3449" s="8">
        <v>4.0289999999999999</v>
      </c>
      <c r="AC3449" s="8">
        <v>0.39600000000000002</v>
      </c>
    </row>
    <row r="3450" spans="1:29" ht="11.65" hidden="1" x14ac:dyDescent="0.35">
      <c r="A3450" s="12">
        <v>3433</v>
      </c>
      <c r="B3450" s="10" t="s">
        <v>1015</v>
      </c>
      <c r="C3450" s="18" t="s">
        <v>1253</v>
      </c>
      <c r="D3450" s="9">
        <v>23</v>
      </c>
      <c r="E3450" s="9">
        <v>578</v>
      </c>
      <c r="F3450" s="10" t="s">
        <v>1066</v>
      </c>
      <c r="G3450" s="9">
        <v>924</v>
      </c>
      <c r="H3450" s="9">
        <v>2010</v>
      </c>
      <c r="I3450" s="8">
        <v>148.989</v>
      </c>
      <c r="J3450" s="8">
        <v>145.70099999999999</v>
      </c>
      <c r="K3450" s="8">
        <v>153.476</v>
      </c>
      <c r="L3450" s="8">
        <v>157.78800000000001</v>
      </c>
      <c r="M3450" s="8">
        <v>151.636</v>
      </c>
      <c r="N3450" s="8">
        <v>152.21700000000001</v>
      </c>
      <c r="O3450" s="8">
        <v>154.934</v>
      </c>
      <c r="P3450" s="8">
        <v>175.56200000000001</v>
      </c>
      <c r="Q3450" s="8">
        <v>179.61</v>
      </c>
      <c r="R3450" s="8">
        <v>163.41800000000001</v>
      </c>
      <c r="S3450" s="8">
        <v>157.26</v>
      </c>
      <c r="T3450" s="8">
        <v>145.26599999999999</v>
      </c>
      <c r="U3450" s="8">
        <v>147.93899999999999</v>
      </c>
      <c r="V3450" s="8">
        <v>109.691</v>
      </c>
      <c r="W3450" s="8">
        <v>84.108000000000004</v>
      </c>
      <c r="X3450" s="8">
        <v>73.483000000000004</v>
      </c>
      <c r="Y3450" s="8">
        <v>64.052000000000007</v>
      </c>
      <c r="Z3450" s="8">
        <v>50.64</v>
      </c>
      <c r="AA3450" s="8">
        <v>22.012</v>
      </c>
      <c r="AB3450" s="8">
        <v>5.1180000000000003</v>
      </c>
      <c r="AC3450" s="8">
        <v>0.53600000000000003</v>
      </c>
    </row>
    <row r="3451" spans="1:29" ht="11.65" hidden="1" x14ac:dyDescent="0.35">
      <c r="A3451" s="12">
        <v>3434</v>
      </c>
      <c r="B3451" s="10" t="s">
        <v>1015</v>
      </c>
      <c r="C3451" s="18" t="s">
        <v>1253</v>
      </c>
      <c r="D3451" s="9">
        <v>23</v>
      </c>
      <c r="E3451" s="9">
        <v>578</v>
      </c>
      <c r="F3451" s="10" t="s">
        <v>1066</v>
      </c>
      <c r="G3451" s="9">
        <v>924</v>
      </c>
      <c r="H3451" s="9">
        <v>2015</v>
      </c>
      <c r="I3451" s="8">
        <v>150.48599999999999</v>
      </c>
      <c r="J3451" s="8">
        <v>155.09100000000001</v>
      </c>
      <c r="K3451" s="8">
        <v>150.226</v>
      </c>
      <c r="L3451" s="8">
        <v>158.33199999999999</v>
      </c>
      <c r="M3451" s="8">
        <v>169.08799999999999</v>
      </c>
      <c r="N3451" s="8">
        <v>176.09100000000001</v>
      </c>
      <c r="O3451" s="8">
        <v>169.41399999999999</v>
      </c>
      <c r="P3451" s="8">
        <v>164.10300000000001</v>
      </c>
      <c r="Q3451" s="8">
        <v>181.36799999999999</v>
      </c>
      <c r="R3451" s="8">
        <v>182.81200000000001</v>
      </c>
      <c r="S3451" s="8">
        <v>164.43799999999999</v>
      </c>
      <c r="T3451" s="8">
        <v>156.40600000000001</v>
      </c>
      <c r="U3451" s="8">
        <v>142.19900000000001</v>
      </c>
      <c r="V3451" s="8">
        <v>143.03</v>
      </c>
      <c r="W3451" s="8">
        <v>103.935</v>
      </c>
      <c r="X3451" s="8">
        <v>76.447000000000003</v>
      </c>
      <c r="Y3451" s="8">
        <v>61.338000000000001</v>
      </c>
      <c r="Z3451" s="8">
        <v>44.72</v>
      </c>
      <c r="AA3451" s="8">
        <v>25.332000000000001</v>
      </c>
      <c r="AB3451" s="8">
        <v>6.3959999999999999</v>
      </c>
      <c r="AC3451" s="8">
        <v>0.70699999999999996</v>
      </c>
    </row>
    <row r="3452" spans="1:29" ht="11.65" hidden="1" x14ac:dyDescent="0.35">
      <c r="A3452" s="12">
        <v>3435</v>
      </c>
      <c r="B3452" s="10" t="s">
        <v>1015</v>
      </c>
      <c r="C3452" s="18" t="s">
        <v>1253</v>
      </c>
      <c r="D3452" s="9">
        <v>23</v>
      </c>
      <c r="E3452" s="9">
        <v>578</v>
      </c>
      <c r="F3452" s="10" t="s">
        <v>1066</v>
      </c>
      <c r="G3452" s="9">
        <v>924</v>
      </c>
      <c r="H3452" s="9">
        <v>2020</v>
      </c>
      <c r="I3452" s="8">
        <v>146.36600000000001</v>
      </c>
      <c r="J3452" s="8">
        <v>152.11699999999999</v>
      </c>
      <c r="K3452" s="8">
        <v>156.423</v>
      </c>
      <c r="L3452" s="8">
        <v>157.42500000000001</v>
      </c>
      <c r="M3452" s="8">
        <v>170.852</v>
      </c>
      <c r="N3452" s="8">
        <v>180.65199999999999</v>
      </c>
      <c r="O3452" s="8">
        <v>184.42</v>
      </c>
      <c r="P3452" s="8">
        <v>174.816</v>
      </c>
      <c r="Q3452" s="8">
        <v>167.35300000000001</v>
      </c>
      <c r="R3452" s="8">
        <v>182.881</v>
      </c>
      <c r="S3452" s="8">
        <v>182.791</v>
      </c>
      <c r="T3452" s="8">
        <v>163.16800000000001</v>
      </c>
      <c r="U3452" s="8">
        <v>153.71799999999999</v>
      </c>
      <c r="V3452" s="8">
        <v>137.81299999999999</v>
      </c>
      <c r="W3452" s="8">
        <v>135.792</v>
      </c>
      <c r="X3452" s="8">
        <v>95.016999999999996</v>
      </c>
      <c r="Y3452" s="8">
        <v>64.441999999999993</v>
      </c>
      <c r="Z3452" s="8">
        <v>43.722999999999999</v>
      </c>
      <c r="AA3452" s="8">
        <v>22.994</v>
      </c>
      <c r="AB3452" s="8">
        <v>7.6159999999999997</v>
      </c>
      <c r="AC3452" s="8">
        <v>0.88</v>
      </c>
    </row>
    <row r="3453" spans="1:29" ht="11.65" hidden="1" x14ac:dyDescent="0.35">
      <c r="A3453" s="12">
        <v>3436</v>
      </c>
      <c r="B3453" s="10" t="s">
        <v>1015</v>
      </c>
      <c r="C3453" s="18" t="s">
        <v>1254</v>
      </c>
      <c r="D3453" s="9"/>
      <c r="E3453" s="9">
        <v>752</v>
      </c>
      <c r="F3453" s="10" t="s">
        <v>1066</v>
      </c>
      <c r="G3453" s="9">
        <v>924</v>
      </c>
      <c r="H3453" s="9">
        <v>1950</v>
      </c>
      <c r="I3453" s="8">
        <v>301.041</v>
      </c>
      <c r="J3453" s="8">
        <v>279.20299999999997</v>
      </c>
      <c r="K3453" s="8">
        <v>218.43799999999999</v>
      </c>
      <c r="L3453" s="8">
        <v>207.06700000000001</v>
      </c>
      <c r="M3453" s="8">
        <v>230.72300000000001</v>
      </c>
      <c r="N3453" s="8">
        <v>269.322</v>
      </c>
      <c r="O3453" s="8">
        <v>263.053</v>
      </c>
      <c r="P3453" s="8">
        <v>270.02499999999998</v>
      </c>
      <c r="Q3453" s="8">
        <v>266.94099999999997</v>
      </c>
      <c r="R3453" s="8">
        <v>244.93899999999999</v>
      </c>
      <c r="S3453" s="8">
        <v>219.59</v>
      </c>
      <c r="T3453" s="8">
        <v>195.024</v>
      </c>
      <c r="U3453" s="8">
        <v>172.017</v>
      </c>
      <c r="V3453" s="8">
        <v>140.58699999999999</v>
      </c>
      <c r="W3453" s="8">
        <v>109.702</v>
      </c>
      <c r="X3453" s="8">
        <v>71.456000000000003</v>
      </c>
      <c r="Y3453" s="8">
        <v>38.186</v>
      </c>
      <c r="Z3453" s="8">
        <v>17.405999999999999</v>
      </c>
      <c r="AA3453" s="8">
        <v>4.2750000000000004</v>
      </c>
      <c r="AB3453" s="8">
        <v>0.55900000000000005</v>
      </c>
      <c r="AC3453" s="8">
        <v>3.2000000000000001E-2</v>
      </c>
    </row>
    <row r="3454" spans="1:29" ht="11.65" hidden="1" x14ac:dyDescent="0.35">
      <c r="A3454" s="12">
        <v>3437</v>
      </c>
      <c r="B3454" s="10" t="s">
        <v>1015</v>
      </c>
      <c r="C3454" s="18" t="s">
        <v>1254</v>
      </c>
      <c r="D3454" s="9"/>
      <c r="E3454" s="9">
        <v>752</v>
      </c>
      <c r="F3454" s="10" t="s">
        <v>1066</v>
      </c>
      <c r="G3454" s="9">
        <v>924</v>
      </c>
      <c r="H3454" s="9">
        <v>1955</v>
      </c>
      <c r="I3454" s="8">
        <v>260.488</v>
      </c>
      <c r="J3454" s="8">
        <v>301.21100000000001</v>
      </c>
      <c r="K3454" s="8">
        <v>280.87700000000001</v>
      </c>
      <c r="L3454" s="8">
        <v>223.03</v>
      </c>
      <c r="M3454" s="8">
        <v>212.10300000000001</v>
      </c>
      <c r="N3454" s="8">
        <v>233.62700000000001</v>
      </c>
      <c r="O3454" s="8">
        <v>270.29599999999999</v>
      </c>
      <c r="P3454" s="8">
        <v>262.291</v>
      </c>
      <c r="Q3454" s="8">
        <v>268.50599999999997</v>
      </c>
      <c r="R3454" s="8">
        <v>264.012</v>
      </c>
      <c r="S3454" s="8">
        <v>240.142</v>
      </c>
      <c r="T3454" s="8">
        <v>212.714</v>
      </c>
      <c r="U3454" s="8">
        <v>185.148</v>
      </c>
      <c r="V3454" s="8">
        <v>157.36699999999999</v>
      </c>
      <c r="W3454" s="8">
        <v>120.014</v>
      </c>
      <c r="X3454" s="8">
        <v>83.128</v>
      </c>
      <c r="Y3454" s="8">
        <v>44.003</v>
      </c>
      <c r="Z3454" s="8">
        <v>16.731999999999999</v>
      </c>
      <c r="AA3454" s="8">
        <v>4.8280000000000003</v>
      </c>
      <c r="AB3454" s="8">
        <v>0.64400000000000002</v>
      </c>
      <c r="AC3454" s="8">
        <v>4.2999999999999997E-2</v>
      </c>
    </row>
    <row r="3455" spans="1:29" ht="11.65" hidden="1" x14ac:dyDescent="0.35">
      <c r="A3455" s="12">
        <v>3438</v>
      </c>
      <c r="B3455" s="10" t="s">
        <v>1015</v>
      </c>
      <c r="C3455" s="18" t="s">
        <v>1254</v>
      </c>
      <c r="D3455" s="9"/>
      <c r="E3455" s="9">
        <v>752</v>
      </c>
      <c r="F3455" s="10" t="s">
        <v>1066</v>
      </c>
      <c r="G3455" s="9">
        <v>924</v>
      </c>
      <c r="H3455" s="9">
        <v>1960</v>
      </c>
      <c r="I3455" s="8">
        <v>253.608</v>
      </c>
      <c r="J3455" s="8">
        <v>260.95100000000002</v>
      </c>
      <c r="K3455" s="8">
        <v>301.97500000000002</v>
      </c>
      <c r="L3455" s="8">
        <v>282.399</v>
      </c>
      <c r="M3455" s="8">
        <v>227.66900000000001</v>
      </c>
      <c r="N3455" s="8">
        <v>217.05699999999999</v>
      </c>
      <c r="O3455" s="8">
        <v>235.75200000000001</v>
      </c>
      <c r="P3455" s="8">
        <v>270.32499999999999</v>
      </c>
      <c r="Q3455" s="8">
        <v>260.745</v>
      </c>
      <c r="R3455" s="8">
        <v>265.82600000000002</v>
      </c>
      <c r="S3455" s="8">
        <v>259.44799999999998</v>
      </c>
      <c r="T3455" s="8">
        <v>233.56800000000001</v>
      </c>
      <c r="U3455" s="8">
        <v>203.221</v>
      </c>
      <c r="V3455" s="8">
        <v>171.01900000000001</v>
      </c>
      <c r="W3455" s="8">
        <v>136.06800000000001</v>
      </c>
      <c r="X3455" s="8">
        <v>92.221999999999994</v>
      </c>
      <c r="Y3455" s="8">
        <v>52.435000000000002</v>
      </c>
      <c r="Z3455" s="8">
        <v>20.335000000000001</v>
      </c>
      <c r="AA3455" s="8">
        <v>4.9320000000000004</v>
      </c>
      <c r="AB3455" s="8">
        <v>0.78600000000000003</v>
      </c>
      <c r="AC3455" s="8">
        <v>5.3999999999999999E-2</v>
      </c>
    </row>
    <row r="3456" spans="1:29" ht="11.65" hidden="1" x14ac:dyDescent="0.35">
      <c r="A3456" s="12">
        <v>3439</v>
      </c>
      <c r="B3456" s="10" t="s">
        <v>1015</v>
      </c>
      <c r="C3456" s="18" t="s">
        <v>1254</v>
      </c>
      <c r="D3456" s="9"/>
      <c r="E3456" s="9">
        <v>752</v>
      </c>
      <c r="F3456" s="10" t="s">
        <v>1066</v>
      </c>
      <c r="G3456" s="9">
        <v>924</v>
      </c>
      <c r="H3456" s="9">
        <v>1965</v>
      </c>
      <c r="I3456" s="8">
        <v>270.52499999999998</v>
      </c>
      <c r="J3456" s="8">
        <v>255.352</v>
      </c>
      <c r="K3456" s="8">
        <v>262.38200000000001</v>
      </c>
      <c r="L3456" s="8">
        <v>306.95600000000002</v>
      </c>
      <c r="M3456" s="8">
        <v>289.27100000000002</v>
      </c>
      <c r="N3456" s="8">
        <v>231.2</v>
      </c>
      <c r="O3456" s="8">
        <v>218.70400000000001</v>
      </c>
      <c r="P3456" s="8">
        <v>236.28899999999999</v>
      </c>
      <c r="Q3456" s="8">
        <v>269.70299999999997</v>
      </c>
      <c r="R3456" s="8">
        <v>258.798</v>
      </c>
      <c r="S3456" s="8">
        <v>261.94799999999998</v>
      </c>
      <c r="T3456" s="8">
        <v>253.17099999999999</v>
      </c>
      <c r="U3456" s="8">
        <v>224.33600000000001</v>
      </c>
      <c r="V3456" s="8">
        <v>189.24100000000001</v>
      </c>
      <c r="W3456" s="8">
        <v>150.54400000000001</v>
      </c>
      <c r="X3456" s="8">
        <v>107.08799999999999</v>
      </c>
      <c r="Y3456" s="8">
        <v>60.459000000000003</v>
      </c>
      <c r="Z3456" s="8">
        <v>24.805</v>
      </c>
      <c r="AA3456" s="8">
        <v>6.2610000000000001</v>
      </c>
      <c r="AB3456" s="8">
        <v>0.85699999999999998</v>
      </c>
      <c r="AC3456" s="8">
        <v>6.8000000000000005E-2</v>
      </c>
    </row>
    <row r="3457" spans="1:29" ht="11.65" hidden="1" x14ac:dyDescent="0.35">
      <c r="A3457" s="12">
        <v>3440</v>
      </c>
      <c r="B3457" s="10" t="s">
        <v>1015</v>
      </c>
      <c r="C3457" s="18" t="s">
        <v>1254</v>
      </c>
      <c r="D3457" s="9"/>
      <c r="E3457" s="9">
        <v>752</v>
      </c>
      <c r="F3457" s="10" t="s">
        <v>1066</v>
      </c>
      <c r="G3457" s="9">
        <v>924</v>
      </c>
      <c r="H3457" s="9">
        <v>1970</v>
      </c>
      <c r="I3457" s="8">
        <v>283.185</v>
      </c>
      <c r="J3457" s="8">
        <v>274.72300000000001</v>
      </c>
      <c r="K3457" s="8">
        <v>258.447</v>
      </c>
      <c r="L3457" s="8">
        <v>270.98200000000003</v>
      </c>
      <c r="M3457" s="8">
        <v>323.57299999999998</v>
      </c>
      <c r="N3457" s="8">
        <v>294.68099999999998</v>
      </c>
      <c r="O3457" s="8">
        <v>234.095</v>
      </c>
      <c r="P3457" s="8">
        <v>220.19900000000001</v>
      </c>
      <c r="Q3457" s="8">
        <v>236.68199999999999</v>
      </c>
      <c r="R3457" s="8">
        <v>268.322</v>
      </c>
      <c r="S3457" s="8">
        <v>255.554</v>
      </c>
      <c r="T3457" s="8">
        <v>256.43</v>
      </c>
      <c r="U3457" s="8">
        <v>244</v>
      </c>
      <c r="V3457" s="8">
        <v>210.54400000000001</v>
      </c>
      <c r="W3457" s="8">
        <v>168.28399999999999</v>
      </c>
      <c r="X3457" s="8">
        <v>121.04900000000001</v>
      </c>
      <c r="Y3457" s="8">
        <v>72.62</v>
      </c>
      <c r="Z3457" s="8">
        <v>30.231999999999999</v>
      </c>
      <c r="AA3457" s="8">
        <v>8.2330000000000005</v>
      </c>
      <c r="AB3457" s="8">
        <v>1.214</v>
      </c>
      <c r="AC3457" s="8">
        <v>8.3000000000000004E-2</v>
      </c>
    </row>
    <row r="3458" spans="1:29" ht="11.65" hidden="1" x14ac:dyDescent="0.35">
      <c r="A3458" s="12">
        <v>3441</v>
      </c>
      <c r="B3458" s="10" t="s">
        <v>1015</v>
      </c>
      <c r="C3458" s="18" t="s">
        <v>1254</v>
      </c>
      <c r="D3458" s="9"/>
      <c r="E3458" s="9">
        <v>752</v>
      </c>
      <c r="F3458" s="10" t="s">
        <v>1066</v>
      </c>
      <c r="G3458" s="9">
        <v>924</v>
      </c>
      <c r="H3458" s="9">
        <v>1975</v>
      </c>
      <c r="I3458" s="8">
        <v>268.52699999999999</v>
      </c>
      <c r="J3458" s="8">
        <v>283.00400000000002</v>
      </c>
      <c r="K3458" s="8">
        <v>274.51400000000001</v>
      </c>
      <c r="L3458" s="8">
        <v>260.94799999999998</v>
      </c>
      <c r="M3458" s="8">
        <v>277.178</v>
      </c>
      <c r="N3458" s="8">
        <v>323.33600000000001</v>
      </c>
      <c r="O3458" s="8">
        <v>291.84899999999999</v>
      </c>
      <c r="P3458" s="8">
        <v>232.405</v>
      </c>
      <c r="Q3458" s="8">
        <v>218.74100000000001</v>
      </c>
      <c r="R3458" s="8">
        <v>234.46600000000001</v>
      </c>
      <c r="S3458" s="8">
        <v>264.18799999999999</v>
      </c>
      <c r="T3458" s="8">
        <v>249.523</v>
      </c>
      <c r="U3458" s="8">
        <v>247.50399999999999</v>
      </c>
      <c r="V3458" s="8">
        <v>229.70599999999999</v>
      </c>
      <c r="W3458" s="8">
        <v>189.429</v>
      </c>
      <c r="X3458" s="8">
        <v>138.37899999999999</v>
      </c>
      <c r="Y3458" s="8">
        <v>85.623999999999995</v>
      </c>
      <c r="Z3458" s="8">
        <v>39.328000000000003</v>
      </c>
      <c r="AA3458" s="8">
        <v>11.291</v>
      </c>
      <c r="AB3458" s="8">
        <v>1.8009999999999999</v>
      </c>
      <c r="AC3458" s="8">
        <v>0.13600000000000001</v>
      </c>
    </row>
    <row r="3459" spans="1:29" ht="11.65" hidden="1" x14ac:dyDescent="0.35">
      <c r="A3459" s="12">
        <v>3442</v>
      </c>
      <c r="B3459" s="10" t="s">
        <v>1015</v>
      </c>
      <c r="C3459" s="18" t="s">
        <v>1254</v>
      </c>
      <c r="D3459" s="9"/>
      <c r="E3459" s="9">
        <v>752</v>
      </c>
      <c r="F3459" s="10" t="s">
        <v>1066</v>
      </c>
      <c r="G3459" s="9">
        <v>924</v>
      </c>
      <c r="H3459" s="9">
        <v>1980</v>
      </c>
      <c r="I3459" s="8">
        <v>237.922</v>
      </c>
      <c r="J3459" s="8">
        <v>271.92</v>
      </c>
      <c r="K3459" s="8">
        <v>284.54000000000002</v>
      </c>
      <c r="L3459" s="8">
        <v>277.94</v>
      </c>
      <c r="M3459" s="8">
        <v>272.14699999999999</v>
      </c>
      <c r="N3459" s="8">
        <v>285.036</v>
      </c>
      <c r="O3459" s="8">
        <v>325.536</v>
      </c>
      <c r="P3459" s="8">
        <v>292.07299999999998</v>
      </c>
      <c r="Q3459" s="8">
        <v>232.01499999999999</v>
      </c>
      <c r="R3459" s="8">
        <v>217.54900000000001</v>
      </c>
      <c r="S3459" s="8">
        <v>231.71299999999999</v>
      </c>
      <c r="T3459" s="8">
        <v>258.74900000000002</v>
      </c>
      <c r="U3459" s="8">
        <v>241.35400000000001</v>
      </c>
      <c r="V3459" s="8">
        <v>234.26</v>
      </c>
      <c r="W3459" s="8">
        <v>208.94800000000001</v>
      </c>
      <c r="X3459" s="8">
        <v>159.01900000000001</v>
      </c>
      <c r="Y3459" s="8">
        <v>100.41500000000001</v>
      </c>
      <c r="Z3459" s="8">
        <v>47.865000000000002</v>
      </c>
      <c r="AA3459" s="8">
        <v>15.185</v>
      </c>
      <c r="AB3459" s="8">
        <v>2.5960000000000001</v>
      </c>
      <c r="AC3459" s="8">
        <v>0.21299999999999999</v>
      </c>
    </row>
    <row r="3460" spans="1:29" ht="11.65" hidden="1" x14ac:dyDescent="0.35">
      <c r="A3460" s="12">
        <v>3443</v>
      </c>
      <c r="B3460" s="10" t="s">
        <v>1015</v>
      </c>
      <c r="C3460" s="18" t="s">
        <v>1254</v>
      </c>
      <c r="D3460" s="9"/>
      <c r="E3460" s="9">
        <v>752</v>
      </c>
      <c r="F3460" s="10" t="s">
        <v>1066</v>
      </c>
      <c r="G3460" s="9">
        <v>924</v>
      </c>
      <c r="H3460" s="9">
        <v>1985</v>
      </c>
      <c r="I3460" s="8">
        <v>230</v>
      </c>
      <c r="J3460" s="8">
        <v>238.292</v>
      </c>
      <c r="K3460" s="8">
        <v>271.68799999999999</v>
      </c>
      <c r="L3460" s="8">
        <v>285.42700000000002</v>
      </c>
      <c r="M3460" s="8">
        <v>282.93</v>
      </c>
      <c r="N3460" s="8">
        <v>274.92399999999998</v>
      </c>
      <c r="O3460" s="8">
        <v>284.78199999999998</v>
      </c>
      <c r="P3460" s="8">
        <v>324.10199999999998</v>
      </c>
      <c r="Q3460" s="8">
        <v>290.62099999999998</v>
      </c>
      <c r="R3460" s="8">
        <v>230.39699999999999</v>
      </c>
      <c r="S3460" s="8">
        <v>214.95099999999999</v>
      </c>
      <c r="T3460" s="8">
        <v>227.26900000000001</v>
      </c>
      <c r="U3460" s="8">
        <v>250.91900000000001</v>
      </c>
      <c r="V3460" s="8">
        <v>229.46</v>
      </c>
      <c r="W3460" s="8">
        <v>214.76300000000001</v>
      </c>
      <c r="X3460" s="8">
        <v>178.357</v>
      </c>
      <c r="Y3460" s="8">
        <v>119.937</v>
      </c>
      <c r="Z3460" s="8">
        <v>58.777999999999999</v>
      </c>
      <c r="AA3460" s="8">
        <v>19.425999999999998</v>
      </c>
      <c r="AB3460" s="8">
        <v>3.6539999999999999</v>
      </c>
      <c r="AC3460" s="8">
        <v>0.317</v>
      </c>
    </row>
    <row r="3461" spans="1:29" ht="11.65" hidden="1" x14ac:dyDescent="0.35">
      <c r="A3461" s="12">
        <v>3444</v>
      </c>
      <c r="B3461" s="10" t="s">
        <v>1015</v>
      </c>
      <c r="C3461" s="18" t="s">
        <v>1254</v>
      </c>
      <c r="D3461" s="9"/>
      <c r="E3461" s="9">
        <v>752</v>
      </c>
      <c r="F3461" s="10" t="s">
        <v>1066</v>
      </c>
      <c r="G3461" s="9">
        <v>924</v>
      </c>
      <c r="H3461" s="9">
        <v>1990</v>
      </c>
      <c r="I3461" s="8">
        <v>269.255</v>
      </c>
      <c r="J3461" s="8">
        <v>236.37299999999999</v>
      </c>
      <c r="K3461" s="8">
        <v>242.24299999999999</v>
      </c>
      <c r="L3461" s="8">
        <v>275.89699999999999</v>
      </c>
      <c r="M3461" s="8">
        <v>295.70100000000002</v>
      </c>
      <c r="N3461" s="8">
        <v>293.31299999999999</v>
      </c>
      <c r="O3461" s="8">
        <v>281.54199999999997</v>
      </c>
      <c r="P3461" s="8">
        <v>287.93099999999998</v>
      </c>
      <c r="Q3461" s="8">
        <v>324.78699999999998</v>
      </c>
      <c r="R3461" s="8">
        <v>289.67899999999997</v>
      </c>
      <c r="S3461" s="8">
        <v>228.59800000000001</v>
      </c>
      <c r="T3461" s="8">
        <v>211.816</v>
      </c>
      <c r="U3461" s="8">
        <v>221.45599999999999</v>
      </c>
      <c r="V3461" s="8">
        <v>239.49700000000001</v>
      </c>
      <c r="W3461" s="8">
        <v>211.97399999999999</v>
      </c>
      <c r="X3461" s="8">
        <v>185.98</v>
      </c>
      <c r="Y3461" s="8">
        <v>137.05000000000001</v>
      </c>
      <c r="Z3461" s="8">
        <v>72.507000000000005</v>
      </c>
      <c r="AA3461" s="8">
        <v>24.472000000000001</v>
      </c>
      <c r="AB3461" s="8">
        <v>4.7149999999999999</v>
      </c>
      <c r="AC3461" s="8">
        <v>0.435</v>
      </c>
    </row>
    <row r="3462" spans="1:29" ht="11.65" hidden="1" x14ac:dyDescent="0.35">
      <c r="A3462" s="12">
        <v>3445</v>
      </c>
      <c r="B3462" s="10" t="s">
        <v>1015</v>
      </c>
      <c r="C3462" s="18" t="s">
        <v>1254</v>
      </c>
      <c r="D3462" s="9"/>
      <c r="E3462" s="9">
        <v>752</v>
      </c>
      <c r="F3462" s="10" t="s">
        <v>1066</v>
      </c>
      <c r="G3462" s="9">
        <v>924</v>
      </c>
      <c r="H3462" s="9">
        <v>1995</v>
      </c>
      <c r="I3462" s="8">
        <v>289.601</v>
      </c>
      <c r="J3462" s="8">
        <v>277.43200000000002</v>
      </c>
      <c r="K3462" s="8">
        <v>243.46</v>
      </c>
      <c r="L3462" s="8">
        <v>248.499</v>
      </c>
      <c r="M3462" s="8">
        <v>286.00299999999999</v>
      </c>
      <c r="N3462" s="8">
        <v>307.07499999999999</v>
      </c>
      <c r="O3462" s="8">
        <v>302.36599999999999</v>
      </c>
      <c r="P3462" s="8">
        <v>287.47000000000003</v>
      </c>
      <c r="Q3462" s="8">
        <v>290.47500000000002</v>
      </c>
      <c r="R3462" s="8">
        <v>324.255</v>
      </c>
      <c r="S3462" s="8">
        <v>287.61799999999999</v>
      </c>
      <c r="T3462" s="8">
        <v>226.20699999999999</v>
      </c>
      <c r="U3462" s="8">
        <v>207.76400000000001</v>
      </c>
      <c r="V3462" s="8">
        <v>213.101</v>
      </c>
      <c r="W3462" s="8">
        <v>222.97499999999999</v>
      </c>
      <c r="X3462" s="8">
        <v>186.3</v>
      </c>
      <c r="Y3462" s="8">
        <v>145.85</v>
      </c>
      <c r="Z3462" s="8">
        <v>85.89</v>
      </c>
      <c r="AA3462" s="8">
        <v>31.297999999999998</v>
      </c>
      <c r="AB3462" s="8">
        <v>6.048</v>
      </c>
      <c r="AC3462" s="8">
        <v>0.57099999999999995</v>
      </c>
    </row>
    <row r="3463" spans="1:29" ht="11.65" hidden="1" x14ac:dyDescent="0.35">
      <c r="A3463" s="12">
        <v>3446</v>
      </c>
      <c r="B3463" s="10" t="s">
        <v>1015</v>
      </c>
      <c r="C3463" s="18" t="s">
        <v>1254</v>
      </c>
      <c r="D3463" s="9"/>
      <c r="E3463" s="9">
        <v>752</v>
      </c>
      <c r="F3463" s="10" t="s">
        <v>1066</v>
      </c>
      <c r="G3463" s="9">
        <v>924</v>
      </c>
      <c r="H3463" s="9">
        <v>2000</v>
      </c>
      <c r="I3463" s="8">
        <v>225.749</v>
      </c>
      <c r="J3463" s="8">
        <v>291.101</v>
      </c>
      <c r="K3463" s="8">
        <v>279.89699999999999</v>
      </c>
      <c r="L3463" s="8">
        <v>246.458</v>
      </c>
      <c r="M3463" s="8">
        <v>254.47300000000001</v>
      </c>
      <c r="N3463" s="8">
        <v>291.86399999999998</v>
      </c>
      <c r="O3463" s="8">
        <v>310.19799999999998</v>
      </c>
      <c r="P3463" s="8">
        <v>303.52300000000002</v>
      </c>
      <c r="Q3463" s="8">
        <v>287.483</v>
      </c>
      <c r="R3463" s="8">
        <v>289.36</v>
      </c>
      <c r="S3463" s="8">
        <v>321.08300000000003</v>
      </c>
      <c r="T3463" s="8">
        <v>282.95100000000002</v>
      </c>
      <c r="U3463" s="8">
        <v>220.67400000000001</v>
      </c>
      <c r="V3463" s="8">
        <v>199.33500000000001</v>
      </c>
      <c r="W3463" s="8">
        <v>198.995</v>
      </c>
      <c r="X3463" s="8">
        <v>196.92599999999999</v>
      </c>
      <c r="Y3463" s="8">
        <v>147.702</v>
      </c>
      <c r="Z3463" s="8">
        <v>94.117999999999995</v>
      </c>
      <c r="AA3463" s="8">
        <v>38.625999999999998</v>
      </c>
      <c r="AB3463" s="8">
        <v>8.1059999999999999</v>
      </c>
      <c r="AC3463" s="8">
        <v>0.75800000000000001</v>
      </c>
    </row>
    <row r="3464" spans="1:29" ht="11.65" hidden="1" x14ac:dyDescent="0.35">
      <c r="A3464" s="12">
        <v>3447</v>
      </c>
      <c r="B3464" s="10" t="s">
        <v>1015</v>
      </c>
      <c r="C3464" s="18" t="s">
        <v>1254</v>
      </c>
      <c r="D3464" s="9"/>
      <c r="E3464" s="9">
        <v>752</v>
      </c>
      <c r="F3464" s="10" t="s">
        <v>1066</v>
      </c>
      <c r="G3464" s="9">
        <v>924</v>
      </c>
      <c r="H3464" s="9">
        <v>2005</v>
      </c>
      <c r="I3464" s="8">
        <v>239.131</v>
      </c>
      <c r="J3464" s="8">
        <v>231.12200000000001</v>
      </c>
      <c r="K3464" s="8">
        <v>295.952</v>
      </c>
      <c r="L3464" s="8">
        <v>285.53100000000001</v>
      </c>
      <c r="M3464" s="8">
        <v>256.84699999999998</v>
      </c>
      <c r="N3464" s="8">
        <v>267.64600000000002</v>
      </c>
      <c r="O3464" s="8">
        <v>300.81099999999998</v>
      </c>
      <c r="P3464" s="8">
        <v>315.85300000000001</v>
      </c>
      <c r="Q3464" s="8">
        <v>306.62099999999998</v>
      </c>
      <c r="R3464" s="8">
        <v>288.63299999999998</v>
      </c>
      <c r="S3464" s="8">
        <v>288.19400000000002</v>
      </c>
      <c r="T3464" s="8">
        <v>316.95699999999999</v>
      </c>
      <c r="U3464" s="8">
        <v>276.423</v>
      </c>
      <c r="V3464" s="8">
        <v>212.476</v>
      </c>
      <c r="W3464" s="8">
        <v>186.34700000000001</v>
      </c>
      <c r="X3464" s="8">
        <v>177.679</v>
      </c>
      <c r="Y3464" s="8">
        <v>159.047</v>
      </c>
      <c r="Z3464" s="8">
        <v>97.247</v>
      </c>
      <c r="AA3464" s="8">
        <v>42.960999999999999</v>
      </c>
      <c r="AB3464" s="8">
        <v>10.064</v>
      </c>
      <c r="AC3464" s="8">
        <v>0.995</v>
      </c>
    </row>
    <row r="3465" spans="1:29" ht="11.65" hidden="1" x14ac:dyDescent="0.35">
      <c r="A3465" s="12">
        <v>3448</v>
      </c>
      <c r="B3465" s="10" t="s">
        <v>1015</v>
      </c>
      <c r="C3465" s="18" t="s">
        <v>1254</v>
      </c>
      <c r="D3465" s="9"/>
      <c r="E3465" s="9">
        <v>752</v>
      </c>
      <c r="F3465" s="10" t="s">
        <v>1066</v>
      </c>
      <c r="G3465" s="9">
        <v>924</v>
      </c>
      <c r="H3465" s="9">
        <v>2010</v>
      </c>
      <c r="I3465" s="8">
        <v>270.041</v>
      </c>
      <c r="J3465" s="8">
        <v>247.13800000000001</v>
      </c>
      <c r="K3465" s="8">
        <v>236.846</v>
      </c>
      <c r="L3465" s="8">
        <v>313.64100000000002</v>
      </c>
      <c r="M3465" s="8">
        <v>305.79599999999999</v>
      </c>
      <c r="N3465" s="8">
        <v>279.80700000000002</v>
      </c>
      <c r="O3465" s="8">
        <v>282.245</v>
      </c>
      <c r="P3465" s="8">
        <v>312.01499999999999</v>
      </c>
      <c r="Q3465" s="8">
        <v>327.46300000000002</v>
      </c>
      <c r="R3465" s="8">
        <v>307.46800000000002</v>
      </c>
      <c r="S3465" s="8">
        <v>289.74299999999999</v>
      </c>
      <c r="T3465" s="8">
        <v>283.452</v>
      </c>
      <c r="U3465" s="8">
        <v>312.88600000000002</v>
      </c>
      <c r="V3465" s="8">
        <v>264.221</v>
      </c>
      <c r="W3465" s="8">
        <v>199.36699999999999</v>
      </c>
      <c r="X3465" s="8">
        <v>167.947</v>
      </c>
      <c r="Y3465" s="8">
        <v>145.773</v>
      </c>
      <c r="Z3465" s="8">
        <v>107.98399999999999</v>
      </c>
      <c r="AA3465" s="8">
        <v>46.261000000000003</v>
      </c>
      <c r="AB3465" s="8">
        <v>11.624000000000001</v>
      </c>
      <c r="AC3465" s="8">
        <v>1.2689999999999999</v>
      </c>
    </row>
    <row r="3466" spans="1:29" ht="11.65" hidden="1" x14ac:dyDescent="0.35">
      <c r="A3466" s="12">
        <v>3449</v>
      </c>
      <c r="B3466" s="10" t="s">
        <v>1015</v>
      </c>
      <c r="C3466" s="18" t="s">
        <v>1254</v>
      </c>
      <c r="D3466" s="9"/>
      <c r="E3466" s="9">
        <v>752</v>
      </c>
      <c r="F3466" s="10" t="s">
        <v>1066</v>
      </c>
      <c r="G3466" s="9">
        <v>924</v>
      </c>
      <c r="H3466" s="9">
        <v>2015</v>
      </c>
      <c r="I3466" s="8">
        <v>285.892</v>
      </c>
      <c r="J3466" s="8">
        <v>282.67</v>
      </c>
      <c r="K3466" s="8">
        <v>252.83799999999999</v>
      </c>
      <c r="L3466" s="8">
        <v>243.83099999999999</v>
      </c>
      <c r="M3466" s="8">
        <v>340.44600000000003</v>
      </c>
      <c r="N3466" s="8">
        <v>326.82799999999997</v>
      </c>
      <c r="O3466" s="8">
        <v>297.83699999999999</v>
      </c>
      <c r="P3466" s="8">
        <v>293.73700000000002</v>
      </c>
      <c r="Q3466" s="8">
        <v>320.64499999999998</v>
      </c>
      <c r="R3466" s="8">
        <v>334.52199999999999</v>
      </c>
      <c r="S3466" s="8">
        <v>307.00599999999997</v>
      </c>
      <c r="T3466" s="8">
        <v>288.15800000000002</v>
      </c>
      <c r="U3466" s="8">
        <v>274.57100000000003</v>
      </c>
      <c r="V3466" s="8">
        <v>304.666</v>
      </c>
      <c r="W3466" s="8">
        <v>244.56800000000001</v>
      </c>
      <c r="X3466" s="8">
        <v>177.2</v>
      </c>
      <c r="Y3466" s="8">
        <v>138.99</v>
      </c>
      <c r="Z3466" s="8">
        <v>101.233</v>
      </c>
      <c r="AA3466" s="8">
        <v>53.524999999999999</v>
      </c>
      <c r="AB3466" s="8">
        <v>13.317</v>
      </c>
      <c r="AC3466" s="8">
        <v>1.613</v>
      </c>
    </row>
    <row r="3467" spans="1:29" ht="11.65" hidden="1" x14ac:dyDescent="0.35">
      <c r="A3467" s="12">
        <v>3450</v>
      </c>
      <c r="B3467" s="10" t="s">
        <v>1015</v>
      </c>
      <c r="C3467" s="18" t="s">
        <v>1254</v>
      </c>
      <c r="D3467" s="9"/>
      <c r="E3467" s="9">
        <v>752</v>
      </c>
      <c r="F3467" s="10" t="s">
        <v>1066</v>
      </c>
      <c r="G3467" s="9">
        <v>924</v>
      </c>
      <c r="H3467" s="9">
        <v>2020</v>
      </c>
      <c r="I3467" s="8">
        <v>292.20999999999998</v>
      </c>
      <c r="J3467" s="8">
        <v>288.46300000000002</v>
      </c>
      <c r="K3467" s="8">
        <v>284.76100000000002</v>
      </c>
      <c r="L3467" s="8">
        <v>264.27600000000001</v>
      </c>
      <c r="M3467" s="8">
        <v>263.73899999999998</v>
      </c>
      <c r="N3467" s="8">
        <v>358.68900000000002</v>
      </c>
      <c r="O3467" s="8">
        <v>339.96800000000002</v>
      </c>
      <c r="P3467" s="8">
        <v>306.387</v>
      </c>
      <c r="Q3467" s="8">
        <v>298.86500000000001</v>
      </c>
      <c r="R3467" s="8">
        <v>323.05599999999998</v>
      </c>
      <c r="S3467" s="8">
        <v>334.43200000000002</v>
      </c>
      <c r="T3467" s="8">
        <v>304.74799999999999</v>
      </c>
      <c r="U3467" s="8">
        <v>283.39800000000002</v>
      </c>
      <c r="V3467" s="8">
        <v>266.31400000000002</v>
      </c>
      <c r="W3467" s="8">
        <v>289.34500000000003</v>
      </c>
      <c r="X3467" s="8">
        <v>223.81399999999999</v>
      </c>
      <c r="Y3467" s="8">
        <v>149.64400000000001</v>
      </c>
      <c r="Z3467" s="8">
        <v>98.697999999999993</v>
      </c>
      <c r="AA3467" s="8">
        <v>51.732999999999997</v>
      </c>
      <c r="AB3467" s="8">
        <v>15.951000000000001</v>
      </c>
      <c r="AC3467" s="8">
        <v>1.8320000000000001</v>
      </c>
    </row>
    <row r="3468" spans="1:29" ht="11.65" hidden="1" x14ac:dyDescent="0.35">
      <c r="A3468" s="12">
        <v>3451</v>
      </c>
      <c r="B3468" s="10" t="s">
        <v>1015</v>
      </c>
      <c r="C3468" s="18" t="s">
        <v>1255</v>
      </c>
      <c r="D3468" s="9">
        <v>24</v>
      </c>
      <c r="E3468" s="9">
        <v>826</v>
      </c>
      <c r="F3468" s="10" t="s">
        <v>1066</v>
      </c>
      <c r="G3468" s="9">
        <v>924</v>
      </c>
      <c r="H3468" s="9">
        <v>1950</v>
      </c>
      <c r="I3468" s="8">
        <v>2131.9110000000001</v>
      </c>
      <c r="J3468" s="8">
        <v>1780.98</v>
      </c>
      <c r="K3468" s="8">
        <v>1649.771</v>
      </c>
      <c r="L3468" s="8">
        <v>1647.6559999999999</v>
      </c>
      <c r="M3468" s="8">
        <v>1762.0650000000001</v>
      </c>
      <c r="N3468" s="8">
        <v>1962.711</v>
      </c>
      <c r="O3468" s="8">
        <v>1774.405</v>
      </c>
      <c r="P3468" s="8">
        <v>1973.06</v>
      </c>
      <c r="Q3468" s="8">
        <v>1962.0350000000001</v>
      </c>
      <c r="R3468" s="8">
        <v>1853.403</v>
      </c>
      <c r="S3468" s="8">
        <v>1694.6880000000001</v>
      </c>
      <c r="T3468" s="8">
        <v>1519.3489999999999</v>
      </c>
      <c r="U3468" s="8">
        <v>1360.66</v>
      </c>
      <c r="V3468" s="8">
        <v>1177.92</v>
      </c>
      <c r="W3468" s="8">
        <v>930.22199999999998</v>
      </c>
      <c r="X3468" s="8">
        <v>611.56299999999999</v>
      </c>
      <c r="Y3468" s="8">
        <v>326.726</v>
      </c>
      <c r="Z3468" s="8">
        <v>124.756</v>
      </c>
      <c r="AA3468" s="8">
        <v>30.317</v>
      </c>
      <c r="AB3468" s="8">
        <v>4.1529999999999996</v>
      </c>
      <c r="AC3468" s="8">
        <v>0.26500000000000001</v>
      </c>
    </row>
    <row r="3469" spans="1:29" ht="11.65" hidden="1" x14ac:dyDescent="0.35">
      <c r="A3469" s="12">
        <v>3452</v>
      </c>
      <c r="B3469" s="10" t="s">
        <v>1015</v>
      </c>
      <c r="C3469" s="18" t="s">
        <v>1255</v>
      </c>
      <c r="D3469" s="9">
        <v>24</v>
      </c>
      <c r="E3469" s="9">
        <v>826</v>
      </c>
      <c r="F3469" s="10" t="s">
        <v>1066</v>
      </c>
      <c r="G3469" s="9">
        <v>924</v>
      </c>
      <c r="H3469" s="9">
        <v>1955</v>
      </c>
      <c r="I3469" s="8">
        <v>1846.7919999999999</v>
      </c>
      <c r="J3469" s="8">
        <v>2088.3029999999999</v>
      </c>
      <c r="K3469" s="8">
        <v>1779.4590000000001</v>
      </c>
      <c r="L3469" s="8">
        <v>1648.567</v>
      </c>
      <c r="M3469" s="8">
        <v>1627.443</v>
      </c>
      <c r="N3469" s="8">
        <v>1732.1010000000001</v>
      </c>
      <c r="O3469" s="8">
        <v>1919.126</v>
      </c>
      <c r="P3469" s="8">
        <v>1726.6569999999999</v>
      </c>
      <c r="Q3469" s="8">
        <v>1922.9549999999999</v>
      </c>
      <c r="R3469" s="8">
        <v>1896.3489999999999</v>
      </c>
      <c r="S3469" s="8">
        <v>1789.663</v>
      </c>
      <c r="T3469" s="8">
        <v>1604.4079999999999</v>
      </c>
      <c r="U3469" s="8">
        <v>1420.2090000000001</v>
      </c>
      <c r="V3469" s="8">
        <v>1228.9970000000001</v>
      </c>
      <c r="W3469" s="8">
        <v>993.53899999999999</v>
      </c>
      <c r="X3469" s="8">
        <v>697.68299999999999</v>
      </c>
      <c r="Y3469" s="8">
        <v>383.82100000000003</v>
      </c>
      <c r="Z3469" s="8">
        <v>146.34</v>
      </c>
      <c r="AA3469" s="8">
        <v>37.246000000000002</v>
      </c>
      <c r="AB3469" s="8">
        <v>5.2610000000000001</v>
      </c>
      <c r="AC3469" s="8">
        <v>0.373</v>
      </c>
    </row>
    <row r="3470" spans="1:29" ht="11.65" hidden="1" x14ac:dyDescent="0.35">
      <c r="A3470" s="12">
        <v>3453</v>
      </c>
      <c r="B3470" s="10" t="s">
        <v>1015</v>
      </c>
      <c r="C3470" s="18" t="s">
        <v>1255</v>
      </c>
      <c r="D3470" s="9">
        <v>24</v>
      </c>
      <c r="E3470" s="9">
        <v>826</v>
      </c>
      <c r="F3470" s="10" t="s">
        <v>1066</v>
      </c>
      <c r="G3470" s="9">
        <v>924</v>
      </c>
      <c r="H3470" s="9">
        <v>1960</v>
      </c>
      <c r="I3470" s="8">
        <v>1996.934</v>
      </c>
      <c r="J3470" s="8">
        <v>1832.944</v>
      </c>
      <c r="K3470" s="8">
        <v>2081.5639999999999</v>
      </c>
      <c r="L3470" s="8">
        <v>1800.2729999999999</v>
      </c>
      <c r="M3470" s="8">
        <v>1666.925</v>
      </c>
      <c r="N3470" s="8">
        <v>1624.2339999999999</v>
      </c>
      <c r="O3470" s="8">
        <v>1706.8440000000001</v>
      </c>
      <c r="P3470" s="8">
        <v>1886.03</v>
      </c>
      <c r="Q3470" s="8">
        <v>1715.028</v>
      </c>
      <c r="R3470" s="8">
        <v>1887.2850000000001</v>
      </c>
      <c r="S3470" s="8">
        <v>1850.367</v>
      </c>
      <c r="T3470" s="8">
        <v>1724.575</v>
      </c>
      <c r="U3470" s="8">
        <v>1517.171</v>
      </c>
      <c r="V3470" s="8">
        <v>1297.0640000000001</v>
      </c>
      <c r="W3470" s="8">
        <v>1054.771</v>
      </c>
      <c r="X3470" s="8">
        <v>754.72500000000002</v>
      </c>
      <c r="Y3470" s="8">
        <v>450.23399999999998</v>
      </c>
      <c r="Z3470" s="8">
        <v>179.82300000000001</v>
      </c>
      <c r="AA3470" s="8">
        <v>45.685000000000002</v>
      </c>
      <c r="AB3470" s="8">
        <v>6.8140000000000001</v>
      </c>
      <c r="AC3470" s="8">
        <v>0.495</v>
      </c>
    </row>
    <row r="3471" spans="1:29" ht="11.65" hidden="1" x14ac:dyDescent="0.35">
      <c r="A3471" s="12">
        <v>3454</v>
      </c>
      <c r="B3471" s="10" t="s">
        <v>1015</v>
      </c>
      <c r="C3471" s="18" t="s">
        <v>1255</v>
      </c>
      <c r="D3471" s="9">
        <v>24</v>
      </c>
      <c r="E3471" s="9">
        <v>826</v>
      </c>
      <c r="F3471" s="10" t="s">
        <v>1066</v>
      </c>
      <c r="G3471" s="9">
        <v>924</v>
      </c>
      <c r="H3471" s="9">
        <v>1965</v>
      </c>
      <c r="I3471" s="8">
        <v>2341.6799999999998</v>
      </c>
      <c r="J3471" s="8">
        <v>1974.7439999999999</v>
      </c>
      <c r="K3471" s="8">
        <v>1833.384</v>
      </c>
      <c r="L3471" s="8">
        <v>2068.9290000000001</v>
      </c>
      <c r="M3471" s="8">
        <v>1789.662</v>
      </c>
      <c r="N3471" s="8">
        <v>1664.9780000000001</v>
      </c>
      <c r="O3471" s="8">
        <v>1613.54</v>
      </c>
      <c r="P3471" s="8">
        <v>1705.1679999999999</v>
      </c>
      <c r="Q3471" s="8">
        <v>1876.6</v>
      </c>
      <c r="R3471" s="8">
        <v>1677.9659999999999</v>
      </c>
      <c r="S3471" s="8">
        <v>1839.6880000000001</v>
      </c>
      <c r="T3471" s="8">
        <v>1797.08</v>
      </c>
      <c r="U3471" s="8">
        <v>1642.6210000000001</v>
      </c>
      <c r="V3471" s="8">
        <v>1388.347</v>
      </c>
      <c r="W3471" s="8">
        <v>1109.827</v>
      </c>
      <c r="X3471" s="8">
        <v>826.2</v>
      </c>
      <c r="Y3471" s="8">
        <v>500.19900000000001</v>
      </c>
      <c r="Z3471" s="8">
        <v>217.21100000000001</v>
      </c>
      <c r="AA3471" s="8">
        <v>58.780999999999999</v>
      </c>
      <c r="AB3471" s="8">
        <v>8.6850000000000005</v>
      </c>
      <c r="AC3471" s="8">
        <v>0.68500000000000005</v>
      </c>
    </row>
    <row r="3472" spans="1:29" ht="11.65" hidden="1" x14ac:dyDescent="0.35">
      <c r="A3472" s="12">
        <v>3455</v>
      </c>
      <c r="B3472" s="10" t="s">
        <v>1015</v>
      </c>
      <c r="C3472" s="18" t="s">
        <v>1255</v>
      </c>
      <c r="D3472" s="9">
        <v>24</v>
      </c>
      <c r="E3472" s="9">
        <v>826</v>
      </c>
      <c r="F3472" s="10" t="s">
        <v>1066</v>
      </c>
      <c r="G3472" s="9">
        <v>924</v>
      </c>
      <c r="H3472" s="9">
        <v>1970</v>
      </c>
      <c r="I3472" s="8">
        <v>2282.239</v>
      </c>
      <c r="J3472" s="8">
        <v>2305.2179999999998</v>
      </c>
      <c r="K3472" s="8">
        <v>1960.28</v>
      </c>
      <c r="L3472" s="8">
        <v>1853.8109999999999</v>
      </c>
      <c r="M3472" s="8">
        <v>2102.7539999999999</v>
      </c>
      <c r="N3472" s="8">
        <v>1763.7650000000001</v>
      </c>
      <c r="O3472" s="8">
        <v>1623.7950000000001</v>
      </c>
      <c r="P3472" s="8">
        <v>1590.624</v>
      </c>
      <c r="Q3472" s="8">
        <v>1685.021</v>
      </c>
      <c r="R3472" s="8">
        <v>1846.0309999999999</v>
      </c>
      <c r="S3472" s="8">
        <v>1634.04</v>
      </c>
      <c r="T3472" s="8">
        <v>1773.0319999999999</v>
      </c>
      <c r="U3472" s="8">
        <v>1706.3579999999999</v>
      </c>
      <c r="V3472" s="8">
        <v>1510.2349999999999</v>
      </c>
      <c r="W3472" s="8">
        <v>1206.9110000000001</v>
      </c>
      <c r="X3472" s="8">
        <v>866.846</v>
      </c>
      <c r="Y3472" s="8">
        <v>546.05700000000002</v>
      </c>
      <c r="Z3472" s="8">
        <v>255.202</v>
      </c>
      <c r="AA3472" s="8">
        <v>76.441999999999993</v>
      </c>
      <c r="AB3472" s="8">
        <v>12.446</v>
      </c>
      <c r="AC3472" s="8">
        <v>0.98899999999999999</v>
      </c>
    </row>
    <row r="3473" spans="1:29" ht="11.65" hidden="1" x14ac:dyDescent="0.35">
      <c r="A3473" s="12">
        <v>3456</v>
      </c>
      <c r="B3473" s="10" t="s">
        <v>1015</v>
      </c>
      <c r="C3473" s="18" t="s">
        <v>1255</v>
      </c>
      <c r="D3473" s="9">
        <v>24</v>
      </c>
      <c r="E3473" s="9">
        <v>826</v>
      </c>
      <c r="F3473" s="10" t="s">
        <v>1066</v>
      </c>
      <c r="G3473" s="9">
        <v>924</v>
      </c>
      <c r="H3473" s="9">
        <v>1975</v>
      </c>
      <c r="I3473" s="8">
        <v>1899.521</v>
      </c>
      <c r="J3473" s="8">
        <v>2232.527</v>
      </c>
      <c r="K3473" s="8">
        <v>2289.0410000000002</v>
      </c>
      <c r="L3473" s="8">
        <v>1988.021</v>
      </c>
      <c r="M3473" s="8">
        <v>1878.268</v>
      </c>
      <c r="N3473" s="8">
        <v>2083.085</v>
      </c>
      <c r="O3473" s="8">
        <v>1733.9639999999999</v>
      </c>
      <c r="P3473" s="8">
        <v>1604.1769999999999</v>
      </c>
      <c r="Q3473" s="8">
        <v>1569.5070000000001</v>
      </c>
      <c r="R3473" s="8">
        <v>1657.288</v>
      </c>
      <c r="S3473" s="8">
        <v>1801.038</v>
      </c>
      <c r="T3473" s="8">
        <v>1580.021</v>
      </c>
      <c r="U3473" s="8">
        <v>1686.4480000000001</v>
      </c>
      <c r="V3473" s="8">
        <v>1571.318</v>
      </c>
      <c r="W3473" s="8">
        <v>1320.3710000000001</v>
      </c>
      <c r="X3473" s="8">
        <v>953.98199999999997</v>
      </c>
      <c r="Y3473" s="8">
        <v>594.24199999999996</v>
      </c>
      <c r="Z3473" s="8">
        <v>284.55599999999998</v>
      </c>
      <c r="AA3473" s="8">
        <v>91.763000000000005</v>
      </c>
      <c r="AB3473" s="8">
        <v>16.315000000000001</v>
      </c>
      <c r="AC3473" s="8">
        <v>1.4219999999999999</v>
      </c>
    </row>
    <row r="3474" spans="1:29" ht="11.65" hidden="1" x14ac:dyDescent="0.35">
      <c r="A3474" s="12">
        <v>3457</v>
      </c>
      <c r="B3474" s="10" t="s">
        <v>1015</v>
      </c>
      <c r="C3474" s="18" t="s">
        <v>1255</v>
      </c>
      <c r="D3474" s="9">
        <v>24</v>
      </c>
      <c r="E3474" s="9">
        <v>826</v>
      </c>
      <c r="F3474" s="10" t="s">
        <v>1066</v>
      </c>
      <c r="G3474" s="9">
        <v>924</v>
      </c>
      <c r="H3474" s="9">
        <v>1980</v>
      </c>
      <c r="I3474" s="8">
        <v>1646.252</v>
      </c>
      <c r="J3474" s="8">
        <v>1876.5340000000001</v>
      </c>
      <c r="K3474" s="8">
        <v>2226.4110000000001</v>
      </c>
      <c r="L3474" s="8">
        <v>2314.3530000000001</v>
      </c>
      <c r="M3474" s="8">
        <v>2017.5129999999999</v>
      </c>
      <c r="N3474" s="8">
        <v>1870.6420000000001</v>
      </c>
      <c r="O3474" s="8">
        <v>2063.8409999999999</v>
      </c>
      <c r="P3474" s="8">
        <v>1721.3779999999999</v>
      </c>
      <c r="Q3474" s="8">
        <v>1591.816</v>
      </c>
      <c r="R3474" s="8">
        <v>1553.8209999999999</v>
      </c>
      <c r="S3474" s="8">
        <v>1622.2950000000001</v>
      </c>
      <c r="T3474" s="8">
        <v>1740.164</v>
      </c>
      <c r="U3474" s="8">
        <v>1504.2750000000001</v>
      </c>
      <c r="V3474" s="8">
        <v>1560.0920000000001</v>
      </c>
      <c r="W3474" s="8">
        <v>1383.77</v>
      </c>
      <c r="X3474" s="8">
        <v>1062.806</v>
      </c>
      <c r="Y3474" s="8">
        <v>659.048</v>
      </c>
      <c r="Z3474" s="8">
        <v>317.73</v>
      </c>
      <c r="AA3474" s="8">
        <v>105.28</v>
      </c>
      <c r="AB3474" s="8">
        <v>20.303000000000001</v>
      </c>
      <c r="AC3474" s="8">
        <v>1.946</v>
      </c>
    </row>
    <row r="3475" spans="1:29" ht="11.65" hidden="1" x14ac:dyDescent="0.35">
      <c r="A3475" s="12">
        <v>3458</v>
      </c>
      <c r="B3475" s="10" t="s">
        <v>1015</v>
      </c>
      <c r="C3475" s="18" t="s">
        <v>1255</v>
      </c>
      <c r="D3475" s="9">
        <v>24</v>
      </c>
      <c r="E3475" s="9">
        <v>826</v>
      </c>
      <c r="F3475" s="10" t="s">
        <v>1066</v>
      </c>
      <c r="G3475" s="9">
        <v>924</v>
      </c>
      <c r="H3475" s="9">
        <v>1985</v>
      </c>
      <c r="I3475" s="8">
        <v>1750.847</v>
      </c>
      <c r="J3475" s="8">
        <v>1641.867</v>
      </c>
      <c r="K3475" s="8">
        <v>1873.124</v>
      </c>
      <c r="L3475" s="8">
        <v>2238.52</v>
      </c>
      <c r="M3475" s="8">
        <v>2353.2860000000001</v>
      </c>
      <c r="N3475" s="8">
        <v>2003.5809999999999</v>
      </c>
      <c r="O3475" s="8">
        <v>1845.046</v>
      </c>
      <c r="P3475" s="8">
        <v>2058.8789999999999</v>
      </c>
      <c r="Q3475" s="8">
        <v>1705.3219999999999</v>
      </c>
      <c r="R3475" s="8">
        <v>1573.365</v>
      </c>
      <c r="S3475" s="8">
        <v>1526.53</v>
      </c>
      <c r="T3475" s="8">
        <v>1574.8620000000001</v>
      </c>
      <c r="U3475" s="8">
        <v>1658.7639999999999</v>
      </c>
      <c r="V3475" s="8">
        <v>1394.165</v>
      </c>
      <c r="W3475" s="8">
        <v>1381.1790000000001</v>
      </c>
      <c r="X3475" s="8">
        <v>1132.18</v>
      </c>
      <c r="Y3475" s="8">
        <v>753.221</v>
      </c>
      <c r="Z3475" s="8">
        <v>370.22699999999998</v>
      </c>
      <c r="AA3475" s="8">
        <v>125.125</v>
      </c>
      <c r="AB3475" s="8">
        <v>25.289000000000001</v>
      </c>
      <c r="AC3475" s="8">
        <v>2.6739999999999999</v>
      </c>
    </row>
    <row r="3476" spans="1:29" ht="11.65" hidden="1" x14ac:dyDescent="0.35">
      <c r="A3476" s="12">
        <v>3459</v>
      </c>
      <c r="B3476" s="10" t="s">
        <v>1015</v>
      </c>
      <c r="C3476" s="18" t="s">
        <v>1255</v>
      </c>
      <c r="D3476" s="9">
        <v>24</v>
      </c>
      <c r="E3476" s="9">
        <v>826</v>
      </c>
      <c r="F3476" s="10" t="s">
        <v>1066</v>
      </c>
      <c r="G3476" s="9">
        <v>924</v>
      </c>
      <c r="H3476" s="9">
        <v>1990</v>
      </c>
      <c r="I3476" s="8">
        <v>1869.402</v>
      </c>
      <c r="J3476" s="8">
        <v>1765.3240000000001</v>
      </c>
      <c r="K3476" s="8">
        <v>1657.125</v>
      </c>
      <c r="L3476" s="8">
        <v>1890.9169999999999</v>
      </c>
      <c r="M3476" s="8">
        <v>2261.4079999999999</v>
      </c>
      <c r="N3476" s="8">
        <v>2352.3209999999999</v>
      </c>
      <c r="O3476" s="8">
        <v>2014.652</v>
      </c>
      <c r="P3476" s="8">
        <v>1859.116</v>
      </c>
      <c r="Q3476" s="8">
        <v>2053.0059999999999</v>
      </c>
      <c r="R3476" s="8">
        <v>1692.7539999999999</v>
      </c>
      <c r="S3476" s="8">
        <v>1548.451</v>
      </c>
      <c r="T3476" s="8">
        <v>1486.597</v>
      </c>
      <c r="U3476" s="8">
        <v>1509.537</v>
      </c>
      <c r="V3476" s="8">
        <v>1546.4860000000001</v>
      </c>
      <c r="W3476" s="8">
        <v>1248.1790000000001</v>
      </c>
      <c r="X3476" s="8">
        <v>1148.5170000000001</v>
      </c>
      <c r="Y3476" s="8">
        <v>828.82500000000005</v>
      </c>
      <c r="Z3476" s="8">
        <v>440.69499999999999</v>
      </c>
      <c r="AA3476" s="8">
        <v>153.63200000000001</v>
      </c>
      <c r="AB3476" s="8">
        <v>31.774000000000001</v>
      </c>
      <c r="AC3476" s="8">
        <v>3.5590000000000002</v>
      </c>
    </row>
    <row r="3477" spans="1:29" ht="11.65" hidden="1" x14ac:dyDescent="0.35">
      <c r="A3477" s="12">
        <v>3460</v>
      </c>
      <c r="B3477" s="10" t="s">
        <v>1015</v>
      </c>
      <c r="C3477" s="18" t="s">
        <v>1255</v>
      </c>
      <c r="D3477" s="9">
        <v>24</v>
      </c>
      <c r="E3477" s="9">
        <v>826</v>
      </c>
      <c r="F3477" s="10" t="s">
        <v>1066</v>
      </c>
      <c r="G3477" s="9">
        <v>924</v>
      </c>
      <c r="H3477" s="9">
        <v>1995</v>
      </c>
      <c r="I3477" s="8">
        <v>1860.4570000000001</v>
      </c>
      <c r="J3477" s="8">
        <v>1873.3340000000001</v>
      </c>
      <c r="K3477" s="8">
        <v>1775.2090000000001</v>
      </c>
      <c r="L3477" s="8">
        <v>1675.3230000000001</v>
      </c>
      <c r="M3477" s="8">
        <v>1935.4469999999999</v>
      </c>
      <c r="N3477" s="8">
        <v>2289.8910000000001</v>
      </c>
      <c r="O3477" s="8">
        <v>2347.6469999999999</v>
      </c>
      <c r="P3477" s="8">
        <v>2021.0129999999999</v>
      </c>
      <c r="Q3477" s="8">
        <v>1861.1790000000001</v>
      </c>
      <c r="R3477" s="8">
        <v>2038.319</v>
      </c>
      <c r="S3477" s="8">
        <v>1676.6410000000001</v>
      </c>
      <c r="T3477" s="8">
        <v>1519.9680000000001</v>
      </c>
      <c r="U3477" s="8">
        <v>1435.7360000000001</v>
      </c>
      <c r="V3477" s="8">
        <v>1416.4970000000001</v>
      </c>
      <c r="W3477" s="8">
        <v>1390.566</v>
      </c>
      <c r="X3477" s="8">
        <v>1050.2</v>
      </c>
      <c r="Y3477" s="8">
        <v>857.851</v>
      </c>
      <c r="Z3477" s="8">
        <v>502.26100000000002</v>
      </c>
      <c r="AA3477" s="8">
        <v>191.68100000000001</v>
      </c>
      <c r="AB3477" s="8">
        <v>41.061</v>
      </c>
      <c r="AC3477" s="8">
        <v>4.6779999999999999</v>
      </c>
    </row>
    <row r="3478" spans="1:29" ht="11.65" hidden="1" x14ac:dyDescent="0.35">
      <c r="A3478" s="12">
        <v>3461</v>
      </c>
      <c r="B3478" s="10" t="s">
        <v>1015</v>
      </c>
      <c r="C3478" s="18" t="s">
        <v>1255</v>
      </c>
      <c r="D3478" s="9">
        <v>24</v>
      </c>
      <c r="E3478" s="9">
        <v>826</v>
      </c>
      <c r="F3478" s="10" t="s">
        <v>1066</v>
      </c>
      <c r="G3478" s="9">
        <v>924</v>
      </c>
      <c r="H3478" s="9">
        <v>2000</v>
      </c>
      <c r="I3478" s="8">
        <v>1731.377</v>
      </c>
      <c r="J3478" s="8">
        <v>1857.29</v>
      </c>
      <c r="K3478" s="8">
        <v>1879.848</v>
      </c>
      <c r="L3478" s="8">
        <v>1778.556</v>
      </c>
      <c r="M3478" s="8">
        <v>1753.9369999999999</v>
      </c>
      <c r="N3478" s="8">
        <v>2039.8219999999999</v>
      </c>
      <c r="O3478" s="8">
        <v>2341.8310000000001</v>
      </c>
      <c r="P3478" s="8">
        <v>2352.3020000000001</v>
      </c>
      <c r="Q3478" s="8">
        <v>2024.319</v>
      </c>
      <c r="R3478" s="8">
        <v>1857.9849999999999</v>
      </c>
      <c r="S3478" s="8">
        <v>2017.0429999999999</v>
      </c>
      <c r="T3478" s="8">
        <v>1650.549</v>
      </c>
      <c r="U3478" s="8">
        <v>1478.653</v>
      </c>
      <c r="V3478" s="8">
        <v>1367.99</v>
      </c>
      <c r="W3478" s="8">
        <v>1288.8399999999999</v>
      </c>
      <c r="X3478" s="8">
        <v>1180.558</v>
      </c>
      <c r="Y3478" s="8">
        <v>802.98400000000004</v>
      </c>
      <c r="Z3478" s="8">
        <v>529.44899999999996</v>
      </c>
      <c r="AA3478" s="8">
        <v>221.55699999999999</v>
      </c>
      <c r="AB3478" s="8">
        <v>50.951000000000001</v>
      </c>
      <c r="AC3478" s="8">
        <v>5.9</v>
      </c>
    </row>
    <row r="3479" spans="1:29" ht="11.65" hidden="1" x14ac:dyDescent="0.35">
      <c r="A3479" s="12">
        <v>3462</v>
      </c>
      <c r="B3479" s="10" t="s">
        <v>1015</v>
      </c>
      <c r="C3479" s="18" t="s">
        <v>1255</v>
      </c>
      <c r="D3479" s="9">
        <v>24</v>
      </c>
      <c r="E3479" s="9">
        <v>826</v>
      </c>
      <c r="F3479" s="10" t="s">
        <v>1066</v>
      </c>
      <c r="G3479" s="9">
        <v>924</v>
      </c>
      <c r="H3479" s="9">
        <v>2005</v>
      </c>
      <c r="I3479" s="8">
        <v>1686.9</v>
      </c>
      <c r="J3479" s="8">
        <v>1735.855</v>
      </c>
      <c r="K3479" s="8">
        <v>1860.1420000000001</v>
      </c>
      <c r="L3479" s="8">
        <v>1923.8320000000001</v>
      </c>
      <c r="M3479" s="8">
        <v>1923.5820000000001</v>
      </c>
      <c r="N3479" s="8">
        <v>1886.172</v>
      </c>
      <c r="O3479" s="8">
        <v>2104.3739999999998</v>
      </c>
      <c r="P3479" s="8">
        <v>2365.578</v>
      </c>
      <c r="Q3479" s="8">
        <v>2353.319</v>
      </c>
      <c r="R3479" s="8">
        <v>2011.325</v>
      </c>
      <c r="S3479" s="8">
        <v>1829.883</v>
      </c>
      <c r="T3479" s="8">
        <v>1971.655</v>
      </c>
      <c r="U3479" s="8">
        <v>1598.3520000000001</v>
      </c>
      <c r="V3479" s="8">
        <v>1408.3030000000001</v>
      </c>
      <c r="W3479" s="8">
        <v>1262.722</v>
      </c>
      <c r="X3479" s="8">
        <v>1114.3810000000001</v>
      </c>
      <c r="Y3479" s="8">
        <v>912.322</v>
      </c>
      <c r="Z3479" s="8">
        <v>510.899</v>
      </c>
      <c r="AA3479" s="8">
        <v>242.22800000000001</v>
      </c>
      <c r="AB3479" s="8">
        <v>61.142000000000003</v>
      </c>
      <c r="AC3479" s="8">
        <v>7.5019999999999998</v>
      </c>
    </row>
    <row r="3480" spans="1:29" ht="11.65" hidden="1" x14ac:dyDescent="0.35">
      <c r="A3480" s="12">
        <v>3463</v>
      </c>
      <c r="B3480" s="10" t="s">
        <v>1015</v>
      </c>
      <c r="C3480" s="18" t="s">
        <v>1255</v>
      </c>
      <c r="D3480" s="9">
        <v>24</v>
      </c>
      <c r="E3480" s="9">
        <v>826</v>
      </c>
      <c r="F3480" s="10" t="s">
        <v>1066</v>
      </c>
      <c r="G3480" s="9">
        <v>924</v>
      </c>
      <c r="H3480" s="9">
        <v>2010</v>
      </c>
      <c r="I3480" s="8">
        <v>1904.1479999999999</v>
      </c>
      <c r="J3480" s="8">
        <v>1717.424</v>
      </c>
      <c r="K3480" s="8">
        <v>1798.2829999999999</v>
      </c>
      <c r="L3480" s="8">
        <v>1960.96</v>
      </c>
      <c r="M3480" s="8">
        <v>2142.627</v>
      </c>
      <c r="N3480" s="8">
        <v>2170.8919999999998</v>
      </c>
      <c r="O3480" s="8">
        <v>2077.4349999999999</v>
      </c>
      <c r="P3480" s="8">
        <v>2128.6889999999999</v>
      </c>
      <c r="Q3480" s="8">
        <v>2353.1039999999998</v>
      </c>
      <c r="R3480" s="8">
        <v>2342.8339999999998</v>
      </c>
      <c r="S3480" s="8">
        <v>2053.248</v>
      </c>
      <c r="T3480" s="8">
        <v>1839.713</v>
      </c>
      <c r="U3480" s="8">
        <v>1948.0329999999999</v>
      </c>
      <c r="V3480" s="8">
        <v>1546.84</v>
      </c>
      <c r="W3480" s="8">
        <v>1315.018</v>
      </c>
      <c r="X3480" s="8">
        <v>1128.893</v>
      </c>
      <c r="Y3480" s="8">
        <v>919.00900000000001</v>
      </c>
      <c r="Z3480" s="8">
        <v>606.85900000000004</v>
      </c>
      <c r="AA3480" s="8">
        <v>249.084</v>
      </c>
      <c r="AB3480" s="8">
        <v>71.774000000000001</v>
      </c>
      <c r="AC3480" s="8">
        <v>9.6539999999999999</v>
      </c>
    </row>
    <row r="3481" spans="1:29" ht="11.65" hidden="1" x14ac:dyDescent="0.35">
      <c r="A3481" s="12">
        <v>3464</v>
      </c>
      <c r="B3481" s="10" t="s">
        <v>1015</v>
      </c>
      <c r="C3481" s="18" t="s">
        <v>1255</v>
      </c>
      <c r="D3481" s="9">
        <v>24</v>
      </c>
      <c r="E3481" s="9">
        <v>826</v>
      </c>
      <c r="F3481" s="10" t="s">
        <v>1066</v>
      </c>
      <c r="G3481" s="9">
        <v>924</v>
      </c>
      <c r="H3481" s="9">
        <v>2015</v>
      </c>
      <c r="I3481" s="8">
        <v>1994.566</v>
      </c>
      <c r="J3481" s="8">
        <v>1920.3920000000001</v>
      </c>
      <c r="K3481" s="8">
        <v>1731.0450000000001</v>
      </c>
      <c r="L3481" s="8">
        <v>1872.4580000000001</v>
      </c>
      <c r="M3481" s="8">
        <v>2089.9810000000002</v>
      </c>
      <c r="N3481" s="8">
        <v>2261.2049999999999</v>
      </c>
      <c r="O3481" s="8">
        <v>2255.3960000000002</v>
      </c>
      <c r="P3481" s="8">
        <v>2130.712</v>
      </c>
      <c r="Q3481" s="8">
        <v>2157.6660000000002</v>
      </c>
      <c r="R3481" s="8">
        <v>2361.741</v>
      </c>
      <c r="S3481" s="8">
        <v>2333.924</v>
      </c>
      <c r="T3481" s="8">
        <v>2029.519</v>
      </c>
      <c r="U3481" s="8">
        <v>1799.2629999999999</v>
      </c>
      <c r="V3481" s="8">
        <v>1876.326</v>
      </c>
      <c r="W3481" s="8">
        <v>1452.2819999999999</v>
      </c>
      <c r="X3481" s="8">
        <v>1178.596</v>
      </c>
      <c r="Y3481" s="8">
        <v>924.71199999999999</v>
      </c>
      <c r="Z3481" s="8">
        <v>632.12199999999996</v>
      </c>
      <c r="AA3481" s="8">
        <v>307.34300000000002</v>
      </c>
      <c r="AB3481" s="8">
        <v>77.591999999999999</v>
      </c>
      <c r="AC3481" s="8">
        <v>11.81</v>
      </c>
    </row>
    <row r="3482" spans="1:29" ht="11.65" hidden="1" x14ac:dyDescent="0.35">
      <c r="A3482" s="12">
        <v>3465</v>
      </c>
      <c r="B3482" s="10" t="s">
        <v>1015</v>
      </c>
      <c r="C3482" s="18" t="s">
        <v>1255</v>
      </c>
      <c r="D3482" s="9">
        <v>24</v>
      </c>
      <c r="E3482" s="9">
        <v>826</v>
      </c>
      <c r="F3482" s="10" t="s">
        <v>1066</v>
      </c>
      <c r="G3482" s="9">
        <v>924</v>
      </c>
      <c r="H3482" s="9">
        <v>2020</v>
      </c>
      <c r="I3482" s="8">
        <v>1915.127</v>
      </c>
      <c r="J3482" s="8">
        <v>2011.0160000000001</v>
      </c>
      <c r="K3482" s="8">
        <v>1933.97</v>
      </c>
      <c r="L3482" s="8">
        <v>1805.5219999999999</v>
      </c>
      <c r="M3482" s="8">
        <v>2001.9659999999999</v>
      </c>
      <c r="N3482" s="8">
        <v>2208.9290000000001</v>
      </c>
      <c r="O3482" s="8">
        <v>2345.7739999999999</v>
      </c>
      <c r="P3482" s="8">
        <v>2308.36</v>
      </c>
      <c r="Q3482" s="8">
        <v>2159.877</v>
      </c>
      <c r="R3482" s="8">
        <v>2167.7779999999998</v>
      </c>
      <c r="S3482" s="8">
        <v>2353.1190000000001</v>
      </c>
      <c r="T3482" s="8">
        <v>2306.5369999999998</v>
      </c>
      <c r="U3482" s="8">
        <v>1985.1769999999999</v>
      </c>
      <c r="V3482" s="8">
        <v>1734.37</v>
      </c>
      <c r="W3482" s="8">
        <v>1763.8530000000001</v>
      </c>
      <c r="X3482" s="8">
        <v>1304.7090000000001</v>
      </c>
      <c r="Y3482" s="8">
        <v>969.61099999999999</v>
      </c>
      <c r="Z3482" s="8">
        <v>638.89200000000005</v>
      </c>
      <c r="AA3482" s="8">
        <v>320.625</v>
      </c>
      <c r="AB3482" s="8">
        <v>95.558999999999997</v>
      </c>
      <c r="AC3482" s="8">
        <v>12.818</v>
      </c>
    </row>
    <row r="3483" spans="1:29" ht="11.65" hidden="1" x14ac:dyDescent="0.35">
      <c r="A3483" s="23">
        <v>3466</v>
      </c>
      <c r="B3483" s="21" t="s">
        <v>1015</v>
      </c>
      <c r="C3483" s="22" t="s">
        <v>1256</v>
      </c>
      <c r="D3483" s="20"/>
      <c r="E3483" s="20">
        <v>925</v>
      </c>
      <c r="F3483" s="21" t="s">
        <v>1065</v>
      </c>
      <c r="G3483" s="20">
        <v>917</v>
      </c>
      <c r="H3483" s="20">
        <v>1950</v>
      </c>
      <c r="I3483" s="19">
        <v>5305.6940000000004</v>
      </c>
      <c r="J3483" s="19">
        <v>4595.4560000000001</v>
      </c>
      <c r="K3483" s="19">
        <v>4895.0069999999996</v>
      </c>
      <c r="L3483" s="19">
        <v>5117.7560000000003</v>
      </c>
      <c r="M3483" s="19">
        <v>4969.9560000000001</v>
      </c>
      <c r="N3483" s="19">
        <v>4646.6790000000001</v>
      </c>
      <c r="O3483" s="19">
        <v>3403.5740000000001</v>
      </c>
      <c r="P3483" s="19">
        <v>3969.8449999999998</v>
      </c>
      <c r="Q3483" s="19">
        <v>3703.3879999999999</v>
      </c>
      <c r="R3483" s="19">
        <v>3300.8760000000002</v>
      </c>
      <c r="S3483" s="19">
        <v>2870.0430000000001</v>
      </c>
      <c r="T3483" s="19">
        <v>2450.8589999999999</v>
      </c>
      <c r="U3483" s="19">
        <v>2182.6999999999998</v>
      </c>
      <c r="V3483" s="19">
        <v>1756.6890000000001</v>
      </c>
      <c r="W3483" s="19">
        <v>1311.298</v>
      </c>
      <c r="X3483" s="19">
        <v>863.8</v>
      </c>
      <c r="Y3483" s="19">
        <v>451.44400000000002</v>
      </c>
      <c r="Z3483" s="19">
        <v>181.04599999999999</v>
      </c>
      <c r="AA3483" s="19">
        <v>49.258000000000003</v>
      </c>
      <c r="AB3483" s="19">
        <v>9.6920000000000002</v>
      </c>
      <c r="AC3483" s="19">
        <v>0.89900000000000002</v>
      </c>
    </row>
    <row r="3484" spans="1:29" ht="11.65" hidden="1" x14ac:dyDescent="0.35">
      <c r="A3484" s="23">
        <v>3467</v>
      </c>
      <c r="B3484" s="21" t="s">
        <v>1015</v>
      </c>
      <c r="C3484" s="22" t="s">
        <v>1256</v>
      </c>
      <c r="D3484" s="20"/>
      <c r="E3484" s="20">
        <v>925</v>
      </c>
      <c r="F3484" s="21" t="s">
        <v>1065</v>
      </c>
      <c r="G3484" s="20">
        <v>917</v>
      </c>
      <c r="H3484" s="20">
        <v>1955</v>
      </c>
      <c r="I3484" s="19">
        <v>5241.7539999999999</v>
      </c>
      <c r="J3484" s="19">
        <v>5212.8810000000003</v>
      </c>
      <c r="K3484" s="19">
        <v>4575.5320000000002</v>
      </c>
      <c r="L3484" s="19">
        <v>4830.4369999999999</v>
      </c>
      <c r="M3484" s="19">
        <v>4976.2190000000001</v>
      </c>
      <c r="N3484" s="19">
        <v>4812.9620000000004</v>
      </c>
      <c r="O3484" s="19">
        <v>4510.0169999999998</v>
      </c>
      <c r="P3484" s="19">
        <v>3309.067</v>
      </c>
      <c r="Q3484" s="19">
        <v>3871.212</v>
      </c>
      <c r="R3484" s="19">
        <v>3610.08</v>
      </c>
      <c r="S3484" s="19">
        <v>3195.4349999999999</v>
      </c>
      <c r="T3484" s="19">
        <v>2747.5859999999998</v>
      </c>
      <c r="U3484" s="19">
        <v>2303.0659999999998</v>
      </c>
      <c r="V3484" s="19">
        <v>1960.489</v>
      </c>
      <c r="W3484" s="19">
        <v>1454.848</v>
      </c>
      <c r="X3484" s="19">
        <v>950.31200000000001</v>
      </c>
      <c r="Y3484" s="19">
        <v>520.45600000000002</v>
      </c>
      <c r="Z3484" s="19">
        <v>195.80699999999999</v>
      </c>
      <c r="AA3484" s="19">
        <v>52.485999999999997</v>
      </c>
      <c r="AB3484" s="19">
        <v>9.4339999999999993</v>
      </c>
      <c r="AC3484" s="19">
        <v>1.1399999999999999</v>
      </c>
    </row>
    <row r="3485" spans="1:29" ht="11.65" hidden="1" x14ac:dyDescent="0.35">
      <c r="A3485" s="23">
        <v>3468</v>
      </c>
      <c r="B3485" s="21" t="s">
        <v>1015</v>
      </c>
      <c r="C3485" s="22" t="s">
        <v>1256</v>
      </c>
      <c r="D3485" s="20"/>
      <c r="E3485" s="20">
        <v>925</v>
      </c>
      <c r="F3485" s="21" t="s">
        <v>1065</v>
      </c>
      <c r="G3485" s="20">
        <v>917</v>
      </c>
      <c r="H3485" s="20">
        <v>1960</v>
      </c>
      <c r="I3485" s="19">
        <v>5401.951</v>
      </c>
      <c r="J3485" s="19">
        <v>5182.6289999999999</v>
      </c>
      <c r="K3485" s="19">
        <v>5179.7470000000003</v>
      </c>
      <c r="L3485" s="19">
        <v>4512.8059999999996</v>
      </c>
      <c r="M3485" s="19">
        <v>4715.4949999999999</v>
      </c>
      <c r="N3485" s="19">
        <v>4792.3459999999995</v>
      </c>
      <c r="O3485" s="19">
        <v>4621.0510000000004</v>
      </c>
      <c r="P3485" s="19">
        <v>4346.6880000000001</v>
      </c>
      <c r="Q3485" s="19">
        <v>3181.7539999999999</v>
      </c>
      <c r="R3485" s="19">
        <v>3746.2959999999998</v>
      </c>
      <c r="S3485" s="19">
        <v>3478.6439999999998</v>
      </c>
      <c r="T3485" s="19">
        <v>3043.2170000000001</v>
      </c>
      <c r="U3485" s="19">
        <v>2573.8119999999999</v>
      </c>
      <c r="V3485" s="19">
        <v>2083.9929999999999</v>
      </c>
      <c r="W3485" s="19">
        <v>1648.5840000000001</v>
      </c>
      <c r="X3485" s="19">
        <v>1070.557</v>
      </c>
      <c r="Y3485" s="19">
        <v>585.46600000000001</v>
      </c>
      <c r="Z3485" s="19">
        <v>232.482</v>
      </c>
      <c r="AA3485" s="19">
        <v>57.784999999999997</v>
      </c>
      <c r="AB3485" s="19">
        <v>9.5909999999999993</v>
      </c>
      <c r="AC3485" s="19">
        <v>1.0309999999999999</v>
      </c>
    </row>
    <row r="3486" spans="1:29" ht="11.65" hidden="1" x14ac:dyDescent="0.35">
      <c r="A3486" s="23">
        <v>3469</v>
      </c>
      <c r="B3486" s="21" t="s">
        <v>1015</v>
      </c>
      <c r="C3486" s="22" t="s">
        <v>1256</v>
      </c>
      <c r="D3486" s="20"/>
      <c r="E3486" s="20">
        <v>925</v>
      </c>
      <c r="F3486" s="21" t="s">
        <v>1065</v>
      </c>
      <c r="G3486" s="20">
        <v>917</v>
      </c>
      <c r="H3486" s="20">
        <v>1965</v>
      </c>
      <c r="I3486" s="19">
        <v>5706.7169999999996</v>
      </c>
      <c r="J3486" s="19">
        <v>5371.9</v>
      </c>
      <c r="K3486" s="19">
        <v>5119.915</v>
      </c>
      <c r="L3486" s="19">
        <v>5053.085</v>
      </c>
      <c r="M3486" s="19">
        <v>4347.9799999999996</v>
      </c>
      <c r="N3486" s="19">
        <v>4564.4560000000001</v>
      </c>
      <c r="O3486" s="19">
        <v>4674.6049999999996</v>
      </c>
      <c r="P3486" s="19">
        <v>4498.7539999999999</v>
      </c>
      <c r="Q3486" s="19">
        <v>4241.165</v>
      </c>
      <c r="R3486" s="19">
        <v>3115.8339999999998</v>
      </c>
      <c r="S3486" s="19">
        <v>3642.0889999999999</v>
      </c>
      <c r="T3486" s="19">
        <v>3353.7570000000001</v>
      </c>
      <c r="U3486" s="19">
        <v>2894.9879999999998</v>
      </c>
      <c r="V3486" s="19">
        <v>2353.2869999999998</v>
      </c>
      <c r="W3486" s="19">
        <v>1775.048</v>
      </c>
      <c r="X3486" s="19">
        <v>1248.625</v>
      </c>
      <c r="Y3486" s="19">
        <v>680.61</v>
      </c>
      <c r="Z3486" s="19">
        <v>272.74700000000001</v>
      </c>
      <c r="AA3486" s="19">
        <v>71.966999999999999</v>
      </c>
      <c r="AB3486" s="19">
        <v>10.861000000000001</v>
      </c>
      <c r="AC3486" s="19">
        <v>1.0389999999999999</v>
      </c>
    </row>
    <row r="3487" spans="1:29" ht="11.65" hidden="1" x14ac:dyDescent="0.35">
      <c r="A3487" s="23">
        <v>3470</v>
      </c>
      <c r="B3487" s="21" t="s">
        <v>1015</v>
      </c>
      <c r="C3487" s="22" t="s">
        <v>1256</v>
      </c>
      <c r="D3487" s="20"/>
      <c r="E3487" s="20">
        <v>925</v>
      </c>
      <c r="F3487" s="21" t="s">
        <v>1065</v>
      </c>
      <c r="G3487" s="20">
        <v>917</v>
      </c>
      <c r="H3487" s="20">
        <v>1970</v>
      </c>
      <c r="I3487" s="19">
        <v>5609.576</v>
      </c>
      <c r="J3487" s="19">
        <v>5648.6719999999996</v>
      </c>
      <c r="K3487" s="19">
        <v>5332.6409999999996</v>
      </c>
      <c r="L3487" s="19">
        <v>5047.2889999999998</v>
      </c>
      <c r="M3487" s="19">
        <v>4874.567</v>
      </c>
      <c r="N3487" s="19">
        <v>4128.0720000000001</v>
      </c>
      <c r="O3487" s="19">
        <v>4400.22</v>
      </c>
      <c r="P3487" s="19">
        <v>4556.9849999999997</v>
      </c>
      <c r="Q3487" s="19">
        <v>4396.1989999999996</v>
      </c>
      <c r="R3487" s="19">
        <v>4147.643</v>
      </c>
      <c r="S3487" s="19">
        <v>3029.7089999999998</v>
      </c>
      <c r="T3487" s="19">
        <v>3517.7849999999999</v>
      </c>
      <c r="U3487" s="19">
        <v>3207.0859999999998</v>
      </c>
      <c r="V3487" s="19">
        <v>2700.415</v>
      </c>
      <c r="W3487" s="19">
        <v>2050.1590000000001</v>
      </c>
      <c r="X3487" s="19">
        <v>1365.45</v>
      </c>
      <c r="Y3487" s="19">
        <v>822.26900000000001</v>
      </c>
      <c r="Z3487" s="19">
        <v>333.01100000000002</v>
      </c>
      <c r="AA3487" s="19">
        <v>87.087999999999994</v>
      </c>
      <c r="AB3487" s="19">
        <v>13.757</v>
      </c>
      <c r="AC3487" s="19">
        <v>1.1519999999999999</v>
      </c>
    </row>
    <row r="3488" spans="1:29" ht="11.65" hidden="1" x14ac:dyDescent="0.35">
      <c r="A3488" s="23">
        <v>3471</v>
      </c>
      <c r="B3488" s="21" t="s">
        <v>1015</v>
      </c>
      <c r="C3488" s="22" t="s">
        <v>1256</v>
      </c>
      <c r="D3488" s="20"/>
      <c r="E3488" s="20">
        <v>925</v>
      </c>
      <c r="F3488" s="21" t="s">
        <v>1065</v>
      </c>
      <c r="G3488" s="20">
        <v>917</v>
      </c>
      <c r="H3488" s="20">
        <v>1975</v>
      </c>
      <c r="I3488" s="19">
        <v>5546.3959999999997</v>
      </c>
      <c r="J3488" s="19">
        <v>5605.5079999999998</v>
      </c>
      <c r="K3488" s="19">
        <v>5658.9769999999999</v>
      </c>
      <c r="L3488" s="19">
        <v>5310.2830000000004</v>
      </c>
      <c r="M3488" s="19">
        <v>4976.2079999999996</v>
      </c>
      <c r="N3488" s="19">
        <v>4815.8630000000003</v>
      </c>
      <c r="O3488" s="19">
        <v>4111.5330000000004</v>
      </c>
      <c r="P3488" s="19">
        <v>4393.4250000000002</v>
      </c>
      <c r="Q3488" s="19">
        <v>4536.12</v>
      </c>
      <c r="R3488" s="19">
        <v>4352.9250000000002</v>
      </c>
      <c r="S3488" s="19">
        <v>4074.904</v>
      </c>
      <c r="T3488" s="19">
        <v>2950.33</v>
      </c>
      <c r="U3488" s="19">
        <v>3374.9319999999998</v>
      </c>
      <c r="V3488" s="19">
        <v>2978.3760000000002</v>
      </c>
      <c r="W3488" s="19">
        <v>2361.7069999999999</v>
      </c>
      <c r="X3488" s="19">
        <v>1605.7249999999999</v>
      </c>
      <c r="Y3488" s="19">
        <v>918.94799999999998</v>
      </c>
      <c r="Z3488" s="19">
        <v>412.30799999999999</v>
      </c>
      <c r="AA3488" s="19">
        <v>109.559</v>
      </c>
      <c r="AB3488" s="19">
        <v>16.582999999999998</v>
      </c>
      <c r="AC3488" s="19">
        <v>1.39</v>
      </c>
    </row>
    <row r="3489" spans="1:29" ht="11.65" hidden="1" x14ac:dyDescent="0.35">
      <c r="A3489" s="23">
        <v>3472</v>
      </c>
      <c r="B3489" s="21" t="s">
        <v>1015</v>
      </c>
      <c r="C3489" s="22" t="s">
        <v>1256</v>
      </c>
      <c r="D3489" s="20"/>
      <c r="E3489" s="20">
        <v>925</v>
      </c>
      <c r="F3489" s="21" t="s">
        <v>1065</v>
      </c>
      <c r="G3489" s="20">
        <v>917</v>
      </c>
      <c r="H3489" s="20">
        <v>1980</v>
      </c>
      <c r="I3489" s="19">
        <v>5124.0950000000003</v>
      </c>
      <c r="J3489" s="19">
        <v>5536.634</v>
      </c>
      <c r="K3489" s="19">
        <v>5661.38</v>
      </c>
      <c r="L3489" s="19">
        <v>5694.7560000000003</v>
      </c>
      <c r="M3489" s="19">
        <v>5284.7790000000005</v>
      </c>
      <c r="N3489" s="19">
        <v>4921.45</v>
      </c>
      <c r="O3489" s="19">
        <v>4803.018</v>
      </c>
      <c r="P3489" s="19">
        <v>4138.7690000000002</v>
      </c>
      <c r="Q3489" s="19">
        <v>4410.79</v>
      </c>
      <c r="R3489" s="19">
        <v>4525.1589999999997</v>
      </c>
      <c r="S3489" s="19">
        <v>4320.7820000000002</v>
      </c>
      <c r="T3489" s="19">
        <v>3999.694</v>
      </c>
      <c r="U3489" s="19">
        <v>2856.38</v>
      </c>
      <c r="V3489" s="19">
        <v>3184.837</v>
      </c>
      <c r="W3489" s="19">
        <v>2657.453</v>
      </c>
      <c r="X3489" s="19">
        <v>1900.05</v>
      </c>
      <c r="Y3489" s="19">
        <v>1118.066</v>
      </c>
      <c r="Z3489" s="19">
        <v>483.995</v>
      </c>
      <c r="AA3489" s="19">
        <v>141.58099999999999</v>
      </c>
      <c r="AB3489" s="19">
        <v>22.045000000000002</v>
      </c>
      <c r="AC3489" s="19">
        <v>1.732</v>
      </c>
    </row>
    <row r="3490" spans="1:29" ht="11.65" hidden="1" x14ac:dyDescent="0.35">
      <c r="A3490" s="23">
        <v>3473</v>
      </c>
      <c r="B3490" s="21" t="s">
        <v>1015</v>
      </c>
      <c r="C3490" s="22" t="s">
        <v>1256</v>
      </c>
      <c r="D3490" s="20"/>
      <c r="E3490" s="20">
        <v>925</v>
      </c>
      <c r="F3490" s="21" t="s">
        <v>1065</v>
      </c>
      <c r="G3490" s="20">
        <v>917</v>
      </c>
      <c r="H3490" s="20">
        <v>1985</v>
      </c>
      <c r="I3490" s="19">
        <v>4474.6350000000002</v>
      </c>
      <c r="J3490" s="19">
        <v>5122.732</v>
      </c>
      <c r="K3490" s="19">
        <v>5567.1260000000002</v>
      </c>
      <c r="L3490" s="19">
        <v>5669.2349999999997</v>
      </c>
      <c r="M3490" s="19">
        <v>5662.7659999999996</v>
      </c>
      <c r="N3490" s="19">
        <v>5265.8410000000003</v>
      </c>
      <c r="O3490" s="19">
        <v>4926.9340000000002</v>
      </c>
      <c r="P3490" s="19">
        <v>4801.5209999999997</v>
      </c>
      <c r="Q3490" s="19">
        <v>4129.3739999999998</v>
      </c>
      <c r="R3490" s="19">
        <v>4377.7939999999999</v>
      </c>
      <c r="S3490" s="19">
        <v>4470.3440000000001</v>
      </c>
      <c r="T3490" s="19">
        <v>4222.1859999999997</v>
      </c>
      <c r="U3490" s="19">
        <v>3847.703</v>
      </c>
      <c r="V3490" s="19">
        <v>2681.4879999999998</v>
      </c>
      <c r="W3490" s="19">
        <v>2862.0239999999999</v>
      </c>
      <c r="X3490" s="19">
        <v>2174.4720000000002</v>
      </c>
      <c r="Y3490" s="19">
        <v>1343.222</v>
      </c>
      <c r="Z3490" s="19">
        <v>608.33799999999997</v>
      </c>
      <c r="AA3490" s="19">
        <v>179.32400000000001</v>
      </c>
      <c r="AB3490" s="19">
        <v>31.138999999999999</v>
      </c>
      <c r="AC3490" s="19">
        <v>2.4969999999999999</v>
      </c>
    </row>
    <row r="3491" spans="1:29" ht="11.65" hidden="1" x14ac:dyDescent="0.35">
      <c r="A3491" s="23">
        <v>3474</v>
      </c>
      <c r="B3491" s="21" t="s">
        <v>1015</v>
      </c>
      <c r="C3491" s="22" t="s">
        <v>1256</v>
      </c>
      <c r="D3491" s="20"/>
      <c r="E3491" s="20">
        <v>925</v>
      </c>
      <c r="F3491" s="21" t="s">
        <v>1065</v>
      </c>
      <c r="G3491" s="20">
        <v>917</v>
      </c>
      <c r="H3491" s="20">
        <v>1990</v>
      </c>
      <c r="I3491" s="19">
        <v>3973.8780000000002</v>
      </c>
      <c r="J3491" s="19">
        <v>4441.8689999999997</v>
      </c>
      <c r="K3491" s="19">
        <v>5128.9639999999999</v>
      </c>
      <c r="L3491" s="19">
        <v>5595.1480000000001</v>
      </c>
      <c r="M3491" s="19">
        <v>5654.9570000000003</v>
      </c>
      <c r="N3491" s="19">
        <v>5604.2730000000001</v>
      </c>
      <c r="O3491" s="19">
        <v>5223.6610000000001</v>
      </c>
      <c r="P3491" s="19">
        <v>4907.165</v>
      </c>
      <c r="Q3491" s="19">
        <v>4769.5360000000001</v>
      </c>
      <c r="R3491" s="19">
        <v>4073.8530000000001</v>
      </c>
      <c r="S3491" s="19">
        <v>4293.99</v>
      </c>
      <c r="T3491" s="19">
        <v>4351.1679999999997</v>
      </c>
      <c r="U3491" s="19">
        <v>4085.415</v>
      </c>
      <c r="V3491" s="19">
        <v>3665.884</v>
      </c>
      <c r="W3491" s="19">
        <v>2444.4180000000001</v>
      </c>
      <c r="X3491" s="19">
        <v>2406.136</v>
      </c>
      <c r="Y3491" s="19">
        <v>1614.865</v>
      </c>
      <c r="Z3491" s="19">
        <v>784.63400000000001</v>
      </c>
      <c r="AA3491" s="19">
        <v>241.566</v>
      </c>
      <c r="AB3491" s="19">
        <v>42.396999999999998</v>
      </c>
      <c r="AC3491" s="19">
        <v>3.74</v>
      </c>
    </row>
    <row r="3492" spans="1:29" ht="11.65" hidden="1" x14ac:dyDescent="0.35">
      <c r="A3492" s="23">
        <v>3475</v>
      </c>
      <c r="B3492" s="21" t="s">
        <v>1015</v>
      </c>
      <c r="C3492" s="22" t="s">
        <v>1256</v>
      </c>
      <c r="D3492" s="20"/>
      <c r="E3492" s="20">
        <v>925</v>
      </c>
      <c r="F3492" s="21" t="s">
        <v>1065</v>
      </c>
      <c r="G3492" s="20">
        <v>917</v>
      </c>
      <c r="H3492" s="20">
        <v>1995</v>
      </c>
      <c r="I3492" s="19">
        <v>3685.259</v>
      </c>
      <c r="J3492" s="19">
        <v>3941.9960000000001</v>
      </c>
      <c r="K3492" s="19">
        <v>4441.1559999999999</v>
      </c>
      <c r="L3492" s="19">
        <v>5121.4319999999998</v>
      </c>
      <c r="M3492" s="19">
        <v>5549.384</v>
      </c>
      <c r="N3492" s="19">
        <v>5605.6509999999998</v>
      </c>
      <c r="O3492" s="19">
        <v>5578.3620000000001</v>
      </c>
      <c r="P3492" s="19">
        <v>5201.7070000000003</v>
      </c>
      <c r="Q3492" s="19">
        <v>4885.3509999999997</v>
      </c>
      <c r="R3492" s="19">
        <v>4735.6760000000004</v>
      </c>
      <c r="S3492" s="19">
        <v>4035.7449999999999</v>
      </c>
      <c r="T3492" s="19">
        <v>4232.8410000000003</v>
      </c>
      <c r="U3492" s="19">
        <v>4242.951</v>
      </c>
      <c r="V3492" s="19">
        <v>3900.87</v>
      </c>
      <c r="W3492" s="19">
        <v>3367.1149999999998</v>
      </c>
      <c r="X3492" s="19">
        <v>2098.9969999999998</v>
      </c>
      <c r="Y3492" s="19">
        <v>1859.472</v>
      </c>
      <c r="Z3492" s="19">
        <v>986.899</v>
      </c>
      <c r="AA3492" s="19">
        <v>329.20100000000002</v>
      </c>
      <c r="AB3492" s="19">
        <v>60.145000000000003</v>
      </c>
      <c r="AC3492" s="19">
        <v>5.3460000000000001</v>
      </c>
    </row>
    <row r="3493" spans="1:29" ht="11.65" hidden="1" x14ac:dyDescent="0.35">
      <c r="A3493" s="23">
        <v>3476</v>
      </c>
      <c r="B3493" s="21" t="s">
        <v>1015</v>
      </c>
      <c r="C3493" s="22" t="s">
        <v>1256</v>
      </c>
      <c r="D3493" s="20"/>
      <c r="E3493" s="20">
        <v>925</v>
      </c>
      <c r="F3493" s="21" t="s">
        <v>1065</v>
      </c>
      <c r="G3493" s="20">
        <v>917</v>
      </c>
      <c r="H3493" s="20">
        <v>2000</v>
      </c>
      <c r="I3493" s="19">
        <v>3509.45</v>
      </c>
      <c r="J3493" s="19">
        <v>3675.43</v>
      </c>
      <c r="K3493" s="19">
        <v>3947.0529999999999</v>
      </c>
      <c r="L3493" s="19">
        <v>4431.098</v>
      </c>
      <c r="M3493" s="19">
        <v>5088.3010000000004</v>
      </c>
      <c r="N3493" s="19">
        <v>5539.8779999999997</v>
      </c>
      <c r="O3493" s="19">
        <v>5623.4570000000003</v>
      </c>
      <c r="P3493" s="19">
        <v>5597.2629999999999</v>
      </c>
      <c r="Q3493" s="19">
        <v>5182.6859999999997</v>
      </c>
      <c r="R3493" s="19">
        <v>4822.241</v>
      </c>
      <c r="S3493" s="19">
        <v>4657.2650000000003</v>
      </c>
      <c r="T3493" s="19">
        <v>3947.3609999999999</v>
      </c>
      <c r="U3493" s="19">
        <v>4141.8490000000002</v>
      </c>
      <c r="V3493" s="19">
        <v>4087.1030000000001</v>
      </c>
      <c r="W3493" s="19">
        <v>3621.8939999999998</v>
      </c>
      <c r="X3493" s="19">
        <v>2930.5230000000001</v>
      </c>
      <c r="Y3493" s="19">
        <v>1625.2070000000001</v>
      </c>
      <c r="Z3493" s="19">
        <v>1172.876</v>
      </c>
      <c r="AA3493" s="19">
        <v>435.19600000000003</v>
      </c>
      <c r="AB3493" s="19">
        <v>86.593000000000004</v>
      </c>
      <c r="AC3493" s="19">
        <v>7.8819999999999997</v>
      </c>
    </row>
    <row r="3494" spans="1:29" ht="11.65" hidden="1" x14ac:dyDescent="0.35">
      <c r="A3494" s="23">
        <v>3477</v>
      </c>
      <c r="B3494" s="21" t="s">
        <v>1015</v>
      </c>
      <c r="C3494" s="22" t="s">
        <v>1256</v>
      </c>
      <c r="D3494" s="20"/>
      <c r="E3494" s="20">
        <v>925</v>
      </c>
      <c r="F3494" s="21" t="s">
        <v>1065</v>
      </c>
      <c r="G3494" s="20">
        <v>917</v>
      </c>
      <c r="H3494" s="20">
        <v>2005</v>
      </c>
      <c r="I3494" s="19">
        <v>3620.1610000000001</v>
      </c>
      <c r="J3494" s="19">
        <v>3590.1640000000002</v>
      </c>
      <c r="K3494" s="19">
        <v>3782.4789999999998</v>
      </c>
      <c r="L3494" s="19">
        <v>4065.6990000000001</v>
      </c>
      <c r="M3494" s="19">
        <v>4599.5330000000004</v>
      </c>
      <c r="N3494" s="19">
        <v>5363.1229999999996</v>
      </c>
      <c r="O3494" s="19">
        <v>5847.982</v>
      </c>
      <c r="P3494" s="19">
        <v>5887.8639999999996</v>
      </c>
      <c r="Q3494" s="19">
        <v>5790.9989999999998</v>
      </c>
      <c r="R3494" s="19">
        <v>5291.5839999999998</v>
      </c>
      <c r="S3494" s="19">
        <v>4861.8879999999999</v>
      </c>
      <c r="T3494" s="19">
        <v>4654.0469999999996</v>
      </c>
      <c r="U3494" s="19">
        <v>3922.5030000000002</v>
      </c>
      <c r="V3494" s="19">
        <v>4028.1860000000001</v>
      </c>
      <c r="W3494" s="19">
        <v>3841.03</v>
      </c>
      <c r="X3494" s="19">
        <v>3204.4589999999998</v>
      </c>
      <c r="Y3494" s="19">
        <v>2336.0619999999999</v>
      </c>
      <c r="Z3494" s="19">
        <v>1067.155</v>
      </c>
      <c r="AA3494" s="19">
        <v>547.11099999999999</v>
      </c>
      <c r="AB3494" s="19">
        <v>121.008</v>
      </c>
      <c r="AC3494" s="19">
        <v>12.03</v>
      </c>
    </row>
    <row r="3495" spans="1:29" ht="11.65" hidden="1" x14ac:dyDescent="0.35">
      <c r="A3495" s="23">
        <v>3478</v>
      </c>
      <c r="B3495" s="21" t="s">
        <v>1015</v>
      </c>
      <c r="C3495" s="22" t="s">
        <v>1256</v>
      </c>
      <c r="D3495" s="20"/>
      <c r="E3495" s="20">
        <v>925</v>
      </c>
      <c r="F3495" s="21" t="s">
        <v>1065</v>
      </c>
      <c r="G3495" s="20">
        <v>917</v>
      </c>
      <c r="H3495" s="20">
        <v>2010</v>
      </c>
      <c r="I3495" s="19">
        <v>3741.6089999999999</v>
      </c>
      <c r="J3495" s="19">
        <v>3628.0650000000001</v>
      </c>
      <c r="K3495" s="19">
        <v>3725.8969999999999</v>
      </c>
      <c r="L3495" s="19">
        <v>3879.6260000000002</v>
      </c>
      <c r="M3495" s="19">
        <v>4251.63</v>
      </c>
      <c r="N3495" s="19">
        <v>4933.9610000000002</v>
      </c>
      <c r="O3495" s="19">
        <v>5662.0730000000003</v>
      </c>
      <c r="P3495" s="19">
        <v>6025.1729999999998</v>
      </c>
      <c r="Q3495" s="19">
        <v>5953.07</v>
      </c>
      <c r="R3495" s="19">
        <v>5806.8059999999996</v>
      </c>
      <c r="S3495" s="19">
        <v>5244.1490000000003</v>
      </c>
      <c r="T3495" s="19">
        <v>4777.7960000000003</v>
      </c>
      <c r="U3495" s="19">
        <v>4593.2</v>
      </c>
      <c r="V3495" s="19">
        <v>3833.3939999999998</v>
      </c>
      <c r="W3495" s="19">
        <v>3794.2739999999999</v>
      </c>
      <c r="X3495" s="19">
        <v>3492.5219999999999</v>
      </c>
      <c r="Y3495" s="19">
        <v>2641.0680000000002</v>
      </c>
      <c r="Z3495" s="19">
        <v>1573.326</v>
      </c>
      <c r="AA3495" s="19">
        <v>522.71</v>
      </c>
      <c r="AB3495" s="19">
        <v>163.41800000000001</v>
      </c>
      <c r="AC3495" s="19">
        <v>17.998000000000001</v>
      </c>
    </row>
    <row r="3496" spans="1:29" ht="11.65" hidden="1" x14ac:dyDescent="0.35">
      <c r="A3496" s="23">
        <v>3479</v>
      </c>
      <c r="B3496" s="21" t="s">
        <v>1015</v>
      </c>
      <c r="C3496" s="22" t="s">
        <v>1256</v>
      </c>
      <c r="D3496" s="20"/>
      <c r="E3496" s="20">
        <v>925</v>
      </c>
      <c r="F3496" s="21" t="s">
        <v>1065</v>
      </c>
      <c r="G3496" s="20">
        <v>917</v>
      </c>
      <c r="H3496" s="20">
        <v>2015</v>
      </c>
      <c r="I3496" s="19">
        <v>3419.6</v>
      </c>
      <c r="J3496" s="19">
        <v>3729.6559999999999</v>
      </c>
      <c r="K3496" s="19">
        <v>3625.9580000000001</v>
      </c>
      <c r="L3496" s="19">
        <v>3728.4490000000001</v>
      </c>
      <c r="M3496" s="19">
        <v>3920.8359999999998</v>
      </c>
      <c r="N3496" s="19">
        <v>4310.424</v>
      </c>
      <c r="O3496" s="19">
        <v>4949.0519999999997</v>
      </c>
      <c r="P3496" s="19">
        <v>5675.0150000000003</v>
      </c>
      <c r="Q3496" s="19">
        <v>6014.1949999999997</v>
      </c>
      <c r="R3496" s="19">
        <v>5952.0050000000001</v>
      </c>
      <c r="S3496" s="19">
        <v>5805.6180000000004</v>
      </c>
      <c r="T3496" s="19">
        <v>5216.473</v>
      </c>
      <c r="U3496" s="19">
        <v>4722.9660000000003</v>
      </c>
      <c r="V3496" s="19">
        <v>4443.26</v>
      </c>
      <c r="W3496" s="19">
        <v>3697.8879999999999</v>
      </c>
      <c r="X3496" s="19">
        <v>3462.2339999999999</v>
      </c>
      <c r="Y3496" s="19">
        <v>2894.107</v>
      </c>
      <c r="Z3496" s="19">
        <v>1850.289</v>
      </c>
      <c r="AA3496" s="19">
        <v>795.06100000000004</v>
      </c>
      <c r="AB3496" s="19">
        <v>163.559</v>
      </c>
      <c r="AC3496" s="19">
        <v>25.562999999999999</v>
      </c>
    </row>
    <row r="3497" spans="1:29" ht="11.65" hidden="1" x14ac:dyDescent="0.35">
      <c r="A3497" s="23">
        <v>3480</v>
      </c>
      <c r="B3497" s="21" t="s">
        <v>1015</v>
      </c>
      <c r="C3497" s="22" t="s">
        <v>1256</v>
      </c>
      <c r="D3497" s="20"/>
      <c r="E3497" s="20">
        <v>925</v>
      </c>
      <c r="F3497" s="21" t="s">
        <v>1065</v>
      </c>
      <c r="G3497" s="20">
        <v>917</v>
      </c>
      <c r="H3497" s="20">
        <v>2020</v>
      </c>
      <c r="I3497" s="19">
        <v>3055.1039999999998</v>
      </c>
      <c r="J3497" s="19">
        <v>3432.2829999999999</v>
      </c>
      <c r="K3497" s="19">
        <v>3736.0909999999999</v>
      </c>
      <c r="L3497" s="19">
        <v>3646.63</v>
      </c>
      <c r="M3497" s="19">
        <v>3777.806</v>
      </c>
      <c r="N3497" s="19">
        <v>3980.9879999999998</v>
      </c>
      <c r="O3497" s="19">
        <v>4358.0290000000005</v>
      </c>
      <c r="P3497" s="19">
        <v>4977.027</v>
      </c>
      <c r="Q3497" s="19">
        <v>5682.3509999999997</v>
      </c>
      <c r="R3497" s="19">
        <v>5999.6869999999999</v>
      </c>
      <c r="S3497" s="19">
        <v>5913.0190000000002</v>
      </c>
      <c r="T3497" s="19">
        <v>5738.4570000000003</v>
      </c>
      <c r="U3497" s="19">
        <v>5121.0630000000001</v>
      </c>
      <c r="V3497" s="19">
        <v>4584.8109999999997</v>
      </c>
      <c r="W3497" s="19">
        <v>4237.8419999999996</v>
      </c>
      <c r="X3497" s="19">
        <v>3397.8649999999998</v>
      </c>
      <c r="Y3497" s="19">
        <v>2911.9459999999999</v>
      </c>
      <c r="Z3497" s="19">
        <v>2046.463</v>
      </c>
      <c r="AA3497" s="19">
        <v>964.625</v>
      </c>
      <c r="AB3497" s="19">
        <v>256.209</v>
      </c>
      <c r="AC3497" s="19">
        <v>27.905999999999999</v>
      </c>
    </row>
    <row r="3498" spans="1:29" ht="11.65" hidden="1" x14ac:dyDescent="0.35">
      <c r="A3498" s="12">
        <v>3481</v>
      </c>
      <c r="B3498" s="10" t="s">
        <v>1015</v>
      </c>
      <c r="C3498" s="18" t="s">
        <v>1257</v>
      </c>
      <c r="D3498" s="9"/>
      <c r="E3498" s="9">
        <v>8</v>
      </c>
      <c r="F3498" s="10" t="s">
        <v>1066</v>
      </c>
      <c r="G3498" s="9">
        <v>925</v>
      </c>
      <c r="H3498" s="9">
        <v>1950</v>
      </c>
      <c r="I3498" s="8">
        <v>86.84</v>
      </c>
      <c r="J3498" s="8">
        <v>74.061000000000007</v>
      </c>
      <c r="K3498" s="8">
        <v>68.203000000000003</v>
      </c>
      <c r="L3498" s="8">
        <v>55.716000000000001</v>
      </c>
      <c r="M3498" s="8">
        <v>49.521000000000001</v>
      </c>
      <c r="N3498" s="8">
        <v>42.573</v>
      </c>
      <c r="O3498" s="8">
        <v>37.493000000000002</v>
      </c>
      <c r="P3498" s="8">
        <v>34.119999999999997</v>
      </c>
      <c r="Q3498" s="8">
        <v>31.635999999999999</v>
      </c>
      <c r="R3498" s="8">
        <v>24.21</v>
      </c>
      <c r="S3498" s="8">
        <v>24.960999999999999</v>
      </c>
      <c r="T3498" s="8">
        <v>18.774999999999999</v>
      </c>
      <c r="U3498" s="8">
        <v>19.356999999999999</v>
      </c>
      <c r="V3498" s="8">
        <v>15.598000000000001</v>
      </c>
      <c r="W3498" s="8">
        <v>11.154999999999999</v>
      </c>
      <c r="X3498" s="8">
        <v>7.2149999999999999</v>
      </c>
      <c r="Y3498" s="8">
        <v>4.6050000000000004</v>
      </c>
      <c r="Z3498" s="8">
        <v>4.3010000000000002</v>
      </c>
      <c r="AA3498" s="8">
        <v>2.9489999999999998</v>
      </c>
      <c r="AB3498" s="8">
        <v>1.6539999999999999</v>
      </c>
      <c r="AC3498" s="8">
        <v>1E-3</v>
      </c>
    </row>
    <row r="3499" spans="1:29" ht="11.65" hidden="1" x14ac:dyDescent="0.35">
      <c r="A3499" s="12">
        <v>3482</v>
      </c>
      <c r="B3499" s="10" t="s">
        <v>1015</v>
      </c>
      <c r="C3499" s="18" t="s">
        <v>1257</v>
      </c>
      <c r="D3499" s="9"/>
      <c r="E3499" s="9">
        <v>8</v>
      </c>
      <c r="F3499" s="10" t="s">
        <v>1066</v>
      </c>
      <c r="G3499" s="9">
        <v>925</v>
      </c>
      <c r="H3499" s="9">
        <v>1955</v>
      </c>
      <c r="I3499" s="8">
        <v>109.34699999999999</v>
      </c>
      <c r="J3499" s="8">
        <v>82.620999999999995</v>
      </c>
      <c r="K3499" s="8">
        <v>73.177000000000007</v>
      </c>
      <c r="L3499" s="8">
        <v>67.593999999999994</v>
      </c>
      <c r="M3499" s="8">
        <v>54.918999999999997</v>
      </c>
      <c r="N3499" s="8">
        <v>48.634999999999998</v>
      </c>
      <c r="O3499" s="8">
        <v>41.716000000000001</v>
      </c>
      <c r="P3499" s="8">
        <v>36.652999999999999</v>
      </c>
      <c r="Q3499" s="8">
        <v>33.255000000000003</v>
      </c>
      <c r="R3499" s="8">
        <v>30.696999999999999</v>
      </c>
      <c r="S3499" s="8">
        <v>23.326000000000001</v>
      </c>
      <c r="T3499" s="8">
        <v>23.763000000000002</v>
      </c>
      <c r="U3499" s="8">
        <v>17.472999999999999</v>
      </c>
      <c r="V3499" s="8">
        <v>17.248000000000001</v>
      </c>
      <c r="W3499" s="8">
        <v>12.903</v>
      </c>
      <c r="X3499" s="8">
        <v>8.2070000000000007</v>
      </c>
      <c r="Y3499" s="8">
        <v>4.4329999999999998</v>
      </c>
      <c r="Z3499" s="8">
        <v>2.17</v>
      </c>
      <c r="AA3499" s="8">
        <v>1.397</v>
      </c>
      <c r="AB3499" s="8">
        <v>0.59299999999999997</v>
      </c>
      <c r="AC3499" s="8">
        <v>0.186</v>
      </c>
    </row>
    <row r="3500" spans="1:29" ht="11.65" hidden="1" x14ac:dyDescent="0.35">
      <c r="A3500" s="12">
        <v>3483</v>
      </c>
      <c r="B3500" s="10" t="s">
        <v>1015</v>
      </c>
      <c r="C3500" s="18" t="s">
        <v>1257</v>
      </c>
      <c r="D3500" s="9"/>
      <c r="E3500" s="9">
        <v>8</v>
      </c>
      <c r="F3500" s="10" t="s">
        <v>1066</v>
      </c>
      <c r="G3500" s="9">
        <v>925</v>
      </c>
      <c r="H3500" s="9">
        <v>1960</v>
      </c>
      <c r="I3500" s="8">
        <v>133.86199999999999</v>
      </c>
      <c r="J3500" s="8">
        <v>105.071</v>
      </c>
      <c r="K3500" s="8">
        <v>81.899000000000001</v>
      </c>
      <c r="L3500" s="8">
        <v>72.695999999999998</v>
      </c>
      <c r="M3500" s="8">
        <v>66.855999999999995</v>
      </c>
      <c r="N3500" s="8">
        <v>54.164999999999999</v>
      </c>
      <c r="O3500" s="8">
        <v>47.884</v>
      </c>
      <c r="P3500" s="8">
        <v>40.991999999999997</v>
      </c>
      <c r="Q3500" s="8">
        <v>35.917999999999999</v>
      </c>
      <c r="R3500" s="8">
        <v>32.451000000000001</v>
      </c>
      <c r="S3500" s="8">
        <v>29.768000000000001</v>
      </c>
      <c r="T3500" s="8">
        <v>22.388999999999999</v>
      </c>
      <c r="U3500" s="8">
        <v>22.366</v>
      </c>
      <c r="V3500" s="8">
        <v>15.817</v>
      </c>
      <c r="W3500" s="8">
        <v>14.584</v>
      </c>
      <c r="X3500" s="8">
        <v>9.7789999999999999</v>
      </c>
      <c r="Y3500" s="8">
        <v>5.2350000000000003</v>
      </c>
      <c r="Z3500" s="8">
        <v>2.1800000000000002</v>
      </c>
      <c r="AA3500" s="8">
        <v>0.73799999999999999</v>
      </c>
      <c r="AB3500" s="8">
        <v>0.29199999999999998</v>
      </c>
      <c r="AC3500" s="8">
        <v>8.8999999999999996E-2</v>
      </c>
    </row>
    <row r="3501" spans="1:29" ht="11.65" hidden="1" x14ac:dyDescent="0.35">
      <c r="A3501" s="12">
        <v>3484</v>
      </c>
      <c r="B3501" s="10" t="s">
        <v>1015</v>
      </c>
      <c r="C3501" s="18" t="s">
        <v>1257</v>
      </c>
      <c r="D3501" s="9"/>
      <c r="E3501" s="9">
        <v>8</v>
      </c>
      <c r="F3501" s="10" t="s">
        <v>1066</v>
      </c>
      <c r="G3501" s="9">
        <v>925</v>
      </c>
      <c r="H3501" s="9">
        <v>1965</v>
      </c>
      <c r="I3501" s="8">
        <v>151.614</v>
      </c>
      <c r="J3501" s="8">
        <v>130.256</v>
      </c>
      <c r="K3501" s="8">
        <v>104.566</v>
      </c>
      <c r="L3501" s="8">
        <v>81.606999999999999</v>
      </c>
      <c r="M3501" s="8">
        <v>72.215000000000003</v>
      </c>
      <c r="N3501" s="8">
        <v>66.293999999999997</v>
      </c>
      <c r="O3501" s="8">
        <v>53.648000000000003</v>
      </c>
      <c r="P3501" s="8">
        <v>47.363</v>
      </c>
      <c r="Q3501" s="8">
        <v>40.454000000000001</v>
      </c>
      <c r="R3501" s="8">
        <v>35.317999999999998</v>
      </c>
      <c r="S3501" s="8">
        <v>31.751000000000001</v>
      </c>
      <c r="T3501" s="8">
        <v>28.905000000000001</v>
      </c>
      <c r="U3501" s="8">
        <v>21.413</v>
      </c>
      <c r="V3501" s="8">
        <v>20.724</v>
      </c>
      <c r="W3501" s="8">
        <v>13.83</v>
      </c>
      <c r="X3501" s="8">
        <v>11.58</v>
      </c>
      <c r="Y3501" s="8">
        <v>6.63</v>
      </c>
      <c r="Z3501" s="8">
        <v>2.7709999999999999</v>
      </c>
      <c r="AA3501" s="8">
        <v>0.79900000000000004</v>
      </c>
      <c r="AB3501" s="8">
        <v>0.16500000000000001</v>
      </c>
      <c r="AC3501" s="8">
        <v>4.4999999999999998E-2</v>
      </c>
    </row>
    <row r="3502" spans="1:29" ht="11.65" hidden="1" x14ac:dyDescent="0.35">
      <c r="A3502" s="12">
        <v>3485</v>
      </c>
      <c r="B3502" s="10" t="s">
        <v>1015</v>
      </c>
      <c r="C3502" s="18" t="s">
        <v>1257</v>
      </c>
      <c r="D3502" s="9"/>
      <c r="E3502" s="9">
        <v>8</v>
      </c>
      <c r="F3502" s="10" t="s">
        <v>1066</v>
      </c>
      <c r="G3502" s="9">
        <v>925</v>
      </c>
      <c r="H3502" s="9">
        <v>1970</v>
      </c>
      <c r="I3502" s="8">
        <v>152.476</v>
      </c>
      <c r="J3502" s="8">
        <v>148.745</v>
      </c>
      <c r="K3502" s="8">
        <v>129.654</v>
      </c>
      <c r="L3502" s="8">
        <v>104.15600000000001</v>
      </c>
      <c r="M3502" s="8">
        <v>81.067999999999998</v>
      </c>
      <c r="N3502" s="8">
        <v>71.599000000000004</v>
      </c>
      <c r="O3502" s="8">
        <v>65.655000000000001</v>
      </c>
      <c r="P3502" s="8">
        <v>53.055999999999997</v>
      </c>
      <c r="Q3502" s="8">
        <v>46.723999999999997</v>
      </c>
      <c r="R3502" s="8">
        <v>39.747999999999998</v>
      </c>
      <c r="S3502" s="8">
        <v>34.511000000000003</v>
      </c>
      <c r="T3502" s="8">
        <v>30.773</v>
      </c>
      <c r="U3502" s="8">
        <v>27.558</v>
      </c>
      <c r="V3502" s="8">
        <v>19.716999999999999</v>
      </c>
      <c r="W3502" s="8">
        <v>17.898</v>
      </c>
      <c r="X3502" s="8">
        <v>10.708</v>
      </c>
      <c r="Y3502" s="8">
        <v>7.4820000000000002</v>
      </c>
      <c r="Z3502" s="8">
        <v>3.2229999999999999</v>
      </c>
      <c r="AA3502" s="8">
        <v>0.88700000000000001</v>
      </c>
      <c r="AB3502" s="8">
        <v>0.14699999999999999</v>
      </c>
      <c r="AC3502" s="8">
        <v>0.02</v>
      </c>
    </row>
    <row r="3503" spans="1:29" ht="11.65" hidden="1" x14ac:dyDescent="0.35">
      <c r="A3503" s="12">
        <v>3486</v>
      </c>
      <c r="B3503" s="10" t="s">
        <v>1015</v>
      </c>
      <c r="C3503" s="18" t="s">
        <v>1257</v>
      </c>
      <c r="D3503" s="9"/>
      <c r="E3503" s="9">
        <v>8</v>
      </c>
      <c r="F3503" s="10" t="s">
        <v>1066</v>
      </c>
      <c r="G3503" s="9">
        <v>925</v>
      </c>
      <c r="H3503" s="9">
        <v>1975</v>
      </c>
      <c r="I3503" s="8">
        <v>158.21600000000001</v>
      </c>
      <c r="J3503" s="8">
        <v>150.56</v>
      </c>
      <c r="K3503" s="8">
        <v>148.16999999999999</v>
      </c>
      <c r="L3503" s="8">
        <v>129.202</v>
      </c>
      <c r="M3503" s="8">
        <v>103.568</v>
      </c>
      <c r="N3503" s="8">
        <v>80.468000000000004</v>
      </c>
      <c r="O3503" s="8">
        <v>70.997</v>
      </c>
      <c r="P3503" s="8">
        <v>65.018000000000001</v>
      </c>
      <c r="Q3503" s="8">
        <v>52.408000000000001</v>
      </c>
      <c r="R3503" s="8">
        <v>45.96</v>
      </c>
      <c r="S3503" s="8">
        <v>38.884999999999998</v>
      </c>
      <c r="T3503" s="8">
        <v>33.493000000000002</v>
      </c>
      <c r="U3503" s="8">
        <v>29.382999999999999</v>
      </c>
      <c r="V3503" s="8">
        <v>25.401</v>
      </c>
      <c r="W3503" s="8">
        <v>17.012</v>
      </c>
      <c r="X3503" s="8">
        <v>13.755000000000001</v>
      </c>
      <c r="Y3503" s="8">
        <v>6.7720000000000002</v>
      </c>
      <c r="Z3503" s="8">
        <v>3.4689999999999999</v>
      </c>
      <c r="AA3503" s="8">
        <v>0.94699999999999995</v>
      </c>
      <c r="AB3503" s="8">
        <v>0.14299999999999999</v>
      </c>
      <c r="AC3503" s="8">
        <v>1.2999999999999999E-2</v>
      </c>
    </row>
    <row r="3504" spans="1:29" ht="11.65" hidden="1" x14ac:dyDescent="0.35">
      <c r="A3504" s="12">
        <v>3487</v>
      </c>
      <c r="B3504" s="10" t="s">
        <v>1015</v>
      </c>
      <c r="C3504" s="18" t="s">
        <v>1257</v>
      </c>
      <c r="D3504" s="9"/>
      <c r="E3504" s="9">
        <v>8</v>
      </c>
      <c r="F3504" s="10" t="s">
        <v>1066</v>
      </c>
      <c r="G3504" s="9">
        <v>925</v>
      </c>
      <c r="H3504" s="9">
        <v>1980</v>
      </c>
      <c r="I3504" s="8">
        <v>162.19</v>
      </c>
      <c r="J3504" s="8">
        <v>156.642</v>
      </c>
      <c r="K3504" s="8">
        <v>150.08000000000001</v>
      </c>
      <c r="L3504" s="8">
        <v>147.74600000000001</v>
      </c>
      <c r="M3504" s="8">
        <v>128.60300000000001</v>
      </c>
      <c r="N3504" s="8">
        <v>102.93600000000001</v>
      </c>
      <c r="O3504" s="8">
        <v>79.906000000000006</v>
      </c>
      <c r="P3504" s="8">
        <v>70.421000000000006</v>
      </c>
      <c r="Q3504" s="8">
        <v>64.34</v>
      </c>
      <c r="R3504" s="8">
        <v>51.66</v>
      </c>
      <c r="S3504" s="8">
        <v>45.076000000000001</v>
      </c>
      <c r="T3504" s="8">
        <v>37.866999999999997</v>
      </c>
      <c r="U3504" s="8">
        <v>32.134999999999998</v>
      </c>
      <c r="V3504" s="8">
        <v>27.274000000000001</v>
      </c>
      <c r="W3504" s="8">
        <v>22.132000000000001</v>
      </c>
      <c r="X3504" s="8">
        <v>13.239000000000001</v>
      </c>
      <c r="Y3504" s="8">
        <v>8.8170000000000002</v>
      </c>
      <c r="Z3504" s="8">
        <v>3.1669999999999998</v>
      </c>
      <c r="AA3504" s="8">
        <v>1.016</v>
      </c>
      <c r="AB3504" s="8">
        <v>0.15</v>
      </c>
      <c r="AC3504" s="8">
        <v>1.2E-2</v>
      </c>
    </row>
    <row r="3505" spans="1:29" ht="11.65" hidden="1" x14ac:dyDescent="0.35">
      <c r="A3505" s="12">
        <v>3488</v>
      </c>
      <c r="B3505" s="10" t="s">
        <v>1015</v>
      </c>
      <c r="C3505" s="18" t="s">
        <v>1257</v>
      </c>
      <c r="D3505" s="9"/>
      <c r="E3505" s="9">
        <v>8</v>
      </c>
      <c r="F3505" s="10" t="s">
        <v>1066</v>
      </c>
      <c r="G3505" s="9">
        <v>925</v>
      </c>
      <c r="H3505" s="9">
        <v>1985</v>
      </c>
      <c r="I3505" s="8">
        <v>171.548</v>
      </c>
      <c r="J3505" s="8">
        <v>160.85900000000001</v>
      </c>
      <c r="K3505" s="8">
        <v>156.24799999999999</v>
      </c>
      <c r="L3505" s="8">
        <v>149.75299999999999</v>
      </c>
      <c r="M3505" s="8">
        <v>147.21799999999999</v>
      </c>
      <c r="N3505" s="8">
        <v>127.991</v>
      </c>
      <c r="O3505" s="8">
        <v>102.376</v>
      </c>
      <c r="P3505" s="8">
        <v>79.397999999999996</v>
      </c>
      <c r="Q3505" s="8">
        <v>69.83</v>
      </c>
      <c r="R3505" s="8">
        <v>63.582000000000001</v>
      </c>
      <c r="S3505" s="8">
        <v>50.832000000000001</v>
      </c>
      <c r="T3505" s="8">
        <v>44.091999999999999</v>
      </c>
      <c r="U3505" s="8">
        <v>36.566000000000003</v>
      </c>
      <c r="V3505" s="8">
        <v>30.123999999999999</v>
      </c>
      <c r="W3505" s="8">
        <v>24.12</v>
      </c>
      <c r="X3505" s="8">
        <v>17.593</v>
      </c>
      <c r="Y3505" s="8">
        <v>8.7249999999999996</v>
      </c>
      <c r="Z3505" s="8">
        <v>4.2539999999999996</v>
      </c>
      <c r="AA3505" s="8">
        <v>0.95199999999999996</v>
      </c>
      <c r="AB3505" s="8">
        <v>0.161</v>
      </c>
      <c r="AC3505" s="8">
        <v>1.2E-2</v>
      </c>
    </row>
    <row r="3506" spans="1:29" ht="11.65" hidden="1" x14ac:dyDescent="0.35">
      <c r="A3506" s="12">
        <v>3489</v>
      </c>
      <c r="B3506" s="10" t="s">
        <v>1015</v>
      </c>
      <c r="C3506" s="18" t="s">
        <v>1257</v>
      </c>
      <c r="D3506" s="9"/>
      <c r="E3506" s="9">
        <v>8</v>
      </c>
      <c r="F3506" s="10" t="s">
        <v>1066</v>
      </c>
      <c r="G3506" s="9">
        <v>925</v>
      </c>
      <c r="H3506" s="9">
        <v>1990</v>
      </c>
      <c r="I3506" s="8">
        <v>188.26400000000001</v>
      </c>
      <c r="J3506" s="8">
        <v>170.47900000000001</v>
      </c>
      <c r="K3506" s="8">
        <v>160.55099999999999</v>
      </c>
      <c r="L3506" s="8">
        <v>155.994</v>
      </c>
      <c r="M3506" s="8">
        <v>149.34899999999999</v>
      </c>
      <c r="N3506" s="8">
        <v>146.685</v>
      </c>
      <c r="O3506" s="8">
        <v>127.471</v>
      </c>
      <c r="P3506" s="8">
        <v>101.895</v>
      </c>
      <c r="Q3506" s="8">
        <v>78.894999999999996</v>
      </c>
      <c r="R3506" s="8">
        <v>69.185000000000002</v>
      </c>
      <c r="S3506" s="8">
        <v>62.773000000000003</v>
      </c>
      <c r="T3506" s="8">
        <v>49.95</v>
      </c>
      <c r="U3506" s="8">
        <v>42.86</v>
      </c>
      <c r="V3506" s="8">
        <v>34.628999999999998</v>
      </c>
      <c r="W3506" s="8">
        <v>27.052</v>
      </c>
      <c r="X3506" s="8">
        <v>19.594999999999999</v>
      </c>
      <c r="Y3506" s="8">
        <v>11.91</v>
      </c>
      <c r="Z3506" s="8">
        <v>4.32</v>
      </c>
      <c r="AA3506" s="8">
        <v>1.294</v>
      </c>
      <c r="AB3506" s="8">
        <v>0.14899999999999999</v>
      </c>
      <c r="AC3506" s="8">
        <v>1.2999999999999999E-2</v>
      </c>
    </row>
    <row r="3507" spans="1:29" ht="11.65" hidden="1" x14ac:dyDescent="0.35">
      <c r="A3507" s="12">
        <v>3490</v>
      </c>
      <c r="B3507" s="10" t="s">
        <v>1015</v>
      </c>
      <c r="C3507" s="18" t="s">
        <v>1257</v>
      </c>
      <c r="D3507" s="9"/>
      <c r="E3507" s="9">
        <v>8</v>
      </c>
      <c r="F3507" s="10" t="s">
        <v>1066</v>
      </c>
      <c r="G3507" s="9">
        <v>925</v>
      </c>
      <c r="H3507" s="9">
        <v>1995</v>
      </c>
      <c r="I3507" s="8">
        <v>161.79599999999999</v>
      </c>
      <c r="J3507" s="8">
        <v>172.577</v>
      </c>
      <c r="K3507" s="8">
        <v>159.499</v>
      </c>
      <c r="L3507" s="8">
        <v>146.59299999999999</v>
      </c>
      <c r="M3507" s="8">
        <v>134.774</v>
      </c>
      <c r="N3507" s="8">
        <v>123.389</v>
      </c>
      <c r="O3507" s="8">
        <v>124.95</v>
      </c>
      <c r="P3507" s="8">
        <v>111.995</v>
      </c>
      <c r="Q3507" s="8">
        <v>91.424999999999997</v>
      </c>
      <c r="R3507" s="8">
        <v>71.83</v>
      </c>
      <c r="S3507" s="8">
        <v>64.238</v>
      </c>
      <c r="T3507" s="8">
        <v>59.061999999999998</v>
      </c>
      <c r="U3507" s="8">
        <v>46.841000000000001</v>
      </c>
      <c r="V3507" s="8">
        <v>39.409999999999997</v>
      </c>
      <c r="W3507" s="8">
        <v>30.222000000000001</v>
      </c>
      <c r="X3507" s="8">
        <v>21.245000000000001</v>
      </c>
      <c r="Y3507" s="8">
        <v>12.64</v>
      </c>
      <c r="Z3507" s="8">
        <v>5.532</v>
      </c>
      <c r="AA3507" s="8">
        <v>1.2070000000000001</v>
      </c>
      <c r="AB3507" s="8">
        <v>0.182</v>
      </c>
      <c r="AC3507" s="8">
        <v>0.01</v>
      </c>
    </row>
    <row r="3508" spans="1:29" ht="11.65" hidden="1" x14ac:dyDescent="0.35">
      <c r="A3508" s="12">
        <v>3491</v>
      </c>
      <c r="B3508" s="10" t="s">
        <v>1015</v>
      </c>
      <c r="C3508" s="18" t="s">
        <v>1257</v>
      </c>
      <c r="D3508" s="9"/>
      <c r="E3508" s="9">
        <v>8</v>
      </c>
      <c r="F3508" s="10" t="s">
        <v>1066</v>
      </c>
      <c r="G3508" s="9">
        <v>925</v>
      </c>
      <c r="H3508" s="9">
        <v>2000</v>
      </c>
      <c r="I3508" s="8">
        <v>133.84700000000001</v>
      </c>
      <c r="J3508" s="8">
        <v>158.429</v>
      </c>
      <c r="K3508" s="8">
        <v>166.59899999999999</v>
      </c>
      <c r="L3508" s="8">
        <v>145.68199999999999</v>
      </c>
      <c r="M3508" s="8">
        <v>123.98</v>
      </c>
      <c r="N3508" s="8">
        <v>113.861</v>
      </c>
      <c r="O3508" s="8">
        <v>112.114</v>
      </c>
      <c r="P3508" s="8">
        <v>116.90600000000001</v>
      </c>
      <c r="Q3508" s="8">
        <v>103.801</v>
      </c>
      <c r="R3508" s="8">
        <v>83.869</v>
      </c>
      <c r="S3508" s="8">
        <v>64.906999999999996</v>
      </c>
      <c r="T3508" s="8">
        <v>55.646999999999998</v>
      </c>
      <c r="U3508" s="8">
        <v>50.780999999999999</v>
      </c>
      <c r="V3508" s="8">
        <v>39.866</v>
      </c>
      <c r="W3508" s="8">
        <v>31.917000000000002</v>
      </c>
      <c r="X3508" s="8">
        <v>21.59</v>
      </c>
      <c r="Y3508" s="8">
        <v>13.646000000000001</v>
      </c>
      <c r="Z3508" s="8">
        <v>6.4470000000000001</v>
      </c>
      <c r="AA3508" s="8">
        <v>1.655</v>
      </c>
      <c r="AB3508" s="8">
        <v>0.183</v>
      </c>
      <c r="AC3508" s="8">
        <v>1.2999999999999999E-2</v>
      </c>
    </row>
    <row r="3509" spans="1:29" ht="11.65" hidden="1" x14ac:dyDescent="0.35">
      <c r="A3509" s="12">
        <v>3492</v>
      </c>
      <c r="B3509" s="10" t="s">
        <v>1015</v>
      </c>
      <c r="C3509" s="18" t="s">
        <v>1257</v>
      </c>
      <c r="D3509" s="9"/>
      <c r="E3509" s="9">
        <v>8</v>
      </c>
      <c r="F3509" s="10" t="s">
        <v>1066</v>
      </c>
      <c r="G3509" s="9">
        <v>925</v>
      </c>
      <c r="H3509" s="9">
        <v>2005</v>
      </c>
      <c r="I3509" s="8">
        <v>103.875</v>
      </c>
      <c r="J3509" s="8">
        <v>133.244</v>
      </c>
      <c r="K3509" s="8">
        <v>154.756</v>
      </c>
      <c r="L3509" s="8">
        <v>157.51900000000001</v>
      </c>
      <c r="M3509" s="8">
        <v>129.88900000000001</v>
      </c>
      <c r="N3509" s="8">
        <v>102.15900000000001</v>
      </c>
      <c r="O3509" s="8">
        <v>98.332999999999998</v>
      </c>
      <c r="P3509" s="8">
        <v>106.503</v>
      </c>
      <c r="Q3509" s="8">
        <v>113.556</v>
      </c>
      <c r="R3509" s="8">
        <v>101.157</v>
      </c>
      <c r="S3509" s="8">
        <v>81.950999999999993</v>
      </c>
      <c r="T3509" s="8">
        <v>63.16</v>
      </c>
      <c r="U3509" s="8">
        <v>53.674999999999997</v>
      </c>
      <c r="V3509" s="8">
        <v>47.95</v>
      </c>
      <c r="W3509" s="8">
        <v>35.860999999999997</v>
      </c>
      <c r="X3509" s="8">
        <v>26.292999999999999</v>
      </c>
      <c r="Y3509" s="8">
        <v>15.143000000000001</v>
      </c>
      <c r="Z3509" s="8">
        <v>7.28</v>
      </c>
      <c r="AA3509" s="8">
        <v>2.2149999999999999</v>
      </c>
      <c r="AB3509" s="8">
        <v>0.3</v>
      </c>
      <c r="AC3509" s="8">
        <v>1.6E-2</v>
      </c>
    </row>
    <row r="3510" spans="1:29" ht="11.65" hidden="1" x14ac:dyDescent="0.35">
      <c r="A3510" s="12">
        <v>3493</v>
      </c>
      <c r="B3510" s="10" t="s">
        <v>1015</v>
      </c>
      <c r="C3510" s="18" t="s">
        <v>1257</v>
      </c>
      <c r="D3510" s="9"/>
      <c r="E3510" s="9">
        <v>8</v>
      </c>
      <c r="F3510" s="10" t="s">
        <v>1066</v>
      </c>
      <c r="G3510" s="9">
        <v>925</v>
      </c>
      <c r="H3510" s="9">
        <v>2010</v>
      </c>
      <c r="I3510" s="8">
        <v>81.239000000000004</v>
      </c>
      <c r="J3510" s="8">
        <v>100.32899999999999</v>
      </c>
      <c r="K3510" s="8">
        <v>130.65600000000001</v>
      </c>
      <c r="L3510" s="8">
        <v>134.518</v>
      </c>
      <c r="M3510" s="8">
        <v>121.726</v>
      </c>
      <c r="N3510" s="8">
        <v>101.67400000000001</v>
      </c>
      <c r="O3510" s="8">
        <v>89.167000000000002</v>
      </c>
      <c r="P3510" s="8">
        <v>94.268000000000001</v>
      </c>
      <c r="Q3510" s="8">
        <v>99.171000000000006</v>
      </c>
      <c r="R3510" s="8">
        <v>107.086</v>
      </c>
      <c r="S3510" s="8">
        <v>98.683999999999997</v>
      </c>
      <c r="T3510" s="8">
        <v>81.103999999999999</v>
      </c>
      <c r="U3510" s="8">
        <v>62.655000000000001</v>
      </c>
      <c r="V3510" s="8">
        <v>53.44</v>
      </c>
      <c r="W3510" s="8">
        <v>45.865000000000002</v>
      </c>
      <c r="X3510" s="8">
        <v>30.847000000000001</v>
      </c>
      <c r="Y3510" s="8">
        <v>19.189</v>
      </c>
      <c r="Z3510" s="8">
        <v>8.3160000000000007</v>
      </c>
      <c r="AA3510" s="8">
        <v>2.5750000000000002</v>
      </c>
      <c r="AB3510" s="8">
        <v>0.42399999999999999</v>
      </c>
      <c r="AC3510" s="8">
        <v>2.8000000000000001E-2</v>
      </c>
    </row>
    <row r="3511" spans="1:29" ht="11.65" hidden="1" x14ac:dyDescent="0.35">
      <c r="A3511" s="12">
        <v>3494</v>
      </c>
      <c r="B3511" s="10" t="s">
        <v>1015</v>
      </c>
      <c r="C3511" s="18" t="s">
        <v>1257</v>
      </c>
      <c r="D3511" s="9"/>
      <c r="E3511" s="9">
        <v>8</v>
      </c>
      <c r="F3511" s="10" t="s">
        <v>1066</v>
      </c>
      <c r="G3511" s="9">
        <v>925</v>
      </c>
      <c r="H3511" s="9">
        <v>2015</v>
      </c>
      <c r="I3511" s="8">
        <v>81.53</v>
      </c>
      <c r="J3511" s="8">
        <v>76.159000000000006</v>
      </c>
      <c r="K3511" s="8">
        <v>95.918000000000006</v>
      </c>
      <c r="L3511" s="8">
        <v>116.71599999999999</v>
      </c>
      <c r="M3511" s="8">
        <v>121.98</v>
      </c>
      <c r="N3511" s="8">
        <v>107.119</v>
      </c>
      <c r="O3511" s="8">
        <v>80.381</v>
      </c>
      <c r="P3511" s="8">
        <v>79.569000000000003</v>
      </c>
      <c r="Q3511" s="8">
        <v>92.51</v>
      </c>
      <c r="R3511" s="8">
        <v>97.67</v>
      </c>
      <c r="S3511" s="8">
        <v>105.36</v>
      </c>
      <c r="T3511" s="8">
        <v>97.846999999999994</v>
      </c>
      <c r="U3511" s="8">
        <v>77.146000000000001</v>
      </c>
      <c r="V3511" s="8">
        <v>60.128</v>
      </c>
      <c r="W3511" s="8">
        <v>52.527000000000001</v>
      </c>
      <c r="X3511" s="8">
        <v>38.631999999999998</v>
      </c>
      <c r="Y3511" s="8">
        <v>23.385999999999999</v>
      </c>
      <c r="Z3511" s="8">
        <v>11.212</v>
      </c>
      <c r="AA3511" s="8">
        <v>2.8180000000000001</v>
      </c>
      <c r="AB3511" s="8">
        <v>0.43</v>
      </c>
      <c r="AC3511" s="8">
        <v>0.03</v>
      </c>
    </row>
    <row r="3512" spans="1:29" ht="11.65" hidden="1" x14ac:dyDescent="0.35">
      <c r="A3512" s="12">
        <v>3495</v>
      </c>
      <c r="B3512" s="10" t="s">
        <v>1015</v>
      </c>
      <c r="C3512" s="18" t="s">
        <v>1257</v>
      </c>
      <c r="D3512" s="9"/>
      <c r="E3512" s="9">
        <v>8</v>
      </c>
      <c r="F3512" s="10" t="s">
        <v>1066</v>
      </c>
      <c r="G3512" s="9">
        <v>925</v>
      </c>
      <c r="H3512" s="9">
        <v>2020</v>
      </c>
      <c r="I3512" s="8">
        <v>79.713999999999999</v>
      </c>
      <c r="J3512" s="8">
        <v>79.822000000000003</v>
      </c>
      <c r="K3512" s="8">
        <v>75.224000000000004</v>
      </c>
      <c r="L3512" s="8">
        <v>93.379000000000005</v>
      </c>
      <c r="M3512" s="8">
        <v>110.982</v>
      </c>
      <c r="N3512" s="8">
        <v>115.006</v>
      </c>
      <c r="O3512" s="8">
        <v>101.291</v>
      </c>
      <c r="P3512" s="8">
        <v>76.191000000000003</v>
      </c>
      <c r="Q3512" s="8">
        <v>76.614000000000004</v>
      </c>
      <c r="R3512" s="8">
        <v>90.245000000000005</v>
      </c>
      <c r="S3512" s="8">
        <v>95.680999999999997</v>
      </c>
      <c r="T3512" s="8">
        <v>103.252</v>
      </c>
      <c r="U3512" s="8">
        <v>95.295000000000002</v>
      </c>
      <c r="V3512" s="8">
        <v>73.945999999999998</v>
      </c>
      <c r="W3512" s="8">
        <v>55.69</v>
      </c>
      <c r="X3512" s="8">
        <v>45.106999999999999</v>
      </c>
      <c r="Y3512" s="8">
        <v>28.149000000000001</v>
      </c>
      <c r="Z3512" s="8">
        <v>12.885</v>
      </c>
      <c r="AA3512" s="8">
        <v>4.0430000000000001</v>
      </c>
      <c r="AB3512" s="8">
        <v>0.53400000000000003</v>
      </c>
      <c r="AC3512" s="8">
        <v>3.5999999999999997E-2</v>
      </c>
    </row>
    <row r="3513" spans="1:29" ht="11.65" hidden="1" x14ac:dyDescent="0.35">
      <c r="A3513" s="12">
        <v>3496</v>
      </c>
      <c r="B3513" s="10" t="s">
        <v>1015</v>
      </c>
      <c r="C3513" s="18" t="s">
        <v>1258</v>
      </c>
      <c r="D3513" s="9"/>
      <c r="E3513" s="9">
        <v>70</v>
      </c>
      <c r="F3513" s="10" t="s">
        <v>1066</v>
      </c>
      <c r="G3513" s="9">
        <v>925</v>
      </c>
      <c r="H3513" s="9">
        <v>1950</v>
      </c>
      <c r="I3513" s="8">
        <v>189.499</v>
      </c>
      <c r="J3513" s="8">
        <v>139.9</v>
      </c>
      <c r="K3513" s="8">
        <v>171.3</v>
      </c>
      <c r="L3513" s="8">
        <v>161.899</v>
      </c>
      <c r="M3513" s="8">
        <v>139.69999999999999</v>
      </c>
      <c r="N3513" s="8">
        <v>106.6</v>
      </c>
      <c r="O3513" s="8">
        <v>68.599999999999994</v>
      </c>
      <c r="P3513" s="8">
        <v>76.7</v>
      </c>
      <c r="Q3513" s="8">
        <v>75.900000000000006</v>
      </c>
      <c r="R3513" s="8">
        <v>62.6</v>
      </c>
      <c r="S3513" s="8">
        <v>54.100999999999999</v>
      </c>
      <c r="T3513" s="8">
        <v>34.198999999999998</v>
      </c>
      <c r="U3513" s="8">
        <v>31.5</v>
      </c>
      <c r="V3513" s="8">
        <v>20.800999999999998</v>
      </c>
      <c r="W3513" s="8">
        <v>21.001000000000001</v>
      </c>
      <c r="X3513" s="8">
        <v>13.8</v>
      </c>
      <c r="Y3513" s="8">
        <v>6.1390000000000002</v>
      </c>
      <c r="Z3513" s="8">
        <v>2.0299999999999998</v>
      </c>
      <c r="AA3513" s="8">
        <v>0.38400000000000001</v>
      </c>
      <c r="AB3513" s="8">
        <v>3.7999999999999999E-2</v>
      </c>
      <c r="AC3513" s="8">
        <v>2E-3</v>
      </c>
    </row>
    <row r="3514" spans="1:29" ht="11.65" hidden="1" x14ac:dyDescent="0.35">
      <c r="A3514" s="12">
        <v>3497</v>
      </c>
      <c r="B3514" s="10" t="s">
        <v>1015</v>
      </c>
      <c r="C3514" s="18" t="s">
        <v>1258</v>
      </c>
      <c r="D3514" s="9"/>
      <c r="E3514" s="9">
        <v>70</v>
      </c>
      <c r="F3514" s="10" t="s">
        <v>1066</v>
      </c>
      <c r="G3514" s="9">
        <v>925</v>
      </c>
      <c r="H3514" s="9">
        <v>1955</v>
      </c>
      <c r="I3514" s="8">
        <v>207.99799999999999</v>
      </c>
      <c r="J3514" s="8">
        <v>183.547</v>
      </c>
      <c r="K3514" s="8">
        <v>138.79499999999999</v>
      </c>
      <c r="L3514" s="8">
        <v>168.81299999999999</v>
      </c>
      <c r="M3514" s="8">
        <v>156.95699999999999</v>
      </c>
      <c r="N3514" s="8">
        <v>133.858</v>
      </c>
      <c r="O3514" s="8">
        <v>101.67100000000001</v>
      </c>
      <c r="P3514" s="8">
        <v>64.994</v>
      </c>
      <c r="Q3514" s="8">
        <v>73.540999999999997</v>
      </c>
      <c r="R3514" s="8">
        <v>72.734999999999999</v>
      </c>
      <c r="S3514" s="8">
        <v>59.241</v>
      </c>
      <c r="T3514" s="8">
        <v>50.027000000000001</v>
      </c>
      <c r="U3514" s="8">
        <v>30.361999999999998</v>
      </c>
      <c r="V3514" s="8">
        <v>26.055</v>
      </c>
      <c r="W3514" s="8">
        <v>14.991</v>
      </c>
      <c r="X3514" s="8">
        <v>12.202999999999999</v>
      </c>
      <c r="Y3514" s="8">
        <v>6.3650000000000002</v>
      </c>
      <c r="Z3514" s="8">
        <v>2.1339999999999999</v>
      </c>
      <c r="AA3514" s="8">
        <v>0.53</v>
      </c>
      <c r="AB3514" s="8">
        <v>0.08</v>
      </c>
      <c r="AC3514" s="8">
        <v>5.0000000000000001E-3</v>
      </c>
    </row>
    <row r="3515" spans="1:29" ht="11.65" hidden="1" x14ac:dyDescent="0.35">
      <c r="A3515" s="12">
        <v>3498</v>
      </c>
      <c r="B3515" s="10" t="s">
        <v>1015</v>
      </c>
      <c r="C3515" s="18" t="s">
        <v>1258</v>
      </c>
      <c r="D3515" s="9"/>
      <c r="E3515" s="9">
        <v>70</v>
      </c>
      <c r="F3515" s="10" t="s">
        <v>1066</v>
      </c>
      <c r="G3515" s="9">
        <v>925</v>
      </c>
      <c r="H3515" s="9">
        <v>1960</v>
      </c>
      <c r="I3515" s="8">
        <v>212.23599999999999</v>
      </c>
      <c r="J3515" s="8">
        <v>203.12</v>
      </c>
      <c r="K3515" s="8">
        <v>182.364</v>
      </c>
      <c r="L3515" s="8">
        <v>136.54599999999999</v>
      </c>
      <c r="M3515" s="8">
        <v>163.999</v>
      </c>
      <c r="N3515" s="8">
        <v>151.178</v>
      </c>
      <c r="O3515" s="8">
        <v>128.881</v>
      </c>
      <c r="P3515" s="8">
        <v>97.875</v>
      </c>
      <c r="Q3515" s="8">
        <v>62.216999999999999</v>
      </c>
      <c r="R3515" s="8">
        <v>70.715000000000003</v>
      </c>
      <c r="S3515" s="8">
        <v>69.343000000000004</v>
      </c>
      <c r="T3515" s="8">
        <v>55.337000000000003</v>
      </c>
      <c r="U3515" s="8">
        <v>45.219000000000001</v>
      </c>
      <c r="V3515" s="8">
        <v>25.763000000000002</v>
      </c>
      <c r="W3515" s="8">
        <v>19.742999999999999</v>
      </c>
      <c r="X3515" s="8">
        <v>9.3699999999999992</v>
      </c>
      <c r="Y3515" s="8">
        <v>6.157</v>
      </c>
      <c r="Z3515" s="8">
        <v>2.464</v>
      </c>
      <c r="AA3515" s="8">
        <v>0.61299999999999999</v>
      </c>
      <c r="AB3515" s="8">
        <v>0.115</v>
      </c>
      <c r="AC3515" s="8">
        <v>1.2E-2</v>
      </c>
    </row>
    <row r="3516" spans="1:29" ht="11.65" hidden="1" x14ac:dyDescent="0.35">
      <c r="A3516" s="12">
        <v>3499</v>
      </c>
      <c r="B3516" s="10" t="s">
        <v>1015</v>
      </c>
      <c r="C3516" s="18" t="s">
        <v>1258</v>
      </c>
      <c r="D3516" s="9"/>
      <c r="E3516" s="9">
        <v>70</v>
      </c>
      <c r="F3516" s="10" t="s">
        <v>1066</v>
      </c>
      <c r="G3516" s="9">
        <v>925</v>
      </c>
      <c r="H3516" s="9">
        <v>1965</v>
      </c>
      <c r="I3516" s="8">
        <v>223.083</v>
      </c>
      <c r="J3516" s="8">
        <v>208.35599999999999</v>
      </c>
      <c r="K3516" s="8">
        <v>201.96799999999999</v>
      </c>
      <c r="L3516" s="8">
        <v>180.04</v>
      </c>
      <c r="M3516" s="8">
        <v>131.96899999999999</v>
      </c>
      <c r="N3516" s="8">
        <v>158.26400000000001</v>
      </c>
      <c r="O3516" s="8">
        <v>146.173</v>
      </c>
      <c r="P3516" s="8">
        <v>124.937</v>
      </c>
      <c r="Q3516" s="8">
        <v>94.757999999999996</v>
      </c>
      <c r="R3516" s="8">
        <v>59.768999999999998</v>
      </c>
      <c r="S3516" s="8">
        <v>67.628</v>
      </c>
      <c r="T3516" s="8">
        <v>65.215999999999994</v>
      </c>
      <c r="U3516" s="8">
        <v>50.502000000000002</v>
      </c>
      <c r="V3516" s="8">
        <v>39.052999999999997</v>
      </c>
      <c r="W3516" s="8">
        <v>20.071000000000002</v>
      </c>
      <c r="X3516" s="8">
        <v>13.079000000000001</v>
      </c>
      <c r="Y3516" s="8">
        <v>4.7850000000000001</v>
      </c>
      <c r="Z3516" s="8">
        <v>2.331</v>
      </c>
      <c r="AA3516" s="8">
        <v>0.746</v>
      </c>
      <c r="AB3516" s="8">
        <v>0.13700000000000001</v>
      </c>
      <c r="AC3516" s="8">
        <v>1.7999999999999999E-2</v>
      </c>
    </row>
    <row r="3517" spans="1:29" ht="11.65" hidden="1" x14ac:dyDescent="0.35">
      <c r="A3517" s="12">
        <v>3500</v>
      </c>
      <c r="B3517" s="10" t="s">
        <v>1015</v>
      </c>
      <c r="C3517" s="18" t="s">
        <v>1258</v>
      </c>
      <c r="D3517" s="9"/>
      <c r="E3517" s="9">
        <v>70</v>
      </c>
      <c r="F3517" s="10" t="s">
        <v>1066</v>
      </c>
      <c r="G3517" s="9">
        <v>925</v>
      </c>
      <c r="H3517" s="9">
        <v>1970</v>
      </c>
      <c r="I3517" s="8">
        <v>206.71299999999999</v>
      </c>
      <c r="J3517" s="8">
        <v>222.20599999999999</v>
      </c>
      <c r="K3517" s="8">
        <v>210.25399999999999</v>
      </c>
      <c r="L3517" s="8">
        <v>204.05799999999999</v>
      </c>
      <c r="M3517" s="8">
        <v>170.09</v>
      </c>
      <c r="N3517" s="8">
        <v>114.97</v>
      </c>
      <c r="O3517" s="8">
        <v>152.43700000000001</v>
      </c>
      <c r="P3517" s="8">
        <v>144.33699999999999</v>
      </c>
      <c r="Q3517" s="8">
        <v>120.352</v>
      </c>
      <c r="R3517" s="8">
        <v>91.224999999999994</v>
      </c>
      <c r="S3517" s="8">
        <v>56.856000000000002</v>
      </c>
      <c r="T3517" s="8">
        <v>64.23</v>
      </c>
      <c r="U3517" s="8">
        <v>59.854999999999997</v>
      </c>
      <c r="V3517" s="8">
        <v>41.881999999999998</v>
      </c>
      <c r="W3517" s="8">
        <v>29.076000000000001</v>
      </c>
      <c r="X3517" s="8">
        <v>13.182</v>
      </c>
      <c r="Y3517" s="8">
        <v>6.9889999999999999</v>
      </c>
      <c r="Z3517" s="8">
        <v>1.9570000000000001</v>
      </c>
      <c r="AA3517" s="8">
        <v>0.751</v>
      </c>
      <c r="AB3517" s="8">
        <v>0.17</v>
      </c>
      <c r="AC3517" s="8">
        <v>2.1999999999999999E-2</v>
      </c>
    </row>
    <row r="3518" spans="1:29" ht="11.65" hidden="1" x14ac:dyDescent="0.35">
      <c r="A3518" s="12">
        <v>3501</v>
      </c>
      <c r="B3518" s="10" t="s">
        <v>1015</v>
      </c>
      <c r="C3518" s="18" t="s">
        <v>1258</v>
      </c>
      <c r="D3518" s="9"/>
      <c r="E3518" s="9">
        <v>70</v>
      </c>
      <c r="F3518" s="10" t="s">
        <v>1066</v>
      </c>
      <c r="G3518" s="9">
        <v>925</v>
      </c>
      <c r="H3518" s="9">
        <v>1975</v>
      </c>
      <c r="I3518" s="8">
        <v>198.744</v>
      </c>
      <c r="J3518" s="8">
        <v>203.83199999999999</v>
      </c>
      <c r="K3518" s="8">
        <v>220.87299999999999</v>
      </c>
      <c r="L3518" s="8">
        <v>207.17</v>
      </c>
      <c r="M3518" s="8">
        <v>197.45</v>
      </c>
      <c r="N3518" s="8">
        <v>162.154</v>
      </c>
      <c r="O3518" s="8">
        <v>108.395</v>
      </c>
      <c r="P3518" s="8">
        <v>147.239</v>
      </c>
      <c r="Q3518" s="8">
        <v>140.166</v>
      </c>
      <c r="R3518" s="8">
        <v>116.717</v>
      </c>
      <c r="S3518" s="8">
        <v>87.816999999999993</v>
      </c>
      <c r="T3518" s="8">
        <v>53.823999999999998</v>
      </c>
      <c r="U3518" s="8">
        <v>59.505000000000003</v>
      </c>
      <c r="V3518" s="8">
        <v>53.018000000000001</v>
      </c>
      <c r="W3518" s="8">
        <v>34.203000000000003</v>
      </c>
      <c r="X3518" s="8">
        <v>20.922000000000001</v>
      </c>
      <c r="Y3518" s="8">
        <v>7.8579999999999997</v>
      </c>
      <c r="Z3518" s="8">
        <v>3.1970000000000001</v>
      </c>
      <c r="AA3518" s="8">
        <v>0.65100000000000002</v>
      </c>
      <c r="AB3518" s="8">
        <v>0.17399999999999999</v>
      </c>
      <c r="AC3518" s="8">
        <v>2.7E-2</v>
      </c>
    </row>
    <row r="3519" spans="1:29" ht="11.65" hidden="1" x14ac:dyDescent="0.35">
      <c r="A3519" s="12">
        <v>3502</v>
      </c>
      <c r="B3519" s="10" t="s">
        <v>1015</v>
      </c>
      <c r="C3519" s="18" t="s">
        <v>1258</v>
      </c>
      <c r="D3519" s="9"/>
      <c r="E3519" s="9">
        <v>70</v>
      </c>
      <c r="F3519" s="10" t="s">
        <v>1066</v>
      </c>
      <c r="G3519" s="9">
        <v>925</v>
      </c>
      <c r="H3519" s="9">
        <v>1980</v>
      </c>
      <c r="I3519" s="8">
        <v>184.58099999999999</v>
      </c>
      <c r="J3519" s="8">
        <v>196.50899999999999</v>
      </c>
      <c r="K3519" s="8">
        <v>200.661</v>
      </c>
      <c r="L3519" s="8">
        <v>217.22</v>
      </c>
      <c r="M3519" s="8">
        <v>197.18</v>
      </c>
      <c r="N3519" s="8">
        <v>184.21700000000001</v>
      </c>
      <c r="O3519" s="8">
        <v>154.65</v>
      </c>
      <c r="P3519" s="8">
        <v>105.696</v>
      </c>
      <c r="Q3519" s="8">
        <v>145.87799999999999</v>
      </c>
      <c r="R3519" s="8">
        <v>137.45599999999999</v>
      </c>
      <c r="S3519" s="8">
        <v>113.13200000000001</v>
      </c>
      <c r="T3519" s="8">
        <v>83.804000000000002</v>
      </c>
      <c r="U3519" s="8">
        <v>50.021999999999998</v>
      </c>
      <c r="V3519" s="8">
        <v>53.496000000000002</v>
      </c>
      <c r="W3519" s="8">
        <v>44.024999999999999</v>
      </c>
      <c r="X3519" s="8">
        <v>25.556000000000001</v>
      </c>
      <c r="Y3519" s="8">
        <v>13.442</v>
      </c>
      <c r="Z3519" s="8">
        <v>3.9239999999999999</v>
      </c>
      <c r="AA3519" s="8">
        <v>1.1439999999999999</v>
      </c>
      <c r="AB3519" s="8">
        <v>0.157</v>
      </c>
      <c r="AC3519" s="8">
        <v>2.9000000000000001E-2</v>
      </c>
    </row>
    <row r="3520" spans="1:29" ht="11.65" hidden="1" x14ac:dyDescent="0.35">
      <c r="A3520" s="12">
        <v>3503</v>
      </c>
      <c r="B3520" s="10" t="s">
        <v>1015</v>
      </c>
      <c r="C3520" s="18" t="s">
        <v>1258</v>
      </c>
      <c r="D3520" s="9"/>
      <c r="E3520" s="9">
        <v>70</v>
      </c>
      <c r="F3520" s="10" t="s">
        <v>1066</v>
      </c>
      <c r="G3520" s="9">
        <v>925</v>
      </c>
      <c r="H3520" s="9">
        <v>1985</v>
      </c>
      <c r="I3520" s="8">
        <v>180.154</v>
      </c>
      <c r="J3520" s="8">
        <v>183.31200000000001</v>
      </c>
      <c r="K3520" s="8">
        <v>195.869</v>
      </c>
      <c r="L3520" s="8">
        <v>199.25800000000001</v>
      </c>
      <c r="M3520" s="8">
        <v>214.28100000000001</v>
      </c>
      <c r="N3520" s="8">
        <v>193.65600000000001</v>
      </c>
      <c r="O3520" s="8">
        <v>181.11699999999999</v>
      </c>
      <c r="P3520" s="8">
        <v>152.17599999999999</v>
      </c>
      <c r="Q3520" s="8">
        <v>103.76300000000001</v>
      </c>
      <c r="R3520" s="8">
        <v>143.33199999999999</v>
      </c>
      <c r="S3520" s="8">
        <v>134.148</v>
      </c>
      <c r="T3520" s="8">
        <v>108.968</v>
      </c>
      <c r="U3520" s="8">
        <v>78.884</v>
      </c>
      <c r="V3520" s="8">
        <v>45.22</v>
      </c>
      <c r="W3520" s="8">
        <v>45.197000000000003</v>
      </c>
      <c r="X3520" s="8">
        <v>33.216999999999999</v>
      </c>
      <c r="Y3520" s="8">
        <v>16.224</v>
      </c>
      <c r="Z3520" s="8">
        <v>6.6859999999999999</v>
      </c>
      <c r="AA3520" s="8">
        <v>1.4179999999999999</v>
      </c>
      <c r="AB3520" s="8">
        <v>0.28100000000000003</v>
      </c>
      <c r="AC3520" s="8">
        <v>2.7E-2</v>
      </c>
    </row>
    <row r="3521" spans="1:29" ht="11.65" hidden="1" x14ac:dyDescent="0.35">
      <c r="A3521" s="12">
        <v>3504</v>
      </c>
      <c r="B3521" s="10" t="s">
        <v>1015</v>
      </c>
      <c r="C3521" s="18" t="s">
        <v>1258</v>
      </c>
      <c r="D3521" s="9"/>
      <c r="E3521" s="9">
        <v>70</v>
      </c>
      <c r="F3521" s="10" t="s">
        <v>1066</v>
      </c>
      <c r="G3521" s="9">
        <v>925</v>
      </c>
      <c r="H3521" s="9">
        <v>1990</v>
      </c>
      <c r="I3521" s="8">
        <v>169.38200000000001</v>
      </c>
      <c r="J3521" s="8">
        <v>177.309</v>
      </c>
      <c r="K3521" s="8">
        <v>176.678</v>
      </c>
      <c r="L3521" s="8">
        <v>184.22399999999999</v>
      </c>
      <c r="M3521" s="8">
        <v>183.28800000000001</v>
      </c>
      <c r="N3521" s="8">
        <v>198.78399999999999</v>
      </c>
      <c r="O3521" s="8">
        <v>180.85900000000001</v>
      </c>
      <c r="P3521" s="8">
        <v>171.17599999999999</v>
      </c>
      <c r="Q3521" s="8">
        <v>145.42400000000001</v>
      </c>
      <c r="R3521" s="8">
        <v>100.55200000000001</v>
      </c>
      <c r="S3521" s="8">
        <v>141.405</v>
      </c>
      <c r="T3521" s="8">
        <v>131.02199999999999</v>
      </c>
      <c r="U3521" s="8">
        <v>105.637</v>
      </c>
      <c r="V3521" s="8">
        <v>75.912000000000006</v>
      </c>
      <c r="W3521" s="8">
        <v>41.152000000000001</v>
      </c>
      <c r="X3521" s="8">
        <v>36.457000000000001</v>
      </c>
      <c r="Y3521" s="8">
        <v>22.501999999999999</v>
      </c>
      <c r="Z3521" s="8">
        <v>8.3040000000000003</v>
      </c>
      <c r="AA3521" s="8">
        <v>2.468</v>
      </c>
      <c r="AB3521" s="8">
        <v>0.35099999999999998</v>
      </c>
      <c r="AC3521" s="8">
        <v>4.5999999999999999E-2</v>
      </c>
    </row>
    <row r="3522" spans="1:29" ht="11.65" hidden="1" x14ac:dyDescent="0.35">
      <c r="A3522" s="12">
        <v>3505</v>
      </c>
      <c r="B3522" s="10" t="s">
        <v>1015</v>
      </c>
      <c r="C3522" s="18" t="s">
        <v>1258</v>
      </c>
      <c r="D3522" s="9"/>
      <c r="E3522" s="9">
        <v>70</v>
      </c>
      <c r="F3522" s="10" t="s">
        <v>1066</v>
      </c>
      <c r="G3522" s="9">
        <v>925</v>
      </c>
      <c r="H3522" s="9">
        <v>1995</v>
      </c>
      <c r="I3522" s="8">
        <v>126.381</v>
      </c>
      <c r="J3522" s="8">
        <v>142.32900000000001</v>
      </c>
      <c r="K3522" s="8">
        <v>141.161</v>
      </c>
      <c r="L3522" s="8">
        <v>140.34399999999999</v>
      </c>
      <c r="M3522" s="8">
        <v>146.66499999999999</v>
      </c>
      <c r="N3522" s="8">
        <v>144.011</v>
      </c>
      <c r="O3522" s="8">
        <v>159.59899999999999</v>
      </c>
      <c r="P3522" s="8">
        <v>146.24700000000001</v>
      </c>
      <c r="Q3522" s="8">
        <v>142.364</v>
      </c>
      <c r="R3522" s="8">
        <v>121.819</v>
      </c>
      <c r="S3522" s="8">
        <v>89.415000000000006</v>
      </c>
      <c r="T3522" s="8">
        <v>127.97499999999999</v>
      </c>
      <c r="U3522" s="8">
        <v>108.072</v>
      </c>
      <c r="V3522" s="8">
        <v>86.236000000000004</v>
      </c>
      <c r="W3522" s="8">
        <v>60.679000000000002</v>
      </c>
      <c r="X3522" s="8">
        <v>29.786999999999999</v>
      </c>
      <c r="Y3522" s="8">
        <v>22.806999999999999</v>
      </c>
      <c r="Z3522" s="8">
        <v>11.143000000000001</v>
      </c>
      <c r="AA3522" s="8">
        <v>2.976</v>
      </c>
      <c r="AB3522" s="8">
        <v>0.57899999999999996</v>
      </c>
      <c r="AC3522" s="8">
        <v>5.2999999999999999E-2</v>
      </c>
    </row>
    <row r="3523" spans="1:29" ht="11.65" hidden="1" x14ac:dyDescent="0.35">
      <c r="A3523" s="12">
        <v>3506</v>
      </c>
      <c r="B3523" s="10" t="s">
        <v>1015</v>
      </c>
      <c r="C3523" s="18" t="s">
        <v>1258</v>
      </c>
      <c r="D3523" s="9"/>
      <c r="E3523" s="9">
        <v>70</v>
      </c>
      <c r="F3523" s="10" t="s">
        <v>1066</v>
      </c>
      <c r="G3523" s="9">
        <v>925</v>
      </c>
      <c r="H3523" s="9">
        <v>2000</v>
      </c>
      <c r="I3523" s="8">
        <v>113.629</v>
      </c>
      <c r="J3523" s="8">
        <v>124.401</v>
      </c>
      <c r="K3523" s="8">
        <v>139.12799999999999</v>
      </c>
      <c r="L3523" s="8">
        <v>137.06</v>
      </c>
      <c r="M3523" s="8">
        <v>133.721</v>
      </c>
      <c r="N3523" s="8">
        <v>137.05799999999999</v>
      </c>
      <c r="O3523" s="8">
        <v>134.31399999999999</v>
      </c>
      <c r="P3523" s="8">
        <v>151.90299999999999</v>
      </c>
      <c r="Q3523" s="8">
        <v>140.43899999999999</v>
      </c>
      <c r="R3523" s="8">
        <v>136.90299999999999</v>
      </c>
      <c r="S3523" s="8">
        <v>115.854</v>
      </c>
      <c r="T3523" s="8">
        <v>82.549000000000007</v>
      </c>
      <c r="U3523" s="8">
        <v>117.40300000000001</v>
      </c>
      <c r="V3523" s="8">
        <v>95.266000000000005</v>
      </c>
      <c r="W3523" s="8">
        <v>71.153000000000006</v>
      </c>
      <c r="X3523" s="8">
        <v>44.859000000000002</v>
      </c>
      <c r="Y3523" s="8">
        <v>17.725999999999999</v>
      </c>
      <c r="Z3523" s="8">
        <v>11.314</v>
      </c>
      <c r="AA3523" s="8">
        <v>4.1189999999999998</v>
      </c>
      <c r="AB3523" s="8">
        <v>0.68799999999999994</v>
      </c>
      <c r="AC3523" s="8">
        <v>7.8E-2</v>
      </c>
    </row>
    <row r="3524" spans="1:29" ht="11.65" hidden="1" x14ac:dyDescent="0.35">
      <c r="A3524" s="12">
        <v>3507</v>
      </c>
      <c r="B3524" s="10" t="s">
        <v>1015</v>
      </c>
      <c r="C3524" s="18" t="s">
        <v>1258</v>
      </c>
      <c r="D3524" s="9"/>
      <c r="E3524" s="9">
        <v>70</v>
      </c>
      <c r="F3524" s="10" t="s">
        <v>1066</v>
      </c>
      <c r="G3524" s="9">
        <v>925</v>
      </c>
      <c r="H3524" s="9">
        <v>2005</v>
      </c>
      <c r="I3524" s="8">
        <v>85.858000000000004</v>
      </c>
      <c r="J3524" s="8">
        <v>113.30800000000001</v>
      </c>
      <c r="K3524" s="8">
        <v>124.20399999999999</v>
      </c>
      <c r="L3524" s="8">
        <v>138.75299999999999</v>
      </c>
      <c r="M3524" s="8">
        <v>136.345</v>
      </c>
      <c r="N3524" s="8">
        <v>132.87100000000001</v>
      </c>
      <c r="O3524" s="8">
        <v>136.27199999999999</v>
      </c>
      <c r="P3524" s="8">
        <v>133.54900000000001</v>
      </c>
      <c r="Q3524" s="8">
        <v>150.90199999999999</v>
      </c>
      <c r="R3524" s="8">
        <v>139.101</v>
      </c>
      <c r="S3524" s="8">
        <v>134.81800000000001</v>
      </c>
      <c r="T3524" s="8">
        <v>112.96899999999999</v>
      </c>
      <c r="U3524" s="8">
        <v>79.16</v>
      </c>
      <c r="V3524" s="8">
        <v>109.29</v>
      </c>
      <c r="W3524" s="8">
        <v>84.117000000000004</v>
      </c>
      <c r="X3524" s="8">
        <v>57.481999999999999</v>
      </c>
      <c r="Y3524" s="8">
        <v>31.353999999999999</v>
      </c>
      <c r="Z3524" s="8">
        <v>9.86</v>
      </c>
      <c r="AA3524" s="8">
        <v>4.4749999999999996</v>
      </c>
      <c r="AB3524" s="8">
        <v>1.028</v>
      </c>
      <c r="AC3524" s="8">
        <v>0.10100000000000001</v>
      </c>
    </row>
    <row r="3525" spans="1:29" ht="11.65" hidden="1" x14ac:dyDescent="0.35">
      <c r="A3525" s="12">
        <v>3508</v>
      </c>
      <c r="B3525" s="10" t="s">
        <v>1015</v>
      </c>
      <c r="C3525" s="18" t="s">
        <v>1258</v>
      </c>
      <c r="D3525" s="9"/>
      <c r="E3525" s="9">
        <v>70</v>
      </c>
      <c r="F3525" s="10" t="s">
        <v>1066</v>
      </c>
      <c r="G3525" s="9">
        <v>925</v>
      </c>
      <c r="H3525" s="9">
        <v>2010</v>
      </c>
      <c r="I3525" s="8">
        <v>83.959000000000003</v>
      </c>
      <c r="J3525" s="8">
        <v>85.634</v>
      </c>
      <c r="K3525" s="8">
        <v>113.045</v>
      </c>
      <c r="L3525" s="8">
        <v>122.44199999999999</v>
      </c>
      <c r="M3525" s="8">
        <v>135.29900000000001</v>
      </c>
      <c r="N3525" s="8">
        <v>132.30099999999999</v>
      </c>
      <c r="O3525" s="8">
        <v>128.386</v>
      </c>
      <c r="P3525" s="8">
        <v>131.68700000000001</v>
      </c>
      <c r="Q3525" s="8">
        <v>129.357</v>
      </c>
      <c r="R3525" s="8">
        <v>146.89699999999999</v>
      </c>
      <c r="S3525" s="8">
        <v>135.31</v>
      </c>
      <c r="T3525" s="8">
        <v>130.53800000000001</v>
      </c>
      <c r="U3525" s="8">
        <v>107.646</v>
      </c>
      <c r="V3525" s="8">
        <v>73.596000000000004</v>
      </c>
      <c r="W3525" s="8">
        <v>97.174000000000007</v>
      </c>
      <c r="X3525" s="8">
        <v>68.700999999999993</v>
      </c>
      <c r="Y3525" s="8">
        <v>40.820999999999998</v>
      </c>
      <c r="Z3525" s="8">
        <v>17.827000000000002</v>
      </c>
      <c r="AA3525" s="8">
        <v>4.0129999999999999</v>
      </c>
      <c r="AB3525" s="8">
        <v>1.155</v>
      </c>
      <c r="AC3525" s="8">
        <v>0.153</v>
      </c>
    </row>
    <row r="3526" spans="1:29" ht="11.65" hidden="1" x14ac:dyDescent="0.35">
      <c r="A3526" s="12">
        <v>3509</v>
      </c>
      <c r="B3526" s="10" t="s">
        <v>1015</v>
      </c>
      <c r="C3526" s="18" t="s">
        <v>1258</v>
      </c>
      <c r="D3526" s="9"/>
      <c r="E3526" s="9">
        <v>70</v>
      </c>
      <c r="F3526" s="10" t="s">
        <v>1066</v>
      </c>
      <c r="G3526" s="9">
        <v>925</v>
      </c>
      <c r="H3526" s="9">
        <v>2015</v>
      </c>
      <c r="I3526" s="8">
        <v>81.2</v>
      </c>
      <c r="J3526" s="8">
        <v>89.635999999999996</v>
      </c>
      <c r="K3526" s="8">
        <v>84.314999999999998</v>
      </c>
      <c r="L3526" s="8">
        <v>112.592</v>
      </c>
      <c r="M3526" s="8">
        <v>101.15300000000001</v>
      </c>
      <c r="N3526" s="8">
        <v>114.35299999999999</v>
      </c>
      <c r="O3526" s="8">
        <v>125.48699999999999</v>
      </c>
      <c r="P3526" s="8">
        <v>113.751</v>
      </c>
      <c r="Q3526" s="8">
        <v>115.54900000000001</v>
      </c>
      <c r="R3526" s="8">
        <v>120.52</v>
      </c>
      <c r="S3526" s="8">
        <v>144.21600000000001</v>
      </c>
      <c r="T3526" s="8">
        <v>131.38399999999999</v>
      </c>
      <c r="U3526" s="8">
        <v>125.22499999999999</v>
      </c>
      <c r="V3526" s="8">
        <v>89.988</v>
      </c>
      <c r="W3526" s="8">
        <v>71.992999999999995</v>
      </c>
      <c r="X3526" s="8">
        <v>73.132999999999996</v>
      </c>
      <c r="Y3526" s="8">
        <v>27.416</v>
      </c>
      <c r="Z3526" s="8">
        <v>18.074999999999999</v>
      </c>
      <c r="AA3526" s="8">
        <v>6.9610000000000003</v>
      </c>
      <c r="AB3526" s="8">
        <v>0.92700000000000005</v>
      </c>
      <c r="AC3526" s="8">
        <v>0.14499999999999999</v>
      </c>
    </row>
    <row r="3527" spans="1:29" ht="11.65" hidden="1" x14ac:dyDescent="0.35">
      <c r="A3527" s="12">
        <v>3510</v>
      </c>
      <c r="B3527" s="10" t="s">
        <v>1015</v>
      </c>
      <c r="C3527" s="18" t="s">
        <v>1258</v>
      </c>
      <c r="D3527" s="9"/>
      <c r="E3527" s="9">
        <v>70</v>
      </c>
      <c r="F3527" s="10" t="s">
        <v>1066</v>
      </c>
      <c r="G3527" s="9">
        <v>925</v>
      </c>
      <c r="H3527" s="9">
        <v>2020</v>
      </c>
      <c r="I3527" s="8">
        <v>64.567999999999998</v>
      </c>
      <c r="J3527" s="8">
        <v>78.769000000000005</v>
      </c>
      <c r="K3527" s="8">
        <v>88.331000000000003</v>
      </c>
      <c r="L3527" s="8">
        <v>80.891999999999996</v>
      </c>
      <c r="M3527" s="8">
        <v>104.619</v>
      </c>
      <c r="N3527" s="8">
        <v>91.108000000000004</v>
      </c>
      <c r="O3527" s="8">
        <v>105.58499999999999</v>
      </c>
      <c r="P3527" s="8">
        <v>118.896</v>
      </c>
      <c r="Q3527" s="8">
        <v>109.005</v>
      </c>
      <c r="R3527" s="8">
        <v>111.85899999999999</v>
      </c>
      <c r="S3527" s="8">
        <v>117.127</v>
      </c>
      <c r="T3527" s="8">
        <v>140.16300000000001</v>
      </c>
      <c r="U3527" s="8">
        <v>126.468</v>
      </c>
      <c r="V3527" s="8">
        <v>118.029</v>
      </c>
      <c r="W3527" s="8">
        <v>81.260999999999996</v>
      </c>
      <c r="X3527" s="8">
        <v>59.71</v>
      </c>
      <c r="Y3527" s="8">
        <v>52.718000000000004</v>
      </c>
      <c r="Z3527" s="8">
        <v>15.897</v>
      </c>
      <c r="AA3527" s="8">
        <v>7.3789999999999996</v>
      </c>
      <c r="AB3527" s="8">
        <v>1.696</v>
      </c>
      <c r="AC3527" s="8">
        <v>0.126</v>
      </c>
    </row>
    <row r="3528" spans="1:29" ht="11.65" hidden="1" x14ac:dyDescent="0.35">
      <c r="A3528" s="12">
        <v>3511</v>
      </c>
      <c r="B3528" s="10" t="s">
        <v>1015</v>
      </c>
      <c r="C3528" s="18" t="s">
        <v>1259</v>
      </c>
      <c r="D3528" s="9"/>
      <c r="E3528" s="9">
        <v>191</v>
      </c>
      <c r="F3528" s="10" t="s">
        <v>1066</v>
      </c>
      <c r="G3528" s="9">
        <v>925</v>
      </c>
      <c r="H3528" s="9">
        <v>1950</v>
      </c>
      <c r="I3528" s="8">
        <v>192.399</v>
      </c>
      <c r="J3528" s="8">
        <v>148</v>
      </c>
      <c r="K3528" s="8">
        <v>168.4</v>
      </c>
      <c r="L3528" s="8">
        <v>180.8</v>
      </c>
      <c r="M3528" s="8">
        <v>178.399</v>
      </c>
      <c r="N3528" s="8">
        <v>169.9</v>
      </c>
      <c r="O3528" s="8">
        <v>108.901</v>
      </c>
      <c r="P3528" s="8">
        <v>136.59899999999999</v>
      </c>
      <c r="Q3528" s="8">
        <v>149.80000000000001</v>
      </c>
      <c r="R3528" s="8">
        <v>131.70099999999999</v>
      </c>
      <c r="S3528" s="8">
        <v>114.7</v>
      </c>
      <c r="T3528" s="8">
        <v>85.7</v>
      </c>
      <c r="U3528" s="8">
        <v>76.400000000000006</v>
      </c>
      <c r="V3528" s="8">
        <v>62.3</v>
      </c>
      <c r="W3528" s="8">
        <v>48.000999999999998</v>
      </c>
      <c r="X3528" s="8">
        <v>36.5</v>
      </c>
      <c r="Y3528" s="8">
        <v>18.34</v>
      </c>
      <c r="Z3528" s="8">
        <v>7.0750000000000002</v>
      </c>
      <c r="AA3528" s="8">
        <v>1.7230000000000001</v>
      </c>
      <c r="AB3528" s="8">
        <v>0.245</v>
      </c>
      <c r="AC3528" s="8">
        <v>2.1000000000000001E-2</v>
      </c>
    </row>
    <row r="3529" spans="1:29" ht="11.65" hidden="1" x14ac:dyDescent="0.35">
      <c r="A3529" s="12">
        <v>3512</v>
      </c>
      <c r="B3529" s="10" t="s">
        <v>1015</v>
      </c>
      <c r="C3529" s="18" t="s">
        <v>1259</v>
      </c>
      <c r="D3529" s="9"/>
      <c r="E3529" s="9">
        <v>191</v>
      </c>
      <c r="F3529" s="10" t="s">
        <v>1066</v>
      </c>
      <c r="G3529" s="9">
        <v>925</v>
      </c>
      <c r="H3529" s="9">
        <v>1955</v>
      </c>
      <c r="I3529" s="8">
        <v>195.03200000000001</v>
      </c>
      <c r="J3529" s="8">
        <v>189.88399999999999</v>
      </c>
      <c r="K3529" s="8">
        <v>147.58699999999999</v>
      </c>
      <c r="L3529" s="8">
        <v>167.85599999999999</v>
      </c>
      <c r="M3529" s="8">
        <v>179.94499999999999</v>
      </c>
      <c r="N3529" s="8">
        <v>177.458</v>
      </c>
      <c r="O3529" s="8">
        <v>168.809</v>
      </c>
      <c r="P3529" s="8">
        <v>107.887</v>
      </c>
      <c r="Q3529" s="8">
        <v>134.67699999999999</v>
      </c>
      <c r="R3529" s="8">
        <v>146.52799999999999</v>
      </c>
      <c r="S3529" s="8">
        <v>126.895</v>
      </c>
      <c r="T3529" s="8">
        <v>108.071</v>
      </c>
      <c r="U3529" s="8">
        <v>78.241</v>
      </c>
      <c r="V3529" s="8">
        <v>65.606999999999999</v>
      </c>
      <c r="W3529" s="8">
        <v>46.959000000000003</v>
      </c>
      <c r="X3529" s="8">
        <v>30.864000000000001</v>
      </c>
      <c r="Y3529" s="8">
        <v>19.757999999999999</v>
      </c>
      <c r="Z3529" s="8">
        <v>6.6920000000000002</v>
      </c>
      <c r="AA3529" s="8">
        <v>1.5409999999999999</v>
      </c>
      <c r="AB3529" s="8">
        <v>0.23400000000000001</v>
      </c>
      <c r="AC3529" s="8">
        <v>1.9E-2</v>
      </c>
    </row>
    <row r="3530" spans="1:29" ht="11.65" hidden="1" x14ac:dyDescent="0.35">
      <c r="A3530" s="12">
        <v>3513</v>
      </c>
      <c r="B3530" s="10" t="s">
        <v>1015</v>
      </c>
      <c r="C3530" s="18" t="s">
        <v>1259</v>
      </c>
      <c r="D3530" s="9"/>
      <c r="E3530" s="9">
        <v>191</v>
      </c>
      <c r="F3530" s="10" t="s">
        <v>1066</v>
      </c>
      <c r="G3530" s="9">
        <v>925</v>
      </c>
      <c r="H3530" s="9">
        <v>1960</v>
      </c>
      <c r="I3530" s="8">
        <v>181.21700000000001</v>
      </c>
      <c r="J3530" s="8">
        <v>193.238</v>
      </c>
      <c r="K3530" s="8">
        <v>189.41200000000001</v>
      </c>
      <c r="L3530" s="8">
        <v>147.14699999999999</v>
      </c>
      <c r="M3530" s="8">
        <v>167.13</v>
      </c>
      <c r="N3530" s="8">
        <v>179.05199999999999</v>
      </c>
      <c r="O3530" s="8">
        <v>176.363</v>
      </c>
      <c r="P3530" s="8">
        <v>167.31700000000001</v>
      </c>
      <c r="Q3530" s="8">
        <v>106.44199999999999</v>
      </c>
      <c r="R3530" s="8">
        <v>131.86199999999999</v>
      </c>
      <c r="S3530" s="8">
        <v>141.69200000000001</v>
      </c>
      <c r="T3530" s="8">
        <v>120.538</v>
      </c>
      <c r="U3530" s="8">
        <v>99.891000000000005</v>
      </c>
      <c r="V3530" s="8">
        <v>68.622</v>
      </c>
      <c r="W3530" s="8">
        <v>51.661000000000001</v>
      </c>
      <c r="X3530" s="8">
        <v>31.297000000000001</v>
      </c>
      <c r="Y3530" s="8">
        <v>16.792999999999999</v>
      </c>
      <c r="Z3530" s="8">
        <v>7.6719999999999997</v>
      </c>
      <c r="AA3530" s="8">
        <v>1.65</v>
      </c>
      <c r="AB3530" s="8">
        <v>0.22800000000000001</v>
      </c>
      <c r="AC3530" s="8">
        <v>1.9E-2</v>
      </c>
    </row>
    <row r="3531" spans="1:29" ht="11.65" hidden="1" x14ac:dyDescent="0.35">
      <c r="A3531" s="12">
        <v>3514</v>
      </c>
      <c r="B3531" s="10" t="s">
        <v>1015</v>
      </c>
      <c r="C3531" s="18" t="s">
        <v>1259</v>
      </c>
      <c r="D3531" s="9"/>
      <c r="E3531" s="9">
        <v>191</v>
      </c>
      <c r="F3531" s="10" t="s">
        <v>1066</v>
      </c>
      <c r="G3531" s="9">
        <v>925</v>
      </c>
      <c r="H3531" s="9">
        <v>1965</v>
      </c>
      <c r="I3531" s="8">
        <v>168.541</v>
      </c>
      <c r="J3531" s="8">
        <v>180.452</v>
      </c>
      <c r="K3531" s="8">
        <v>192.934</v>
      </c>
      <c r="L3531" s="8">
        <v>184.636</v>
      </c>
      <c r="M3531" s="8">
        <v>140.547</v>
      </c>
      <c r="N3531" s="8">
        <v>164.76300000000001</v>
      </c>
      <c r="O3531" s="8">
        <v>178.31700000000001</v>
      </c>
      <c r="P3531" s="8">
        <v>174.75399999999999</v>
      </c>
      <c r="Q3531" s="8">
        <v>164.143</v>
      </c>
      <c r="R3531" s="8">
        <v>103.298</v>
      </c>
      <c r="S3531" s="8">
        <v>128.828</v>
      </c>
      <c r="T3531" s="8">
        <v>136.79400000000001</v>
      </c>
      <c r="U3531" s="8">
        <v>112.93</v>
      </c>
      <c r="V3531" s="8">
        <v>89.302999999999997</v>
      </c>
      <c r="W3531" s="8">
        <v>56.058999999999997</v>
      </c>
      <c r="X3531" s="8">
        <v>36.759</v>
      </c>
      <c r="Y3531" s="8">
        <v>17.396999999999998</v>
      </c>
      <c r="Z3531" s="8">
        <v>6.415</v>
      </c>
      <c r="AA3531" s="8">
        <v>2.0059999999999998</v>
      </c>
      <c r="AB3531" s="8">
        <v>0.251</v>
      </c>
      <c r="AC3531" s="8">
        <v>0.02</v>
      </c>
    </row>
    <row r="3532" spans="1:29" ht="11.65" hidden="1" x14ac:dyDescent="0.35">
      <c r="A3532" s="12">
        <v>3515</v>
      </c>
      <c r="B3532" s="10" t="s">
        <v>1015</v>
      </c>
      <c r="C3532" s="18" t="s">
        <v>1259</v>
      </c>
      <c r="D3532" s="9"/>
      <c r="E3532" s="9">
        <v>191</v>
      </c>
      <c r="F3532" s="10" t="s">
        <v>1066</v>
      </c>
      <c r="G3532" s="9">
        <v>925</v>
      </c>
      <c r="H3532" s="9">
        <v>1970</v>
      </c>
      <c r="I3532" s="8">
        <v>152.739</v>
      </c>
      <c r="J3532" s="8">
        <v>167.24299999999999</v>
      </c>
      <c r="K3532" s="8">
        <v>180.417</v>
      </c>
      <c r="L3532" s="8">
        <v>192.59899999999999</v>
      </c>
      <c r="M3532" s="8">
        <v>179.73</v>
      </c>
      <c r="N3532" s="8">
        <v>133.95699999999999</v>
      </c>
      <c r="O3532" s="8">
        <v>162.351</v>
      </c>
      <c r="P3532" s="8">
        <v>177.34</v>
      </c>
      <c r="Q3532" s="8">
        <v>172.71199999999999</v>
      </c>
      <c r="R3532" s="8">
        <v>160.29599999999999</v>
      </c>
      <c r="S3532" s="8">
        <v>99.492000000000004</v>
      </c>
      <c r="T3532" s="8">
        <v>124.52</v>
      </c>
      <c r="U3532" s="8">
        <v>129.75700000000001</v>
      </c>
      <c r="V3532" s="8">
        <v>102.122</v>
      </c>
      <c r="W3532" s="8">
        <v>74.159000000000006</v>
      </c>
      <c r="X3532" s="8">
        <v>41.389000000000003</v>
      </c>
      <c r="Y3532" s="8">
        <v>22.3</v>
      </c>
      <c r="Z3532" s="8">
        <v>7.5419999999999998</v>
      </c>
      <c r="AA3532" s="8">
        <v>1.8009999999999999</v>
      </c>
      <c r="AB3532" s="8">
        <v>0.318</v>
      </c>
      <c r="AC3532" s="8">
        <v>2.1999999999999999E-2</v>
      </c>
    </row>
    <row r="3533" spans="1:29" ht="11.65" hidden="1" x14ac:dyDescent="0.35">
      <c r="A3533" s="12">
        <v>3516</v>
      </c>
      <c r="B3533" s="10" t="s">
        <v>1015</v>
      </c>
      <c r="C3533" s="18" t="s">
        <v>1259</v>
      </c>
      <c r="D3533" s="9"/>
      <c r="E3533" s="9">
        <v>191</v>
      </c>
      <c r="F3533" s="10" t="s">
        <v>1066</v>
      </c>
      <c r="G3533" s="9">
        <v>925</v>
      </c>
      <c r="H3533" s="9">
        <v>1975</v>
      </c>
      <c r="I3533" s="8">
        <v>158.65799999999999</v>
      </c>
      <c r="J3533" s="8">
        <v>153.792</v>
      </c>
      <c r="K3533" s="8">
        <v>168.83600000000001</v>
      </c>
      <c r="L3533" s="8">
        <v>179.916</v>
      </c>
      <c r="M3533" s="8">
        <v>186.51</v>
      </c>
      <c r="N3533" s="8">
        <v>170.477</v>
      </c>
      <c r="O3533" s="8">
        <v>128.81299999999999</v>
      </c>
      <c r="P3533" s="8">
        <v>161.93100000000001</v>
      </c>
      <c r="Q3533" s="8">
        <v>176.12299999999999</v>
      </c>
      <c r="R3533" s="8">
        <v>169.55099999999999</v>
      </c>
      <c r="S3533" s="8">
        <v>156.03800000000001</v>
      </c>
      <c r="T3533" s="8">
        <v>95.527000000000001</v>
      </c>
      <c r="U3533" s="8">
        <v>118.446</v>
      </c>
      <c r="V3533" s="8">
        <v>118.185</v>
      </c>
      <c r="W3533" s="8">
        <v>84.313999999999993</v>
      </c>
      <c r="X3533" s="8">
        <v>53.927</v>
      </c>
      <c r="Y3533" s="8">
        <v>25.506</v>
      </c>
      <c r="Z3533" s="8">
        <v>10.256</v>
      </c>
      <c r="AA3533" s="8">
        <v>2.202</v>
      </c>
      <c r="AB3533" s="8">
        <v>0.29599999999999999</v>
      </c>
      <c r="AC3533" s="8">
        <v>2.9000000000000001E-2</v>
      </c>
    </row>
    <row r="3534" spans="1:29" ht="11.65" hidden="1" x14ac:dyDescent="0.35">
      <c r="A3534" s="12">
        <v>3517</v>
      </c>
      <c r="B3534" s="10" t="s">
        <v>1015</v>
      </c>
      <c r="C3534" s="18" t="s">
        <v>1259</v>
      </c>
      <c r="D3534" s="9"/>
      <c r="E3534" s="9">
        <v>191</v>
      </c>
      <c r="F3534" s="10" t="s">
        <v>1066</v>
      </c>
      <c r="G3534" s="9">
        <v>925</v>
      </c>
      <c r="H3534" s="9">
        <v>1980</v>
      </c>
      <c r="I3534" s="8">
        <v>157.77699999999999</v>
      </c>
      <c r="J3534" s="8">
        <v>160.084</v>
      </c>
      <c r="K3534" s="8">
        <v>154.642</v>
      </c>
      <c r="L3534" s="8">
        <v>170.23699999999999</v>
      </c>
      <c r="M3534" s="8">
        <v>180.755</v>
      </c>
      <c r="N3534" s="8">
        <v>183.64699999999999</v>
      </c>
      <c r="O3534" s="8">
        <v>165.63</v>
      </c>
      <c r="P3534" s="8">
        <v>128.30500000000001</v>
      </c>
      <c r="Q3534" s="8">
        <v>164.40299999999999</v>
      </c>
      <c r="R3534" s="8">
        <v>174.73400000000001</v>
      </c>
      <c r="S3534" s="8">
        <v>165.482</v>
      </c>
      <c r="T3534" s="8">
        <v>151.084</v>
      </c>
      <c r="U3534" s="8">
        <v>90.408000000000001</v>
      </c>
      <c r="V3534" s="8">
        <v>110.09099999999999</v>
      </c>
      <c r="W3534" s="8">
        <v>102.56699999999999</v>
      </c>
      <c r="X3534" s="8">
        <v>63.448999999999998</v>
      </c>
      <c r="Y3534" s="8">
        <v>32.71</v>
      </c>
      <c r="Z3534" s="8">
        <v>11.492000000000001</v>
      </c>
      <c r="AA3534" s="8">
        <v>3.0390000000000001</v>
      </c>
      <c r="AB3534" s="8">
        <v>0.372</v>
      </c>
      <c r="AC3534" s="8">
        <v>2.8000000000000001E-2</v>
      </c>
    </row>
    <row r="3535" spans="1:29" ht="11.65" hidden="1" x14ac:dyDescent="0.35">
      <c r="A3535" s="12">
        <v>3518</v>
      </c>
      <c r="B3535" s="10" t="s">
        <v>1015</v>
      </c>
      <c r="C3535" s="18" t="s">
        <v>1259</v>
      </c>
      <c r="D3535" s="9"/>
      <c r="E3535" s="9">
        <v>191</v>
      </c>
      <c r="F3535" s="10" t="s">
        <v>1066</v>
      </c>
      <c r="G3535" s="9">
        <v>925</v>
      </c>
      <c r="H3535" s="9">
        <v>1985</v>
      </c>
      <c r="I3535" s="8">
        <v>156.947</v>
      </c>
      <c r="J3535" s="8">
        <v>159.00899999999999</v>
      </c>
      <c r="K3535" s="8">
        <v>162.209</v>
      </c>
      <c r="L3535" s="8">
        <v>157.43899999999999</v>
      </c>
      <c r="M3535" s="8">
        <v>173.376</v>
      </c>
      <c r="N3535" s="8">
        <v>183.50399999999999</v>
      </c>
      <c r="O3535" s="8">
        <v>185.89599999999999</v>
      </c>
      <c r="P3535" s="8">
        <v>167.24100000000001</v>
      </c>
      <c r="Q3535" s="8">
        <v>129.078</v>
      </c>
      <c r="R3535" s="8">
        <v>163.60400000000001</v>
      </c>
      <c r="S3535" s="8">
        <v>171.94900000000001</v>
      </c>
      <c r="T3535" s="8">
        <v>161.27699999999999</v>
      </c>
      <c r="U3535" s="8">
        <v>144.999</v>
      </c>
      <c r="V3535" s="8">
        <v>83.790999999999997</v>
      </c>
      <c r="W3535" s="8">
        <v>95.057000000000002</v>
      </c>
      <c r="X3535" s="8">
        <v>78.864000000000004</v>
      </c>
      <c r="Y3535" s="8">
        <v>40.25</v>
      </c>
      <c r="Z3535" s="8">
        <v>15.294</v>
      </c>
      <c r="AA3535" s="8">
        <v>3.4590000000000001</v>
      </c>
      <c r="AB3535" s="8">
        <v>0.52600000000000002</v>
      </c>
      <c r="AC3535" s="8">
        <v>3.5999999999999997E-2</v>
      </c>
    </row>
    <row r="3536" spans="1:29" ht="11.65" hidden="1" x14ac:dyDescent="0.35">
      <c r="A3536" s="12">
        <v>3519</v>
      </c>
      <c r="B3536" s="10" t="s">
        <v>1015</v>
      </c>
      <c r="C3536" s="18" t="s">
        <v>1259</v>
      </c>
      <c r="D3536" s="9"/>
      <c r="E3536" s="9">
        <v>191</v>
      </c>
      <c r="F3536" s="10" t="s">
        <v>1066</v>
      </c>
      <c r="G3536" s="9">
        <v>925</v>
      </c>
      <c r="H3536" s="9">
        <v>1990</v>
      </c>
      <c r="I3536" s="8">
        <v>142.47800000000001</v>
      </c>
      <c r="J3536" s="8">
        <v>157.46</v>
      </c>
      <c r="K3536" s="8">
        <v>159.93899999999999</v>
      </c>
      <c r="L3536" s="8">
        <v>163.209</v>
      </c>
      <c r="M3536" s="8">
        <v>158.95699999999999</v>
      </c>
      <c r="N3536" s="8">
        <v>175.43100000000001</v>
      </c>
      <c r="O3536" s="8">
        <v>184.505</v>
      </c>
      <c r="P3536" s="8">
        <v>186.14699999999999</v>
      </c>
      <c r="Q3536" s="8">
        <v>166.85599999999999</v>
      </c>
      <c r="R3536" s="8">
        <v>127.789</v>
      </c>
      <c r="S3536" s="8">
        <v>160.79400000000001</v>
      </c>
      <c r="T3536" s="8">
        <v>166.44300000000001</v>
      </c>
      <c r="U3536" s="8">
        <v>154.137</v>
      </c>
      <c r="V3536" s="8">
        <v>135.26599999999999</v>
      </c>
      <c r="W3536" s="8">
        <v>73.003</v>
      </c>
      <c r="X3536" s="8">
        <v>73.465000000000003</v>
      </c>
      <c r="Y3536" s="8">
        <v>50.231999999999999</v>
      </c>
      <c r="Z3536" s="8">
        <v>19.053000000000001</v>
      </c>
      <c r="AA3536" s="8">
        <v>4.7249999999999996</v>
      </c>
      <c r="AB3536" s="8">
        <v>0.61399999999999999</v>
      </c>
      <c r="AC3536" s="8">
        <v>5.1999999999999998E-2</v>
      </c>
    </row>
    <row r="3537" spans="1:29" ht="11.65" hidden="1" x14ac:dyDescent="0.35">
      <c r="A3537" s="12">
        <v>3520</v>
      </c>
      <c r="B3537" s="10" t="s">
        <v>1015</v>
      </c>
      <c r="C3537" s="18" t="s">
        <v>1259</v>
      </c>
      <c r="D3537" s="9"/>
      <c r="E3537" s="9">
        <v>191</v>
      </c>
      <c r="F3537" s="10" t="s">
        <v>1066</v>
      </c>
      <c r="G3537" s="9">
        <v>925</v>
      </c>
      <c r="H3537" s="9">
        <v>1995</v>
      </c>
      <c r="I3537" s="8">
        <v>118.129</v>
      </c>
      <c r="J3537" s="8">
        <v>140.41999999999999</v>
      </c>
      <c r="K3537" s="8">
        <v>155.328</v>
      </c>
      <c r="L3537" s="8">
        <v>154.12899999999999</v>
      </c>
      <c r="M3537" s="8">
        <v>149.94399999999999</v>
      </c>
      <c r="N3537" s="8">
        <v>145.321</v>
      </c>
      <c r="O3537" s="8">
        <v>166.83</v>
      </c>
      <c r="P3537" s="8">
        <v>177.00200000000001</v>
      </c>
      <c r="Q3537" s="8">
        <v>178.88499999999999</v>
      </c>
      <c r="R3537" s="8">
        <v>161.232</v>
      </c>
      <c r="S3537" s="8">
        <v>123.20399999999999</v>
      </c>
      <c r="T3537" s="8">
        <v>155.072</v>
      </c>
      <c r="U3537" s="8">
        <v>158.589</v>
      </c>
      <c r="V3537" s="8">
        <v>142.82</v>
      </c>
      <c r="W3537" s="8">
        <v>118.44199999999999</v>
      </c>
      <c r="X3537" s="8">
        <v>57.527999999999999</v>
      </c>
      <c r="Y3537" s="8">
        <v>48.527999999999999</v>
      </c>
      <c r="Z3537" s="8">
        <v>24.978999999999999</v>
      </c>
      <c r="AA3537" s="8">
        <v>6.2229999999999999</v>
      </c>
      <c r="AB3537" s="8">
        <v>0.89600000000000002</v>
      </c>
      <c r="AC3537" s="8">
        <v>6.6000000000000003E-2</v>
      </c>
    </row>
    <row r="3538" spans="1:29" ht="11.65" hidden="1" x14ac:dyDescent="0.35">
      <c r="A3538" s="12">
        <v>3521</v>
      </c>
      <c r="B3538" s="10" t="s">
        <v>1015</v>
      </c>
      <c r="C3538" s="18" t="s">
        <v>1259</v>
      </c>
      <c r="D3538" s="9"/>
      <c r="E3538" s="9">
        <v>191</v>
      </c>
      <c r="F3538" s="10" t="s">
        <v>1066</v>
      </c>
      <c r="G3538" s="9">
        <v>925</v>
      </c>
      <c r="H3538" s="9">
        <v>2000</v>
      </c>
      <c r="I3538" s="8">
        <v>118.07899999999999</v>
      </c>
      <c r="J3538" s="8">
        <v>117.367</v>
      </c>
      <c r="K3538" s="8">
        <v>138.72499999999999</v>
      </c>
      <c r="L3538" s="8">
        <v>147.86600000000001</v>
      </c>
      <c r="M3538" s="8">
        <v>144.999</v>
      </c>
      <c r="N3538" s="8">
        <v>147.941</v>
      </c>
      <c r="O3538" s="8">
        <v>146.048</v>
      </c>
      <c r="P3538" s="8">
        <v>164.203</v>
      </c>
      <c r="Q3538" s="8">
        <v>169</v>
      </c>
      <c r="R3538" s="8">
        <v>165.327</v>
      </c>
      <c r="S3538" s="8">
        <v>147.245</v>
      </c>
      <c r="T3538" s="8">
        <v>115.123</v>
      </c>
      <c r="U3538" s="8">
        <v>148.49100000000001</v>
      </c>
      <c r="V3538" s="8">
        <v>145.76900000000001</v>
      </c>
      <c r="W3538" s="8">
        <v>121.13500000000001</v>
      </c>
      <c r="X3538" s="8">
        <v>89.188999999999993</v>
      </c>
      <c r="Y3538" s="8">
        <v>34.951999999999998</v>
      </c>
      <c r="Z3538" s="8">
        <v>24.719000000000001</v>
      </c>
      <c r="AA3538" s="8">
        <v>8.8729999999999993</v>
      </c>
      <c r="AB3538" s="8">
        <v>1.278</v>
      </c>
      <c r="AC3538" s="8">
        <v>9.9000000000000005E-2</v>
      </c>
    </row>
    <row r="3539" spans="1:29" ht="11.65" hidden="1" x14ac:dyDescent="0.35">
      <c r="A3539" s="12">
        <v>3522</v>
      </c>
      <c r="B3539" s="10" t="s">
        <v>1015</v>
      </c>
      <c r="C3539" s="18" t="s">
        <v>1259</v>
      </c>
      <c r="D3539" s="9"/>
      <c r="E3539" s="9">
        <v>191</v>
      </c>
      <c r="F3539" s="10" t="s">
        <v>1066</v>
      </c>
      <c r="G3539" s="9">
        <v>925</v>
      </c>
      <c r="H3539" s="9">
        <v>2005</v>
      </c>
      <c r="I3539" s="8">
        <v>100.173</v>
      </c>
      <c r="J3539" s="8">
        <v>117.926</v>
      </c>
      <c r="K3539" s="8">
        <v>117.26600000000001</v>
      </c>
      <c r="L3539" s="8">
        <v>138.52199999999999</v>
      </c>
      <c r="M3539" s="8">
        <v>147.45599999999999</v>
      </c>
      <c r="N3539" s="8">
        <v>144.512</v>
      </c>
      <c r="O3539" s="8">
        <v>147.43899999999999</v>
      </c>
      <c r="P3539" s="8">
        <v>145.47</v>
      </c>
      <c r="Q3539" s="8">
        <v>163.286</v>
      </c>
      <c r="R3539" s="8">
        <v>167.51599999999999</v>
      </c>
      <c r="S3539" s="8">
        <v>163.01900000000001</v>
      </c>
      <c r="T3539" s="8">
        <v>144.01400000000001</v>
      </c>
      <c r="U3539" s="8">
        <v>111.131</v>
      </c>
      <c r="V3539" s="8">
        <v>139.82599999999999</v>
      </c>
      <c r="W3539" s="8">
        <v>130.625</v>
      </c>
      <c r="X3539" s="8">
        <v>99.155000000000001</v>
      </c>
      <c r="Y3539" s="8">
        <v>62.469000000000001</v>
      </c>
      <c r="Z3539" s="8">
        <v>18.919</v>
      </c>
      <c r="AA3539" s="8">
        <v>8.9979999999999993</v>
      </c>
      <c r="AB3539" s="8">
        <v>1.8819999999999999</v>
      </c>
      <c r="AC3539" s="8">
        <v>0.14699999999999999</v>
      </c>
    </row>
    <row r="3540" spans="1:29" ht="11.65" hidden="1" x14ac:dyDescent="0.35">
      <c r="A3540" s="12">
        <v>3523</v>
      </c>
      <c r="B3540" s="10" t="s">
        <v>1015</v>
      </c>
      <c r="C3540" s="18" t="s">
        <v>1259</v>
      </c>
      <c r="D3540" s="9"/>
      <c r="E3540" s="9">
        <v>191</v>
      </c>
      <c r="F3540" s="10" t="s">
        <v>1066</v>
      </c>
      <c r="G3540" s="9">
        <v>925</v>
      </c>
      <c r="H3540" s="9">
        <v>2010</v>
      </c>
      <c r="I3540" s="8">
        <v>106.282</v>
      </c>
      <c r="J3540" s="8">
        <v>100.83799999999999</v>
      </c>
      <c r="K3540" s="8">
        <v>117.98399999999999</v>
      </c>
      <c r="L3540" s="8">
        <v>117.82</v>
      </c>
      <c r="M3540" s="8">
        <v>135.09899999999999</v>
      </c>
      <c r="N3540" s="8">
        <v>143.82300000000001</v>
      </c>
      <c r="O3540" s="8">
        <v>145.76400000000001</v>
      </c>
      <c r="P3540" s="8">
        <v>146.13300000000001</v>
      </c>
      <c r="Q3540" s="8">
        <v>141.65799999999999</v>
      </c>
      <c r="R3540" s="8">
        <v>158.51599999999999</v>
      </c>
      <c r="S3540" s="8">
        <v>161.61699999999999</v>
      </c>
      <c r="T3540" s="8">
        <v>158.982</v>
      </c>
      <c r="U3540" s="8">
        <v>143.113</v>
      </c>
      <c r="V3540" s="8">
        <v>109.92100000000001</v>
      </c>
      <c r="W3540" s="8">
        <v>128.57400000000001</v>
      </c>
      <c r="X3540" s="8">
        <v>109.206</v>
      </c>
      <c r="Y3540" s="8">
        <v>71.745000000000005</v>
      </c>
      <c r="Z3540" s="8">
        <v>35.942999999999998</v>
      </c>
      <c r="AA3540" s="8">
        <v>7.8120000000000003</v>
      </c>
      <c r="AB3540" s="8">
        <v>2.4260000000000002</v>
      </c>
      <c r="AC3540" s="8">
        <v>0.30099999999999999</v>
      </c>
    </row>
    <row r="3541" spans="1:29" ht="11.65" hidden="1" x14ac:dyDescent="0.35">
      <c r="A3541" s="12">
        <v>3524</v>
      </c>
      <c r="B3541" s="10" t="s">
        <v>1015</v>
      </c>
      <c r="C3541" s="18" t="s">
        <v>1259</v>
      </c>
      <c r="D3541" s="9"/>
      <c r="E3541" s="9">
        <v>191</v>
      </c>
      <c r="F3541" s="10" t="s">
        <v>1066</v>
      </c>
      <c r="G3541" s="9">
        <v>925</v>
      </c>
      <c r="H3541" s="9">
        <v>2015</v>
      </c>
      <c r="I3541" s="8">
        <v>98.447000000000003</v>
      </c>
      <c r="J3541" s="8">
        <v>103.364</v>
      </c>
      <c r="K3541" s="8">
        <v>97.131</v>
      </c>
      <c r="L3541" s="8">
        <v>118.28700000000001</v>
      </c>
      <c r="M3541" s="8">
        <v>119.461</v>
      </c>
      <c r="N3541" s="8">
        <v>130.142</v>
      </c>
      <c r="O3541" s="8">
        <v>141.035</v>
      </c>
      <c r="P3541" s="8">
        <v>143.83000000000001</v>
      </c>
      <c r="Q3541" s="8">
        <v>135.69200000000001</v>
      </c>
      <c r="R3541" s="8">
        <v>144.334</v>
      </c>
      <c r="S3541" s="8">
        <v>157.839</v>
      </c>
      <c r="T3541" s="8">
        <v>155.875</v>
      </c>
      <c r="U3541" s="8">
        <v>153.93299999999999</v>
      </c>
      <c r="V3541" s="8">
        <v>126.03400000000001</v>
      </c>
      <c r="W3541" s="8">
        <v>108.489</v>
      </c>
      <c r="X3541" s="8">
        <v>112.6</v>
      </c>
      <c r="Y3541" s="8">
        <v>85.968000000000004</v>
      </c>
      <c r="Z3541" s="8">
        <v>48.4</v>
      </c>
      <c r="AA3541" s="8">
        <v>14.536</v>
      </c>
      <c r="AB3541" s="8">
        <v>1.7909999999999999</v>
      </c>
      <c r="AC3541" s="8">
        <v>0.28100000000000003</v>
      </c>
    </row>
    <row r="3542" spans="1:29" ht="11.65" hidden="1" x14ac:dyDescent="0.35">
      <c r="A3542" s="12">
        <v>3525</v>
      </c>
      <c r="B3542" s="10" t="s">
        <v>1015</v>
      </c>
      <c r="C3542" s="18" t="s">
        <v>1259</v>
      </c>
      <c r="D3542" s="9"/>
      <c r="E3542" s="9">
        <v>191</v>
      </c>
      <c r="F3542" s="10" t="s">
        <v>1066</v>
      </c>
      <c r="G3542" s="9">
        <v>925</v>
      </c>
      <c r="H3542" s="9">
        <v>2020</v>
      </c>
      <c r="I3542" s="8">
        <v>89.323999999999998</v>
      </c>
      <c r="J3542" s="8">
        <v>97.512</v>
      </c>
      <c r="K3542" s="8">
        <v>102.83499999999999</v>
      </c>
      <c r="L3542" s="8">
        <v>95.71</v>
      </c>
      <c r="M3542" s="8">
        <v>115.038</v>
      </c>
      <c r="N3542" s="8">
        <v>115.46899999999999</v>
      </c>
      <c r="O3542" s="8">
        <v>126.747</v>
      </c>
      <c r="P3542" s="8">
        <v>138.483</v>
      </c>
      <c r="Q3542" s="8">
        <v>141.86199999999999</v>
      </c>
      <c r="R3542" s="8">
        <v>133.97300000000001</v>
      </c>
      <c r="S3542" s="8">
        <v>142.31</v>
      </c>
      <c r="T3542" s="8">
        <v>154.87299999999999</v>
      </c>
      <c r="U3542" s="8">
        <v>151.47399999999999</v>
      </c>
      <c r="V3542" s="8">
        <v>147.12</v>
      </c>
      <c r="W3542" s="8">
        <v>117.175</v>
      </c>
      <c r="X3542" s="8">
        <v>95.319000000000003</v>
      </c>
      <c r="Y3542" s="8">
        <v>86.614000000000004</v>
      </c>
      <c r="Z3542" s="8">
        <v>51.508000000000003</v>
      </c>
      <c r="AA3542" s="8">
        <v>19.324000000000002</v>
      </c>
      <c r="AB3542" s="8">
        <v>3.1190000000000002</v>
      </c>
      <c r="AC3542" s="8">
        <v>0.187</v>
      </c>
    </row>
    <row r="3543" spans="1:29" ht="11.65" hidden="1" x14ac:dyDescent="0.35">
      <c r="A3543" s="12">
        <v>3526</v>
      </c>
      <c r="B3543" s="10" t="s">
        <v>1015</v>
      </c>
      <c r="C3543" s="18" t="s">
        <v>1260</v>
      </c>
      <c r="D3543" s="9"/>
      <c r="E3543" s="9">
        <v>300</v>
      </c>
      <c r="F3543" s="10" t="s">
        <v>1066</v>
      </c>
      <c r="G3543" s="9">
        <v>925</v>
      </c>
      <c r="H3543" s="9">
        <v>1950</v>
      </c>
      <c r="I3543" s="8">
        <v>383</v>
      </c>
      <c r="J3543" s="8">
        <v>337</v>
      </c>
      <c r="K3543" s="8">
        <v>389.99900000000002</v>
      </c>
      <c r="L3543" s="8">
        <v>401.99900000000002</v>
      </c>
      <c r="M3543" s="8">
        <v>369</v>
      </c>
      <c r="N3543" s="8">
        <v>305.00099999999998</v>
      </c>
      <c r="O3543" s="8">
        <v>264</v>
      </c>
      <c r="P3543" s="8">
        <v>267.00099999999998</v>
      </c>
      <c r="Q3543" s="8">
        <v>250</v>
      </c>
      <c r="R3543" s="8">
        <v>217.999</v>
      </c>
      <c r="S3543" s="8">
        <v>181.001</v>
      </c>
      <c r="T3543" s="8">
        <v>155</v>
      </c>
      <c r="U3543" s="8">
        <v>133</v>
      </c>
      <c r="V3543" s="8">
        <v>109.101</v>
      </c>
      <c r="W3543" s="8">
        <v>79.3</v>
      </c>
      <c r="X3543" s="8">
        <v>49.499000000000002</v>
      </c>
      <c r="Y3543" s="8">
        <v>27.2</v>
      </c>
      <c r="Z3543" s="8">
        <v>13.4</v>
      </c>
      <c r="AA3543" s="8">
        <v>4.5</v>
      </c>
      <c r="AB3543" s="8">
        <v>0.86099999999999999</v>
      </c>
      <c r="AC3543" s="8">
        <v>0.1</v>
      </c>
    </row>
    <row r="3544" spans="1:29" ht="11.65" hidden="1" x14ac:dyDescent="0.35">
      <c r="A3544" s="12">
        <v>3527</v>
      </c>
      <c r="B3544" s="10" t="s">
        <v>1015</v>
      </c>
      <c r="C3544" s="18" t="s">
        <v>1260</v>
      </c>
      <c r="D3544" s="9"/>
      <c r="E3544" s="9">
        <v>300</v>
      </c>
      <c r="F3544" s="10" t="s">
        <v>1066</v>
      </c>
      <c r="G3544" s="9">
        <v>925</v>
      </c>
      <c r="H3544" s="9">
        <v>1955</v>
      </c>
      <c r="I3544" s="8">
        <v>358.35</v>
      </c>
      <c r="J3544" s="8">
        <v>375.21300000000002</v>
      </c>
      <c r="K3544" s="8">
        <v>332.48099999999999</v>
      </c>
      <c r="L3544" s="8">
        <v>384.21699999999998</v>
      </c>
      <c r="M3544" s="8">
        <v>395.57900000000001</v>
      </c>
      <c r="N3544" s="8">
        <v>361.952</v>
      </c>
      <c r="O3544" s="8">
        <v>297.56</v>
      </c>
      <c r="P3544" s="8">
        <v>257.92399999999998</v>
      </c>
      <c r="Q3544" s="8">
        <v>261.101</v>
      </c>
      <c r="R3544" s="8">
        <v>243.666</v>
      </c>
      <c r="S3544" s="8">
        <v>210.73599999999999</v>
      </c>
      <c r="T3544" s="8">
        <v>172.58699999999999</v>
      </c>
      <c r="U3544" s="8">
        <v>144.327</v>
      </c>
      <c r="V3544" s="8">
        <v>118.545</v>
      </c>
      <c r="W3544" s="8">
        <v>89.831000000000003</v>
      </c>
      <c r="X3544" s="8">
        <v>57.03</v>
      </c>
      <c r="Y3544" s="8">
        <v>28.802</v>
      </c>
      <c r="Z3544" s="8">
        <v>11.53</v>
      </c>
      <c r="AA3544" s="8">
        <v>3.6110000000000002</v>
      </c>
      <c r="AB3544" s="8">
        <v>0.67200000000000004</v>
      </c>
      <c r="AC3544" s="8">
        <v>6.5000000000000002E-2</v>
      </c>
    </row>
    <row r="3545" spans="1:29" ht="11.65" hidden="1" x14ac:dyDescent="0.35">
      <c r="A3545" s="12">
        <v>3528</v>
      </c>
      <c r="B3545" s="10" t="s">
        <v>1015</v>
      </c>
      <c r="C3545" s="18" t="s">
        <v>1260</v>
      </c>
      <c r="D3545" s="9"/>
      <c r="E3545" s="9">
        <v>300</v>
      </c>
      <c r="F3545" s="10" t="s">
        <v>1066</v>
      </c>
      <c r="G3545" s="9">
        <v>925</v>
      </c>
      <c r="H3545" s="9">
        <v>1960</v>
      </c>
      <c r="I3545" s="8">
        <v>381.25299999999999</v>
      </c>
      <c r="J3545" s="8">
        <v>347.56400000000002</v>
      </c>
      <c r="K3545" s="8">
        <v>362.404</v>
      </c>
      <c r="L3545" s="8">
        <v>309.80200000000002</v>
      </c>
      <c r="M3545" s="8">
        <v>377.214</v>
      </c>
      <c r="N3545" s="8">
        <v>391.34300000000002</v>
      </c>
      <c r="O3545" s="8">
        <v>349.61500000000001</v>
      </c>
      <c r="P3545" s="8">
        <v>283.262</v>
      </c>
      <c r="Q3545" s="8">
        <v>232.881</v>
      </c>
      <c r="R3545" s="8">
        <v>248.09200000000001</v>
      </c>
      <c r="S3545" s="8">
        <v>235.47800000000001</v>
      </c>
      <c r="T3545" s="8">
        <v>197.52799999999999</v>
      </c>
      <c r="U3545" s="8">
        <v>160.83500000000001</v>
      </c>
      <c r="V3545" s="8">
        <v>128.90299999999999</v>
      </c>
      <c r="W3545" s="8">
        <v>97.980999999999995</v>
      </c>
      <c r="X3545" s="8">
        <v>64.896000000000001</v>
      </c>
      <c r="Y3545" s="8">
        <v>33.238</v>
      </c>
      <c r="Z3545" s="8">
        <v>12.156000000000001</v>
      </c>
      <c r="AA3545" s="8">
        <v>3.0939999999999999</v>
      </c>
      <c r="AB3545" s="8">
        <v>0.53900000000000003</v>
      </c>
      <c r="AC3545" s="8">
        <v>4.9000000000000002E-2</v>
      </c>
    </row>
    <row r="3546" spans="1:29" ht="11.65" hidden="1" x14ac:dyDescent="0.35">
      <c r="A3546" s="12">
        <v>3529</v>
      </c>
      <c r="B3546" s="10" t="s">
        <v>1015</v>
      </c>
      <c r="C3546" s="18" t="s">
        <v>1260</v>
      </c>
      <c r="D3546" s="9"/>
      <c r="E3546" s="9">
        <v>300</v>
      </c>
      <c r="F3546" s="10" t="s">
        <v>1066</v>
      </c>
      <c r="G3546" s="9">
        <v>925</v>
      </c>
      <c r="H3546" s="9">
        <v>1965</v>
      </c>
      <c r="I3546" s="8">
        <v>364.53300000000002</v>
      </c>
      <c r="J3546" s="8">
        <v>373.66</v>
      </c>
      <c r="K3546" s="8">
        <v>343.89299999999997</v>
      </c>
      <c r="L3546" s="8">
        <v>349.02100000000002</v>
      </c>
      <c r="M3546" s="8">
        <v>285.15800000000002</v>
      </c>
      <c r="N3546" s="8">
        <v>351.91500000000002</v>
      </c>
      <c r="O3546" s="8">
        <v>372.41300000000001</v>
      </c>
      <c r="P3546" s="8">
        <v>320.08100000000002</v>
      </c>
      <c r="Q3546" s="8">
        <v>265.25200000000001</v>
      </c>
      <c r="R3546" s="8">
        <v>241.227</v>
      </c>
      <c r="S3546" s="8">
        <v>246.566</v>
      </c>
      <c r="T3546" s="8">
        <v>224.946</v>
      </c>
      <c r="U3546" s="8">
        <v>185.29300000000001</v>
      </c>
      <c r="V3546" s="8">
        <v>145.62200000000001</v>
      </c>
      <c r="W3546" s="8">
        <v>108.90300000000001</v>
      </c>
      <c r="X3546" s="8">
        <v>72.790000000000006</v>
      </c>
      <c r="Y3546" s="8">
        <v>39.209000000000003</v>
      </c>
      <c r="Z3546" s="8">
        <v>14.778</v>
      </c>
      <c r="AA3546" s="8">
        <v>3.46</v>
      </c>
      <c r="AB3546" s="8">
        <v>0.48499999999999999</v>
      </c>
      <c r="AC3546" s="8">
        <v>4.1000000000000002E-2</v>
      </c>
    </row>
    <row r="3547" spans="1:29" ht="11.65" hidden="1" x14ac:dyDescent="0.35">
      <c r="A3547" s="12">
        <v>3530</v>
      </c>
      <c r="B3547" s="10" t="s">
        <v>1015</v>
      </c>
      <c r="C3547" s="18" t="s">
        <v>1260</v>
      </c>
      <c r="D3547" s="9"/>
      <c r="E3547" s="9">
        <v>300</v>
      </c>
      <c r="F3547" s="10" t="s">
        <v>1066</v>
      </c>
      <c r="G3547" s="9">
        <v>925</v>
      </c>
      <c r="H3547" s="9">
        <v>1970</v>
      </c>
      <c r="I3547" s="8">
        <v>371.89</v>
      </c>
      <c r="J3547" s="8">
        <v>358.60199999999998</v>
      </c>
      <c r="K3547" s="8">
        <v>363.07900000000001</v>
      </c>
      <c r="L3547" s="8">
        <v>325.73700000000002</v>
      </c>
      <c r="M3547" s="8">
        <v>312.75</v>
      </c>
      <c r="N3547" s="8">
        <v>241.49100000000001</v>
      </c>
      <c r="O3547" s="8">
        <v>311.21800000000002</v>
      </c>
      <c r="P3547" s="8">
        <v>337.01400000000001</v>
      </c>
      <c r="Q3547" s="8">
        <v>303.85199999999998</v>
      </c>
      <c r="R3547" s="8">
        <v>262.63499999999999</v>
      </c>
      <c r="S3547" s="8">
        <v>241.809</v>
      </c>
      <c r="T3547" s="8">
        <v>247.77500000000001</v>
      </c>
      <c r="U3547" s="8">
        <v>227.15199999999999</v>
      </c>
      <c r="V3547" s="8">
        <v>184.78899999999999</v>
      </c>
      <c r="W3547" s="8">
        <v>138.84</v>
      </c>
      <c r="X3547" s="8">
        <v>91.299000000000007</v>
      </c>
      <c r="Y3547" s="8">
        <v>56.331000000000003</v>
      </c>
      <c r="Z3547" s="8">
        <v>22.376999999999999</v>
      </c>
      <c r="AA3547" s="8">
        <v>4.4109999999999996</v>
      </c>
      <c r="AB3547" s="8">
        <v>0.58299999999999996</v>
      </c>
      <c r="AC3547" s="8">
        <v>3.9E-2</v>
      </c>
    </row>
    <row r="3548" spans="1:29" ht="11.65" hidden="1" x14ac:dyDescent="0.35">
      <c r="A3548" s="12">
        <v>3531</v>
      </c>
      <c r="B3548" s="10" t="s">
        <v>1015</v>
      </c>
      <c r="C3548" s="18" t="s">
        <v>1260</v>
      </c>
      <c r="D3548" s="9"/>
      <c r="E3548" s="9">
        <v>300</v>
      </c>
      <c r="F3548" s="10" t="s">
        <v>1066</v>
      </c>
      <c r="G3548" s="9">
        <v>925</v>
      </c>
      <c r="H3548" s="9">
        <v>1975</v>
      </c>
      <c r="I3548" s="8">
        <v>357.75900000000001</v>
      </c>
      <c r="J3548" s="8">
        <v>366.96300000000002</v>
      </c>
      <c r="K3548" s="8">
        <v>355.84100000000001</v>
      </c>
      <c r="L3548" s="8">
        <v>363.58300000000003</v>
      </c>
      <c r="M3548" s="8">
        <v>314.88799999999998</v>
      </c>
      <c r="N3548" s="8">
        <v>306.25</v>
      </c>
      <c r="O3548" s="8">
        <v>249.334</v>
      </c>
      <c r="P3548" s="8">
        <v>318.94499999999999</v>
      </c>
      <c r="Q3548" s="8">
        <v>338.98099999999999</v>
      </c>
      <c r="R3548" s="8">
        <v>296.298</v>
      </c>
      <c r="S3548" s="8">
        <v>250.232</v>
      </c>
      <c r="T3548" s="8">
        <v>230.60400000000001</v>
      </c>
      <c r="U3548" s="8">
        <v>235.697</v>
      </c>
      <c r="V3548" s="8">
        <v>210.00299999999999</v>
      </c>
      <c r="W3548" s="8">
        <v>162.58799999999999</v>
      </c>
      <c r="X3548" s="8">
        <v>110.357</v>
      </c>
      <c r="Y3548" s="8">
        <v>63.305</v>
      </c>
      <c r="Z3548" s="8">
        <v>30.079000000000001</v>
      </c>
      <c r="AA3548" s="8">
        <v>7.5869999999999997</v>
      </c>
      <c r="AB3548" s="8">
        <v>0.86699999999999999</v>
      </c>
      <c r="AC3548" s="8">
        <v>5.7000000000000002E-2</v>
      </c>
    </row>
    <row r="3549" spans="1:29" ht="11.65" hidden="1" x14ac:dyDescent="0.35">
      <c r="A3549" s="12">
        <v>3532</v>
      </c>
      <c r="B3549" s="10" t="s">
        <v>1015</v>
      </c>
      <c r="C3549" s="18" t="s">
        <v>1260</v>
      </c>
      <c r="D3549" s="9"/>
      <c r="E3549" s="9">
        <v>300</v>
      </c>
      <c r="F3549" s="10" t="s">
        <v>1066</v>
      </c>
      <c r="G3549" s="9">
        <v>925</v>
      </c>
      <c r="H3549" s="9">
        <v>1980</v>
      </c>
      <c r="I3549" s="8">
        <v>364.44299999999998</v>
      </c>
      <c r="J3549" s="8">
        <v>357.58699999999999</v>
      </c>
      <c r="K3549" s="8">
        <v>374.18099999999998</v>
      </c>
      <c r="L3549" s="8">
        <v>356.512</v>
      </c>
      <c r="M3549" s="8">
        <v>356.49299999999999</v>
      </c>
      <c r="N3549" s="8">
        <v>318.22000000000003</v>
      </c>
      <c r="O3549" s="8">
        <v>323.80200000000002</v>
      </c>
      <c r="P3549" s="8">
        <v>270.31599999999997</v>
      </c>
      <c r="Q3549" s="8">
        <v>336.19600000000003</v>
      </c>
      <c r="R3549" s="8">
        <v>352.202</v>
      </c>
      <c r="S3549" s="8">
        <v>304.85899999999998</v>
      </c>
      <c r="T3549" s="8">
        <v>249.23699999999999</v>
      </c>
      <c r="U3549" s="8">
        <v>224.001</v>
      </c>
      <c r="V3549" s="8">
        <v>222.95400000000001</v>
      </c>
      <c r="W3549" s="8">
        <v>188.68899999999999</v>
      </c>
      <c r="X3549" s="8">
        <v>135.38900000000001</v>
      </c>
      <c r="Y3549" s="8">
        <v>80.456000000000003</v>
      </c>
      <c r="Z3549" s="8">
        <v>34.954000000000001</v>
      </c>
      <c r="AA3549" s="8">
        <v>10.79</v>
      </c>
      <c r="AB3549" s="8">
        <v>1.611</v>
      </c>
      <c r="AC3549" s="8">
        <v>9.2999999999999999E-2</v>
      </c>
    </row>
    <row r="3550" spans="1:29" ht="11.65" hidden="1" x14ac:dyDescent="0.35">
      <c r="A3550" s="12">
        <v>3533</v>
      </c>
      <c r="B3550" s="10" t="s">
        <v>1015</v>
      </c>
      <c r="C3550" s="18" t="s">
        <v>1260</v>
      </c>
      <c r="D3550" s="9"/>
      <c r="E3550" s="9">
        <v>300</v>
      </c>
      <c r="F3550" s="10" t="s">
        <v>1066</v>
      </c>
      <c r="G3550" s="9">
        <v>925</v>
      </c>
      <c r="H3550" s="9">
        <v>1985</v>
      </c>
      <c r="I3550" s="8">
        <v>339.23200000000003</v>
      </c>
      <c r="J3550" s="8">
        <v>366.79899999999998</v>
      </c>
      <c r="K3550" s="8">
        <v>359.43200000000002</v>
      </c>
      <c r="L3550" s="8">
        <v>375.82900000000001</v>
      </c>
      <c r="M3550" s="8">
        <v>353.08199999999999</v>
      </c>
      <c r="N3550" s="8">
        <v>356.26799999999997</v>
      </c>
      <c r="O3550" s="8">
        <v>324.01400000000001</v>
      </c>
      <c r="P3550" s="8">
        <v>328.96</v>
      </c>
      <c r="Q3550" s="8">
        <v>272.88900000000001</v>
      </c>
      <c r="R3550" s="8">
        <v>342.77600000000001</v>
      </c>
      <c r="S3550" s="8">
        <v>358.53500000000003</v>
      </c>
      <c r="T3550" s="8">
        <v>296.68400000000003</v>
      </c>
      <c r="U3550" s="8">
        <v>231.09</v>
      </c>
      <c r="V3550" s="8">
        <v>209.95599999999999</v>
      </c>
      <c r="W3550" s="8">
        <v>200.67099999999999</v>
      </c>
      <c r="X3550" s="8">
        <v>151.298</v>
      </c>
      <c r="Y3550" s="8">
        <v>95.370999999999995</v>
      </c>
      <c r="Z3550" s="8">
        <v>45.904000000000003</v>
      </c>
      <c r="AA3550" s="8">
        <v>13.837</v>
      </c>
      <c r="AB3550" s="8">
        <v>2.5529999999999999</v>
      </c>
      <c r="AC3550" s="8">
        <v>0.191</v>
      </c>
    </row>
    <row r="3551" spans="1:29" ht="11.65" hidden="1" x14ac:dyDescent="0.35">
      <c r="A3551" s="12">
        <v>3534</v>
      </c>
      <c r="B3551" s="10" t="s">
        <v>1015</v>
      </c>
      <c r="C3551" s="18" t="s">
        <v>1260</v>
      </c>
      <c r="D3551" s="9"/>
      <c r="E3551" s="9">
        <v>300</v>
      </c>
      <c r="F3551" s="10" t="s">
        <v>1066</v>
      </c>
      <c r="G3551" s="9">
        <v>925</v>
      </c>
      <c r="H3551" s="9">
        <v>1990</v>
      </c>
      <c r="I3551" s="8">
        <v>268.774</v>
      </c>
      <c r="J3551" s="8">
        <v>335.83800000000002</v>
      </c>
      <c r="K3551" s="8">
        <v>370.375</v>
      </c>
      <c r="L3551" s="8">
        <v>380.08199999999999</v>
      </c>
      <c r="M3551" s="8">
        <v>393.62599999999998</v>
      </c>
      <c r="N3551" s="8">
        <v>365.89400000000001</v>
      </c>
      <c r="O3551" s="8">
        <v>370.80500000000001</v>
      </c>
      <c r="P3551" s="8">
        <v>336.36099999999999</v>
      </c>
      <c r="Q3551" s="8">
        <v>331.19499999999999</v>
      </c>
      <c r="R3551" s="8">
        <v>263.916</v>
      </c>
      <c r="S3551" s="8">
        <v>325.50099999999998</v>
      </c>
      <c r="T3551" s="8">
        <v>335.47199999999998</v>
      </c>
      <c r="U3551" s="8">
        <v>291.79899999999998</v>
      </c>
      <c r="V3551" s="8">
        <v>241.21299999999999</v>
      </c>
      <c r="W3551" s="8">
        <v>194.761</v>
      </c>
      <c r="X3551" s="8">
        <v>162.91800000000001</v>
      </c>
      <c r="Y3551" s="8">
        <v>108.65</v>
      </c>
      <c r="Z3551" s="8">
        <v>55.832000000000001</v>
      </c>
      <c r="AA3551" s="8">
        <v>19.209</v>
      </c>
      <c r="AB3551" s="8">
        <v>3.4369999999999998</v>
      </c>
      <c r="AC3551" s="8">
        <v>0.31900000000000001</v>
      </c>
    </row>
    <row r="3552" spans="1:29" ht="11.65" hidden="1" x14ac:dyDescent="0.35">
      <c r="A3552" s="12">
        <v>3535</v>
      </c>
      <c r="B3552" s="10" t="s">
        <v>1015</v>
      </c>
      <c r="C3552" s="18" t="s">
        <v>1260</v>
      </c>
      <c r="D3552" s="9"/>
      <c r="E3552" s="9">
        <v>300</v>
      </c>
      <c r="F3552" s="10" t="s">
        <v>1066</v>
      </c>
      <c r="G3552" s="9">
        <v>925</v>
      </c>
      <c r="H3552" s="9">
        <v>1995</v>
      </c>
      <c r="I3552" s="8">
        <v>257.94400000000002</v>
      </c>
      <c r="J3552" s="8">
        <v>273.65100000000001</v>
      </c>
      <c r="K3552" s="8">
        <v>347.702</v>
      </c>
      <c r="L3552" s="8">
        <v>390.10700000000003</v>
      </c>
      <c r="M3552" s="8">
        <v>404.84300000000002</v>
      </c>
      <c r="N3552" s="8">
        <v>420.26600000000002</v>
      </c>
      <c r="O3552" s="8">
        <v>390.77800000000002</v>
      </c>
      <c r="P3552" s="8">
        <v>391.44400000000002</v>
      </c>
      <c r="Q3552" s="8">
        <v>353.66300000000001</v>
      </c>
      <c r="R3552" s="8">
        <v>344.64600000000002</v>
      </c>
      <c r="S3552" s="8">
        <v>273.423</v>
      </c>
      <c r="T3552" s="8">
        <v>331.99400000000003</v>
      </c>
      <c r="U3552" s="8">
        <v>341.19799999999998</v>
      </c>
      <c r="V3552" s="8">
        <v>290.24200000000002</v>
      </c>
      <c r="W3552" s="8">
        <v>223.68299999999999</v>
      </c>
      <c r="X3552" s="8">
        <v>162.78700000000001</v>
      </c>
      <c r="Y3552" s="8">
        <v>117.583</v>
      </c>
      <c r="Z3552" s="8">
        <v>62.069000000000003</v>
      </c>
      <c r="AA3552" s="8">
        <v>22.646000000000001</v>
      </c>
      <c r="AB3552" s="8">
        <v>4.899</v>
      </c>
      <c r="AC3552" s="8">
        <v>0.47199999999999998</v>
      </c>
    </row>
    <row r="3553" spans="1:29" ht="11.65" hidden="1" x14ac:dyDescent="0.35">
      <c r="A3553" s="12">
        <v>3536</v>
      </c>
      <c r="B3553" s="10" t="s">
        <v>1015</v>
      </c>
      <c r="C3553" s="18" t="s">
        <v>1260</v>
      </c>
      <c r="D3553" s="9"/>
      <c r="E3553" s="9">
        <v>300</v>
      </c>
      <c r="F3553" s="10" t="s">
        <v>1066</v>
      </c>
      <c r="G3553" s="9">
        <v>925</v>
      </c>
      <c r="H3553" s="9">
        <v>2000</v>
      </c>
      <c r="I3553" s="8">
        <v>259.81700000000001</v>
      </c>
      <c r="J3553" s="8">
        <v>264.20699999999999</v>
      </c>
      <c r="K3553" s="8">
        <v>285.50200000000001</v>
      </c>
      <c r="L3553" s="8">
        <v>362.61500000000001</v>
      </c>
      <c r="M3553" s="8">
        <v>406.892</v>
      </c>
      <c r="N3553" s="8">
        <v>422.33300000000003</v>
      </c>
      <c r="O3553" s="8">
        <v>436.048</v>
      </c>
      <c r="P3553" s="8">
        <v>403.80200000000002</v>
      </c>
      <c r="Q3553" s="8">
        <v>401.94400000000002</v>
      </c>
      <c r="R3553" s="8">
        <v>361.48500000000001</v>
      </c>
      <c r="S3553" s="8">
        <v>349.11399999999998</v>
      </c>
      <c r="T3553" s="8">
        <v>275.65800000000002</v>
      </c>
      <c r="U3553" s="8">
        <v>331.19</v>
      </c>
      <c r="V3553" s="8">
        <v>334.24900000000002</v>
      </c>
      <c r="W3553" s="8">
        <v>269.82600000000002</v>
      </c>
      <c r="X3553" s="8">
        <v>189.696</v>
      </c>
      <c r="Y3553" s="8">
        <v>118.22499999999999</v>
      </c>
      <c r="Z3553" s="8">
        <v>68.73</v>
      </c>
      <c r="AA3553" s="8">
        <v>25.824000000000002</v>
      </c>
      <c r="AB3553" s="8">
        <v>5.9240000000000004</v>
      </c>
      <c r="AC3553" s="8">
        <v>0.68700000000000006</v>
      </c>
    </row>
    <row r="3554" spans="1:29" ht="11.65" hidden="1" x14ac:dyDescent="0.35">
      <c r="A3554" s="12">
        <v>3537</v>
      </c>
      <c r="B3554" s="10" t="s">
        <v>1015</v>
      </c>
      <c r="C3554" s="18" t="s">
        <v>1260</v>
      </c>
      <c r="D3554" s="9"/>
      <c r="E3554" s="9">
        <v>300</v>
      </c>
      <c r="F3554" s="10" t="s">
        <v>1066</v>
      </c>
      <c r="G3554" s="9">
        <v>925</v>
      </c>
      <c r="H3554" s="9">
        <v>2005</v>
      </c>
      <c r="I3554" s="8">
        <v>263.33999999999997</v>
      </c>
      <c r="J3554" s="8">
        <v>268.22199999999998</v>
      </c>
      <c r="K3554" s="8">
        <v>278.15300000000002</v>
      </c>
      <c r="L3554" s="8">
        <v>303.79000000000002</v>
      </c>
      <c r="M3554" s="8">
        <v>384.64800000000002</v>
      </c>
      <c r="N3554" s="8">
        <v>423.87200000000001</v>
      </c>
      <c r="O3554" s="8">
        <v>430.12700000000001</v>
      </c>
      <c r="P3554" s="8">
        <v>441.04199999999997</v>
      </c>
      <c r="Q3554" s="8">
        <v>407.02800000000002</v>
      </c>
      <c r="R3554" s="8">
        <v>399.59100000000001</v>
      </c>
      <c r="S3554" s="8">
        <v>349.505</v>
      </c>
      <c r="T3554" s="8">
        <v>337.76799999999997</v>
      </c>
      <c r="U3554" s="8">
        <v>266.899</v>
      </c>
      <c r="V3554" s="8">
        <v>314.44600000000003</v>
      </c>
      <c r="W3554" s="8">
        <v>308.29899999999998</v>
      </c>
      <c r="X3554" s="8">
        <v>234.09399999999999</v>
      </c>
      <c r="Y3554" s="8">
        <v>146.98099999999999</v>
      </c>
      <c r="Z3554" s="8">
        <v>73.293000000000006</v>
      </c>
      <c r="AA3554" s="8">
        <v>29.584</v>
      </c>
      <c r="AB3554" s="8">
        <v>6.8719999999999999</v>
      </c>
      <c r="AC3554" s="8">
        <v>0.82899999999999996</v>
      </c>
    </row>
    <row r="3555" spans="1:29" ht="11.65" hidden="1" x14ac:dyDescent="0.35">
      <c r="A3555" s="12">
        <v>3538</v>
      </c>
      <c r="B3555" s="10" t="s">
        <v>1015</v>
      </c>
      <c r="C3555" s="18" t="s">
        <v>1260</v>
      </c>
      <c r="D3555" s="9"/>
      <c r="E3555" s="9">
        <v>300</v>
      </c>
      <c r="F3555" s="10" t="s">
        <v>1066</v>
      </c>
      <c r="G3555" s="9">
        <v>925</v>
      </c>
      <c r="H3555" s="9">
        <v>2010</v>
      </c>
      <c r="I3555" s="8">
        <v>267.63900000000001</v>
      </c>
      <c r="J3555" s="8">
        <v>262.20600000000002</v>
      </c>
      <c r="K3555" s="8">
        <v>271.2</v>
      </c>
      <c r="L3555" s="8">
        <v>272.06700000000001</v>
      </c>
      <c r="M3555" s="8">
        <v>310.45600000000002</v>
      </c>
      <c r="N3555" s="8">
        <v>380.54899999999998</v>
      </c>
      <c r="O3555" s="8">
        <v>398.05099999999999</v>
      </c>
      <c r="P3555" s="8">
        <v>408.17399999999998</v>
      </c>
      <c r="Q3555" s="8">
        <v>414.11900000000003</v>
      </c>
      <c r="R3555" s="8">
        <v>378.21300000000002</v>
      </c>
      <c r="S3555" s="8">
        <v>370.37299999999999</v>
      </c>
      <c r="T3555" s="8">
        <v>327.98700000000002</v>
      </c>
      <c r="U3555" s="8">
        <v>319.21699999999998</v>
      </c>
      <c r="V3555" s="8">
        <v>253.43899999999999</v>
      </c>
      <c r="W3555" s="8">
        <v>299.327</v>
      </c>
      <c r="X3555" s="8">
        <v>279.27</v>
      </c>
      <c r="Y3555" s="8">
        <v>189.46600000000001</v>
      </c>
      <c r="Z3555" s="8">
        <v>95.016999999999996</v>
      </c>
      <c r="AA3555" s="8">
        <v>33.029000000000003</v>
      </c>
      <c r="AB3555" s="8">
        <v>8.266</v>
      </c>
      <c r="AC3555" s="8">
        <v>1.022</v>
      </c>
    </row>
    <row r="3556" spans="1:29" ht="11.65" hidden="1" x14ac:dyDescent="0.35">
      <c r="A3556" s="12">
        <v>3539</v>
      </c>
      <c r="B3556" s="10" t="s">
        <v>1015</v>
      </c>
      <c r="C3556" s="18" t="s">
        <v>1260</v>
      </c>
      <c r="D3556" s="9"/>
      <c r="E3556" s="9">
        <v>300</v>
      </c>
      <c r="F3556" s="10" t="s">
        <v>1066</v>
      </c>
      <c r="G3556" s="9">
        <v>925</v>
      </c>
      <c r="H3556" s="9">
        <v>2015</v>
      </c>
      <c r="I3556" s="8">
        <v>229.982</v>
      </c>
      <c r="J3556" s="8">
        <v>263.91699999999997</v>
      </c>
      <c r="K3556" s="8">
        <v>260.12299999999999</v>
      </c>
      <c r="L3556" s="8">
        <v>265.48700000000002</v>
      </c>
      <c r="M3556" s="8">
        <v>259.00900000000001</v>
      </c>
      <c r="N3556" s="8">
        <v>294.44099999999997</v>
      </c>
      <c r="O3556" s="8">
        <v>366.97199999999998</v>
      </c>
      <c r="P3556" s="8">
        <v>388.04399999999998</v>
      </c>
      <c r="Q3556" s="8">
        <v>400.8</v>
      </c>
      <c r="R3556" s="8">
        <v>408.02100000000002</v>
      </c>
      <c r="S3556" s="8">
        <v>372.50299999999999</v>
      </c>
      <c r="T3556" s="8">
        <v>363.774</v>
      </c>
      <c r="U3556" s="8">
        <v>320.654</v>
      </c>
      <c r="V3556" s="8">
        <v>309.45600000000002</v>
      </c>
      <c r="W3556" s="8">
        <v>241.26499999999999</v>
      </c>
      <c r="X3556" s="8">
        <v>273.19799999999998</v>
      </c>
      <c r="Y3556" s="8">
        <v>228.71</v>
      </c>
      <c r="Z3556" s="8">
        <v>124.715</v>
      </c>
      <c r="AA3556" s="8">
        <v>44.853999999999999</v>
      </c>
      <c r="AB3556" s="8">
        <v>9.6609999999999996</v>
      </c>
      <c r="AC3556" s="8">
        <v>1.2949999999999999</v>
      </c>
    </row>
    <row r="3557" spans="1:29" ht="11.65" hidden="1" x14ac:dyDescent="0.35">
      <c r="A3557" s="12">
        <v>3540</v>
      </c>
      <c r="B3557" s="10" t="s">
        <v>1015</v>
      </c>
      <c r="C3557" s="18" t="s">
        <v>1260</v>
      </c>
      <c r="D3557" s="9"/>
      <c r="E3557" s="9">
        <v>300</v>
      </c>
      <c r="F3557" s="10" t="s">
        <v>1066</v>
      </c>
      <c r="G3557" s="9">
        <v>925</v>
      </c>
      <c r="H3557" s="9">
        <v>2020</v>
      </c>
      <c r="I3557" s="8">
        <v>198.28399999999999</v>
      </c>
      <c r="J3557" s="8">
        <v>228.09299999999999</v>
      </c>
      <c r="K3557" s="8">
        <v>262.83600000000001</v>
      </c>
      <c r="L3557" s="8">
        <v>257.25400000000002</v>
      </c>
      <c r="M3557" s="8">
        <v>258.96600000000001</v>
      </c>
      <c r="N3557" s="8">
        <v>251.02099999999999</v>
      </c>
      <c r="O3557" s="8">
        <v>287.61399999999998</v>
      </c>
      <c r="P3557" s="8">
        <v>361.71499999999997</v>
      </c>
      <c r="Q3557" s="8">
        <v>383.85599999999999</v>
      </c>
      <c r="R3557" s="8">
        <v>396.83</v>
      </c>
      <c r="S3557" s="8">
        <v>403.43400000000003</v>
      </c>
      <c r="T3557" s="8">
        <v>366.66500000000002</v>
      </c>
      <c r="U3557" s="8">
        <v>356.447</v>
      </c>
      <c r="V3557" s="8">
        <v>311.92500000000001</v>
      </c>
      <c r="W3557" s="8">
        <v>296.79500000000002</v>
      </c>
      <c r="X3557" s="8">
        <v>223.536</v>
      </c>
      <c r="Y3557" s="8">
        <v>229.47800000000001</v>
      </c>
      <c r="Z3557" s="8">
        <v>155.59700000000001</v>
      </c>
      <c r="AA3557" s="8">
        <v>61.478000000000002</v>
      </c>
      <c r="AB3557" s="8">
        <v>13.823</v>
      </c>
      <c r="AC3557" s="8">
        <v>1.583</v>
      </c>
    </row>
    <row r="3558" spans="1:29" ht="11.65" hidden="1" x14ac:dyDescent="0.35">
      <c r="A3558" s="12">
        <v>3541</v>
      </c>
      <c r="B3558" s="10" t="s">
        <v>1015</v>
      </c>
      <c r="C3558" s="18" t="s">
        <v>1261</v>
      </c>
      <c r="D3558" s="9"/>
      <c r="E3558" s="9">
        <v>380</v>
      </c>
      <c r="F3558" s="10" t="s">
        <v>1066</v>
      </c>
      <c r="G3558" s="9">
        <v>925</v>
      </c>
      <c r="H3558" s="9">
        <v>1950</v>
      </c>
      <c r="I3558" s="8">
        <v>2142.8539999999998</v>
      </c>
      <c r="J3558" s="8">
        <v>1888.15</v>
      </c>
      <c r="K3558" s="8">
        <v>2067.0819999999999</v>
      </c>
      <c r="L3558" s="8">
        <v>2013.54</v>
      </c>
      <c r="M3558" s="8">
        <v>2010.6849999999999</v>
      </c>
      <c r="N3558" s="8">
        <v>2009.89</v>
      </c>
      <c r="O3558" s="8">
        <v>1364.3050000000001</v>
      </c>
      <c r="P3558" s="8">
        <v>1813.1859999999999</v>
      </c>
      <c r="Q3558" s="8">
        <v>1656.837</v>
      </c>
      <c r="R3558" s="8">
        <v>1428.847</v>
      </c>
      <c r="S3558" s="8">
        <v>1304.2750000000001</v>
      </c>
      <c r="T3558" s="8">
        <v>1145.53</v>
      </c>
      <c r="U3558" s="8">
        <v>1016.076</v>
      </c>
      <c r="V3558" s="8">
        <v>810.46500000000003</v>
      </c>
      <c r="W3558" s="8">
        <v>595.19500000000005</v>
      </c>
      <c r="X3558" s="8">
        <v>372.57499999999999</v>
      </c>
      <c r="Y3558" s="8">
        <v>189.48400000000001</v>
      </c>
      <c r="Z3558" s="8">
        <v>69.325999999999993</v>
      </c>
      <c r="AA3558" s="8">
        <v>14.381</v>
      </c>
      <c r="AB3558" s="8">
        <v>1.5169999999999999</v>
      </c>
      <c r="AC3558" s="8">
        <v>6.9000000000000006E-2</v>
      </c>
    </row>
    <row r="3559" spans="1:29" ht="11.65" hidden="1" x14ac:dyDescent="0.35">
      <c r="A3559" s="12">
        <v>3542</v>
      </c>
      <c r="B3559" s="10" t="s">
        <v>1015</v>
      </c>
      <c r="C3559" s="18" t="s">
        <v>1261</v>
      </c>
      <c r="D3559" s="9"/>
      <c r="E3559" s="9">
        <v>380</v>
      </c>
      <c r="F3559" s="10" t="s">
        <v>1066</v>
      </c>
      <c r="G3559" s="9">
        <v>925</v>
      </c>
      <c r="H3559" s="9">
        <v>1955</v>
      </c>
      <c r="I3559" s="8">
        <v>1974.981</v>
      </c>
      <c r="J3559" s="8">
        <v>2116.3580000000002</v>
      </c>
      <c r="K3559" s="8">
        <v>1870.8510000000001</v>
      </c>
      <c r="L3559" s="8">
        <v>2035.886</v>
      </c>
      <c r="M3559" s="8">
        <v>1965.963</v>
      </c>
      <c r="N3559" s="8">
        <v>1971.607</v>
      </c>
      <c r="O3559" s="8">
        <v>1984.002</v>
      </c>
      <c r="P3559" s="8">
        <v>1348.9749999999999</v>
      </c>
      <c r="Q3559" s="8">
        <v>1793.663</v>
      </c>
      <c r="R3559" s="8">
        <v>1638.0250000000001</v>
      </c>
      <c r="S3559" s="8">
        <v>1405.816</v>
      </c>
      <c r="T3559" s="8">
        <v>1267.9449999999999</v>
      </c>
      <c r="U3559" s="8">
        <v>1090.5060000000001</v>
      </c>
      <c r="V3559" s="8">
        <v>929.923</v>
      </c>
      <c r="W3559" s="8">
        <v>690.03099999999995</v>
      </c>
      <c r="X3559" s="8">
        <v>442.46699999999998</v>
      </c>
      <c r="Y3559" s="8">
        <v>221.78299999999999</v>
      </c>
      <c r="Z3559" s="8">
        <v>80.117000000000004</v>
      </c>
      <c r="AA3559" s="8">
        <v>18.727</v>
      </c>
      <c r="AB3559" s="8">
        <v>2.2469999999999999</v>
      </c>
      <c r="AC3559" s="8">
        <v>0.11799999999999999</v>
      </c>
    </row>
    <row r="3560" spans="1:29" ht="11.65" hidden="1" x14ac:dyDescent="0.35">
      <c r="A3560" s="12">
        <v>3543</v>
      </c>
      <c r="B3560" s="10" t="s">
        <v>1015</v>
      </c>
      <c r="C3560" s="18" t="s">
        <v>1261</v>
      </c>
      <c r="D3560" s="9"/>
      <c r="E3560" s="9">
        <v>380</v>
      </c>
      <c r="F3560" s="10" t="s">
        <v>1066</v>
      </c>
      <c r="G3560" s="9">
        <v>925</v>
      </c>
      <c r="H3560" s="9">
        <v>1960</v>
      </c>
      <c r="I3560" s="8">
        <v>2013.8879999999999</v>
      </c>
      <c r="J3560" s="8">
        <v>1982.7619999999999</v>
      </c>
      <c r="K3560" s="8">
        <v>2097.6999999999998</v>
      </c>
      <c r="L3560" s="8">
        <v>1835.248</v>
      </c>
      <c r="M3560" s="8">
        <v>1967.41</v>
      </c>
      <c r="N3560" s="8">
        <v>1878.6489999999999</v>
      </c>
      <c r="O3560" s="8">
        <v>1901.259</v>
      </c>
      <c r="P3560" s="8">
        <v>1932.5840000000001</v>
      </c>
      <c r="Q3560" s="8">
        <v>1314.3330000000001</v>
      </c>
      <c r="R3560" s="8">
        <v>1754.4190000000001</v>
      </c>
      <c r="S3560" s="8">
        <v>1591.5229999999999</v>
      </c>
      <c r="T3560" s="8">
        <v>1355.623</v>
      </c>
      <c r="U3560" s="8">
        <v>1200.2260000000001</v>
      </c>
      <c r="V3560" s="8">
        <v>995.64</v>
      </c>
      <c r="W3560" s="8">
        <v>795.05600000000004</v>
      </c>
      <c r="X3560" s="8">
        <v>523.42700000000002</v>
      </c>
      <c r="Y3560" s="8">
        <v>273.28699999999998</v>
      </c>
      <c r="Z3560" s="8">
        <v>98.960999999999999</v>
      </c>
      <c r="AA3560" s="8">
        <v>22.859000000000002</v>
      </c>
      <c r="AB3560" s="8">
        <v>3.0419999999999998</v>
      </c>
      <c r="AC3560" s="8">
        <v>0.187</v>
      </c>
    </row>
    <row r="3561" spans="1:29" ht="11.65" hidden="1" x14ac:dyDescent="0.35">
      <c r="A3561" s="12">
        <v>3544</v>
      </c>
      <c r="B3561" s="10" t="s">
        <v>1015</v>
      </c>
      <c r="C3561" s="18" t="s">
        <v>1261</v>
      </c>
      <c r="D3561" s="9"/>
      <c r="E3561" s="9">
        <v>380</v>
      </c>
      <c r="F3561" s="10" t="s">
        <v>1066</v>
      </c>
      <c r="G3561" s="9">
        <v>925</v>
      </c>
      <c r="H3561" s="9">
        <v>1965</v>
      </c>
      <c r="I3561" s="8">
        <v>2228.5540000000001</v>
      </c>
      <c r="J3561" s="8">
        <v>2026.6590000000001</v>
      </c>
      <c r="K3561" s="8">
        <v>1953.12</v>
      </c>
      <c r="L3561" s="8">
        <v>2057.527</v>
      </c>
      <c r="M3561" s="8">
        <v>1794.8910000000001</v>
      </c>
      <c r="N3561" s="8">
        <v>1937.6379999999999</v>
      </c>
      <c r="O3561" s="8">
        <v>1854.748</v>
      </c>
      <c r="P3561" s="8">
        <v>1871.6559999999999</v>
      </c>
      <c r="Q3561" s="8">
        <v>1899.67</v>
      </c>
      <c r="R3561" s="8">
        <v>1286.163</v>
      </c>
      <c r="S3561" s="8">
        <v>1710.395</v>
      </c>
      <c r="T3561" s="8">
        <v>1544.048</v>
      </c>
      <c r="U3561" s="8">
        <v>1304.2339999999999</v>
      </c>
      <c r="V3561" s="8">
        <v>1111.569</v>
      </c>
      <c r="W3561" s="8">
        <v>858.48199999999997</v>
      </c>
      <c r="X3561" s="8">
        <v>610.47799999999995</v>
      </c>
      <c r="Y3561" s="8">
        <v>328.66399999999999</v>
      </c>
      <c r="Z3561" s="8">
        <v>125.67700000000001</v>
      </c>
      <c r="AA3561" s="8">
        <v>29.417999999999999</v>
      </c>
      <c r="AB3561" s="8">
        <v>3.778</v>
      </c>
      <c r="AC3561" s="8">
        <v>0.253</v>
      </c>
    </row>
    <row r="3562" spans="1:29" ht="11.65" hidden="1" x14ac:dyDescent="0.35">
      <c r="A3562" s="12">
        <v>3545</v>
      </c>
      <c r="B3562" s="10" t="s">
        <v>1015</v>
      </c>
      <c r="C3562" s="18" t="s">
        <v>1261</v>
      </c>
      <c r="D3562" s="9"/>
      <c r="E3562" s="9">
        <v>380</v>
      </c>
      <c r="F3562" s="10" t="s">
        <v>1066</v>
      </c>
      <c r="G3562" s="9">
        <v>925</v>
      </c>
      <c r="H3562" s="9">
        <v>1970</v>
      </c>
      <c r="I3562" s="8">
        <v>2203.6990000000001</v>
      </c>
      <c r="J3562" s="8">
        <v>2215.3969999999999</v>
      </c>
      <c r="K3562" s="8">
        <v>2017.1289999999999</v>
      </c>
      <c r="L3562" s="8">
        <v>1923.8119999999999</v>
      </c>
      <c r="M3562" s="8">
        <v>2007.56</v>
      </c>
      <c r="N3562" s="8">
        <v>1750.5350000000001</v>
      </c>
      <c r="O3562" s="8">
        <v>1916.126</v>
      </c>
      <c r="P3562" s="8">
        <v>1843.7829999999999</v>
      </c>
      <c r="Q3562" s="8">
        <v>1847.355</v>
      </c>
      <c r="R3562" s="8">
        <v>1864.4880000000001</v>
      </c>
      <c r="S3562" s="8">
        <v>1252.2329999999999</v>
      </c>
      <c r="T3562" s="8">
        <v>1652.82</v>
      </c>
      <c r="U3562" s="8">
        <v>1478.232</v>
      </c>
      <c r="V3562" s="8">
        <v>1227.433</v>
      </c>
      <c r="W3562" s="8">
        <v>977.43399999999997</v>
      </c>
      <c r="X3562" s="8">
        <v>669.101</v>
      </c>
      <c r="Y3562" s="8">
        <v>395.82900000000001</v>
      </c>
      <c r="Z3562" s="8">
        <v>158.184</v>
      </c>
      <c r="AA3562" s="8">
        <v>39.405999999999999</v>
      </c>
      <c r="AB3562" s="8">
        <v>5.2389999999999999</v>
      </c>
      <c r="AC3562" s="8">
        <v>0.34200000000000003</v>
      </c>
    </row>
    <row r="3563" spans="1:29" ht="11.65" hidden="1" x14ac:dyDescent="0.35">
      <c r="A3563" s="12">
        <v>3546</v>
      </c>
      <c r="B3563" s="10" t="s">
        <v>1015</v>
      </c>
      <c r="C3563" s="18" t="s">
        <v>1261</v>
      </c>
      <c r="D3563" s="9"/>
      <c r="E3563" s="9">
        <v>380</v>
      </c>
      <c r="F3563" s="10" t="s">
        <v>1066</v>
      </c>
      <c r="G3563" s="9">
        <v>925</v>
      </c>
      <c r="H3563" s="9">
        <v>1975</v>
      </c>
      <c r="I3563" s="8">
        <v>2083.4299999999998</v>
      </c>
      <c r="J3563" s="8">
        <v>2200.614</v>
      </c>
      <c r="K3563" s="8">
        <v>2221.8670000000002</v>
      </c>
      <c r="L3563" s="8">
        <v>2017.3130000000001</v>
      </c>
      <c r="M3563" s="8">
        <v>1919.7819999999999</v>
      </c>
      <c r="N3563" s="8">
        <v>2004.0250000000001</v>
      </c>
      <c r="O3563" s="8">
        <v>1749.011</v>
      </c>
      <c r="P3563" s="8">
        <v>1909.9480000000001</v>
      </c>
      <c r="Q3563" s="8">
        <v>1832.268</v>
      </c>
      <c r="R3563" s="8">
        <v>1831.384</v>
      </c>
      <c r="S3563" s="8">
        <v>1835.86</v>
      </c>
      <c r="T3563" s="8">
        <v>1221.9949999999999</v>
      </c>
      <c r="U3563" s="8">
        <v>1587.434</v>
      </c>
      <c r="V3563" s="8">
        <v>1375.7539999999999</v>
      </c>
      <c r="W3563" s="8">
        <v>1079.316</v>
      </c>
      <c r="X3563" s="8">
        <v>772.67700000000002</v>
      </c>
      <c r="Y3563" s="8">
        <v>447.279</v>
      </c>
      <c r="Z3563" s="8">
        <v>200.24299999999999</v>
      </c>
      <c r="AA3563" s="8">
        <v>52.218000000000004</v>
      </c>
      <c r="AB3563" s="8">
        <v>7.3449999999999998</v>
      </c>
      <c r="AC3563" s="8">
        <v>0.49099999999999999</v>
      </c>
    </row>
    <row r="3564" spans="1:29" ht="11.65" hidden="1" x14ac:dyDescent="0.35">
      <c r="A3564" s="12">
        <v>3547</v>
      </c>
      <c r="B3564" s="10" t="s">
        <v>1015</v>
      </c>
      <c r="C3564" s="18" t="s">
        <v>1261</v>
      </c>
      <c r="D3564" s="9"/>
      <c r="E3564" s="9">
        <v>380</v>
      </c>
      <c r="F3564" s="10" t="s">
        <v>1066</v>
      </c>
      <c r="G3564" s="9">
        <v>925</v>
      </c>
      <c r="H3564" s="9">
        <v>1980</v>
      </c>
      <c r="I3564" s="8">
        <v>1733.9739999999999</v>
      </c>
      <c r="J3564" s="8">
        <v>2071.6350000000002</v>
      </c>
      <c r="K3564" s="8">
        <v>2226.7489999999998</v>
      </c>
      <c r="L3564" s="8">
        <v>2242.0259999999998</v>
      </c>
      <c r="M3564" s="8">
        <v>2020.6189999999999</v>
      </c>
      <c r="N3564" s="8">
        <v>1925.8969999999999</v>
      </c>
      <c r="O3564" s="8">
        <v>2017.06</v>
      </c>
      <c r="P3564" s="8">
        <v>1761.5519999999999</v>
      </c>
      <c r="Q3564" s="8">
        <v>1906.636</v>
      </c>
      <c r="R3564" s="8">
        <v>1817.018</v>
      </c>
      <c r="S3564" s="8">
        <v>1811.98</v>
      </c>
      <c r="T3564" s="8">
        <v>1801.3920000000001</v>
      </c>
      <c r="U3564" s="8">
        <v>1183.46</v>
      </c>
      <c r="V3564" s="8">
        <v>1497.922</v>
      </c>
      <c r="W3564" s="8">
        <v>1226.5450000000001</v>
      </c>
      <c r="X3564" s="8">
        <v>865.58500000000004</v>
      </c>
      <c r="Y3564" s="8">
        <v>534.65300000000002</v>
      </c>
      <c r="Z3564" s="8">
        <v>236.959</v>
      </c>
      <c r="AA3564" s="8">
        <v>67.950999999999993</v>
      </c>
      <c r="AB3564" s="8">
        <v>10.035</v>
      </c>
      <c r="AC3564" s="8">
        <v>0.68700000000000006</v>
      </c>
    </row>
    <row r="3565" spans="1:29" ht="11.65" hidden="1" x14ac:dyDescent="0.35">
      <c r="A3565" s="12">
        <v>3548</v>
      </c>
      <c r="B3565" s="10" t="s">
        <v>1015</v>
      </c>
      <c r="C3565" s="18" t="s">
        <v>1261</v>
      </c>
      <c r="D3565" s="9"/>
      <c r="E3565" s="9">
        <v>380</v>
      </c>
      <c r="F3565" s="10" t="s">
        <v>1066</v>
      </c>
      <c r="G3565" s="9">
        <v>925</v>
      </c>
      <c r="H3565" s="9">
        <v>1985</v>
      </c>
      <c r="I3565" s="8">
        <v>1475.645</v>
      </c>
      <c r="J3565" s="8">
        <v>1734.502</v>
      </c>
      <c r="K3565" s="8">
        <v>2096.4079999999999</v>
      </c>
      <c r="L3565" s="8">
        <v>2250.0259999999998</v>
      </c>
      <c r="M3565" s="8">
        <v>2256.489</v>
      </c>
      <c r="N3565" s="8">
        <v>2036.6120000000001</v>
      </c>
      <c r="O3565" s="8">
        <v>1943.2850000000001</v>
      </c>
      <c r="P3565" s="8">
        <v>2025.1790000000001</v>
      </c>
      <c r="Q3565" s="8">
        <v>1757.6679999999999</v>
      </c>
      <c r="R3565" s="8">
        <v>1890.3309999999999</v>
      </c>
      <c r="S3565" s="8">
        <v>1790.7059999999999</v>
      </c>
      <c r="T3565" s="8">
        <v>1772.3489999999999</v>
      </c>
      <c r="U3565" s="8">
        <v>1735.673</v>
      </c>
      <c r="V3565" s="8">
        <v>1110.2170000000001</v>
      </c>
      <c r="W3565" s="8">
        <v>1347.1669999999999</v>
      </c>
      <c r="X3565" s="8">
        <v>1009.558</v>
      </c>
      <c r="Y3565" s="8">
        <v>607.13800000000003</v>
      </c>
      <c r="Z3565" s="8">
        <v>289.27699999999999</v>
      </c>
      <c r="AA3565" s="8">
        <v>86.616</v>
      </c>
      <c r="AB3565" s="8">
        <v>14.337</v>
      </c>
      <c r="AC3565" s="8">
        <v>1.0449999999999999</v>
      </c>
    </row>
    <row r="3566" spans="1:29" ht="11.65" hidden="1" x14ac:dyDescent="0.35">
      <c r="A3566" s="12">
        <v>3549</v>
      </c>
      <c r="B3566" s="10" t="s">
        <v>1015</v>
      </c>
      <c r="C3566" s="18" t="s">
        <v>1261</v>
      </c>
      <c r="D3566" s="9"/>
      <c r="E3566" s="9">
        <v>380</v>
      </c>
      <c r="F3566" s="10" t="s">
        <v>1066</v>
      </c>
      <c r="G3566" s="9">
        <v>925</v>
      </c>
      <c r="H3566" s="9">
        <v>1990</v>
      </c>
      <c r="I3566" s="8">
        <v>1368.271</v>
      </c>
      <c r="J3566" s="8">
        <v>1468.8320000000001</v>
      </c>
      <c r="K3566" s="8">
        <v>1736.289</v>
      </c>
      <c r="L3566" s="8">
        <v>2113.067</v>
      </c>
      <c r="M3566" s="8">
        <v>2261.9960000000001</v>
      </c>
      <c r="N3566" s="8">
        <v>2256.826</v>
      </c>
      <c r="O3566" s="8">
        <v>2035.9680000000001</v>
      </c>
      <c r="P3566" s="8">
        <v>1941.942</v>
      </c>
      <c r="Q3566" s="8">
        <v>2013.6859999999999</v>
      </c>
      <c r="R3566" s="8">
        <v>1735.3789999999999</v>
      </c>
      <c r="S3566" s="8">
        <v>1859.09</v>
      </c>
      <c r="T3566" s="8">
        <v>1749.6279999999999</v>
      </c>
      <c r="U3566" s="8">
        <v>1713.383</v>
      </c>
      <c r="V3566" s="8">
        <v>1642.252</v>
      </c>
      <c r="W3566" s="8">
        <v>1011.003</v>
      </c>
      <c r="X3566" s="8">
        <v>1146.4680000000001</v>
      </c>
      <c r="Y3566" s="8">
        <v>760.15899999999999</v>
      </c>
      <c r="Z3566" s="8">
        <v>362.06799999999998</v>
      </c>
      <c r="AA3566" s="8">
        <v>117.01300000000001</v>
      </c>
      <c r="AB3566" s="8">
        <v>20.59</v>
      </c>
      <c r="AC3566" s="8">
        <v>1.694</v>
      </c>
    </row>
    <row r="3567" spans="1:29" ht="11.65" hidden="1" x14ac:dyDescent="0.35">
      <c r="A3567" s="12">
        <v>3550</v>
      </c>
      <c r="B3567" s="10" t="s">
        <v>1015</v>
      </c>
      <c r="C3567" s="18" t="s">
        <v>1261</v>
      </c>
      <c r="D3567" s="9"/>
      <c r="E3567" s="9">
        <v>380</v>
      </c>
      <c r="F3567" s="10" t="s">
        <v>1066</v>
      </c>
      <c r="G3567" s="9">
        <v>925</v>
      </c>
      <c r="H3567" s="9">
        <v>1995</v>
      </c>
      <c r="I3567" s="8">
        <v>1322.9010000000001</v>
      </c>
      <c r="J3567" s="8">
        <v>1365.8589999999999</v>
      </c>
      <c r="K3567" s="8">
        <v>1478.8219999999999</v>
      </c>
      <c r="L3567" s="8">
        <v>1750.652</v>
      </c>
      <c r="M3567" s="8">
        <v>2123.3980000000001</v>
      </c>
      <c r="N3567" s="8">
        <v>2270.0770000000002</v>
      </c>
      <c r="O3567" s="8">
        <v>2261.6170000000002</v>
      </c>
      <c r="P3567" s="8">
        <v>2034.981</v>
      </c>
      <c r="Q3567" s="8">
        <v>1936.462</v>
      </c>
      <c r="R3567" s="8">
        <v>2001.8140000000001</v>
      </c>
      <c r="S3567" s="8">
        <v>1718.912</v>
      </c>
      <c r="T3567" s="8">
        <v>1830.9949999999999</v>
      </c>
      <c r="U3567" s="8">
        <v>1706.4739999999999</v>
      </c>
      <c r="V3567" s="8">
        <v>1641.5309999999999</v>
      </c>
      <c r="W3567" s="8">
        <v>1521.0840000000001</v>
      </c>
      <c r="X3567" s="8">
        <v>881.32899999999995</v>
      </c>
      <c r="Y3567" s="8">
        <v>903.17600000000004</v>
      </c>
      <c r="Z3567" s="8">
        <v>482.57900000000001</v>
      </c>
      <c r="AA3567" s="8">
        <v>156.928</v>
      </c>
      <c r="AB3567" s="8">
        <v>29.847000000000001</v>
      </c>
      <c r="AC3567" s="8">
        <v>2.5859999999999999</v>
      </c>
    </row>
    <row r="3568" spans="1:29" ht="11.65" hidden="1" x14ac:dyDescent="0.35">
      <c r="A3568" s="12">
        <v>3551</v>
      </c>
      <c r="B3568" s="10" t="s">
        <v>1015</v>
      </c>
      <c r="C3568" s="18" t="s">
        <v>1261</v>
      </c>
      <c r="D3568" s="9"/>
      <c r="E3568" s="9">
        <v>380</v>
      </c>
      <c r="F3568" s="10" t="s">
        <v>1066</v>
      </c>
      <c r="G3568" s="9">
        <v>925</v>
      </c>
      <c r="H3568" s="9">
        <v>2000</v>
      </c>
      <c r="I3568" s="8">
        <v>1273.69</v>
      </c>
      <c r="J3568" s="8">
        <v>1315.8969999999999</v>
      </c>
      <c r="K3568" s="8">
        <v>1361.232</v>
      </c>
      <c r="L3568" s="8">
        <v>1486.1579999999999</v>
      </c>
      <c r="M3568" s="8">
        <v>1749.931</v>
      </c>
      <c r="N3568" s="8">
        <v>2130.087</v>
      </c>
      <c r="O3568" s="8">
        <v>2275.5549999999998</v>
      </c>
      <c r="P3568" s="8">
        <v>2251.66</v>
      </c>
      <c r="Q3568" s="8">
        <v>1997.664</v>
      </c>
      <c r="R3568" s="8">
        <v>1877.3409999999999</v>
      </c>
      <c r="S3568" s="8">
        <v>1948.4670000000001</v>
      </c>
      <c r="T3568" s="8">
        <v>1664.2860000000001</v>
      </c>
      <c r="U3568" s="8">
        <v>1796.4880000000001</v>
      </c>
      <c r="V3568" s="8">
        <v>1655.8879999999999</v>
      </c>
      <c r="W3568" s="8">
        <v>1549.2360000000001</v>
      </c>
      <c r="X3568" s="8">
        <v>1360.037</v>
      </c>
      <c r="Y3568" s="8">
        <v>702.20600000000002</v>
      </c>
      <c r="Z3568" s="8">
        <v>591.99199999999996</v>
      </c>
      <c r="AA3568" s="8">
        <v>222.61699999999999</v>
      </c>
      <c r="AB3568" s="8">
        <v>43.106000000000002</v>
      </c>
      <c r="AC3568" s="8">
        <v>4.0259999999999998</v>
      </c>
    </row>
    <row r="3569" spans="1:29" ht="11.65" hidden="1" x14ac:dyDescent="0.35">
      <c r="A3569" s="12">
        <v>3552</v>
      </c>
      <c r="B3569" s="10" t="s">
        <v>1015</v>
      </c>
      <c r="C3569" s="18" t="s">
        <v>1261</v>
      </c>
      <c r="D3569" s="9"/>
      <c r="E3569" s="9">
        <v>380</v>
      </c>
      <c r="F3569" s="10" t="s">
        <v>1066</v>
      </c>
      <c r="G3569" s="9">
        <v>925</v>
      </c>
      <c r="H3569" s="9">
        <v>2005</v>
      </c>
      <c r="I3569" s="8">
        <v>1350.3040000000001</v>
      </c>
      <c r="J3569" s="8">
        <v>1313.1220000000001</v>
      </c>
      <c r="K3569" s="8">
        <v>1352.338</v>
      </c>
      <c r="L3569" s="8">
        <v>1403.2660000000001</v>
      </c>
      <c r="M3569" s="8">
        <v>1534.7829999999999</v>
      </c>
      <c r="N3569" s="8">
        <v>1842.5519999999999</v>
      </c>
      <c r="O3569" s="8">
        <v>2248.951</v>
      </c>
      <c r="P3569" s="8">
        <v>2389.5859999999998</v>
      </c>
      <c r="Q3569" s="8">
        <v>2338.1210000000001</v>
      </c>
      <c r="R3569" s="8">
        <v>2044.991</v>
      </c>
      <c r="S3569" s="8">
        <v>1893.36</v>
      </c>
      <c r="T3569" s="8">
        <v>1943.674</v>
      </c>
      <c r="U3569" s="8">
        <v>1655.4680000000001</v>
      </c>
      <c r="V3569" s="8">
        <v>1755.3409999999999</v>
      </c>
      <c r="W3569" s="8">
        <v>1571.5930000000001</v>
      </c>
      <c r="X3569" s="8">
        <v>1397.2739999999999</v>
      </c>
      <c r="Y3569" s="8">
        <v>1111.8820000000001</v>
      </c>
      <c r="Z3569" s="8">
        <v>477.99099999999999</v>
      </c>
      <c r="AA3569" s="8">
        <v>289.66699999999997</v>
      </c>
      <c r="AB3569" s="8">
        <v>64.933999999999997</v>
      </c>
      <c r="AC3569" s="8">
        <v>6.2759999999999998</v>
      </c>
    </row>
    <row r="3570" spans="1:29" ht="11.65" hidden="1" x14ac:dyDescent="0.35">
      <c r="A3570" s="12">
        <v>3553</v>
      </c>
      <c r="B3570" s="10" t="s">
        <v>1015</v>
      </c>
      <c r="C3570" s="18" t="s">
        <v>1261</v>
      </c>
      <c r="D3570" s="9"/>
      <c r="E3570" s="9">
        <v>380</v>
      </c>
      <c r="F3570" s="10" t="s">
        <v>1066</v>
      </c>
      <c r="G3570" s="9">
        <v>925</v>
      </c>
      <c r="H3570" s="9">
        <v>2010</v>
      </c>
      <c r="I3570" s="8">
        <v>1377.9970000000001</v>
      </c>
      <c r="J3570" s="8">
        <v>1347.26</v>
      </c>
      <c r="K3570" s="8">
        <v>1331.5119999999999</v>
      </c>
      <c r="L3570" s="8">
        <v>1391.819</v>
      </c>
      <c r="M3570" s="8">
        <v>1484.788</v>
      </c>
      <c r="N3570" s="8">
        <v>1664.4580000000001</v>
      </c>
      <c r="O3570" s="8">
        <v>1972.6859999999999</v>
      </c>
      <c r="P3570" s="8">
        <v>2360.2069999999999</v>
      </c>
      <c r="Q3570" s="8">
        <v>2450.7339999999999</v>
      </c>
      <c r="R3570" s="8">
        <v>2362.9650000000001</v>
      </c>
      <c r="S3570" s="8">
        <v>2055.9949999999999</v>
      </c>
      <c r="T3570" s="8">
        <v>1888.395</v>
      </c>
      <c r="U3570" s="8">
        <v>1926.653</v>
      </c>
      <c r="V3570" s="8">
        <v>1604.568</v>
      </c>
      <c r="W3570" s="8">
        <v>1682.798</v>
      </c>
      <c r="X3570" s="8">
        <v>1438.9159999999999</v>
      </c>
      <c r="Y3570" s="8">
        <v>1157.712</v>
      </c>
      <c r="Z3570" s="8">
        <v>778.45699999999999</v>
      </c>
      <c r="AA3570" s="8">
        <v>243.732</v>
      </c>
      <c r="AB3570" s="8">
        <v>89.200999999999993</v>
      </c>
      <c r="AC3570" s="8">
        <v>9.8420000000000005</v>
      </c>
    </row>
    <row r="3571" spans="1:29" ht="11.65" hidden="1" x14ac:dyDescent="0.35">
      <c r="A3571" s="12">
        <v>3554</v>
      </c>
      <c r="B3571" s="10" t="s">
        <v>1015</v>
      </c>
      <c r="C3571" s="18" t="s">
        <v>1261</v>
      </c>
      <c r="D3571" s="9"/>
      <c r="E3571" s="9">
        <v>380</v>
      </c>
      <c r="F3571" s="10" t="s">
        <v>1066</v>
      </c>
      <c r="G3571" s="9">
        <v>925</v>
      </c>
      <c r="H3571" s="9">
        <v>2015</v>
      </c>
      <c r="I3571" s="8">
        <v>1279.7149999999999</v>
      </c>
      <c r="J3571" s="8">
        <v>1378.703</v>
      </c>
      <c r="K3571" s="8">
        <v>1366.5730000000001</v>
      </c>
      <c r="L3571" s="8">
        <v>1357.674</v>
      </c>
      <c r="M3571" s="8">
        <v>1464.5609999999999</v>
      </c>
      <c r="N3571" s="8">
        <v>1604.0930000000001</v>
      </c>
      <c r="O3571" s="8">
        <v>1769.192</v>
      </c>
      <c r="P3571" s="8">
        <v>2074.203</v>
      </c>
      <c r="Q3571" s="8">
        <v>2424.672</v>
      </c>
      <c r="R3571" s="8">
        <v>2494.6480000000001</v>
      </c>
      <c r="S3571" s="8">
        <v>2403.9009999999998</v>
      </c>
      <c r="T3571" s="8">
        <v>2081.5749999999998</v>
      </c>
      <c r="U3571" s="8">
        <v>1899.2280000000001</v>
      </c>
      <c r="V3571" s="8">
        <v>1881.4939999999999</v>
      </c>
      <c r="W3571" s="8">
        <v>1567.9</v>
      </c>
      <c r="X3571" s="8">
        <v>1564.681</v>
      </c>
      <c r="Y3571" s="8">
        <v>1229.6110000000001</v>
      </c>
      <c r="Z3571" s="8">
        <v>845.52</v>
      </c>
      <c r="AA3571" s="8">
        <v>404.35500000000002</v>
      </c>
      <c r="AB3571" s="8">
        <v>77.891999999999996</v>
      </c>
      <c r="AC3571" s="8">
        <v>14.175000000000001</v>
      </c>
    </row>
    <row r="3572" spans="1:29" ht="11.65" hidden="1" x14ac:dyDescent="0.35">
      <c r="A3572" s="12">
        <v>3555</v>
      </c>
      <c r="B3572" s="10" t="s">
        <v>1015</v>
      </c>
      <c r="C3572" s="18" t="s">
        <v>1261</v>
      </c>
      <c r="D3572" s="9"/>
      <c r="E3572" s="9">
        <v>380</v>
      </c>
      <c r="F3572" s="10" t="s">
        <v>1066</v>
      </c>
      <c r="G3572" s="9">
        <v>925</v>
      </c>
      <c r="H3572" s="9">
        <v>2020</v>
      </c>
      <c r="I3572" s="8">
        <v>1127.405</v>
      </c>
      <c r="J3572" s="8">
        <v>1295.57</v>
      </c>
      <c r="K3572" s="8">
        <v>1387.183</v>
      </c>
      <c r="L3572" s="8">
        <v>1391.636</v>
      </c>
      <c r="M3572" s="8">
        <v>1415.9290000000001</v>
      </c>
      <c r="N3572" s="8">
        <v>1535.7</v>
      </c>
      <c r="O3572" s="8">
        <v>1662.5360000000001</v>
      </c>
      <c r="P3572" s="8">
        <v>1808.6489999999999</v>
      </c>
      <c r="Q3572" s="8">
        <v>2096.6550000000002</v>
      </c>
      <c r="R3572" s="8">
        <v>2431.9499999999998</v>
      </c>
      <c r="S3572" s="8">
        <v>2487.7800000000002</v>
      </c>
      <c r="T3572" s="8">
        <v>2384.0619999999999</v>
      </c>
      <c r="U3572" s="8">
        <v>2050.5219999999999</v>
      </c>
      <c r="V3572" s="8">
        <v>1851.6949999999999</v>
      </c>
      <c r="W3572" s="8">
        <v>1805.038</v>
      </c>
      <c r="X3572" s="8">
        <v>1454.787</v>
      </c>
      <c r="Y3572" s="8">
        <v>1344.0329999999999</v>
      </c>
      <c r="Z3572" s="8">
        <v>893.202</v>
      </c>
      <c r="AA3572" s="8">
        <v>453.13099999999997</v>
      </c>
      <c r="AB3572" s="8">
        <v>133.178</v>
      </c>
      <c r="AC3572" s="8">
        <v>13.462</v>
      </c>
    </row>
    <row r="3573" spans="1:29" ht="11.65" hidden="1" x14ac:dyDescent="0.35">
      <c r="A3573" s="12">
        <v>3556</v>
      </c>
      <c r="B3573" s="10" t="s">
        <v>1015</v>
      </c>
      <c r="C3573" s="18" t="s">
        <v>1262</v>
      </c>
      <c r="D3573" s="9"/>
      <c r="E3573" s="9">
        <v>470</v>
      </c>
      <c r="F3573" s="10" t="s">
        <v>1066</v>
      </c>
      <c r="G3573" s="9">
        <v>925</v>
      </c>
      <c r="H3573" s="9">
        <v>1950</v>
      </c>
      <c r="I3573" s="8">
        <v>23</v>
      </c>
      <c r="J3573" s="8">
        <v>15</v>
      </c>
      <c r="K3573" s="8">
        <v>15.999000000000001</v>
      </c>
      <c r="L3573" s="8">
        <v>14</v>
      </c>
      <c r="M3573" s="8">
        <v>13.000999999999999</v>
      </c>
      <c r="N3573" s="8">
        <v>12</v>
      </c>
      <c r="O3573" s="8">
        <v>9</v>
      </c>
      <c r="P3573" s="8">
        <v>8.9990000000000006</v>
      </c>
      <c r="Q3573" s="8">
        <v>9.9990000000000006</v>
      </c>
      <c r="R3573" s="8">
        <v>8</v>
      </c>
      <c r="S3573" s="8">
        <v>7.0010000000000003</v>
      </c>
      <c r="T3573" s="8">
        <v>5.9989999999999997</v>
      </c>
      <c r="U3573" s="8">
        <v>6</v>
      </c>
      <c r="V3573" s="8">
        <v>4</v>
      </c>
      <c r="W3573" s="8">
        <v>3.145</v>
      </c>
      <c r="X3573" s="8">
        <v>1.8029999999999999</v>
      </c>
      <c r="Y3573" s="8">
        <v>0.67100000000000004</v>
      </c>
      <c r="Z3573" s="8">
        <v>0.28499999999999998</v>
      </c>
      <c r="AA3573" s="8">
        <v>0.08</v>
      </c>
      <c r="AB3573" s="8">
        <v>1.2999999999999999E-2</v>
      </c>
      <c r="AC3573" s="8">
        <v>1E-3</v>
      </c>
    </row>
    <row r="3574" spans="1:29" ht="11.65" hidden="1" x14ac:dyDescent="0.35">
      <c r="A3574" s="12">
        <v>3557</v>
      </c>
      <c r="B3574" s="10" t="s">
        <v>1015</v>
      </c>
      <c r="C3574" s="18" t="s">
        <v>1262</v>
      </c>
      <c r="D3574" s="9"/>
      <c r="E3574" s="9">
        <v>470</v>
      </c>
      <c r="F3574" s="10" t="s">
        <v>1066</v>
      </c>
      <c r="G3574" s="9">
        <v>925</v>
      </c>
      <c r="H3574" s="9">
        <v>1955</v>
      </c>
      <c r="I3574" s="8">
        <v>20.318000000000001</v>
      </c>
      <c r="J3574" s="8">
        <v>23.678999999999998</v>
      </c>
      <c r="K3574" s="8">
        <v>15.558999999999999</v>
      </c>
      <c r="L3574" s="8">
        <v>16.007000000000001</v>
      </c>
      <c r="M3574" s="8">
        <v>13.012</v>
      </c>
      <c r="N3574" s="8">
        <v>11.013999999999999</v>
      </c>
      <c r="O3574" s="8">
        <v>9.016</v>
      </c>
      <c r="P3574" s="8">
        <v>7.0179999999999998</v>
      </c>
      <c r="Q3574" s="8">
        <v>7.9829999999999997</v>
      </c>
      <c r="R3574" s="8">
        <v>8.9369999999999994</v>
      </c>
      <c r="S3574" s="8">
        <v>6.968</v>
      </c>
      <c r="T3574" s="8">
        <v>6.0140000000000002</v>
      </c>
      <c r="U3574" s="8">
        <v>5.0069999999999997</v>
      </c>
      <c r="V3574" s="8">
        <v>4.4720000000000004</v>
      </c>
      <c r="W3574" s="8">
        <v>3.0009999999999999</v>
      </c>
      <c r="X3574" s="8">
        <v>2.33</v>
      </c>
      <c r="Y3574" s="8">
        <v>1.0449999999999999</v>
      </c>
      <c r="Z3574" s="8">
        <v>0.30199999999999999</v>
      </c>
      <c r="AA3574" s="8">
        <v>8.6999999999999994E-2</v>
      </c>
      <c r="AB3574" s="8">
        <v>1.4E-2</v>
      </c>
      <c r="AC3574" s="8">
        <v>1E-3</v>
      </c>
    </row>
    <row r="3575" spans="1:29" ht="11.65" hidden="1" x14ac:dyDescent="0.35">
      <c r="A3575" s="12">
        <v>3558</v>
      </c>
      <c r="B3575" s="10" t="s">
        <v>1015</v>
      </c>
      <c r="C3575" s="18" t="s">
        <v>1262</v>
      </c>
      <c r="D3575" s="9"/>
      <c r="E3575" s="9">
        <v>470</v>
      </c>
      <c r="F3575" s="10" t="s">
        <v>1066</v>
      </c>
      <c r="G3575" s="9">
        <v>925</v>
      </c>
      <c r="H3575" s="9">
        <v>1960</v>
      </c>
      <c r="I3575" s="8">
        <v>19.468</v>
      </c>
      <c r="J3575" s="8">
        <v>20.978000000000002</v>
      </c>
      <c r="K3575" s="8">
        <v>19.709</v>
      </c>
      <c r="L3575" s="8">
        <v>11.076000000000001</v>
      </c>
      <c r="M3575" s="8">
        <v>13.012</v>
      </c>
      <c r="N3575" s="8">
        <v>10.518000000000001</v>
      </c>
      <c r="O3575" s="8">
        <v>10.507999999999999</v>
      </c>
      <c r="P3575" s="8">
        <v>9.0050000000000008</v>
      </c>
      <c r="Q3575" s="8">
        <v>6.52</v>
      </c>
      <c r="R3575" s="8">
        <v>7.2320000000000002</v>
      </c>
      <c r="S3575" s="8">
        <v>8.3949999999999996</v>
      </c>
      <c r="T3575" s="8">
        <v>6.4409999999999998</v>
      </c>
      <c r="U3575" s="8">
        <v>5.4859999999999998</v>
      </c>
      <c r="V3575" s="8">
        <v>4.7759999999999998</v>
      </c>
      <c r="W3575" s="8">
        <v>4.1890000000000001</v>
      </c>
      <c r="X3575" s="8">
        <v>2.1960000000000002</v>
      </c>
      <c r="Y3575" s="8">
        <v>1.2370000000000001</v>
      </c>
      <c r="Z3575" s="8">
        <v>0.46500000000000002</v>
      </c>
      <c r="AA3575" s="8">
        <v>9.0999999999999998E-2</v>
      </c>
      <c r="AB3575" s="8">
        <v>1.4999999999999999E-2</v>
      </c>
      <c r="AC3575" s="8">
        <v>1E-3</v>
      </c>
    </row>
    <row r="3576" spans="1:29" ht="11.65" hidden="1" x14ac:dyDescent="0.35">
      <c r="A3576" s="12">
        <v>3559</v>
      </c>
      <c r="B3576" s="10" t="s">
        <v>1015</v>
      </c>
      <c r="C3576" s="18" t="s">
        <v>1262</v>
      </c>
      <c r="D3576" s="9"/>
      <c r="E3576" s="9">
        <v>470</v>
      </c>
      <c r="F3576" s="10" t="s">
        <v>1066</v>
      </c>
      <c r="G3576" s="9">
        <v>925</v>
      </c>
      <c r="H3576" s="9">
        <v>1965</v>
      </c>
      <c r="I3576" s="8">
        <v>16.388999999999999</v>
      </c>
      <c r="J3576" s="8">
        <v>17.408000000000001</v>
      </c>
      <c r="K3576" s="8">
        <v>17.302</v>
      </c>
      <c r="L3576" s="8">
        <v>17.751000000000001</v>
      </c>
      <c r="M3576" s="8">
        <v>12.654</v>
      </c>
      <c r="N3576" s="8">
        <v>10.989000000000001</v>
      </c>
      <c r="O3576" s="8">
        <v>10.427</v>
      </c>
      <c r="P3576" s="8">
        <v>10.38</v>
      </c>
      <c r="Q3576" s="8">
        <v>9.4090000000000007</v>
      </c>
      <c r="R3576" s="8">
        <v>7.665</v>
      </c>
      <c r="S3576" s="8">
        <v>7.4130000000000003</v>
      </c>
      <c r="T3576" s="8">
        <v>7.34</v>
      </c>
      <c r="U3576" s="8">
        <v>6.4459999999999997</v>
      </c>
      <c r="V3576" s="8">
        <v>4.9080000000000004</v>
      </c>
      <c r="W3576" s="8">
        <v>4.556</v>
      </c>
      <c r="X3576" s="8">
        <v>3.1520000000000001</v>
      </c>
      <c r="Y3576" s="8">
        <v>1.5129999999999999</v>
      </c>
      <c r="Z3576" s="8">
        <v>0.54</v>
      </c>
      <c r="AA3576" s="8">
        <v>0.13900000000000001</v>
      </c>
      <c r="AB3576" s="8">
        <v>1.4999999999999999E-2</v>
      </c>
      <c r="AC3576" s="8">
        <v>2E-3</v>
      </c>
    </row>
    <row r="3577" spans="1:29" ht="11.65" hidden="1" x14ac:dyDescent="0.35">
      <c r="A3577" s="12">
        <v>3560</v>
      </c>
      <c r="B3577" s="10" t="s">
        <v>1015</v>
      </c>
      <c r="C3577" s="18" t="s">
        <v>1262</v>
      </c>
      <c r="D3577" s="9"/>
      <c r="E3577" s="9">
        <v>470</v>
      </c>
      <c r="F3577" s="10" t="s">
        <v>1066</v>
      </c>
      <c r="G3577" s="9">
        <v>925</v>
      </c>
      <c r="H3577" s="9">
        <v>1970</v>
      </c>
      <c r="I3577" s="8">
        <v>11.933999999999999</v>
      </c>
      <c r="J3577" s="8">
        <v>15.27</v>
      </c>
      <c r="K3577" s="8">
        <v>15.619</v>
      </c>
      <c r="L3577" s="8">
        <v>16.073</v>
      </c>
      <c r="M3577" s="8">
        <v>16.602</v>
      </c>
      <c r="N3577" s="8">
        <v>12.34</v>
      </c>
      <c r="O3577" s="8">
        <v>11.302</v>
      </c>
      <c r="P3577" s="8">
        <v>9.4659999999999993</v>
      </c>
      <c r="Q3577" s="8">
        <v>9.2750000000000004</v>
      </c>
      <c r="R3577" s="8">
        <v>8.7080000000000002</v>
      </c>
      <c r="S3577" s="8">
        <v>6.899</v>
      </c>
      <c r="T3577" s="8">
        <v>7.0780000000000003</v>
      </c>
      <c r="U3577" s="8">
        <v>6.9749999999999996</v>
      </c>
      <c r="V3577" s="8">
        <v>6.4770000000000003</v>
      </c>
      <c r="W3577" s="8">
        <v>5.1139999999999999</v>
      </c>
      <c r="X3577" s="8">
        <v>3.5030000000000001</v>
      </c>
      <c r="Y3577" s="8">
        <v>1.764</v>
      </c>
      <c r="Z3577" s="8">
        <v>0.66900000000000004</v>
      </c>
      <c r="AA3577" s="8">
        <v>0.156</v>
      </c>
      <c r="AB3577" s="8">
        <v>2.1999999999999999E-2</v>
      </c>
      <c r="AC3577" s="8">
        <v>2E-3</v>
      </c>
    </row>
    <row r="3578" spans="1:29" ht="11.65" hidden="1" x14ac:dyDescent="0.35">
      <c r="A3578" s="12">
        <v>3561</v>
      </c>
      <c r="B3578" s="10" t="s">
        <v>1015</v>
      </c>
      <c r="C3578" s="18" t="s">
        <v>1262</v>
      </c>
      <c r="D3578" s="9"/>
      <c r="E3578" s="9">
        <v>470</v>
      </c>
      <c r="F3578" s="10" t="s">
        <v>1066</v>
      </c>
      <c r="G3578" s="9">
        <v>925</v>
      </c>
      <c r="H3578" s="9">
        <v>1975</v>
      </c>
      <c r="I3578" s="8">
        <v>12.706</v>
      </c>
      <c r="J3578" s="8">
        <v>12.007</v>
      </c>
      <c r="K3578" s="8">
        <v>15.037000000000001</v>
      </c>
      <c r="L3578" s="8">
        <v>14.379</v>
      </c>
      <c r="M3578" s="8">
        <v>14.244999999999999</v>
      </c>
      <c r="N3578" s="8">
        <v>15.574</v>
      </c>
      <c r="O3578" s="8">
        <v>12.191000000000001</v>
      </c>
      <c r="P3578" s="8">
        <v>11.404999999999999</v>
      </c>
      <c r="Q3578" s="8">
        <v>9.0329999999999995</v>
      </c>
      <c r="R3578" s="8">
        <v>8.6579999999999995</v>
      </c>
      <c r="S3578" s="8">
        <v>8.7970000000000006</v>
      </c>
      <c r="T3578" s="8">
        <v>7.306</v>
      </c>
      <c r="U3578" s="8">
        <v>6.7640000000000002</v>
      </c>
      <c r="V3578" s="8">
        <v>6.03</v>
      </c>
      <c r="W3578" s="8">
        <v>5.1890000000000001</v>
      </c>
      <c r="X3578" s="8">
        <v>3.52</v>
      </c>
      <c r="Y3578" s="8">
        <v>2.052</v>
      </c>
      <c r="Z3578" s="8">
        <v>0.81899999999999995</v>
      </c>
      <c r="AA3578" s="8">
        <v>0.20699999999999999</v>
      </c>
      <c r="AB3578" s="8">
        <v>2.8000000000000001E-2</v>
      </c>
      <c r="AC3578" s="8">
        <v>2E-3</v>
      </c>
    </row>
    <row r="3579" spans="1:29" ht="11.65" hidden="1" x14ac:dyDescent="0.35">
      <c r="A3579" s="12">
        <v>3562</v>
      </c>
      <c r="B3579" s="10" t="s">
        <v>1015</v>
      </c>
      <c r="C3579" s="18" t="s">
        <v>1262</v>
      </c>
      <c r="D3579" s="9"/>
      <c r="E3579" s="9">
        <v>470</v>
      </c>
      <c r="F3579" s="10" t="s">
        <v>1066</v>
      </c>
      <c r="G3579" s="9">
        <v>925</v>
      </c>
      <c r="H3579" s="9">
        <v>1980</v>
      </c>
      <c r="I3579" s="8">
        <v>13.997999999999999</v>
      </c>
      <c r="J3579" s="8">
        <v>12.737</v>
      </c>
      <c r="K3579" s="8">
        <v>11.888</v>
      </c>
      <c r="L3579" s="8">
        <v>14.412000000000001</v>
      </c>
      <c r="M3579" s="8">
        <v>13.452</v>
      </c>
      <c r="N3579" s="8">
        <v>13.715</v>
      </c>
      <c r="O3579" s="8">
        <v>15.48</v>
      </c>
      <c r="P3579" s="8">
        <v>12.218</v>
      </c>
      <c r="Q3579" s="8">
        <v>11.15</v>
      </c>
      <c r="R3579" s="8">
        <v>8.6839999999999993</v>
      </c>
      <c r="S3579" s="8">
        <v>8.6370000000000005</v>
      </c>
      <c r="T3579" s="8">
        <v>8.8490000000000002</v>
      </c>
      <c r="U3579" s="8">
        <v>6.9660000000000002</v>
      </c>
      <c r="V3579" s="8">
        <v>6.0259999999999998</v>
      </c>
      <c r="W3579" s="8">
        <v>4.9880000000000004</v>
      </c>
      <c r="X3579" s="8">
        <v>3.7730000000000001</v>
      </c>
      <c r="Y3579" s="8">
        <v>2.1709999999999998</v>
      </c>
      <c r="Z3579" s="8">
        <v>0.98699999999999999</v>
      </c>
      <c r="AA3579" s="8">
        <v>0.25600000000000001</v>
      </c>
      <c r="AB3579" s="8">
        <v>3.5999999999999997E-2</v>
      </c>
      <c r="AC3579" s="8">
        <v>3.0000000000000001E-3</v>
      </c>
    </row>
    <row r="3580" spans="1:29" ht="11.65" hidden="1" x14ac:dyDescent="0.35">
      <c r="A3580" s="12">
        <v>3563</v>
      </c>
      <c r="B3580" s="10" t="s">
        <v>1015</v>
      </c>
      <c r="C3580" s="18" t="s">
        <v>1262</v>
      </c>
      <c r="D3580" s="9"/>
      <c r="E3580" s="9">
        <v>470</v>
      </c>
      <c r="F3580" s="10" t="s">
        <v>1066</v>
      </c>
      <c r="G3580" s="9">
        <v>925</v>
      </c>
      <c r="H3580" s="9">
        <v>1985</v>
      </c>
      <c r="I3580" s="8">
        <v>14.032</v>
      </c>
      <c r="J3580" s="8">
        <v>13.798999999999999</v>
      </c>
      <c r="K3580" s="8">
        <v>12.954000000000001</v>
      </c>
      <c r="L3580" s="8">
        <v>11.786</v>
      </c>
      <c r="M3580" s="8">
        <v>13.186</v>
      </c>
      <c r="N3580" s="8">
        <v>14.202</v>
      </c>
      <c r="O3580" s="8">
        <v>14.13</v>
      </c>
      <c r="P3580" s="8">
        <v>15.53</v>
      </c>
      <c r="Q3580" s="8">
        <v>11.221</v>
      </c>
      <c r="R3580" s="8">
        <v>9.9139999999999997</v>
      </c>
      <c r="S3580" s="8">
        <v>9.8019999999999996</v>
      </c>
      <c r="T3580" s="8">
        <v>8.6530000000000005</v>
      </c>
      <c r="U3580" s="8">
        <v>8.1649999999999991</v>
      </c>
      <c r="V3580" s="8">
        <v>5.8540000000000001</v>
      </c>
      <c r="W3580" s="8">
        <v>5.1390000000000002</v>
      </c>
      <c r="X3580" s="8">
        <v>4.1379999999999999</v>
      </c>
      <c r="Y3580" s="8">
        <v>2.351</v>
      </c>
      <c r="Z3580" s="8">
        <v>1.0389999999999999</v>
      </c>
      <c r="AA3580" s="8">
        <v>0.30499999999999999</v>
      </c>
      <c r="AB3580" s="8">
        <v>4.3999999999999997E-2</v>
      </c>
      <c r="AC3580" s="8">
        <v>3.0000000000000001E-3</v>
      </c>
    </row>
    <row r="3581" spans="1:29" ht="11.65" hidden="1" x14ac:dyDescent="0.35">
      <c r="A3581" s="12">
        <v>3564</v>
      </c>
      <c r="B3581" s="10" t="s">
        <v>1015</v>
      </c>
      <c r="C3581" s="18" t="s">
        <v>1262</v>
      </c>
      <c r="D3581" s="9"/>
      <c r="E3581" s="9">
        <v>470</v>
      </c>
      <c r="F3581" s="10" t="s">
        <v>1066</v>
      </c>
      <c r="G3581" s="9">
        <v>925</v>
      </c>
      <c r="H3581" s="9">
        <v>1990</v>
      </c>
      <c r="I3581" s="8">
        <v>13.250999999999999</v>
      </c>
      <c r="J3581" s="8">
        <v>14.029</v>
      </c>
      <c r="K3581" s="8">
        <v>13.904</v>
      </c>
      <c r="L3581" s="8">
        <v>12.968</v>
      </c>
      <c r="M3581" s="8">
        <v>11.766</v>
      </c>
      <c r="N3581" s="8">
        <v>13.254</v>
      </c>
      <c r="O3581" s="8">
        <v>14.284000000000001</v>
      </c>
      <c r="P3581" s="8">
        <v>14.183</v>
      </c>
      <c r="Q3581" s="8">
        <v>15.554</v>
      </c>
      <c r="R3581" s="8">
        <v>11.068</v>
      </c>
      <c r="S3581" s="8">
        <v>9.7430000000000003</v>
      </c>
      <c r="T3581" s="8">
        <v>9.657</v>
      </c>
      <c r="U3581" s="8">
        <v>8.3539999999999992</v>
      </c>
      <c r="V3581" s="8">
        <v>7.681</v>
      </c>
      <c r="W3581" s="8">
        <v>5.1950000000000003</v>
      </c>
      <c r="X3581" s="8">
        <v>4.1749999999999998</v>
      </c>
      <c r="Y3581" s="8">
        <v>2.9169999999999998</v>
      </c>
      <c r="Z3581" s="8">
        <v>1.3</v>
      </c>
      <c r="AA3581" s="8">
        <v>0.39900000000000002</v>
      </c>
      <c r="AB3581" s="8">
        <v>6.9000000000000006E-2</v>
      </c>
      <c r="AC3581" s="8">
        <v>5.0000000000000001E-3</v>
      </c>
    </row>
    <row r="3582" spans="1:29" ht="11.65" hidden="1" x14ac:dyDescent="0.35">
      <c r="A3582" s="12">
        <v>3565</v>
      </c>
      <c r="B3582" s="10" t="s">
        <v>1015</v>
      </c>
      <c r="C3582" s="18" t="s">
        <v>1262</v>
      </c>
      <c r="D3582" s="9"/>
      <c r="E3582" s="9">
        <v>470</v>
      </c>
      <c r="F3582" s="10" t="s">
        <v>1066</v>
      </c>
      <c r="G3582" s="9">
        <v>925</v>
      </c>
      <c r="H3582" s="9">
        <v>1995</v>
      </c>
      <c r="I3582" s="8">
        <v>12.497</v>
      </c>
      <c r="J3582" s="8">
        <v>13.629</v>
      </c>
      <c r="K3582" s="8">
        <v>14.176</v>
      </c>
      <c r="L3582" s="8">
        <v>14.032999999999999</v>
      </c>
      <c r="M3582" s="8">
        <v>12.755000000000001</v>
      </c>
      <c r="N3582" s="8">
        <v>11.314</v>
      </c>
      <c r="O3582" s="8">
        <v>13.367000000000001</v>
      </c>
      <c r="P3582" s="8">
        <v>14.974</v>
      </c>
      <c r="Q3582" s="8">
        <v>14.103</v>
      </c>
      <c r="R3582" s="8">
        <v>15.342000000000001</v>
      </c>
      <c r="S3582" s="8">
        <v>10.859</v>
      </c>
      <c r="T3582" s="8">
        <v>9.7460000000000004</v>
      </c>
      <c r="U3582" s="8">
        <v>9.2929999999999993</v>
      </c>
      <c r="V3582" s="8">
        <v>7.9969999999999999</v>
      </c>
      <c r="W3582" s="8">
        <v>6.9089999999999998</v>
      </c>
      <c r="X3582" s="8">
        <v>4.3470000000000004</v>
      </c>
      <c r="Y3582" s="8">
        <v>3.0590000000000002</v>
      </c>
      <c r="Z3582" s="8">
        <v>1.7290000000000001</v>
      </c>
      <c r="AA3582" s="8">
        <v>0.55300000000000005</v>
      </c>
      <c r="AB3582" s="8">
        <v>0.10199999999999999</v>
      </c>
      <c r="AC3582" s="8">
        <v>8.9999999999999993E-3</v>
      </c>
    </row>
    <row r="3583" spans="1:29" ht="11.65" hidden="1" x14ac:dyDescent="0.35">
      <c r="A3583" s="12">
        <v>3566</v>
      </c>
      <c r="B3583" s="10" t="s">
        <v>1015</v>
      </c>
      <c r="C3583" s="18" t="s">
        <v>1262</v>
      </c>
      <c r="D3583" s="9"/>
      <c r="E3583" s="9">
        <v>470</v>
      </c>
      <c r="F3583" s="10" t="s">
        <v>1066</v>
      </c>
      <c r="G3583" s="9">
        <v>925</v>
      </c>
      <c r="H3583" s="9">
        <v>2000</v>
      </c>
      <c r="I3583" s="8">
        <v>11.598000000000001</v>
      </c>
      <c r="J3583" s="8">
        <v>12.593</v>
      </c>
      <c r="K3583" s="8">
        <v>13.705</v>
      </c>
      <c r="L3583" s="8">
        <v>14.215</v>
      </c>
      <c r="M3583" s="8">
        <v>14.07</v>
      </c>
      <c r="N3583" s="8">
        <v>13.457000000000001</v>
      </c>
      <c r="O3583" s="8">
        <v>11.82</v>
      </c>
      <c r="P3583" s="8">
        <v>13.69</v>
      </c>
      <c r="Q3583" s="8">
        <v>15.122999999999999</v>
      </c>
      <c r="R3583" s="8">
        <v>14.179</v>
      </c>
      <c r="S3583" s="8">
        <v>15.303000000000001</v>
      </c>
      <c r="T3583" s="8">
        <v>10.791</v>
      </c>
      <c r="U3583" s="8">
        <v>9.5340000000000007</v>
      </c>
      <c r="V3583" s="8">
        <v>8.8979999999999997</v>
      </c>
      <c r="W3583" s="8">
        <v>7.3739999999999997</v>
      </c>
      <c r="X3583" s="8">
        <v>5.9390000000000001</v>
      </c>
      <c r="Y3583" s="8">
        <v>3.2970000000000002</v>
      </c>
      <c r="Z3583" s="8">
        <v>1.8640000000000001</v>
      </c>
      <c r="AA3583" s="8">
        <v>0.76400000000000001</v>
      </c>
      <c r="AB3583" s="8">
        <v>0.156</v>
      </c>
      <c r="AC3583" s="8">
        <v>1.4999999999999999E-2</v>
      </c>
    </row>
    <row r="3584" spans="1:29" ht="11.65" hidden="1" x14ac:dyDescent="0.35">
      <c r="A3584" s="12">
        <v>3567</v>
      </c>
      <c r="B3584" s="10" t="s">
        <v>1015</v>
      </c>
      <c r="C3584" s="18" t="s">
        <v>1262</v>
      </c>
      <c r="D3584" s="9"/>
      <c r="E3584" s="9">
        <v>470</v>
      </c>
      <c r="F3584" s="10" t="s">
        <v>1066</v>
      </c>
      <c r="G3584" s="9">
        <v>925</v>
      </c>
      <c r="H3584" s="9">
        <v>2005</v>
      </c>
      <c r="I3584" s="8">
        <v>9.7729999999999997</v>
      </c>
      <c r="J3584" s="8">
        <v>11.396000000000001</v>
      </c>
      <c r="K3584" s="8">
        <v>13.186</v>
      </c>
      <c r="L3584" s="8">
        <v>13.968999999999999</v>
      </c>
      <c r="M3584" s="8">
        <v>14.372999999999999</v>
      </c>
      <c r="N3584" s="8">
        <v>14.27</v>
      </c>
      <c r="O3584" s="8">
        <v>13.324999999999999</v>
      </c>
      <c r="P3584" s="8">
        <v>12.05</v>
      </c>
      <c r="Q3584" s="8">
        <v>13.773999999999999</v>
      </c>
      <c r="R3584" s="8">
        <v>15.202</v>
      </c>
      <c r="S3584" s="8">
        <v>14.391999999999999</v>
      </c>
      <c r="T3584" s="8">
        <v>15.513999999999999</v>
      </c>
      <c r="U3584" s="8">
        <v>10.845000000000001</v>
      </c>
      <c r="V3584" s="8">
        <v>9.5269999999999992</v>
      </c>
      <c r="W3584" s="8">
        <v>8.4339999999999993</v>
      </c>
      <c r="X3584" s="8">
        <v>6.4009999999999998</v>
      </c>
      <c r="Y3584" s="8">
        <v>4.43</v>
      </c>
      <c r="Z3584" s="8">
        <v>2.04</v>
      </c>
      <c r="AA3584" s="8">
        <v>0.83299999999999996</v>
      </c>
      <c r="AB3584" s="8">
        <v>0.21299999999999999</v>
      </c>
      <c r="AC3584" s="8">
        <v>2.1999999999999999E-2</v>
      </c>
    </row>
    <row r="3585" spans="1:29" ht="11.65" hidden="1" x14ac:dyDescent="0.35">
      <c r="A3585" s="12">
        <v>3568</v>
      </c>
      <c r="B3585" s="10" t="s">
        <v>1015</v>
      </c>
      <c r="C3585" s="18" t="s">
        <v>1262</v>
      </c>
      <c r="D3585" s="9"/>
      <c r="E3585" s="9">
        <v>470</v>
      </c>
      <c r="F3585" s="10" t="s">
        <v>1066</v>
      </c>
      <c r="G3585" s="9">
        <v>925</v>
      </c>
      <c r="H3585" s="9">
        <v>2010</v>
      </c>
      <c r="I3585" s="8">
        <v>9.5030000000000001</v>
      </c>
      <c r="J3585" s="8">
        <v>9.4979999999999993</v>
      </c>
      <c r="K3585" s="8">
        <v>11.32</v>
      </c>
      <c r="L3585" s="8">
        <v>13.063000000000001</v>
      </c>
      <c r="M3585" s="8">
        <v>14.494</v>
      </c>
      <c r="N3585" s="8">
        <v>14.321999999999999</v>
      </c>
      <c r="O3585" s="8">
        <v>14.313000000000001</v>
      </c>
      <c r="P3585" s="8">
        <v>13.755000000000001</v>
      </c>
      <c r="Q3585" s="8">
        <v>12.212999999999999</v>
      </c>
      <c r="R3585" s="8">
        <v>13.837999999999999</v>
      </c>
      <c r="S3585" s="8">
        <v>15.529</v>
      </c>
      <c r="T3585" s="8">
        <v>14.486000000000001</v>
      </c>
      <c r="U3585" s="8">
        <v>15.329000000000001</v>
      </c>
      <c r="V3585" s="8">
        <v>11.324999999999999</v>
      </c>
      <c r="W3585" s="8">
        <v>8.4489999999999998</v>
      </c>
      <c r="X3585" s="8">
        <v>8.0180000000000007</v>
      </c>
      <c r="Y3585" s="8">
        <v>5.1020000000000003</v>
      </c>
      <c r="Z3585" s="8">
        <v>2.843</v>
      </c>
      <c r="AA3585" s="8">
        <v>0.96899999999999997</v>
      </c>
      <c r="AB3585" s="8">
        <v>0.247</v>
      </c>
      <c r="AC3585" s="8">
        <v>3.3000000000000002E-2</v>
      </c>
    </row>
    <row r="3586" spans="1:29" ht="11.65" hidden="1" x14ac:dyDescent="0.35">
      <c r="A3586" s="12">
        <v>3569</v>
      </c>
      <c r="B3586" s="10" t="s">
        <v>1015</v>
      </c>
      <c r="C3586" s="18" t="s">
        <v>1262</v>
      </c>
      <c r="D3586" s="9"/>
      <c r="E3586" s="9">
        <v>470</v>
      </c>
      <c r="F3586" s="10" t="s">
        <v>1066</v>
      </c>
      <c r="G3586" s="9">
        <v>925</v>
      </c>
      <c r="H3586" s="9">
        <v>2015</v>
      </c>
      <c r="I3586" s="8">
        <v>10.259</v>
      </c>
      <c r="J3586" s="8">
        <v>9.782</v>
      </c>
      <c r="K3586" s="8">
        <v>9.7970000000000006</v>
      </c>
      <c r="L3586" s="8">
        <v>11.692</v>
      </c>
      <c r="M3586" s="8">
        <v>14.012</v>
      </c>
      <c r="N3586" s="8">
        <v>15.523999999999999</v>
      </c>
      <c r="O3586" s="8">
        <v>15.403</v>
      </c>
      <c r="P3586" s="8">
        <v>15.013999999999999</v>
      </c>
      <c r="Q3586" s="8">
        <v>13.731999999999999</v>
      </c>
      <c r="R3586" s="8">
        <v>12.327999999999999</v>
      </c>
      <c r="S3586" s="8">
        <v>14.129</v>
      </c>
      <c r="T3586" s="8">
        <v>15.448</v>
      </c>
      <c r="U3586" s="8">
        <v>14.346</v>
      </c>
      <c r="V3586" s="8">
        <v>15.297000000000001</v>
      </c>
      <c r="W3586" s="8">
        <v>10.281000000000001</v>
      </c>
      <c r="X3586" s="8">
        <v>8.1959999999999997</v>
      </c>
      <c r="Y3586" s="8">
        <v>6.0910000000000002</v>
      </c>
      <c r="Z3586" s="8">
        <v>3.4470000000000001</v>
      </c>
      <c r="AA3586" s="8">
        <v>1.444</v>
      </c>
      <c r="AB3586" s="8">
        <v>0.32100000000000001</v>
      </c>
      <c r="AC3586" s="8">
        <v>4.4999999999999998E-2</v>
      </c>
    </row>
    <row r="3587" spans="1:29" ht="11.65" hidden="1" x14ac:dyDescent="0.35">
      <c r="A3587" s="12">
        <v>3570</v>
      </c>
      <c r="B3587" s="10" t="s">
        <v>1015</v>
      </c>
      <c r="C3587" s="18" t="s">
        <v>1262</v>
      </c>
      <c r="D3587" s="9"/>
      <c r="E3587" s="9">
        <v>470</v>
      </c>
      <c r="F3587" s="10" t="s">
        <v>1066</v>
      </c>
      <c r="G3587" s="9">
        <v>925</v>
      </c>
      <c r="H3587" s="9">
        <v>2020</v>
      </c>
      <c r="I3587" s="8">
        <v>10.53</v>
      </c>
      <c r="J3587" s="8">
        <v>10.31</v>
      </c>
      <c r="K3587" s="8">
        <v>9.8260000000000005</v>
      </c>
      <c r="L3587" s="8">
        <v>10.053000000000001</v>
      </c>
      <c r="M3587" s="8">
        <v>12.135999999999999</v>
      </c>
      <c r="N3587" s="8">
        <v>14.417999999999999</v>
      </c>
      <c r="O3587" s="8">
        <v>15.813000000000001</v>
      </c>
      <c r="P3587" s="8">
        <v>15.581</v>
      </c>
      <c r="Q3587" s="8">
        <v>15.11</v>
      </c>
      <c r="R3587" s="8">
        <v>13.763999999999999</v>
      </c>
      <c r="S3587" s="8">
        <v>12.3</v>
      </c>
      <c r="T3587" s="8">
        <v>14.006</v>
      </c>
      <c r="U3587" s="8">
        <v>15.183</v>
      </c>
      <c r="V3587" s="8">
        <v>13.912000000000001</v>
      </c>
      <c r="W3587" s="8">
        <v>14.513999999999999</v>
      </c>
      <c r="X3587" s="8">
        <v>9.33</v>
      </c>
      <c r="Y3587" s="8">
        <v>6.742</v>
      </c>
      <c r="Z3587" s="8">
        <v>4.218</v>
      </c>
      <c r="AA3587" s="8">
        <v>1.8169999999999999</v>
      </c>
      <c r="AB3587" s="8">
        <v>0.49299999999999999</v>
      </c>
      <c r="AC3587" s="8">
        <v>6.3E-2</v>
      </c>
    </row>
    <row r="3588" spans="1:29" ht="11.65" hidden="1" x14ac:dyDescent="0.35">
      <c r="A3588" s="12">
        <v>3571</v>
      </c>
      <c r="B3588" s="10" t="s">
        <v>1015</v>
      </c>
      <c r="C3588" s="18" t="s">
        <v>1263</v>
      </c>
      <c r="D3588" s="9"/>
      <c r="E3588" s="9">
        <v>499</v>
      </c>
      <c r="F3588" s="10" t="s">
        <v>1066</v>
      </c>
      <c r="G3588" s="9">
        <v>925</v>
      </c>
      <c r="H3588" s="9">
        <v>1950</v>
      </c>
      <c r="I3588" s="8">
        <v>23.643999999999998</v>
      </c>
      <c r="J3588" s="8">
        <v>22.722000000000001</v>
      </c>
      <c r="K3588" s="8">
        <v>23.510999999999999</v>
      </c>
      <c r="L3588" s="8">
        <v>21.768999999999998</v>
      </c>
      <c r="M3588" s="8">
        <v>18.488</v>
      </c>
      <c r="N3588" s="8">
        <v>14.157999999999999</v>
      </c>
      <c r="O3588" s="8">
        <v>10.398</v>
      </c>
      <c r="P3588" s="8">
        <v>11.329000000000001</v>
      </c>
      <c r="Q3588" s="8">
        <v>10.747</v>
      </c>
      <c r="R3588" s="8">
        <v>9.4770000000000003</v>
      </c>
      <c r="S3588" s="8">
        <v>8.6649999999999991</v>
      </c>
      <c r="T3588" s="8">
        <v>8.1199999999999992</v>
      </c>
      <c r="U3588" s="8">
        <v>6.9790000000000001</v>
      </c>
      <c r="V3588" s="8">
        <v>5.3170000000000002</v>
      </c>
      <c r="W3588" s="8">
        <v>4.9660000000000002</v>
      </c>
      <c r="X3588" s="8">
        <v>3.8559999999999999</v>
      </c>
      <c r="Y3588" s="8">
        <v>1.8089999999999999</v>
      </c>
      <c r="Z3588" s="8">
        <v>0.72799999999999998</v>
      </c>
      <c r="AA3588" s="8">
        <v>0.191</v>
      </c>
      <c r="AB3588" s="8">
        <v>0.03</v>
      </c>
      <c r="AC3588" s="8">
        <v>3.0000000000000001E-3</v>
      </c>
    </row>
    <row r="3589" spans="1:29" ht="11.65" hidden="1" x14ac:dyDescent="0.35">
      <c r="A3589" s="12">
        <v>3572</v>
      </c>
      <c r="B3589" s="10" t="s">
        <v>1015</v>
      </c>
      <c r="C3589" s="18" t="s">
        <v>1263</v>
      </c>
      <c r="D3589" s="9"/>
      <c r="E3589" s="9">
        <v>499</v>
      </c>
      <c r="F3589" s="10" t="s">
        <v>1066</v>
      </c>
      <c r="G3589" s="9">
        <v>925</v>
      </c>
      <c r="H3589" s="9">
        <v>1955</v>
      </c>
      <c r="I3589" s="8">
        <v>28.606999999999999</v>
      </c>
      <c r="J3589" s="8">
        <v>23.475999999999999</v>
      </c>
      <c r="K3589" s="8">
        <v>22.779</v>
      </c>
      <c r="L3589" s="8">
        <v>23.777000000000001</v>
      </c>
      <c r="M3589" s="8">
        <v>22.446999999999999</v>
      </c>
      <c r="N3589" s="8">
        <v>19.311</v>
      </c>
      <c r="O3589" s="8">
        <v>14.811999999999999</v>
      </c>
      <c r="P3589" s="8">
        <v>10.813000000000001</v>
      </c>
      <c r="Q3589" s="8">
        <v>11.488</v>
      </c>
      <c r="R3589" s="8">
        <v>10.71</v>
      </c>
      <c r="S3589" s="8">
        <v>9.2750000000000004</v>
      </c>
      <c r="T3589" s="8">
        <v>8.27</v>
      </c>
      <c r="U3589" s="8">
        <v>7.4669999999999996</v>
      </c>
      <c r="V3589" s="8">
        <v>6.1079999999999997</v>
      </c>
      <c r="W3589" s="8">
        <v>4.24</v>
      </c>
      <c r="X3589" s="8">
        <v>3.3839999999999999</v>
      </c>
      <c r="Y3589" s="8">
        <v>2.069</v>
      </c>
      <c r="Z3589" s="8">
        <v>0.67100000000000004</v>
      </c>
      <c r="AA3589" s="8">
        <v>0.155</v>
      </c>
      <c r="AB3589" s="8">
        <v>0.02</v>
      </c>
      <c r="AC3589" s="8">
        <v>1E-3</v>
      </c>
    </row>
    <row r="3590" spans="1:29" ht="11.65" hidden="1" x14ac:dyDescent="0.35">
      <c r="A3590" s="12">
        <v>3573</v>
      </c>
      <c r="B3590" s="10" t="s">
        <v>1015</v>
      </c>
      <c r="C3590" s="18" t="s">
        <v>1263</v>
      </c>
      <c r="D3590" s="9"/>
      <c r="E3590" s="9">
        <v>499</v>
      </c>
      <c r="F3590" s="10" t="s">
        <v>1066</v>
      </c>
      <c r="G3590" s="9">
        <v>925</v>
      </c>
      <c r="H3590" s="9">
        <v>1960</v>
      </c>
      <c r="I3590" s="8">
        <v>30.736999999999998</v>
      </c>
      <c r="J3590" s="8">
        <v>28.126000000000001</v>
      </c>
      <c r="K3590" s="8">
        <v>23.39</v>
      </c>
      <c r="L3590" s="8">
        <v>22.643000000000001</v>
      </c>
      <c r="M3590" s="8">
        <v>23.506</v>
      </c>
      <c r="N3590" s="8">
        <v>22.09</v>
      </c>
      <c r="O3590" s="8">
        <v>18.956</v>
      </c>
      <c r="P3590" s="8">
        <v>14.5</v>
      </c>
      <c r="Q3590" s="8">
        <v>10.547000000000001</v>
      </c>
      <c r="R3590" s="8">
        <v>11.161</v>
      </c>
      <c r="S3590" s="8">
        <v>10.319000000000001</v>
      </c>
      <c r="T3590" s="8">
        <v>8.8019999999999996</v>
      </c>
      <c r="U3590" s="8">
        <v>7.63</v>
      </c>
      <c r="V3590" s="8">
        <v>6.6159999999999997</v>
      </c>
      <c r="W3590" s="8">
        <v>5.0140000000000002</v>
      </c>
      <c r="X3590" s="8">
        <v>3.0310000000000001</v>
      </c>
      <c r="Y3590" s="8">
        <v>1.9570000000000001</v>
      </c>
      <c r="Z3590" s="8">
        <v>0.878</v>
      </c>
      <c r="AA3590" s="8">
        <v>0.182</v>
      </c>
      <c r="AB3590" s="8">
        <v>2.4E-2</v>
      </c>
      <c r="AC3590" s="8">
        <v>2E-3</v>
      </c>
    </row>
    <row r="3591" spans="1:29" ht="11.65" hidden="1" x14ac:dyDescent="0.35">
      <c r="A3591" s="12">
        <v>3574</v>
      </c>
      <c r="B3591" s="10" t="s">
        <v>1015</v>
      </c>
      <c r="C3591" s="18" t="s">
        <v>1263</v>
      </c>
      <c r="D3591" s="9"/>
      <c r="E3591" s="9">
        <v>499</v>
      </c>
      <c r="F3591" s="10" t="s">
        <v>1066</v>
      </c>
      <c r="G3591" s="9">
        <v>925</v>
      </c>
      <c r="H3591" s="9">
        <v>1965</v>
      </c>
      <c r="I3591" s="8">
        <v>31.751000000000001</v>
      </c>
      <c r="J3591" s="8">
        <v>30.408000000000001</v>
      </c>
      <c r="K3591" s="8">
        <v>28.041</v>
      </c>
      <c r="L3591" s="8">
        <v>23.260999999999999</v>
      </c>
      <c r="M3591" s="8">
        <v>22.39</v>
      </c>
      <c r="N3591" s="8">
        <v>23.158000000000001</v>
      </c>
      <c r="O3591" s="8">
        <v>21.725999999999999</v>
      </c>
      <c r="P3591" s="8">
        <v>18.611999999999998</v>
      </c>
      <c r="Q3591" s="8">
        <v>14.193</v>
      </c>
      <c r="R3591" s="8">
        <v>10.265000000000001</v>
      </c>
      <c r="S3591" s="8">
        <v>10.788</v>
      </c>
      <c r="T3591" s="8">
        <v>9.84</v>
      </c>
      <c r="U3591" s="8">
        <v>8.1809999999999992</v>
      </c>
      <c r="V3591" s="8">
        <v>6.8369999999999997</v>
      </c>
      <c r="W3591" s="8">
        <v>5.5369999999999999</v>
      </c>
      <c r="X3591" s="8">
        <v>3.6819999999999999</v>
      </c>
      <c r="Y3591" s="8">
        <v>1.81</v>
      </c>
      <c r="Z3591" s="8">
        <v>0.88</v>
      </c>
      <c r="AA3591" s="8">
        <v>0.26700000000000002</v>
      </c>
      <c r="AB3591" s="8">
        <v>3.3000000000000002E-2</v>
      </c>
      <c r="AC3591" s="8">
        <v>2E-3</v>
      </c>
    </row>
    <row r="3592" spans="1:29" ht="11.65" hidden="1" x14ac:dyDescent="0.35">
      <c r="A3592" s="12">
        <v>3575</v>
      </c>
      <c r="B3592" s="10" t="s">
        <v>1015</v>
      </c>
      <c r="C3592" s="18" t="s">
        <v>1263</v>
      </c>
      <c r="D3592" s="9"/>
      <c r="E3592" s="9">
        <v>499</v>
      </c>
      <c r="F3592" s="10" t="s">
        <v>1066</v>
      </c>
      <c r="G3592" s="9">
        <v>925</v>
      </c>
      <c r="H3592" s="9">
        <v>1970</v>
      </c>
      <c r="I3592" s="8">
        <v>26.106000000000002</v>
      </c>
      <c r="J3592" s="8">
        <v>28.507999999999999</v>
      </c>
      <c r="K3592" s="8">
        <v>27.757999999999999</v>
      </c>
      <c r="L3592" s="8">
        <v>26.451000000000001</v>
      </c>
      <c r="M3592" s="8">
        <v>20.984000000000002</v>
      </c>
      <c r="N3592" s="8">
        <v>18.695</v>
      </c>
      <c r="O3592" s="8">
        <v>19.552</v>
      </c>
      <c r="P3592" s="8">
        <v>18.574000000000002</v>
      </c>
      <c r="Q3592" s="8">
        <v>15.9</v>
      </c>
      <c r="R3592" s="8">
        <v>12.071999999999999</v>
      </c>
      <c r="S3592" s="8">
        <v>8.907</v>
      </c>
      <c r="T3592" s="8">
        <v>10.379</v>
      </c>
      <c r="U3592" s="8">
        <v>9.9559999999999995</v>
      </c>
      <c r="V3592" s="8">
        <v>8.2240000000000002</v>
      </c>
      <c r="W3592" s="8">
        <v>6.1680000000000001</v>
      </c>
      <c r="X3592" s="8">
        <v>4.2149999999999999</v>
      </c>
      <c r="Y3592" s="8">
        <v>2.2959999999999998</v>
      </c>
      <c r="Z3592" s="8">
        <v>0.85899999999999999</v>
      </c>
      <c r="AA3592" s="8">
        <v>0.28299999999999997</v>
      </c>
      <c r="AB3592" s="8">
        <v>5.0999999999999997E-2</v>
      </c>
      <c r="AC3592" s="8">
        <v>3.0000000000000001E-3</v>
      </c>
    </row>
    <row r="3593" spans="1:29" ht="11.65" hidden="1" x14ac:dyDescent="0.35">
      <c r="A3593" s="12">
        <v>3576</v>
      </c>
      <c r="B3593" s="10" t="s">
        <v>1015</v>
      </c>
      <c r="C3593" s="18" t="s">
        <v>1263</v>
      </c>
      <c r="D3593" s="9"/>
      <c r="E3593" s="9">
        <v>499</v>
      </c>
      <c r="F3593" s="10" t="s">
        <v>1066</v>
      </c>
      <c r="G3593" s="9">
        <v>925</v>
      </c>
      <c r="H3593" s="9">
        <v>1975</v>
      </c>
      <c r="I3593" s="8">
        <v>25.693000000000001</v>
      </c>
      <c r="J3593" s="8">
        <v>25.965</v>
      </c>
      <c r="K3593" s="8">
        <v>28.443999999999999</v>
      </c>
      <c r="L3593" s="8">
        <v>27.641999999999999</v>
      </c>
      <c r="M3593" s="8">
        <v>26.224</v>
      </c>
      <c r="N3593" s="8">
        <v>20.724</v>
      </c>
      <c r="O3593" s="8">
        <v>18.463000000000001</v>
      </c>
      <c r="P3593" s="8">
        <v>19.332999999999998</v>
      </c>
      <c r="Q3593" s="8">
        <v>18.332999999999998</v>
      </c>
      <c r="R3593" s="8">
        <v>15.638</v>
      </c>
      <c r="S3593" s="8">
        <v>11.82</v>
      </c>
      <c r="T3593" s="8">
        <v>8.6379999999999999</v>
      </c>
      <c r="U3593" s="8">
        <v>9.8879999999999999</v>
      </c>
      <c r="V3593" s="8">
        <v>9.2149999999999999</v>
      </c>
      <c r="W3593" s="8">
        <v>7.2450000000000001</v>
      </c>
      <c r="X3593" s="8">
        <v>4.9790000000000001</v>
      </c>
      <c r="Y3593" s="8">
        <v>2.9039999999999999</v>
      </c>
      <c r="Z3593" s="8">
        <v>1.228</v>
      </c>
      <c r="AA3593" s="8">
        <v>0.32100000000000001</v>
      </c>
      <c r="AB3593" s="8">
        <v>6.4000000000000001E-2</v>
      </c>
      <c r="AC3593" s="8">
        <v>6.0000000000000001E-3</v>
      </c>
    </row>
    <row r="3594" spans="1:29" ht="11.65" hidden="1" x14ac:dyDescent="0.35">
      <c r="A3594" s="12">
        <v>3577</v>
      </c>
      <c r="B3594" s="10" t="s">
        <v>1015</v>
      </c>
      <c r="C3594" s="18" t="s">
        <v>1263</v>
      </c>
      <c r="D3594" s="9"/>
      <c r="E3594" s="9">
        <v>499</v>
      </c>
      <c r="F3594" s="10" t="s">
        <v>1066</v>
      </c>
      <c r="G3594" s="9">
        <v>925</v>
      </c>
      <c r="H3594" s="9">
        <v>1980</v>
      </c>
      <c r="I3594" s="8">
        <v>24.78</v>
      </c>
      <c r="J3594" s="8">
        <v>25.568000000000001</v>
      </c>
      <c r="K3594" s="8">
        <v>25.908999999999999</v>
      </c>
      <c r="L3594" s="8">
        <v>28.332999999999998</v>
      </c>
      <c r="M3594" s="8">
        <v>26.922000000000001</v>
      </c>
      <c r="N3594" s="8">
        <v>25.109000000000002</v>
      </c>
      <c r="O3594" s="8">
        <v>19.645</v>
      </c>
      <c r="P3594" s="8">
        <v>17.766999999999999</v>
      </c>
      <c r="Q3594" s="8">
        <v>19.109000000000002</v>
      </c>
      <c r="R3594" s="8">
        <v>18.068999999999999</v>
      </c>
      <c r="S3594" s="8">
        <v>15.356</v>
      </c>
      <c r="T3594" s="8">
        <v>11.515000000000001</v>
      </c>
      <c r="U3594" s="8">
        <v>8.2799999999999994</v>
      </c>
      <c r="V3594" s="8">
        <v>9.2469999999999999</v>
      </c>
      <c r="W3594" s="8">
        <v>8.2669999999999995</v>
      </c>
      <c r="X3594" s="8">
        <v>6.0220000000000002</v>
      </c>
      <c r="Y3594" s="8">
        <v>3.6150000000000002</v>
      </c>
      <c r="Z3594" s="8">
        <v>1.6719999999999999</v>
      </c>
      <c r="AA3594" s="8">
        <v>0.5</v>
      </c>
      <c r="AB3594" s="8">
        <v>7.9000000000000001E-2</v>
      </c>
      <c r="AC3594" s="8">
        <v>8.9999999999999993E-3</v>
      </c>
    </row>
    <row r="3595" spans="1:29" ht="11.65" hidden="1" x14ac:dyDescent="0.35">
      <c r="A3595" s="12">
        <v>3578</v>
      </c>
      <c r="B3595" s="10" t="s">
        <v>1015</v>
      </c>
      <c r="C3595" s="18" t="s">
        <v>1263</v>
      </c>
      <c r="D3595" s="9"/>
      <c r="E3595" s="9">
        <v>499</v>
      </c>
      <c r="F3595" s="10" t="s">
        <v>1066</v>
      </c>
      <c r="G3595" s="9">
        <v>925</v>
      </c>
      <c r="H3595" s="9">
        <v>1985</v>
      </c>
      <c r="I3595" s="8">
        <v>25.96</v>
      </c>
      <c r="J3595" s="8">
        <v>24.664999999999999</v>
      </c>
      <c r="K3595" s="8">
        <v>25.513000000000002</v>
      </c>
      <c r="L3595" s="8">
        <v>25.805</v>
      </c>
      <c r="M3595" s="8">
        <v>28.117000000000001</v>
      </c>
      <c r="N3595" s="8">
        <v>26.657</v>
      </c>
      <c r="O3595" s="8">
        <v>24.869</v>
      </c>
      <c r="P3595" s="8">
        <v>19.443999999999999</v>
      </c>
      <c r="Q3595" s="8">
        <v>17.556999999999999</v>
      </c>
      <c r="R3595" s="8">
        <v>18.84</v>
      </c>
      <c r="S3595" s="8">
        <v>17.754000000000001</v>
      </c>
      <c r="T3595" s="8">
        <v>14.97</v>
      </c>
      <c r="U3595" s="8">
        <v>11.047000000000001</v>
      </c>
      <c r="V3595" s="8">
        <v>7.7489999999999997</v>
      </c>
      <c r="W3595" s="8">
        <v>8.3059999999999992</v>
      </c>
      <c r="X3595" s="8">
        <v>6.88</v>
      </c>
      <c r="Y3595" s="8">
        <v>4.3719999999999999</v>
      </c>
      <c r="Z3595" s="8">
        <v>2.0739999999999998</v>
      </c>
      <c r="AA3595" s="8">
        <v>0.67500000000000004</v>
      </c>
      <c r="AB3595" s="8">
        <v>0.125</v>
      </c>
      <c r="AC3595" s="8">
        <v>1.0999999999999999E-2</v>
      </c>
    </row>
    <row r="3596" spans="1:29" ht="11.65" hidden="1" x14ac:dyDescent="0.35">
      <c r="A3596" s="12">
        <v>3579</v>
      </c>
      <c r="B3596" s="10" t="s">
        <v>1015</v>
      </c>
      <c r="C3596" s="18" t="s">
        <v>1263</v>
      </c>
      <c r="D3596" s="9"/>
      <c r="E3596" s="9">
        <v>499</v>
      </c>
      <c r="F3596" s="10" t="s">
        <v>1066</v>
      </c>
      <c r="G3596" s="9">
        <v>925</v>
      </c>
      <c r="H3596" s="9">
        <v>1990</v>
      </c>
      <c r="I3596" s="8">
        <v>24.774999999999999</v>
      </c>
      <c r="J3596" s="8">
        <v>25.853000000000002</v>
      </c>
      <c r="K3596" s="8">
        <v>24.614999999999998</v>
      </c>
      <c r="L3596" s="8">
        <v>25.283999999999999</v>
      </c>
      <c r="M3596" s="8">
        <v>24.048999999999999</v>
      </c>
      <c r="N3596" s="8">
        <v>25.035</v>
      </c>
      <c r="O3596" s="8">
        <v>23.771999999999998</v>
      </c>
      <c r="P3596" s="8">
        <v>22.7</v>
      </c>
      <c r="Q3596" s="8">
        <v>17.736000000000001</v>
      </c>
      <c r="R3596" s="8">
        <v>15.78</v>
      </c>
      <c r="S3596" s="8">
        <v>17.834</v>
      </c>
      <c r="T3596" s="8">
        <v>17.186</v>
      </c>
      <c r="U3596" s="8">
        <v>13.468999999999999</v>
      </c>
      <c r="V3596" s="8">
        <v>8.8680000000000003</v>
      </c>
      <c r="W3596" s="8">
        <v>6.2629999999999999</v>
      </c>
      <c r="X3596" s="8">
        <v>6.9489999999999998</v>
      </c>
      <c r="Y3596" s="8">
        <v>5.0170000000000003</v>
      </c>
      <c r="Z3596" s="8">
        <v>2.5499999999999998</v>
      </c>
      <c r="AA3596" s="8">
        <v>0.85399999999999998</v>
      </c>
      <c r="AB3596" s="8">
        <v>0.17100000000000001</v>
      </c>
      <c r="AC3596" s="8">
        <v>1.7000000000000001E-2</v>
      </c>
    </row>
    <row r="3597" spans="1:29" ht="11.65" hidden="1" x14ac:dyDescent="0.35">
      <c r="A3597" s="12">
        <v>3580</v>
      </c>
      <c r="B3597" s="10" t="s">
        <v>1015</v>
      </c>
      <c r="C3597" s="18" t="s">
        <v>1263</v>
      </c>
      <c r="D3597" s="9"/>
      <c r="E3597" s="9">
        <v>499</v>
      </c>
      <c r="F3597" s="10" t="s">
        <v>1066</v>
      </c>
      <c r="G3597" s="9">
        <v>925</v>
      </c>
      <c r="H3597" s="9">
        <v>1995</v>
      </c>
      <c r="I3597" s="8">
        <v>22.097999999999999</v>
      </c>
      <c r="J3597" s="8">
        <v>23.32</v>
      </c>
      <c r="K3597" s="8">
        <v>24.446999999999999</v>
      </c>
      <c r="L3597" s="8">
        <v>23.396999999999998</v>
      </c>
      <c r="M3597" s="8">
        <v>24.076000000000001</v>
      </c>
      <c r="N3597" s="8">
        <v>22.603999999999999</v>
      </c>
      <c r="O3597" s="8">
        <v>23.943999999999999</v>
      </c>
      <c r="P3597" s="8">
        <v>23.199000000000002</v>
      </c>
      <c r="Q3597" s="8">
        <v>22.692</v>
      </c>
      <c r="R3597" s="8">
        <v>17.661000000000001</v>
      </c>
      <c r="S3597" s="8">
        <v>15.308</v>
      </c>
      <c r="T3597" s="8">
        <v>17.375</v>
      </c>
      <c r="U3597" s="8">
        <v>16.515000000000001</v>
      </c>
      <c r="V3597" s="8">
        <v>12.685</v>
      </c>
      <c r="W3597" s="8">
        <v>8.0489999999999995</v>
      </c>
      <c r="X3597" s="8">
        <v>5.3010000000000002</v>
      </c>
      <c r="Y3597" s="8">
        <v>5.1760000000000002</v>
      </c>
      <c r="Z3597" s="8">
        <v>2.9950000000000001</v>
      </c>
      <c r="AA3597" s="8">
        <v>1.0740000000000001</v>
      </c>
      <c r="AB3597" s="8">
        <v>0.217</v>
      </c>
      <c r="AC3597" s="8">
        <v>2.4E-2</v>
      </c>
    </row>
    <row r="3598" spans="1:29" ht="11.65" hidden="1" x14ac:dyDescent="0.35">
      <c r="A3598" s="12">
        <v>3581</v>
      </c>
      <c r="B3598" s="10" t="s">
        <v>1015</v>
      </c>
      <c r="C3598" s="18" t="s">
        <v>1263</v>
      </c>
      <c r="D3598" s="9"/>
      <c r="E3598" s="9">
        <v>499</v>
      </c>
      <c r="F3598" s="10" t="s">
        <v>1066</v>
      </c>
      <c r="G3598" s="9">
        <v>925</v>
      </c>
      <c r="H3598" s="9">
        <v>2000</v>
      </c>
      <c r="I3598" s="8">
        <v>19.853999999999999</v>
      </c>
      <c r="J3598" s="8">
        <v>20.847000000000001</v>
      </c>
      <c r="K3598" s="8">
        <v>22.396000000000001</v>
      </c>
      <c r="L3598" s="8">
        <v>23.972999999999999</v>
      </c>
      <c r="M3598" s="8">
        <v>22.49</v>
      </c>
      <c r="N3598" s="8">
        <v>22.231999999999999</v>
      </c>
      <c r="O3598" s="8">
        <v>20.562999999999999</v>
      </c>
      <c r="P3598" s="8">
        <v>22.620999999999999</v>
      </c>
      <c r="Q3598" s="8">
        <v>22.497</v>
      </c>
      <c r="R3598" s="8">
        <v>22.951000000000001</v>
      </c>
      <c r="S3598" s="8">
        <v>17.739000000000001</v>
      </c>
      <c r="T3598" s="8">
        <v>14.629</v>
      </c>
      <c r="U3598" s="8">
        <v>16.68</v>
      </c>
      <c r="V3598" s="8">
        <v>15.31</v>
      </c>
      <c r="W3598" s="8">
        <v>11.461</v>
      </c>
      <c r="X3598" s="8">
        <v>6.76</v>
      </c>
      <c r="Y3598" s="8">
        <v>3.35</v>
      </c>
      <c r="Z3598" s="8">
        <v>2.5070000000000001</v>
      </c>
      <c r="AA3598" s="8">
        <v>1.036</v>
      </c>
      <c r="AB3598" s="8">
        <v>0.221</v>
      </c>
      <c r="AC3598" s="8">
        <v>2.4E-2</v>
      </c>
    </row>
    <row r="3599" spans="1:29" ht="11.65" hidden="1" x14ac:dyDescent="0.35">
      <c r="A3599" s="12">
        <v>3582</v>
      </c>
      <c r="B3599" s="10" t="s">
        <v>1015</v>
      </c>
      <c r="C3599" s="18" t="s">
        <v>1263</v>
      </c>
      <c r="D3599" s="9"/>
      <c r="E3599" s="9">
        <v>499</v>
      </c>
      <c r="F3599" s="10" t="s">
        <v>1066</v>
      </c>
      <c r="G3599" s="9">
        <v>925</v>
      </c>
      <c r="H3599" s="9">
        <v>2005</v>
      </c>
      <c r="I3599" s="8">
        <v>19.260000000000002</v>
      </c>
      <c r="J3599" s="8">
        <v>19.55</v>
      </c>
      <c r="K3599" s="8">
        <v>20.757000000000001</v>
      </c>
      <c r="L3599" s="8">
        <v>22.347999999999999</v>
      </c>
      <c r="M3599" s="8">
        <v>24.44</v>
      </c>
      <c r="N3599" s="8">
        <v>22.72</v>
      </c>
      <c r="O3599" s="8">
        <v>21.757000000000001</v>
      </c>
      <c r="P3599" s="8">
        <v>19.696000000000002</v>
      </c>
      <c r="Q3599" s="8">
        <v>21.411999999999999</v>
      </c>
      <c r="R3599" s="8">
        <v>21.364999999999998</v>
      </c>
      <c r="S3599" s="8">
        <v>22.785</v>
      </c>
      <c r="T3599" s="8">
        <v>17.29</v>
      </c>
      <c r="U3599" s="8">
        <v>13.545</v>
      </c>
      <c r="V3599" s="8">
        <v>15.497</v>
      </c>
      <c r="W3599" s="8">
        <v>13.416</v>
      </c>
      <c r="X3599" s="8">
        <v>9.4760000000000009</v>
      </c>
      <c r="Y3599" s="8">
        <v>4.8150000000000004</v>
      </c>
      <c r="Z3599" s="8">
        <v>1.746</v>
      </c>
      <c r="AA3599" s="8">
        <v>0.86799999999999999</v>
      </c>
      <c r="AB3599" s="8">
        <v>0.21099999999999999</v>
      </c>
      <c r="AC3599" s="8">
        <v>2.4E-2</v>
      </c>
    </row>
    <row r="3600" spans="1:29" ht="11.65" hidden="1" x14ac:dyDescent="0.35">
      <c r="A3600" s="12">
        <v>3583</v>
      </c>
      <c r="B3600" s="10" t="s">
        <v>1015</v>
      </c>
      <c r="C3600" s="18" t="s">
        <v>1263</v>
      </c>
      <c r="D3600" s="9"/>
      <c r="E3600" s="9">
        <v>499</v>
      </c>
      <c r="F3600" s="10" t="s">
        <v>1066</v>
      </c>
      <c r="G3600" s="9">
        <v>925</v>
      </c>
      <c r="H3600" s="9">
        <v>2010</v>
      </c>
      <c r="I3600" s="8">
        <v>18.920000000000002</v>
      </c>
      <c r="J3600" s="8">
        <v>18.753</v>
      </c>
      <c r="K3600" s="8">
        <v>19.603999999999999</v>
      </c>
      <c r="L3600" s="8">
        <v>21.462</v>
      </c>
      <c r="M3600" s="8">
        <v>22.076000000000001</v>
      </c>
      <c r="N3600" s="8">
        <v>23.018999999999998</v>
      </c>
      <c r="O3600" s="8">
        <v>21.893000000000001</v>
      </c>
      <c r="P3600" s="8">
        <v>21.486999999999998</v>
      </c>
      <c r="Q3600" s="8">
        <v>19.795999999999999</v>
      </c>
      <c r="R3600" s="8">
        <v>22.218</v>
      </c>
      <c r="S3600" s="8">
        <v>21.795000000000002</v>
      </c>
      <c r="T3600" s="8">
        <v>21.628</v>
      </c>
      <c r="U3600" s="8">
        <v>16.331</v>
      </c>
      <c r="V3600" s="8">
        <v>12.928000000000001</v>
      </c>
      <c r="W3600" s="8">
        <v>13.683</v>
      </c>
      <c r="X3600" s="8">
        <v>10.811</v>
      </c>
      <c r="Y3600" s="8">
        <v>6.3689999999999998</v>
      </c>
      <c r="Z3600" s="8">
        <v>2.4430000000000001</v>
      </c>
      <c r="AA3600" s="8">
        <v>0.59199999999999997</v>
      </c>
      <c r="AB3600" s="8">
        <v>0.17</v>
      </c>
      <c r="AC3600" s="8">
        <v>2.1999999999999999E-2</v>
      </c>
    </row>
    <row r="3601" spans="1:29" ht="11.65" hidden="1" x14ac:dyDescent="0.35">
      <c r="A3601" s="12">
        <v>3584</v>
      </c>
      <c r="B3601" s="10" t="s">
        <v>1015</v>
      </c>
      <c r="C3601" s="18" t="s">
        <v>1263</v>
      </c>
      <c r="D3601" s="9"/>
      <c r="E3601" s="9">
        <v>499</v>
      </c>
      <c r="F3601" s="10" t="s">
        <v>1066</v>
      </c>
      <c r="G3601" s="9">
        <v>925</v>
      </c>
      <c r="H3601" s="9">
        <v>2015</v>
      </c>
      <c r="I3601" s="8">
        <v>17.841000000000001</v>
      </c>
      <c r="J3601" s="8">
        <v>18.792999999999999</v>
      </c>
      <c r="K3601" s="8">
        <v>18.736999999999998</v>
      </c>
      <c r="L3601" s="8">
        <v>20.001999999999999</v>
      </c>
      <c r="M3601" s="8">
        <v>20.832999999999998</v>
      </c>
      <c r="N3601" s="8">
        <v>20.972000000000001</v>
      </c>
      <c r="O3601" s="8">
        <v>22.859000000000002</v>
      </c>
      <c r="P3601" s="8">
        <v>21.864999999999998</v>
      </c>
      <c r="Q3601" s="8">
        <v>21.375</v>
      </c>
      <c r="R3601" s="8">
        <v>19.597999999999999</v>
      </c>
      <c r="S3601" s="8">
        <v>21.867000000000001</v>
      </c>
      <c r="T3601" s="8">
        <v>21.265000000000001</v>
      </c>
      <c r="U3601" s="8">
        <v>20.843</v>
      </c>
      <c r="V3601" s="8">
        <v>15.411</v>
      </c>
      <c r="W3601" s="8">
        <v>11.670999999999999</v>
      </c>
      <c r="X3601" s="8">
        <v>11.332000000000001</v>
      </c>
      <c r="Y3601" s="8">
        <v>7.5620000000000003</v>
      </c>
      <c r="Z3601" s="8">
        <v>3.3050000000000002</v>
      </c>
      <c r="AA3601" s="8">
        <v>0.80100000000000005</v>
      </c>
      <c r="AB3601" s="8">
        <v>0.10100000000000001</v>
      </c>
      <c r="AC3601" s="8">
        <v>1.4999999999999999E-2</v>
      </c>
    </row>
    <row r="3602" spans="1:29" ht="11.65" hidden="1" x14ac:dyDescent="0.35">
      <c r="A3602" s="12">
        <v>3585</v>
      </c>
      <c r="B3602" s="10" t="s">
        <v>1015</v>
      </c>
      <c r="C3602" s="18" t="s">
        <v>1263</v>
      </c>
      <c r="D3602" s="9"/>
      <c r="E3602" s="9">
        <v>499</v>
      </c>
      <c r="F3602" s="10" t="s">
        <v>1066</v>
      </c>
      <c r="G3602" s="9">
        <v>925</v>
      </c>
      <c r="H3602" s="9">
        <v>2020</v>
      </c>
      <c r="I3602" s="8">
        <v>17.780999999999999</v>
      </c>
      <c r="J3602" s="8">
        <v>17.776</v>
      </c>
      <c r="K3602" s="8">
        <v>18.75</v>
      </c>
      <c r="L3602" s="8">
        <v>18.638000000000002</v>
      </c>
      <c r="M3602" s="8">
        <v>19.794</v>
      </c>
      <c r="N3602" s="8">
        <v>20.58</v>
      </c>
      <c r="O3602" s="8">
        <v>20.741</v>
      </c>
      <c r="P3602" s="8">
        <v>22.667000000000002</v>
      </c>
      <c r="Q3602" s="8">
        <v>21.67</v>
      </c>
      <c r="R3602" s="8">
        <v>21.155000000000001</v>
      </c>
      <c r="S3602" s="8">
        <v>19.338999999999999</v>
      </c>
      <c r="T3602" s="8">
        <v>21.364999999999998</v>
      </c>
      <c r="U3602" s="8">
        <v>20.483000000000001</v>
      </c>
      <c r="V3602" s="8">
        <v>19.638000000000002</v>
      </c>
      <c r="W3602" s="8">
        <v>13.923999999999999</v>
      </c>
      <c r="X3602" s="8">
        <v>9.7639999999999993</v>
      </c>
      <c r="Y3602" s="8">
        <v>8.0860000000000003</v>
      </c>
      <c r="Z3602" s="8">
        <v>4.0629999999999997</v>
      </c>
      <c r="AA3602" s="8">
        <v>1.131</v>
      </c>
      <c r="AB3602" s="8">
        <v>0.14499999999999999</v>
      </c>
      <c r="AC3602" s="8">
        <v>8.9999999999999993E-3</v>
      </c>
    </row>
    <row r="3603" spans="1:29" ht="11.65" hidden="1" x14ac:dyDescent="0.35">
      <c r="A3603" s="12">
        <v>3586</v>
      </c>
      <c r="B3603" s="10" t="s">
        <v>1015</v>
      </c>
      <c r="C3603" s="18" t="s">
        <v>1264</v>
      </c>
      <c r="D3603" s="9"/>
      <c r="E3603" s="9">
        <v>807</v>
      </c>
      <c r="F3603" s="10" t="s">
        <v>1066</v>
      </c>
      <c r="G3603" s="9">
        <v>925</v>
      </c>
      <c r="H3603" s="9">
        <v>1950</v>
      </c>
      <c r="I3603" s="8">
        <v>83.504000000000005</v>
      </c>
      <c r="J3603" s="8">
        <v>68.548000000000002</v>
      </c>
      <c r="K3603" s="8">
        <v>68.855999999999995</v>
      </c>
      <c r="L3603" s="8">
        <v>64.843000000000004</v>
      </c>
      <c r="M3603" s="8">
        <v>60.853999999999999</v>
      </c>
      <c r="N3603" s="8">
        <v>49.738</v>
      </c>
      <c r="O3603" s="8">
        <v>31.808</v>
      </c>
      <c r="P3603" s="8">
        <v>36.89</v>
      </c>
      <c r="Q3603" s="8">
        <v>31.574999999999999</v>
      </c>
      <c r="R3603" s="8">
        <v>25.091000000000001</v>
      </c>
      <c r="S3603" s="8">
        <v>20.562000000000001</v>
      </c>
      <c r="T3603" s="8">
        <v>17.452999999999999</v>
      </c>
      <c r="U3603" s="8">
        <v>16.164000000000001</v>
      </c>
      <c r="V3603" s="8">
        <v>15.4</v>
      </c>
      <c r="W3603" s="8">
        <v>13.8</v>
      </c>
      <c r="X3603" s="8">
        <v>11.1</v>
      </c>
      <c r="Y3603" s="8">
        <v>5.5449999999999999</v>
      </c>
      <c r="Z3603" s="8">
        <v>2.375</v>
      </c>
      <c r="AA3603" s="8">
        <v>0.65900000000000003</v>
      </c>
      <c r="AB3603" s="8">
        <v>0.106</v>
      </c>
      <c r="AC3603" s="8">
        <v>8.9999999999999993E-3</v>
      </c>
    </row>
    <row r="3604" spans="1:29" ht="11.65" hidden="1" x14ac:dyDescent="0.35">
      <c r="A3604" s="12">
        <v>3587</v>
      </c>
      <c r="B3604" s="10" t="s">
        <v>1015</v>
      </c>
      <c r="C3604" s="18" t="s">
        <v>1264</v>
      </c>
      <c r="D3604" s="9"/>
      <c r="E3604" s="9">
        <v>807</v>
      </c>
      <c r="F3604" s="10" t="s">
        <v>1066</v>
      </c>
      <c r="G3604" s="9">
        <v>925</v>
      </c>
      <c r="H3604" s="9">
        <v>1955</v>
      </c>
      <c r="I3604" s="8">
        <v>102.285</v>
      </c>
      <c r="J3604" s="8">
        <v>80.885000000000005</v>
      </c>
      <c r="K3604" s="8">
        <v>67.786000000000001</v>
      </c>
      <c r="L3604" s="8">
        <v>68.247</v>
      </c>
      <c r="M3604" s="8">
        <v>63.965000000000003</v>
      </c>
      <c r="N3604" s="8">
        <v>59.823</v>
      </c>
      <c r="O3604" s="8">
        <v>48.783000000000001</v>
      </c>
      <c r="P3604" s="8">
        <v>31.068999999999999</v>
      </c>
      <c r="Q3604" s="8">
        <v>35.819000000000003</v>
      </c>
      <c r="R3604" s="8">
        <v>30.385999999999999</v>
      </c>
      <c r="S3604" s="8">
        <v>23.774000000000001</v>
      </c>
      <c r="T3604" s="8">
        <v>18.975000000000001</v>
      </c>
      <c r="U3604" s="8">
        <v>15.449</v>
      </c>
      <c r="V3604" s="8">
        <v>13.423999999999999</v>
      </c>
      <c r="W3604" s="8">
        <v>11.569000000000001</v>
      </c>
      <c r="X3604" s="8">
        <v>8.9250000000000007</v>
      </c>
      <c r="Y3604" s="8">
        <v>5.5730000000000004</v>
      </c>
      <c r="Z3604" s="8">
        <v>1.867</v>
      </c>
      <c r="AA3604" s="8">
        <v>0.47499999999999998</v>
      </c>
      <c r="AB3604" s="8">
        <v>6.4000000000000001E-2</v>
      </c>
      <c r="AC3604" s="8">
        <v>6.0000000000000001E-3</v>
      </c>
    </row>
    <row r="3605" spans="1:29" ht="11.65" hidden="1" x14ac:dyDescent="0.35">
      <c r="A3605" s="12">
        <v>3588</v>
      </c>
      <c r="B3605" s="10" t="s">
        <v>1015</v>
      </c>
      <c r="C3605" s="18" t="s">
        <v>1264</v>
      </c>
      <c r="D3605" s="9"/>
      <c r="E3605" s="9">
        <v>807</v>
      </c>
      <c r="F3605" s="10" t="s">
        <v>1066</v>
      </c>
      <c r="G3605" s="9">
        <v>925</v>
      </c>
      <c r="H3605" s="9">
        <v>1960</v>
      </c>
      <c r="I3605" s="8">
        <v>97.352999999999994</v>
      </c>
      <c r="J3605" s="8">
        <v>98.51</v>
      </c>
      <c r="K3605" s="8">
        <v>79.671999999999997</v>
      </c>
      <c r="L3605" s="8">
        <v>67.019000000000005</v>
      </c>
      <c r="M3605" s="8">
        <v>67.287000000000006</v>
      </c>
      <c r="N3605" s="8">
        <v>60.56</v>
      </c>
      <c r="O3605" s="8">
        <v>54.502000000000002</v>
      </c>
      <c r="P3605" s="8">
        <v>44.502000000000002</v>
      </c>
      <c r="Q3605" s="8">
        <v>27.986000000000001</v>
      </c>
      <c r="R3605" s="8">
        <v>33.215000000000003</v>
      </c>
      <c r="S3605" s="8">
        <v>28.111999999999998</v>
      </c>
      <c r="T3605" s="8">
        <v>21.63</v>
      </c>
      <c r="U3605" s="8">
        <v>16.73</v>
      </c>
      <c r="V3605" s="8">
        <v>12.917999999999999</v>
      </c>
      <c r="W3605" s="8">
        <v>10.285</v>
      </c>
      <c r="X3605" s="8">
        <v>7.7370000000000001</v>
      </c>
      <c r="Y3605" s="8">
        <v>4.7409999999999997</v>
      </c>
      <c r="Z3605" s="8">
        <v>2.0459999999999998</v>
      </c>
      <c r="AA3605" s="8">
        <v>0.42</v>
      </c>
      <c r="AB3605" s="8">
        <v>5.6000000000000001E-2</v>
      </c>
      <c r="AC3605" s="8">
        <v>4.0000000000000001E-3</v>
      </c>
    </row>
    <row r="3606" spans="1:29" ht="11.65" hidden="1" x14ac:dyDescent="0.35">
      <c r="A3606" s="12">
        <v>3589</v>
      </c>
      <c r="B3606" s="10" t="s">
        <v>1015</v>
      </c>
      <c r="C3606" s="18" t="s">
        <v>1264</v>
      </c>
      <c r="D3606" s="9"/>
      <c r="E3606" s="9">
        <v>807</v>
      </c>
      <c r="F3606" s="10" t="s">
        <v>1066</v>
      </c>
      <c r="G3606" s="9">
        <v>925</v>
      </c>
      <c r="H3606" s="9">
        <v>1965</v>
      </c>
      <c r="I3606" s="8">
        <v>95.43</v>
      </c>
      <c r="J3606" s="8">
        <v>94.245999999999995</v>
      </c>
      <c r="K3606" s="8">
        <v>97.367000000000004</v>
      </c>
      <c r="L3606" s="8">
        <v>78.968999999999994</v>
      </c>
      <c r="M3606" s="8">
        <v>66.144999999999996</v>
      </c>
      <c r="N3606" s="8">
        <v>64.811999999999998</v>
      </c>
      <c r="O3606" s="8">
        <v>56.628</v>
      </c>
      <c r="P3606" s="8">
        <v>50.683999999999997</v>
      </c>
      <c r="Q3606" s="8">
        <v>41.326000000000001</v>
      </c>
      <c r="R3606" s="8">
        <v>25.763999999999999</v>
      </c>
      <c r="S3606" s="8">
        <v>31.047000000000001</v>
      </c>
      <c r="T3606" s="8">
        <v>25.95</v>
      </c>
      <c r="U3606" s="8">
        <v>19.396000000000001</v>
      </c>
      <c r="V3606" s="8">
        <v>14.28</v>
      </c>
      <c r="W3606" s="8">
        <v>10.157999999999999</v>
      </c>
      <c r="X3606" s="8">
        <v>7.1219999999999999</v>
      </c>
      <c r="Y3606" s="8">
        <v>4.3</v>
      </c>
      <c r="Z3606" s="8">
        <v>1.841</v>
      </c>
      <c r="AA3606" s="8">
        <v>0.48799999999999999</v>
      </c>
      <c r="AB3606" s="8">
        <v>5.1999999999999998E-2</v>
      </c>
      <c r="AC3606" s="8">
        <v>4.0000000000000001E-3</v>
      </c>
    </row>
    <row r="3607" spans="1:29" ht="11.65" hidden="1" x14ac:dyDescent="0.35">
      <c r="A3607" s="12">
        <v>3590</v>
      </c>
      <c r="B3607" s="10" t="s">
        <v>1015</v>
      </c>
      <c r="C3607" s="18" t="s">
        <v>1264</v>
      </c>
      <c r="D3607" s="9"/>
      <c r="E3607" s="9">
        <v>807</v>
      </c>
      <c r="F3607" s="10" t="s">
        <v>1066</v>
      </c>
      <c r="G3607" s="9">
        <v>925</v>
      </c>
      <c r="H3607" s="9">
        <v>1970</v>
      </c>
      <c r="I3607" s="8">
        <v>98.597999999999999</v>
      </c>
      <c r="J3607" s="8">
        <v>92.335999999999999</v>
      </c>
      <c r="K3607" s="8">
        <v>93.17</v>
      </c>
      <c r="L3607" s="8">
        <v>95.902000000000001</v>
      </c>
      <c r="M3607" s="8">
        <v>75.873000000000005</v>
      </c>
      <c r="N3607" s="8">
        <v>62.41</v>
      </c>
      <c r="O3607" s="8">
        <v>62.423000000000002</v>
      </c>
      <c r="P3607" s="8">
        <v>55.585000000000001</v>
      </c>
      <c r="Q3607" s="8">
        <v>49.69</v>
      </c>
      <c r="R3607" s="8">
        <v>40.31</v>
      </c>
      <c r="S3607" s="8">
        <v>24.876999999999999</v>
      </c>
      <c r="T3607" s="8">
        <v>29.552</v>
      </c>
      <c r="U3607" s="8">
        <v>24.042000000000002</v>
      </c>
      <c r="V3607" s="8">
        <v>17.163</v>
      </c>
      <c r="W3607" s="8">
        <v>11.722</v>
      </c>
      <c r="X3607" s="8">
        <v>7.4260000000000002</v>
      </c>
      <c r="Y3607" s="8">
        <v>4.25</v>
      </c>
      <c r="Z3607" s="8">
        <v>1.8460000000000001</v>
      </c>
      <c r="AA3607" s="8">
        <v>0.50900000000000001</v>
      </c>
      <c r="AB3607" s="8">
        <v>7.3999999999999996E-2</v>
      </c>
      <c r="AC3607" s="8">
        <v>4.0000000000000001E-3</v>
      </c>
    </row>
    <row r="3608" spans="1:29" ht="11.65" hidden="1" x14ac:dyDescent="0.35">
      <c r="A3608" s="12">
        <v>3591</v>
      </c>
      <c r="B3608" s="10" t="s">
        <v>1015</v>
      </c>
      <c r="C3608" s="18" t="s">
        <v>1264</v>
      </c>
      <c r="D3608" s="9"/>
      <c r="E3608" s="9">
        <v>807</v>
      </c>
      <c r="F3608" s="10" t="s">
        <v>1066</v>
      </c>
      <c r="G3608" s="9">
        <v>925</v>
      </c>
      <c r="H3608" s="9">
        <v>1975</v>
      </c>
      <c r="I3608" s="8">
        <v>92.123000000000005</v>
      </c>
      <c r="J3608" s="8">
        <v>96.018000000000001</v>
      </c>
      <c r="K3608" s="8">
        <v>88.251000000000005</v>
      </c>
      <c r="L3608" s="8">
        <v>87.638000000000005</v>
      </c>
      <c r="M3608" s="8">
        <v>92.165000000000006</v>
      </c>
      <c r="N3608" s="8">
        <v>70.66</v>
      </c>
      <c r="O3608" s="8">
        <v>56.441000000000003</v>
      </c>
      <c r="P3608" s="8">
        <v>59.411999999999999</v>
      </c>
      <c r="Q3608" s="8">
        <v>54.506999999999998</v>
      </c>
      <c r="R3608" s="8">
        <v>48.518999999999998</v>
      </c>
      <c r="S3608" s="8">
        <v>39.034999999999997</v>
      </c>
      <c r="T3608" s="8">
        <v>23.692</v>
      </c>
      <c r="U3608" s="8">
        <v>27.614999999999998</v>
      </c>
      <c r="V3608" s="8">
        <v>21.605</v>
      </c>
      <c r="W3608" s="8">
        <v>14.407</v>
      </c>
      <c r="X3608" s="8">
        <v>8.8239999999999998</v>
      </c>
      <c r="Y3608" s="8">
        <v>4.59</v>
      </c>
      <c r="Z3608" s="8">
        <v>1.883</v>
      </c>
      <c r="AA3608" s="8">
        <v>0.52800000000000002</v>
      </c>
      <c r="AB3608" s="8">
        <v>8.1000000000000003E-2</v>
      </c>
      <c r="AC3608" s="8">
        <v>6.0000000000000001E-3</v>
      </c>
    </row>
    <row r="3609" spans="1:29" ht="11.65" hidden="1" x14ac:dyDescent="0.35">
      <c r="A3609" s="12">
        <v>3592</v>
      </c>
      <c r="B3609" s="10" t="s">
        <v>1015</v>
      </c>
      <c r="C3609" s="18" t="s">
        <v>1264</v>
      </c>
      <c r="D3609" s="9"/>
      <c r="E3609" s="9">
        <v>807</v>
      </c>
      <c r="F3609" s="10" t="s">
        <v>1066</v>
      </c>
      <c r="G3609" s="9">
        <v>925</v>
      </c>
      <c r="H3609" s="9">
        <v>1980</v>
      </c>
      <c r="I3609" s="8">
        <v>92.179000000000002</v>
      </c>
      <c r="J3609" s="8">
        <v>91.665000000000006</v>
      </c>
      <c r="K3609" s="8">
        <v>95.173000000000002</v>
      </c>
      <c r="L3609" s="8">
        <v>87.283000000000001</v>
      </c>
      <c r="M3609" s="8">
        <v>85.397999999999996</v>
      </c>
      <c r="N3609" s="8">
        <v>88.685000000000002</v>
      </c>
      <c r="O3609" s="8">
        <v>70.308999999999997</v>
      </c>
      <c r="P3609" s="8">
        <v>56.591000000000001</v>
      </c>
      <c r="Q3609" s="8">
        <v>56.034999999999997</v>
      </c>
      <c r="R3609" s="8">
        <v>53.854999999999997</v>
      </c>
      <c r="S3609" s="8">
        <v>49.5</v>
      </c>
      <c r="T3609" s="8">
        <v>37.462000000000003</v>
      </c>
      <c r="U3609" s="8">
        <v>22.306000000000001</v>
      </c>
      <c r="V3609" s="8">
        <v>25.076000000000001</v>
      </c>
      <c r="W3609" s="8">
        <v>18.341000000000001</v>
      </c>
      <c r="X3609" s="8">
        <v>11.019</v>
      </c>
      <c r="Y3609" s="8">
        <v>5.5510000000000002</v>
      </c>
      <c r="Z3609" s="8">
        <v>2.0539999999999998</v>
      </c>
      <c r="AA3609" s="8">
        <v>0.53700000000000003</v>
      </c>
      <c r="AB3609" s="8">
        <v>8.3000000000000004E-2</v>
      </c>
      <c r="AC3609" s="8">
        <v>6.0000000000000001E-3</v>
      </c>
    </row>
    <row r="3610" spans="1:29" ht="11.65" hidden="1" x14ac:dyDescent="0.35">
      <c r="A3610" s="12">
        <v>3593</v>
      </c>
      <c r="B3610" s="10" t="s">
        <v>1015</v>
      </c>
      <c r="C3610" s="18" t="s">
        <v>1264</v>
      </c>
      <c r="D3610" s="9"/>
      <c r="E3610" s="9">
        <v>807</v>
      </c>
      <c r="F3610" s="10" t="s">
        <v>1066</v>
      </c>
      <c r="G3610" s="9">
        <v>925</v>
      </c>
      <c r="H3610" s="9">
        <v>1985</v>
      </c>
      <c r="I3610" s="8">
        <v>91.822999999999993</v>
      </c>
      <c r="J3610" s="8">
        <v>87.608000000000004</v>
      </c>
      <c r="K3610" s="8">
        <v>87.144999999999996</v>
      </c>
      <c r="L3610" s="8">
        <v>91.013999999999996</v>
      </c>
      <c r="M3610" s="8">
        <v>83.513999999999996</v>
      </c>
      <c r="N3610" s="8">
        <v>81.510999999999996</v>
      </c>
      <c r="O3610" s="8">
        <v>85.150999999999996</v>
      </c>
      <c r="P3610" s="8">
        <v>67.043000000000006</v>
      </c>
      <c r="Q3610" s="8">
        <v>54.201000000000001</v>
      </c>
      <c r="R3610" s="8">
        <v>54.319000000000003</v>
      </c>
      <c r="S3610" s="8">
        <v>51.781999999999996</v>
      </c>
      <c r="T3610" s="8">
        <v>47.064999999999998</v>
      </c>
      <c r="U3610" s="8">
        <v>35.304000000000002</v>
      </c>
      <c r="V3610" s="8">
        <v>19.940000000000001</v>
      </c>
      <c r="W3610" s="8">
        <v>20.286999999999999</v>
      </c>
      <c r="X3610" s="8">
        <v>13.516999999999999</v>
      </c>
      <c r="Y3610" s="8">
        <v>6.7510000000000003</v>
      </c>
      <c r="Z3610" s="8">
        <v>2.3980000000000001</v>
      </c>
      <c r="AA3610" s="8">
        <v>0.56399999999999995</v>
      </c>
      <c r="AB3610" s="8">
        <v>8.1000000000000003E-2</v>
      </c>
      <c r="AC3610" s="8">
        <v>6.0000000000000001E-3</v>
      </c>
    </row>
    <row r="3611" spans="1:29" ht="11.65" hidden="1" x14ac:dyDescent="0.35">
      <c r="A3611" s="12">
        <v>3594</v>
      </c>
      <c r="B3611" s="10" t="s">
        <v>1015</v>
      </c>
      <c r="C3611" s="18" t="s">
        <v>1264</v>
      </c>
      <c r="D3611" s="9"/>
      <c r="E3611" s="9">
        <v>807</v>
      </c>
      <c r="F3611" s="10" t="s">
        <v>1066</v>
      </c>
      <c r="G3611" s="9">
        <v>925</v>
      </c>
      <c r="H3611" s="9">
        <v>1990</v>
      </c>
      <c r="I3611" s="8">
        <v>84.631</v>
      </c>
      <c r="J3611" s="8">
        <v>87.058999999999997</v>
      </c>
      <c r="K3611" s="8">
        <v>83.411000000000001</v>
      </c>
      <c r="L3611" s="8">
        <v>81.897000000000006</v>
      </c>
      <c r="M3611" s="8">
        <v>84.662000000000006</v>
      </c>
      <c r="N3611" s="8">
        <v>78.186000000000007</v>
      </c>
      <c r="O3611" s="8">
        <v>76.638000000000005</v>
      </c>
      <c r="P3611" s="8">
        <v>79.465999999999994</v>
      </c>
      <c r="Q3611" s="8">
        <v>62.148000000000003</v>
      </c>
      <c r="R3611" s="8">
        <v>51.536000000000001</v>
      </c>
      <c r="S3611" s="8">
        <v>52.582999999999998</v>
      </c>
      <c r="T3611" s="8">
        <v>49.496000000000002</v>
      </c>
      <c r="U3611" s="8">
        <v>44.063000000000002</v>
      </c>
      <c r="V3611" s="8">
        <v>32.18</v>
      </c>
      <c r="W3611" s="8">
        <v>16.911999999999999</v>
      </c>
      <c r="X3611" s="8">
        <v>15.082000000000001</v>
      </c>
      <c r="Y3611" s="8">
        <v>8.3650000000000002</v>
      </c>
      <c r="Z3611" s="8">
        <v>3.03</v>
      </c>
      <c r="AA3611" s="8">
        <v>0.68600000000000005</v>
      </c>
      <c r="AB3611" s="8">
        <v>8.8999999999999996E-2</v>
      </c>
      <c r="AC3611" s="8">
        <v>6.0000000000000001E-3</v>
      </c>
    </row>
    <row r="3612" spans="1:29" ht="11.65" hidden="1" x14ac:dyDescent="0.35">
      <c r="A3612" s="12">
        <v>3595</v>
      </c>
      <c r="B3612" s="10" t="s">
        <v>1015</v>
      </c>
      <c r="C3612" s="18" t="s">
        <v>1264</v>
      </c>
      <c r="D3612" s="9"/>
      <c r="E3612" s="9">
        <v>807</v>
      </c>
      <c r="F3612" s="10" t="s">
        <v>1066</v>
      </c>
      <c r="G3612" s="9">
        <v>925</v>
      </c>
      <c r="H3612" s="9">
        <v>1995</v>
      </c>
      <c r="I3612" s="8">
        <v>77.22</v>
      </c>
      <c r="J3612" s="8">
        <v>81.757999999999996</v>
      </c>
      <c r="K3612" s="8">
        <v>83.685000000000002</v>
      </c>
      <c r="L3612" s="8">
        <v>79.695999999999998</v>
      </c>
      <c r="M3612" s="8">
        <v>75.128</v>
      </c>
      <c r="N3612" s="8">
        <v>75.462000000000003</v>
      </c>
      <c r="O3612" s="8">
        <v>73.807000000000002</v>
      </c>
      <c r="P3612" s="8">
        <v>72.39</v>
      </c>
      <c r="Q3612" s="8">
        <v>70.966999999999999</v>
      </c>
      <c r="R3612" s="8">
        <v>56.796999999999997</v>
      </c>
      <c r="S3612" s="8">
        <v>50.003</v>
      </c>
      <c r="T3612" s="8">
        <v>50.064</v>
      </c>
      <c r="U3612" s="8">
        <v>46.075000000000003</v>
      </c>
      <c r="V3612" s="8">
        <v>40.125</v>
      </c>
      <c r="W3612" s="8">
        <v>27.507999999999999</v>
      </c>
      <c r="X3612" s="8">
        <v>13.023</v>
      </c>
      <c r="Y3612" s="8">
        <v>9.5299999999999994</v>
      </c>
      <c r="Z3612" s="8">
        <v>3.75</v>
      </c>
      <c r="AA3612" s="8">
        <v>0.86299999999999999</v>
      </c>
      <c r="AB3612" s="8">
        <v>0.108</v>
      </c>
      <c r="AC3612" s="8">
        <v>7.0000000000000001E-3</v>
      </c>
    </row>
    <row r="3613" spans="1:29" ht="11.65" hidden="1" x14ac:dyDescent="0.35">
      <c r="A3613" s="12">
        <v>3596</v>
      </c>
      <c r="B3613" s="10" t="s">
        <v>1015</v>
      </c>
      <c r="C3613" s="18" t="s">
        <v>1264</v>
      </c>
      <c r="D3613" s="9"/>
      <c r="E3613" s="9">
        <v>807</v>
      </c>
      <c r="F3613" s="10" t="s">
        <v>1066</v>
      </c>
      <c r="G3613" s="9">
        <v>925</v>
      </c>
      <c r="H3613" s="9">
        <v>2000</v>
      </c>
      <c r="I3613" s="8">
        <v>66.588999999999999</v>
      </c>
      <c r="J3613" s="8">
        <v>77.043000000000006</v>
      </c>
      <c r="K3613" s="8">
        <v>81.647000000000006</v>
      </c>
      <c r="L3613" s="8">
        <v>83.412999999999997</v>
      </c>
      <c r="M3613" s="8">
        <v>79.159000000000006</v>
      </c>
      <c r="N3613" s="8">
        <v>74.495999999999995</v>
      </c>
      <c r="O3613" s="8">
        <v>74.878</v>
      </c>
      <c r="P3613" s="8">
        <v>73.238</v>
      </c>
      <c r="Q3613" s="8">
        <v>71.738</v>
      </c>
      <c r="R3613" s="8">
        <v>70.082999999999998</v>
      </c>
      <c r="S3613" s="8">
        <v>55.658999999999999</v>
      </c>
      <c r="T3613" s="8">
        <v>48.433</v>
      </c>
      <c r="U3613" s="8">
        <v>47.658999999999999</v>
      </c>
      <c r="V3613" s="8">
        <v>42.427</v>
      </c>
      <c r="W3613" s="8">
        <v>34.533000000000001</v>
      </c>
      <c r="X3613" s="8">
        <v>20.805</v>
      </c>
      <c r="Y3613" s="8">
        <v>8.0459999999999994</v>
      </c>
      <c r="Z3613" s="8">
        <v>4.3959999999999999</v>
      </c>
      <c r="AA3613" s="8">
        <v>1.095</v>
      </c>
      <c r="AB3613" s="8">
        <v>0.13600000000000001</v>
      </c>
      <c r="AC3613" s="8">
        <v>8.0000000000000002E-3</v>
      </c>
    </row>
    <row r="3614" spans="1:29" ht="11.65" hidden="1" x14ac:dyDescent="0.35">
      <c r="A3614" s="12">
        <v>3597</v>
      </c>
      <c r="B3614" s="10" t="s">
        <v>1015</v>
      </c>
      <c r="C3614" s="18" t="s">
        <v>1264</v>
      </c>
      <c r="D3614" s="9"/>
      <c r="E3614" s="9">
        <v>807</v>
      </c>
      <c r="F3614" s="10" t="s">
        <v>1066</v>
      </c>
      <c r="G3614" s="9">
        <v>925</v>
      </c>
      <c r="H3614" s="9">
        <v>2005</v>
      </c>
      <c r="I3614" s="8">
        <v>60.430999999999997</v>
      </c>
      <c r="J3614" s="8">
        <v>65.941000000000003</v>
      </c>
      <c r="K3614" s="8">
        <v>76.713999999999999</v>
      </c>
      <c r="L3614" s="8">
        <v>80.834999999999994</v>
      </c>
      <c r="M3614" s="8">
        <v>81.84</v>
      </c>
      <c r="N3614" s="8">
        <v>77.460999999999999</v>
      </c>
      <c r="O3614" s="8">
        <v>73.287999999999997</v>
      </c>
      <c r="P3614" s="8">
        <v>74.099000000000004</v>
      </c>
      <c r="Q3614" s="8">
        <v>72.724999999999994</v>
      </c>
      <c r="R3614" s="8">
        <v>70.984999999999999</v>
      </c>
      <c r="S3614" s="8">
        <v>68.775000000000006</v>
      </c>
      <c r="T3614" s="8">
        <v>54.021000000000001</v>
      </c>
      <c r="U3614" s="8">
        <v>46.366</v>
      </c>
      <c r="V3614" s="8">
        <v>44.262999999999998</v>
      </c>
      <c r="W3614" s="8">
        <v>37.012999999999998</v>
      </c>
      <c r="X3614" s="8">
        <v>26.721</v>
      </c>
      <c r="Y3614" s="8">
        <v>13.43</v>
      </c>
      <c r="Z3614" s="8">
        <v>3.992</v>
      </c>
      <c r="AA3614" s="8">
        <v>1.407</v>
      </c>
      <c r="AB3614" s="8">
        <v>0.19400000000000001</v>
      </c>
      <c r="AC3614" s="8">
        <v>1.2E-2</v>
      </c>
    </row>
    <row r="3615" spans="1:29" ht="11.65" hidden="1" x14ac:dyDescent="0.35">
      <c r="A3615" s="12">
        <v>3598</v>
      </c>
      <c r="B3615" s="10" t="s">
        <v>1015</v>
      </c>
      <c r="C3615" s="18" t="s">
        <v>1264</v>
      </c>
      <c r="D3615" s="9"/>
      <c r="E3615" s="9">
        <v>807</v>
      </c>
      <c r="F3615" s="10" t="s">
        <v>1066</v>
      </c>
      <c r="G3615" s="9">
        <v>925</v>
      </c>
      <c r="H3615" s="9">
        <v>2010</v>
      </c>
      <c r="I3615" s="8">
        <v>54.496000000000002</v>
      </c>
      <c r="J3615" s="8">
        <v>60.103999999999999</v>
      </c>
      <c r="K3615" s="8">
        <v>65.727000000000004</v>
      </c>
      <c r="L3615" s="8">
        <v>76.418000000000006</v>
      </c>
      <c r="M3615" s="8">
        <v>80.334999999999994</v>
      </c>
      <c r="N3615" s="8">
        <v>80.989999999999995</v>
      </c>
      <c r="O3615" s="8">
        <v>76.665000000000006</v>
      </c>
      <c r="P3615" s="8">
        <v>72.745999999999995</v>
      </c>
      <c r="Q3615" s="8">
        <v>73.498000000000005</v>
      </c>
      <c r="R3615" s="8">
        <v>71.962000000000003</v>
      </c>
      <c r="S3615" s="8">
        <v>69.777000000000001</v>
      </c>
      <c r="T3615" s="8">
        <v>66.927999999999997</v>
      </c>
      <c r="U3615" s="8">
        <v>51.759</v>
      </c>
      <c r="V3615" s="8">
        <v>43.082000000000001</v>
      </c>
      <c r="W3615" s="8">
        <v>38.703000000000003</v>
      </c>
      <c r="X3615" s="8">
        <v>28.773</v>
      </c>
      <c r="Y3615" s="8">
        <v>16.686</v>
      </c>
      <c r="Z3615" s="8">
        <v>5.883</v>
      </c>
      <c r="AA3615" s="8">
        <v>1.0669999999999999</v>
      </c>
      <c r="AB3615" s="8">
        <v>0.19900000000000001</v>
      </c>
      <c r="AC3615" s="8">
        <v>1.4E-2</v>
      </c>
    </row>
    <row r="3616" spans="1:29" ht="11.65" hidden="1" x14ac:dyDescent="0.35">
      <c r="A3616" s="12">
        <v>3599</v>
      </c>
      <c r="B3616" s="10" t="s">
        <v>1015</v>
      </c>
      <c r="C3616" s="18" t="s">
        <v>1264</v>
      </c>
      <c r="D3616" s="9"/>
      <c r="E3616" s="9">
        <v>807</v>
      </c>
      <c r="F3616" s="10" t="s">
        <v>1066</v>
      </c>
      <c r="G3616" s="9">
        <v>925</v>
      </c>
      <c r="H3616" s="9">
        <v>2015</v>
      </c>
      <c r="I3616" s="8">
        <v>55.872</v>
      </c>
      <c r="J3616" s="8">
        <v>54.368000000000002</v>
      </c>
      <c r="K3616" s="8">
        <v>59.061999999999998</v>
      </c>
      <c r="L3616" s="8">
        <v>63.692999999999998</v>
      </c>
      <c r="M3616" s="8">
        <v>74.962999999999994</v>
      </c>
      <c r="N3616" s="8">
        <v>79.599000000000004</v>
      </c>
      <c r="O3616" s="8">
        <v>80.337999999999994</v>
      </c>
      <c r="P3616" s="8">
        <v>76.194000000000003</v>
      </c>
      <c r="Q3616" s="8">
        <v>72.341999999999999</v>
      </c>
      <c r="R3616" s="8">
        <v>72.947000000000003</v>
      </c>
      <c r="S3616" s="8">
        <v>71.081999999999994</v>
      </c>
      <c r="T3616" s="8">
        <v>68.248000000000005</v>
      </c>
      <c r="U3616" s="8">
        <v>64.478999999999999</v>
      </c>
      <c r="V3616" s="8">
        <v>48.576000000000001</v>
      </c>
      <c r="W3616" s="8">
        <v>38.335000000000001</v>
      </c>
      <c r="X3616" s="8">
        <v>30.934999999999999</v>
      </c>
      <c r="Y3616" s="8">
        <v>18.606999999999999</v>
      </c>
      <c r="Z3616" s="8">
        <v>7.5650000000000004</v>
      </c>
      <c r="AA3616" s="8">
        <v>1.58</v>
      </c>
      <c r="AB3616" s="8">
        <v>0.13800000000000001</v>
      </c>
      <c r="AC3616" s="8">
        <v>1.2E-2</v>
      </c>
    </row>
    <row r="3617" spans="1:29" ht="11.65" hidden="1" x14ac:dyDescent="0.35">
      <c r="A3617" s="12">
        <v>3600</v>
      </c>
      <c r="B3617" s="10" t="s">
        <v>1015</v>
      </c>
      <c r="C3617" s="18" t="s">
        <v>1264</v>
      </c>
      <c r="D3617" s="9"/>
      <c r="E3617" s="9">
        <v>807</v>
      </c>
      <c r="F3617" s="10" t="s">
        <v>1066</v>
      </c>
      <c r="G3617" s="9">
        <v>925</v>
      </c>
      <c r="H3617" s="9">
        <v>2020</v>
      </c>
      <c r="I3617" s="8">
        <v>54.218000000000004</v>
      </c>
      <c r="J3617" s="8">
        <v>55.713000000000001</v>
      </c>
      <c r="K3617" s="8">
        <v>54.268999999999998</v>
      </c>
      <c r="L3617" s="8">
        <v>58.835000000000001</v>
      </c>
      <c r="M3617" s="8">
        <v>63.238999999999997</v>
      </c>
      <c r="N3617" s="8">
        <v>74.385999999999996</v>
      </c>
      <c r="O3617" s="8">
        <v>79.064999999999998</v>
      </c>
      <c r="P3617" s="8">
        <v>79.846000000000004</v>
      </c>
      <c r="Q3617" s="8">
        <v>75.680000000000007</v>
      </c>
      <c r="R3617" s="8">
        <v>71.713999999999999</v>
      </c>
      <c r="S3617" s="8">
        <v>71.938000000000002</v>
      </c>
      <c r="T3617" s="8">
        <v>69.554000000000002</v>
      </c>
      <c r="U3617" s="8">
        <v>65.837000000000003</v>
      </c>
      <c r="V3617" s="8">
        <v>60.537999999999997</v>
      </c>
      <c r="W3617" s="8">
        <v>43.575000000000003</v>
      </c>
      <c r="X3617" s="8">
        <v>31.256</v>
      </c>
      <c r="Y3617" s="8">
        <v>20.548999999999999</v>
      </c>
      <c r="Z3617" s="8">
        <v>8.7189999999999994</v>
      </c>
      <c r="AA3617" s="8">
        <v>2.0990000000000002</v>
      </c>
      <c r="AB3617" s="8">
        <v>0.21099999999999999</v>
      </c>
      <c r="AC3617" s="8">
        <v>8.0000000000000002E-3</v>
      </c>
    </row>
    <row r="3618" spans="1:29" ht="11.65" hidden="1" x14ac:dyDescent="0.35">
      <c r="A3618" s="12">
        <v>3601</v>
      </c>
      <c r="B3618" s="10" t="s">
        <v>1015</v>
      </c>
      <c r="C3618" s="18" t="s">
        <v>1265</v>
      </c>
      <c r="D3618" s="9"/>
      <c r="E3618" s="9">
        <v>620</v>
      </c>
      <c r="F3618" s="10" t="s">
        <v>1066</v>
      </c>
      <c r="G3618" s="9">
        <v>925</v>
      </c>
      <c r="H3618" s="9">
        <v>1950</v>
      </c>
      <c r="I3618" s="8">
        <v>438.52800000000002</v>
      </c>
      <c r="J3618" s="8">
        <v>388.14400000000001</v>
      </c>
      <c r="K3618" s="8">
        <v>395.60500000000002</v>
      </c>
      <c r="L3618" s="8">
        <v>406.53800000000001</v>
      </c>
      <c r="M3618" s="8">
        <v>379.83600000000001</v>
      </c>
      <c r="N3618" s="8">
        <v>345.82299999999998</v>
      </c>
      <c r="O3618" s="8">
        <v>274.10000000000002</v>
      </c>
      <c r="P3618" s="8">
        <v>299.16699999999997</v>
      </c>
      <c r="Q3618" s="8">
        <v>270.84500000000003</v>
      </c>
      <c r="R3618" s="8">
        <v>252.27500000000001</v>
      </c>
      <c r="S3618" s="8">
        <v>207.21700000000001</v>
      </c>
      <c r="T3618" s="8">
        <v>189.94200000000001</v>
      </c>
      <c r="U3618" s="8">
        <v>162.96199999999999</v>
      </c>
      <c r="V3618" s="8">
        <v>136.83500000000001</v>
      </c>
      <c r="W3618" s="8">
        <v>96.234999999999999</v>
      </c>
      <c r="X3618" s="8">
        <v>66.138000000000005</v>
      </c>
      <c r="Y3618" s="8">
        <v>37.966000000000001</v>
      </c>
      <c r="Z3618" s="8">
        <v>16.048999999999999</v>
      </c>
      <c r="AA3618" s="8">
        <v>5.0389999999999997</v>
      </c>
      <c r="AB3618" s="8">
        <v>1.232</v>
      </c>
      <c r="AC3618" s="8">
        <v>0.20399999999999999</v>
      </c>
    </row>
    <row r="3619" spans="1:29" ht="11.65" hidden="1" x14ac:dyDescent="0.35">
      <c r="A3619" s="12">
        <v>3602</v>
      </c>
      <c r="B3619" s="10" t="s">
        <v>1015</v>
      </c>
      <c r="C3619" s="18" t="s">
        <v>1265</v>
      </c>
      <c r="D3619" s="9"/>
      <c r="E3619" s="9">
        <v>620</v>
      </c>
      <c r="F3619" s="10" t="s">
        <v>1066</v>
      </c>
      <c r="G3619" s="9">
        <v>925</v>
      </c>
      <c r="H3619" s="9">
        <v>1955</v>
      </c>
      <c r="I3619" s="8">
        <v>434.54899999999998</v>
      </c>
      <c r="J3619" s="8">
        <v>422.17</v>
      </c>
      <c r="K3619" s="8">
        <v>382.78800000000001</v>
      </c>
      <c r="L3619" s="8">
        <v>381.536</v>
      </c>
      <c r="M3619" s="8">
        <v>376.55399999999997</v>
      </c>
      <c r="N3619" s="8">
        <v>353.12</v>
      </c>
      <c r="O3619" s="8">
        <v>324.60199999999998</v>
      </c>
      <c r="P3619" s="8">
        <v>263.17500000000001</v>
      </c>
      <c r="Q3619" s="8">
        <v>285.17500000000001</v>
      </c>
      <c r="R3619" s="8">
        <v>261.37599999999998</v>
      </c>
      <c r="S3619" s="8">
        <v>240.613</v>
      </c>
      <c r="T3619" s="8">
        <v>195.01499999999999</v>
      </c>
      <c r="U3619" s="8">
        <v>174.202</v>
      </c>
      <c r="V3619" s="8">
        <v>143.76400000000001</v>
      </c>
      <c r="W3619" s="8">
        <v>112.96899999999999</v>
      </c>
      <c r="X3619" s="8">
        <v>71.346999999999994</v>
      </c>
      <c r="Y3619" s="8">
        <v>45.494999999999997</v>
      </c>
      <c r="Z3619" s="8">
        <v>17.148</v>
      </c>
      <c r="AA3619" s="8">
        <v>4.9139999999999997</v>
      </c>
      <c r="AB3619" s="8">
        <v>1.026</v>
      </c>
      <c r="AC3619" s="8">
        <v>0.16</v>
      </c>
    </row>
    <row r="3620" spans="1:29" ht="11.65" hidden="1" x14ac:dyDescent="0.35">
      <c r="A3620" s="12">
        <v>3603</v>
      </c>
      <c r="B3620" s="10" t="s">
        <v>1015</v>
      </c>
      <c r="C3620" s="18" t="s">
        <v>1265</v>
      </c>
      <c r="D3620" s="9"/>
      <c r="E3620" s="9">
        <v>620</v>
      </c>
      <c r="F3620" s="10" t="s">
        <v>1066</v>
      </c>
      <c r="G3620" s="9">
        <v>925</v>
      </c>
      <c r="H3620" s="9">
        <v>1960</v>
      </c>
      <c r="I3620" s="8">
        <v>440.71800000000002</v>
      </c>
      <c r="J3620" s="8">
        <v>415.83</v>
      </c>
      <c r="K3620" s="8">
        <v>416.98099999999999</v>
      </c>
      <c r="L3620" s="8">
        <v>376.91699999999997</v>
      </c>
      <c r="M3620" s="8">
        <v>367.84699999999998</v>
      </c>
      <c r="N3620" s="8">
        <v>348.202</v>
      </c>
      <c r="O3620" s="8">
        <v>328.69200000000001</v>
      </c>
      <c r="P3620" s="8">
        <v>306.02499999999998</v>
      </c>
      <c r="Q3620" s="8">
        <v>254.44399999999999</v>
      </c>
      <c r="R3620" s="8">
        <v>271.7</v>
      </c>
      <c r="S3620" s="8">
        <v>251.29300000000001</v>
      </c>
      <c r="T3620" s="8">
        <v>227.59399999999999</v>
      </c>
      <c r="U3620" s="8">
        <v>180.72499999999999</v>
      </c>
      <c r="V3620" s="8">
        <v>154</v>
      </c>
      <c r="W3620" s="8">
        <v>118.89700000000001</v>
      </c>
      <c r="X3620" s="8">
        <v>81.459999999999994</v>
      </c>
      <c r="Y3620" s="8">
        <v>50.112000000000002</v>
      </c>
      <c r="Z3620" s="8">
        <v>20.167999999999999</v>
      </c>
      <c r="AA3620" s="8">
        <v>4.9290000000000003</v>
      </c>
      <c r="AB3620" s="8">
        <v>0.81399999999999995</v>
      </c>
      <c r="AC3620" s="8">
        <v>9.6000000000000002E-2</v>
      </c>
    </row>
    <row r="3621" spans="1:29" ht="11.65" hidden="1" x14ac:dyDescent="0.35">
      <c r="A3621" s="12">
        <v>3604</v>
      </c>
      <c r="B3621" s="10" t="s">
        <v>1015</v>
      </c>
      <c r="C3621" s="18" t="s">
        <v>1265</v>
      </c>
      <c r="D3621" s="9"/>
      <c r="E3621" s="9">
        <v>620</v>
      </c>
      <c r="F3621" s="10" t="s">
        <v>1066</v>
      </c>
      <c r="G3621" s="9">
        <v>925</v>
      </c>
      <c r="H3621" s="9">
        <v>1965</v>
      </c>
      <c r="I3621" s="8">
        <v>460.53300000000002</v>
      </c>
      <c r="J3621" s="8">
        <v>413.738</v>
      </c>
      <c r="K3621" s="8">
        <v>395.947</v>
      </c>
      <c r="L3621" s="8">
        <v>375.62099999999998</v>
      </c>
      <c r="M3621" s="8">
        <v>330.94799999999998</v>
      </c>
      <c r="N3621" s="8">
        <v>328.82600000000002</v>
      </c>
      <c r="O3621" s="8">
        <v>321.45699999999999</v>
      </c>
      <c r="P3621" s="8">
        <v>307.65699999999998</v>
      </c>
      <c r="Q3621" s="8">
        <v>289.08100000000002</v>
      </c>
      <c r="R3621" s="8">
        <v>242.87899999999999</v>
      </c>
      <c r="S3621" s="8">
        <v>256.80900000000003</v>
      </c>
      <c r="T3621" s="8">
        <v>237.876</v>
      </c>
      <c r="U3621" s="8">
        <v>210.88499999999999</v>
      </c>
      <c r="V3621" s="8">
        <v>160.87200000000001</v>
      </c>
      <c r="W3621" s="8">
        <v>128.102</v>
      </c>
      <c r="X3621" s="8">
        <v>88.378</v>
      </c>
      <c r="Y3621" s="8">
        <v>56.222999999999999</v>
      </c>
      <c r="Z3621" s="8">
        <v>22.885000000000002</v>
      </c>
      <c r="AA3621" s="8">
        <v>6.1150000000000002</v>
      </c>
      <c r="AB3621" s="8">
        <v>0.88800000000000001</v>
      </c>
      <c r="AC3621" s="8">
        <v>8.1000000000000003E-2</v>
      </c>
    </row>
    <row r="3622" spans="1:29" ht="11.65" hidden="1" x14ac:dyDescent="0.35">
      <c r="A3622" s="12">
        <v>3605</v>
      </c>
      <c r="B3622" s="10" t="s">
        <v>1015</v>
      </c>
      <c r="C3622" s="18" t="s">
        <v>1265</v>
      </c>
      <c r="D3622" s="9"/>
      <c r="E3622" s="9">
        <v>620</v>
      </c>
      <c r="F3622" s="10" t="s">
        <v>1066</v>
      </c>
      <c r="G3622" s="9">
        <v>925</v>
      </c>
      <c r="H3622" s="9">
        <v>1970</v>
      </c>
      <c r="I3622" s="8">
        <v>404.334</v>
      </c>
      <c r="J3622" s="8">
        <v>419.53100000000001</v>
      </c>
      <c r="K3622" s="8">
        <v>397.64</v>
      </c>
      <c r="L3622" s="8">
        <v>375.084</v>
      </c>
      <c r="M3622" s="8">
        <v>330.44600000000003</v>
      </c>
      <c r="N3622" s="8">
        <v>281.291</v>
      </c>
      <c r="O3622" s="8">
        <v>287.60899999999998</v>
      </c>
      <c r="P3622" s="8">
        <v>295.23899999999998</v>
      </c>
      <c r="Q3622" s="8">
        <v>286.69400000000002</v>
      </c>
      <c r="R3622" s="8">
        <v>271.75</v>
      </c>
      <c r="S3622" s="8">
        <v>229.50700000000001</v>
      </c>
      <c r="T3622" s="8">
        <v>239.77099999999999</v>
      </c>
      <c r="U3622" s="8">
        <v>220.55</v>
      </c>
      <c r="V3622" s="8">
        <v>188.09100000000001</v>
      </c>
      <c r="W3622" s="8">
        <v>132.40299999999999</v>
      </c>
      <c r="X3622" s="8">
        <v>91.537000000000006</v>
      </c>
      <c r="Y3622" s="8">
        <v>62.945</v>
      </c>
      <c r="Z3622" s="8">
        <v>25.667000000000002</v>
      </c>
      <c r="AA3622" s="8">
        <v>6.8010000000000002</v>
      </c>
      <c r="AB3622" s="8">
        <v>1.0589999999999999</v>
      </c>
      <c r="AC3622" s="8">
        <v>8.2000000000000003E-2</v>
      </c>
    </row>
    <row r="3623" spans="1:29" ht="11.65" hidden="1" x14ac:dyDescent="0.35">
      <c r="A3623" s="12">
        <v>3606</v>
      </c>
      <c r="B3623" s="10" t="s">
        <v>1015</v>
      </c>
      <c r="C3623" s="18" t="s">
        <v>1265</v>
      </c>
      <c r="D3623" s="9"/>
      <c r="E3623" s="9">
        <v>620</v>
      </c>
      <c r="F3623" s="10" t="s">
        <v>1066</v>
      </c>
      <c r="G3623" s="9">
        <v>925</v>
      </c>
      <c r="H3623" s="9">
        <v>1975</v>
      </c>
      <c r="I3623" s="8">
        <v>411.34800000000001</v>
      </c>
      <c r="J3623" s="8">
        <v>404.69299999999998</v>
      </c>
      <c r="K3623" s="8">
        <v>418.59699999999998</v>
      </c>
      <c r="L3623" s="8">
        <v>386.25700000000001</v>
      </c>
      <c r="M3623" s="8">
        <v>357.52100000000002</v>
      </c>
      <c r="N3623" s="8">
        <v>323.91399999999999</v>
      </c>
      <c r="O3623" s="8">
        <v>283.86799999999999</v>
      </c>
      <c r="P3623" s="8">
        <v>292.82400000000001</v>
      </c>
      <c r="Q3623" s="8">
        <v>299.15800000000002</v>
      </c>
      <c r="R3623" s="8">
        <v>291.32600000000002</v>
      </c>
      <c r="S3623" s="8">
        <v>274.34500000000003</v>
      </c>
      <c r="T3623" s="8">
        <v>229.00200000000001</v>
      </c>
      <c r="U3623" s="8">
        <v>235.136</v>
      </c>
      <c r="V3623" s="8">
        <v>207.458</v>
      </c>
      <c r="W3623" s="8">
        <v>165.11099999999999</v>
      </c>
      <c r="X3623" s="8">
        <v>103.47</v>
      </c>
      <c r="Y3623" s="8">
        <v>69.537000000000006</v>
      </c>
      <c r="Z3623" s="8">
        <v>29.308</v>
      </c>
      <c r="AA3623" s="8">
        <v>7.7359999999999998</v>
      </c>
      <c r="AB3623" s="8">
        <v>1.181</v>
      </c>
      <c r="AC3623" s="8">
        <v>9.1999999999999998E-2</v>
      </c>
    </row>
    <row r="3624" spans="1:29" ht="11.65" hidden="1" x14ac:dyDescent="0.35">
      <c r="A3624" s="12">
        <v>3607</v>
      </c>
      <c r="B3624" s="10" t="s">
        <v>1015</v>
      </c>
      <c r="C3624" s="18" t="s">
        <v>1265</v>
      </c>
      <c r="D3624" s="9"/>
      <c r="E3624" s="9">
        <v>620</v>
      </c>
      <c r="F3624" s="10" t="s">
        <v>1066</v>
      </c>
      <c r="G3624" s="9">
        <v>925</v>
      </c>
      <c r="H3624" s="9">
        <v>1980</v>
      </c>
      <c r="I3624" s="8">
        <v>393.64400000000001</v>
      </c>
      <c r="J3624" s="8">
        <v>420.286</v>
      </c>
      <c r="K3624" s="8">
        <v>418.84199999999998</v>
      </c>
      <c r="L3624" s="8">
        <v>420.85899999999998</v>
      </c>
      <c r="M3624" s="8">
        <v>375.24799999999999</v>
      </c>
      <c r="N3624" s="8">
        <v>340.221</v>
      </c>
      <c r="O3624" s="8">
        <v>322</v>
      </c>
      <c r="P3624" s="8">
        <v>291.50299999999999</v>
      </c>
      <c r="Q3624" s="8">
        <v>302.26900000000001</v>
      </c>
      <c r="R3624" s="8">
        <v>305.245</v>
      </c>
      <c r="S3624" s="8">
        <v>297.291</v>
      </c>
      <c r="T3624" s="8">
        <v>276.97199999999998</v>
      </c>
      <c r="U3624" s="8">
        <v>227.553</v>
      </c>
      <c r="V3624" s="8">
        <v>226.733</v>
      </c>
      <c r="W3624" s="8">
        <v>187.28399999999999</v>
      </c>
      <c r="X3624" s="8">
        <v>133.143</v>
      </c>
      <c r="Y3624" s="8">
        <v>78.646000000000001</v>
      </c>
      <c r="Z3624" s="8">
        <v>33.972999999999999</v>
      </c>
      <c r="AA3624" s="8">
        <v>9.31</v>
      </c>
      <c r="AB3624" s="8">
        <v>1.4079999999999999</v>
      </c>
      <c r="AC3624" s="8">
        <v>0.107</v>
      </c>
    </row>
    <row r="3625" spans="1:29" ht="11.65" hidden="1" x14ac:dyDescent="0.35">
      <c r="A3625" s="12">
        <v>3608</v>
      </c>
      <c r="B3625" s="10" t="s">
        <v>1015</v>
      </c>
      <c r="C3625" s="18" t="s">
        <v>1265</v>
      </c>
      <c r="D3625" s="9"/>
      <c r="E3625" s="9">
        <v>620</v>
      </c>
      <c r="F3625" s="10" t="s">
        <v>1066</v>
      </c>
      <c r="G3625" s="9">
        <v>925</v>
      </c>
      <c r="H3625" s="9">
        <v>1985</v>
      </c>
      <c r="I3625" s="8">
        <v>341.23700000000002</v>
      </c>
      <c r="J3625" s="8">
        <v>390.53699999999998</v>
      </c>
      <c r="K3625" s="8">
        <v>417.96499999999997</v>
      </c>
      <c r="L3625" s="8">
        <v>401.23700000000002</v>
      </c>
      <c r="M3625" s="8">
        <v>396.74299999999999</v>
      </c>
      <c r="N3625" s="8">
        <v>363.255</v>
      </c>
      <c r="O3625" s="8">
        <v>336.95299999999997</v>
      </c>
      <c r="P3625" s="8">
        <v>324.24599999999998</v>
      </c>
      <c r="Q3625" s="8">
        <v>292.68799999999999</v>
      </c>
      <c r="R3625" s="8">
        <v>301.14800000000002</v>
      </c>
      <c r="S3625" s="8">
        <v>302.17</v>
      </c>
      <c r="T3625" s="8">
        <v>293.25700000000001</v>
      </c>
      <c r="U3625" s="8">
        <v>267.59699999999998</v>
      </c>
      <c r="V3625" s="8">
        <v>213.001</v>
      </c>
      <c r="W3625" s="8">
        <v>200.899</v>
      </c>
      <c r="X3625" s="8">
        <v>150.85900000000001</v>
      </c>
      <c r="Y3625" s="8">
        <v>98.656000000000006</v>
      </c>
      <c r="Z3625" s="8">
        <v>40.869</v>
      </c>
      <c r="AA3625" s="8">
        <v>11.976000000000001</v>
      </c>
      <c r="AB3625" s="8">
        <v>1.946</v>
      </c>
      <c r="AC3625" s="8">
        <v>0.15</v>
      </c>
    </row>
    <row r="3626" spans="1:29" ht="11.65" hidden="1" x14ac:dyDescent="0.35">
      <c r="A3626" s="12">
        <v>3609</v>
      </c>
      <c r="B3626" s="10" t="s">
        <v>1015</v>
      </c>
      <c r="C3626" s="18" t="s">
        <v>1265</v>
      </c>
      <c r="D3626" s="9"/>
      <c r="E3626" s="9">
        <v>620</v>
      </c>
      <c r="F3626" s="10" t="s">
        <v>1066</v>
      </c>
      <c r="G3626" s="9">
        <v>925</v>
      </c>
      <c r="H3626" s="9">
        <v>1990</v>
      </c>
      <c r="I3626" s="8">
        <v>275.39699999999999</v>
      </c>
      <c r="J3626" s="8">
        <v>326.81900000000002</v>
      </c>
      <c r="K3626" s="8">
        <v>389.87700000000001</v>
      </c>
      <c r="L3626" s="8">
        <v>413.00599999999997</v>
      </c>
      <c r="M3626" s="8">
        <v>378.55200000000002</v>
      </c>
      <c r="N3626" s="8">
        <v>368.71499999999997</v>
      </c>
      <c r="O3626" s="8">
        <v>351.11900000000003</v>
      </c>
      <c r="P3626" s="8">
        <v>335.983</v>
      </c>
      <c r="Q3626" s="8">
        <v>326.37700000000001</v>
      </c>
      <c r="R3626" s="8">
        <v>292.21899999999999</v>
      </c>
      <c r="S3626" s="8">
        <v>297.10300000000001</v>
      </c>
      <c r="T3626" s="8">
        <v>296.53300000000002</v>
      </c>
      <c r="U3626" s="8">
        <v>285.15600000000001</v>
      </c>
      <c r="V3626" s="8">
        <v>252.68899999999999</v>
      </c>
      <c r="W3626" s="8">
        <v>190.696</v>
      </c>
      <c r="X3626" s="8">
        <v>163.90899999999999</v>
      </c>
      <c r="Y3626" s="8">
        <v>115.621</v>
      </c>
      <c r="Z3626" s="8">
        <v>54.273000000000003</v>
      </c>
      <c r="AA3626" s="8">
        <v>15.358000000000001</v>
      </c>
      <c r="AB3626" s="8">
        <v>2.718</v>
      </c>
      <c r="AC3626" s="8">
        <v>0.22500000000000001</v>
      </c>
    </row>
    <row r="3627" spans="1:29" ht="11.65" hidden="1" x14ac:dyDescent="0.35">
      <c r="A3627" s="12">
        <v>3610</v>
      </c>
      <c r="B3627" s="10" t="s">
        <v>1015</v>
      </c>
      <c r="C3627" s="18" t="s">
        <v>1265</v>
      </c>
      <c r="D3627" s="9"/>
      <c r="E3627" s="9">
        <v>620</v>
      </c>
      <c r="F3627" s="10" t="s">
        <v>1066</v>
      </c>
      <c r="G3627" s="9">
        <v>925</v>
      </c>
      <c r="H3627" s="9">
        <v>1995</v>
      </c>
      <c r="I3627" s="8">
        <v>264.33</v>
      </c>
      <c r="J3627" s="8">
        <v>276.22500000000002</v>
      </c>
      <c r="K3627" s="8">
        <v>333.88299999999998</v>
      </c>
      <c r="L3627" s="8">
        <v>391.07400000000001</v>
      </c>
      <c r="M3627" s="8">
        <v>407.59800000000001</v>
      </c>
      <c r="N3627" s="8">
        <v>377.99799999999999</v>
      </c>
      <c r="O3627" s="8">
        <v>375.435</v>
      </c>
      <c r="P3627" s="8">
        <v>356.69200000000001</v>
      </c>
      <c r="Q3627" s="8">
        <v>341.77300000000002</v>
      </c>
      <c r="R3627" s="8">
        <v>329.49200000000002</v>
      </c>
      <c r="S3627" s="8">
        <v>294.81900000000002</v>
      </c>
      <c r="T3627" s="8">
        <v>297.779</v>
      </c>
      <c r="U3627" s="8">
        <v>294.33199999999999</v>
      </c>
      <c r="V3627" s="8">
        <v>272.88900000000001</v>
      </c>
      <c r="W3627" s="8">
        <v>232.03299999999999</v>
      </c>
      <c r="X3627" s="8">
        <v>162.24199999999999</v>
      </c>
      <c r="Y3627" s="8">
        <v>131.505</v>
      </c>
      <c r="Z3627" s="8">
        <v>65.432000000000002</v>
      </c>
      <c r="AA3627" s="8">
        <v>20.984999999999999</v>
      </c>
      <c r="AB3627" s="8">
        <v>3.5179999999999998</v>
      </c>
      <c r="AC3627" s="8">
        <v>0.313</v>
      </c>
    </row>
    <row r="3628" spans="1:29" ht="11.65" hidden="1" x14ac:dyDescent="0.35">
      <c r="A3628" s="12">
        <v>3611</v>
      </c>
      <c r="B3628" s="10" t="s">
        <v>1015</v>
      </c>
      <c r="C3628" s="18" t="s">
        <v>1265</v>
      </c>
      <c r="D3628" s="9"/>
      <c r="E3628" s="9">
        <v>620</v>
      </c>
      <c r="F3628" s="10" t="s">
        <v>1066</v>
      </c>
      <c r="G3628" s="9">
        <v>925</v>
      </c>
      <c r="H3628" s="9">
        <v>2000</v>
      </c>
      <c r="I3628" s="8">
        <v>259.34100000000001</v>
      </c>
      <c r="J3628" s="8">
        <v>260.80799999999999</v>
      </c>
      <c r="K3628" s="8">
        <v>285.25200000000001</v>
      </c>
      <c r="L3628" s="8">
        <v>344.62099999999998</v>
      </c>
      <c r="M3628" s="8">
        <v>392.286</v>
      </c>
      <c r="N3628" s="8">
        <v>402.21</v>
      </c>
      <c r="O3628" s="8">
        <v>381.78399999999999</v>
      </c>
      <c r="P3628" s="8">
        <v>387.99599999999998</v>
      </c>
      <c r="Q3628" s="8">
        <v>364.78300000000002</v>
      </c>
      <c r="R3628" s="8">
        <v>348.06</v>
      </c>
      <c r="S3628" s="8">
        <v>331.88400000000001</v>
      </c>
      <c r="T3628" s="8">
        <v>296.88</v>
      </c>
      <c r="U3628" s="8">
        <v>297.34699999999998</v>
      </c>
      <c r="V3628" s="8">
        <v>289.423</v>
      </c>
      <c r="W3628" s="8">
        <v>253.452</v>
      </c>
      <c r="X3628" s="8">
        <v>200.53800000000001</v>
      </c>
      <c r="Y3628" s="8">
        <v>125.283</v>
      </c>
      <c r="Z3628" s="8">
        <v>77.724999999999994</v>
      </c>
      <c r="AA3628" s="8">
        <v>26.329000000000001</v>
      </c>
      <c r="AB3628" s="8">
        <v>4.976</v>
      </c>
      <c r="AC3628" s="8">
        <v>0.41499999999999998</v>
      </c>
    </row>
    <row r="3629" spans="1:29" ht="11.65" hidden="1" x14ac:dyDescent="0.35">
      <c r="A3629" s="12">
        <v>3612</v>
      </c>
      <c r="B3629" s="10" t="s">
        <v>1015</v>
      </c>
      <c r="C3629" s="18" t="s">
        <v>1265</v>
      </c>
      <c r="D3629" s="9"/>
      <c r="E3629" s="9">
        <v>620</v>
      </c>
      <c r="F3629" s="10" t="s">
        <v>1066</v>
      </c>
      <c r="G3629" s="9">
        <v>925</v>
      </c>
      <c r="H3629" s="9">
        <v>2005</v>
      </c>
      <c r="I3629" s="8">
        <v>266.8</v>
      </c>
      <c r="J3629" s="8">
        <v>258.81299999999999</v>
      </c>
      <c r="K3629" s="8">
        <v>264.42500000000001</v>
      </c>
      <c r="L3629" s="8">
        <v>290.11399999999998</v>
      </c>
      <c r="M3629" s="8">
        <v>350.52100000000002</v>
      </c>
      <c r="N3629" s="8">
        <v>400.09</v>
      </c>
      <c r="O3629" s="8">
        <v>412.197</v>
      </c>
      <c r="P3629" s="8">
        <v>391.06</v>
      </c>
      <c r="Q3629" s="8">
        <v>396.154</v>
      </c>
      <c r="R3629" s="8">
        <v>368.39600000000002</v>
      </c>
      <c r="S3629" s="8">
        <v>348.91500000000002</v>
      </c>
      <c r="T3629" s="8">
        <v>330.70100000000002</v>
      </c>
      <c r="U3629" s="8">
        <v>295.16500000000002</v>
      </c>
      <c r="V3629" s="8">
        <v>288.90800000000002</v>
      </c>
      <c r="W3629" s="8">
        <v>271.78899999999999</v>
      </c>
      <c r="X3629" s="8">
        <v>221.524</v>
      </c>
      <c r="Y3629" s="8">
        <v>154.30199999999999</v>
      </c>
      <c r="Z3629" s="8">
        <v>77.578000000000003</v>
      </c>
      <c r="AA3629" s="8">
        <v>33.673999999999999</v>
      </c>
      <c r="AB3629" s="8">
        <v>6.7539999999999996</v>
      </c>
      <c r="AC3629" s="8">
        <v>0.64800000000000002</v>
      </c>
    </row>
    <row r="3630" spans="1:29" ht="11.65" hidden="1" x14ac:dyDescent="0.35">
      <c r="A3630" s="12">
        <v>3613</v>
      </c>
      <c r="B3630" s="10" t="s">
        <v>1015</v>
      </c>
      <c r="C3630" s="18" t="s">
        <v>1265</v>
      </c>
      <c r="D3630" s="9"/>
      <c r="E3630" s="9">
        <v>620</v>
      </c>
      <c r="F3630" s="10" t="s">
        <v>1066</v>
      </c>
      <c r="G3630" s="9">
        <v>925</v>
      </c>
      <c r="H3630" s="9">
        <v>2010</v>
      </c>
      <c r="I3630" s="8">
        <v>240.91399999999999</v>
      </c>
      <c r="J3630" s="8">
        <v>258.82900000000001</v>
      </c>
      <c r="K3630" s="8">
        <v>275.30900000000003</v>
      </c>
      <c r="L3630" s="8">
        <v>278.31200000000001</v>
      </c>
      <c r="M3630" s="8">
        <v>293.83999999999997</v>
      </c>
      <c r="N3630" s="8">
        <v>342.12400000000002</v>
      </c>
      <c r="O3630" s="8">
        <v>401.06799999999998</v>
      </c>
      <c r="P3630" s="8">
        <v>426.18900000000002</v>
      </c>
      <c r="Q3630" s="8">
        <v>396.12799999999999</v>
      </c>
      <c r="R3630" s="8">
        <v>399.71899999999999</v>
      </c>
      <c r="S3630" s="8">
        <v>371.54700000000003</v>
      </c>
      <c r="T3630" s="8">
        <v>353.19099999999997</v>
      </c>
      <c r="U3630" s="8">
        <v>337.90899999999999</v>
      </c>
      <c r="V3630" s="8">
        <v>296.49900000000002</v>
      </c>
      <c r="W3630" s="8">
        <v>277.28199999999998</v>
      </c>
      <c r="X3630" s="8">
        <v>251.67099999999999</v>
      </c>
      <c r="Y3630" s="8">
        <v>178.18799999999999</v>
      </c>
      <c r="Z3630" s="8">
        <v>99.894999999999996</v>
      </c>
      <c r="AA3630" s="8">
        <v>36.046999999999997</v>
      </c>
      <c r="AB3630" s="8">
        <v>9.5350000000000001</v>
      </c>
      <c r="AC3630" s="8">
        <v>0.98299999999999998</v>
      </c>
    </row>
    <row r="3631" spans="1:29" ht="11.65" hidden="1" x14ac:dyDescent="0.35">
      <c r="A3631" s="12">
        <v>3614</v>
      </c>
      <c r="B3631" s="10" t="s">
        <v>1015</v>
      </c>
      <c r="C3631" s="18" t="s">
        <v>1265</v>
      </c>
      <c r="D3631" s="9"/>
      <c r="E3631" s="9">
        <v>620</v>
      </c>
      <c r="F3631" s="10" t="s">
        <v>1066</v>
      </c>
      <c r="G3631" s="9">
        <v>925</v>
      </c>
      <c r="H3631" s="9">
        <v>2015</v>
      </c>
      <c r="I3631" s="8">
        <v>214.14400000000001</v>
      </c>
      <c r="J3631" s="8">
        <v>240.15799999999999</v>
      </c>
      <c r="K3631" s="8">
        <v>258.21699999999998</v>
      </c>
      <c r="L3631" s="8">
        <v>272.529</v>
      </c>
      <c r="M3631" s="8">
        <v>273.47199999999998</v>
      </c>
      <c r="N3631" s="8">
        <v>289.26900000000001</v>
      </c>
      <c r="O3631" s="8">
        <v>338.505</v>
      </c>
      <c r="P3631" s="8">
        <v>398.06900000000002</v>
      </c>
      <c r="Q3631" s="8">
        <v>423.22399999999999</v>
      </c>
      <c r="R3631" s="8">
        <v>392.78100000000001</v>
      </c>
      <c r="S3631" s="8">
        <v>395.44400000000002</v>
      </c>
      <c r="T3631" s="8">
        <v>366.20499999999998</v>
      </c>
      <c r="U3631" s="8">
        <v>346.20600000000002</v>
      </c>
      <c r="V3631" s="8">
        <v>327.863</v>
      </c>
      <c r="W3631" s="8">
        <v>281.988</v>
      </c>
      <c r="X3631" s="8">
        <v>252.608</v>
      </c>
      <c r="Y3631" s="8">
        <v>208.60900000000001</v>
      </c>
      <c r="Z3631" s="8">
        <v>120.337</v>
      </c>
      <c r="AA3631" s="8">
        <v>47.2</v>
      </c>
      <c r="AB3631" s="8">
        <v>10.244</v>
      </c>
      <c r="AC3631" s="8">
        <v>1.306</v>
      </c>
    </row>
    <row r="3632" spans="1:29" ht="11.65" hidden="1" x14ac:dyDescent="0.35">
      <c r="A3632" s="12">
        <v>3615</v>
      </c>
      <c r="B3632" s="10" t="s">
        <v>1015</v>
      </c>
      <c r="C3632" s="18" t="s">
        <v>1265</v>
      </c>
      <c r="D3632" s="9"/>
      <c r="E3632" s="9">
        <v>620</v>
      </c>
      <c r="F3632" s="10" t="s">
        <v>1066</v>
      </c>
      <c r="G3632" s="9">
        <v>925</v>
      </c>
      <c r="H3632" s="9">
        <v>2020</v>
      </c>
      <c r="I3632" s="8">
        <v>194.28800000000001</v>
      </c>
      <c r="J3632" s="8">
        <v>213.738</v>
      </c>
      <c r="K3632" s="8">
        <v>239.81299999999999</v>
      </c>
      <c r="L3632" s="8">
        <v>256.70800000000003</v>
      </c>
      <c r="M3632" s="8">
        <v>269.88799999999998</v>
      </c>
      <c r="N3632" s="8">
        <v>270.96899999999999</v>
      </c>
      <c r="O3632" s="8">
        <v>287.27100000000002</v>
      </c>
      <c r="P3632" s="8">
        <v>336.709</v>
      </c>
      <c r="Q3632" s="8">
        <v>395.96100000000001</v>
      </c>
      <c r="R3632" s="8">
        <v>420.34100000000001</v>
      </c>
      <c r="S3632" s="8">
        <v>389.16199999999998</v>
      </c>
      <c r="T3632" s="8">
        <v>390.59300000000002</v>
      </c>
      <c r="U3632" s="8">
        <v>359.95299999999997</v>
      </c>
      <c r="V3632" s="8">
        <v>337.34</v>
      </c>
      <c r="W3632" s="8">
        <v>314.03800000000001</v>
      </c>
      <c r="X3632" s="8">
        <v>260.31299999999999</v>
      </c>
      <c r="Y3632" s="8">
        <v>213.364</v>
      </c>
      <c r="Z3632" s="8">
        <v>145.608</v>
      </c>
      <c r="AA3632" s="8">
        <v>60.508000000000003</v>
      </c>
      <c r="AB3632" s="8">
        <v>14.526999999999999</v>
      </c>
      <c r="AC3632" s="8">
        <v>1.581</v>
      </c>
    </row>
    <row r="3633" spans="1:29" ht="11.65" hidden="1" x14ac:dyDescent="0.35">
      <c r="A3633" s="12">
        <v>3616</v>
      </c>
      <c r="B3633" s="10" t="s">
        <v>1015</v>
      </c>
      <c r="C3633" s="18" t="s">
        <v>1266</v>
      </c>
      <c r="D3633" s="9">
        <v>25</v>
      </c>
      <c r="E3633" s="9">
        <v>688</v>
      </c>
      <c r="F3633" s="10" t="s">
        <v>1066</v>
      </c>
      <c r="G3633" s="9">
        <v>925</v>
      </c>
      <c r="H3633" s="9">
        <v>1950</v>
      </c>
      <c r="I3633" s="8">
        <v>366.02300000000002</v>
      </c>
      <c r="J3633" s="8">
        <v>259.678</v>
      </c>
      <c r="K3633" s="8">
        <v>308.19</v>
      </c>
      <c r="L3633" s="8">
        <v>344.13200000000001</v>
      </c>
      <c r="M3633" s="8">
        <v>347.411</v>
      </c>
      <c r="N3633" s="8">
        <v>296.94200000000001</v>
      </c>
      <c r="O3633" s="8">
        <v>171.10300000000001</v>
      </c>
      <c r="P3633" s="8">
        <v>204.67099999999999</v>
      </c>
      <c r="Q3633" s="8">
        <v>225.054</v>
      </c>
      <c r="R3633" s="8">
        <v>202.32300000000001</v>
      </c>
      <c r="S3633" s="8">
        <v>180.935</v>
      </c>
      <c r="T3633" s="8">
        <v>125.48</v>
      </c>
      <c r="U3633" s="8">
        <v>124.819</v>
      </c>
      <c r="V3633" s="8">
        <v>96.183000000000007</v>
      </c>
      <c r="W3633" s="8">
        <v>89.834000000000003</v>
      </c>
      <c r="X3633" s="8">
        <v>69.745000000000005</v>
      </c>
      <c r="Y3633" s="8">
        <v>34.238999999999997</v>
      </c>
      <c r="Z3633" s="8">
        <v>12.554</v>
      </c>
      <c r="AA3633" s="8">
        <v>2.786</v>
      </c>
      <c r="AB3633" s="8">
        <v>0.33200000000000002</v>
      </c>
      <c r="AC3633" s="8">
        <v>2.5000000000000001E-2</v>
      </c>
    </row>
    <row r="3634" spans="1:29" ht="11.65" hidden="1" x14ac:dyDescent="0.35">
      <c r="A3634" s="12">
        <v>3617</v>
      </c>
      <c r="B3634" s="10" t="s">
        <v>1015</v>
      </c>
      <c r="C3634" s="18" t="s">
        <v>1266</v>
      </c>
      <c r="D3634" s="9">
        <v>25</v>
      </c>
      <c r="E3634" s="9">
        <v>688</v>
      </c>
      <c r="F3634" s="10" t="s">
        <v>1066</v>
      </c>
      <c r="G3634" s="9">
        <v>925</v>
      </c>
      <c r="H3634" s="9">
        <v>1955</v>
      </c>
      <c r="I3634" s="8">
        <v>411.95699999999999</v>
      </c>
      <c r="J3634" s="8">
        <v>360.53</v>
      </c>
      <c r="K3634" s="8">
        <v>260.35599999999999</v>
      </c>
      <c r="L3634" s="8">
        <v>308.59199999999998</v>
      </c>
      <c r="M3634" s="8">
        <v>343.51299999999998</v>
      </c>
      <c r="N3634" s="8">
        <v>346.04599999999999</v>
      </c>
      <c r="O3634" s="8">
        <v>294.983</v>
      </c>
      <c r="P3634" s="8">
        <v>169.64599999999999</v>
      </c>
      <c r="Q3634" s="8">
        <v>201.626</v>
      </c>
      <c r="R3634" s="8">
        <v>219.28100000000001</v>
      </c>
      <c r="S3634" s="8">
        <v>194.13399999999999</v>
      </c>
      <c r="T3634" s="8">
        <v>169.833</v>
      </c>
      <c r="U3634" s="8">
        <v>114.434</v>
      </c>
      <c r="V3634" s="8">
        <v>108.425</v>
      </c>
      <c r="W3634" s="8">
        <v>76.387</v>
      </c>
      <c r="X3634" s="8">
        <v>60.69</v>
      </c>
      <c r="Y3634" s="8">
        <v>36.863999999999997</v>
      </c>
      <c r="Z3634" s="8">
        <v>12.678000000000001</v>
      </c>
      <c r="AA3634" s="8">
        <v>2.8140000000000001</v>
      </c>
      <c r="AB3634" s="8">
        <v>0.32800000000000001</v>
      </c>
      <c r="AC3634" s="8">
        <v>0.02</v>
      </c>
    </row>
    <row r="3635" spans="1:29" ht="11.65" hidden="1" x14ac:dyDescent="0.35">
      <c r="A3635" s="12">
        <v>3618</v>
      </c>
      <c r="B3635" s="10" t="s">
        <v>1015</v>
      </c>
      <c r="C3635" s="18" t="s">
        <v>1266</v>
      </c>
      <c r="D3635" s="9">
        <v>25</v>
      </c>
      <c r="E3635" s="9">
        <v>688</v>
      </c>
      <c r="F3635" s="10" t="s">
        <v>1066</v>
      </c>
      <c r="G3635" s="9">
        <v>925</v>
      </c>
      <c r="H3635" s="9">
        <v>1960</v>
      </c>
      <c r="I3635" s="8">
        <v>350.11399999999998</v>
      </c>
      <c r="J3635" s="8">
        <v>403.06799999999998</v>
      </c>
      <c r="K3635" s="8">
        <v>357.45699999999999</v>
      </c>
      <c r="L3635" s="8">
        <v>257.48099999999999</v>
      </c>
      <c r="M3635" s="8">
        <v>304.62099999999998</v>
      </c>
      <c r="N3635" s="8">
        <v>338.767</v>
      </c>
      <c r="O3635" s="8">
        <v>340.90800000000002</v>
      </c>
      <c r="P3635" s="8">
        <v>290.02</v>
      </c>
      <c r="Q3635" s="8">
        <v>165.52199999999999</v>
      </c>
      <c r="R3635" s="8">
        <v>194.971</v>
      </c>
      <c r="S3635" s="8">
        <v>209.298</v>
      </c>
      <c r="T3635" s="8">
        <v>181.745</v>
      </c>
      <c r="U3635" s="8">
        <v>154.85599999999999</v>
      </c>
      <c r="V3635" s="8">
        <v>99.685000000000002</v>
      </c>
      <c r="W3635" s="8">
        <v>86.903000000000006</v>
      </c>
      <c r="X3635" s="8">
        <v>52.712000000000003</v>
      </c>
      <c r="Y3635" s="8">
        <v>33.270000000000003</v>
      </c>
      <c r="Z3635" s="8">
        <v>14.388</v>
      </c>
      <c r="AA3635" s="8">
        <v>3.0379999999999998</v>
      </c>
      <c r="AB3635" s="8">
        <v>0.35199999999999998</v>
      </c>
      <c r="AC3635" s="8">
        <v>2.1000000000000001E-2</v>
      </c>
    </row>
    <row r="3636" spans="1:29" ht="11.65" hidden="1" x14ac:dyDescent="0.35">
      <c r="A3636" s="12">
        <v>3619</v>
      </c>
      <c r="B3636" s="10" t="s">
        <v>1015</v>
      </c>
      <c r="C3636" s="18" t="s">
        <v>1266</v>
      </c>
      <c r="D3636" s="9">
        <v>25</v>
      </c>
      <c r="E3636" s="9">
        <v>688</v>
      </c>
      <c r="F3636" s="10" t="s">
        <v>1066</v>
      </c>
      <c r="G3636" s="9">
        <v>925</v>
      </c>
      <c r="H3636" s="9">
        <v>1965</v>
      </c>
      <c r="I3636" s="8">
        <v>334.91500000000002</v>
      </c>
      <c r="J3636" s="8">
        <v>341.77199999999999</v>
      </c>
      <c r="K3636" s="8">
        <v>397.92</v>
      </c>
      <c r="L3636" s="8">
        <v>352.89</v>
      </c>
      <c r="M3636" s="8">
        <v>253.04499999999999</v>
      </c>
      <c r="N3636" s="8">
        <v>299.20100000000002</v>
      </c>
      <c r="O3636" s="8">
        <v>332.52100000000002</v>
      </c>
      <c r="P3636" s="8">
        <v>334.11500000000001</v>
      </c>
      <c r="Q3636" s="8">
        <v>283.39999999999998</v>
      </c>
      <c r="R3636" s="8">
        <v>159.81399999999999</v>
      </c>
      <c r="S3636" s="8">
        <v>186.08199999999999</v>
      </c>
      <c r="T3636" s="8">
        <v>196.559</v>
      </c>
      <c r="U3636" s="8">
        <v>166.542</v>
      </c>
      <c r="V3636" s="8">
        <v>136.386</v>
      </c>
      <c r="W3636" s="8">
        <v>81.058999999999997</v>
      </c>
      <c r="X3636" s="8">
        <v>61.807000000000002</v>
      </c>
      <c r="Y3636" s="8">
        <v>30.361999999999998</v>
      </c>
      <c r="Z3636" s="8">
        <v>14.097</v>
      </c>
      <c r="AA3636" s="8">
        <v>3.9470000000000001</v>
      </c>
      <c r="AB3636" s="8">
        <v>0.46200000000000002</v>
      </c>
      <c r="AC3636" s="8">
        <v>2.7E-2</v>
      </c>
    </row>
    <row r="3637" spans="1:29" ht="11.65" hidden="1" x14ac:dyDescent="0.35">
      <c r="A3637" s="12">
        <v>3620</v>
      </c>
      <c r="B3637" s="10" t="s">
        <v>1015</v>
      </c>
      <c r="C3637" s="18" t="s">
        <v>1266</v>
      </c>
      <c r="D3637" s="9">
        <v>25</v>
      </c>
      <c r="E3637" s="9">
        <v>688</v>
      </c>
      <c r="F3637" s="10" t="s">
        <v>1066</v>
      </c>
      <c r="G3637" s="9">
        <v>925</v>
      </c>
      <c r="H3637" s="9">
        <v>1970</v>
      </c>
      <c r="I3637" s="8">
        <v>337.74400000000003</v>
      </c>
      <c r="J3637" s="8">
        <v>328.27100000000002</v>
      </c>
      <c r="K3637" s="8">
        <v>337.13</v>
      </c>
      <c r="L3637" s="8">
        <v>392.96199999999999</v>
      </c>
      <c r="M3637" s="8">
        <v>348.346</v>
      </c>
      <c r="N3637" s="8">
        <v>248.864</v>
      </c>
      <c r="O3637" s="8">
        <v>294.096</v>
      </c>
      <c r="P3637" s="8">
        <v>326.428</v>
      </c>
      <c r="Q3637" s="8">
        <v>327.06799999999998</v>
      </c>
      <c r="R3637" s="8">
        <v>275.99400000000003</v>
      </c>
      <c r="S3637" s="8">
        <v>153.44399999999999</v>
      </c>
      <c r="T3637" s="8">
        <v>176.11699999999999</v>
      </c>
      <c r="U3637" s="8">
        <v>182.27799999999999</v>
      </c>
      <c r="V3637" s="8">
        <v>148.88499999999999</v>
      </c>
      <c r="W3637" s="8">
        <v>113.782</v>
      </c>
      <c r="X3637" s="8">
        <v>59.213999999999999</v>
      </c>
      <c r="Y3637" s="8">
        <v>36.856000000000002</v>
      </c>
      <c r="Z3637" s="8">
        <v>13.58</v>
      </c>
      <c r="AA3637" s="8">
        <v>4.1580000000000004</v>
      </c>
      <c r="AB3637" s="8">
        <v>0.66</v>
      </c>
      <c r="AC3637" s="8">
        <v>3.9E-2</v>
      </c>
    </row>
    <row r="3638" spans="1:29" ht="11.65" hidden="1" x14ac:dyDescent="0.35">
      <c r="A3638" s="12">
        <v>3621</v>
      </c>
      <c r="B3638" s="10" t="s">
        <v>1015</v>
      </c>
      <c r="C3638" s="18" t="s">
        <v>1266</v>
      </c>
      <c r="D3638" s="9">
        <v>25</v>
      </c>
      <c r="E3638" s="9">
        <v>688</v>
      </c>
      <c r="F3638" s="10" t="s">
        <v>1066</v>
      </c>
      <c r="G3638" s="9">
        <v>925</v>
      </c>
      <c r="H3638" s="9">
        <v>1975</v>
      </c>
      <c r="I3638" s="8">
        <v>361.25400000000002</v>
      </c>
      <c r="J3638" s="8">
        <v>335.02499999999998</v>
      </c>
      <c r="K3638" s="8">
        <v>327.05599999999998</v>
      </c>
      <c r="L3638" s="8">
        <v>335.70299999999997</v>
      </c>
      <c r="M3638" s="8">
        <v>391.07900000000001</v>
      </c>
      <c r="N3638" s="8">
        <v>346.50799999999998</v>
      </c>
      <c r="O3638" s="8">
        <v>247.16200000000001</v>
      </c>
      <c r="P3638" s="8">
        <v>291.589</v>
      </c>
      <c r="Q3638" s="8">
        <v>322.55799999999999</v>
      </c>
      <c r="R3638" s="8">
        <v>321.19099999999997</v>
      </c>
      <c r="S3638" s="8">
        <v>268.49</v>
      </c>
      <c r="T3638" s="8">
        <v>147.04499999999999</v>
      </c>
      <c r="U3638" s="8">
        <v>165.36799999999999</v>
      </c>
      <c r="V3638" s="8">
        <v>165.28800000000001</v>
      </c>
      <c r="W3638" s="8">
        <v>126.145</v>
      </c>
      <c r="X3638" s="8">
        <v>84.927999999999997</v>
      </c>
      <c r="Y3638" s="8">
        <v>36.215000000000003</v>
      </c>
      <c r="Z3638" s="8">
        <v>16.887</v>
      </c>
      <c r="AA3638" s="8">
        <v>4.1100000000000003</v>
      </c>
      <c r="AB3638" s="8">
        <v>0.72699999999999998</v>
      </c>
      <c r="AC3638" s="8">
        <v>5.8999999999999997E-2</v>
      </c>
    </row>
    <row r="3639" spans="1:29" ht="11.65" hidden="1" x14ac:dyDescent="0.35">
      <c r="A3639" s="12">
        <v>3622</v>
      </c>
      <c r="B3639" s="10" t="s">
        <v>1015</v>
      </c>
      <c r="C3639" s="18" t="s">
        <v>1266</v>
      </c>
      <c r="D3639" s="9">
        <v>25</v>
      </c>
      <c r="E3639" s="9">
        <v>688</v>
      </c>
      <c r="F3639" s="10" t="s">
        <v>1066</v>
      </c>
      <c r="G3639" s="9">
        <v>925</v>
      </c>
      <c r="H3639" s="9">
        <v>1980</v>
      </c>
      <c r="I3639" s="8">
        <v>381.721</v>
      </c>
      <c r="J3639" s="8">
        <v>360.08800000000002</v>
      </c>
      <c r="K3639" s="8">
        <v>334.99400000000003</v>
      </c>
      <c r="L3639" s="8">
        <v>326.92599999999999</v>
      </c>
      <c r="M3639" s="8">
        <v>335.322</v>
      </c>
      <c r="N3639" s="8">
        <v>390.35199999999998</v>
      </c>
      <c r="O3639" s="8">
        <v>345.55700000000002</v>
      </c>
      <c r="P3639" s="8">
        <v>246.13800000000001</v>
      </c>
      <c r="Q3639" s="8">
        <v>289.41300000000001</v>
      </c>
      <c r="R3639" s="8">
        <v>318.19200000000001</v>
      </c>
      <c r="S3639" s="8">
        <v>313.88200000000001</v>
      </c>
      <c r="T3639" s="8">
        <v>258.82600000000002</v>
      </c>
      <c r="U3639" s="8">
        <v>139.03200000000001</v>
      </c>
      <c r="V3639" s="8">
        <v>151.12799999999999</v>
      </c>
      <c r="W3639" s="8">
        <v>141.41200000000001</v>
      </c>
      <c r="X3639" s="8">
        <v>95.611000000000004</v>
      </c>
      <c r="Y3639" s="8">
        <v>52.987000000000002</v>
      </c>
      <c r="Z3639" s="8">
        <v>16.709</v>
      </c>
      <c r="AA3639" s="8">
        <v>5.0970000000000004</v>
      </c>
      <c r="AB3639" s="8">
        <v>0.72099999999999997</v>
      </c>
      <c r="AC3639" s="8">
        <v>6.6000000000000003E-2</v>
      </c>
    </row>
    <row r="3640" spans="1:29" ht="11.65" hidden="1" x14ac:dyDescent="0.35">
      <c r="A3640" s="12">
        <v>3623</v>
      </c>
      <c r="B3640" s="10" t="s">
        <v>1015</v>
      </c>
      <c r="C3640" s="18" t="s">
        <v>1266</v>
      </c>
      <c r="D3640" s="9">
        <v>25</v>
      </c>
      <c r="E3640" s="9">
        <v>688</v>
      </c>
      <c r="F3640" s="10" t="s">
        <v>1066</v>
      </c>
      <c r="G3640" s="9">
        <v>925</v>
      </c>
      <c r="H3640" s="9">
        <v>1985</v>
      </c>
      <c r="I3640" s="8">
        <v>373.262</v>
      </c>
      <c r="J3640" s="8">
        <v>379.93799999999999</v>
      </c>
      <c r="K3640" s="8">
        <v>359.34500000000003</v>
      </c>
      <c r="L3640" s="8">
        <v>334.18200000000002</v>
      </c>
      <c r="M3640" s="8">
        <v>325.87599999999998</v>
      </c>
      <c r="N3640" s="8">
        <v>334.02499999999998</v>
      </c>
      <c r="O3640" s="8">
        <v>388.61399999999998</v>
      </c>
      <c r="P3640" s="8">
        <v>343.50200000000001</v>
      </c>
      <c r="Q3640" s="8">
        <v>243.797</v>
      </c>
      <c r="R3640" s="8">
        <v>284.98500000000001</v>
      </c>
      <c r="S3640" s="8">
        <v>310.51499999999999</v>
      </c>
      <c r="T3640" s="8">
        <v>302.32</v>
      </c>
      <c r="U3640" s="8">
        <v>244.57599999999999</v>
      </c>
      <c r="V3640" s="8">
        <v>127.004</v>
      </c>
      <c r="W3640" s="8">
        <v>129.387</v>
      </c>
      <c r="X3640" s="8">
        <v>107.601</v>
      </c>
      <c r="Y3640" s="8">
        <v>60.048000000000002</v>
      </c>
      <c r="Z3640" s="8">
        <v>24.629000000000001</v>
      </c>
      <c r="AA3640" s="8">
        <v>5.0810000000000004</v>
      </c>
      <c r="AB3640" s="8">
        <v>0.89400000000000002</v>
      </c>
      <c r="AC3640" s="8">
        <v>6.5000000000000002E-2</v>
      </c>
    </row>
    <row r="3641" spans="1:29" ht="11.65" hidden="1" x14ac:dyDescent="0.35">
      <c r="A3641" s="12">
        <v>3624</v>
      </c>
      <c r="B3641" s="10" t="s">
        <v>1015</v>
      </c>
      <c r="C3641" s="18" t="s">
        <v>1266</v>
      </c>
      <c r="D3641" s="9">
        <v>25</v>
      </c>
      <c r="E3641" s="9">
        <v>688</v>
      </c>
      <c r="F3641" s="10" t="s">
        <v>1066</v>
      </c>
      <c r="G3641" s="9">
        <v>925</v>
      </c>
      <c r="H3641" s="9">
        <v>1990</v>
      </c>
      <c r="I3641" s="8">
        <v>355.89499999999998</v>
      </c>
      <c r="J3641" s="8">
        <v>371.09699999999998</v>
      </c>
      <c r="K3641" s="8">
        <v>378.54700000000003</v>
      </c>
      <c r="L3641" s="8">
        <v>357.916</v>
      </c>
      <c r="M3641" s="8">
        <v>332.59300000000002</v>
      </c>
      <c r="N3641" s="8">
        <v>324.12200000000001</v>
      </c>
      <c r="O3641" s="8">
        <v>331.923</v>
      </c>
      <c r="P3641" s="8">
        <v>385.82499999999999</v>
      </c>
      <c r="Q3641" s="8">
        <v>340.09100000000001</v>
      </c>
      <c r="R3641" s="8">
        <v>239.81</v>
      </c>
      <c r="S3641" s="8">
        <v>277.97199999999998</v>
      </c>
      <c r="T3641" s="8">
        <v>299.18299999999999</v>
      </c>
      <c r="U3641" s="8">
        <v>286.06700000000001</v>
      </c>
      <c r="V3641" s="8">
        <v>224.24799999999999</v>
      </c>
      <c r="W3641" s="8">
        <v>109.277</v>
      </c>
      <c r="X3641" s="8">
        <v>99.197000000000003</v>
      </c>
      <c r="Y3641" s="8">
        <v>68.564999999999998</v>
      </c>
      <c r="Z3641" s="8">
        <v>28.638999999999999</v>
      </c>
      <c r="AA3641" s="8">
        <v>7.6790000000000003</v>
      </c>
      <c r="AB3641" s="8">
        <v>0.89900000000000002</v>
      </c>
      <c r="AC3641" s="8">
        <v>0.08</v>
      </c>
    </row>
    <row r="3642" spans="1:29" ht="11.65" hidden="1" x14ac:dyDescent="0.35">
      <c r="A3642" s="12">
        <v>3625</v>
      </c>
      <c r="B3642" s="10" t="s">
        <v>1015</v>
      </c>
      <c r="C3642" s="18" t="s">
        <v>1266</v>
      </c>
      <c r="D3642" s="9">
        <v>25</v>
      </c>
      <c r="E3642" s="9">
        <v>688</v>
      </c>
      <c r="F3642" s="10" t="s">
        <v>1066</v>
      </c>
      <c r="G3642" s="9">
        <v>925</v>
      </c>
      <c r="H3642" s="9">
        <v>1995</v>
      </c>
      <c r="I3642" s="8">
        <v>326.15300000000002</v>
      </c>
      <c r="J3642" s="8">
        <v>362.17500000000001</v>
      </c>
      <c r="K3642" s="8">
        <v>377.68700000000001</v>
      </c>
      <c r="L3642" s="8">
        <v>385.25099999999998</v>
      </c>
      <c r="M3642" s="8">
        <v>364.44499999999999</v>
      </c>
      <c r="N3642" s="8">
        <v>338.28199999999998</v>
      </c>
      <c r="O3642" s="8">
        <v>329.25099999999998</v>
      </c>
      <c r="P3642" s="8">
        <v>337.32</v>
      </c>
      <c r="Q3642" s="8">
        <v>389.37200000000001</v>
      </c>
      <c r="R3642" s="8">
        <v>339.65800000000002</v>
      </c>
      <c r="S3642" s="8">
        <v>238.376</v>
      </c>
      <c r="T3642" s="8">
        <v>274.46899999999999</v>
      </c>
      <c r="U3642" s="8">
        <v>290.47699999999998</v>
      </c>
      <c r="V3642" s="8">
        <v>268.54500000000002</v>
      </c>
      <c r="W3642" s="8">
        <v>197.25899999999999</v>
      </c>
      <c r="X3642" s="8">
        <v>86.343999999999994</v>
      </c>
      <c r="Y3642" s="8">
        <v>65.021000000000001</v>
      </c>
      <c r="Z3642" s="8">
        <v>33.143999999999998</v>
      </c>
      <c r="AA3642" s="8">
        <v>8.923</v>
      </c>
      <c r="AB3642" s="8">
        <v>1.359</v>
      </c>
      <c r="AC3642" s="8">
        <v>8.1000000000000003E-2</v>
      </c>
    </row>
    <row r="3643" spans="1:29" ht="11.65" hidden="1" x14ac:dyDescent="0.35">
      <c r="A3643" s="12">
        <v>3626</v>
      </c>
      <c r="B3643" s="10" t="s">
        <v>1015</v>
      </c>
      <c r="C3643" s="18" t="s">
        <v>1266</v>
      </c>
      <c r="D3643" s="9">
        <v>25</v>
      </c>
      <c r="E3643" s="9">
        <v>688</v>
      </c>
      <c r="F3643" s="10" t="s">
        <v>1066</v>
      </c>
      <c r="G3643" s="9">
        <v>925</v>
      </c>
      <c r="H3643" s="9">
        <v>2000</v>
      </c>
      <c r="I3643" s="8">
        <v>291.84699999999998</v>
      </c>
      <c r="J3643" s="8">
        <v>317.90300000000002</v>
      </c>
      <c r="K3643" s="8">
        <v>337.89600000000002</v>
      </c>
      <c r="L3643" s="8">
        <v>329.82799999999997</v>
      </c>
      <c r="M3643" s="8">
        <v>339.71300000000002</v>
      </c>
      <c r="N3643" s="8">
        <v>330.23599999999999</v>
      </c>
      <c r="O3643" s="8">
        <v>312.18</v>
      </c>
      <c r="P3643" s="8">
        <v>309.36200000000002</v>
      </c>
      <c r="Q3643" s="8">
        <v>323.71699999999998</v>
      </c>
      <c r="R3643" s="8">
        <v>377.29199999999997</v>
      </c>
      <c r="S3643" s="8">
        <v>327.995</v>
      </c>
      <c r="T3643" s="8">
        <v>227.643</v>
      </c>
      <c r="U3643" s="8">
        <v>258.82600000000002</v>
      </c>
      <c r="V3643" s="8">
        <v>266.07900000000001</v>
      </c>
      <c r="W3643" s="8">
        <v>231.50399999999999</v>
      </c>
      <c r="X3643" s="8">
        <v>151.53100000000001</v>
      </c>
      <c r="Y3643" s="8">
        <v>54.991999999999997</v>
      </c>
      <c r="Z3643" s="8">
        <v>31.056000000000001</v>
      </c>
      <c r="AA3643" s="8">
        <v>10.316000000000001</v>
      </c>
      <c r="AB3643" s="8">
        <v>1.5640000000000001</v>
      </c>
      <c r="AC3643" s="8">
        <v>0.11899999999999999</v>
      </c>
    </row>
    <row r="3644" spans="1:29" ht="11.65" hidden="1" x14ac:dyDescent="0.35">
      <c r="A3644" s="12">
        <v>3627</v>
      </c>
      <c r="B3644" s="10" t="s">
        <v>1015</v>
      </c>
      <c r="C3644" s="18" t="s">
        <v>1266</v>
      </c>
      <c r="D3644" s="9">
        <v>25</v>
      </c>
      <c r="E3644" s="9">
        <v>688</v>
      </c>
      <c r="F3644" s="10" t="s">
        <v>1066</v>
      </c>
      <c r="G3644" s="9">
        <v>925</v>
      </c>
      <c r="H3644" s="9">
        <v>2005</v>
      </c>
      <c r="I3644" s="8">
        <v>259.83699999999999</v>
      </c>
      <c r="J3644" s="8">
        <v>274.887</v>
      </c>
      <c r="K3644" s="8">
        <v>301.34300000000002</v>
      </c>
      <c r="L3644" s="8">
        <v>325.28100000000001</v>
      </c>
      <c r="M3644" s="8">
        <v>317.80599999999998</v>
      </c>
      <c r="N3644" s="8">
        <v>329.00799999999998</v>
      </c>
      <c r="O3644" s="8">
        <v>320.435</v>
      </c>
      <c r="P3644" s="8">
        <v>300.80200000000002</v>
      </c>
      <c r="Q3644" s="8">
        <v>295.96800000000002</v>
      </c>
      <c r="R3644" s="8">
        <v>308.255</v>
      </c>
      <c r="S3644" s="8">
        <v>363.03399999999999</v>
      </c>
      <c r="T3644" s="8">
        <v>314.91399999999999</v>
      </c>
      <c r="U3644" s="8">
        <v>213.69300000000001</v>
      </c>
      <c r="V3644" s="8">
        <v>235.965</v>
      </c>
      <c r="W3644" s="8">
        <v>227.625</v>
      </c>
      <c r="X3644" s="8">
        <v>175.24799999999999</v>
      </c>
      <c r="Y3644" s="8">
        <v>93.173000000000002</v>
      </c>
      <c r="Z3644" s="8">
        <v>24.754999999999999</v>
      </c>
      <c r="AA3644" s="8">
        <v>8.952</v>
      </c>
      <c r="AB3644" s="8">
        <v>1.64</v>
      </c>
      <c r="AC3644" s="8">
        <v>0.127</v>
      </c>
    </row>
    <row r="3645" spans="1:29" ht="11.65" hidden="1" x14ac:dyDescent="0.35">
      <c r="A3645" s="12">
        <v>3628</v>
      </c>
      <c r="B3645" s="10" t="s">
        <v>1015</v>
      </c>
      <c r="C3645" s="18" t="s">
        <v>1266</v>
      </c>
      <c r="D3645" s="9">
        <v>25</v>
      </c>
      <c r="E3645" s="9">
        <v>688</v>
      </c>
      <c r="F3645" s="10" t="s">
        <v>1066</v>
      </c>
      <c r="G3645" s="9">
        <v>925</v>
      </c>
      <c r="H3645" s="9">
        <v>2010</v>
      </c>
      <c r="I3645" s="8">
        <v>236.83699999999999</v>
      </c>
      <c r="J3645" s="8">
        <v>254.041</v>
      </c>
      <c r="K3645" s="8">
        <v>264.56</v>
      </c>
      <c r="L3645" s="8">
        <v>287.27100000000002</v>
      </c>
      <c r="M3645" s="8">
        <v>309.125</v>
      </c>
      <c r="N3645" s="8">
        <v>302.24799999999999</v>
      </c>
      <c r="O3645" s="8">
        <v>316.00200000000001</v>
      </c>
      <c r="P3645" s="8">
        <v>310.78300000000002</v>
      </c>
      <c r="Q3645" s="8">
        <v>294.51400000000001</v>
      </c>
      <c r="R3645" s="8">
        <v>291.65300000000002</v>
      </c>
      <c r="S3645" s="8">
        <v>302.67700000000002</v>
      </c>
      <c r="T3645" s="8">
        <v>351.32799999999997</v>
      </c>
      <c r="U3645" s="8">
        <v>299.52499999999998</v>
      </c>
      <c r="V3645" s="8">
        <v>200.477</v>
      </c>
      <c r="W3645" s="8">
        <v>212.62299999999999</v>
      </c>
      <c r="X3645" s="8">
        <v>183.96100000000001</v>
      </c>
      <c r="Y3645" s="8">
        <v>115.105</v>
      </c>
      <c r="Z3645" s="8">
        <v>43.542000000000002</v>
      </c>
      <c r="AA3645" s="8">
        <v>7.0529999999999999</v>
      </c>
      <c r="AB3645" s="8">
        <v>1.3440000000000001</v>
      </c>
      <c r="AC3645" s="8">
        <v>0.12</v>
      </c>
    </row>
    <row r="3646" spans="1:29" ht="11.65" hidden="1" x14ac:dyDescent="0.35">
      <c r="A3646" s="12">
        <v>3629</v>
      </c>
      <c r="B3646" s="10" t="s">
        <v>1015</v>
      </c>
      <c r="C3646" s="18" t="s">
        <v>1266</v>
      </c>
      <c r="D3646" s="9">
        <v>25</v>
      </c>
      <c r="E3646" s="9">
        <v>688</v>
      </c>
      <c r="F3646" s="10" t="s">
        <v>1066</v>
      </c>
      <c r="G3646" s="9">
        <v>925</v>
      </c>
      <c r="H3646" s="9">
        <v>2015</v>
      </c>
      <c r="I3646" s="8">
        <v>210.66200000000001</v>
      </c>
      <c r="J3646" s="8">
        <v>235.042</v>
      </c>
      <c r="K3646" s="8">
        <v>247.48500000000001</v>
      </c>
      <c r="L3646" s="8">
        <v>254.726</v>
      </c>
      <c r="M3646" s="8">
        <v>276.22899999999998</v>
      </c>
      <c r="N3646" s="8">
        <v>299.08699999999999</v>
      </c>
      <c r="O3646" s="8">
        <v>294.76299999999998</v>
      </c>
      <c r="P3646" s="8">
        <v>311.51400000000001</v>
      </c>
      <c r="Q3646" s="8">
        <v>309.32600000000002</v>
      </c>
      <c r="R3646" s="8">
        <v>294.58999999999997</v>
      </c>
      <c r="S3646" s="8">
        <v>291.40100000000001</v>
      </c>
      <c r="T3646" s="8">
        <v>300.346</v>
      </c>
      <c r="U3646" s="8">
        <v>342.94799999999998</v>
      </c>
      <c r="V3646" s="8">
        <v>286.83999999999997</v>
      </c>
      <c r="W3646" s="8">
        <v>186.63200000000001</v>
      </c>
      <c r="X3646" s="8">
        <v>180.61699999999999</v>
      </c>
      <c r="Y3646" s="8">
        <v>131.03700000000001</v>
      </c>
      <c r="Z3646" s="8">
        <v>58.191000000000003</v>
      </c>
      <c r="AA3646" s="8">
        <v>13.085000000000001</v>
      </c>
      <c r="AB3646" s="8">
        <v>1.087</v>
      </c>
      <c r="AC3646" s="8">
        <v>9.7000000000000003E-2</v>
      </c>
    </row>
    <row r="3647" spans="1:29" ht="11.65" hidden="1" x14ac:dyDescent="0.35">
      <c r="A3647" s="12">
        <v>3630</v>
      </c>
      <c r="B3647" s="10" t="s">
        <v>1015</v>
      </c>
      <c r="C3647" s="18" t="s">
        <v>1266</v>
      </c>
      <c r="D3647" s="9">
        <v>25</v>
      </c>
      <c r="E3647" s="9">
        <v>688</v>
      </c>
      <c r="F3647" s="10" t="s">
        <v>1066</v>
      </c>
      <c r="G3647" s="9">
        <v>925</v>
      </c>
      <c r="H3647" s="9">
        <v>2020</v>
      </c>
      <c r="I3647" s="8">
        <v>202.346</v>
      </c>
      <c r="J3647" s="8">
        <v>210.98099999999999</v>
      </c>
      <c r="K3647" s="8">
        <v>235.173</v>
      </c>
      <c r="L3647" s="8">
        <v>248.00299999999999</v>
      </c>
      <c r="M3647" s="8">
        <v>256.06599999999997</v>
      </c>
      <c r="N3647" s="8">
        <v>277.78899999999999</v>
      </c>
      <c r="O3647" s="8">
        <v>300.07499999999999</v>
      </c>
      <c r="P3647" s="8">
        <v>294.98399999999998</v>
      </c>
      <c r="Q3647" s="8">
        <v>310.65100000000001</v>
      </c>
      <c r="R3647" s="8">
        <v>307.00099999999998</v>
      </c>
      <c r="S3647" s="8">
        <v>290.32</v>
      </c>
      <c r="T3647" s="8">
        <v>284.50099999999998</v>
      </c>
      <c r="U3647" s="8">
        <v>289.16199999999998</v>
      </c>
      <c r="V3647" s="8">
        <v>322.78100000000001</v>
      </c>
      <c r="W3647" s="8">
        <v>259.12799999999999</v>
      </c>
      <c r="X3647" s="8">
        <v>155.20599999999999</v>
      </c>
      <c r="Y3647" s="8">
        <v>125.86199999999999</v>
      </c>
      <c r="Z3647" s="8">
        <v>66.891999999999996</v>
      </c>
      <c r="AA3647" s="8">
        <v>18.588999999999999</v>
      </c>
      <c r="AB3647" s="8">
        <v>2.1280000000000001</v>
      </c>
      <c r="AC3647" s="8">
        <v>8.1000000000000003E-2</v>
      </c>
    </row>
    <row r="3648" spans="1:29" ht="11.65" hidden="1" x14ac:dyDescent="0.35">
      <c r="A3648" s="12">
        <v>3631</v>
      </c>
      <c r="B3648" s="10" t="s">
        <v>1015</v>
      </c>
      <c r="C3648" s="18" t="s">
        <v>1267</v>
      </c>
      <c r="D3648" s="9"/>
      <c r="E3648" s="9">
        <v>705</v>
      </c>
      <c r="F3648" s="10" t="s">
        <v>1066</v>
      </c>
      <c r="G3648" s="9">
        <v>925</v>
      </c>
      <c r="H3648" s="9">
        <v>1950</v>
      </c>
      <c r="I3648" s="8">
        <v>73.599000000000004</v>
      </c>
      <c r="J3648" s="8">
        <v>62.098999999999997</v>
      </c>
      <c r="K3648" s="8">
        <v>63.201000000000001</v>
      </c>
      <c r="L3648" s="8">
        <v>66.799000000000007</v>
      </c>
      <c r="M3648" s="8">
        <v>68.400999999999996</v>
      </c>
      <c r="N3648" s="8">
        <v>64.8</v>
      </c>
      <c r="O3648" s="8">
        <v>39.9</v>
      </c>
      <c r="P3648" s="8">
        <v>52.698999999999998</v>
      </c>
      <c r="Q3648" s="8">
        <v>56.6</v>
      </c>
      <c r="R3648" s="8">
        <v>52.7</v>
      </c>
      <c r="S3648" s="8">
        <v>46.598999999999997</v>
      </c>
      <c r="T3648" s="8">
        <v>35.200000000000003</v>
      </c>
      <c r="U3648" s="8">
        <v>29.300999999999998</v>
      </c>
      <c r="V3648" s="8">
        <v>22.401</v>
      </c>
      <c r="W3648" s="8">
        <v>14.801</v>
      </c>
      <c r="X3648" s="8">
        <v>11.099</v>
      </c>
      <c r="Y3648" s="8">
        <v>5.5449999999999999</v>
      </c>
      <c r="Z3648" s="8">
        <v>2.375</v>
      </c>
      <c r="AA3648" s="8">
        <v>0.65900000000000003</v>
      </c>
      <c r="AB3648" s="8">
        <v>0.106</v>
      </c>
      <c r="AC3648" s="8">
        <v>8.9999999999999993E-3</v>
      </c>
    </row>
    <row r="3649" spans="1:29" ht="11.65" hidden="1" x14ac:dyDescent="0.35">
      <c r="A3649" s="12">
        <v>3632</v>
      </c>
      <c r="B3649" s="10" t="s">
        <v>1015</v>
      </c>
      <c r="C3649" s="18" t="s">
        <v>1267</v>
      </c>
      <c r="D3649" s="9"/>
      <c r="E3649" s="9">
        <v>705</v>
      </c>
      <c r="F3649" s="10" t="s">
        <v>1066</v>
      </c>
      <c r="G3649" s="9">
        <v>925</v>
      </c>
      <c r="H3649" s="9">
        <v>1955</v>
      </c>
      <c r="I3649" s="8">
        <v>73.769000000000005</v>
      </c>
      <c r="J3649" s="8">
        <v>72.885999999999996</v>
      </c>
      <c r="K3649" s="8">
        <v>61.683999999999997</v>
      </c>
      <c r="L3649" s="8">
        <v>61.762999999999998</v>
      </c>
      <c r="M3649" s="8">
        <v>64.284000000000006</v>
      </c>
      <c r="N3649" s="8">
        <v>66.001000000000005</v>
      </c>
      <c r="O3649" s="8">
        <v>62.845999999999997</v>
      </c>
      <c r="P3649" s="8">
        <v>38.478000000000002</v>
      </c>
      <c r="Q3649" s="8">
        <v>51.113</v>
      </c>
      <c r="R3649" s="8">
        <v>54.613999999999997</v>
      </c>
      <c r="S3649" s="8">
        <v>50.290999999999997</v>
      </c>
      <c r="T3649" s="8">
        <v>43.744</v>
      </c>
      <c r="U3649" s="8">
        <v>32.262999999999998</v>
      </c>
      <c r="V3649" s="8">
        <v>25.756</v>
      </c>
      <c r="W3649" s="8">
        <v>18.161000000000001</v>
      </c>
      <c r="X3649" s="8">
        <v>10.315</v>
      </c>
      <c r="Y3649" s="8">
        <v>6.0330000000000004</v>
      </c>
      <c r="Z3649" s="8">
        <v>2.0779999999999998</v>
      </c>
      <c r="AA3649" s="8">
        <v>0.55200000000000005</v>
      </c>
      <c r="AB3649" s="8">
        <v>8.2000000000000003E-2</v>
      </c>
      <c r="AC3649" s="8">
        <v>8.0000000000000002E-3</v>
      </c>
    </row>
    <row r="3650" spans="1:29" ht="11.65" hidden="1" x14ac:dyDescent="0.35">
      <c r="A3650" s="12">
        <v>3633</v>
      </c>
      <c r="B3650" s="10" t="s">
        <v>1015</v>
      </c>
      <c r="C3650" s="18" t="s">
        <v>1267</v>
      </c>
      <c r="D3650" s="9"/>
      <c r="E3650" s="9">
        <v>705</v>
      </c>
      <c r="F3650" s="10" t="s">
        <v>1066</v>
      </c>
      <c r="G3650" s="9">
        <v>925</v>
      </c>
      <c r="H3650" s="9">
        <v>1960</v>
      </c>
      <c r="I3650" s="8">
        <v>68.731999999999999</v>
      </c>
      <c r="J3650" s="8">
        <v>73.183999999999997</v>
      </c>
      <c r="K3650" s="8">
        <v>72.504999999999995</v>
      </c>
      <c r="L3650" s="8">
        <v>59.921999999999997</v>
      </c>
      <c r="M3650" s="8">
        <v>60.783000000000001</v>
      </c>
      <c r="N3650" s="8">
        <v>63.966000000000001</v>
      </c>
      <c r="O3650" s="8">
        <v>65.486000000000004</v>
      </c>
      <c r="P3650" s="8">
        <v>61.850999999999999</v>
      </c>
      <c r="Q3650" s="8">
        <v>37.427</v>
      </c>
      <c r="R3650" s="8">
        <v>49.134999999999998</v>
      </c>
      <c r="S3650" s="8">
        <v>51.811</v>
      </c>
      <c r="T3650" s="8">
        <v>47.11</v>
      </c>
      <c r="U3650" s="8">
        <v>40.353999999999999</v>
      </c>
      <c r="V3650" s="8">
        <v>28.818000000000001</v>
      </c>
      <c r="W3650" s="8">
        <v>21.677</v>
      </c>
      <c r="X3650" s="8">
        <v>13.946</v>
      </c>
      <c r="Y3650" s="8">
        <v>6.86</v>
      </c>
      <c r="Z3650" s="8">
        <v>2.4020000000000001</v>
      </c>
      <c r="AA3650" s="8">
        <v>0.51500000000000001</v>
      </c>
      <c r="AB3650" s="8">
        <v>7.3999999999999996E-2</v>
      </c>
      <c r="AC3650" s="8">
        <v>7.0000000000000001E-3</v>
      </c>
    </row>
    <row r="3651" spans="1:29" ht="11.65" hidden="1" x14ac:dyDescent="0.35">
      <c r="A3651" s="12">
        <v>3634</v>
      </c>
      <c r="B3651" s="10" t="s">
        <v>1015</v>
      </c>
      <c r="C3651" s="18" t="s">
        <v>1267</v>
      </c>
      <c r="D3651" s="9"/>
      <c r="E3651" s="9">
        <v>705</v>
      </c>
      <c r="F3651" s="10" t="s">
        <v>1066</v>
      </c>
      <c r="G3651" s="9">
        <v>925</v>
      </c>
      <c r="H3651" s="9">
        <v>1965</v>
      </c>
      <c r="I3651" s="8">
        <v>67.242999999999995</v>
      </c>
      <c r="J3651" s="8">
        <v>67.096000000000004</v>
      </c>
      <c r="K3651" s="8">
        <v>72.700999999999993</v>
      </c>
      <c r="L3651" s="8">
        <v>70.111999999999995</v>
      </c>
      <c r="M3651" s="8">
        <v>58.999000000000002</v>
      </c>
      <c r="N3651" s="8">
        <v>59.796999999999997</v>
      </c>
      <c r="O3651" s="8">
        <v>62.898000000000003</v>
      </c>
      <c r="P3651" s="8">
        <v>64.204999999999998</v>
      </c>
      <c r="Q3651" s="8">
        <v>60.524999999999999</v>
      </c>
      <c r="R3651" s="8">
        <v>36.191000000000003</v>
      </c>
      <c r="S3651" s="8">
        <v>47.197000000000003</v>
      </c>
      <c r="T3651" s="8">
        <v>49.203000000000003</v>
      </c>
      <c r="U3651" s="8">
        <v>43.904000000000003</v>
      </c>
      <c r="V3651" s="8">
        <v>36.406999999999996</v>
      </c>
      <c r="W3651" s="8">
        <v>24.402000000000001</v>
      </c>
      <c r="X3651" s="8">
        <v>16.602</v>
      </c>
      <c r="Y3651" s="8">
        <v>8.1539999999999999</v>
      </c>
      <c r="Z3651" s="8">
        <v>2.8450000000000002</v>
      </c>
      <c r="AA3651" s="8">
        <v>0.621</v>
      </c>
      <c r="AB3651" s="8">
        <v>7.2999999999999995E-2</v>
      </c>
      <c r="AC3651" s="8">
        <v>6.0000000000000001E-3</v>
      </c>
    </row>
    <row r="3652" spans="1:29" ht="11.65" hidden="1" x14ac:dyDescent="0.35">
      <c r="A3652" s="12">
        <v>3635</v>
      </c>
      <c r="B3652" s="10" t="s">
        <v>1015</v>
      </c>
      <c r="C3652" s="18" t="s">
        <v>1267</v>
      </c>
      <c r="D3652" s="9"/>
      <c r="E3652" s="9">
        <v>705</v>
      </c>
      <c r="F3652" s="10" t="s">
        <v>1066</v>
      </c>
      <c r="G3652" s="9">
        <v>925</v>
      </c>
      <c r="H3652" s="9">
        <v>1970</v>
      </c>
      <c r="I3652" s="8">
        <v>65.337000000000003</v>
      </c>
      <c r="J3652" s="8">
        <v>66.84</v>
      </c>
      <c r="K3652" s="8">
        <v>64.745999999999995</v>
      </c>
      <c r="L3652" s="8">
        <v>71.777000000000001</v>
      </c>
      <c r="M3652" s="8">
        <v>68.042000000000002</v>
      </c>
      <c r="N3652" s="8">
        <v>55.834000000000003</v>
      </c>
      <c r="O3652" s="8">
        <v>58.36</v>
      </c>
      <c r="P3652" s="8">
        <v>61.457000000000001</v>
      </c>
      <c r="Q3652" s="8">
        <v>62.686999999999998</v>
      </c>
      <c r="R3652" s="8">
        <v>59.055</v>
      </c>
      <c r="S3652" s="8">
        <v>35.234999999999999</v>
      </c>
      <c r="T3652" s="8">
        <v>45.52</v>
      </c>
      <c r="U3652" s="8">
        <v>46.423000000000002</v>
      </c>
      <c r="V3652" s="8">
        <v>39.207999999999998</v>
      </c>
      <c r="W3652" s="8">
        <v>30.689</v>
      </c>
      <c r="X3652" s="8">
        <v>17.199000000000002</v>
      </c>
      <c r="Y3652" s="8">
        <v>8.7669999999999995</v>
      </c>
      <c r="Z3652" s="8">
        <v>3.44</v>
      </c>
      <c r="AA3652" s="8">
        <v>0.748</v>
      </c>
      <c r="AB3652" s="8">
        <v>8.8999999999999996E-2</v>
      </c>
      <c r="AC3652" s="8">
        <v>6.0000000000000001E-3</v>
      </c>
    </row>
    <row r="3653" spans="1:29" ht="11.65" hidden="1" x14ac:dyDescent="0.35">
      <c r="A3653" s="12">
        <v>3636</v>
      </c>
      <c r="B3653" s="10" t="s">
        <v>1015</v>
      </c>
      <c r="C3653" s="18" t="s">
        <v>1267</v>
      </c>
      <c r="D3653" s="9"/>
      <c r="E3653" s="9">
        <v>705</v>
      </c>
      <c r="F3653" s="10" t="s">
        <v>1066</v>
      </c>
      <c r="G3653" s="9">
        <v>925</v>
      </c>
      <c r="H3653" s="9">
        <v>1975</v>
      </c>
      <c r="I3653" s="8">
        <v>68.028000000000006</v>
      </c>
      <c r="J3653" s="8">
        <v>65.813000000000002</v>
      </c>
      <c r="K3653" s="8">
        <v>67.402000000000001</v>
      </c>
      <c r="L3653" s="8">
        <v>65.293999999999997</v>
      </c>
      <c r="M3653" s="8">
        <v>72.200999999999993</v>
      </c>
      <c r="N3653" s="8">
        <v>68.411000000000001</v>
      </c>
      <c r="O3653" s="8">
        <v>56.097999999999999</v>
      </c>
      <c r="P3653" s="8">
        <v>58.497999999999998</v>
      </c>
      <c r="Q3653" s="8">
        <v>61.399000000000001</v>
      </c>
      <c r="R3653" s="8">
        <v>62.201999999999998</v>
      </c>
      <c r="S3653" s="8">
        <v>58.023000000000003</v>
      </c>
      <c r="T3653" s="8">
        <v>34.393999999999998</v>
      </c>
      <c r="U3653" s="8">
        <v>43.496000000000002</v>
      </c>
      <c r="V3653" s="8">
        <v>43.002000000000002</v>
      </c>
      <c r="W3653" s="8">
        <v>34.204000000000001</v>
      </c>
      <c r="X3653" s="8">
        <v>24.204999999999998</v>
      </c>
      <c r="Y3653" s="8">
        <v>10.654</v>
      </c>
      <c r="Z3653" s="8">
        <v>3.7959999999999998</v>
      </c>
      <c r="AA3653" s="8">
        <v>0.93300000000000005</v>
      </c>
      <c r="AB3653" s="8">
        <v>0.109</v>
      </c>
      <c r="AC3653" s="8">
        <v>8.0000000000000002E-3</v>
      </c>
    </row>
    <row r="3654" spans="1:29" ht="11.65" hidden="1" x14ac:dyDescent="0.35">
      <c r="A3654" s="12">
        <v>3637</v>
      </c>
      <c r="B3654" s="10" t="s">
        <v>1015</v>
      </c>
      <c r="C3654" s="18" t="s">
        <v>1267</v>
      </c>
      <c r="D3654" s="9"/>
      <c r="E3654" s="9">
        <v>705</v>
      </c>
      <c r="F3654" s="10" t="s">
        <v>1066</v>
      </c>
      <c r="G3654" s="9">
        <v>925</v>
      </c>
      <c r="H3654" s="9">
        <v>1980</v>
      </c>
      <c r="I3654" s="8">
        <v>72.241</v>
      </c>
      <c r="J3654" s="8">
        <v>68.793999999999997</v>
      </c>
      <c r="K3654" s="8">
        <v>66.683000000000007</v>
      </c>
      <c r="L3654" s="8">
        <v>69.451999999999998</v>
      </c>
      <c r="M3654" s="8">
        <v>73.605999999999995</v>
      </c>
      <c r="N3654" s="8">
        <v>76.238</v>
      </c>
      <c r="O3654" s="8">
        <v>66.537000000000006</v>
      </c>
      <c r="P3654" s="8">
        <v>53.636000000000003</v>
      </c>
      <c r="Q3654" s="8">
        <v>59.116999999999997</v>
      </c>
      <c r="R3654" s="8">
        <v>61.284999999999997</v>
      </c>
      <c r="S3654" s="8">
        <v>61.642000000000003</v>
      </c>
      <c r="T3654" s="8">
        <v>57.082999999999998</v>
      </c>
      <c r="U3654" s="8">
        <v>33.658000000000001</v>
      </c>
      <c r="V3654" s="8">
        <v>41.252000000000002</v>
      </c>
      <c r="W3654" s="8">
        <v>38.279000000000003</v>
      </c>
      <c r="X3654" s="8">
        <v>26.867999999999999</v>
      </c>
      <c r="Y3654" s="8">
        <v>16.934000000000001</v>
      </c>
      <c r="Z3654" s="8">
        <v>4.8</v>
      </c>
      <c r="AA3654" s="8">
        <v>1.075</v>
      </c>
      <c r="AB3654" s="8">
        <v>0.14299999999999999</v>
      </c>
      <c r="AC3654" s="8">
        <v>0.01</v>
      </c>
    </row>
    <row r="3655" spans="1:29" ht="11.65" hidden="1" x14ac:dyDescent="0.35">
      <c r="A3655" s="12">
        <v>3638</v>
      </c>
      <c r="B3655" s="10" t="s">
        <v>1015</v>
      </c>
      <c r="C3655" s="18" t="s">
        <v>1267</v>
      </c>
      <c r="D3655" s="9"/>
      <c r="E3655" s="9">
        <v>705</v>
      </c>
      <c r="F3655" s="10" t="s">
        <v>1066</v>
      </c>
      <c r="G3655" s="9">
        <v>925</v>
      </c>
      <c r="H3655" s="9">
        <v>1985</v>
      </c>
      <c r="I3655" s="8">
        <v>69.168999999999997</v>
      </c>
      <c r="J3655" s="8">
        <v>72.519000000000005</v>
      </c>
      <c r="K3655" s="8">
        <v>68.570999999999998</v>
      </c>
      <c r="L3655" s="8">
        <v>71.066000000000003</v>
      </c>
      <c r="M3655" s="8">
        <v>74.58</v>
      </c>
      <c r="N3655" s="8">
        <v>77.933000000000007</v>
      </c>
      <c r="O3655" s="8">
        <v>80.626999999999995</v>
      </c>
      <c r="P3655" s="8">
        <v>65.043000000000006</v>
      </c>
      <c r="Q3655" s="8">
        <v>60.252000000000002</v>
      </c>
      <c r="R3655" s="8">
        <v>59.093000000000004</v>
      </c>
      <c r="S3655" s="8">
        <v>62.738999999999997</v>
      </c>
      <c r="T3655" s="8">
        <v>59.871000000000002</v>
      </c>
      <c r="U3655" s="8">
        <v>55.112000000000002</v>
      </c>
      <c r="V3655" s="8">
        <v>26.984000000000002</v>
      </c>
      <c r="W3655" s="8">
        <v>39.58</v>
      </c>
      <c r="X3655" s="8">
        <v>29.731999999999999</v>
      </c>
      <c r="Y3655" s="8">
        <v>16.247</v>
      </c>
      <c r="Z3655" s="8">
        <v>7.859</v>
      </c>
      <c r="AA3655" s="8">
        <v>1.425</v>
      </c>
      <c r="AB3655" s="8">
        <v>0.17499999999999999</v>
      </c>
      <c r="AC3655" s="8">
        <v>1.2E-2</v>
      </c>
    </row>
    <row r="3656" spans="1:29" ht="11.65" hidden="1" x14ac:dyDescent="0.35">
      <c r="A3656" s="12">
        <v>3639</v>
      </c>
      <c r="B3656" s="10" t="s">
        <v>1015</v>
      </c>
      <c r="C3656" s="18" t="s">
        <v>1267</v>
      </c>
      <c r="D3656" s="9"/>
      <c r="E3656" s="9">
        <v>705</v>
      </c>
      <c r="F3656" s="10" t="s">
        <v>1066</v>
      </c>
      <c r="G3656" s="9">
        <v>925</v>
      </c>
      <c r="H3656" s="9">
        <v>1990</v>
      </c>
      <c r="I3656" s="8">
        <v>59.83</v>
      </c>
      <c r="J3656" s="8">
        <v>68.837999999999994</v>
      </c>
      <c r="K3656" s="8">
        <v>73.153000000000006</v>
      </c>
      <c r="L3656" s="8">
        <v>69.930000000000007</v>
      </c>
      <c r="M3656" s="8">
        <v>75.927000000000007</v>
      </c>
      <c r="N3656" s="8">
        <v>78.319999999999993</v>
      </c>
      <c r="O3656" s="8">
        <v>79.997</v>
      </c>
      <c r="P3656" s="8">
        <v>81.539000000000001</v>
      </c>
      <c r="Q3656" s="8">
        <v>65.471000000000004</v>
      </c>
      <c r="R3656" s="8">
        <v>60.865000000000002</v>
      </c>
      <c r="S3656" s="8">
        <v>58.448999999999998</v>
      </c>
      <c r="T3656" s="8">
        <v>61.56</v>
      </c>
      <c r="U3656" s="8">
        <v>57.94</v>
      </c>
      <c r="V3656" s="8">
        <v>51.591000000000001</v>
      </c>
      <c r="W3656" s="8">
        <v>23.831</v>
      </c>
      <c r="X3656" s="8">
        <v>32.713000000000001</v>
      </c>
      <c r="Y3656" s="8">
        <v>20.350000000000001</v>
      </c>
      <c r="Z3656" s="8">
        <v>8.0749999999999993</v>
      </c>
      <c r="AA3656" s="8">
        <v>2.5470000000000002</v>
      </c>
      <c r="AB3656" s="8">
        <v>0.252</v>
      </c>
      <c r="AC3656" s="8">
        <v>1.6E-2</v>
      </c>
    </row>
    <row r="3657" spans="1:29" ht="11.65" hidden="1" x14ac:dyDescent="0.35">
      <c r="A3657" s="12">
        <v>3640</v>
      </c>
      <c r="B3657" s="10" t="s">
        <v>1015</v>
      </c>
      <c r="C3657" s="18" t="s">
        <v>1267</v>
      </c>
      <c r="D3657" s="9"/>
      <c r="E3657" s="9">
        <v>705</v>
      </c>
      <c r="F3657" s="10" t="s">
        <v>1066</v>
      </c>
      <c r="G3657" s="9">
        <v>925</v>
      </c>
      <c r="H3657" s="9">
        <v>1995</v>
      </c>
      <c r="I3657" s="8">
        <v>48.335999999999999</v>
      </c>
      <c r="J3657" s="8">
        <v>59.902000000000001</v>
      </c>
      <c r="K3657" s="8">
        <v>68.608000000000004</v>
      </c>
      <c r="L3657" s="8">
        <v>73.096000000000004</v>
      </c>
      <c r="M3657" s="8">
        <v>68.64</v>
      </c>
      <c r="N3657" s="8">
        <v>74.649000000000001</v>
      </c>
      <c r="O3657" s="8">
        <v>76.53</v>
      </c>
      <c r="P3657" s="8">
        <v>77.694999999999993</v>
      </c>
      <c r="Q3657" s="8">
        <v>80.628</v>
      </c>
      <c r="R3657" s="8">
        <v>63.000999999999998</v>
      </c>
      <c r="S3657" s="8">
        <v>59.69</v>
      </c>
      <c r="T3657" s="8">
        <v>56.439</v>
      </c>
      <c r="U3657" s="8">
        <v>59.136000000000003</v>
      </c>
      <c r="V3657" s="8">
        <v>54.253999999999998</v>
      </c>
      <c r="W3657" s="8">
        <v>47.469000000000001</v>
      </c>
      <c r="X3657" s="8">
        <v>19.297000000000001</v>
      </c>
      <c r="Y3657" s="8">
        <v>23.391999999999999</v>
      </c>
      <c r="Z3657" s="8">
        <v>10.74</v>
      </c>
      <c r="AA3657" s="8">
        <v>2.754</v>
      </c>
      <c r="AB3657" s="8">
        <v>0.46899999999999997</v>
      </c>
      <c r="AC3657" s="8">
        <v>2.3E-2</v>
      </c>
    </row>
    <row r="3658" spans="1:29" ht="11.65" hidden="1" x14ac:dyDescent="0.35">
      <c r="A3658" s="12">
        <v>3641</v>
      </c>
      <c r="B3658" s="10" t="s">
        <v>1015</v>
      </c>
      <c r="C3658" s="18" t="s">
        <v>1267</v>
      </c>
      <c r="D3658" s="9"/>
      <c r="E3658" s="9">
        <v>705</v>
      </c>
      <c r="F3658" s="10" t="s">
        <v>1066</v>
      </c>
      <c r="G3658" s="9">
        <v>925</v>
      </c>
      <c r="H3658" s="9">
        <v>2000</v>
      </c>
      <c r="I3658" s="8">
        <v>43.648000000000003</v>
      </c>
      <c r="J3658" s="8">
        <v>48.912999999999997</v>
      </c>
      <c r="K3658" s="8">
        <v>59.970999999999997</v>
      </c>
      <c r="L3658" s="8">
        <v>68.319999999999993</v>
      </c>
      <c r="M3658" s="8">
        <v>72.816000000000003</v>
      </c>
      <c r="N3658" s="8">
        <v>68.683000000000007</v>
      </c>
      <c r="O3658" s="8">
        <v>74.688999999999993</v>
      </c>
      <c r="P3658" s="8">
        <v>76.245000000000005</v>
      </c>
      <c r="Q3658" s="8">
        <v>76.625</v>
      </c>
      <c r="R3658" s="8">
        <v>77.426000000000002</v>
      </c>
      <c r="S3658" s="8">
        <v>59.817</v>
      </c>
      <c r="T3658" s="8">
        <v>56.853999999999999</v>
      </c>
      <c r="U3658" s="8">
        <v>53.984000000000002</v>
      </c>
      <c r="V3658" s="8">
        <v>55.616</v>
      </c>
      <c r="W3658" s="8">
        <v>49.351999999999997</v>
      </c>
      <c r="X3658" s="8">
        <v>40.146000000000001</v>
      </c>
      <c r="Y3658" s="8">
        <v>14.731999999999999</v>
      </c>
      <c r="Z3658" s="8">
        <v>13.222</v>
      </c>
      <c r="AA3658" s="8">
        <v>4.0380000000000003</v>
      </c>
      <c r="AB3658" s="8">
        <v>0.56299999999999994</v>
      </c>
      <c r="AC3658" s="8">
        <v>4.5999999999999999E-2</v>
      </c>
    </row>
    <row r="3659" spans="1:29" ht="11.65" hidden="1" x14ac:dyDescent="0.35">
      <c r="A3659" s="12">
        <v>3642</v>
      </c>
      <c r="B3659" s="10" t="s">
        <v>1015</v>
      </c>
      <c r="C3659" s="18" t="s">
        <v>1267</v>
      </c>
      <c r="D3659" s="9"/>
      <c r="E3659" s="9">
        <v>705</v>
      </c>
      <c r="F3659" s="10" t="s">
        <v>1066</v>
      </c>
      <c r="G3659" s="9">
        <v>925</v>
      </c>
      <c r="H3659" s="9">
        <v>2005</v>
      </c>
      <c r="I3659" s="8">
        <v>42.587000000000003</v>
      </c>
      <c r="J3659" s="8">
        <v>43.817999999999998</v>
      </c>
      <c r="K3659" s="8">
        <v>49.051000000000002</v>
      </c>
      <c r="L3659" s="8">
        <v>60.783000000000001</v>
      </c>
      <c r="M3659" s="8">
        <v>69.727000000000004</v>
      </c>
      <c r="N3659" s="8">
        <v>74.114000000000004</v>
      </c>
      <c r="O3659" s="8">
        <v>69.576999999999998</v>
      </c>
      <c r="P3659" s="8">
        <v>75.144999999999996</v>
      </c>
      <c r="Q3659" s="8">
        <v>76.313999999999993</v>
      </c>
      <c r="R3659" s="8">
        <v>76.230999999999995</v>
      </c>
      <c r="S3659" s="8">
        <v>76.456999999999994</v>
      </c>
      <c r="T3659" s="8">
        <v>58.637</v>
      </c>
      <c r="U3659" s="8">
        <v>55.219000000000001</v>
      </c>
      <c r="V3659" s="8">
        <v>51.575000000000003</v>
      </c>
      <c r="W3659" s="8">
        <v>51.296999999999997</v>
      </c>
      <c r="X3659" s="8">
        <v>42.744</v>
      </c>
      <c r="Y3659" s="8">
        <v>30.669</v>
      </c>
      <c r="Z3659" s="8">
        <v>8.9540000000000006</v>
      </c>
      <c r="AA3659" s="8">
        <v>5.5369999999999999</v>
      </c>
      <c r="AB3659" s="8">
        <v>0.97899999999999998</v>
      </c>
      <c r="AC3659" s="8">
        <v>7.0000000000000007E-2</v>
      </c>
    </row>
    <row r="3660" spans="1:29" ht="11.65" hidden="1" x14ac:dyDescent="0.35">
      <c r="A3660" s="12">
        <v>3643</v>
      </c>
      <c r="B3660" s="10" t="s">
        <v>1015</v>
      </c>
      <c r="C3660" s="18" t="s">
        <v>1267</v>
      </c>
      <c r="D3660" s="9"/>
      <c r="E3660" s="9">
        <v>705</v>
      </c>
      <c r="F3660" s="10" t="s">
        <v>1066</v>
      </c>
      <c r="G3660" s="9">
        <v>925</v>
      </c>
      <c r="H3660" s="9">
        <v>2010</v>
      </c>
      <c r="I3660" s="8">
        <v>50.497999999999998</v>
      </c>
      <c r="J3660" s="8">
        <v>43.314999999999998</v>
      </c>
      <c r="K3660" s="8">
        <v>44.67</v>
      </c>
      <c r="L3660" s="8">
        <v>49.807000000000002</v>
      </c>
      <c r="M3660" s="8">
        <v>62.098999999999997</v>
      </c>
      <c r="N3660" s="8">
        <v>70.959000000000003</v>
      </c>
      <c r="O3660" s="8">
        <v>74.686000000000007</v>
      </c>
      <c r="P3660" s="8">
        <v>69.849999999999994</v>
      </c>
      <c r="Q3660" s="8">
        <v>75.051000000000002</v>
      </c>
      <c r="R3660" s="8">
        <v>76.081000000000003</v>
      </c>
      <c r="S3660" s="8">
        <v>75.552999999999997</v>
      </c>
      <c r="T3660" s="8">
        <v>75.058000000000007</v>
      </c>
      <c r="U3660" s="8">
        <v>57.034999999999997</v>
      </c>
      <c r="V3660" s="8">
        <v>53.011000000000003</v>
      </c>
      <c r="W3660" s="8">
        <v>48.418999999999997</v>
      </c>
      <c r="X3660" s="8">
        <v>45.594000000000001</v>
      </c>
      <c r="Y3660" s="8">
        <v>34.087000000000003</v>
      </c>
      <c r="Z3660" s="8">
        <v>19.524999999999999</v>
      </c>
      <c r="AA3660" s="8">
        <v>3.9820000000000002</v>
      </c>
      <c r="AB3660" s="8">
        <v>1.45</v>
      </c>
      <c r="AC3660" s="8">
        <v>0.125</v>
      </c>
    </row>
    <row r="3661" spans="1:29" ht="11.65" hidden="1" x14ac:dyDescent="0.35">
      <c r="A3661" s="12">
        <v>3644</v>
      </c>
      <c r="B3661" s="10" t="s">
        <v>1015</v>
      </c>
      <c r="C3661" s="18" t="s">
        <v>1267</v>
      </c>
      <c r="D3661" s="9"/>
      <c r="E3661" s="9">
        <v>705</v>
      </c>
      <c r="F3661" s="10" t="s">
        <v>1066</v>
      </c>
      <c r="G3661" s="9">
        <v>925</v>
      </c>
      <c r="H3661" s="9">
        <v>2015</v>
      </c>
      <c r="I3661" s="8">
        <v>52.771000000000001</v>
      </c>
      <c r="J3661" s="8">
        <v>50.56</v>
      </c>
      <c r="K3661" s="8">
        <v>43.984000000000002</v>
      </c>
      <c r="L3661" s="8">
        <v>45.503</v>
      </c>
      <c r="M3661" s="8">
        <v>52.389000000000003</v>
      </c>
      <c r="N3661" s="8">
        <v>63.732999999999997</v>
      </c>
      <c r="O3661" s="8">
        <v>71.106999999999999</v>
      </c>
      <c r="P3661" s="8">
        <v>74.805999999999997</v>
      </c>
      <c r="Q3661" s="8">
        <v>69.8</v>
      </c>
      <c r="R3661" s="8">
        <v>74.866</v>
      </c>
      <c r="S3661" s="8">
        <v>75.462999999999994</v>
      </c>
      <c r="T3661" s="8">
        <v>74.433999999999997</v>
      </c>
      <c r="U3661" s="8">
        <v>73.271000000000001</v>
      </c>
      <c r="V3661" s="8">
        <v>55.009</v>
      </c>
      <c r="W3661" s="8">
        <v>50.103999999999999</v>
      </c>
      <c r="X3661" s="8">
        <v>43.762999999999998</v>
      </c>
      <c r="Y3661" s="8">
        <v>37.271999999999998</v>
      </c>
      <c r="Z3661" s="8">
        <v>22.712</v>
      </c>
      <c r="AA3661" s="8">
        <v>9.0779999999999994</v>
      </c>
      <c r="AB3661" s="8">
        <v>1.113</v>
      </c>
      <c r="AC3661" s="8">
        <v>0.21</v>
      </c>
    </row>
    <row r="3662" spans="1:29" ht="11.65" hidden="1" x14ac:dyDescent="0.35">
      <c r="A3662" s="12">
        <v>3645</v>
      </c>
      <c r="B3662" s="10" t="s">
        <v>1015</v>
      </c>
      <c r="C3662" s="18" t="s">
        <v>1267</v>
      </c>
      <c r="D3662" s="9"/>
      <c r="E3662" s="9">
        <v>705</v>
      </c>
      <c r="F3662" s="10" t="s">
        <v>1066</v>
      </c>
      <c r="G3662" s="9">
        <v>925</v>
      </c>
      <c r="H3662" s="9">
        <v>2020</v>
      </c>
      <c r="I3662" s="8">
        <v>49.238999999999997</v>
      </c>
      <c r="J3662" s="8">
        <v>52.886000000000003</v>
      </c>
      <c r="K3662" s="8">
        <v>50.652000000000001</v>
      </c>
      <c r="L3662" s="8">
        <v>44.536999999999999</v>
      </c>
      <c r="M3662" s="8">
        <v>46.454999999999998</v>
      </c>
      <c r="N3662" s="8">
        <v>53.262999999999998</v>
      </c>
      <c r="O3662" s="8">
        <v>64.346999999999994</v>
      </c>
      <c r="P3662" s="8">
        <v>71.441000000000003</v>
      </c>
      <c r="Q3662" s="8">
        <v>74.903000000000006</v>
      </c>
      <c r="R3662" s="8">
        <v>69.662000000000006</v>
      </c>
      <c r="S3662" s="8">
        <v>74.372</v>
      </c>
      <c r="T3662" s="8">
        <v>74.480999999999995</v>
      </c>
      <c r="U3662" s="8">
        <v>72.762</v>
      </c>
      <c r="V3662" s="8">
        <v>70.748999999999995</v>
      </c>
      <c r="W3662" s="8">
        <v>52.146000000000001</v>
      </c>
      <c r="X3662" s="8">
        <v>45.765999999999998</v>
      </c>
      <c r="Y3662" s="8">
        <v>36.590000000000003</v>
      </c>
      <c r="Z3662" s="8">
        <v>25.765999999999998</v>
      </c>
      <c r="AA3662" s="8">
        <v>11.045</v>
      </c>
      <c r="AB3662" s="8">
        <v>2.4809999999999999</v>
      </c>
      <c r="AC3662" s="8">
        <v>0.159</v>
      </c>
    </row>
    <row r="3663" spans="1:29" ht="11.65" hidden="1" x14ac:dyDescent="0.35">
      <c r="A3663" s="12">
        <v>3646</v>
      </c>
      <c r="B3663" s="10" t="s">
        <v>1015</v>
      </c>
      <c r="C3663" s="18" t="s">
        <v>1268</v>
      </c>
      <c r="D3663" s="9">
        <v>26</v>
      </c>
      <c r="E3663" s="9">
        <v>724</v>
      </c>
      <c r="F3663" s="10" t="s">
        <v>1066</v>
      </c>
      <c r="G3663" s="9">
        <v>925</v>
      </c>
      <c r="H3663" s="9">
        <v>1950</v>
      </c>
      <c r="I3663" s="8">
        <v>1301.002</v>
      </c>
      <c r="J3663" s="8">
        <v>1190.644</v>
      </c>
      <c r="K3663" s="8">
        <v>1153.0170000000001</v>
      </c>
      <c r="L3663" s="8">
        <v>1384.125</v>
      </c>
      <c r="M3663" s="8">
        <v>1332.9670000000001</v>
      </c>
      <c r="N3663" s="8">
        <v>1227.473</v>
      </c>
      <c r="O3663" s="8">
        <v>1022.294</v>
      </c>
      <c r="P3663" s="8">
        <v>1026.905</v>
      </c>
      <c r="Q3663" s="8">
        <v>932.88099999999997</v>
      </c>
      <c r="R3663" s="8">
        <v>884.274</v>
      </c>
      <c r="S3663" s="8">
        <v>718.72500000000002</v>
      </c>
      <c r="T3663" s="8">
        <v>628.39200000000005</v>
      </c>
      <c r="U3663" s="8">
        <v>559.16600000000005</v>
      </c>
      <c r="V3663" s="8">
        <v>457.488</v>
      </c>
      <c r="W3663" s="8">
        <v>333.26799999999997</v>
      </c>
      <c r="X3663" s="8">
        <v>220.04400000000001</v>
      </c>
      <c r="Y3663" s="8">
        <v>119.669</v>
      </c>
      <c r="Z3663" s="8">
        <v>50.427</v>
      </c>
      <c r="AA3663" s="8">
        <v>15.891</v>
      </c>
      <c r="AB3663" s="8">
        <v>3.556</v>
      </c>
      <c r="AC3663" s="8">
        <v>0.45500000000000002</v>
      </c>
    </row>
    <row r="3664" spans="1:29" ht="11.65" hidden="1" x14ac:dyDescent="0.35">
      <c r="A3664" s="12">
        <v>3647</v>
      </c>
      <c r="B3664" s="10" t="s">
        <v>1015</v>
      </c>
      <c r="C3664" s="18" t="s">
        <v>1268</v>
      </c>
      <c r="D3664" s="9">
        <v>26</v>
      </c>
      <c r="E3664" s="9">
        <v>724</v>
      </c>
      <c r="F3664" s="10" t="s">
        <v>1066</v>
      </c>
      <c r="G3664" s="9">
        <v>925</v>
      </c>
      <c r="H3664" s="9">
        <v>1955</v>
      </c>
      <c r="I3664" s="8">
        <v>1322.194</v>
      </c>
      <c r="J3664" s="8">
        <v>1279.6569999999999</v>
      </c>
      <c r="K3664" s="8">
        <v>1200.047</v>
      </c>
      <c r="L3664" s="8">
        <v>1144.434</v>
      </c>
      <c r="M3664" s="8">
        <v>1337.421</v>
      </c>
      <c r="N3664" s="8">
        <v>1262.3710000000001</v>
      </c>
      <c r="O3664" s="8">
        <v>1159.374</v>
      </c>
      <c r="P3664" s="8">
        <v>970.73900000000003</v>
      </c>
      <c r="Q3664" s="8">
        <v>980.173</v>
      </c>
      <c r="R3664" s="8">
        <v>891.62</v>
      </c>
      <c r="S3664" s="8">
        <v>843.01199999999994</v>
      </c>
      <c r="T3664" s="8">
        <v>682.09100000000001</v>
      </c>
      <c r="U3664" s="8">
        <v>592.322</v>
      </c>
      <c r="V3664" s="8">
        <v>500.28199999999998</v>
      </c>
      <c r="W3664" s="8">
        <v>373.13099999999997</v>
      </c>
      <c r="X3664" s="8">
        <v>242.096</v>
      </c>
      <c r="Y3664" s="8">
        <v>141.97200000000001</v>
      </c>
      <c r="Z3664" s="8">
        <v>58.313000000000002</v>
      </c>
      <c r="AA3664" s="8">
        <v>17.645</v>
      </c>
      <c r="AB3664" s="8">
        <v>4.0720000000000001</v>
      </c>
      <c r="AC3664" s="8">
        <v>0.55100000000000005</v>
      </c>
    </row>
    <row r="3665" spans="1:29" ht="11.65" hidden="1" x14ac:dyDescent="0.35">
      <c r="A3665" s="12">
        <v>3648</v>
      </c>
      <c r="B3665" s="10" t="s">
        <v>1015</v>
      </c>
      <c r="C3665" s="18" t="s">
        <v>1268</v>
      </c>
      <c r="D3665" s="9">
        <v>26</v>
      </c>
      <c r="E3665" s="9">
        <v>724</v>
      </c>
      <c r="F3665" s="10" t="s">
        <v>1066</v>
      </c>
      <c r="G3665" s="9">
        <v>925</v>
      </c>
      <c r="H3665" s="9">
        <v>1960</v>
      </c>
      <c r="I3665" s="8">
        <v>1469.7080000000001</v>
      </c>
      <c r="J3665" s="8">
        <v>1308.5619999999999</v>
      </c>
      <c r="K3665" s="8">
        <v>1294.0889999999999</v>
      </c>
      <c r="L3665" s="8">
        <v>1214.5360000000001</v>
      </c>
      <c r="M3665" s="8">
        <v>1134.03</v>
      </c>
      <c r="N3665" s="8">
        <v>1292.088</v>
      </c>
      <c r="O3665" s="8">
        <v>1196.117</v>
      </c>
      <c r="P3665" s="8">
        <v>1096.817</v>
      </c>
      <c r="Q3665" s="8">
        <v>925.77300000000002</v>
      </c>
      <c r="R3665" s="8">
        <v>939.71500000000003</v>
      </c>
      <c r="S3665" s="8">
        <v>850.11400000000003</v>
      </c>
      <c r="T3665" s="8">
        <v>797.15499999999997</v>
      </c>
      <c r="U3665" s="8">
        <v>638.29700000000003</v>
      </c>
      <c r="V3665" s="8">
        <v>541.49900000000002</v>
      </c>
      <c r="W3665" s="8">
        <v>421.83499999999998</v>
      </c>
      <c r="X3665" s="8">
        <v>270.18400000000003</v>
      </c>
      <c r="Y3665" s="8">
        <v>152.28700000000001</v>
      </c>
      <c r="Z3665" s="8">
        <v>68.572999999999993</v>
      </c>
      <c r="AA3665" s="8">
        <v>19.62</v>
      </c>
      <c r="AB3665" s="8">
        <v>4.0330000000000004</v>
      </c>
      <c r="AC3665" s="8">
        <v>0.54400000000000004</v>
      </c>
    </row>
    <row r="3666" spans="1:29" ht="11.65" hidden="1" x14ac:dyDescent="0.35">
      <c r="A3666" s="12">
        <v>3649</v>
      </c>
      <c r="B3666" s="10" t="s">
        <v>1015</v>
      </c>
      <c r="C3666" s="18" t="s">
        <v>1268</v>
      </c>
      <c r="D3666" s="9">
        <v>26</v>
      </c>
      <c r="E3666" s="9">
        <v>724</v>
      </c>
      <c r="F3666" s="10" t="s">
        <v>1066</v>
      </c>
      <c r="G3666" s="9">
        <v>925</v>
      </c>
      <c r="H3666" s="9">
        <v>1965</v>
      </c>
      <c r="I3666" s="8">
        <v>1561.1880000000001</v>
      </c>
      <c r="J3666" s="8">
        <v>1484.836</v>
      </c>
      <c r="K3666" s="8">
        <v>1311.251</v>
      </c>
      <c r="L3666" s="8">
        <v>1279.1769999999999</v>
      </c>
      <c r="M3666" s="8">
        <v>1176.885</v>
      </c>
      <c r="N3666" s="8">
        <v>1096.6780000000001</v>
      </c>
      <c r="O3666" s="8">
        <v>1261.5989999999999</v>
      </c>
      <c r="P3666" s="8">
        <v>1172.2049999999999</v>
      </c>
      <c r="Q3666" s="8">
        <v>1076.8589999999999</v>
      </c>
      <c r="R3666" s="8">
        <v>905.65200000000004</v>
      </c>
      <c r="S3666" s="8">
        <v>915.91</v>
      </c>
      <c r="T3666" s="8">
        <v>825.58199999999999</v>
      </c>
      <c r="U3666" s="8">
        <v>763.96500000000003</v>
      </c>
      <c r="V3666" s="8">
        <v>586.20799999999997</v>
      </c>
      <c r="W3666" s="8">
        <v>463.06099999999998</v>
      </c>
      <c r="X3666" s="8">
        <v>322.59500000000003</v>
      </c>
      <c r="Y3666" s="8">
        <v>181.215</v>
      </c>
      <c r="Z3666" s="8">
        <v>77.539000000000001</v>
      </c>
      <c r="AA3666" s="8">
        <v>23.916</v>
      </c>
      <c r="AB3666" s="8">
        <v>4.516</v>
      </c>
      <c r="AC3666" s="8">
        <v>0.53900000000000003</v>
      </c>
    </row>
    <row r="3667" spans="1:29" ht="11.65" hidden="1" x14ac:dyDescent="0.35">
      <c r="A3667" s="12">
        <v>3650</v>
      </c>
      <c r="B3667" s="10" t="s">
        <v>1015</v>
      </c>
      <c r="C3667" s="18" t="s">
        <v>1268</v>
      </c>
      <c r="D3667" s="9">
        <v>26</v>
      </c>
      <c r="E3667" s="9">
        <v>724</v>
      </c>
      <c r="F3667" s="10" t="s">
        <v>1066</v>
      </c>
      <c r="G3667" s="9">
        <v>925</v>
      </c>
      <c r="H3667" s="9">
        <v>1970</v>
      </c>
      <c r="I3667" s="8">
        <v>1575.079</v>
      </c>
      <c r="J3667" s="8">
        <v>1582.4880000000001</v>
      </c>
      <c r="K3667" s="8">
        <v>1492.6949999999999</v>
      </c>
      <c r="L3667" s="8">
        <v>1315.413</v>
      </c>
      <c r="M3667" s="8">
        <v>1260.222</v>
      </c>
      <c r="N3667" s="8">
        <v>1133.617</v>
      </c>
      <c r="O3667" s="8">
        <v>1056.7270000000001</v>
      </c>
      <c r="P3667" s="8">
        <v>1232.4549999999999</v>
      </c>
      <c r="Q3667" s="8">
        <v>1151.6210000000001</v>
      </c>
      <c r="R3667" s="8">
        <v>1059.155</v>
      </c>
      <c r="S3667" s="8">
        <v>884.06600000000003</v>
      </c>
      <c r="T3667" s="8">
        <v>887.56</v>
      </c>
      <c r="U3667" s="8">
        <v>792.83699999999999</v>
      </c>
      <c r="V3667" s="8">
        <v>715.19799999999998</v>
      </c>
      <c r="W3667" s="8">
        <v>511.87799999999999</v>
      </c>
      <c r="X3667" s="8">
        <v>356.00200000000001</v>
      </c>
      <c r="Y3667" s="8">
        <v>216.05099999999999</v>
      </c>
      <c r="Z3667" s="8">
        <v>93.483999999999995</v>
      </c>
      <c r="AA3667" s="8">
        <v>27.123000000000001</v>
      </c>
      <c r="AB3667" s="8">
        <v>5.3360000000000003</v>
      </c>
      <c r="AC3667" s="8">
        <v>0.56999999999999995</v>
      </c>
    </row>
    <row r="3668" spans="1:29" ht="11.65" hidden="1" x14ac:dyDescent="0.35">
      <c r="A3668" s="12">
        <v>3651</v>
      </c>
      <c r="B3668" s="10" t="s">
        <v>1015</v>
      </c>
      <c r="C3668" s="18" t="s">
        <v>1268</v>
      </c>
      <c r="D3668" s="9">
        <v>26</v>
      </c>
      <c r="E3668" s="9">
        <v>724</v>
      </c>
      <c r="F3668" s="10" t="s">
        <v>1066</v>
      </c>
      <c r="G3668" s="9">
        <v>925</v>
      </c>
      <c r="H3668" s="9">
        <v>1975</v>
      </c>
      <c r="I3668" s="8">
        <v>1615.25</v>
      </c>
      <c r="J3668" s="8">
        <v>1587.24</v>
      </c>
      <c r="K3668" s="8">
        <v>1595.0989999999999</v>
      </c>
      <c r="L3668" s="8">
        <v>1492.502</v>
      </c>
      <c r="M3668" s="8">
        <v>1297.0160000000001</v>
      </c>
      <c r="N3668" s="8">
        <v>1243.6220000000001</v>
      </c>
      <c r="O3668" s="8">
        <v>1128.134</v>
      </c>
      <c r="P3668" s="8">
        <v>1054.816</v>
      </c>
      <c r="Q3668" s="8">
        <v>1228.83</v>
      </c>
      <c r="R3668" s="8">
        <v>1143.1189999999999</v>
      </c>
      <c r="S3668" s="8">
        <v>1043.289</v>
      </c>
      <c r="T3668" s="8">
        <v>862.92700000000002</v>
      </c>
      <c r="U3668" s="8">
        <v>854.52499999999998</v>
      </c>
      <c r="V3668" s="8">
        <v>742.01599999999996</v>
      </c>
      <c r="W3668" s="8">
        <v>630.86800000000005</v>
      </c>
      <c r="X3668" s="8">
        <v>403.34399999999999</v>
      </c>
      <c r="Y3668" s="8">
        <v>241.79499999999999</v>
      </c>
      <c r="Z3668" s="8">
        <v>110.922</v>
      </c>
      <c r="AA3668" s="8">
        <v>32.049999999999997</v>
      </c>
      <c r="AB3668" s="8">
        <v>5.556</v>
      </c>
      <c r="AC3668" s="8">
        <v>0.59899999999999998</v>
      </c>
    </row>
    <row r="3669" spans="1:29" ht="11.65" hidden="1" x14ac:dyDescent="0.35">
      <c r="A3669" s="12">
        <v>3652</v>
      </c>
      <c r="B3669" s="10" t="s">
        <v>1015</v>
      </c>
      <c r="C3669" s="18" t="s">
        <v>1268</v>
      </c>
      <c r="D3669" s="9">
        <v>26</v>
      </c>
      <c r="E3669" s="9">
        <v>724</v>
      </c>
      <c r="F3669" s="10" t="s">
        <v>1066</v>
      </c>
      <c r="G3669" s="9">
        <v>925</v>
      </c>
      <c r="H3669" s="9">
        <v>1980</v>
      </c>
      <c r="I3669" s="8">
        <v>1540.1959999999999</v>
      </c>
      <c r="J3669" s="8">
        <v>1611.5619999999999</v>
      </c>
      <c r="K3669" s="8">
        <v>1597.7760000000001</v>
      </c>
      <c r="L3669" s="8">
        <v>1610.566</v>
      </c>
      <c r="M3669" s="8">
        <v>1487.57</v>
      </c>
      <c r="N3669" s="8">
        <v>1268.374</v>
      </c>
      <c r="O3669" s="8">
        <v>1219.2</v>
      </c>
      <c r="P3669" s="8">
        <v>1121.912</v>
      </c>
      <c r="Q3669" s="8">
        <v>1053.5509999999999</v>
      </c>
      <c r="R3669" s="8">
        <v>1224.27</v>
      </c>
      <c r="S3669" s="8">
        <v>1131.425</v>
      </c>
      <c r="T3669" s="8">
        <v>1023.316</v>
      </c>
      <c r="U3669" s="8">
        <v>836.72199999999998</v>
      </c>
      <c r="V3669" s="8">
        <v>811.98900000000003</v>
      </c>
      <c r="W3669" s="8">
        <v>673.60599999999999</v>
      </c>
      <c r="X3669" s="8">
        <v>519.45100000000002</v>
      </c>
      <c r="Y3669" s="8">
        <v>287.476</v>
      </c>
      <c r="Z3669" s="8">
        <v>133.02699999999999</v>
      </c>
      <c r="AA3669" s="8">
        <v>40.771999999999998</v>
      </c>
      <c r="AB3669" s="8">
        <v>7.2320000000000002</v>
      </c>
      <c r="AC3669" s="8">
        <v>0.68100000000000005</v>
      </c>
    </row>
    <row r="3670" spans="1:29" ht="11.65" hidden="1" x14ac:dyDescent="0.35">
      <c r="A3670" s="12">
        <v>3653</v>
      </c>
      <c r="B3670" s="10" t="s">
        <v>1015</v>
      </c>
      <c r="C3670" s="18" t="s">
        <v>1268</v>
      </c>
      <c r="D3670" s="9">
        <v>26</v>
      </c>
      <c r="E3670" s="9">
        <v>724</v>
      </c>
      <c r="F3670" s="10" t="s">
        <v>1066</v>
      </c>
      <c r="G3670" s="9">
        <v>925</v>
      </c>
      <c r="H3670" s="9">
        <v>1985</v>
      </c>
      <c r="I3670" s="8">
        <v>1232.8710000000001</v>
      </c>
      <c r="J3670" s="8">
        <v>1545.835</v>
      </c>
      <c r="K3670" s="8">
        <v>1621.9190000000001</v>
      </c>
      <c r="L3670" s="8">
        <v>1598.472</v>
      </c>
      <c r="M3670" s="8">
        <v>1592.452</v>
      </c>
      <c r="N3670" s="8">
        <v>1466.1489999999999</v>
      </c>
      <c r="O3670" s="8">
        <v>1256.0550000000001</v>
      </c>
      <c r="P3670" s="8">
        <v>1210.221</v>
      </c>
      <c r="Q3670" s="8">
        <v>1113.4449999999999</v>
      </c>
      <c r="R3670" s="8">
        <v>1043.06</v>
      </c>
      <c r="S3670" s="8">
        <v>1206.857</v>
      </c>
      <c r="T3670" s="8">
        <v>1110.171</v>
      </c>
      <c r="U3670" s="8">
        <v>996.34900000000005</v>
      </c>
      <c r="V3670" s="8">
        <v>799.72199999999998</v>
      </c>
      <c r="W3670" s="8">
        <v>744.64599999999996</v>
      </c>
      <c r="X3670" s="8">
        <v>570.03800000000001</v>
      </c>
      <c r="Y3670" s="8">
        <v>386.30799999999999</v>
      </c>
      <c r="Z3670" s="8">
        <v>167.68700000000001</v>
      </c>
      <c r="AA3670" s="8">
        <v>52.893999999999998</v>
      </c>
      <c r="AB3670" s="8">
        <v>9.9890000000000008</v>
      </c>
      <c r="AC3670" s="8">
        <v>0.93600000000000005</v>
      </c>
    </row>
    <row r="3671" spans="1:29" ht="11.65" hidden="1" x14ac:dyDescent="0.35">
      <c r="A3671" s="12">
        <v>3654</v>
      </c>
      <c r="B3671" s="10" t="s">
        <v>1015</v>
      </c>
      <c r="C3671" s="18" t="s">
        <v>1268</v>
      </c>
      <c r="D3671" s="9">
        <v>26</v>
      </c>
      <c r="E3671" s="9">
        <v>724</v>
      </c>
      <c r="F3671" s="10" t="s">
        <v>1066</v>
      </c>
      <c r="G3671" s="9">
        <v>925</v>
      </c>
      <c r="H3671" s="9">
        <v>1990</v>
      </c>
      <c r="I3671" s="8">
        <v>1020.073</v>
      </c>
      <c r="J3671" s="8">
        <v>1235.0530000000001</v>
      </c>
      <c r="K3671" s="8">
        <v>1558.0070000000001</v>
      </c>
      <c r="L3671" s="8">
        <v>1633.828</v>
      </c>
      <c r="M3671" s="8">
        <v>1596.2180000000001</v>
      </c>
      <c r="N3671" s="8">
        <v>1568.38</v>
      </c>
      <c r="O3671" s="8">
        <v>1441.9090000000001</v>
      </c>
      <c r="P3671" s="8">
        <v>1245.9079999999999</v>
      </c>
      <c r="Q3671" s="8">
        <v>1202.44</v>
      </c>
      <c r="R3671" s="8">
        <v>1102.5820000000001</v>
      </c>
      <c r="S3671" s="8">
        <v>1027.8140000000001</v>
      </c>
      <c r="T3671" s="8">
        <v>1182.394</v>
      </c>
      <c r="U3671" s="8">
        <v>1079.9749999999999</v>
      </c>
      <c r="V3671" s="8">
        <v>957</v>
      </c>
      <c r="W3671" s="8">
        <v>743.41399999999999</v>
      </c>
      <c r="X3671" s="8">
        <v>643.798</v>
      </c>
      <c r="Y3671" s="8">
        <v>439.565</v>
      </c>
      <c r="Z3671" s="8">
        <v>236.70500000000001</v>
      </c>
      <c r="AA3671" s="8">
        <v>69.162999999999997</v>
      </c>
      <c r="AB3671" s="8">
        <v>13.021000000000001</v>
      </c>
      <c r="AC3671" s="8">
        <v>1.2629999999999999</v>
      </c>
    </row>
    <row r="3672" spans="1:29" ht="11.65" hidden="1" x14ac:dyDescent="0.35">
      <c r="A3672" s="12">
        <v>3655</v>
      </c>
      <c r="B3672" s="10" t="s">
        <v>1015</v>
      </c>
      <c r="C3672" s="18" t="s">
        <v>1268</v>
      </c>
      <c r="D3672" s="9">
        <v>26</v>
      </c>
      <c r="E3672" s="9">
        <v>724</v>
      </c>
      <c r="F3672" s="10" t="s">
        <v>1066</v>
      </c>
      <c r="G3672" s="9">
        <v>925</v>
      </c>
      <c r="H3672" s="9">
        <v>1995</v>
      </c>
      <c r="I3672" s="8">
        <v>944.029</v>
      </c>
      <c r="J3672" s="8">
        <v>1027.04</v>
      </c>
      <c r="K3672" s="8">
        <v>1252.8389999999999</v>
      </c>
      <c r="L3672" s="8">
        <v>1569.4349999999999</v>
      </c>
      <c r="M3672" s="8">
        <v>1632.796</v>
      </c>
      <c r="N3672" s="8">
        <v>1597.162</v>
      </c>
      <c r="O3672" s="8">
        <v>1577.057</v>
      </c>
      <c r="P3672" s="8">
        <v>1453.125</v>
      </c>
      <c r="Q3672" s="8">
        <v>1258.9069999999999</v>
      </c>
      <c r="R3672" s="8">
        <v>1208.5940000000001</v>
      </c>
      <c r="S3672" s="8">
        <v>1094.261</v>
      </c>
      <c r="T3672" s="8">
        <v>1018.885</v>
      </c>
      <c r="U3672" s="8">
        <v>1163.3040000000001</v>
      </c>
      <c r="V3672" s="8">
        <v>1041.5899999999999</v>
      </c>
      <c r="W3672" s="8">
        <v>891.577</v>
      </c>
      <c r="X3672" s="8">
        <v>654.13099999999997</v>
      </c>
      <c r="Y3672" s="8">
        <v>515.83399999999995</v>
      </c>
      <c r="Z3672" s="8">
        <v>282.161</v>
      </c>
      <c r="AA3672" s="8">
        <v>103.83799999999999</v>
      </c>
      <c r="AB3672" s="8">
        <v>17.914999999999999</v>
      </c>
      <c r="AC3672" s="8">
        <v>1.6950000000000001</v>
      </c>
    </row>
    <row r="3673" spans="1:29" ht="11.65" hidden="1" x14ac:dyDescent="0.35">
      <c r="A3673" s="12">
        <v>3656</v>
      </c>
      <c r="B3673" s="10" t="s">
        <v>1015</v>
      </c>
      <c r="C3673" s="18" t="s">
        <v>1268</v>
      </c>
      <c r="D3673" s="9">
        <v>26</v>
      </c>
      <c r="E3673" s="9">
        <v>724</v>
      </c>
      <c r="F3673" s="10" t="s">
        <v>1066</v>
      </c>
      <c r="G3673" s="9">
        <v>925</v>
      </c>
      <c r="H3673" s="9">
        <v>2000</v>
      </c>
      <c r="I3673" s="8">
        <v>914.08299999999997</v>
      </c>
      <c r="J3673" s="8">
        <v>953.577</v>
      </c>
      <c r="K3673" s="8">
        <v>1051.778</v>
      </c>
      <c r="L3673" s="8">
        <v>1283.962</v>
      </c>
      <c r="M3673" s="8">
        <v>1604.2860000000001</v>
      </c>
      <c r="N3673" s="8">
        <v>1672.5550000000001</v>
      </c>
      <c r="O3673" s="8">
        <v>1638.1980000000001</v>
      </c>
      <c r="P3673" s="8">
        <v>1620.375</v>
      </c>
      <c r="Q3673" s="8">
        <v>1490.6949999999999</v>
      </c>
      <c r="R3673" s="8">
        <v>1283.1020000000001</v>
      </c>
      <c r="S3673" s="8">
        <v>1219.4939999999999</v>
      </c>
      <c r="T3673" s="8">
        <v>1095.5740000000001</v>
      </c>
      <c r="U3673" s="8">
        <v>1010.58</v>
      </c>
      <c r="V3673" s="8">
        <v>1135.7380000000001</v>
      </c>
      <c r="W3673" s="8">
        <v>988.54300000000001</v>
      </c>
      <c r="X3673" s="8">
        <v>797.43399999999997</v>
      </c>
      <c r="Y3673" s="8">
        <v>527.23099999999999</v>
      </c>
      <c r="Z3673" s="8">
        <v>338.10399999999998</v>
      </c>
      <c r="AA3673" s="8">
        <v>128.21199999999999</v>
      </c>
      <c r="AB3673" s="8">
        <v>27.722000000000001</v>
      </c>
      <c r="AC3673" s="8">
        <v>2.3420000000000001</v>
      </c>
    </row>
    <row r="3674" spans="1:29" ht="11.65" hidden="1" x14ac:dyDescent="0.35">
      <c r="A3674" s="12">
        <v>3657</v>
      </c>
      <c r="B3674" s="10" t="s">
        <v>1015</v>
      </c>
      <c r="C3674" s="18" t="s">
        <v>1268</v>
      </c>
      <c r="D3674" s="9">
        <v>26</v>
      </c>
      <c r="E3674" s="9">
        <v>724</v>
      </c>
      <c r="F3674" s="10" t="s">
        <v>1066</v>
      </c>
      <c r="G3674" s="9">
        <v>925</v>
      </c>
      <c r="H3674" s="9">
        <v>2005</v>
      </c>
      <c r="I3674" s="8">
        <v>1054.19</v>
      </c>
      <c r="J3674" s="8">
        <v>966.16200000000003</v>
      </c>
      <c r="K3674" s="8">
        <v>1026.579</v>
      </c>
      <c r="L3674" s="8">
        <v>1127.117</v>
      </c>
      <c r="M3674" s="8">
        <v>1403.3330000000001</v>
      </c>
      <c r="N3674" s="8">
        <v>1793.788</v>
      </c>
      <c r="O3674" s="8">
        <v>1870.058</v>
      </c>
      <c r="P3674" s="8">
        <v>1792.877</v>
      </c>
      <c r="Q3674" s="8">
        <v>1736.1279999999999</v>
      </c>
      <c r="R3674" s="8">
        <v>1573.8879999999999</v>
      </c>
      <c r="S3674" s="8">
        <v>1340.69</v>
      </c>
      <c r="T3674" s="8">
        <v>1257.598</v>
      </c>
      <c r="U3674" s="8">
        <v>1118.0239999999999</v>
      </c>
      <c r="V3674" s="8">
        <v>1012.832</v>
      </c>
      <c r="W3674" s="8">
        <v>1098.4880000000001</v>
      </c>
      <c r="X3674" s="8">
        <v>905.90700000000004</v>
      </c>
      <c r="Y3674" s="8">
        <v>665.80600000000004</v>
      </c>
      <c r="Z3674" s="8">
        <v>359.70400000000001</v>
      </c>
      <c r="AA3674" s="8">
        <v>160.47999999999999</v>
      </c>
      <c r="AB3674" s="8">
        <v>35.884999999999998</v>
      </c>
      <c r="AC3674" s="8">
        <v>3.742</v>
      </c>
    </row>
    <row r="3675" spans="1:29" ht="11.65" hidden="1" x14ac:dyDescent="0.35">
      <c r="A3675" s="12">
        <v>3658</v>
      </c>
      <c r="B3675" s="10" t="s">
        <v>1015</v>
      </c>
      <c r="C3675" s="18" t="s">
        <v>1268</v>
      </c>
      <c r="D3675" s="9">
        <v>26</v>
      </c>
      <c r="E3675" s="9">
        <v>724</v>
      </c>
      <c r="F3675" s="10" t="s">
        <v>1066</v>
      </c>
      <c r="G3675" s="9">
        <v>925</v>
      </c>
      <c r="H3675" s="9">
        <v>2010</v>
      </c>
      <c r="I3675" s="8">
        <v>1209.4870000000001</v>
      </c>
      <c r="J3675" s="8">
        <v>1083.3879999999999</v>
      </c>
      <c r="K3675" s="8">
        <v>1076.431</v>
      </c>
      <c r="L3675" s="8">
        <v>1110.8499999999999</v>
      </c>
      <c r="M3675" s="8">
        <v>1278.443</v>
      </c>
      <c r="N3675" s="8">
        <v>1672.3130000000001</v>
      </c>
      <c r="O3675" s="8">
        <v>2017.153</v>
      </c>
      <c r="P3675" s="8">
        <v>1963.5160000000001</v>
      </c>
      <c r="Q3675" s="8">
        <v>1840.8</v>
      </c>
      <c r="R3675" s="8">
        <v>1771.932</v>
      </c>
      <c r="S3675" s="8">
        <v>1560.3520000000001</v>
      </c>
      <c r="T3675" s="8">
        <v>1303.9069999999999</v>
      </c>
      <c r="U3675" s="8">
        <v>1252.318</v>
      </c>
      <c r="V3675" s="8">
        <v>1118.021</v>
      </c>
      <c r="W3675" s="8">
        <v>938.66</v>
      </c>
      <c r="X3675" s="8">
        <v>1034.566</v>
      </c>
      <c r="Y3675" s="8">
        <v>804.81600000000003</v>
      </c>
      <c r="Z3675" s="8">
        <v>462.49400000000003</v>
      </c>
      <c r="AA3675" s="8">
        <v>181.262</v>
      </c>
      <c r="AB3675" s="8">
        <v>48.841000000000001</v>
      </c>
      <c r="AC3675" s="8">
        <v>5.3280000000000003</v>
      </c>
    </row>
    <row r="3676" spans="1:29" ht="11.65" hidden="1" x14ac:dyDescent="0.35">
      <c r="A3676" s="12">
        <v>3659</v>
      </c>
      <c r="B3676" s="10" t="s">
        <v>1015</v>
      </c>
      <c r="C3676" s="18" t="s">
        <v>1268</v>
      </c>
      <c r="D3676" s="9">
        <v>26</v>
      </c>
      <c r="E3676" s="9">
        <v>724</v>
      </c>
      <c r="F3676" s="10" t="s">
        <v>1066</v>
      </c>
      <c r="G3676" s="9">
        <v>925</v>
      </c>
      <c r="H3676" s="9">
        <v>2015</v>
      </c>
      <c r="I3676" s="8">
        <v>1083.739</v>
      </c>
      <c r="J3676" s="8">
        <v>1205.2840000000001</v>
      </c>
      <c r="K3676" s="8">
        <v>1080.8019999999999</v>
      </c>
      <c r="L3676" s="8">
        <v>1085.7080000000001</v>
      </c>
      <c r="M3676" s="8">
        <v>1138.963</v>
      </c>
      <c r="N3676" s="8">
        <v>1288.0309999999999</v>
      </c>
      <c r="O3676" s="8">
        <v>1637.7439999999999</v>
      </c>
      <c r="P3676" s="8">
        <v>1972.096</v>
      </c>
      <c r="Q3676" s="8">
        <v>1929.0250000000001</v>
      </c>
      <c r="R3676" s="8">
        <v>1814.001</v>
      </c>
      <c r="S3676" s="8">
        <v>1747.086</v>
      </c>
      <c r="T3676" s="8">
        <v>1535.569</v>
      </c>
      <c r="U3676" s="8">
        <v>1280.867</v>
      </c>
      <c r="V3676" s="8">
        <v>1223.8530000000001</v>
      </c>
      <c r="W3676" s="8">
        <v>1073.9839999999999</v>
      </c>
      <c r="X3676" s="8">
        <v>870.21799999999996</v>
      </c>
      <c r="Y3676" s="8">
        <v>887.95299999999997</v>
      </c>
      <c r="Z3676" s="8">
        <v>585.50300000000004</v>
      </c>
      <c r="AA3676" s="8">
        <v>247.702</v>
      </c>
      <c r="AB3676" s="8">
        <v>59.634999999999998</v>
      </c>
      <c r="AC3676" s="8">
        <v>7.915</v>
      </c>
    </row>
    <row r="3677" spans="1:29" ht="11.65" hidden="1" x14ac:dyDescent="0.35">
      <c r="A3677" s="12">
        <v>3660</v>
      </c>
      <c r="B3677" s="10" t="s">
        <v>1015</v>
      </c>
      <c r="C3677" s="18" t="s">
        <v>1268</v>
      </c>
      <c r="D3677" s="9">
        <v>26</v>
      </c>
      <c r="E3677" s="9">
        <v>724</v>
      </c>
      <c r="F3677" s="10" t="s">
        <v>1066</v>
      </c>
      <c r="G3677" s="9">
        <v>925</v>
      </c>
      <c r="H3677" s="9">
        <v>2020</v>
      </c>
      <c r="I3677" s="8">
        <v>964.42899999999997</v>
      </c>
      <c r="J3677" s="8">
        <v>1087.684</v>
      </c>
      <c r="K3677" s="8">
        <v>1207.3119999999999</v>
      </c>
      <c r="L3677" s="8">
        <v>1087.2270000000001</v>
      </c>
      <c r="M3677" s="8">
        <v>1100.943</v>
      </c>
      <c r="N3677" s="8">
        <v>1157.537</v>
      </c>
      <c r="O3677" s="8">
        <v>1302.925</v>
      </c>
      <c r="P3677" s="8">
        <v>1646.627</v>
      </c>
      <c r="Q3677" s="8">
        <v>1974.3589999999999</v>
      </c>
      <c r="R3677" s="8">
        <v>1925.0930000000001</v>
      </c>
      <c r="S3677" s="8">
        <v>1803.6079999999999</v>
      </c>
      <c r="T3677" s="8">
        <v>1729.681</v>
      </c>
      <c r="U3677" s="8">
        <v>1513.0550000000001</v>
      </c>
      <c r="V3677" s="8">
        <v>1253.413</v>
      </c>
      <c r="W3677" s="8">
        <v>1181.373</v>
      </c>
      <c r="X3677" s="8">
        <v>1005.235</v>
      </c>
      <c r="Y3677" s="8">
        <v>757.75599999999997</v>
      </c>
      <c r="Z3677" s="8">
        <v>660.68499999999995</v>
      </c>
      <c r="AA3677" s="8">
        <v>323.32</v>
      </c>
      <c r="AB3677" s="8">
        <v>83.622</v>
      </c>
      <c r="AC3677" s="8">
        <v>10.561</v>
      </c>
    </row>
    <row r="3678" spans="1:29" ht="11.65" hidden="1" x14ac:dyDescent="0.35">
      <c r="A3678" s="23">
        <v>3661</v>
      </c>
      <c r="B3678" s="21" t="s">
        <v>1015</v>
      </c>
      <c r="C3678" s="22" t="s">
        <v>1269</v>
      </c>
      <c r="D3678" s="20"/>
      <c r="E3678" s="20">
        <v>926</v>
      </c>
      <c r="F3678" s="21" t="s">
        <v>1065</v>
      </c>
      <c r="G3678" s="20">
        <v>917</v>
      </c>
      <c r="H3678" s="20">
        <v>1950</v>
      </c>
      <c r="I3678" s="19">
        <v>5575.4639999999999</v>
      </c>
      <c r="J3678" s="19">
        <v>5037.9620000000004</v>
      </c>
      <c r="K3678" s="19">
        <v>5614.8990000000003</v>
      </c>
      <c r="L3678" s="19">
        <v>5243.2749999999996</v>
      </c>
      <c r="M3678" s="19">
        <v>5292.152</v>
      </c>
      <c r="N3678" s="19">
        <v>5699.7790000000005</v>
      </c>
      <c r="O3678" s="19">
        <v>4013.24</v>
      </c>
      <c r="P3678" s="19">
        <v>5600.8649999999998</v>
      </c>
      <c r="Q3678" s="19">
        <v>5865.12</v>
      </c>
      <c r="R3678" s="19">
        <v>5563.9759999999997</v>
      </c>
      <c r="S3678" s="19">
        <v>5071.0379999999996</v>
      </c>
      <c r="T3678" s="19">
        <v>4426.4319999999998</v>
      </c>
      <c r="U3678" s="19">
        <v>3851.1030000000001</v>
      </c>
      <c r="V3678" s="19">
        <v>3180.4749999999999</v>
      </c>
      <c r="W3678" s="19">
        <v>2488.0610000000001</v>
      </c>
      <c r="X3678" s="19">
        <v>1546.3989999999999</v>
      </c>
      <c r="Y3678" s="19">
        <v>707.59900000000005</v>
      </c>
      <c r="Z3678" s="19">
        <v>276.59899999999999</v>
      </c>
      <c r="AA3678" s="19">
        <v>62.56</v>
      </c>
      <c r="AB3678" s="19">
        <v>7.1580000000000004</v>
      </c>
      <c r="AC3678" s="19">
        <v>0.38400000000000001</v>
      </c>
    </row>
    <row r="3679" spans="1:29" ht="11.65" hidden="1" x14ac:dyDescent="0.35">
      <c r="A3679" s="23">
        <v>3662</v>
      </c>
      <c r="B3679" s="21" t="s">
        <v>1015</v>
      </c>
      <c r="C3679" s="22" t="s">
        <v>1269</v>
      </c>
      <c r="D3679" s="20"/>
      <c r="E3679" s="20">
        <v>926</v>
      </c>
      <c r="F3679" s="21" t="s">
        <v>1065</v>
      </c>
      <c r="G3679" s="20">
        <v>917</v>
      </c>
      <c r="H3679" s="20">
        <v>1955</v>
      </c>
      <c r="I3679" s="19">
        <v>5825.3069999999998</v>
      </c>
      <c r="J3679" s="19">
        <v>5560.6570000000002</v>
      </c>
      <c r="K3679" s="19">
        <v>5034.4449999999997</v>
      </c>
      <c r="L3679" s="19">
        <v>5614.1620000000003</v>
      </c>
      <c r="M3679" s="19">
        <v>5236.8050000000003</v>
      </c>
      <c r="N3679" s="19">
        <v>5254.5860000000002</v>
      </c>
      <c r="O3679" s="19">
        <v>5649.7860000000001</v>
      </c>
      <c r="P3679" s="19">
        <v>3977.23</v>
      </c>
      <c r="Q3679" s="19">
        <v>5529.4530000000004</v>
      </c>
      <c r="R3679" s="19">
        <v>5761.2120000000004</v>
      </c>
      <c r="S3679" s="19">
        <v>5419.3549999999996</v>
      </c>
      <c r="T3679" s="19">
        <v>4875.7550000000001</v>
      </c>
      <c r="U3679" s="19">
        <v>4164.6670000000004</v>
      </c>
      <c r="V3679" s="19">
        <v>3479.3319999999999</v>
      </c>
      <c r="W3679" s="19">
        <v>2666.1660000000002</v>
      </c>
      <c r="X3679" s="19">
        <v>1819.463</v>
      </c>
      <c r="Y3679" s="19">
        <v>910.101</v>
      </c>
      <c r="Z3679" s="19">
        <v>301.08600000000001</v>
      </c>
      <c r="AA3679" s="19">
        <v>74.744</v>
      </c>
      <c r="AB3679" s="19">
        <v>9.7390000000000008</v>
      </c>
      <c r="AC3679" s="19">
        <v>0.59499999999999997</v>
      </c>
    </row>
    <row r="3680" spans="1:29" ht="11.65" hidden="1" x14ac:dyDescent="0.35">
      <c r="A3680" s="23">
        <v>3663</v>
      </c>
      <c r="B3680" s="21" t="s">
        <v>1015</v>
      </c>
      <c r="C3680" s="22" t="s">
        <v>1269</v>
      </c>
      <c r="D3680" s="20"/>
      <c r="E3680" s="20">
        <v>926</v>
      </c>
      <c r="F3680" s="21" t="s">
        <v>1065</v>
      </c>
      <c r="G3680" s="20">
        <v>917</v>
      </c>
      <c r="H3680" s="20">
        <v>1960</v>
      </c>
      <c r="I3680" s="19">
        <v>6218.9309999999996</v>
      </c>
      <c r="J3680" s="19">
        <v>5879.9210000000003</v>
      </c>
      <c r="K3680" s="19">
        <v>5647.3239999999996</v>
      </c>
      <c r="L3680" s="19">
        <v>5083.9210000000003</v>
      </c>
      <c r="M3680" s="19">
        <v>5581.5950000000003</v>
      </c>
      <c r="N3680" s="19">
        <v>5181.1350000000002</v>
      </c>
      <c r="O3680" s="19">
        <v>5277.1040000000003</v>
      </c>
      <c r="P3680" s="19">
        <v>5632.5119999999997</v>
      </c>
      <c r="Q3680" s="19">
        <v>3921.6109999999999</v>
      </c>
      <c r="R3680" s="19">
        <v>5482.6509999999998</v>
      </c>
      <c r="S3680" s="19">
        <v>5652.29</v>
      </c>
      <c r="T3680" s="19">
        <v>5255.4359999999997</v>
      </c>
      <c r="U3680" s="19">
        <v>4631.96</v>
      </c>
      <c r="V3680" s="19">
        <v>3811.029</v>
      </c>
      <c r="W3680" s="19">
        <v>2969.65</v>
      </c>
      <c r="X3680" s="19">
        <v>2011.1210000000001</v>
      </c>
      <c r="Y3680" s="19">
        <v>1119.136</v>
      </c>
      <c r="Z3680" s="19">
        <v>404.88600000000002</v>
      </c>
      <c r="AA3680" s="19">
        <v>85.304000000000002</v>
      </c>
      <c r="AB3680" s="19">
        <v>11.8</v>
      </c>
      <c r="AC3680" s="19">
        <v>0.79</v>
      </c>
    </row>
    <row r="3681" spans="1:29" ht="11.65" hidden="1" x14ac:dyDescent="0.35">
      <c r="A3681" s="23">
        <v>3664</v>
      </c>
      <c r="B3681" s="21" t="s">
        <v>1015</v>
      </c>
      <c r="C3681" s="22" t="s">
        <v>1269</v>
      </c>
      <c r="D3681" s="20"/>
      <c r="E3681" s="20">
        <v>926</v>
      </c>
      <c r="F3681" s="21" t="s">
        <v>1065</v>
      </c>
      <c r="G3681" s="20">
        <v>917</v>
      </c>
      <c r="H3681" s="20">
        <v>1965</v>
      </c>
      <c r="I3681" s="19">
        <v>6749.1350000000002</v>
      </c>
      <c r="J3681" s="19">
        <v>6264.4080000000004</v>
      </c>
      <c r="K3681" s="19">
        <v>5975.0029999999997</v>
      </c>
      <c r="L3681" s="19">
        <v>5778.6710000000003</v>
      </c>
      <c r="M3681" s="19">
        <v>5216.4949999999999</v>
      </c>
      <c r="N3681" s="19">
        <v>5621.03</v>
      </c>
      <c r="O3681" s="19">
        <v>5194.558</v>
      </c>
      <c r="P3681" s="19">
        <v>5293.0259999999998</v>
      </c>
      <c r="Q3681" s="19">
        <v>5597.8469999999998</v>
      </c>
      <c r="R3681" s="19">
        <v>3897.9290000000001</v>
      </c>
      <c r="S3681" s="19">
        <v>5422.6620000000003</v>
      </c>
      <c r="T3681" s="19">
        <v>5511.9870000000001</v>
      </c>
      <c r="U3681" s="19">
        <v>5035.4340000000002</v>
      </c>
      <c r="V3681" s="19">
        <v>4292.7820000000002</v>
      </c>
      <c r="W3681" s="19">
        <v>3315.5479999999998</v>
      </c>
      <c r="X3681" s="19">
        <v>2297.9160000000002</v>
      </c>
      <c r="Y3681" s="19">
        <v>1272.8019999999999</v>
      </c>
      <c r="Z3681" s="19">
        <v>514.20399999999995</v>
      </c>
      <c r="AA3681" s="19">
        <v>119.39</v>
      </c>
      <c r="AB3681" s="19">
        <v>14.242000000000001</v>
      </c>
      <c r="AC3681" s="19">
        <v>1.0069999999999999</v>
      </c>
    </row>
    <row r="3682" spans="1:29" ht="11.65" hidden="1" x14ac:dyDescent="0.35">
      <c r="A3682" s="23">
        <v>3665</v>
      </c>
      <c r="B3682" s="21" t="s">
        <v>1015</v>
      </c>
      <c r="C3682" s="22" t="s">
        <v>1269</v>
      </c>
      <c r="D3682" s="20"/>
      <c r="E3682" s="20">
        <v>926</v>
      </c>
      <c r="F3682" s="21" t="s">
        <v>1065</v>
      </c>
      <c r="G3682" s="20">
        <v>917</v>
      </c>
      <c r="H3682" s="20">
        <v>1970</v>
      </c>
      <c r="I3682" s="19">
        <v>6506.732</v>
      </c>
      <c r="J3682" s="19">
        <v>6783.1120000000001</v>
      </c>
      <c r="K3682" s="19">
        <v>6323.5730000000003</v>
      </c>
      <c r="L3682" s="19">
        <v>6013.23</v>
      </c>
      <c r="M3682" s="19">
        <v>5858.6710000000003</v>
      </c>
      <c r="N3682" s="19">
        <v>5328.1940000000004</v>
      </c>
      <c r="O3682" s="19">
        <v>5675.99</v>
      </c>
      <c r="P3682" s="19">
        <v>5199</v>
      </c>
      <c r="Q3682" s="19">
        <v>5308.3159999999998</v>
      </c>
      <c r="R3682" s="19">
        <v>5553.3890000000001</v>
      </c>
      <c r="S3682" s="19">
        <v>3799.9780000000001</v>
      </c>
      <c r="T3682" s="19">
        <v>5271.1610000000001</v>
      </c>
      <c r="U3682" s="19">
        <v>5264.3130000000001</v>
      </c>
      <c r="V3682" s="19">
        <v>4648.7950000000001</v>
      </c>
      <c r="W3682" s="19">
        <v>3726.4609999999998</v>
      </c>
      <c r="X3682" s="19">
        <v>2572.5340000000001</v>
      </c>
      <c r="Y3682" s="19">
        <v>1470.4960000000001</v>
      </c>
      <c r="Z3682" s="19">
        <v>601.11900000000003</v>
      </c>
      <c r="AA3682" s="19">
        <v>157.203</v>
      </c>
      <c r="AB3682" s="19">
        <v>20.834</v>
      </c>
      <c r="AC3682" s="19">
        <v>1.3029999999999999</v>
      </c>
    </row>
    <row r="3683" spans="1:29" ht="11.65" hidden="1" x14ac:dyDescent="0.35">
      <c r="A3683" s="23">
        <v>3666</v>
      </c>
      <c r="B3683" s="21" t="s">
        <v>1015</v>
      </c>
      <c r="C3683" s="22" t="s">
        <v>1269</v>
      </c>
      <c r="D3683" s="20"/>
      <c r="E3683" s="20">
        <v>926</v>
      </c>
      <c r="F3683" s="21" t="s">
        <v>1065</v>
      </c>
      <c r="G3683" s="20">
        <v>917</v>
      </c>
      <c r="H3683" s="20">
        <v>1975</v>
      </c>
      <c r="I3683" s="19">
        <v>5462.3710000000001</v>
      </c>
      <c r="J3683" s="19">
        <v>6575.933</v>
      </c>
      <c r="K3683" s="19">
        <v>6843.0749999999998</v>
      </c>
      <c r="L3683" s="19">
        <v>6412.8940000000002</v>
      </c>
      <c r="M3683" s="19">
        <v>6132</v>
      </c>
      <c r="N3683" s="19">
        <v>5950.0630000000001</v>
      </c>
      <c r="O3683" s="19">
        <v>5384.5050000000001</v>
      </c>
      <c r="P3683" s="19">
        <v>5697.6239999999998</v>
      </c>
      <c r="Q3683" s="19">
        <v>5184.4799999999996</v>
      </c>
      <c r="R3683" s="19">
        <v>5257.7389999999996</v>
      </c>
      <c r="S3683" s="19">
        <v>5451.6980000000003</v>
      </c>
      <c r="T3683" s="19">
        <v>3686.6759999999999</v>
      </c>
      <c r="U3683" s="19">
        <v>5046.0280000000002</v>
      </c>
      <c r="V3683" s="19">
        <v>4896.3649999999998</v>
      </c>
      <c r="W3683" s="19">
        <v>4075.0630000000001</v>
      </c>
      <c r="X3683" s="19">
        <v>2936.6170000000002</v>
      </c>
      <c r="Y3683" s="19">
        <v>1686.058</v>
      </c>
      <c r="Z3683" s="19">
        <v>717.53200000000004</v>
      </c>
      <c r="AA3683" s="19">
        <v>192.245</v>
      </c>
      <c r="AB3683" s="19">
        <v>28.521999999999998</v>
      </c>
      <c r="AC3683" s="19">
        <v>1.95</v>
      </c>
    </row>
    <row r="3684" spans="1:29" ht="11.65" hidden="1" x14ac:dyDescent="0.35">
      <c r="A3684" s="23">
        <v>3667</v>
      </c>
      <c r="B3684" s="21" t="s">
        <v>1015</v>
      </c>
      <c r="C3684" s="22" t="s">
        <v>1269</v>
      </c>
      <c r="D3684" s="20"/>
      <c r="E3684" s="20">
        <v>926</v>
      </c>
      <c r="F3684" s="21" t="s">
        <v>1065</v>
      </c>
      <c r="G3684" s="20">
        <v>917</v>
      </c>
      <c r="H3684" s="20">
        <v>1980</v>
      </c>
      <c r="I3684" s="19">
        <v>4826.2690000000002</v>
      </c>
      <c r="J3684" s="19">
        <v>5464.3980000000001</v>
      </c>
      <c r="K3684" s="19">
        <v>6615.3370000000004</v>
      </c>
      <c r="L3684" s="19">
        <v>6928.0959999999995</v>
      </c>
      <c r="M3684" s="19">
        <v>6495.9669999999996</v>
      </c>
      <c r="N3684" s="19">
        <v>6169.348</v>
      </c>
      <c r="O3684" s="19">
        <v>5933.4939999999997</v>
      </c>
      <c r="P3684" s="19">
        <v>5355.0919999999996</v>
      </c>
      <c r="Q3684" s="19">
        <v>5663.3710000000001</v>
      </c>
      <c r="R3684" s="19">
        <v>5114.451</v>
      </c>
      <c r="S3684" s="19">
        <v>5166.8190000000004</v>
      </c>
      <c r="T3684" s="19">
        <v>5318.2690000000002</v>
      </c>
      <c r="U3684" s="19">
        <v>3539.1550000000002</v>
      </c>
      <c r="V3684" s="19">
        <v>4731.0209999999997</v>
      </c>
      <c r="W3684" s="19">
        <v>4369.433</v>
      </c>
      <c r="X3684" s="19">
        <v>3296.8890000000001</v>
      </c>
      <c r="Y3684" s="19">
        <v>2001.2159999999999</v>
      </c>
      <c r="Z3684" s="19">
        <v>868.92499999999995</v>
      </c>
      <c r="AA3684" s="19">
        <v>246.131</v>
      </c>
      <c r="AB3684" s="19">
        <v>38.183</v>
      </c>
      <c r="AC3684" s="19">
        <v>2.891</v>
      </c>
    </row>
    <row r="3685" spans="1:29" ht="11.65" hidden="1" x14ac:dyDescent="0.35">
      <c r="A3685" s="23">
        <v>3668</v>
      </c>
      <c r="B3685" s="21" t="s">
        <v>1015</v>
      </c>
      <c r="C3685" s="22" t="s">
        <v>1269</v>
      </c>
      <c r="D3685" s="20"/>
      <c r="E3685" s="20">
        <v>926</v>
      </c>
      <c r="F3685" s="21" t="s">
        <v>1065</v>
      </c>
      <c r="G3685" s="20">
        <v>917</v>
      </c>
      <c r="H3685" s="20">
        <v>1985</v>
      </c>
      <c r="I3685" s="19">
        <v>4993.817</v>
      </c>
      <c r="J3685" s="19">
        <v>4834.5010000000002</v>
      </c>
      <c r="K3685" s="19">
        <v>5481.1210000000001</v>
      </c>
      <c r="L3685" s="19">
        <v>6657.2910000000002</v>
      </c>
      <c r="M3685" s="19">
        <v>6986.83</v>
      </c>
      <c r="N3685" s="19">
        <v>6557.42</v>
      </c>
      <c r="O3685" s="19">
        <v>6200.7939999999999</v>
      </c>
      <c r="P3685" s="19">
        <v>5919.64</v>
      </c>
      <c r="Q3685" s="19">
        <v>5325.3969999999999</v>
      </c>
      <c r="R3685" s="19">
        <v>5606.1940000000004</v>
      </c>
      <c r="S3685" s="19">
        <v>5025.4809999999998</v>
      </c>
      <c r="T3685" s="19">
        <v>5051.268</v>
      </c>
      <c r="U3685" s="19">
        <v>5135.5559999999996</v>
      </c>
      <c r="V3685" s="19">
        <v>3332.0549999999998</v>
      </c>
      <c r="W3685" s="19">
        <v>4272.6260000000002</v>
      </c>
      <c r="X3685" s="19">
        <v>3619.8290000000002</v>
      </c>
      <c r="Y3685" s="19">
        <v>2326.933</v>
      </c>
      <c r="Z3685" s="19">
        <v>1083.0050000000001</v>
      </c>
      <c r="AA3685" s="19">
        <v>317.08699999999999</v>
      </c>
      <c r="AB3685" s="19">
        <v>52.293999999999997</v>
      </c>
      <c r="AC3685" s="19">
        <v>4.157</v>
      </c>
    </row>
    <row r="3686" spans="1:29" ht="11.65" hidden="1" x14ac:dyDescent="0.35">
      <c r="A3686" s="23">
        <v>3669</v>
      </c>
      <c r="B3686" s="21" t="s">
        <v>1015</v>
      </c>
      <c r="C3686" s="22" t="s">
        <v>1269</v>
      </c>
      <c r="D3686" s="20"/>
      <c r="E3686" s="20">
        <v>926</v>
      </c>
      <c r="F3686" s="21" t="s">
        <v>1065</v>
      </c>
      <c r="G3686" s="20">
        <v>917</v>
      </c>
      <c r="H3686" s="20">
        <v>1990</v>
      </c>
      <c r="I3686" s="19">
        <v>5126.9719999999998</v>
      </c>
      <c r="J3686" s="19">
        <v>5093.924</v>
      </c>
      <c r="K3686" s="19">
        <v>4918.2309999999998</v>
      </c>
      <c r="L3686" s="19">
        <v>5588.4059999999999</v>
      </c>
      <c r="M3686" s="19">
        <v>6817.4350000000004</v>
      </c>
      <c r="N3686" s="19">
        <v>7158.6289999999999</v>
      </c>
      <c r="O3686" s="19">
        <v>6678.7759999999998</v>
      </c>
      <c r="P3686" s="19">
        <v>6274.8119999999999</v>
      </c>
      <c r="Q3686" s="19">
        <v>5940.3159999999998</v>
      </c>
      <c r="R3686" s="19">
        <v>5298.1869999999999</v>
      </c>
      <c r="S3686" s="19">
        <v>5541.2740000000003</v>
      </c>
      <c r="T3686" s="19">
        <v>4923.7330000000002</v>
      </c>
      <c r="U3686" s="19">
        <v>4905.4359999999997</v>
      </c>
      <c r="V3686" s="19">
        <v>4886.4319999999998</v>
      </c>
      <c r="W3686" s="19">
        <v>3036.241</v>
      </c>
      <c r="X3686" s="19">
        <v>3628.43</v>
      </c>
      <c r="Y3686" s="19">
        <v>2671.51</v>
      </c>
      <c r="Z3686" s="19">
        <v>1336.9290000000001</v>
      </c>
      <c r="AA3686" s="19">
        <v>426.50200000000001</v>
      </c>
      <c r="AB3686" s="19">
        <v>73.837000000000003</v>
      </c>
      <c r="AC3686" s="19">
        <v>6.2249999999999996</v>
      </c>
    </row>
    <row r="3687" spans="1:29" ht="11.65" hidden="1" x14ac:dyDescent="0.35">
      <c r="A3687" s="23">
        <v>3670</v>
      </c>
      <c r="B3687" s="21" t="s">
        <v>1015</v>
      </c>
      <c r="C3687" s="22" t="s">
        <v>1269</v>
      </c>
      <c r="D3687" s="20"/>
      <c r="E3687" s="20">
        <v>926</v>
      </c>
      <c r="F3687" s="21" t="s">
        <v>1065</v>
      </c>
      <c r="G3687" s="20">
        <v>917</v>
      </c>
      <c r="H3687" s="20">
        <v>1995</v>
      </c>
      <c r="I3687" s="19">
        <v>4981.9709999999995</v>
      </c>
      <c r="J3687" s="19">
        <v>5313.46</v>
      </c>
      <c r="K3687" s="19">
        <v>5270.2280000000001</v>
      </c>
      <c r="L3687" s="19">
        <v>5095.0349999999999</v>
      </c>
      <c r="M3687" s="19">
        <v>5814.277</v>
      </c>
      <c r="N3687" s="19">
        <v>7077.8230000000003</v>
      </c>
      <c r="O3687" s="19">
        <v>7383.1809999999996</v>
      </c>
      <c r="P3687" s="19">
        <v>6833.1949999999997</v>
      </c>
      <c r="Q3687" s="19">
        <v>6339.1909999999998</v>
      </c>
      <c r="R3687" s="19">
        <v>5921.8959999999997</v>
      </c>
      <c r="S3687" s="19">
        <v>5246.7550000000001</v>
      </c>
      <c r="T3687" s="19">
        <v>5455.6880000000001</v>
      </c>
      <c r="U3687" s="19">
        <v>4801.9780000000001</v>
      </c>
      <c r="V3687" s="19">
        <v>4697.9740000000002</v>
      </c>
      <c r="W3687" s="19">
        <v>4523.8059999999996</v>
      </c>
      <c r="X3687" s="19">
        <v>2632.9079999999999</v>
      </c>
      <c r="Y3687" s="19">
        <v>2778.1959999999999</v>
      </c>
      <c r="Z3687" s="19">
        <v>1626.7360000000001</v>
      </c>
      <c r="AA3687" s="19">
        <v>561.89</v>
      </c>
      <c r="AB3687" s="19">
        <v>105.511</v>
      </c>
      <c r="AC3687" s="19">
        <v>9.1010000000000009</v>
      </c>
    </row>
    <row r="3688" spans="1:29" ht="11.65" hidden="1" x14ac:dyDescent="0.35">
      <c r="A3688" s="23">
        <v>3671</v>
      </c>
      <c r="B3688" s="21" t="s">
        <v>1015</v>
      </c>
      <c r="C3688" s="22" t="s">
        <v>1269</v>
      </c>
      <c r="D3688" s="20"/>
      <c r="E3688" s="20">
        <v>926</v>
      </c>
      <c r="F3688" s="21" t="s">
        <v>1065</v>
      </c>
      <c r="G3688" s="20">
        <v>917</v>
      </c>
      <c r="H3688" s="20">
        <v>2000</v>
      </c>
      <c r="I3688" s="19">
        <v>4866.0219999999999</v>
      </c>
      <c r="J3688" s="19">
        <v>5045.643</v>
      </c>
      <c r="K3688" s="19">
        <v>5386.56</v>
      </c>
      <c r="L3688" s="19">
        <v>5351.5249999999996</v>
      </c>
      <c r="M3688" s="19">
        <v>5247.6109999999999</v>
      </c>
      <c r="N3688" s="19">
        <v>5957.9059999999999</v>
      </c>
      <c r="O3688" s="19">
        <v>7125.8019999999997</v>
      </c>
      <c r="P3688" s="19">
        <v>7393.8549999999996</v>
      </c>
      <c r="Q3688" s="19">
        <v>6826.0789999999997</v>
      </c>
      <c r="R3688" s="19">
        <v>6304.1120000000001</v>
      </c>
      <c r="S3688" s="19">
        <v>5853.1319999999996</v>
      </c>
      <c r="T3688" s="19">
        <v>5147.9219999999996</v>
      </c>
      <c r="U3688" s="19">
        <v>5311.04</v>
      </c>
      <c r="V3688" s="19">
        <v>4606.5940000000001</v>
      </c>
      <c r="W3688" s="19">
        <v>4377.402</v>
      </c>
      <c r="X3688" s="19">
        <v>3980.3710000000001</v>
      </c>
      <c r="Y3688" s="19">
        <v>2074.5520000000001</v>
      </c>
      <c r="Z3688" s="19">
        <v>1763.0509999999999</v>
      </c>
      <c r="AA3688" s="19">
        <v>717.79200000000003</v>
      </c>
      <c r="AB3688" s="19">
        <v>145.483</v>
      </c>
      <c r="AC3688" s="19">
        <v>13.477</v>
      </c>
    </row>
    <row r="3689" spans="1:29" ht="11.65" hidden="1" x14ac:dyDescent="0.35">
      <c r="A3689" s="23">
        <v>3672</v>
      </c>
      <c r="B3689" s="21" t="s">
        <v>1015</v>
      </c>
      <c r="C3689" s="22" t="s">
        <v>1269</v>
      </c>
      <c r="D3689" s="20"/>
      <c r="E3689" s="20">
        <v>926</v>
      </c>
      <c r="F3689" s="21" t="s">
        <v>1065</v>
      </c>
      <c r="G3689" s="20">
        <v>917</v>
      </c>
      <c r="H3689" s="20">
        <v>2005</v>
      </c>
      <c r="I3689" s="19">
        <v>4785.2619999999997</v>
      </c>
      <c r="J3689" s="19">
        <v>4942.9740000000002</v>
      </c>
      <c r="K3689" s="19">
        <v>5147.28</v>
      </c>
      <c r="L3689" s="19">
        <v>5497.8959999999997</v>
      </c>
      <c r="M3689" s="19">
        <v>5606.9369999999999</v>
      </c>
      <c r="N3689" s="19">
        <v>5547.8119999999999</v>
      </c>
      <c r="O3689" s="19">
        <v>6125.3419999999996</v>
      </c>
      <c r="P3689" s="19">
        <v>7206.866</v>
      </c>
      <c r="Q3689" s="19">
        <v>7412.6509999999998</v>
      </c>
      <c r="R3689" s="19">
        <v>6810.4579999999996</v>
      </c>
      <c r="S3689" s="19">
        <v>6277.1819999999998</v>
      </c>
      <c r="T3689" s="19">
        <v>5796.9560000000001</v>
      </c>
      <c r="U3689" s="19">
        <v>5035.4799999999996</v>
      </c>
      <c r="V3689" s="19">
        <v>5132.1509999999998</v>
      </c>
      <c r="W3689" s="19">
        <v>4338.8990000000003</v>
      </c>
      <c r="X3689" s="19">
        <v>3902.3339999999998</v>
      </c>
      <c r="Y3689" s="19">
        <v>3199.1129999999998</v>
      </c>
      <c r="Z3689" s="19">
        <v>1366.806</v>
      </c>
      <c r="AA3689" s="19">
        <v>815.34400000000005</v>
      </c>
      <c r="AB3689" s="19">
        <v>195.14</v>
      </c>
      <c r="AC3689" s="19">
        <v>19.626000000000001</v>
      </c>
    </row>
    <row r="3690" spans="1:29" ht="11.65" hidden="1" x14ac:dyDescent="0.35">
      <c r="A3690" s="23">
        <v>3673</v>
      </c>
      <c r="B3690" s="21" t="s">
        <v>1015</v>
      </c>
      <c r="C3690" s="22" t="s">
        <v>1269</v>
      </c>
      <c r="D3690" s="20"/>
      <c r="E3690" s="20">
        <v>926</v>
      </c>
      <c r="F3690" s="21" t="s">
        <v>1065</v>
      </c>
      <c r="G3690" s="20">
        <v>917</v>
      </c>
      <c r="H3690" s="20">
        <v>2010</v>
      </c>
      <c r="I3690" s="19">
        <v>4729.3559999999998</v>
      </c>
      <c r="J3690" s="19">
        <v>4830.4949999999999</v>
      </c>
      <c r="K3690" s="19">
        <v>5007.6670000000004</v>
      </c>
      <c r="L3690" s="19">
        <v>5205.732</v>
      </c>
      <c r="M3690" s="19">
        <v>5648.4870000000001</v>
      </c>
      <c r="N3690" s="19">
        <v>5805.5950000000003</v>
      </c>
      <c r="O3690" s="19">
        <v>5658.2330000000002</v>
      </c>
      <c r="P3690" s="19">
        <v>6175.5069999999996</v>
      </c>
      <c r="Q3690" s="19">
        <v>7220.991</v>
      </c>
      <c r="R3690" s="19">
        <v>7389.2020000000002</v>
      </c>
      <c r="S3690" s="19">
        <v>6741.32</v>
      </c>
      <c r="T3690" s="19">
        <v>6170.5320000000002</v>
      </c>
      <c r="U3690" s="19">
        <v>5635.9470000000001</v>
      </c>
      <c r="V3690" s="19">
        <v>4831.7349999999997</v>
      </c>
      <c r="W3690" s="19">
        <v>4845.3739999999998</v>
      </c>
      <c r="X3690" s="19">
        <v>3921.2570000000001</v>
      </c>
      <c r="Y3690" s="19">
        <v>3221.018</v>
      </c>
      <c r="Z3690" s="19">
        <v>2185.6419999999998</v>
      </c>
      <c r="AA3690" s="19">
        <v>670.38099999999997</v>
      </c>
      <c r="AB3690" s="19">
        <v>238.82499999999999</v>
      </c>
      <c r="AC3690" s="19">
        <v>28.359000000000002</v>
      </c>
    </row>
    <row r="3691" spans="1:29" ht="11.65" hidden="1" x14ac:dyDescent="0.35">
      <c r="A3691" s="23">
        <v>3674</v>
      </c>
      <c r="B3691" s="21" t="s">
        <v>1015</v>
      </c>
      <c r="C3691" s="22" t="s">
        <v>1269</v>
      </c>
      <c r="D3691" s="20"/>
      <c r="E3691" s="20">
        <v>926</v>
      </c>
      <c r="F3691" s="21" t="s">
        <v>1065</v>
      </c>
      <c r="G3691" s="20">
        <v>917</v>
      </c>
      <c r="H3691" s="20">
        <v>2015</v>
      </c>
      <c r="I3691" s="19">
        <v>4773.009</v>
      </c>
      <c r="J3691" s="19">
        <v>4829.4009999999998</v>
      </c>
      <c r="K3691" s="19">
        <v>4988.7349999999997</v>
      </c>
      <c r="L3691" s="19">
        <v>5160.6719999999996</v>
      </c>
      <c r="M3691" s="19">
        <v>5399.6440000000002</v>
      </c>
      <c r="N3691" s="19">
        <v>5900.0810000000001</v>
      </c>
      <c r="O3691" s="19">
        <v>6057.4110000000001</v>
      </c>
      <c r="P3691" s="19">
        <v>5829.4530000000004</v>
      </c>
      <c r="Q3691" s="19">
        <v>6272.348</v>
      </c>
      <c r="R3691" s="19">
        <v>7259.5240000000003</v>
      </c>
      <c r="S3691" s="19">
        <v>7359.3490000000002</v>
      </c>
      <c r="T3691" s="19">
        <v>6662.5280000000002</v>
      </c>
      <c r="U3691" s="19">
        <v>6039.6760000000004</v>
      </c>
      <c r="V3691" s="19">
        <v>5459.05</v>
      </c>
      <c r="W3691" s="19">
        <v>4605.9960000000001</v>
      </c>
      <c r="X3691" s="19">
        <v>4452.6689999999999</v>
      </c>
      <c r="Y3691" s="19">
        <v>3315.239</v>
      </c>
      <c r="Z3691" s="19">
        <v>2272.3139999999999</v>
      </c>
      <c r="AA3691" s="19">
        <v>1107.6099999999999</v>
      </c>
      <c r="AB3691" s="19">
        <v>202.983</v>
      </c>
      <c r="AC3691" s="19">
        <v>36.137999999999998</v>
      </c>
    </row>
    <row r="3692" spans="1:29" ht="11.65" hidden="1" x14ac:dyDescent="0.35">
      <c r="A3692" s="23">
        <v>3675</v>
      </c>
      <c r="B3692" s="21" t="s">
        <v>1015</v>
      </c>
      <c r="C3692" s="22" t="s">
        <v>1269</v>
      </c>
      <c r="D3692" s="20"/>
      <c r="E3692" s="20">
        <v>926</v>
      </c>
      <c r="F3692" s="21" t="s">
        <v>1065</v>
      </c>
      <c r="G3692" s="20">
        <v>917</v>
      </c>
      <c r="H3692" s="20">
        <v>2020</v>
      </c>
      <c r="I3692" s="19">
        <v>4928.2560000000003</v>
      </c>
      <c r="J3692" s="19">
        <v>4956.0990000000002</v>
      </c>
      <c r="K3692" s="19">
        <v>4987.03</v>
      </c>
      <c r="L3692" s="19">
        <v>5122.3710000000001</v>
      </c>
      <c r="M3692" s="19">
        <v>5322.2290000000003</v>
      </c>
      <c r="N3692" s="19">
        <v>5631.3909999999996</v>
      </c>
      <c r="O3692" s="19">
        <v>6158.2969999999996</v>
      </c>
      <c r="P3692" s="19">
        <v>6259.0309999999999</v>
      </c>
      <c r="Q3692" s="19">
        <v>5968.5609999999997</v>
      </c>
      <c r="R3692" s="19">
        <v>6366.4250000000002</v>
      </c>
      <c r="S3692" s="19">
        <v>7286.51</v>
      </c>
      <c r="T3692" s="19">
        <v>7313.0820000000003</v>
      </c>
      <c r="U3692" s="19">
        <v>6552.6639999999998</v>
      </c>
      <c r="V3692" s="19">
        <v>5854.25</v>
      </c>
      <c r="W3692" s="19">
        <v>5176.0940000000001</v>
      </c>
      <c r="X3692" s="19">
        <v>4181.16</v>
      </c>
      <c r="Y3692" s="19">
        <v>3698.2759999999998</v>
      </c>
      <c r="Z3692" s="19">
        <v>2361.116</v>
      </c>
      <c r="AA3692" s="19">
        <v>1229.739</v>
      </c>
      <c r="AB3692" s="19">
        <v>380.44600000000003</v>
      </c>
      <c r="AC3692" s="19">
        <v>38.716000000000001</v>
      </c>
    </row>
    <row r="3693" spans="1:29" ht="11.65" hidden="1" x14ac:dyDescent="0.35">
      <c r="A3693" s="12">
        <v>3676</v>
      </c>
      <c r="B3693" s="10" t="s">
        <v>1015</v>
      </c>
      <c r="C3693" s="18" t="s">
        <v>1270</v>
      </c>
      <c r="D3693" s="9"/>
      <c r="E3693" s="9">
        <v>40</v>
      </c>
      <c r="F3693" s="10" t="s">
        <v>1066</v>
      </c>
      <c r="G3693" s="9">
        <v>926</v>
      </c>
      <c r="H3693" s="9">
        <v>1950</v>
      </c>
      <c r="I3693" s="8">
        <v>252.23</v>
      </c>
      <c r="J3693" s="8">
        <v>275.738</v>
      </c>
      <c r="K3693" s="8">
        <v>247.071</v>
      </c>
      <c r="L3693" s="8">
        <v>223.286</v>
      </c>
      <c r="M3693" s="8">
        <v>251.53299999999999</v>
      </c>
      <c r="N3693" s="8">
        <v>296.44</v>
      </c>
      <c r="O3693" s="8">
        <v>199.637</v>
      </c>
      <c r="P3693" s="8">
        <v>277.69099999999997</v>
      </c>
      <c r="Q3693" s="8">
        <v>295.02999999999997</v>
      </c>
      <c r="R3693" s="8">
        <v>286.56299999999999</v>
      </c>
      <c r="S3693" s="8">
        <v>263.68200000000002</v>
      </c>
      <c r="T3693" s="8">
        <v>228.166</v>
      </c>
      <c r="U3693" s="8">
        <v>200.31</v>
      </c>
      <c r="V3693" s="8">
        <v>165.84899999999999</v>
      </c>
      <c r="W3693" s="8">
        <v>126.97</v>
      </c>
      <c r="X3693" s="8">
        <v>77.018000000000001</v>
      </c>
      <c r="Y3693" s="8">
        <v>35.177999999999997</v>
      </c>
      <c r="Z3693" s="8">
        <v>11.632999999999999</v>
      </c>
      <c r="AA3693" s="8">
        <v>2.2090000000000001</v>
      </c>
      <c r="AB3693" s="8">
        <v>0.24199999999999999</v>
      </c>
      <c r="AC3693" s="8">
        <v>8.0000000000000002E-3</v>
      </c>
    </row>
    <row r="3694" spans="1:29" ht="11.65" hidden="1" x14ac:dyDescent="0.35">
      <c r="A3694" s="12">
        <v>3677</v>
      </c>
      <c r="B3694" s="10" t="s">
        <v>1015</v>
      </c>
      <c r="C3694" s="18" t="s">
        <v>1270</v>
      </c>
      <c r="D3694" s="9"/>
      <c r="E3694" s="9">
        <v>40</v>
      </c>
      <c r="F3694" s="10" t="s">
        <v>1066</v>
      </c>
      <c r="G3694" s="9">
        <v>926</v>
      </c>
      <c r="H3694" s="9">
        <v>1955</v>
      </c>
      <c r="I3694" s="8">
        <v>240.608</v>
      </c>
      <c r="J3694" s="8">
        <v>248.63900000000001</v>
      </c>
      <c r="K3694" s="8">
        <v>274.11099999999999</v>
      </c>
      <c r="L3694" s="8">
        <v>243.67</v>
      </c>
      <c r="M3694" s="8">
        <v>216.07499999999999</v>
      </c>
      <c r="N3694" s="8">
        <v>242.511</v>
      </c>
      <c r="O3694" s="8">
        <v>288.113</v>
      </c>
      <c r="P3694" s="8">
        <v>193.41499999999999</v>
      </c>
      <c r="Q3694" s="8">
        <v>271.279</v>
      </c>
      <c r="R3694" s="8">
        <v>287.84699999999998</v>
      </c>
      <c r="S3694" s="8">
        <v>277.58199999999999</v>
      </c>
      <c r="T3694" s="8">
        <v>252.54900000000001</v>
      </c>
      <c r="U3694" s="8">
        <v>213.857</v>
      </c>
      <c r="V3694" s="8">
        <v>179.999</v>
      </c>
      <c r="W3694" s="8">
        <v>137.798</v>
      </c>
      <c r="X3694" s="8">
        <v>91.8</v>
      </c>
      <c r="Y3694" s="8">
        <v>44.194000000000003</v>
      </c>
      <c r="Z3694" s="8">
        <v>14.225</v>
      </c>
      <c r="AA3694" s="8">
        <v>2.8980000000000001</v>
      </c>
      <c r="AB3694" s="8">
        <v>0.29299999999999998</v>
      </c>
      <c r="AC3694" s="8">
        <v>1.6E-2</v>
      </c>
    </row>
    <row r="3695" spans="1:29" ht="11.65" hidden="1" x14ac:dyDescent="0.35">
      <c r="A3695" s="12">
        <v>3678</v>
      </c>
      <c r="B3695" s="10" t="s">
        <v>1015</v>
      </c>
      <c r="C3695" s="18" t="s">
        <v>1270</v>
      </c>
      <c r="D3695" s="9"/>
      <c r="E3695" s="9">
        <v>40</v>
      </c>
      <c r="F3695" s="10" t="s">
        <v>1066</v>
      </c>
      <c r="G3695" s="9">
        <v>926</v>
      </c>
      <c r="H3695" s="9">
        <v>1960</v>
      </c>
      <c r="I3695" s="8">
        <v>284.2</v>
      </c>
      <c r="J3695" s="8">
        <v>238.12799999999999</v>
      </c>
      <c r="K3695" s="8">
        <v>247.494</v>
      </c>
      <c r="L3695" s="8">
        <v>271.64499999999998</v>
      </c>
      <c r="M3695" s="8">
        <v>238.685</v>
      </c>
      <c r="N3695" s="8">
        <v>210.06</v>
      </c>
      <c r="O3695" s="8">
        <v>236.95099999999999</v>
      </c>
      <c r="P3695" s="8">
        <v>282.95299999999997</v>
      </c>
      <c r="Q3695" s="8">
        <v>189.40700000000001</v>
      </c>
      <c r="R3695" s="8">
        <v>265.791</v>
      </c>
      <c r="S3695" s="8">
        <v>280.25900000000001</v>
      </c>
      <c r="T3695" s="8">
        <v>267.19499999999999</v>
      </c>
      <c r="U3695" s="8">
        <v>238.31100000000001</v>
      </c>
      <c r="V3695" s="8">
        <v>194.24799999999999</v>
      </c>
      <c r="W3695" s="8">
        <v>151.91300000000001</v>
      </c>
      <c r="X3695" s="8">
        <v>102.121</v>
      </c>
      <c r="Y3695" s="8">
        <v>54.716999999999999</v>
      </c>
      <c r="Z3695" s="8">
        <v>18.827000000000002</v>
      </c>
      <c r="AA3695" s="8">
        <v>3.8090000000000002</v>
      </c>
      <c r="AB3695" s="8">
        <v>0.41799999999999998</v>
      </c>
      <c r="AC3695" s="8">
        <v>2.1000000000000001E-2</v>
      </c>
    </row>
    <row r="3696" spans="1:29" ht="11.65" hidden="1" x14ac:dyDescent="0.35">
      <c r="A3696" s="12">
        <v>3679</v>
      </c>
      <c r="B3696" s="10" t="s">
        <v>1015</v>
      </c>
      <c r="C3696" s="18" t="s">
        <v>1270</v>
      </c>
      <c r="D3696" s="9"/>
      <c r="E3696" s="9">
        <v>40</v>
      </c>
      <c r="F3696" s="10" t="s">
        <v>1066</v>
      </c>
      <c r="G3696" s="9">
        <v>926</v>
      </c>
      <c r="H3696" s="9">
        <v>1965</v>
      </c>
      <c r="I3696" s="8">
        <v>315.983</v>
      </c>
      <c r="J3696" s="8">
        <v>283.36799999999999</v>
      </c>
      <c r="K3696" s="8">
        <v>237.91800000000001</v>
      </c>
      <c r="L3696" s="8">
        <v>247.55600000000001</v>
      </c>
      <c r="M3696" s="8">
        <v>272.18200000000002</v>
      </c>
      <c r="N3696" s="8">
        <v>239.45400000000001</v>
      </c>
      <c r="O3696" s="8">
        <v>210.411</v>
      </c>
      <c r="P3696" s="8">
        <v>236.33799999999999</v>
      </c>
      <c r="Q3696" s="8">
        <v>280.85199999999998</v>
      </c>
      <c r="R3696" s="8">
        <v>187.08600000000001</v>
      </c>
      <c r="S3696" s="8">
        <v>260.31099999999998</v>
      </c>
      <c r="T3696" s="8">
        <v>271.31700000000001</v>
      </c>
      <c r="U3696" s="8">
        <v>253.45500000000001</v>
      </c>
      <c r="V3696" s="8">
        <v>218.143</v>
      </c>
      <c r="W3696" s="8">
        <v>166.38200000000001</v>
      </c>
      <c r="X3696" s="8">
        <v>115.273</v>
      </c>
      <c r="Y3696" s="8">
        <v>62.832999999999998</v>
      </c>
      <c r="Z3696" s="8">
        <v>24.242999999999999</v>
      </c>
      <c r="AA3696" s="8">
        <v>5.3659999999999997</v>
      </c>
      <c r="AB3696" s="8">
        <v>0.59699999999999998</v>
      </c>
      <c r="AC3696" s="8">
        <v>3.3000000000000002E-2</v>
      </c>
    </row>
    <row r="3697" spans="1:29" ht="11.65" hidden="1" x14ac:dyDescent="0.35">
      <c r="A3697" s="12">
        <v>3680</v>
      </c>
      <c r="B3697" s="10" t="s">
        <v>1015</v>
      </c>
      <c r="C3697" s="18" t="s">
        <v>1270</v>
      </c>
      <c r="D3697" s="9"/>
      <c r="E3697" s="9">
        <v>40</v>
      </c>
      <c r="F3697" s="10" t="s">
        <v>1066</v>
      </c>
      <c r="G3697" s="9">
        <v>926</v>
      </c>
      <c r="H3697" s="9">
        <v>1970</v>
      </c>
      <c r="I3697" s="8">
        <v>304.30900000000003</v>
      </c>
      <c r="J3697" s="8">
        <v>315.99200000000002</v>
      </c>
      <c r="K3697" s="8">
        <v>283.50299999999999</v>
      </c>
      <c r="L3697" s="8">
        <v>239.203</v>
      </c>
      <c r="M3697" s="8">
        <v>250.852</v>
      </c>
      <c r="N3697" s="8">
        <v>276.27499999999998</v>
      </c>
      <c r="O3697" s="8">
        <v>242.58099999999999</v>
      </c>
      <c r="P3697" s="8">
        <v>212.03700000000001</v>
      </c>
      <c r="Q3697" s="8">
        <v>236.15100000000001</v>
      </c>
      <c r="R3697" s="8">
        <v>278.16199999999998</v>
      </c>
      <c r="S3697" s="8">
        <v>183.90799999999999</v>
      </c>
      <c r="T3697" s="8">
        <v>252.482</v>
      </c>
      <c r="U3697" s="8">
        <v>257.97199999999998</v>
      </c>
      <c r="V3697" s="8">
        <v>232.292</v>
      </c>
      <c r="W3697" s="8">
        <v>186.55600000000001</v>
      </c>
      <c r="X3697" s="8">
        <v>126.27500000000001</v>
      </c>
      <c r="Y3697" s="8">
        <v>71.349000000000004</v>
      </c>
      <c r="Z3697" s="8">
        <v>28.213000000000001</v>
      </c>
      <c r="AA3697" s="8">
        <v>6.8150000000000004</v>
      </c>
      <c r="AB3697" s="8">
        <v>0.82399999999999995</v>
      </c>
      <c r="AC3697" s="8">
        <v>4.4999999999999998E-2</v>
      </c>
    </row>
    <row r="3698" spans="1:29" ht="11.65" hidden="1" x14ac:dyDescent="0.35">
      <c r="A3698" s="12">
        <v>3681</v>
      </c>
      <c r="B3698" s="10" t="s">
        <v>1015</v>
      </c>
      <c r="C3698" s="18" t="s">
        <v>1270</v>
      </c>
      <c r="D3698" s="9"/>
      <c r="E3698" s="9">
        <v>40</v>
      </c>
      <c r="F3698" s="10" t="s">
        <v>1066</v>
      </c>
      <c r="G3698" s="9">
        <v>926</v>
      </c>
      <c r="H3698" s="9">
        <v>1975</v>
      </c>
      <c r="I3698" s="8">
        <v>248.43899999999999</v>
      </c>
      <c r="J3698" s="8">
        <v>305.23099999999999</v>
      </c>
      <c r="K3698" s="8">
        <v>316.536</v>
      </c>
      <c r="L3698" s="8">
        <v>285.70699999999999</v>
      </c>
      <c r="M3698" s="8">
        <v>244.99</v>
      </c>
      <c r="N3698" s="8">
        <v>258.07400000000001</v>
      </c>
      <c r="O3698" s="8">
        <v>281.87200000000001</v>
      </c>
      <c r="P3698" s="8">
        <v>245.99</v>
      </c>
      <c r="Q3698" s="8">
        <v>213.34700000000001</v>
      </c>
      <c r="R3698" s="8">
        <v>235.13200000000001</v>
      </c>
      <c r="S3698" s="8">
        <v>273.74</v>
      </c>
      <c r="T3698" s="8">
        <v>179.209</v>
      </c>
      <c r="U3698" s="8">
        <v>241.226</v>
      </c>
      <c r="V3698" s="8">
        <v>238.30799999999999</v>
      </c>
      <c r="W3698" s="8">
        <v>201.51300000000001</v>
      </c>
      <c r="X3698" s="8">
        <v>144.28700000000001</v>
      </c>
      <c r="Y3698" s="8">
        <v>79.959999999999994</v>
      </c>
      <c r="Z3698" s="8">
        <v>32.835999999999999</v>
      </c>
      <c r="AA3698" s="8">
        <v>8.2569999999999997</v>
      </c>
      <c r="AB3698" s="8">
        <v>1.097</v>
      </c>
      <c r="AC3698" s="8">
        <v>6.5000000000000002E-2</v>
      </c>
    </row>
    <row r="3699" spans="1:29" ht="11.65" hidden="1" x14ac:dyDescent="0.35">
      <c r="A3699" s="12">
        <v>3682</v>
      </c>
      <c r="B3699" s="10" t="s">
        <v>1015</v>
      </c>
      <c r="C3699" s="18" t="s">
        <v>1270</v>
      </c>
      <c r="D3699" s="9"/>
      <c r="E3699" s="9">
        <v>40</v>
      </c>
      <c r="F3699" s="10" t="s">
        <v>1066</v>
      </c>
      <c r="G3699" s="9">
        <v>926</v>
      </c>
      <c r="H3699" s="9">
        <v>1980</v>
      </c>
      <c r="I3699" s="8">
        <v>209.947</v>
      </c>
      <c r="J3699" s="8">
        <v>248.03200000000001</v>
      </c>
      <c r="K3699" s="8">
        <v>304.98599999999999</v>
      </c>
      <c r="L3699" s="8">
        <v>316.23899999999998</v>
      </c>
      <c r="M3699" s="8">
        <v>285.50200000000001</v>
      </c>
      <c r="N3699" s="8">
        <v>245.042</v>
      </c>
      <c r="O3699" s="8">
        <v>257.76400000000001</v>
      </c>
      <c r="P3699" s="8">
        <v>280.83999999999997</v>
      </c>
      <c r="Q3699" s="8">
        <v>244.41900000000001</v>
      </c>
      <c r="R3699" s="8">
        <v>211.03200000000001</v>
      </c>
      <c r="S3699" s="8">
        <v>230.90100000000001</v>
      </c>
      <c r="T3699" s="8">
        <v>266.17</v>
      </c>
      <c r="U3699" s="8">
        <v>171.49700000000001</v>
      </c>
      <c r="V3699" s="8">
        <v>224.50200000000001</v>
      </c>
      <c r="W3699" s="8">
        <v>209.82499999999999</v>
      </c>
      <c r="X3699" s="8">
        <v>159.31</v>
      </c>
      <c r="Y3699" s="8">
        <v>93.798000000000002</v>
      </c>
      <c r="Z3699" s="8">
        <v>37.945999999999998</v>
      </c>
      <c r="AA3699" s="8">
        <v>9.8190000000000008</v>
      </c>
      <c r="AB3699" s="8">
        <v>1.321</v>
      </c>
      <c r="AC3699" s="8">
        <v>8.5000000000000006E-2</v>
      </c>
    </row>
    <row r="3700" spans="1:29" ht="11.65" hidden="1" x14ac:dyDescent="0.35">
      <c r="A3700" s="12">
        <v>3683</v>
      </c>
      <c r="B3700" s="10" t="s">
        <v>1015</v>
      </c>
      <c r="C3700" s="18" t="s">
        <v>1270</v>
      </c>
      <c r="D3700" s="9"/>
      <c r="E3700" s="9">
        <v>40</v>
      </c>
      <c r="F3700" s="10" t="s">
        <v>1066</v>
      </c>
      <c r="G3700" s="9">
        <v>926</v>
      </c>
      <c r="H3700" s="9">
        <v>1985</v>
      </c>
      <c r="I3700" s="8">
        <v>215.53200000000001</v>
      </c>
      <c r="J3700" s="8">
        <v>209.97200000000001</v>
      </c>
      <c r="K3700" s="8">
        <v>248.00800000000001</v>
      </c>
      <c r="L3700" s="8">
        <v>305.10899999999998</v>
      </c>
      <c r="M3700" s="8">
        <v>316.916</v>
      </c>
      <c r="N3700" s="8">
        <v>286.54199999999997</v>
      </c>
      <c r="O3700" s="8">
        <v>245.756</v>
      </c>
      <c r="P3700" s="8">
        <v>257.51600000000002</v>
      </c>
      <c r="Q3700" s="8">
        <v>279.46600000000001</v>
      </c>
      <c r="R3700" s="8">
        <v>242.143</v>
      </c>
      <c r="S3700" s="8">
        <v>207.749</v>
      </c>
      <c r="T3700" s="8">
        <v>225.173</v>
      </c>
      <c r="U3700" s="8">
        <v>255.62200000000001</v>
      </c>
      <c r="V3700" s="8">
        <v>160.69900000000001</v>
      </c>
      <c r="W3700" s="8">
        <v>200.59</v>
      </c>
      <c r="X3700" s="8">
        <v>169.90600000000001</v>
      </c>
      <c r="Y3700" s="8">
        <v>107.53400000000001</v>
      </c>
      <c r="Z3700" s="8">
        <v>46.579000000000001</v>
      </c>
      <c r="AA3700" s="8">
        <v>12.164999999999999</v>
      </c>
      <c r="AB3700" s="8">
        <v>1.7070000000000001</v>
      </c>
      <c r="AC3700" s="8">
        <v>0.109</v>
      </c>
    </row>
    <row r="3701" spans="1:29" ht="11.65" hidden="1" x14ac:dyDescent="0.35">
      <c r="A3701" s="12">
        <v>3684</v>
      </c>
      <c r="B3701" s="10" t="s">
        <v>1015</v>
      </c>
      <c r="C3701" s="18" t="s">
        <v>1270</v>
      </c>
      <c r="D3701" s="9"/>
      <c r="E3701" s="9">
        <v>40</v>
      </c>
      <c r="F3701" s="10" t="s">
        <v>1066</v>
      </c>
      <c r="G3701" s="9">
        <v>926</v>
      </c>
      <c r="H3701" s="9">
        <v>1990</v>
      </c>
      <c r="I3701" s="8">
        <v>208.97499999999999</v>
      </c>
      <c r="J3701" s="8">
        <v>217.702</v>
      </c>
      <c r="K3701" s="8">
        <v>211.16200000000001</v>
      </c>
      <c r="L3701" s="8">
        <v>251.53200000000001</v>
      </c>
      <c r="M3701" s="8">
        <v>313.30799999999999</v>
      </c>
      <c r="N3701" s="8">
        <v>327.05399999999997</v>
      </c>
      <c r="O3701" s="8">
        <v>294.762</v>
      </c>
      <c r="P3701" s="8">
        <v>251.06299999999999</v>
      </c>
      <c r="Q3701" s="8">
        <v>259.99700000000001</v>
      </c>
      <c r="R3701" s="8">
        <v>279.29000000000002</v>
      </c>
      <c r="S3701" s="8">
        <v>240.29900000000001</v>
      </c>
      <c r="T3701" s="8">
        <v>204.232</v>
      </c>
      <c r="U3701" s="8">
        <v>218.14599999999999</v>
      </c>
      <c r="V3701" s="8">
        <v>241.655</v>
      </c>
      <c r="W3701" s="8">
        <v>145.80199999999999</v>
      </c>
      <c r="X3701" s="8">
        <v>167.55199999999999</v>
      </c>
      <c r="Y3701" s="8">
        <v>120.354</v>
      </c>
      <c r="Z3701" s="8">
        <v>57.523000000000003</v>
      </c>
      <c r="AA3701" s="8">
        <v>16.329999999999998</v>
      </c>
      <c r="AB3701" s="8">
        <v>2.387</v>
      </c>
      <c r="AC3701" s="8">
        <v>0.158</v>
      </c>
    </row>
    <row r="3702" spans="1:29" ht="11.65" hidden="1" x14ac:dyDescent="0.35">
      <c r="A3702" s="12">
        <v>3685</v>
      </c>
      <c r="B3702" s="10" t="s">
        <v>1015</v>
      </c>
      <c r="C3702" s="18" t="s">
        <v>1270</v>
      </c>
      <c r="D3702" s="9"/>
      <c r="E3702" s="9">
        <v>40</v>
      </c>
      <c r="F3702" s="10" t="s">
        <v>1066</v>
      </c>
      <c r="G3702" s="9">
        <v>926</v>
      </c>
      <c r="H3702" s="9">
        <v>1995</v>
      </c>
      <c r="I3702" s="8">
        <v>230.08699999999999</v>
      </c>
      <c r="J3702" s="8">
        <v>226.732</v>
      </c>
      <c r="K3702" s="8">
        <v>233.00399999999999</v>
      </c>
      <c r="L3702" s="8">
        <v>225.10400000000001</v>
      </c>
      <c r="M3702" s="8">
        <v>272.904</v>
      </c>
      <c r="N3702" s="8">
        <v>340.20600000000002</v>
      </c>
      <c r="O3702" s="8">
        <v>347.37299999999999</v>
      </c>
      <c r="P3702" s="8">
        <v>305.80500000000001</v>
      </c>
      <c r="Q3702" s="8">
        <v>252.60300000000001</v>
      </c>
      <c r="R3702" s="8">
        <v>249.30099999999999</v>
      </c>
      <c r="S3702" s="8">
        <v>262.72300000000001</v>
      </c>
      <c r="T3702" s="8">
        <v>221.066</v>
      </c>
      <c r="U3702" s="8">
        <v>189.07300000000001</v>
      </c>
      <c r="V3702" s="8">
        <v>209.31700000000001</v>
      </c>
      <c r="W3702" s="8">
        <v>225.27600000000001</v>
      </c>
      <c r="X3702" s="8">
        <v>122.017</v>
      </c>
      <c r="Y3702" s="8">
        <v>124.834</v>
      </c>
      <c r="Z3702" s="8">
        <v>70.802999999999997</v>
      </c>
      <c r="AA3702" s="8">
        <v>21.669</v>
      </c>
      <c r="AB3702" s="8">
        <v>3.4830000000000001</v>
      </c>
      <c r="AC3702" s="8">
        <v>0.23699999999999999</v>
      </c>
    </row>
    <row r="3703" spans="1:29" ht="11.65" hidden="1" x14ac:dyDescent="0.35">
      <c r="A3703" s="12">
        <v>3686</v>
      </c>
      <c r="B3703" s="10" t="s">
        <v>1015</v>
      </c>
      <c r="C3703" s="18" t="s">
        <v>1270</v>
      </c>
      <c r="D3703" s="9"/>
      <c r="E3703" s="9">
        <v>40</v>
      </c>
      <c r="F3703" s="10" t="s">
        <v>1066</v>
      </c>
      <c r="G3703" s="9">
        <v>926</v>
      </c>
      <c r="H3703" s="9">
        <v>2000</v>
      </c>
      <c r="I3703" s="8">
        <v>202.72300000000001</v>
      </c>
      <c r="J3703" s="8">
        <v>231.31899999999999</v>
      </c>
      <c r="K3703" s="8">
        <v>227.393</v>
      </c>
      <c r="L3703" s="8">
        <v>235.005</v>
      </c>
      <c r="M3703" s="8">
        <v>229.91499999999999</v>
      </c>
      <c r="N3703" s="8">
        <v>278.791</v>
      </c>
      <c r="O3703" s="8">
        <v>344.80200000000002</v>
      </c>
      <c r="P3703" s="8">
        <v>350.01799999999997</v>
      </c>
      <c r="Q3703" s="8">
        <v>306.73599999999999</v>
      </c>
      <c r="R3703" s="8">
        <v>252.09899999999999</v>
      </c>
      <c r="S3703" s="8">
        <v>246.994</v>
      </c>
      <c r="T3703" s="8">
        <v>258.33300000000003</v>
      </c>
      <c r="U3703" s="8">
        <v>215.411</v>
      </c>
      <c r="V3703" s="8">
        <v>180.96600000000001</v>
      </c>
      <c r="W3703" s="8">
        <v>193.995</v>
      </c>
      <c r="X3703" s="8">
        <v>195.934</v>
      </c>
      <c r="Y3703" s="8">
        <v>93.671000000000006</v>
      </c>
      <c r="Z3703" s="8">
        <v>75.197999999999993</v>
      </c>
      <c r="AA3703" s="8">
        <v>28.369</v>
      </c>
      <c r="AB3703" s="8">
        <v>4.8449999999999998</v>
      </c>
      <c r="AC3703" s="8">
        <v>0.35499999999999998</v>
      </c>
    </row>
    <row r="3704" spans="1:29" ht="11.65" hidden="1" x14ac:dyDescent="0.35">
      <c r="A3704" s="12">
        <v>3687</v>
      </c>
      <c r="B3704" s="10" t="s">
        <v>1015</v>
      </c>
      <c r="C3704" s="18" t="s">
        <v>1270</v>
      </c>
      <c r="D3704" s="9"/>
      <c r="E3704" s="9">
        <v>40</v>
      </c>
      <c r="F3704" s="10" t="s">
        <v>1066</v>
      </c>
      <c r="G3704" s="9">
        <v>926</v>
      </c>
      <c r="H3704" s="9">
        <v>2005</v>
      </c>
      <c r="I3704" s="8">
        <v>193.92</v>
      </c>
      <c r="J3704" s="8">
        <v>210.315</v>
      </c>
      <c r="K3704" s="8">
        <v>237.92599999999999</v>
      </c>
      <c r="L3704" s="8">
        <v>239.89099999999999</v>
      </c>
      <c r="M3704" s="8">
        <v>257.69799999999998</v>
      </c>
      <c r="N3704" s="8">
        <v>252.48400000000001</v>
      </c>
      <c r="O3704" s="8">
        <v>292.36099999999999</v>
      </c>
      <c r="P3704" s="8">
        <v>349.58699999999999</v>
      </c>
      <c r="Q3704" s="8">
        <v>349.88400000000001</v>
      </c>
      <c r="R3704" s="8">
        <v>306.28100000000001</v>
      </c>
      <c r="S3704" s="8">
        <v>250.738</v>
      </c>
      <c r="T3704" s="8">
        <v>243.15199999999999</v>
      </c>
      <c r="U3704" s="8">
        <v>252.369</v>
      </c>
      <c r="V3704" s="8">
        <v>206.76599999999999</v>
      </c>
      <c r="W3704" s="8">
        <v>169.321</v>
      </c>
      <c r="X3704" s="8">
        <v>172.83</v>
      </c>
      <c r="Y3704" s="8">
        <v>156.595</v>
      </c>
      <c r="Z3704" s="8">
        <v>59.962000000000003</v>
      </c>
      <c r="AA3704" s="8">
        <v>32.241999999999997</v>
      </c>
      <c r="AB3704" s="8">
        <v>6.7489999999999997</v>
      </c>
      <c r="AC3704" s="8">
        <v>0.52600000000000002</v>
      </c>
    </row>
    <row r="3705" spans="1:29" ht="11.65" hidden="1" x14ac:dyDescent="0.35">
      <c r="A3705" s="12">
        <v>3688</v>
      </c>
      <c r="B3705" s="10" t="s">
        <v>1015</v>
      </c>
      <c r="C3705" s="18" t="s">
        <v>1270</v>
      </c>
      <c r="D3705" s="9"/>
      <c r="E3705" s="9">
        <v>40</v>
      </c>
      <c r="F3705" s="10" t="s">
        <v>1066</v>
      </c>
      <c r="G3705" s="9">
        <v>926</v>
      </c>
      <c r="H3705" s="9">
        <v>2010</v>
      </c>
      <c r="I3705" s="8">
        <v>190.404</v>
      </c>
      <c r="J3705" s="8">
        <v>198.369</v>
      </c>
      <c r="K3705" s="8">
        <v>214.31200000000001</v>
      </c>
      <c r="L3705" s="8">
        <v>246.11500000000001</v>
      </c>
      <c r="M3705" s="8">
        <v>256.21300000000002</v>
      </c>
      <c r="N3705" s="8">
        <v>275.98099999999999</v>
      </c>
      <c r="O3705" s="8">
        <v>264.214</v>
      </c>
      <c r="P3705" s="8">
        <v>298.07400000000001</v>
      </c>
      <c r="Q3705" s="8">
        <v>351.96199999999999</v>
      </c>
      <c r="R3705" s="8">
        <v>350.04199999999997</v>
      </c>
      <c r="S3705" s="8">
        <v>305.91800000000001</v>
      </c>
      <c r="T3705" s="8">
        <v>248.643</v>
      </c>
      <c r="U3705" s="8">
        <v>237.60900000000001</v>
      </c>
      <c r="V3705" s="8">
        <v>243.84100000000001</v>
      </c>
      <c r="W3705" s="8">
        <v>194.96700000000001</v>
      </c>
      <c r="X3705" s="8">
        <v>152.89699999999999</v>
      </c>
      <c r="Y3705" s="8">
        <v>141.548</v>
      </c>
      <c r="Z3705" s="8">
        <v>103.349</v>
      </c>
      <c r="AA3705" s="8">
        <v>27.663</v>
      </c>
      <c r="AB3705" s="8">
        <v>8.3819999999999997</v>
      </c>
      <c r="AC3705" s="8">
        <v>0.8</v>
      </c>
    </row>
    <row r="3706" spans="1:29" ht="11.65" hidden="1" x14ac:dyDescent="0.35">
      <c r="A3706" s="12">
        <v>3689</v>
      </c>
      <c r="B3706" s="10" t="s">
        <v>1015</v>
      </c>
      <c r="C3706" s="18" t="s">
        <v>1270</v>
      </c>
      <c r="D3706" s="9"/>
      <c r="E3706" s="9">
        <v>40</v>
      </c>
      <c r="F3706" s="10" t="s">
        <v>1066</v>
      </c>
      <c r="G3706" s="9">
        <v>926</v>
      </c>
      <c r="H3706" s="9">
        <v>2015</v>
      </c>
      <c r="I3706" s="8">
        <v>197.428</v>
      </c>
      <c r="J3706" s="8">
        <v>195.58099999999999</v>
      </c>
      <c r="K3706" s="8">
        <v>203.322</v>
      </c>
      <c r="L3706" s="8">
        <v>222.244</v>
      </c>
      <c r="M3706" s="8">
        <v>269.666</v>
      </c>
      <c r="N3706" s="8">
        <v>284.83199999999999</v>
      </c>
      <c r="O3706" s="8">
        <v>295.077</v>
      </c>
      <c r="P3706" s="8">
        <v>272.57</v>
      </c>
      <c r="Q3706" s="8">
        <v>302.10399999999998</v>
      </c>
      <c r="R3706" s="8">
        <v>354.59800000000001</v>
      </c>
      <c r="S3706" s="8">
        <v>348.84800000000001</v>
      </c>
      <c r="T3706" s="8">
        <v>303.26499999999999</v>
      </c>
      <c r="U3706" s="8">
        <v>245.51300000000001</v>
      </c>
      <c r="V3706" s="8">
        <v>232.97499999999999</v>
      </c>
      <c r="W3706" s="8">
        <v>235.08699999999999</v>
      </c>
      <c r="X3706" s="8">
        <v>181.512</v>
      </c>
      <c r="Y3706" s="8">
        <v>129.29599999999999</v>
      </c>
      <c r="Z3706" s="8">
        <v>97.766000000000005</v>
      </c>
      <c r="AA3706" s="8">
        <v>49.716000000000001</v>
      </c>
      <c r="AB3706" s="8">
        <v>7.5359999999999996</v>
      </c>
      <c r="AC3706" s="8">
        <v>1.075</v>
      </c>
    </row>
    <row r="3707" spans="1:29" ht="11.65" hidden="1" x14ac:dyDescent="0.35">
      <c r="A3707" s="12">
        <v>3690</v>
      </c>
      <c r="B3707" s="10" t="s">
        <v>1015</v>
      </c>
      <c r="C3707" s="18" t="s">
        <v>1270</v>
      </c>
      <c r="D3707" s="9"/>
      <c r="E3707" s="9">
        <v>40</v>
      </c>
      <c r="F3707" s="10" t="s">
        <v>1066</v>
      </c>
      <c r="G3707" s="9">
        <v>926</v>
      </c>
      <c r="H3707" s="9">
        <v>2020</v>
      </c>
      <c r="I3707" s="8">
        <v>217.80199999999999</v>
      </c>
      <c r="J3707" s="8">
        <v>206.02</v>
      </c>
      <c r="K3707" s="8">
        <v>205.04300000000001</v>
      </c>
      <c r="L3707" s="8">
        <v>218.86600000000001</v>
      </c>
      <c r="M3707" s="8">
        <v>245.5</v>
      </c>
      <c r="N3707" s="8">
        <v>294.55</v>
      </c>
      <c r="O3707" s="8">
        <v>304.54700000000003</v>
      </c>
      <c r="P3707" s="8">
        <v>308.423</v>
      </c>
      <c r="Q3707" s="8">
        <v>281.24599999999998</v>
      </c>
      <c r="R3707" s="8">
        <v>307.27600000000001</v>
      </c>
      <c r="S3707" s="8">
        <v>356.19299999999998</v>
      </c>
      <c r="T3707" s="8">
        <v>346.71899999999999</v>
      </c>
      <c r="U3707" s="8">
        <v>297.69299999999998</v>
      </c>
      <c r="V3707" s="8">
        <v>237.00200000000001</v>
      </c>
      <c r="W3707" s="8">
        <v>219.95099999999999</v>
      </c>
      <c r="X3707" s="8">
        <v>214.61600000000001</v>
      </c>
      <c r="Y3707" s="8">
        <v>153.11199999999999</v>
      </c>
      <c r="Z3707" s="8">
        <v>90.259</v>
      </c>
      <c r="AA3707" s="8">
        <v>47.473999999999997</v>
      </c>
      <c r="AB3707" s="8">
        <v>13.468</v>
      </c>
      <c r="AC3707" s="8">
        <v>0.94899999999999995</v>
      </c>
    </row>
    <row r="3708" spans="1:29" ht="11.65" hidden="1" x14ac:dyDescent="0.35">
      <c r="A3708" s="12">
        <v>3691</v>
      </c>
      <c r="B3708" s="10" t="s">
        <v>1015</v>
      </c>
      <c r="C3708" s="18" t="s">
        <v>1271</v>
      </c>
      <c r="D3708" s="9"/>
      <c r="E3708" s="9">
        <v>56</v>
      </c>
      <c r="F3708" s="10" t="s">
        <v>1066</v>
      </c>
      <c r="G3708" s="9">
        <v>926</v>
      </c>
      <c r="H3708" s="9">
        <v>1950</v>
      </c>
      <c r="I3708" s="8">
        <v>341.642</v>
      </c>
      <c r="J3708" s="8">
        <v>267.721</v>
      </c>
      <c r="K3708" s="8">
        <v>284.33100000000002</v>
      </c>
      <c r="L3708" s="8">
        <v>309.32400000000001</v>
      </c>
      <c r="M3708" s="8">
        <v>323.04700000000003</v>
      </c>
      <c r="N3708" s="8">
        <v>339.322</v>
      </c>
      <c r="O3708" s="8">
        <v>231.99199999999999</v>
      </c>
      <c r="P3708" s="8">
        <v>311.73099999999999</v>
      </c>
      <c r="Q3708" s="8">
        <v>326.33300000000003</v>
      </c>
      <c r="R3708" s="8">
        <v>328.24599999999998</v>
      </c>
      <c r="S3708" s="8">
        <v>303.12599999999998</v>
      </c>
      <c r="T3708" s="8">
        <v>262.39</v>
      </c>
      <c r="U3708" s="8">
        <v>226.733</v>
      </c>
      <c r="V3708" s="8">
        <v>196.67699999999999</v>
      </c>
      <c r="W3708" s="8">
        <v>153.39699999999999</v>
      </c>
      <c r="X3708" s="8">
        <v>101.271</v>
      </c>
      <c r="Y3708" s="8">
        <v>50.814</v>
      </c>
      <c r="Z3708" s="8">
        <v>18.102</v>
      </c>
      <c r="AA3708" s="8">
        <v>3.9449999999999998</v>
      </c>
      <c r="AB3708" s="8">
        <v>0.49299999999999999</v>
      </c>
      <c r="AC3708" s="8">
        <v>2.1999999999999999E-2</v>
      </c>
    </row>
    <row r="3709" spans="1:29" ht="11.65" hidden="1" x14ac:dyDescent="0.35">
      <c r="A3709" s="12">
        <v>3692</v>
      </c>
      <c r="B3709" s="10" t="s">
        <v>1015</v>
      </c>
      <c r="C3709" s="18" t="s">
        <v>1271</v>
      </c>
      <c r="D3709" s="9"/>
      <c r="E3709" s="9">
        <v>56</v>
      </c>
      <c r="F3709" s="10" t="s">
        <v>1066</v>
      </c>
      <c r="G3709" s="9">
        <v>926</v>
      </c>
      <c r="H3709" s="9">
        <v>1955</v>
      </c>
      <c r="I3709" s="8">
        <v>342.88900000000001</v>
      </c>
      <c r="J3709" s="8">
        <v>342.21100000000001</v>
      </c>
      <c r="K3709" s="8">
        <v>268.31700000000001</v>
      </c>
      <c r="L3709" s="8">
        <v>286.12900000000002</v>
      </c>
      <c r="M3709" s="8">
        <v>312.83300000000003</v>
      </c>
      <c r="N3709" s="8">
        <v>325.83699999999999</v>
      </c>
      <c r="O3709" s="8">
        <v>340.34300000000002</v>
      </c>
      <c r="P3709" s="8">
        <v>232.303</v>
      </c>
      <c r="Q3709" s="8">
        <v>309.68400000000003</v>
      </c>
      <c r="R3709" s="8">
        <v>321.82900000000001</v>
      </c>
      <c r="S3709" s="8">
        <v>320.58600000000001</v>
      </c>
      <c r="T3709" s="8">
        <v>291.79700000000003</v>
      </c>
      <c r="U3709" s="8">
        <v>246.83199999999999</v>
      </c>
      <c r="V3709" s="8">
        <v>204.50299999999999</v>
      </c>
      <c r="W3709" s="8">
        <v>164.702</v>
      </c>
      <c r="X3709" s="8">
        <v>112.768</v>
      </c>
      <c r="Y3709" s="8">
        <v>60.079000000000001</v>
      </c>
      <c r="Z3709" s="8">
        <v>21.734000000000002</v>
      </c>
      <c r="AA3709" s="8">
        <v>4.8579999999999997</v>
      </c>
      <c r="AB3709" s="8">
        <v>0.58399999999999996</v>
      </c>
      <c r="AC3709" s="8">
        <v>3.5999999999999997E-2</v>
      </c>
    </row>
    <row r="3710" spans="1:29" ht="11.65" hidden="1" x14ac:dyDescent="0.35">
      <c r="A3710" s="12">
        <v>3693</v>
      </c>
      <c r="B3710" s="10" t="s">
        <v>1015</v>
      </c>
      <c r="C3710" s="18" t="s">
        <v>1271</v>
      </c>
      <c r="D3710" s="9"/>
      <c r="E3710" s="9">
        <v>56</v>
      </c>
      <c r="F3710" s="10" t="s">
        <v>1066</v>
      </c>
      <c r="G3710" s="9">
        <v>926</v>
      </c>
      <c r="H3710" s="9">
        <v>1960</v>
      </c>
      <c r="I3710" s="8">
        <v>365.952</v>
      </c>
      <c r="J3710" s="8">
        <v>344.78199999999998</v>
      </c>
      <c r="K3710" s="8">
        <v>344.14400000000001</v>
      </c>
      <c r="L3710" s="8">
        <v>270.50599999999997</v>
      </c>
      <c r="M3710" s="8">
        <v>289.452</v>
      </c>
      <c r="N3710" s="8">
        <v>314.69600000000003</v>
      </c>
      <c r="O3710" s="8">
        <v>326.01499999999999</v>
      </c>
      <c r="P3710" s="8">
        <v>339.32600000000002</v>
      </c>
      <c r="Q3710" s="8">
        <v>230.66</v>
      </c>
      <c r="R3710" s="8">
        <v>305.81299999999999</v>
      </c>
      <c r="S3710" s="8">
        <v>315.32600000000002</v>
      </c>
      <c r="T3710" s="8">
        <v>309.887</v>
      </c>
      <c r="U3710" s="8">
        <v>276.02199999999999</v>
      </c>
      <c r="V3710" s="8">
        <v>224.99</v>
      </c>
      <c r="W3710" s="8">
        <v>173.636</v>
      </c>
      <c r="X3710" s="8">
        <v>123.65900000000001</v>
      </c>
      <c r="Y3710" s="8">
        <v>68.739999999999995</v>
      </c>
      <c r="Z3710" s="8">
        <v>26.504000000000001</v>
      </c>
      <c r="AA3710" s="8">
        <v>6.109</v>
      </c>
      <c r="AB3710" s="8">
        <v>0.748</v>
      </c>
      <c r="AC3710" s="8">
        <v>4.4999999999999998E-2</v>
      </c>
    </row>
    <row r="3711" spans="1:29" ht="11.65" hidden="1" x14ac:dyDescent="0.35">
      <c r="A3711" s="12">
        <v>3694</v>
      </c>
      <c r="B3711" s="10" t="s">
        <v>1015</v>
      </c>
      <c r="C3711" s="18" t="s">
        <v>1271</v>
      </c>
      <c r="D3711" s="9"/>
      <c r="E3711" s="9">
        <v>56</v>
      </c>
      <c r="F3711" s="10" t="s">
        <v>1066</v>
      </c>
      <c r="G3711" s="9">
        <v>926</v>
      </c>
      <c r="H3711" s="9">
        <v>1965</v>
      </c>
      <c r="I3711" s="8">
        <v>382.03699999999998</v>
      </c>
      <c r="J3711" s="8">
        <v>369.74700000000001</v>
      </c>
      <c r="K3711" s="8">
        <v>347.685</v>
      </c>
      <c r="L3711" s="8">
        <v>346.96</v>
      </c>
      <c r="M3711" s="8">
        <v>275.01600000000002</v>
      </c>
      <c r="N3711" s="8">
        <v>292.952</v>
      </c>
      <c r="O3711" s="8">
        <v>316.57</v>
      </c>
      <c r="P3711" s="8">
        <v>324.66800000000001</v>
      </c>
      <c r="Q3711" s="8">
        <v>334.78399999999999</v>
      </c>
      <c r="R3711" s="8">
        <v>226.066</v>
      </c>
      <c r="S3711" s="8">
        <v>298.22800000000001</v>
      </c>
      <c r="T3711" s="8">
        <v>304.49400000000003</v>
      </c>
      <c r="U3711" s="8">
        <v>293.62</v>
      </c>
      <c r="V3711" s="8">
        <v>252.25899999999999</v>
      </c>
      <c r="W3711" s="8">
        <v>192.56</v>
      </c>
      <c r="X3711" s="8">
        <v>131.845</v>
      </c>
      <c r="Y3711" s="8">
        <v>76.789000000000001</v>
      </c>
      <c r="Z3711" s="8">
        <v>31.286000000000001</v>
      </c>
      <c r="AA3711" s="8">
        <v>7.694</v>
      </c>
      <c r="AB3711" s="8">
        <v>0.98799999999999999</v>
      </c>
      <c r="AC3711" s="8">
        <v>0.06</v>
      </c>
    </row>
    <row r="3712" spans="1:29" ht="11.65" hidden="1" x14ac:dyDescent="0.35">
      <c r="A3712" s="12">
        <v>3695</v>
      </c>
      <c r="B3712" s="10" t="s">
        <v>1015</v>
      </c>
      <c r="C3712" s="18" t="s">
        <v>1271</v>
      </c>
      <c r="D3712" s="9"/>
      <c r="E3712" s="9">
        <v>56</v>
      </c>
      <c r="F3712" s="10" t="s">
        <v>1066</v>
      </c>
      <c r="G3712" s="9">
        <v>926</v>
      </c>
      <c r="H3712" s="9">
        <v>1970</v>
      </c>
      <c r="I3712" s="8">
        <v>350.31299999999999</v>
      </c>
      <c r="J3712" s="8">
        <v>384.28399999999999</v>
      </c>
      <c r="K3712" s="8">
        <v>372.60899999999998</v>
      </c>
      <c r="L3712" s="8">
        <v>351.97300000000001</v>
      </c>
      <c r="M3712" s="8">
        <v>352.26900000000001</v>
      </c>
      <c r="N3712" s="8">
        <v>279.548</v>
      </c>
      <c r="O3712" s="8">
        <v>295.47800000000001</v>
      </c>
      <c r="P3712" s="8">
        <v>315.36599999999999</v>
      </c>
      <c r="Q3712" s="8">
        <v>320.49700000000001</v>
      </c>
      <c r="R3712" s="8">
        <v>329.108</v>
      </c>
      <c r="S3712" s="8">
        <v>220.48099999999999</v>
      </c>
      <c r="T3712" s="8">
        <v>288.28500000000003</v>
      </c>
      <c r="U3712" s="8">
        <v>289.05099999999999</v>
      </c>
      <c r="V3712" s="8">
        <v>269.27199999999999</v>
      </c>
      <c r="W3712" s="8">
        <v>216.75</v>
      </c>
      <c r="X3712" s="8">
        <v>147.29300000000001</v>
      </c>
      <c r="Y3712" s="8">
        <v>82.697999999999993</v>
      </c>
      <c r="Z3712" s="8">
        <v>35.268999999999998</v>
      </c>
      <c r="AA3712" s="8">
        <v>9.1389999999999993</v>
      </c>
      <c r="AB3712" s="8">
        <v>1.2450000000000001</v>
      </c>
      <c r="AC3712" s="8">
        <v>0.08</v>
      </c>
    </row>
    <row r="3713" spans="1:29" ht="11.65" hidden="1" x14ac:dyDescent="0.35">
      <c r="A3713" s="12">
        <v>3696</v>
      </c>
      <c r="B3713" s="10" t="s">
        <v>1015</v>
      </c>
      <c r="C3713" s="18" t="s">
        <v>1271</v>
      </c>
      <c r="D3713" s="9"/>
      <c r="E3713" s="9">
        <v>56</v>
      </c>
      <c r="F3713" s="10" t="s">
        <v>1066</v>
      </c>
      <c r="G3713" s="9">
        <v>926</v>
      </c>
      <c r="H3713" s="9">
        <v>1975</v>
      </c>
      <c r="I3713" s="8">
        <v>318.15899999999999</v>
      </c>
      <c r="J3713" s="8">
        <v>352.83600000000001</v>
      </c>
      <c r="K3713" s="8">
        <v>388.19200000000001</v>
      </c>
      <c r="L3713" s="8">
        <v>378.36200000000002</v>
      </c>
      <c r="M3713" s="8">
        <v>358.21800000000002</v>
      </c>
      <c r="N3713" s="8">
        <v>357.15899999999999</v>
      </c>
      <c r="O3713" s="8">
        <v>282.16699999999997</v>
      </c>
      <c r="P3713" s="8">
        <v>296.22899999999998</v>
      </c>
      <c r="Q3713" s="8">
        <v>314.35899999999998</v>
      </c>
      <c r="R3713" s="8">
        <v>317.41800000000001</v>
      </c>
      <c r="S3713" s="8">
        <v>323.077</v>
      </c>
      <c r="T3713" s="8">
        <v>214.197</v>
      </c>
      <c r="U3713" s="8">
        <v>274.84899999999999</v>
      </c>
      <c r="V3713" s="8">
        <v>267.012</v>
      </c>
      <c r="W3713" s="8">
        <v>234.239</v>
      </c>
      <c r="X3713" s="8">
        <v>169.04599999999999</v>
      </c>
      <c r="Y3713" s="8">
        <v>94.74</v>
      </c>
      <c r="Z3713" s="8">
        <v>39.328000000000003</v>
      </c>
      <c r="AA3713" s="8">
        <v>10.852</v>
      </c>
      <c r="AB3713" s="8">
        <v>1.5389999999999999</v>
      </c>
      <c r="AC3713" s="8">
        <v>0.104</v>
      </c>
    </row>
    <row r="3714" spans="1:29" ht="11.65" hidden="1" x14ac:dyDescent="0.35">
      <c r="A3714" s="12">
        <v>3697</v>
      </c>
      <c r="B3714" s="10" t="s">
        <v>1015</v>
      </c>
      <c r="C3714" s="18" t="s">
        <v>1271</v>
      </c>
      <c r="D3714" s="9"/>
      <c r="E3714" s="9">
        <v>56</v>
      </c>
      <c r="F3714" s="10" t="s">
        <v>1066</v>
      </c>
      <c r="G3714" s="9">
        <v>926</v>
      </c>
      <c r="H3714" s="9">
        <v>1980</v>
      </c>
      <c r="I3714" s="8">
        <v>292.12200000000001</v>
      </c>
      <c r="J3714" s="8">
        <v>320.87900000000002</v>
      </c>
      <c r="K3714" s="8">
        <v>355.84500000000003</v>
      </c>
      <c r="L3714" s="8">
        <v>393.09300000000002</v>
      </c>
      <c r="M3714" s="8">
        <v>384.73500000000001</v>
      </c>
      <c r="N3714" s="8">
        <v>363.08800000000002</v>
      </c>
      <c r="O3714" s="8">
        <v>359.50400000000002</v>
      </c>
      <c r="P3714" s="8">
        <v>282.93099999999998</v>
      </c>
      <c r="Q3714" s="8">
        <v>295.40699999999998</v>
      </c>
      <c r="R3714" s="8">
        <v>311.57499999999999</v>
      </c>
      <c r="S3714" s="8">
        <v>311.85399999999998</v>
      </c>
      <c r="T3714" s="8">
        <v>314.00799999999998</v>
      </c>
      <c r="U3714" s="8">
        <v>205.036</v>
      </c>
      <c r="V3714" s="8">
        <v>256.363</v>
      </c>
      <c r="W3714" s="8">
        <v>236.06800000000001</v>
      </c>
      <c r="X3714" s="8">
        <v>187.21299999999999</v>
      </c>
      <c r="Y3714" s="8">
        <v>113.319</v>
      </c>
      <c r="Z3714" s="8">
        <v>47.753</v>
      </c>
      <c r="AA3714" s="8">
        <v>13.01</v>
      </c>
      <c r="AB3714" s="8">
        <v>2.024</v>
      </c>
      <c r="AC3714" s="8">
        <v>0.14299999999999999</v>
      </c>
    </row>
    <row r="3715" spans="1:29" ht="11.65" hidden="1" x14ac:dyDescent="0.35">
      <c r="A3715" s="12">
        <v>3698</v>
      </c>
      <c r="B3715" s="10" t="s">
        <v>1015</v>
      </c>
      <c r="C3715" s="18" t="s">
        <v>1271</v>
      </c>
      <c r="D3715" s="9"/>
      <c r="E3715" s="9">
        <v>56</v>
      </c>
      <c r="F3715" s="10" t="s">
        <v>1066</v>
      </c>
      <c r="G3715" s="9">
        <v>926</v>
      </c>
      <c r="H3715" s="9">
        <v>1985</v>
      </c>
      <c r="I3715" s="8">
        <v>287.49299999999999</v>
      </c>
      <c r="J3715" s="8">
        <v>292.63499999999999</v>
      </c>
      <c r="K3715" s="8">
        <v>321.13400000000001</v>
      </c>
      <c r="L3715" s="8">
        <v>355.524</v>
      </c>
      <c r="M3715" s="8">
        <v>393.42500000000001</v>
      </c>
      <c r="N3715" s="8">
        <v>385.90800000000002</v>
      </c>
      <c r="O3715" s="8">
        <v>362.90800000000002</v>
      </c>
      <c r="P3715" s="8">
        <v>357.851</v>
      </c>
      <c r="Q3715" s="8">
        <v>280.93599999999998</v>
      </c>
      <c r="R3715" s="8">
        <v>292.14800000000002</v>
      </c>
      <c r="S3715" s="8">
        <v>306.38799999999998</v>
      </c>
      <c r="T3715" s="8">
        <v>303.90699999999998</v>
      </c>
      <c r="U3715" s="8">
        <v>301.73700000000002</v>
      </c>
      <c r="V3715" s="8">
        <v>192.36799999999999</v>
      </c>
      <c r="W3715" s="8">
        <v>230.08600000000001</v>
      </c>
      <c r="X3715" s="8">
        <v>194.05699999999999</v>
      </c>
      <c r="Y3715" s="8">
        <v>130.69300000000001</v>
      </c>
      <c r="Z3715" s="8">
        <v>60.183999999999997</v>
      </c>
      <c r="AA3715" s="8">
        <v>17.039000000000001</v>
      </c>
      <c r="AB3715" s="8">
        <v>2.6960000000000002</v>
      </c>
      <c r="AC3715" s="8">
        <v>0.21</v>
      </c>
    </row>
    <row r="3716" spans="1:29" ht="11.65" hidden="1" x14ac:dyDescent="0.35">
      <c r="A3716" s="12">
        <v>3699</v>
      </c>
      <c r="B3716" s="10" t="s">
        <v>1015</v>
      </c>
      <c r="C3716" s="18" t="s">
        <v>1271</v>
      </c>
      <c r="D3716" s="9"/>
      <c r="E3716" s="9">
        <v>56</v>
      </c>
      <c r="F3716" s="10" t="s">
        <v>1066</v>
      </c>
      <c r="G3716" s="9">
        <v>926</v>
      </c>
      <c r="H3716" s="9">
        <v>1990</v>
      </c>
      <c r="I3716" s="8">
        <v>286.911</v>
      </c>
      <c r="J3716" s="8">
        <v>290.55</v>
      </c>
      <c r="K3716" s="8">
        <v>294.45999999999998</v>
      </c>
      <c r="L3716" s="8">
        <v>324.005</v>
      </c>
      <c r="M3716" s="8">
        <v>360.72899999999998</v>
      </c>
      <c r="N3716" s="8">
        <v>395.59899999999999</v>
      </c>
      <c r="O3716" s="8">
        <v>384.8</v>
      </c>
      <c r="P3716" s="8">
        <v>361.35500000000002</v>
      </c>
      <c r="Q3716" s="8">
        <v>355.41699999999997</v>
      </c>
      <c r="R3716" s="8">
        <v>278.096</v>
      </c>
      <c r="S3716" s="8">
        <v>287.762</v>
      </c>
      <c r="T3716" s="8">
        <v>299.61599999999999</v>
      </c>
      <c r="U3716" s="8">
        <v>293.50099999999998</v>
      </c>
      <c r="V3716" s="8">
        <v>285.30399999999997</v>
      </c>
      <c r="W3716" s="8">
        <v>175.011</v>
      </c>
      <c r="X3716" s="8">
        <v>194.273</v>
      </c>
      <c r="Y3716" s="8">
        <v>141.63499999999999</v>
      </c>
      <c r="Z3716" s="8">
        <v>74.234999999999999</v>
      </c>
      <c r="AA3716" s="8">
        <v>23.236999999999998</v>
      </c>
      <c r="AB3716" s="8">
        <v>3.867</v>
      </c>
      <c r="AC3716" s="8">
        <v>0.312</v>
      </c>
    </row>
    <row r="3717" spans="1:29" ht="11.65" hidden="1" x14ac:dyDescent="0.35">
      <c r="A3717" s="12">
        <v>3700</v>
      </c>
      <c r="B3717" s="10" t="s">
        <v>1015</v>
      </c>
      <c r="C3717" s="18" t="s">
        <v>1271</v>
      </c>
      <c r="D3717" s="9"/>
      <c r="E3717" s="9">
        <v>56</v>
      </c>
      <c r="F3717" s="10" t="s">
        <v>1066</v>
      </c>
      <c r="G3717" s="9">
        <v>926</v>
      </c>
      <c r="H3717" s="9">
        <v>1995</v>
      </c>
      <c r="I3717" s="8">
        <v>297.89600000000002</v>
      </c>
      <c r="J3717" s="8">
        <v>295.87200000000001</v>
      </c>
      <c r="K3717" s="8">
        <v>294.072</v>
      </c>
      <c r="L3717" s="8">
        <v>297.29899999999998</v>
      </c>
      <c r="M3717" s="8">
        <v>332.63499999999999</v>
      </c>
      <c r="N3717" s="8">
        <v>371.09899999999999</v>
      </c>
      <c r="O3717" s="8">
        <v>400.93099999999998</v>
      </c>
      <c r="P3717" s="8">
        <v>386.75200000000001</v>
      </c>
      <c r="Q3717" s="8">
        <v>361.608</v>
      </c>
      <c r="R3717" s="8">
        <v>353.07799999999997</v>
      </c>
      <c r="S3717" s="8">
        <v>274.38799999999998</v>
      </c>
      <c r="T3717" s="8">
        <v>281.94099999999997</v>
      </c>
      <c r="U3717" s="8">
        <v>290.49599999999998</v>
      </c>
      <c r="V3717" s="8">
        <v>279.339</v>
      </c>
      <c r="W3717" s="8">
        <v>262.334</v>
      </c>
      <c r="X3717" s="8">
        <v>150.74</v>
      </c>
      <c r="Y3717" s="8">
        <v>147.613</v>
      </c>
      <c r="Z3717" s="8">
        <v>85.52</v>
      </c>
      <c r="AA3717" s="8">
        <v>30.832000000000001</v>
      </c>
      <c r="AB3717" s="8">
        <v>5.5780000000000003</v>
      </c>
      <c r="AC3717" s="8">
        <v>0.46200000000000002</v>
      </c>
    </row>
    <row r="3718" spans="1:29" ht="11.65" hidden="1" x14ac:dyDescent="0.35">
      <c r="A3718" s="12">
        <v>3701</v>
      </c>
      <c r="B3718" s="10" t="s">
        <v>1015</v>
      </c>
      <c r="C3718" s="18" t="s">
        <v>1271</v>
      </c>
      <c r="D3718" s="9"/>
      <c r="E3718" s="9">
        <v>56</v>
      </c>
      <c r="F3718" s="10" t="s">
        <v>1066</v>
      </c>
      <c r="G3718" s="9">
        <v>926</v>
      </c>
      <c r="H3718" s="9">
        <v>2000</v>
      </c>
      <c r="I3718" s="8">
        <v>282.11200000000002</v>
      </c>
      <c r="J3718" s="8">
        <v>301.87299999999999</v>
      </c>
      <c r="K3718" s="8">
        <v>298.209</v>
      </c>
      <c r="L3718" s="8">
        <v>296.93700000000001</v>
      </c>
      <c r="M3718" s="8">
        <v>303.09500000000003</v>
      </c>
      <c r="N3718" s="8">
        <v>337.87900000000002</v>
      </c>
      <c r="O3718" s="8">
        <v>373.85599999999999</v>
      </c>
      <c r="P3718" s="8">
        <v>401.69299999999998</v>
      </c>
      <c r="Q3718" s="8">
        <v>386.28100000000001</v>
      </c>
      <c r="R3718" s="8">
        <v>358.22899999999998</v>
      </c>
      <c r="S3718" s="8">
        <v>346.51299999999998</v>
      </c>
      <c r="T3718" s="8">
        <v>267.80700000000002</v>
      </c>
      <c r="U3718" s="8">
        <v>273.12599999999998</v>
      </c>
      <c r="V3718" s="8">
        <v>277.37900000000002</v>
      </c>
      <c r="W3718" s="8">
        <v>258.983</v>
      </c>
      <c r="X3718" s="8">
        <v>229.21199999999999</v>
      </c>
      <c r="Y3718" s="8">
        <v>117.065</v>
      </c>
      <c r="Z3718" s="8">
        <v>91.611000000000004</v>
      </c>
      <c r="AA3718" s="8">
        <v>36.884999999999998</v>
      </c>
      <c r="AB3718" s="8">
        <v>7.7839999999999998</v>
      </c>
      <c r="AC3718" s="8">
        <v>0.69699999999999995</v>
      </c>
    </row>
    <row r="3719" spans="1:29" ht="11.65" hidden="1" x14ac:dyDescent="0.35">
      <c r="A3719" s="12">
        <v>3702</v>
      </c>
      <c r="B3719" s="10" t="s">
        <v>1015</v>
      </c>
      <c r="C3719" s="18" t="s">
        <v>1271</v>
      </c>
      <c r="D3719" s="9"/>
      <c r="E3719" s="9">
        <v>56</v>
      </c>
      <c r="F3719" s="10" t="s">
        <v>1066</v>
      </c>
      <c r="G3719" s="9">
        <v>926</v>
      </c>
      <c r="H3719" s="9">
        <v>2005</v>
      </c>
      <c r="I3719" s="8">
        <v>284.99599999999998</v>
      </c>
      <c r="J3719" s="8">
        <v>290.637</v>
      </c>
      <c r="K3719" s="8">
        <v>308.84800000000001</v>
      </c>
      <c r="L3719" s="8">
        <v>306.50700000000001</v>
      </c>
      <c r="M3719" s="8">
        <v>318.28100000000001</v>
      </c>
      <c r="N3719" s="8">
        <v>324.51100000000002</v>
      </c>
      <c r="O3719" s="8">
        <v>346.94200000000001</v>
      </c>
      <c r="P3719" s="8">
        <v>380.65800000000002</v>
      </c>
      <c r="Q3719" s="8">
        <v>404.988</v>
      </c>
      <c r="R3719" s="8">
        <v>385.81799999999998</v>
      </c>
      <c r="S3719" s="8">
        <v>355.37200000000001</v>
      </c>
      <c r="T3719" s="8">
        <v>341.71699999999998</v>
      </c>
      <c r="U3719" s="8">
        <v>261.57400000000001</v>
      </c>
      <c r="V3719" s="8">
        <v>263.03500000000003</v>
      </c>
      <c r="W3719" s="8">
        <v>259.84800000000001</v>
      </c>
      <c r="X3719" s="8">
        <v>230.095</v>
      </c>
      <c r="Y3719" s="8">
        <v>183.22800000000001</v>
      </c>
      <c r="Z3719" s="8">
        <v>75.316000000000003</v>
      </c>
      <c r="AA3719" s="8">
        <v>40.067999999999998</v>
      </c>
      <c r="AB3719" s="8">
        <v>9.2680000000000007</v>
      </c>
      <c r="AC3719" s="8">
        <v>0.94299999999999995</v>
      </c>
    </row>
    <row r="3720" spans="1:29" ht="11.65" hidden="1" x14ac:dyDescent="0.35">
      <c r="A3720" s="12">
        <v>3703</v>
      </c>
      <c r="B3720" s="10" t="s">
        <v>1015</v>
      </c>
      <c r="C3720" s="18" t="s">
        <v>1271</v>
      </c>
      <c r="D3720" s="9"/>
      <c r="E3720" s="9">
        <v>56</v>
      </c>
      <c r="F3720" s="10" t="s">
        <v>1066</v>
      </c>
      <c r="G3720" s="9">
        <v>926</v>
      </c>
      <c r="H3720" s="9">
        <v>2010</v>
      </c>
      <c r="I3720" s="8">
        <v>309.04300000000001</v>
      </c>
      <c r="J3720" s="8">
        <v>294.41699999999997</v>
      </c>
      <c r="K3720" s="8">
        <v>299.233</v>
      </c>
      <c r="L3720" s="8">
        <v>320.66500000000002</v>
      </c>
      <c r="M3720" s="8">
        <v>330.45600000000002</v>
      </c>
      <c r="N3720" s="8">
        <v>349.08199999999999</v>
      </c>
      <c r="O3720" s="8">
        <v>349.62299999999999</v>
      </c>
      <c r="P3720" s="8">
        <v>364.36399999999998</v>
      </c>
      <c r="Q3720" s="8">
        <v>387.28300000000002</v>
      </c>
      <c r="R3720" s="8">
        <v>403.904</v>
      </c>
      <c r="S3720" s="8">
        <v>383.827</v>
      </c>
      <c r="T3720" s="8">
        <v>350.29399999999998</v>
      </c>
      <c r="U3720" s="8">
        <v>330.10899999999998</v>
      </c>
      <c r="V3720" s="8">
        <v>247.56800000000001</v>
      </c>
      <c r="W3720" s="8">
        <v>247.76300000000001</v>
      </c>
      <c r="X3720" s="8">
        <v>237.75800000000001</v>
      </c>
      <c r="Y3720" s="8">
        <v>190.68700000000001</v>
      </c>
      <c r="Z3720" s="8">
        <v>122.93300000000001</v>
      </c>
      <c r="AA3720" s="8">
        <v>35.521000000000001</v>
      </c>
      <c r="AB3720" s="8">
        <v>11.010999999999999</v>
      </c>
      <c r="AC3720" s="8">
        <v>1.2330000000000001</v>
      </c>
    </row>
    <row r="3721" spans="1:29" ht="11.65" hidden="1" x14ac:dyDescent="0.35">
      <c r="A3721" s="12">
        <v>3704</v>
      </c>
      <c r="B3721" s="10" t="s">
        <v>1015</v>
      </c>
      <c r="C3721" s="18" t="s">
        <v>1271</v>
      </c>
      <c r="D3721" s="9"/>
      <c r="E3721" s="9">
        <v>56</v>
      </c>
      <c r="F3721" s="10" t="s">
        <v>1066</v>
      </c>
      <c r="G3721" s="9">
        <v>926</v>
      </c>
      <c r="H3721" s="9">
        <v>2015</v>
      </c>
      <c r="I3721" s="8">
        <v>315.08</v>
      </c>
      <c r="J3721" s="8">
        <v>319.13600000000002</v>
      </c>
      <c r="K3721" s="8">
        <v>303.98500000000001</v>
      </c>
      <c r="L3721" s="8">
        <v>308.49799999999999</v>
      </c>
      <c r="M3721" s="8">
        <v>342.988</v>
      </c>
      <c r="N3721" s="8">
        <v>359.95499999999998</v>
      </c>
      <c r="O3721" s="8">
        <v>371.93299999999999</v>
      </c>
      <c r="P3721" s="8">
        <v>366.315</v>
      </c>
      <c r="Q3721" s="8">
        <v>373.30799999999999</v>
      </c>
      <c r="R3721" s="8">
        <v>392.00700000000001</v>
      </c>
      <c r="S3721" s="8">
        <v>402.00700000000001</v>
      </c>
      <c r="T3721" s="8">
        <v>379.03699999999998</v>
      </c>
      <c r="U3721" s="8">
        <v>338.82600000000002</v>
      </c>
      <c r="V3721" s="8">
        <v>311.488</v>
      </c>
      <c r="W3721" s="8">
        <v>231.85499999999999</v>
      </c>
      <c r="X3721" s="8">
        <v>223.01900000000001</v>
      </c>
      <c r="Y3721" s="8">
        <v>196.03800000000001</v>
      </c>
      <c r="Z3721" s="8">
        <v>131.626</v>
      </c>
      <c r="AA3721" s="8">
        <v>60.363999999999997</v>
      </c>
      <c r="AB3721" s="8">
        <v>10.335000000000001</v>
      </c>
      <c r="AC3721" s="8">
        <v>1.4970000000000001</v>
      </c>
    </row>
    <row r="3722" spans="1:29" ht="11.65" hidden="1" x14ac:dyDescent="0.35">
      <c r="A3722" s="12">
        <v>3705</v>
      </c>
      <c r="B3722" s="10" t="s">
        <v>1015</v>
      </c>
      <c r="C3722" s="18" t="s">
        <v>1271</v>
      </c>
      <c r="D3722" s="9"/>
      <c r="E3722" s="9">
        <v>56</v>
      </c>
      <c r="F3722" s="10" t="s">
        <v>1066</v>
      </c>
      <c r="G3722" s="9">
        <v>926</v>
      </c>
      <c r="H3722" s="9">
        <v>2020</v>
      </c>
      <c r="I3722" s="8">
        <v>307.31200000000001</v>
      </c>
      <c r="J3722" s="8">
        <v>323.49200000000002</v>
      </c>
      <c r="K3722" s="8">
        <v>325.87799999999999</v>
      </c>
      <c r="L3722" s="8">
        <v>311.548</v>
      </c>
      <c r="M3722" s="8">
        <v>319.94</v>
      </c>
      <c r="N3722" s="8">
        <v>356.22500000000002</v>
      </c>
      <c r="O3722" s="8">
        <v>370.928</v>
      </c>
      <c r="P3722" s="8">
        <v>379.17599999999999</v>
      </c>
      <c r="Q3722" s="8">
        <v>370.08499999999998</v>
      </c>
      <c r="R3722" s="8">
        <v>374.37799999999999</v>
      </c>
      <c r="S3722" s="8">
        <v>390.26600000000002</v>
      </c>
      <c r="T3722" s="8">
        <v>396.92599999999999</v>
      </c>
      <c r="U3722" s="8">
        <v>370.68400000000003</v>
      </c>
      <c r="V3722" s="8">
        <v>327.435</v>
      </c>
      <c r="W3722" s="8">
        <v>295.43799999999999</v>
      </c>
      <c r="X3722" s="8">
        <v>212.37799999999999</v>
      </c>
      <c r="Y3722" s="8">
        <v>188.56</v>
      </c>
      <c r="Z3722" s="8">
        <v>138.297</v>
      </c>
      <c r="AA3722" s="8">
        <v>66.632999999999996</v>
      </c>
      <c r="AB3722" s="8">
        <v>18.116</v>
      </c>
      <c r="AC3722" s="8">
        <v>1.5860000000000001</v>
      </c>
    </row>
    <row r="3723" spans="1:29" ht="11.65" hidden="1" x14ac:dyDescent="0.35">
      <c r="A3723" s="12">
        <v>3706</v>
      </c>
      <c r="B3723" s="10" t="s">
        <v>1015</v>
      </c>
      <c r="C3723" s="18" t="s">
        <v>1272</v>
      </c>
      <c r="D3723" s="9">
        <v>27</v>
      </c>
      <c r="E3723" s="9">
        <v>250</v>
      </c>
      <c r="F3723" s="10" t="s">
        <v>1066</v>
      </c>
      <c r="G3723" s="9">
        <v>926</v>
      </c>
      <c r="H3723" s="9">
        <v>1950</v>
      </c>
      <c r="I3723" s="8">
        <v>1944.6690000000001</v>
      </c>
      <c r="J3723" s="8">
        <v>1335.1849999999999</v>
      </c>
      <c r="K3723" s="8">
        <v>1400.8789999999999</v>
      </c>
      <c r="L3723" s="8">
        <v>1543.643</v>
      </c>
      <c r="M3723" s="8">
        <v>1579.7670000000001</v>
      </c>
      <c r="N3723" s="8">
        <v>1632.6210000000001</v>
      </c>
      <c r="O3723" s="8">
        <v>987.24400000000003</v>
      </c>
      <c r="P3723" s="8">
        <v>1455.095</v>
      </c>
      <c r="Q3723" s="8">
        <v>1544.33</v>
      </c>
      <c r="R3723" s="8">
        <v>1527.0139999999999</v>
      </c>
      <c r="S3723" s="8">
        <v>1424.2249999999999</v>
      </c>
      <c r="T3723" s="8">
        <v>1292.6379999999999</v>
      </c>
      <c r="U3723" s="8">
        <v>1180.2070000000001</v>
      </c>
      <c r="V3723" s="8">
        <v>1037.9929999999999</v>
      </c>
      <c r="W3723" s="8">
        <v>836.33399999999995</v>
      </c>
      <c r="X3723" s="8">
        <v>564.56399999999996</v>
      </c>
      <c r="Y3723" s="8">
        <v>295.233</v>
      </c>
      <c r="Z3723" s="8">
        <v>113.958</v>
      </c>
      <c r="AA3723" s="8">
        <v>25.178000000000001</v>
      </c>
      <c r="AB3723" s="8">
        <v>2.8420000000000001</v>
      </c>
      <c r="AC3723" s="8">
        <v>0.158</v>
      </c>
    </row>
    <row r="3724" spans="1:29" ht="11.65" hidden="1" x14ac:dyDescent="0.35">
      <c r="A3724" s="12">
        <v>3707</v>
      </c>
      <c r="B3724" s="10" t="s">
        <v>1015</v>
      </c>
      <c r="C3724" s="18" t="s">
        <v>1272</v>
      </c>
      <c r="D3724" s="9">
        <v>27</v>
      </c>
      <c r="E3724" s="9">
        <v>250</v>
      </c>
      <c r="F3724" s="10" t="s">
        <v>1066</v>
      </c>
      <c r="G3724" s="9">
        <v>926</v>
      </c>
      <c r="H3724" s="9">
        <v>1955</v>
      </c>
      <c r="I3724" s="8">
        <v>1916.2909999999999</v>
      </c>
      <c r="J3724" s="8">
        <v>1949.9870000000001</v>
      </c>
      <c r="K3724" s="8">
        <v>1340.53</v>
      </c>
      <c r="L3724" s="8">
        <v>1402.1790000000001</v>
      </c>
      <c r="M3724" s="8">
        <v>1540.1079999999999</v>
      </c>
      <c r="N3724" s="8">
        <v>1572.9490000000001</v>
      </c>
      <c r="O3724" s="8">
        <v>1623.498</v>
      </c>
      <c r="P3724" s="8">
        <v>980.803</v>
      </c>
      <c r="Q3724" s="8">
        <v>1438.5039999999999</v>
      </c>
      <c r="R3724" s="8">
        <v>1516.8030000000001</v>
      </c>
      <c r="S3724" s="8">
        <v>1485.2550000000001</v>
      </c>
      <c r="T3724" s="8">
        <v>1367.578</v>
      </c>
      <c r="U3724" s="8">
        <v>1217.0550000000001</v>
      </c>
      <c r="V3724" s="8">
        <v>1072.5550000000001</v>
      </c>
      <c r="W3724" s="8">
        <v>882.99699999999996</v>
      </c>
      <c r="X3724" s="8">
        <v>629.79200000000003</v>
      </c>
      <c r="Y3724" s="8">
        <v>346.74700000000001</v>
      </c>
      <c r="Z3724" s="8">
        <v>131.12799999999999</v>
      </c>
      <c r="AA3724" s="8">
        <v>32.06</v>
      </c>
      <c r="AB3724" s="8">
        <v>3.9340000000000002</v>
      </c>
      <c r="AC3724" s="8">
        <v>0.22</v>
      </c>
    </row>
    <row r="3725" spans="1:29" ht="11.65" hidden="1" x14ac:dyDescent="0.35">
      <c r="A3725" s="12">
        <v>3708</v>
      </c>
      <c r="B3725" s="10" t="s">
        <v>1015</v>
      </c>
      <c r="C3725" s="18" t="s">
        <v>1272</v>
      </c>
      <c r="D3725" s="9">
        <v>27</v>
      </c>
      <c r="E3725" s="9">
        <v>250</v>
      </c>
      <c r="F3725" s="10" t="s">
        <v>1066</v>
      </c>
      <c r="G3725" s="9">
        <v>926</v>
      </c>
      <c r="H3725" s="9">
        <v>1960</v>
      </c>
      <c r="I3725" s="8">
        <v>1957.7719999999999</v>
      </c>
      <c r="J3725" s="8">
        <v>1965.15</v>
      </c>
      <c r="K3725" s="8">
        <v>1983.539</v>
      </c>
      <c r="L3725" s="8">
        <v>1359.7360000000001</v>
      </c>
      <c r="M3725" s="8">
        <v>1413.86</v>
      </c>
      <c r="N3725" s="8">
        <v>1560.248</v>
      </c>
      <c r="O3725" s="8">
        <v>1601.817</v>
      </c>
      <c r="P3725" s="8">
        <v>1644.896</v>
      </c>
      <c r="Q3725" s="8">
        <v>996.55899999999997</v>
      </c>
      <c r="R3725" s="8">
        <v>1437.806</v>
      </c>
      <c r="S3725" s="8">
        <v>1496.729</v>
      </c>
      <c r="T3725" s="8">
        <v>1445.3710000000001</v>
      </c>
      <c r="U3725" s="8">
        <v>1304.3689999999999</v>
      </c>
      <c r="V3725" s="8">
        <v>1119.904</v>
      </c>
      <c r="W3725" s="8">
        <v>928.51099999999997</v>
      </c>
      <c r="X3725" s="8">
        <v>686.23199999999997</v>
      </c>
      <c r="Y3725" s="8">
        <v>407.03300000000002</v>
      </c>
      <c r="Z3725" s="8">
        <v>164.13200000000001</v>
      </c>
      <c r="AA3725" s="8">
        <v>39.235999999999997</v>
      </c>
      <c r="AB3725" s="8">
        <v>5.3559999999999999</v>
      </c>
      <c r="AC3725" s="8">
        <v>0.32200000000000001</v>
      </c>
    </row>
    <row r="3726" spans="1:29" ht="11.65" hidden="1" x14ac:dyDescent="0.35">
      <c r="A3726" s="12">
        <v>3709</v>
      </c>
      <c r="B3726" s="10" t="s">
        <v>1015</v>
      </c>
      <c r="C3726" s="18" t="s">
        <v>1272</v>
      </c>
      <c r="D3726" s="9">
        <v>27</v>
      </c>
      <c r="E3726" s="9">
        <v>250</v>
      </c>
      <c r="F3726" s="10" t="s">
        <v>1066</v>
      </c>
      <c r="G3726" s="9">
        <v>926</v>
      </c>
      <c r="H3726" s="9">
        <v>1965</v>
      </c>
      <c r="I3726" s="8">
        <v>2081.5590000000002</v>
      </c>
      <c r="J3726" s="8">
        <v>2005.645</v>
      </c>
      <c r="K3726" s="8">
        <v>2025.086</v>
      </c>
      <c r="L3726" s="8">
        <v>2037.7619999999999</v>
      </c>
      <c r="M3726" s="8">
        <v>1413.039</v>
      </c>
      <c r="N3726" s="8">
        <v>1469.8320000000001</v>
      </c>
      <c r="O3726" s="8">
        <v>1615.4110000000001</v>
      </c>
      <c r="P3726" s="8">
        <v>1649.393</v>
      </c>
      <c r="Q3726" s="8">
        <v>1676.1690000000001</v>
      </c>
      <c r="R3726" s="8">
        <v>1019.147</v>
      </c>
      <c r="S3726" s="8">
        <v>1439.6690000000001</v>
      </c>
      <c r="T3726" s="8">
        <v>1480.0239999999999</v>
      </c>
      <c r="U3726" s="8">
        <v>1405.2819999999999</v>
      </c>
      <c r="V3726" s="8">
        <v>1231.5740000000001</v>
      </c>
      <c r="W3726" s="8">
        <v>1000.206</v>
      </c>
      <c r="X3726" s="8">
        <v>747.14</v>
      </c>
      <c r="Y3726" s="8">
        <v>458.22500000000002</v>
      </c>
      <c r="Z3726" s="8">
        <v>200.01599999999999</v>
      </c>
      <c r="AA3726" s="8">
        <v>52.320999999999998</v>
      </c>
      <c r="AB3726" s="8">
        <v>7.0910000000000002</v>
      </c>
      <c r="AC3726" s="8">
        <v>0.47699999999999998</v>
      </c>
    </row>
    <row r="3727" spans="1:29" ht="11.65" hidden="1" x14ac:dyDescent="0.35">
      <c r="A3727" s="12">
        <v>3710</v>
      </c>
      <c r="B3727" s="10" t="s">
        <v>1015</v>
      </c>
      <c r="C3727" s="18" t="s">
        <v>1272</v>
      </c>
      <c r="D3727" s="9">
        <v>27</v>
      </c>
      <c r="E3727" s="9">
        <v>250</v>
      </c>
      <c r="F3727" s="10" t="s">
        <v>1066</v>
      </c>
      <c r="G3727" s="9">
        <v>926</v>
      </c>
      <c r="H3727" s="9">
        <v>1970</v>
      </c>
      <c r="I3727" s="8">
        <v>2050.8000000000002</v>
      </c>
      <c r="J3727" s="8">
        <v>2092.7869999999998</v>
      </c>
      <c r="K3727" s="8">
        <v>2027.769</v>
      </c>
      <c r="L3727" s="8">
        <v>2044.779</v>
      </c>
      <c r="M3727" s="8">
        <v>2054.2020000000002</v>
      </c>
      <c r="N3727" s="8">
        <v>1430.83</v>
      </c>
      <c r="O3727" s="8">
        <v>1486.0119999999999</v>
      </c>
      <c r="P3727" s="8">
        <v>1624.9670000000001</v>
      </c>
      <c r="Q3727" s="8">
        <v>1648.373</v>
      </c>
      <c r="R3727" s="8">
        <v>1661.623</v>
      </c>
      <c r="S3727" s="8">
        <v>1002.765</v>
      </c>
      <c r="T3727" s="8">
        <v>1400.865</v>
      </c>
      <c r="U3727" s="8">
        <v>1418.655</v>
      </c>
      <c r="V3727" s="8">
        <v>1311.0039999999999</v>
      </c>
      <c r="W3727" s="8">
        <v>1090.636</v>
      </c>
      <c r="X3727" s="8">
        <v>804.38</v>
      </c>
      <c r="Y3727" s="8">
        <v>507.63299999999998</v>
      </c>
      <c r="Z3727" s="8">
        <v>234.98400000000001</v>
      </c>
      <c r="AA3727" s="8">
        <v>67.805000000000007</v>
      </c>
      <c r="AB3727" s="8">
        <v>10.260999999999999</v>
      </c>
      <c r="AC3727" s="8">
        <v>0.69899999999999995</v>
      </c>
    </row>
    <row r="3728" spans="1:29" ht="11.65" hidden="1" x14ac:dyDescent="0.35">
      <c r="A3728" s="12">
        <v>3711</v>
      </c>
      <c r="B3728" s="10" t="s">
        <v>1015</v>
      </c>
      <c r="C3728" s="18" t="s">
        <v>1272</v>
      </c>
      <c r="D3728" s="9">
        <v>27</v>
      </c>
      <c r="E3728" s="9">
        <v>250</v>
      </c>
      <c r="F3728" s="10" t="s">
        <v>1066</v>
      </c>
      <c r="G3728" s="9">
        <v>926</v>
      </c>
      <c r="H3728" s="9">
        <v>1975</v>
      </c>
      <c r="I3728" s="8">
        <v>2006.0429999999999</v>
      </c>
      <c r="J3728" s="8">
        <v>2066.8119999999999</v>
      </c>
      <c r="K3728" s="8">
        <v>2113.848</v>
      </c>
      <c r="L3728" s="8">
        <v>2057.5419999999999</v>
      </c>
      <c r="M3728" s="8">
        <v>2074.165</v>
      </c>
      <c r="N3728" s="8">
        <v>2076.6419999999998</v>
      </c>
      <c r="O3728" s="8">
        <v>1446.7090000000001</v>
      </c>
      <c r="P3728" s="8">
        <v>1493.8109999999999</v>
      </c>
      <c r="Q3728" s="8">
        <v>1622.6869999999999</v>
      </c>
      <c r="R3728" s="8">
        <v>1634.7439999999999</v>
      </c>
      <c r="S3728" s="8">
        <v>1633.7809999999999</v>
      </c>
      <c r="T3728" s="8">
        <v>977.154</v>
      </c>
      <c r="U3728" s="8">
        <v>1349.181</v>
      </c>
      <c r="V3728" s="8">
        <v>1335.2729999999999</v>
      </c>
      <c r="W3728" s="8">
        <v>1176.1880000000001</v>
      </c>
      <c r="X3728" s="8">
        <v>892.88400000000001</v>
      </c>
      <c r="Y3728" s="8">
        <v>562.05600000000004</v>
      </c>
      <c r="Z3728" s="8">
        <v>270.99400000000003</v>
      </c>
      <c r="AA3728" s="8">
        <v>83.254999999999995</v>
      </c>
      <c r="AB3728" s="8">
        <v>13.707000000000001</v>
      </c>
      <c r="AC3728" s="8">
        <v>1.034</v>
      </c>
    </row>
    <row r="3729" spans="1:29" ht="11.65" hidden="1" x14ac:dyDescent="0.35">
      <c r="A3729" s="12">
        <v>3712</v>
      </c>
      <c r="B3729" s="10" t="s">
        <v>1015</v>
      </c>
      <c r="C3729" s="18" t="s">
        <v>1272</v>
      </c>
      <c r="D3729" s="9">
        <v>27</v>
      </c>
      <c r="E3729" s="9">
        <v>250</v>
      </c>
      <c r="F3729" s="10" t="s">
        <v>1066</v>
      </c>
      <c r="G3729" s="9">
        <v>926</v>
      </c>
      <c r="H3729" s="9">
        <v>1980</v>
      </c>
      <c r="I3729" s="8">
        <v>1779.0840000000001</v>
      </c>
      <c r="J3729" s="8">
        <v>2023.579</v>
      </c>
      <c r="K3729" s="8">
        <v>2090.4160000000002</v>
      </c>
      <c r="L3729" s="8">
        <v>2135.1979999999999</v>
      </c>
      <c r="M3729" s="8">
        <v>2074.3530000000001</v>
      </c>
      <c r="N3729" s="8">
        <v>2089.9520000000002</v>
      </c>
      <c r="O3729" s="8">
        <v>2092.453</v>
      </c>
      <c r="P3729" s="8">
        <v>1457.9269999999999</v>
      </c>
      <c r="Q3729" s="8">
        <v>1491.482</v>
      </c>
      <c r="R3729" s="8">
        <v>1604.268</v>
      </c>
      <c r="S3729" s="8">
        <v>1605.5440000000001</v>
      </c>
      <c r="T3729" s="8">
        <v>1595.8889999999999</v>
      </c>
      <c r="U3729" s="8">
        <v>945.76700000000005</v>
      </c>
      <c r="V3729" s="8">
        <v>1280.0250000000001</v>
      </c>
      <c r="W3729" s="8">
        <v>1219.548</v>
      </c>
      <c r="X3729" s="8">
        <v>991.49699999999996</v>
      </c>
      <c r="Y3729" s="8">
        <v>649.61800000000005</v>
      </c>
      <c r="Z3729" s="8">
        <v>316.75799999999998</v>
      </c>
      <c r="AA3729" s="8">
        <v>103.036</v>
      </c>
      <c r="AB3729" s="8">
        <v>18.404</v>
      </c>
      <c r="AC3729" s="8">
        <v>1.5149999999999999</v>
      </c>
    </row>
    <row r="3730" spans="1:29" ht="11.65" hidden="1" x14ac:dyDescent="0.35">
      <c r="A3730" s="12">
        <v>3713</v>
      </c>
      <c r="B3730" s="10" t="s">
        <v>1015</v>
      </c>
      <c r="C3730" s="18" t="s">
        <v>1272</v>
      </c>
      <c r="D3730" s="9">
        <v>27</v>
      </c>
      <c r="E3730" s="9">
        <v>250</v>
      </c>
      <c r="F3730" s="10" t="s">
        <v>1066</v>
      </c>
      <c r="G3730" s="9">
        <v>926</v>
      </c>
      <c r="H3730" s="9">
        <v>1985</v>
      </c>
      <c r="I3730" s="8">
        <v>1869.633</v>
      </c>
      <c r="J3730" s="8">
        <v>1796.2760000000001</v>
      </c>
      <c r="K3730" s="8">
        <v>2052.009</v>
      </c>
      <c r="L3730" s="8">
        <v>2116.7559999999999</v>
      </c>
      <c r="M3730" s="8">
        <v>2154.9070000000002</v>
      </c>
      <c r="N3730" s="8">
        <v>2095.8620000000001</v>
      </c>
      <c r="O3730" s="8">
        <v>2113.0709999999999</v>
      </c>
      <c r="P3730" s="8">
        <v>2101.7530000000002</v>
      </c>
      <c r="Q3730" s="8">
        <v>1454.421</v>
      </c>
      <c r="R3730" s="8">
        <v>1477.066</v>
      </c>
      <c r="S3730" s="8">
        <v>1580.548</v>
      </c>
      <c r="T3730" s="8">
        <v>1573.5219999999999</v>
      </c>
      <c r="U3730" s="8">
        <v>1548.758</v>
      </c>
      <c r="V3730" s="8">
        <v>902.59</v>
      </c>
      <c r="W3730" s="8">
        <v>1178.749</v>
      </c>
      <c r="X3730" s="8">
        <v>1045.057</v>
      </c>
      <c r="Y3730" s="8">
        <v>740.34500000000003</v>
      </c>
      <c r="Z3730" s="8">
        <v>378.21499999999997</v>
      </c>
      <c r="AA3730" s="8">
        <v>125.18600000000001</v>
      </c>
      <c r="AB3730" s="8">
        <v>23.582000000000001</v>
      </c>
      <c r="AC3730" s="8">
        <v>2.0939999999999999</v>
      </c>
    </row>
    <row r="3731" spans="1:29" ht="11.65" hidden="1" x14ac:dyDescent="0.35">
      <c r="A3731" s="12">
        <v>3714</v>
      </c>
      <c r="B3731" s="10" t="s">
        <v>1015</v>
      </c>
      <c r="C3731" s="18" t="s">
        <v>1272</v>
      </c>
      <c r="D3731" s="9">
        <v>27</v>
      </c>
      <c r="E3731" s="9">
        <v>250</v>
      </c>
      <c r="F3731" s="10" t="s">
        <v>1066</v>
      </c>
      <c r="G3731" s="9">
        <v>926</v>
      </c>
      <c r="H3731" s="9">
        <v>1990</v>
      </c>
      <c r="I3731" s="8">
        <v>1855.355</v>
      </c>
      <c r="J3731" s="8">
        <v>1881.453</v>
      </c>
      <c r="K3731" s="8">
        <v>1820.155</v>
      </c>
      <c r="L3731" s="8">
        <v>2074.6909999999998</v>
      </c>
      <c r="M3731" s="8">
        <v>2131.9189999999999</v>
      </c>
      <c r="N3731" s="8">
        <v>2171.7339999999999</v>
      </c>
      <c r="O3731" s="8">
        <v>2117.2220000000002</v>
      </c>
      <c r="P3731" s="8">
        <v>2123.7420000000002</v>
      </c>
      <c r="Q3731" s="8">
        <v>2095.6849999999999</v>
      </c>
      <c r="R3731" s="8">
        <v>1441.039</v>
      </c>
      <c r="S3731" s="8">
        <v>1457.702</v>
      </c>
      <c r="T3731" s="8">
        <v>1553.3810000000001</v>
      </c>
      <c r="U3731" s="8">
        <v>1532.7539999999999</v>
      </c>
      <c r="V3731" s="8">
        <v>1485.056</v>
      </c>
      <c r="W3731" s="8">
        <v>840.58500000000004</v>
      </c>
      <c r="X3731" s="8">
        <v>1034.104</v>
      </c>
      <c r="Y3731" s="8">
        <v>814.76300000000003</v>
      </c>
      <c r="Z3731" s="8">
        <v>460.96699999999998</v>
      </c>
      <c r="AA3731" s="8">
        <v>162.82300000000001</v>
      </c>
      <c r="AB3731" s="8">
        <v>31.792999999999999</v>
      </c>
      <c r="AC3731" s="8">
        <v>2.9889999999999999</v>
      </c>
    </row>
    <row r="3732" spans="1:29" ht="11.65" hidden="1" x14ac:dyDescent="0.35">
      <c r="A3732" s="12">
        <v>3715</v>
      </c>
      <c r="B3732" s="10" t="s">
        <v>1015</v>
      </c>
      <c r="C3732" s="18" t="s">
        <v>1272</v>
      </c>
      <c r="D3732" s="9">
        <v>27</v>
      </c>
      <c r="E3732" s="9">
        <v>250</v>
      </c>
      <c r="F3732" s="10" t="s">
        <v>1066</v>
      </c>
      <c r="G3732" s="9">
        <v>926</v>
      </c>
      <c r="H3732" s="9">
        <v>1995</v>
      </c>
      <c r="I3732" s="8">
        <v>1769.087</v>
      </c>
      <c r="J3732" s="8">
        <v>1856.7739999999999</v>
      </c>
      <c r="K3732" s="8">
        <v>1895.559</v>
      </c>
      <c r="L3732" s="8">
        <v>1829.278</v>
      </c>
      <c r="M3732" s="8">
        <v>2071.8809999999999</v>
      </c>
      <c r="N3732" s="8">
        <v>2134.9259999999999</v>
      </c>
      <c r="O3732" s="8">
        <v>2188.681</v>
      </c>
      <c r="P3732" s="8">
        <v>2129.4059999999999</v>
      </c>
      <c r="Q3732" s="8">
        <v>2120.623</v>
      </c>
      <c r="R3732" s="8">
        <v>2080.5369999999998</v>
      </c>
      <c r="S3732" s="8">
        <v>1424.7850000000001</v>
      </c>
      <c r="T3732" s="8">
        <v>1433.425</v>
      </c>
      <c r="U3732" s="8">
        <v>1514.481</v>
      </c>
      <c r="V3732" s="8">
        <v>1474.1559999999999</v>
      </c>
      <c r="W3732" s="8">
        <v>1394.9290000000001</v>
      </c>
      <c r="X3732" s="8">
        <v>752.63800000000003</v>
      </c>
      <c r="Y3732" s="8">
        <v>838.84699999999998</v>
      </c>
      <c r="Z3732" s="8">
        <v>539.24900000000002</v>
      </c>
      <c r="AA3732" s="8">
        <v>215.33199999999999</v>
      </c>
      <c r="AB3732" s="8">
        <v>45.591999999999999</v>
      </c>
      <c r="AC3732" s="8">
        <v>4.42</v>
      </c>
    </row>
    <row r="3733" spans="1:29" ht="11.65" hidden="1" x14ac:dyDescent="0.35">
      <c r="A3733" s="12">
        <v>3716</v>
      </c>
      <c r="B3733" s="10" t="s">
        <v>1015</v>
      </c>
      <c r="C3733" s="18" t="s">
        <v>1272</v>
      </c>
      <c r="D3733" s="9">
        <v>27</v>
      </c>
      <c r="E3733" s="9">
        <v>250</v>
      </c>
      <c r="F3733" s="10" t="s">
        <v>1066</v>
      </c>
      <c r="G3733" s="9">
        <v>926</v>
      </c>
      <c r="H3733" s="9">
        <v>2000</v>
      </c>
      <c r="I3733" s="8">
        <v>1790.587</v>
      </c>
      <c r="J3733" s="8">
        <v>1772.6859999999999</v>
      </c>
      <c r="K3733" s="8">
        <v>1882.194</v>
      </c>
      <c r="L3733" s="8">
        <v>1916.0930000000001</v>
      </c>
      <c r="M3733" s="8">
        <v>1835.039</v>
      </c>
      <c r="N3733" s="8">
        <v>2074.7730000000001</v>
      </c>
      <c r="O3733" s="8">
        <v>2147.4110000000001</v>
      </c>
      <c r="P3733" s="8">
        <v>2199.8330000000001</v>
      </c>
      <c r="Q3733" s="8">
        <v>2129.942</v>
      </c>
      <c r="R3733" s="8">
        <v>2111.6959999999999</v>
      </c>
      <c r="S3733" s="8">
        <v>2064.11</v>
      </c>
      <c r="T3733" s="8">
        <v>1410.479</v>
      </c>
      <c r="U3733" s="8">
        <v>1408.538</v>
      </c>
      <c r="V3733" s="8">
        <v>1467.873</v>
      </c>
      <c r="W3733" s="8">
        <v>1394.7449999999999</v>
      </c>
      <c r="X3733" s="8">
        <v>1260.385</v>
      </c>
      <c r="Y3733" s="8">
        <v>621.22900000000004</v>
      </c>
      <c r="Z3733" s="8">
        <v>571.37900000000002</v>
      </c>
      <c r="AA3733" s="8">
        <v>261.80099999999999</v>
      </c>
      <c r="AB3733" s="8">
        <v>62.356000000000002</v>
      </c>
      <c r="AC3733" s="8">
        <v>6.4980000000000002</v>
      </c>
    </row>
    <row r="3734" spans="1:29" ht="11.65" hidden="1" x14ac:dyDescent="0.35">
      <c r="A3734" s="12">
        <v>3717</v>
      </c>
      <c r="B3734" s="10" t="s">
        <v>1015</v>
      </c>
      <c r="C3734" s="18" t="s">
        <v>1272</v>
      </c>
      <c r="D3734" s="9">
        <v>27</v>
      </c>
      <c r="E3734" s="9">
        <v>250</v>
      </c>
      <c r="F3734" s="10" t="s">
        <v>1066</v>
      </c>
      <c r="G3734" s="9">
        <v>926</v>
      </c>
      <c r="H3734" s="9">
        <v>2005</v>
      </c>
      <c r="I3734" s="8">
        <v>1872.482</v>
      </c>
      <c r="J3734" s="8">
        <v>1812.1</v>
      </c>
      <c r="K3734" s="8">
        <v>1831.999</v>
      </c>
      <c r="L3734" s="8">
        <v>1944.8620000000001</v>
      </c>
      <c r="M3734" s="8">
        <v>1964.008</v>
      </c>
      <c r="N3734" s="8">
        <v>1877.1210000000001</v>
      </c>
      <c r="O3734" s="8">
        <v>2124.7139999999999</v>
      </c>
      <c r="P3734" s="8">
        <v>2191.8530000000001</v>
      </c>
      <c r="Q3734" s="8">
        <v>2226.0909999999999</v>
      </c>
      <c r="R3734" s="8">
        <v>2140.7570000000001</v>
      </c>
      <c r="S3734" s="8">
        <v>2115.2559999999999</v>
      </c>
      <c r="T3734" s="8">
        <v>2061.3690000000001</v>
      </c>
      <c r="U3734" s="8">
        <v>1406.1179999999999</v>
      </c>
      <c r="V3734" s="8">
        <v>1387.7560000000001</v>
      </c>
      <c r="W3734" s="8">
        <v>1416.694</v>
      </c>
      <c r="X3734" s="8">
        <v>1283.4079999999999</v>
      </c>
      <c r="Y3734" s="8">
        <v>1056.5509999999999</v>
      </c>
      <c r="Z3734" s="8">
        <v>436.471</v>
      </c>
      <c r="AA3734" s="8">
        <v>290.99700000000001</v>
      </c>
      <c r="AB3734" s="8">
        <v>79.917000000000002</v>
      </c>
      <c r="AC3734" s="8">
        <v>9.4600000000000009</v>
      </c>
    </row>
    <row r="3735" spans="1:29" ht="11.65" hidden="1" x14ac:dyDescent="0.35">
      <c r="A3735" s="12">
        <v>3718</v>
      </c>
      <c r="B3735" s="10" t="s">
        <v>1015</v>
      </c>
      <c r="C3735" s="18" t="s">
        <v>1272</v>
      </c>
      <c r="D3735" s="9">
        <v>27</v>
      </c>
      <c r="E3735" s="9">
        <v>250</v>
      </c>
      <c r="F3735" s="10" t="s">
        <v>1066</v>
      </c>
      <c r="G3735" s="9">
        <v>926</v>
      </c>
      <c r="H3735" s="9">
        <v>2010</v>
      </c>
      <c r="I3735" s="8">
        <v>1925.2239999999999</v>
      </c>
      <c r="J3735" s="8">
        <v>1886.5309999999999</v>
      </c>
      <c r="K3735" s="8">
        <v>1861.0830000000001</v>
      </c>
      <c r="L3735" s="8">
        <v>1862.921</v>
      </c>
      <c r="M3735" s="8">
        <v>1946.04</v>
      </c>
      <c r="N3735" s="8">
        <v>1974.732</v>
      </c>
      <c r="O3735" s="8">
        <v>1918.57</v>
      </c>
      <c r="P3735" s="8">
        <v>2166.7570000000001</v>
      </c>
      <c r="Q3735" s="8">
        <v>2213.1190000000001</v>
      </c>
      <c r="R3735" s="8">
        <v>2225.6640000000002</v>
      </c>
      <c r="S3735" s="8">
        <v>2124.9940000000001</v>
      </c>
      <c r="T3735" s="8">
        <v>2088.6840000000002</v>
      </c>
      <c r="U3735" s="8">
        <v>2021.2260000000001</v>
      </c>
      <c r="V3735" s="8">
        <v>1363.845</v>
      </c>
      <c r="W3735" s="8">
        <v>1321.5719999999999</v>
      </c>
      <c r="X3735" s="8">
        <v>1300.9570000000001</v>
      </c>
      <c r="Y3735" s="8">
        <v>1095.7329999999999</v>
      </c>
      <c r="Z3735" s="8">
        <v>772.08199999999999</v>
      </c>
      <c r="AA3735" s="8">
        <v>238.40600000000001</v>
      </c>
      <c r="AB3735" s="8">
        <v>99.028999999999996</v>
      </c>
      <c r="AC3735" s="8">
        <v>13.827</v>
      </c>
    </row>
    <row r="3736" spans="1:29" ht="11.65" hidden="1" x14ac:dyDescent="0.35">
      <c r="A3736" s="12">
        <v>3719</v>
      </c>
      <c r="B3736" s="10" t="s">
        <v>1015</v>
      </c>
      <c r="C3736" s="18" t="s">
        <v>1272</v>
      </c>
      <c r="D3736" s="9">
        <v>27</v>
      </c>
      <c r="E3736" s="9">
        <v>250</v>
      </c>
      <c r="F3736" s="10" t="s">
        <v>1066</v>
      </c>
      <c r="G3736" s="9">
        <v>926</v>
      </c>
      <c r="H3736" s="9">
        <v>2015</v>
      </c>
      <c r="I3736" s="8">
        <v>1902.018</v>
      </c>
      <c r="J3736" s="8">
        <v>1942.1089999999999</v>
      </c>
      <c r="K3736" s="8">
        <v>1933.55</v>
      </c>
      <c r="L3736" s="8">
        <v>1871.403</v>
      </c>
      <c r="M3736" s="8">
        <v>1843.259</v>
      </c>
      <c r="N3736" s="8">
        <v>1952.92</v>
      </c>
      <c r="O3736" s="8">
        <v>2025.1310000000001</v>
      </c>
      <c r="P3736" s="8">
        <v>1970.5029999999999</v>
      </c>
      <c r="Q3736" s="8">
        <v>2193.1</v>
      </c>
      <c r="R3736" s="8">
        <v>2217.9940000000001</v>
      </c>
      <c r="S3736" s="8">
        <v>2216.7049999999999</v>
      </c>
      <c r="T3736" s="8">
        <v>2105.5410000000002</v>
      </c>
      <c r="U3736" s="8">
        <v>2056.46</v>
      </c>
      <c r="V3736" s="8">
        <v>1972.0360000000001</v>
      </c>
      <c r="W3736" s="8">
        <v>1309.5440000000001</v>
      </c>
      <c r="X3736" s="8">
        <v>1226.2840000000001</v>
      </c>
      <c r="Y3736" s="8">
        <v>1126.6079999999999</v>
      </c>
      <c r="Z3736" s="8">
        <v>820.72799999999995</v>
      </c>
      <c r="AA3736" s="8">
        <v>434.88200000000001</v>
      </c>
      <c r="AB3736" s="8">
        <v>83.932000000000002</v>
      </c>
      <c r="AC3736" s="8">
        <v>17.728999999999999</v>
      </c>
    </row>
    <row r="3737" spans="1:29" ht="11.65" hidden="1" x14ac:dyDescent="0.35">
      <c r="A3737" s="12">
        <v>3720</v>
      </c>
      <c r="B3737" s="10" t="s">
        <v>1015</v>
      </c>
      <c r="C3737" s="18" t="s">
        <v>1272</v>
      </c>
      <c r="D3737" s="9">
        <v>27</v>
      </c>
      <c r="E3737" s="9">
        <v>250</v>
      </c>
      <c r="F3737" s="10" t="s">
        <v>1066</v>
      </c>
      <c r="G3737" s="9">
        <v>926</v>
      </c>
      <c r="H3737" s="9">
        <v>2020</v>
      </c>
      <c r="I3737" s="8">
        <v>1769.5640000000001</v>
      </c>
      <c r="J3737" s="8">
        <v>1911.5730000000001</v>
      </c>
      <c r="K3737" s="8">
        <v>1950.961</v>
      </c>
      <c r="L3737" s="8">
        <v>1901.8430000000001</v>
      </c>
      <c r="M3737" s="8">
        <v>1828.067</v>
      </c>
      <c r="N3737" s="8">
        <v>1851.9369999999999</v>
      </c>
      <c r="O3737" s="8">
        <v>2009.5840000000001</v>
      </c>
      <c r="P3737" s="8">
        <v>2074.165</v>
      </c>
      <c r="Q3737" s="8">
        <v>1999.7570000000001</v>
      </c>
      <c r="R3737" s="8">
        <v>2213.1309999999999</v>
      </c>
      <c r="S3737" s="8">
        <v>2216.9699999999998</v>
      </c>
      <c r="T3737" s="8">
        <v>2192.4470000000001</v>
      </c>
      <c r="U3737" s="8">
        <v>2070.4569999999999</v>
      </c>
      <c r="V3737" s="8">
        <v>2005.6869999999999</v>
      </c>
      <c r="W3737" s="8">
        <v>1896.42</v>
      </c>
      <c r="X3737" s="8">
        <v>1222.2829999999999</v>
      </c>
      <c r="Y3737" s="8">
        <v>1071.98</v>
      </c>
      <c r="Z3737" s="8">
        <v>854.08299999999997</v>
      </c>
      <c r="AA3737" s="8">
        <v>470.53199999999998</v>
      </c>
      <c r="AB3737" s="8">
        <v>156.42599999999999</v>
      </c>
      <c r="AC3737" s="8">
        <v>16.45</v>
      </c>
    </row>
    <row r="3738" spans="1:29" ht="11.65" hidden="1" x14ac:dyDescent="0.35">
      <c r="A3738" s="12">
        <v>3721</v>
      </c>
      <c r="B3738" s="10" t="s">
        <v>1015</v>
      </c>
      <c r="C3738" s="18" t="s">
        <v>1273</v>
      </c>
      <c r="D3738" s="9"/>
      <c r="E3738" s="9">
        <v>276</v>
      </c>
      <c r="F3738" s="10" t="s">
        <v>1066</v>
      </c>
      <c r="G3738" s="9">
        <v>926</v>
      </c>
      <c r="H3738" s="9">
        <v>1950</v>
      </c>
      <c r="I3738" s="8">
        <v>2241.8339999999998</v>
      </c>
      <c r="J3738" s="8">
        <v>2517.0410000000002</v>
      </c>
      <c r="K3738" s="8">
        <v>3121.5439999999999</v>
      </c>
      <c r="L3738" s="8">
        <v>2588.54</v>
      </c>
      <c r="M3738" s="8">
        <v>2549.636</v>
      </c>
      <c r="N3738" s="8">
        <v>2832.971</v>
      </c>
      <c r="O3738" s="8">
        <v>2077.7849999999999</v>
      </c>
      <c r="P3738" s="8">
        <v>3014.518</v>
      </c>
      <c r="Q3738" s="8">
        <v>3171.223</v>
      </c>
      <c r="R3738" s="8">
        <v>2935.94</v>
      </c>
      <c r="S3738" s="8">
        <v>2647.9059999999999</v>
      </c>
      <c r="T3738" s="8">
        <v>2275.114</v>
      </c>
      <c r="U3738" s="8">
        <v>1931.0039999999999</v>
      </c>
      <c r="V3738" s="8">
        <v>1521.8109999999999</v>
      </c>
      <c r="W3738" s="8">
        <v>1171.3800000000001</v>
      </c>
      <c r="X3738" s="8">
        <v>679.43600000000004</v>
      </c>
      <c r="Y3738" s="8">
        <v>264.30599999999998</v>
      </c>
      <c r="Z3738" s="8">
        <v>110.417</v>
      </c>
      <c r="AA3738" s="8">
        <v>26.71</v>
      </c>
      <c r="AB3738" s="8">
        <v>3.0619999999999998</v>
      </c>
      <c r="AC3738" s="8">
        <v>0.16900000000000001</v>
      </c>
    </row>
    <row r="3739" spans="1:29" ht="11.65" hidden="1" x14ac:dyDescent="0.35">
      <c r="A3739" s="12">
        <v>3722</v>
      </c>
      <c r="B3739" s="10" t="s">
        <v>1015</v>
      </c>
      <c r="C3739" s="18" t="s">
        <v>1273</v>
      </c>
      <c r="D3739" s="9"/>
      <c r="E3739" s="9">
        <v>276</v>
      </c>
      <c r="F3739" s="10" t="s">
        <v>1066</v>
      </c>
      <c r="G3739" s="9">
        <v>926</v>
      </c>
      <c r="H3739" s="9">
        <v>1955</v>
      </c>
      <c r="I3739" s="8">
        <v>2570.9609999999998</v>
      </c>
      <c r="J3739" s="8">
        <v>2227.598</v>
      </c>
      <c r="K3739" s="8">
        <v>2510.5970000000002</v>
      </c>
      <c r="L3739" s="8">
        <v>3110.4540000000002</v>
      </c>
      <c r="M3739" s="8">
        <v>2572.7269999999999</v>
      </c>
      <c r="N3739" s="8">
        <v>2530.585</v>
      </c>
      <c r="O3739" s="8">
        <v>2807.9409999999998</v>
      </c>
      <c r="P3739" s="8">
        <v>2055.9119999999998</v>
      </c>
      <c r="Q3739" s="8">
        <v>2975.9479999999999</v>
      </c>
      <c r="R3739" s="8">
        <v>3114.348</v>
      </c>
      <c r="S3739" s="8">
        <v>2859.3989999999999</v>
      </c>
      <c r="T3739" s="8">
        <v>2544.779</v>
      </c>
      <c r="U3739" s="8">
        <v>2136.4580000000001</v>
      </c>
      <c r="V3739" s="8">
        <v>1736.7950000000001</v>
      </c>
      <c r="W3739" s="8">
        <v>1261.059</v>
      </c>
      <c r="X3739" s="8">
        <v>835.19</v>
      </c>
      <c r="Y3739" s="8">
        <v>382.596</v>
      </c>
      <c r="Z3739" s="8">
        <v>106.393</v>
      </c>
      <c r="AA3739" s="8">
        <v>28.433</v>
      </c>
      <c r="AB3739" s="8">
        <v>4.1769999999999996</v>
      </c>
      <c r="AC3739" s="8">
        <v>0.27600000000000002</v>
      </c>
    </row>
    <row r="3740" spans="1:29" ht="11.65" hidden="1" x14ac:dyDescent="0.35">
      <c r="A3740" s="12">
        <v>3723</v>
      </c>
      <c r="B3740" s="10" t="s">
        <v>1015</v>
      </c>
      <c r="C3740" s="18" t="s">
        <v>1273</v>
      </c>
      <c r="D3740" s="9"/>
      <c r="E3740" s="9">
        <v>276</v>
      </c>
      <c r="F3740" s="10" t="s">
        <v>1066</v>
      </c>
      <c r="G3740" s="9">
        <v>926</v>
      </c>
      <c r="H3740" s="9">
        <v>1960</v>
      </c>
      <c r="I3740" s="8">
        <v>2820.5709999999999</v>
      </c>
      <c r="J3740" s="8">
        <v>2580.3049999999998</v>
      </c>
      <c r="K3740" s="8">
        <v>2278.1909999999998</v>
      </c>
      <c r="L3740" s="8">
        <v>2527.125</v>
      </c>
      <c r="M3740" s="8">
        <v>3037.855</v>
      </c>
      <c r="N3740" s="8">
        <v>2503.4009999999998</v>
      </c>
      <c r="O3740" s="8">
        <v>2533.2370000000001</v>
      </c>
      <c r="P3740" s="8">
        <v>2774.2710000000002</v>
      </c>
      <c r="Q3740" s="8">
        <v>1997.6890000000001</v>
      </c>
      <c r="R3740" s="8">
        <v>2942.9279999999999</v>
      </c>
      <c r="S3740" s="8">
        <v>3046.915</v>
      </c>
      <c r="T3740" s="8">
        <v>2768.0340000000001</v>
      </c>
      <c r="U3740" s="8">
        <v>2412.4989999999998</v>
      </c>
      <c r="V3740" s="8">
        <v>1948.048</v>
      </c>
      <c r="W3740" s="8">
        <v>1467.8520000000001</v>
      </c>
      <c r="X3740" s="8">
        <v>930.11800000000005</v>
      </c>
      <c r="Y3740" s="8">
        <v>494.04399999999998</v>
      </c>
      <c r="Z3740" s="8">
        <v>160.46700000000001</v>
      </c>
      <c r="AA3740" s="8">
        <v>28.06</v>
      </c>
      <c r="AB3740" s="8">
        <v>4.2080000000000002</v>
      </c>
      <c r="AC3740" s="8">
        <v>0.33500000000000002</v>
      </c>
    </row>
    <row r="3741" spans="1:29" ht="11.65" hidden="1" x14ac:dyDescent="0.35">
      <c r="A3741" s="12">
        <v>3724</v>
      </c>
      <c r="B3741" s="10" t="s">
        <v>1015</v>
      </c>
      <c r="C3741" s="18" t="s">
        <v>1273</v>
      </c>
      <c r="D3741" s="9"/>
      <c r="E3741" s="9">
        <v>276</v>
      </c>
      <c r="F3741" s="10" t="s">
        <v>1066</v>
      </c>
      <c r="G3741" s="9">
        <v>926</v>
      </c>
      <c r="H3741" s="9">
        <v>1965</v>
      </c>
      <c r="I3741" s="8">
        <v>3111.8789999999999</v>
      </c>
      <c r="J3741" s="8">
        <v>2812.64</v>
      </c>
      <c r="K3741" s="8">
        <v>2593.5210000000002</v>
      </c>
      <c r="L3741" s="8">
        <v>2316.2930000000001</v>
      </c>
      <c r="M3741" s="8">
        <v>2565.0070000000001</v>
      </c>
      <c r="N3741" s="8">
        <v>3008.9929999999999</v>
      </c>
      <c r="O3741" s="8">
        <v>2457.4070000000002</v>
      </c>
      <c r="P3741" s="8">
        <v>2500.5140000000001</v>
      </c>
      <c r="Q3741" s="8">
        <v>2714.7420000000002</v>
      </c>
      <c r="R3741" s="8">
        <v>1961.9359999999999</v>
      </c>
      <c r="S3741" s="8">
        <v>2900.2489999999998</v>
      </c>
      <c r="T3741" s="8">
        <v>2955.1660000000002</v>
      </c>
      <c r="U3741" s="8">
        <v>2636.8090000000002</v>
      </c>
      <c r="V3741" s="8">
        <v>2218.7809999999999</v>
      </c>
      <c r="W3741" s="8">
        <v>1672.838</v>
      </c>
      <c r="X3741" s="8">
        <v>1108.944</v>
      </c>
      <c r="Y3741" s="8">
        <v>565.17700000000002</v>
      </c>
      <c r="Z3741" s="8">
        <v>213.47800000000001</v>
      </c>
      <c r="AA3741" s="8">
        <v>43.14</v>
      </c>
      <c r="AB3741" s="8">
        <v>4.1449999999999996</v>
      </c>
      <c r="AC3741" s="8">
        <v>0.33700000000000002</v>
      </c>
    </row>
    <row r="3742" spans="1:29" ht="11.65" hidden="1" x14ac:dyDescent="0.35">
      <c r="A3742" s="12">
        <v>3725</v>
      </c>
      <c r="B3742" s="10" t="s">
        <v>1015</v>
      </c>
      <c r="C3742" s="18" t="s">
        <v>1273</v>
      </c>
      <c r="D3742" s="9"/>
      <c r="E3742" s="9">
        <v>276</v>
      </c>
      <c r="F3742" s="10" t="s">
        <v>1066</v>
      </c>
      <c r="G3742" s="9">
        <v>926</v>
      </c>
      <c r="H3742" s="9">
        <v>1970</v>
      </c>
      <c r="I3742" s="8">
        <v>2958.5709999999999</v>
      </c>
      <c r="J3742" s="8">
        <v>3134.7139999999999</v>
      </c>
      <c r="K3742" s="8">
        <v>2842.297</v>
      </c>
      <c r="L3742" s="8">
        <v>2599.77</v>
      </c>
      <c r="M3742" s="8">
        <v>2357.107</v>
      </c>
      <c r="N3742" s="8">
        <v>2642.8760000000002</v>
      </c>
      <c r="O3742" s="8">
        <v>3040.616</v>
      </c>
      <c r="P3742" s="8">
        <v>2450.8620000000001</v>
      </c>
      <c r="Q3742" s="8">
        <v>2521.3209999999999</v>
      </c>
      <c r="R3742" s="8">
        <v>2696.1219999999998</v>
      </c>
      <c r="S3742" s="8">
        <v>1895.723</v>
      </c>
      <c r="T3742" s="8">
        <v>2817.0309999999999</v>
      </c>
      <c r="U3742" s="8">
        <v>2816.665</v>
      </c>
      <c r="V3742" s="8">
        <v>2419.3040000000001</v>
      </c>
      <c r="W3742" s="8">
        <v>1904.0640000000001</v>
      </c>
      <c r="X3742" s="8">
        <v>1268.1569999999999</v>
      </c>
      <c r="Y3742" s="8">
        <v>678.58100000000002</v>
      </c>
      <c r="Z3742" s="8">
        <v>247.97300000000001</v>
      </c>
      <c r="AA3742" s="8">
        <v>58.683</v>
      </c>
      <c r="AB3742" s="8">
        <v>6.4690000000000003</v>
      </c>
      <c r="AC3742" s="8">
        <v>0.33500000000000002</v>
      </c>
    </row>
    <row r="3743" spans="1:29" ht="11.65" hidden="1" x14ac:dyDescent="0.35">
      <c r="A3743" s="12">
        <v>3726</v>
      </c>
      <c r="B3743" s="10" t="s">
        <v>1015</v>
      </c>
      <c r="C3743" s="18" t="s">
        <v>1273</v>
      </c>
      <c r="D3743" s="9"/>
      <c r="E3743" s="9">
        <v>276</v>
      </c>
      <c r="F3743" s="10" t="s">
        <v>1066</v>
      </c>
      <c r="G3743" s="9">
        <v>926</v>
      </c>
      <c r="H3743" s="9">
        <v>1975</v>
      </c>
      <c r="I3743" s="8">
        <v>2161.893</v>
      </c>
      <c r="J3743" s="8">
        <v>3005.3870000000002</v>
      </c>
      <c r="K3743" s="8">
        <v>3160.4859999999999</v>
      </c>
      <c r="L3743" s="8">
        <v>2873.7440000000001</v>
      </c>
      <c r="M3743" s="8">
        <v>2645.13</v>
      </c>
      <c r="N3743" s="8">
        <v>2399.7919999999999</v>
      </c>
      <c r="O3743" s="8">
        <v>2674.5419999999999</v>
      </c>
      <c r="P3743" s="8">
        <v>3046.6010000000001</v>
      </c>
      <c r="Q3743" s="8">
        <v>2435.2420000000002</v>
      </c>
      <c r="R3743" s="8">
        <v>2490.873</v>
      </c>
      <c r="S3743" s="8">
        <v>2640.3870000000002</v>
      </c>
      <c r="T3743" s="8">
        <v>1829.509</v>
      </c>
      <c r="U3743" s="8">
        <v>2686.55</v>
      </c>
      <c r="V3743" s="8">
        <v>2602.7220000000002</v>
      </c>
      <c r="W3743" s="8">
        <v>2090.34</v>
      </c>
      <c r="X3743" s="8">
        <v>1462.9559999999999</v>
      </c>
      <c r="Y3743" s="8">
        <v>793.61900000000003</v>
      </c>
      <c r="Z3743" s="8">
        <v>306.63900000000001</v>
      </c>
      <c r="AA3743" s="8">
        <v>70.908000000000001</v>
      </c>
      <c r="AB3743" s="8">
        <v>9.2240000000000002</v>
      </c>
      <c r="AC3743" s="8">
        <v>0.52600000000000002</v>
      </c>
    </row>
    <row r="3744" spans="1:29" ht="11.65" hidden="1" x14ac:dyDescent="0.35">
      <c r="A3744" s="12">
        <v>3727</v>
      </c>
      <c r="B3744" s="10" t="s">
        <v>1015</v>
      </c>
      <c r="C3744" s="18" t="s">
        <v>1273</v>
      </c>
      <c r="D3744" s="9"/>
      <c r="E3744" s="9">
        <v>276</v>
      </c>
      <c r="F3744" s="10" t="s">
        <v>1066</v>
      </c>
      <c r="G3744" s="9">
        <v>926</v>
      </c>
      <c r="H3744" s="9">
        <v>1980</v>
      </c>
      <c r="I3744" s="8">
        <v>1929.2929999999999</v>
      </c>
      <c r="J3744" s="8">
        <v>2143.5680000000002</v>
      </c>
      <c r="K3744" s="8">
        <v>3013.8310000000001</v>
      </c>
      <c r="L3744" s="8">
        <v>3211.1959999999999</v>
      </c>
      <c r="M3744" s="8">
        <v>2917.9749999999999</v>
      </c>
      <c r="N3744" s="8">
        <v>2653.8209999999999</v>
      </c>
      <c r="O3744" s="8">
        <v>2374.44</v>
      </c>
      <c r="P3744" s="8">
        <v>2643.1080000000002</v>
      </c>
      <c r="Q3744" s="8">
        <v>3022.6439999999998</v>
      </c>
      <c r="R3744" s="8">
        <v>2396.6640000000002</v>
      </c>
      <c r="S3744" s="8">
        <v>2450.2660000000001</v>
      </c>
      <c r="T3744" s="8">
        <v>2575.79</v>
      </c>
      <c r="U3744" s="8">
        <v>1747.67</v>
      </c>
      <c r="V3744" s="8">
        <v>2503.6129999999998</v>
      </c>
      <c r="W3744" s="8">
        <v>2293.239</v>
      </c>
      <c r="X3744" s="8">
        <v>1646.529</v>
      </c>
      <c r="Y3744" s="8">
        <v>950.69600000000003</v>
      </c>
      <c r="Z3744" s="8">
        <v>378.43900000000002</v>
      </c>
      <c r="AA3744" s="8">
        <v>94.010999999999996</v>
      </c>
      <c r="AB3744" s="8">
        <v>12.093</v>
      </c>
      <c r="AC3744" s="8">
        <v>0.81399999999999995</v>
      </c>
    </row>
    <row r="3745" spans="1:29" ht="11.65" hidden="1" x14ac:dyDescent="0.35">
      <c r="A3745" s="12">
        <v>3728</v>
      </c>
      <c r="B3745" s="10" t="s">
        <v>1015</v>
      </c>
      <c r="C3745" s="18" t="s">
        <v>1273</v>
      </c>
      <c r="D3745" s="9"/>
      <c r="E3745" s="9">
        <v>276</v>
      </c>
      <c r="F3745" s="10" t="s">
        <v>1066</v>
      </c>
      <c r="G3745" s="9">
        <v>926</v>
      </c>
      <c r="H3745" s="9">
        <v>1985</v>
      </c>
      <c r="I3745" s="8">
        <v>2003.63</v>
      </c>
      <c r="J3745" s="8">
        <v>1913.8610000000001</v>
      </c>
      <c r="K3745" s="8">
        <v>2127.884</v>
      </c>
      <c r="L3745" s="8">
        <v>3021.8690000000001</v>
      </c>
      <c r="M3745" s="8">
        <v>3230.2649999999999</v>
      </c>
      <c r="N3745" s="8">
        <v>2933.0749999999998</v>
      </c>
      <c r="O3745" s="8">
        <v>2652.223</v>
      </c>
      <c r="P3745" s="8">
        <v>2352.2579999999998</v>
      </c>
      <c r="Q3745" s="8">
        <v>2621.694</v>
      </c>
      <c r="R3745" s="8">
        <v>2989.5160000000001</v>
      </c>
      <c r="S3745" s="8">
        <v>2347.3679999999999</v>
      </c>
      <c r="T3745" s="8">
        <v>2393.337</v>
      </c>
      <c r="U3745" s="8">
        <v>2482.223</v>
      </c>
      <c r="V3745" s="8">
        <v>1631.633</v>
      </c>
      <c r="W3745" s="8">
        <v>2235.5889999999999</v>
      </c>
      <c r="X3745" s="8">
        <v>1859.9369999999999</v>
      </c>
      <c r="Y3745" s="8">
        <v>1115.279</v>
      </c>
      <c r="Z3745" s="8">
        <v>483.26299999999998</v>
      </c>
      <c r="AA3745" s="8">
        <v>126.452</v>
      </c>
      <c r="AB3745" s="8">
        <v>17.876999999999999</v>
      </c>
      <c r="AC3745" s="8">
        <v>1.2150000000000001</v>
      </c>
    </row>
    <row r="3746" spans="1:29" ht="11.65" hidden="1" x14ac:dyDescent="0.35">
      <c r="A3746" s="12">
        <v>3729</v>
      </c>
      <c r="B3746" s="10" t="s">
        <v>1015</v>
      </c>
      <c r="C3746" s="18" t="s">
        <v>1273</v>
      </c>
      <c r="D3746" s="9"/>
      <c r="E3746" s="9">
        <v>276</v>
      </c>
      <c r="F3746" s="10" t="s">
        <v>1066</v>
      </c>
      <c r="G3746" s="9">
        <v>926</v>
      </c>
      <c r="H3746" s="9">
        <v>1990</v>
      </c>
      <c r="I3746" s="8">
        <v>2119.44</v>
      </c>
      <c r="J3746" s="8">
        <v>2072.5520000000001</v>
      </c>
      <c r="K3746" s="8">
        <v>1958.7809999999999</v>
      </c>
      <c r="L3746" s="8">
        <v>2188.7739999999999</v>
      </c>
      <c r="M3746" s="8">
        <v>3123.49</v>
      </c>
      <c r="N3746" s="8">
        <v>3339.6329999999998</v>
      </c>
      <c r="O3746" s="8">
        <v>3008.8649999999998</v>
      </c>
      <c r="P3746" s="8">
        <v>2707.4389999999999</v>
      </c>
      <c r="Q3746" s="8">
        <v>2380.4740000000002</v>
      </c>
      <c r="R3746" s="8">
        <v>2615.0659999999998</v>
      </c>
      <c r="S3746" s="8">
        <v>2957.2370000000001</v>
      </c>
      <c r="T3746" s="8">
        <v>2297.2669999999998</v>
      </c>
      <c r="U3746" s="8">
        <v>2325.7130000000002</v>
      </c>
      <c r="V3746" s="8">
        <v>2355.4740000000002</v>
      </c>
      <c r="W3746" s="8">
        <v>1464.88</v>
      </c>
      <c r="X3746" s="8">
        <v>1862.0930000000001</v>
      </c>
      <c r="Y3746" s="8">
        <v>1325.962</v>
      </c>
      <c r="Z3746" s="8">
        <v>601.47299999999996</v>
      </c>
      <c r="AA3746" s="8">
        <v>175.19399999999999</v>
      </c>
      <c r="AB3746" s="8">
        <v>26.646000000000001</v>
      </c>
      <c r="AC3746" s="8">
        <v>1.9690000000000001</v>
      </c>
    </row>
    <row r="3747" spans="1:29" ht="11.65" hidden="1" x14ac:dyDescent="0.35">
      <c r="A3747" s="12">
        <v>3730</v>
      </c>
      <c r="B3747" s="10" t="s">
        <v>1015</v>
      </c>
      <c r="C3747" s="18" t="s">
        <v>1273</v>
      </c>
      <c r="D3747" s="9"/>
      <c r="E3747" s="9">
        <v>276</v>
      </c>
      <c r="F3747" s="10" t="s">
        <v>1066</v>
      </c>
      <c r="G3747" s="9">
        <v>926</v>
      </c>
      <c r="H3747" s="9">
        <v>1995</v>
      </c>
      <c r="I3747" s="8">
        <v>1984.961</v>
      </c>
      <c r="J3747" s="8">
        <v>2253.973</v>
      </c>
      <c r="K3747" s="8">
        <v>2197.598</v>
      </c>
      <c r="L3747" s="8">
        <v>2087.3939999999998</v>
      </c>
      <c r="M3747" s="8">
        <v>2351.4520000000002</v>
      </c>
      <c r="N3747" s="8">
        <v>3293.0340000000001</v>
      </c>
      <c r="O3747" s="8">
        <v>3484.2829999999999</v>
      </c>
      <c r="P3747" s="8">
        <v>3123.1689999999999</v>
      </c>
      <c r="Q3747" s="8">
        <v>2768.3780000000002</v>
      </c>
      <c r="R3747" s="8">
        <v>2394.2660000000001</v>
      </c>
      <c r="S3747" s="8">
        <v>2608.3420000000001</v>
      </c>
      <c r="T3747" s="8">
        <v>2936.1640000000002</v>
      </c>
      <c r="U3747" s="8">
        <v>2259.2539999999999</v>
      </c>
      <c r="V3747" s="8">
        <v>2226.9879999999998</v>
      </c>
      <c r="W3747" s="8">
        <v>2161.1579999999999</v>
      </c>
      <c r="X3747" s="8">
        <v>1249.4970000000001</v>
      </c>
      <c r="Y3747" s="8">
        <v>1377.9369999999999</v>
      </c>
      <c r="Z3747" s="8">
        <v>763.72</v>
      </c>
      <c r="AA3747" s="8">
        <v>232.92</v>
      </c>
      <c r="AB3747" s="8">
        <v>38.771000000000001</v>
      </c>
      <c r="AC3747" s="8">
        <v>2.8559999999999999</v>
      </c>
    </row>
    <row r="3748" spans="1:29" ht="11.65" hidden="1" x14ac:dyDescent="0.35">
      <c r="A3748" s="12">
        <v>3731</v>
      </c>
      <c r="B3748" s="10" t="s">
        <v>1015</v>
      </c>
      <c r="C3748" s="18" t="s">
        <v>1273</v>
      </c>
      <c r="D3748" s="9"/>
      <c r="E3748" s="9">
        <v>276</v>
      </c>
      <c r="F3748" s="10" t="s">
        <v>1066</v>
      </c>
      <c r="G3748" s="9">
        <v>926</v>
      </c>
      <c r="H3748" s="9">
        <v>2000</v>
      </c>
      <c r="I3748" s="8">
        <v>1907.021</v>
      </c>
      <c r="J3748" s="8">
        <v>2030.6849999999999</v>
      </c>
      <c r="K3748" s="8">
        <v>2284.5729999999999</v>
      </c>
      <c r="L3748" s="8">
        <v>2231.9409999999998</v>
      </c>
      <c r="M3748" s="8">
        <v>2190.9679999999998</v>
      </c>
      <c r="N3748" s="8">
        <v>2442.2959999999998</v>
      </c>
      <c r="O3748" s="8">
        <v>3294.7370000000001</v>
      </c>
      <c r="P3748" s="8">
        <v>3471.3139999999999</v>
      </c>
      <c r="Q3748" s="8">
        <v>3114.4850000000001</v>
      </c>
      <c r="R3748" s="8">
        <v>2751.701</v>
      </c>
      <c r="S3748" s="8">
        <v>2364.0839999999998</v>
      </c>
      <c r="T3748" s="8">
        <v>2552.4699999999998</v>
      </c>
      <c r="U3748" s="8">
        <v>2852.4169999999999</v>
      </c>
      <c r="V3748" s="8">
        <v>2158.9</v>
      </c>
      <c r="W3748" s="8">
        <v>2058.683</v>
      </c>
      <c r="X3748" s="8">
        <v>1874.068</v>
      </c>
      <c r="Y3748" s="8">
        <v>960.62300000000005</v>
      </c>
      <c r="Z3748" s="8">
        <v>841.48</v>
      </c>
      <c r="AA3748" s="8">
        <v>318.02800000000002</v>
      </c>
      <c r="AB3748" s="8">
        <v>55.463000000000001</v>
      </c>
      <c r="AC3748" s="8">
        <v>4.4390000000000001</v>
      </c>
    </row>
    <row r="3749" spans="1:29" ht="11.65" hidden="1" x14ac:dyDescent="0.35">
      <c r="A3749" s="12">
        <v>3732</v>
      </c>
      <c r="B3749" s="10" t="s">
        <v>1015</v>
      </c>
      <c r="C3749" s="18" t="s">
        <v>1273</v>
      </c>
      <c r="D3749" s="9"/>
      <c r="E3749" s="9">
        <v>276</v>
      </c>
      <c r="F3749" s="10" t="s">
        <v>1066</v>
      </c>
      <c r="G3749" s="9">
        <v>926</v>
      </c>
      <c r="H3749" s="9">
        <v>2005</v>
      </c>
      <c r="I3749" s="8">
        <v>1753.65</v>
      </c>
      <c r="J3749" s="8">
        <v>1936.8040000000001</v>
      </c>
      <c r="K3749" s="8">
        <v>2048.9430000000002</v>
      </c>
      <c r="L3749" s="8">
        <v>2298.2730000000001</v>
      </c>
      <c r="M3749" s="8">
        <v>2360.0929999999998</v>
      </c>
      <c r="N3749" s="8">
        <v>2350.9679999999998</v>
      </c>
      <c r="O3749" s="8">
        <v>2495.0909999999999</v>
      </c>
      <c r="P3749" s="8">
        <v>3301.1790000000001</v>
      </c>
      <c r="Q3749" s="8">
        <v>3456.3829999999998</v>
      </c>
      <c r="R3749" s="8">
        <v>3091.15</v>
      </c>
      <c r="S3749" s="8">
        <v>2735.9409999999998</v>
      </c>
      <c r="T3749" s="8">
        <v>2337.8490000000002</v>
      </c>
      <c r="U3749" s="8">
        <v>2479.54</v>
      </c>
      <c r="V3749" s="8">
        <v>2739.3780000000002</v>
      </c>
      <c r="W3749" s="8">
        <v>2007.635</v>
      </c>
      <c r="X3749" s="8">
        <v>1798.251</v>
      </c>
      <c r="Y3749" s="8">
        <v>1468.558</v>
      </c>
      <c r="Z3749" s="8">
        <v>612.52599999999995</v>
      </c>
      <c r="AA3749" s="8">
        <v>369.70499999999998</v>
      </c>
      <c r="AB3749" s="8">
        <v>80.587000000000003</v>
      </c>
      <c r="AC3749" s="8">
        <v>6.7640000000000002</v>
      </c>
    </row>
    <row r="3750" spans="1:29" ht="11.65" hidden="1" x14ac:dyDescent="0.35">
      <c r="A3750" s="12">
        <v>3733</v>
      </c>
      <c r="B3750" s="10" t="s">
        <v>1015</v>
      </c>
      <c r="C3750" s="18" t="s">
        <v>1273</v>
      </c>
      <c r="D3750" s="9"/>
      <c r="E3750" s="9">
        <v>276</v>
      </c>
      <c r="F3750" s="10" t="s">
        <v>1066</v>
      </c>
      <c r="G3750" s="9">
        <v>926</v>
      </c>
      <c r="H3750" s="9">
        <v>2010</v>
      </c>
      <c r="I3750" s="8">
        <v>1651.385</v>
      </c>
      <c r="J3750" s="8">
        <v>1763.029</v>
      </c>
      <c r="K3750" s="8">
        <v>1932.818</v>
      </c>
      <c r="L3750" s="8">
        <v>2040.354</v>
      </c>
      <c r="M3750" s="8">
        <v>2359.768</v>
      </c>
      <c r="N3750" s="8">
        <v>2436.6210000000001</v>
      </c>
      <c r="O3750" s="8">
        <v>2345.2199999999998</v>
      </c>
      <c r="P3750" s="8">
        <v>2466.4250000000002</v>
      </c>
      <c r="Q3750" s="8">
        <v>3279.5120000000002</v>
      </c>
      <c r="R3750" s="8">
        <v>3429.1750000000002</v>
      </c>
      <c r="S3750" s="8">
        <v>3044.8890000000001</v>
      </c>
      <c r="T3750" s="8">
        <v>2678.5250000000001</v>
      </c>
      <c r="U3750" s="8">
        <v>2255.0100000000002</v>
      </c>
      <c r="V3750" s="8">
        <v>2363.0540000000001</v>
      </c>
      <c r="W3750" s="8">
        <v>2577.1779999999999</v>
      </c>
      <c r="X3750" s="8">
        <v>1791.884</v>
      </c>
      <c r="Y3750" s="8">
        <v>1445.6030000000001</v>
      </c>
      <c r="Z3750" s="8">
        <v>960.26599999999996</v>
      </c>
      <c r="AA3750" s="8">
        <v>280.63499999999999</v>
      </c>
      <c r="AB3750" s="8">
        <v>96.852000000000004</v>
      </c>
      <c r="AC3750" s="8">
        <v>9.984</v>
      </c>
    </row>
    <row r="3751" spans="1:29" ht="11.65" hidden="1" x14ac:dyDescent="0.35">
      <c r="A3751" s="12">
        <v>3734</v>
      </c>
      <c r="B3751" s="10" t="s">
        <v>1015</v>
      </c>
      <c r="C3751" s="18" t="s">
        <v>1273</v>
      </c>
      <c r="D3751" s="9"/>
      <c r="E3751" s="9">
        <v>276</v>
      </c>
      <c r="F3751" s="10" t="s">
        <v>1066</v>
      </c>
      <c r="G3751" s="9">
        <v>926</v>
      </c>
      <c r="H3751" s="9">
        <v>2015</v>
      </c>
      <c r="I3751" s="8">
        <v>1701.0920000000001</v>
      </c>
      <c r="J3751" s="8">
        <v>1704.2139999999999</v>
      </c>
      <c r="K3751" s="8">
        <v>1845.8140000000001</v>
      </c>
      <c r="L3751" s="8">
        <v>2036.0540000000001</v>
      </c>
      <c r="M3751" s="8">
        <v>2153.6729999999998</v>
      </c>
      <c r="N3751" s="8">
        <v>2476.6759999999999</v>
      </c>
      <c r="O3751" s="8">
        <v>2540.866</v>
      </c>
      <c r="P3751" s="8">
        <v>2420.6610000000001</v>
      </c>
      <c r="Q3751" s="8">
        <v>2511.9989999999998</v>
      </c>
      <c r="R3751" s="8">
        <v>3297.1149999999998</v>
      </c>
      <c r="S3751" s="8">
        <v>3419.72</v>
      </c>
      <c r="T3751" s="8">
        <v>3011.8820000000001</v>
      </c>
      <c r="U3751" s="8">
        <v>2624.5940000000001</v>
      </c>
      <c r="V3751" s="8">
        <v>2184.8270000000002</v>
      </c>
      <c r="W3751" s="8">
        <v>2254.1419999999998</v>
      </c>
      <c r="X3751" s="8">
        <v>2364.5880000000002</v>
      </c>
      <c r="Y3751" s="8">
        <v>1499.569</v>
      </c>
      <c r="Z3751" s="8">
        <v>978.995</v>
      </c>
      <c r="AA3751" s="8">
        <v>448.78800000000001</v>
      </c>
      <c r="AB3751" s="8">
        <v>75.039000000000001</v>
      </c>
      <c r="AC3751" s="8">
        <v>12.526999999999999</v>
      </c>
    </row>
    <row r="3752" spans="1:29" ht="11.65" hidden="1" x14ac:dyDescent="0.35">
      <c r="A3752" s="12">
        <v>3735</v>
      </c>
      <c r="B3752" s="10" t="s">
        <v>1015</v>
      </c>
      <c r="C3752" s="18" t="s">
        <v>1273</v>
      </c>
      <c r="D3752" s="9"/>
      <c r="E3752" s="9">
        <v>276</v>
      </c>
      <c r="F3752" s="10" t="s">
        <v>1066</v>
      </c>
      <c r="G3752" s="9">
        <v>926</v>
      </c>
      <c r="H3752" s="9">
        <v>2020</v>
      </c>
      <c r="I3752" s="8">
        <v>1976.336</v>
      </c>
      <c r="J3752" s="8">
        <v>1851.88</v>
      </c>
      <c r="K3752" s="8">
        <v>1832.3050000000001</v>
      </c>
      <c r="L3752" s="8">
        <v>1968.75</v>
      </c>
      <c r="M3752" s="8">
        <v>2170.94</v>
      </c>
      <c r="N3752" s="8">
        <v>2302.127</v>
      </c>
      <c r="O3752" s="8">
        <v>2619.0210000000002</v>
      </c>
      <c r="P3752" s="8">
        <v>2655.7</v>
      </c>
      <c r="Q3752" s="8">
        <v>2507.8649999999998</v>
      </c>
      <c r="R3752" s="8">
        <v>2576.0140000000001</v>
      </c>
      <c r="S3752" s="8">
        <v>3328.288</v>
      </c>
      <c r="T3752" s="8">
        <v>3413.9659999999999</v>
      </c>
      <c r="U3752" s="8">
        <v>2965.9969999999998</v>
      </c>
      <c r="V3752" s="8">
        <v>2532.3580000000002</v>
      </c>
      <c r="W3752" s="8">
        <v>2042.7070000000001</v>
      </c>
      <c r="X3752" s="8">
        <v>2005.7070000000001</v>
      </c>
      <c r="Y3752" s="8">
        <v>1899.9749999999999</v>
      </c>
      <c r="Z3752" s="8">
        <v>1022.253</v>
      </c>
      <c r="AA3752" s="8">
        <v>521.58799999999997</v>
      </c>
      <c r="AB3752" s="8">
        <v>158.529</v>
      </c>
      <c r="AC3752" s="8">
        <v>15.728</v>
      </c>
    </row>
    <row r="3753" spans="1:29" ht="11.65" hidden="1" x14ac:dyDescent="0.35">
      <c r="A3753" s="12">
        <v>3736</v>
      </c>
      <c r="B3753" s="10" t="s">
        <v>1015</v>
      </c>
      <c r="C3753" s="18" t="s">
        <v>1274</v>
      </c>
      <c r="D3753" s="9"/>
      <c r="E3753" s="9">
        <v>442</v>
      </c>
      <c r="F3753" s="10" t="s">
        <v>1066</v>
      </c>
      <c r="G3753" s="9">
        <v>926</v>
      </c>
      <c r="H3753" s="9">
        <v>1950</v>
      </c>
      <c r="I3753" s="8">
        <v>9</v>
      </c>
      <c r="J3753" s="8">
        <v>10</v>
      </c>
      <c r="K3753" s="8">
        <v>10.000999999999999</v>
      </c>
      <c r="L3753" s="8">
        <v>11.000999999999999</v>
      </c>
      <c r="M3753" s="8">
        <v>12.002000000000001</v>
      </c>
      <c r="N3753" s="8">
        <v>10.997999999999999</v>
      </c>
      <c r="O3753" s="8">
        <v>10</v>
      </c>
      <c r="P3753" s="8">
        <v>11.999000000000001</v>
      </c>
      <c r="Q3753" s="8">
        <v>12</v>
      </c>
      <c r="R3753" s="8">
        <v>10.999000000000001</v>
      </c>
      <c r="S3753" s="8">
        <v>9.9990000000000006</v>
      </c>
      <c r="T3753" s="8">
        <v>8.0009999999999994</v>
      </c>
      <c r="U3753" s="8">
        <v>7.0010000000000003</v>
      </c>
      <c r="V3753" s="8">
        <v>6.0010000000000003</v>
      </c>
      <c r="W3753" s="8">
        <v>4.2380000000000004</v>
      </c>
      <c r="X3753" s="8">
        <v>2.7370000000000001</v>
      </c>
      <c r="Y3753" s="8">
        <v>1.3140000000000001</v>
      </c>
      <c r="Z3753" s="8">
        <v>0.61899999999999999</v>
      </c>
      <c r="AA3753" s="8">
        <v>9.1999999999999998E-2</v>
      </c>
      <c r="AB3753" s="8">
        <v>0</v>
      </c>
      <c r="AC3753" s="8">
        <v>0</v>
      </c>
    </row>
    <row r="3754" spans="1:29" ht="11.65" hidden="1" x14ac:dyDescent="0.35">
      <c r="A3754" s="12">
        <v>3737</v>
      </c>
      <c r="B3754" s="10" t="s">
        <v>1015</v>
      </c>
      <c r="C3754" s="18" t="s">
        <v>1274</v>
      </c>
      <c r="D3754" s="9"/>
      <c r="E3754" s="9">
        <v>442</v>
      </c>
      <c r="F3754" s="10" t="s">
        <v>1066</v>
      </c>
      <c r="G3754" s="9">
        <v>926</v>
      </c>
      <c r="H3754" s="9">
        <v>1955</v>
      </c>
      <c r="I3754" s="8">
        <v>10</v>
      </c>
      <c r="J3754" s="8">
        <v>9</v>
      </c>
      <c r="K3754" s="8">
        <v>10</v>
      </c>
      <c r="L3754" s="8">
        <v>10.000999999999999</v>
      </c>
      <c r="M3754" s="8">
        <v>11.000999999999999</v>
      </c>
      <c r="N3754" s="8">
        <v>12.002000000000001</v>
      </c>
      <c r="O3754" s="8">
        <v>11</v>
      </c>
      <c r="P3754" s="8">
        <v>9.9979999999999993</v>
      </c>
      <c r="Q3754" s="8">
        <v>11</v>
      </c>
      <c r="R3754" s="8">
        <v>12.002000000000001</v>
      </c>
      <c r="S3754" s="8">
        <v>11</v>
      </c>
      <c r="T3754" s="8">
        <v>10.000999999999999</v>
      </c>
      <c r="U3754" s="8">
        <v>7.9989999999999997</v>
      </c>
      <c r="V3754" s="8">
        <v>6</v>
      </c>
      <c r="W3754" s="8">
        <v>4.9029999999999996</v>
      </c>
      <c r="X3754" s="8">
        <v>3.35</v>
      </c>
      <c r="Y3754" s="8">
        <v>2.1379999999999999</v>
      </c>
      <c r="Z3754" s="8">
        <v>0.55800000000000005</v>
      </c>
      <c r="AA3754" s="8">
        <v>0.17599999999999999</v>
      </c>
      <c r="AB3754" s="8">
        <v>1.4999999999999999E-2</v>
      </c>
      <c r="AC3754" s="8">
        <v>0</v>
      </c>
    </row>
    <row r="3755" spans="1:29" ht="11.65" hidden="1" x14ac:dyDescent="0.35">
      <c r="A3755" s="12">
        <v>3738</v>
      </c>
      <c r="B3755" s="10" t="s">
        <v>1015</v>
      </c>
      <c r="C3755" s="18" t="s">
        <v>1274</v>
      </c>
      <c r="D3755" s="9"/>
      <c r="E3755" s="9">
        <v>442</v>
      </c>
      <c r="F3755" s="10" t="s">
        <v>1066</v>
      </c>
      <c r="G3755" s="9">
        <v>926</v>
      </c>
      <c r="H3755" s="9">
        <v>1960</v>
      </c>
      <c r="I3755" s="8">
        <v>11.875999999999999</v>
      </c>
      <c r="J3755" s="8">
        <v>10.904</v>
      </c>
      <c r="K3755" s="8">
        <v>9.8030000000000008</v>
      </c>
      <c r="L3755" s="8">
        <v>9.91</v>
      </c>
      <c r="M3755" s="8">
        <v>10.454000000000001</v>
      </c>
      <c r="N3755" s="8">
        <v>11.227</v>
      </c>
      <c r="O3755" s="8">
        <v>12.045</v>
      </c>
      <c r="P3755" s="8">
        <v>11.631</v>
      </c>
      <c r="Q3755" s="8">
        <v>9.1679999999999993</v>
      </c>
      <c r="R3755" s="8">
        <v>11.46</v>
      </c>
      <c r="S3755" s="8">
        <v>11.656000000000001</v>
      </c>
      <c r="T3755" s="8">
        <v>10.885999999999999</v>
      </c>
      <c r="U3755" s="8">
        <v>9.1620000000000008</v>
      </c>
      <c r="V3755" s="8">
        <v>7.0970000000000004</v>
      </c>
      <c r="W3755" s="8">
        <v>5.2770000000000001</v>
      </c>
      <c r="X3755" s="8">
        <v>3.64</v>
      </c>
      <c r="Y3755" s="8">
        <v>1.877</v>
      </c>
      <c r="Z3755" s="8">
        <v>0.94299999999999995</v>
      </c>
      <c r="AA3755" s="8">
        <v>0.16600000000000001</v>
      </c>
      <c r="AB3755" s="8">
        <v>0.03</v>
      </c>
      <c r="AC3755" s="8">
        <v>2E-3</v>
      </c>
    </row>
    <row r="3756" spans="1:29" ht="11.65" hidden="1" x14ac:dyDescent="0.35">
      <c r="A3756" s="12">
        <v>3739</v>
      </c>
      <c r="B3756" s="10" t="s">
        <v>1015</v>
      </c>
      <c r="C3756" s="18" t="s">
        <v>1274</v>
      </c>
      <c r="D3756" s="9"/>
      <c r="E3756" s="9">
        <v>442</v>
      </c>
      <c r="F3756" s="10" t="s">
        <v>1066</v>
      </c>
      <c r="G3756" s="9">
        <v>926</v>
      </c>
      <c r="H3756" s="9">
        <v>1965</v>
      </c>
      <c r="I3756" s="8">
        <v>12.565</v>
      </c>
      <c r="J3756" s="8">
        <v>12.215</v>
      </c>
      <c r="K3756" s="8">
        <v>11.339</v>
      </c>
      <c r="L3756" s="8">
        <v>10.611000000000001</v>
      </c>
      <c r="M3756" s="8">
        <v>10.481999999999999</v>
      </c>
      <c r="N3756" s="8">
        <v>11.061999999999999</v>
      </c>
      <c r="O3756" s="8">
        <v>11.577</v>
      </c>
      <c r="P3756" s="8">
        <v>12.28</v>
      </c>
      <c r="Q3756" s="8">
        <v>11.747999999999999</v>
      </c>
      <c r="R3756" s="8">
        <v>9.157</v>
      </c>
      <c r="S3756" s="8">
        <v>11.259</v>
      </c>
      <c r="T3756" s="8">
        <v>11.333</v>
      </c>
      <c r="U3756" s="8">
        <v>10.353999999999999</v>
      </c>
      <c r="V3756" s="8">
        <v>8.3369999999999997</v>
      </c>
      <c r="W3756" s="8">
        <v>5.9619999999999997</v>
      </c>
      <c r="X3756" s="8">
        <v>3.94</v>
      </c>
      <c r="Y3756" s="8">
        <v>2.2749999999999999</v>
      </c>
      <c r="Z3756" s="8">
        <v>0.86899999999999999</v>
      </c>
      <c r="AA3756" s="8">
        <v>0.29499999999999998</v>
      </c>
      <c r="AB3756" s="8">
        <v>0.03</v>
      </c>
      <c r="AC3756" s="8">
        <v>3.0000000000000001E-3</v>
      </c>
    </row>
    <row r="3757" spans="1:29" ht="11.65" hidden="1" x14ac:dyDescent="0.35">
      <c r="A3757" s="12">
        <v>3740</v>
      </c>
      <c r="B3757" s="10" t="s">
        <v>1015</v>
      </c>
      <c r="C3757" s="18" t="s">
        <v>1274</v>
      </c>
      <c r="D3757" s="9"/>
      <c r="E3757" s="9">
        <v>442</v>
      </c>
      <c r="F3757" s="10" t="s">
        <v>1066</v>
      </c>
      <c r="G3757" s="9">
        <v>926</v>
      </c>
      <c r="H3757" s="9">
        <v>1970</v>
      </c>
      <c r="I3757" s="8">
        <v>11.7</v>
      </c>
      <c r="J3757" s="8">
        <v>12.738</v>
      </c>
      <c r="K3757" s="8">
        <v>12.467000000000001</v>
      </c>
      <c r="L3757" s="8">
        <v>11.871</v>
      </c>
      <c r="M3757" s="8">
        <v>11.119</v>
      </c>
      <c r="N3757" s="8">
        <v>10.798</v>
      </c>
      <c r="O3757" s="8">
        <v>11.294</v>
      </c>
      <c r="P3757" s="8">
        <v>11.7</v>
      </c>
      <c r="Q3757" s="8">
        <v>12.375999999999999</v>
      </c>
      <c r="R3757" s="8">
        <v>11.663</v>
      </c>
      <c r="S3757" s="8">
        <v>8.9540000000000006</v>
      </c>
      <c r="T3757" s="8">
        <v>10.901</v>
      </c>
      <c r="U3757" s="8">
        <v>10.75</v>
      </c>
      <c r="V3757" s="8">
        <v>9.4329999999999998</v>
      </c>
      <c r="W3757" s="8">
        <v>7.0659999999999998</v>
      </c>
      <c r="X3757" s="8">
        <v>4.4720000000000004</v>
      </c>
      <c r="Y3757" s="8">
        <v>2.496</v>
      </c>
      <c r="Z3757" s="8">
        <v>1.091</v>
      </c>
      <c r="AA3757" s="8">
        <v>0.28399999999999997</v>
      </c>
      <c r="AB3757" s="8">
        <v>5.8000000000000003E-2</v>
      </c>
      <c r="AC3757" s="8">
        <v>4.0000000000000001E-3</v>
      </c>
    </row>
    <row r="3758" spans="1:29" ht="11.65" hidden="1" x14ac:dyDescent="0.35">
      <c r="A3758" s="12">
        <v>3741</v>
      </c>
      <c r="B3758" s="10" t="s">
        <v>1015</v>
      </c>
      <c r="C3758" s="18" t="s">
        <v>1274</v>
      </c>
      <c r="D3758" s="9"/>
      <c r="E3758" s="9">
        <v>442</v>
      </c>
      <c r="F3758" s="10" t="s">
        <v>1066</v>
      </c>
      <c r="G3758" s="9">
        <v>926</v>
      </c>
      <c r="H3758" s="9">
        <v>1975</v>
      </c>
      <c r="I3758" s="8">
        <v>10.074</v>
      </c>
      <c r="J3758" s="8">
        <v>12.218999999999999</v>
      </c>
      <c r="K3758" s="8">
        <v>13.18</v>
      </c>
      <c r="L3758" s="8">
        <v>13.398</v>
      </c>
      <c r="M3758" s="8">
        <v>13.327999999999999</v>
      </c>
      <c r="N3758" s="8">
        <v>12.472</v>
      </c>
      <c r="O3758" s="8">
        <v>11.515000000000001</v>
      </c>
      <c r="P3758" s="8">
        <v>11.618</v>
      </c>
      <c r="Q3758" s="8">
        <v>11.856999999999999</v>
      </c>
      <c r="R3758" s="8">
        <v>12.333</v>
      </c>
      <c r="S3758" s="8">
        <v>11.448</v>
      </c>
      <c r="T3758" s="8">
        <v>8.6460000000000008</v>
      </c>
      <c r="U3758" s="8">
        <v>10.305999999999999</v>
      </c>
      <c r="V3758" s="8">
        <v>9.7940000000000005</v>
      </c>
      <c r="W3758" s="8">
        <v>8.0370000000000008</v>
      </c>
      <c r="X3758" s="8">
        <v>5.3869999999999996</v>
      </c>
      <c r="Y3758" s="8">
        <v>2.8839999999999999</v>
      </c>
      <c r="Z3758" s="8">
        <v>1.2370000000000001</v>
      </c>
      <c r="AA3758" s="8">
        <v>0.372</v>
      </c>
      <c r="AB3758" s="8">
        <v>0.06</v>
      </c>
      <c r="AC3758" s="8">
        <v>7.0000000000000001E-3</v>
      </c>
    </row>
    <row r="3759" spans="1:29" ht="11.65" hidden="1" x14ac:dyDescent="0.35">
      <c r="A3759" s="12">
        <v>3742</v>
      </c>
      <c r="B3759" s="10" t="s">
        <v>1015</v>
      </c>
      <c r="C3759" s="18" t="s">
        <v>1274</v>
      </c>
      <c r="D3759" s="9"/>
      <c r="E3759" s="9">
        <v>442</v>
      </c>
      <c r="F3759" s="10" t="s">
        <v>1066</v>
      </c>
      <c r="G3759" s="9">
        <v>926</v>
      </c>
      <c r="H3759" s="9">
        <v>1980</v>
      </c>
      <c r="I3759" s="8">
        <v>10.084</v>
      </c>
      <c r="J3759" s="8">
        <v>10.585000000000001</v>
      </c>
      <c r="K3759" s="8">
        <v>12.714</v>
      </c>
      <c r="L3759" s="8">
        <v>13.833</v>
      </c>
      <c r="M3759" s="8">
        <v>14.625</v>
      </c>
      <c r="N3759" s="8">
        <v>14.369</v>
      </c>
      <c r="O3759" s="8">
        <v>13.26</v>
      </c>
      <c r="P3759" s="8">
        <v>11.846</v>
      </c>
      <c r="Q3759" s="8">
        <v>11.726000000000001</v>
      </c>
      <c r="R3759" s="8">
        <v>11.8</v>
      </c>
      <c r="S3759" s="8">
        <v>12.122</v>
      </c>
      <c r="T3759" s="8">
        <v>11.090999999999999</v>
      </c>
      <c r="U3759" s="8">
        <v>8.2360000000000007</v>
      </c>
      <c r="V3759" s="8">
        <v>9.5679999999999996</v>
      </c>
      <c r="W3759" s="8">
        <v>8.5969999999999995</v>
      </c>
      <c r="X3759" s="8">
        <v>6.3140000000000001</v>
      </c>
      <c r="Y3759" s="8">
        <v>3.58</v>
      </c>
      <c r="Z3759" s="8">
        <v>1.4690000000000001</v>
      </c>
      <c r="AA3759" s="8">
        <v>0.435</v>
      </c>
      <c r="AB3759" s="8">
        <v>7.9000000000000001E-2</v>
      </c>
      <c r="AC3759" s="8">
        <v>8.0000000000000002E-3</v>
      </c>
    </row>
    <row r="3760" spans="1:29" ht="11.65" hidden="1" x14ac:dyDescent="0.35">
      <c r="A3760" s="12">
        <v>3743</v>
      </c>
      <c r="B3760" s="10" t="s">
        <v>1015</v>
      </c>
      <c r="C3760" s="18" t="s">
        <v>1274</v>
      </c>
      <c r="D3760" s="9"/>
      <c r="E3760" s="9">
        <v>442</v>
      </c>
      <c r="F3760" s="10" t="s">
        <v>1066</v>
      </c>
      <c r="G3760" s="9">
        <v>926</v>
      </c>
      <c r="H3760" s="9">
        <v>1985</v>
      </c>
      <c r="I3760" s="8">
        <v>10.284000000000001</v>
      </c>
      <c r="J3760" s="8">
        <v>10.000999999999999</v>
      </c>
      <c r="K3760" s="8">
        <v>10.395</v>
      </c>
      <c r="L3760" s="8">
        <v>12.785</v>
      </c>
      <c r="M3760" s="8">
        <v>14.914</v>
      </c>
      <c r="N3760" s="8">
        <v>15.378</v>
      </c>
      <c r="O3760" s="8">
        <v>14.574999999999999</v>
      </c>
      <c r="P3760" s="8">
        <v>13.208</v>
      </c>
      <c r="Q3760" s="8">
        <v>11.587999999999999</v>
      </c>
      <c r="R3760" s="8">
        <v>11.577999999999999</v>
      </c>
      <c r="S3760" s="8">
        <v>11.512</v>
      </c>
      <c r="T3760" s="8">
        <v>11.704000000000001</v>
      </c>
      <c r="U3760" s="8">
        <v>10.576000000000001</v>
      </c>
      <c r="V3760" s="8">
        <v>7.63</v>
      </c>
      <c r="W3760" s="8">
        <v>8.5969999999999995</v>
      </c>
      <c r="X3760" s="8">
        <v>7.05</v>
      </c>
      <c r="Y3760" s="8">
        <v>4.2510000000000003</v>
      </c>
      <c r="Z3760" s="8">
        <v>1.9330000000000001</v>
      </c>
      <c r="AA3760" s="8">
        <v>0.54900000000000004</v>
      </c>
      <c r="AB3760" s="8">
        <v>9.8000000000000004E-2</v>
      </c>
      <c r="AC3760" s="8">
        <v>0.01</v>
      </c>
    </row>
    <row r="3761" spans="1:29" ht="11.65" hidden="1" x14ac:dyDescent="0.35">
      <c r="A3761" s="12">
        <v>3744</v>
      </c>
      <c r="B3761" s="10" t="s">
        <v>1015</v>
      </c>
      <c r="C3761" s="18" t="s">
        <v>1274</v>
      </c>
      <c r="D3761" s="9"/>
      <c r="E3761" s="9">
        <v>442</v>
      </c>
      <c r="F3761" s="10" t="s">
        <v>1066</v>
      </c>
      <c r="G3761" s="9">
        <v>926</v>
      </c>
      <c r="H3761" s="9">
        <v>1990</v>
      </c>
      <c r="I3761" s="8">
        <v>11.407</v>
      </c>
      <c r="J3761" s="8">
        <v>10.66</v>
      </c>
      <c r="K3761" s="8">
        <v>10.285</v>
      </c>
      <c r="L3761" s="8">
        <v>10.787000000000001</v>
      </c>
      <c r="M3761" s="8">
        <v>13.928000000000001</v>
      </c>
      <c r="N3761" s="8">
        <v>16.181999999999999</v>
      </c>
      <c r="O3761" s="8">
        <v>16.053999999999998</v>
      </c>
      <c r="P3761" s="8">
        <v>14.795</v>
      </c>
      <c r="Q3761" s="8">
        <v>13.272</v>
      </c>
      <c r="R3761" s="8">
        <v>11.558999999999999</v>
      </c>
      <c r="S3761" s="8">
        <v>11.407</v>
      </c>
      <c r="T3761" s="8">
        <v>11.138999999999999</v>
      </c>
      <c r="U3761" s="8">
        <v>11.195</v>
      </c>
      <c r="V3761" s="8">
        <v>9.9339999999999993</v>
      </c>
      <c r="W3761" s="8">
        <v>6.9080000000000004</v>
      </c>
      <c r="X3761" s="8">
        <v>7.1669999999999998</v>
      </c>
      <c r="Y3761" s="8">
        <v>4.9269999999999996</v>
      </c>
      <c r="Z3761" s="8">
        <v>2.4420000000000002</v>
      </c>
      <c r="AA3761" s="8">
        <v>0.78300000000000003</v>
      </c>
      <c r="AB3761" s="8">
        <v>0.13600000000000001</v>
      </c>
      <c r="AC3761" s="8">
        <v>1.2999999999999999E-2</v>
      </c>
    </row>
    <row r="3762" spans="1:29" ht="11.65" hidden="1" x14ac:dyDescent="0.35">
      <c r="A3762" s="12">
        <v>3745</v>
      </c>
      <c r="B3762" s="10" t="s">
        <v>1015</v>
      </c>
      <c r="C3762" s="18" t="s">
        <v>1274</v>
      </c>
      <c r="D3762" s="9"/>
      <c r="E3762" s="9">
        <v>442</v>
      </c>
      <c r="F3762" s="10" t="s">
        <v>1066</v>
      </c>
      <c r="G3762" s="9">
        <v>926</v>
      </c>
      <c r="H3762" s="9">
        <v>1995</v>
      </c>
      <c r="I3762" s="8">
        <v>13.273</v>
      </c>
      <c r="J3762" s="8">
        <v>12.211</v>
      </c>
      <c r="K3762" s="8">
        <v>11.185</v>
      </c>
      <c r="L3762" s="8">
        <v>10.891999999999999</v>
      </c>
      <c r="M3762" s="8">
        <v>12.773</v>
      </c>
      <c r="N3762" s="8">
        <v>16.263000000000002</v>
      </c>
      <c r="O3762" s="8">
        <v>17.766999999999999</v>
      </c>
      <c r="P3762" s="8">
        <v>16.673999999999999</v>
      </c>
      <c r="Q3762" s="8">
        <v>14.981999999999999</v>
      </c>
      <c r="R3762" s="8">
        <v>13.324999999999999</v>
      </c>
      <c r="S3762" s="8">
        <v>11.488</v>
      </c>
      <c r="T3762" s="8">
        <v>11.14</v>
      </c>
      <c r="U3762" s="8">
        <v>10.743</v>
      </c>
      <c r="V3762" s="8">
        <v>10.614000000000001</v>
      </c>
      <c r="W3762" s="8">
        <v>9.1300000000000008</v>
      </c>
      <c r="X3762" s="8">
        <v>5.9050000000000002</v>
      </c>
      <c r="Y3762" s="8">
        <v>5.1680000000000001</v>
      </c>
      <c r="Z3762" s="8">
        <v>2.9630000000000001</v>
      </c>
      <c r="AA3762" s="8">
        <v>1.04</v>
      </c>
      <c r="AB3762" s="8">
        <v>0.20300000000000001</v>
      </c>
      <c r="AC3762" s="8">
        <v>1.9E-2</v>
      </c>
    </row>
    <row r="3763" spans="1:29" ht="11.65" hidden="1" x14ac:dyDescent="0.35">
      <c r="A3763" s="12">
        <v>3746</v>
      </c>
      <c r="B3763" s="10" t="s">
        <v>1015</v>
      </c>
      <c r="C3763" s="18" t="s">
        <v>1274</v>
      </c>
      <c r="D3763" s="9"/>
      <c r="E3763" s="9">
        <v>442</v>
      </c>
      <c r="F3763" s="10" t="s">
        <v>1066</v>
      </c>
      <c r="G3763" s="9">
        <v>926</v>
      </c>
      <c r="H3763" s="9">
        <v>2000</v>
      </c>
      <c r="I3763" s="8">
        <v>13.734999999999999</v>
      </c>
      <c r="J3763" s="8">
        <v>13.837</v>
      </c>
      <c r="K3763" s="8">
        <v>12.628</v>
      </c>
      <c r="L3763" s="8">
        <v>11.804</v>
      </c>
      <c r="M3763" s="8">
        <v>12.569000000000001</v>
      </c>
      <c r="N3763" s="8">
        <v>15.513</v>
      </c>
      <c r="O3763" s="8">
        <v>18.433</v>
      </c>
      <c r="P3763" s="8">
        <v>18.663</v>
      </c>
      <c r="Q3763" s="8">
        <v>17.045999999999999</v>
      </c>
      <c r="R3763" s="8">
        <v>14.975</v>
      </c>
      <c r="S3763" s="8">
        <v>13.185</v>
      </c>
      <c r="T3763" s="8">
        <v>11.202</v>
      </c>
      <c r="U3763" s="8">
        <v>10.654999999999999</v>
      </c>
      <c r="V3763" s="8">
        <v>10.127000000000001</v>
      </c>
      <c r="W3763" s="8">
        <v>9.7349999999999994</v>
      </c>
      <c r="X3763" s="8">
        <v>7.8650000000000002</v>
      </c>
      <c r="Y3763" s="8">
        <v>4.468</v>
      </c>
      <c r="Z3763" s="8">
        <v>3.2269999999999999</v>
      </c>
      <c r="AA3763" s="8">
        <v>1.333</v>
      </c>
      <c r="AB3763" s="8">
        <v>0.28799999999999998</v>
      </c>
      <c r="AC3763" s="8">
        <v>3.1E-2</v>
      </c>
    </row>
    <row r="3764" spans="1:29" ht="11.65" hidden="1" x14ac:dyDescent="0.35">
      <c r="A3764" s="12">
        <v>3747</v>
      </c>
      <c r="B3764" s="10" t="s">
        <v>1015</v>
      </c>
      <c r="C3764" s="18" t="s">
        <v>1274</v>
      </c>
      <c r="D3764" s="9"/>
      <c r="E3764" s="9">
        <v>442</v>
      </c>
      <c r="F3764" s="10" t="s">
        <v>1066</v>
      </c>
      <c r="G3764" s="9">
        <v>926</v>
      </c>
      <c r="H3764" s="9">
        <v>2005</v>
      </c>
      <c r="I3764" s="8">
        <v>13.234999999999999</v>
      </c>
      <c r="J3764" s="8">
        <v>14.131</v>
      </c>
      <c r="K3764" s="8">
        <v>14.021000000000001</v>
      </c>
      <c r="L3764" s="8">
        <v>13.154999999999999</v>
      </c>
      <c r="M3764" s="8">
        <v>12.685</v>
      </c>
      <c r="N3764" s="8">
        <v>14.427</v>
      </c>
      <c r="O3764" s="8">
        <v>17.213000000000001</v>
      </c>
      <c r="P3764" s="8">
        <v>19.52</v>
      </c>
      <c r="Q3764" s="8">
        <v>19.149999999999999</v>
      </c>
      <c r="R3764" s="8">
        <v>17.163</v>
      </c>
      <c r="S3764" s="8">
        <v>14.843999999999999</v>
      </c>
      <c r="T3764" s="8">
        <v>12.852</v>
      </c>
      <c r="U3764" s="8">
        <v>10.565</v>
      </c>
      <c r="V3764" s="8">
        <v>10.02</v>
      </c>
      <c r="W3764" s="8">
        <v>9.3550000000000004</v>
      </c>
      <c r="X3764" s="8">
        <v>8.5169999999999995</v>
      </c>
      <c r="Y3764" s="8">
        <v>6.1390000000000002</v>
      </c>
      <c r="Z3764" s="8">
        <v>2.9060000000000001</v>
      </c>
      <c r="AA3764" s="8">
        <v>1.5549999999999999</v>
      </c>
      <c r="AB3764" s="8">
        <v>0.41</v>
      </c>
      <c r="AC3764" s="8">
        <v>0.05</v>
      </c>
    </row>
    <row r="3765" spans="1:29" ht="11.65" hidden="1" x14ac:dyDescent="0.35">
      <c r="A3765" s="12">
        <v>3748</v>
      </c>
      <c r="B3765" s="10" t="s">
        <v>1015</v>
      </c>
      <c r="C3765" s="18" t="s">
        <v>1274</v>
      </c>
      <c r="D3765" s="9"/>
      <c r="E3765" s="9">
        <v>442</v>
      </c>
      <c r="F3765" s="10" t="s">
        <v>1066</v>
      </c>
      <c r="G3765" s="9">
        <v>926</v>
      </c>
      <c r="H3765" s="9">
        <v>2010</v>
      </c>
      <c r="I3765" s="8">
        <v>14.063000000000001</v>
      </c>
      <c r="J3765" s="8">
        <v>14.433999999999999</v>
      </c>
      <c r="K3765" s="8">
        <v>15.022</v>
      </c>
      <c r="L3765" s="8">
        <v>14.702</v>
      </c>
      <c r="M3765" s="8">
        <v>14.881</v>
      </c>
      <c r="N3765" s="8">
        <v>17.547999999999998</v>
      </c>
      <c r="O3765" s="8">
        <v>18.765999999999998</v>
      </c>
      <c r="P3765" s="8">
        <v>19.837</v>
      </c>
      <c r="Q3765" s="8">
        <v>20.898</v>
      </c>
      <c r="R3765" s="8">
        <v>19.95</v>
      </c>
      <c r="S3765" s="8">
        <v>17.361999999999998</v>
      </c>
      <c r="T3765" s="8">
        <v>14.773999999999999</v>
      </c>
      <c r="U3765" s="8">
        <v>12.403</v>
      </c>
      <c r="V3765" s="8">
        <v>10.092000000000001</v>
      </c>
      <c r="W3765" s="8">
        <v>9.3859999999999992</v>
      </c>
      <c r="X3765" s="8">
        <v>8.4930000000000003</v>
      </c>
      <c r="Y3765" s="8">
        <v>6.9020000000000001</v>
      </c>
      <c r="Z3765" s="8">
        <v>4.0910000000000002</v>
      </c>
      <c r="AA3765" s="8">
        <v>1.4319999999999999</v>
      </c>
      <c r="AB3765" s="8">
        <v>0.48499999999999999</v>
      </c>
      <c r="AC3765" s="8">
        <v>7.1999999999999995E-2</v>
      </c>
    </row>
    <row r="3766" spans="1:29" ht="11.65" hidden="1" x14ac:dyDescent="0.35">
      <c r="A3766" s="12">
        <v>3749</v>
      </c>
      <c r="B3766" s="10" t="s">
        <v>1015</v>
      </c>
      <c r="C3766" s="18" t="s">
        <v>1274</v>
      </c>
      <c r="D3766" s="9"/>
      <c r="E3766" s="9">
        <v>442</v>
      </c>
      <c r="F3766" s="10" t="s">
        <v>1066</v>
      </c>
      <c r="G3766" s="9">
        <v>926</v>
      </c>
      <c r="H3766" s="9">
        <v>2015</v>
      </c>
      <c r="I3766" s="8">
        <v>15.252000000000001</v>
      </c>
      <c r="J3766" s="8">
        <v>14.734999999999999</v>
      </c>
      <c r="K3766" s="8">
        <v>15.218</v>
      </c>
      <c r="L3766" s="8">
        <v>16.53</v>
      </c>
      <c r="M3766" s="8">
        <v>17.425000000000001</v>
      </c>
      <c r="N3766" s="8">
        <v>19.529</v>
      </c>
      <c r="O3766" s="8">
        <v>22.518000000000001</v>
      </c>
      <c r="P3766" s="8">
        <v>20.765999999999998</v>
      </c>
      <c r="Q3766" s="8">
        <v>21.507999999999999</v>
      </c>
      <c r="R3766" s="8">
        <v>22.126000000000001</v>
      </c>
      <c r="S3766" s="8">
        <v>20.513000000000002</v>
      </c>
      <c r="T3766" s="8">
        <v>17.556000000000001</v>
      </c>
      <c r="U3766" s="8">
        <v>14.404999999999999</v>
      </c>
      <c r="V3766" s="8">
        <v>11.648</v>
      </c>
      <c r="W3766" s="8">
        <v>9.93</v>
      </c>
      <c r="X3766" s="8">
        <v>8.0510000000000002</v>
      </c>
      <c r="Y3766" s="8">
        <v>7.3090000000000002</v>
      </c>
      <c r="Z3766" s="8">
        <v>4.8120000000000003</v>
      </c>
      <c r="AA3766" s="8">
        <v>2.0110000000000001</v>
      </c>
      <c r="AB3766" s="8">
        <v>0.39500000000000002</v>
      </c>
      <c r="AC3766" s="8">
        <v>6.3E-2</v>
      </c>
    </row>
    <row r="3767" spans="1:29" ht="11.65" hidden="1" x14ac:dyDescent="0.35">
      <c r="A3767" s="12">
        <v>3750</v>
      </c>
      <c r="B3767" s="10" t="s">
        <v>1015</v>
      </c>
      <c r="C3767" s="18" t="s">
        <v>1274</v>
      </c>
      <c r="D3767" s="9"/>
      <c r="E3767" s="9">
        <v>442</v>
      </c>
      <c r="F3767" s="10" t="s">
        <v>1066</v>
      </c>
      <c r="G3767" s="9">
        <v>926</v>
      </c>
      <c r="H3767" s="9">
        <v>2020</v>
      </c>
      <c r="I3767" s="8">
        <v>16.146999999999998</v>
      </c>
      <c r="J3767" s="8">
        <v>15.923999999999999</v>
      </c>
      <c r="K3767" s="8">
        <v>15.519</v>
      </c>
      <c r="L3767" s="8">
        <v>16.734999999999999</v>
      </c>
      <c r="M3767" s="8">
        <v>19.254000000000001</v>
      </c>
      <c r="N3767" s="8">
        <v>22.071999999999999</v>
      </c>
      <c r="O3767" s="8">
        <v>24.495999999999999</v>
      </c>
      <c r="P3767" s="8">
        <v>24.515999999999998</v>
      </c>
      <c r="Q3767" s="8">
        <v>22.437000000000001</v>
      </c>
      <c r="R3767" s="8">
        <v>22.745999999999999</v>
      </c>
      <c r="S3767" s="8">
        <v>22.698</v>
      </c>
      <c r="T3767" s="8">
        <v>20.69</v>
      </c>
      <c r="U3767" s="8">
        <v>17.152000000000001</v>
      </c>
      <c r="V3767" s="8">
        <v>13.622999999999999</v>
      </c>
      <c r="W3767" s="8">
        <v>11.456</v>
      </c>
      <c r="X3767" s="8">
        <v>8.6010000000000009</v>
      </c>
      <c r="Y3767" s="8">
        <v>7.0129999999999999</v>
      </c>
      <c r="Z3767" s="8">
        <v>5.22</v>
      </c>
      <c r="AA3767" s="8">
        <v>2.4689999999999999</v>
      </c>
      <c r="AB3767" s="8">
        <v>0.56699999999999995</v>
      </c>
      <c r="AC3767" s="8">
        <v>5.3999999999999999E-2</v>
      </c>
    </row>
    <row r="3768" spans="1:29" ht="11.65" hidden="1" x14ac:dyDescent="0.35">
      <c r="A3768" s="12">
        <v>3751</v>
      </c>
      <c r="B3768" s="10" t="s">
        <v>1015</v>
      </c>
      <c r="C3768" s="18" t="s">
        <v>1275</v>
      </c>
      <c r="D3768" s="9">
        <v>28</v>
      </c>
      <c r="E3768" s="9">
        <v>528</v>
      </c>
      <c r="F3768" s="10" t="s">
        <v>1066</v>
      </c>
      <c r="G3768" s="9">
        <v>926</v>
      </c>
      <c r="H3768" s="9">
        <v>1950</v>
      </c>
      <c r="I3768" s="8">
        <v>578.94200000000001</v>
      </c>
      <c r="J3768" s="8">
        <v>449.64</v>
      </c>
      <c r="K3768" s="8">
        <v>399.125</v>
      </c>
      <c r="L3768" s="8">
        <v>398.99299999999999</v>
      </c>
      <c r="M3768" s="8">
        <v>393.80099999999999</v>
      </c>
      <c r="N3768" s="8">
        <v>402.55200000000002</v>
      </c>
      <c r="O3768" s="8">
        <v>348.85599999999999</v>
      </c>
      <c r="P3768" s="8">
        <v>346.77</v>
      </c>
      <c r="Q3768" s="8">
        <v>330.64600000000002</v>
      </c>
      <c r="R3768" s="8">
        <v>300.452</v>
      </c>
      <c r="S3768" s="8">
        <v>265.61700000000002</v>
      </c>
      <c r="T3768" s="8">
        <v>227.23699999999999</v>
      </c>
      <c r="U3768" s="8">
        <v>191.428</v>
      </c>
      <c r="V3768" s="8">
        <v>155.12799999999999</v>
      </c>
      <c r="W3768" s="8">
        <v>118.175</v>
      </c>
      <c r="X3768" s="8">
        <v>74.751000000000005</v>
      </c>
      <c r="Y3768" s="8">
        <v>37.795999999999999</v>
      </c>
      <c r="Z3768" s="8">
        <v>13.605</v>
      </c>
      <c r="AA3768" s="8">
        <v>2.8180000000000001</v>
      </c>
      <c r="AB3768" s="8">
        <v>0.34499999999999997</v>
      </c>
      <c r="AC3768" s="8">
        <v>1.9E-2</v>
      </c>
    </row>
    <row r="3769" spans="1:29" ht="11.65" hidden="1" x14ac:dyDescent="0.35">
      <c r="A3769" s="12">
        <v>3752</v>
      </c>
      <c r="B3769" s="10" t="s">
        <v>1015</v>
      </c>
      <c r="C3769" s="18" t="s">
        <v>1275</v>
      </c>
      <c r="D3769" s="9">
        <v>28</v>
      </c>
      <c r="E3769" s="9">
        <v>528</v>
      </c>
      <c r="F3769" s="10" t="s">
        <v>1066</v>
      </c>
      <c r="G3769" s="9">
        <v>926</v>
      </c>
      <c r="H3769" s="9">
        <v>1955</v>
      </c>
      <c r="I3769" s="8">
        <v>541.84199999999998</v>
      </c>
      <c r="J3769" s="8">
        <v>574.74400000000003</v>
      </c>
      <c r="K3769" s="8">
        <v>447.61700000000002</v>
      </c>
      <c r="L3769" s="8">
        <v>397.80099999999999</v>
      </c>
      <c r="M3769" s="8">
        <v>393.16899999999998</v>
      </c>
      <c r="N3769" s="8">
        <v>383.11900000000003</v>
      </c>
      <c r="O3769" s="8">
        <v>393.12799999999999</v>
      </c>
      <c r="P3769" s="8">
        <v>342.16699999999997</v>
      </c>
      <c r="Q3769" s="8">
        <v>341.29700000000003</v>
      </c>
      <c r="R3769" s="8">
        <v>325.12</v>
      </c>
      <c r="S3769" s="8">
        <v>294.39400000000001</v>
      </c>
      <c r="T3769" s="8">
        <v>257.98</v>
      </c>
      <c r="U3769" s="8">
        <v>216.64699999999999</v>
      </c>
      <c r="V3769" s="8">
        <v>175.80799999999999</v>
      </c>
      <c r="W3769" s="8">
        <v>132.98599999999999</v>
      </c>
      <c r="X3769" s="8">
        <v>89.58</v>
      </c>
      <c r="Y3769" s="8">
        <v>46.372999999999998</v>
      </c>
      <c r="Z3769" s="8">
        <v>17.236000000000001</v>
      </c>
      <c r="AA3769" s="8">
        <v>4.0309999999999997</v>
      </c>
      <c r="AB3769" s="8">
        <v>0.48</v>
      </c>
      <c r="AC3769" s="8">
        <v>3.2000000000000001E-2</v>
      </c>
    </row>
    <row r="3770" spans="1:29" ht="11.65" hidden="1" x14ac:dyDescent="0.35">
      <c r="A3770" s="12">
        <v>3753</v>
      </c>
      <c r="B3770" s="10" t="s">
        <v>1015</v>
      </c>
      <c r="C3770" s="18" t="s">
        <v>1275</v>
      </c>
      <c r="D3770" s="9">
        <v>28</v>
      </c>
      <c r="E3770" s="9">
        <v>528</v>
      </c>
      <c r="F3770" s="10" t="s">
        <v>1066</v>
      </c>
      <c r="G3770" s="9">
        <v>926</v>
      </c>
      <c r="H3770" s="9">
        <v>1960</v>
      </c>
      <c r="I3770" s="8">
        <v>563.50099999999998</v>
      </c>
      <c r="J3770" s="8">
        <v>539.47</v>
      </c>
      <c r="K3770" s="8">
        <v>574.15300000000002</v>
      </c>
      <c r="L3770" s="8">
        <v>446.61099999999999</v>
      </c>
      <c r="M3770" s="8">
        <v>395.05799999999999</v>
      </c>
      <c r="N3770" s="8">
        <v>386.91899999999998</v>
      </c>
      <c r="O3770" s="8">
        <v>376.97300000000001</v>
      </c>
      <c r="P3770" s="8">
        <v>389.50400000000002</v>
      </c>
      <c r="Q3770" s="8">
        <v>339.512</v>
      </c>
      <c r="R3770" s="8">
        <v>338.12700000000001</v>
      </c>
      <c r="S3770" s="8">
        <v>320.60599999999999</v>
      </c>
      <c r="T3770" s="8">
        <v>287.76499999999999</v>
      </c>
      <c r="U3770" s="8">
        <v>247.79300000000001</v>
      </c>
      <c r="V3770" s="8">
        <v>201.34800000000001</v>
      </c>
      <c r="W3770" s="8">
        <v>153.29400000000001</v>
      </c>
      <c r="X3770" s="8">
        <v>103.066</v>
      </c>
      <c r="Y3770" s="8">
        <v>57.070999999999998</v>
      </c>
      <c r="Z3770" s="8">
        <v>21.597999999999999</v>
      </c>
      <c r="AA3770" s="8">
        <v>5.1420000000000003</v>
      </c>
      <c r="AB3770" s="8">
        <v>0.67800000000000005</v>
      </c>
      <c r="AC3770" s="8">
        <v>4.3999999999999997E-2</v>
      </c>
    </row>
    <row r="3771" spans="1:29" ht="11.65" hidden="1" x14ac:dyDescent="0.35">
      <c r="A3771" s="12">
        <v>3754</v>
      </c>
      <c r="B3771" s="10" t="s">
        <v>1015</v>
      </c>
      <c r="C3771" s="18" t="s">
        <v>1275</v>
      </c>
      <c r="D3771" s="9">
        <v>28</v>
      </c>
      <c r="E3771" s="9">
        <v>528</v>
      </c>
      <c r="F3771" s="10" t="s">
        <v>1066</v>
      </c>
      <c r="G3771" s="9">
        <v>926</v>
      </c>
      <c r="H3771" s="9">
        <v>1965</v>
      </c>
      <c r="I3771" s="8">
        <v>595.91600000000005</v>
      </c>
      <c r="J3771" s="8">
        <v>559.82399999999996</v>
      </c>
      <c r="K3771" s="8">
        <v>539.49</v>
      </c>
      <c r="L3771" s="8">
        <v>574.90899999999999</v>
      </c>
      <c r="M3771" s="8">
        <v>445.09300000000002</v>
      </c>
      <c r="N3771" s="8">
        <v>390.11900000000003</v>
      </c>
      <c r="O3771" s="8">
        <v>382.51600000000002</v>
      </c>
      <c r="P3771" s="8">
        <v>374.51499999999999</v>
      </c>
      <c r="Q3771" s="8">
        <v>387.024</v>
      </c>
      <c r="R3771" s="8">
        <v>336.59800000000001</v>
      </c>
      <c r="S3771" s="8">
        <v>333.30399999999997</v>
      </c>
      <c r="T3771" s="8">
        <v>312.96300000000002</v>
      </c>
      <c r="U3771" s="8">
        <v>276.392</v>
      </c>
      <c r="V3771" s="8">
        <v>230.61699999999999</v>
      </c>
      <c r="W3771" s="8">
        <v>176.99100000000001</v>
      </c>
      <c r="X3771" s="8">
        <v>121.33799999999999</v>
      </c>
      <c r="Y3771" s="8">
        <v>67.677000000000007</v>
      </c>
      <c r="Z3771" s="8">
        <v>27.957000000000001</v>
      </c>
      <c r="AA3771" s="8">
        <v>6.9720000000000004</v>
      </c>
      <c r="AB3771" s="8">
        <v>0.94699999999999995</v>
      </c>
      <c r="AC3771" s="8">
        <v>6.7000000000000004E-2</v>
      </c>
    </row>
    <row r="3772" spans="1:29" ht="11.65" hidden="1" x14ac:dyDescent="0.35">
      <c r="A3772" s="12">
        <v>3755</v>
      </c>
      <c r="B3772" s="10" t="s">
        <v>1015</v>
      </c>
      <c r="C3772" s="18" t="s">
        <v>1275</v>
      </c>
      <c r="D3772" s="9">
        <v>28</v>
      </c>
      <c r="E3772" s="9">
        <v>528</v>
      </c>
      <c r="F3772" s="10" t="s">
        <v>1066</v>
      </c>
      <c r="G3772" s="9">
        <v>926</v>
      </c>
      <c r="H3772" s="9">
        <v>1970</v>
      </c>
      <c r="I3772" s="8">
        <v>583.24199999999996</v>
      </c>
      <c r="J3772" s="8">
        <v>596.90300000000002</v>
      </c>
      <c r="K3772" s="8">
        <v>560.68299999999999</v>
      </c>
      <c r="L3772" s="8">
        <v>541.21600000000001</v>
      </c>
      <c r="M3772" s="8">
        <v>574.85400000000004</v>
      </c>
      <c r="N3772" s="8">
        <v>441.96300000000002</v>
      </c>
      <c r="O3772" s="8">
        <v>387.17</v>
      </c>
      <c r="P3772" s="8">
        <v>381.24799999999999</v>
      </c>
      <c r="Q3772" s="8">
        <v>373.07299999999998</v>
      </c>
      <c r="R3772" s="8">
        <v>384.09500000000003</v>
      </c>
      <c r="S3772" s="8">
        <v>332.03500000000003</v>
      </c>
      <c r="T3772" s="8">
        <v>325.74599999999998</v>
      </c>
      <c r="U3772" s="8">
        <v>301.33100000000002</v>
      </c>
      <c r="V3772" s="8">
        <v>258.589</v>
      </c>
      <c r="W3772" s="8">
        <v>204.386</v>
      </c>
      <c r="X3772" s="8">
        <v>142.06</v>
      </c>
      <c r="Y3772" s="8">
        <v>81.983999999999995</v>
      </c>
      <c r="Z3772" s="8">
        <v>34.533999999999999</v>
      </c>
      <c r="AA3772" s="8">
        <v>9.4589999999999996</v>
      </c>
      <c r="AB3772" s="8">
        <v>1.369</v>
      </c>
      <c r="AC3772" s="8">
        <v>0.10100000000000001</v>
      </c>
    </row>
    <row r="3773" spans="1:29" ht="11.65" hidden="1" x14ac:dyDescent="0.35">
      <c r="A3773" s="12">
        <v>3756</v>
      </c>
      <c r="B3773" s="10" t="s">
        <v>1015</v>
      </c>
      <c r="C3773" s="18" t="s">
        <v>1275</v>
      </c>
      <c r="D3773" s="9">
        <v>28</v>
      </c>
      <c r="E3773" s="9">
        <v>528</v>
      </c>
      <c r="F3773" s="10" t="s">
        <v>1066</v>
      </c>
      <c r="G3773" s="9">
        <v>926</v>
      </c>
      <c r="H3773" s="9">
        <v>1975</v>
      </c>
      <c r="I3773" s="8">
        <v>504.81</v>
      </c>
      <c r="J3773" s="8">
        <v>587.62099999999998</v>
      </c>
      <c r="K3773" s="8">
        <v>604.61400000000003</v>
      </c>
      <c r="L3773" s="8">
        <v>572.38599999999997</v>
      </c>
      <c r="M3773" s="8">
        <v>556.54300000000001</v>
      </c>
      <c r="N3773" s="8">
        <v>583.94299999999998</v>
      </c>
      <c r="O3773" s="8">
        <v>445.96899999999999</v>
      </c>
      <c r="P3773" s="8">
        <v>393.25099999999998</v>
      </c>
      <c r="Q3773" s="8">
        <v>385.49400000000003</v>
      </c>
      <c r="R3773" s="8">
        <v>372.17700000000002</v>
      </c>
      <c r="S3773" s="8">
        <v>379.78699999999998</v>
      </c>
      <c r="T3773" s="8">
        <v>325.15300000000002</v>
      </c>
      <c r="U3773" s="8">
        <v>314.56400000000002</v>
      </c>
      <c r="V3773" s="8">
        <v>283.46499999999997</v>
      </c>
      <c r="W3773" s="8">
        <v>231.46899999999999</v>
      </c>
      <c r="X3773" s="8">
        <v>166.745</v>
      </c>
      <c r="Y3773" s="8">
        <v>98.045000000000002</v>
      </c>
      <c r="Z3773" s="8">
        <v>43.128</v>
      </c>
      <c r="AA3773" s="8">
        <v>12.214</v>
      </c>
      <c r="AB3773" s="8">
        <v>1.9470000000000001</v>
      </c>
      <c r="AC3773" s="8">
        <v>0.156</v>
      </c>
    </row>
    <row r="3774" spans="1:29" ht="11.65" hidden="1" x14ac:dyDescent="0.35">
      <c r="A3774" s="12">
        <v>3757</v>
      </c>
      <c r="B3774" s="10" t="s">
        <v>1015</v>
      </c>
      <c r="C3774" s="18" t="s">
        <v>1275</v>
      </c>
      <c r="D3774" s="9">
        <v>28</v>
      </c>
      <c r="E3774" s="9">
        <v>528</v>
      </c>
      <c r="F3774" s="10" t="s">
        <v>1066</v>
      </c>
      <c r="G3774" s="9">
        <v>926</v>
      </c>
      <c r="H3774" s="9">
        <v>1980</v>
      </c>
      <c r="I3774" s="8">
        <v>431.1</v>
      </c>
      <c r="J3774" s="8">
        <v>514.827</v>
      </c>
      <c r="K3774" s="8">
        <v>597.024</v>
      </c>
      <c r="L3774" s="8">
        <v>613.53399999999999</v>
      </c>
      <c r="M3774" s="8">
        <v>586.41499999999996</v>
      </c>
      <c r="N3774" s="8">
        <v>567.37599999999998</v>
      </c>
      <c r="O3774" s="8">
        <v>585.23099999999999</v>
      </c>
      <c r="P3774" s="8">
        <v>447.07900000000001</v>
      </c>
      <c r="Q3774" s="8">
        <v>395.20299999999997</v>
      </c>
      <c r="R3774" s="8">
        <v>384.12700000000001</v>
      </c>
      <c r="S3774" s="8">
        <v>367.11099999999999</v>
      </c>
      <c r="T3774" s="8">
        <v>372.4</v>
      </c>
      <c r="U3774" s="8">
        <v>314.92599999999999</v>
      </c>
      <c r="V3774" s="8">
        <v>297.71199999999999</v>
      </c>
      <c r="W3774" s="8">
        <v>257.36700000000002</v>
      </c>
      <c r="X3774" s="8">
        <v>194.15100000000001</v>
      </c>
      <c r="Y3774" s="8">
        <v>121.242</v>
      </c>
      <c r="Z3774" s="8">
        <v>56.037999999999997</v>
      </c>
      <c r="AA3774" s="8">
        <v>16.986000000000001</v>
      </c>
      <c r="AB3774" s="8">
        <v>2.8620000000000001</v>
      </c>
      <c r="AC3774" s="8">
        <v>0.221</v>
      </c>
    </row>
    <row r="3775" spans="1:29" ht="11.65" hidden="1" x14ac:dyDescent="0.35">
      <c r="A3775" s="12">
        <v>3758</v>
      </c>
      <c r="B3775" s="10" t="s">
        <v>1015</v>
      </c>
      <c r="C3775" s="18" t="s">
        <v>1275</v>
      </c>
      <c r="D3775" s="9">
        <v>28</v>
      </c>
      <c r="E3775" s="9">
        <v>528</v>
      </c>
      <c r="F3775" s="10" t="s">
        <v>1066</v>
      </c>
      <c r="G3775" s="9">
        <v>926</v>
      </c>
      <c r="H3775" s="9">
        <v>1985</v>
      </c>
      <c r="I3775" s="8">
        <v>427.00900000000001</v>
      </c>
      <c r="J3775" s="8">
        <v>433.89100000000002</v>
      </c>
      <c r="K3775" s="8">
        <v>517.20699999999999</v>
      </c>
      <c r="L3775" s="8">
        <v>601.97400000000005</v>
      </c>
      <c r="M3775" s="8">
        <v>622.51599999999996</v>
      </c>
      <c r="N3775" s="8">
        <v>595.524</v>
      </c>
      <c r="O3775" s="8">
        <v>570.37</v>
      </c>
      <c r="P3775" s="8">
        <v>584.524</v>
      </c>
      <c r="Q3775" s="8">
        <v>445.995</v>
      </c>
      <c r="R3775" s="8">
        <v>393.08800000000002</v>
      </c>
      <c r="S3775" s="8">
        <v>379.86399999999998</v>
      </c>
      <c r="T3775" s="8">
        <v>360.00599999999997</v>
      </c>
      <c r="U3775" s="8">
        <v>360.44499999999999</v>
      </c>
      <c r="V3775" s="8">
        <v>298.71499999999997</v>
      </c>
      <c r="W3775" s="8">
        <v>272.54300000000001</v>
      </c>
      <c r="X3775" s="8">
        <v>219.875</v>
      </c>
      <c r="Y3775" s="8">
        <v>145.785</v>
      </c>
      <c r="Z3775" s="8">
        <v>72.778000000000006</v>
      </c>
      <c r="AA3775" s="8">
        <v>23.681000000000001</v>
      </c>
      <c r="AB3775" s="8">
        <v>4.3550000000000004</v>
      </c>
      <c r="AC3775" s="8">
        <v>0.36</v>
      </c>
    </row>
    <row r="3776" spans="1:29" ht="11.65" hidden="1" x14ac:dyDescent="0.35">
      <c r="A3776" s="12">
        <v>3759</v>
      </c>
      <c r="B3776" s="10" t="s">
        <v>1015</v>
      </c>
      <c r="C3776" s="18" t="s">
        <v>1275</v>
      </c>
      <c r="D3776" s="9">
        <v>28</v>
      </c>
      <c r="E3776" s="9">
        <v>528</v>
      </c>
      <c r="F3776" s="10" t="s">
        <v>1066</v>
      </c>
      <c r="G3776" s="9">
        <v>926</v>
      </c>
      <c r="H3776" s="9">
        <v>1990</v>
      </c>
      <c r="I3776" s="8">
        <v>455.81400000000002</v>
      </c>
      <c r="J3776" s="8">
        <v>434.73099999999999</v>
      </c>
      <c r="K3776" s="8">
        <v>440.452</v>
      </c>
      <c r="L3776" s="8">
        <v>526.44799999999998</v>
      </c>
      <c r="M3776" s="8">
        <v>618.49099999999999</v>
      </c>
      <c r="N3776" s="8">
        <v>636.70699999999999</v>
      </c>
      <c r="O3776" s="8">
        <v>599.27099999999996</v>
      </c>
      <c r="P3776" s="8">
        <v>568.9</v>
      </c>
      <c r="Q3776" s="8">
        <v>581.649</v>
      </c>
      <c r="R3776" s="8">
        <v>443.23099999999999</v>
      </c>
      <c r="S3776" s="8">
        <v>389.18900000000002</v>
      </c>
      <c r="T3776" s="8">
        <v>372.39800000000002</v>
      </c>
      <c r="U3776" s="8">
        <v>348.54199999999997</v>
      </c>
      <c r="V3776" s="8">
        <v>342.80099999999999</v>
      </c>
      <c r="W3776" s="8">
        <v>274.904</v>
      </c>
      <c r="X3776" s="8">
        <v>235.34</v>
      </c>
      <c r="Y3776" s="8">
        <v>167.822</v>
      </c>
      <c r="Z3776" s="8">
        <v>89.001000000000005</v>
      </c>
      <c r="AA3776" s="8">
        <v>31.048999999999999</v>
      </c>
      <c r="AB3776" s="8">
        <v>6.0549999999999997</v>
      </c>
      <c r="AC3776" s="8">
        <v>0.54100000000000004</v>
      </c>
    </row>
    <row r="3777" spans="1:29" ht="11.65" hidden="1" x14ac:dyDescent="0.35">
      <c r="A3777" s="12">
        <v>3760</v>
      </c>
      <c r="B3777" s="10" t="s">
        <v>1015</v>
      </c>
      <c r="C3777" s="18" t="s">
        <v>1275</v>
      </c>
      <c r="D3777" s="9">
        <v>28</v>
      </c>
      <c r="E3777" s="9">
        <v>528</v>
      </c>
      <c r="F3777" s="10" t="s">
        <v>1066</v>
      </c>
      <c r="G3777" s="9">
        <v>926</v>
      </c>
      <c r="H3777" s="9">
        <v>1995</v>
      </c>
      <c r="I3777" s="8">
        <v>479.00599999999997</v>
      </c>
      <c r="J3777" s="8">
        <v>466.47300000000001</v>
      </c>
      <c r="K3777" s="8">
        <v>442.51600000000002</v>
      </c>
      <c r="L3777" s="8">
        <v>450.66699999999997</v>
      </c>
      <c r="M3777" s="8">
        <v>542.86800000000005</v>
      </c>
      <c r="N3777" s="8">
        <v>635.85299999999995</v>
      </c>
      <c r="O3777" s="8">
        <v>643.476</v>
      </c>
      <c r="P3777" s="8">
        <v>599.95000000000005</v>
      </c>
      <c r="Q3777" s="8">
        <v>568.94799999999998</v>
      </c>
      <c r="R3777" s="8">
        <v>578.71100000000001</v>
      </c>
      <c r="S3777" s="8">
        <v>439.161</v>
      </c>
      <c r="T3777" s="8">
        <v>382.12799999999999</v>
      </c>
      <c r="U3777" s="8">
        <v>361.00799999999998</v>
      </c>
      <c r="V3777" s="8">
        <v>331.67899999999997</v>
      </c>
      <c r="W3777" s="8">
        <v>316.09199999999998</v>
      </c>
      <c r="X3777" s="8">
        <v>238.565</v>
      </c>
      <c r="Y3777" s="8">
        <v>181.12100000000001</v>
      </c>
      <c r="Z3777" s="8">
        <v>103.163</v>
      </c>
      <c r="AA3777" s="8">
        <v>37.606999999999999</v>
      </c>
      <c r="AB3777" s="8">
        <v>7.6079999999999997</v>
      </c>
      <c r="AC3777" s="8">
        <v>0.745</v>
      </c>
    </row>
    <row r="3778" spans="1:29" ht="11.65" hidden="1" x14ac:dyDescent="0.35">
      <c r="A3778" s="12">
        <v>3761</v>
      </c>
      <c r="B3778" s="10" t="s">
        <v>1015</v>
      </c>
      <c r="C3778" s="18" t="s">
        <v>1275</v>
      </c>
      <c r="D3778" s="9">
        <v>28</v>
      </c>
      <c r="E3778" s="9">
        <v>528</v>
      </c>
      <c r="F3778" s="10" t="s">
        <v>1066</v>
      </c>
      <c r="G3778" s="9">
        <v>926</v>
      </c>
      <c r="H3778" s="9">
        <v>2000</v>
      </c>
      <c r="I3778" s="8">
        <v>473.10700000000003</v>
      </c>
      <c r="J3778" s="8">
        <v>486.64499999999998</v>
      </c>
      <c r="K3778" s="8">
        <v>475.93900000000002</v>
      </c>
      <c r="L3778" s="8">
        <v>457.40800000000002</v>
      </c>
      <c r="M3778" s="8">
        <v>470.34500000000003</v>
      </c>
      <c r="N3778" s="8">
        <v>562.48699999999997</v>
      </c>
      <c r="O3778" s="8">
        <v>648.38099999999997</v>
      </c>
      <c r="P3778" s="8">
        <v>648.96100000000001</v>
      </c>
      <c r="Q3778" s="8">
        <v>601.10699999999997</v>
      </c>
      <c r="R3778" s="8">
        <v>566.03700000000003</v>
      </c>
      <c r="S3778" s="8">
        <v>571.43600000000004</v>
      </c>
      <c r="T3778" s="8">
        <v>430.21600000000001</v>
      </c>
      <c r="U3778" s="8">
        <v>370.27199999999999</v>
      </c>
      <c r="V3778" s="8">
        <v>343.43700000000001</v>
      </c>
      <c r="W3778" s="8">
        <v>305.59899999999999</v>
      </c>
      <c r="X3778" s="8">
        <v>274.95400000000001</v>
      </c>
      <c r="Y3778" s="8">
        <v>184.899</v>
      </c>
      <c r="Z3778" s="8">
        <v>112.375</v>
      </c>
      <c r="AA3778" s="8">
        <v>43.774000000000001</v>
      </c>
      <c r="AB3778" s="8">
        <v>9.1189999999999998</v>
      </c>
      <c r="AC3778" s="8">
        <v>0.95</v>
      </c>
    </row>
    <row r="3779" spans="1:29" ht="11.65" hidden="1" x14ac:dyDescent="0.35">
      <c r="A3779" s="12">
        <v>3762</v>
      </c>
      <c r="B3779" s="10" t="s">
        <v>1015</v>
      </c>
      <c r="C3779" s="18" t="s">
        <v>1275</v>
      </c>
      <c r="D3779" s="9">
        <v>28</v>
      </c>
      <c r="E3779" s="9">
        <v>528</v>
      </c>
      <c r="F3779" s="10" t="s">
        <v>1066</v>
      </c>
      <c r="G3779" s="9">
        <v>926</v>
      </c>
      <c r="H3779" s="9">
        <v>2005</v>
      </c>
      <c r="I3779" s="8">
        <v>487.98700000000002</v>
      </c>
      <c r="J3779" s="8">
        <v>481.60500000000002</v>
      </c>
      <c r="K3779" s="8">
        <v>491.34100000000001</v>
      </c>
      <c r="L3779" s="8">
        <v>482.40899999999999</v>
      </c>
      <c r="M3779" s="8">
        <v>473.726</v>
      </c>
      <c r="N3779" s="8">
        <v>493.28300000000002</v>
      </c>
      <c r="O3779" s="8">
        <v>578.98800000000006</v>
      </c>
      <c r="P3779" s="8">
        <v>652.91300000000001</v>
      </c>
      <c r="Q3779" s="8">
        <v>646.57100000000003</v>
      </c>
      <c r="R3779" s="8">
        <v>596.56200000000001</v>
      </c>
      <c r="S3779" s="8">
        <v>558.29999999999995</v>
      </c>
      <c r="T3779" s="8">
        <v>559.50099999999998</v>
      </c>
      <c r="U3779" s="8">
        <v>416.93799999999999</v>
      </c>
      <c r="V3779" s="8">
        <v>353.40300000000002</v>
      </c>
      <c r="W3779" s="8">
        <v>318.20600000000002</v>
      </c>
      <c r="X3779" s="8">
        <v>267.471</v>
      </c>
      <c r="Y3779" s="8">
        <v>214.96100000000001</v>
      </c>
      <c r="Z3779" s="8">
        <v>116.411</v>
      </c>
      <c r="AA3779" s="8">
        <v>48.56</v>
      </c>
      <c r="AB3779" s="8">
        <v>10.782999999999999</v>
      </c>
      <c r="AC3779" s="8">
        <v>1.159</v>
      </c>
    </row>
    <row r="3780" spans="1:29" ht="11.65" hidden="1" x14ac:dyDescent="0.35">
      <c r="A3780" s="12">
        <v>3763</v>
      </c>
      <c r="B3780" s="10" t="s">
        <v>1015</v>
      </c>
      <c r="C3780" s="18" t="s">
        <v>1275</v>
      </c>
      <c r="D3780" s="9">
        <v>28</v>
      </c>
      <c r="E3780" s="9">
        <v>528</v>
      </c>
      <c r="F3780" s="10" t="s">
        <v>1066</v>
      </c>
      <c r="G3780" s="9">
        <v>926</v>
      </c>
      <c r="H3780" s="9">
        <v>2010</v>
      </c>
      <c r="I3780" s="8">
        <v>451.74799999999999</v>
      </c>
      <c r="J3780" s="8">
        <v>488.52499999999998</v>
      </c>
      <c r="K3780" s="8">
        <v>482.02600000000001</v>
      </c>
      <c r="L3780" s="8">
        <v>497.21100000000001</v>
      </c>
      <c r="M3780" s="8">
        <v>505.41500000000002</v>
      </c>
      <c r="N3780" s="8">
        <v>494.81</v>
      </c>
      <c r="O3780" s="8">
        <v>497.72399999999999</v>
      </c>
      <c r="P3780" s="8">
        <v>576.06200000000001</v>
      </c>
      <c r="Q3780" s="8">
        <v>645.72400000000005</v>
      </c>
      <c r="R3780" s="8">
        <v>640.01400000000001</v>
      </c>
      <c r="S3780" s="8">
        <v>588.18200000000002</v>
      </c>
      <c r="T3780" s="8">
        <v>546.654</v>
      </c>
      <c r="U3780" s="8">
        <v>542.74599999999998</v>
      </c>
      <c r="V3780" s="8">
        <v>398.92</v>
      </c>
      <c r="W3780" s="8">
        <v>330.67200000000003</v>
      </c>
      <c r="X3780" s="8">
        <v>284.08499999999998</v>
      </c>
      <c r="Y3780" s="8">
        <v>216.30500000000001</v>
      </c>
      <c r="Z3780" s="8">
        <v>142.70400000000001</v>
      </c>
      <c r="AA3780" s="8">
        <v>54.314</v>
      </c>
      <c r="AB3780" s="8">
        <v>13.278</v>
      </c>
      <c r="AC3780" s="8">
        <v>1.4039999999999999</v>
      </c>
    </row>
    <row r="3781" spans="1:29" ht="11.65" hidden="1" x14ac:dyDescent="0.35">
      <c r="A3781" s="12">
        <v>3764</v>
      </c>
      <c r="B3781" s="10" t="s">
        <v>1015</v>
      </c>
      <c r="C3781" s="18" t="s">
        <v>1275</v>
      </c>
      <c r="D3781" s="9">
        <v>28</v>
      </c>
      <c r="E3781" s="9">
        <v>528</v>
      </c>
      <c r="F3781" s="10" t="s">
        <v>1066</v>
      </c>
      <c r="G3781" s="9">
        <v>926</v>
      </c>
      <c r="H3781" s="9">
        <v>2015</v>
      </c>
      <c r="I3781" s="8">
        <v>433.36599999999999</v>
      </c>
      <c r="J3781" s="8">
        <v>455.12400000000002</v>
      </c>
      <c r="K3781" s="8">
        <v>491.899</v>
      </c>
      <c r="L3781" s="8">
        <v>492.43400000000003</v>
      </c>
      <c r="M3781" s="8">
        <v>520.995</v>
      </c>
      <c r="N3781" s="8">
        <v>525.81200000000001</v>
      </c>
      <c r="O3781" s="8">
        <v>501.68400000000003</v>
      </c>
      <c r="P3781" s="8">
        <v>499.75400000000002</v>
      </c>
      <c r="Q3781" s="8">
        <v>575.20799999999997</v>
      </c>
      <c r="R3781" s="8">
        <v>638.49699999999996</v>
      </c>
      <c r="S3781" s="8">
        <v>627.31600000000003</v>
      </c>
      <c r="T3781" s="8">
        <v>573.66399999999999</v>
      </c>
      <c r="U3781" s="8">
        <v>526.197</v>
      </c>
      <c r="V3781" s="8">
        <v>515.11699999999996</v>
      </c>
      <c r="W3781" s="8">
        <v>371.91800000000001</v>
      </c>
      <c r="X3781" s="8">
        <v>297.54300000000001</v>
      </c>
      <c r="Y3781" s="8">
        <v>234.31299999999999</v>
      </c>
      <c r="Z3781" s="8">
        <v>148.77699999999999</v>
      </c>
      <c r="AA3781" s="8">
        <v>70.531000000000006</v>
      </c>
      <c r="AB3781" s="8">
        <v>16.094999999999999</v>
      </c>
      <c r="AC3781" s="8">
        <v>1.861</v>
      </c>
    </row>
    <row r="3782" spans="1:29" ht="11.65" hidden="1" x14ac:dyDescent="0.35">
      <c r="A3782" s="12">
        <v>3765</v>
      </c>
      <c r="B3782" s="10" t="s">
        <v>1015</v>
      </c>
      <c r="C3782" s="18" t="s">
        <v>1275</v>
      </c>
      <c r="D3782" s="9">
        <v>28</v>
      </c>
      <c r="E3782" s="9">
        <v>528</v>
      </c>
      <c r="F3782" s="10" t="s">
        <v>1066</v>
      </c>
      <c r="G3782" s="9">
        <v>926</v>
      </c>
      <c r="H3782" s="9">
        <v>2020</v>
      </c>
      <c r="I3782" s="8">
        <v>418.52</v>
      </c>
      <c r="J3782" s="8">
        <v>434.97</v>
      </c>
      <c r="K3782" s="8">
        <v>455.971</v>
      </c>
      <c r="L3782" s="8">
        <v>494.411</v>
      </c>
      <c r="M3782" s="8">
        <v>498.40300000000002</v>
      </c>
      <c r="N3782" s="8">
        <v>528.26199999999994</v>
      </c>
      <c r="O3782" s="8">
        <v>531.58000000000004</v>
      </c>
      <c r="P3782" s="8">
        <v>505.22300000000001</v>
      </c>
      <c r="Q3782" s="8">
        <v>501.13499999999999</v>
      </c>
      <c r="R3782" s="8">
        <v>573.97400000000005</v>
      </c>
      <c r="S3782" s="8">
        <v>634.05999999999995</v>
      </c>
      <c r="T3782" s="8">
        <v>619.72299999999996</v>
      </c>
      <c r="U3782" s="8">
        <v>562.54999999999995</v>
      </c>
      <c r="V3782" s="8">
        <v>509.9</v>
      </c>
      <c r="W3782" s="8">
        <v>488.29300000000001</v>
      </c>
      <c r="X3782" s="8">
        <v>337.16899999999998</v>
      </c>
      <c r="Y3782" s="8">
        <v>245.83600000000001</v>
      </c>
      <c r="Z3782" s="8">
        <v>161.07599999999999</v>
      </c>
      <c r="AA3782" s="8">
        <v>73.453999999999994</v>
      </c>
      <c r="AB3782" s="8">
        <v>20.725999999999999</v>
      </c>
      <c r="AC3782" s="8">
        <v>2.492</v>
      </c>
    </row>
    <row r="3783" spans="1:29" ht="11.65" hidden="1" x14ac:dyDescent="0.35">
      <c r="A3783" s="12">
        <v>3766</v>
      </c>
      <c r="B3783" s="10" t="s">
        <v>1015</v>
      </c>
      <c r="C3783" s="18" t="s">
        <v>1276</v>
      </c>
      <c r="D3783" s="9"/>
      <c r="E3783" s="9">
        <v>756</v>
      </c>
      <c r="F3783" s="10" t="s">
        <v>1066</v>
      </c>
      <c r="G3783" s="9">
        <v>926</v>
      </c>
      <c r="H3783" s="9">
        <v>1950</v>
      </c>
      <c r="I3783" s="8">
        <v>205.9</v>
      </c>
      <c r="J3783" s="8">
        <v>181.399</v>
      </c>
      <c r="K3783" s="8">
        <v>151.001</v>
      </c>
      <c r="L3783" s="8">
        <v>167.5</v>
      </c>
      <c r="M3783" s="8">
        <v>181.2</v>
      </c>
      <c r="N3783" s="8">
        <v>183.5</v>
      </c>
      <c r="O3783" s="8">
        <v>156.69999999999999</v>
      </c>
      <c r="P3783" s="8">
        <v>181.7</v>
      </c>
      <c r="Q3783" s="8">
        <v>184.1</v>
      </c>
      <c r="R3783" s="8">
        <v>173.4</v>
      </c>
      <c r="S3783" s="8">
        <v>155.19900000000001</v>
      </c>
      <c r="T3783" s="8">
        <v>131.69999999999999</v>
      </c>
      <c r="U3783" s="8">
        <v>113.29900000000001</v>
      </c>
      <c r="V3783" s="8">
        <v>96.099000000000004</v>
      </c>
      <c r="W3783" s="8">
        <v>76.8</v>
      </c>
      <c r="X3783" s="8">
        <v>46.201000000000001</v>
      </c>
      <c r="Y3783" s="8">
        <v>22.754999999999999</v>
      </c>
      <c r="Z3783" s="8">
        <v>8.1839999999999993</v>
      </c>
      <c r="AA3783" s="8">
        <v>1.587</v>
      </c>
      <c r="AB3783" s="8">
        <v>0.17100000000000001</v>
      </c>
      <c r="AC3783" s="8">
        <v>8.0000000000000002E-3</v>
      </c>
    </row>
    <row r="3784" spans="1:29" ht="11.65" hidden="1" x14ac:dyDescent="0.35">
      <c r="A3784" s="12">
        <v>3767</v>
      </c>
      <c r="B3784" s="10" t="s">
        <v>1015</v>
      </c>
      <c r="C3784" s="18" t="s">
        <v>1276</v>
      </c>
      <c r="D3784" s="9"/>
      <c r="E3784" s="9">
        <v>756</v>
      </c>
      <c r="F3784" s="10" t="s">
        <v>1066</v>
      </c>
      <c r="G3784" s="9">
        <v>926</v>
      </c>
      <c r="H3784" s="9">
        <v>1955</v>
      </c>
      <c r="I3784" s="8">
        <v>201.16399999999999</v>
      </c>
      <c r="J3784" s="8">
        <v>207.244</v>
      </c>
      <c r="K3784" s="8">
        <v>182.01</v>
      </c>
      <c r="L3784" s="8">
        <v>162.90899999999999</v>
      </c>
      <c r="M3784" s="8">
        <v>189.923</v>
      </c>
      <c r="N3784" s="8">
        <v>186.452</v>
      </c>
      <c r="O3784" s="8">
        <v>184.38800000000001</v>
      </c>
      <c r="P3784" s="8">
        <v>161.65899999999999</v>
      </c>
      <c r="Q3784" s="8">
        <v>180.42099999999999</v>
      </c>
      <c r="R3784" s="8">
        <v>181.833</v>
      </c>
      <c r="S3784" s="8">
        <v>169.834</v>
      </c>
      <c r="T3784" s="8">
        <v>149.85499999999999</v>
      </c>
      <c r="U3784" s="8">
        <v>124.73399999999999</v>
      </c>
      <c r="V3784" s="8">
        <v>102.68600000000001</v>
      </c>
      <c r="W3784" s="8">
        <v>80.98</v>
      </c>
      <c r="X3784" s="8">
        <v>56.423000000000002</v>
      </c>
      <c r="Y3784" s="8">
        <v>27.75</v>
      </c>
      <c r="Z3784" s="8">
        <v>9.7260000000000009</v>
      </c>
      <c r="AA3784" s="8">
        <v>2.2669999999999999</v>
      </c>
      <c r="AB3784" s="8">
        <v>0.253</v>
      </c>
      <c r="AC3784" s="8">
        <v>1.4999999999999999E-2</v>
      </c>
    </row>
    <row r="3785" spans="1:29" ht="11.65" hidden="1" x14ac:dyDescent="0.35">
      <c r="A3785" s="12">
        <v>3768</v>
      </c>
      <c r="B3785" s="10" t="s">
        <v>1015</v>
      </c>
      <c r="C3785" s="18" t="s">
        <v>1276</v>
      </c>
      <c r="D3785" s="9"/>
      <c r="E3785" s="9">
        <v>756</v>
      </c>
      <c r="F3785" s="10" t="s">
        <v>1066</v>
      </c>
      <c r="G3785" s="9">
        <v>926</v>
      </c>
      <c r="H3785" s="9">
        <v>1960</v>
      </c>
      <c r="I3785" s="8">
        <v>213.83099999999999</v>
      </c>
      <c r="J3785" s="8">
        <v>199.96799999999999</v>
      </c>
      <c r="K3785" s="8">
        <v>208.654</v>
      </c>
      <c r="L3785" s="8">
        <v>196.98400000000001</v>
      </c>
      <c r="M3785" s="8">
        <v>194.886</v>
      </c>
      <c r="N3785" s="8">
        <v>193.37799999999999</v>
      </c>
      <c r="O3785" s="8">
        <v>188.77199999999999</v>
      </c>
      <c r="P3785" s="8">
        <v>188.51599999999999</v>
      </c>
      <c r="Q3785" s="8">
        <v>157.43799999999999</v>
      </c>
      <c r="R3785" s="8">
        <v>179.34100000000001</v>
      </c>
      <c r="S3785" s="8">
        <v>179.245</v>
      </c>
      <c r="T3785" s="8">
        <v>164.839</v>
      </c>
      <c r="U3785" s="8">
        <v>142.45500000000001</v>
      </c>
      <c r="V3785" s="8">
        <v>114.23399999999999</v>
      </c>
      <c r="W3785" s="8">
        <v>88.188000000000002</v>
      </c>
      <c r="X3785" s="8">
        <v>61.588000000000001</v>
      </c>
      <c r="Y3785" s="8">
        <v>35.076000000000001</v>
      </c>
      <c r="Z3785" s="8">
        <v>12.314</v>
      </c>
      <c r="AA3785" s="8">
        <v>2.7549999999999999</v>
      </c>
      <c r="AB3785" s="8">
        <v>0.35899999999999999</v>
      </c>
      <c r="AC3785" s="8">
        <v>2.1000000000000001E-2</v>
      </c>
    </row>
    <row r="3786" spans="1:29" ht="11.65" hidden="1" x14ac:dyDescent="0.35">
      <c r="A3786" s="12">
        <v>3769</v>
      </c>
      <c r="B3786" s="10" t="s">
        <v>1015</v>
      </c>
      <c r="C3786" s="18" t="s">
        <v>1276</v>
      </c>
      <c r="D3786" s="9"/>
      <c r="E3786" s="9">
        <v>756</v>
      </c>
      <c r="F3786" s="10" t="s">
        <v>1066</v>
      </c>
      <c r="G3786" s="9">
        <v>926</v>
      </c>
      <c r="H3786" s="9">
        <v>1965</v>
      </c>
      <c r="I3786" s="8">
        <v>247.39099999999999</v>
      </c>
      <c r="J3786" s="8">
        <v>219.566</v>
      </c>
      <c r="K3786" s="8">
        <v>218.67400000000001</v>
      </c>
      <c r="L3786" s="8">
        <v>242.994</v>
      </c>
      <c r="M3786" s="8">
        <v>234.18199999999999</v>
      </c>
      <c r="N3786" s="8">
        <v>207.274</v>
      </c>
      <c r="O3786" s="8">
        <v>199.42</v>
      </c>
      <c r="P3786" s="8">
        <v>193.977</v>
      </c>
      <c r="Q3786" s="8">
        <v>191.017</v>
      </c>
      <c r="R3786" s="8">
        <v>156.82300000000001</v>
      </c>
      <c r="S3786" s="8">
        <v>178.21700000000001</v>
      </c>
      <c r="T3786" s="8">
        <v>175.19</v>
      </c>
      <c r="U3786" s="8">
        <v>158.113</v>
      </c>
      <c r="V3786" s="8">
        <v>131.833</v>
      </c>
      <c r="W3786" s="8">
        <v>99.599000000000004</v>
      </c>
      <c r="X3786" s="8">
        <v>68.644000000000005</v>
      </c>
      <c r="Y3786" s="8">
        <v>39.39</v>
      </c>
      <c r="Z3786" s="8">
        <v>16.085999999999999</v>
      </c>
      <c r="AA3786" s="8">
        <v>3.5739999999999998</v>
      </c>
      <c r="AB3786" s="8">
        <v>0.441</v>
      </c>
      <c r="AC3786" s="8">
        <v>0.03</v>
      </c>
    </row>
    <row r="3787" spans="1:29" ht="11.65" hidden="1" x14ac:dyDescent="0.35">
      <c r="A3787" s="12">
        <v>3770</v>
      </c>
      <c r="B3787" s="10" t="s">
        <v>1015</v>
      </c>
      <c r="C3787" s="18" t="s">
        <v>1276</v>
      </c>
      <c r="D3787" s="9"/>
      <c r="E3787" s="9">
        <v>756</v>
      </c>
      <c r="F3787" s="10" t="s">
        <v>1066</v>
      </c>
      <c r="G3787" s="9">
        <v>926</v>
      </c>
      <c r="H3787" s="9">
        <v>1970</v>
      </c>
      <c r="I3787" s="8">
        <v>246.452</v>
      </c>
      <c r="J3787" s="8">
        <v>244.14099999999999</v>
      </c>
      <c r="K3787" s="8">
        <v>222.71899999999999</v>
      </c>
      <c r="L3787" s="8">
        <v>223.02799999999999</v>
      </c>
      <c r="M3787" s="8">
        <v>256.24799999999999</v>
      </c>
      <c r="N3787" s="8">
        <v>244.28200000000001</v>
      </c>
      <c r="O3787" s="8">
        <v>211.47800000000001</v>
      </c>
      <c r="P3787" s="8">
        <v>201.435</v>
      </c>
      <c r="Q3787" s="8">
        <v>195.18199999999999</v>
      </c>
      <c r="R3787" s="8">
        <v>190.81899999999999</v>
      </c>
      <c r="S3787" s="8">
        <v>155.101</v>
      </c>
      <c r="T3787" s="8">
        <v>174.31200000000001</v>
      </c>
      <c r="U3787" s="8">
        <v>168.47300000000001</v>
      </c>
      <c r="V3787" s="8">
        <v>147.50700000000001</v>
      </c>
      <c r="W3787" s="8">
        <v>115.926</v>
      </c>
      <c r="X3787" s="8">
        <v>79.084999999999994</v>
      </c>
      <c r="Y3787" s="8">
        <v>45.081000000000003</v>
      </c>
      <c r="Z3787" s="8">
        <v>18.844000000000001</v>
      </c>
      <c r="AA3787" s="8">
        <v>4.9320000000000004</v>
      </c>
      <c r="AB3787" s="8">
        <v>0.60399999999999998</v>
      </c>
      <c r="AC3787" s="8">
        <v>3.9E-2</v>
      </c>
    </row>
    <row r="3788" spans="1:29" ht="11.65" hidden="1" x14ac:dyDescent="0.35">
      <c r="A3788" s="12">
        <v>3771</v>
      </c>
      <c r="B3788" s="10" t="s">
        <v>1015</v>
      </c>
      <c r="C3788" s="18" t="s">
        <v>1276</v>
      </c>
      <c r="D3788" s="9"/>
      <c r="E3788" s="9">
        <v>756</v>
      </c>
      <c r="F3788" s="10" t="s">
        <v>1066</v>
      </c>
      <c r="G3788" s="9">
        <v>926</v>
      </c>
      <c r="H3788" s="9">
        <v>1975</v>
      </c>
      <c r="I3788" s="8">
        <v>211.578</v>
      </c>
      <c r="J3788" s="8">
        <v>244.11199999999999</v>
      </c>
      <c r="K3788" s="8">
        <v>244.66300000000001</v>
      </c>
      <c r="L3788" s="8">
        <v>229.96299999999999</v>
      </c>
      <c r="M3788" s="8">
        <v>237.881</v>
      </c>
      <c r="N3788" s="8">
        <v>259.91199999999998</v>
      </c>
      <c r="O3788" s="8">
        <v>239.88499999999999</v>
      </c>
      <c r="P3788" s="8">
        <v>208.59299999999999</v>
      </c>
      <c r="Q3788" s="8">
        <v>200.11799999999999</v>
      </c>
      <c r="R3788" s="8">
        <v>193.63200000000001</v>
      </c>
      <c r="S3788" s="8">
        <v>187.773</v>
      </c>
      <c r="T3788" s="8">
        <v>151.596</v>
      </c>
      <c r="U3788" s="8">
        <v>167.86</v>
      </c>
      <c r="V3788" s="8">
        <v>158.26499999999999</v>
      </c>
      <c r="W3788" s="8">
        <v>132.06700000000001</v>
      </c>
      <c r="X3788" s="8">
        <v>94.403999999999996</v>
      </c>
      <c r="Y3788" s="8">
        <v>54.098999999999997</v>
      </c>
      <c r="Z3788" s="8">
        <v>23.026</v>
      </c>
      <c r="AA3788" s="8">
        <v>6.3170000000000002</v>
      </c>
      <c r="AB3788" s="8">
        <v>0.93100000000000005</v>
      </c>
      <c r="AC3788" s="8">
        <v>5.8000000000000003E-2</v>
      </c>
    </row>
    <row r="3789" spans="1:29" ht="11.65" hidden="1" x14ac:dyDescent="0.35">
      <c r="A3789" s="12">
        <v>3772</v>
      </c>
      <c r="B3789" s="10" t="s">
        <v>1015</v>
      </c>
      <c r="C3789" s="18" t="s">
        <v>1276</v>
      </c>
      <c r="D3789" s="9"/>
      <c r="E3789" s="9">
        <v>756</v>
      </c>
      <c r="F3789" s="10" t="s">
        <v>1066</v>
      </c>
      <c r="G3789" s="9">
        <v>926</v>
      </c>
      <c r="H3789" s="9">
        <v>1980</v>
      </c>
      <c r="I3789" s="8">
        <v>173.041</v>
      </c>
      <c r="J3789" s="8">
        <v>201.47399999999999</v>
      </c>
      <c r="K3789" s="8">
        <v>238.68100000000001</v>
      </c>
      <c r="L3789" s="8">
        <v>243.19900000000001</v>
      </c>
      <c r="M3789" s="8">
        <v>230.286</v>
      </c>
      <c r="N3789" s="8">
        <v>233.71700000000001</v>
      </c>
      <c r="O3789" s="8">
        <v>248.62899999999999</v>
      </c>
      <c r="P3789" s="8">
        <v>229.464</v>
      </c>
      <c r="Q3789" s="8">
        <v>200.755</v>
      </c>
      <c r="R3789" s="8">
        <v>193.62</v>
      </c>
      <c r="S3789" s="8">
        <v>187.648</v>
      </c>
      <c r="T3789" s="8">
        <v>180.958</v>
      </c>
      <c r="U3789" s="8">
        <v>144.84100000000001</v>
      </c>
      <c r="V3789" s="8">
        <v>157.934</v>
      </c>
      <c r="W3789" s="8">
        <v>143.32</v>
      </c>
      <c r="X3789" s="8">
        <v>110.886</v>
      </c>
      <c r="Y3789" s="8">
        <v>68.289000000000001</v>
      </c>
      <c r="Z3789" s="8">
        <v>30.15</v>
      </c>
      <c r="AA3789" s="8">
        <v>8.6969999999999992</v>
      </c>
      <c r="AB3789" s="8">
        <v>1.3819999999999999</v>
      </c>
      <c r="AC3789" s="8">
        <v>0.10299999999999999</v>
      </c>
    </row>
    <row r="3790" spans="1:29" ht="11.65" hidden="1" x14ac:dyDescent="0.35">
      <c r="A3790" s="12">
        <v>3773</v>
      </c>
      <c r="B3790" s="10" t="s">
        <v>1015</v>
      </c>
      <c r="C3790" s="18" t="s">
        <v>1276</v>
      </c>
      <c r="D3790" s="9"/>
      <c r="E3790" s="9">
        <v>756</v>
      </c>
      <c r="F3790" s="10" t="s">
        <v>1066</v>
      </c>
      <c r="G3790" s="9">
        <v>926</v>
      </c>
      <c r="H3790" s="9">
        <v>1985</v>
      </c>
      <c r="I3790" s="8">
        <v>179.05500000000001</v>
      </c>
      <c r="J3790" s="8">
        <v>176.459</v>
      </c>
      <c r="K3790" s="8">
        <v>202.93600000000001</v>
      </c>
      <c r="L3790" s="8">
        <v>241.214</v>
      </c>
      <c r="M3790" s="8">
        <v>251.803</v>
      </c>
      <c r="N3790" s="8">
        <v>242.68899999999999</v>
      </c>
      <c r="O3790" s="8">
        <v>239.881</v>
      </c>
      <c r="P3790" s="8">
        <v>250.17</v>
      </c>
      <c r="Q3790" s="8">
        <v>229.357</v>
      </c>
      <c r="R3790" s="8">
        <v>199.01300000000001</v>
      </c>
      <c r="S3790" s="8">
        <v>190.16499999999999</v>
      </c>
      <c r="T3790" s="8">
        <v>182.39599999999999</v>
      </c>
      <c r="U3790" s="8">
        <v>173.78700000000001</v>
      </c>
      <c r="V3790" s="8">
        <v>137.25399999999999</v>
      </c>
      <c r="W3790" s="8">
        <v>145.16800000000001</v>
      </c>
      <c r="X3790" s="8">
        <v>122.70099999999999</v>
      </c>
      <c r="Y3790" s="8">
        <v>82.289000000000001</v>
      </c>
      <c r="Z3790" s="8">
        <v>39.655999999999999</v>
      </c>
      <c r="AA3790" s="8">
        <v>11.86</v>
      </c>
      <c r="AB3790" s="8">
        <v>1.9419999999999999</v>
      </c>
      <c r="AC3790" s="8">
        <v>0.157</v>
      </c>
    </row>
    <row r="3791" spans="1:29" ht="11.65" hidden="1" x14ac:dyDescent="0.35">
      <c r="A3791" s="12">
        <v>3774</v>
      </c>
      <c r="B3791" s="10" t="s">
        <v>1015</v>
      </c>
      <c r="C3791" s="18" t="s">
        <v>1276</v>
      </c>
      <c r="D3791" s="9"/>
      <c r="E3791" s="9">
        <v>756</v>
      </c>
      <c r="F3791" s="10" t="s">
        <v>1066</v>
      </c>
      <c r="G3791" s="9">
        <v>926</v>
      </c>
      <c r="H3791" s="9">
        <v>1990</v>
      </c>
      <c r="I3791" s="8">
        <v>187.69800000000001</v>
      </c>
      <c r="J3791" s="8">
        <v>184.83600000000001</v>
      </c>
      <c r="K3791" s="8">
        <v>181.369</v>
      </c>
      <c r="L3791" s="8">
        <v>210.50700000000001</v>
      </c>
      <c r="M3791" s="8">
        <v>253.51</v>
      </c>
      <c r="N3791" s="8">
        <v>269.45699999999999</v>
      </c>
      <c r="O3791" s="8">
        <v>255.29599999999999</v>
      </c>
      <c r="P3791" s="8">
        <v>245.34800000000001</v>
      </c>
      <c r="Q3791" s="8">
        <v>251.53700000000001</v>
      </c>
      <c r="R3791" s="8">
        <v>228.119</v>
      </c>
      <c r="S3791" s="8">
        <v>195.709</v>
      </c>
      <c r="T3791" s="8">
        <v>183.87799999999999</v>
      </c>
      <c r="U3791" s="8">
        <v>174.21700000000001</v>
      </c>
      <c r="V3791" s="8">
        <v>164.27500000000001</v>
      </c>
      <c r="W3791" s="8">
        <v>126.846</v>
      </c>
      <c r="X3791" s="8">
        <v>126.758</v>
      </c>
      <c r="Y3791" s="8">
        <v>95.11</v>
      </c>
      <c r="Z3791" s="8">
        <v>50.817</v>
      </c>
      <c r="AA3791" s="8">
        <v>16.905999999999999</v>
      </c>
      <c r="AB3791" s="8">
        <v>2.9079999999999999</v>
      </c>
      <c r="AC3791" s="8">
        <v>0.23799999999999999</v>
      </c>
    </row>
    <row r="3792" spans="1:29" ht="11.65" hidden="1" x14ac:dyDescent="0.35">
      <c r="A3792" s="12">
        <v>3775</v>
      </c>
      <c r="B3792" s="10" t="s">
        <v>1015</v>
      </c>
      <c r="C3792" s="18" t="s">
        <v>1276</v>
      </c>
      <c r="D3792" s="9"/>
      <c r="E3792" s="9">
        <v>756</v>
      </c>
      <c r="F3792" s="10" t="s">
        <v>1066</v>
      </c>
      <c r="G3792" s="9">
        <v>926</v>
      </c>
      <c r="H3792" s="9">
        <v>1995</v>
      </c>
      <c r="I3792" s="8">
        <v>206.11099999999999</v>
      </c>
      <c r="J3792" s="8">
        <v>199.881</v>
      </c>
      <c r="K3792" s="8">
        <v>194.666</v>
      </c>
      <c r="L3792" s="8">
        <v>192.68799999999999</v>
      </c>
      <c r="M3792" s="8">
        <v>228.04499999999999</v>
      </c>
      <c r="N3792" s="8">
        <v>284.27600000000001</v>
      </c>
      <c r="O3792" s="8">
        <v>298.048</v>
      </c>
      <c r="P3792" s="8">
        <v>268.767</v>
      </c>
      <c r="Q3792" s="8">
        <v>249.88399999999999</v>
      </c>
      <c r="R3792" s="8">
        <v>250.41200000000001</v>
      </c>
      <c r="S3792" s="8">
        <v>223.67099999999999</v>
      </c>
      <c r="T3792" s="8">
        <v>187.86600000000001</v>
      </c>
      <c r="U3792" s="8">
        <v>175.26599999999999</v>
      </c>
      <c r="V3792" s="8">
        <v>164.619</v>
      </c>
      <c r="W3792" s="8">
        <v>153.107</v>
      </c>
      <c r="X3792" s="8">
        <v>112.358</v>
      </c>
      <c r="Y3792" s="8">
        <v>101.78400000000001</v>
      </c>
      <c r="Z3792" s="8">
        <v>60.715000000000003</v>
      </c>
      <c r="AA3792" s="8">
        <v>22.263999999999999</v>
      </c>
      <c r="AB3792" s="8">
        <v>4.2190000000000003</v>
      </c>
      <c r="AC3792" s="8">
        <v>0.35399999999999998</v>
      </c>
    </row>
    <row r="3793" spans="1:29" ht="11.65" hidden="1" x14ac:dyDescent="0.35">
      <c r="A3793" s="12">
        <v>3776</v>
      </c>
      <c r="B3793" s="10" t="s">
        <v>1015</v>
      </c>
      <c r="C3793" s="18" t="s">
        <v>1276</v>
      </c>
      <c r="D3793" s="9"/>
      <c r="E3793" s="9">
        <v>756</v>
      </c>
      <c r="F3793" s="10" t="s">
        <v>1066</v>
      </c>
      <c r="G3793" s="9">
        <v>926</v>
      </c>
      <c r="H3793" s="9">
        <v>2000</v>
      </c>
      <c r="I3793" s="8">
        <v>194.88300000000001</v>
      </c>
      <c r="J3793" s="8">
        <v>206.84100000000001</v>
      </c>
      <c r="K3793" s="8">
        <v>203.97499999999999</v>
      </c>
      <c r="L3793" s="8">
        <v>200.68799999999999</v>
      </c>
      <c r="M3793" s="8">
        <v>204.017</v>
      </c>
      <c r="N3793" s="8">
        <v>244.066</v>
      </c>
      <c r="O3793" s="8">
        <v>295.51499999999999</v>
      </c>
      <c r="P3793" s="8">
        <v>300.68400000000003</v>
      </c>
      <c r="Q3793" s="8">
        <v>267.863</v>
      </c>
      <c r="R3793" s="8">
        <v>247.065</v>
      </c>
      <c r="S3793" s="8">
        <v>244.333</v>
      </c>
      <c r="T3793" s="8">
        <v>215.22800000000001</v>
      </c>
      <c r="U3793" s="8">
        <v>178.86600000000001</v>
      </c>
      <c r="V3793" s="8">
        <v>166.43199999999999</v>
      </c>
      <c r="W3793" s="8">
        <v>154.273</v>
      </c>
      <c r="X3793" s="8">
        <v>136.55000000000001</v>
      </c>
      <c r="Y3793" s="8">
        <v>91.63</v>
      </c>
      <c r="Z3793" s="8">
        <v>67.186999999999998</v>
      </c>
      <c r="AA3793" s="8">
        <v>27.3</v>
      </c>
      <c r="AB3793" s="8">
        <v>5.5540000000000003</v>
      </c>
      <c r="AC3793" s="8">
        <v>0.496</v>
      </c>
    </row>
    <row r="3794" spans="1:29" ht="11.65" hidden="1" x14ac:dyDescent="0.35">
      <c r="A3794" s="12">
        <v>3777</v>
      </c>
      <c r="B3794" s="10" t="s">
        <v>1015</v>
      </c>
      <c r="C3794" s="18" t="s">
        <v>1276</v>
      </c>
      <c r="D3794" s="9"/>
      <c r="E3794" s="9">
        <v>756</v>
      </c>
      <c r="F3794" s="10" t="s">
        <v>1066</v>
      </c>
      <c r="G3794" s="9">
        <v>926</v>
      </c>
      <c r="H3794" s="9">
        <v>2005</v>
      </c>
      <c r="I3794" s="8">
        <v>177.21899999999999</v>
      </c>
      <c r="J3794" s="8">
        <v>195.465</v>
      </c>
      <c r="K3794" s="8">
        <v>212.39699999999999</v>
      </c>
      <c r="L3794" s="8">
        <v>211.1</v>
      </c>
      <c r="M3794" s="8">
        <v>218.69900000000001</v>
      </c>
      <c r="N3794" s="8">
        <v>233.22399999999999</v>
      </c>
      <c r="O3794" s="8">
        <v>267.65699999999998</v>
      </c>
      <c r="P3794" s="8">
        <v>308.37200000000001</v>
      </c>
      <c r="Q3794" s="8">
        <v>306.76</v>
      </c>
      <c r="R3794" s="8">
        <v>270.15300000000002</v>
      </c>
      <c r="S3794" s="8">
        <v>244.28</v>
      </c>
      <c r="T3794" s="8">
        <v>238.00200000000001</v>
      </c>
      <c r="U3794" s="8">
        <v>206.23</v>
      </c>
      <c r="V3794" s="8">
        <v>170.1</v>
      </c>
      <c r="W3794" s="8">
        <v>156.43299999999999</v>
      </c>
      <c r="X3794" s="8">
        <v>140.358</v>
      </c>
      <c r="Y3794" s="8">
        <v>111.994</v>
      </c>
      <c r="Z3794" s="8">
        <v>62.503</v>
      </c>
      <c r="AA3794" s="8">
        <v>31.867000000000001</v>
      </c>
      <c r="AB3794" s="8">
        <v>7.3019999999999996</v>
      </c>
      <c r="AC3794" s="8">
        <v>0.70299999999999996</v>
      </c>
    </row>
    <row r="3795" spans="1:29" ht="11.65" hidden="1" x14ac:dyDescent="0.35">
      <c r="A3795" s="12">
        <v>3778</v>
      </c>
      <c r="B3795" s="10" t="s">
        <v>1015</v>
      </c>
      <c r="C3795" s="18" t="s">
        <v>1276</v>
      </c>
      <c r="D3795" s="9"/>
      <c r="E3795" s="9">
        <v>756</v>
      </c>
      <c r="F3795" s="10" t="s">
        <v>1066</v>
      </c>
      <c r="G3795" s="9">
        <v>926</v>
      </c>
      <c r="H3795" s="9">
        <v>2010</v>
      </c>
      <c r="I3795" s="8">
        <v>185.80600000000001</v>
      </c>
      <c r="J3795" s="8">
        <v>183.37299999999999</v>
      </c>
      <c r="K3795" s="8">
        <v>201.23</v>
      </c>
      <c r="L3795" s="8">
        <v>221.876</v>
      </c>
      <c r="M3795" s="8">
        <v>233.92599999999999</v>
      </c>
      <c r="N3795" s="8">
        <v>254.97900000000001</v>
      </c>
      <c r="O3795" s="8">
        <v>262.25</v>
      </c>
      <c r="P3795" s="8">
        <v>281.49099999999999</v>
      </c>
      <c r="Q3795" s="8">
        <v>319.59399999999999</v>
      </c>
      <c r="R3795" s="8">
        <v>317.47800000000001</v>
      </c>
      <c r="S3795" s="8">
        <v>273.51299999999998</v>
      </c>
      <c r="T3795" s="8">
        <v>240.57599999999999</v>
      </c>
      <c r="U3795" s="8">
        <v>234.29900000000001</v>
      </c>
      <c r="V3795" s="8">
        <v>202.279</v>
      </c>
      <c r="W3795" s="8">
        <v>162.17599999999999</v>
      </c>
      <c r="X3795" s="8">
        <v>143.898</v>
      </c>
      <c r="Y3795" s="8">
        <v>122.931</v>
      </c>
      <c r="Z3795" s="8">
        <v>79.400999999999996</v>
      </c>
      <c r="AA3795" s="8">
        <v>31.971</v>
      </c>
      <c r="AB3795" s="8">
        <v>9.6300000000000008</v>
      </c>
      <c r="AC3795" s="8">
        <v>1.0009999999999999</v>
      </c>
    </row>
    <row r="3796" spans="1:29" ht="11.65" hidden="1" x14ac:dyDescent="0.35">
      <c r="A3796" s="12">
        <v>3779</v>
      </c>
      <c r="B3796" s="10" t="s">
        <v>1015</v>
      </c>
      <c r="C3796" s="18" t="s">
        <v>1276</v>
      </c>
      <c r="D3796" s="9"/>
      <c r="E3796" s="9">
        <v>756</v>
      </c>
      <c r="F3796" s="10" t="s">
        <v>1066</v>
      </c>
      <c r="G3796" s="9">
        <v>926</v>
      </c>
      <c r="H3796" s="9">
        <v>2015</v>
      </c>
      <c r="I3796" s="8">
        <v>207.22800000000001</v>
      </c>
      <c r="J3796" s="8">
        <v>196.84299999999999</v>
      </c>
      <c r="K3796" s="8">
        <v>193.21799999999999</v>
      </c>
      <c r="L3796" s="8">
        <v>211.50200000000001</v>
      </c>
      <c r="M3796" s="8">
        <v>249.68899999999999</v>
      </c>
      <c r="N3796" s="8">
        <v>278.36099999999999</v>
      </c>
      <c r="O3796" s="8">
        <v>298.08800000000002</v>
      </c>
      <c r="P3796" s="8">
        <v>276.52100000000002</v>
      </c>
      <c r="Q3796" s="8">
        <v>292.45400000000001</v>
      </c>
      <c r="R3796" s="8">
        <v>334.00200000000001</v>
      </c>
      <c r="S3796" s="8">
        <v>321.154</v>
      </c>
      <c r="T3796" s="8">
        <v>268.81900000000002</v>
      </c>
      <c r="U3796" s="8">
        <v>231.21700000000001</v>
      </c>
      <c r="V3796" s="8">
        <v>228.59399999999999</v>
      </c>
      <c r="W3796" s="8">
        <v>191.46899999999999</v>
      </c>
      <c r="X3796" s="8">
        <v>150.232</v>
      </c>
      <c r="Y3796" s="8">
        <v>120.979</v>
      </c>
      <c r="Z3796" s="8">
        <v>88.614000000000004</v>
      </c>
      <c r="AA3796" s="8">
        <v>40.817999999999998</v>
      </c>
      <c r="AB3796" s="8">
        <v>9.4499999999999993</v>
      </c>
      <c r="AC3796" s="8">
        <v>1.3340000000000001</v>
      </c>
    </row>
    <row r="3797" spans="1:29" ht="11.65" hidden="1" x14ac:dyDescent="0.35">
      <c r="A3797" s="12">
        <v>3780</v>
      </c>
      <c r="B3797" s="10" t="s">
        <v>1015</v>
      </c>
      <c r="C3797" s="18" t="s">
        <v>1276</v>
      </c>
      <c r="D3797" s="9"/>
      <c r="E3797" s="9">
        <v>756</v>
      </c>
      <c r="F3797" s="10" t="s">
        <v>1066</v>
      </c>
      <c r="G3797" s="9">
        <v>926</v>
      </c>
      <c r="H3797" s="9">
        <v>2020</v>
      </c>
      <c r="I3797" s="8">
        <v>220.54900000000001</v>
      </c>
      <c r="J3797" s="8">
        <v>210.68</v>
      </c>
      <c r="K3797" s="8">
        <v>199.672</v>
      </c>
      <c r="L3797" s="8">
        <v>208.40700000000001</v>
      </c>
      <c r="M3797" s="8">
        <v>237.94</v>
      </c>
      <c r="N3797" s="8">
        <v>274.08300000000003</v>
      </c>
      <c r="O3797" s="8">
        <v>295.99599999999998</v>
      </c>
      <c r="P3797" s="8">
        <v>309.61799999999999</v>
      </c>
      <c r="Q3797" s="8">
        <v>283.60700000000003</v>
      </c>
      <c r="R3797" s="8">
        <v>296.21600000000001</v>
      </c>
      <c r="S3797" s="8">
        <v>334.88299999999998</v>
      </c>
      <c r="T3797" s="8">
        <v>319.584</v>
      </c>
      <c r="U3797" s="8">
        <v>265.42599999999999</v>
      </c>
      <c r="V3797" s="8">
        <v>225.857</v>
      </c>
      <c r="W3797" s="8">
        <v>219.57599999999999</v>
      </c>
      <c r="X3797" s="8">
        <v>178.53100000000001</v>
      </c>
      <c r="Y3797" s="8">
        <v>130.571</v>
      </c>
      <c r="Z3797" s="8">
        <v>89.061000000000007</v>
      </c>
      <c r="AA3797" s="8">
        <v>46.95</v>
      </c>
      <c r="AB3797" s="8">
        <v>12.378</v>
      </c>
      <c r="AC3797" s="8">
        <v>1.385</v>
      </c>
    </row>
    <row r="3798" spans="1:29" ht="11.65" hidden="1" x14ac:dyDescent="0.35">
      <c r="A3798" s="17">
        <v>3781</v>
      </c>
      <c r="B3798" s="15" t="s">
        <v>1015</v>
      </c>
      <c r="C3798" s="16" t="s">
        <v>1277</v>
      </c>
      <c r="D3798" s="14"/>
      <c r="E3798" s="14">
        <v>918</v>
      </c>
      <c r="F3798" s="15" t="s">
        <v>1232</v>
      </c>
      <c r="G3798" s="14">
        <v>1829</v>
      </c>
      <c r="H3798" s="14">
        <v>1950</v>
      </c>
      <c r="I3798" s="13">
        <v>9230.1820000000007</v>
      </c>
      <c r="J3798" s="13">
        <v>7389.5140000000001</v>
      </c>
      <c r="K3798" s="13">
        <v>6241.7690000000002</v>
      </c>
      <c r="L3798" s="13">
        <v>6086.3739999999998</v>
      </c>
      <c r="M3798" s="13">
        <v>6705.8450000000003</v>
      </c>
      <c r="N3798" s="13">
        <v>7031.5929999999998</v>
      </c>
      <c r="O3798" s="13">
        <v>6622.2740000000003</v>
      </c>
      <c r="P3798" s="13">
        <v>6291.7340000000004</v>
      </c>
      <c r="Q3798" s="13">
        <v>5767.1080000000002</v>
      </c>
      <c r="R3798" s="13">
        <v>5109.1760000000004</v>
      </c>
      <c r="S3798" s="13">
        <v>4668.7529999999997</v>
      </c>
      <c r="T3798" s="13">
        <v>4130.1790000000001</v>
      </c>
      <c r="U3798" s="13">
        <v>3621.24</v>
      </c>
      <c r="V3798" s="13">
        <v>3069.5819999999999</v>
      </c>
      <c r="W3798" s="13">
        <v>2015.0920000000001</v>
      </c>
      <c r="X3798" s="13">
        <v>1285.4960000000001</v>
      </c>
      <c r="Y3798" s="13">
        <v>616.14499999999998</v>
      </c>
      <c r="Z3798" s="13">
        <v>325.59500000000003</v>
      </c>
      <c r="AA3798" s="13">
        <v>126.905</v>
      </c>
      <c r="AB3798" s="13">
        <v>32.749000000000002</v>
      </c>
      <c r="AC3798" s="13">
        <v>5.202</v>
      </c>
    </row>
    <row r="3799" spans="1:29" ht="11.65" hidden="1" x14ac:dyDescent="0.35">
      <c r="A3799" s="17">
        <v>3782</v>
      </c>
      <c r="B3799" s="15" t="s">
        <v>1015</v>
      </c>
      <c r="C3799" s="16" t="s">
        <v>1277</v>
      </c>
      <c r="D3799" s="14"/>
      <c r="E3799" s="14">
        <v>918</v>
      </c>
      <c r="F3799" s="15" t="s">
        <v>1232</v>
      </c>
      <c r="G3799" s="14">
        <v>1829</v>
      </c>
      <c r="H3799" s="14">
        <v>1955</v>
      </c>
      <c r="I3799" s="13">
        <v>10387.833000000001</v>
      </c>
      <c r="J3799" s="13">
        <v>9251.2980000000007</v>
      </c>
      <c r="K3799" s="13">
        <v>7474.7709999999997</v>
      </c>
      <c r="L3799" s="13">
        <v>6246.2460000000001</v>
      </c>
      <c r="M3799" s="13">
        <v>6123.84</v>
      </c>
      <c r="N3799" s="13">
        <v>6728.1210000000001</v>
      </c>
      <c r="O3799" s="13">
        <v>7063.4989999999998</v>
      </c>
      <c r="P3799" s="13">
        <v>6621.348</v>
      </c>
      <c r="Q3799" s="13">
        <v>6231.3040000000001</v>
      </c>
      <c r="R3799" s="13">
        <v>5502.6980000000003</v>
      </c>
      <c r="S3799" s="13">
        <v>5278.5280000000002</v>
      </c>
      <c r="T3799" s="13">
        <v>4460.7299999999996</v>
      </c>
      <c r="U3799" s="13">
        <v>3988.0610000000001</v>
      </c>
      <c r="V3799" s="13">
        <v>3342.627</v>
      </c>
      <c r="W3799" s="13">
        <v>2524.9430000000002</v>
      </c>
      <c r="X3799" s="13">
        <v>1561.7570000000001</v>
      </c>
      <c r="Y3799" s="13">
        <v>892.27300000000002</v>
      </c>
      <c r="Z3799" s="13">
        <v>320.07299999999998</v>
      </c>
      <c r="AA3799" s="13">
        <v>121.77</v>
      </c>
      <c r="AB3799" s="13">
        <v>30.736999999999998</v>
      </c>
      <c r="AC3799" s="13">
        <v>5.0979999999999999</v>
      </c>
    </row>
    <row r="3800" spans="1:29" ht="11.65" hidden="1" x14ac:dyDescent="0.35">
      <c r="A3800" s="17">
        <v>3783</v>
      </c>
      <c r="B3800" s="15" t="s">
        <v>1015</v>
      </c>
      <c r="C3800" s="16" t="s">
        <v>1277</v>
      </c>
      <c r="D3800" s="14"/>
      <c r="E3800" s="14">
        <v>918</v>
      </c>
      <c r="F3800" s="15" t="s">
        <v>1232</v>
      </c>
      <c r="G3800" s="14">
        <v>1829</v>
      </c>
      <c r="H3800" s="14">
        <v>1960</v>
      </c>
      <c r="I3800" s="13">
        <v>11240.093999999999</v>
      </c>
      <c r="J3800" s="13">
        <v>10442.306</v>
      </c>
      <c r="K3800" s="13">
        <v>9321.8490000000002</v>
      </c>
      <c r="L3800" s="13">
        <v>7444.049</v>
      </c>
      <c r="M3800" s="13">
        <v>6381.0190000000002</v>
      </c>
      <c r="N3800" s="13">
        <v>6249.2290000000003</v>
      </c>
      <c r="O3800" s="13">
        <v>6833.5360000000001</v>
      </c>
      <c r="P3800" s="13">
        <v>7093.1080000000002</v>
      </c>
      <c r="Q3800" s="13">
        <v>6576.777</v>
      </c>
      <c r="R3800" s="13">
        <v>6187.4809999999998</v>
      </c>
      <c r="S3800" s="13">
        <v>5700.5230000000001</v>
      </c>
      <c r="T3800" s="13">
        <v>5159.71</v>
      </c>
      <c r="U3800" s="13">
        <v>4300.0129999999999</v>
      </c>
      <c r="V3800" s="13">
        <v>3639.248</v>
      </c>
      <c r="W3800" s="13">
        <v>2800.88</v>
      </c>
      <c r="X3800" s="13">
        <v>2012.1610000000001</v>
      </c>
      <c r="Y3800" s="13">
        <v>1069.9000000000001</v>
      </c>
      <c r="Z3800" s="13">
        <v>469.072</v>
      </c>
      <c r="AA3800" s="13">
        <v>119.69199999999999</v>
      </c>
      <c r="AB3800" s="13">
        <v>29.193000000000001</v>
      </c>
      <c r="AC3800" s="13">
        <v>4.5890000000000004</v>
      </c>
    </row>
    <row r="3801" spans="1:29" ht="11.65" hidden="1" x14ac:dyDescent="0.35">
      <c r="A3801" s="17">
        <v>3784</v>
      </c>
      <c r="B3801" s="15" t="s">
        <v>1015</v>
      </c>
      <c r="C3801" s="16" t="s">
        <v>1277</v>
      </c>
      <c r="D3801" s="14"/>
      <c r="E3801" s="14">
        <v>918</v>
      </c>
      <c r="F3801" s="15" t="s">
        <v>1232</v>
      </c>
      <c r="G3801" s="14">
        <v>1829</v>
      </c>
      <c r="H3801" s="14">
        <v>1965</v>
      </c>
      <c r="I3801" s="13">
        <v>10776.436</v>
      </c>
      <c r="J3801" s="13">
        <v>11308.192999999999</v>
      </c>
      <c r="K3801" s="13">
        <v>10504.242</v>
      </c>
      <c r="L3801" s="13">
        <v>9391.5889999999999</v>
      </c>
      <c r="M3801" s="13">
        <v>7659.9459999999999</v>
      </c>
      <c r="N3801" s="13">
        <v>6468.9709999999995</v>
      </c>
      <c r="O3801" s="13">
        <v>6299.3130000000001</v>
      </c>
      <c r="P3801" s="13">
        <v>6832.2820000000002</v>
      </c>
      <c r="Q3801" s="13">
        <v>7049.9780000000001</v>
      </c>
      <c r="R3801" s="13">
        <v>6488.2209999999995</v>
      </c>
      <c r="S3801" s="13">
        <v>6010.2169999999996</v>
      </c>
      <c r="T3801" s="13">
        <v>5602.3720000000003</v>
      </c>
      <c r="U3801" s="13">
        <v>4807.0630000000001</v>
      </c>
      <c r="V3801" s="13">
        <v>3946.3220000000001</v>
      </c>
      <c r="W3801" s="13">
        <v>3211.7719999999999</v>
      </c>
      <c r="X3801" s="13">
        <v>2271.779</v>
      </c>
      <c r="Y3801" s="13">
        <v>1368.8869999999999</v>
      </c>
      <c r="Z3801" s="13">
        <v>571.71100000000001</v>
      </c>
      <c r="AA3801" s="13">
        <v>177.09299999999999</v>
      </c>
      <c r="AB3801" s="13">
        <v>28.625</v>
      </c>
      <c r="AC3801" s="13">
        <v>4.2050000000000001</v>
      </c>
    </row>
    <row r="3802" spans="1:29" ht="11.65" hidden="1" x14ac:dyDescent="0.35">
      <c r="A3802" s="17">
        <v>3785</v>
      </c>
      <c r="B3802" s="15" t="s">
        <v>1015</v>
      </c>
      <c r="C3802" s="16" t="s">
        <v>1277</v>
      </c>
      <c r="D3802" s="14"/>
      <c r="E3802" s="14">
        <v>918</v>
      </c>
      <c r="F3802" s="15" t="s">
        <v>1232</v>
      </c>
      <c r="G3802" s="14">
        <v>1829</v>
      </c>
      <c r="H3802" s="14">
        <v>1970</v>
      </c>
      <c r="I3802" s="13">
        <v>9535.2819999999992</v>
      </c>
      <c r="J3802" s="13">
        <v>10995.075999999999</v>
      </c>
      <c r="K3802" s="13">
        <v>11378.03</v>
      </c>
      <c r="L3802" s="13">
        <v>10592.402</v>
      </c>
      <c r="M3802" s="13">
        <v>9526.6769999999997</v>
      </c>
      <c r="N3802" s="13">
        <v>7719.1980000000003</v>
      </c>
      <c r="O3802" s="13">
        <v>6565.2820000000002</v>
      </c>
      <c r="P3802" s="13">
        <v>6329.5910000000003</v>
      </c>
      <c r="Q3802" s="13">
        <v>6809.4489999999996</v>
      </c>
      <c r="R3802" s="13">
        <v>6962.4290000000001</v>
      </c>
      <c r="S3802" s="13">
        <v>6335.0230000000001</v>
      </c>
      <c r="T3802" s="13">
        <v>5840.9459999999999</v>
      </c>
      <c r="U3802" s="13">
        <v>5232.0039999999999</v>
      </c>
      <c r="V3802" s="13">
        <v>4502.7330000000002</v>
      </c>
      <c r="W3802" s="13">
        <v>3472.902</v>
      </c>
      <c r="X3802" s="13">
        <v>2592.7579999999998</v>
      </c>
      <c r="Y3802" s="13">
        <v>1618.5519999999999</v>
      </c>
      <c r="Z3802" s="13">
        <v>757.08199999999999</v>
      </c>
      <c r="AA3802" s="13">
        <v>224.97800000000001</v>
      </c>
      <c r="AB3802" s="13">
        <v>44.164000000000001</v>
      </c>
      <c r="AC3802" s="13">
        <v>4.3029999999999999</v>
      </c>
    </row>
    <row r="3803" spans="1:29" ht="11.65" hidden="1" x14ac:dyDescent="0.35">
      <c r="A3803" s="17">
        <v>3786</v>
      </c>
      <c r="B3803" s="15" t="s">
        <v>1015</v>
      </c>
      <c r="C3803" s="16" t="s">
        <v>1277</v>
      </c>
      <c r="D3803" s="14"/>
      <c r="E3803" s="14">
        <v>918</v>
      </c>
      <c r="F3803" s="15" t="s">
        <v>1232</v>
      </c>
      <c r="G3803" s="14">
        <v>1829</v>
      </c>
      <c r="H3803" s="14">
        <v>1975</v>
      </c>
      <c r="I3803" s="13">
        <v>8937.8860000000004</v>
      </c>
      <c r="J3803" s="13">
        <v>9674.3259999999991</v>
      </c>
      <c r="K3803" s="13">
        <v>11142.36</v>
      </c>
      <c r="L3803" s="13">
        <v>11538.628000000001</v>
      </c>
      <c r="M3803" s="13">
        <v>10817.316999999999</v>
      </c>
      <c r="N3803" s="13">
        <v>9713.2870000000003</v>
      </c>
      <c r="O3803" s="13">
        <v>7929.3540000000003</v>
      </c>
      <c r="P3803" s="13">
        <v>6583.6540000000005</v>
      </c>
      <c r="Q3803" s="13">
        <v>6315.9229999999998</v>
      </c>
      <c r="R3803" s="13">
        <v>6726.9809999999998</v>
      </c>
      <c r="S3803" s="13">
        <v>6815.7330000000002</v>
      </c>
      <c r="T3803" s="13">
        <v>6136.6970000000001</v>
      </c>
      <c r="U3803" s="13">
        <v>5515.4589999999998</v>
      </c>
      <c r="V3803" s="13">
        <v>4995.2790000000005</v>
      </c>
      <c r="W3803" s="13">
        <v>3874.1239999999998</v>
      </c>
      <c r="X3803" s="13">
        <v>2900.3890000000001</v>
      </c>
      <c r="Y3803" s="13">
        <v>1971.48</v>
      </c>
      <c r="Z3803" s="13">
        <v>940.71400000000006</v>
      </c>
      <c r="AA3803" s="13">
        <v>319.24400000000003</v>
      </c>
      <c r="AB3803" s="13">
        <v>60.892000000000003</v>
      </c>
      <c r="AC3803" s="13">
        <v>6.9580000000000002</v>
      </c>
    </row>
    <row r="3804" spans="1:29" ht="11.65" hidden="1" x14ac:dyDescent="0.35">
      <c r="A3804" s="17">
        <v>3787</v>
      </c>
      <c r="B3804" s="15" t="s">
        <v>1015</v>
      </c>
      <c r="C3804" s="16" t="s">
        <v>1277</v>
      </c>
      <c r="D3804" s="14"/>
      <c r="E3804" s="14">
        <v>918</v>
      </c>
      <c r="F3804" s="15" t="s">
        <v>1232</v>
      </c>
      <c r="G3804" s="14">
        <v>1829</v>
      </c>
      <c r="H3804" s="14">
        <v>1980</v>
      </c>
      <c r="I3804" s="13">
        <v>8905.4689999999991</v>
      </c>
      <c r="J3804" s="13">
        <v>9032.7829999999994</v>
      </c>
      <c r="K3804" s="13">
        <v>9882.1260000000002</v>
      </c>
      <c r="L3804" s="13">
        <v>11387.333000000001</v>
      </c>
      <c r="M3804" s="13">
        <v>11822.477000000001</v>
      </c>
      <c r="N3804" s="13">
        <v>11015.593000000001</v>
      </c>
      <c r="O3804" s="13">
        <v>9953.9639999999999</v>
      </c>
      <c r="P3804" s="13">
        <v>7933.384</v>
      </c>
      <c r="Q3804" s="13">
        <v>6638.4539999999997</v>
      </c>
      <c r="R3804" s="13">
        <v>6312.5730000000003</v>
      </c>
      <c r="S3804" s="13">
        <v>6693.52</v>
      </c>
      <c r="T3804" s="13">
        <v>6721.3810000000003</v>
      </c>
      <c r="U3804" s="13">
        <v>5946.1570000000002</v>
      </c>
      <c r="V3804" s="13">
        <v>5315.41</v>
      </c>
      <c r="W3804" s="13">
        <v>4469.6710000000003</v>
      </c>
      <c r="X3804" s="13">
        <v>3383.422</v>
      </c>
      <c r="Y3804" s="13">
        <v>2088.2620000000002</v>
      </c>
      <c r="Z3804" s="13">
        <v>1222.248</v>
      </c>
      <c r="AA3804" s="13">
        <v>435.20299999999997</v>
      </c>
      <c r="AB3804" s="13">
        <v>97.531999999999996</v>
      </c>
      <c r="AC3804" s="13">
        <v>11.069000000000001</v>
      </c>
    </row>
    <row r="3805" spans="1:29" ht="11.65" hidden="1" x14ac:dyDescent="0.35">
      <c r="A3805" s="17">
        <v>3788</v>
      </c>
      <c r="B3805" s="15" t="s">
        <v>1015</v>
      </c>
      <c r="C3805" s="16" t="s">
        <v>1277</v>
      </c>
      <c r="D3805" s="14"/>
      <c r="E3805" s="14">
        <v>918</v>
      </c>
      <c r="F3805" s="15" t="s">
        <v>1232</v>
      </c>
      <c r="G3805" s="14">
        <v>1829</v>
      </c>
      <c r="H3805" s="14">
        <v>1985</v>
      </c>
      <c r="I3805" s="13">
        <v>9584.1730000000007</v>
      </c>
      <c r="J3805" s="13">
        <v>9035.4419999999991</v>
      </c>
      <c r="K3805" s="13">
        <v>9280.6110000000008</v>
      </c>
      <c r="L3805" s="13">
        <v>10163.584000000001</v>
      </c>
      <c r="M3805" s="13">
        <v>11628.743</v>
      </c>
      <c r="N3805" s="13">
        <v>11999.706</v>
      </c>
      <c r="O3805" s="13">
        <v>11253.762000000001</v>
      </c>
      <c r="P3805" s="13">
        <v>9933.7389999999996</v>
      </c>
      <c r="Q3805" s="13">
        <v>7972.8990000000003</v>
      </c>
      <c r="R3805" s="13">
        <v>6590.2219999999998</v>
      </c>
      <c r="S3805" s="13">
        <v>6249.8890000000001</v>
      </c>
      <c r="T3805" s="13">
        <v>6537.64</v>
      </c>
      <c r="U3805" s="13">
        <v>6432.2039999999997</v>
      </c>
      <c r="V3805" s="13">
        <v>5676.8180000000002</v>
      </c>
      <c r="W3805" s="13">
        <v>4746.8050000000003</v>
      </c>
      <c r="X3805" s="13">
        <v>3829.922</v>
      </c>
      <c r="Y3805" s="13">
        <v>2558.8870000000002</v>
      </c>
      <c r="Z3805" s="13">
        <v>1326.5250000000001</v>
      </c>
      <c r="AA3805" s="13">
        <v>586.11900000000003</v>
      </c>
      <c r="AB3805" s="13">
        <v>138.994</v>
      </c>
      <c r="AC3805" s="13">
        <v>18.622</v>
      </c>
    </row>
    <row r="3806" spans="1:29" ht="11.65" hidden="1" x14ac:dyDescent="0.35">
      <c r="A3806" s="17">
        <v>3789</v>
      </c>
      <c r="B3806" s="15" t="s">
        <v>1015</v>
      </c>
      <c r="C3806" s="16" t="s">
        <v>1277</v>
      </c>
      <c r="D3806" s="14"/>
      <c r="E3806" s="14">
        <v>918</v>
      </c>
      <c r="F3806" s="15" t="s">
        <v>1232</v>
      </c>
      <c r="G3806" s="14">
        <v>1829</v>
      </c>
      <c r="H3806" s="14">
        <v>1990</v>
      </c>
      <c r="I3806" s="13">
        <v>10340.072</v>
      </c>
      <c r="J3806" s="13">
        <v>9734.1370000000006</v>
      </c>
      <c r="K3806" s="13">
        <v>9404.9750000000004</v>
      </c>
      <c r="L3806" s="13">
        <v>9663.7459999999992</v>
      </c>
      <c r="M3806" s="13">
        <v>10458.995000000001</v>
      </c>
      <c r="N3806" s="13">
        <v>11736.316999999999</v>
      </c>
      <c r="O3806" s="13">
        <v>12276.347</v>
      </c>
      <c r="P3806" s="13">
        <v>11290.379000000001</v>
      </c>
      <c r="Q3806" s="13">
        <v>10060.626</v>
      </c>
      <c r="R3806" s="13">
        <v>7878.8410000000003</v>
      </c>
      <c r="S3806" s="13">
        <v>6533.3180000000002</v>
      </c>
      <c r="T3806" s="13">
        <v>6099.6859999999997</v>
      </c>
      <c r="U3806" s="13">
        <v>6311.5649999999996</v>
      </c>
      <c r="V3806" s="13">
        <v>6133.8109999999997</v>
      </c>
      <c r="W3806" s="13">
        <v>5094.4260000000004</v>
      </c>
      <c r="X3806" s="13">
        <v>4085.3159999999998</v>
      </c>
      <c r="Y3806" s="13">
        <v>2914.0309999999999</v>
      </c>
      <c r="Z3806" s="13">
        <v>1648.58</v>
      </c>
      <c r="AA3806" s="13">
        <v>639.85400000000004</v>
      </c>
      <c r="AB3806" s="13">
        <v>185.13</v>
      </c>
      <c r="AC3806" s="13">
        <v>26.041</v>
      </c>
    </row>
    <row r="3807" spans="1:29" ht="11.65" hidden="1" x14ac:dyDescent="0.35">
      <c r="A3807" s="17">
        <v>3790</v>
      </c>
      <c r="B3807" s="15" t="s">
        <v>1015</v>
      </c>
      <c r="C3807" s="16" t="s">
        <v>1277</v>
      </c>
      <c r="D3807" s="14"/>
      <c r="E3807" s="14">
        <v>918</v>
      </c>
      <c r="F3807" s="15" t="s">
        <v>1232</v>
      </c>
      <c r="G3807" s="14">
        <v>1829</v>
      </c>
      <c r="H3807" s="14">
        <v>1995</v>
      </c>
      <c r="I3807" s="13">
        <v>10725.841</v>
      </c>
      <c r="J3807" s="13">
        <v>10507.436</v>
      </c>
      <c r="K3807" s="13">
        <v>10192.697</v>
      </c>
      <c r="L3807" s="13">
        <v>9850.0059999999994</v>
      </c>
      <c r="M3807" s="13">
        <v>9928.4390000000003</v>
      </c>
      <c r="N3807" s="13">
        <v>10732.406000000001</v>
      </c>
      <c r="O3807" s="13">
        <v>12178.448</v>
      </c>
      <c r="P3807" s="13">
        <v>12393.538</v>
      </c>
      <c r="Q3807" s="13">
        <v>11312.365</v>
      </c>
      <c r="R3807" s="13">
        <v>9879.1710000000003</v>
      </c>
      <c r="S3807" s="13">
        <v>7823.7179999999998</v>
      </c>
      <c r="T3807" s="13">
        <v>6395.9570000000003</v>
      </c>
      <c r="U3807" s="13">
        <v>5899.1549999999997</v>
      </c>
      <c r="V3807" s="13">
        <v>5970.73</v>
      </c>
      <c r="W3807" s="13">
        <v>5487.5990000000002</v>
      </c>
      <c r="X3807" s="13">
        <v>4366.4470000000001</v>
      </c>
      <c r="Y3807" s="13">
        <v>3048.558</v>
      </c>
      <c r="Z3807" s="13">
        <v>1917.037</v>
      </c>
      <c r="AA3807" s="13">
        <v>819.78300000000002</v>
      </c>
      <c r="AB3807" s="13">
        <v>207.76599999999999</v>
      </c>
      <c r="AC3807" s="13">
        <v>35.875</v>
      </c>
    </row>
    <row r="3808" spans="1:29" ht="11.65" hidden="1" x14ac:dyDescent="0.35">
      <c r="A3808" s="17">
        <v>3791</v>
      </c>
      <c r="B3808" s="15" t="s">
        <v>1015</v>
      </c>
      <c r="C3808" s="16" t="s">
        <v>1277</v>
      </c>
      <c r="D3808" s="14"/>
      <c r="E3808" s="14">
        <v>918</v>
      </c>
      <c r="F3808" s="15" t="s">
        <v>1232</v>
      </c>
      <c r="G3808" s="14">
        <v>1829</v>
      </c>
      <c r="H3808" s="14">
        <v>2000</v>
      </c>
      <c r="I3808" s="13">
        <v>10440.31</v>
      </c>
      <c r="J3808" s="13">
        <v>11170.710999999999</v>
      </c>
      <c r="K3808" s="13">
        <v>11122.422</v>
      </c>
      <c r="L3808" s="13">
        <v>10729.127</v>
      </c>
      <c r="M3808" s="13">
        <v>10340.941999999999</v>
      </c>
      <c r="N3808" s="13">
        <v>10547.136</v>
      </c>
      <c r="O3808" s="13">
        <v>11220.352999999999</v>
      </c>
      <c r="P3808" s="13">
        <v>12455.75</v>
      </c>
      <c r="Q3808" s="13">
        <v>12488.16</v>
      </c>
      <c r="R3808" s="13">
        <v>11378.441000000001</v>
      </c>
      <c r="S3808" s="13">
        <v>9980.7180000000008</v>
      </c>
      <c r="T3808" s="13">
        <v>7729.7060000000001</v>
      </c>
      <c r="U3808" s="13">
        <v>6286.5940000000001</v>
      </c>
      <c r="V3808" s="13">
        <v>5664.51</v>
      </c>
      <c r="W3808" s="13">
        <v>5448.6620000000003</v>
      </c>
      <c r="X3808" s="13">
        <v>4795.3109999999997</v>
      </c>
      <c r="Y3808" s="13">
        <v>3439.835</v>
      </c>
      <c r="Z3808" s="13">
        <v>1991.6590000000001</v>
      </c>
      <c r="AA3808" s="13">
        <v>928.33399999999995</v>
      </c>
      <c r="AB3808" s="13">
        <v>252</v>
      </c>
      <c r="AC3808" s="13">
        <v>37.533000000000001</v>
      </c>
    </row>
    <row r="3809" spans="1:29" ht="11.65" hidden="1" x14ac:dyDescent="0.35">
      <c r="A3809" s="17">
        <v>3792</v>
      </c>
      <c r="B3809" s="15" t="s">
        <v>1015</v>
      </c>
      <c r="C3809" s="16" t="s">
        <v>1277</v>
      </c>
      <c r="D3809" s="14"/>
      <c r="E3809" s="14">
        <v>918</v>
      </c>
      <c r="F3809" s="15" t="s">
        <v>1232</v>
      </c>
      <c r="G3809" s="14">
        <v>1829</v>
      </c>
      <c r="H3809" s="14">
        <v>2005</v>
      </c>
      <c r="I3809" s="13">
        <v>10743.599</v>
      </c>
      <c r="J3809" s="13">
        <v>10567.807000000001</v>
      </c>
      <c r="K3809" s="13">
        <v>11550.344999999999</v>
      </c>
      <c r="L3809" s="13">
        <v>11532.715</v>
      </c>
      <c r="M3809" s="13">
        <v>11161.597</v>
      </c>
      <c r="N3809" s="13">
        <v>10738.324000000001</v>
      </c>
      <c r="O3809" s="13">
        <v>10885.737999999999</v>
      </c>
      <c r="P3809" s="13">
        <v>11465.557000000001</v>
      </c>
      <c r="Q3809" s="13">
        <v>12547.414000000001</v>
      </c>
      <c r="R3809" s="13">
        <v>12475.553</v>
      </c>
      <c r="S3809" s="13">
        <v>11337.119000000001</v>
      </c>
      <c r="T3809" s="13">
        <v>9881.2970000000005</v>
      </c>
      <c r="U3809" s="13">
        <v>7564.9539999999997</v>
      </c>
      <c r="V3809" s="13">
        <v>6039.9110000000001</v>
      </c>
      <c r="W3809" s="13">
        <v>5235.9369999999999</v>
      </c>
      <c r="X3809" s="13">
        <v>4743.1270000000004</v>
      </c>
      <c r="Y3809" s="13">
        <v>3693.2</v>
      </c>
      <c r="Z3809" s="13">
        <v>2265.2489999999998</v>
      </c>
      <c r="AA3809" s="13">
        <v>960.36</v>
      </c>
      <c r="AB3809" s="13">
        <v>276.74599999999998</v>
      </c>
      <c r="AC3809" s="13">
        <v>41.558999999999997</v>
      </c>
    </row>
    <row r="3810" spans="1:29" ht="11.65" hidden="1" x14ac:dyDescent="0.35">
      <c r="A3810" s="17">
        <v>3793</v>
      </c>
      <c r="B3810" s="15" t="s">
        <v>1015</v>
      </c>
      <c r="C3810" s="16" t="s">
        <v>1277</v>
      </c>
      <c r="D3810" s="14"/>
      <c r="E3810" s="14">
        <v>918</v>
      </c>
      <c r="F3810" s="15" t="s">
        <v>1232</v>
      </c>
      <c r="G3810" s="14">
        <v>1829</v>
      </c>
      <c r="H3810" s="14">
        <v>2010</v>
      </c>
      <c r="I3810" s="13">
        <v>11130.901</v>
      </c>
      <c r="J3810" s="13">
        <v>10973.33</v>
      </c>
      <c r="K3810" s="13">
        <v>11147.503000000001</v>
      </c>
      <c r="L3810" s="13">
        <v>11891.837</v>
      </c>
      <c r="M3810" s="13">
        <v>11795.012000000001</v>
      </c>
      <c r="N3810" s="13">
        <v>11487.022000000001</v>
      </c>
      <c r="O3810" s="13">
        <v>11083.798000000001</v>
      </c>
      <c r="P3810" s="13">
        <v>11159.606</v>
      </c>
      <c r="Q3810" s="13">
        <v>11574.499</v>
      </c>
      <c r="R3810" s="13">
        <v>12565.6</v>
      </c>
      <c r="S3810" s="13">
        <v>12487.797</v>
      </c>
      <c r="T3810" s="13">
        <v>11257.816000000001</v>
      </c>
      <c r="U3810" s="13">
        <v>9682.0859999999993</v>
      </c>
      <c r="V3810" s="13">
        <v>7295.8869999999997</v>
      </c>
      <c r="W3810" s="13">
        <v>5599.5110000000004</v>
      </c>
      <c r="X3810" s="13">
        <v>4596.7150000000001</v>
      </c>
      <c r="Y3810" s="13">
        <v>3887.134</v>
      </c>
      <c r="Z3810" s="13">
        <v>2540.6689999999999</v>
      </c>
      <c r="AA3810" s="13">
        <v>1157.116</v>
      </c>
      <c r="AB3810" s="13">
        <v>307.30099999999999</v>
      </c>
      <c r="AC3810" s="13">
        <v>48.896999999999998</v>
      </c>
    </row>
    <row r="3811" spans="1:29" ht="11.65" hidden="1" x14ac:dyDescent="0.35">
      <c r="A3811" s="17">
        <v>3794</v>
      </c>
      <c r="B3811" s="15" t="s">
        <v>1015</v>
      </c>
      <c r="C3811" s="16" t="s">
        <v>1277</v>
      </c>
      <c r="D3811" s="14"/>
      <c r="E3811" s="14">
        <v>918</v>
      </c>
      <c r="F3811" s="15" t="s">
        <v>1232</v>
      </c>
      <c r="G3811" s="14">
        <v>1829</v>
      </c>
      <c r="H3811" s="14">
        <v>2015</v>
      </c>
      <c r="I3811" s="13">
        <v>10696.522000000001</v>
      </c>
      <c r="J3811" s="13">
        <v>11225.224</v>
      </c>
      <c r="K3811" s="13">
        <v>11047.871999999999</v>
      </c>
      <c r="L3811" s="13">
        <v>11515.547</v>
      </c>
      <c r="M3811" s="13">
        <v>12516.214</v>
      </c>
      <c r="N3811" s="13">
        <v>12304.782999999999</v>
      </c>
      <c r="O3811" s="13">
        <v>11879.724</v>
      </c>
      <c r="P3811" s="13">
        <v>11317.421</v>
      </c>
      <c r="Q3811" s="13">
        <v>11276.584999999999</v>
      </c>
      <c r="R3811" s="13">
        <v>11569.489</v>
      </c>
      <c r="S3811" s="13">
        <v>12455.76</v>
      </c>
      <c r="T3811" s="13">
        <v>12275.321</v>
      </c>
      <c r="U3811" s="13">
        <v>10939.037</v>
      </c>
      <c r="V3811" s="13">
        <v>9263.973</v>
      </c>
      <c r="W3811" s="13">
        <v>6792.5619999999999</v>
      </c>
      <c r="X3811" s="13">
        <v>4985.6819999999998</v>
      </c>
      <c r="Y3811" s="13">
        <v>3769.7950000000001</v>
      </c>
      <c r="Z3811" s="13">
        <v>2745.6190000000001</v>
      </c>
      <c r="AA3811" s="13">
        <v>1360.6489999999999</v>
      </c>
      <c r="AB3811" s="13">
        <v>394.50599999999997</v>
      </c>
      <c r="AC3811" s="13">
        <v>59.27</v>
      </c>
    </row>
    <row r="3812" spans="1:29" ht="11.65" hidden="1" x14ac:dyDescent="0.35">
      <c r="A3812" s="17">
        <v>3795</v>
      </c>
      <c r="B3812" s="15" t="s">
        <v>1015</v>
      </c>
      <c r="C3812" s="16" t="s">
        <v>1277</v>
      </c>
      <c r="D3812" s="14"/>
      <c r="E3812" s="14">
        <v>918</v>
      </c>
      <c r="F3812" s="15" t="s">
        <v>1232</v>
      </c>
      <c r="G3812" s="14">
        <v>1829</v>
      </c>
      <c r="H3812" s="14">
        <v>2020</v>
      </c>
      <c r="I3812" s="13">
        <v>10596.620999999999</v>
      </c>
      <c r="J3812" s="13">
        <v>10768.118</v>
      </c>
      <c r="K3812" s="13">
        <v>11284.431</v>
      </c>
      <c r="L3812" s="13">
        <v>11383.442999999999</v>
      </c>
      <c r="M3812" s="13">
        <v>12095.111000000001</v>
      </c>
      <c r="N3812" s="13">
        <v>13038.538</v>
      </c>
      <c r="O3812" s="13">
        <v>12664.445</v>
      </c>
      <c r="P3812" s="13">
        <v>12091.084999999999</v>
      </c>
      <c r="Q3812" s="13">
        <v>11418.459000000001</v>
      </c>
      <c r="R3812" s="13">
        <v>11281.957</v>
      </c>
      <c r="S3812" s="13">
        <v>11470.476000000001</v>
      </c>
      <c r="T3812" s="13">
        <v>12223.601000000001</v>
      </c>
      <c r="U3812" s="13">
        <v>11911.045</v>
      </c>
      <c r="V3812" s="13">
        <v>10459.964</v>
      </c>
      <c r="W3812" s="13">
        <v>8637.5380000000005</v>
      </c>
      <c r="X3812" s="13">
        <v>6060.4319999999998</v>
      </c>
      <c r="Y3812" s="13">
        <v>4115.6440000000002</v>
      </c>
      <c r="Z3812" s="13">
        <v>2686.806</v>
      </c>
      <c r="AA3812" s="13">
        <v>1517.575</v>
      </c>
      <c r="AB3812" s="13">
        <v>500.41399999999999</v>
      </c>
      <c r="AC3812" s="13">
        <v>83.418999999999997</v>
      </c>
    </row>
    <row r="3813" spans="1:29" ht="11.65" hidden="1" x14ac:dyDescent="0.35">
      <c r="A3813" s="12">
        <v>3796</v>
      </c>
      <c r="B3813" s="10" t="s">
        <v>1015</v>
      </c>
      <c r="C3813" s="11" t="s">
        <v>1278</v>
      </c>
      <c r="D3813" s="9"/>
      <c r="E3813" s="9">
        <v>124</v>
      </c>
      <c r="F3813" s="10" t="s">
        <v>1066</v>
      </c>
      <c r="G3813" s="9">
        <v>918</v>
      </c>
      <c r="H3813" s="9">
        <v>1950</v>
      </c>
      <c r="I3813" s="8">
        <v>801</v>
      </c>
      <c r="J3813" s="8">
        <v>645</v>
      </c>
      <c r="K3813" s="8">
        <v>554.00099999999998</v>
      </c>
      <c r="L3813" s="8">
        <v>534</v>
      </c>
      <c r="M3813" s="8">
        <v>557.99900000000002</v>
      </c>
      <c r="N3813" s="8">
        <v>564</v>
      </c>
      <c r="O3813" s="8">
        <v>521.00099999999998</v>
      </c>
      <c r="P3813" s="8">
        <v>478.00099999999998</v>
      </c>
      <c r="Q3813" s="8">
        <v>410.99900000000002</v>
      </c>
      <c r="R3813" s="8">
        <v>352.99900000000002</v>
      </c>
      <c r="S3813" s="8">
        <v>318</v>
      </c>
      <c r="T3813" s="8">
        <v>276</v>
      </c>
      <c r="U3813" s="8">
        <v>239</v>
      </c>
      <c r="V3813" s="8">
        <v>196.99799999999999</v>
      </c>
      <c r="W3813" s="8">
        <v>147</v>
      </c>
      <c r="X3813" s="8">
        <v>92</v>
      </c>
      <c r="Y3813" s="8">
        <v>49.353999999999999</v>
      </c>
      <c r="Z3813" s="8">
        <v>23.001000000000001</v>
      </c>
      <c r="AA3813" s="8">
        <v>6.5</v>
      </c>
      <c r="AB3813" s="8">
        <v>1.1639999999999999</v>
      </c>
      <c r="AC3813" s="8">
        <v>0.13500000000000001</v>
      </c>
    </row>
    <row r="3814" spans="1:29" ht="11.65" hidden="1" x14ac:dyDescent="0.35">
      <c r="A3814" s="12">
        <v>3797</v>
      </c>
      <c r="B3814" s="10" t="s">
        <v>1015</v>
      </c>
      <c r="C3814" s="11" t="s">
        <v>1278</v>
      </c>
      <c r="D3814" s="9"/>
      <c r="E3814" s="9">
        <v>124</v>
      </c>
      <c r="F3814" s="10" t="s">
        <v>1066</v>
      </c>
      <c r="G3814" s="9">
        <v>918</v>
      </c>
      <c r="H3814" s="9">
        <v>1955</v>
      </c>
      <c r="I3814" s="8">
        <v>948.05700000000002</v>
      </c>
      <c r="J3814" s="8">
        <v>844.61800000000005</v>
      </c>
      <c r="K3814" s="8">
        <v>670.28099999999995</v>
      </c>
      <c r="L3814" s="8">
        <v>562.97799999999995</v>
      </c>
      <c r="M3814" s="8">
        <v>556.69500000000005</v>
      </c>
      <c r="N3814" s="8">
        <v>589.15300000000002</v>
      </c>
      <c r="O3814" s="8">
        <v>595.67700000000002</v>
      </c>
      <c r="P3814" s="8">
        <v>545.62199999999996</v>
      </c>
      <c r="Q3814" s="8">
        <v>488.33600000000001</v>
      </c>
      <c r="R3814" s="8">
        <v>410.68700000000001</v>
      </c>
      <c r="S3814" s="8">
        <v>346.69799999999998</v>
      </c>
      <c r="T3814" s="8">
        <v>303.99400000000003</v>
      </c>
      <c r="U3814" s="8">
        <v>257.339</v>
      </c>
      <c r="V3814" s="8">
        <v>222.21799999999999</v>
      </c>
      <c r="W3814" s="8">
        <v>177.703</v>
      </c>
      <c r="X3814" s="8">
        <v>111.51600000000001</v>
      </c>
      <c r="Y3814" s="8">
        <v>66.075999999999993</v>
      </c>
      <c r="Z3814" s="8">
        <v>25.155000000000001</v>
      </c>
      <c r="AA3814" s="8">
        <v>8.2669999999999995</v>
      </c>
      <c r="AB3814" s="8">
        <v>1.423</v>
      </c>
      <c r="AC3814" s="8">
        <v>0.14499999999999999</v>
      </c>
    </row>
    <row r="3815" spans="1:29" ht="11.65" hidden="1" x14ac:dyDescent="0.35">
      <c r="A3815" s="12">
        <v>3798</v>
      </c>
      <c r="B3815" s="10" t="s">
        <v>1015</v>
      </c>
      <c r="C3815" s="11" t="s">
        <v>1278</v>
      </c>
      <c r="D3815" s="9"/>
      <c r="E3815" s="9">
        <v>124</v>
      </c>
      <c r="F3815" s="10" t="s">
        <v>1066</v>
      </c>
      <c r="G3815" s="9">
        <v>918</v>
      </c>
      <c r="H3815" s="9">
        <v>1960</v>
      </c>
      <c r="I3815" s="8">
        <v>1082.8499999999999</v>
      </c>
      <c r="J3815" s="8">
        <v>993.18499999999995</v>
      </c>
      <c r="K3815" s="8">
        <v>866.81</v>
      </c>
      <c r="L3815" s="8">
        <v>675.39099999999996</v>
      </c>
      <c r="M3815" s="8">
        <v>590.03200000000004</v>
      </c>
      <c r="N3815" s="8">
        <v>594.55899999999997</v>
      </c>
      <c r="O3815" s="8">
        <v>626.77700000000004</v>
      </c>
      <c r="P3815" s="8">
        <v>624.82299999999998</v>
      </c>
      <c r="Q3815" s="8">
        <v>547.16700000000003</v>
      </c>
      <c r="R3815" s="8">
        <v>485.33699999999999</v>
      </c>
      <c r="S3815" s="8">
        <v>406.55599999999998</v>
      </c>
      <c r="T3815" s="8">
        <v>337.02</v>
      </c>
      <c r="U3815" s="8">
        <v>285.38799999999998</v>
      </c>
      <c r="V3815" s="8">
        <v>243.185</v>
      </c>
      <c r="W3815" s="8">
        <v>202.25200000000001</v>
      </c>
      <c r="X3815" s="8">
        <v>135.464</v>
      </c>
      <c r="Y3815" s="8">
        <v>80.488</v>
      </c>
      <c r="Z3815" s="8">
        <v>34.773000000000003</v>
      </c>
      <c r="AA3815" s="8">
        <v>9.3789999999999996</v>
      </c>
      <c r="AB3815" s="8">
        <v>1.88</v>
      </c>
      <c r="AC3815" s="8">
        <v>0.182</v>
      </c>
    </row>
    <row r="3816" spans="1:29" ht="11.65" hidden="1" x14ac:dyDescent="0.35">
      <c r="A3816" s="12">
        <v>3799</v>
      </c>
      <c r="B3816" s="10" t="s">
        <v>1015</v>
      </c>
      <c r="C3816" s="11" t="s">
        <v>1278</v>
      </c>
      <c r="D3816" s="9"/>
      <c r="E3816" s="9">
        <v>124</v>
      </c>
      <c r="F3816" s="10" t="s">
        <v>1066</v>
      </c>
      <c r="G3816" s="9">
        <v>918</v>
      </c>
      <c r="H3816" s="9">
        <v>1965</v>
      </c>
      <c r="I3816" s="8">
        <v>1091.999</v>
      </c>
      <c r="J3816" s="8">
        <v>1101.5930000000001</v>
      </c>
      <c r="K3816" s="8">
        <v>998.63699999999994</v>
      </c>
      <c r="L3816" s="8">
        <v>870.12599999999998</v>
      </c>
      <c r="M3816" s="8">
        <v>696.03800000000001</v>
      </c>
      <c r="N3816" s="8">
        <v>607.41399999999999</v>
      </c>
      <c r="O3816" s="8">
        <v>608.37199999999996</v>
      </c>
      <c r="P3816" s="8">
        <v>634.12300000000005</v>
      </c>
      <c r="Q3816" s="8">
        <v>618.28700000000003</v>
      </c>
      <c r="R3816" s="8">
        <v>534.18200000000002</v>
      </c>
      <c r="S3816" s="8">
        <v>476.09899999999999</v>
      </c>
      <c r="T3816" s="8">
        <v>390.90199999999999</v>
      </c>
      <c r="U3816" s="8">
        <v>323.65899999999999</v>
      </c>
      <c r="V3816" s="8">
        <v>270.81900000000002</v>
      </c>
      <c r="W3816" s="8">
        <v>222.62899999999999</v>
      </c>
      <c r="X3816" s="8">
        <v>158.21100000000001</v>
      </c>
      <c r="Y3816" s="8">
        <v>99.984999999999999</v>
      </c>
      <c r="Z3816" s="8">
        <v>43.526000000000003</v>
      </c>
      <c r="AA3816" s="8">
        <v>13.425000000000001</v>
      </c>
      <c r="AB3816" s="8">
        <v>2.2090000000000001</v>
      </c>
      <c r="AC3816" s="8">
        <v>0.24299999999999999</v>
      </c>
    </row>
    <row r="3817" spans="1:29" ht="11.65" hidden="1" x14ac:dyDescent="0.35">
      <c r="A3817" s="12">
        <v>3800</v>
      </c>
      <c r="B3817" s="10" t="s">
        <v>1015</v>
      </c>
      <c r="C3817" s="11" t="s">
        <v>1278</v>
      </c>
      <c r="D3817" s="9"/>
      <c r="E3817" s="9">
        <v>124</v>
      </c>
      <c r="F3817" s="10" t="s">
        <v>1066</v>
      </c>
      <c r="G3817" s="9">
        <v>918</v>
      </c>
      <c r="H3817" s="9">
        <v>1970</v>
      </c>
      <c r="I3817" s="8">
        <v>916.28499999999997</v>
      </c>
      <c r="J3817" s="8">
        <v>1113.846</v>
      </c>
      <c r="K3817" s="8">
        <v>1116.4480000000001</v>
      </c>
      <c r="L3817" s="8">
        <v>1022.769</v>
      </c>
      <c r="M3817" s="8">
        <v>918.83900000000006</v>
      </c>
      <c r="N3817" s="8">
        <v>752.67399999999998</v>
      </c>
      <c r="O3817" s="8">
        <v>635.89700000000005</v>
      </c>
      <c r="P3817" s="8">
        <v>619.41099999999994</v>
      </c>
      <c r="Q3817" s="8">
        <v>627.16300000000001</v>
      </c>
      <c r="R3817" s="8">
        <v>613.11500000000001</v>
      </c>
      <c r="S3817" s="8">
        <v>524.31600000000003</v>
      </c>
      <c r="T3817" s="8">
        <v>470.06799999999998</v>
      </c>
      <c r="U3817" s="8">
        <v>384.21</v>
      </c>
      <c r="V3817" s="8">
        <v>315.25</v>
      </c>
      <c r="W3817" s="8">
        <v>247.48599999999999</v>
      </c>
      <c r="X3817" s="8">
        <v>184.14599999999999</v>
      </c>
      <c r="Y3817" s="8">
        <v>119.509</v>
      </c>
      <c r="Z3817" s="8">
        <v>56.878999999999998</v>
      </c>
      <c r="AA3817" s="8">
        <v>17.577000000000002</v>
      </c>
      <c r="AB3817" s="8">
        <v>3.347</v>
      </c>
      <c r="AC3817" s="8">
        <v>0.307</v>
      </c>
    </row>
    <row r="3818" spans="1:29" ht="11.65" hidden="1" x14ac:dyDescent="0.35">
      <c r="A3818" s="12">
        <v>3801</v>
      </c>
      <c r="B3818" s="10" t="s">
        <v>1015</v>
      </c>
      <c r="C3818" s="11" t="s">
        <v>1278</v>
      </c>
      <c r="D3818" s="9"/>
      <c r="E3818" s="9">
        <v>124</v>
      </c>
      <c r="F3818" s="10" t="s">
        <v>1066</v>
      </c>
      <c r="G3818" s="9">
        <v>918</v>
      </c>
      <c r="H3818" s="9">
        <v>1975</v>
      </c>
      <c r="I3818" s="8">
        <v>858.61599999999999</v>
      </c>
      <c r="J3818" s="8">
        <v>944.54600000000005</v>
      </c>
      <c r="K3818" s="8">
        <v>1141.242</v>
      </c>
      <c r="L3818" s="8">
        <v>1148.6659999999999</v>
      </c>
      <c r="M3818" s="8">
        <v>1080.5440000000001</v>
      </c>
      <c r="N3818" s="8">
        <v>977.49300000000005</v>
      </c>
      <c r="O3818" s="8">
        <v>784.947</v>
      </c>
      <c r="P3818" s="8">
        <v>647.13699999999994</v>
      </c>
      <c r="Q3818" s="8">
        <v>627.28200000000004</v>
      </c>
      <c r="R3818" s="8">
        <v>623.89700000000005</v>
      </c>
      <c r="S3818" s="8">
        <v>615.88499999999999</v>
      </c>
      <c r="T3818" s="8">
        <v>510.51400000000001</v>
      </c>
      <c r="U3818" s="8">
        <v>460.49200000000002</v>
      </c>
      <c r="V3818" s="8">
        <v>370.61399999999998</v>
      </c>
      <c r="W3818" s="8">
        <v>286.56599999999997</v>
      </c>
      <c r="X3818" s="8">
        <v>207.64</v>
      </c>
      <c r="Y3818" s="8">
        <v>136.38499999999999</v>
      </c>
      <c r="Z3818" s="8">
        <v>70.415000000000006</v>
      </c>
      <c r="AA3818" s="8">
        <v>24.027000000000001</v>
      </c>
      <c r="AB3818" s="8">
        <v>4.5990000000000002</v>
      </c>
      <c r="AC3818" s="8">
        <v>0.48299999999999998</v>
      </c>
    </row>
    <row r="3819" spans="1:29" ht="11.65" hidden="1" x14ac:dyDescent="0.35">
      <c r="A3819" s="12">
        <v>3802</v>
      </c>
      <c r="B3819" s="10" t="s">
        <v>1015</v>
      </c>
      <c r="C3819" s="11" t="s">
        <v>1278</v>
      </c>
      <c r="D3819" s="9"/>
      <c r="E3819" s="9">
        <v>124</v>
      </c>
      <c r="F3819" s="10" t="s">
        <v>1066</v>
      </c>
      <c r="G3819" s="9">
        <v>918</v>
      </c>
      <c r="H3819" s="9">
        <v>1980</v>
      </c>
      <c r="I3819" s="8">
        <v>868.92600000000004</v>
      </c>
      <c r="J3819" s="8">
        <v>877.74900000000002</v>
      </c>
      <c r="K3819" s="8">
        <v>959.79100000000005</v>
      </c>
      <c r="L3819" s="8">
        <v>1175.057</v>
      </c>
      <c r="M3819" s="8">
        <v>1195.136</v>
      </c>
      <c r="N3819" s="8">
        <v>1093.7760000000001</v>
      </c>
      <c r="O3819" s="8">
        <v>991.92399999999998</v>
      </c>
      <c r="P3819" s="8">
        <v>782.72199999999998</v>
      </c>
      <c r="Q3819" s="8">
        <v>651.73099999999999</v>
      </c>
      <c r="R3819" s="8">
        <v>622.01499999999999</v>
      </c>
      <c r="S3819" s="8">
        <v>618.68700000000001</v>
      </c>
      <c r="T3819" s="8">
        <v>605.77800000000002</v>
      </c>
      <c r="U3819" s="8">
        <v>500.64100000000002</v>
      </c>
      <c r="V3819" s="8">
        <v>442.91199999999998</v>
      </c>
      <c r="W3819" s="8">
        <v>341.60700000000003</v>
      </c>
      <c r="X3819" s="8">
        <v>245.476</v>
      </c>
      <c r="Y3819" s="8">
        <v>158.84399999999999</v>
      </c>
      <c r="Z3819" s="8">
        <v>84.751999999999995</v>
      </c>
      <c r="AA3819" s="8">
        <v>32.378</v>
      </c>
      <c r="AB3819" s="8">
        <v>7.1710000000000003</v>
      </c>
      <c r="AC3819" s="8">
        <v>0.79200000000000004</v>
      </c>
    </row>
    <row r="3820" spans="1:29" ht="11.65" hidden="1" x14ac:dyDescent="0.35">
      <c r="A3820" s="12">
        <v>3803</v>
      </c>
      <c r="B3820" s="10" t="s">
        <v>1015</v>
      </c>
      <c r="C3820" s="11" t="s">
        <v>1278</v>
      </c>
      <c r="D3820" s="9"/>
      <c r="E3820" s="9">
        <v>124</v>
      </c>
      <c r="F3820" s="10" t="s">
        <v>1066</v>
      </c>
      <c r="G3820" s="9">
        <v>918</v>
      </c>
      <c r="H3820" s="9">
        <v>1985</v>
      </c>
      <c r="I3820" s="8">
        <v>895.173</v>
      </c>
      <c r="J3820" s="8">
        <v>880.80499999999995</v>
      </c>
      <c r="K3820" s="8">
        <v>893.82399999999996</v>
      </c>
      <c r="L3820" s="8">
        <v>982.63499999999999</v>
      </c>
      <c r="M3820" s="8">
        <v>1215.1120000000001</v>
      </c>
      <c r="N3820" s="8">
        <v>1205.4359999999999</v>
      </c>
      <c r="O3820" s="8">
        <v>1108.77</v>
      </c>
      <c r="P3820" s="8">
        <v>989.17100000000005</v>
      </c>
      <c r="Q3820" s="8">
        <v>783.70299999999997</v>
      </c>
      <c r="R3820" s="8">
        <v>645.93600000000004</v>
      </c>
      <c r="S3820" s="8">
        <v>620.16300000000001</v>
      </c>
      <c r="T3820" s="8">
        <v>616.47299999999996</v>
      </c>
      <c r="U3820" s="8">
        <v>594.18799999999999</v>
      </c>
      <c r="V3820" s="8">
        <v>483.99</v>
      </c>
      <c r="W3820" s="8">
        <v>407.959</v>
      </c>
      <c r="X3820" s="8">
        <v>294.66399999999999</v>
      </c>
      <c r="Y3820" s="8">
        <v>188.001</v>
      </c>
      <c r="Z3820" s="8">
        <v>102.34399999999999</v>
      </c>
      <c r="AA3820" s="8">
        <v>41.292999999999999</v>
      </c>
      <c r="AB3820" s="8">
        <v>10.454000000000001</v>
      </c>
      <c r="AC3820" s="8">
        <v>1.36</v>
      </c>
    </row>
    <row r="3821" spans="1:29" ht="11.65" hidden="1" x14ac:dyDescent="0.35">
      <c r="A3821" s="12">
        <v>3804</v>
      </c>
      <c r="B3821" s="10" t="s">
        <v>1015</v>
      </c>
      <c r="C3821" s="11" t="s">
        <v>1278</v>
      </c>
      <c r="D3821" s="9"/>
      <c r="E3821" s="9">
        <v>124</v>
      </c>
      <c r="F3821" s="10" t="s">
        <v>1066</v>
      </c>
      <c r="G3821" s="9">
        <v>918</v>
      </c>
      <c r="H3821" s="9">
        <v>1990</v>
      </c>
      <c r="I3821" s="8">
        <v>936.59100000000001</v>
      </c>
      <c r="J3821" s="8">
        <v>930.87300000000005</v>
      </c>
      <c r="K3821" s="8">
        <v>909.76099999999997</v>
      </c>
      <c r="L3821" s="8">
        <v>937.09</v>
      </c>
      <c r="M3821" s="8">
        <v>1040.3140000000001</v>
      </c>
      <c r="N3821" s="8">
        <v>1261.087</v>
      </c>
      <c r="O3821" s="8">
        <v>1253.31</v>
      </c>
      <c r="P3821" s="8">
        <v>1138.1559999999999</v>
      </c>
      <c r="Q3821" s="8">
        <v>1013.326</v>
      </c>
      <c r="R3821" s="8">
        <v>789.43</v>
      </c>
      <c r="S3821" s="8">
        <v>647.39499999999998</v>
      </c>
      <c r="T3821" s="8">
        <v>618.625</v>
      </c>
      <c r="U3821" s="8">
        <v>607.73699999999997</v>
      </c>
      <c r="V3821" s="8">
        <v>578.41399999999999</v>
      </c>
      <c r="W3821" s="8">
        <v>450.459</v>
      </c>
      <c r="X3821" s="8">
        <v>356.92700000000002</v>
      </c>
      <c r="Y3821" s="8">
        <v>227.40799999999999</v>
      </c>
      <c r="Z3821" s="8">
        <v>122.53400000000001</v>
      </c>
      <c r="AA3821" s="8">
        <v>50.048000000000002</v>
      </c>
      <c r="AB3821" s="8">
        <v>13.221</v>
      </c>
      <c r="AC3821" s="8">
        <v>1.968</v>
      </c>
    </row>
    <row r="3822" spans="1:29" ht="11.65" hidden="1" x14ac:dyDescent="0.35">
      <c r="A3822" s="12">
        <v>3805</v>
      </c>
      <c r="B3822" s="10" t="s">
        <v>1015</v>
      </c>
      <c r="C3822" s="11" t="s">
        <v>1278</v>
      </c>
      <c r="D3822" s="9"/>
      <c r="E3822" s="9">
        <v>124</v>
      </c>
      <c r="F3822" s="10" t="s">
        <v>1066</v>
      </c>
      <c r="G3822" s="9">
        <v>918</v>
      </c>
      <c r="H3822" s="9">
        <v>1995</v>
      </c>
      <c r="I3822" s="8">
        <v>962.73400000000004</v>
      </c>
      <c r="J3822" s="8">
        <v>966.476</v>
      </c>
      <c r="K3822" s="8">
        <v>967.10699999999997</v>
      </c>
      <c r="L3822" s="8">
        <v>957.99</v>
      </c>
      <c r="M3822" s="8">
        <v>982.29300000000001</v>
      </c>
      <c r="N3822" s="8">
        <v>1078.452</v>
      </c>
      <c r="O3822" s="8">
        <v>1289.82</v>
      </c>
      <c r="P3822" s="8">
        <v>1276.239</v>
      </c>
      <c r="Q3822" s="8">
        <v>1152.444</v>
      </c>
      <c r="R3822" s="8">
        <v>1021.414</v>
      </c>
      <c r="S3822" s="8">
        <v>790.697</v>
      </c>
      <c r="T3822" s="8">
        <v>651.846</v>
      </c>
      <c r="U3822" s="8">
        <v>612.56100000000004</v>
      </c>
      <c r="V3822" s="8">
        <v>584.99699999999996</v>
      </c>
      <c r="W3822" s="8">
        <v>533.26800000000003</v>
      </c>
      <c r="X3822" s="8">
        <v>389.96</v>
      </c>
      <c r="Y3822" s="8">
        <v>277.22500000000002</v>
      </c>
      <c r="Z3822" s="8">
        <v>150.79499999999999</v>
      </c>
      <c r="AA3822" s="8">
        <v>61.026000000000003</v>
      </c>
      <c r="AB3822" s="8">
        <v>16.175000000000001</v>
      </c>
      <c r="AC3822" s="8">
        <v>2.4950000000000001</v>
      </c>
    </row>
    <row r="3823" spans="1:29" ht="11.65" hidden="1" x14ac:dyDescent="0.35">
      <c r="A3823" s="12">
        <v>3806</v>
      </c>
      <c r="B3823" s="10" t="s">
        <v>1015</v>
      </c>
      <c r="C3823" s="11" t="s">
        <v>1278</v>
      </c>
      <c r="D3823" s="9"/>
      <c r="E3823" s="9">
        <v>124</v>
      </c>
      <c r="F3823" s="10" t="s">
        <v>1066</v>
      </c>
      <c r="G3823" s="9">
        <v>918</v>
      </c>
      <c r="H3823" s="9">
        <v>2000</v>
      </c>
      <c r="I3823" s="8">
        <v>872.149</v>
      </c>
      <c r="J3823" s="8">
        <v>989.22900000000004</v>
      </c>
      <c r="K3823" s="8">
        <v>998.47</v>
      </c>
      <c r="L3823" s="8">
        <v>1014.575</v>
      </c>
      <c r="M3823" s="8">
        <v>1007.4</v>
      </c>
      <c r="N3823" s="8">
        <v>1019.803</v>
      </c>
      <c r="O3823" s="8">
        <v>1118.597</v>
      </c>
      <c r="P3823" s="8">
        <v>1322.7929999999999</v>
      </c>
      <c r="Q3823" s="8">
        <v>1295.4079999999999</v>
      </c>
      <c r="R3823" s="8">
        <v>1160.933</v>
      </c>
      <c r="S3823" s="8">
        <v>1017.6559999999999</v>
      </c>
      <c r="T3823" s="8">
        <v>782.28800000000001</v>
      </c>
      <c r="U3823" s="8">
        <v>640.44500000000005</v>
      </c>
      <c r="V3823" s="8">
        <v>591.00400000000002</v>
      </c>
      <c r="W3823" s="8">
        <v>544.27099999999996</v>
      </c>
      <c r="X3823" s="8">
        <v>468.13200000000001</v>
      </c>
      <c r="Y3823" s="8">
        <v>312.50400000000002</v>
      </c>
      <c r="Z3823" s="8">
        <v>184.648</v>
      </c>
      <c r="AA3823" s="8">
        <v>74.05</v>
      </c>
      <c r="AB3823" s="8">
        <v>18.888000000000002</v>
      </c>
      <c r="AC3823" s="8">
        <v>2.8180000000000001</v>
      </c>
    </row>
    <row r="3824" spans="1:29" ht="11.65" hidden="1" x14ac:dyDescent="0.35">
      <c r="A3824" s="12">
        <v>3807</v>
      </c>
      <c r="B3824" s="10" t="s">
        <v>1015</v>
      </c>
      <c r="C3824" s="11" t="s">
        <v>1278</v>
      </c>
      <c r="D3824" s="9"/>
      <c r="E3824" s="9">
        <v>124</v>
      </c>
      <c r="F3824" s="10" t="s">
        <v>1066</v>
      </c>
      <c r="G3824" s="9">
        <v>918</v>
      </c>
      <c r="H3824" s="9">
        <v>2005</v>
      </c>
      <c r="I3824" s="8">
        <v>831.61400000000003</v>
      </c>
      <c r="J3824" s="8">
        <v>907.28899999999999</v>
      </c>
      <c r="K3824" s="8">
        <v>1032.9159999999999</v>
      </c>
      <c r="L3824" s="8">
        <v>1054.491</v>
      </c>
      <c r="M3824" s="8">
        <v>1087.81</v>
      </c>
      <c r="N3824" s="8">
        <v>1064.8030000000001</v>
      </c>
      <c r="O3824" s="8">
        <v>1079.7650000000001</v>
      </c>
      <c r="P3824" s="8">
        <v>1163.223</v>
      </c>
      <c r="Q3824" s="8">
        <v>1358.3689999999999</v>
      </c>
      <c r="R3824" s="8">
        <v>1304.6869999999999</v>
      </c>
      <c r="S3824" s="8">
        <v>1162.7159999999999</v>
      </c>
      <c r="T3824" s="8">
        <v>1010.927</v>
      </c>
      <c r="U3824" s="8">
        <v>777.62800000000004</v>
      </c>
      <c r="V3824" s="8">
        <v>621.99099999999999</v>
      </c>
      <c r="W3824" s="8">
        <v>554.86599999999999</v>
      </c>
      <c r="X3824" s="8">
        <v>485.03199999999998</v>
      </c>
      <c r="Y3824" s="8">
        <v>385.87299999999999</v>
      </c>
      <c r="Z3824" s="8">
        <v>214.23400000000001</v>
      </c>
      <c r="AA3824" s="8">
        <v>93.771000000000001</v>
      </c>
      <c r="AB3824" s="8">
        <v>23.582999999999998</v>
      </c>
      <c r="AC3824" s="8">
        <v>3.2810000000000001</v>
      </c>
    </row>
    <row r="3825" spans="1:29" ht="11.65" hidden="1" x14ac:dyDescent="0.35">
      <c r="A3825" s="12">
        <v>3808</v>
      </c>
      <c r="B3825" s="10" t="s">
        <v>1015</v>
      </c>
      <c r="C3825" s="11" t="s">
        <v>1278</v>
      </c>
      <c r="D3825" s="9"/>
      <c r="E3825" s="9">
        <v>124</v>
      </c>
      <c r="F3825" s="10" t="s">
        <v>1066</v>
      </c>
      <c r="G3825" s="9">
        <v>918</v>
      </c>
      <c r="H3825" s="9">
        <v>2010</v>
      </c>
      <c r="I3825" s="8">
        <v>918.83799999999997</v>
      </c>
      <c r="J3825" s="8">
        <v>876.31799999999998</v>
      </c>
      <c r="K3825" s="8">
        <v>944.35599999999999</v>
      </c>
      <c r="L3825" s="8">
        <v>1087.72</v>
      </c>
      <c r="M3825" s="8">
        <v>1156.0229999999999</v>
      </c>
      <c r="N3825" s="8">
        <v>1189.2429999999999</v>
      </c>
      <c r="O3825" s="8">
        <v>1155.079</v>
      </c>
      <c r="P3825" s="8">
        <v>1142.97</v>
      </c>
      <c r="Q3825" s="8">
        <v>1200.7370000000001</v>
      </c>
      <c r="R3825" s="8">
        <v>1385.864</v>
      </c>
      <c r="S3825" s="8">
        <v>1307.0920000000001</v>
      </c>
      <c r="T3825" s="8">
        <v>1157.8499999999999</v>
      </c>
      <c r="U3825" s="8">
        <v>1000.01</v>
      </c>
      <c r="V3825" s="8">
        <v>756.22799999999995</v>
      </c>
      <c r="W3825" s="8">
        <v>585.00300000000004</v>
      </c>
      <c r="X3825" s="8">
        <v>501.75099999999998</v>
      </c>
      <c r="Y3825" s="8">
        <v>414.88099999999997</v>
      </c>
      <c r="Z3825" s="8">
        <v>275.154</v>
      </c>
      <c r="AA3825" s="8">
        <v>114.55</v>
      </c>
      <c r="AB3825" s="8">
        <v>31.798999999999999</v>
      </c>
      <c r="AC3825" s="8">
        <v>4.2919999999999998</v>
      </c>
    </row>
    <row r="3826" spans="1:29" ht="11.65" hidden="1" x14ac:dyDescent="0.35">
      <c r="A3826" s="12">
        <v>3809</v>
      </c>
      <c r="B3826" s="10" t="s">
        <v>1015</v>
      </c>
      <c r="C3826" s="11" t="s">
        <v>1278</v>
      </c>
      <c r="D3826" s="9"/>
      <c r="E3826" s="9">
        <v>124</v>
      </c>
      <c r="F3826" s="10" t="s">
        <v>1066</v>
      </c>
      <c r="G3826" s="9">
        <v>918</v>
      </c>
      <c r="H3826" s="9">
        <v>2015</v>
      </c>
      <c r="I3826" s="8">
        <v>950.25199999999995</v>
      </c>
      <c r="J3826" s="8">
        <v>955.84500000000003</v>
      </c>
      <c r="K3826" s="8">
        <v>901.601</v>
      </c>
      <c r="L3826" s="8">
        <v>1034.682</v>
      </c>
      <c r="M3826" s="8">
        <v>1232.5170000000001</v>
      </c>
      <c r="N3826" s="8">
        <v>1230.1469999999999</v>
      </c>
      <c r="O3826" s="8">
        <v>1278.3630000000001</v>
      </c>
      <c r="P3826" s="8">
        <v>1207.768</v>
      </c>
      <c r="Q3826" s="8">
        <v>1177.7929999999999</v>
      </c>
      <c r="R3826" s="8">
        <v>1204.356</v>
      </c>
      <c r="S3826" s="8">
        <v>1388.633</v>
      </c>
      <c r="T3826" s="8">
        <v>1309.444</v>
      </c>
      <c r="U3826" s="8">
        <v>1137.271</v>
      </c>
      <c r="V3826" s="8">
        <v>975.54399999999998</v>
      </c>
      <c r="W3826" s="8">
        <v>718.97199999999998</v>
      </c>
      <c r="X3826" s="8">
        <v>536.404</v>
      </c>
      <c r="Y3826" s="8">
        <v>423.54300000000001</v>
      </c>
      <c r="Z3826" s="8">
        <v>303.137</v>
      </c>
      <c r="AA3826" s="8">
        <v>151.21899999999999</v>
      </c>
      <c r="AB3826" s="8">
        <v>39.363999999999997</v>
      </c>
      <c r="AC3826" s="8">
        <v>5.6749999999999998</v>
      </c>
    </row>
    <row r="3827" spans="1:29" ht="11.65" hidden="1" x14ac:dyDescent="0.35">
      <c r="A3827" s="12">
        <v>3810</v>
      </c>
      <c r="B3827" s="10" t="s">
        <v>1015</v>
      </c>
      <c r="C3827" s="11" t="s">
        <v>1278</v>
      </c>
      <c r="D3827" s="9"/>
      <c r="E3827" s="9">
        <v>124</v>
      </c>
      <c r="F3827" s="10" t="s">
        <v>1066</v>
      </c>
      <c r="G3827" s="9">
        <v>918</v>
      </c>
      <c r="H3827" s="9">
        <v>2020</v>
      </c>
      <c r="I3827" s="8">
        <v>972.20699999999999</v>
      </c>
      <c r="J3827" s="8">
        <v>966.024</v>
      </c>
      <c r="K3827" s="8">
        <v>968.77099999999996</v>
      </c>
      <c r="L3827" s="8">
        <v>971.03800000000001</v>
      </c>
      <c r="M3827" s="8">
        <v>1155.2360000000001</v>
      </c>
      <c r="N3827" s="8">
        <v>1343.606</v>
      </c>
      <c r="O3827" s="8">
        <v>1310.4090000000001</v>
      </c>
      <c r="P3827" s="8">
        <v>1330.404</v>
      </c>
      <c r="Q3827" s="8">
        <v>1239.077</v>
      </c>
      <c r="R3827" s="8">
        <v>1193.6869999999999</v>
      </c>
      <c r="S3827" s="8">
        <v>1207.4970000000001</v>
      </c>
      <c r="T3827" s="8">
        <v>1378.1790000000001</v>
      </c>
      <c r="U3827" s="8">
        <v>1287.326</v>
      </c>
      <c r="V3827" s="8">
        <v>1102.7819999999999</v>
      </c>
      <c r="W3827" s="8">
        <v>925.42700000000002</v>
      </c>
      <c r="X3827" s="8">
        <v>657.53700000000003</v>
      </c>
      <c r="Y3827" s="8">
        <v>458.654</v>
      </c>
      <c r="Z3827" s="8">
        <v>313.37200000000001</v>
      </c>
      <c r="AA3827" s="8">
        <v>169.08099999999999</v>
      </c>
      <c r="AB3827" s="8">
        <v>52.593000000000004</v>
      </c>
      <c r="AC3827" s="8">
        <v>7.0720000000000001</v>
      </c>
    </row>
    <row r="3828" spans="1:29" ht="11.65" hidden="1" x14ac:dyDescent="0.35">
      <c r="A3828" s="12">
        <v>3811</v>
      </c>
      <c r="B3828" s="10" t="s">
        <v>1015</v>
      </c>
      <c r="C3828" s="11" t="s">
        <v>1279</v>
      </c>
      <c r="D3828" s="9">
        <v>29</v>
      </c>
      <c r="E3828" s="9">
        <v>840</v>
      </c>
      <c r="F3828" s="10" t="s">
        <v>1066</v>
      </c>
      <c r="G3828" s="9">
        <v>918</v>
      </c>
      <c r="H3828" s="9">
        <v>1950</v>
      </c>
      <c r="I3828" s="8">
        <v>8424.5779999999995</v>
      </c>
      <c r="J3828" s="8">
        <v>6740.6040000000003</v>
      </c>
      <c r="K3828" s="8">
        <v>5684.4930000000004</v>
      </c>
      <c r="L3828" s="8">
        <v>5549.2659999999996</v>
      </c>
      <c r="M3828" s="8">
        <v>6144.93</v>
      </c>
      <c r="N3828" s="8">
        <v>6464.9059999999999</v>
      </c>
      <c r="O3828" s="8">
        <v>6098.9629999999997</v>
      </c>
      <c r="P3828" s="8">
        <v>5811.5609999999997</v>
      </c>
      <c r="Q3828" s="8">
        <v>5354.2569999999996</v>
      </c>
      <c r="R3828" s="8">
        <v>4754.6260000000002</v>
      </c>
      <c r="S3828" s="8">
        <v>4349.4610000000002</v>
      </c>
      <c r="T3828" s="8">
        <v>3853.1619999999998</v>
      </c>
      <c r="U3828" s="8">
        <v>3381.4549999999999</v>
      </c>
      <c r="V3828" s="8">
        <v>2871.9650000000001</v>
      </c>
      <c r="W3828" s="8">
        <v>1867.607</v>
      </c>
      <c r="X3828" s="8">
        <v>1193.194</v>
      </c>
      <c r="Y3828" s="8">
        <v>566.62599999999998</v>
      </c>
      <c r="Z3828" s="8">
        <v>302.49799999999999</v>
      </c>
      <c r="AA3828" s="8">
        <v>120.379</v>
      </c>
      <c r="AB3828" s="8">
        <v>31.581</v>
      </c>
      <c r="AC3828" s="8">
        <v>5.0670000000000002</v>
      </c>
    </row>
    <row r="3829" spans="1:29" ht="11.65" hidden="1" x14ac:dyDescent="0.35">
      <c r="A3829" s="12">
        <v>3812</v>
      </c>
      <c r="B3829" s="10" t="s">
        <v>1015</v>
      </c>
      <c r="C3829" s="11" t="s">
        <v>1279</v>
      </c>
      <c r="D3829" s="9">
        <v>29</v>
      </c>
      <c r="E3829" s="9">
        <v>840</v>
      </c>
      <c r="F3829" s="10" t="s">
        <v>1066</v>
      </c>
      <c r="G3829" s="9">
        <v>918</v>
      </c>
      <c r="H3829" s="9">
        <v>1955</v>
      </c>
      <c r="I3829" s="8">
        <v>9434.65</v>
      </c>
      <c r="J3829" s="8">
        <v>8402.2759999999998</v>
      </c>
      <c r="K3829" s="8">
        <v>6800.6859999999997</v>
      </c>
      <c r="L3829" s="8">
        <v>5680.1379999999999</v>
      </c>
      <c r="M3829" s="8">
        <v>5564.1840000000002</v>
      </c>
      <c r="N3829" s="8">
        <v>6136.1049999999996</v>
      </c>
      <c r="O3829" s="8">
        <v>6465.1970000000001</v>
      </c>
      <c r="P3829" s="8">
        <v>6073.5020000000004</v>
      </c>
      <c r="Q3829" s="8">
        <v>5740.8980000000001</v>
      </c>
      <c r="R3829" s="8">
        <v>5090.2640000000001</v>
      </c>
      <c r="S3829" s="8">
        <v>4930.3720000000003</v>
      </c>
      <c r="T3829" s="8">
        <v>4155.5770000000002</v>
      </c>
      <c r="U3829" s="8">
        <v>3729.8150000000001</v>
      </c>
      <c r="V3829" s="8">
        <v>3119.761</v>
      </c>
      <c r="W3829" s="8">
        <v>2346.7629999999999</v>
      </c>
      <c r="X3829" s="8">
        <v>1449.914</v>
      </c>
      <c r="Y3829" s="8">
        <v>826.03099999999995</v>
      </c>
      <c r="Z3829" s="8">
        <v>294.84800000000001</v>
      </c>
      <c r="AA3829" s="8">
        <v>113.47499999999999</v>
      </c>
      <c r="AB3829" s="8">
        <v>29.31</v>
      </c>
      <c r="AC3829" s="8">
        <v>4.9530000000000003</v>
      </c>
    </row>
    <row r="3830" spans="1:29" ht="11.65" hidden="1" x14ac:dyDescent="0.35">
      <c r="A3830" s="12">
        <v>3813</v>
      </c>
      <c r="B3830" s="10" t="s">
        <v>1015</v>
      </c>
      <c r="C3830" s="11" t="s">
        <v>1279</v>
      </c>
      <c r="D3830" s="9">
        <v>29</v>
      </c>
      <c r="E3830" s="9">
        <v>840</v>
      </c>
      <c r="F3830" s="10" t="s">
        <v>1066</v>
      </c>
      <c r="G3830" s="9">
        <v>918</v>
      </c>
      <c r="H3830" s="9">
        <v>1960</v>
      </c>
      <c r="I3830" s="8">
        <v>10151.001</v>
      </c>
      <c r="J3830" s="8">
        <v>9444.1560000000009</v>
      </c>
      <c r="K3830" s="8">
        <v>8450.7440000000006</v>
      </c>
      <c r="L3830" s="8">
        <v>6764.9579999999996</v>
      </c>
      <c r="M3830" s="8">
        <v>5787.8649999999998</v>
      </c>
      <c r="N3830" s="8">
        <v>5651.6189999999997</v>
      </c>
      <c r="O3830" s="8">
        <v>6203.9380000000001</v>
      </c>
      <c r="P3830" s="8">
        <v>6465.7240000000002</v>
      </c>
      <c r="Q3830" s="8">
        <v>6027.4750000000004</v>
      </c>
      <c r="R3830" s="8">
        <v>5700.1509999999998</v>
      </c>
      <c r="S3830" s="8">
        <v>5292.2709999999997</v>
      </c>
      <c r="T3830" s="8">
        <v>4821.32</v>
      </c>
      <c r="U3830" s="8">
        <v>4013.5540000000001</v>
      </c>
      <c r="V3830" s="8">
        <v>3395.2730000000001</v>
      </c>
      <c r="W3830" s="8">
        <v>2598.1080000000002</v>
      </c>
      <c r="X3830" s="8">
        <v>1876.347</v>
      </c>
      <c r="Y3830" s="8">
        <v>989.22799999999995</v>
      </c>
      <c r="Z3830" s="8">
        <v>434.22699999999998</v>
      </c>
      <c r="AA3830" s="8">
        <v>110.29300000000001</v>
      </c>
      <c r="AB3830" s="8">
        <v>27.309000000000001</v>
      </c>
      <c r="AC3830" s="8">
        <v>4.407</v>
      </c>
    </row>
    <row r="3831" spans="1:29" ht="11.65" hidden="1" x14ac:dyDescent="0.35">
      <c r="A3831" s="12">
        <v>3814</v>
      </c>
      <c r="B3831" s="10" t="s">
        <v>1015</v>
      </c>
      <c r="C3831" s="11" t="s">
        <v>1279</v>
      </c>
      <c r="D3831" s="9">
        <v>29</v>
      </c>
      <c r="E3831" s="9">
        <v>840</v>
      </c>
      <c r="F3831" s="10" t="s">
        <v>1066</v>
      </c>
      <c r="G3831" s="9">
        <v>918</v>
      </c>
      <c r="H3831" s="9">
        <v>1965</v>
      </c>
      <c r="I3831" s="8">
        <v>9677.5229999999992</v>
      </c>
      <c r="J3831" s="8">
        <v>10200.458000000001</v>
      </c>
      <c r="K3831" s="8">
        <v>9500.7950000000001</v>
      </c>
      <c r="L3831" s="8">
        <v>8517.4</v>
      </c>
      <c r="M3831" s="8">
        <v>6960.259</v>
      </c>
      <c r="N3831" s="8">
        <v>5858.32</v>
      </c>
      <c r="O3831" s="8">
        <v>5687.9430000000002</v>
      </c>
      <c r="P3831" s="8">
        <v>6195.4009999999998</v>
      </c>
      <c r="Q3831" s="8">
        <v>6429.1760000000004</v>
      </c>
      <c r="R3831" s="8">
        <v>5951.9709999999995</v>
      </c>
      <c r="S3831" s="8">
        <v>5532.183</v>
      </c>
      <c r="T3831" s="8">
        <v>5209.8500000000004</v>
      </c>
      <c r="U3831" s="8">
        <v>4482.1210000000001</v>
      </c>
      <c r="V3831" s="8">
        <v>3674.5540000000001</v>
      </c>
      <c r="W3831" s="8">
        <v>2988.48</v>
      </c>
      <c r="X3831" s="8">
        <v>2113.1909999999998</v>
      </c>
      <c r="Y3831" s="8">
        <v>1268.692</v>
      </c>
      <c r="Z3831" s="8">
        <v>528.09799999999996</v>
      </c>
      <c r="AA3831" s="8">
        <v>163.64400000000001</v>
      </c>
      <c r="AB3831" s="8">
        <v>26.413</v>
      </c>
      <c r="AC3831" s="8">
        <v>3.9620000000000002</v>
      </c>
    </row>
    <row r="3832" spans="1:29" ht="11.65" hidden="1" x14ac:dyDescent="0.35">
      <c r="A3832" s="12">
        <v>3815</v>
      </c>
      <c r="B3832" s="10" t="s">
        <v>1015</v>
      </c>
      <c r="C3832" s="11" t="s">
        <v>1279</v>
      </c>
      <c r="D3832" s="9">
        <v>29</v>
      </c>
      <c r="E3832" s="9">
        <v>840</v>
      </c>
      <c r="F3832" s="10" t="s">
        <v>1066</v>
      </c>
      <c r="G3832" s="9">
        <v>918</v>
      </c>
      <c r="H3832" s="9">
        <v>1970</v>
      </c>
      <c r="I3832" s="8">
        <v>8612.7479999999996</v>
      </c>
      <c r="J3832" s="8">
        <v>9874.2880000000005</v>
      </c>
      <c r="K3832" s="8">
        <v>10255.726000000001</v>
      </c>
      <c r="L3832" s="8">
        <v>9565.1280000000006</v>
      </c>
      <c r="M3832" s="8">
        <v>8603.5669999999991</v>
      </c>
      <c r="N3832" s="8">
        <v>6962.4650000000001</v>
      </c>
      <c r="O3832" s="8">
        <v>5926.1180000000004</v>
      </c>
      <c r="P3832" s="8">
        <v>5707.2359999999999</v>
      </c>
      <c r="Q3832" s="8">
        <v>6179.5540000000001</v>
      </c>
      <c r="R3832" s="8">
        <v>6346.84</v>
      </c>
      <c r="S3832" s="8">
        <v>5808.692</v>
      </c>
      <c r="T3832" s="8">
        <v>5369.0029999999997</v>
      </c>
      <c r="U3832" s="8">
        <v>4846.2669999999998</v>
      </c>
      <c r="V3832" s="8">
        <v>4186.3100000000004</v>
      </c>
      <c r="W3832" s="8">
        <v>3224.5920000000001</v>
      </c>
      <c r="X3832" s="8">
        <v>2408.11</v>
      </c>
      <c r="Y3832" s="8">
        <v>1498.806</v>
      </c>
      <c r="Z3832" s="8">
        <v>700.10199999999998</v>
      </c>
      <c r="AA3832" s="8">
        <v>207.375</v>
      </c>
      <c r="AB3832" s="8">
        <v>40.814</v>
      </c>
      <c r="AC3832" s="8">
        <v>3.996</v>
      </c>
    </row>
    <row r="3833" spans="1:29" ht="11.65" hidden="1" x14ac:dyDescent="0.35">
      <c r="A3833" s="12">
        <v>3816</v>
      </c>
      <c r="B3833" s="10" t="s">
        <v>1015</v>
      </c>
      <c r="C3833" s="11" t="s">
        <v>1279</v>
      </c>
      <c r="D3833" s="9">
        <v>29</v>
      </c>
      <c r="E3833" s="9">
        <v>840</v>
      </c>
      <c r="F3833" s="10" t="s">
        <v>1066</v>
      </c>
      <c r="G3833" s="9">
        <v>918</v>
      </c>
      <c r="H3833" s="9">
        <v>1975</v>
      </c>
      <c r="I3833" s="8">
        <v>8074.567</v>
      </c>
      <c r="J3833" s="8">
        <v>8724.1329999999998</v>
      </c>
      <c r="K3833" s="8">
        <v>9994.4240000000009</v>
      </c>
      <c r="L3833" s="8">
        <v>10384.109</v>
      </c>
      <c r="M3833" s="8">
        <v>9732.027</v>
      </c>
      <c r="N3833" s="8">
        <v>8731.4390000000003</v>
      </c>
      <c r="O3833" s="8">
        <v>7140.4759999999997</v>
      </c>
      <c r="P3833" s="8">
        <v>5933.424</v>
      </c>
      <c r="Q3833" s="8">
        <v>5685.7969999999996</v>
      </c>
      <c r="R3833" s="8">
        <v>6100.4340000000002</v>
      </c>
      <c r="S3833" s="8">
        <v>6197.4470000000001</v>
      </c>
      <c r="T3833" s="8">
        <v>5624.2479999999996</v>
      </c>
      <c r="U3833" s="8">
        <v>5053.2349999999997</v>
      </c>
      <c r="V3833" s="8">
        <v>4623.2619999999997</v>
      </c>
      <c r="W3833" s="8">
        <v>3586.5320000000002</v>
      </c>
      <c r="X3833" s="8">
        <v>2692.0970000000002</v>
      </c>
      <c r="Y3833" s="8">
        <v>1834.7650000000001</v>
      </c>
      <c r="Z3833" s="8">
        <v>870.17600000000004</v>
      </c>
      <c r="AA3833" s="8">
        <v>295.18400000000003</v>
      </c>
      <c r="AB3833" s="8">
        <v>56.287999999999997</v>
      </c>
      <c r="AC3833" s="8">
        <v>6.4749999999999996</v>
      </c>
    </row>
    <row r="3834" spans="1:29" ht="11.65" hidden="1" x14ac:dyDescent="0.35">
      <c r="A3834" s="12">
        <v>3817</v>
      </c>
      <c r="B3834" s="10" t="s">
        <v>1015</v>
      </c>
      <c r="C3834" s="11" t="s">
        <v>1279</v>
      </c>
      <c r="D3834" s="9">
        <v>29</v>
      </c>
      <c r="E3834" s="9">
        <v>840</v>
      </c>
      <c r="F3834" s="10" t="s">
        <v>1066</v>
      </c>
      <c r="G3834" s="9">
        <v>918</v>
      </c>
      <c r="H3834" s="9">
        <v>1980</v>
      </c>
      <c r="I3834" s="8">
        <v>8032.1559999999999</v>
      </c>
      <c r="J3834" s="8">
        <v>8150.4459999999999</v>
      </c>
      <c r="K3834" s="8">
        <v>8916.5370000000003</v>
      </c>
      <c r="L3834" s="8">
        <v>10206.011</v>
      </c>
      <c r="M3834" s="8">
        <v>10621.793</v>
      </c>
      <c r="N3834" s="8">
        <v>9917.1180000000004</v>
      </c>
      <c r="O3834" s="8">
        <v>8957.8829999999998</v>
      </c>
      <c r="P3834" s="8">
        <v>7147.0119999999997</v>
      </c>
      <c r="Q3834" s="8">
        <v>5983.8429999999998</v>
      </c>
      <c r="R3834" s="8">
        <v>5687.8059999999996</v>
      </c>
      <c r="S3834" s="8">
        <v>6072.31</v>
      </c>
      <c r="T3834" s="8">
        <v>6113.3440000000001</v>
      </c>
      <c r="U3834" s="8">
        <v>5443.7340000000004</v>
      </c>
      <c r="V3834" s="8">
        <v>4870.9030000000002</v>
      </c>
      <c r="W3834" s="8">
        <v>4126.8459999999995</v>
      </c>
      <c r="X3834" s="8">
        <v>3137.1219999999998</v>
      </c>
      <c r="Y3834" s="8">
        <v>1928.991</v>
      </c>
      <c r="Z3834" s="8">
        <v>1137.316</v>
      </c>
      <c r="AA3834" s="8">
        <v>402.77699999999999</v>
      </c>
      <c r="AB3834" s="8">
        <v>90.353999999999999</v>
      </c>
      <c r="AC3834" s="8">
        <v>10.276</v>
      </c>
    </row>
    <row r="3835" spans="1:29" ht="11.65" hidden="1" x14ac:dyDescent="0.35">
      <c r="A3835" s="12">
        <v>3818</v>
      </c>
      <c r="B3835" s="10" t="s">
        <v>1015</v>
      </c>
      <c r="C3835" s="11" t="s">
        <v>1279</v>
      </c>
      <c r="D3835" s="9">
        <v>29</v>
      </c>
      <c r="E3835" s="9">
        <v>840</v>
      </c>
      <c r="F3835" s="10" t="s">
        <v>1066</v>
      </c>
      <c r="G3835" s="9">
        <v>918</v>
      </c>
      <c r="H3835" s="9">
        <v>1985</v>
      </c>
      <c r="I3835" s="8">
        <v>8684.3220000000001</v>
      </c>
      <c r="J3835" s="8">
        <v>8150.3059999999996</v>
      </c>
      <c r="K3835" s="8">
        <v>8382.3320000000003</v>
      </c>
      <c r="L3835" s="8">
        <v>9175.3799999999992</v>
      </c>
      <c r="M3835" s="8">
        <v>10407.366</v>
      </c>
      <c r="N3835" s="8">
        <v>10788.64</v>
      </c>
      <c r="O3835" s="8">
        <v>10140.347</v>
      </c>
      <c r="P3835" s="8">
        <v>8940.5059999999994</v>
      </c>
      <c r="Q3835" s="8">
        <v>7185.6850000000004</v>
      </c>
      <c r="R3835" s="8">
        <v>5941.4780000000001</v>
      </c>
      <c r="S3835" s="8">
        <v>5627.0739999999996</v>
      </c>
      <c r="T3835" s="8">
        <v>5918.7809999999999</v>
      </c>
      <c r="U3835" s="8">
        <v>5835.8919999999998</v>
      </c>
      <c r="V3835" s="8">
        <v>5191.1790000000001</v>
      </c>
      <c r="W3835" s="8">
        <v>4337.451</v>
      </c>
      <c r="X3835" s="8">
        <v>3534.2710000000002</v>
      </c>
      <c r="Y3835" s="8">
        <v>2370.3150000000001</v>
      </c>
      <c r="Z3835" s="8">
        <v>1223.944</v>
      </c>
      <c r="AA3835" s="8">
        <v>544.75300000000004</v>
      </c>
      <c r="AB3835" s="8">
        <v>128.53</v>
      </c>
      <c r="AC3835" s="8">
        <v>17.260999999999999</v>
      </c>
    </row>
    <row r="3836" spans="1:29" ht="11.65" hidden="1" x14ac:dyDescent="0.35">
      <c r="A3836" s="12">
        <v>3819</v>
      </c>
      <c r="B3836" s="10" t="s">
        <v>1015</v>
      </c>
      <c r="C3836" s="11" t="s">
        <v>1279</v>
      </c>
      <c r="D3836" s="9">
        <v>29</v>
      </c>
      <c r="E3836" s="9">
        <v>840</v>
      </c>
      <c r="F3836" s="10" t="s">
        <v>1066</v>
      </c>
      <c r="G3836" s="9">
        <v>918</v>
      </c>
      <c r="H3836" s="9">
        <v>1990</v>
      </c>
      <c r="I3836" s="8">
        <v>9398.3209999999999</v>
      </c>
      <c r="J3836" s="8">
        <v>8798.6839999999993</v>
      </c>
      <c r="K3836" s="8">
        <v>8491.0030000000006</v>
      </c>
      <c r="L3836" s="8">
        <v>8722.4150000000009</v>
      </c>
      <c r="M3836" s="8">
        <v>9413.1080000000002</v>
      </c>
      <c r="N3836" s="8">
        <v>10468.975</v>
      </c>
      <c r="O3836" s="8">
        <v>11017.463</v>
      </c>
      <c r="P3836" s="8">
        <v>10147.751</v>
      </c>
      <c r="Q3836" s="8">
        <v>9043.3919999999998</v>
      </c>
      <c r="R3836" s="8">
        <v>7086.0050000000001</v>
      </c>
      <c r="S3836" s="8">
        <v>5883.2070000000003</v>
      </c>
      <c r="T3836" s="8">
        <v>5478.5259999999998</v>
      </c>
      <c r="U3836" s="8">
        <v>5701.5649999999996</v>
      </c>
      <c r="V3836" s="8">
        <v>5553.424</v>
      </c>
      <c r="W3836" s="8">
        <v>4642.5140000000001</v>
      </c>
      <c r="X3836" s="8">
        <v>3727.2449999999999</v>
      </c>
      <c r="Y3836" s="8">
        <v>2685.9609999999998</v>
      </c>
      <c r="Z3836" s="8">
        <v>1525.7249999999999</v>
      </c>
      <c r="AA3836" s="8">
        <v>589.70899999999995</v>
      </c>
      <c r="AB3836" s="8">
        <v>171.89099999999999</v>
      </c>
      <c r="AC3836" s="8">
        <v>24.071999999999999</v>
      </c>
    </row>
    <row r="3837" spans="1:29" ht="11.65" hidden="1" x14ac:dyDescent="0.35">
      <c r="A3837" s="12">
        <v>3820</v>
      </c>
      <c r="B3837" s="10" t="s">
        <v>1015</v>
      </c>
      <c r="C3837" s="11" t="s">
        <v>1279</v>
      </c>
      <c r="D3837" s="9">
        <v>29</v>
      </c>
      <c r="E3837" s="9">
        <v>840</v>
      </c>
      <c r="F3837" s="10" t="s">
        <v>1066</v>
      </c>
      <c r="G3837" s="9">
        <v>918</v>
      </c>
      <c r="H3837" s="9">
        <v>1995</v>
      </c>
      <c r="I3837" s="8">
        <v>9758</v>
      </c>
      <c r="J3837" s="8">
        <v>9535.9089999999997</v>
      </c>
      <c r="K3837" s="8">
        <v>9221.1440000000002</v>
      </c>
      <c r="L3837" s="8">
        <v>8888.0470000000005</v>
      </c>
      <c r="M3837" s="8">
        <v>8942.1360000000004</v>
      </c>
      <c r="N3837" s="8">
        <v>9648.4869999999992</v>
      </c>
      <c r="O3837" s="8">
        <v>10882.477000000001</v>
      </c>
      <c r="P3837" s="8">
        <v>11111.93</v>
      </c>
      <c r="Q3837" s="8">
        <v>10155.710999999999</v>
      </c>
      <c r="R3837" s="8">
        <v>8854.0370000000003</v>
      </c>
      <c r="S3837" s="8">
        <v>7029.7489999999998</v>
      </c>
      <c r="T3837" s="8">
        <v>5741.5460000000003</v>
      </c>
      <c r="U3837" s="8">
        <v>5284.2510000000002</v>
      </c>
      <c r="V3837" s="8">
        <v>5383.7</v>
      </c>
      <c r="W3837" s="8">
        <v>4952.6409999999996</v>
      </c>
      <c r="X3837" s="8">
        <v>3975.3319999999999</v>
      </c>
      <c r="Y3837" s="8">
        <v>2770.5219999999999</v>
      </c>
      <c r="Z3837" s="8">
        <v>1765.8579999999999</v>
      </c>
      <c r="AA3837" s="8">
        <v>758.62099999999998</v>
      </c>
      <c r="AB3837" s="8">
        <v>191.566</v>
      </c>
      <c r="AC3837" s="8">
        <v>33.378</v>
      </c>
    </row>
    <row r="3838" spans="1:29" ht="11.65" hidden="1" x14ac:dyDescent="0.35">
      <c r="A3838" s="12">
        <v>3821</v>
      </c>
      <c r="B3838" s="10" t="s">
        <v>1015</v>
      </c>
      <c r="C3838" s="11" t="s">
        <v>1279</v>
      </c>
      <c r="D3838" s="9">
        <v>29</v>
      </c>
      <c r="E3838" s="9">
        <v>840</v>
      </c>
      <c r="F3838" s="10" t="s">
        <v>1066</v>
      </c>
      <c r="G3838" s="9">
        <v>918</v>
      </c>
      <c r="H3838" s="9">
        <v>2000</v>
      </c>
      <c r="I3838" s="8">
        <v>9563.6759999999995</v>
      </c>
      <c r="J3838" s="8">
        <v>10176.5</v>
      </c>
      <c r="K3838" s="8">
        <v>10119.062</v>
      </c>
      <c r="L3838" s="8">
        <v>9710.357</v>
      </c>
      <c r="M3838" s="8">
        <v>9329.9330000000009</v>
      </c>
      <c r="N3838" s="8">
        <v>9523.3989999999994</v>
      </c>
      <c r="O3838" s="8">
        <v>10096.342000000001</v>
      </c>
      <c r="P3838" s="8">
        <v>11126.992</v>
      </c>
      <c r="Q3838" s="8">
        <v>11187.666999999999</v>
      </c>
      <c r="R3838" s="8">
        <v>10213.431</v>
      </c>
      <c r="S3838" s="8">
        <v>8959.4310000000005</v>
      </c>
      <c r="T3838" s="8">
        <v>6944.2669999999998</v>
      </c>
      <c r="U3838" s="8">
        <v>5643.768</v>
      </c>
      <c r="V3838" s="8">
        <v>5071.3239999999996</v>
      </c>
      <c r="W3838" s="8">
        <v>4902.5780000000004</v>
      </c>
      <c r="X3838" s="8">
        <v>4325.7290000000003</v>
      </c>
      <c r="Y3838" s="8">
        <v>3126.4580000000001</v>
      </c>
      <c r="Z3838" s="8">
        <v>1806.518</v>
      </c>
      <c r="AA3838" s="8">
        <v>854.11099999999999</v>
      </c>
      <c r="AB3838" s="8">
        <v>233.072</v>
      </c>
      <c r="AC3838" s="8">
        <v>34.710999999999999</v>
      </c>
    </row>
    <row r="3839" spans="1:29" ht="11.65" hidden="1" x14ac:dyDescent="0.35">
      <c r="A3839" s="12">
        <v>3822</v>
      </c>
      <c r="B3839" s="10" t="s">
        <v>1015</v>
      </c>
      <c r="C3839" s="11" t="s">
        <v>1279</v>
      </c>
      <c r="D3839" s="9">
        <v>29</v>
      </c>
      <c r="E3839" s="9">
        <v>840</v>
      </c>
      <c r="F3839" s="10" t="s">
        <v>1066</v>
      </c>
      <c r="G3839" s="9">
        <v>918</v>
      </c>
      <c r="H3839" s="9">
        <v>2005</v>
      </c>
      <c r="I3839" s="8">
        <v>9907.8909999999996</v>
      </c>
      <c r="J3839" s="8">
        <v>9656.0769999999993</v>
      </c>
      <c r="K3839" s="8">
        <v>10512.572</v>
      </c>
      <c r="L3839" s="8">
        <v>10473.588</v>
      </c>
      <c r="M3839" s="8">
        <v>10069.76</v>
      </c>
      <c r="N3839" s="8">
        <v>9669.81</v>
      </c>
      <c r="O3839" s="8">
        <v>9801.9889999999996</v>
      </c>
      <c r="P3839" s="8">
        <v>10297.08</v>
      </c>
      <c r="Q3839" s="8">
        <v>11183.251</v>
      </c>
      <c r="R3839" s="8">
        <v>11165.933000000001</v>
      </c>
      <c r="S3839" s="8">
        <v>10170.432000000001</v>
      </c>
      <c r="T3839" s="8">
        <v>8866.875</v>
      </c>
      <c r="U3839" s="8">
        <v>6784.402</v>
      </c>
      <c r="V3839" s="8">
        <v>5415.7060000000001</v>
      </c>
      <c r="W3839" s="8">
        <v>4679.0990000000002</v>
      </c>
      <c r="X3839" s="8">
        <v>4256.5510000000004</v>
      </c>
      <c r="Y3839" s="8">
        <v>3306.2260000000001</v>
      </c>
      <c r="Z3839" s="8">
        <v>2050.4560000000001</v>
      </c>
      <c r="AA3839" s="8">
        <v>866.35199999999998</v>
      </c>
      <c r="AB3839" s="8">
        <v>253.107</v>
      </c>
      <c r="AC3839" s="8">
        <v>38.271000000000001</v>
      </c>
    </row>
    <row r="3840" spans="1:29" ht="11.65" hidden="1" x14ac:dyDescent="0.35">
      <c r="A3840" s="12">
        <v>3823</v>
      </c>
      <c r="B3840" s="10" t="s">
        <v>1015</v>
      </c>
      <c r="C3840" s="11" t="s">
        <v>1279</v>
      </c>
      <c r="D3840" s="9">
        <v>29</v>
      </c>
      <c r="E3840" s="9">
        <v>840</v>
      </c>
      <c r="F3840" s="10" t="s">
        <v>1066</v>
      </c>
      <c r="G3840" s="9">
        <v>918</v>
      </c>
      <c r="H3840" s="9">
        <v>2010</v>
      </c>
      <c r="I3840" s="8">
        <v>10208.213</v>
      </c>
      <c r="J3840" s="8">
        <v>10093.069</v>
      </c>
      <c r="K3840" s="8">
        <v>10198.921</v>
      </c>
      <c r="L3840" s="8">
        <v>10799.571</v>
      </c>
      <c r="M3840" s="8">
        <v>10634.566999999999</v>
      </c>
      <c r="N3840" s="8">
        <v>10293.776</v>
      </c>
      <c r="O3840" s="8">
        <v>9925.0609999999997</v>
      </c>
      <c r="P3840" s="8">
        <v>10012.876</v>
      </c>
      <c r="Q3840" s="8">
        <v>10368.788</v>
      </c>
      <c r="R3840" s="8">
        <v>11174.124</v>
      </c>
      <c r="S3840" s="8">
        <v>11175.887000000001</v>
      </c>
      <c r="T3840" s="8">
        <v>10096.178</v>
      </c>
      <c r="U3840" s="8">
        <v>8678.7919999999995</v>
      </c>
      <c r="V3840" s="8">
        <v>6536.9380000000001</v>
      </c>
      <c r="W3840" s="8">
        <v>5012.4709999999995</v>
      </c>
      <c r="X3840" s="8">
        <v>4093.241</v>
      </c>
      <c r="Y3840" s="8">
        <v>3471.0479999999998</v>
      </c>
      <c r="Z3840" s="8">
        <v>2264.7649999999999</v>
      </c>
      <c r="AA3840" s="8">
        <v>1042.2670000000001</v>
      </c>
      <c r="AB3840" s="8">
        <v>275.41399999999999</v>
      </c>
      <c r="AC3840" s="8">
        <v>44.591999999999999</v>
      </c>
    </row>
    <row r="3841" spans="1:29" ht="11.65" hidden="1" x14ac:dyDescent="0.35">
      <c r="A3841" s="12">
        <v>3824</v>
      </c>
      <c r="B3841" s="10" t="s">
        <v>1015</v>
      </c>
      <c r="C3841" s="11" t="s">
        <v>1279</v>
      </c>
      <c r="D3841" s="9">
        <v>29</v>
      </c>
      <c r="E3841" s="9">
        <v>840</v>
      </c>
      <c r="F3841" s="10" t="s">
        <v>1066</v>
      </c>
      <c r="G3841" s="9">
        <v>918</v>
      </c>
      <c r="H3841" s="9">
        <v>2015</v>
      </c>
      <c r="I3841" s="8">
        <v>9742.8389999999999</v>
      </c>
      <c r="J3841" s="8">
        <v>10265.653</v>
      </c>
      <c r="K3841" s="8">
        <v>10142.352999999999</v>
      </c>
      <c r="L3841" s="8">
        <v>10476.879999999999</v>
      </c>
      <c r="M3841" s="8">
        <v>11279.532999999999</v>
      </c>
      <c r="N3841" s="8">
        <v>11070.460999999999</v>
      </c>
      <c r="O3841" s="8">
        <v>10597.46</v>
      </c>
      <c r="P3841" s="8">
        <v>10106.222</v>
      </c>
      <c r="Q3841" s="8">
        <v>10095.142</v>
      </c>
      <c r="R3841" s="8">
        <v>10360.299000000001</v>
      </c>
      <c r="S3841" s="8">
        <v>11061.735000000001</v>
      </c>
      <c r="T3841" s="8">
        <v>10961.28</v>
      </c>
      <c r="U3841" s="8">
        <v>9798.1029999999992</v>
      </c>
      <c r="V3841" s="8">
        <v>8285.4480000000003</v>
      </c>
      <c r="W3841" s="8">
        <v>6071.1319999999996</v>
      </c>
      <c r="X3841" s="8">
        <v>4447.5600000000004</v>
      </c>
      <c r="Y3841" s="8">
        <v>3344.864</v>
      </c>
      <c r="Z3841" s="8">
        <v>2441.6390000000001</v>
      </c>
      <c r="AA3841" s="8">
        <v>1208.999</v>
      </c>
      <c r="AB3841" s="8">
        <v>355.017</v>
      </c>
      <c r="AC3841" s="8">
        <v>53.572000000000003</v>
      </c>
    </row>
    <row r="3842" spans="1:29" ht="11.65" hidden="1" x14ac:dyDescent="0.35">
      <c r="A3842" s="12">
        <v>3825</v>
      </c>
      <c r="B3842" s="10" t="s">
        <v>1015</v>
      </c>
      <c r="C3842" s="11" t="s">
        <v>1279</v>
      </c>
      <c r="D3842" s="9">
        <v>29</v>
      </c>
      <c r="E3842" s="9">
        <v>840</v>
      </c>
      <c r="F3842" s="10" t="s">
        <v>1066</v>
      </c>
      <c r="G3842" s="9">
        <v>918</v>
      </c>
      <c r="H3842" s="9">
        <v>2020</v>
      </c>
      <c r="I3842" s="8">
        <v>9621.2690000000002</v>
      </c>
      <c r="J3842" s="8">
        <v>9798.759</v>
      </c>
      <c r="K3842" s="8">
        <v>10311.974</v>
      </c>
      <c r="L3842" s="8">
        <v>10408.587</v>
      </c>
      <c r="M3842" s="8">
        <v>10936.013000000001</v>
      </c>
      <c r="N3842" s="8">
        <v>11690.875</v>
      </c>
      <c r="O3842" s="8">
        <v>11349.965</v>
      </c>
      <c r="P3842" s="8">
        <v>10756.92</v>
      </c>
      <c r="Q3842" s="8">
        <v>10176.017</v>
      </c>
      <c r="R3842" s="8">
        <v>10084.699000000001</v>
      </c>
      <c r="S3842" s="8">
        <v>10258.272000000001</v>
      </c>
      <c r="T3842" s="8">
        <v>10840.205</v>
      </c>
      <c r="U3842" s="8">
        <v>10619.257</v>
      </c>
      <c r="V3842" s="8">
        <v>9353.7530000000006</v>
      </c>
      <c r="W3842" s="8">
        <v>7709.3440000000001</v>
      </c>
      <c r="X3842" s="8">
        <v>5400.7479999999996</v>
      </c>
      <c r="Y3842" s="8">
        <v>3655.5790000000002</v>
      </c>
      <c r="Z3842" s="8">
        <v>2372.4450000000002</v>
      </c>
      <c r="AA3842" s="8">
        <v>1348.0050000000001</v>
      </c>
      <c r="AB3842" s="8">
        <v>447.63299999999998</v>
      </c>
      <c r="AC3842" s="8">
        <v>76.311999999999998</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E0EEB-E5E6-454C-9067-6EC4862FD902}">
  <dimension ref="A1:BM297"/>
  <sheetViews>
    <sheetView topLeftCell="AV65" workbookViewId="0">
      <selection activeCell="BG77" sqref="BG77"/>
    </sheetView>
  </sheetViews>
  <sheetFormatPr defaultRowHeight="14.25" x14ac:dyDescent="0.45"/>
  <cols>
    <col min="1" max="1" width="44.19921875" bestFit="1" customWidth="1"/>
    <col min="2" max="2" width="25.53125" bestFit="1" customWidth="1"/>
    <col min="3" max="3" width="38.265625" bestFit="1" customWidth="1"/>
    <col min="4" max="4" width="12.73046875" bestFit="1" customWidth="1"/>
    <col min="5" max="8" width="5" bestFit="1" customWidth="1"/>
    <col min="9" max="9" width="11" customWidth="1"/>
    <col min="10" max="54" width="5" bestFit="1" customWidth="1"/>
    <col min="55" max="66" width="8.53125" customWidth="1"/>
  </cols>
  <sheetData>
    <row r="1" spans="1:65" x14ac:dyDescent="0.45">
      <c r="A1" t="s">
        <v>1283</v>
      </c>
      <c r="B1" t="s">
        <v>1284</v>
      </c>
    </row>
    <row r="2" spans="1:65" x14ac:dyDescent="0.45">
      <c r="A2" t="s">
        <v>1285</v>
      </c>
      <c r="B2" s="4">
        <v>44407</v>
      </c>
    </row>
    <row r="4" spans="1:65" x14ac:dyDescent="0.4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45">
      <c r="A5" t="s">
        <v>1173</v>
      </c>
      <c r="B5" t="s">
        <v>1351</v>
      </c>
      <c r="C5" t="s">
        <v>1352</v>
      </c>
      <c r="D5" t="s">
        <v>1353</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45">
      <c r="A6" t="s">
        <v>1354</v>
      </c>
      <c r="B6" t="s">
        <v>1355</v>
      </c>
      <c r="C6" t="s">
        <v>1352</v>
      </c>
      <c r="D6" t="s">
        <v>1353</v>
      </c>
    </row>
    <row r="7" spans="1:65" x14ac:dyDescent="0.45">
      <c r="A7" t="s">
        <v>1139</v>
      </c>
      <c r="B7" t="s">
        <v>1356</v>
      </c>
      <c r="C7" t="s">
        <v>1352</v>
      </c>
      <c r="D7" t="s">
        <v>1353</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45">
      <c r="A8" t="s">
        <v>1357</v>
      </c>
      <c r="B8" t="s">
        <v>1358</v>
      </c>
      <c r="C8" t="s">
        <v>1352</v>
      </c>
      <c r="D8" t="s">
        <v>1353</v>
      </c>
    </row>
    <row r="9" spans="1:65" x14ac:dyDescent="0.45">
      <c r="A9" t="s">
        <v>1078</v>
      </c>
      <c r="B9" t="s">
        <v>1359</v>
      </c>
      <c r="C9" t="s">
        <v>1352</v>
      </c>
      <c r="D9" t="s">
        <v>1353</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45">
      <c r="A10" t="s">
        <v>1257</v>
      </c>
      <c r="B10" t="s">
        <v>1360</v>
      </c>
      <c r="C10" t="s">
        <v>1352</v>
      </c>
      <c r="D10" t="s">
        <v>1353</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45">
      <c r="A11" t="s">
        <v>1361</v>
      </c>
      <c r="B11" t="s">
        <v>1362</v>
      </c>
      <c r="C11" t="s">
        <v>1352</v>
      </c>
      <c r="D11" t="s">
        <v>1353</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45">
      <c r="A12" t="s">
        <v>1363</v>
      </c>
      <c r="B12" t="s">
        <v>1364</v>
      </c>
      <c r="C12" t="s">
        <v>1352</v>
      </c>
      <c r="D12" t="s">
        <v>1353</v>
      </c>
    </row>
    <row r="13" spans="1:65" x14ac:dyDescent="0.45">
      <c r="A13" t="s">
        <v>1129</v>
      </c>
      <c r="B13" t="s">
        <v>1365</v>
      </c>
      <c r="C13" t="s">
        <v>1352</v>
      </c>
      <c r="D13" t="s">
        <v>1353</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45">
      <c r="A14" t="s">
        <v>1199</v>
      </c>
      <c r="B14" t="s">
        <v>1366</v>
      </c>
      <c r="C14" t="s">
        <v>1352</v>
      </c>
      <c r="D14" t="s">
        <v>1353</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45">
      <c r="A15" t="s">
        <v>1113</v>
      </c>
      <c r="B15" t="s">
        <v>1367</v>
      </c>
      <c r="C15" t="s">
        <v>1352</v>
      </c>
      <c r="D15" t="s">
        <v>1353</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45">
      <c r="A16" t="s">
        <v>1368</v>
      </c>
      <c r="B16" t="s">
        <v>1369</v>
      </c>
      <c r="C16" t="s">
        <v>1352</v>
      </c>
      <c r="D16" t="s">
        <v>1353</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45">
      <c r="A17" t="s">
        <v>1172</v>
      </c>
      <c r="B17" t="s">
        <v>1370</v>
      </c>
      <c r="C17" t="s">
        <v>1352</v>
      </c>
      <c r="D17" t="s">
        <v>1353</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45">
      <c r="A18" t="s">
        <v>1213</v>
      </c>
      <c r="B18" t="s">
        <v>1371</v>
      </c>
      <c r="C18" t="s">
        <v>1352</v>
      </c>
      <c r="D18" t="s">
        <v>1353</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45">
      <c r="A19" t="s">
        <v>1270</v>
      </c>
      <c r="B19" t="s">
        <v>1372</v>
      </c>
      <c r="C19" t="s">
        <v>1352</v>
      </c>
      <c r="D19" t="s">
        <v>1353</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45">
      <c r="A20" t="s">
        <v>1114</v>
      </c>
      <c r="B20" t="s">
        <v>1373</v>
      </c>
      <c r="C20" t="s">
        <v>1352</v>
      </c>
      <c r="D20" t="s">
        <v>1353</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45">
      <c r="A21" t="s">
        <v>582</v>
      </c>
      <c r="B21" t="s">
        <v>1374</v>
      </c>
      <c r="C21" t="s">
        <v>1352</v>
      </c>
      <c r="D21" t="s">
        <v>1353</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45">
      <c r="A22" t="s">
        <v>1271</v>
      </c>
      <c r="B22" t="s">
        <v>1375</v>
      </c>
      <c r="C22" t="s">
        <v>1352</v>
      </c>
      <c r="D22" t="s">
        <v>1353</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45">
      <c r="A23" t="s">
        <v>1088</v>
      </c>
      <c r="B23" t="s">
        <v>1376</v>
      </c>
      <c r="C23" t="s">
        <v>1352</v>
      </c>
      <c r="D23" t="s">
        <v>1353</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45">
      <c r="A24" t="s">
        <v>1089</v>
      </c>
      <c r="B24" t="s">
        <v>1377</v>
      </c>
      <c r="C24" t="s">
        <v>1352</v>
      </c>
      <c r="D24" t="s">
        <v>1353</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45">
      <c r="A25" t="s">
        <v>1140</v>
      </c>
      <c r="B25" t="s">
        <v>1378</v>
      </c>
      <c r="C25" t="s">
        <v>1352</v>
      </c>
      <c r="D25" t="s">
        <v>1353</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45">
      <c r="A26" t="s">
        <v>1235</v>
      </c>
      <c r="B26" t="s">
        <v>1379</v>
      </c>
      <c r="C26" t="s">
        <v>1352</v>
      </c>
      <c r="D26" t="s">
        <v>1353</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45">
      <c r="A27" t="s">
        <v>1115</v>
      </c>
      <c r="B27" t="s">
        <v>1380</v>
      </c>
      <c r="C27" t="s">
        <v>1352</v>
      </c>
      <c r="D27" t="s">
        <v>1353</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45">
      <c r="A28" t="s">
        <v>1381</v>
      </c>
      <c r="B28" t="s">
        <v>1382</v>
      </c>
      <c r="C28" t="s">
        <v>1352</v>
      </c>
      <c r="D28" t="s">
        <v>1353</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45">
      <c r="A29" t="s">
        <v>1258</v>
      </c>
      <c r="B29" t="s">
        <v>1383</v>
      </c>
      <c r="C29" t="s">
        <v>1352</v>
      </c>
      <c r="D29" t="s">
        <v>1353</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45">
      <c r="A30" t="s">
        <v>1234</v>
      </c>
      <c r="B30" t="s">
        <v>1384</v>
      </c>
      <c r="C30" t="s">
        <v>1352</v>
      </c>
      <c r="D30" t="s">
        <v>1353</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45">
      <c r="A31" t="s">
        <v>1190</v>
      </c>
      <c r="B31" t="s">
        <v>1385</v>
      </c>
      <c r="C31" t="s">
        <v>1352</v>
      </c>
      <c r="D31" t="s">
        <v>1353</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45">
      <c r="A32" t="s">
        <v>1386</v>
      </c>
      <c r="B32" t="s">
        <v>1387</v>
      </c>
      <c r="C32" t="s">
        <v>1352</v>
      </c>
      <c r="D32" t="s">
        <v>1353</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45">
      <c r="A33" t="s">
        <v>1388</v>
      </c>
      <c r="B33" t="s">
        <v>1389</v>
      </c>
      <c r="C33" t="s">
        <v>1352</v>
      </c>
      <c r="D33" t="s">
        <v>1353</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45">
      <c r="A34" t="s">
        <v>1201</v>
      </c>
      <c r="B34" t="s">
        <v>1390</v>
      </c>
      <c r="C34" t="s">
        <v>1352</v>
      </c>
      <c r="D34" t="s">
        <v>1353</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45">
      <c r="A35" t="s">
        <v>1175</v>
      </c>
      <c r="B35" t="s">
        <v>1391</v>
      </c>
      <c r="C35" t="s">
        <v>1352</v>
      </c>
      <c r="D35" t="s">
        <v>1353</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45">
      <c r="A36" t="s">
        <v>1159</v>
      </c>
      <c r="B36" t="s">
        <v>1392</v>
      </c>
      <c r="C36" t="s">
        <v>1352</v>
      </c>
      <c r="D36" t="s">
        <v>1353</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45">
      <c r="A37" t="s">
        <v>1141</v>
      </c>
      <c r="B37" t="s">
        <v>1393</v>
      </c>
      <c r="C37" t="s">
        <v>1352</v>
      </c>
      <c r="D37" t="s">
        <v>1353</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45">
      <c r="A38" t="s">
        <v>580</v>
      </c>
      <c r="B38" t="s">
        <v>1394</v>
      </c>
      <c r="C38" t="s">
        <v>1352</v>
      </c>
      <c r="D38" t="s">
        <v>1353</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45">
      <c r="A39" t="s">
        <v>584</v>
      </c>
      <c r="B39" t="s">
        <v>1395</v>
      </c>
      <c r="C39" t="s">
        <v>1352</v>
      </c>
      <c r="D39" t="s">
        <v>1353</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45">
      <c r="A40" t="s">
        <v>1278</v>
      </c>
      <c r="B40" t="s">
        <v>1396</v>
      </c>
      <c r="C40" t="s">
        <v>1352</v>
      </c>
      <c r="D40" t="s">
        <v>1353</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45">
      <c r="A41" t="s">
        <v>1397</v>
      </c>
      <c r="B41" t="s">
        <v>1398</v>
      </c>
      <c r="C41" t="s">
        <v>1352</v>
      </c>
      <c r="D41" t="s">
        <v>1353</v>
      </c>
    </row>
    <row r="42" spans="1:64" x14ac:dyDescent="0.45">
      <c r="A42" t="s">
        <v>1276</v>
      </c>
      <c r="B42" t="s">
        <v>1399</v>
      </c>
      <c r="C42" t="s">
        <v>1352</v>
      </c>
      <c r="D42" t="s">
        <v>1353</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45">
      <c r="A43" t="s">
        <v>1245</v>
      </c>
      <c r="B43" t="s">
        <v>1400</v>
      </c>
      <c r="C43" t="s">
        <v>1352</v>
      </c>
      <c r="D43" t="s">
        <v>1353</v>
      </c>
    </row>
    <row r="44" spans="1:64" x14ac:dyDescent="0.45">
      <c r="A44" t="s">
        <v>1202</v>
      </c>
      <c r="B44" t="s">
        <v>1401</v>
      </c>
      <c r="C44" t="s">
        <v>1352</v>
      </c>
      <c r="D44" t="s">
        <v>1353</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45">
      <c r="A45" t="s">
        <v>1150</v>
      </c>
      <c r="B45" t="s">
        <v>1402</v>
      </c>
      <c r="C45" t="s">
        <v>1352</v>
      </c>
      <c r="D45" t="s">
        <v>1353</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45">
      <c r="A46" t="s">
        <v>1403</v>
      </c>
      <c r="B46" t="s">
        <v>1404</v>
      </c>
      <c r="C46" t="s">
        <v>1352</v>
      </c>
      <c r="D46" t="s">
        <v>1353</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45">
      <c r="A47" t="s">
        <v>1079</v>
      </c>
      <c r="B47" t="s">
        <v>1405</v>
      </c>
      <c r="C47" t="s">
        <v>1352</v>
      </c>
      <c r="D47" t="s">
        <v>1353</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45">
      <c r="A48" t="s">
        <v>1406</v>
      </c>
      <c r="B48" t="s">
        <v>1407</v>
      </c>
      <c r="C48" t="s">
        <v>1352</v>
      </c>
      <c r="D48" t="s">
        <v>1353</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45">
      <c r="A49" t="s">
        <v>1408</v>
      </c>
      <c r="B49" t="s">
        <v>1409</v>
      </c>
      <c r="C49" t="s">
        <v>1352</v>
      </c>
      <c r="D49" t="s">
        <v>1353</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45">
      <c r="A50" t="s">
        <v>1203</v>
      </c>
      <c r="B50" t="s">
        <v>1410</v>
      </c>
      <c r="C50" t="s">
        <v>1352</v>
      </c>
      <c r="D50" t="s">
        <v>1353</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45">
      <c r="A51" t="s">
        <v>1067</v>
      </c>
      <c r="B51" t="s">
        <v>1411</v>
      </c>
      <c r="C51" t="s">
        <v>1352</v>
      </c>
      <c r="D51" t="s">
        <v>1353</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45">
      <c r="A52" t="s">
        <v>1090</v>
      </c>
      <c r="B52" t="s">
        <v>1412</v>
      </c>
      <c r="C52" t="s">
        <v>1352</v>
      </c>
      <c r="D52" t="s">
        <v>1353</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45">
      <c r="A53" t="s">
        <v>1191</v>
      </c>
      <c r="B53" t="s">
        <v>1413</v>
      </c>
      <c r="C53" t="s">
        <v>1352</v>
      </c>
      <c r="D53" t="s">
        <v>1353</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45">
      <c r="A54" t="s">
        <v>1414</v>
      </c>
      <c r="B54" t="s">
        <v>1415</v>
      </c>
      <c r="C54" t="s">
        <v>1352</v>
      </c>
      <c r="D54" t="s">
        <v>1353</v>
      </c>
    </row>
    <row r="55" spans="1:64" x14ac:dyDescent="0.45">
      <c r="A55" t="s">
        <v>1176</v>
      </c>
      <c r="B55" t="s">
        <v>1416</v>
      </c>
      <c r="C55" t="s">
        <v>1352</v>
      </c>
      <c r="D55" t="s">
        <v>1353</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45">
      <c r="A56" t="s">
        <v>1417</v>
      </c>
      <c r="B56" t="s">
        <v>1418</v>
      </c>
      <c r="C56" t="s">
        <v>1352</v>
      </c>
      <c r="D56" t="s">
        <v>1353</v>
      </c>
      <c r="BC56">
        <v>3.9</v>
      </c>
      <c r="BD56">
        <v>0.76</v>
      </c>
      <c r="BE56">
        <v>0.74</v>
      </c>
      <c r="BF56">
        <v>1.5</v>
      </c>
      <c r="BG56">
        <v>3.6</v>
      </c>
      <c r="BH56">
        <v>5.8</v>
      </c>
      <c r="BI56">
        <v>2.9</v>
      </c>
      <c r="BJ56">
        <v>6.4</v>
      </c>
      <c r="BK56">
        <v>6.4</v>
      </c>
      <c r="BL56">
        <v>7.2</v>
      </c>
    </row>
    <row r="57" spans="1:64" x14ac:dyDescent="0.45">
      <c r="A57" t="s">
        <v>1419</v>
      </c>
      <c r="B57" t="s">
        <v>1420</v>
      </c>
      <c r="C57" t="s">
        <v>1352</v>
      </c>
      <c r="D57" t="s">
        <v>1353</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45">
      <c r="A58" t="s">
        <v>1116</v>
      </c>
      <c r="B58" t="s">
        <v>1421</v>
      </c>
      <c r="C58" t="s">
        <v>1352</v>
      </c>
      <c r="D58" t="s">
        <v>1353</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45">
      <c r="A59" t="s">
        <v>1422</v>
      </c>
      <c r="B59" t="s">
        <v>1423</v>
      </c>
      <c r="C59" t="s">
        <v>1352</v>
      </c>
      <c r="D59" t="s">
        <v>1353</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45">
      <c r="A60" t="s">
        <v>1273</v>
      </c>
      <c r="B60" t="s">
        <v>1424</v>
      </c>
      <c r="C60" t="s">
        <v>1352</v>
      </c>
      <c r="D60" t="s">
        <v>1353</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45">
      <c r="A61" t="s">
        <v>1068</v>
      </c>
      <c r="B61" t="s">
        <v>1425</v>
      </c>
      <c r="C61" t="s">
        <v>1352</v>
      </c>
      <c r="D61" t="s">
        <v>1353</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45">
      <c r="A62" t="s">
        <v>1426</v>
      </c>
      <c r="B62" t="s">
        <v>1427</v>
      </c>
      <c r="C62" t="s">
        <v>1352</v>
      </c>
      <c r="D62" t="s">
        <v>1353</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45">
      <c r="A63" t="s">
        <v>1246</v>
      </c>
      <c r="B63" t="s">
        <v>1428</v>
      </c>
      <c r="C63" t="s">
        <v>1352</v>
      </c>
      <c r="D63" t="s">
        <v>1353</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45">
      <c r="A64" t="s">
        <v>1178</v>
      </c>
      <c r="B64" t="s">
        <v>1429</v>
      </c>
      <c r="C64" t="s">
        <v>1352</v>
      </c>
      <c r="D64" t="s">
        <v>1353</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45">
      <c r="A65" t="s">
        <v>1105</v>
      </c>
      <c r="B65" t="s">
        <v>1430</v>
      </c>
      <c r="C65" t="s">
        <v>1352</v>
      </c>
      <c r="D65" t="s">
        <v>1353</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45">
      <c r="A66" t="s">
        <v>1431</v>
      </c>
      <c r="B66" t="s">
        <v>1432</v>
      </c>
      <c r="C66" t="s">
        <v>1352</v>
      </c>
      <c r="D66" t="s">
        <v>1353</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45">
      <c r="A67" t="s">
        <v>1433</v>
      </c>
      <c r="B67" t="s">
        <v>1434</v>
      </c>
      <c r="C67" t="s">
        <v>1352</v>
      </c>
      <c r="D67" t="s">
        <v>1353</v>
      </c>
    </row>
    <row r="68" spans="1:64" x14ac:dyDescent="0.45">
      <c r="A68" t="s">
        <v>1435</v>
      </c>
      <c r="B68" t="s">
        <v>1436</v>
      </c>
      <c r="C68" t="s">
        <v>1352</v>
      </c>
      <c r="D68" t="s">
        <v>1353</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45">
      <c r="A69" t="s">
        <v>1437</v>
      </c>
      <c r="B69" t="s">
        <v>1438</v>
      </c>
      <c r="C69" t="s">
        <v>1352</v>
      </c>
      <c r="D69" t="s">
        <v>1353</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45">
      <c r="A70" t="s">
        <v>1439</v>
      </c>
      <c r="B70" t="s">
        <v>1440</v>
      </c>
      <c r="C70" t="s">
        <v>1352</v>
      </c>
      <c r="D70" t="s">
        <v>1353</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45">
      <c r="A71" t="s">
        <v>1204</v>
      </c>
      <c r="B71" t="s">
        <v>1441</v>
      </c>
      <c r="C71" t="s">
        <v>1352</v>
      </c>
      <c r="D71" t="s">
        <v>1353</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45">
      <c r="A72" t="s">
        <v>1442</v>
      </c>
      <c r="B72" t="s">
        <v>1443</v>
      </c>
      <c r="C72" t="s">
        <v>1352</v>
      </c>
      <c r="D72" t="s">
        <v>1353</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45">
      <c r="A73" t="s">
        <v>1444</v>
      </c>
      <c r="B73" t="s">
        <v>1445</v>
      </c>
      <c r="C73" t="s">
        <v>1352</v>
      </c>
      <c r="D73" t="s">
        <v>1353</v>
      </c>
    </row>
    <row r="74" spans="1:64" x14ac:dyDescent="0.45">
      <c r="A74" t="s">
        <v>592</v>
      </c>
      <c r="B74" t="s">
        <v>1446</v>
      </c>
      <c r="C74" t="s">
        <v>1352</v>
      </c>
      <c r="D74" t="s">
        <v>1353</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45">
      <c r="A75" t="s">
        <v>1268</v>
      </c>
      <c r="B75" t="s">
        <v>1447</v>
      </c>
      <c r="C75" t="s">
        <v>1352</v>
      </c>
      <c r="D75" t="s">
        <v>1353</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45">
      <c r="A76" t="s">
        <v>1247</v>
      </c>
      <c r="B76" t="s">
        <v>1448</v>
      </c>
      <c r="C76" t="s">
        <v>1352</v>
      </c>
      <c r="D76" t="s">
        <v>1353</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45">
      <c r="A77" t="s">
        <v>594</v>
      </c>
      <c r="B77" t="s">
        <v>926</v>
      </c>
      <c r="C77" t="s">
        <v>1352</v>
      </c>
      <c r="D77" t="s">
        <v>1353</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45">
      <c r="A78" t="s">
        <v>1449</v>
      </c>
      <c r="B78" t="s">
        <v>1450</v>
      </c>
      <c r="C78" t="s">
        <v>1352</v>
      </c>
      <c r="D78" t="s">
        <v>1353</v>
      </c>
    </row>
    <row r="79" spans="1:64" x14ac:dyDescent="0.45">
      <c r="A79" t="s">
        <v>1451</v>
      </c>
      <c r="B79" t="s">
        <v>1452</v>
      </c>
      <c r="C79" t="s">
        <v>1352</v>
      </c>
      <c r="D79" t="s">
        <v>1353</v>
      </c>
    </row>
    <row r="80" spans="1:64" x14ac:dyDescent="0.45">
      <c r="A80" t="s">
        <v>1248</v>
      </c>
      <c r="B80" t="s">
        <v>1453</v>
      </c>
      <c r="C80" t="s">
        <v>1352</v>
      </c>
      <c r="D80" t="s">
        <v>1353</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45">
      <c r="A81" t="s">
        <v>1217</v>
      </c>
      <c r="B81" t="s">
        <v>1454</v>
      </c>
      <c r="C81" t="s">
        <v>1352</v>
      </c>
      <c r="D81" t="s">
        <v>1353</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45">
      <c r="A82" t="s">
        <v>1272</v>
      </c>
      <c r="B82" t="s">
        <v>1455</v>
      </c>
      <c r="C82" t="s">
        <v>1352</v>
      </c>
      <c r="D82" t="s">
        <v>1353</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45">
      <c r="A83" t="s">
        <v>1456</v>
      </c>
      <c r="B83" t="s">
        <v>1457</v>
      </c>
      <c r="C83" t="s">
        <v>1352</v>
      </c>
      <c r="D83" t="s">
        <v>1353</v>
      </c>
    </row>
    <row r="84" spans="1:64" x14ac:dyDescent="0.45">
      <c r="A84" t="s">
        <v>1458</v>
      </c>
      <c r="B84" t="s">
        <v>1459</v>
      </c>
      <c r="C84" t="s">
        <v>1352</v>
      </c>
      <c r="D84" t="s">
        <v>1353</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45">
      <c r="A85" t="s">
        <v>1083</v>
      </c>
      <c r="B85" t="s">
        <v>1460</v>
      </c>
      <c r="C85" t="s">
        <v>1352</v>
      </c>
      <c r="D85" t="s">
        <v>1353</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45">
      <c r="A86" t="s">
        <v>1255</v>
      </c>
      <c r="B86" t="s">
        <v>1461</v>
      </c>
      <c r="C86" t="s">
        <v>1352</v>
      </c>
      <c r="D86" t="s">
        <v>1353</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45">
      <c r="A87" t="s">
        <v>1117</v>
      </c>
      <c r="B87" t="s">
        <v>1462</v>
      </c>
      <c r="C87" t="s">
        <v>1352</v>
      </c>
      <c r="D87" t="s">
        <v>1353</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45">
      <c r="A88" t="s">
        <v>1092</v>
      </c>
      <c r="B88" t="s">
        <v>1463</v>
      </c>
      <c r="C88" t="s">
        <v>1352</v>
      </c>
      <c r="D88" t="s">
        <v>1353</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45">
      <c r="A89" t="s">
        <v>1464</v>
      </c>
      <c r="B89" t="s">
        <v>1465</v>
      </c>
      <c r="C89" t="s">
        <v>1352</v>
      </c>
      <c r="D89" t="s">
        <v>1353</v>
      </c>
    </row>
    <row r="90" spans="1:64" x14ac:dyDescent="0.45">
      <c r="A90" t="s">
        <v>1093</v>
      </c>
      <c r="B90" t="s">
        <v>1466</v>
      </c>
      <c r="C90" t="s">
        <v>1352</v>
      </c>
      <c r="D90" t="s">
        <v>1353</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45">
      <c r="A91" t="s">
        <v>1467</v>
      </c>
      <c r="B91" t="s">
        <v>1468</v>
      </c>
      <c r="C91" t="s">
        <v>1352</v>
      </c>
      <c r="D91" t="s">
        <v>1353</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45">
      <c r="A92" t="s">
        <v>1094</v>
      </c>
      <c r="B92" t="s">
        <v>1469</v>
      </c>
      <c r="C92" t="s">
        <v>1352</v>
      </c>
      <c r="D92" t="s">
        <v>1353</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45">
      <c r="A93" t="s">
        <v>1082</v>
      </c>
      <c r="B93" t="s">
        <v>1470</v>
      </c>
      <c r="C93" t="s">
        <v>1352</v>
      </c>
      <c r="D93" t="s">
        <v>1353</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45">
      <c r="A94" t="s">
        <v>1260</v>
      </c>
      <c r="B94" t="s">
        <v>1471</v>
      </c>
      <c r="C94" t="s">
        <v>1352</v>
      </c>
      <c r="D94" t="s">
        <v>1353</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45">
      <c r="A95" t="s">
        <v>1179</v>
      </c>
      <c r="B95" t="s">
        <v>1472</v>
      </c>
      <c r="C95" t="s">
        <v>1352</v>
      </c>
      <c r="D95" t="s">
        <v>1353</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45">
      <c r="A96" t="s">
        <v>1473</v>
      </c>
      <c r="B96" t="s">
        <v>1474</v>
      </c>
      <c r="C96" t="s">
        <v>1352</v>
      </c>
      <c r="D96" t="s">
        <v>1353</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45">
      <c r="A97" t="s">
        <v>1193</v>
      </c>
      <c r="B97" t="s">
        <v>1475</v>
      </c>
      <c r="C97" t="s">
        <v>1352</v>
      </c>
      <c r="D97" t="s">
        <v>1353</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45">
      <c r="A98" t="s">
        <v>1223</v>
      </c>
      <c r="B98" t="s">
        <v>1476</v>
      </c>
      <c r="C98" t="s">
        <v>1352</v>
      </c>
      <c r="D98" t="s">
        <v>1353</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45">
      <c r="A99" t="s">
        <v>1206</v>
      </c>
      <c r="B99" t="s">
        <v>1477</v>
      </c>
      <c r="C99" t="s">
        <v>1352</v>
      </c>
      <c r="D99" t="s">
        <v>1353</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45">
      <c r="A100" t="s">
        <v>1478</v>
      </c>
      <c r="B100" t="s">
        <v>1479</v>
      </c>
      <c r="C100" t="s">
        <v>1352</v>
      </c>
      <c r="D100" t="s">
        <v>1353</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45">
      <c r="A101" t="s">
        <v>1480</v>
      </c>
      <c r="B101" t="s">
        <v>1481</v>
      </c>
      <c r="C101" t="s">
        <v>1352</v>
      </c>
      <c r="D101" t="s">
        <v>1353</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45">
      <c r="A102" t="s">
        <v>1194</v>
      </c>
      <c r="B102" t="s">
        <v>1482</v>
      </c>
      <c r="C102" t="s">
        <v>1352</v>
      </c>
      <c r="D102" t="s">
        <v>1353</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45">
      <c r="A103" t="s">
        <v>1483</v>
      </c>
      <c r="B103" t="s">
        <v>1484</v>
      </c>
      <c r="C103" t="s">
        <v>1352</v>
      </c>
      <c r="D103" t="s">
        <v>1353</v>
      </c>
    </row>
    <row r="104" spans="1:64" x14ac:dyDescent="0.45">
      <c r="A104" t="s">
        <v>1259</v>
      </c>
      <c r="B104" t="s">
        <v>1485</v>
      </c>
      <c r="C104" t="s">
        <v>1352</v>
      </c>
      <c r="D104" t="s">
        <v>1353</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45">
      <c r="A105" t="s">
        <v>1181</v>
      </c>
      <c r="B105" t="s">
        <v>1486</v>
      </c>
      <c r="C105" t="s">
        <v>1352</v>
      </c>
      <c r="D105" t="s">
        <v>1353</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45">
      <c r="A106" t="s">
        <v>1237</v>
      </c>
      <c r="B106" t="s">
        <v>1487</v>
      </c>
      <c r="C106" t="s">
        <v>1352</v>
      </c>
      <c r="D106" t="s">
        <v>1353</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45">
      <c r="A107" t="s">
        <v>1488</v>
      </c>
      <c r="B107" t="s">
        <v>1489</v>
      </c>
      <c r="C107" t="s">
        <v>1352</v>
      </c>
      <c r="D107" t="s">
        <v>1353</v>
      </c>
    </row>
    <row r="108" spans="1:64" x14ac:dyDescent="0.45">
      <c r="A108" t="s">
        <v>1490</v>
      </c>
      <c r="B108" t="s">
        <v>1491</v>
      </c>
      <c r="C108" t="s">
        <v>1352</v>
      </c>
      <c r="D108" t="s">
        <v>1353</v>
      </c>
    </row>
    <row r="109" spans="1:64" x14ac:dyDescent="0.45">
      <c r="A109" t="s">
        <v>1492</v>
      </c>
      <c r="B109" t="s">
        <v>1493</v>
      </c>
      <c r="C109" t="s">
        <v>1352</v>
      </c>
      <c r="D109" t="s">
        <v>1353</v>
      </c>
    </row>
    <row r="110" spans="1:64" x14ac:dyDescent="0.45">
      <c r="A110" t="s">
        <v>1494</v>
      </c>
      <c r="B110" t="s">
        <v>1495</v>
      </c>
      <c r="C110" t="s">
        <v>1352</v>
      </c>
      <c r="D110" t="s">
        <v>1353</v>
      </c>
    </row>
    <row r="111" spans="1:64" x14ac:dyDescent="0.45">
      <c r="A111" t="s">
        <v>1161</v>
      </c>
      <c r="B111" t="s">
        <v>1496</v>
      </c>
      <c r="C111" t="s">
        <v>1352</v>
      </c>
      <c r="D111" t="s">
        <v>1353</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45">
      <c r="A112" t="s">
        <v>1497</v>
      </c>
      <c r="B112" t="s">
        <v>1498</v>
      </c>
      <c r="C112" t="s">
        <v>1352</v>
      </c>
      <c r="D112" t="s">
        <v>1353</v>
      </c>
    </row>
    <row r="113" spans="1:64" x14ac:dyDescent="0.45">
      <c r="A113" t="s">
        <v>1499</v>
      </c>
      <c r="B113" t="s">
        <v>1500</v>
      </c>
      <c r="C113" t="s">
        <v>1352</v>
      </c>
      <c r="D113" t="s">
        <v>1353</v>
      </c>
    </row>
    <row r="114" spans="1:64" x14ac:dyDescent="0.45">
      <c r="A114" t="s">
        <v>1142</v>
      </c>
      <c r="B114" t="s">
        <v>1501</v>
      </c>
      <c r="C114" t="s">
        <v>1352</v>
      </c>
      <c r="D114" t="s">
        <v>1353</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45">
      <c r="A115" t="s">
        <v>1502</v>
      </c>
      <c r="B115" t="s">
        <v>1503</v>
      </c>
      <c r="C115" t="s">
        <v>1352</v>
      </c>
      <c r="D115" t="s">
        <v>1353</v>
      </c>
    </row>
    <row r="116" spans="1:64" x14ac:dyDescent="0.45">
      <c r="A116" t="s">
        <v>1250</v>
      </c>
      <c r="B116" t="s">
        <v>1504</v>
      </c>
      <c r="C116" t="s">
        <v>1352</v>
      </c>
      <c r="D116" t="s">
        <v>1353</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45">
      <c r="A117" t="s">
        <v>1505</v>
      </c>
      <c r="B117" t="s">
        <v>1506</v>
      </c>
      <c r="C117" t="s">
        <v>1352</v>
      </c>
      <c r="D117" t="s">
        <v>1353</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45">
      <c r="A118" t="s">
        <v>1118</v>
      </c>
      <c r="B118" t="s">
        <v>1507</v>
      </c>
      <c r="C118" t="s">
        <v>1352</v>
      </c>
      <c r="D118" t="s">
        <v>1353</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45">
      <c r="A119" t="s">
        <v>1249</v>
      </c>
      <c r="B119" t="s">
        <v>1508</v>
      </c>
      <c r="C119" t="s">
        <v>1352</v>
      </c>
      <c r="D119" t="s">
        <v>1353</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45">
      <c r="A120" t="s">
        <v>1119</v>
      </c>
      <c r="B120" t="s">
        <v>1509</v>
      </c>
      <c r="C120" t="s">
        <v>1352</v>
      </c>
      <c r="D120" t="s">
        <v>1353</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45">
      <c r="A121" t="s">
        <v>1261</v>
      </c>
      <c r="B121" t="s">
        <v>1510</v>
      </c>
      <c r="C121" t="s">
        <v>1352</v>
      </c>
      <c r="D121" t="s">
        <v>1353</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45">
      <c r="A122" t="s">
        <v>1182</v>
      </c>
      <c r="B122" t="s">
        <v>1511</v>
      </c>
      <c r="C122" t="s">
        <v>1352</v>
      </c>
      <c r="D122" t="s">
        <v>1353</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45">
      <c r="A123" t="s">
        <v>1120</v>
      </c>
      <c r="B123" t="s">
        <v>1512</v>
      </c>
      <c r="C123" t="s">
        <v>1352</v>
      </c>
      <c r="D123" t="s">
        <v>1353</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45">
      <c r="A124" t="s">
        <v>1155</v>
      </c>
      <c r="B124" t="s">
        <v>1513</v>
      </c>
      <c r="C124" t="s">
        <v>1352</v>
      </c>
      <c r="D124" t="s">
        <v>1353</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45">
      <c r="A125" t="s">
        <v>1133</v>
      </c>
      <c r="B125" t="s">
        <v>1514</v>
      </c>
      <c r="C125" t="s">
        <v>1352</v>
      </c>
      <c r="D125" t="s">
        <v>1353</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45">
      <c r="A126" t="s">
        <v>1069</v>
      </c>
      <c r="B126" t="s">
        <v>1515</v>
      </c>
      <c r="C126" t="s">
        <v>1352</v>
      </c>
      <c r="D126" t="s">
        <v>1353</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45">
      <c r="A127" t="s">
        <v>1516</v>
      </c>
      <c r="B127" t="s">
        <v>1517</v>
      </c>
      <c r="C127" t="s">
        <v>1352</v>
      </c>
      <c r="D127" t="s">
        <v>1353</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45">
      <c r="A128" t="s">
        <v>1160</v>
      </c>
      <c r="B128" t="s">
        <v>1518</v>
      </c>
      <c r="C128" t="s">
        <v>1352</v>
      </c>
      <c r="D128" t="s">
        <v>1353</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45">
      <c r="A129" t="s">
        <v>1224</v>
      </c>
      <c r="B129" t="s">
        <v>1519</v>
      </c>
      <c r="C129" t="s">
        <v>1352</v>
      </c>
      <c r="D129" t="s">
        <v>1353</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45">
      <c r="A130" t="s">
        <v>1520</v>
      </c>
      <c r="B130" t="s">
        <v>1521</v>
      </c>
      <c r="C130" t="s">
        <v>1352</v>
      </c>
      <c r="D130" t="s">
        <v>1353</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45">
      <c r="A131" t="s">
        <v>1522</v>
      </c>
      <c r="B131" t="s">
        <v>1523</v>
      </c>
      <c r="C131" t="s">
        <v>1352</v>
      </c>
      <c r="D131" t="s">
        <v>1353</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45">
      <c r="A132" t="s">
        <v>1121</v>
      </c>
      <c r="B132" t="s">
        <v>1524</v>
      </c>
      <c r="C132" t="s">
        <v>1352</v>
      </c>
      <c r="D132" t="s">
        <v>1353</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45">
      <c r="A133" t="s">
        <v>1525</v>
      </c>
      <c r="B133" t="s">
        <v>1526</v>
      </c>
      <c r="C133" t="s">
        <v>1352</v>
      </c>
      <c r="D133" t="s">
        <v>1353</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45">
      <c r="A134" t="s">
        <v>1527</v>
      </c>
      <c r="B134" t="s">
        <v>1528</v>
      </c>
      <c r="C134" t="s">
        <v>1352</v>
      </c>
      <c r="D134" t="s">
        <v>1353</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45">
      <c r="A135" t="s">
        <v>1122</v>
      </c>
      <c r="B135" t="s">
        <v>1529</v>
      </c>
      <c r="C135" t="s">
        <v>1352</v>
      </c>
      <c r="D135" t="s">
        <v>1353</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45">
      <c r="A136" t="s">
        <v>1095</v>
      </c>
      <c r="B136" t="s">
        <v>1530</v>
      </c>
      <c r="C136" t="s">
        <v>1352</v>
      </c>
      <c r="D136" t="s">
        <v>1353</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45">
      <c r="A137" t="s">
        <v>1107</v>
      </c>
      <c r="B137" t="s">
        <v>1531</v>
      </c>
      <c r="C137" t="s">
        <v>1352</v>
      </c>
      <c r="D137" t="s">
        <v>1353</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45">
      <c r="A138" t="s">
        <v>1532</v>
      </c>
      <c r="B138" t="s">
        <v>1533</v>
      </c>
      <c r="C138" t="s">
        <v>1352</v>
      </c>
      <c r="D138" t="s">
        <v>1353</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45">
      <c r="A139" t="s">
        <v>1534</v>
      </c>
      <c r="B139" t="s">
        <v>1535</v>
      </c>
      <c r="C139" t="s">
        <v>1352</v>
      </c>
      <c r="D139" t="s">
        <v>1353</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45">
      <c r="A140" t="s">
        <v>1536</v>
      </c>
      <c r="B140" t="s">
        <v>1537</v>
      </c>
      <c r="C140" t="s">
        <v>1352</v>
      </c>
      <c r="D140" t="s">
        <v>1353</v>
      </c>
    </row>
    <row r="141" spans="1:64" x14ac:dyDescent="0.45">
      <c r="A141" t="s">
        <v>1538</v>
      </c>
      <c r="B141" t="s">
        <v>1539</v>
      </c>
      <c r="C141" t="s">
        <v>1352</v>
      </c>
      <c r="D141" t="s">
        <v>1353</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45">
      <c r="A142" t="s">
        <v>1540</v>
      </c>
      <c r="B142" t="s">
        <v>1541</v>
      </c>
      <c r="C142" t="s">
        <v>1352</v>
      </c>
      <c r="D142" t="s">
        <v>1353</v>
      </c>
    </row>
    <row r="143" spans="1:64" x14ac:dyDescent="0.45">
      <c r="A143" t="s">
        <v>1147</v>
      </c>
      <c r="B143" t="s">
        <v>1542</v>
      </c>
      <c r="C143" t="s">
        <v>1352</v>
      </c>
      <c r="D143" t="s">
        <v>1353</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45">
      <c r="A144" t="s">
        <v>1543</v>
      </c>
      <c r="B144" t="s">
        <v>1544</v>
      </c>
      <c r="C144" t="s">
        <v>1352</v>
      </c>
      <c r="D144" t="s">
        <v>1353</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45">
      <c r="A145" t="s">
        <v>1545</v>
      </c>
      <c r="B145" t="s">
        <v>1546</v>
      </c>
      <c r="C145" t="s">
        <v>1352</v>
      </c>
      <c r="D145" t="s">
        <v>1353</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45">
      <c r="A146" t="s">
        <v>1086</v>
      </c>
      <c r="B146" t="s">
        <v>1547</v>
      </c>
      <c r="C146" t="s">
        <v>1352</v>
      </c>
      <c r="D146" t="s">
        <v>1353</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45">
      <c r="A147" t="s">
        <v>1548</v>
      </c>
      <c r="B147" t="s">
        <v>1549</v>
      </c>
      <c r="C147" t="s">
        <v>1352</v>
      </c>
      <c r="D147" t="s">
        <v>1353</v>
      </c>
    </row>
    <row r="148" spans="1:64" x14ac:dyDescent="0.45">
      <c r="A148" t="s">
        <v>1252</v>
      </c>
      <c r="B148" t="s">
        <v>1550</v>
      </c>
      <c r="C148" t="s">
        <v>1352</v>
      </c>
      <c r="D148" t="s">
        <v>1353</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45">
      <c r="A149" t="s">
        <v>1274</v>
      </c>
      <c r="B149" t="s">
        <v>1551</v>
      </c>
      <c r="C149" t="s">
        <v>1352</v>
      </c>
      <c r="D149" t="s">
        <v>1353</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45">
      <c r="A150" t="s">
        <v>1251</v>
      </c>
      <c r="B150" t="s">
        <v>1552</v>
      </c>
      <c r="C150" t="s">
        <v>1352</v>
      </c>
      <c r="D150" t="s">
        <v>1353</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45">
      <c r="A151" t="s">
        <v>1553</v>
      </c>
      <c r="B151" t="s">
        <v>1554</v>
      </c>
      <c r="C151" t="s">
        <v>1352</v>
      </c>
      <c r="D151" t="s">
        <v>1353</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45">
      <c r="A152" t="s">
        <v>1555</v>
      </c>
      <c r="B152" t="s">
        <v>1556</v>
      </c>
      <c r="C152" t="s">
        <v>1352</v>
      </c>
      <c r="D152" t="s">
        <v>1353</v>
      </c>
    </row>
    <row r="153" spans="1:64" x14ac:dyDescent="0.45">
      <c r="A153" t="s">
        <v>1108</v>
      </c>
      <c r="B153" t="s">
        <v>1557</v>
      </c>
      <c r="C153" t="s">
        <v>1352</v>
      </c>
      <c r="D153" t="s">
        <v>1353</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45">
      <c r="A154" t="s">
        <v>1558</v>
      </c>
      <c r="B154" t="s">
        <v>1559</v>
      </c>
      <c r="C154" t="s">
        <v>1352</v>
      </c>
      <c r="D154" t="s">
        <v>1353</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45">
      <c r="A155" t="s">
        <v>1560</v>
      </c>
      <c r="B155" t="s">
        <v>1561</v>
      </c>
      <c r="C155" t="s">
        <v>1352</v>
      </c>
      <c r="D155" t="s">
        <v>1353</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45">
      <c r="A156" t="s">
        <v>1070</v>
      </c>
      <c r="B156" t="s">
        <v>1562</v>
      </c>
      <c r="C156" t="s">
        <v>1352</v>
      </c>
      <c r="D156" t="s">
        <v>1353</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45">
      <c r="A157" t="s">
        <v>1144</v>
      </c>
      <c r="B157" t="s">
        <v>1563</v>
      </c>
      <c r="C157" t="s">
        <v>1352</v>
      </c>
      <c r="D157" t="s">
        <v>1353</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45">
      <c r="A158" t="s">
        <v>1564</v>
      </c>
      <c r="B158" t="s">
        <v>1565</v>
      </c>
      <c r="C158" t="s">
        <v>1352</v>
      </c>
      <c r="D158" t="s">
        <v>1353</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45">
      <c r="A159" t="s">
        <v>1195</v>
      </c>
      <c r="B159" t="s">
        <v>1566</v>
      </c>
      <c r="C159" t="s">
        <v>1352</v>
      </c>
      <c r="D159" t="s">
        <v>1353</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45">
      <c r="A160" t="s">
        <v>1567</v>
      </c>
      <c r="B160" t="s">
        <v>1568</v>
      </c>
      <c r="C160" t="s">
        <v>1352</v>
      </c>
      <c r="D160" t="s">
        <v>1353</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45">
      <c r="A161" t="s">
        <v>1569</v>
      </c>
      <c r="B161" t="s">
        <v>1570</v>
      </c>
      <c r="C161" t="s">
        <v>1352</v>
      </c>
      <c r="D161" t="s">
        <v>1353</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45">
      <c r="A162" t="s">
        <v>1264</v>
      </c>
      <c r="B162" t="s">
        <v>1571</v>
      </c>
      <c r="C162" t="s">
        <v>1352</v>
      </c>
      <c r="D162" t="s">
        <v>1353</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45">
      <c r="A163" t="s">
        <v>1096</v>
      </c>
      <c r="B163" t="s">
        <v>1572</v>
      </c>
      <c r="C163" t="s">
        <v>1352</v>
      </c>
      <c r="D163" t="s">
        <v>1353</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45">
      <c r="A164" t="s">
        <v>1262</v>
      </c>
      <c r="B164" t="s">
        <v>1573</v>
      </c>
      <c r="C164" t="s">
        <v>1352</v>
      </c>
      <c r="D164" t="s">
        <v>1353</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45">
      <c r="A165" t="s">
        <v>1164</v>
      </c>
      <c r="B165" t="s">
        <v>1574</v>
      </c>
      <c r="C165" t="s">
        <v>1352</v>
      </c>
      <c r="D165" t="s">
        <v>1353</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45">
      <c r="A166" t="s">
        <v>1575</v>
      </c>
      <c r="B166" t="s">
        <v>1576</v>
      </c>
      <c r="C166" t="s">
        <v>1352</v>
      </c>
      <c r="D166" t="s">
        <v>1353</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45">
      <c r="A167" t="s">
        <v>1263</v>
      </c>
      <c r="B167" t="s">
        <v>1577</v>
      </c>
      <c r="C167" t="s">
        <v>1352</v>
      </c>
      <c r="D167" t="s">
        <v>1353</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45">
      <c r="A168" t="s">
        <v>1156</v>
      </c>
      <c r="B168" t="s">
        <v>1578</v>
      </c>
      <c r="C168" t="s">
        <v>1352</v>
      </c>
      <c r="D168" t="s">
        <v>1353</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45">
      <c r="A169" t="s">
        <v>1579</v>
      </c>
      <c r="B169" t="s">
        <v>1580</v>
      </c>
      <c r="C169" t="s">
        <v>1352</v>
      </c>
      <c r="D169" t="s">
        <v>1353</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45">
      <c r="A170" t="s">
        <v>596</v>
      </c>
      <c r="B170" t="s">
        <v>1581</v>
      </c>
      <c r="C170" t="s">
        <v>1352</v>
      </c>
      <c r="D170" t="s">
        <v>1353</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45">
      <c r="A171" t="s">
        <v>1097</v>
      </c>
      <c r="B171" t="s">
        <v>1582</v>
      </c>
      <c r="C171" t="s">
        <v>1352</v>
      </c>
      <c r="D171" t="s">
        <v>1353</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45">
      <c r="A172" t="s">
        <v>1071</v>
      </c>
      <c r="B172" t="s">
        <v>1583</v>
      </c>
      <c r="C172" t="s">
        <v>1352</v>
      </c>
      <c r="D172" t="s">
        <v>1353</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45">
      <c r="A173" t="s">
        <v>879</v>
      </c>
      <c r="B173" t="s">
        <v>1584</v>
      </c>
      <c r="C173" t="s">
        <v>1352</v>
      </c>
      <c r="D173" t="s">
        <v>1353</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45">
      <c r="A174" t="s">
        <v>1163</v>
      </c>
      <c r="B174" t="s">
        <v>1585</v>
      </c>
      <c r="C174" t="s">
        <v>1352</v>
      </c>
      <c r="D174" t="s">
        <v>1353</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45">
      <c r="A175" t="s">
        <v>1586</v>
      </c>
      <c r="B175" t="s">
        <v>1587</v>
      </c>
      <c r="C175" t="s">
        <v>1352</v>
      </c>
      <c r="D175" t="s">
        <v>1353</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45">
      <c r="A176" t="s">
        <v>598</v>
      </c>
      <c r="B176" t="s">
        <v>1588</v>
      </c>
      <c r="C176" t="s">
        <v>1352</v>
      </c>
      <c r="D176" t="s">
        <v>1353</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45">
      <c r="A177" t="s">
        <v>1218</v>
      </c>
      <c r="B177" t="s">
        <v>1589</v>
      </c>
      <c r="C177" t="s">
        <v>1352</v>
      </c>
      <c r="D177" t="s">
        <v>1353</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45">
      <c r="A178" t="s">
        <v>1098</v>
      </c>
      <c r="B178" t="s">
        <v>1590</v>
      </c>
      <c r="C178" t="s">
        <v>1352</v>
      </c>
      <c r="D178" t="s">
        <v>1353</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45">
      <c r="A179" t="s">
        <v>1099</v>
      </c>
      <c r="B179" t="s">
        <v>1591</v>
      </c>
      <c r="C179" t="s">
        <v>1352</v>
      </c>
      <c r="D179" t="s">
        <v>1353</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45">
      <c r="A180" t="s">
        <v>1196</v>
      </c>
      <c r="B180" t="s">
        <v>1592</v>
      </c>
      <c r="C180" t="s">
        <v>1352</v>
      </c>
      <c r="D180" t="s">
        <v>1353</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45">
      <c r="A181" t="s">
        <v>1275</v>
      </c>
      <c r="B181" t="s">
        <v>1593</v>
      </c>
      <c r="C181" t="s">
        <v>1352</v>
      </c>
      <c r="D181" t="s">
        <v>1353</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45">
      <c r="A182" t="s">
        <v>1253</v>
      </c>
      <c r="B182" t="s">
        <v>1594</v>
      </c>
      <c r="C182" t="s">
        <v>1352</v>
      </c>
      <c r="D182" t="s">
        <v>1353</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45">
      <c r="A183" t="s">
        <v>1145</v>
      </c>
      <c r="B183" t="s">
        <v>1595</v>
      </c>
      <c r="C183" t="s">
        <v>1352</v>
      </c>
      <c r="D183" t="s">
        <v>1353</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45">
      <c r="A184" t="s">
        <v>1596</v>
      </c>
      <c r="B184" t="s">
        <v>1597</v>
      </c>
      <c r="C184" t="s">
        <v>1352</v>
      </c>
      <c r="D184" t="s">
        <v>1353</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45">
      <c r="A185" t="s">
        <v>1214</v>
      </c>
      <c r="B185" t="s">
        <v>1598</v>
      </c>
      <c r="C185" t="s">
        <v>1352</v>
      </c>
      <c r="D185" t="s">
        <v>1353</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45">
      <c r="A186" t="s">
        <v>1599</v>
      </c>
      <c r="B186" t="s">
        <v>1600</v>
      </c>
      <c r="C186" t="s">
        <v>1352</v>
      </c>
      <c r="D186" t="s">
        <v>1353</v>
      </c>
    </row>
    <row r="187" spans="1:64" x14ac:dyDescent="0.45">
      <c r="A187" t="s">
        <v>1123</v>
      </c>
      <c r="B187" t="s">
        <v>1601</v>
      </c>
      <c r="C187" t="s">
        <v>1352</v>
      </c>
      <c r="D187" t="s">
        <v>1353</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45">
      <c r="A188" t="s">
        <v>1602</v>
      </c>
      <c r="B188" t="s">
        <v>1603</v>
      </c>
      <c r="C188" t="s">
        <v>1352</v>
      </c>
      <c r="D188" t="s">
        <v>1353</v>
      </c>
    </row>
    <row r="189" spans="1:64" x14ac:dyDescent="0.45">
      <c r="A189" t="s">
        <v>1146</v>
      </c>
      <c r="B189" t="s">
        <v>1604</v>
      </c>
      <c r="C189" t="s">
        <v>1352</v>
      </c>
      <c r="D189" t="s">
        <v>1353</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45">
      <c r="A190" t="s">
        <v>1197</v>
      </c>
      <c r="B190" t="s">
        <v>1605</v>
      </c>
      <c r="C190" t="s">
        <v>1352</v>
      </c>
      <c r="D190" t="s">
        <v>1353</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45">
      <c r="A191" t="s">
        <v>1208</v>
      </c>
      <c r="B191" t="s">
        <v>1606</v>
      </c>
      <c r="C191" t="s">
        <v>1352</v>
      </c>
      <c r="D191" t="s">
        <v>1353</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45">
      <c r="A192" t="s">
        <v>1165</v>
      </c>
      <c r="B192" t="s">
        <v>1607</v>
      </c>
      <c r="C192" t="s">
        <v>1352</v>
      </c>
      <c r="D192" t="s">
        <v>1353</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45">
      <c r="A193" t="s">
        <v>1608</v>
      </c>
      <c r="B193" t="s">
        <v>1609</v>
      </c>
      <c r="C193" t="s">
        <v>1352</v>
      </c>
      <c r="D193" t="s">
        <v>1353</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45">
      <c r="A194" t="s">
        <v>1219</v>
      </c>
      <c r="B194" t="s">
        <v>1610</v>
      </c>
      <c r="C194" t="s">
        <v>1352</v>
      </c>
      <c r="D194" t="s">
        <v>1353</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45">
      <c r="A195" t="s">
        <v>1238</v>
      </c>
      <c r="B195" t="s">
        <v>1611</v>
      </c>
      <c r="C195" t="s">
        <v>1352</v>
      </c>
      <c r="D195" t="s">
        <v>1353</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45">
      <c r="A196" t="s">
        <v>1612</v>
      </c>
      <c r="B196" t="s">
        <v>1613</v>
      </c>
      <c r="C196" t="s">
        <v>1352</v>
      </c>
      <c r="D196" t="s">
        <v>1353</v>
      </c>
    </row>
    <row r="197" spans="1:64" x14ac:dyDescent="0.45">
      <c r="A197" t="s">
        <v>1184</v>
      </c>
      <c r="B197" t="s">
        <v>1614</v>
      </c>
      <c r="C197" t="s">
        <v>1352</v>
      </c>
      <c r="D197" t="s">
        <v>1353</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45">
      <c r="A198" t="s">
        <v>1615</v>
      </c>
      <c r="B198" t="s">
        <v>1616</v>
      </c>
      <c r="C198" t="s">
        <v>1352</v>
      </c>
      <c r="D198" t="s">
        <v>1353</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45">
      <c r="A199" t="s">
        <v>1265</v>
      </c>
      <c r="B199" t="s">
        <v>1617</v>
      </c>
      <c r="C199" t="s">
        <v>1352</v>
      </c>
      <c r="D199" t="s">
        <v>1353</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45">
      <c r="A200" t="s">
        <v>1207</v>
      </c>
      <c r="B200" t="s">
        <v>1618</v>
      </c>
      <c r="C200" t="s">
        <v>1352</v>
      </c>
      <c r="D200" t="s">
        <v>1353</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45">
      <c r="A201" t="s">
        <v>1619</v>
      </c>
      <c r="B201" t="s">
        <v>1620</v>
      </c>
      <c r="C201" t="s">
        <v>1352</v>
      </c>
      <c r="D201" t="s">
        <v>1353</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45">
      <c r="A202" t="s">
        <v>1621</v>
      </c>
      <c r="B202" t="s">
        <v>1622</v>
      </c>
      <c r="C202" t="s">
        <v>1352</v>
      </c>
      <c r="D202" t="s">
        <v>1353</v>
      </c>
    </row>
    <row r="203" spans="1:64" x14ac:dyDescent="0.45">
      <c r="A203" t="s">
        <v>1623</v>
      </c>
      <c r="B203" t="s">
        <v>1624</v>
      </c>
      <c r="C203" t="s">
        <v>1352</v>
      </c>
      <c r="D203" t="s">
        <v>1353</v>
      </c>
    </row>
    <row r="204" spans="1:64" x14ac:dyDescent="0.45">
      <c r="A204" t="s">
        <v>1227</v>
      </c>
      <c r="B204" t="s">
        <v>1625</v>
      </c>
      <c r="C204" t="s">
        <v>1352</v>
      </c>
      <c r="D204" t="s">
        <v>1353</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45">
      <c r="A205" t="s">
        <v>1124</v>
      </c>
      <c r="B205" t="s">
        <v>1626</v>
      </c>
      <c r="C205" t="s">
        <v>1352</v>
      </c>
      <c r="D205" t="s">
        <v>1353</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45">
      <c r="A206" t="s">
        <v>1240</v>
      </c>
      <c r="B206" t="s">
        <v>1627</v>
      </c>
      <c r="C206" t="s">
        <v>1352</v>
      </c>
      <c r="D206" t="s">
        <v>1353</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45">
      <c r="A207" t="s">
        <v>1241</v>
      </c>
      <c r="B207" t="s">
        <v>1628</v>
      </c>
      <c r="C207" t="s">
        <v>1352</v>
      </c>
      <c r="D207" t="s">
        <v>1353</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45">
      <c r="A208" t="s">
        <v>600</v>
      </c>
      <c r="B208" t="s">
        <v>1629</v>
      </c>
      <c r="C208" t="s">
        <v>1352</v>
      </c>
      <c r="D208" t="s">
        <v>1353</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45">
      <c r="A209" t="s">
        <v>1630</v>
      </c>
      <c r="B209" t="s">
        <v>1631</v>
      </c>
      <c r="C209" t="s">
        <v>1352</v>
      </c>
      <c r="D209" t="s">
        <v>1353</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45">
      <c r="A210" t="s">
        <v>1125</v>
      </c>
      <c r="B210" t="s">
        <v>1632</v>
      </c>
      <c r="C210" t="s">
        <v>1352</v>
      </c>
      <c r="D210" t="s">
        <v>1353</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45">
      <c r="A211" t="s">
        <v>1109</v>
      </c>
      <c r="B211" t="s">
        <v>1633</v>
      </c>
      <c r="C211" t="s">
        <v>1352</v>
      </c>
      <c r="D211" t="s">
        <v>1353</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45">
      <c r="A212" t="s">
        <v>1100</v>
      </c>
      <c r="B212" t="s">
        <v>1634</v>
      </c>
      <c r="C212" t="s">
        <v>1352</v>
      </c>
      <c r="D212" t="s">
        <v>1353</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45">
      <c r="A213" t="s">
        <v>1166</v>
      </c>
      <c r="B213" t="s">
        <v>1635</v>
      </c>
      <c r="C213" t="s">
        <v>1352</v>
      </c>
      <c r="D213" t="s">
        <v>1353</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45">
      <c r="A214" t="s">
        <v>1220</v>
      </c>
      <c r="B214" t="s">
        <v>1636</v>
      </c>
      <c r="C214" t="s">
        <v>1352</v>
      </c>
      <c r="D214" t="s">
        <v>1353</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45">
      <c r="A215" t="s">
        <v>1101</v>
      </c>
      <c r="B215" t="s">
        <v>1637</v>
      </c>
      <c r="C215" t="s">
        <v>1352</v>
      </c>
      <c r="D215" t="s">
        <v>1353</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45">
      <c r="A216" t="s">
        <v>1192</v>
      </c>
      <c r="B216" t="s">
        <v>1638</v>
      </c>
      <c r="C216" t="s">
        <v>1352</v>
      </c>
      <c r="D216" t="s">
        <v>1353</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45">
      <c r="A217" t="s">
        <v>1639</v>
      </c>
      <c r="B217" t="s">
        <v>1640</v>
      </c>
      <c r="C217" t="s">
        <v>1352</v>
      </c>
      <c r="D217" t="s">
        <v>1353</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45">
      <c r="A218" t="s">
        <v>1075</v>
      </c>
      <c r="B218" t="s">
        <v>1641</v>
      </c>
      <c r="C218" t="s">
        <v>1352</v>
      </c>
      <c r="D218" t="s">
        <v>1353</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45">
      <c r="A219" t="s">
        <v>1266</v>
      </c>
      <c r="B219" t="s">
        <v>1642</v>
      </c>
      <c r="C219" t="s">
        <v>1352</v>
      </c>
      <c r="D219" t="s">
        <v>1353</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45">
      <c r="A220" t="s">
        <v>1643</v>
      </c>
      <c r="B220" t="s">
        <v>1644</v>
      </c>
      <c r="C220" t="s">
        <v>1352</v>
      </c>
      <c r="D220" t="s">
        <v>1353</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45">
      <c r="A221" t="s">
        <v>1076</v>
      </c>
      <c r="B221" t="s">
        <v>1645</v>
      </c>
      <c r="C221" t="s">
        <v>1352</v>
      </c>
      <c r="D221" t="s">
        <v>1353</v>
      </c>
      <c r="BD221">
        <v>227</v>
      </c>
      <c r="BE221">
        <v>227</v>
      </c>
      <c r="BF221">
        <v>227</v>
      </c>
      <c r="BG221">
        <v>227</v>
      </c>
      <c r="BH221">
        <v>227</v>
      </c>
      <c r="BI221">
        <v>227</v>
      </c>
      <c r="BJ221">
        <v>227</v>
      </c>
      <c r="BK221">
        <v>227</v>
      </c>
      <c r="BL221">
        <v>227</v>
      </c>
    </row>
    <row r="222" spans="1:64" x14ac:dyDescent="0.45">
      <c r="A222" t="s">
        <v>1646</v>
      </c>
      <c r="B222" t="s">
        <v>1647</v>
      </c>
      <c r="C222" t="s">
        <v>1352</v>
      </c>
      <c r="D222" t="s">
        <v>1353</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45">
      <c r="A223" t="s">
        <v>1648</v>
      </c>
      <c r="B223" t="s">
        <v>1649</v>
      </c>
      <c r="C223" t="s">
        <v>1352</v>
      </c>
      <c r="D223" t="s">
        <v>1353</v>
      </c>
    </row>
    <row r="224" spans="1:64" x14ac:dyDescent="0.45">
      <c r="A224" t="s">
        <v>1084</v>
      </c>
      <c r="B224" t="s">
        <v>1650</v>
      </c>
      <c r="C224" t="s">
        <v>1352</v>
      </c>
      <c r="D224" t="s">
        <v>1353</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45">
      <c r="A225" t="s">
        <v>1209</v>
      </c>
      <c r="B225" t="s">
        <v>1651</v>
      </c>
      <c r="C225" t="s">
        <v>1352</v>
      </c>
      <c r="D225" t="s">
        <v>1353</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45">
      <c r="A226" t="s">
        <v>1652</v>
      </c>
      <c r="B226" t="s">
        <v>1653</v>
      </c>
      <c r="C226" t="s">
        <v>1352</v>
      </c>
      <c r="D226" t="s">
        <v>1353</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45">
      <c r="A227" t="s">
        <v>1267</v>
      </c>
      <c r="B227" t="s">
        <v>1654</v>
      </c>
      <c r="C227" t="s">
        <v>1352</v>
      </c>
      <c r="D227" t="s">
        <v>1353</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45">
      <c r="A228" t="s">
        <v>1254</v>
      </c>
      <c r="B228" t="s">
        <v>1655</v>
      </c>
      <c r="C228" t="s">
        <v>1352</v>
      </c>
      <c r="D228" t="s">
        <v>1353</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45">
      <c r="A229" t="s">
        <v>603</v>
      </c>
      <c r="B229" t="s">
        <v>1656</v>
      </c>
      <c r="C229" t="s">
        <v>1352</v>
      </c>
      <c r="D229" t="s">
        <v>1353</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45">
      <c r="A230" t="s">
        <v>1657</v>
      </c>
      <c r="B230" t="s">
        <v>1658</v>
      </c>
      <c r="C230" t="s">
        <v>1352</v>
      </c>
      <c r="D230" t="s">
        <v>1353</v>
      </c>
      <c r="BC230">
        <v>10</v>
      </c>
      <c r="BD230">
        <v>6.6</v>
      </c>
      <c r="BE230">
        <v>3.2</v>
      </c>
      <c r="BF230">
        <v>6.1</v>
      </c>
      <c r="BG230">
        <v>0</v>
      </c>
      <c r="BH230">
        <v>5.8</v>
      </c>
      <c r="BI230">
        <v>0</v>
      </c>
      <c r="BJ230">
        <v>14</v>
      </c>
      <c r="BK230">
        <v>19</v>
      </c>
      <c r="BL230">
        <v>14</v>
      </c>
    </row>
    <row r="231" spans="1:64" x14ac:dyDescent="0.45">
      <c r="A231" t="s">
        <v>1074</v>
      </c>
      <c r="B231" t="s">
        <v>1659</v>
      </c>
      <c r="C231" t="s">
        <v>1352</v>
      </c>
      <c r="D231" t="s">
        <v>1353</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45">
      <c r="A232" t="s">
        <v>1127</v>
      </c>
      <c r="B232" t="s">
        <v>1660</v>
      </c>
      <c r="C232" t="s">
        <v>1352</v>
      </c>
      <c r="D232" t="s">
        <v>1353</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45">
      <c r="A233" t="s">
        <v>1661</v>
      </c>
      <c r="B233" t="s">
        <v>1662</v>
      </c>
      <c r="C233" t="s">
        <v>1352</v>
      </c>
      <c r="D233" t="s">
        <v>1353</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45">
      <c r="A234" t="s">
        <v>1080</v>
      </c>
      <c r="B234" t="s">
        <v>1663</v>
      </c>
      <c r="C234" t="s">
        <v>1352</v>
      </c>
      <c r="D234" t="s">
        <v>1353</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45">
      <c r="A235" t="s">
        <v>1664</v>
      </c>
      <c r="B235" t="s">
        <v>1665</v>
      </c>
      <c r="C235" t="s">
        <v>1352</v>
      </c>
      <c r="D235" t="s">
        <v>1353</v>
      </c>
    </row>
    <row r="236" spans="1:64" x14ac:dyDescent="0.45">
      <c r="A236" t="s">
        <v>1666</v>
      </c>
      <c r="B236" t="s">
        <v>1667</v>
      </c>
      <c r="C236" t="s">
        <v>1352</v>
      </c>
      <c r="D236" t="s">
        <v>1353</v>
      </c>
    </row>
    <row r="237" spans="1:64" x14ac:dyDescent="0.45">
      <c r="A237" t="s">
        <v>1102</v>
      </c>
      <c r="B237" t="s">
        <v>1668</v>
      </c>
      <c r="C237" t="s">
        <v>1352</v>
      </c>
      <c r="D237" t="s">
        <v>1353</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45">
      <c r="A238" t="s">
        <v>1167</v>
      </c>
      <c r="B238" t="s">
        <v>1669</v>
      </c>
      <c r="C238" t="s">
        <v>1352</v>
      </c>
      <c r="D238" t="s">
        <v>1353</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45">
      <c r="A239" t="s">
        <v>1135</v>
      </c>
      <c r="B239" t="s">
        <v>1670</v>
      </c>
      <c r="C239" t="s">
        <v>1352</v>
      </c>
      <c r="D239" t="s">
        <v>1353</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45">
      <c r="A240" t="s">
        <v>1136</v>
      </c>
      <c r="B240" t="s">
        <v>1671</v>
      </c>
      <c r="C240" t="s">
        <v>1352</v>
      </c>
      <c r="D240" t="s">
        <v>1353</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45">
      <c r="A241" t="s">
        <v>1672</v>
      </c>
      <c r="B241" t="s">
        <v>1673</v>
      </c>
      <c r="C241" t="s">
        <v>1352</v>
      </c>
      <c r="D241" t="s">
        <v>1353</v>
      </c>
    </row>
    <row r="242" spans="1:64" x14ac:dyDescent="0.45">
      <c r="A242" t="s">
        <v>1168</v>
      </c>
      <c r="B242" t="s">
        <v>1674</v>
      </c>
      <c r="C242" t="s">
        <v>1352</v>
      </c>
      <c r="D242" t="s">
        <v>1353</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45">
      <c r="A243" t="s">
        <v>1675</v>
      </c>
      <c r="B243" t="s">
        <v>1676</v>
      </c>
      <c r="C243" t="s">
        <v>1352</v>
      </c>
      <c r="D243" t="s">
        <v>1353</v>
      </c>
    </row>
    <row r="244" spans="1:64" x14ac:dyDescent="0.45">
      <c r="A244" t="s">
        <v>1229</v>
      </c>
      <c r="B244" t="s">
        <v>1677</v>
      </c>
      <c r="C244" t="s">
        <v>1352</v>
      </c>
      <c r="D244" t="s">
        <v>1353</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45">
      <c r="A245" t="s">
        <v>1678</v>
      </c>
      <c r="B245" t="s">
        <v>1679</v>
      </c>
      <c r="C245" t="s">
        <v>1352</v>
      </c>
      <c r="D245" t="s">
        <v>1353</v>
      </c>
    </row>
    <row r="246" spans="1:64" x14ac:dyDescent="0.45">
      <c r="A246" t="s">
        <v>1680</v>
      </c>
      <c r="B246" t="s">
        <v>1681</v>
      </c>
      <c r="C246" t="s">
        <v>1352</v>
      </c>
      <c r="D246" t="s">
        <v>1353</v>
      </c>
    </row>
    <row r="247" spans="1:64" x14ac:dyDescent="0.45">
      <c r="A247" t="s">
        <v>1187</v>
      </c>
      <c r="B247" t="s">
        <v>1682</v>
      </c>
      <c r="C247" t="s">
        <v>1352</v>
      </c>
      <c r="D247" t="s">
        <v>1353</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45">
      <c r="A248" t="s">
        <v>1110</v>
      </c>
      <c r="B248" t="s">
        <v>1683</v>
      </c>
      <c r="C248" t="s">
        <v>1352</v>
      </c>
      <c r="D248" t="s">
        <v>1353</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45">
      <c r="A249" t="s">
        <v>1128</v>
      </c>
      <c r="B249" t="s">
        <v>1684</v>
      </c>
      <c r="C249" t="s">
        <v>1352</v>
      </c>
      <c r="D249" t="s">
        <v>1353</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45">
      <c r="A250" t="s">
        <v>1685</v>
      </c>
      <c r="B250" t="s">
        <v>1686</v>
      </c>
      <c r="C250" t="s">
        <v>1352</v>
      </c>
      <c r="D250" t="s">
        <v>1353</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45">
      <c r="A251" t="s">
        <v>1687</v>
      </c>
      <c r="B251" t="s">
        <v>1688</v>
      </c>
      <c r="C251" t="s">
        <v>1352</v>
      </c>
      <c r="D251" t="s">
        <v>1353</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45">
      <c r="A252" t="s">
        <v>604</v>
      </c>
      <c r="B252" t="s">
        <v>1689</v>
      </c>
      <c r="C252" t="s">
        <v>1352</v>
      </c>
      <c r="D252" t="s">
        <v>1353</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45">
      <c r="A253" t="s">
        <v>1243</v>
      </c>
      <c r="B253" t="s">
        <v>1690</v>
      </c>
      <c r="C253" t="s">
        <v>1352</v>
      </c>
      <c r="D253" t="s">
        <v>1353</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45">
      <c r="A254" t="s">
        <v>1691</v>
      </c>
      <c r="B254" t="s">
        <v>1692</v>
      </c>
      <c r="C254" t="s">
        <v>1352</v>
      </c>
      <c r="D254" t="s">
        <v>1353</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45">
      <c r="A255" t="s">
        <v>1210</v>
      </c>
      <c r="B255" t="s">
        <v>1693</v>
      </c>
      <c r="C255" t="s">
        <v>1352</v>
      </c>
      <c r="D255" t="s">
        <v>1353</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45">
      <c r="A256" t="s">
        <v>1694</v>
      </c>
      <c r="B256" t="s">
        <v>1695</v>
      </c>
      <c r="C256" t="s">
        <v>1352</v>
      </c>
      <c r="D256" t="s">
        <v>1353</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45">
      <c r="A257" t="s">
        <v>1137</v>
      </c>
      <c r="B257" t="s">
        <v>1696</v>
      </c>
      <c r="C257" t="s">
        <v>1352</v>
      </c>
      <c r="D257" t="s">
        <v>1353</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45">
      <c r="A258" t="s">
        <v>1697</v>
      </c>
      <c r="B258" t="s">
        <v>1698</v>
      </c>
      <c r="C258" t="s">
        <v>1352</v>
      </c>
      <c r="D258" t="s">
        <v>1353</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45">
      <c r="A259" t="s">
        <v>1699</v>
      </c>
      <c r="B259" t="s">
        <v>1700</v>
      </c>
      <c r="C259" t="s">
        <v>1352</v>
      </c>
      <c r="D259" t="s">
        <v>1353</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45">
      <c r="A260" t="s">
        <v>1701</v>
      </c>
      <c r="B260" t="s">
        <v>1702</v>
      </c>
      <c r="C260" t="s">
        <v>1352</v>
      </c>
      <c r="D260" t="s">
        <v>1353</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45">
      <c r="A261" t="s">
        <v>1703</v>
      </c>
      <c r="B261" t="s">
        <v>1704</v>
      </c>
      <c r="C261" t="s">
        <v>1352</v>
      </c>
      <c r="D261" t="s">
        <v>1353</v>
      </c>
    </row>
    <row r="262" spans="1:65" x14ac:dyDescent="0.45">
      <c r="A262" t="s">
        <v>1705</v>
      </c>
      <c r="B262" t="s">
        <v>1706</v>
      </c>
      <c r="C262" t="s">
        <v>1352</v>
      </c>
      <c r="D262" t="s">
        <v>1353</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45">
      <c r="A263" t="s">
        <v>1221</v>
      </c>
      <c r="B263" t="s">
        <v>1707</v>
      </c>
      <c r="C263" t="s">
        <v>1352</v>
      </c>
      <c r="D263" t="s">
        <v>1353</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45">
      <c r="A264" t="s">
        <v>1017</v>
      </c>
      <c r="B264" t="s">
        <v>1708</v>
      </c>
      <c r="C264" t="s">
        <v>1352</v>
      </c>
      <c r="D264" t="s">
        <v>1353</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45">
      <c r="A265" t="s">
        <v>1228</v>
      </c>
      <c r="B265" t="s">
        <v>1709</v>
      </c>
      <c r="C265" t="s">
        <v>1352</v>
      </c>
      <c r="D265" t="s">
        <v>1353</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45">
      <c r="A266" t="s">
        <v>1710</v>
      </c>
      <c r="B266" t="s">
        <v>1711</v>
      </c>
      <c r="C266" t="s">
        <v>1352</v>
      </c>
      <c r="D266" t="s">
        <v>1353</v>
      </c>
    </row>
    <row r="267" spans="1:65" x14ac:dyDescent="0.45">
      <c r="A267" t="s">
        <v>1712</v>
      </c>
      <c r="B267" t="s">
        <v>1713</v>
      </c>
      <c r="C267" t="s">
        <v>1352</v>
      </c>
      <c r="D267" t="s">
        <v>1353</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45">
      <c r="A268" t="s">
        <v>602</v>
      </c>
      <c r="B268" t="s">
        <v>1714</v>
      </c>
      <c r="C268" t="s">
        <v>1352</v>
      </c>
      <c r="D268" t="s">
        <v>1353</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45">
      <c r="A269" t="s">
        <v>606</v>
      </c>
      <c r="B269" t="s">
        <v>1715</v>
      </c>
      <c r="C269" t="s">
        <v>1352</v>
      </c>
      <c r="D269" t="s">
        <v>1353</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45">
      <c r="A270" t="s">
        <v>607</v>
      </c>
      <c r="B270" t="s">
        <v>1716</v>
      </c>
      <c r="C270" t="s">
        <v>1352</v>
      </c>
      <c r="D270" t="s">
        <v>1353</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v>199</v>
      </c>
    </row>
    <row r="271" spans="1:65" s="1" customFormat="1" x14ac:dyDescent="0.45"/>
    <row r="272" spans="1:65" s="1" customFormat="1" x14ac:dyDescent="0.45">
      <c r="BB272" s="1" t="s">
        <v>1717</v>
      </c>
      <c r="BC272" s="155">
        <f t="shared" ref="BC272:BL272" si="0">BC77/BB77</f>
        <v>0.95035460992907805</v>
      </c>
      <c r="BD272" s="155">
        <f t="shared" si="0"/>
        <v>0.94402985074626866</v>
      </c>
      <c r="BE272" s="155">
        <f t="shared" si="0"/>
        <v>0.94466403162055335</v>
      </c>
      <c r="BF272" s="155">
        <f t="shared" si="0"/>
        <v>0.93723849372384938</v>
      </c>
      <c r="BG272" s="155">
        <f t="shared" si="0"/>
        <v>0.9241071428571429</v>
      </c>
      <c r="BH272" s="155">
        <f t="shared" si="0"/>
        <v>0.92753623188405798</v>
      </c>
      <c r="BI272" s="155">
        <f t="shared" si="0"/>
        <v>0.921875</v>
      </c>
      <c r="BJ272" s="155">
        <f t="shared" si="0"/>
        <v>0.92655367231638419</v>
      </c>
      <c r="BK272" s="155">
        <f t="shared" si="0"/>
        <v>0.92073170731707321</v>
      </c>
      <c r="BL272" s="155">
        <f t="shared" si="0"/>
        <v>0.92715231788079466</v>
      </c>
      <c r="BM272" s="2">
        <f>AVERAGE(BG272:BL272)</f>
        <v>0.92465934537590888</v>
      </c>
    </row>
    <row r="273" spans="8:65" s="1" customFormat="1" x14ac:dyDescent="0.45">
      <c r="BM273" s="51" t="s">
        <v>1718</v>
      </c>
    </row>
    <row r="274" spans="8:65" s="1" customFormat="1" x14ac:dyDescent="0.45">
      <c r="I274" s="1" t="s">
        <v>1719</v>
      </c>
    </row>
    <row r="275" spans="8:65" s="1" customFormat="1" x14ac:dyDescent="0.45">
      <c r="H275">
        <v>2020</v>
      </c>
      <c r="I275" s="156">
        <f>BL77*$BM$272</f>
        <v>129.45230835262726</v>
      </c>
    </row>
    <row r="276" spans="8:65" s="1" customFormat="1" x14ac:dyDescent="0.45">
      <c r="H276">
        <v>2021</v>
      </c>
      <c r="I276" s="156">
        <f>I275*$BM$272</f>
        <v>119.69928669874062</v>
      </c>
    </row>
    <row r="277" spans="8:65" s="1" customFormat="1" x14ac:dyDescent="0.45">
      <c r="H277">
        <v>2022</v>
      </c>
      <c r="I277" s="156">
        <f t="shared" ref="I277:I295" si="1">I276*$BM$272</f>
        <v>110.68106408082075</v>
      </c>
    </row>
    <row r="278" spans="8:65" s="1" customFormat="1" x14ac:dyDescent="0.45">
      <c r="H278">
        <v>2023</v>
      </c>
      <c r="I278" s="156">
        <f t="shared" si="1"/>
        <v>102.34228025848073</v>
      </c>
    </row>
    <row r="279" spans="8:65" s="1" customFormat="1" x14ac:dyDescent="0.45">
      <c r="H279">
        <v>2024</v>
      </c>
      <c r="I279" s="156">
        <f t="shared" si="1"/>
        <v>94.631745868084593</v>
      </c>
    </row>
    <row r="280" spans="8:65" s="1" customFormat="1" x14ac:dyDescent="0.45">
      <c r="H280">
        <v>2025</v>
      </c>
      <c r="I280" s="156">
        <f t="shared" si="1"/>
        <v>87.502128186162466</v>
      </c>
    </row>
    <row r="281" spans="8:65" s="1" customFormat="1" x14ac:dyDescent="0.45">
      <c r="H281">
        <v>2026</v>
      </c>
      <c r="I281" s="156">
        <f t="shared" si="1"/>
        <v>80.909660567615845</v>
      </c>
    </row>
    <row r="282" spans="8:65" s="1" customFormat="1" x14ac:dyDescent="0.45">
      <c r="H282">
        <v>2027</v>
      </c>
      <c r="I282" s="156">
        <f t="shared" si="1"/>
        <v>74.813873775038658</v>
      </c>
    </row>
    <row r="283" spans="8:65" s="1" customFormat="1" x14ac:dyDescent="0.45">
      <c r="H283">
        <v>2028</v>
      </c>
      <c r="I283" s="156">
        <f t="shared" si="1"/>
        <v>69.177347549863129</v>
      </c>
    </row>
    <row r="284" spans="8:65" s="1" customFormat="1" x14ac:dyDescent="0.45">
      <c r="H284">
        <v>2029</v>
      </c>
      <c r="I284" s="156">
        <f t="shared" si="1"/>
        <v>63.965480900298175</v>
      </c>
    </row>
    <row r="285" spans="8:65" s="1" customFormat="1" x14ac:dyDescent="0.45">
      <c r="H285">
        <v>2030</v>
      </c>
      <c r="I285" s="156">
        <f t="shared" si="1"/>
        <v>59.14627969592491</v>
      </c>
    </row>
    <row r="286" spans="8:65" s="1" customFormat="1" x14ac:dyDescent="0.45">
      <c r="H286">
        <v>2031</v>
      </c>
      <c r="I286" s="156">
        <f t="shared" si="1"/>
        <v>54.690160265054338</v>
      </c>
    </row>
    <row r="287" spans="8:65" s="1" customFormat="1" x14ac:dyDescent="0.45">
      <c r="H287">
        <v>2032</v>
      </c>
      <c r="I287" s="156">
        <f t="shared" si="1"/>
        <v>50.569767789188688</v>
      </c>
    </row>
    <row r="288" spans="8:65" s="1" customFormat="1" x14ac:dyDescent="0.45">
      <c r="H288">
        <v>2033</v>
      </c>
      <c r="I288" s="156">
        <f t="shared" si="1"/>
        <v>46.759808379762937</v>
      </c>
    </row>
    <row r="289" spans="3:9" s="1" customFormat="1" x14ac:dyDescent="0.45">
      <c r="C289" s="49"/>
      <c r="D289" s="49"/>
      <c r="E289" s="49"/>
      <c r="H289">
        <v>2034</v>
      </c>
      <c r="I289" s="156">
        <f t="shared" si="1"/>
        <v>43.236893806334535</v>
      </c>
    </row>
    <row r="290" spans="3:9" s="1" customFormat="1" x14ac:dyDescent="0.45">
      <c r="C290" s="49"/>
      <c r="D290" s="49"/>
      <c r="E290" s="49"/>
      <c r="H290">
        <v>2035</v>
      </c>
      <c r="I290" s="156">
        <f t="shared" si="1"/>
        <v>39.979397923052979</v>
      </c>
    </row>
    <row r="291" spans="3:9" s="1" customFormat="1" x14ac:dyDescent="0.45">
      <c r="C291" s="49"/>
      <c r="D291" s="49"/>
      <c r="E291" s="49"/>
      <c r="H291">
        <v>2036</v>
      </c>
      <c r="I291" s="156">
        <f t="shared" si="1"/>
        <v>36.967323912053139</v>
      </c>
    </row>
    <row r="292" spans="3:9" s="1" customFormat="1" x14ac:dyDescent="0.45">
      <c r="H292">
        <v>2037</v>
      </c>
      <c r="I292" s="156">
        <f t="shared" si="1"/>
        <v>34.182181528818241</v>
      </c>
    </row>
    <row r="293" spans="3:9" s="1" customFormat="1" x14ac:dyDescent="0.45">
      <c r="H293">
        <v>2038</v>
      </c>
      <c r="I293" s="156">
        <f t="shared" si="1"/>
        <v>31.606873595957559</v>
      </c>
    </row>
    <row r="294" spans="3:9" s="1" customFormat="1" x14ac:dyDescent="0.45">
      <c r="H294">
        <v>2039</v>
      </c>
      <c r="I294" s="156">
        <f t="shared" si="1"/>
        <v>29.225591048617215</v>
      </c>
    </row>
    <row r="295" spans="3:9" s="1" customFormat="1" x14ac:dyDescent="0.45">
      <c r="H295">
        <v>2040</v>
      </c>
      <c r="I295" s="156">
        <f t="shared" si="1"/>
        <v>27.023715887238417</v>
      </c>
    </row>
    <row r="296" spans="3:9" s="1" customFormat="1" x14ac:dyDescent="0.45"/>
    <row r="297" spans="3:9" s="1" customFormat="1" x14ac:dyDescent="0.45"/>
  </sheetData>
  <pageMargins left="0.7" right="0.7" top="0.75" bottom="0.75" header="0.3" footer="0.3"/>
  <headerFooter alignWithMargins="0"/>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D00E2-0333-4357-B7AD-DBF83F823F99}">
  <dimension ref="A1:BM296"/>
  <sheetViews>
    <sheetView topLeftCell="AZ244" workbookViewId="0">
      <selection activeCell="BF296" sqref="BF296"/>
    </sheetView>
  </sheetViews>
  <sheetFormatPr defaultRowHeight="14.25" x14ac:dyDescent="0.45"/>
  <cols>
    <col min="1" max="1" width="44.19921875" bestFit="1" customWidth="1"/>
    <col min="2" max="2" width="25.53125" bestFit="1" customWidth="1"/>
    <col min="3" max="3" width="41" bestFit="1" customWidth="1"/>
    <col min="4" max="4" width="14.265625" bestFit="1" customWidth="1"/>
    <col min="5" max="8" width="5" bestFit="1" customWidth="1"/>
    <col min="9" max="9" width="10.796875" customWidth="1"/>
    <col min="10" max="44" width="5" bestFit="1" customWidth="1"/>
    <col min="45" max="63" width="11.46484375" bestFit="1" customWidth="1"/>
    <col min="64" max="64" width="5" bestFit="1" customWidth="1"/>
    <col min="65" max="65" width="5.796875" bestFit="1" customWidth="1"/>
  </cols>
  <sheetData>
    <row r="1" spans="1:65" x14ac:dyDescent="0.45">
      <c r="A1" t="s">
        <v>1283</v>
      </c>
      <c r="B1" t="s">
        <v>1284</v>
      </c>
    </row>
    <row r="2" spans="1:65" x14ac:dyDescent="0.45">
      <c r="A2" t="s">
        <v>1285</v>
      </c>
      <c r="B2" s="4">
        <v>44407</v>
      </c>
    </row>
    <row r="4" spans="1:65" x14ac:dyDescent="0.4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45">
      <c r="A5" t="s">
        <v>1173</v>
      </c>
      <c r="B5" t="s">
        <v>1351</v>
      </c>
      <c r="C5" t="s">
        <v>1720</v>
      </c>
      <c r="D5" t="s">
        <v>1721</v>
      </c>
    </row>
    <row r="6" spans="1:65" x14ac:dyDescent="0.45">
      <c r="A6" t="s">
        <v>1354</v>
      </c>
      <c r="B6" t="s">
        <v>1355</v>
      </c>
      <c r="C6" t="s">
        <v>1720</v>
      </c>
      <c r="D6" t="s">
        <v>1721</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45">
      <c r="A7" t="s">
        <v>1139</v>
      </c>
      <c r="B7" t="s">
        <v>1356</v>
      </c>
      <c r="C7" t="s">
        <v>1720</v>
      </c>
      <c r="D7" t="s">
        <v>1721</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45">
      <c r="A8" t="s">
        <v>1357</v>
      </c>
      <c r="B8" t="s">
        <v>1358</v>
      </c>
      <c r="C8" t="s">
        <v>1720</v>
      </c>
      <c r="D8" t="s">
        <v>1721</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45">
      <c r="A9" t="s">
        <v>1078</v>
      </c>
      <c r="B9" t="s">
        <v>1359</v>
      </c>
      <c r="C9" t="s">
        <v>1720</v>
      </c>
      <c r="D9" t="s">
        <v>1721</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45">
      <c r="A10" t="s">
        <v>1257</v>
      </c>
      <c r="B10" t="s">
        <v>1360</v>
      </c>
      <c r="C10" t="s">
        <v>1720</v>
      </c>
      <c r="D10" t="s">
        <v>1721</v>
      </c>
    </row>
    <row r="11" spans="1:65" x14ac:dyDescent="0.45">
      <c r="A11" t="s">
        <v>1361</v>
      </c>
      <c r="B11" t="s">
        <v>1362</v>
      </c>
      <c r="C11" t="s">
        <v>1720</v>
      </c>
      <c r="D11" t="s">
        <v>1721</v>
      </c>
    </row>
    <row r="12" spans="1:65" x14ac:dyDescent="0.45">
      <c r="A12" t="s">
        <v>1363</v>
      </c>
      <c r="B12" t="s">
        <v>1364</v>
      </c>
      <c r="C12" t="s">
        <v>1720</v>
      </c>
      <c r="D12" t="s">
        <v>1721</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45">
      <c r="A13" t="s">
        <v>1129</v>
      </c>
      <c r="B13" t="s">
        <v>1365</v>
      </c>
      <c r="C13" t="s">
        <v>1720</v>
      </c>
      <c r="D13" t="s">
        <v>1721</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45">
      <c r="A14" t="s">
        <v>1199</v>
      </c>
      <c r="B14" t="s">
        <v>1366</v>
      </c>
      <c r="C14" t="s">
        <v>1720</v>
      </c>
      <c r="D14" t="s">
        <v>1721</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45">
      <c r="A15" t="s">
        <v>1113</v>
      </c>
      <c r="B15" t="s">
        <v>1367</v>
      </c>
      <c r="C15" t="s">
        <v>1720</v>
      </c>
      <c r="D15" t="s">
        <v>1721</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45">
      <c r="A16" t="s">
        <v>1368</v>
      </c>
      <c r="B16" t="s">
        <v>1369</v>
      </c>
      <c r="C16" t="s">
        <v>1720</v>
      </c>
      <c r="D16" t="s">
        <v>1721</v>
      </c>
    </row>
    <row r="17" spans="1:63" x14ac:dyDescent="0.45">
      <c r="A17" t="s">
        <v>1172</v>
      </c>
      <c r="B17" t="s">
        <v>1370</v>
      </c>
      <c r="C17" t="s">
        <v>1720</v>
      </c>
      <c r="D17" t="s">
        <v>1721</v>
      </c>
    </row>
    <row r="18" spans="1:63" x14ac:dyDescent="0.45">
      <c r="A18" t="s">
        <v>1213</v>
      </c>
      <c r="B18" t="s">
        <v>1371</v>
      </c>
      <c r="C18" t="s">
        <v>1720</v>
      </c>
      <c r="D18" t="s">
        <v>1721</v>
      </c>
    </row>
    <row r="19" spans="1:63" x14ac:dyDescent="0.45">
      <c r="A19" t="s">
        <v>1270</v>
      </c>
      <c r="B19" t="s">
        <v>1372</v>
      </c>
      <c r="C19" t="s">
        <v>1720</v>
      </c>
      <c r="D19" t="s">
        <v>1721</v>
      </c>
    </row>
    <row r="20" spans="1:63" x14ac:dyDescent="0.45">
      <c r="A20" t="s">
        <v>1114</v>
      </c>
      <c r="B20" t="s">
        <v>1373</v>
      </c>
      <c r="C20" t="s">
        <v>1720</v>
      </c>
      <c r="D20" t="s">
        <v>1721</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45">
      <c r="A21" t="s">
        <v>582</v>
      </c>
      <c r="B21" t="s">
        <v>1374</v>
      </c>
      <c r="C21" t="s">
        <v>1720</v>
      </c>
      <c r="D21" t="s">
        <v>1721</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45">
      <c r="A22" t="s">
        <v>1271</v>
      </c>
      <c r="B22" t="s">
        <v>1375</v>
      </c>
      <c r="C22" t="s">
        <v>1720</v>
      </c>
      <c r="D22" t="s">
        <v>1721</v>
      </c>
    </row>
    <row r="23" spans="1:63" x14ac:dyDescent="0.45">
      <c r="A23" t="s">
        <v>1088</v>
      </c>
      <c r="B23" t="s">
        <v>1376</v>
      </c>
      <c r="C23" t="s">
        <v>1720</v>
      </c>
      <c r="D23" t="s">
        <v>1721</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45">
      <c r="A24" t="s">
        <v>1089</v>
      </c>
      <c r="B24" t="s">
        <v>1377</v>
      </c>
      <c r="C24" t="s">
        <v>1720</v>
      </c>
      <c r="D24" t="s">
        <v>1721</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45">
      <c r="A25" t="s">
        <v>1140</v>
      </c>
      <c r="B25" t="s">
        <v>1378</v>
      </c>
      <c r="C25" t="s">
        <v>1720</v>
      </c>
      <c r="D25" t="s">
        <v>1721</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45">
      <c r="A26" t="s">
        <v>1235</v>
      </c>
      <c r="B26" t="s">
        <v>1379</v>
      </c>
      <c r="C26" t="s">
        <v>1720</v>
      </c>
      <c r="D26" t="s">
        <v>1721</v>
      </c>
    </row>
    <row r="27" spans="1:63" x14ac:dyDescent="0.45">
      <c r="A27" t="s">
        <v>1115</v>
      </c>
      <c r="B27" t="s">
        <v>1380</v>
      </c>
      <c r="C27" t="s">
        <v>1720</v>
      </c>
      <c r="D27" t="s">
        <v>1721</v>
      </c>
    </row>
    <row r="28" spans="1:63" x14ac:dyDescent="0.45">
      <c r="A28" t="s">
        <v>1381</v>
      </c>
      <c r="B28" t="s">
        <v>1382</v>
      </c>
      <c r="C28" t="s">
        <v>1720</v>
      </c>
      <c r="D28" t="s">
        <v>1721</v>
      </c>
    </row>
    <row r="29" spans="1:63" x14ac:dyDescent="0.45">
      <c r="A29" t="s">
        <v>1258</v>
      </c>
      <c r="B29" t="s">
        <v>1383</v>
      </c>
      <c r="C29" t="s">
        <v>1720</v>
      </c>
      <c r="D29" t="s">
        <v>1721</v>
      </c>
    </row>
    <row r="30" spans="1:63" x14ac:dyDescent="0.45">
      <c r="A30" t="s">
        <v>1234</v>
      </c>
      <c r="B30" t="s">
        <v>1384</v>
      </c>
      <c r="C30" t="s">
        <v>1720</v>
      </c>
      <c r="D30" t="s">
        <v>1721</v>
      </c>
    </row>
    <row r="31" spans="1:63" x14ac:dyDescent="0.45">
      <c r="A31" t="s">
        <v>1190</v>
      </c>
      <c r="B31" t="s">
        <v>1385</v>
      </c>
      <c r="C31" t="s">
        <v>1720</v>
      </c>
      <c r="D31" t="s">
        <v>1721</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45">
      <c r="A32" t="s">
        <v>1386</v>
      </c>
      <c r="B32" t="s">
        <v>1387</v>
      </c>
      <c r="C32" t="s">
        <v>1720</v>
      </c>
      <c r="D32" t="s">
        <v>1721</v>
      </c>
    </row>
    <row r="33" spans="1:63" x14ac:dyDescent="0.45">
      <c r="A33" t="s">
        <v>1388</v>
      </c>
      <c r="B33" t="s">
        <v>1389</v>
      </c>
      <c r="C33" t="s">
        <v>1720</v>
      </c>
      <c r="D33" t="s">
        <v>1721</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45">
      <c r="A34" t="s">
        <v>1201</v>
      </c>
      <c r="B34" t="s">
        <v>1390</v>
      </c>
      <c r="C34" t="s">
        <v>1720</v>
      </c>
      <c r="D34" t="s">
        <v>1721</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45">
      <c r="A35" t="s">
        <v>1175</v>
      </c>
      <c r="B35" t="s">
        <v>1391</v>
      </c>
      <c r="C35" t="s">
        <v>1720</v>
      </c>
      <c r="D35" t="s">
        <v>1721</v>
      </c>
    </row>
    <row r="36" spans="1:63" x14ac:dyDescent="0.45">
      <c r="A36" t="s">
        <v>1159</v>
      </c>
      <c r="B36" t="s">
        <v>1392</v>
      </c>
      <c r="C36" t="s">
        <v>1720</v>
      </c>
      <c r="D36" t="s">
        <v>1721</v>
      </c>
    </row>
    <row r="37" spans="1:63" x14ac:dyDescent="0.45">
      <c r="A37" t="s">
        <v>1141</v>
      </c>
      <c r="B37" t="s">
        <v>1393</v>
      </c>
      <c r="C37" t="s">
        <v>1720</v>
      </c>
      <c r="D37" t="s">
        <v>1721</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45">
      <c r="A38" t="s">
        <v>580</v>
      </c>
      <c r="B38" t="s">
        <v>1394</v>
      </c>
      <c r="C38" t="s">
        <v>1720</v>
      </c>
      <c r="D38" t="s">
        <v>1721</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45">
      <c r="A39" t="s">
        <v>584</v>
      </c>
      <c r="B39" t="s">
        <v>1395</v>
      </c>
      <c r="C39" t="s">
        <v>1720</v>
      </c>
      <c r="D39" t="s">
        <v>1721</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45">
      <c r="A40" t="s">
        <v>1278</v>
      </c>
      <c r="B40" t="s">
        <v>1396</v>
      </c>
      <c r="C40" t="s">
        <v>1720</v>
      </c>
      <c r="D40" t="s">
        <v>1721</v>
      </c>
    </row>
    <row r="41" spans="1:63" x14ac:dyDescent="0.45">
      <c r="A41" t="s">
        <v>1397</v>
      </c>
      <c r="B41" t="s">
        <v>1398</v>
      </c>
      <c r="C41" t="s">
        <v>1720</v>
      </c>
      <c r="D41" t="s">
        <v>1721</v>
      </c>
    </row>
    <row r="42" spans="1:63" x14ac:dyDescent="0.45">
      <c r="A42" t="s">
        <v>1276</v>
      </c>
      <c r="B42" t="s">
        <v>1399</v>
      </c>
      <c r="C42" t="s">
        <v>1720</v>
      </c>
      <c r="D42" t="s">
        <v>1721</v>
      </c>
    </row>
    <row r="43" spans="1:63" x14ac:dyDescent="0.45">
      <c r="A43" t="s">
        <v>1245</v>
      </c>
      <c r="B43" t="s">
        <v>1400</v>
      </c>
      <c r="C43" t="s">
        <v>1720</v>
      </c>
      <c r="D43" t="s">
        <v>1721</v>
      </c>
    </row>
    <row r="44" spans="1:63" x14ac:dyDescent="0.45">
      <c r="A44" t="s">
        <v>1202</v>
      </c>
      <c r="B44" t="s">
        <v>1401</v>
      </c>
      <c r="C44" t="s">
        <v>1720</v>
      </c>
      <c r="D44" t="s">
        <v>1721</v>
      </c>
    </row>
    <row r="45" spans="1:63" x14ac:dyDescent="0.45">
      <c r="A45" t="s">
        <v>1150</v>
      </c>
      <c r="B45" t="s">
        <v>1402</v>
      </c>
      <c r="C45" t="s">
        <v>1720</v>
      </c>
      <c r="D45" t="s">
        <v>1721</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45">
      <c r="A46" t="s">
        <v>1403</v>
      </c>
      <c r="B46" t="s">
        <v>1404</v>
      </c>
      <c r="C46" t="s">
        <v>1720</v>
      </c>
      <c r="D46" t="s">
        <v>1721</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45">
      <c r="A47" t="s">
        <v>1079</v>
      </c>
      <c r="B47" t="s">
        <v>1405</v>
      </c>
      <c r="C47" t="s">
        <v>1720</v>
      </c>
      <c r="D47" t="s">
        <v>1721</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45">
      <c r="A48" t="s">
        <v>1406</v>
      </c>
      <c r="B48" t="s">
        <v>1407</v>
      </c>
      <c r="C48" t="s">
        <v>1720</v>
      </c>
      <c r="D48" t="s">
        <v>1721</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45">
      <c r="A49" t="s">
        <v>1408</v>
      </c>
      <c r="B49" t="s">
        <v>1409</v>
      </c>
      <c r="C49" t="s">
        <v>1720</v>
      </c>
      <c r="D49" t="s">
        <v>1721</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45">
      <c r="A50" t="s">
        <v>1203</v>
      </c>
      <c r="B50" t="s">
        <v>1410</v>
      </c>
      <c r="C50" t="s">
        <v>1720</v>
      </c>
      <c r="D50" t="s">
        <v>1721</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45">
      <c r="A51" t="s">
        <v>1067</v>
      </c>
      <c r="B51" t="s">
        <v>1411</v>
      </c>
      <c r="C51" t="s">
        <v>1720</v>
      </c>
      <c r="D51" t="s">
        <v>1721</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45">
      <c r="A52" t="s">
        <v>1090</v>
      </c>
      <c r="B52" t="s">
        <v>1412</v>
      </c>
      <c r="C52" t="s">
        <v>1720</v>
      </c>
      <c r="D52" t="s">
        <v>1721</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45">
      <c r="A53" t="s">
        <v>1191</v>
      </c>
      <c r="B53" t="s">
        <v>1413</v>
      </c>
      <c r="C53" t="s">
        <v>1720</v>
      </c>
      <c r="D53" t="s">
        <v>1721</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45">
      <c r="A54" t="s">
        <v>1414</v>
      </c>
      <c r="B54" t="s">
        <v>1415</v>
      </c>
      <c r="C54" t="s">
        <v>1720</v>
      </c>
      <c r="D54" t="s">
        <v>1721</v>
      </c>
    </row>
    <row r="55" spans="1:63" x14ac:dyDescent="0.45">
      <c r="A55" t="s">
        <v>1176</v>
      </c>
      <c r="B55" t="s">
        <v>1416</v>
      </c>
      <c r="C55" t="s">
        <v>1720</v>
      </c>
      <c r="D55" t="s">
        <v>1721</v>
      </c>
    </row>
    <row r="56" spans="1:63" x14ac:dyDescent="0.45">
      <c r="A56" t="s">
        <v>1417</v>
      </c>
      <c r="B56" t="s">
        <v>1418</v>
      </c>
      <c r="C56" t="s">
        <v>1720</v>
      </c>
      <c r="D56" t="s">
        <v>1721</v>
      </c>
    </row>
    <row r="57" spans="1:63" x14ac:dyDescent="0.45">
      <c r="A57" t="s">
        <v>1419</v>
      </c>
      <c r="B57" t="s">
        <v>1420</v>
      </c>
      <c r="C57" t="s">
        <v>1720</v>
      </c>
      <c r="D57" t="s">
        <v>1721</v>
      </c>
    </row>
    <row r="58" spans="1:63" x14ac:dyDescent="0.45">
      <c r="A58" t="s">
        <v>1116</v>
      </c>
      <c r="B58" t="s">
        <v>1421</v>
      </c>
      <c r="C58" t="s">
        <v>1720</v>
      </c>
      <c r="D58" t="s">
        <v>1721</v>
      </c>
    </row>
    <row r="59" spans="1:63" x14ac:dyDescent="0.45">
      <c r="A59" t="s">
        <v>1422</v>
      </c>
      <c r="B59" t="s">
        <v>1423</v>
      </c>
      <c r="C59" t="s">
        <v>1720</v>
      </c>
      <c r="D59" t="s">
        <v>1721</v>
      </c>
    </row>
    <row r="60" spans="1:63" x14ac:dyDescent="0.45">
      <c r="A60" t="s">
        <v>1273</v>
      </c>
      <c r="B60" t="s">
        <v>1424</v>
      </c>
      <c r="C60" t="s">
        <v>1720</v>
      </c>
      <c r="D60" t="s">
        <v>1721</v>
      </c>
    </row>
    <row r="61" spans="1:63" x14ac:dyDescent="0.45">
      <c r="A61" t="s">
        <v>1068</v>
      </c>
      <c r="B61" t="s">
        <v>1425</v>
      </c>
      <c r="C61" t="s">
        <v>1720</v>
      </c>
      <c r="D61" t="s">
        <v>1721</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45">
      <c r="A62" t="s">
        <v>1426</v>
      </c>
      <c r="B62" t="s">
        <v>1427</v>
      </c>
      <c r="C62" t="s">
        <v>1720</v>
      </c>
      <c r="D62" t="s">
        <v>1721</v>
      </c>
    </row>
    <row r="63" spans="1:63" x14ac:dyDescent="0.45">
      <c r="A63" t="s">
        <v>1246</v>
      </c>
      <c r="B63" t="s">
        <v>1428</v>
      </c>
      <c r="C63" t="s">
        <v>1720</v>
      </c>
      <c r="D63" t="s">
        <v>1721</v>
      </c>
    </row>
    <row r="64" spans="1:63" x14ac:dyDescent="0.45">
      <c r="A64" t="s">
        <v>1178</v>
      </c>
      <c r="B64" t="s">
        <v>1429</v>
      </c>
      <c r="C64" t="s">
        <v>1720</v>
      </c>
      <c r="D64" t="s">
        <v>1721</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45">
      <c r="A65" t="s">
        <v>1105</v>
      </c>
      <c r="B65" t="s">
        <v>1430</v>
      </c>
      <c r="C65" t="s">
        <v>1720</v>
      </c>
      <c r="D65" t="s">
        <v>1721</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45">
      <c r="A66" t="s">
        <v>1431</v>
      </c>
      <c r="B66" t="s">
        <v>1432</v>
      </c>
      <c r="C66" t="s">
        <v>1720</v>
      </c>
      <c r="D66" t="s">
        <v>1721</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45">
      <c r="A67" t="s">
        <v>1433</v>
      </c>
      <c r="B67" t="s">
        <v>1434</v>
      </c>
      <c r="C67" t="s">
        <v>1720</v>
      </c>
      <c r="D67" t="s">
        <v>1721</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45">
      <c r="A68" t="s">
        <v>1435</v>
      </c>
      <c r="B68" t="s">
        <v>1436</v>
      </c>
      <c r="C68" t="s">
        <v>1720</v>
      </c>
      <c r="D68" t="s">
        <v>1721</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45">
      <c r="A69" t="s">
        <v>1437</v>
      </c>
      <c r="B69" t="s">
        <v>1438</v>
      </c>
      <c r="C69" t="s">
        <v>1720</v>
      </c>
      <c r="D69" t="s">
        <v>1721</v>
      </c>
    </row>
    <row r="70" spans="1:63" x14ac:dyDescent="0.45">
      <c r="A70" t="s">
        <v>1439</v>
      </c>
      <c r="B70" t="s">
        <v>1440</v>
      </c>
      <c r="C70" t="s">
        <v>1720</v>
      </c>
      <c r="D70" t="s">
        <v>1721</v>
      </c>
    </row>
    <row r="71" spans="1:63" x14ac:dyDescent="0.45">
      <c r="A71" t="s">
        <v>1204</v>
      </c>
      <c r="B71" t="s">
        <v>1441</v>
      </c>
      <c r="C71" t="s">
        <v>1720</v>
      </c>
      <c r="D71" t="s">
        <v>1721</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45">
      <c r="A72" t="s">
        <v>1442</v>
      </c>
      <c r="B72" t="s">
        <v>1443</v>
      </c>
      <c r="C72" t="s">
        <v>1720</v>
      </c>
      <c r="D72" t="s">
        <v>1721</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45">
      <c r="A73" t="s">
        <v>1444</v>
      </c>
      <c r="B73" t="s">
        <v>1445</v>
      </c>
      <c r="C73" t="s">
        <v>1720</v>
      </c>
      <c r="D73" t="s">
        <v>1721</v>
      </c>
    </row>
    <row r="74" spans="1:63" x14ac:dyDescent="0.45">
      <c r="A74" t="s">
        <v>592</v>
      </c>
      <c r="B74" t="s">
        <v>1446</v>
      </c>
      <c r="C74" t="s">
        <v>1720</v>
      </c>
      <c r="D74" t="s">
        <v>1721</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45">
      <c r="A75" t="s">
        <v>1268</v>
      </c>
      <c r="B75" t="s">
        <v>1447</v>
      </c>
      <c r="C75" t="s">
        <v>1720</v>
      </c>
      <c r="D75" t="s">
        <v>1721</v>
      </c>
    </row>
    <row r="76" spans="1:63" x14ac:dyDescent="0.45">
      <c r="A76" t="s">
        <v>1247</v>
      </c>
      <c r="B76" t="s">
        <v>1448</v>
      </c>
      <c r="C76" t="s">
        <v>1720</v>
      </c>
      <c r="D76" t="s">
        <v>1721</v>
      </c>
    </row>
    <row r="77" spans="1:63" x14ac:dyDescent="0.45">
      <c r="A77" t="s">
        <v>594</v>
      </c>
      <c r="B77" t="s">
        <v>926</v>
      </c>
      <c r="C77" t="s">
        <v>1720</v>
      </c>
      <c r="D77" t="s">
        <v>1721</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45">
      <c r="A78" t="s">
        <v>1449</v>
      </c>
      <c r="B78" t="s">
        <v>1450</v>
      </c>
      <c r="C78" t="s">
        <v>1720</v>
      </c>
      <c r="D78" t="s">
        <v>1721</v>
      </c>
    </row>
    <row r="79" spans="1:63" x14ac:dyDescent="0.45">
      <c r="A79" t="s">
        <v>1451</v>
      </c>
      <c r="B79" t="s">
        <v>1452</v>
      </c>
      <c r="C79" t="s">
        <v>1720</v>
      </c>
      <c r="D79" t="s">
        <v>1721</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45">
      <c r="A80" t="s">
        <v>1248</v>
      </c>
      <c r="B80" t="s">
        <v>1453</v>
      </c>
      <c r="C80" t="s">
        <v>1720</v>
      </c>
      <c r="D80" t="s">
        <v>1721</v>
      </c>
    </row>
    <row r="81" spans="1:63" x14ac:dyDescent="0.45">
      <c r="A81" t="s">
        <v>1217</v>
      </c>
      <c r="B81" t="s">
        <v>1454</v>
      </c>
      <c r="C81" t="s">
        <v>1720</v>
      </c>
      <c r="D81" t="s">
        <v>1721</v>
      </c>
    </row>
    <row r="82" spans="1:63" x14ac:dyDescent="0.45">
      <c r="A82" t="s">
        <v>1272</v>
      </c>
      <c r="B82" t="s">
        <v>1455</v>
      </c>
      <c r="C82" t="s">
        <v>1720</v>
      </c>
      <c r="D82" t="s">
        <v>1721</v>
      </c>
    </row>
    <row r="83" spans="1:63" x14ac:dyDescent="0.45">
      <c r="A83" t="s">
        <v>1456</v>
      </c>
      <c r="B83" t="s">
        <v>1457</v>
      </c>
      <c r="C83" t="s">
        <v>1720</v>
      </c>
      <c r="D83" t="s">
        <v>1721</v>
      </c>
    </row>
    <row r="84" spans="1:63" x14ac:dyDescent="0.45">
      <c r="A84" t="s">
        <v>1458</v>
      </c>
      <c r="B84" t="s">
        <v>1459</v>
      </c>
      <c r="C84" t="s">
        <v>1720</v>
      </c>
      <c r="D84" t="s">
        <v>1721</v>
      </c>
    </row>
    <row r="85" spans="1:63" x14ac:dyDescent="0.45">
      <c r="A85" t="s">
        <v>1083</v>
      </c>
      <c r="B85" t="s">
        <v>1460</v>
      </c>
      <c r="C85" t="s">
        <v>1720</v>
      </c>
      <c r="D85" t="s">
        <v>1721</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45">
      <c r="A86" t="s">
        <v>1255</v>
      </c>
      <c r="B86" t="s">
        <v>1461</v>
      </c>
      <c r="C86" t="s">
        <v>1720</v>
      </c>
      <c r="D86" t="s">
        <v>1721</v>
      </c>
    </row>
    <row r="87" spans="1:63" x14ac:dyDescent="0.45">
      <c r="A87" t="s">
        <v>1117</v>
      </c>
      <c r="B87" t="s">
        <v>1462</v>
      </c>
      <c r="C87" t="s">
        <v>1720</v>
      </c>
      <c r="D87" t="s">
        <v>1721</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45">
      <c r="A88" t="s">
        <v>1092</v>
      </c>
      <c r="B88" t="s">
        <v>1463</v>
      </c>
      <c r="C88" t="s">
        <v>1720</v>
      </c>
      <c r="D88" t="s">
        <v>1721</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45">
      <c r="A89" t="s">
        <v>1464</v>
      </c>
      <c r="B89" t="s">
        <v>1465</v>
      </c>
      <c r="C89" t="s">
        <v>1720</v>
      </c>
      <c r="D89" t="s">
        <v>1721</v>
      </c>
    </row>
    <row r="90" spans="1:63" x14ac:dyDescent="0.45">
      <c r="A90" t="s">
        <v>1093</v>
      </c>
      <c r="B90" t="s">
        <v>1466</v>
      </c>
      <c r="C90" t="s">
        <v>1720</v>
      </c>
      <c r="D90" t="s">
        <v>1721</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45">
      <c r="A91" t="s">
        <v>1467</v>
      </c>
      <c r="B91" t="s">
        <v>1468</v>
      </c>
      <c r="C91" t="s">
        <v>1720</v>
      </c>
      <c r="D91" t="s">
        <v>1721</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45">
      <c r="A92" t="s">
        <v>1094</v>
      </c>
      <c r="B92" t="s">
        <v>1469</v>
      </c>
      <c r="C92" t="s">
        <v>1720</v>
      </c>
      <c r="D92" t="s">
        <v>1721</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45">
      <c r="A93" t="s">
        <v>1082</v>
      </c>
      <c r="B93" t="s">
        <v>1470</v>
      </c>
      <c r="C93" t="s">
        <v>1720</v>
      </c>
      <c r="D93" t="s">
        <v>1721</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45">
      <c r="A94" t="s">
        <v>1260</v>
      </c>
      <c r="B94" t="s">
        <v>1471</v>
      </c>
      <c r="C94" t="s">
        <v>1720</v>
      </c>
      <c r="D94" t="s">
        <v>1721</v>
      </c>
    </row>
    <row r="95" spans="1:63" x14ac:dyDescent="0.45">
      <c r="A95" t="s">
        <v>1179</v>
      </c>
      <c r="B95" t="s">
        <v>1472</v>
      </c>
      <c r="C95" t="s">
        <v>1720</v>
      </c>
      <c r="D95" t="s">
        <v>1721</v>
      </c>
    </row>
    <row r="96" spans="1:63" x14ac:dyDescent="0.45">
      <c r="A96" t="s">
        <v>1473</v>
      </c>
      <c r="B96" t="s">
        <v>1474</v>
      </c>
      <c r="C96" t="s">
        <v>1720</v>
      </c>
      <c r="D96" t="s">
        <v>1721</v>
      </c>
    </row>
    <row r="97" spans="1:63" x14ac:dyDescent="0.45">
      <c r="A97" t="s">
        <v>1193</v>
      </c>
      <c r="B97" t="s">
        <v>1475</v>
      </c>
      <c r="C97" t="s">
        <v>1720</v>
      </c>
      <c r="D97" t="s">
        <v>1721</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45">
      <c r="A98" t="s">
        <v>1223</v>
      </c>
      <c r="B98" t="s">
        <v>1476</v>
      </c>
      <c r="C98" t="s">
        <v>1720</v>
      </c>
      <c r="D98" t="s">
        <v>1721</v>
      </c>
    </row>
    <row r="99" spans="1:63" x14ac:dyDescent="0.45">
      <c r="A99" t="s">
        <v>1206</v>
      </c>
      <c r="B99" t="s">
        <v>1477</v>
      </c>
      <c r="C99" t="s">
        <v>1720</v>
      </c>
      <c r="D99" t="s">
        <v>1721</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45">
      <c r="A100" t="s">
        <v>1478</v>
      </c>
      <c r="B100" t="s">
        <v>1479</v>
      </c>
      <c r="C100" t="s">
        <v>1720</v>
      </c>
      <c r="D100" t="s">
        <v>1721</v>
      </c>
    </row>
    <row r="101" spans="1:63" x14ac:dyDescent="0.45">
      <c r="A101" t="s">
        <v>1480</v>
      </c>
      <c r="B101" t="s">
        <v>1481</v>
      </c>
      <c r="C101" t="s">
        <v>1720</v>
      </c>
      <c r="D101" t="s">
        <v>1721</v>
      </c>
    </row>
    <row r="102" spans="1:63" x14ac:dyDescent="0.45">
      <c r="A102" t="s">
        <v>1194</v>
      </c>
      <c r="B102" t="s">
        <v>1482</v>
      </c>
      <c r="C102" t="s">
        <v>1720</v>
      </c>
      <c r="D102" t="s">
        <v>1721</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45">
      <c r="A103" t="s">
        <v>1483</v>
      </c>
      <c r="B103" t="s">
        <v>1484</v>
      </c>
      <c r="C103" t="s">
        <v>1720</v>
      </c>
      <c r="D103" t="s">
        <v>1721</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45">
      <c r="A104" t="s">
        <v>1259</v>
      </c>
      <c r="B104" t="s">
        <v>1485</v>
      </c>
      <c r="C104" t="s">
        <v>1720</v>
      </c>
      <c r="D104" t="s">
        <v>1721</v>
      </c>
    </row>
    <row r="105" spans="1:63" x14ac:dyDescent="0.45">
      <c r="A105" t="s">
        <v>1181</v>
      </c>
      <c r="B105" t="s">
        <v>1486</v>
      </c>
      <c r="C105" t="s">
        <v>1720</v>
      </c>
      <c r="D105" t="s">
        <v>1721</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45">
      <c r="A106" t="s">
        <v>1237</v>
      </c>
      <c r="B106" t="s">
        <v>1487</v>
      </c>
      <c r="C106" t="s">
        <v>1720</v>
      </c>
      <c r="D106" t="s">
        <v>1721</v>
      </c>
    </row>
    <row r="107" spans="1:63" x14ac:dyDescent="0.45">
      <c r="A107" t="s">
        <v>1488</v>
      </c>
      <c r="B107" t="s">
        <v>1489</v>
      </c>
      <c r="C107" t="s">
        <v>1720</v>
      </c>
      <c r="D107" t="s">
        <v>1721</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45">
      <c r="A108" t="s">
        <v>1490</v>
      </c>
      <c r="B108" t="s">
        <v>1491</v>
      </c>
      <c r="C108" t="s">
        <v>1720</v>
      </c>
      <c r="D108" t="s">
        <v>1721</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45">
      <c r="A109" t="s">
        <v>1492</v>
      </c>
      <c r="B109" t="s">
        <v>1493</v>
      </c>
      <c r="C109" t="s">
        <v>1720</v>
      </c>
      <c r="D109" t="s">
        <v>1721</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45">
      <c r="A110" t="s">
        <v>1494</v>
      </c>
      <c r="B110" t="s">
        <v>1495</v>
      </c>
      <c r="C110" t="s">
        <v>1720</v>
      </c>
      <c r="D110" t="s">
        <v>1721</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45">
      <c r="A111" t="s">
        <v>1161</v>
      </c>
      <c r="B111" t="s">
        <v>1496</v>
      </c>
      <c r="C111" t="s">
        <v>1720</v>
      </c>
      <c r="D111" t="s">
        <v>1721</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45">
      <c r="A112" t="s">
        <v>1497</v>
      </c>
      <c r="B112" t="s">
        <v>1498</v>
      </c>
      <c r="C112" t="s">
        <v>1720</v>
      </c>
      <c r="D112" t="s">
        <v>1721</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45">
      <c r="A113" t="s">
        <v>1499</v>
      </c>
      <c r="B113" t="s">
        <v>1500</v>
      </c>
      <c r="C113" t="s">
        <v>1720</v>
      </c>
      <c r="D113" t="s">
        <v>1721</v>
      </c>
    </row>
    <row r="114" spans="1:63" x14ac:dyDescent="0.45">
      <c r="A114" t="s">
        <v>1142</v>
      </c>
      <c r="B114" t="s">
        <v>1501</v>
      </c>
      <c r="C114" t="s">
        <v>1720</v>
      </c>
      <c r="D114" t="s">
        <v>1721</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45">
      <c r="A115" t="s">
        <v>1502</v>
      </c>
      <c r="B115" t="s">
        <v>1503</v>
      </c>
      <c r="C115" t="s">
        <v>1720</v>
      </c>
      <c r="D115" t="s">
        <v>1721</v>
      </c>
    </row>
    <row r="116" spans="1:63" x14ac:dyDescent="0.45">
      <c r="A116" t="s">
        <v>1250</v>
      </c>
      <c r="B116" t="s">
        <v>1504</v>
      </c>
      <c r="C116" t="s">
        <v>1720</v>
      </c>
      <c r="D116" t="s">
        <v>1721</v>
      </c>
    </row>
    <row r="117" spans="1:63" x14ac:dyDescent="0.45">
      <c r="A117" t="s">
        <v>1505</v>
      </c>
      <c r="B117" t="s">
        <v>1506</v>
      </c>
      <c r="C117" t="s">
        <v>1720</v>
      </c>
      <c r="D117" t="s">
        <v>1721</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45">
      <c r="A118" t="s">
        <v>1118</v>
      </c>
      <c r="B118" t="s">
        <v>1507</v>
      </c>
      <c r="C118" t="s">
        <v>1720</v>
      </c>
      <c r="D118" t="s">
        <v>1721</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45">
      <c r="A119" t="s">
        <v>1249</v>
      </c>
      <c r="B119" t="s">
        <v>1508</v>
      </c>
      <c r="C119" t="s">
        <v>1720</v>
      </c>
      <c r="D119" t="s">
        <v>1721</v>
      </c>
    </row>
    <row r="120" spans="1:63" x14ac:dyDescent="0.45">
      <c r="A120" t="s">
        <v>1119</v>
      </c>
      <c r="B120" t="s">
        <v>1509</v>
      </c>
      <c r="C120" t="s">
        <v>1720</v>
      </c>
      <c r="D120" t="s">
        <v>1721</v>
      </c>
    </row>
    <row r="121" spans="1:63" x14ac:dyDescent="0.45">
      <c r="A121" t="s">
        <v>1261</v>
      </c>
      <c r="B121" t="s">
        <v>1510</v>
      </c>
      <c r="C121" t="s">
        <v>1720</v>
      </c>
      <c r="D121" t="s">
        <v>1721</v>
      </c>
    </row>
    <row r="122" spans="1:63" x14ac:dyDescent="0.45">
      <c r="A122" t="s">
        <v>1182</v>
      </c>
      <c r="B122" t="s">
        <v>1511</v>
      </c>
      <c r="C122" t="s">
        <v>1720</v>
      </c>
      <c r="D122" t="s">
        <v>1721</v>
      </c>
    </row>
    <row r="123" spans="1:63" x14ac:dyDescent="0.45">
      <c r="A123" t="s">
        <v>1120</v>
      </c>
      <c r="B123" t="s">
        <v>1512</v>
      </c>
      <c r="C123" t="s">
        <v>1720</v>
      </c>
      <c r="D123" t="s">
        <v>1721</v>
      </c>
    </row>
    <row r="124" spans="1:63" x14ac:dyDescent="0.45">
      <c r="A124" t="s">
        <v>1155</v>
      </c>
      <c r="B124" t="s">
        <v>1513</v>
      </c>
      <c r="C124" t="s">
        <v>1720</v>
      </c>
      <c r="D124" t="s">
        <v>1721</v>
      </c>
    </row>
    <row r="125" spans="1:63" x14ac:dyDescent="0.45">
      <c r="A125" t="s">
        <v>1133</v>
      </c>
      <c r="B125" t="s">
        <v>1514</v>
      </c>
      <c r="C125" t="s">
        <v>1720</v>
      </c>
      <c r="D125" t="s">
        <v>1721</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45">
      <c r="A126" t="s">
        <v>1069</v>
      </c>
      <c r="B126" t="s">
        <v>1515</v>
      </c>
      <c r="C126" t="s">
        <v>1720</v>
      </c>
      <c r="D126" t="s">
        <v>1721</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45">
      <c r="A127" t="s">
        <v>1516</v>
      </c>
      <c r="B127" t="s">
        <v>1517</v>
      </c>
      <c r="C127" t="s">
        <v>1720</v>
      </c>
      <c r="D127" t="s">
        <v>1721</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45">
      <c r="A128" t="s">
        <v>1160</v>
      </c>
      <c r="B128" t="s">
        <v>1518</v>
      </c>
      <c r="C128" t="s">
        <v>1720</v>
      </c>
      <c r="D128" t="s">
        <v>1721</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45">
      <c r="A129" t="s">
        <v>1224</v>
      </c>
      <c r="B129" t="s">
        <v>1519</v>
      </c>
      <c r="C129" t="s">
        <v>1720</v>
      </c>
      <c r="D129" t="s">
        <v>1721</v>
      </c>
    </row>
    <row r="130" spans="1:63" x14ac:dyDescent="0.45">
      <c r="A130" t="s">
        <v>1520</v>
      </c>
      <c r="B130" t="s">
        <v>1521</v>
      </c>
      <c r="C130" t="s">
        <v>1720</v>
      </c>
      <c r="D130" t="s">
        <v>1721</v>
      </c>
    </row>
    <row r="131" spans="1:63" x14ac:dyDescent="0.45">
      <c r="A131" t="s">
        <v>1522</v>
      </c>
      <c r="B131" t="s">
        <v>1523</v>
      </c>
      <c r="C131" t="s">
        <v>1720</v>
      </c>
      <c r="D131" t="s">
        <v>1721</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45">
      <c r="A132" t="s">
        <v>1121</v>
      </c>
      <c r="B132" t="s">
        <v>1524</v>
      </c>
      <c r="C132" t="s">
        <v>1720</v>
      </c>
      <c r="D132" t="s">
        <v>1721</v>
      </c>
    </row>
    <row r="133" spans="1:63" x14ac:dyDescent="0.45">
      <c r="A133" t="s">
        <v>1525</v>
      </c>
      <c r="B133" t="s">
        <v>1526</v>
      </c>
      <c r="C133" t="s">
        <v>1720</v>
      </c>
      <c r="D133" t="s">
        <v>1721</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45">
      <c r="A134" t="s">
        <v>1527</v>
      </c>
      <c r="B134" t="s">
        <v>1528</v>
      </c>
      <c r="C134" t="s">
        <v>1720</v>
      </c>
      <c r="D134" t="s">
        <v>1721</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45">
      <c r="A135" t="s">
        <v>1122</v>
      </c>
      <c r="B135" t="s">
        <v>1529</v>
      </c>
      <c r="C135" t="s">
        <v>1720</v>
      </c>
      <c r="D135" t="s">
        <v>1721</v>
      </c>
    </row>
    <row r="136" spans="1:63" x14ac:dyDescent="0.45">
      <c r="A136" t="s">
        <v>1095</v>
      </c>
      <c r="B136" t="s">
        <v>1530</v>
      </c>
      <c r="C136" t="s">
        <v>1720</v>
      </c>
      <c r="D136" t="s">
        <v>1721</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45">
      <c r="A137" t="s">
        <v>1107</v>
      </c>
      <c r="B137" t="s">
        <v>1531</v>
      </c>
      <c r="C137" t="s">
        <v>1720</v>
      </c>
      <c r="D137" t="s">
        <v>1721</v>
      </c>
    </row>
    <row r="138" spans="1:63" x14ac:dyDescent="0.45">
      <c r="A138" t="s">
        <v>1532</v>
      </c>
      <c r="B138" t="s">
        <v>1533</v>
      </c>
      <c r="C138" t="s">
        <v>1720</v>
      </c>
      <c r="D138" t="s">
        <v>1721</v>
      </c>
    </row>
    <row r="139" spans="1:63" x14ac:dyDescent="0.45">
      <c r="A139" t="s">
        <v>1534</v>
      </c>
      <c r="B139" t="s">
        <v>1535</v>
      </c>
      <c r="C139" t="s">
        <v>1720</v>
      </c>
      <c r="D139" t="s">
        <v>1721</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45">
      <c r="A140" t="s">
        <v>1536</v>
      </c>
      <c r="B140" t="s">
        <v>1537</v>
      </c>
      <c r="C140" t="s">
        <v>1720</v>
      </c>
      <c r="D140" t="s">
        <v>1721</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45">
      <c r="A141" t="s">
        <v>1538</v>
      </c>
      <c r="B141" t="s">
        <v>1539</v>
      </c>
      <c r="C141" t="s">
        <v>1720</v>
      </c>
      <c r="D141" t="s">
        <v>1721</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45">
      <c r="A142" t="s">
        <v>1540</v>
      </c>
      <c r="B142" t="s">
        <v>1541</v>
      </c>
      <c r="C142" t="s">
        <v>1720</v>
      </c>
      <c r="D142" t="s">
        <v>1721</v>
      </c>
    </row>
    <row r="143" spans="1:63" x14ac:dyDescent="0.45">
      <c r="A143" t="s">
        <v>1147</v>
      </c>
      <c r="B143" t="s">
        <v>1542</v>
      </c>
      <c r="C143" t="s">
        <v>1720</v>
      </c>
      <c r="D143" t="s">
        <v>1721</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45">
      <c r="A144" t="s">
        <v>1543</v>
      </c>
      <c r="B144" t="s">
        <v>1544</v>
      </c>
      <c r="C144" t="s">
        <v>1720</v>
      </c>
      <c r="D144" t="s">
        <v>1721</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45">
      <c r="A145" t="s">
        <v>1545</v>
      </c>
      <c r="B145" t="s">
        <v>1546</v>
      </c>
      <c r="C145" t="s">
        <v>1720</v>
      </c>
      <c r="D145" t="s">
        <v>1721</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45">
      <c r="A146" t="s">
        <v>1086</v>
      </c>
      <c r="B146" t="s">
        <v>1547</v>
      </c>
      <c r="C146" t="s">
        <v>1720</v>
      </c>
      <c r="D146" t="s">
        <v>1721</v>
      </c>
    </row>
    <row r="147" spans="1:63" x14ac:dyDescent="0.45">
      <c r="A147" t="s">
        <v>1548</v>
      </c>
      <c r="B147" t="s">
        <v>1549</v>
      </c>
      <c r="C147" t="s">
        <v>1720</v>
      </c>
      <c r="D147" t="s">
        <v>1721</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45">
      <c r="A148" t="s">
        <v>1252</v>
      </c>
      <c r="B148" t="s">
        <v>1550</v>
      </c>
      <c r="C148" t="s">
        <v>1720</v>
      </c>
      <c r="D148" t="s">
        <v>1721</v>
      </c>
    </row>
    <row r="149" spans="1:63" x14ac:dyDescent="0.45">
      <c r="A149" t="s">
        <v>1274</v>
      </c>
      <c r="B149" t="s">
        <v>1551</v>
      </c>
      <c r="C149" t="s">
        <v>1720</v>
      </c>
      <c r="D149" t="s">
        <v>1721</v>
      </c>
    </row>
    <row r="150" spans="1:63" x14ac:dyDescent="0.45">
      <c r="A150" t="s">
        <v>1251</v>
      </c>
      <c r="B150" t="s">
        <v>1552</v>
      </c>
      <c r="C150" t="s">
        <v>1720</v>
      </c>
      <c r="D150" t="s">
        <v>1721</v>
      </c>
    </row>
    <row r="151" spans="1:63" x14ac:dyDescent="0.45">
      <c r="A151" t="s">
        <v>1553</v>
      </c>
      <c r="B151" t="s">
        <v>1554</v>
      </c>
      <c r="C151" t="s">
        <v>1720</v>
      </c>
      <c r="D151" t="s">
        <v>1721</v>
      </c>
    </row>
    <row r="152" spans="1:63" x14ac:dyDescent="0.45">
      <c r="A152" t="s">
        <v>1555</v>
      </c>
      <c r="B152" t="s">
        <v>1556</v>
      </c>
      <c r="C152" t="s">
        <v>1720</v>
      </c>
      <c r="D152" t="s">
        <v>1721</v>
      </c>
    </row>
    <row r="153" spans="1:63" x14ac:dyDescent="0.45">
      <c r="A153" t="s">
        <v>1108</v>
      </c>
      <c r="B153" t="s">
        <v>1557</v>
      </c>
      <c r="C153" t="s">
        <v>1720</v>
      </c>
      <c r="D153" t="s">
        <v>1721</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45">
      <c r="A154" t="s">
        <v>1558</v>
      </c>
      <c r="B154" t="s">
        <v>1559</v>
      </c>
      <c r="C154" t="s">
        <v>1720</v>
      </c>
      <c r="D154" t="s">
        <v>1721</v>
      </c>
    </row>
    <row r="155" spans="1:63" x14ac:dyDescent="0.45">
      <c r="A155" t="s">
        <v>1560</v>
      </c>
      <c r="B155" t="s">
        <v>1561</v>
      </c>
      <c r="C155" t="s">
        <v>1720</v>
      </c>
      <c r="D155" t="s">
        <v>1721</v>
      </c>
    </row>
    <row r="156" spans="1:63" x14ac:dyDescent="0.45">
      <c r="A156" t="s">
        <v>1070</v>
      </c>
      <c r="B156" t="s">
        <v>1562</v>
      </c>
      <c r="C156" t="s">
        <v>1720</v>
      </c>
      <c r="D156" t="s">
        <v>1721</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45">
      <c r="A157" t="s">
        <v>1144</v>
      </c>
      <c r="B157" t="s">
        <v>1563</v>
      </c>
      <c r="C157" t="s">
        <v>1720</v>
      </c>
      <c r="D157" t="s">
        <v>1721</v>
      </c>
    </row>
    <row r="158" spans="1:63" x14ac:dyDescent="0.45">
      <c r="A158" t="s">
        <v>1564</v>
      </c>
      <c r="B158" t="s">
        <v>1565</v>
      </c>
      <c r="C158" t="s">
        <v>1720</v>
      </c>
      <c r="D158" t="s">
        <v>1721</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45">
      <c r="A159" t="s">
        <v>1195</v>
      </c>
      <c r="B159" t="s">
        <v>1566</v>
      </c>
      <c r="C159" t="s">
        <v>1720</v>
      </c>
      <c r="D159" t="s">
        <v>1721</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45">
      <c r="A160" t="s">
        <v>1567</v>
      </c>
      <c r="B160" t="s">
        <v>1568</v>
      </c>
      <c r="C160" t="s">
        <v>1720</v>
      </c>
      <c r="D160" t="s">
        <v>1721</v>
      </c>
    </row>
    <row r="161" spans="1:63" x14ac:dyDescent="0.45">
      <c r="A161" t="s">
        <v>1569</v>
      </c>
      <c r="B161" t="s">
        <v>1570</v>
      </c>
      <c r="C161" t="s">
        <v>1720</v>
      </c>
      <c r="D161" t="s">
        <v>1721</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45">
      <c r="A162" t="s">
        <v>1264</v>
      </c>
      <c r="B162" t="s">
        <v>1571</v>
      </c>
      <c r="C162" t="s">
        <v>1720</v>
      </c>
      <c r="D162" t="s">
        <v>1721</v>
      </c>
    </row>
    <row r="163" spans="1:63" x14ac:dyDescent="0.45">
      <c r="A163" t="s">
        <v>1096</v>
      </c>
      <c r="B163" t="s">
        <v>1572</v>
      </c>
      <c r="C163" t="s">
        <v>1720</v>
      </c>
      <c r="D163" t="s">
        <v>1721</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45">
      <c r="A164" t="s">
        <v>1262</v>
      </c>
      <c r="B164" t="s">
        <v>1573</v>
      </c>
      <c r="C164" t="s">
        <v>1720</v>
      </c>
      <c r="D164" t="s">
        <v>1721</v>
      </c>
    </row>
    <row r="165" spans="1:63" x14ac:dyDescent="0.45">
      <c r="A165" t="s">
        <v>1164</v>
      </c>
      <c r="B165" t="s">
        <v>1574</v>
      </c>
      <c r="C165" t="s">
        <v>1720</v>
      </c>
      <c r="D165" t="s">
        <v>1721</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45">
      <c r="A166" t="s">
        <v>1575</v>
      </c>
      <c r="B166" t="s">
        <v>1576</v>
      </c>
      <c r="C166" t="s">
        <v>1720</v>
      </c>
      <c r="D166" t="s">
        <v>1721</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45">
      <c r="A167" t="s">
        <v>1263</v>
      </c>
      <c r="B167" t="s">
        <v>1577</v>
      </c>
      <c r="C167" t="s">
        <v>1720</v>
      </c>
      <c r="D167" t="s">
        <v>1721</v>
      </c>
    </row>
    <row r="168" spans="1:63" x14ac:dyDescent="0.45">
      <c r="A168" t="s">
        <v>1156</v>
      </c>
      <c r="B168" t="s">
        <v>1578</v>
      </c>
      <c r="C168" t="s">
        <v>1720</v>
      </c>
      <c r="D168" t="s">
        <v>1721</v>
      </c>
    </row>
    <row r="169" spans="1:63" x14ac:dyDescent="0.45">
      <c r="A169" t="s">
        <v>1579</v>
      </c>
      <c r="B169" t="s">
        <v>1580</v>
      </c>
      <c r="C169" t="s">
        <v>1720</v>
      </c>
      <c r="D169" t="s">
        <v>1721</v>
      </c>
    </row>
    <row r="170" spans="1:63" x14ac:dyDescent="0.45">
      <c r="A170" t="s">
        <v>596</v>
      </c>
      <c r="B170" t="s">
        <v>1581</v>
      </c>
      <c r="C170" t="s">
        <v>1720</v>
      </c>
      <c r="D170" t="s">
        <v>1721</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45">
      <c r="A171" t="s">
        <v>1097</v>
      </c>
      <c r="B171" t="s">
        <v>1582</v>
      </c>
      <c r="C171" t="s">
        <v>1720</v>
      </c>
      <c r="D171" t="s">
        <v>1721</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45">
      <c r="A172" t="s">
        <v>1071</v>
      </c>
      <c r="B172" t="s">
        <v>1583</v>
      </c>
      <c r="C172" t="s">
        <v>1720</v>
      </c>
      <c r="D172" t="s">
        <v>1721</v>
      </c>
    </row>
    <row r="173" spans="1:63" x14ac:dyDescent="0.45">
      <c r="A173" t="s">
        <v>879</v>
      </c>
      <c r="B173" t="s">
        <v>1584</v>
      </c>
      <c r="C173" t="s">
        <v>1720</v>
      </c>
      <c r="D173" t="s">
        <v>1721</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45">
      <c r="A174" t="s">
        <v>1163</v>
      </c>
      <c r="B174" t="s">
        <v>1585</v>
      </c>
      <c r="C174" t="s">
        <v>1720</v>
      </c>
      <c r="D174" t="s">
        <v>1721</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45">
      <c r="A175" t="s">
        <v>1586</v>
      </c>
      <c r="B175" t="s">
        <v>1587</v>
      </c>
      <c r="C175" t="s">
        <v>1720</v>
      </c>
      <c r="D175" t="s">
        <v>1721</v>
      </c>
    </row>
    <row r="176" spans="1:63" x14ac:dyDescent="0.45">
      <c r="A176" t="s">
        <v>598</v>
      </c>
      <c r="B176" t="s">
        <v>1588</v>
      </c>
      <c r="C176" t="s">
        <v>1720</v>
      </c>
      <c r="D176" t="s">
        <v>1721</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45">
      <c r="A177" t="s">
        <v>1218</v>
      </c>
      <c r="B177" t="s">
        <v>1589</v>
      </c>
      <c r="C177" t="s">
        <v>1720</v>
      </c>
      <c r="D177" t="s">
        <v>1721</v>
      </c>
    </row>
    <row r="178" spans="1:63" x14ac:dyDescent="0.45">
      <c r="A178" t="s">
        <v>1098</v>
      </c>
      <c r="B178" t="s">
        <v>1590</v>
      </c>
      <c r="C178" t="s">
        <v>1720</v>
      </c>
      <c r="D178" t="s">
        <v>1721</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45">
      <c r="A179" t="s">
        <v>1099</v>
      </c>
      <c r="B179" t="s">
        <v>1591</v>
      </c>
      <c r="C179" t="s">
        <v>1720</v>
      </c>
      <c r="D179" t="s">
        <v>1721</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45">
      <c r="A180" t="s">
        <v>1196</v>
      </c>
      <c r="B180" t="s">
        <v>1592</v>
      </c>
      <c r="C180" t="s">
        <v>1720</v>
      </c>
      <c r="D180" t="s">
        <v>1721</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45">
      <c r="A181" t="s">
        <v>1275</v>
      </c>
      <c r="B181" t="s">
        <v>1593</v>
      </c>
      <c r="C181" t="s">
        <v>1720</v>
      </c>
      <c r="D181" t="s">
        <v>1721</v>
      </c>
    </row>
    <row r="182" spans="1:63" x14ac:dyDescent="0.45">
      <c r="A182" t="s">
        <v>1253</v>
      </c>
      <c r="B182" t="s">
        <v>1594</v>
      </c>
      <c r="C182" t="s">
        <v>1720</v>
      </c>
      <c r="D182" t="s">
        <v>1721</v>
      </c>
    </row>
    <row r="183" spans="1:63" x14ac:dyDescent="0.45">
      <c r="A183" t="s">
        <v>1145</v>
      </c>
      <c r="B183" t="s">
        <v>1595</v>
      </c>
      <c r="C183" t="s">
        <v>1720</v>
      </c>
      <c r="D183" t="s">
        <v>1721</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45">
      <c r="A184" t="s">
        <v>1596</v>
      </c>
      <c r="B184" t="s">
        <v>1597</v>
      </c>
      <c r="C184" t="s">
        <v>1720</v>
      </c>
      <c r="D184" t="s">
        <v>1721</v>
      </c>
    </row>
    <row r="185" spans="1:63" x14ac:dyDescent="0.45">
      <c r="A185" t="s">
        <v>1214</v>
      </c>
      <c r="B185" t="s">
        <v>1598</v>
      </c>
      <c r="C185" t="s">
        <v>1720</v>
      </c>
      <c r="D185" t="s">
        <v>1721</v>
      </c>
    </row>
    <row r="186" spans="1:63" x14ac:dyDescent="0.45">
      <c r="A186" t="s">
        <v>1599</v>
      </c>
      <c r="B186" t="s">
        <v>1600</v>
      </c>
      <c r="C186" t="s">
        <v>1720</v>
      </c>
      <c r="D186" t="s">
        <v>1721</v>
      </c>
    </row>
    <row r="187" spans="1:63" x14ac:dyDescent="0.45">
      <c r="A187" t="s">
        <v>1123</v>
      </c>
      <c r="B187" t="s">
        <v>1601</v>
      </c>
      <c r="C187" t="s">
        <v>1720</v>
      </c>
      <c r="D187" t="s">
        <v>1721</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45">
      <c r="A188" t="s">
        <v>1602</v>
      </c>
      <c r="B188" t="s">
        <v>1603</v>
      </c>
      <c r="C188" t="s">
        <v>1720</v>
      </c>
      <c r="D188" t="s">
        <v>1721</v>
      </c>
    </row>
    <row r="189" spans="1:63" x14ac:dyDescent="0.45">
      <c r="A189" t="s">
        <v>1146</v>
      </c>
      <c r="B189" t="s">
        <v>1604</v>
      </c>
      <c r="C189" t="s">
        <v>1720</v>
      </c>
      <c r="D189" t="s">
        <v>1721</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45">
      <c r="A190" t="s">
        <v>1197</v>
      </c>
      <c r="B190" t="s">
        <v>1605</v>
      </c>
      <c r="C190" t="s">
        <v>1720</v>
      </c>
      <c r="D190" t="s">
        <v>1721</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45">
      <c r="A191" t="s">
        <v>1208</v>
      </c>
      <c r="B191" t="s">
        <v>1606</v>
      </c>
      <c r="C191" t="s">
        <v>1720</v>
      </c>
      <c r="D191" t="s">
        <v>1721</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45">
      <c r="A192" t="s">
        <v>1165</v>
      </c>
      <c r="B192" t="s">
        <v>1607</v>
      </c>
      <c r="C192" t="s">
        <v>1720</v>
      </c>
      <c r="D192" t="s">
        <v>1721</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45">
      <c r="A193" t="s">
        <v>1608</v>
      </c>
      <c r="B193" t="s">
        <v>1609</v>
      </c>
      <c r="C193" t="s">
        <v>1720</v>
      </c>
      <c r="D193" t="s">
        <v>1721</v>
      </c>
    </row>
    <row r="194" spans="1:63" x14ac:dyDescent="0.45">
      <c r="A194" t="s">
        <v>1219</v>
      </c>
      <c r="B194" t="s">
        <v>1610</v>
      </c>
      <c r="C194" t="s">
        <v>1720</v>
      </c>
      <c r="D194" t="s">
        <v>1721</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45">
      <c r="A195" t="s">
        <v>1238</v>
      </c>
      <c r="B195" t="s">
        <v>1611</v>
      </c>
      <c r="C195" t="s">
        <v>1720</v>
      </c>
      <c r="D195" t="s">
        <v>1721</v>
      </c>
    </row>
    <row r="196" spans="1:63" x14ac:dyDescent="0.45">
      <c r="A196" t="s">
        <v>1612</v>
      </c>
      <c r="B196" t="s">
        <v>1613</v>
      </c>
      <c r="C196" t="s">
        <v>1720</v>
      </c>
      <c r="D196" t="s">
        <v>1721</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45">
      <c r="A197" t="s">
        <v>1184</v>
      </c>
      <c r="B197" t="s">
        <v>1614</v>
      </c>
      <c r="C197" t="s">
        <v>1720</v>
      </c>
      <c r="D197" t="s">
        <v>1721</v>
      </c>
    </row>
    <row r="198" spans="1:63" x14ac:dyDescent="0.45">
      <c r="A198" t="s">
        <v>1615</v>
      </c>
      <c r="B198" t="s">
        <v>1616</v>
      </c>
      <c r="C198" t="s">
        <v>1720</v>
      </c>
      <c r="D198" t="s">
        <v>1721</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45">
      <c r="A199" t="s">
        <v>1265</v>
      </c>
      <c r="B199" t="s">
        <v>1617</v>
      </c>
      <c r="C199" t="s">
        <v>1720</v>
      </c>
      <c r="D199" t="s">
        <v>1721</v>
      </c>
    </row>
    <row r="200" spans="1:63" x14ac:dyDescent="0.45">
      <c r="A200" t="s">
        <v>1207</v>
      </c>
      <c r="B200" t="s">
        <v>1618</v>
      </c>
      <c r="C200" t="s">
        <v>1720</v>
      </c>
      <c r="D200" t="s">
        <v>1721</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45">
      <c r="A201" t="s">
        <v>1619</v>
      </c>
      <c r="B201" t="s">
        <v>1620</v>
      </c>
      <c r="C201" t="s">
        <v>1720</v>
      </c>
      <c r="D201" t="s">
        <v>1721</v>
      </c>
    </row>
    <row r="202" spans="1:63" x14ac:dyDescent="0.45">
      <c r="A202" t="s">
        <v>1621</v>
      </c>
      <c r="B202" t="s">
        <v>1622</v>
      </c>
      <c r="C202" t="s">
        <v>1720</v>
      </c>
      <c r="D202" t="s">
        <v>1721</v>
      </c>
    </row>
    <row r="203" spans="1:63" x14ac:dyDescent="0.45">
      <c r="A203" t="s">
        <v>1623</v>
      </c>
      <c r="B203" t="s">
        <v>1624</v>
      </c>
      <c r="C203" t="s">
        <v>1720</v>
      </c>
      <c r="D203" t="s">
        <v>1721</v>
      </c>
    </row>
    <row r="204" spans="1:63" x14ac:dyDescent="0.45">
      <c r="A204" t="s">
        <v>1227</v>
      </c>
      <c r="B204" t="s">
        <v>1625</v>
      </c>
      <c r="C204" t="s">
        <v>1720</v>
      </c>
      <c r="D204" t="s">
        <v>1721</v>
      </c>
    </row>
    <row r="205" spans="1:63" x14ac:dyDescent="0.45">
      <c r="A205" t="s">
        <v>1124</v>
      </c>
      <c r="B205" t="s">
        <v>1626</v>
      </c>
      <c r="C205" t="s">
        <v>1720</v>
      </c>
      <c r="D205" t="s">
        <v>1721</v>
      </c>
    </row>
    <row r="206" spans="1:63" x14ac:dyDescent="0.45">
      <c r="A206" t="s">
        <v>1240</v>
      </c>
      <c r="B206" t="s">
        <v>1627</v>
      </c>
      <c r="C206" t="s">
        <v>1720</v>
      </c>
      <c r="D206" t="s">
        <v>1721</v>
      </c>
    </row>
    <row r="207" spans="1:63" x14ac:dyDescent="0.45">
      <c r="A207" t="s">
        <v>1241</v>
      </c>
      <c r="B207" t="s">
        <v>1628</v>
      </c>
      <c r="C207" t="s">
        <v>1720</v>
      </c>
      <c r="D207" t="s">
        <v>1721</v>
      </c>
    </row>
    <row r="208" spans="1:63" x14ac:dyDescent="0.45">
      <c r="A208" t="s">
        <v>600</v>
      </c>
      <c r="B208" t="s">
        <v>1629</v>
      </c>
      <c r="C208" t="s">
        <v>1720</v>
      </c>
      <c r="D208" t="s">
        <v>1721</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45">
      <c r="A209" t="s">
        <v>1630</v>
      </c>
      <c r="B209" t="s">
        <v>1631</v>
      </c>
      <c r="C209" t="s">
        <v>1720</v>
      </c>
      <c r="D209" t="s">
        <v>1721</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45">
      <c r="A210" t="s">
        <v>1125</v>
      </c>
      <c r="B210" t="s">
        <v>1632</v>
      </c>
      <c r="C210" t="s">
        <v>1720</v>
      </c>
      <c r="D210" t="s">
        <v>1721</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45">
      <c r="A211" t="s">
        <v>1109</v>
      </c>
      <c r="B211" t="s">
        <v>1633</v>
      </c>
      <c r="C211" t="s">
        <v>1720</v>
      </c>
      <c r="D211" t="s">
        <v>1721</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45">
      <c r="A212" t="s">
        <v>1100</v>
      </c>
      <c r="B212" t="s">
        <v>1634</v>
      </c>
      <c r="C212" t="s">
        <v>1720</v>
      </c>
      <c r="D212" t="s">
        <v>1721</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45">
      <c r="A213" t="s">
        <v>1166</v>
      </c>
      <c r="B213" t="s">
        <v>1635</v>
      </c>
      <c r="C213" t="s">
        <v>1720</v>
      </c>
      <c r="D213" t="s">
        <v>1721</v>
      </c>
    </row>
    <row r="214" spans="1:63" x14ac:dyDescent="0.45">
      <c r="A214" t="s">
        <v>1220</v>
      </c>
      <c r="B214" t="s">
        <v>1636</v>
      </c>
      <c r="C214" t="s">
        <v>1720</v>
      </c>
      <c r="D214" t="s">
        <v>1721</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45">
      <c r="A215" t="s">
        <v>1101</v>
      </c>
      <c r="B215" t="s">
        <v>1637</v>
      </c>
      <c r="C215" t="s">
        <v>1720</v>
      </c>
      <c r="D215" t="s">
        <v>1721</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45">
      <c r="A216" t="s">
        <v>1192</v>
      </c>
      <c r="B216" t="s">
        <v>1638</v>
      </c>
      <c r="C216" t="s">
        <v>1720</v>
      </c>
      <c r="D216" t="s">
        <v>1721</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45">
      <c r="A217" t="s">
        <v>1639</v>
      </c>
      <c r="B217" t="s">
        <v>1640</v>
      </c>
      <c r="C217" t="s">
        <v>1720</v>
      </c>
      <c r="D217" t="s">
        <v>1721</v>
      </c>
    </row>
    <row r="218" spans="1:63" x14ac:dyDescent="0.45">
      <c r="A218" t="s">
        <v>1075</v>
      </c>
      <c r="B218" t="s">
        <v>1641</v>
      </c>
      <c r="C218" t="s">
        <v>1720</v>
      </c>
      <c r="D218" t="s">
        <v>1721</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45">
      <c r="A219" t="s">
        <v>1266</v>
      </c>
      <c r="B219" t="s">
        <v>1642</v>
      </c>
      <c r="C219" t="s">
        <v>1720</v>
      </c>
      <c r="D219" t="s">
        <v>1721</v>
      </c>
    </row>
    <row r="220" spans="1:63" x14ac:dyDescent="0.45">
      <c r="A220" t="s">
        <v>1643</v>
      </c>
      <c r="B220" t="s">
        <v>1644</v>
      </c>
      <c r="C220" t="s">
        <v>1720</v>
      </c>
      <c r="D220" t="s">
        <v>1721</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45">
      <c r="A221" t="s">
        <v>1076</v>
      </c>
      <c r="B221" t="s">
        <v>1645</v>
      </c>
      <c r="C221" t="s">
        <v>1720</v>
      </c>
      <c r="D221" t="s">
        <v>1721</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45">
      <c r="A222" t="s">
        <v>1646</v>
      </c>
      <c r="B222" t="s">
        <v>1647</v>
      </c>
      <c r="C222" t="s">
        <v>1720</v>
      </c>
      <c r="D222" t="s">
        <v>1721</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45">
      <c r="A223" t="s">
        <v>1648</v>
      </c>
      <c r="B223" t="s">
        <v>1649</v>
      </c>
      <c r="C223" t="s">
        <v>1720</v>
      </c>
      <c r="D223" t="s">
        <v>1721</v>
      </c>
    </row>
    <row r="224" spans="1:63" x14ac:dyDescent="0.45">
      <c r="A224" t="s">
        <v>1084</v>
      </c>
      <c r="B224" t="s">
        <v>1650</v>
      </c>
      <c r="C224" t="s">
        <v>1720</v>
      </c>
      <c r="D224" t="s">
        <v>1721</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45">
      <c r="A225" t="s">
        <v>1209</v>
      </c>
      <c r="B225" t="s">
        <v>1651</v>
      </c>
      <c r="C225" t="s">
        <v>1720</v>
      </c>
      <c r="D225" t="s">
        <v>1721</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45">
      <c r="A226" t="s">
        <v>1652</v>
      </c>
      <c r="B226" t="s">
        <v>1653</v>
      </c>
      <c r="C226" t="s">
        <v>1720</v>
      </c>
      <c r="D226" t="s">
        <v>1721</v>
      </c>
    </row>
    <row r="227" spans="1:63" x14ac:dyDescent="0.45">
      <c r="A227" t="s">
        <v>1267</v>
      </c>
      <c r="B227" t="s">
        <v>1654</v>
      </c>
      <c r="C227" t="s">
        <v>1720</v>
      </c>
      <c r="D227" t="s">
        <v>1721</v>
      </c>
    </row>
    <row r="228" spans="1:63" x14ac:dyDescent="0.45">
      <c r="A228" t="s">
        <v>1254</v>
      </c>
      <c r="B228" t="s">
        <v>1655</v>
      </c>
      <c r="C228" t="s">
        <v>1720</v>
      </c>
      <c r="D228" t="s">
        <v>1721</v>
      </c>
    </row>
    <row r="229" spans="1:63" x14ac:dyDescent="0.45">
      <c r="A229" t="s">
        <v>603</v>
      </c>
      <c r="B229" t="s">
        <v>1656</v>
      </c>
      <c r="C229" t="s">
        <v>1720</v>
      </c>
      <c r="D229" t="s">
        <v>1721</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45">
      <c r="A230" t="s">
        <v>1657</v>
      </c>
      <c r="B230" t="s">
        <v>1658</v>
      </c>
      <c r="C230" t="s">
        <v>1720</v>
      </c>
      <c r="D230" t="s">
        <v>1721</v>
      </c>
    </row>
    <row r="231" spans="1:63" x14ac:dyDescent="0.45">
      <c r="A231" t="s">
        <v>1074</v>
      </c>
      <c r="B231" t="s">
        <v>1659</v>
      </c>
      <c r="C231" t="s">
        <v>1720</v>
      </c>
      <c r="D231" t="s">
        <v>1721</v>
      </c>
    </row>
    <row r="232" spans="1:63" x14ac:dyDescent="0.45">
      <c r="A232" t="s">
        <v>1127</v>
      </c>
      <c r="B232" t="s">
        <v>1660</v>
      </c>
      <c r="C232" t="s">
        <v>1720</v>
      </c>
      <c r="D232" t="s">
        <v>1721</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45">
      <c r="A233" t="s">
        <v>1661</v>
      </c>
      <c r="B233" t="s">
        <v>1662</v>
      </c>
      <c r="C233" t="s">
        <v>1720</v>
      </c>
      <c r="D233" t="s">
        <v>1721</v>
      </c>
    </row>
    <row r="234" spans="1:63" x14ac:dyDescent="0.45">
      <c r="A234" t="s">
        <v>1080</v>
      </c>
      <c r="B234" t="s">
        <v>1663</v>
      </c>
      <c r="C234" t="s">
        <v>1720</v>
      </c>
      <c r="D234" t="s">
        <v>1721</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45">
      <c r="A235" t="s">
        <v>1664</v>
      </c>
      <c r="B235" t="s">
        <v>1665</v>
      </c>
      <c r="C235" t="s">
        <v>1720</v>
      </c>
      <c r="D235" t="s">
        <v>1721</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45">
      <c r="A236" t="s">
        <v>1666</v>
      </c>
      <c r="B236" t="s">
        <v>1667</v>
      </c>
      <c r="C236" t="s">
        <v>1720</v>
      </c>
      <c r="D236" t="s">
        <v>1721</v>
      </c>
    </row>
    <row r="237" spans="1:63" x14ac:dyDescent="0.45">
      <c r="A237" t="s">
        <v>1102</v>
      </c>
      <c r="B237" t="s">
        <v>1668</v>
      </c>
      <c r="C237" t="s">
        <v>1720</v>
      </c>
      <c r="D237" t="s">
        <v>1721</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45">
      <c r="A238" t="s">
        <v>1167</v>
      </c>
      <c r="B238" t="s">
        <v>1669</v>
      </c>
      <c r="C238" t="s">
        <v>1720</v>
      </c>
      <c r="D238" t="s">
        <v>1721</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45">
      <c r="A239" t="s">
        <v>1135</v>
      </c>
      <c r="B239" t="s">
        <v>1670</v>
      </c>
      <c r="C239" t="s">
        <v>1720</v>
      </c>
      <c r="D239" t="s">
        <v>1721</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45">
      <c r="A240" t="s">
        <v>1136</v>
      </c>
      <c r="B240" t="s">
        <v>1671</v>
      </c>
      <c r="C240" t="s">
        <v>1720</v>
      </c>
      <c r="D240" t="s">
        <v>1721</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45">
      <c r="A241" t="s">
        <v>1672</v>
      </c>
      <c r="B241" t="s">
        <v>1673</v>
      </c>
      <c r="C241" t="s">
        <v>1720</v>
      </c>
      <c r="D241" t="s">
        <v>1721</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45">
      <c r="A242" t="s">
        <v>1168</v>
      </c>
      <c r="B242" t="s">
        <v>1674</v>
      </c>
      <c r="C242" t="s">
        <v>1720</v>
      </c>
      <c r="D242" t="s">
        <v>1721</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45">
      <c r="A243" t="s">
        <v>1675</v>
      </c>
      <c r="B243" t="s">
        <v>1676</v>
      </c>
      <c r="C243" t="s">
        <v>1720</v>
      </c>
      <c r="D243" t="s">
        <v>1721</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45">
      <c r="A244" t="s">
        <v>1229</v>
      </c>
      <c r="B244" t="s">
        <v>1677</v>
      </c>
      <c r="C244" t="s">
        <v>1720</v>
      </c>
      <c r="D244" t="s">
        <v>1721</v>
      </c>
    </row>
    <row r="245" spans="1:63" x14ac:dyDescent="0.45">
      <c r="A245" t="s">
        <v>1678</v>
      </c>
      <c r="B245" t="s">
        <v>1679</v>
      </c>
      <c r="C245" t="s">
        <v>1720</v>
      </c>
      <c r="D245" t="s">
        <v>1721</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45">
      <c r="A246" t="s">
        <v>1680</v>
      </c>
      <c r="B246" t="s">
        <v>1681</v>
      </c>
      <c r="C246" t="s">
        <v>1720</v>
      </c>
      <c r="D246" t="s">
        <v>1721</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45">
      <c r="A247" t="s">
        <v>1187</v>
      </c>
      <c r="B247" t="s">
        <v>1682</v>
      </c>
      <c r="C247" t="s">
        <v>1720</v>
      </c>
      <c r="D247" t="s">
        <v>1721</v>
      </c>
    </row>
    <row r="248" spans="1:63" x14ac:dyDescent="0.45">
      <c r="A248" t="s">
        <v>1110</v>
      </c>
      <c r="B248" t="s">
        <v>1683</v>
      </c>
      <c r="C248" t="s">
        <v>1720</v>
      </c>
      <c r="D248" t="s">
        <v>1721</v>
      </c>
    </row>
    <row r="249" spans="1:63" x14ac:dyDescent="0.45">
      <c r="A249" t="s">
        <v>1128</v>
      </c>
      <c r="B249" t="s">
        <v>1684</v>
      </c>
      <c r="C249" t="s">
        <v>1720</v>
      </c>
      <c r="D249" t="s">
        <v>1721</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45">
      <c r="A250" t="s">
        <v>1685</v>
      </c>
      <c r="B250" t="s">
        <v>1686</v>
      </c>
      <c r="C250" t="s">
        <v>1720</v>
      </c>
      <c r="D250" t="s">
        <v>1721</v>
      </c>
    </row>
    <row r="251" spans="1:63" x14ac:dyDescent="0.45">
      <c r="A251" t="s">
        <v>1687</v>
      </c>
      <c r="B251" t="s">
        <v>1688</v>
      </c>
      <c r="C251" t="s">
        <v>1720</v>
      </c>
      <c r="D251" t="s">
        <v>1721</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45">
      <c r="A252" t="s">
        <v>604</v>
      </c>
      <c r="B252" t="s">
        <v>1689</v>
      </c>
      <c r="C252" t="s">
        <v>1720</v>
      </c>
      <c r="D252" t="s">
        <v>1721</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45">
      <c r="A253" t="s">
        <v>1243</v>
      </c>
      <c r="B253" t="s">
        <v>1690</v>
      </c>
      <c r="C253" t="s">
        <v>1720</v>
      </c>
      <c r="D253" t="s">
        <v>1721</v>
      </c>
    </row>
    <row r="254" spans="1:63" x14ac:dyDescent="0.45">
      <c r="A254" t="s">
        <v>1691</v>
      </c>
      <c r="B254" t="s">
        <v>1692</v>
      </c>
      <c r="C254" t="s">
        <v>1720</v>
      </c>
      <c r="D254" t="s">
        <v>1721</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45">
      <c r="A255" t="s">
        <v>1210</v>
      </c>
      <c r="B255" t="s">
        <v>1693</v>
      </c>
      <c r="C255" t="s">
        <v>1720</v>
      </c>
      <c r="D255" t="s">
        <v>1721</v>
      </c>
    </row>
    <row r="256" spans="1:63" x14ac:dyDescent="0.45">
      <c r="A256" t="s">
        <v>1694</v>
      </c>
      <c r="B256" t="s">
        <v>1695</v>
      </c>
      <c r="C256" t="s">
        <v>1720</v>
      </c>
      <c r="D256" t="s">
        <v>1721</v>
      </c>
    </row>
    <row r="257" spans="1:65" x14ac:dyDescent="0.45">
      <c r="A257" t="s">
        <v>1137</v>
      </c>
      <c r="B257" t="s">
        <v>1696</v>
      </c>
      <c r="C257" t="s">
        <v>1720</v>
      </c>
      <c r="D257" t="s">
        <v>1721</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45">
      <c r="A258" t="s">
        <v>1697</v>
      </c>
      <c r="B258" t="s">
        <v>1698</v>
      </c>
      <c r="C258" t="s">
        <v>1720</v>
      </c>
      <c r="D258" t="s">
        <v>1721</v>
      </c>
    </row>
    <row r="259" spans="1:65" x14ac:dyDescent="0.45">
      <c r="A259" t="s">
        <v>1699</v>
      </c>
      <c r="B259" t="s">
        <v>1700</v>
      </c>
      <c r="C259" t="s">
        <v>1720</v>
      </c>
      <c r="D259" t="s">
        <v>1721</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45">
      <c r="A260" t="s">
        <v>1701</v>
      </c>
      <c r="B260" t="s">
        <v>1702</v>
      </c>
      <c r="C260" t="s">
        <v>1720</v>
      </c>
      <c r="D260" t="s">
        <v>1721</v>
      </c>
    </row>
    <row r="261" spans="1:65" x14ac:dyDescent="0.45">
      <c r="A261" t="s">
        <v>1703</v>
      </c>
      <c r="B261" t="s">
        <v>1704</v>
      </c>
      <c r="C261" t="s">
        <v>1720</v>
      </c>
      <c r="D261" t="s">
        <v>1721</v>
      </c>
    </row>
    <row r="262" spans="1:65" x14ac:dyDescent="0.45">
      <c r="A262" t="s">
        <v>1705</v>
      </c>
      <c r="B262" t="s">
        <v>1706</v>
      </c>
      <c r="C262" t="s">
        <v>1720</v>
      </c>
      <c r="D262" t="s">
        <v>1721</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45">
      <c r="A263" t="s">
        <v>1221</v>
      </c>
      <c r="B263" t="s">
        <v>1707</v>
      </c>
      <c r="C263" t="s">
        <v>1720</v>
      </c>
      <c r="D263" t="s">
        <v>1721</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45">
      <c r="A264" t="s">
        <v>1017</v>
      </c>
      <c r="B264" t="s">
        <v>1708</v>
      </c>
      <c r="C264" t="s">
        <v>1720</v>
      </c>
      <c r="D264" t="s">
        <v>1721</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45">
      <c r="A265" t="s">
        <v>1228</v>
      </c>
      <c r="B265" t="s">
        <v>1709</v>
      </c>
      <c r="C265" t="s">
        <v>1720</v>
      </c>
      <c r="D265" t="s">
        <v>1721</v>
      </c>
    </row>
    <row r="266" spans="1:65" x14ac:dyDescent="0.45">
      <c r="A266" t="s">
        <v>1710</v>
      </c>
      <c r="B266" t="s">
        <v>1711</v>
      </c>
      <c r="C266" t="s">
        <v>1720</v>
      </c>
      <c r="D266" t="s">
        <v>1721</v>
      </c>
    </row>
    <row r="267" spans="1:65" x14ac:dyDescent="0.45">
      <c r="A267" t="s">
        <v>1712</v>
      </c>
      <c r="B267" t="s">
        <v>1713</v>
      </c>
      <c r="C267" t="s">
        <v>1720</v>
      </c>
      <c r="D267" t="s">
        <v>1721</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45">
      <c r="A268" t="s">
        <v>602</v>
      </c>
      <c r="B268" t="s">
        <v>1714</v>
      </c>
      <c r="C268" t="s">
        <v>1720</v>
      </c>
      <c r="D268" t="s">
        <v>1721</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45">
      <c r="A269" t="s">
        <v>606</v>
      </c>
      <c r="B269" t="s">
        <v>1715</v>
      </c>
      <c r="C269" t="s">
        <v>1720</v>
      </c>
      <c r="D269" t="s">
        <v>1721</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45">
      <c r="A270" t="s">
        <v>607</v>
      </c>
      <c r="B270" t="s">
        <v>1716</v>
      </c>
      <c r="C270" t="s">
        <v>1720</v>
      </c>
      <c r="D270" t="s">
        <v>1721</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v>51.0037811655911</v>
      </c>
    </row>
    <row r="271" spans="1:65" s="1" customFormat="1" x14ac:dyDescent="0.45"/>
    <row r="272" spans="1:65" s="1" customFormat="1" x14ac:dyDescent="0.45">
      <c r="BB272" s="1" t="s">
        <v>1717</v>
      </c>
      <c r="BC272" s="155">
        <f t="shared" ref="BC272:BK272" si="0">BC77/BB77</f>
        <v>1.0409463696468593</v>
      </c>
      <c r="BD272" s="155">
        <f t="shared" si="0"/>
        <v>0.90443767608015657</v>
      </c>
      <c r="BE272" s="155">
        <f t="shared" si="0"/>
        <v>1.000472756931728</v>
      </c>
      <c r="BF272" s="155">
        <f t="shared" si="0"/>
        <v>0.96052358995133436</v>
      </c>
      <c r="BG272" s="155">
        <f t="shared" si="0"/>
        <v>0.51169176254393378</v>
      </c>
      <c r="BH272" s="155">
        <f t="shared" si="0"/>
        <v>0.92415324781032759</v>
      </c>
      <c r="BI272" s="155">
        <f t="shared" si="0"/>
        <v>0.7847263367997922</v>
      </c>
      <c r="BJ272" s="155">
        <f t="shared" si="0"/>
        <v>0.8872005513903477</v>
      </c>
      <c r="BK272" s="155">
        <f t="shared" si="0"/>
        <v>0.8659148798388191</v>
      </c>
      <c r="BL272" s="155"/>
      <c r="BM272" s="2">
        <f>AVERAGE(BC272:BK272)</f>
        <v>0.87556301899925537</v>
      </c>
    </row>
    <row r="273" spans="8:65" s="1" customFormat="1" x14ac:dyDescent="0.45">
      <c r="BM273" s="51" t="s">
        <v>1722</v>
      </c>
    </row>
    <row r="274" spans="8:65" s="1" customFormat="1" x14ac:dyDescent="0.45">
      <c r="I274" s="1" t="s">
        <v>1719</v>
      </c>
    </row>
    <row r="275" spans="8:65" s="1" customFormat="1" x14ac:dyDescent="0.45">
      <c r="H275">
        <v>2020</v>
      </c>
      <c r="I275" s="156">
        <f>BK77*$BM$272</f>
        <v>27.855993768682247</v>
      </c>
    </row>
    <row r="276" spans="8:65" s="1" customFormat="1" x14ac:dyDescent="0.45">
      <c r="H276">
        <v>2021</v>
      </c>
      <c r="I276" s="156">
        <f>I275*$BM$272</f>
        <v>24.389678001331873</v>
      </c>
    </row>
    <row r="277" spans="8:65" s="1" customFormat="1" x14ac:dyDescent="0.45">
      <c r="H277">
        <v>2022</v>
      </c>
      <c r="I277" s="156">
        <f t="shared" ref="I277:I295" si="1">I276*$BM$272</f>
        <v>21.354700103265859</v>
      </c>
    </row>
    <row r="278" spans="8:65" s="1" customFormat="1" x14ac:dyDescent="0.45">
      <c r="H278">
        <v>2023</v>
      </c>
      <c r="I278" s="156">
        <f t="shared" si="1"/>
        <v>18.697385692239166</v>
      </c>
    </row>
    <row r="279" spans="8:65" s="1" customFormat="1" x14ac:dyDescent="0.45">
      <c r="H279">
        <v>2024</v>
      </c>
      <c r="I279" s="156">
        <f t="shared" si="1"/>
        <v>16.370739464090406</v>
      </c>
    </row>
    <row r="280" spans="8:65" s="1" customFormat="1" x14ac:dyDescent="0.45">
      <c r="H280">
        <v>2025</v>
      </c>
      <c r="I280" s="156">
        <f t="shared" si="1"/>
        <v>14.333614068429247</v>
      </c>
    </row>
    <row r="281" spans="8:65" s="1" customFormat="1" x14ac:dyDescent="0.45">
      <c r="H281">
        <v>2026</v>
      </c>
      <c r="I281" s="156">
        <f t="shared" si="1"/>
        <v>12.54998240692411</v>
      </c>
    </row>
    <row r="282" spans="8:65" s="1" customFormat="1" x14ac:dyDescent="0.45">
      <c r="H282">
        <v>2027</v>
      </c>
      <c r="I282" s="156">
        <f t="shared" si="1"/>
        <v>10.988300484594015</v>
      </c>
    </row>
    <row r="283" spans="8:65" s="1" customFormat="1" x14ac:dyDescent="0.45">
      <c r="H283">
        <v>2028</v>
      </c>
      <c r="I283" s="156">
        <f t="shared" si="1"/>
        <v>9.6209495459621177</v>
      </c>
    </row>
    <row r="284" spans="8:65" s="1" customFormat="1" x14ac:dyDescent="0.45">
      <c r="H284">
        <v>2029</v>
      </c>
      <c r="I284" s="156">
        <f t="shared" si="1"/>
        <v>8.4237476301021061</v>
      </c>
    </row>
    <row r="285" spans="8:65" s="1" customFormat="1" x14ac:dyDescent="0.45">
      <c r="H285">
        <v>2030</v>
      </c>
      <c r="I285" s="156">
        <f t="shared" si="1"/>
        <v>7.3755219063000226</v>
      </c>
    </row>
    <row r="286" spans="8:65" s="1" customFormat="1" x14ac:dyDescent="0.45">
      <c r="H286">
        <v>2031</v>
      </c>
      <c r="I286" s="156">
        <f t="shared" si="1"/>
        <v>6.4577342269751909</v>
      </c>
    </row>
    <row r="287" spans="8:65" s="1" customFormat="1" x14ac:dyDescent="0.45">
      <c r="H287">
        <v>2032</v>
      </c>
      <c r="I287" s="156">
        <f t="shared" si="1"/>
        <v>5.6541532756652204</v>
      </c>
    </row>
    <row r="288" spans="8:65" s="1" customFormat="1" x14ac:dyDescent="0.45">
      <c r="H288">
        <v>2033</v>
      </c>
      <c r="I288" s="156">
        <f t="shared" si="1"/>
        <v>4.9505675119259696</v>
      </c>
    </row>
    <row r="289" spans="3:9" s="1" customFormat="1" x14ac:dyDescent="0.45">
      <c r="C289" s="49"/>
      <c r="D289" s="49"/>
      <c r="E289" s="49"/>
      <c r="H289">
        <v>2034</v>
      </c>
      <c r="I289" s="156">
        <f t="shared" si="1"/>
        <v>4.3345338365015342</v>
      </c>
    </row>
    <row r="290" spans="3:9" s="1" customFormat="1" x14ac:dyDescent="0.45">
      <c r="C290" s="49"/>
      <c r="D290" s="49"/>
      <c r="E290" s="49"/>
      <c r="H290">
        <v>2035</v>
      </c>
      <c r="I290" s="156">
        <f t="shared" si="1"/>
        <v>3.7951575318417081</v>
      </c>
    </row>
    <row r="291" spans="3:9" s="1" customFormat="1" x14ac:dyDescent="0.45">
      <c r="C291" s="49"/>
      <c r="D291" s="49"/>
      <c r="E291" s="49"/>
      <c r="H291">
        <v>2036</v>
      </c>
      <c r="I291" s="156">
        <f t="shared" si="1"/>
        <v>3.3228995861570887</v>
      </c>
    </row>
    <row r="292" spans="3:9" s="1" customFormat="1" x14ac:dyDescent="0.45">
      <c r="H292">
        <v>2037</v>
      </c>
      <c r="I292" s="156">
        <f t="shared" si="1"/>
        <v>2.9094079934870769</v>
      </c>
    </row>
    <row r="293" spans="3:9" s="1" customFormat="1" x14ac:dyDescent="0.45">
      <c r="H293">
        <v>2038</v>
      </c>
      <c r="I293" s="156">
        <f t="shared" si="1"/>
        <v>2.547370046278111</v>
      </c>
    </row>
    <row r="294" spans="3:9" s="1" customFormat="1" x14ac:dyDescent="0.45">
      <c r="H294">
        <v>2039</v>
      </c>
      <c r="I294" s="156">
        <f t="shared" si="1"/>
        <v>2.2303830082275358</v>
      </c>
    </row>
    <row r="295" spans="3:9" s="1" customFormat="1" x14ac:dyDescent="0.45">
      <c r="H295">
        <v>2040</v>
      </c>
      <c r="I295" s="156">
        <f t="shared" si="1"/>
        <v>1.9528408802083423</v>
      </c>
    </row>
    <row r="296" spans="3:9" s="1" customFormat="1" x14ac:dyDescent="0.45"/>
  </sheetData>
  <pageMargins left="0.7" right="0.7" top="0.75" bottom="0.75" header="0.3" footer="0.3"/>
  <headerFooter alignWithMargins="0"/>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97E56-1926-4F6C-99F4-491A6BCFD03B}">
  <dimension ref="A1:BN296"/>
  <sheetViews>
    <sheetView topLeftCell="AS1" workbookViewId="0">
      <selection activeCell="BN309" sqref="BN309"/>
    </sheetView>
  </sheetViews>
  <sheetFormatPr defaultRowHeight="14.25" x14ac:dyDescent="0.45"/>
  <cols>
    <col min="1" max="1" width="44.19921875" bestFit="1" customWidth="1"/>
    <col min="2" max="2" width="25.53125" bestFit="1" customWidth="1"/>
    <col min="3" max="3" width="57.19921875" bestFit="1" customWidth="1"/>
    <col min="4" max="4" width="15" bestFit="1" customWidth="1"/>
    <col min="5" max="8" width="5" bestFit="1" customWidth="1"/>
    <col min="9" max="9" width="10.46484375" customWidth="1"/>
    <col min="10" max="14" width="5" bestFit="1" customWidth="1"/>
    <col min="15" max="16" width="5.46484375" bestFit="1" customWidth="1"/>
    <col min="17" max="17" width="11.46484375" bestFit="1" customWidth="1"/>
    <col min="18" max="20" width="5.46484375" bestFit="1" customWidth="1"/>
    <col min="21" max="21" width="9.46484375" bestFit="1" customWidth="1"/>
    <col min="22" max="23" width="5.46484375" bestFit="1" customWidth="1"/>
    <col min="24" max="25" width="9.46484375" bestFit="1" customWidth="1"/>
    <col min="26" max="26" width="5.46484375" bestFit="1" customWidth="1"/>
    <col min="27" max="27" width="5" bestFit="1" customWidth="1"/>
    <col min="28" max="31" width="5.46484375" bestFit="1" customWidth="1"/>
    <col min="32" max="32" width="9.46484375" bestFit="1" customWidth="1"/>
    <col min="33" max="34" width="5" bestFit="1" customWidth="1"/>
    <col min="35" max="35" width="11.46484375" bestFit="1" customWidth="1"/>
    <col min="36" max="36" width="5" bestFit="1" customWidth="1"/>
    <col min="37" max="37" width="11.46484375" bestFit="1" customWidth="1"/>
    <col min="38" max="40" width="5" bestFit="1" customWidth="1"/>
    <col min="41" max="41" width="10.46484375" bestFit="1" customWidth="1"/>
    <col min="42" max="43" width="5" bestFit="1" customWidth="1"/>
    <col min="44" max="45" width="11.46484375" bestFit="1" customWidth="1"/>
    <col min="46" max="48" width="5" bestFit="1" customWidth="1"/>
    <col min="49" max="49" width="11.46484375" bestFit="1" customWidth="1"/>
    <col min="50" max="50" width="5" bestFit="1" customWidth="1"/>
    <col min="51" max="51" width="6.46484375" bestFit="1" customWidth="1"/>
    <col min="52" max="52" width="11.46484375" bestFit="1" customWidth="1"/>
    <col min="53" max="53" width="5" bestFit="1" customWidth="1"/>
    <col min="54" max="55" width="11.46484375" bestFit="1" customWidth="1"/>
    <col min="56" max="56" width="5" bestFit="1" customWidth="1"/>
    <col min="57" max="57" width="5.46484375" bestFit="1" customWidth="1"/>
    <col min="58" max="64" width="11.46484375" bestFit="1" customWidth="1"/>
    <col min="65" max="65" width="9.265625" customWidth="1"/>
  </cols>
  <sheetData>
    <row r="1" spans="1:65" x14ac:dyDescent="0.45">
      <c r="A1" t="s">
        <v>1283</v>
      </c>
      <c r="B1" t="s">
        <v>1284</v>
      </c>
    </row>
    <row r="2" spans="1:65" x14ac:dyDescent="0.45">
      <c r="A2" t="s">
        <v>1285</v>
      </c>
      <c r="B2" s="4">
        <v>44407</v>
      </c>
    </row>
    <row r="4" spans="1:65" x14ac:dyDescent="0.4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45">
      <c r="A5" t="s">
        <v>1173</v>
      </c>
      <c r="B5" t="s">
        <v>1351</v>
      </c>
      <c r="C5" t="s">
        <v>1723</v>
      </c>
      <c r="D5" t="s">
        <v>1724</v>
      </c>
    </row>
    <row r="6" spans="1:65" hidden="1" x14ac:dyDescent="0.45">
      <c r="A6" t="s">
        <v>1354</v>
      </c>
      <c r="B6" t="s">
        <v>1355</v>
      </c>
      <c r="C6" t="s">
        <v>1723</v>
      </c>
      <c r="D6" t="s">
        <v>1724</v>
      </c>
      <c r="AI6">
        <v>14.358738254179832</v>
      </c>
      <c r="AS6">
        <v>20.753712385085958</v>
      </c>
      <c r="BC6">
        <v>23.992611756927229</v>
      </c>
      <c r="BJ6">
        <v>35.420131503789072</v>
      </c>
    </row>
    <row r="7" spans="1:65" hidden="1" x14ac:dyDescent="0.45">
      <c r="A7" t="s">
        <v>1139</v>
      </c>
      <c r="B7" t="s">
        <v>1356</v>
      </c>
      <c r="C7" t="s">
        <v>1723</v>
      </c>
      <c r="D7" t="s">
        <v>1724</v>
      </c>
      <c r="R7">
        <v>1.6</v>
      </c>
      <c r="S7">
        <v>1.6</v>
      </c>
      <c r="AS7">
        <v>3.6</v>
      </c>
      <c r="AV7">
        <v>8.6999999999999993</v>
      </c>
      <c r="AX7">
        <v>12.5</v>
      </c>
      <c r="AY7">
        <v>17.5</v>
      </c>
      <c r="BA7">
        <v>15.2</v>
      </c>
      <c r="BC7">
        <v>19.899999999999999</v>
      </c>
      <c r="BD7">
        <v>20.3</v>
      </c>
      <c r="BE7">
        <v>13.8</v>
      </c>
      <c r="BH7">
        <v>16.3</v>
      </c>
      <c r="BI7">
        <v>19.8</v>
      </c>
      <c r="BK7">
        <v>17.399999999999999</v>
      </c>
    </row>
    <row r="8" spans="1:65" hidden="1" x14ac:dyDescent="0.45">
      <c r="A8" t="s">
        <v>1357</v>
      </c>
      <c r="B8" t="s">
        <v>1358</v>
      </c>
      <c r="C8" t="s">
        <v>1723</v>
      </c>
      <c r="D8" t="s">
        <v>1724</v>
      </c>
      <c r="AI8">
        <v>3.7489882458819337</v>
      </c>
      <c r="AS8">
        <v>8.7280119132884924</v>
      </c>
      <c r="BC8">
        <v>12.577187944338032</v>
      </c>
      <c r="BJ8">
        <v>15.485747394646275</v>
      </c>
    </row>
    <row r="9" spans="1:65" hidden="1" x14ac:dyDescent="0.45">
      <c r="A9" t="s">
        <v>1078</v>
      </c>
      <c r="B9" t="s">
        <v>1359</v>
      </c>
      <c r="C9" t="s">
        <v>1723</v>
      </c>
      <c r="D9" t="s">
        <v>1724</v>
      </c>
      <c r="AO9">
        <v>4.0999999999999996</v>
      </c>
      <c r="AT9">
        <v>4.9000000000000004</v>
      </c>
      <c r="BI9">
        <v>12.5</v>
      </c>
    </row>
    <row r="10" spans="1:65" hidden="1" x14ac:dyDescent="0.45">
      <c r="A10" t="s">
        <v>1257</v>
      </c>
      <c r="B10" t="s">
        <v>1360</v>
      </c>
      <c r="C10" t="s">
        <v>1723</v>
      </c>
      <c r="D10" t="s">
        <v>1724</v>
      </c>
      <c r="AS10">
        <v>17.899999999999999</v>
      </c>
      <c r="AU10">
        <v>8</v>
      </c>
      <c r="AX10">
        <v>25</v>
      </c>
      <c r="BB10">
        <v>10.6</v>
      </c>
      <c r="BK10">
        <v>3.7</v>
      </c>
    </row>
    <row r="11" spans="1:65" hidden="1" x14ac:dyDescent="0.45">
      <c r="A11" t="s">
        <v>1361</v>
      </c>
      <c r="B11" t="s">
        <v>1362</v>
      </c>
      <c r="C11" t="s">
        <v>1723</v>
      </c>
      <c r="D11" t="s">
        <v>1724</v>
      </c>
    </row>
    <row r="12" spans="1:65" hidden="1" x14ac:dyDescent="0.45">
      <c r="A12" t="s">
        <v>1363</v>
      </c>
      <c r="B12" t="s">
        <v>1364</v>
      </c>
      <c r="C12" t="s">
        <v>1723</v>
      </c>
      <c r="D12" t="s">
        <v>1724</v>
      </c>
      <c r="AI12">
        <v>31.213033833706938</v>
      </c>
      <c r="AS12">
        <v>39.421917148558393</v>
      </c>
      <c r="BC12">
        <v>42.852282757414741</v>
      </c>
      <c r="BJ12">
        <v>38.737887619727374</v>
      </c>
    </row>
    <row r="13" spans="1:65" hidden="1" x14ac:dyDescent="0.45">
      <c r="A13" t="s">
        <v>1129</v>
      </c>
      <c r="B13" t="s">
        <v>1365</v>
      </c>
      <c r="C13" t="s">
        <v>1723</v>
      </c>
      <c r="D13" t="s">
        <v>1724</v>
      </c>
      <c r="AN13">
        <v>23.6</v>
      </c>
    </row>
    <row r="14" spans="1:65" hidden="1" x14ac:dyDescent="0.45">
      <c r="A14" t="s">
        <v>1199</v>
      </c>
      <c r="B14" t="s">
        <v>1366</v>
      </c>
      <c r="C14" t="s">
        <v>1723</v>
      </c>
      <c r="D14" t="s">
        <v>1724</v>
      </c>
      <c r="AT14">
        <v>63.8</v>
      </c>
      <c r="AX14">
        <v>69.900000000000006</v>
      </c>
      <c r="BE14">
        <v>53.5</v>
      </c>
      <c r="BF14">
        <v>78.2</v>
      </c>
    </row>
    <row r="15" spans="1:65" hidden="1" x14ac:dyDescent="0.45">
      <c r="A15" t="s">
        <v>1113</v>
      </c>
      <c r="B15" t="s">
        <v>1367</v>
      </c>
      <c r="C15" t="s">
        <v>1723</v>
      </c>
      <c r="D15" t="s">
        <v>1724</v>
      </c>
      <c r="AJ15">
        <v>25.2</v>
      </c>
      <c r="AS15">
        <v>22.3</v>
      </c>
      <c r="AX15">
        <v>19.5</v>
      </c>
      <c r="BC15">
        <v>26.8</v>
      </c>
      <c r="BH15">
        <v>28</v>
      </c>
      <c r="BI15">
        <v>28</v>
      </c>
    </row>
    <row r="16" spans="1:65" hidden="1" x14ac:dyDescent="0.45">
      <c r="A16" t="s">
        <v>1368</v>
      </c>
      <c r="B16" t="s">
        <v>1369</v>
      </c>
      <c r="C16" t="s">
        <v>1723</v>
      </c>
      <c r="D16" t="s">
        <v>1724</v>
      </c>
    </row>
    <row r="17" spans="1:65" hidden="1" x14ac:dyDescent="0.45">
      <c r="A17" t="s">
        <v>1172</v>
      </c>
      <c r="B17" t="s">
        <v>1370</v>
      </c>
      <c r="C17" t="s">
        <v>1723</v>
      </c>
      <c r="D17" t="s">
        <v>1724</v>
      </c>
      <c r="Z17">
        <v>44.6</v>
      </c>
      <c r="AG17">
        <v>50.6</v>
      </c>
    </row>
    <row r="18" spans="1:65" hidden="1" x14ac:dyDescent="0.45">
      <c r="A18" t="s">
        <v>1213</v>
      </c>
      <c r="B18" t="s">
        <v>1371</v>
      </c>
      <c r="C18" t="s">
        <v>1723</v>
      </c>
      <c r="D18" t="s">
        <v>1724</v>
      </c>
      <c r="AE18">
        <v>72.2</v>
      </c>
      <c r="AN18">
        <v>63.9</v>
      </c>
      <c r="AU18">
        <v>70.8</v>
      </c>
      <c r="AX18">
        <v>68.099999999999994</v>
      </c>
      <c r="AY18">
        <v>63.058</v>
      </c>
      <c r="BB18">
        <v>59.21</v>
      </c>
      <c r="BE18">
        <v>65.12</v>
      </c>
      <c r="BI18">
        <v>64.650000000000006</v>
      </c>
    </row>
    <row r="19" spans="1:65" hidden="1" x14ac:dyDescent="0.45">
      <c r="A19" t="s">
        <v>1270</v>
      </c>
      <c r="B19" t="s">
        <v>1372</v>
      </c>
      <c r="C19" t="s">
        <v>1723</v>
      </c>
      <c r="D19" t="s">
        <v>1724</v>
      </c>
      <c r="AO19">
        <v>46.8</v>
      </c>
      <c r="BB19">
        <v>67.599999999999994</v>
      </c>
      <c r="BF19">
        <v>63</v>
      </c>
    </row>
    <row r="20" spans="1:65" hidden="1" x14ac:dyDescent="0.45">
      <c r="A20" t="s">
        <v>1114</v>
      </c>
      <c r="B20" t="s">
        <v>1373</v>
      </c>
      <c r="C20" t="s">
        <v>1723</v>
      </c>
      <c r="D20" t="s">
        <v>1724</v>
      </c>
      <c r="AS20">
        <v>16.7</v>
      </c>
      <c r="AT20">
        <v>11.9</v>
      </c>
      <c r="AY20">
        <v>14.3</v>
      </c>
      <c r="BD20">
        <v>13.9</v>
      </c>
    </row>
    <row r="21" spans="1:65" hidden="1" x14ac:dyDescent="0.45">
      <c r="A21" t="s">
        <v>582</v>
      </c>
      <c r="B21" t="s">
        <v>1374</v>
      </c>
      <c r="C21" t="s">
        <v>1723</v>
      </c>
      <c r="D21" t="s">
        <v>1724</v>
      </c>
      <c r="AF21">
        <v>1.2</v>
      </c>
      <c r="AS21">
        <v>10</v>
      </c>
      <c r="AU21">
        <v>8.5</v>
      </c>
      <c r="AX21">
        <v>7.9</v>
      </c>
      <c r="BB21">
        <v>19.600000000000001</v>
      </c>
      <c r="BC21">
        <v>17.7</v>
      </c>
      <c r="BD21">
        <v>17.7</v>
      </c>
      <c r="BE21">
        <v>30.3</v>
      </c>
      <c r="BI21">
        <v>22.4</v>
      </c>
      <c r="BJ21">
        <v>22.4</v>
      </c>
    </row>
    <row r="22" spans="1:65" hidden="1" x14ac:dyDescent="0.45">
      <c r="A22" t="s">
        <v>1271</v>
      </c>
      <c r="B22" t="s">
        <v>1375</v>
      </c>
      <c r="C22" t="s">
        <v>1723</v>
      </c>
      <c r="D22" t="s">
        <v>1724</v>
      </c>
      <c r="K22">
        <v>10.8</v>
      </c>
      <c r="U22">
        <v>47.9</v>
      </c>
      <c r="AB22">
        <v>63.2</v>
      </c>
      <c r="AK22">
        <v>74.3</v>
      </c>
      <c r="AP22">
        <v>54.8</v>
      </c>
      <c r="AT22">
        <v>74</v>
      </c>
      <c r="AW22">
        <v>72.900000000000006</v>
      </c>
      <c r="BB22">
        <v>69.099999999999994</v>
      </c>
      <c r="BC22">
        <v>69.099999999999994</v>
      </c>
      <c r="BF22">
        <v>65.907589830190403</v>
      </c>
      <c r="BK22">
        <v>65.400000000000006</v>
      </c>
    </row>
    <row r="23" spans="1:65" hidden="1" x14ac:dyDescent="0.45">
      <c r="A23" t="s">
        <v>1088</v>
      </c>
      <c r="B23" t="s">
        <v>1376</v>
      </c>
      <c r="C23" t="s">
        <v>1723</v>
      </c>
      <c r="D23" t="s">
        <v>1724</v>
      </c>
      <c r="AA23">
        <v>0.7</v>
      </c>
      <c r="AO23">
        <v>3.4</v>
      </c>
      <c r="AT23">
        <v>7.2</v>
      </c>
      <c r="AY23">
        <v>6.1</v>
      </c>
      <c r="BE23">
        <v>7.9</v>
      </c>
      <c r="BG23">
        <v>12.5</v>
      </c>
      <c r="BK23">
        <v>12</v>
      </c>
    </row>
    <row r="24" spans="1:65" hidden="1" x14ac:dyDescent="0.45">
      <c r="A24" t="s">
        <v>1089</v>
      </c>
      <c r="B24" t="s">
        <v>1377</v>
      </c>
      <c r="C24" t="s">
        <v>1723</v>
      </c>
      <c r="D24" t="s">
        <v>1724</v>
      </c>
      <c r="AL24">
        <v>4.2</v>
      </c>
      <c r="AR24">
        <v>4.8</v>
      </c>
      <c r="AV24">
        <v>8.6999999999999993</v>
      </c>
      <c r="AY24">
        <v>14.4</v>
      </c>
      <c r="BC24">
        <v>15</v>
      </c>
      <c r="BD24">
        <v>15</v>
      </c>
      <c r="BG24">
        <v>20</v>
      </c>
      <c r="BH24">
        <v>20</v>
      </c>
      <c r="BI24">
        <v>24.23</v>
      </c>
      <c r="BJ24">
        <v>24.517744948071801</v>
      </c>
      <c r="BK24">
        <v>29.921608969722399</v>
      </c>
      <c r="BL24">
        <v>30.7</v>
      </c>
      <c r="BM24">
        <v>28.1</v>
      </c>
    </row>
    <row r="25" spans="1:65" hidden="1" x14ac:dyDescent="0.45">
      <c r="A25" t="s">
        <v>1140</v>
      </c>
      <c r="B25" t="s">
        <v>1378</v>
      </c>
      <c r="C25" t="s">
        <v>1723</v>
      </c>
      <c r="D25" t="s">
        <v>1724</v>
      </c>
      <c r="U25">
        <v>5</v>
      </c>
      <c r="Y25">
        <v>8.9</v>
      </c>
      <c r="Z25">
        <v>11</v>
      </c>
      <c r="AC25">
        <v>13.7</v>
      </c>
      <c r="AE25">
        <v>18.399999999999999</v>
      </c>
      <c r="AH25">
        <v>23.2</v>
      </c>
      <c r="AJ25">
        <v>31.2</v>
      </c>
      <c r="AM25">
        <v>36.6</v>
      </c>
      <c r="AP25">
        <v>42.1</v>
      </c>
      <c r="AS25">
        <v>44</v>
      </c>
      <c r="AT25">
        <v>43.9</v>
      </c>
      <c r="AW25">
        <v>47.6</v>
      </c>
      <c r="AZ25">
        <v>47.5</v>
      </c>
      <c r="BD25">
        <v>52.1</v>
      </c>
      <c r="BF25">
        <v>59.3</v>
      </c>
      <c r="BG25">
        <v>53.9</v>
      </c>
      <c r="BI25">
        <v>56</v>
      </c>
      <c r="BK25">
        <v>51.9</v>
      </c>
      <c r="BL25">
        <v>59.1</v>
      </c>
    </row>
    <row r="26" spans="1:65" hidden="1" x14ac:dyDescent="0.45">
      <c r="A26" t="s">
        <v>1235</v>
      </c>
      <c r="B26" t="s">
        <v>1379</v>
      </c>
      <c r="C26" t="s">
        <v>1723</v>
      </c>
      <c r="D26" t="s">
        <v>1724</v>
      </c>
      <c r="U26">
        <v>6</v>
      </c>
      <c r="AN26">
        <v>45.6</v>
      </c>
      <c r="AQ26">
        <v>39.6</v>
      </c>
      <c r="AX26">
        <v>36.799999999999997</v>
      </c>
      <c r="AZ26">
        <v>40.1</v>
      </c>
    </row>
    <row r="27" spans="1:65" hidden="1" x14ac:dyDescent="0.45">
      <c r="A27" t="s">
        <v>1115</v>
      </c>
      <c r="B27" t="s">
        <v>1380</v>
      </c>
      <c r="C27" t="s">
        <v>1723</v>
      </c>
      <c r="D27" t="s">
        <v>1724</v>
      </c>
      <c r="AH27">
        <v>30.3</v>
      </c>
      <c r="AN27">
        <v>30.6</v>
      </c>
    </row>
    <row r="28" spans="1:65" hidden="1" x14ac:dyDescent="0.45">
      <c r="A28" t="s">
        <v>1381</v>
      </c>
      <c r="B28" t="s">
        <v>1382</v>
      </c>
      <c r="C28" t="s">
        <v>1723</v>
      </c>
      <c r="D28" t="s">
        <v>1724</v>
      </c>
      <c r="AG28">
        <v>60.1</v>
      </c>
    </row>
    <row r="29" spans="1:65" hidden="1" x14ac:dyDescent="0.45">
      <c r="A29" t="s">
        <v>1258</v>
      </c>
      <c r="B29" t="s">
        <v>1383</v>
      </c>
      <c r="C29" t="s">
        <v>1723</v>
      </c>
      <c r="D29" t="s">
        <v>1724</v>
      </c>
      <c r="O29">
        <v>3.1</v>
      </c>
      <c r="AS29">
        <v>16.2</v>
      </c>
      <c r="AY29">
        <v>11.3</v>
      </c>
      <c r="BE29">
        <v>12</v>
      </c>
    </row>
    <row r="30" spans="1:65" hidden="1" x14ac:dyDescent="0.45">
      <c r="A30" t="s">
        <v>1234</v>
      </c>
      <c r="B30" t="s">
        <v>1384</v>
      </c>
      <c r="C30" t="s">
        <v>1723</v>
      </c>
      <c r="D30" t="s">
        <v>1724</v>
      </c>
      <c r="AN30">
        <v>42.1</v>
      </c>
      <c r="AX30">
        <v>56.5</v>
      </c>
      <c r="BE30">
        <v>52</v>
      </c>
      <c r="BJ30">
        <v>59.27</v>
      </c>
    </row>
    <row r="31" spans="1:65" hidden="1" x14ac:dyDescent="0.45">
      <c r="A31" t="s">
        <v>1190</v>
      </c>
      <c r="B31" t="s">
        <v>1385</v>
      </c>
      <c r="C31" t="s">
        <v>1723</v>
      </c>
      <c r="D31" t="s">
        <v>1724</v>
      </c>
      <c r="AJ31">
        <v>41.8</v>
      </c>
      <c r="AR31">
        <v>49.3</v>
      </c>
      <c r="AY31">
        <v>31.5</v>
      </c>
      <c r="BD31">
        <v>52</v>
      </c>
      <c r="BI31">
        <v>48.5</v>
      </c>
    </row>
    <row r="32" spans="1:65" hidden="1" x14ac:dyDescent="0.45">
      <c r="A32" t="s">
        <v>1386</v>
      </c>
      <c r="B32" t="s">
        <v>1387</v>
      </c>
      <c r="C32" t="s">
        <v>1723</v>
      </c>
      <c r="D32" t="s">
        <v>1724</v>
      </c>
    </row>
    <row r="33" spans="1:64" hidden="1" x14ac:dyDescent="0.45">
      <c r="A33" t="s">
        <v>1388</v>
      </c>
      <c r="B33" t="s">
        <v>1389</v>
      </c>
      <c r="C33" t="s">
        <v>1723</v>
      </c>
      <c r="D33" t="s">
        <v>1724</v>
      </c>
      <c r="AB33">
        <v>9.9</v>
      </c>
      <c r="AH33">
        <v>12.2</v>
      </c>
      <c r="AM33">
        <v>17.7</v>
      </c>
      <c r="AQ33">
        <v>25.2</v>
      </c>
      <c r="AS33">
        <v>30.5</v>
      </c>
      <c r="AV33">
        <v>34.9</v>
      </c>
      <c r="AW33">
        <v>34.9</v>
      </c>
      <c r="BA33">
        <v>34.5</v>
      </c>
      <c r="BI33">
        <v>45.1</v>
      </c>
    </row>
    <row r="34" spans="1:64" hidden="1" x14ac:dyDescent="0.45">
      <c r="A34" t="s">
        <v>1201</v>
      </c>
      <c r="B34" t="s">
        <v>1390</v>
      </c>
      <c r="C34" t="s">
        <v>1723</v>
      </c>
      <c r="D34" t="s">
        <v>1724</v>
      </c>
      <c r="AE34">
        <v>56.5</v>
      </c>
      <c r="AO34">
        <v>70.3</v>
      </c>
      <c r="AZ34">
        <v>77.099999999999994</v>
      </c>
      <c r="BF34">
        <v>77.7</v>
      </c>
    </row>
    <row r="35" spans="1:64" hidden="1" x14ac:dyDescent="0.45">
      <c r="A35" t="s">
        <v>1175</v>
      </c>
      <c r="B35" t="s">
        <v>1391</v>
      </c>
      <c r="C35" t="s">
        <v>1723</v>
      </c>
      <c r="D35" t="s">
        <v>1724</v>
      </c>
      <c r="Z35">
        <v>44.7</v>
      </c>
      <c r="AG35">
        <v>53.3</v>
      </c>
      <c r="BE35">
        <v>55.4</v>
      </c>
    </row>
    <row r="36" spans="1:64" hidden="1" x14ac:dyDescent="0.45">
      <c r="A36" t="s">
        <v>1159</v>
      </c>
      <c r="B36" t="s">
        <v>1392</v>
      </c>
      <c r="C36" t="s">
        <v>1723</v>
      </c>
      <c r="D36" t="s">
        <v>1724</v>
      </c>
    </row>
    <row r="37" spans="1:64" hidden="1" x14ac:dyDescent="0.45">
      <c r="A37" t="s">
        <v>1141</v>
      </c>
      <c r="B37" t="s">
        <v>1393</v>
      </c>
      <c r="C37" t="s">
        <v>1723</v>
      </c>
      <c r="D37" t="s">
        <v>1724</v>
      </c>
      <c r="AM37">
        <v>18.8</v>
      </c>
      <c r="AS37">
        <v>30.7</v>
      </c>
      <c r="AZ37">
        <v>35.4</v>
      </c>
      <c r="BC37">
        <v>65.400000000000006</v>
      </c>
    </row>
    <row r="38" spans="1:64" hidden="1" x14ac:dyDescent="0.45">
      <c r="A38" t="s">
        <v>580</v>
      </c>
      <c r="B38" t="s">
        <v>1394</v>
      </c>
      <c r="C38" t="s">
        <v>1723</v>
      </c>
      <c r="D38" t="s">
        <v>1724</v>
      </c>
      <c r="AC38">
        <v>18.600000000000001</v>
      </c>
      <c r="AG38">
        <v>31.7</v>
      </c>
      <c r="AO38">
        <v>46.508599498865998</v>
      </c>
      <c r="AS38">
        <v>42.1</v>
      </c>
      <c r="AZ38">
        <v>51.2</v>
      </c>
      <c r="BA38">
        <v>51.2</v>
      </c>
    </row>
    <row r="39" spans="1:64" hidden="1" x14ac:dyDescent="0.45">
      <c r="A39" t="s">
        <v>584</v>
      </c>
      <c r="B39" t="s">
        <v>1395</v>
      </c>
      <c r="C39" t="s">
        <v>1723</v>
      </c>
      <c r="D39" t="s">
        <v>1724</v>
      </c>
      <c r="AN39">
        <v>3.3</v>
      </c>
      <c r="AS39">
        <v>11.7</v>
      </c>
      <c r="AY39">
        <v>11.2</v>
      </c>
      <c r="BC39">
        <v>12.1</v>
      </c>
      <c r="BD39">
        <v>12.1</v>
      </c>
      <c r="BL39">
        <v>14.4</v>
      </c>
    </row>
    <row r="40" spans="1:64" hidden="1" x14ac:dyDescent="0.45">
      <c r="A40" t="s">
        <v>1278</v>
      </c>
      <c r="B40" t="s">
        <v>1396</v>
      </c>
      <c r="C40" t="s">
        <v>1723</v>
      </c>
      <c r="D40" t="s">
        <v>1724</v>
      </c>
      <c r="AC40">
        <v>69.7</v>
      </c>
      <c r="AN40">
        <v>73.3</v>
      </c>
      <c r="AQ40">
        <v>76</v>
      </c>
      <c r="AU40">
        <v>72</v>
      </c>
    </row>
    <row r="41" spans="1:64" hidden="1" x14ac:dyDescent="0.45">
      <c r="A41" t="s">
        <v>1397</v>
      </c>
      <c r="B41" t="s">
        <v>1398</v>
      </c>
      <c r="C41" t="s">
        <v>1723</v>
      </c>
      <c r="D41" t="s">
        <v>1724</v>
      </c>
    </row>
    <row r="42" spans="1:64" hidden="1" x14ac:dyDescent="0.45">
      <c r="A42" t="s">
        <v>1276</v>
      </c>
      <c r="B42" t="s">
        <v>1399</v>
      </c>
      <c r="C42" t="s">
        <v>1723</v>
      </c>
      <c r="D42" t="s">
        <v>1724</v>
      </c>
      <c r="Y42">
        <v>64.900000000000006</v>
      </c>
      <c r="AN42">
        <v>77.5</v>
      </c>
      <c r="BE42">
        <v>69.2</v>
      </c>
      <c r="BJ42">
        <v>67.3</v>
      </c>
    </row>
    <row r="43" spans="1:64" hidden="1" x14ac:dyDescent="0.45">
      <c r="A43" t="s">
        <v>1245</v>
      </c>
      <c r="B43" t="s">
        <v>1400</v>
      </c>
      <c r="C43" t="s">
        <v>1723</v>
      </c>
      <c r="D43" t="s">
        <v>1724</v>
      </c>
    </row>
    <row r="44" spans="1:64" hidden="1" x14ac:dyDescent="0.45">
      <c r="A44" t="s">
        <v>1202</v>
      </c>
      <c r="B44" t="s">
        <v>1401</v>
      </c>
      <c r="C44" t="s">
        <v>1723</v>
      </c>
      <c r="D44" t="s">
        <v>1724</v>
      </c>
      <c r="AT44">
        <v>57.9</v>
      </c>
      <c r="AY44">
        <v>64.2</v>
      </c>
      <c r="BI44">
        <v>69.844748571179693</v>
      </c>
    </row>
    <row r="45" spans="1:64" hidden="1" x14ac:dyDescent="0.45">
      <c r="A45" t="s">
        <v>1150</v>
      </c>
      <c r="B45" t="s">
        <v>1402</v>
      </c>
      <c r="C45" t="s">
        <v>1723</v>
      </c>
      <c r="D45" t="s">
        <v>1724</v>
      </c>
      <c r="O45">
        <v>13.47</v>
      </c>
      <c r="P45">
        <v>17.260000000000002</v>
      </c>
      <c r="Q45">
        <v>22.492249000000001</v>
      </c>
      <c r="R45">
        <v>28.43</v>
      </c>
      <c r="S45">
        <v>34.42</v>
      </c>
      <c r="T45">
        <v>40.619999999999997</v>
      </c>
      <c r="U45">
        <v>45.214520999999998</v>
      </c>
      <c r="V45">
        <v>48.41</v>
      </c>
      <c r="W45">
        <v>50.23</v>
      </c>
      <c r="X45">
        <v>53.665365999999999</v>
      </c>
      <c r="Y45">
        <v>54.564543</v>
      </c>
      <c r="Z45">
        <v>54.71</v>
      </c>
      <c r="AA45">
        <v>66.7</v>
      </c>
      <c r="AB45">
        <v>64.22</v>
      </c>
      <c r="AC45">
        <v>66.319999999999993</v>
      </c>
      <c r="AD45">
        <v>66.150000000000006</v>
      </c>
      <c r="AE45">
        <v>65.73</v>
      </c>
      <c r="AF45">
        <v>69.343064999999996</v>
      </c>
      <c r="AG45">
        <v>69.900000000000006</v>
      </c>
      <c r="AK45">
        <v>83.7</v>
      </c>
      <c r="AP45">
        <v>83.3</v>
      </c>
      <c r="AT45">
        <v>86.2</v>
      </c>
      <c r="AY45">
        <v>84</v>
      </c>
      <c r="BH45">
        <v>85.406930000000003</v>
      </c>
      <c r="BJ45">
        <v>80.5</v>
      </c>
    </row>
    <row r="46" spans="1:64" hidden="1" x14ac:dyDescent="0.45">
      <c r="A46" t="s">
        <v>1403</v>
      </c>
      <c r="B46" t="s">
        <v>1404</v>
      </c>
      <c r="C46" t="s">
        <v>1723</v>
      </c>
      <c r="D46" t="s">
        <v>1724</v>
      </c>
      <c r="Z46">
        <v>0.5</v>
      </c>
      <c r="AM46">
        <v>4.3</v>
      </c>
      <c r="AR46">
        <v>7.3</v>
      </c>
      <c r="AY46">
        <v>9.3000000000000007</v>
      </c>
      <c r="BE46">
        <v>12.5</v>
      </c>
      <c r="BI46">
        <v>14.3</v>
      </c>
      <c r="BJ46">
        <v>18.8723620582225</v>
      </c>
      <c r="BK46">
        <v>19.600000000000001</v>
      </c>
    </row>
    <row r="47" spans="1:64" hidden="1" x14ac:dyDescent="0.45">
      <c r="A47" t="s">
        <v>1079</v>
      </c>
      <c r="B47" t="s">
        <v>1405</v>
      </c>
      <c r="C47" t="s">
        <v>1723</v>
      </c>
      <c r="D47" t="s">
        <v>1724</v>
      </c>
      <c r="W47">
        <v>0.6</v>
      </c>
      <c r="AJ47">
        <v>4.3</v>
      </c>
      <c r="AQ47">
        <v>7.1</v>
      </c>
      <c r="AS47">
        <v>11.1</v>
      </c>
      <c r="AW47">
        <v>13.1</v>
      </c>
      <c r="AY47">
        <v>15.2</v>
      </c>
      <c r="BD47">
        <v>14.4</v>
      </c>
      <c r="BG47">
        <v>21</v>
      </c>
      <c r="BK47">
        <v>15</v>
      </c>
    </row>
    <row r="48" spans="1:64" hidden="1" x14ac:dyDescent="0.45">
      <c r="A48" t="s">
        <v>1406</v>
      </c>
      <c r="B48" t="s">
        <v>1407</v>
      </c>
      <c r="C48" t="s">
        <v>1723</v>
      </c>
      <c r="D48" t="s">
        <v>1724</v>
      </c>
      <c r="AB48">
        <v>4.4000000000000004</v>
      </c>
      <c r="AC48">
        <v>4.4000000000000004</v>
      </c>
      <c r="AJ48">
        <v>2.2999999999999998</v>
      </c>
      <c r="AT48">
        <v>10.199999999999999</v>
      </c>
      <c r="AZ48">
        <v>5.8</v>
      </c>
      <c r="BC48">
        <v>7.7</v>
      </c>
      <c r="BG48">
        <v>7.5</v>
      </c>
      <c r="BK48">
        <v>17.600000000000001</v>
      </c>
    </row>
    <row r="49" spans="1:64" hidden="1" x14ac:dyDescent="0.45">
      <c r="A49" t="s">
        <v>1408</v>
      </c>
      <c r="B49" t="s">
        <v>1409</v>
      </c>
      <c r="C49" t="s">
        <v>1723</v>
      </c>
      <c r="D49" t="s">
        <v>1724</v>
      </c>
      <c r="AX49">
        <v>12.7</v>
      </c>
      <c r="BE49">
        <v>20</v>
      </c>
      <c r="BH49">
        <v>18.5</v>
      </c>
    </row>
    <row r="50" spans="1:64" hidden="1" x14ac:dyDescent="0.45">
      <c r="A50" t="s">
        <v>1203</v>
      </c>
      <c r="B50" t="s">
        <v>1410</v>
      </c>
      <c r="C50" t="s">
        <v>1723</v>
      </c>
      <c r="D50" t="s">
        <v>1724</v>
      </c>
      <c r="N50">
        <v>8.9</v>
      </c>
      <c r="U50">
        <v>30.4</v>
      </c>
      <c r="W50">
        <v>37.299999999999997</v>
      </c>
      <c r="Y50">
        <v>41</v>
      </c>
      <c r="AE50">
        <v>52.5</v>
      </c>
      <c r="AI50">
        <v>54.7</v>
      </c>
      <c r="AN50">
        <v>59.3</v>
      </c>
      <c r="AS50">
        <v>64</v>
      </c>
      <c r="AX50">
        <v>68.2</v>
      </c>
      <c r="BC50">
        <v>72.900000000000006</v>
      </c>
      <c r="BH50">
        <v>75.900000000000006</v>
      </c>
      <c r="BI50">
        <v>75.900000000000006</v>
      </c>
    </row>
    <row r="51" spans="1:64" hidden="1" x14ac:dyDescent="0.45">
      <c r="A51" t="s">
        <v>1067</v>
      </c>
      <c r="B51" t="s">
        <v>1411</v>
      </c>
      <c r="C51" t="s">
        <v>1723</v>
      </c>
      <c r="D51" t="s">
        <v>1724</v>
      </c>
      <c r="AO51">
        <v>11.4</v>
      </c>
      <c r="AS51">
        <v>20.9</v>
      </c>
      <c r="BE51">
        <v>14.2</v>
      </c>
    </row>
    <row r="52" spans="1:64" hidden="1" x14ac:dyDescent="0.45">
      <c r="A52" t="s">
        <v>1090</v>
      </c>
      <c r="B52" t="s">
        <v>1412</v>
      </c>
      <c r="C52" t="s">
        <v>1723</v>
      </c>
      <c r="D52" t="s">
        <v>1724</v>
      </c>
      <c r="AH52">
        <v>19</v>
      </c>
      <c r="AQ52">
        <v>46</v>
      </c>
      <c r="AX52">
        <v>57.1</v>
      </c>
      <c r="BK52">
        <v>54.7</v>
      </c>
    </row>
    <row r="53" spans="1:64" hidden="1" x14ac:dyDescent="0.45">
      <c r="A53" t="s">
        <v>1191</v>
      </c>
      <c r="B53" t="s">
        <v>1413</v>
      </c>
      <c r="C53" t="s">
        <v>1723</v>
      </c>
      <c r="D53" t="s">
        <v>1724</v>
      </c>
      <c r="U53">
        <v>53.5</v>
      </c>
      <c r="W53">
        <v>54.9</v>
      </c>
      <c r="Z53">
        <v>55.9</v>
      </c>
      <c r="AE53">
        <v>58.2</v>
      </c>
      <c r="AL53">
        <v>64.599999999999994</v>
      </c>
      <c r="AR53">
        <v>71.5</v>
      </c>
      <c r="BB53">
        <v>76.400000000000006</v>
      </c>
      <c r="BC53">
        <v>79.900000000000006</v>
      </c>
      <c r="BD53">
        <v>74.7</v>
      </c>
      <c r="BH53">
        <v>74.900000000000006</v>
      </c>
      <c r="BK53">
        <v>69</v>
      </c>
    </row>
    <row r="54" spans="1:64" hidden="1" x14ac:dyDescent="0.45">
      <c r="A54" t="s">
        <v>1414</v>
      </c>
      <c r="B54" t="s">
        <v>1415</v>
      </c>
      <c r="C54" t="s">
        <v>1723</v>
      </c>
      <c r="D54" t="s">
        <v>1724</v>
      </c>
      <c r="AI54">
        <v>48.520713335264219</v>
      </c>
      <c r="BC54">
        <v>54.554142163060199</v>
      </c>
    </row>
    <row r="55" spans="1:64" hidden="1" x14ac:dyDescent="0.45">
      <c r="A55" t="s">
        <v>1176</v>
      </c>
      <c r="B55" t="s">
        <v>1416</v>
      </c>
      <c r="C55" t="s">
        <v>1723</v>
      </c>
      <c r="D55" t="s">
        <v>1724</v>
      </c>
      <c r="AF55">
        <v>67</v>
      </c>
      <c r="AS55">
        <v>72.2</v>
      </c>
      <c r="AY55">
        <v>71.599999999999994</v>
      </c>
      <c r="BD55">
        <v>73.2</v>
      </c>
      <c r="BG55">
        <v>72.2</v>
      </c>
      <c r="BL55">
        <v>67.940551779009098</v>
      </c>
    </row>
    <row r="56" spans="1:64" hidden="1" x14ac:dyDescent="0.45">
      <c r="A56" t="s">
        <v>1417</v>
      </c>
      <c r="B56" t="s">
        <v>1418</v>
      </c>
      <c r="C56" t="s">
        <v>1723</v>
      </c>
      <c r="D56" t="s">
        <v>1724</v>
      </c>
    </row>
    <row r="57" spans="1:64" hidden="1" x14ac:dyDescent="0.45">
      <c r="A57" t="s">
        <v>1419</v>
      </c>
      <c r="B57" t="s">
        <v>1420</v>
      </c>
      <c r="C57" t="s">
        <v>1723</v>
      </c>
      <c r="D57" t="s">
        <v>1724</v>
      </c>
    </row>
    <row r="58" spans="1:64" hidden="1" x14ac:dyDescent="0.45">
      <c r="A58" t="s">
        <v>1116</v>
      </c>
      <c r="B58" t="s">
        <v>1421</v>
      </c>
      <c r="C58" t="s">
        <v>1723</v>
      </c>
      <c r="D58" t="s">
        <v>1724</v>
      </c>
    </row>
    <row r="59" spans="1:64" hidden="1" x14ac:dyDescent="0.45">
      <c r="A59" t="s">
        <v>1422</v>
      </c>
      <c r="B59" t="s">
        <v>1423</v>
      </c>
      <c r="C59" t="s">
        <v>1723</v>
      </c>
      <c r="D59" t="s">
        <v>1724</v>
      </c>
      <c r="O59">
        <v>24.3</v>
      </c>
      <c r="V59">
        <v>49.3</v>
      </c>
      <c r="AJ59">
        <v>53</v>
      </c>
      <c r="AL59">
        <v>44.9</v>
      </c>
      <c r="AP59">
        <v>62.6</v>
      </c>
      <c r="AX59">
        <v>69.900000000000006</v>
      </c>
      <c r="BA59">
        <v>77.599999999999994</v>
      </c>
    </row>
    <row r="60" spans="1:64" hidden="1" x14ac:dyDescent="0.45">
      <c r="A60" t="s">
        <v>1273</v>
      </c>
      <c r="B60" t="s">
        <v>1424</v>
      </c>
      <c r="C60" t="s">
        <v>1723</v>
      </c>
      <c r="D60" t="s">
        <v>1724</v>
      </c>
      <c r="P60">
        <v>48.25</v>
      </c>
      <c r="Q60">
        <v>60.580071729299902</v>
      </c>
      <c r="AD60">
        <v>67.599999999999994</v>
      </c>
      <c r="AK60">
        <v>65.599999999999994</v>
      </c>
      <c r="AX60">
        <v>61.6</v>
      </c>
      <c r="BA60">
        <v>49.2</v>
      </c>
      <c r="BD60">
        <v>80.2</v>
      </c>
    </row>
    <row r="61" spans="1:64" hidden="1" x14ac:dyDescent="0.45">
      <c r="A61" t="s">
        <v>1068</v>
      </c>
      <c r="B61" t="s">
        <v>1425</v>
      </c>
      <c r="C61" t="s">
        <v>1723</v>
      </c>
      <c r="D61" t="s">
        <v>1724</v>
      </c>
      <c r="AU61">
        <v>5.8</v>
      </c>
      <c r="AY61">
        <v>17.100000000000001</v>
      </c>
      <c r="BE61">
        <v>18</v>
      </c>
    </row>
    <row r="62" spans="1:64" hidden="1" x14ac:dyDescent="0.45">
      <c r="A62" t="s">
        <v>1426</v>
      </c>
      <c r="B62" t="s">
        <v>1427</v>
      </c>
      <c r="C62" t="s">
        <v>1723</v>
      </c>
      <c r="D62" t="s">
        <v>1724</v>
      </c>
      <c r="Z62">
        <v>57.5</v>
      </c>
      <c r="AA62">
        <v>57.5</v>
      </c>
      <c r="AF62">
        <v>47.9</v>
      </c>
    </row>
    <row r="63" spans="1:64" hidden="1" x14ac:dyDescent="0.45">
      <c r="A63" t="s">
        <v>1246</v>
      </c>
      <c r="B63" t="s">
        <v>1428</v>
      </c>
      <c r="C63" t="s">
        <v>1723</v>
      </c>
      <c r="D63" t="s">
        <v>1724</v>
      </c>
      <c r="O63">
        <v>54</v>
      </c>
      <c r="T63">
        <v>59.9</v>
      </c>
      <c r="AG63">
        <v>72</v>
      </c>
    </row>
    <row r="64" spans="1:64" hidden="1" x14ac:dyDescent="0.45">
      <c r="A64" t="s">
        <v>1178</v>
      </c>
      <c r="B64" t="s">
        <v>1429</v>
      </c>
      <c r="C64" t="s">
        <v>1723</v>
      </c>
      <c r="D64" t="s">
        <v>1724</v>
      </c>
      <c r="T64">
        <v>26</v>
      </c>
      <c r="Y64">
        <v>35</v>
      </c>
      <c r="AB64">
        <v>41.8</v>
      </c>
      <c r="AE64">
        <v>46.5</v>
      </c>
      <c r="AJ64">
        <v>51.7</v>
      </c>
      <c r="AO64">
        <v>59.2</v>
      </c>
      <c r="AR64">
        <v>64.2</v>
      </c>
      <c r="AS64">
        <v>62.8</v>
      </c>
      <c r="AU64">
        <v>65.8</v>
      </c>
      <c r="AY64">
        <v>60</v>
      </c>
      <c r="AZ64">
        <v>70</v>
      </c>
      <c r="BC64">
        <v>71.099999999999994</v>
      </c>
      <c r="BF64">
        <v>68.7</v>
      </c>
      <c r="BG64">
        <v>68</v>
      </c>
    </row>
    <row r="65" spans="1:66" hidden="1" x14ac:dyDescent="0.45">
      <c r="A65" t="s">
        <v>1105</v>
      </c>
      <c r="B65" t="s">
        <v>1430</v>
      </c>
      <c r="C65" t="s">
        <v>1723</v>
      </c>
      <c r="D65" t="s">
        <v>1724</v>
      </c>
      <c r="AF65">
        <v>31.3</v>
      </c>
      <c r="AK65">
        <v>43.2</v>
      </c>
      <c r="AN65">
        <v>49.4</v>
      </c>
      <c r="AS65">
        <v>55</v>
      </c>
      <c r="AU65">
        <v>51.8</v>
      </c>
      <c r="AY65">
        <v>53.9</v>
      </c>
      <c r="BE65">
        <v>48</v>
      </c>
      <c r="BF65">
        <v>49.5</v>
      </c>
    </row>
    <row r="66" spans="1:66" hidden="1" x14ac:dyDescent="0.45">
      <c r="A66" t="s">
        <v>1431</v>
      </c>
      <c r="B66" t="s">
        <v>1432</v>
      </c>
      <c r="C66" t="s">
        <v>1723</v>
      </c>
      <c r="D66" t="s">
        <v>1724</v>
      </c>
      <c r="AI66">
        <v>74.041920026887112</v>
      </c>
      <c r="AS66">
        <v>76.099559041395096</v>
      </c>
      <c r="BJ66">
        <v>71.47623154765823</v>
      </c>
    </row>
    <row r="67" spans="1:66" hidden="1" x14ac:dyDescent="0.45">
      <c r="A67" t="s">
        <v>1433</v>
      </c>
      <c r="B67" t="s">
        <v>1434</v>
      </c>
      <c r="C67" t="s">
        <v>1723</v>
      </c>
      <c r="D67" t="s">
        <v>1724</v>
      </c>
      <c r="AI67">
        <v>36.452204123392384</v>
      </c>
      <c r="AS67">
        <v>42.237641915320637</v>
      </c>
      <c r="BC67">
        <v>48.025769068213073</v>
      </c>
      <c r="BJ67">
        <v>47.796847729428798</v>
      </c>
    </row>
    <row r="68" spans="1:66" hidden="1" x14ac:dyDescent="0.45">
      <c r="A68" t="s">
        <v>1435</v>
      </c>
      <c r="B68" t="s">
        <v>1436</v>
      </c>
      <c r="C68" t="s">
        <v>1723</v>
      </c>
      <c r="D68" t="s">
        <v>1724</v>
      </c>
      <c r="AI68">
        <v>72.39990793700818</v>
      </c>
      <c r="AS68">
        <v>74.489572537257885</v>
      </c>
      <c r="BJ68">
        <v>69.644356251152942</v>
      </c>
    </row>
    <row r="69" spans="1:66" hidden="1" x14ac:dyDescent="0.45">
      <c r="A69" t="s">
        <v>1437</v>
      </c>
      <c r="B69" t="s">
        <v>1438</v>
      </c>
      <c r="C69" t="s">
        <v>1723</v>
      </c>
      <c r="D69" t="s">
        <v>1724</v>
      </c>
      <c r="BC69">
        <v>46.865159036736408</v>
      </c>
    </row>
    <row r="70" spans="1:66" hidden="1" x14ac:dyDescent="0.45">
      <c r="A70" t="s">
        <v>1439</v>
      </c>
      <c r="B70" t="s">
        <v>1440</v>
      </c>
      <c r="C70" t="s">
        <v>1723</v>
      </c>
      <c r="D70" t="s">
        <v>1724</v>
      </c>
      <c r="BC70">
        <v>58.298965991139319</v>
      </c>
    </row>
    <row r="71" spans="1:66" hidden="1" x14ac:dyDescent="0.45">
      <c r="A71" t="s">
        <v>1204</v>
      </c>
      <c r="B71" t="s">
        <v>1441</v>
      </c>
      <c r="C71" t="s">
        <v>1723</v>
      </c>
      <c r="D71" t="s">
        <v>1724</v>
      </c>
      <c r="X71">
        <v>25.8</v>
      </c>
      <c r="AA71">
        <v>32.9</v>
      </c>
      <c r="AF71">
        <v>35.799999999999997</v>
      </c>
      <c r="AH71">
        <v>41.6</v>
      </c>
      <c r="AM71">
        <v>45.9</v>
      </c>
      <c r="AR71">
        <v>51.4</v>
      </c>
      <c r="AW71">
        <v>58.7</v>
      </c>
      <c r="BE71">
        <v>71.7</v>
      </c>
    </row>
    <row r="72" spans="1:66" hidden="1" x14ac:dyDescent="0.45">
      <c r="A72" t="s">
        <v>1442</v>
      </c>
      <c r="B72" t="s">
        <v>1443</v>
      </c>
      <c r="C72" t="s">
        <v>1723</v>
      </c>
      <c r="D72" t="s">
        <v>1724</v>
      </c>
      <c r="T72">
        <v>22.4</v>
      </c>
      <c r="Y72">
        <v>29.7</v>
      </c>
      <c r="AC72">
        <v>28.7</v>
      </c>
      <c r="AG72">
        <v>35.5</v>
      </c>
      <c r="AH72">
        <v>35.4</v>
      </c>
      <c r="AJ72">
        <v>44.3</v>
      </c>
      <c r="AK72">
        <v>44.8</v>
      </c>
      <c r="AL72">
        <v>44.8</v>
      </c>
      <c r="AN72">
        <v>45.5</v>
      </c>
      <c r="AO72">
        <v>45.5</v>
      </c>
      <c r="AP72">
        <v>51.8</v>
      </c>
      <c r="AQ72">
        <v>51.8</v>
      </c>
      <c r="AS72">
        <v>53.9</v>
      </c>
      <c r="AV72">
        <v>56.6</v>
      </c>
      <c r="AX72">
        <v>56.5</v>
      </c>
      <c r="BA72">
        <v>57.6</v>
      </c>
      <c r="BG72">
        <v>56.9</v>
      </c>
    </row>
    <row r="73" spans="1:66" hidden="1" x14ac:dyDescent="0.45">
      <c r="A73" t="s">
        <v>1444</v>
      </c>
      <c r="B73" t="s">
        <v>1445</v>
      </c>
      <c r="C73" t="s">
        <v>1723</v>
      </c>
      <c r="D73" t="s">
        <v>1724</v>
      </c>
    </row>
    <row r="74" spans="1:66" hidden="1" x14ac:dyDescent="0.45">
      <c r="A74" t="s">
        <v>592</v>
      </c>
      <c r="B74" t="s">
        <v>1446</v>
      </c>
      <c r="C74" t="s">
        <v>1723</v>
      </c>
      <c r="D74" t="s">
        <v>1724</v>
      </c>
      <c r="AN74">
        <v>4</v>
      </c>
      <c r="AO74">
        <v>4</v>
      </c>
      <c r="AU74">
        <v>7.2</v>
      </c>
      <c r="BC74">
        <v>7</v>
      </c>
    </row>
    <row r="75" spans="1:66" hidden="1" x14ac:dyDescent="0.45">
      <c r="A75" t="s">
        <v>1268</v>
      </c>
      <c r="B75" t="s">
        <v>1447</v>
      </c>
      <c r="C75" t="s">
        <v>1723</v>
      </c>
      <c r="D75" t="s">
        <v>1724</v>
      </c>
      <c r="V75">
        <v>18.600000000000001</v>
      </c>
      <c r="AD75">
        <v>38</v>
      </c>
      <c r="AN75">
        <v>67.400000000000006</v>
      </c>
      <c r="AR75">
        <v>66</v>
      </c>
      <c r="AY75">
        <v>62.3</v>
      </c>
      <c r="BG75">
        <v>71.7</v>
      </c>
      <c r="BI75">
        <v>69.900000000000006</v>
      </c>
      <c r="BK75">
        <v>70.099999999999994</v>
      </c>
    </row>
    <row r="76" spans="1:66" hidden="1" x14ac:dyDescent="0.45">
      <c r="A76" t="s">
        <v>1247</v>
      </c>
      <c r="B76" t="s">
        <v>1448</v>
      </c>
      <c r="C76" t="s">
        <v>1723</v>
      </c>
      <c r="D76" t="s">
        <v>1724</v>
      </c>
      <c r="AM76">
        <v>56.4</v>
      </c>
      <c r="AX76">
        <v>57.9</v>
      </c>
    </row>
    <row r="77" spans="1:66" x14ac:dyDescent="0.45">
      <c r="A77" t="s">
        <v>594</v>
      </c>
      <c r="B77" t="s">
        <v>926</v>
      </c>
      <c r="C77" t="s">
        <v>1723</v>
      </c>
      <c r="D77" t="s">
        <v>1724</v>
      </c>
      <c r="AI77">
        <v>2.9</v>
      </c>
      <c r="AP77">
        <v>2.8</v>
      </c>
      <c r="AS77">
        <v>6.3</v>
      </c>
      <c r="AX77">
        <v>13.9</v>
      </c>
      <c r="BD77">
        <v>27.3</v>
      </c>
      <c r="BG77">
        <v>40.4</v>
      </c>
      <c r="BH77">
        <v>35.9</v>
      </c>
      <c r="BI77">
        <v>35.1</v>
      </c>
      <c r="BJ77">
        <v>35.3211751208786</v>
      </c>
      <c r="BK77">
        <v>37.799999999999997</v>
      </c>
      <c r="BL77">
        <v>40.5</v>
      </c>
      <c r="BN77" s="86" t="s">
        <v>1725</v>
      </c>
    </row>
    <row r="78" spans="1:66" hidden="1" x14ac:dyDescent="0.45">
      <c r="A78" t="s">
        <v>1449</v>
      </c>
      <c r="B78" t="s">
        <v>1450</v>
      </c>
      <c r="C78" t="s">
        <v>1723</v>
      </c>
      <c r="D78" t="s">
        <v>1724</v>
      </c>
      <c r="BN78" s="86"/>
    </row>
    <row r="79" spans="1:66" hidden="1" x14ac:dyDescent="0.45">
      <c r="A79" t="s">
        <v>1451</v>
      </c>
      <c r="B79" t="s">
        <v>1452</v>
      </c>
      <c r="C79" t="s">
        <v>1723</v>
      </c>
      <c r="D79" t="s">
        <v>1724</v>
      </c>
      <c r="AI79">
        <v>6.9706743775684634</v>
      </c>
      <c r="AS79">
        <v>17.056998932717931</v>
      </c>
      <c r="BC79">
        <v>20.144738028522603</v>
      </c>
      <c r="BJ79">
        <v>24.066766901603117</v>
      </c>
      <c r="BN79" s="86"/>
    </row>
    <row r="80" spans="1:66" hidden="1" x14ac:dyDescent="0.45">
      <c r="A80" t="s">
        <v>1248</v>
      </c>
      <c r="B80" t="s">
        <v>1453</v>
      </c>
      <c r="C80" t="s">
        <v>1723</v>
      </c>
      <c r="D80" t="s">
        <v>1724</v>
      </c>
      <c r="P80">
        <v>53.9</v>
      </c>
      <c r="V80">
        <v>77.2</v>
      </c>
      <c r="AI80">
        <v>75.400000000000006</v>
      </c>
      <c r="AK80">
        <v>75.480769230769198</v>
      </c>
      <c r="AR80">
        <v>72.847682119205302</v>
      </c>
      <c r="AZ80">
        <v>68.8888888888889</v>
      </c>
      <c r="BH80">
        <v>81.564245810055894</v>
      </c>
      <c r="BN80" s="86"/>
    </row>
    <row r="81" spans="1:66" hidden="1" x14ac:dyDescent="0.45">
      <c r="A81" t="s">
        <v>1217</v>
      </c>
      <c r="B81" t="s">
        <v>1454</v>
      </c>
      <c r="C81" t="s">
        <v>1723</v>
      </c>
      <c r="D81" t="s">
        <v>1724</v>
      </c>
      <c r="S81">
        <v>35.1</v>
      </c>
      <c r="BN81" s="86"/>
    </row>
    <row r="82" spans="1:66" hidden="1" x14ac:dyDescent="0.45">
      <c r="A82" t="s">
        <v>1272</v>
      </c>
      <c r="B82" t="s">
        <v>1455</v>
      </c>
      <c r="C82" t="s">
        <v>1723</v>
      </c>
      <c r="D82" t="s">
        <v>1724</v>
      </c>
      <c r="P82">
        <v>20.9</v>
      </c>
      <c r="W82">
        <v>47.6</v>
      </c>
      <c r="AG82">
        <v>66.599999999999994</v>
      </c>
      <c r="AM82">
        <v>69.3</v>
      </c>
      <c r="AS82">
        <v>76.5</v>
      </c>
      <c r="AX82">
        <v>74.8</v>
      </c>
      <c r="BA82">
        <v>74.099999999999994</v>
      </c>
      <c r="BC82">
        <v>72.7</v>
      </c>
      <c r="BD82">
        <v>72.7</v>
      </c>
      <c r="BN82" s="86"/>
    </row>
    <row r="83" spans="1:66" hidden="1" x14ac:dyDescent="0.45">
      <c r="A83" t="s">
        <v>1456</v>
      </c>
      <c r="B83" t="s">
        <v>1457</v>
      </c>
      <c r="C83" t="s">
        <v>1723</v>
      </c>
      <c r="D83" t="s">
        <v>1724</v>
      </c>
      <c r="BN83" s="86"/>
    </row>
    <row r="84" spans="1:66" hidden="1" x14ac:dyDescent="0.45">
      <c r="A84" t="s">
        <v>1458</v>
      </c>
      <c r="B84" t="s">
        <v>1459</v>
      </c>
      <c r="C84" t="s">
        <v>1723</v>
      </c>
      <c r="D84" t="s">
        <v>1724</v>
      </c>
      <c r="BN84" s="86"/>
    </row>
    <row r="85" spans="1:66" hidden="1" x14ac:dyDescent="0.45">
      <c r="A85" t="s">
        <v>1083</v>
      </c>
      <c r="B85" t="s">
        <v>1460</v>
      </c>
      <c r="C85" t="s">
        <v>1723</v>
      </c>
      <c r="D85" t="s">
        <v>1724</v>
      </c>
      <c r="AS85">
        <v>13.4</v>
      </c>
      <c r="BE85">
        <v>19.399999999999999</v>
      </c>
      <c r="BN85" s="86"/>
    </row>
    <row r="86" spans="1:66" hidden="1" x14ac:dyDescent="0.45">
      <c r="A86" t="s">
        <v>1255</v>
      </c>
      <c r="B86" t="s">
        <v>1461</v>
      </c>
      <c r="C86" t="s">
        <v>1723</v>
      </c>
      <c r="D86" t="s">
        <v>1724</v>
      </c>
      <c r="AE86">
        <v>78</v>
      </c>
      <c r="AH86">
        <v>66</v>
      </c>
      <c r="AJ86">
        <v>70</v>
      </c>
      <c r="AL86">
        <v>82</v>
      </c>
      <c r="AN86">
        <v>80</v>
      </c>
      <c r="AO86">
        <v>80</v>
      </c>
      <c r="AP86">
        <v>74</v>
      </c>
      <c r="AQ86">
        <v>74</v>
      </c>
      <c r="AR86">
        <v>82</v>
      </c>
      <c r="AS86">
        <v>76</v>
      </c>
      <c r="AT86">
        <v>80</v>
      </c>
      <c r="AU86">
        <v>82</v>
      </c>
      <c r="AV86">
        <v>81</v>
      </c>
      <c r="AW86">
        <v>84</v>
      </c>
      <c r="AX86">
        <v>79</v>
      </c>
      <c r="AY86">
        <v>82</v>
      </c>
      <c r="AZ86">
        <v>84</v>
      </c>
      <c r="BA86">
        <v>82</v>
      </c>
      <c r="BB86">
        <v>84</v>
      </c>
      <c r="BE86">
        <v>71.099999999999994</v>
      </c>
      <c r="BN86" s="86"/>
    </row>
    <row r="87" spans="1:66" hidden="1" x14ac:dyDescent="0.45">
      <c r="A87" t="s">
        <v>1117</v>
      </c>
      <c r="B87" t="s">
        <v>1462</v>
      </c>
      <c r="C87" t="s">
        <v>1723</v>
      </c>
      <c r="D87" t="s">
        <v>1724</v>
      </c>
      <c r="AR87">
        <v>19.8</v>
      </c>
      <c r="AS87">
        <v>19.8</v>
      </c>
      <c r="AX87">
        <v>19.8</v>
      </c>
      <c r="AY87">
        <v>31.1</v>
      </c>
      <c r="BB87">
        <v>26.7</v>
      </c>
      <c r="BC87">
        <v>34.700000000000003</v>
      </c>
      <c r="BK87">
        <v>32.700000000000003</v>
      </c>
      <c r="BN87" s="86"/>
    </row>
    <row r="88" spans="1:66" hidden="1" x14ac:dyDescent="0.45">
      <c r="A88" t="s">
        <v>1092</v>
      </c>
      <c r="B88" t="s">
        <v>1463</v>
      </c>
      <c r="C88" t="s">
        <v>1723</v>
      </c>
      <c r="D88" t="s">
        <v>1724</v>
      </c>
      <c r="Y88">
        <v>5.5</v>
      </c>
      <c r="AG88">
        <v>5.2</v>
      </c>
      <c r="AK88">
        <v>7.2</v>
      </c>
      <c r="AL88">
        <v>10.1</v>
      </c>
      <c r="AM88">
        <v>10.1</v>
      </c>
      <c r="AQ88">
        <v>13.3</v>
      </c>
      <c r="AR88">
        <v>13.3</v>
      </c>
      <c r="AV88">
        <v>18.7</v>
      </c>
      <c r="AY88">
        <v>14</v>
      </c>
      <c r="BA88">
        <v>16.600000000000001</v>
      </c>
      <c r="BD88">
        <v>24.9</v>
      </c>
      <c r="BF88">
        <v>18.2</v>
      </c>
      <c r="BG88">
        <v>22.2</v>
      </c>
      <c r="BH88">
        <v>28.6</v>
      </c>
      <c r="BI88">
        <v>25.56</v>
      </c>
      <c r="BJ88">
        <v>25</v>
      </c>
      <c r="BK88">
        <v>24.3</v>
      </c>
      <c r="BN88" s="86"/>
    </row>
    <row r="89" spans="1:66" hidden="1" x14ac:dyDescent="0.45">
      <c r="A89" t="s">
        <v>1464</v>
      </c>
      <c r="B89" t="s">
        <v>1465</v>
      </c>
      <c r="C89" t="s">
        <v>1723</v>
      </c>
      <c r="D89" t="s">
        <v>1724</v>
      </c>
      <c r="BN89" s="86"/>
    </row>
    <row r="90" spans="1:66" hidden="1" x14ac:dyDescent="0.45">
      <c r="A90" t="s">
        <v>1093</v>
      </c>
      <c r="B90" t="s">
        <v>1466</v>
      </c>
      <c r="C90" t="s">
        <v>1723</v>
      </c>
      <c r="D90" t="s">
        <v>1724</v>
      </c>
      <c r="AK90">
        <v>1</v>
      </c>
      <c r="AL90">
        <v>1</v>
      </c>
      <c r="AR90">
        <v>4.2</v>
      </c>
      <c r="AX90">
        <v>5.7</v>
      </c>
      <c r="BE90">
        <v>4.5999999999999996</v>
      </c>
      <c r="BI90">
        <v>7.8</v>
      </c>
      <c r="BK90">
        <v>10.3</v>
      </c>
      <c r="BN90" s="86"/>
    </row>
    <row r="91" spans="1:66" hidden="1" x14ac:dyDescent="0.45">
      <c r="A91" t="s">
        <v>1467</v>
      </c>
      <c r="B91" t="s">
        <v>1468</v>
      </c>
      <c r="C91" t="s">
        <v>1723</v>
      </c>
      <c r="D91" t="s">
        <v>1724</v>
      </c>
      <c r="AI91">
        <v>6.7</v>
      </c>
      <c r="AS91">
        <v>8.6999999999999993</v>
      </c>
      <c r="AT91">
        <v>12.7</v>
      </c>
      <c r="BC91">
        <v>8.5</v>
      </c>
      <c r="BF91">
        <v>8.1</v>
      </c>
      <c r="BK91">
        <v>16.3</v>
      </c>
      <c r="BM91">
        <v>17.100000000000001</v>
      </c>
      <c r="BN91" s="86"/>
    </row>
    <row r="92" spans="1:66" hidden="1" x14ac:dyDescent="0.45">
      <c r="A92" t="s">
        <v>1094</v>
      </c>
      <c r="B92" t="s">
        <v>1469</v>
      </c>
      <c r="C92" t="s">
        <v>1723</v>
      </c>
      <c r="D92" t="s">
        <v>1724</v>
      </c>
      <c r="AS92">
        <v>4.5</v>
      </c>
      <c r="AY92">
        <v>9.6</v>
      </c>
      <c r="BC92">
        <v>13.1</v>
      </c>
      <c r="BG92">
        <v>14.4</v>
      </c>
      <c r="BL92">
        <v>20.2</v>
      </c>
      <c r="BN92" s="86"/>
    </row>
    <row r="93" spans="1:66" hidden="1" x14ac:dyDescent="0.45">
      <c r="A93" t="s">
        <v>1082</v>
      </c>
      <c r="B93" t="s">
        <v>1470</v>
      </c>
      <c r="C93" t="s">
        <v>1723</v>
      </c>
      <c r="D93" t="s">
        <v>1724</v>
      </c>
      <c r="AS93">
        <v>6.5</v>
      </c>
      <c r="BD93">
        <v>9.5</v>
      </c>
      <c r="BN93" s="86"/>
    </row>
    <row r="94" spans="1:66" hidden="1" x14ac:dyDescent="0.45">
      <c r="A94" t="s">
        <v>1260</v>
      </c>
      <c r="B94" t="s">
        <v>1471</v>
      </c>
      <c r="C94" t="s">
        <v>1723</v>
      </c>
      <c r="D94" t="s">
        <v>1724</v>
      </c>
      <c r="AB94">
        <v>31.6</v>
      </c>
      <c r="AR94">
        <v>33.6</v>
      </c>
      <c r="AT94">
        <v>45.9</v>
      </c>
      <c r="BN94" s="86"/>
    </row>
    <row r="95" spans="1:66" hidden="1" x14ac:dyDescent="0.45">
      <c r="A95" t="s">
        <v>1179</v>
      </c>
      <c r="B95" t="s">
        <v>1472</v>
      </c>
      <c r="C95" t="s">
        <v>1723</v>
      </c>
      <c r="D95" t="s">
        <v>1724</v>
      </c>
      <c r="AD95">
        <v>27.3</v>
      </c>
      <c r="AI95">
        <v>52.1</v>
      </c>
      <c r="BN95" s="86"/>
    </row>
    <row r="96" spans="1:66" hidden="1" x14ac:dyDescent="0.45">
      <c r="A96" t="s">
        <v>1473</v>
      </c>
      <c r="B96" t="s">
        <v>1474</v>
      </c>
      <c r="C96" t="s">
        <v>1723</v>
      </c>
      <c r="D96" t="s">
        <v>1724</v>
      </c>
      <c r="BN96" s="86"/>
    </row>
    <row r="97" spans="1:66" hidden="1" x14ac:dyDescent="0.45">
      <c r="A97" t="s">
        <v>1193</v>
      </c>
      <c r="B97" t="s">
        <v>1475</v>
      </c>
      <c r="C97" t="s">
        <v>1723</v>
      </c>
      <c r="D97" t="s">
        <v>1724</v>
      </c>
      <c r="W97">
        <v>15.2</v>
      </c>
      <c r="AB97">
        <v>20.6</v>
      </c>
      <c r="AF97">
        <v>19.100000000000001</v>
      </c>
      <c r="AN97">
        <v>26.9</v>
      </c>
      <c r="AR97">
        <v>30.9</v>
      </c>
      <c r="AU97">
        <v>34.5</v>
      </c>
      <c r="BB97">
        <v>44</v>
      </c>
      <c r="BH97">
        <v>48.9</v>
      </c>
      <c r="BN97" s="86"/>
    </row>
    <row r="98" spans="1:66" hidden="1" x14ac:dyDescent="0.45">
      <c r="A98" t="s">
        <v>1223</v>
      </c>
      <c r="B98" t="s">
        <v>1476</v>
      </c>
      <c r="C98" t="s">
        <v>1723</v>
      </c>
      <c r="D98" t="s">
        <v>1724</v>
      </c>
      <c r="AU98">
        <v>58.3</v>
      </c>
      <c r="BN98" s="86"/>
    </row>
    <row r="99" spans="1:66" hidden="1" x14ac:dyDescent="0.45">
      <c r="A99" t="s">
        <v>1206</v>
      </c>
      <c r="B99" t="s">
        <v>1477</v>
      </c>
      <c r="C99" t="s">
        <v>1723</v>
      </c>
      <c r="D99" t="s">
        <v>1724</v>
      </c>
      <c r="T99">
        <v>23.4</v>
      </c>
      <c r="AK99">
        <v>36.9</v>
      </c>
      <c r="AS99">
        <v>36.299999999999997</v>
      </c>
      <c r="AX99">
        <v>33.6</v>
      </c>
      <c r="AY99">
        <v>33</v>
      </c>
      <c r="AZ99">
        <v>33</v>
      </c>
      <c r="BB99">
        <v>40</v>
      </c>
      <c r="BG99">
        <v>32.5</v>
      </c>
      <c r="BN99" s="86"/>
    </row>
    <row r="100" spans="1:66" hidden="1" x14ac:dyDescent="0.45">
      <c r="A100" t="s">
        <v>1478</v>
      </c>
      <c r="B100" t="s">
        <v>1479</v>
      </c>
      <c r="C100" t="s">
        <v>1723</v>
      </c>
      <c r="D100" t="s">
        <v>1724</v>
      </c>
      <c r="AI100">
        <v>62.358209176801232</v>
      </c>
      <c r="AS100">
        <v>66.623126410012702</v>
      </c>
      <c r="BN100" s="86"/>
    </row>
    <row r="101" spans="1:66" hidden="1" x14ac:dyDescent="0.45">
      <c r="A101" t="s">
        <v>1480</v>
      </c>
      <c r="B101" t="s">
        <v>1481</v>
      </c>
      <c r="C101" t="s">
        <v>1723</v>
      </c>
      <c r="D101" t="s">
        <v>1724</v>
      </c>
      <c r="Q101">
        <v>43.3</v>
      </c>
      <c r="V101">
        <v>64</v>
      </c>
      <c r="AA101">
        <v>63.9</v>
      </c>
      <c r="AF101">
        <v>75</v>
      </c>
      <c r="AK101">
        <v>79.7</v>
      </c>
      <c r="AP101">
        <v>80.900000000000006</v>
      </c>
      <c r="AU101">
        <v>81.3</v>
      </c>
      <c r="AZ101">
        <v>75.400000000000006</v>
      </c>
      <c r="BE101">
        <v>71.900000000000006</v>
      </c>
      <c r="BJ101">
        <v>64.5</v>
      </c>
      <c r="BN101" s="86"/>
    </row>
    <row r="102" spans="1:66" hidden="1" x14ac:dyDescent="0.45">
      <c r="A102" t="s">
        <v>1194</v>
      </c>
      <c r="B102" t="s">
        <v>1482</v>
      </c>
      <c r="C102" t="s">
        <v>1723</v>
      </c>
      <c r="D102" t="s">
        <v>1724</v>
      </c>
      <c r="Z102">
        <v>23.6</v>
      </c>
      <c r="AC102">
        <v>30.4</v>
      </c>
      <c r="AF102">
        <v>32.9</v>
      </c>
      <c r="AK102">
        <v>34.700000000000003</v>
      </c>
      <c r="AO102">
        <v>40.299999999999997</v>
      </c>
      <c r="AT102">
        <v>50.9</v>
      </c>
      <c r="AY102">
        <v>56.3</v>
      </c>
      <c r="BE102">
        <v>63.8</v>
      </c>
      <c r="BN102" s="86"/>
    </row>
    <row r="103" spans="1:66" hidden="1" x14ac:dyDescent="0.45">
      <c r="A103" t="s">
        <v>1483</v>
      </c>
      <c r="B103" t="s">
        <v>1484</v>
      </c>
      <c r="C103" t="s">
        <v>1723</v>
      </c>
      <c r="D103" t="s">
        <v>1724</v>
      </c>
      <c r="AI103">
        <v>5.5597444521443471</v>
      </c>
      <c r="AS103">
        <v>12.139790619301492</v>
      </c>
      <c r="BC103">
        <v>20.22477169081025</v>
      </c>
      <c r="BJ103">
        <v>26.686730700532966</v>
      </c>
      <c r="BN103" s="86"/>
    </row>
    <row r="104" spans="1:66" hidden="1" x14ac:dyDescent="0.45">
      <c r="A104" t="s">
        <v>1259</v>
      </c>
      <c r="B104" t="s">
        <v>1485</v>
      </c>
      <c r="C104" t="s">
        <v>1723</v>
      </c>
      <c r="D104" t="s">
        <v>1724</v>
      </c>
      <c r="O104">
        <v>7</v>
      </c>
      <c r="BN104" s="86"/>
    </row>
    <row r="105" spans="1:66" hidden="1" x14ac:dyDescent="0.45">
      <c r="A105" t="s">
        <v>1181</v>
      </c>
      <c r="B105" t="s">
        <v>1486</v>
      </c>
      <c r="C105" t="s">
        <v>1723</v>
      </c>
      <c r="D105" t="s">
        <v>1724</v>
      </c>
      <c r="V105">
        <v>5.4</v>
      </c>
      <c r="AB105">
        <v>3.9</v>
      </c>
      <c r="AF105">
        <v>5</v>
      </c>
      <c r="AH105">
        <v>9.4</v>
      </c>
      <c r="AN105">
        <v>13.2</v>
      </c>
      <c r="AS105">
        <v>22.9</v>
      </c>
      <c r="AY105">
        <v>24.8</v>
      </c>
      <c r="BE105">
        <v>31.3</v>
      </c>
      <c r="BI105">
        <v>31.8</v>
      </c>
      <c r="BJ105">
        <v>31.8</v>
      </c>
      <c r="BN105" s="86"/>
    </row>
    <row r="106" spans="1:66" hidden="1" x14ac:dyDescent="0.45">
      <c r="A106" t="s">
        <v>1237</v>
      </c>
      <c r="B106" t="s">
        <v>1487</v>
      </c>
      <c r="C106" t="s">
        <v>1723</v>
      </c>
      <c r="D106" t="s">
        <v>1724</v>
      </c>
      <c r="K106">
        <v>18.5</v>
      </c>
      <c r="N106">
        <v>31</v>
      </c>
      <c r="Q106">
        <v>40</v>
      </c>
      <c r="S106">
        <v>44</v>
      </c>
      <c r="T106">
        <v>52</v>
      </c>
      <c r="V106">
        <v>52.2</v>
      </c>
      <c r="AE106">
        <v>62.3</v>
      </c>
      <c r="AL106">
        <v>71.3</v>
      </c>
      <c r="BB106">
        <v>54</v>
      </c>
      <c r="BN106" s="86"/>
    </row>
    <row r="107" spans="1:66" hidden="1" x14ac:dyDescent="0.45">
      <c r="A107" t="s">
        <v>1488</v>
      </c>
      <c r="B107" t="s">
        <v>1489</v>
      </c>
      <c r="C107" t="s">
        <v>1723</v>
      </c>
      <c r="D107" t="s">
        <v>1724</v>
      </c>
      <c r="AI107">
        <v>59.544368418512754</v>
      </c>
      <c r="AS107">
        <v>61.769007454525742</v>
      </c>
      <c r="BJ107">
        <v>61.169515606261442</v>
      </c>
      <c r="BN107" s="86"/>
    </row>
    <row r="108" spans="1:66" hidden="1" x14ac:dyDescent="0.45">
      <c r="A108" t="s">
        <v>1490</v>
      </c>
      <c r="B108" t="s">
        <v>1491</v>
      </c>
      <c r="C108" t="s">
        <v>1723</v>
      </c>
      <c r="D108" t="s">
        <v>1724</v>
      </c>
      <c r="AI108">
        <v>51.333503465717193</v>
      </c>
      <c r="AS108">
        <v>53.476094893081004</v>
      </c>
      <c r="BC108">
        <v>44.534836559611563</v>
      </c>
      <c r="BJ108">
        <v>53.353280864362901</v>
      </c>
      <c r="BN108" s="86"/>
    </row>
    <row r="109" spans="1:66" hidden="1" x14ac:dyDescent="0.45">
      <c r="A109" t="s">
        <v>1492</v>
      </c>
      <c r="B109" t="s">
        <v>1493</v>
      </c>
      <c r="C109" t="s">
        <v>1723</v>
      </c>
      <c r="D109" t="s">
        <v>1724</v>
      </c>
      <c r="AI109">
        <v>11.898754124018946</v>
      </c>
      <c r="AS109">
        <v>21.840676772838354</v>
      </c>
      <c r="BC109">
        <v>26.817318363299293</v>
      </c>
      <c r="BJ109">
        <v>31.342561968024381</v>
      </c>
      <c r="BN109" s="86"/>
    </row>
    <row r="110" spans="1:66" hidden="1" x14ac:dyDescent="0.45">
      <c r="A110" t="s">
        <v>1494</v>
      </c>
      <c r="B110" t="s">
        <v>1495</v>
      </c>
      <c r="C110" t="s">
        <v>1723</v>
      </c>
      <c r="D110" t="s">
        <v>1724</v>
      </c>
      <c r="AI110">
        <v>8.8016008142949218</v>
      </c>
      <c r="AS110">
        <v>21.405928214563129</v>
      </c>
      <c r="BC110">
        <v>20.735152966124531</v>
      </c>
      <c r="BJ110">
        <v>23.822484829020137</v>
      </c>
      <c r="BN110" s="86"/>
    </row>
    <row r="111" spans="1:66" hidden="1" x14ac:dyDescent="0.45">
      <c r="A111" t="s">
        <v>1161</v>
      </c>
      <c r="B111" t="s">
        <v>1496</v>
      </c>
      <c r="C111" t="s">
        <v>1723</v>
      </c>
      <c r="D111" t="s">
        <v>1724</v>
      </c>
      <c r="R111">
        <v>7.2</v>
      </c>
      <c r="U111">
        <v>22.9</v>
      </c>
      <c r="X111">
        <v>24.6</v>
      </c>
      <c r="AD111">
        <v>36.9</v>
      </c>
      <c r="AF111">
        <v>44</v>
      </c>
      <c r="AJ111">
        <v>47.1</v>
      </c>
      <c r="AL111">
        <v>51.2</v>
      </c>
      <c r="AM111">
        <v>52.1</v>
      </c>
      <c r="AN111">
        <v>52.5</v>
      </c>
      <c r="AO111">
        <v>52.6</v>
      </c>
      <c r="AP111">
        <v>54.7</v>
      </c>
      <c r="AQ111">
        <v>54.2</v>
      </c>
      <c r="AR111">
        <v>54.3</v>
      </c>
      <c r="AS111">
        <v>53.8</v>
      </c>
      <c r="AT111">
        <v>51.8</v>
      </c>
      <c r="AV111">
        <v>56.7</v>
      </c>
      <c r="AX111">
        <v>57.5</v>
      </c>
      <c r="AY111">
        <v>56.5</v>
      </c>
      <c r="AZ111">
        <v>56.1</v>
      </c>
      <c r="BA111">
        <v>57.4</v>
      </c>
      <c r="BB111">
        <v>58.8</v>
      </c>
      <c r="BC111">
        <v>59.5</v>
      </c>
      <c r="BD111">
        <v>59.4</v>
      </c>
      <c r="BE111">
        <v>57.9</v>
      </c>
      <c r="BF111">
        <v>60.9</v>
      </c>
      <c r="BG111">
        <v>60.5</v>
      </c>
      <c r="BH111">
        <v>59.1</v>
      </c>
      <c r="BI111">
        <v>58.2</v>
      </c>
      <c r="BJ111">
        <v>57.2</v>
      </c>
      <c r="BK111">
        <v>54.2</v>
      </c>
      <c r="BN111" s="86"/>
    </row>
    <row r="112" spans="1:66" hidden="1" x14ac:dyDescent="0.45">
      <c r="A112" t="s">
        <v>1497</v>
      </c>
      <c r="B112" t="s">
        <v>1498</v>
      </c>
      <c r="C112" t="s">
        <v>1723</v>
      </c>
      <c r="D112" t="s">
        <v>1724</v>
      </c>
      <c r="AI112">
        <v>13.71379372190542</v>
      </c>
      <c r="AS112">
        <v>22.064417746598192</v>
      </c>
      <c r="BC112">
        <v>29.696910692493006</v>
      </c>
      <c r="BJ112">
        <v>35.067694960697722</v>
      </c>
      <c r="BN112" s="86"/>
    </row>
    <row r="113" spans="1:66" hidden="1" x14ac:dyDescent="0.45">
      <c r="A113" t="s">
        <v>1499</v>
      </c>
      <c r="B113" t="s">
        <v>1500</v>
      </c>
      <c r="C113" t="s">
        <v>1723</v>
      </c>
      <c r="D113" t="s">
        <v>1724</v>
      </c>
      <c r="BN113" s="86"/>
    </row>
    <row r="114" spans="1:66" hidden="1" x14ac:dyDescent="0.45">
      <c r="A114" t="s">
        <v>1142</v>
      </c>
      <c r="B114" t="s">
        <v>1501</v>
      </c>
      <c r="C114" t="s">
        <v>1723</v>
      </c>
      <c r="D114" t="s">
        <v>1724</v>
      </c>
      <c r="P114">
        <v>9.5</v>
      </c>
      <c r="Z114">
        <v>28.1</v>
      </c>
      <c r="AG114">
        <v>39.9</v>
      </c>
      <c r="AL114">
        <v>36.5</v>
      </c>
      <c r="AR114">
        <v>42.8</v>
      </c>
      <c r="AS114">
        <v>42.3</v>
      </c>
      <c r="AV114">
        <v>45.7</v>
      </c>
      <c r="AW114">
        <v>45.7</v>
      </c>
      <c r="AY114">
        <v>48.5</v>
      </c>
      <c r="BA114">
        <v>48.1</v>
      </c>
      <c r="BI114">
        <v>47.8</v>
      </c>
      <c r="BN114" s="86"/>
    </row>
    <row r="115" spans="1:66" hidden="1" x14ac:dyDescent="0.45">
      <c r="A115" t="s">
        <v>1502</v>
      </c>
      <c r="B115" t="s">
        <v>1503</v>
      </c>
      <c r="C115" t="s">
        <v>1723</v>
      </c>
      <c r="D115" t="s">
        <v>1724</v>
      </c>
      <c r="BN115" s="86"/>
    </row>
    <row r="116" spans="1:66" hidden="1" x14ac:dyDescent="0.45">
      <c r="A116" t="s">
        <v>1250</v>
      </c>
      <c r="B116" t="s">
        <v>1504</v>
      </c>
      <c r="C116" t="s">
        <v>1723</v>
      </c>
      <c r="D116" t="s">
        <v>1724</v>
      </c>
      <c r="AQ116">
        <v>67.599999999999994</v>
      </c>
      <c r="AU116">
        <v>66</v>
      </c>
      <c r="AW116">
        <v>69.880952380952394</v>
      </c>
      <c r="AX116">
        <v>61.4</v>
      </c>
      <c r="BC116">
        <v>70.906949352178998</v>
      </c>
      <c r="BN116" s="86"/>
    </row>
    <row r="117" spans="1:66" hidden="1" x14ac:dyDescent="0.45">
      <c r="A117" t="s">
        <v>1505</v>
      </c>
      <c r="B117" t="s">
        <v>1506</v>
      </c>
      <c r="C117" t="s">
        <v>1723</v>
      </c>
      <c r="D117" t="s">
        <v>1724</v>
      </c>
      <c r="V117">
        <v>25.9</v>
      </c>
      <c r="AH117">
        <v>30.5</v>
      </c>
      <c r="AK117">
        <v>44.6</v>
      </c>
      <c r="AL117">
        <v>49.2</v>
      </c>
      <c r="AM117">
        <v>51.1</v>
      </c>
      <c r="AN117">
        <v>53.6</v>
      </c>
      <c r="AO117">
        <v>56.1</v>
      </c>
      <c r="AP117">
        <v>56</v>
      </c>
      <c r="AS117">
        <v>56</v>
      </c>
      <c r="AU117">
        <v>58.9</v>
      </c>
      <c r="BC117">
        <v>57</v>
      </c>
      <c r="BD117">
        <v>57</v>
      </c>
      <c r="BN117" s="86"/>
    </row>
    <row r="118" spans="1:66" hidden="1" x14ac:dyDescent="0.45">
      <c r="A118" t="s">
        <v>1118</v>
      </c>
      <c r="B118" t="s">
        <v>1507</v>
      </c>
      <c r="C118" t="s">
        <v>1723</v>
      </c>
      <c r="D118" t="s">
        <v>1724</v>
      </c>
      <c r="S118">
        <v>12.9</v>
      </c>
      <c r="AH118">
        <v>10.4</v>
      </c>
      <c r="AS118">
        <v>25.4</v>
      </c>
      <c r="AY118">
        <v>32.799999999999997</v>
      </c>
      <c r="BD118">
        <v>33.799999999999997</v>
      </c>
      <c r="BK118">
        <v>36.1</v>
      </c>
      <c r="BN118" s="86"/>
    </row>
    <row r="119" spans="1:66" hidden="1" x14ac:dyDescent="0.45">
      <c r="A119" t="s">
        <v>1249</v>
      </c>
      <c r="B119" t="s">
        <v>1508</v>
      </c>
      <c r="C119" t="s">
        <v>1723</v>
      </c>
      <c r="D119" t="s">
        <v>1724</v>
      </c>
      <c r="BN119" s="86"/>
    </row>
    <row r="120" spans="1:66" hidden="1" x14ac:dyDescent="0.45">
      <c r="A120" t="s">
        <v>1119</v>
      </c>
      <c r="B120" t="s">
        <v>1509</v>
      </c>
      <c r="C120" t="s">
        <v>1723</v>
      </c>
      <c r="D120" t="s">
        <v>1724</v>
      </c>
      <c r="AG120">
        <v>51.9</v>
      </c>
      <c r="BN120" s="86"/>
    </row>
    <row r="121" spans="1:66" hidden="1" x14ac:dyDescent="0.45">
      <c r="A121" t="s">
        <v>1261</v>
      </c>
      <c r="B121" t="s">
        <v>1510</v>
      </c>
      <c r="C121" t="s">
        <v>1723</v>
      </c>
      <c r="D121" t="s">
        <v>1724</v>
      </c>
      <c r="X121">
        <v>32.700000000000003</v>
      </c>
      <c r="AO121">
        <v>40.6</v>
      </c>
      <c r="BF121">
        <v>51.8</v>
      </c>
      <c r="BN121" s="86"/>
    </row>
    <row r="122" spans="1:66" hidden="1" x14ac:dyDescent="0.45">
      <c r="A122" t="s">
        <v>1182</v>
      </c>
      <c r="B122" t="s">
        <v>1511</v>
      </c>
      <c r="C122" t="s">
        <v>1723</v>
      </c>
      <c r="D122" t="s">
        <v>1724</v>
      </c>
      <c r="U122">
        <v>36.200000000000003</v>
      </c>
      <c r="X122">
        <v>54.2</v>
      </c>
      <c r="AB122">
        <v>48.4</v>
      </c>
      <c r="AH122">
        <v>50.9</v>
      </c>
      <c r="AL122">
        <v>58.3</v>
      </c>
      <c r="AP122">
        <v>62.6</v>
      </c>
      <c r="AV122">
        <v>66.2</v>
      </c>
      <c r="BA122">
        <v>68.400000000000006</v>
      </c>
      <c r="BB122">
        <v>68.400000000000006</v>
      </c>
      <c r="BN122" s="86"/>
    </row>
    <row r="123" spans="1:66" hidden="1" x14ac:dyDescent="0.45">
      <c r="A123" t="s">
        <v>1120</v>
      </c>
      <c r="B123" t="s">
        <v>1512</v>
      </c>
      <c r="C123" t="s">
        <v>1723</v>
      </c>
      <c r="D123" t="s">
        <v>1724</v>
      </c>
      <c r="Q123">
        <v>17.600000000000001</v>
      </c>
      <c r="U123">
        <v>17.399999999999999</v>
      </c>
      <c r="AB123">
        <v>20.8</v>
      </c>
      <c r="AI123">
        <v>26.9</v>
      </c>
      <c r="AP123">
        <v>37.700000000000003</v>
      </c>
      <c r="AU123">
        <v>41.2</v>
      </c>
      <c r="AZ123">
        <v>41.9</v>
      </c>
      <c r="BB123">
        <v>42</v>
      </c>
      <c r="BE123">
        <v>42.3</v>
      </c>
      <c r="BK123">
        <v>37.4</v>
      </c>
      <c r="BN123" s="86"/>
    </row>
    <row r="124" spans="1:66" hidden="1" x14ac:dyDescent="0.45">
      <c r="A124" t="s">
        <v>1155</v>
      </c>
      <c r="B124" t="s">
        <v>1513</v>
      </c>
      <c r="C124" t="s">
        <v>1723</v>
      </c>
      <c r="D124" t="s">
        <v>1724</v>
      </c>
      <c r="F124">
        <v>39.200000000000003</v>
      </c>
      <c r="H124">
        <v>43.8</v>
      </c>
      <c r="J124">
        <v>54.1</v>
      </c>
      <c r="L124">
        <v>49.1</v>
      </c>
      <c r="N124">
        <v>52.1</v>
      </c>
      <c r="P124">
        <v>52.6</v>
      </c>
      <c r="R124">
        <v>59.3</v>
      </c>
      <c r="T124">
        <v>60.5</v>
      </c>
      <c r="V124">
        <v>60.4</v>
      </c>
      <c r="X124">
        <v>62.2</v>
      </c>
      <c r="AC124">
        <v>57.3</v>
      </c>
      <c r="AE124">
        <v>62.7</v>
      </c>
      <c r="AF124">
        <v>56.6</v>
      </c>
      <c r="AG124">
        <v>51.7</v>
      </c>
      <c r="AI124">
        <v>52.5</v>
      </c>
      <c r="AK124">
        <v>57</v>
      </c>
      <c r="AM124">
        <v>52.8</v>
      </c>
      <c r="AO124">
        <v>50.6</v>
      </c>
      <c r="AP124">
        <v>50.7</v>
      </c>
      <c r="AQ124">
        <v>48</v>
      </c>
      <c r="AS124">
        <v>48.3</v>
      </c>
      <c r="AW124">
        <v>44.4</v>
      </c>
      <c r="AX124">
        <v>44.4</v>
      </c>
      <c r="BG124">
        <v>39</v>
      </c>
      <c r="BH124">
        <v>33.1</v>
      </c>
      <c r="BN124" s="86"/>
    </row>
    <row r="125" spans="1:66" hidden="1" x14ac:dyDescent="0.45">
      <c r="A125" t="s">
        <v>1133</v>
      </c>
      <c r="B125" t="s">
        <v>1514</v>
      </c>
      <c r="C125" t="s">
        <v>1723</v>
      </c>
      <c r="D125" t="s">
        <v>1724</v>
      </c>
      <c r="AN125">
        <v>46.1</v>
      </c>
      <c r="AR125">
        <v>54.3</v>
      </c>
      <c r="AY125">
        <v>49.4</v>
      </c>
      <c r="BD125">
        <v>49.8</v>
      </c>
      <c r="BH125">
        <v>53.6</v>
      </c>
      <c r="BK125">
        <v>50.09</v>
      </c>
      <c r="BN125" s="86"/>
    </row>
    <row r="126" spans="1:66" hidden="1" x14ac:dyDescent="0.45">
      <c r="A126" t="s">
        <v>1069</v>
      </c>
      <c r="B126" t="s">
        <v>1515</v>
      </c>
      <c r="C126" t="s">
        <v>1723</v>
      </c>
      <c r="D126" t="s">
        <v>1724</v>
      </c>
      <c r="W126">
        <v>4.4000000000000004</v>
      </c>
      <c r="AC126">
        <v>9.6999999999999993</v>
      </c>
      <c r="AH126">
        <v>17.899999999999999</v>
      </c>
      <c r="AL126">
        <v>27.3</v>
      </c>
      <c r="AQ126">
        <v>31.5</v>
      </c>
      <c r="AV126">
        <v>31.5</v>
      </c>
      <c r="BB126">
        <v>39.4</v>
      </c>
      <c r="BG126">
        <v>53.2</v>
      </c>
      <c r="BH126">
        <v>62.6</v>
      </c>
      <c r="BI126">
        <v>59.9</v>
      </c>
      <c r="BJ126">
        <v>58.676246131393597</v>
      </c>
      <c r="BK126">
        <v>60.7</v>
      </c>
      <c r="BL126">
        <v>56.4</v>
      </c>
      <c r="BN126" s="86"/>
    </row>
    <row r="127" spans="1:66" hidden="1" x14ac:dyDescent="0.45">
      <c r="A127" t="s">
        <v>1516</v>
      </c>
      <c r="B127" t="s">
        <v>1517</v>
      </c>
      <c r="C127" t="s">
        <v>1723</v>
      </c>
      <c r="D127" t="s">
        <v>1724</v>
      </c>
      <c r="AP127">
        <v>48.9</v>
      </c>
      <c r="AY127">
        <v>45.8</v>
      </c>
      <c r="BE127">
        <v>33.700000000000003</v>
      </c>
      <c r="BG127">
        <v>40</v>
      </c>
      <c r="BJ127">
        <v>49</v>
      </c>
      <c r="BK127">
        <v>37.799999999999997</v>
      </c>
      <c r="BN127" s="86"/>
    </row>
    <row r="128" spans="1:66" hidden="1" x14ac:dyDescent="0.45">
      <c r="A128" t="s">
        <v>1160</v>
      </c>
      <c r="B128" t="s">
        <v>1518</v>
      </c>
      <c r="C128" t="s">
        <v>1723</v>
      </c>
      <c r="D128" t="s">
        <v>1724</v>
      </c>
      <c r="AN128">
        <v>6.9</v>
      </c>
      <c r="AQ128">
        <v>16.100000000000001</v>
      </c>
      <c r="AS128">
        <v>18.8</v>
      </c>
      <c r="AX128">
        <v>27.2</v>
      </c>
      <c r="AY128">
        <v>27.2</v>
      </c>
      <c r="BC128">
        <v>34.9</v>
      </c>
      <c r="BD128">
        <v>34.9</v>
      </c>
      <c r="BG128">
        <v>38.799999999999997</v>
      </c>
      <c r="BN128" s="86"/>
    </row>
    <row r="129" spans="1:66" hidden="1" x14ac:dyDescent="0.45">
      <c r="A129" t="s">
        <v>1224</v>
      </c>
      <c r="B129" t="s">
        <v>1519</v>
      </c>
      <c r="C129" t="s">
        <v>1723</v>
      </c>
      <c r="D129" t="s">
        <v>1724</v>
      </c>
      <c r="AS129">
        <v>31.1</v>
      </c>
      <c r="BB129">
        <v>18</v>
      </c>
      <c r="BL129">
        <v>27.2</v>
      </c>
      <c r="BN129" s="86"/>
    </row>
    <row r="130" spans="1:66" hidden="1" x14ac:dyDescent="0.45">
      <c r="A130" t="s">
        <v>1520</v>
      </c>
      <c r="B130" t="s">
        <v>1521</v>
      </c>
      <c r="C130" t="s">
        <v>1723</v>
      </c>
      <c r="D130" t="s">
        <v>1724</v>
      </c>
      <c r="AC130">
        <v>37</v>
      </c>
      <c r="BN130" s="86"/>
    </row>
    <row r="131" spans="1:66" hidden="1" x14ac:dyDescent="0.45">
      <c r="A131" t="s">
        <v>1522</v>
      </c>
      <c r="B131" t="s">
        <v>1523</v>
      </c>
      <c r="C131" t="s">
        <v>1723</v>
      </c>
      <c r="D131" t="s">
        <v>1724</v>
      </c>
      <c r="J131">
        <v>14</v>
      </c>
      <c r="K131">
        <v>15</v>
      </c>
      <c r="P131">
        <v>20.3</v>
      </c>
      <c r="S131">
        <v>27</v>
      </c>
      <c r="U131">
        <v>32.9</v>
      </c>
      <c r="X131">
        <v>43.1</v>
      </c>
      <c r="AA131">
        <v>47.4</v>
      </c>
      <c r="AD131">
        <v>59.4</v>
      </c>
      <c r="AG131">
        <v>70.099999999999994</v>
      </c>
      <c r="AJ131">
        <v>69.5</v>
      </c>
      <c r="AM131">
        <v>66.8</v>
      </c>
      <c r="AP131">
        <v>73.7</v>
      </c>
      <c r="AS131">
        <v>71.45</v>
      </c>
      <c r="AV131">
        <v>71.2</v>
      </c>
      <c r="AY131">
        <v>72.95</v>
      </c>
      <c r="BB131">
        <v>66.400000000000006</v>
      </c>
      <c r="BN131" s="86"/>
    </row>
    <row r="132" spans="1:66" hidden="1" x14ac:dyDescent="0.45">
      <c r="A132" t="s">
        <v>1121</v>
      </c>
      <c r="B132" t="s">
        <v>1524</v>
      </c>
      <c r="C132" t="s">
        <v>1723</v>
      </c>
      <c r="D132" t="s">
        <v>1724</v>
      </c>
      <c r="AD132">
        <v>37.299999999999997</v>
      </c>
      <c r="AF132">
        <v>31.7</v>
      </c>
      <c r="AM132">
        <v>47.4</v>
      </c>
      <c r="AO132">
        <v>40.9</v>
      </c>
      <c r="AR132">
        <v>39.299999999999997</v>
      </c>
      <c r="BN132" s="86"/>
    </row>
    <row r="133" spans="1:66" hidden="1" x14ac:dyDescent="0.45">
      <c r="A133" t="s">
        <v>1525</v>
      </c>
      <c r="B133" t="s">
        <v>1526</v>
      </c>
      <c r="C133" t="s">
        <v>1723</v>
      </c>
      <c r="D133" t="s">
        <v>1724</v>
      </c>
      <c r="BN133" s="86"/>
    </row>
    <row r="134" spans="1:66" hidden="1" x14ac:dyDescent="0.45">
      <c r="A134" t="s">
        <v>1527</v>
      </c>
      <c r="B134" t="s">
        <v>1528</v>
      </c>
      <c r="C134" t="s">
        <v>1723</v>
      </c>
      <c r="D134" t="s">
        <v>1724</v>
      </c>
      <c r="AL134">
        <v>15.1</v>
      </c>
      <c r="AS134">
        <v>28.9</v>
      </c>
      <c r="AX134">
        <v>35</v>
      </c>
      <c r="BE134">
        <v>42.7</v>
      </c>
      <c r="BJ134">
        <v>49</v>
      </c>
      <c r="BN134" s="86"/>
    </row>
    <row r="135" spans="1:66" hidden="1" x14ac:dyDescent="0.45">
      <c r="A135" t="s">
        <v>1122</v>
      </c>
      <c r="B135" t="s">
        <v>1529</v>
      </c>
      <c r="C135" t="s">
        <v>1723</v>
      </c>
      <c r="D135" t="s">
        <v>1724</v>
      </c>
      <c r="P135">
        <v>23</v>
      </c>
      <c r="AC135">
        <v>46.7</v>
      </c>
      <c r="AO135">
        <v>37.200000000000003</v>
      </c>
      <c r="AS135">
        <v>40.4</v>
      </c>
      <c r="AW135">
        <v>34.200000000000003</v>
      </c>
      <c r="BB135">
        <v>46.8</v>
      </c>
      <c r="BN135" s="86"/>
    </row>
    <row r="136" spans="1:66" hidden="1" x14ac:dyDescent="0.45">
      <c r="A136" t="s">
        <v>1095</v>
      </c>
      <c r="B136" t="s">
        <v>1530</v>
      </c>
      <c r="C136" t="s">
        <v>1723</v>
      </c>
      <c r="D136" t="s">
        <v>1724</v>
      </c>
      <c r="AE136">
        <v>5.5</v>
      </c>
      <c r="AZ136">
        <v>10.3</v>
      </c>
      <c r="BF136">
        <v>19.100000000000001</v>
      </c>
      <c r="BI136">
        <v>30.2</v>
      </c>
      <c r="BM136">
        <v>23.8</v>
      </c>
      <c r="BN136" s="86"/>
    </row>
    <row r="137" spans="1:66" hidden="1" x14ac:dyDescent="0.45">
      <c r="A137" t="s">
        <v>1107</v>
      </c>
      <c r="B137" t="s">
        <v>1531</v>
      </c>
      <c r="C137" t="s">
        <v>1723</v>
      </c>
      <c r="D137" t="s">
        <v>1724</v>
      </c>
      <c r="AN137">
        <v>25.7</v>
      </c>
      <c r="AV137">
        <v>23.7</v>
      </c>
      <c r="AZ137">
        <v>20.399999999999999</v>
      </c>
      <c r="BG137">
        <v>16.3</v>
      </c>
      <c r="BN137" s="86"/>
    </row>
    <row r="138" spans="1:66" hidden="1" x14ac:dyDescent="0.45">
      <c r="A138" t="s">
        <v>1532</v>
      </c>
      <c r="B138" t="s">
        <v>1533</v>
      </c>
      <c r="C138" t="s">
        <v>1723</v>
      </c>
      <c r="D138" t="s">
        <v>1724</v>
      </c>
      <c r="Z138">
        <v>50.7</v>
      </c>
      <c r="AG138">
        <v>45.9</v>
      </c>
      <c r="BE138">
        <v>52.5</v>
      </c>
      <c r="BN138" s="86"/>
    </row>
    <row r="139" spans="1:66" hidden="1" x14ac:dyDescent="0.45">
      <c r="A139" t="s">
        <v>1534</v>
      </c>
      <c r="B139" t="s">
        <v>1535</v>
      </c>
      <c r="C139" t="s">
        <v>1723</v>
      </c>
      <c r="D139" t="s">
        <v>1724</v>
      </c>
      <c r="BN139" s="86"/>
    </row>
    <row r="140" spans="1:66" hidden="1" x14ac:dyDescent="0.45">
      <c r="A140" t="s">
        <v>1536</v>
      </c>
      <c r="B140" t="s">
        <v>1537</v>
      </c>
      <c r="C140" t="s">
        <v>1723</v>
      </c>
      <c r="D140" t="s">
        <v>1724</v>
      </c>
      <c r="AI140">
        <v>13.657033344503597</v>
      </c>
      <c r="AS140">
        <v>21.094790035580274</v>
      </c>
      <c r="BC140">
        <v>29.252902714689203</v>
      </c>
      <c r="BJ140">
        <v>35.187941070601156</v>
      </c>
      <c r="BN140" s="86"/>
    </row>
    <row r="141" spans="1:66" hidden="1" x14ac:dyDescent="0.45">
      <c r="A141" t="s">
        <v>1538</v>
      </c>
      <c r="B141" t="s">
        <v>1539</v>
      </c>
      <c r="C141" t="s">
        <v>1723</v>
      </c>
      <c r="D141" t="s">
        <v>1724</v>
      </c>
      <c r="AI141">
        <v>9.9744231466827742</v>
      </c>
      <c r="AS141">
        <v>14.036427019605622</v>
      </c>
      <c r="BC141">
        <v>21.317700477030844</v>
      </c>
      <c r="BJ141">
        <v>28.152851492084451</v>
      </c>
      <c r="BN141" s="86"/>
    </row>
    <row r="142" spans="1:66" hidden="1" x14ac:dyDescent="0.45">
      <c r="A142" t="s">
        <v>1540</v>
      </c>
      <c r="B142" t="s">
        <v>1541</v>
      </c>
      <c r="C142" t="s">
        <v>1723</v>
      </c>
      <c r="D142" t="s">
        <v>1724</v>
      </c>
      <c r="BN142" s="86"/>
    </row>
    <row r="143" spans="1:66" hidden="1" x14ac:dyDescent="0.45">
      <c r="A143" t="s">
        <v>1147</v>
      </c>
      <c r="B143" t="s">
        <v>1542</v>
      </c>
      <c r="C143" t="s">
        <v>1723</v>
      </c>
      <c r="D143" t="s">
        <v>1724</v>
      </c>
      <c r="T143">
        <v>20.2</v>
      </c>
      <c r="V143">
        <v>26.9</v>
      </c>
      <c r="AA143">
        <v>33.700000000000003</v>
      </c>
      <c r="AF143">
        <v>40.6</v>
      </c>
      <c r="AL143">
        <v>43.7</v>
      </c>
      <c r="AS143">
        <v>49.6</v>
      </c>
      <c r="AZ143">
        <v>52.5</v>
      </c>
      <c r="BI143">
        <v>53.6</v>
      </c>
      <c r="BN143" s="86"/>
    </row>
    <row r="144" spans="1:66" hidden="1" x14ac:dyDescent="0.45">
      <c r="A144" t="s">
        <v>1543</v>
      </c>
      <c r="B144" t="s">
        <v>1544</v>
      </c>
      <c r="C144" t="s">
        <v>1723</v>
      </c>
      <c r="D144" t="s">
        <v>1724</v>
      </c>
      <c r="AI144">
        <v>33.877738499912546</v>
      </c>
      <c r="AS144">
        <v>39.989501951125554</v>
      </c>
      <c r="BC144">
        <v>45.271869015143622</v>
      </c>
      <c r="BJ144">
        <v>44.613452061523944</v>
      </c>
      <c r="BN144" s="86"/>
    </row>
    <row r="145" spans="1:66" hidden="1" x14ac:dyDescent="0.45">
      <c r="A145" t="s">
        <v>1545</v>
      </c>
      <c r="B145" t="s">
        <v>1546</v>
      </c>
      <c r="C145" t="s">
        <v>1723</v>
      </c>
      <c r="D145" t="s">
        <v>1724</v>
      </c>
      <c r="AI145">
        <v>51.599088938009317</v>
      </c>
      <c r="AS145">
        <v>53.486466774357936</v>
      </c>
      <c r="BC145">
        <v>44.78749584899208</v>
      </c>
      <c r="BJ145">
        <v>53.37546004436895</v>
      </c>
      <c r="BN145" s="86"/>
    </row>
    <row r="146" spans="1:66" hidden="1" x14ac:dyDescent="0.45">
      <c r="A146" t="s">
        <v>1086</v>
      </c>
      <c r="B146" t="s">
        <v>1547</v>
      </c>
      <c r="C146" t="s">
        <v>1723</v>
      </c>
      <c r="D146" t="s">
        <v>1724</v>
      </c>
      <c r="V146">
        <v>3.4</v>
      </c>
      <c r="AK146">
        <v>18.899999999999999</v>
      </c>
      <c r="AN146">
        <v>26.8</v>
      </c>
      <c r="AS146">
        <v>29.5</v>
      </c>
      <c r="AT146">
        <v>36.1</v>
      </c>
      <c r="AU146">
        <v>34.700000000000003</v>
      </c>
      <c r="AW146">
        <v>35.200000000000003</v>
      </c>
      <c r="AX146">
        <v>35.200000000000003</v>
      </c>
      <c r="BB146">
        <v>45.6</v>
      </c>
      <c r="BC146">
        <v>45.6</v>
      </c>
      <c r="BG146">
        <v>59.8</v>
      </c>
      <c r="BK146">
        <v>64.599999999999994</v>
      </c>
      <c r="BN146" s="86"/>
    </row>
    <row r="147" spans="1:66" hidden="1" x14ac:dyDescent="0.45">
      <c r="A147" t="s">
        <v>1548</v>
      </c>
      <c r="B147" t="s">
        <v>1549</v>
      </c>
      <c r="C147" t="s">
        <v>1723</v>
      </c>
      <c r="D147" t="s">
        <v>1724</v>
      </c>
      <c r="AI147">
        <v>76.275994842826989</v>
      </c>
      <c r="AS147">
        <v>79.921719026934753</v>
      </c>
      <c r="BJ147">
        <v>75.740393869379716</v>
      </c>
      <c r="BN147" s="86"/>
    </row>
    <row r="148" spans="1:66" hidden="1" x14ac:dyDescent="0.45">
      <c r="A148" t="s">
        <v>1252</v>
      </c>
      <c r="B148" t="s">
        <v>1550</v>
      </c>
      <c r="C148" t="s">
        <v>1723</v>
      </c>
      <c r="D148" t="s">
        <v>1724</v>
      </c>
      <c r="AN148">
        <v>33.200000000000003</v>
      </c>
      <c r="AY148">
        <v>50.4</v>
      </c>
      <c r="BB148">
        <v>52.1676300578035</v>
      </c>
      <c r="BN148" s="86"/>
    </row>
    <row r="149" spans="1:66" hidden="1" x14ac:dyDescent="0.45">
      <c r="A149" t="s">
        <v>1274</v>
      </c>
      <c r="B149" t="s">
        <v>1551</v>
      </c>
      <c r="C149" t="s">
        <v>1723</v>
      </c>
      <c r="D149" t="s">
        <v>1724</v>
      </c>
      <c r="BN149" s="86"/>
    </row>
    <row r="150" spans="1:66" hidden="1" x14ac:dyDescent="0.45">
      <c r="A150" t="s">
        <v>1251</v>
      </c>
      <c r="B150" t="s">
        <v>1552</v>
      </c>
      <c r="C150" t="s">
        <v>1723</v>
      </c>
      <c r="D150" t="s">
        <v>1724</v>
      </c>
      <c r="AN150">
        <v>55.5</v>
      </c>
      <c r="BN150" s="86"/>
    </row>
    <row r="151" spans="1:66" hidden="1" x14ac:dyDescent="0.45">
      <c r="A151" t="s">
        <v>1553</v>
      </c>
      <c r="B151" t="s">
        <v>1554</v>
      </c>
      <c r="C151" t="s">
        <v>1723</v>
      </c>
      <c r="D151" t="s">
        <v>1724</v>
      </c>
      <c r="BN151" s="86"/>
    </row>
    <row r="152" spans="1:66" hidden="1" x14ac:dyDescent="0.45">
      <c r="A152" t="s">
        <v>1555</v>
      </c>
      <c r="B152" t="s">
        <v>1556</v>
      </c>
      <c r="C152" t="s">
        <v>1723</v>
      </c>
      <c r="D152" t="s">
        <v>1724</v>
      </c>
      <c r="BN152" s="86"/>
    </row>
    <row r="153" spans="1:66" hidden="1" x14ac:dyDescent="0.45">
      <c r="A153" t="s">
        <v>1108</v>
      </c>
      <c r="B153" t="s">
        <v>1557</v>
      </c>
      <c r="C153" t="s">
        <v>1723</v>
      </c>
      <c r="D153" t="s">
        <v>1724</v>
      </c>
      <c r="Y153">
        <v>16.399999999999999</v>
      </c>
      <c r="AC153">
        <v>21.2</v>
      </c>
      <c r="AF153">
        <v>28.9</v>
      </c>
      <c r="AK153">
        <v>35.5</v>
      </c>
      <c r="AN153">
        <v>42.4</v>
      </c>
      <c r="AP153">
        <v>48.8</v>
      </c>
      <c r="AW153">
        <v>54.8</v>
      </c>
      <c r="BD153">
        <v>58.6</v>
      </c>
      <c r="BK153">
        <v>59.1</v>
      </c>
      <c r="BN153" s="86"/>
    </row>
    <row r="154" spans="1:66" hidden="1" x14ac:dyDescent="0.45">
      <c r="A154" t="s">
        <v>1558</v>
      </c>
      <c r="B154" t="s">
        <v>1559</v>
      </c>
      <c r="C154" t="s">
        <v>1723</v>
      </c>
      <c r="D154" t="s">
        <v>1724</v>
      </c>
      <c r="BN154" s="86"/>
    </row>
    <row r="155" spans="1:66" hidden="1" x14ac:dyDescent="0.45">
      <c r="A155" t="s">
        <v>1560</v>
      </c>
      <c r="B155" t="s">
        <v>1561</v>
      </c>
      <c r="C155" t="s">
        <v>1723</v>
      </c>
      <c r="D155" t="s">
        <v>1724</v>
      </c>
      <c r="AP155">
        <v>49.9</v>
      </c>
      <c r="AS155">
        <v>43.7</v>
      </c>
      <c r="AX155">
        <v>43.9</v>
      </c>
      <c r="BE155">
        <v>41.7</v>
      </c>
      <c r="BM155">
        <v>43.89</v>
      </c>
      <c r="BN155" s="86"/>
    </row>
    <row r="156" spans="1:66" hidden="1" x14ac:dyDescent="0.45">
      <c r="A156" t="s">
        <v>1070</v>
      </c>
      <c r="B156" t="s">
        <v>1562</v>
      </c>
      <c r="C156" t="s">
        <v>1723</v>
      </c>
      <c r="D156" t="s">
        <v>1724</v>
      </c>
      <c r="AK156">
        <v>5.0999999999999996</v>
      </c>
      <c r="AP156">
        <v>9.6999999999999993</v>
      </c>
      <c r="AR156">
        <v>12.9</v>
      </c>
      <c r="AS156">
        <v>12.4</v>
      </c>
      <c r="AW156">
        <v>18.3</v>
      </c>
      <c r="BB156">
        <v>29.2</v>
      </c>
      <c r="BF156">
        <v>33.299999999999997</v>
      </c>
      <c r="BJ156">
        <v>38.6</v>
      </c>
      <c r="BK156">
        <v>40.5</v>
      </c>
      <c r="BN156" s="86"/>
    </row>
    <row r="157" spans="1:66" hidden="1" x14ac:dyDescent="0.45">
      <c r="A157" t="s">
        <v>1144</v>
      </c>
      <c r="B157" t="s">
        <v>1563</v>
      </c>
      <c r="C157" t="s">
        <v>1723</v>
      </c>
      <c r="D157" t="s">
        <v>1724</v>
      </c>
      <c r="AJ157">
        <v>19</v>
      </c>
      <c r="AR157">
        <v>33</v>
      </c>
      <c r="AW157">
        <v>34</v>
      </c>
      <c r="BB157">
        <v>27</v>
      </c>
      <c r="BJ157">
        <v>14.7</v>
      </c>
      <c r="BN157" s="86"/>
    </row>
    <row r="158" spans="1:66" hidden="1" x14ac:dyDescent="0.45">
      <c r="A158" t="s">
        <v>1564</v>
      </c>
      <c r="B158" t="s">
        <v>1565</v>
      </c>
      <c r="C158" t="s">
        <v>1723</v>
      </c>
      <c r="D158" t="s">
        <v>1724</v>
      </c>
      <c r="AI158">
        <v>34.275896326155568</v>
      </c>
      <c r="AS158">
        <v>49.618322255286728</v>
      </c>
      <c r="BC158">
        <v>51.583380306844695</v>
      </c>
      <c r="BN158" s="86"/>
    </row>
    <row r="159" spans="1:66" hidden="1" x14ac:dyDescent="0.45">
      <c r="A159" t="s">
        <v>1195</v>
      </c>
      <c r="B159" t="s">
        <v>1566</v>
      </c>
      <c r="C159" t="s">
        <v>1723</v>
      </c>
      <c r="D159" t="s">
        <v>1724</v>
      </c>
      <c r="V159">
        <v>23.3</v>
      </c>
      <c r="W159">
        <v>32.799999999999997</v>
      </c>
      <c r="X159">
        <v>32</v>
      </c>
      <c r="AA159">
        <v>41.5</v>
      </c>
      <c r="AF159">
        <v>44.6</v>
      </c>
      <c r="AK159">
        <v>55.2</v>
      </c>
      <c r="AN159">
        <v>57.5</v>
      </c>
      <c r="AP159">
        <v>59.5</v>
      </c>
      <c r="AV159">
        <v>69.3</v>
      </c>
      <c r="AY159">
        <v>66.5</v>
      </c>
      <c r="BB159">
        <v>67.400000000000006</v>
      </c>
      <c r="BG159">
        <v>68.293670000000006</v>
      </c>
      <c r="BH159">
        <v>64.599999999999994</v>
      </c>
      <c r="BK159">
        <v>69.757130000000004</v>
      </c>
      <c r="BN159" s="86"/>
    </row>
    <row r="160" spans="1:66" hidden="1" x14ac:dyDescent="0.45">
      <c r="A160" t="s">
        <v>1567</v>
      </c>
      <c r="B160" t="s">
        <v>1568</v>
      </c>
      <c r="C160" t="s">
        <v>1723</v>
      </c>
      <c r="D160" t="s">
        <v>1724</v>
      </c>
      <c r="O160">
        <v>18.100000000000001</v>
      </c>
      <c r="AD160">
        <v>19.399999999999999</v>
      </c>
      <c r="AZ160">
        <v>42.4</v>
      </c>
      <c r="BN160" s="86"/>
    </row>
    <row r="161" spans="1:66" hidden="1" x14ac:dyDescent="0.45">
      <c r="A161" t="s">
        <v>1569</v>
      </c>
      <c r="B161" t="s">
        <v>1570</v>
      </c>
      <c r="C161" t="s">
        <v>1723</v>
      </c>
      <c r="D161" t="s">
        <v>1724</v>
      </c>
      <c r="AI161">
        <v>53.977893456758842</v>
      </c>
      <c r="AS161">
        <v>56.361245539656366</v>
      </c>
      <c r="BJ161">
        <v>56.010354019056933</v>
      </c>
      <c r="BN161" s="86"/>
    </row>
    <row r="162" spans="1:66" hidden="1" x14ac:dyDescent="0.45">
      <c r="A162" t="s">
        <v>1264</v>
      </c>
      <c r="B162" t="s">
        <v>1571</v>
      </c>
      <c r="C162" t="s">
        <v>1723</v>
      </c>
      <c r="D162" t="s">
        <v>1724</v>
      </c>
      <c r="O162">
        <v>3.1</v>
      </c>
      <c r="BD162">
        <v>12.8</v>
      </c>
      <c r="BL162">
        <v>14</v>
      </c>
      <c r="BN162" s="86"/>
    </row>
    <row r="163" spans="1:66" hidden="1" x14ac:dyDescent="0.45">
      <c r="A163" t="s">
        <v>1096</v>
      </c>
      <c r="B163" t="s">
        <v>1572</v>
      </c>
      <c r="C163" t="s">
        <v>1723</v>
      </c>
      <c r="D163" t="s">
        <v>1724</v>
      </c>
      <c r="AF163">
        <v>1.3</v>
      </c>
      <c r="AO163">
        <v>4.5</v>
      </c>
      <c r="AT163">
        <v>6.9</v>
      </c>
      <c r="AY163">
        <v>6.9</v>
      </c>
      <c r="BC163">
        <v>8.8000000000000007</v>
      </c>
      <c r="BF163">
        <v>9.9</v>
      </c>
      <c r="BH163">
        <v>15.1</v>
      </c>
      <c r="BK163">
        <v>16.399999999999999</v>
      </c>
      <c r="BN163" s="86"/>
    </row>
    <row r="164" spans="1:66" hidden="1" x14ac:dyDescent="0.45">
      <c r="A164" t="s">
        <v>1262</v>
      </c>
      <c r="B164" t="s">
        <v>1573</v>
      </c>
      <c r="C164" t="s">
        <v>1723</v>
      </c>
      <c r="D164" t="s">
        <v>1724</v>
      </c>
      <c r="P164">
        <v>16</v>
      </c>
      <c r="AL164">
        <v>46</v>
      </c>
      <c r="BN164" s="86"/>
    </row>
    <row r="165" spans="1:66" hidden="1" x14ac:dyDescent="0.45">
      <c r="A165" t="s">
        <v>1164</v>
      </c>
      <c r="B165" t="s">
        <v>1574</v>
      </c>
      <c r="C165" t="s">
        <v>1723</v>
      </c>
      <c r="D165" t="s">
        <v>1724</v>
      </c>
      <c r="AJ165">
        <v>13.6</v>
      </c>
      <c r="AP165">
        <v>28.3</v>
      </c>
      <c r="AT165">
        <v>32.799999999999997</v>
      </c>
      <c r="AZ165">
        <v>38.4</v>
      </c>
      <c r="BC165">
        <v>45.8</v>
      </c>
      <c r="BI165">
        <v>51.3</v>
      </c>
      <c r="BN165" s="86"/>
    </row>
    <row r="166" spans="1:66" hidden="1" x14ac:dyDescent="0.45">
      <c r="A166" t="s">
        <v>1575</v>
      </c>
      <c r="B166" t="s">
        <v>1576</v>
      </c>
      <c r="C166" t="s">
        <v>1723</v>
      </c>
      <c r="D166" t="s">
        <v>1724</v>
      </c>
      <c r="AI166">
        <v>34.040256345668169</v>
      </c>
      <c r="AS166">
        <v>49.956660565034376</v>
      </c>
      <c r="BC166">
        <v>51.95426356216084</v>
      </c>
      <c r="BN166" s="86"/>
    </row>
    <row r="167" spans="1:66" hidden="1" x14ac:dyDescent="0.45">
      <c r="A167" t="s">
        <v>1263</v>
      </c>
      <c r="B167" t="s">
        <v>1577</v>
      </c>
      <c r="C167" t="s">
        <v>1723</v>
      </c>
      <c r="D167" t="s">
        <v>1724</v>
      </c>
      <c r="O167">
        <v>7</v>
      </c>
      <c r="AS167">
        <v>30.7</v>
      </c>
      <c r="AY167">
        <v>17.399999999999999</v>
      </c>
      <c r="BF167">
        <v>15.4</v>
      </c>
      <c r="BK167">
        <v>11.6</v>
      </c>
      <c r="BN167" s="86"/>
    </row>
    <row r="168" spans="1:66" hidden="1" x14ac:dyDescent="0.45">
      <c r="A168" t="s">
        <v>1156</v>
      </c>
      <c r="B168" t="s">
        <v>1578</v>
      </c>
      <c r="C168" t="s">
        <v>1723</v>
      </c>
      <c r="D168" t="s">
        <v>1724</v>
      </c>
      <c r="AM168">
        <v>41.2</v>
      </c>
      <c r="AO168">
        <v>41.2</v>
      </c>
      <c r="AQ168">
        <v>45.7</v>
      </c>
      <c r="AS168">
        <v>59.1</v>
      </c>
      <c r="AV168">
        <v>58.4</v>
      </c>
      <c r="AX168">
        <v>61.1</v>
      </c>
      <c r="BA168">
        <v>49.6</v>
      </c>
      <c r="BC168">
        <v>50.4</v>
      </c>
      <c r="BF168">
        <v>48.2</v>
      </c>
      <c r="BK168">
        <v>45.2</v>
      </c>
      <c r="BN168" s="86"/>
    </row>
    <row r="169" spans="1:66" hidden="1" x14ac:dyDescent="0.45">
      <c r="A169" t="s">
        <v>1579</v>
      </c>
      <c r="B169" t="s">
        <v>1580</v>
      </c>
      <c r="C169" t="s">
        <v>1723</v>
      </c>
      <c r="D169" t="s">
        <v>1724</v>
      </c>
      <c r="O169">
        <v>16</v>
      </c>
      <c r="BN169" s="86"/>
    </row>
    <row r="170" spans="1:66" hidden="1" x14ac:dyDescent="0.45">
      <c r="A170" t="s">
        <v>596</v>
      </c>
      <c r="B170" t="s">
        <v>1581</v>
      </c>
      <c r="C170" t="s">
        <v>1723</v>
      </c>
      <c r="D170" t="s">
        <v>1724</v>
      </c>
      <c r="AP170">
        <v>5.0999999999999996</v>
      </c>
      <c r="AV170">
        <v>11.7</v>
      </c>
      <c r="AW170">
        <v>11.7</v>
      </c>
      <c r="BA170">
        <v>14.7</v>
      </c>
      <c r="BB170">
        <v>10.4</v>
      </c>
      <c r="BD170">
        <v>11.3</v>
      </c>
      <c r="BH170">
        <v>25.3</v>
      </c>
      <c r="BN170" s="86"/>
    </row>
    <row r="171" spans="1:66" hidden="1" x14ac:dyDescent="0.45">
      <c r="A171" t="s">
        <v>1097</v>
      </c>
      <c r="B171" t="s">
        <v>1582</v>
      </c>
      <c r="C171" t="s">
        <v>1723</v>
      </c>
      <c r="D171" t="s">
        <v>1724</v>
      </c>
      <c r="Z171">
        <v>0.3</v>
      </c>
      <c r="AJ171">
        <v>1.2</v>
      </c>
      <c r="AT171">
        <v>5.4</v>
      </c>
      <c r="AZ171">
        <v>8</v>
      </c>
      <c r="BD171">
        <v>10.1</v>
      </c>
      <c r="BH171">
        <v>15.6</v>
      </c>
      <c r="BN171" s="86"/>
    </row>
    <row r="172" spans="1:66" hidden="1" x14ac:dyDescent="0.45">
      <c r="A172" t="s">
        <v>1071</v>
      </c>
      <c r="B172" t="s">
        <v>1583</v>
      </c>
      <c r="C172" t="s">
        <v>1723</v>
      </c>
      <c r="D172" t="s">
        <v>1724</v>
      </c>
      <c r="T172">
        <v>29.2</v>
      </c>
      <c r="AD172">
        <v>44.2</v>
      </c>
      <c r="AJ172">
        <v>49.2</v>
      </c>
      <c r="AU172">
        <v>39.299999999999997</v>
      </c>
      <c r="BG172">
        <v>32</v>
      </c>
      <c r="BN172" s="86"/>
    </row>
    <row r="173" spans="1:66" hidden="1" x14ac:dyDescent="0.45">
      <c r="A173" t="s">
        <v>879</v>
      </c>
      <c r="B173" t="s">
        <v>1584</v>
      </c>
      <c r="C173" t="s">
        <v>1723</v>
      </c>
      <c r="D173" t="s">
        <v>1724</v>
      </c>
      <c r="AC173">
        <v>3.2</v>
      </c>
      <c r="AK173">
        <v>7.4</v>
      </c>
      <c r="AO173">
        <v>14.4</v>
      </c>
      <c r="AS173">
        <v>26.1</v>
      </c>
      <c r="AW173">
        <v>28.1</v>
      </c>
      <c r="AX173">
        <v>28.1</v>
      </c>
      <c r="AY173">
        <v>38.6</v>
      </c>
      <c r="BC173">
        <v>42.2</v>
      </c>
      <c r="BG173">
        <v>57.4</v>
      </c>
      <c r="BI173">
        <v>58.1</v>
      </c>
      <c r="BN173" s="86"/>
    </row>
    <row r="174" spans="1:66" hidden="1" x14ac:dyDescent="0.45">
      <c r="A174" t="s">
        <v>1163</v>
      </c>
      <c r="B174" t="s">
        <v>1585</v>
      </c>
      <c r="C174" t="s">
        <v>1723</v>
      </c>
      <c r="D174" t="s">
        <v>1724</v>
      </c>
      <c r="L174">
        <v>6.2</v>
      </c>
      <c r="S174">
        <v>23.7</v>
      </c>
      <c r="AC174">
        <v>29.8</v>
      </c>
      <c r="AD174">
        <v>29.8</v>
      </c>
      <c r="AG174">
        <v>31.4</v>
      </c>
      <c r="AM174">
        <v>30.4</v>
      </c>
      <c r="AW174">
        <v>32.299999999999997</v>
      </c>
      <c r="BG174">
        <v>34.299999999999997</v>
      </c>
      <c r="BN174" s="86"/>
    </row>
    <row r="175" spans="1:66" hidden="1" x14ac:dyDescent="0.45">
      <c r="A175" t="s">
        <v>1586</v>
      </c>
      <c r="B175" t="s">
        <v>1587</v>
      </c>
      <c r="C175" t="s">
        <v>1723</v>
      </c>
      <c r="D175" t="s">
        <v>1724</v>
      </c>
      <c r="AI175">
        <v>66.599999999999994</v>
      </c>
      <c r="AS175">
        <v>68.491873481454562</v>
      </c>
      <c r="BC175">
        <v>70.400000000000006</v>
      </c>
      <c r="BJ175">
        <v>66.099999999999994</v>
      </c>
      <c r="BN175" s="86"/>
    </row>
    <row r="176" spans="1:66" hidden="1" x14ac:dyDescent="0.45">
      <c r="A176" t="s">
        <v>598</v>
      </c>
      <c r="B176" t="s">
        <v>1588</v>
      </c>
      <c r="C176" t="s">
        <v>1723</v>
      </c>
      <c r="D176" t="s">
        <v>1724</v>
      </c>
      <c r="AH176">
        <v>32.1</v>
      </c>
      <c r="AK176">
        <v>26</v>
      </c>
      <c r="AS176">
        <v>42.6</v>
      </c>
      <c r="AZ176">
        <v>53.5</v>
      </c>
      <c r="BF176">
        <v>55.3</v>
      </c>
      <c r="BN176" s="86"/>
    </row>
    <row r="177" spans="1:66" hidden="1" x14ac:dyDescent="0.45">
      <c r="A177" t="s">
        <v>1218</v>
      </c>
      <c r="B177" t="s">
        <v>1589</v>
      </c>
      <c r="C177" t="s">
        <v>1723</v>
      </c>
      <c r="D177" t="s">
        <v>1724</v>
      </c>
      <c r="BN177" s="86"/>
    </row>
    <row r="178" spans="1:66" hidden="1" x14ac:dyDescent="0.45">
      <c r="A178" t="s">
        <v>1098</v>
      </c>
      <c r="B178" t="s">
        <v>1590</v>
      </c>
      <c r="C178" t="s">
        <v>1723</v>
      </c>
      <c r="D178" t="s">
        <v>1724</v>
      </c>
      <c r="AK178">
        <v>2.2999999999999998</v>
      </c>
      <c r="AQ178">
        <v>4.5999999999999996</v>
      </c>
      <c r="AS178">
        <v>11.2</v>
      </c>
      <c r="AY178">
        <v>9.6999999999999993</v>
      </c>
      <c r="BE178">
        <v>12.2</v>
      </c>
      <c r="BH178">
        <v>13.2</v>
      </c>
      <c r="BI178">
        <v>14.4</v>
      </c>
      <c r="BJ178">
        <v>18.116231235010002</v>
      </c>
      <c r="BK178">
        <v>10.5</v>
      </c>
      <c r="BN178" s="86"/>
    </row>
    <row r="179" spans="1:66" hidden="1" x14ac:dyDescent="0.45">
      <c r="A179" t="s">
        <v>1099</v>
      </c>
      <c r="B179" t="s">
        <v>1591</v>
      </c>
      <c r="C179" t="s">
        <v>1723</v>
      </c>
      <c r="D179" t="s">
        <v>1724</v>
      </c>
      <c r="AA179">
        <v>0.9</v>
      </c>
      <c r="AI179">
        <v>3.5</v>
      </c>
      <c r="AM179">
        <v>10.9</v>
      </c>
      <c r="AR179">
        <v>8.6</v>
      </c>
      <c r="AV179">
        <v>8.1999999999999993</v>
      </c>
      <c r="AZ179">
        <v>10.5</v>
      </c>
      <c r="BA179">
        <v>9.6999999999999993</v>
      </c>
      <c r="BD179">
        <v>11.7</v>
      </c>
      <c r="BE179">
        <v>10.5</v>
      </c>
      <c r="BF179">
        <v>9.8000000000000007</v>
      </c>
      <c r="BI179">
        <v>16</v>
      </c>
      <c r="BJ179">
        <v>10.8</v>
      </c>
      <c r="BK179">
        <v>12.1</v>
      </c>
      <c r="BN179" s="86"/>
    </row>
    <row r="180" spans="1:66" hidden="1" x14ac:dyDescent="0.45">
      <c r="A180" t="s">
        <v>1196</v>
      </c>
      <c r="B180" t="s">
        <v>1592</v>
      </c>
      <c r="C180" t="s">
        <v>1723</v>
      </c>
      <c r="D180" t="s">
        <v>1724</v>
      </c>
      <c r="Z180">
        <v>22.8</v>
      </c>
      <c r="AL180">
        <v>44.9</v>
      </c>
      <c r="AQ180">
        <v>57.4</v>
      </c>
      <c r="AT180">
        <v>66.099999999999994</v>
      </c>
      <c r="AZ180">
        <v>69.8</v>
      </c>
      <c r="BE180">
        <v>77.400000000000006</v>
      </c>
      <c r="BN180" s="86"/>
    </row>
    <row r="181" spans="1:66" hidden="1" x14ac:dyDescent="0.45">
      <c r="A181" t="s">
        <v>1275</v>
      </c>
      <c r="B181" t="s">
        <v>1593</v>
      </c>
      <c r="C181" t="s">
        <v>1723</v>
      </c>
      <c r="D181" t="s">
        <v>1724</v>
      </c>
      <c r="N181">
        <v>41.6</v>
      </c>
      <c r="T181">
        <v>69.099999999999994</v>
      </c>
      <c r="V181">
        <v>65.2</v>
      </c>
      <c r="AA181">
        <v>73.900000000000006</v>
      </c>
      <c r="AG181">
        <v>72</v>
      </c>
      <c r="AL181">
        <v>75.599999999999994</v>
      </c>
      <c r="AQ181">
        <v>74</v>
      </c>
      <c r="AV181">
        <v>73</v>
      </c>
      <c r="BA181">
        <v>72</v>
      </c>
      <c r="BF181">
        <v>70</v>
      </c>
      <c r="BN181" s="86"/>
    </row>
    <row r="182" spans="1:66" hidden="1" x14ac:dyDescent="0.45">
      <c r="A182" t="s">
        <v>1253</v>
      </c>
      <c r="B182" t="s">
        <v>1594</v>
      </c>
      <c r="C182" t="s">
        <v>1723</v>
      </c>
      <c r="D182" t="s">
        <v>1724</v>
      </c>
      <c r="W182">
        <v>65.2</v>
      </c>
      <c r="AH182">
        <v>69.2</v>
      </c>
      <c r="AQ182">
        <v>78.3</v>
      </c>
      <c r="AX182">
        <v>82.2</v>
      </c>
      <c r="BN182" s="86"/>
    </row>
    <row r="183" spans="1:66" hidden="1" x14ac:dyDescent="0.45">
      <c r="A183" t="s">
        <v>1145</v>
      </c>
      <c r="B183" t="s">
        <v>1595</v>
      </c>
      <c r="C183" t="s">
        <v>1723</v>
      </c>
      <c r="D183" t="s">
        <v>1724</v>
      </c>
      <c r="U183">
        <v>2.4</v>
      </c>
      <c r="Z183">
        <v>6.8</v>
      </c>
      <c r="AE183">
        <v>15.1</v>
      </c>
      <c r="AK183">
        <v>24.1</v>
      </c>
      <c r="AO183">
        <v>26</v>
      </c>
      <c r="AS183">
        <v>37.1</v>
      </c>
      <c r="AT183">
        <v>35.4</v>
      </c>
      <c r="AW183">
        <v>37.9</v>
      </c>
      <c r="AY183">
        <v>44.2</v>
      </c>
      <c r="BD183">
        <v>43.2</v>
      </c>
      <c r="BG183">
        <v>47.1</v>
      </c>
      <c r="BI183">
        <v>42.8</v>
      </c>
      <c r="BJ183">
        <v>42.8</v>
      </c>
      <c r="BL183">
        <v>44.184104146862303</v>
      </c>
      <c r="BN183" s="86"/>
    </row>
    <row r="184" spans="1:66" hidden="1" x14ac:dyDescent="0.45">
      <c r="A184" t="s">
        <v>1596</v>
      </c>
      <c r="B184" t="s">
        <v>1597</v>
      </c>
      <c r="C184" t="s">
        <v>1723</v>
      </c>
      <c r="D184" t="s">
        <v>1724</v>
      </c>
      <c r="AZ184">
        <v>25.1</v>
      </c>
      <c r="BN184" s="86"/>
    </row>
    <row r="185" spans="1:66" hidden="1" x14ac:dyDescent="0.45">
      <c r="A185" t="s">
        <v>1214</v>
      </c>
      <c r="B185" t="s">
        <v>1598</v>
      </c>
      <c r="C185" t="s">
        <v>1723</v>
      </c>
      <c r="D185" t="s">
        <v>1724</v>
      </c>
      <c r="U185">
        <v>61.5</v>
      </c>
      <c r="AN185">
        <v>72.3</v>
      </c>
      <c r="BH185">
        <v>74.7</v>
      </c>
      <c r="BN185" s="86"/>
    </row>
    <row r="186" spans="1:66" hidden="1" x14ac:dyDescent="0.45">
      <c r="A186" t="s">
        <v>1599</v>
      </c>
      <c r="B186" t="s">
        <v>1600</v>
      </c>
      <c r="C186" t="s">
        <v>1723</v>
      </c>
      <c r="D186" t="s">
        <v>1724</v>
      </c>
      <c r="AI186">
        <v>59.5124098791864</v>
      </c>
      <c r="AS186">
        <v>63.914418628955403</v>
      </c>
      <c r="BC186">
        <v>68.084516543018438</v>
      </c>
      <c r="BN186" s="86"/>
    </row>
    <row r="187" spans="1:66" hidden="1" x14ac:dyDescent="0.45">
      <c r="A187" t="s">
        <v>1123</v>
      </c>
      <c r="B187" t="s">
        <v>1601</v>
      </c>
      <c r="C187" t="s">
        <v>1723</v>
      </c>
      <c r="D187" t="s">
        <v>1724</v>
      </c>
      <c r="AH187">
        <v>7.5</v>
      </c>
      <c r="AN187">
        <v>18.2</v>
      </c>
      <c r="AS187">
        <v>24.6</v>
      </c>
      <c r="BA187">
        <v>15.3</v>
      </c>
      <c r="BG187">
        <v>18.8</v>
      </c>
      <c r="BN187" s="86"/>
    </row>
    <row r="188" spans="1:66" hidden="1" x14ac:dyDescent="0.45">
      <c r="A188" t="s">
        <v>1602</v>
      </c>
      <c r="B188" t="s">
        <v>1603</v>
      </c>
      <c r="C188" t="s">
        <v>1723</v>
      </c>
      <c r="D188" t="s">
        <v>1724</v>
      </c>
      <c r="AS188">
        <v>26.141506029600837</v>
      </c>
      <c r="BN188" s="86"/>
    </row>
    <row r="189" spans="1:66" hidden="1" x14ac:dyDescent="0.45">
      <c r="A189" t="s">
        <v>1146</v>
      </c>
      <c r="B189" t="s">
        <v>1604</v>
      </c>
      <c r="C189" t="s">
        <v>1723</v>
      </c>
      <c r="D189" t="s">
        <v>1724</v>
      </c>
      <c r="T189">
        <v>3.9</v>
      </c>
      <c r="AD189">
        <v>7.6</v>
      </c>
      <c r="AJ189">
        <v>9</v>
      </c>
      <c r="AL189">
        <v>17.899999999999999</v>
      </c>
      <c r="AN189">
        <v>12.6</v>
      </c>
      <c r="AP189">
        <v>16.899999999999999</v>
      </c>
      <c r="AT189">
        <v>20.2</v>
      </c>
      <c r="AV189">
        <v>25.2</v>
      </c>
      <c r="AY189">
        <v>18.399999999999999</v>
      </c>
      <c r="AZ189">
        <v>21.7</v>
      </c>
      <c r="BA189">
        <v>19.3</v>
      </c>
      <c r="BE189">
        <v>21.68</v>
      </c>
      <c r="BF189">
        <v>26.1</v>
      </c>
      <c r="BG189">
        <v>23</v>
      </c>
      <c r="BK189">
        <v>25</v>
      </c>
      <c r="BL189">
        <v>23.4</v>
      </c>
      <c r="BN189" s="86"/>
    </row>
    <row r="190" spans="1:66" hidden="1" x14ac:dyDescent="0.45">
      <c r="A190" t="s">
        <v>1197</v>
      </c>
      <c r="B190" t="s">
        <v>1605</v>
      </c>
      <c r="C190" t="s">
        <v>1723</v>
      </c>
      <c r="D190" t="s">
        <v>1724</v>
      </c>
      <c r="U190">
        <v>45.9</v>
      </c>
      <c r="X190">
        <v>54.1</v>
      </c>
      <c r="AC190">
        <v>54.2</v>
      </c>
      <c r="AD190">
        <v>54.2</v>
      </c>
      <c r="BB190">
        <v>59.5</v>
      </c>
      <c r="BF190">
        <v>60.1</v>
      </c>
      <c r="BH190">
        <v>46.9</v>
      </c>
      <c r="BN190" s="86"/>
    </row>
    <row r="191" spans="1:66" hidden="1" x14ac:dyDescent="0.45">
      <c r="A191" t="s">
        <v>1208</v>
      </c>
      <c r="B191" t="s">
        <v>1606</v>
      </c>
      <c r="C191" t="s">
        <v>1723</v>
      </c>
      <c r="D191" t="s">
        <v>1724</v>
      </c>
      <c r="O191">
        <v>10</v>
      </c>
      <c r="W191">
        <v>11.2</v>
      </c>
      <c r="Z191">
        <v>17</v>
      </c>
      <c r="AE191">
        <v>23</v>
      </c>
      <c r="AK191">
        <v>32.799999999999997</v>
      </c>
      <c r="AO191">
        <v>41.3</v>
      </c>
      <c r="AS191">
        <v>50.5</v>
      </c>
      <c r="AX191">
        <v>47.6</v>
      </c>
      <c r="AY191">
        <v>47.6</v>
      </c>
      <c r="BA191">
        <v>49.1</v>
      </c>
      <c r="BB191">
        <v>50</v>
      </c>
      <c r="BC191">
        <v>50.6</v>
      </c>
      <c r="BD191">
        <v>51.2</v>
      </c>
      <c r="BE191">
        <v>51.9</v>
      </c>
      <c r="BF191">
        <v>51.3</v>
      </c>
      <c r="BG191">
        <v>52.2</v>
      </c>
      <c r="BH191">
        <v>53.3</v>
      </c>
      <c r="BI191">
        <v>54.3</v>
      </c>
      <c r="BJ191">
        <v>54.5</v>
      </c>
      <c r="BK191">
        <v>55</v>
      </c>
      <c r="BN191" s="86"/>
    </row>
    <row r="192" spans="1:66" hidden="1" x14ac:dyDescent="0.45">
      <c r="A192" t="s">
        <v>1165</v>
      </c>
      <c r="B192" t="s">
        <v>1607</v>
      </c>
      <c r="C192" t="s">
        <v>1723</v>
      </c>
      <c r="D192" t="s">
        <v>1724</v>
      </c>
      <c r="W192">
        <v>16.2</v>
      </c>
      <c r="AL192">
        <v>24.9</v>
      </c>
      <c r="AN192">
        <v>25.5</v>
      </c>
      <c r="AO192">
        <v>30.2</v>
      </c>
      <c r="AP192">
        <v>30.9</v>
      </c>
      <c r="AQ192">
        <v>28.2</v>
      </c>
      <c r="AR192">
        <v>32.299999999999997</v>
      </c>
      <c r="AS192">
        <v>32.1</v>
      </c>
      <c r="AT192">
        <v>33.1</v>
      </c>
      <c r="AU192">
        <v>35.1</v>
      </c>
      <c r="AV192">
        <v>33.299999999999997</v>
      </c>
      <c r="AW192">
        <v>35</v>
      </c>
      <c r="AX192">
        <v>35.9</v>
      </c>
      <c r="AY192">
        <v>35.9</v>
      </c>
      <c r="BA192">
        <v>34</v>
      </c>
      <c r="BD192">
        <v>36.799999999999997</v>
      </c>
      <c r="BF192">
        <v>37.4</v>
      </c>
      <c r="BJ192">
        <v>40.1</v>
      </c>
      <c r="BN192" s="86"/>
    </row>
    <row r="193" spans="1:66" hidden="1" x14ac:dyDescent="0.45">
      <c r="A193" t="s">
        <v>1608</v>
      </c>
      <c r="B193" t="s">
        <v>1609</v>
      </c>
      <c r="C193" t="s">
        <v>1723</v>
      </c>
      <c r="D193" t="s">
        <v>1724</v>
      </c>
      <c r="AV193">
        <v>29.7</v>
      </c>
      <c r="BN193" s="86"/>
    </row>
    <row r="194" spans="1:66" hidden="1" x14ac:dyDescent="0.45">
      <c r="A194" t="s">
        <v>1219</v>
      </c>
      <c r="B194" t="s">
        <v>1610</v>
      </c>
      <c r="C194" t="s">
        <v>1723</v>
      </c>
      <c r="D194" t="s">
        <v>1724</v>
      </c>
      <c r="AO194">
        <v>19.600000000000001</v>
      </c>
      <c r="AP194">
        <v>19.600000000000001</v>
      </c>
      <c r="AY194">
        <v>24.3</v>
      </c>
      <c r="AZ194">
        <v>24.3</v>
      </c>
      <c r="BK194">
        <v>30.5</v>
      </c>
      <c r="BN194" s="86"/>
    </row>
    <row r="195" spans="1:66" hidden="1" x14ac:dyDescent="0.45">
      <c r="A195" t="s">
        <v>1238</v>
      </c>
      <c r="B195" t="s">
        <v>1611</v>
      </c>
      <c r="C195" t="s">
        <v>1723</v>
      </c>
      <c r="D195" t="s">
        <v>1724</v>
      </c>
      <c r="Q195">
        <v>13.2</v>
      </c>
      <c r="V195">
        <v>26.3</v>
      </c>
      <c r="AJ195">
        <v>28</v>
      </c>
      <c r="BD195">
        <v>41.2</v>
      </c>
      <c r="BN195" s="86"/>
    </row>
    <row r="196" spans="1:66" hidden="1" x14ac:dyDescent="0.45">
      <c r="A196" t="s">
        <v>1612</v>
      </c>
      <c r="B196" t="s">
        <v>1613</v>
      </c>
      <c r="C196" t="s">
        <v>1723</v>
      </c>
      <c r="D196" t="s">
        <v>1724</v>
      </c>
      <c r="AI196">
        <v>5.5019892937674904</v>
      </c>
      <c r="AS196">
        <v>12.066684000560063</v>
      </c>
      <c r="BC196">
        <v>16.819905983573118</v>
      </c>
      <c r="BJ196">
        <v>22.884442373810714</v>
      </c>
      <c r="BN196" s="86"/>
    </row>
    <row r="197" spans="1:66" hidden="1" x14ac:dyDescent="0.45">
      <c r="A197" t="s">
        <v>1184</v>
      </c>
      <c r="B197" t="s">
        <v>1614</v>
      </c>
      <c r="C197" t="s">
        <v>1723</v>
      </c>
      <c r="D197" t="s">
        <v>1724</v>
      </c>
      <c r="M197">
        <v>50.8</v>
      </c>
      <c r="S197">
        <v>55</v>
      </c>
      <c r="U197">
        <v>57.6</v>
      </c>
      <c r="AA197">
        <v>62.1</v>
      </c>
      <c r="AO197">
        <v>67.599999999999994</v>
      </c>
      <c r="AU197">
        <v>72.2</v>
      </c>
      <c r="BN197" s="86"/>
    </row>
    <row r="198" spans="1:66" hidden="1" x14ac:dyDescent="0.45">
      <c r="A198" t="s">
        <v>1615</v>
      </c>
      <c r="B198" t="s">
        <v>1616</v>
      </c>
      <c r="C198" t="s">
        <v>1723</v>
      </c>
      <c r="D198" t="s">
        <v>1724</v>
      </c>
      <c r="AJ198">
        <v>53</v>
      </c>
      <c r="AK198">
        <v>53</v>
      </c>
      <c r="AP198">
        <v>55.8</v>
      </c>
      <c r="AU198">
        <v>58.2</v>
      </c>
      <c r="AW198">
        <v>56.3</v>
      </c>
      <c r="AY198">
        <v>58.5</v>
      </c>
      <c r="BC198">
        <v>65.3</v>
      </c>
      <c r="BG198">
        <v>76.5</v>
      </c>
      <c r="BJ198">
        <v>68.8</v>
      </c>
      <c r="BN198" s="86"/>
    </row>
    <row r="199" spans="1:66" hidden="1" x14ac:dyDescent="0.45">
      <c r="A199" t="s">
        <v>1265</v>
      </c>
      <c r="B199" t="s">
        <v>1617</v>
      </c>
      <c r="C199" t="s">
        <v>1723</v>
      </c>
      <c r="D199" t="s">
        <v>1724</v>
      </c>
      <c r="Y199">
        <v>37.799999999999997</v>
      </c>
      <c r="AP199">
        <v>70.400000000000006</v>
      </c>
      <c r="AY199">
        <v>82.5</v>
      </c>
      <c r="BG199">
        <v>67.083438816994502</v>
      </c>
      <c r="BN199" s="86"/>
    </row>
    <row r="200" spans="1:66" hidden="1" x14ac:dyDescent="0.45">
      <c r="A200" t="s">
        <v>1207</v>
      </c>
      <c r="B200" t="s">
        <v>1618</v>
      </c>
      <c r="C200" t="s">
        <v>1723</v>
      </c>
      <c r="D200" t="s">
        <v>1724</v>
      </c>
      <c r="V200">
        <v>23.3</v>
      </c>
      <c r="X200">
        <v>25.4</v>
      </c>
      <c r="AF200">
        <v>29</v>
      </c>
      <c r="AI200">
        <v>35.200000000000003</v>
      </c>
      <c r="AO200">
        <v>41.3</v>
      </c>
      <c r="AQ200">
        <v>47.5</v>
      </c>
      <c r="AW200">
        <v>60.5</v>
      </c>
      <c r="BA200">
        <v>70.7</v>
      </c>
      <c r="BI200">
        <v>66.5</v>
      </c>
      <c r="BN200" s="86"/>
    </row>
    <row r="201" spans="1:66" hidden="1" x14ac:dyDescent="0.45">
      <c r="A201" t="s">
        <v>1619</v>
      </c>
      <c r="B201" t="s">
        <v>1620</v>
      </c>
      <c r="C201" t="s">
        <v>1723</v>
      </c>
      <c r="D201" t="s">
        <v>1724</v>
      </c>
      <c r="AO201">
        <v>30.7</v>
      </c>
      <c r="AS201">
        <v>36.700000000000003</v>
      </c>
      <c r="AW201">
        <v>37.299999999999997</v>
      </c>
      <c r="AY201">
        <v>38.9</v>
      </c>
      <c r="AZ201">
        <v>38.9</v>
      </c>
      <c r="BC201">
        <v>44.2</v>
      </c>
      <c r="BG201">
        <v>44.1</v>
      </c>
      <c r="BM201">
        <v>42.8</v>
      </c>
      <c r="BN201" s="86"/>
    </row>
    <row r="202" spans="1:66" hidden="1" x14ac:dyDescent="0.45">
      <c r="A202" t="s">
        <v>1621</v>
      </c>
      <c r="B202" t="s">
        <v>1622</v>
      </c>
      <c r="C202" t="s">
        <v>1723</v>
      </c>
      <c r="D202" t="s">
        <v>1724</v>
      </c>
      <c r="BN202" s="86"/>
    </row>
    <row r="203" spans="1:66" hidden="1" x14ac:dyDescent="0.45">
      <c r="A203" t="s">
        <v>1623</v>
      </c>
      <c r="B203" t="s">
        <v>1624</v>
      </c>
      <c r="C203" t="s">
        <v>1723</v>
      </c>
      <c r="D203" t="s">
        <v>1724</v>
      </c>
      <c r="AI203">
        <v>64.595692648770239</v>
      </c>
      <c r="AS203">
        <v>64.380557801988985</v>
      </c>
      <c r="BC203">
        <v>69.911178900535702</v>
      </c>
      <c r="BN203" s="86"/>
    </row>
    <row r="204" spans="1:66" hidden="1" x14ac:dyDescent="0.45">
      <c r="A204" t="s">
        <v>1227</v>
      </c>
      <c r="B204" t="s">
        <v>1625</v>
      </c>
      <c r="C204" t="s">
        <v>1723</v>
      </c>
      <c r="D204" t="s">
        <v>1724</v>
      </c>
      <c r="BN204" s="86"/>
    </row>
    <row r="205" spans="1:66" hidden="1" x14ac:dyDescent="0.45">
      <c r="A205" t="s">
        <v>1124</v>
      </c>
      <c r="B205" t="s">
        <v>1626</v>
      </c>
      <c r="C205" t="s">
        <v>1723</v>
      </c>
      <c r="D205" t="s">
        <v>1724</v>
      </c>
      <c r="AF205">
        <v>28.9</v>
      </c>
      <c r="AQ205">
        <v>32.299999999999997</v>
      </c>
      <c r="BE205">
        <v>34.4</v>
      </c>
      <c r="BN205" s="86"/>
    </row>
    <row r="206" spans="1:66" hidden="1" x14ac:dyDescent="0.45">
      <c r="A206" t="s">
        <v>1240</v>
      </c>
      <c r="B206" t="s">
        <v>1627</v>
      </c>
      <c r="C206" t="s">
        <v>1723</v>
      </c>
      <c r="D206" t="s">
        <v>1724</v>
      </c>
      <c r="W206">
        <v>5.3</v>
      </c>
      <c r="AL206">
        <v>14.5</v>
      </c>
      <c r="AR206">
        <v>29.5</v>
      </c>
      <c r="AW206">
        <v>38.200000000000003</v>
      </c>
      <c r="AX206">
        <v>50.5</v>
      </c>
      <c r="BN206" s="86"/>
    </row>
    <row r="207" spans="1:66" hidden="1" x14ac:dyDescent="0.45">
      <c r="A207" t="s">
        <v>1241</v>
      </c>
      <c r="B207" t="s">
        <v>1628</v>
      </c>
      <c r="C207" t="s">
        <v>1723</v>
      </c>
      <c r="D207" t="s">
        <v>1724</v>
      </c>
      <c r="AL207">
        <v>44.4</v>
      </c>
      <c r="AM207">
        <v>48.6</v>
      </c>
      <c r="AN207">
        <v>47.5</v>
      </c>
      <c r="AO207">
        <v>47.1</v>
      </c>
      <c r="AW207">
        <v>64.599999999999994</v>
      </c>
      <c r="AZ207">
        <v>65</v>
      </c>
      <c r="BC207">
        <v>54.4</v>
      </c>
      <c r="BD207">
        <v>55</v>
      </c>
      <c r="BN207" s="86"/>
    </row>
    <row r="208" spans="1:66" hidden="1" x14ac:dyDescent="0.45">
      <c r="A208" t="s">
        <v>600</v>
      </c>
      <c r="B208" t="s">
        <v>1629</v>
      </c>
      <c r="C208" t="s">
        <v>1723</v>
      </c>
      <c r="D208" t="s">
        <v>1724</v>
      </c>
      <c r="AB208">
        <v>0.9</v>
      </c>
      <c r="AK208">
        <v>12.9</v>
      </c>
      <c r="AO208">
        <v>7.1</v>
      </c>
      <c r="AS208">
        <v>5.7</v>
      </c>
      <c r="AX208">
        <v>9.6999999999999993</v>
      </c>
      <c r="BA208">
        <v>27.1</v>
      </c>
      <c r="BC208">
        <v>45.1</v>
      </c>
      <c r="BD208">
        <v>44.5</v>
      </c>
      <c r="BH208">
        <v>47.5</v>
      </c>
      <c r="BN208" s="86"/>
    </row>
    <row r="209" spans="1:66" hidden="1" x14ac:dyDescent="0.45">
      <c r="A209" t="s">
        <v>1630</v>
      </c>
      <c r="B209" t="s">
        <v>1631</v>
      </c>
      <c r="C209" t="s">
        <v>1723</v>
      </c>
      <c r="D209" t="s">
        <v>1724</v>
      </c>
      <c r="AI209">
        <v>36.020230628973458</v>
      </c>
      <c r="AS209">
        <v>39.908808721588336</v>
      </c>
      <c r="BC209">
        <v>45.162204640285495</v>
      </c>
      <c r="BJ209">
        <v>45.600981419537888</v>
      </c>
      <c r="BN209" s="86"/>
    </row>
    <row r="210" spans="1:66" hidden="1" x14ac:dyDescent="0.45">
      <c r="A210" t="s">
        <v>1125</v>
      </c>
      <c r="B210" t="s">
        <v>1632</v>
      </c>
      <c r="C210" t="s">
        <v>1723</v>
      </c>
      <c r="D210" t="s">
        <v>1724</v>
      </c>
      <c r="AP210">
        <v>28.5</v>
      </c>
      <c r="BI210">
        <v>20.8</v>
      </c>
      <c r="BN210" s="86"/>
    </row>
    <row r="211" spans="1:66" hidden="1" x14ac:dyDescent="0.45">
      <c r="A211" t="s">
        <v>1109</v>
      </c>
      <c r="B211" t="s">
        <v>1633</v>
      </c>
      <c r="C211" t="s">
        <v>1723</v>
      </c>
      <c r="D211" t="s">
        <v>1724</v>
      </c>
      <c r="X211">
        <v>3.9</v>
      </c>
      <c r="AI211">
        <v>5.6</v>
      </c>
      <c r="AL211">
        <v>6.9</v>
      </c>
      <c r="AR211">
        <v>5.4</v>
      </c>
      <c r="AY211">
        <v>9</v>
      </c>
      <c r="BC211">
        <v>8.5</v>
      </c>
      <c r="BG211">
        <v>11.7</v>
      </c>
      <c r="BN211" s="86"/>
    </row>
    <row r="212" spans="1:66" hidden="1" x14ac:dyDescent="0.45">
      <c r="A212" t="s">
        <v>1100</v>
      </c>
      <c r="B212" t="s">
        <v>1634</v>
      </c>
      <c r="C212" t="s">
        <v>1723</v>
      </c>
      <c r="D212" t="s">
        <v>1724</v>
      </c>
      <c r="W212">
        <v>0.6</v>
      </c>
      <c r="AE212">
        <v>2.4</v>
      </c>
      <c r="AL212">
        <v>4.8</v>
      </c>
      <c r="AP212">
        <v>8.1</v>
      </c>
      <c r="AR212">
        <v>8.1999999999999993</v>
      </c>
      <c r="AX212">
        <v>10.3</v>
      </c>
      <c r="BD212">
        <v>12.1</v>
      </c>
      <c r="BF212">
        <v>16.100000000000001</v>
      </c>
      <c r="BG212">
        <v>20.399999999999999</v>
      </c>
      <c r="BH212">
        <v>21.2</v>
      </c>
      <c r="BI212">
        <v>23.1</v>
      </c>
      <c r="BJ212">
        <v>26.2</v>
      </c>
      <c r="BK212">
        <v>25.1</v>
      </c>
      <c r="BL212">
        <v>25.4</v>
      </c>
      <c r="BN212" s="86"/>
    </row>
    <row r="213" spans="1:66" hidden="1" x14ac:dyDescent="0.45">
      <c r="A213" t="s">
        <v>1166</v>
      </c>
      <c r="B213" t="s">
        <v>1635</v>
      </c>
      <c r="C213" t="s">
        <v>1723</v>
      </c>
      <c r="D213" t="s">
        <v>1724</v>
      </c>
      <c r="R213">
        <v>52.8</v>
      </c>
      <c r="V213">
        <v>62.8</v>
      </c>
      <c r="AA213">
        <v>58.8</v>
      </c>
      <c r="AF213">
        <v>53</v>
      </c>
      <c r="AK213">
        <v>52</v>
      </c>
      <c r="AP213">
        <v>55</v>
      </c>
      <c r="BN213" s="86"/>
    </row>
    <row r="214" spans="1:66" hidden="1" x14ac:dyDescent="0.45">
      <c r="A214" t="s">
        <v>1220</v>
      </c>
      <c r="B214" t="s">
        <v>1636</v>
      </c>
      <c r="C214" t="s">
        <v>1723</v>
      </c>
      <c r="D214" t="s">
        <v>1724</v>
      </c>
      <c r="AZ214">
        <v>27.4</v>
      </c>
      <c r="BH214">
        <v>24.3</v>
      </c>
      <c r="BN214" s="86"/>
    </row>
    <row r="215" spans="1:66" hidden="1" x14ac:dyDescent="0.45">
      <c r="A215" t="s">
        <v>1101</v>
      </c>
      <c r="B215" t="s">
        <v>1637</v>
      </c>
      <c r="C215" t="s">
        <v>1723</v>
      </c>
      <c r="D215" t="s">
        <v>1724</v>
      </c>
      <c r="AK215">
        <v>2.4</v>
      </c>
      <c r="AS215">
        <v>3.9</v>
      </c>
      <c r="AX215">
        <v>4.9000000000000004</v>
      </c>
      <c r="BA215">
        <v>6.7</v>
      </c>
      <c r="BC215">
        <v>10</v>
      </c>
      <c r="BF215">
        <v>15.6</v>
      </c>
      <c r="BJ215">
        <v>21.8</v>
      </c>
      <c r="BL215">
        <v>20.8</v>
      </c>
      <c r="BN215" s="86"/>
    </row>
    <row r="216" spans="1:66" hidden="1" x14ac:dyDescent="0.45">
      <c r="A216" t="s">
        <v>1192</v>
      </c>
      <c r="B216" t="s">
        <v>1638</v>
      </c>
      <c r="C216" t="s">
        <v>1723</v>
      </c>
      <c r="D216" t="s">
        <v>1724</v>
      </c>
      <c r="T216">
        <v>20</v>
      </c>
      <c r="W216">
        <v>32.299999999999997</v>
      </c>
      <c r="AD216">
        <v>44.5</v>
      </c>
      <c r="AG216">
        <v>43.5</v>
      </c>
      <c r="AL216">
        <v>48.4</v>
      </c>
      <c r="AQ216">
        <v>54.7</v>
      </c>
      <c r="AV216">
        <v>61</v>
      </c>
      <c r="BA216">
        <v>66.099999999999994</v>
      </c>
      <c r="BG216">
        <v>67.599999999999994</v>
      </c>
      <c r="BN216" s="86"/>
    </row>
    <row r="217" spans="1:66" hidden="1" x14ac:dyDescent="0.45">
      <c r="A217" t="s">
        <v>1639</v>
      </c>
      <c r="B217" t="s">
        <v>1640</v>
      </c>
      <c r="C217" t="s">
        <v>1723</v>
      </c>
      <c r="D217" t="s">
        <v>1724</v>
      </c>
      <c r="BN217" s="86"/>
    </row>
    <row r="218" spans="1:66" hidden="1" x14ac:dyDescent="0.45">
      <c r="A218" t="s">
        <v>1075</v>
      </c>
      <c r="B218" t="s">
        <v>1641</v>
      </c>
      <c r="C218" t="s">
        <v>1723</v>
      </c>
      <c r="D218" t="s">
        <v>1724</v>
      </c>
      <c r="AR218">
        <v>1</v>
      </c>
      <c r="AY218">
        <v>1.1000000000000001</v>
      </c>
      <c r="BD218">
        <v>1.5</v>
      </c>
      <c r="BL218">
        <v>0.9</v>
      </c>
      <c r="BN218" s="86"/>
    </row>
    <row r="219" spans="1:66" hidden="1" x14ac:dyDescent="0.45">
      <c r="A219" t="s">
        <v>1266</v>
      </c>
      <c r="B219" t="s">
        <v>1642</v>
      </c>
      <c r="C219" t="s">
        <v>1723</v>
      </c>
      <c r="D219" t="s">
        <v>1724</v>
      </c>
      <c r="O219">
        <v>3.7</v>
      </c>
      <c r="AS219">
        <v>33</v>
      </c>
      <c r="AY219">
        <v>18.899999999999999</v>
      </c>
      <c r="BC219">
        <v>22.3</v>
      </c>
      <c r="BG219">
        <v>18.399999999999999</v>
      </c>
      <c r="BL219">
        <v>21.4</v>
      </c>
      <c r="BN219" s="86"/>
    </row>
    <row r="220" spans="1:66" hidden="1" x14ac:dyDescent="0.45">
      <c r="A220" t="s">
        <v>1643</v>
      </c>
      <c r="B220" t="s">
        <v>1644</v>
      </c>
      <c r="C220" t="s">
        <v>1723</v>
      </c>
      <c r="D220" t="s">
        <v>1724</v>
      </c>
      <c r="AI220">
        <v>10.535110005132699</v>
      </c>
      <c r="AS220">
        <v>15.861261662699617</v>
      </c>
      <c r="BC220">
        <v>18.901557813527596</v>
      </c>
      <c r="BJ220">
        <v>27.530043697602235</v>
      </c>
      <c r="BN220" s="86"/>
    </row>
    <row r="221" spans="1:66" hidden="1" x14ac:dyDescent="0.45">
      <c r="A221" t="s">
        <v>1076</v>
      </c>
      <c r="B221" t="s">
        <v>1645</v>
      </c>
      <c r="C221" t="s">
        <v>1723</v>
      </c>
      <c r="D221" t="s">
        <v>1724</v>
      </c>
      <c r="AY221">
        <v>3.3</v>
      </c>
      <c r="BC221">
        <v>1.7</v>
      </c>
      <c r="BD221">
        <v>6.5</v>
      </c>
      <c r="BH221">
        <v>5</v>
      </c>
      <c r="BN221" s="86"/>
    </row>
    <row r="222" spans="1:66" hidden="1" x14ac:dyDescent="0.45">
      <c r="A222" t="s">
        <v>1646</v>
      </c>
      <c r="B222" t="s">
        <v>1647</v>
      </c>
      <c r="C222" t="s">
        <v>1723</v>
      </c>
      <c r="D222" t="s">
        <v>1724</v>
      </c>
      <c r="AI222">
        <v>10.535110005132696</v>
      </c>
      <c r="AS222">
        <v>15.861261662699617</v>
      </c>
      <c r="BC222">
        <v>18.901557813527599</v>
      </c>
      <c r="BJ222">
        <v>27.530043697602231</v>
      </c>
      <c r="BN222" s="86"/>
    </row>
    <row r="223" spans="1:66" hidden="1" x14ac:dyDescent="0.45">
      <c r="A223" t="s">
        <v>1648</v>
      </c>
      <c r="B223" t="s">
        <v>1649</v>
      </c>
      <c r="C223" t="s">
        <v>1723</v>
      </c>
      <c r="D223" t="s">
        <v>1724</v>
      </c>
      <c r="AS223">
        <v>27.711031718142401</v>
      </c>
      <c r="BN223" s="86"/>
    </row>
    <row r="224" spans="1:66" hidden="1" x14ac:dyDescent="0.45">
      <c r="A224" t="s">
        <v>1084</v>
      </c>
      <c r="B224" t="s">
        <v>1650</v>
      </c>
      <c r="C224" t="s">
        <v>1723</v>
      </c>
      <c r="D224" t="s">
        <v>1724</v>
      </c>
      <c r="AS224">
        <v>28</v>
      </c>
      <c r="AY224">
        <v>28.5</v>
      </c>
      <c r="BB224">
        <v>33.700000000000003</v>
      </c>
      <c r="BG224">
        <v>37.4</v>
      </c>
      <c r="BL224">
        <v>46.1</v>
      </c>
      <c r="BN224" s="86"/>
    </row>
    <row r="225" spans="1:66" hidden="1" x14ac:dyDescent="0.45">
      <c r="A225" t="s">
        <v>1209</v>
      </c>
      <c r="B225" t="s">
        <v>1651</v>
      </c>
      <c r="C225" t="s">
        <v>1723</v>
      </c>
      <c r="D225" t="s">
        <v>1724</v>
      </c>
      <c r="AK225">
        <v>46.6</v>
      </c>
      <c r="AS225">
        <v>40.700000000000003</v>
      </c>
      <c r="AY225">
        <v>45</v>
      </c>
      <c r="BC225">
        <v>47.2</v>
      </c>
      <c r="BK225">
        <v>38.5</v>
      </c>
      <c r="BN225" s="86"/>
    </row>
    <row r="226" spans="1:66" hidden="1" x14ac:dyDescent="0.45">
      <c r="A226" t="s">
        <v>1652</v>
      </c>
      <c r="B226" t="s">
        <v>1653</v>
      </c>
      <c r="C226" t="s">
        <v>1723</v>
      </c>
      <c r="D226" t="s">
        <v>1724</v>
      </c>
      <c r="AJ226">
        <v>41</v>
      </c>
      <c r="AP226">
        <v>65.599999999999994</v>
      </c>
      <c r="BN226" s="86"/>
    </row>
    <row r="227" spans="1:66" hidden="1" x14ac:dyDescent="0.45">
      <c r="A227" t="s">
        <v>1267</v>
      </c>
      <c r="B227" t="s">
        <v>1654</v>
      </c>
      <c r="C227" t="s">
        <v>1723</v>
      </c>
      <c r="D227" t="s">
        <v>1724</v>
      </c>
      <c r="O227">
        <v>14.2</v>
      </c>
      <c r="AN227">
        <v>63.2</v>
      </c>
      <c r="BN227" s="86"/>
    </row>
    <row r="228" spans="1:66" hidden="1" x14ac:dyDescent="0.45">
      <c r="A228" t="s">
        <v>1254</v>
      </c>
      <c r="B228" t="s">
        <v>1655</v>
      </c>
      <c r="C228" t="s">
        <v>1723</v>
      </c>
      <c r="D228" t="s">
        <v>1724</v>
      </c>
      <c r="Z228">
        <v>72</v>
      </c>
      <c r="AO228">
        <v>64.8</v>
      </c>
      <c r="BF228">
        <v>68.8</v>
      </c>
      <c r="BJ228">
        <v>68.099999999999994</v>
      </c>
      <c r="BN228" s="86"/>
    </row>
    <row r="229" spans="1:66" hidden="1" x14ac:dyDescent="0.45">
      <c r="A229" t="s">
        <v>603</v>
      </c>
      <c r="B229" t="s">
        <v>1656</v>
      </c>
      <c r="C229" t="s">
        <v>1723</v>
      </c>
      <c r="D229" t="s">
        <v>1724</v>
      </c>
      <c r="AG229">
        <v>17.100000000000001</v>
      </c>
      <c r="AH229">
        <v>17.100000000000001</v>
      </c>
      <c r="AS229">
        <v>26.1</v>
      </c>
      <c r="AU229">
        <v>38.6</v>
      </c>
      <c r="AZ229">
        <v>47.7</v>
      </c>
      <c r="BC229">
        <v>63.1</v>
      </c>
      <c r="BG229">
        <v>65.5</v>
      </c>
      <c r="BN229" s="86"/>
    </row>
    <row r="230" spans="1:66" hidden="1" x14ac:dyDescent="0.45">
      <c r="A230" t="s">
        <v>1657</v>
      </c>
      <c r="B230" t="s">
        <v>1658</v>
      </c>
      <c r="C230" t="s">
        <v>1723</v>
      </c>
      <c r="D230" t="s">
        <v>1724</v>
      </c>
      <c r="BN230" s="86"/>
    </row>
    <row r="231" spans="1:66" hidden="1" x14ac:dyDescent="0.45">
      <c r="A231" t="s">
        <v>1074</v>
      </c>
      <c r="B231" t="s">
        <v>1659</v>
      </c>
      <c r="C231" t="s">
        <v>1723</v>
      </c>
      <c r="D231" t="s">
        <v>1724</v>
      </c>
      <c r="BN231" s="86"/>
    </row>
    <row r="232" spans="1:66" hidden="1" x14ac:dyDescent="0.45">
      <c r="A232" t="s">
        <v>1127</v>
      </c>
      <c r="B232" t="s">
        <v>1660</v>
      </c>
      <c r="C232" t="s">
        <v>1723</v>
      </c>
      <c r="D232" t="s">
        <v>1724</v>
      </c>
      <c r="W232">
        <v>22.4</v>
      </c>
      <c r="AL232">
        <v>28.3</v>
      </c>
      <c r="AT232">
        <v>35.1</v>
      </c>
      <c r="AY232">
        <v>46.6</v>
      </c>
      <c r="BB232">
        <v>37.5</v>
      </c>
      <c r="BN232" s="86"/>
    </row>
    <row r="233" spans="1:66" hidden="1" x14ac:dyDescent="0.45">
      <c r="A233" t="s">
        <v>1661</v>
      </c>
      <c r="B233" t="s">
        <v>1662</v>
      </c>
      <c r="C233" t="s">
        <v>1723</v>
      </c>
      <c r="D233" t="s">
        <v>1724</v>
      </c>
      <c r="BN233" s="86"/>
    </row>
    <row r="234" spans="1:66" hidden="1" x14ac:dyDescent="0.45">
      <c r="A234" t="s">
        <v>1080</v>
      </c>
      <c r="B234" t="s">
        <v>1663</v>
      </c>
      <c r="C234" t="s">
        <v>1723</v>
      </c>
      <c r="D234" t="s">
        <v>1724</v>
      </c>
      <c r="AP234">
        <v>1.2</v>
      </c>
      <c r="AS234">
        <v>6.4</v>
      </c>
      <c r="AW234">
        <v>1.7</v>
      </c>
      <c r="BC234">
        <v>4.5</v>
      </c>
      <c r="BH234">
        <v>5</v>
      </c>
      <c r="BL234">
        <v>6.7</v>
      </c>
      <c r="BN234" s="86"/>
    </row>
    <row r="235" spans="1:66" hidden="1" x14ac:dyDescent="0.45">
      <c r="A235" t="s">
        <v>1664</v>
      </c>
      <c r="B235" t="s">
        <v>1665</v>
      </c>
      <c r="C235" t="s">
        <v>1723</v>
      </c>
      <c r="D235" t="s">
        <v>1724</v>
      </c>
      <c r="AI235">
        <v>74.344760907810937</v>
      </c>
      <c r="AS235">
        <v>76.324711379774996</v>
      </c>
      <c r="BJ235">
        <v>71.510219915722203</v>
      </c>
      <c r="BN235" s="86"/>
    </row>
    <row r="236" spans="1:66" hidden="1" x14ac:dyDescent="0.45">
      <c r="A236" t="s">
        <v>1666</v>
      </c>
      <c r="B236" t="s">
        <v>1667</v>
      </c>
      <c r="C236" t="s">
        <v>1723</v>
      </c>
      <c r="D236" t="s">
        <v>1724</v>
      </c>
      <c r="BC236">
        <v>46.320135014112168</v>
      </c>
      <c r="BN236" s="86"/>
    </row>
    <row r="237" spans="1:66" hidden="1" x14ac:dyDescent="0.45">
      <c r="A237" t="s">
        <v>1102</v>
      </c>
      <c r="B237" t="s">
        <v>1668</v>
      </c>
      <c r="C237" t="s">
        <v>1723</v>
      </c>
      <c r="D237" t="s">
        <v>1724</v>
      </c>
      <c r="AG237">
        <v>3.1</v>
      </c>
      <c r="AQ237">
        <v>7</v>
      </c>
      <c r="AS237">
        <v>13.3</v>
      </c>
      <c r="AY237">
        <v>11.6</v>
      </c>
      <c r="BC237">
        <v>13.7</v>
      </c>
      <c r="BG237">
        <v>17.2</v>
      </c>
      <c r="BJ237">
        <v>21.5</v>
      </c>
      <c r="BN237" s="86"/>
    </row>
    <row r="238" spans="1:66" hidden="1" x14ac:dyDescent="0.45">
      <c r="A238" t="s">
        <v>1167</v>
      </c>
      <c r="B238" t="s">
        <v>1669</v>
      </c>
      <c r="C238" t="s">
        <v>1723</v>
      </c>
      <c r="D238" t="s">
        <v>1724</v>
      </c>
      <c r="O238">
        <v>14.8</v>
      </c>
      <c r="R238">
        <v>25.7</v>
      </c>
      <c r="T238">
        <v>33.9</v>
      </c>
      <c r="W238">
        <v>49.3</v>
      </c>
      <c r="Z238">
        <v>56.3</v>
      </c>
      <c r="AC238">
        <v>62</v>
      </c>
      <c r="AF238">
        <v>63.6</v>
      </c>
      <c r="AH238">
        <v>64.2</v>
      </c>
      <c r="AL238">
        <v>72.2</v>
      </c>
      <c r="AO238">
        <v>73.8</v>
      </c>
      <c r="AP238">
        <v>69.8</v>
      </c>
      <c r="AT238">
        <v>76.099999999999994</v>
      </c>
      <c r="AY238">
        <v>70.099999999999994</v>
      </c>
      <c r="BB238">
        <v>77.5</v>
      </c>
      <c r="BE238">
        <v>76.900000000000006</v>
      </c>
      <c r="BI238">
        <v>75.5</v>
      </c>
      <c r="BL238">
        <v>71.3</v>
      </c>
      <c r="BN238" s="86"/>
    </row>
    <row r="239" spans="1:66" hidden="1" x14ac:dyDescent="0.45">
      <c r="A239" t="s">
        <v>1135</v>
      </c>
      <c r="B239" t="s">
        <v>1670</v>
      </c>
      <c r="C239" t="s">
        <v>1723</v>
      </c>
      <c r="D239" t="s">
        <v>1724</v>
      </c>
      <c r="AS239">
        <v>28.3</v>
      </c>
      <c r="AX239">
        <v>36.200000000000003</v>
      </c>
      <c r="AZ239">
        <v>31.7</v>
      </c>
      <c r="BE239">
        <v>25.8</v>
      </c>
      <c r="BJ239">
        <v>27.1</v>
      </c>
      <c r="BN239" s="86"/>
    </row>
    <row r="240" spans="1:66" hidden="1" x14ac:dyDescent="0.45">
      <c r="A240" t="s">
        <v>1136</v>
      </c>
      <c r="B240" t="s">
        <v>1671</v>
      </c>
      <c r="C240" t="s">
        <v>1723</v>
      </c>
      <c r="D240" t="s">
        <v>1724</v>
      </c>
      <c r="AS240">
        <v>45.2</v>
      </c>
      <c r="AY240">
        <v>46.9</v>
      </c>
      <c r="BH240">
        <v>47.1</v>
      </c>
      <c r="BI240">
        <v>47.1</v>
      </c>
      <c r="BL240">
        <v>47.3</v>
      </c>
      <c r="BN240" s="86"/>
    </row>
    <row r="241" spans="1:66" hidden="1" x14ac:dyDescent="0.45">
      <c r="A241" t="s">
        <v>1672</v>
      </c>
      <c r="B241" t="s">
        <v>1673</v>
      </c>
      <c r="C241" t="s">
        <v>1723</v>
      </c>
      <c r="D241" t="s">
        <v>1724</v>
      </c>
      <c r="BN241" s="86"/>
    </row>
    <row r="242" spans="1:66" hidden="1" x14ac:dyDescent="0.45">
      <c r="A242" t="s">
        <v>1168</v>
      </c>
      <c r="B242" t="s">
        <v>1674</v>
      </c>
      <c r="C242" t="s">
        <v>1723</v>
      </c>
      <c r="D242" t="s">
        <v>1724</v>
      </c>
      <c r="AJ242">
        <v>20.399999999999999</v>
      </c>
      <c r="AM242">
        <v>20.7</v>
      </c>
      <c r="AP242">
        <v>25.1</v>
      </c>
      <c r="AT242">
        <v>6.6</v>
      </c>
      <c r="AV242">
        <v>8.6</v>
      </c>
      <c r="AZ242">
        <v>15.8</v>
      </c>
      <c r="BC242">
        <v>20.6</v>
      </c>
      <c r="BI242">
        <v>23.7</v>
      </c>
      <c r="BN242" s="86"/>
    </row>
    <row r="243" spans="1:66" hidden="1" x14ac:dyDescent="0.45">
      <c r="A243" t="s">
        <v>1675</v>
      </c>
      <c r="B243" t="s">
        <v>1676</v>
      </c>
      <c r="C243" t="s">
        <v>1723</v>
      </c>
      <c r="D243" t="s">
        <v>1724</v>
      </c>
      <c r="AI243">
        <v>34.040256345668169</v>
      </c>
      <c r="AS243">
        <v>50.103479569329643</v>
      </c>
      <c r="BC243">
        <v>52.040610005849487</v>
      </c>
      <c r="BN243" s="86"/>
    </row>
    <row r="244" spans="1:66" hidden="1" x14ac:dyDescent="0.45">
      <c r="A244" t="s">
        <v>1229</v>
      </c>
      <c r="B244" t="s">
        <v>1677</v>
      </c>
      <c r="C244" t="s">
        <v>1723</v>
      </c>
      <c r="D244" t="s">
        <v>1724</v>
      </c>
      <c r="BE244">
        <v>28.4</v>
      </c>
      <c r="BL244">
        <v>25.2</v>
      </c>
      <c r="BN244" s="86"/>
    </row>
    <row r="245" spans="1:66" hidden="1" x14ac:dyDescent="0.45">
      <c r="A245" t="s">
        <v>1678</v>
      </c>
      <c r="B245" t="s">
        <v>1679</v>
      </c>
      <c r="C245" t="s">
        <v>1723</v>
      </c>
      <c r="D245" t="s">
        <v>1724</v>
      </c>
      <c r="AI245">
        <v>36.020230628973458</v>
      </c>
      <c r="AS245">
        <v>39.908808721588329</v>
      </c>
      <c r="BC245">
        <v>45.162204640285502</v>
      </c>
      <c r="BJ245">
        <v>45.600981419537895</v>
      </c>
      <c r="BN245" s="86"/>
    </row>
    <row r="246" spans="1:66" hidden="1" x14ac:dyDescent="0.45">
      <c r="A246" t="s">
        <v>1680</v>
      </c>
      <c r="B246" t="s">
        <v>1681</v>
      </c>
      <c r="C246" t="s">
        <v>1723</v>
      </c>
      <c r="D246" t="s">
        <v>1724</v>
      </c>
      <c r="AI246">
        <v>10.535110005132697</v>
      </c>
      <c r="AS246">
        <v>15.861261662699624</v>
      </c>
      <c r="BC246">
        <v>18.901557813527599</v>
      </c>
      <c r="BJ246">
        <v>27.530043697602235</v>
      </c>
      <c r="BN246" s="86"/>
    </row>
    <row r="247" spans="1:66" hidden="1" x14ac:dyDescent="0.45">
      <c r="A247" t="s">
        <v>1187</v>
      </c>
      <c r="B247" t="s">
        <v>1682</v>
      </c>
      <c r="C247" t="s">
        <v>1723</v>
      </c>
      <c r="D247" t="s">
        <v>1724</v>
      </c>
      <c r="P247">
        <v>36.5</v>
      </c>
      <c r="V247">
        <v>53.4</v>
      </c>
      <c r="AF247">
        <v>44.4</v>
      </c>
      <c r="AS247">
        <v>33.299999999999997</v>
      </c>
      <c r="AY247">
        <v>38.1</v>
      </c>
      <c r="BD247">
        <v>37.6</v>
      </c>
      <c r="BN247" s="86"/>
    </row>
    <row r="248" spans="1:66" hidden="1" x14ac:dyDescent="0.45">
      <c r="A248" t="s">
        <v>1110</v>
      </c>
      <c r="B248" t="s">
        <v>1683</v>
      </c>
      <c r="C248" t="s">
        <v>1723</v>
      </c>
      <c r="D248" t="s">
        <v>1724</v>
      </c>
      <c r="W248">
        <v>24.7</v>
      </c>
      <c r="AB248">
        <v>34.200000000000003</v>
      </c>
      <c r="AG248">
        <v>40.4</v>
      </c>
      <c r="AN248">
        <v>51</v>
      </c>
      <c r="AS248">
        <v>57.7</v>
      </c>
      <c r="AT248">
        <v>53.1</v>
      </c>
      <c r="AY248">
        <v>51.5</v>
      </c>
      <c r="BE248">
        <v>50.9</v>
      </c>
      <c r="BK248">
        <v>44.3</v>
      </c>
      <c r="BN248" s="86"/>
    </row>
    <row r="249" spans="1:66" hidden="1" x14ac:dyDescent="0.45">
      <c r="A249" t="s">
        <v>1128</v>
      </c>
      <c r="B249" t="s">
        <v>1684</v>
      </c>
      <c r="C249" t="s">
        <v>1723</v>
      </c>
      <c r="D249" t="s">
        <v>1724</v>
      </c>
      <c r="H249">
        <v>6.7</v>
      </c>
      <c r="M249">
        <v>9.3000000000000007</v>
      </c>
      <c r="R249">
        <v>11.4</v>
      </c>
      <c r="W249">
        <v>17.8</v>
      </c>
      <c r="AB249">
        <v>22.4</v>
      </c>
      <c r="AG249">
        <v>31.1</v>
      </c>
      <c r="AL249">
        <v>34.5</v>
      </c>
      <c r="AQ249">
        <v>37.700000000000003</v>
      </c>
      <c r="AV249">
        <v>42.5</v>
      </c>
      <c r="AW249">
        <v>43.1</v>
      </c>
      <c r="BA249">
        <v>46</v>
      </c>
      <c r="BF249">
        <v>47.4</v>
      </c>
      <c r="BG249">
        <v>47.4</v>
      </c>
      <c r="BK249">
        <v>49</v>
      </c>
      <c r="BN249" s="86"/>
    </row>
    <row r="250" spans="1:66" hidden="1" x14ac:dyDescent="0.45">
      <c r="A250" t="s">
        <v>1685</v>
      </c>
      <c r="B250" t="s">
        <v>1686</v>
      </c>
      <c r="C250" t="s">
        <v>1723</v>
      </c>
      <c r="D250" t="s">
        <v>1724</v>
      </c>
      <c r="AZ250">
        <v>22.4</v>
      </c>
      <c r="BN250" s="86"/>
    </row>
    <row r="251" spans="1:66" hidden="1" x14ac:dyDescent="0.45">
      <c r="A251" t="s">
        <v>1687</v>
      </c>
      <c r="B251" t="s">
        <v>1688</v>
      </c>
      <c r="C251" t="s">
        <v>1723</v>
      </c>
      <c r="D251" t="s">
        <v>1724</v>
      </c>
      <c r="AK251">
        <v>6.6</v>
      </c>
      <c r="AM251">
        <v>13.1</v>
      </c>
      <c r="AO251">
        <v>13.3</v>
      </c>
      <c r="AR251">
        <v>18.8</v>
      </c>
      <c r="AW251">
        <v>23.4</v>
      </c>
      <c r="AX251">
        <v>20</v>
      </c>
      <c r="BC251">
        <v>27.4</v>
      </c>
      <c r="BI251">
        <v>32</v>
      </c>
      <c r="BN251" s="86"/>
    </row>
    <row r="252" spans="1:66" hidden="1" x14ac:dyDescent="0.45">
      <c r="A252" t="s">
        <v>604</v>
      </c>
      <c r="B252" t="s">
        <v>1689</v>
      </c>
      <c r="C252" t="s">
        <v>1723</v>
      </c>
      <c r="D252" t="s">
        <v>1724</v>
      </c>
      <c r="AH252">
        <v>2.5</v>
      </c>
      <c r="AN252">
        <v>7.8</v>
      </c>
      <c r="AT252">
        <v>18.2</v>
      </c>
      <c r="AX252">
        <v>18.7</v>
      </c>
      <c r="AY252">
        <v>17.899999999999999</v>
      </c>
      <c r="BD252">
        <v>26</v>
      </c>
      <c r="BG252">
        <v>25.3</v>
      </c>
      <c r="BH252">
        <v>29.5</v>
      </c>
      <c r="BI252">
        <v>34.5</v>
      </c>
      <c r="BJ252">
        <v>33.882523083517803</v>
      </c>
      <c r="BK252">
        <v>36.299999999999997</v>
      </c>
      <c r="BN252" s="86"/>
    </row>
    <row r="253" spans="1:66" hidden="1" x14ac:dyDescent="0.45">
      <c r="A253" t="s">
        <v>1243</v>
      </c>
      <c r="B253" t="s">
        <v>1690</v>
      </c>
      <c r="C253" t="s">
        <v>1723</v>
      </c>
      <c r="D253" t="s">
        <v>1724</v>
      </c>
      <c r="AR253">
        <v>37.6</v>
      </c>
      <c r="AX253">
        <v>58.5</v>
      </c>
      <c r="AZ253">
        <v>47.5</v>
      </c>
      <c r="BE253">
        <v>47.8</v>
      </c>
      <c r="BN253" s="86"/>
    </row>
    <row r="254" spans="1:66" hidden="1" x14ac:dyDescent="0.45">
      <c r="A254" t="s">
        <v>1691</v>
      </c>
      <c r="B254" t="s">
        <v>1692</v>
      </c>
      <c r="C254" t="s">
        <v>1723</v>
      </c>
      <c r="D254" t="s">
        <v>1724</v>
      </c>
      <c r="AI254">
        <v>75.194862660775925</v>
      </c>
      <c r="AS254">
        <v>77.254867767247703</v>
      </c>
      <c r="BJ254">
        <v>73.097506712649249</v>
      </c>
      <c r="BN254" s="86"/>
    </row>
    <row r="255" spans="1:66" hidden="1" x14ac:dyDescent="0.45">
      <c r="A255" t="s">
        <v>1210</v>
      </c>
      <c r="B255" t="s">
        <v>1693</v>
      </c>
      <c r="C255" t="s">
        <v>1723</v>
      </c>
      <c r="D255" t="s">
        <v>1724</v>
      </c>
      <c r="AE255">
        <v>72.400000000000006</v>
      </c>
      <c r="AW255">
        <v>74.8</v>
      </c>
      <c r="BH255">
        <v>78.274219633171299</v>
      </c>
      <c r="BN255" s="86"/>
    </row>
    <row r="256" spans="1:66" hidden="1" x14ac:dyDescent="0.45">
      <c r="A256" t="s">
        <v>1694</v>
      </c>
      <c r="B256" t="s">
        <v>1695</v>
      </c>
      <c r="C256" t="s">
        <v>1723</v>
      </c>
      <c r="D256" t="s">
        <v>1724</v>
      </c>
      <c r="J256">
        <v>49.1</v>
      </c>
      <c r="O256">
        <v>56.8</v>
      </c>
      <c r="R256">
        <v>63.5</v>
      </c>
      <c r="T256">
        <v>73.2</v>
      </c>
      <c r="U256">
        <v>60.5</v>
      </c>
      <c r="AA256">
        <v>64</v>
      </c>
      <c r="AG256">
        <v>69.099999999999994</v>
      </c>
      <c r="AI256">
        <v>66.599999999999994</v>
      </c>
      <c r="AN256">
        <v>70.5</v>
      </c>
      <c r="AU256">
        <v>68.099999999999994</v>
      </c>
      <c r="AZ256">
        <v>71.599999999999994</v>
      </c>
      <c r="BA256">
        <v>71.599999999999994</v>
      </c>
      <c r="BC256">
        <v>70.400000000000006</v>
      </c>
      <c r="BE256">
        <v>70.099999999999994</v>
      </c>
      <c r="BF256">
        <v>70.099999999999994</v>
      </c>
      <c r="BG256">
        <v>63.103960000000001</v>
      </c>
      <c r="BH256">
        <v>63.103960000000001</v>
      </c>
      <c r="BI256">
        <v>67.718811215185795</v>
      </c>
      <c r="BJ256">
        <v>67.718811215185795</v>
      </c>
      <c r="BL256">
        <v>66.099999999999994</v>
      </c>
      <c r="BN256" s="86"/>
    </row>
    <row r="257" spans="1:66" hidden="1" x14ac:dyDescent="0.45">
      <c r="A257" t="s">
        <v>1137</v>
      </c>
      <c r="B257" t="s">
        <v>1696</v>
      </c>
      <c r="C257" t="s">
        <v>1723</v>
      </c>
      <c r="D257" t="s">
        <v>1724</v>
      </c>
      <c r="AO257">
        <v>51.3</v>
      </c>
      <c r="AS257">
        <v>63.6</v>
      </c>
      <c r="AU257">
        <v>62.8</v>
      </c>
      <c r="AY257">
        <v>61.9</v>
      </c>
      <c r="BN257" s="86"/>
    </row>
    <row r="258" spans="1:66" hidden="1" x14ac:dyDescent="0.45">
      <c r="A258" t="s">
        <v>1697</v>
      </c>
      <c r="B258" t="s">
        <v>1698</v>
      </c>
      <c r="C258" t="s">
        <v>1723</v>
      </c>
      <c r="D258" t="s">
        <v>1724</v>
      </c>
      <c r="Z258">
        <v>51.6</v>
      </c>
      <c r="AG258">
        <v>55.9</v>
      </c>
      <c r="BN258" s="86"/>
    </row>
    <row r="259" spans="1:66" hidden="1" x14ac:dyDescent="0.45">
      <c r="A259" t="s">
        <v>1699</v>
      </c>
      <c r="B259" t="s">
        <v>1700</v>
      </c>
      <c r="C259" t="s">
        <v>1723</v>
      </c>
      <c r="D259" t="s">
        <v>1724</v>
      </c>
      <c r="V259">
        <v>46.1</v>
      </c>
      <c r="AL259">
        <v>54.5</v>
      </c>
      <c r="AQ259">
        <v>61.7</v>
      </c>
      <c r="BN259" s="86"/>
    </row>
    <row r="260" spans="1:66" hidden="1" x14ac:dyDescent="0.45">
      <c r="A260" t="s">
        <v>1701</v>
      </c>
      <c r="B260" t="s">
        <v>1702</v>
      </c>
      <c r="C260" t="s">
        <v>1723</v>
      </c>
      <c r="D260" t="s">
        <v>1724</v>
      </c>
      <c r="BN260" s="86"/>
    </row>
    <row r="261" spans="1:66" hidden="1" x14ac:dyDescent="0.45">
      <c r="A261" t="s">
        <v>1703</v>
      </c>
      <c r="B261" t="s">
        <v>1704</v>
      </c>
      <c r="C261" t="s">
        <v>1723</v>
      </c>
      <c r="D261" t="s">
        <v>1724</v>
      </c>
      <c r="AU261">
        <v>72.599999999999994</v>
      </c>
      <c r="BN261" s="86"/>
    </row>
    <row r="262" spans="1:66" hidden="1" x14ac:dyDescent="0.45">
      <c r="A262" t="s">
        <v>1705</v>
      </c>
      <c r="B262" t="s">
        <v>1706</v>
      </c>
      <c r="C262" t="s">
        <v>1723</v>
      </c>
      <c r="D262" t="s">
        <v>1724</v>
      </c>
      <c r="AG262">
        <v>37.700000000000003</v>
      </c>
      <c r="AM262">
        <v>43.8</v>
      </c>
      <c r="AP262">
        <v>55.8</v>
      </c>
      <c r="AQ262">
        <v>57.9</v>
      </c>
      <c r="AS262">
        <v>56.2</v>
      </c>
      <c r="AT262">
        <v>61.1</v>
      </c>
      <c r="AU262">
        <v>56.7</v>
      </c>
      <c r="AV262">
        <v>63.5</v>
      </c>
      <c r="AW262">
        <v>64.599999999999994</v>
      </c>
      <c r="AX262">
        <v>65.7</v>
      </c>
      <c r="AY262">
        <v>61</v>
      </c>
      <c r="AZ262">
        <v>68.2</v>
      </c>
      <c r="BA262">
        <v>68.8</v>
      </c>
      <c r="BC262">
        <v>67.5</v>
      </c>
      <c r="BD262">
        <v>60</v>
      </c>
      <c r="BE262">
        <v>66.599999999999994</v>
      </c>
      <c r="BF262">
        <v>67.099999999999994</v>
      </c>
      <c r="BG262">
        <v>57</v>
      </c>
      <c r="BH262">
        <v>65</v>
      </c>
      <c r="BI262">
        <v>66.400000000000006</v>
      </c>
      <c r="BK262">
        <v>65.599999999999994</v>
      </c>
      <c r="BL262">
        <v>66.5</v>
      </c>
      <c r="BN262" s="86"/>
    </row>
    <row r="263" spans="1:66" hidden="1" x14ac:dyDescent="0.45">
      <c r="A263" t="s">
        <v>1221</v>
      </c>
      <c r="B263" t="s">
        <v>1707</v>
      </c>
      <c r="C263" t="s">
        <v>1723</v>
      </c>
      <c r="D263" t="s">
        <v>1724</v>
      </c>
      <c r="AC263">
        <v>20.8</v>
      </c>
      <c r="AN263">
        <v>32.1</v>
      </c>
      <c r="AZ263">
        <v>37</v>
      </c>
      <c r="BF263">
        <v>37.1</v>
      </c>
      <c r="BN263" s="86"/>
    </row>
    <row r="264" spans="1:66" hidden="1" x14ac:dyDescent="0.45">
      <c r="A264" t="s">
        <v>1017</v>
      </c>
      <c r="B264" t="s">
        <v>1708</v>
      </c>
      <c r="C264" t="s">
        <v>1723</v>
      </c>
      <c r="D264" t="s">
        <v>1724</v>
      </c>
      <c r="AI264">
        <v>53.495480705570358</v>
      </c>
      <c r="AS264">
        <v>55.41656771461178</v>
      </c>
      <c r="BC264">
        <v>48.415906173198515</v>
      </c>
      <c r="BJ264">
        <v>53.803504118733848</v>
      </c>
      <c r="BN264" s="86"/>
    </row>
    <row r="265" spans="1:66" hidden="1" x14ac:dyDescent="0.45">
      <c r="A265" t="s">
        <v>1228</v>
      </c>
      <c r="B265" t="s">
        <v>1709</v>
      </c>
      <c r="C265" t="s">
        <v>1723</v>
      </c>
      <c r="D265" t="s">
        <v>1724</v>
      </c>
      <c r="AQ265">
        <v>23.2</v>
      </c>
      <c r="BB265">
        <v>26.7</v>
      </c>
      <c r="BG265">
        <v>24.3</v>
      </c>
      <c r="BN265" s="86"/>
    </row>
    <row r="266" spans="1:66" hidden="1" x14ac:dyDescent="0.45">
      <c r="A266" t="s">
        <v>1710</v>
      </c>
      <c r="B266" t="s">
        <v>1711</v>
      </c>
      <c r="C266" t="s">
        <v>1723</v>
      </c>
      <c r="D266" t="s">
        <v>1724</v>
      </c>
      <c r="BN266" s="86"/>
    </row>
    <row r="267" spans="1:66" hidden="1" x14ac:dyDescent="0.45">
      <c r="A267" t="s">
        <v>1712</v>
      </c>
      <c r="B267" t="s">
        <v>1713</v>
      </c>
      <c r="C267" t="s">
        <v>1723</v>
      </c>
      <c r="D267" t="s">
        <v>1724</v>
      </c>
      <c r="X267">
        <v>1.6</v>
      </c>
      <c r="AK267">
        <v>6.1</v>
      </c>
      <c r="AP267">
        <v>9.8000000000000007</v>
      </c>
      <c r="AV267">
        <v>13.4</v>
      </c>
      <c r="AY267">
        <v>19.2</v>
      </c>
      <c r="BF267">
        <v>25.2</v>
      </c>
      <c r="BN267" s="86"/>
    </row>
    <row r="268" spans="1:66" hidden="1" x14ac:dyDescent="0.45">
      <c r="A268" t="s">
        <v>602</v>
      </c>
      <c r="B268" t="s">
        <v>1714</v>
      </c>
      <c r="C268" t="s">
        <v>1723</v>
      </c>
      <c r="D268" t="s">
        <v>1724</v>
      </c>
      <c r="AG268">
        <v>48.4</v>
      </c>
      <c r="AH268">
        <v>48.4</v>
      </c>
      <c r="AQ268">
        <v>55.1</v>
      </c>
      <c r="AV268">
        <v>59.8</v>
      </c>
      <c r="AW268">
        <v>59.8</v>
      </c>
      <c r="BI268">
        <v>54</v>
      </c>
      <c r="BN268" s="86"/>
    </row>
    <row r="269" spans="1:66" hidden="1" x14ac:dyDescent="0.45">
      <c r="A269" t="s">
        <v>606</v>
      </c>
      <c r="B269" t="s">
        <v>1715</v>
      </c>
      <c r="C269" t="s">
        <v>1723</v>
      </c>
      <c r="D269" t="s">
        <v>1724</v>
      </c>
      <c r="AK269">
        <v>8.9</v>
      </c>
      <c r="AO269">
        <v>14.4</v>
      </c>
      <c r="AP269">
        <v>14.4</v>
      </c>
      <c r="AR269">
        <v>18.5</v>
      </c>
      <c r="AU269">
        <v>25.3</v>
      </c>
      <c r="AZ269">
        <v>32.700000000000003</v>
      </c>
      <c r="BG269">
        <v>44.7</v>
      </c>
      <c r="BK269">
        <v>47.5</v>
      </c>
      <c r="BN269" s="86"/>
    </row>
    <row r="270" spans="1:66" hidden="1" x14ac:dyDescent="0.45">
      <c r="A270" t="s">
        <v>607</v>
      </c>
      <c r="B270" t="s">
        <v>1716</v>
      </c>
      <c r="C270" t="s">
        <v>1723</v>
      </c>
      <c r="D270" t="s">
        <v>1724</v>
      </c>
      <c r="AC270">
        <v>26.6</v>
      </c>
      <c r="AG270">
        <v>36.1</v>
      </c>
      <c r="AH270">
        <v>36.1</v>
      </c>
      <c r="AM270">
        <v>42.2</v>
      </c>
      <c r="AR270">
        <v>50.4</v>
      </c>
      <c r="AY270">
        <v>58.4</v>
      </c>
      <c r="BB270">
        <v>63</v>
      </c>
      <c r="BD270">
        <v>57.3</v>
      </c>
      <c r="BG270">
        <v>66.5</v>
      </c>
      <c r="BH270">
        <v>65.8</v>
      </c>
      <c r="BN270" s="86"/>
    </row>
    <row r="271" spans="1:66" s="1" customFormat="1" hidden="1" x14ac:dyDescent="0.45">
      <c r="BN271" s="87"/>
    </row>
    <row r="272" spans="1:66" s="1" customFormat="1" x14ac:dyDescent="0.45">
      <c r="BH272" s="1">
        <f>'unmet need'!BH77</f>
        <v>24.4</v>
      </c>
      <c r="BI272" s="1">
        <f>'unmet need'!BI77</f>
        <v>22.3</v>
      </c>
      <c r="BJ272" s="1">
        <f>'unmet need'!BJ77</f>
        <v>22.724205180569701</v>
      </c>
      <c r="BK272" s="1">
        <f>'unmet need'!BK77</f>
        <v>20.6</v>
      </c>
      <c r="BN272" s="87" t="s">
        <v>1726</v>
      </c>
    </row>
    <row r="273" spans="8:66" s="1" customFormat="1" x14ac:dyDescent="0.45">
      <c r="BH273" s="1">
        <f>BH272+BH77</f>
        <v>60.3</v>
      </c>
      <c r="BI273" s="1">
        <f>BI272+BI77</f>
        <v>57.400000000000006</v>
      </c>
      <c r="BJ273" s="1">
        <f>BJ272+BJ77</f>
        <v>58.045380301448304</v>
      </c>
      <c r="BK273" s="1">
        <f>BK272+BK77</f>
        <v>58.4</v>
      </c>
      <c r="BN273" s="87" t="s">
        <v>1727</v>
      </c>
    </row>
    <row r="274" spans="8:66" s="1" customFormat="1" x14ac:dyDescent="0.45">
      <c r="I274" s="1" t="s">
        <v>1719</v>
      </c>
      <c r="BN274" s="87" t="s">
        <v>1728</v>
      </c>
    </row>
    <row r="275" spans="8:66" s="1" customFormat="1" x14ac:dyDescent="0.45">
      <c r="H275">
        <v>2020</v>
      </c>
      <c r="I275" s="156">
        <f>BL77*$BM$276</f>
        <v>41.231655893534402</v>
      </c>
    </row>
    <row r="276" spans="8:66" s="1" customFormat="1" x14ac:dyDescent="0.45">
      <c r="H276">
        <v>2021</v>
      </c>
      <c r="I276" s="156">
        <f t="shared" ref="I276:I295" si="0">I275*$BM$276</f>
        <v>41.976529573403212</v>
      </c>
      <c r="BB276" s="1" t="s">
        <v>1717</v>
      </c>
      <c r="BC276" s="155"/>
      <c r="BD276" s="155"/>
      <c r="BE276" s="155"/>
      <c r="BF276" s="155"/>
      <c r="BG276" s="155"/>
      <c r="BH276" s="155">
        <f>BH77/BG77</f>
        <v>0.88861386138613863</v>
      </c>
      <c r="BI276" s="155">
        <f>BI77/BH77</f>
        <v>0.97771587743732602</v>
      </c>
      <c r="BJ276" s="155">
        <f>BJ77/BI77</f>
        <v>1.0063012854951168</v>
      </c>
      <c r="BK276" s="155">
        <f>BK77/BJ77</f>
        <v>1.0701795699219572</v>
      </c>
      <c r="BL276" s="155">
        <f>BL77/BK77</f>
        <v>1.0714285714285716</v>
      </c>
      <c r="BM276" s="148">
        <f>AVERAGE(BI276:BK276)</f>
        <v>1.0180655776181333</v>
      </c>
      <c r="BN276" s="50" t="s">
        <v>1729</v>
      </c>
    </row>
    <row r="277" spans="8:66" s="1" customFormat="1" x14ac:dyDescent="0.45">
      <c r="H277">
        <v>2022</v>
      </c>
      <c r="I277" s="156">
        <f t="shared" si="0"/>
        <v>42.7348598265514</v>
      </c>
      <c r="BH277" s="155"/>
      <c r="BI277" s="155">
        <f>BI272/BH272</f>
        <v>0.91393442622950827</v>
      </c>
      <c r="BJ277" s="155">
        <f t="shared" ref="BJ277:BK277" si="1">BJ272/BI272</f>
        <v>1.0190226538372062</v>
      </c>
      <c r="BK277" s="155">
        <f t="shared" si="1"/>
        <v>0.90652235518512225</v>
      </c>
      <c r="BL277" s="155"/>
      <c r="BM277" s="148">
        <f>AVERAGE(BI277:BK277)</f>
        <v>0.94649314508394566</v>
      </c>
      <c r="BN277" s="50" t="s">
        <v>1730</v>
      </c>
    </row>
    <row r="278" spans="8:66" s="1" customFormat="1" x14ac:dyDescent="0.45">
      <c r="H278">
        <v>2023</v>
      </c>
      <c r="I278" s="156">
        <f t="shared" si="0"/>
        <v>43.506889753748013</v>
      </c>
      <c r="BH278" s="155"/>
      <c r="BI278" s="155">
        <f t="shared" ref="BI278:BK278" si="2">BI273/BH273</f>
        <v>0.95190713101160873</v>
      </c>
      <c r="BJ278" s="155">
        <f t="shared" si="2"/>
        <v>1.0112435592586813</v>
      </c>
      <c r="BK278" s="155">
        <f t="shared" si="2"/>
        <v>1.006109352660109</v>
      </c>
      <c r="BL278" s="155"/>
      <c r="BM278" s="148">
        <f>AVERAGE(BI278:BK278)</f>
        <v>0.98975334764346634</v>
      </c>
      <c r="BN278" s="50" t="s">
        <v>1731</v>
      </c>
    </row>
    <row r="279" spans="8:66" s="1" customFormat="1" x14ac:dyDescent="0.45">
      <c r="H279">
        <v>2024</v>
      </c>
      <c r="I279" s="156">
        <f t="shared" si="0"/>
        <v>44.292866847517914</v>
      </c>
    </row>
    <row r="280" spans="8:66" s="1" customFormat="1" x14ac:dyDescent="0.45">
      <c r="H280">
        <v>2025</v>
      </c>
      <c r="I280" s="156">
        <f t="shared" si="0"/>
        <v>45.093043071481389</v>
      </c>
    </row>
    <row r="281" spans="8:66" s="1" customFormat="1" x14ac:dyDescent="0.45">
      <c r="H281">
        <v>2026</v>
      </c>
      <c r="I281" s="156">
        <f t="shared" si="0"/>
        <v>45.907674941127063</v>
      </c>
    </row>
    <row r="282" spans="8:66" s="1" customFormat="1" x14ac:dyDescent="0.45">
      <c r="H282">
        <v>2027</v>
      </c>
      <c r="I282" s="156">
        <f t="shared" si="0"/>
        <v>46.737023606044026</v>
      </c>
    </row>
    <row r="283" spans="8:66" s="1" customFormat="1" x14ac:dyDescent="0.45">
      <c r="H283">
        <v>2028</v>
      </c>
      <c r="I283" s="156">
        <f t="shared" si="0"/>
        <v>47.581354933639545</v>
      </c>
    </row>
    <row r="284" spans="8:66" s="1" customFormat="1" x14ac:dyDescent="0.45">
      <c r="H284">
        <v>2029</v>
      </c>
      <c r="I284" s="156">
        <f t="shared" si="0"/>
        <v>48.440939594369162</v>
      </c>
    </row>
    <row r="285" spans="8:66" s="1" customFormat="1" x14ac:dyDescent="0.45">
      <c r="H285">
        <v>2030</v>
      </c>
      <c r="I285" s="156">
        <f t="shared" si="0"/>
        <v>49.316053148506548</v>
      </c>
    </row>
    <row r="286" spans="8:66" s="1" customFormat="1" x14ac:dyDescent="0.45">
      <c r="H286">
        <v>2031</v>
      </c>
      <c r="I286" s="156">
        <f t="shared" si="0"/>
        <v>50.206976134480882</v>
      </c>
    </row>
    <row r="287" spans="8:66" s="1" customFormat="1" x14ac:dyDescent="0.45">
      <c r="H287">
        <v>2032</v>
      </c>
      <c r="I287" s="156">
        <f t="shared" si="0"/>
        <v>51.113994158810115</v>
      </c>
    </row>
    <row r="288" spans="8:66" s="1" customFormat="1" x14ac:dyDescent="0.45">
      <c r="H288">
        <v>2033</v>
      </c>
      <c r="I288" s="156">
        <f t="shared" si="0"/>
        <v>52.037397987658913</v>
      </c>
    </row>
    <row r="289" spans="3:9" s="1" customFormat="1" x14ac:dyDescent="0.45">
      <c r="C289" s="49"/>
      <c r="D289" s="49"/>
      <c r="E289" s="49"/>
      <c r="H289">
        <v>2034</v>
      </c>
      <c r="I289" s="156">
        <f t="shared" si="0"/>
        <v>52.977483640050657</v>
      </c>
    </row>
    <row r="290" spans="3:9" s="1" customFormat="1" x14ac:dyDescent="0.45">
      <c r="C290" s="49"/>
      <c r="D290" s="49"/>
      <c r="E290" s="49"/>
      <c r="H290">
        <v>2035</v>
      </c>
      <c r="I290" s="156">
        <f t="shared" si="0"/>
        <v>53.93455248276338</v>
      </c>
    </row>
    <row r="291" spans="3:9" s="1" customFormat="1" x14ac:dyDescent="0.45">
      <c r="C291" s="49"/>
      <c r="D291" s="49"/>
      <c r="E291" s="49"/>
      <c r="H291">
        <v>2036</v>
      </c>
      <c r="I291" s="156">
        <f t="shared" si="0"/>
        <v>54.908911326940029</v>
      </c>
    </row>
    <row r="292" spans="3:9" s="1" customFormat="1" x14ac:dyDescent="0.45">
      <c r="H292">
        <v>2037</v>
      </c>
      <c r="I292" s="156">
        <f t="shared" si="0"/>
        <v>55.900872526444061</v>
      </c>
    </row>
    <row r="293" spans="3:9" s="1" customFormat="1" x14ac:dyDescent="0.45">
      <c r="H293">
        <v>2038</v>
      </c>
      <c r="I293" s="156">
        <f t="shared" si="0"/>
        <v>56.910754077991911</v>
      </c>
    </row>
    <row r="294" spans="3:9" s="1" customFormat="1" x14ac:dyDescent="0.45">
      <c r="H294">
        <v>2039</v>
      </c>
      <c r="I294" s="156">
        <f t="shared" si="0"/>
        <v>57.938879723094374</v>
      </c>
    </row>
    <row r="295" spans="3:9" s="1" customFormat="1" x14ac:dyDescent="0.45">
      <c r="H295">
        <v>2040</v>
      </c>
      <c r="I295" s="156">
        <f t="shared" si="0"/>
        <v>58.985579051839629</v>
      </c>
    </row>
    <row r="296" spans="3:9" s="1" customFormat="1" x14ac:dyDescent="0.45"/>
  </sheetData>
  <pageMargins left="0.7" right="0.7" top="0.75" bottom="0.75" header="0.3" footer="0.3"/>
  <headerFooter alignWithMargins="0"/>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EEFC3-5104-4B78-96F1-D428C48792DD}">
  <dimension ref="A1:BM270"/>
  <sheetViews>
    <sheetView workbookViewId="0">
      <selection activeCell="CB309" sqref="CB309"/>
    </sheetView>
  </sheetViews>
  <sheetFormatPr defaultRowHeight="14.25" x14ac:dyDescent="0.45"/>
  <cols>
    <col min="1" max="1" width="14.46484375" customWidth="1"/>
    <col min="2" max="2" width="25.53125" bestFit="1" customWidth="1"/>
    <col min="3" max="3" width="53" bestFit="1" customWidth="1"/>
    <col min="4" max="4" width="12.73046875" bestFit="1" customWidth="1"/>
    <col min="5" max="34" width="5" bestFit="1" customWidth="1"/>
    <col min="35" max="35" width="11.46484375" bestFit="1" customWidth="1"/>
    <col min="36" max="44" width="5" bestFit="1" customWidth="1"/>
    <col min="45" max="45" width="11.46484375" bestFit="1" customWidth="1"/>
    <col min="46" max="54" width="5" bestFit="1" customWidth="1"/>
    <col min="55" max="55" width="11.46484375" bestFit="1" customWidth="1"/>
    <col min="56" max="60" width="5" bestFit="1" customWidth="1"/>
    <col min="61" max="61" width="5.46484375" bestFit="1" customWidth="1"/>
    <col min="62" max="64" width="11.46484375" bestFit="1" customWidth="1"/>
    <col min="65" max="65" width="5" bestFit="1" customWidth="1"/>
  </cols>
  <sheetData>
    <row r="1" spans="1:65" x14ac:dyDescent="0.45">
      <c r="A1" t="s">
        <v>1283</v>
      </c>
      <c r="B1" t="s">
        <v>1284</v>
      </c>
    </row>
    <row r="2" spans="1:65" x14ac:dyDescent="0.45">
      <c r="A2" t="s">
        <v>1285</v>
      </c>
      <c r="B2" s="4">
        <v>44407</v>
      </c>
    </row>
    <row r="4" spans="1:65" x14ac:dyDescent="0.4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45">
      <c r="A5" t="s">
        <v>1173</v>
      </c>
      <c r="B5" t="s">
        <v>1351</v>
      </c>
      <c r="C5" t="s">
        <v>1732</v>
      </c>
      <c r="D5" t="s">
        <v>1733</v>
      </c>
    </row>
    <row r="6" spans="1:65" hidden="1" x14ac:dyDescent="0.45">
      <c r="A6" t="s">
        <v>1354</v>
      </c>
      <c r="B6" t="s">
        <v>1355</v>
      </c>
      <c r="C6" t="s">
        <v>1732</v>
      </c>
      <c r="D6" t="s">
        <v>1733</v>
      </c>
      <c r="BC6">
        <v>25.432069149232998</v>
      </c>
      <c r="BJ6">
        <v>22.321067933728632</v>
      </c>
    </row>
    <row r="7" spans="1:65" hidden="1" x14ac:dyDescent="0.45">
      <c r="A7" t="s">
        <v>1139</v>
      </c>
      <c r="B7" t="s">
        <v>1356</v>
      </c>
      <c r="C7" t="s">
        <v>1732</v>
      </c>
      <c r="D7" t="s">
        <v>1733</v>
      </c>
      <c r="BI7">
        <v>24.5</v>
      </c>
    </row>
    <row r="8" spans="1:65" hidden="1" x14ac:dyDescent="0.45">
      <c r="A8" t="s">
        <v>1357</v>
      </c>
      <c r="B8" t="s">
        <v>1358</v>
      </c>
      <c r="C8" t="s">
        <v>1732</v>
      </c>
      <c r="D8" t="s">
        <v>1733</v>
      </c>
      <c r="AI8">
        <v>23.558726346809131</v>
      </c>
      <c r="AS8">
        <v>23.690605164947261</v>
      </c>
      <c r="BC8">
        <v>22.771091977052873</v>
      </c>
      <c r="BJ8">
        <v>22.958818927252459</v>
      </c>
    </row>
    <row r="9" spans="1:65" hidden="1" x14ac:dyDescent="0.45">
      <c r="A9" t="s">
        <v>1078</v>
      </c>
      <c r="B9" t="s">
        <v>1359</v>
      </c>
      <c r="C9" t="s">
        <v>1732</v>
      </c>
      <c r="D9" t="s">
        <v>1733</v>
      </c>
      <c r="BI9">
        <v>38</v>
      </c>
    </row>
    <row r="10" spans="1:65" hidden="1" x14ac:dyDescent="0.45">
      <c r="A10" t="s">
        <v>1257</v>
      </c>
      <c r="B10" t="s">
        <v>1360</v>
      </c>
      <c r="C10" t="s">
        <v>1732</v>
      </c>
      <c r="D10" t="s">
        <v>1733</v>
      </c>
      <c r="BB10">
        <v>12.9</v>
      </c>
      <c r="BK10">
        <v>15.1</v>
      </c>
    </row>
    <row r="11" spans="1:65" hidden="1" x14ac:dyDescent="0.45">
      <c r="A11" t="s">
        <v>1361</v>
      </c>
      <c r="B11" t="s">
        <v>1362</v>
      </c>
      <c r="C11" t="s">
        <v>1732</v>
      </c>
      <c r="D11" t="s">
        <v>1733</v>
      </c>
    </row>
    <row r="12" spans="1:65" hidden="1" x14ac:dyDescent="0.45">
      <c r="A12" t="s">
        <v>1363</v>
      </c>
      <c r="B12" t="s">
        <v>1364</v>
      </c>
      <c r="C12" t="s">
        <v>1732</v>
      </c>
      <c r="D12" t="s">
        <v>1733</v>
      </c>
      <c r="BC12">
        <v>14.241775777841585</v>
      </c>
    </row>
    <row r="13" spans="1:65" hidden="1" x14ac:dyDescent="0.45">
      <c r="A13" t="s">
        <v>1129</v>
      </c>
      <c r="B13" t="s">
        <v>1365</v>
      </c>
      <c r="C13" t="s">
        <v>1732</v>
      </c>
      <c r="D13" t="s">
        <v>1733</v>
      </c>
    </row>
    <row r="14" spans="1:65" hidden="1" x14ac:dyDescent="0.45">
      <c r="A14" t="s">
        <v>1199</v>
      </c>
      <c r="B14" t="s">
        <v>1366</v>
      </c>
      <c r="C14" t="s">
        <v>1732</v>
      </c>
      <c r="D14" t="s">
        <v>1733</v>
      </c>
    </row>
    <row r="15" spans="1:65" hidden="1" x14ac:dyDescent="0.45">
      <c r="A15" t="s">
        <v>1113</v>
      </c>
      <c r="B15" t="s">
        <v>1367</v>
      </c>
      <c r="C15" t="s">
        <v>1732</v>
      </c>
      <c r="D15" t="s">
        <v>1733</v>
      </c>
      <c r="AS15">
        <v>18.100000000000001</v>
      </c>
      <c r="AX15">
        <v>19.3</v>
      </c>
      <c r="BC15">
        <v>13.5</v>
      </c>
      <c r="BH15">
        <v>12.5</v>
      </c>
      <c r="BI15">
        <v>12.5</v>
      </c>
    </row>
    <row r="16" spans="1:65" hidden="1" x14ac:dyDescent="0.45">
      <c r="A16" t="s">
        <v>1368</v>
      </c>
      <c r="B16" t="s">
        <v>1369</v>
      </c>
      <c r="C16" t="s">
        <v>1732</v>
      </c>
      <c r="D16" t="s">
        <v>1733</v>
      </c>
    </row>
    <row r="17" spans="1:65" hidden="1" x14ac:dyDescent="0.45">
      <c r="A17" t="s">
        <v>1172</v>
      </c>
      <c r="B17" t="s">
        <v>1370</v>
      </c>
      <c r="C17" t="s">
        <v>1732</v>
      </c>
      <c r="D17" t="s">
        <v>1733</v>
      </c>
    </row>
    <row r="18" spans="1:65" hidden="1" x14ac:dyDescent="0.45">
      <c r="A18" t="s">
        <v>1213</v>
      </c>
      <c r="B18" t="s">
        <v>1371</v>
      </c>
      <c r="C18" t="s">
        <v>1732</v>
      </c>
      <c r="D18" t="s">
        <v>1733</v>
      </c>
    </row>
    <row r="19" spans="1:65" hidden="1" x14ac:dyDescent="0.45">
      <c r="A19" t="s">
        <v>1270</v>
      </c>
      <c r="B19" t="s">
        <v>1372</v>
      </c>
      <c r="C19" t="s">
        <v>1732</v>
      </c>
      <c r="D19" t="s">
        <v>1733</v>
      </c>
    </row>
    <row r="20" spans="1:65" hidden="1" x14ac:dyDescent="0.45">
      <c r="A20" t="s">
        <v>1114</v>
      </c>
      <c r="B20" t="s">
        <v>1373</v>
      </c>
      <c r="C20" t="s">
        <v>1732</v>
      </c>
      <c r="D20" t="s">
        <v>1733</v>
      </c>
      <c r="AT20">
        <v>11.5</v>
      </c>
      <c r="AY20">
        <v>15.4</v>
      </c>
    </row>
    <row r="21" spans="1:65" hidden="1" x14ac:dyDescent="0.45">
      <c r="A21" t="s">
        <v>582</v>
      </c>
      <c r="B21" t="s">
        <v>1374</v>
      </c>
      <c r="C21" t="s">
        <v>1732</v>
      </c>
      <c r="D21" t="s">
        <v>1733</v>
      </c>
      <c r="AF21">
        <v>25.1</v>
      </c>
      <c r="AU21">
        <v>29</v>
      </c>
      <c r="BC21">
        <v>32.4</v>
      </c>
      <c r="BD21">
        <v>32.4</v>
      </c>
      <c r="BI21">
        <v>29.7</v>
      </c>
      <c r="BJ21">
        <v>29.7</v>
      </c>
    </row>
    <row r="22" spans="1:65" hidden="1" x14ac:dyDescent="0.45">
      <c r="A22" t="s">
        <v>1271</v>
      </c>
      <c r="B22" t="s">
        <v>1375</v>
      </c>
      <c r="C22" t="s">
        <v>1732</v>
      </c>
      <c r="D22" t="s">
        <v>1733</v>
      </c>
      <c r="AK22">
        <v>3.4</v>
      </c>
    </row>
    <row r="23" spans="1:65" hidden="1" x14ac:dyDescent="0.45">
      <c r="A23" t="s">
        <v>1088</v>
      </c>
      <c r="B23" t="s">
        <v>1376</v>
      </c>
      <c r="C23" t="s">
        <v>1732</v>
      </c>
      <c r="D23" t="s">
        <v>1733</v>
      </c>
      <c r="AO23">
        <v>27.7</v>
      </c>
      <c r="AT23">
        <v>27.9</v>
      </c>
      <c r="AY23">
        <v>27.3</v>
      </c>
      <c r="BE23">
        <v>32.6</v>
      </c>
      <c r="BG23">
        <v>33.1</v>
      </c>
      <c r="BK23">
        <v>32.299999999999997</v>
      </c>
    </row>
    <row r="24" spans="1:65" hidden="1" x14ac:dyDescent="0.45">
      <c r="A24" t="s">
        <v>1089</v>
      </c>
      <c r="B24" t="s">
        <v>1377</v>
      </c>
      <c r="C24" t="s">
        <v>1732</v>
      </c>
      <c r="D24" t="s">
        <v>1733</v>
      </c>
      <c r="AL24">
        <v>24.6</v>
      </c>
      <c r="AR24">
        <v>30.3</v>
      </c>
      <c r="AV24">
        <v>29.8</v>
      </c>
      <c r="BC24">
        <v>24.5</v>
      </c>
      <c r="BD24">
        <v>24.5</v>
      </c>
      <c r="BG24">
        <v>33</v>
      </c>
      <c r="BH24">
        <v>33</v>
      </c>
      <c r="BI24">
        <v>29.3</v>
      </c>
      <c r="BJ24">
        <v>29.0538985758878</v>
      </c>
      <c r="BK24">
        <v>22.798760533421401</v>
      </c>
      <c r="BL24">
        <v>23.3</v>
      </c>
      <c r="BM24">
        <v>26</v>
      </c>
    </row>
    <row r="25" spans="1:65" hidden="1" x14ac:dyDescent="0.45">
      <c r="A25" t="s">
        <v>1140</v>
      </c>
      <c r="B25" t="s">
        <v>1378</v>
      </c>
      <c r="C25" t="s">
        <v>1732</v>
      </c>
      <c r="D25" t="s">
        <v>1733</v>
      </c>
      <c r="AM25">
        <v>21.6</v>
      </c>
      <c r="AP25">
        <v>19.7</v>
      </c>
      <c r="AS25">
        <v>18.2</v>
      </c>
      <c r="AW25">
        <v>15</v>
      </c>
      <c r="AZ25">
        <v>16.8</v>
      </c>
      <c r="BD25">
        <v>13.5</v>
      </c>
      <c r="BF25">
        <v>13.9</v>
      </c>
      <c r="BG25">
        <v>12</v>
      </c>
      <c r="BL25">
        <v>13.7</v>
      </c>
    </row>
    <row r="26" spans="1:65" hidden="1" x14ac:dyDescent="0.45">
      <c r="A26" t="s">
        <v>1235</v>
      </c>
      <c r="B26" t="s">
        <v>1379</v>
      </c>
      <c r="C26" t="s">
        <v>1732</v>
      </c>
      <c r="D26" t="s">
        <v>1733</v>
      </c>
      <c r="AQ26">
        <v>29.7</v>
      </c>
    </row>
    <row r="27" spans="1:65" hidden="1" x14ac:dyDescent="0.45">
      <c r="A27" t="s">
        <v>1115</v>
      </c>
      <c r="B27" t="s">
        <v>1380</v>
      </c>
      <c r="C27" t="s">
        <v>1732</v>
      </c>
      <c r="D27" t="s">
        <v>1733</v>
      </c>
    </row>
    <row r="28" spans="1:65" hidden="1" x14ac:dyDescent="0.45">
      <c r="A28" t="s">
        <v>1381</v>
      </c>
      <c r="B28" t="s">
        <v>1382</v>
      </c>
      <c r="C28" t="s">
        <v>1732</v>
      </c>
      <c r="D28" t="s">
        <v>1733</v>
      </c>
    </row>
    <row r="29" spans="1:65" hidden="1" x14ac:dyDescent="0.45">
      <c r="A29" t="s">
        <v>1258</v>
      </c>
      <c r="B29" t="s">
        <v>1383</v>
      </c>
      <c r="C29" t="s">
        <v>1732</v>
      </c>
      <c r="D29" t="s">
        <v>1733</v>
      </c>
      <c r="BE29">
        <v>9</v>
      </c>
    </row>
    <row r="30" spans="1:65" hidden="1" x14ac:dyDescent="0.45">
      <c r="A30" t="s">
        <v>1234</v>
      </c>
      <c r="B30" t="s">
        <v>1384</v>
      </c>
      <c r="C30" t="s">
        <v>1732</v>
      </c>
      <c r="D30" t="s">
        <v>1733</v>
      </c>
      <c r="BE30">
        <v>7</v>
      </c>
    </row>
    <row r="31" spans="1:65" hidden="1" x14ac:dyDescent="0.45">
      <c r="A31" t="s">
        <v>1190</v>
      </c>
      <c r="B31" t="s">
        <v>1385</v>
      </c>
      <c r="C31" t="s">
        <v>1732</v>
      </c>
      <c r="D31" t="s">
        <v>1733</v>
      </c>
      <c r="AJ31">
        <v>25.7</v>
      </c>
      <c r="AR31">
        <v>20.8</v>
      </c>
      <c r="BD31">
        <v>15.9</v>
      </c>
      <c r="BI31">
        <v>22.2</v>
      </c>
    </row>
    <row r="32" spans="1:65" hidden="1" x14ac:dyDescent="0.45">
      <c r="A32" t="s">
        <v>1386</v>
      </c>
      <c r="B32" t="s">
        <v>1387</v>
      </c>
      <c r="C32" t="s">
        <v>1732</v>
      </c>
      <c r="D32" t="s">
        <v>1733</v>
      </c>
    </row>
    <row r="33" spans="1:64" hidden="1" x14ac:dyDescent="0.45">
      <c r="A33" t="s">
        <v>1388</v>
      </c>
      <c r="B33" t="s">
        <v>1389</v>
      </c>
      <c r="C33" t="s">
        <v>1732</v>
      </c>
      <c r="D33" t="s">
        <v>1733</v>
      </c>
      <c r="AH33">
        <v>35.700000000000003</v>
      </c>
      <c r="AM33">
        <v>28.9</v>
      </c>
      <c r="AQ33">
        <v>26.6</v>
      </c>
      <c r="AV33">
        <v>22.8</v>
      </c>
      <c r="AW33">
        <v>22.8</v>
      </c>
      <c r="BA33">
        <v>20.100000000000001</v>
      </c>
      <c r="BI33">
        <v>23.2</v>
      </c>
    </row>
    <row r="34" spans="1:64" hidden="1" x14ac:dyDescent="0.45">
      <c r="A34" t="s">
        <v>1201</v>
      </c>
      <c r="B34" t="s">
        <v>1390</v>
      </c>
      <c r="C34" t="s">
        <v>1732</v>
      </c>
      <c r="D34" t="s">
        <v>1733</v>
      </c>
      <c r="AE34">
        <v>12.8</v>
      </c>
      <c r="AO34">
        <v>10.8</v>
      </c>
      <c r="AY34">
        <v>6</v>
      </c>
      <c r="AZ34">
        <v>6</v>
      </c>
    </row>
    <row r="35" spans="1:64" hidden="1" x14ac:dyDescent="0.45">
      <c r="A35" t="s">
        <v>1175</v>
      </c>
      <c r="B35" t="s">
        <v>1391</v>
      </c>
      <c r="C35" t="s">
        <v>1732</v>
      </c>
      <c r="D35" t="s">
        <v>1733</v>
      </c>
      <c r="BE35">
        <v>19.899999999999999</v>
      </c>
    </row>
    <row r="36" spans="1:64" hidden="1" x14ac:dyDescent="0.45">
      <c r="A36" t="s">
        <v>1159</v>
      </c>
      <c r="B36" t="s">
        <v>1392</v>
      </c>
      <c r="C36" t="s">
        <v>1732</v>
      </c>
      <c r="D36" t="s">
        <v>1733</v>
      </c>
    </row>
    <row r="37" spans="1:64" hidden="1" x14ac:dyDescent="0.45">
      <c r="A37" t="s">
        <v>1141</v>
      </c>
      <c r="B37" t="s">
        <v>1393</v>
      </c>
      <c r="C37" t="s">
        <v>1732</v>
      </c>
      <c r="D37" t="s">
        <v>1733</v>
      </c>
      <c r="BC37">
        <v>11.7</v>
      </c>
    </row>
    <row r="38" spans="1:64" hidden="1" x14ac:dyDescent="0.45">
      <c r="A38" t="s">
        <v>580</v>
      </c>
      <c r="B38" t="s">
        <v>1394</v>
      </c>
      <c r="C38" t="s">
        <v>1732</v>
      </c>
      <c r="D38" t="s">
        <v>1733</v>
      </c>
      <c r="AG38">
        <v>26.9</v>
      </c>
      <c r="AZ38">
        <v>9.6</v>
      </c>
      <c r="BA38">
        <v>9.6</v>
      </c>
    </row>
    <row r="39" spans="1:64" hidden="1" x14ac:dyDescent="0.45">
      <c r="A39" t="s">
        <v>584</v>
      </c>
      <c r="B39" t="s">
        <v>1395</v>
      </c>
      <c r="C39" t="s">
        <v>1732</v>
      </c>
      <c r="D39" t="s">
        <v>1733</v>
      </c>
      <c r="AN39">
        <v>19.100000000000001</v>
      </c>
      <c r="BC39">
        <v>27</v>
      </c>
      <c r="BD39">
        <v>27</v>
      </c>
      <c r="BL39">
        <v>37.6</v>
      </c>
    </row>
    <row r="40" spans="1:64" hidden="1" x14ac:dyDescent="0.45">
      <c r="A40" t="s">
        <v>1278</v>
      </c>
      <c r="B40" t="s">
        <v>1396</v>
      </c>
      <c r="C40" t="s">
        <v>1732</v>
      </c>
      <c r="D40" t="s">
        <v>1733</v>
      </c>
    </row>
    <row r="41" spans="1:64" hidden="1" x14ac:dyDescent="0.45">
      <c r="A41" t="s">
        <v>1397</v>
      </c>
      <c r="B41" t="s">
        <v>1398</v>
      </c>
      <c r="C41" t="s">
        <v>1732</v>
      </c>
      <c r="D41" t="s">
        <v>1733</v>
      </c>
    </row>
    <row r="42" spans="1:64" hidden="1" x14ac:dyDescent="0.45">
      <c r="A42" t="s">
        <v>1276</v>
      </c>
      <c r="B42" t="s">
        <v>1399</v>
      </c>
      <c r="C42" t="s">
        <v>1732</v>
      </c>
      <c r="D42" t="s">
        <v>1733</v>
      </c>
    </row>
    <row r="43" spans="1:64" hidden="1" x14ac:dyDescent="0.45">
      <c r="A43" t="s">
        <v>1245</v>
      </c>
      <c r="B43" t="s">
        <v>1400</v>
      </c>
      <c r="C43" t="s">
        <v>1732</v>
      </c>
      <c r="D43" t="s">
        <v>1733</v>
      </c>
    </row>
    <row r="44" spans="1:64" hidden="1" x14ac:dyDescent="0.45">
      <c r="A44" t="s">
        <v>1202</v>
      </c>
      <c r="B44" t="s">
        <v>1401</v>
      </c>
      <c r="C44" t="s">
        <v>1732</v>
      </c>
      <c r="D44" t="s">
        <v>1733</v>
      </c>
    </row>
    <row r="45" spans="1:64" hidden="1" x14ac:dyDescent="0.45">
      <c r="A45" t="s">
        <v>1150</v>
      </c>
      <c r="B45" t="s">
        <v>1402</v>
      </c>
      <c r="C45" t="s">
        <v>1732</v>
      </c>
      <c r="D45" t="s">
        <v>1733</v>
      </c>
      <c r="AK45">
        <v>3.3</v>
      </c>
      <c r="AP45">
        <v>2.7</v>
      </c>
      <c r="AT45">
        <v>2.2999999999999998</v>
      </c>
    </row>
    <row r="46" spans="1:64" hidden="1" x14ac:dyDescent="0.45">
      <c r="A46" t="s">
        <v>1403</v>
      </c>
      <c r="B46" t="s">
        <v>1404</v>
      </c>
      <c r="C46" t="s">
        <v>1732</v>
      </c>
      <c r="D46" t="s">
        <v>1733</v>
      </c>
      <c r="AM46">
        <v>30.4</v>
      </c>
      <c r="AR46">
        <v>28.9</v>
      </c>
      <c r="BE46">
        <v>27.1</v>
      </c>
      <c r="BI46">
        <v>30.5</v>
      </c>
      <c r="BJ46">
        <v>32.856492245041203</v>
      </c>
      <c r="BK46">
        <v>26.5</v>
      </c>
    </row>
    <row r="47" spans="1:64" hidden="1" x14ac:dyDescent="0.45">
      <c r="A47" t="s">
        <v>1079</v>
      </c>
      <c r="B47" t="s">
        <v>1405</v>
      </c>
      <c r="C47" t="s">
        <v>1732</v>
      </c>
      <c r="D47" t="s">
        <v>1733</v>
      </c>
      <c r="AJ47">
        <v>22.4</v>
      </c>
      <c r="AQ47">
        <v>20.7</v>
      </c>
      <c r="AW47">
        <v>20.5</v>
      </c>
      <c r="BD47">
        <v>23.5</v>
      </c>
      <c r="BG47">
        <v>18</v>
      </c>
      <c r="BK47">
        <v>23</v>
      </c>
    </row>
    <row r="48" spans="1:64" hidden="1" x14ac:dyDescent="0.45">
      <c r="A48" t="s">
        <v>1406</v>
      </c>
      <c r="B48" t="s">
        <v>1407</v>
      </c>
      <c r="C48" t="s">
        <v>1732</v>
      </c>
      <c r="D48" t="s">
        <v>1733</v>
      </c>
      <c r="AZ48">
        <v>26.9</v>
      </c>
      <c r="BC48">
        <v>24.2</v>
      </c>
      <c r="BG48">
        <v>27.7</v>
      </c>
      <c r="BK48">
        <v>28.7</v>
      </c>
    </row>
    <row r="49" spans="1:64" hidden="1" x14ac:dyDescent="0.45">
      <c r="A49" t="s">
        <v>1408</v>
      </c>
      <c r="B49" t="s">
        <v>1409</v>
      </c>
      <c r="C49" t="s">
        <v>1732</v>
      </c>
      <c r="D49" t="s">
        <v>1733</v>
      </c>
      <c r="AX49">
        <v>19.5</v>
      </c>
      <c r="BE49">
        <v>18.2</v>
      </c>
      <c r="BH49">
        <v>17.899999999999999</v>
      </c>
    </row>
    <row r="50" spans="1:64" hidden="1" x14ac:dyDescent="0.45">
      <c r="A50" t="s">
        <v>1203</v>
      </c>
      <c r="B50" t="s">
        <v>1410</v>
      </c>
      <c r="C50" t="s">
        <v>1732</v>
      </c>
      <c r="D50" t="s">
        <v>1733</v>
      </c>
      <c r="AE50">
        <v>13.5</v>
      </c>
      <c r="AI50">
        <v>13.7</v>
      </c>
      <c r="AN50">
        <v>11.4</v>
      </c>
      <c r="AS50">
        <v>10</v>
      </c>
      <c r="AX50">
        <v>8.6</v>
      </c>
      <c r="BC50">
        <v>8</v>
      </c>
      <c r="BH50">
        <v>7</v>
      </c>
      <c r="BI50">
        <v>6.7</v>
      </c>
    </row>
    <row r="51" spans="1:64" hidden="1" x14ac:dyDescent="0.45">
      <c r="A51" t="s">
        <v>1067</v>
      </c>
      <c r="B51" t="s">
        <v>1411</v>
      </c>
      <c r="C51" t="s">
        <v>1732</v>
      </c>
      <c r="D51" t="s">
        <v>1733</v>
      </c>
      <c r="AO51">
        <v>35.6</v>
      </c>
      <c r="BE51">
        <v>31.6</v>
      </c>
    </row>
    <row r="52" spans="1:64" hidden="1" x14ac:dyDescent="0.45">
      <c r="A52" t="s">
        <v>1090</v>
      </c>
      <c r="B52" t="s">
        <v>1412</v>
      </c>
      <c r="C52" t="s">
        <v>1732</v>
      </c>
      <c r="D52" t="s">
        <v>1733</v>
      </c>
      <c r="AQ52">
        <v>14.2</v>
      </c>
      <c r="AX52">
        <v>16.7</v>
      </c>
    </row>
    <row r="53" spans="1:64" hidden="1" x14ac:dyDescent="0.45">
      <c r="A53" t="s">
        <v>1191</v>
      </c>
      <c r="B53" t="s">
        <v>1413</v>
      </c>
      <c r="C53" t="s">
        <v>1732</v>
      </c>
      <c r="D53" t="s">
        <v>1733</v>
      </c>
      <c r="AL53">
        <v>5</v>
      </c>
      <c r="BC53">
        <v>11.7</v>
      </c>
      <c r="BD53">
        <v>7.6</v>
      </c>
      <c r="BK53">
        <v>13.7</v>
      </c>
    </row>
    <row r="54" spans="1:64" hidden="1" x14ac:dyDescent="0.45">
      <c r="A54" t="s">
        <v>1414</v>
      </c>
      <c r="B54" t="s">
        <v>1415</v>
      </c>
      <c r="C54" t="s">
        <v>1732</v>
      </c>
      <c r="D54" t="s">
        <v>1733</v>
      </c>
      <c r="BC54">
        <v>16.881390455074595</v>
      </c>
    </row>
    <row r="55" spans="1:64" hidden="1" x14ac:dyDescent="0.45">
      <c r="A55" t="s">
        <v>1176</v>
      </c>
      <c r="B55" t="s">
        <v>1416</v>
      </c>
      <c r="C55" t="s">
        <v>1732</v>
      </c>
      <c r="D55" t="s">
        <v>1733</v>
      </c>
      <c r="BD55">
        <v>9.1</v>
      </c>
      <c r="BG55">
        <v>8</v>
      </c>
      <c r="BL55">
        <v>8.7802372119324499</v>
      </c>
    </row>
    <row r="56" spans="1:64" hidden="1" x14ac:dyDescent="0.45">
      <c r="A56" t="s">
        <v>1417</v>
      </c>
      <c r="B56" t="s">
        <v>1418</v>
      </c>
      <c r="C56" t="s">
        <v>1732</v>
      </c>
      <c r="D56" t="s">
        <v>1733</v>
      </c>
    </row>
    <row r="57" spans="1:64" hidden="1" x14ac:dyDescent="0.45">
      <c r="A57" t="s">
        <v>1419</v>
      </c>
      <c r="B57" t="s">
        <v>1420</v>
      </c>
      <c r="C57" t="s">
        <v>1732</v>
      </c>
      <c r="D57" t="s">
        <v>1733</v>
      </c>
    </row>
    <row r="58" spans="1:64" hidden="1" x14ac:dyDescent="0.45">
      <c r="A58" t="s">
        <v>1116</v>
      </c>
      <c r="B58" t="s">
        <v>1421</v>
      </c>
      <c r="C58" t="s">
        <v>1732</v>
      </c>
      <c r="D58" t="s">
        <v>1733</v>
      </c>
    </row>
    <row r="59" spans="1:64" hidden="1" x14ac:dyDescent="0.45">
      <c r="A59" t="s">
        <v>1422</v>
      </c>
      <c r="B59" t="s">
        <v>1423</v>
      </c>
      <c r="C59" t="s">
        <v>1732</v>
      </c>
      <c r="D59" t="s">
        <v>1733</v>
      </c>
      <c r="AL59">
        <v>14.6</v>
      </c>
      <c r="AP59">
        <v>10.8</v>
      </c>
      <c r="AX59">
        <v>8.1</v>
      </c>
      <c r="BA59">
        <v>4.3</v>
      </c>
    </row>
    <row r="60" spans="1:64" hidden="1" x14ac:dyDescent="0.45">
      <c r="A60" t="s">
        <v>1273</v>
      </c>
      <c r="B60" t="s">
        <v>1424</v>
      </c>
      <c r="C60" t="s">
        <v>1732</v>
      </c>
      <c r="D60" t="s">
        <v>1733</v>
      </c>
    </row>
    <row r="61" spans="1:64" hidden="1" x14ac:dyDescent="0.45">
      <c r="A61" t="s">
        <v>1068</v>
      </c>
      <c r="B61" t="s">
        <v>1425</v>
      </c>
      <c r="C61" t="s">
        <v>1732</v>
      </c>
      <c r="D61" t="s">
        <v>1733</v>
      </c>
    </row>
    <row r="62" spans="1:64" hidden="1" x14ac:dyDescent="0.45">
      <c r="A62" t="s">
        <v>1426</v>
      </c>
      <c r="B62" t="s">
        <v>1427</v>
      </c>
      <c r="C62" t="s">
        <v>1732</v>
      </c>
      <c r="D62" t="s">
        <v>1733</v>
      </c>
    </row>
    <row r="63" spans="1:64" hidden="1" x14ac:dyDescent="0.45">
      <c r="A63" t="s">
        <v>1246</v>
      </c>
      <c r="B63" t="s">
        <v>1428</v>
      </c>
      <c r="C63" t="s">
        <v>1732</v>
      </c>
      <c r="D63" t="s">
        <v>1733</v>
      </c>
    </row>
    <row r="64" spans="1:64" hidden="1" x14ac:dyDescent="0.45">
      <c r="A64" t="s">
        <v>1178</v>
      </c>
      <c r="B64" t="s">
        <v>1429</v>
      </c>
      <c r="C64" t="s">
        <v>1732</v>
      </c>
      <c r="D64" t="s">
        <v>1733</v>
      </c>
      <c r="AE64">
        <v>19.399999999999999</v>
      </c>
      <c r="AJ64">
        <v>19.399999999999999</v>
      </c>
      <c r="AO64">
        <v>14.3</v>
      </c>
      <c r="AR64">
        <v>13.8</v>
      </c>
      <c r="AU64">
        <v>12.4</v>
      </c>
      <c r="AZ64">
        <v>11.1</v>
      </c>
      <c r="BF64">
        <v>10.8</v>
      </c>
      <c r="BG64">
        <v>11.4</v>
      </c>
    </row>
    <row r="65" spans="1:63" hidden="1" x14ac:dyDescent="0.45">
      <c r="A65" t="s">
        <v>1105</v>
      </c>
      <c r="B65" t="s">
        <v>1430</v>
      </c>
      <c r="C65" t="s">
        <v>1732</v>
      </c>
      <c r="D65" t="s">
        <v>1733</v>
      </c>
      <c r="AY65">
        <v>10.8</v>
      </c>
      <c r="BE65">
        <v>10.4</v>
      </c>
      <c r="BF65">
        <v>7</v>
      </c>
    </row>
    <row r="66" spans="1:63" hidden="1" x14ac:dyDescent="0.45">
      <c r="A66" t="s">
        <v>1431</v>
      </c>
      <c r="B66" t="s">
        <v>1432</v>
      </c>
      <c r="C66" t="s">
        <v>1732</v>
      </c>
      <c r="D66" t="s">
        <v>1733</v>
      </c>
      <c r="AI66">
        <v>5.5430541004073604</v>
      </c>
      <c r="AS66">
        <v>4.6751851167517255</v>
      </c>
    </row>
    <row r="67" spans="1:63" hidden="1" x14ac:dyDescent="0.45">
      <c r="A67" t="s">
        <v>1433</v>
      </c>
      <c r="B67" t="s">
        <v>1434</v>
      </c>
      <c r="C67" t="s">
        <v>1732</v>
      </c>
      <c r="D67" t="s">
        <v>1733</v>
      </c>
      <c r="AS67">
        <v>19.036163737095563</v>
      </c>
      <c r="BC67">
        <v>17.123465430722138</v>
      </c>
      <c r="BJ67">
        <v>14.082296311851188</v>
      </c>
    </row>
    <row r="68" spans="1:63" hidden="1" x14ac:dyDescent="0.45">
      <c r="A68" t="s">
        <v>1435</v>
      </c>
      <c r="B68" t="s">
        <v>1436</v>
      </c>
      <c r="C68" t="s">
        <v>1732</v>
      </c>
      <c r="D68" t="s">
        <v>1733</v>
      </c>
      <c r="AI68">
        <v>5.5430541004073604</v>
      </c>
      <c r="AS68">
        <v>4.6751851167517255</v>
      </c>
    </row>
    <row r="69" spans="1:63" hidden="1" x14ac:dyDescent="0.45">
      <c r="A69" t="s">
        <v>1437</v>
      </c>
      <c r="B69" t="s">
        <v>1438</v>
      </c>
      <c r="C69" t="s">
        <v>1732</v>
      </c>
      <c r="D69" t="s">
        <v>1733</v>
      </c>
      <c r="BC69">
        <v>8.6003922174420158</v>
      </c>
    </row>
    <row r="70" spans="1:63" hidden="1" x14ac:dyDescent="0.45">
      <c r="A70" t="s">
        <v>1439</v>
      </c>
      <c r="B70" t="s">
        <v>1440</v>
      </c>
      <c r="C70" t="s">
        <v>1732</v>
      </c>
      <c r="D70" t="s">
        <v>1733</v>
      </c>
    </row>
    <row r="71" spans="1:63" hidden="1" x14ac:dyDescent="0.45">
      <c r="A71" t="s">
        <v>1204</v>
      </c>
      <c r="B71" t="s">
        <v>1441</v>
      </c>
      <c r="C71" t="s">
        <v>1732</v>
      </c>
      <c r="D71" t="s">
        <v>1733</v>
      </c>
      <c r="AF71">
        <v>24.2</v>
      </c>
      <c r="AH71">
        <v>24.6</v>
      </c>
      <c r="AM71">
        <v>15.2</v>
      </c>
      <c r="AR71">
        <v>10</v>
      </c>
      <c r="AW71">
        <v>7.4</v>
      </c>
      <c r="BE71">
        <v>8.8000000000000007</v>
      </c>
    </row>
    <row r="72" spans="1:63" hidden="1" x14ac:dyDescent="0.45">
      <c r="A72" t="s">
        <v>1442</v>
      </c>
      <c r="B72" t="s">
        <v>1443</v>
      </c>
      <c r="C72" t="s">
        <v>1732</v>
      </c>
      <c r="D72" t="s">
        <v>1733</v>
      </c>
      <c r="AK72">
        <v>22.9</v>
      </c>
      <c r="AL72">
        <v>22.9</v>
      </c>
      <c r="AN72">
        <v>20.2</v>
      </c>
      <c r="AO72">
        <v>20.2</v>
      </c>
      <c r="AP72">
        <v>17.8</v>
      </c>
      <c r="AQ72">
        <v>17.8</v>
      </c>
      <c r="AS72">
        <v>13.7</v>
      </c>
      <c r="AV72">
        <v>11.8</v>
      </c>
      <c r="AX72">
        <v>12.3</v>
      </c>
      <c r="BA72">
        <v>11.6</v>
      </c>
      <c r="BG72">
        <v>12.6</v>
      </c>
    </row>
    <row r="73" spans="1:63" hidden="1" x14ac:dyDescent="0.45">
      <c r="A73" t="s">
        <v>1444</v>
      </c>
      <c r="B73" t="s">
        <v>1445</v>
      </c>
      <c r="C73" t="s">
        <v>1732</v>
      </c>
      <c r="D73" t="s">
        <v>1733</v>
      </c>
    </row>
    <row r="74" spans="1:63" hidden="1" x14ac:dyDescent="0.45">
      <c r="A74" t="s">
        <v>592</v>
      </c>
      <c r="B74" t="s">
        <v>1446</v>
      </c>
      <c r="C74" t="s">
        <v>1732</v>
      </c>
      <c r="D74" t="s">
        <v>1733</v>
      </c>
      <c r="AN74">
        <v>29.7</v>
      </c>
      <c r="AO74">
        <v>29.7</v>
      </c>
      <c r="AU74">
        <v>28.5</v>
      </c>
      <c r="BC74">
        <v>27.4</v>
      </c>
    </row>
    <row r="75" spans="1:63" hidden="1" x14ac:dyDescent="0.45">
      <c r="A75" t="s">
        <v>1268</v>
      </c>
      <c r="B75" t="s">
        <v>1447</v>
      </c>
      <c r="C75" t="s">
        <v>1732</v>
      </c>
      <c r="D75" t="s">
        <v>1733</v>
      </c>
      <c r="AN75">
        <v>11.8</v>
      </c>
    </row>
    <row r="76" spans="1:63" hidden="1" x14ac:dyDescent="0.45">
      <c r="A76" t="s">
        <v>1247</v>
      </c>
      <c r="B76" t="s">
        <v>1448</v>
      </c>
      <c r="C76" t="s">
        <v>1732</v>
      </c>
      <c r="D76" t="s">
        <v>1733</v>
      </c>
    </row>
    <row r="77" spans="1:63" x14ac:dyDescent="0.45">
      <c r="A77" t="s">
        <v>594</v>
      </c>
      <c r="B77" t="s">
        <v>926</v>
      </c>
      <c r="C77" t="s">
        <v>1732</v>
      </c>
      <c r="D77" t="s">
        <v>1733</v>
      </c>
      <c r="AS77">
        <v>36.6</v>
      </c>
      <c r="AX77">
        <v>36.1</v>
      </c>
      <c r="BD77">
        <v>26.3</v>
      </c>
      <c r="BH77">
        <v>24.4</v>
      </c>
      <c r="BI77">
        <v>22.3</v>
      </c>
      <c r="BJ77">
        <v>22.724205180569701</v>
      </c>
      <c r="BK77">
        <v>20.6</v>
      </c>
    </row>
    <row r="78" spans="1:63" hidden="1" x14ac:dyDescent="0.45">
      <c r="A78" t="s">
        <v>1449</v>
      </c>
      <c r="B78" t="s">
        <v>1450</v>
      </c>
      <c r="C78" t="s">
        <v>1732</v>
      </c>
      <c r="D78" t="s">
        <v>1733</v>
      </c>
    </row>
    <row r="79" spans="1:63" hidden="1" x14ac:dyDescent="0.45">
      <c r="A79" t="s">
        <v>1451</v>
      </c>
      <c r="B79" t="s">
        <v>1452</v>
      </c>
      <c r="C79" t="s">
        <v>1732</v>
      </c>
      <c r="D79" t="s">
        <v>1733</v>
      </c>
      <c r="BC79">
        <v>21.975174955062435</v>
      </c>
      <c r="BJ79">
        <v>22.006657003566328</v>
      </c>
    </row>
    <row r="80" spans="1:63" hidden="1" x14ac:dyDescent="0.45">
      <c r="A80" t="s">
        <v>1248</v>
      </c>
      <c r="B80" t="s">
        <v>1453</v>
      </c>
      <c r="C80" t="s">
        <v>1732</v>
      </c>
      <c r="D80" t="s">
        <v>1733</v>
      </c>
    </row>
    <row r="81" spans="1:65" hidden="1" x14ac:dyDescent="0.45">
      <c r="A81" t="s">
        <v>1217</v>
      </c>
      <c r="B81" t="s">
        <v>1454</v>
      </c>
      <c r="C81" t="s">
        <v>1732</v>
      </c>
      <c r="D81" t="s">
        <v>1733</v>
      </c>
    </row>
    <row r="82" spans="1:65" hidden="1" x14ac:dyDescent="0.45">
      <c r="A82" t="s">
        <v>1272</v>
      </c>
      <c r="B82" t="s">
        <v>1455</v>
      </c>
      <c r="C82" t="s">
        <v>1732</v>
      </c>
      <c r="D82" t="s">
        <v>1733</v>
      </c>
      <c r="AM82">
        <v>7.4</v>
      </c>
      <c r="AX82">
        <v>1.7</v>
      </c>
    </row>
    <row r="83" spans="1:65" hidden="1" x14ac:dyDescent="0.45">
      <c r="A83" t="s">
        <v>1456</v>
      </c>
      <c r="B83" t="s">
        <v>1457</v>
      </c>
      <c r="C83" t="s">
        <v>1732</v>
      </c>
      <c r="D83" t="s">
        <v>1733</v>
      </c>
    </row>
    <row r="84" spans="1:65" hidden="1" x14ac:dyDescent="0.45">
      <c r="A84" t="s">
        <v>1458</v>
      </c>
      <c r="B84" t="s">
        <v>1459</v>
      </c>
      <c r="C84" t="s">
        <v>1732</v>
      </c>
      <c r="D84" t="s">
        <v>1733</v>
      </c>
    </row>
    <row r="85" spans="1:65" hidden="1" x14ac:dyDescent="0.45">
      <c r="A85" t="s">
        <v>1083</v>
      </c>
      <c r="B85" t="s">
        <v>1460</v>
      </c>
      <c r="C85" t="s">
        <v>1732</v>
      </c>
      <c r="D85" t="s">
        <v>1733</v>
      </c>
      <c r="AS85">
        <v>27.9</v>
      </c>
      <c r="BE85">
        <v>26.5</v>
      </c>
    </row>
    <row r="86" spans="1:65" hidden="1" x14ac:dyDescent="0.45">
      <c r="A86" t="s">
        <v>1255</v>
      </c>
      <c r="B86" t="s">
        <v>1461</v>
      </c>
      <c r="C86" t="s">
        <v>1732</v>
      </c>
      <c r="D86" t="s">
        <v>1733</v>
      </c>
      <c r="BE86">
        <v>8.1199999999999992</v>
      </c>
    </row>
    <row r="87" spans="1:65" hidden="1" x14ac:dyDescent="0.45">
      <c r="A87" t="s">
        <v>1117</v>
      </c>
      <c r="B87" t="s">
        <v>1462</v>
      </c>
      <c r="C87" t="s">
        <v>1732</v>
      </c>
      <c r="D87" t="s">
        <v>1733</v>
      </c>
      <c r="AR87">
        <v>23.8</v>
      </c>
      <c r="AS87">
        <v>23.8</v>
      </c>
      <c r="BC87">
        <v>12.3</v>
      </c>
      <c r="BK87">
        <v>23.1</v>
      </c>
    </row>
    <row r="88" spans="1:65" hidden="1" x14ac:dyDescent="0.45">
      <c r="A88" t="s">
        <v>1092</v>
      </c>
      <c r="B88" t="s">
        <v>1463</v>
      </c>
      <c r="C88" t="s">
        <v>1732</v>
      </c>
      <c r="D88" t="s">
        <v>1733</v>
      </c>
      <c r="AG88">
        <v>35.200000000000003</v>
      </c>
      <c r="AL88">
        <v>36.9</v>
      </c>
      <c r="AM88">
        <v>36.9</v>
      </c>
      <c r="AQ88">
        <v>34.700000000000003</v>
      </c>
      <c r="AR88">
        <v>34.700000000000003</v>
      </c>
      <c r="AV88">
        <v>34.5</v>
      </c>
      <c r="BA88">
        <v>35.700000000000003</v>
      </c>
      <c r="BD88">
        <v>26.4</v>
      </c>
      <c r="BF88">
        <v>37.200000000000003</v>
      </c>
      <c r="BG88">
        <v>29.9</v>
      </c>
      <c r="BH88">
        <v>29.6</v>
      </c>
      <c r="BI88">
        <v>32.28</v>
      </c>
      <c r="BK88">
        <v>33.6</v>
      </c>
    </row>
    <row r="89" spans="1:65" hidden="1" x14ac:dyDescent="0.45">
      <c r="A89" t="s">
        <v>1464</v>
      </c>
      <c r="B89" t="s">
        <v>1465</v>
      </c>
      <c r="C89" t="s">
        <v>1732</v>
      </c>
      <c r="D89" t="s">
        <v>1733</v>
      </c>
    </row>
    <row r="90" spans="1:65" hidden="1" x14ac:dyDescent="0.45">
      <c r="A90" t="s">
        <v>1093</v>
      </c>
      <c r="B90" t="s">
        <v>1466</v>
      </c>
      <c r="C90" t="s">
        <v>1732</v>
      </c>
      <c r="D90" t="s">
        <v>1733</v>
      </c>
      <c r="AK90">
        <v>24.7</v>
      </c>
      <c r="AL90">
        <v>24.7</v>
      </c>
      <c r="AR90">
        <v>24.8</v>
      </c>
      <c r="AX90">
        <v>21.9</v>
      </c>
      <c r="BE90">
        <v>23.7</v>
      </c>
      <c r="BI90">
        <v>27.6</v>
      </c>
      <c r="BK90">
        <v>22.1</v>
      </c>
    </row>
    <row r="91" spans="1:65" hidden="1" x14ac:dyDescent="0.45">
      <c r="A91" t="s">
        <v>1467</v>
      </c>
      <c r="B91" t="s">
        <v>1468</v>
      </c>
      <c r="C91" t="s">
        <v>1732</v>
      </c>
      <c r="D91" t="s">
        <v>1733</v>
      </c>
      <c r="BC91">
        <v>21.5</v>
      </c>
      <c r="BF91">
        <v>24.9</v>
      </c>
      <c r="BK91">
        <v>26.5</v>
      </c>
      <c r="BM91">
        <v>24.2</v>
      </c>
    </row>
    <row r="92" spans="1:65" hidden="1" x14ac:dyDescent="0.45">
      <c r="A92" t="s">
        <v>1094</v>
      </c>
      <c r="B92" t="s">
        <v>1469</v>
      </c>
      <c r="C92" t="s">
        <v>1732</v>
      </c>
      <c r="D92" t="s">
        <v>1733</v>
      </c>
      <c r="BC92">
        <v>6</v>
      </c>
      <c r="BG92">
        <v>22.3</v>
      </c>
      <c r="BL92">
        <v>21.1</v>
      </c>
    </row>
    <row r="93" spans="1:65" hidden="1" x14ac:dyDescent="0.45">
      <c r="A93" t="s">
        <v>1082</v>
      </c>
      <c r="B93" t="s">
        <v>1470</v>
      </c>
      <c r="C93" t="s">
        <v>1732</v>
      </c>
      <c r="D93" t="s">
        <v>1733</v>
      </c>
      <c r="BD93">
        <v>33.799999999999997</v>
      </c>
    </row>
    <row r="94" spans="1:65" hidden="1" x14ac:dyDescent="0.45">
      <c r="A94" t="s">
        <v>1260</v>
      </c>
      <c r="B94" t="s">
        <v>1471</v>
      </c>
      <c r="C94" t="s">
        <v>1732</v>
      </c>
      <c r="D94" t="s">
        <v>1733</v>
      </c>
    </row>
    <row r="95" spans="1:65" hidden="1" x14ac:dyDescent="0.45">
      <c r="A95" t="s">
        <v>1179</v>
      </c>
      <c r="B95" t="s">
        <v>1472</v>
      </c>
      <c r="C95" t="s">
        <v>1732</v>
      </c>
      <c r="D95" t="s">
        <v>1733</v>
      </c>
    </row>
    <row r="96" spans="1:65" hidden="1" x14ac:dyDescent="0.45">
      <c r="A96" t="s">
        <v>1473</v>
      </c>
      <c r="B96" t="s">
        <v>1474</v>
      </c>
      <c r="C96" t="s">
        <v>1732</v>
      </c>
      <c r="D96" t="s">
        <v>1733</v>
      </c>
    </row>
    <row r="97" spans="1:62" hidden="1" x14ac:dyDescent="0.45">
      <c r="A97" t="s">
        <v>1193</v>
      </c>
      <c r="B97" t="s">
        <v>1475</v>
      </c>
      <c r="C97" t="s">
        <v>1732</v>
      </c>
      <c r="D97" t="s">
        <v>1733</v>
      </c>
      <c r="AF97">
        <v>29.4</v>
      </c>
      <c r="AN97">
        <v>28.1</v>
      </c>
      <c r="AR97">
        <v>26.8</v>
      </c>
      <c r="AU97">
        <v>27.6</v>
      </c>
      <c r="BB97">
        <v>20.8</v>
      </c>
      <c r="BH97">
        <v>13.9</v>
      </c>
    </row>
    <row r="98" spans="1:62" hidden="1" x14ac:dyDescent="0.45">
      <c r="A98" t="s">
        <v>1223</v>
      </c>
      <c r="B98" t="s">
        <v>1476</v>
      </c>
      <c r="C98" t="s">
        <v>1732</v>
      </c>
      <c r="D98" t="s">
        <v>1733</v>
      </c>
    </row>
    <row r="99" spans="1:62" hidden="1" x14ac:dyDescent="0.45">
      <c r="A99" t="s">
        <v>1206</v>
      </c>
      <c r="B99" t="s">
        <v>1477</v>
      </c>
      <c r="C99" t="s">
        <v>1732</v>
      </c>
      <c r="D99" t="s">
        <v>1733</v>
      </c>
      <c r="BB99">
        <v>28.5</v>
      </c>
      <c r="BG99">
        <v>28</v>
      </c>
    </row>
    <row r="100" spans="1:62" hidden="1" x14ac:dyDescent="0.45">
      <c r="A100" t="s">
        <v>1478</v>
      </c>
      <c r="B100" t="s">
        <v>1479</v>
      </c>
      <c r="C100" t="s">
        <v>1732</v>
      </c>
      <c r="D100" t="s">
        <v>1733</v>
      </c>
    </row>
    <row r="101" spans="1:62" hidden="1" x14ac:dyDescent="0.45">
      <c r="A101" t="s">
        <v>1480</v>
      </c>
      <c r="B101" t="s">
        <v>1481</v>
      </c>
      <c r="C101" t="s">
        <v>1732</v>
      </c>
      <c r="D101" t="s">
        <v>1733</v>
      </c>
    </row>
    <row r="102" spans="1:62" hidden="1" x14ac:dyDescent="0.45">
      <c r="A102" t="s">
        <v>1194</v>
      </c>
      <c r="B102" t="s">
        <v>1482</v>
      </c>
      <c r="C102" t="s">
        <v>1732</v>
      </c>
      <c r="D102" t="s">
        <v>1733</v>
      </c>
      <c r="AF102">
        <v>15.8</v>
      </c>
      <c r="AK102">
        <v>13.2</v>
      </c>
      <c r="AO102">
        <v>18</v>
      </c>
      <c r="AT102">
        <v>11.2</v>
      </c>
      <c r="AY102">
        <v>16.8</v>
      </c>
      <c r="BE102">
        <v>10.7</v>
      </c>
    </row>
    <row r="103" spans="1:62" hidden="1" x14ac:dyDescent="0.45">
      <c r="A103" t="s">
        <v>1483</v>
      </c>
      <c r="B103" t="s">
        <v>1484</v>
      </c>
      <c r="C103" t="s">
        <v>1732</v>
      </c>
      <c r="D103" t="s">
        <v>1733</v>
      </c>
      <c r="BC103">
        <v>25.498949196054866</v>
      </c>
      <c r="BJ103">
        <v>24.808948541558713</v>
      </c>
    </row>
    <row r="104" spans="1:62" hidden="1" x14ac:dyDescent="0.45">
      <c r="A104" t="s">
        <v>1259</v>
      </c>
      <c r="B104" t="s">
        <v>1485</v>
      </c>
      <c r="C104" t="s">
        <v>1732</v>
      </c>
      <c r="D104" t="s">
        <v>1733</v>
      </c>
    </row>
    <row r="105" spans="1:62" hidden="1" x14ac:dyDescent="0.45">
      <c r="A105" t="s">
        <v>1181</v>
      </c>
      <c r="B105" t="s">
        <v>1486</v>
      </c>
      <c r="C105" t="s">
        <v>1732</v>
      </c>
      <c r="D105" t="s">
        <v>1733</v>
      </c>
      <c r="AH105">
        <v>27.2</v>
      </c>
      <c r="AN105">
        <v>44.7</v>
      </c>
      <c r="AS105">
        <v>39.6</v>
      </c>
      <c r="AY105">
        <v>37.299999999999997</v>
      </c>
      <c r="BE105">
        <v>35.299999999999997</v>
      </c>
      <c r="BI105">
        <v>38</v>
      </c>
      <c r="BJ105">
        <v>38</v>
      </c>
    </row>
    <row r="106" spans="1:62" hidden="1" x14ac:dyDescent="0.45">
      <c r="A106" t="s">
        <v>1237</v>
      </c>
      <c r="B106" t="s">
        <v>1487</v>
      </c>
      <c r="C106" t="s">
        <v>1732</v>
      </c>
      <c r="D106" t="s">
        <v>1733</v>
      </c>
      <c r="AL106">
        <v>7</v>
      </c>
    </row>
    <row r="107" spans="1:62" hidden="1" x14ac:dyDescent="0.45">
      <c r="A107" t="s">
        <v>1488</v>
      </c>
      <c r="B107" t="s">
        <v>1489</v>
      </c>
      <c r="C107" t="s">
        <v>1732</v>
      </c>
      <c r="D107" t="s">
        <v>1733</v>
      </c>
      <c r="AS107">
        <v>9.6449478714045416</v>
      </c>
    </row>
    <row r="108" spans="1:62" hidden="1" x14ac:dyDescent="0.45">
      <c r="A108" t="s">
        <v>1490</v>
      </c>
      <c r="B108" t="s">
        <v>1491</v>
      </c>
      <c r="C108" t="s">
        <v>1732</v>
      </c>
      <c r="D108" t="s">
        <v>1733</v>
      </c>
      <c r="AS108">
        <v>12.882659378746389</v>
      </c>
    </row>
    <row r="109" spans="1:62" hidden="1" x14ac:dyDescent="0.45">
      <c r="A109" t="s">
        <v>1492</v>
      </c>
      <c r="B109" t="s">
        <v>1493</v>
      </c>
      <c r="C109" t="s">
        <v>1732</v>
      </c>
      <c r="D109" t="s">
        <v>1733</v>
      </c>
      <c r="AS109">
        <v>26.004243532212111</v>
      </c>
      <c r="BC109">
        <v>22.124694614190126</v>
      </c>
      <c r="BJ109">
        <v>20.606031439695872</v>
      </c>
    </row>
    <row r="110" spans="1:62" hidden="1" x14ac:dyDescent="0.45">
      <c r="A110" t="s">
        <v>1494</v>
      </c>
      <c r="B110" t="s">
        <v>1495</v>
      </c>
      <c r="C110" t="s">
        <v>1732</v>
      </c>
      <c r="D110" t="s">
        <v>1733</v>
      </c>
      <c r="AI110">
        <v>27.176759884044976</v>
      </c>
      <c r="AS110">
        <v>26.315190516634964</v>
      </c>
      <c r="BJ110">
        <v>17.873361262878777</v>
      </c>
    </row>
    <row r="111" spans="1:62" hidden="1" x14ac:dyDescent="0.45">
      <c r="A111" t="s">
        <v>1161</v>
      </c>
      <c r="B111" t="s">
        <v>1496</v>
      </c>
      <c r="C111" t="s">
        <v>1732</v>
      </c>
      <c r="D111" t="s">
        <v>1733</v>
      </c>
      <c r="AF111">
        <v>16</v>
      </c>
      <c r="AJ111">
        <v>17</v>
      </c>
      <c r="AM111">
        <v>15.3</v>
      </c>
      <c r="AP111">
        <v>13.6</v>
      </c>
      <c r="AV111">
        <v>13.2</v>
      </c>
      <c r="BA111">
        <v>13.1</v>
      </c>
      <c r="BE111">
        <v>11.4</v>
      </c>
      <c r="BI111">
        <v>16.2</v>
      </c>
      <c r="BJ111">
        <v>10.6</v>
      </c>
    </row>
    <row r="112" spans="1:62" hidden="1" x14ac:dyDescent="0.45">
      <c r="A112" t="s">
        <v>1497</v>
      </c>
      <c r="B112" t="s">
        <v>1498</v>
      </c>
      <c r="C112" t="s">
        <v>1732</v>
      </c>
      <c r="D112" t="s">
        <v>1733</v>
      </c>
      <c r="AS112">
        <v>25.806797376010884</v>
      </c>
      <c r="BC112">
        <v>22.569632351594169</v>
      </c>
      <c r="BJ112">
        <v>21.972632728571622</v>
      </c>
    </row>
    <row r="113" spans="1:64" hidden="1" x14ac:dyDescent="0.45">
      <c r="A113" t="s">
        <v>1499</v>
      </c>
      <c r="B113" t="s">
        <v>1500</v>
      </c>
      <c r="C113" t="s">
        <v>1732</v>
      </c>
      <c r="D113" t="s">
        <v>1733</v>
      </c>
    </row>
    <row r="114" spans="1:64" hidden="1" x14ac:dyDescent="0.45">
      <c r="A114" t="s">
        <v>1142</v>
      </c>
      <c r="B114" t="s">
        <v>1501</v>
      </c>
      <c r="C114" t="s">
        <v>1732</v>
      </c>
      <c r="D114" t="s">
        <v>1733</v>
      </c>
      <c r="AL114">
        <v>20.3</v>
      </c>
      <c r="AR114">
        <v>16.100000000000001</v>
      </c>
      <c r="AV114">
        <v>21.1</v>
      </c>
      <c r="AW114">
        <v>21.1</v>
      </c>
      <c r="AY114">
        <v>13.9</v>
      </c>
      <c r="BA114">
        <v>20.5</v>
      </c>
      <c r="BI114">
        <v>12.9</v>
      </c>
    </row>
    <row r="115" spans="1:64" hidden="1" x14ac:dyDescent="0.45">
      <c r="A115" t="s">
        <v>1502</v>
      </c>
      <c r="B115" t="s">
        <v>1503</v>
      </c>
      <c r="C115" t="s">
        <v>1732</v>
      </c>
      <c r="D115" t="s">
        <v>1733</v>
      </c>
    </row>
    <row r="116" spans="1:64" hidden="1" x14ac:dyDescent="0.45">
      <c r="A116" t="s">
        <v>1250</v>
      </c>
      <c r="B116" t="s">
        <v>1504</v>
      </c>
      <c r="C116" t="s">
        <v>1732</v>
      </c>
      <c r="D116" t="s">
        <v>1733</v>
      </c>
    </row>
    <row r="117" spans="1:64" hidden="1" x14ac:dyDescent="0.45">
      <c r="A117" t="s">
        <v>1505</v>
      </c>
      <c r="B117" t="s">
        <v>1506</v>
      </c>
      <c r="C117" t="s">
        <v>1732</v>
      </c>
      <c r="D117" t="s">
        <v>1733</v>
      </c>
      <c r="BC117">
        <v>5.7</v>
      </c>
      <c r="BD117">
        <v>5.7</v>
      </c>
    </row>
    <row r="118" spans="1:64" hidden="1" x14ac:dyDescent="0.45">
      <c r="A118" t="s">
        <v>1118</v>
      </c>
      <c r="B118" t="s">
        <v>1507</v>
      </c>
      <c r="C118" t="s">
        <v>1732</v>
      </c>
      <c r="D118" t="s">
        <v>1733</v>
      </c>
      <c r="BD118">
        <v>8</v>
      </c>
      <c r="BK118">
        <v>14.3</v>
      </c>
    </row>
    <row r="119" spans="1:64" hidden="1" x14ac:dyDescent="0.45">
      <c r="A119" t="s">
        <v>1249</v>
      </c>
      <c r="B119" t="s">
        <v>1508</v>
      </c>
      <c r="C119" t="s">
        <v>1732</v>
      </c>
      <c r="D119" t="s">
        <v>1733</v>
      </c>
    </row>
    <row r="120" spans="1:64" hidden="1" x14ac:dyDescent="0.45">
      <c r="A120" t="s">
        <v>1119</v>
      </c>
      <c r="B120" t="s">
        <v>1509</v>
      </c>
      <c r="C120" t="s">
        <v>1732</v>
      </c>
      <c r="D120" t="s">
        <v>1733</v>
      </c>
    </row>
    <row r="121" spans="1:64" hidden="1" x14ac:dyDescent="0.45">
      <c r="A121" t="s">
        <v>1261</v>
      </c>
      <c r="B121" t="s">
        <v>1510</v>
      </c>
      <c r="C121" t="s">
        <v>1732</v>
      </c>
      <c r="D121" t="s">
        <v>1733</v>
      </c>
      <c r="AO121">
        <v>11.8</v>
      </c>
    </row>
    <row r="122" spans="1:64" hidden="1" x14ac:dyDescent="0.45">
      <c r="A122" t="s">
        <v>1182</v>
      </c>
      <c r="B122" t="s">
        <v>1511</v>
      </c>
      <c r="C122" t="s">
        <v>1732</v>
      </c>
      <c r="D122" t="s">
        <v>1733</v>
      </c>
      <c r="AH122">
        <v>20.6</v>
      </c>
      <c r="AL122">
        <v>13</v>
      </c>
      <c r="AP122">
        <v>14.2</v>
      </c>
      <c r="AV122">
        <v>11.7</v>
      </c>
      <c r="BA122">
        <v>10</v>
      </c>
      <c r="BB122">
        <v>10</v>
      </c>
    </row>
    <row r="123" spans="1:64" hidden="1" x14ac:dyDescent="0.45">
      <c r="A123" t="s">
        <v>1120</v>
      </c>
      <c r="B123" t="s">
        <v>1512</v>
      </c>
      <c r="C123" t="s">
        <v>1732</v>
      </c>
      <c r="D123" t="s">
        <v>1733</v>
      </c>
      <c r="AI123">
        <v>26.5</v>
      </c>
      <c r="AP123">
        <v>20.100000000000001</v>
      </c>
      <c r="AU123">
        <v>14.9</v>
      </c>
      <c r="AZ123">
        <v>13.8</v>
      </c>
      <c r="BB123">
        <v>13.4</v>
      </c>
      <c r="BE123">
        <v>11.7</v>
      </c>
      <c r="BJ123">
        <v>14.2</v>
      </c>
      <c r="BK123">
        <v>14.2</v>
      </c>
    </row>
    <row r="124" spans="1:64" hidden="1" x14ac:dyDescent="0.45">
      <c r="A124" t="s">
        <v>1155</v>
      </c>
      <c r="B124" t="s">
        <v>1513</v>
      </c>
      <c r="C124" t="s">
        <v>1732</v>
      </c>
      <c r="D124" t="s">
        <v>1733</v>
      </c>
    </row>
    <row r="125" spans="1:64" hidden="1" x14ac:dyDescent="0.45">
      <c r="A125" t="s">
        <v>1133</v>
      </c>
      <c r="B125" t="s">
        <v>1514</v>
      </c>
      <c r="C125" t="s">
        <v>1732</v>
      </c>
      <c r="D125" t="s">
        <v>1733</v>
      </c>
      <c r="AN125">
        <v>16.3</v>
      </c>
      <c r="AR125">
        <v>11.9</v>
      </c>
      <c r="BD125">
        <v>11.6</v>
      </c>
      <c r="BH125">
        <v>9.8000000000000007</v>
      </c>
      <c r="BK125">
        <v>15.47</v>
      </c>
    </row>
    <row r="126" spans="1:64" hidden="1" x14ac:dyDescent="0.45">
      <c r="A126" t="s">
        <v>1069</v>
      </c>
      <c r="B126" t="s">
        <v>1515</v>
      </c>
      <c r="C126" t="s">
        <v>1732</v>
      </c>
      <c r="D126" t="s">
        <v>1733</v>
      </c>
      <c r="AH126">
        <v>38</v>
      </c>
      <c r="AL126">
        <v>35.299999999999997</v>
      </c>
      <c r="AQ126">
        <v>28</v>
      </c>
      <c r="AV126">
        <v>27.4</v>
      </c>
      <c r="BB126">
        <v>25.6</v>
      </c>
      <c r="BG126">
        <v>17.5</v>
      </c>
      <c r="BH126">
        <v>15.9</v>
      </c>
      <c r="BI126">
        <v>15.6</v>
      </c>
      <c r="BJ126">
        <v>14.892412786763099</v>
      </c>
      <c r="BK126">
        <v>13.8</v>
      </c>
      <c r="BL126">
        <v>15</v>
      </c>
    </row>
    <row r="127" spans="1:64" hidden="1" x14ac:dyDescent="0.45">
      <c r="A127" t="s">
        <v>1516</v>
      </c>
      <c r="B127" t="s">
        <v>1517</v>
      </c>
      <c r="C127" t="s">
        <v>1732</v>
      </c>
      <c r="D127" t="s">
        <v>1733</v>
      </c>
      <c r="AP127">
        <v>11.8</v>
      </c>
      <c r="BE127">
        <v>18</v>
      </c>
      <c r="BG127">
        <v>19.100000000000001</v>
      </c>
      <c r="BK127">
        <v>19</v>
      </c>
    </row>
    <row r="128" spans="1:64" hidden="1" x14ac:dyDescent="0.45">
      <c r="A128" t="s">
        <v>1160</v>
      </c>
      <c r="B128" t="s">
        <v>1518</v>
      </c>
      <c r="C128" t="s">
        <v>1732</v>
      </c>
      <c r="D128" t="s">
        <v>1733</v>
      </c>
      <c r="AS128">
        <v>33</v>
      </c>
      <c r="AX128">
        <v>25.3</v>
      </c>
      <c r="AY128">
        <v>25.3</v>
      </c>
      <c r="BC128">
        <v>16.899999999999999</v>
      </c>
      <c r="BD128">
        <v>16.899999999999999</v>
      </c>
      <c r="BG128">
        <v>12.5</v>
      </c>
    </row>
    <row r="129" spans="1:65" hidden="1" x14ac:dyDescent="0.45">
      <c r="A129" t="s">
        <v>1224</v>
      </c>
      <c r="B129" t="s">
        <v>1519</v>
      </c>
      <c r="C129" t="s">
        <v>1732</v>
      </c>
      <c r="D129" t="s">
        <v>1733</v>
      </c>
      <c r="BB129">
        <v>28</v>
      </c>
      <c r="BL129">
        <v>17.3</v>
      </c>
    </row>
    <row r="130" spans="1:65" hidden="1" x14ac:dyDescent="0.45">
      <c r="A130" t="s">
        <v>1520</v>
      </c>
      <c r="B130" t="s">
        <v>1521</v>
      </c>
      <c r="C130" t="s">
        <v>1732</v>
      </c>
      <c r="D130" t="s">
        <v>1733</v>
      </c>
    </row>
    <row r="131" spans="1:65" hidden="1" x14ac:dyDescent="0.45">
      <c r="A131" t="s">
        <v>1522</v>
      </c>
      <c r="B131" t="s">
        <v>1523</v>
      </c>
      <c r="C131" t="s">
        <v>1732</v>
      </c>
      <c r="D131" t="s">
        <v>1733</v>
      </c>
    </row>
    <row r="132" spans="1:65" hidden="1" x14ac:dyDescent="0.45">
      <c r="A132" t="s">
        <v>1121</v>
      </c>
      <c r="B132" t="s">
        <v>1524</v>
      </c>
      <c r="C132" t="s">
        <v>1732</v>
      </c>
      <c r="D132" t="s">
        <v>1733</v>
      </c>
    </row>
    <row r="133" spans="1:65" hidden="1" x14ac:dyDescent="0.45">
      <c r="A133" t="s">
        <v>1525</v>
      </c>
      <c r="B133" t="s">
        <v>1526</v>
      </c>
      <c r="C133" t="s">
        <v>1732</v>
      </c>
      <c r="D133" t="s">
        <v>1733</v>
      </c>
    </row>
    <row r="134" spans="1:65" hidden="1" x14ac:dyDescent="0.45">
      <c r="A134" t="s">
        <v>1527</v>
      </c>
      <c r="B134" t="s">
        <v>1528</v>
      </c>
      <c r="C134" t="s">
        <v>1732</v>
      </c>
      <c r="D134" t="s">
        <v>1733</v>
      </c>
      <c r="AS134">
        <v>39.5</v>
      </c>
      <c r="AX134">
        <v>27.3</v>
      </c>
      <c r="BE134">
        <v>19.899999999999999</v>
      </c>
      <c r="BJ134">
        <v>14.3</v>
      </c>
    </row>
    <row r="135" spans="1:65" hidden="1" x14ac:dyDescent="0.45">
      <c r="A135" t="s">
        <v>1122</v>
      </c>
      <c r="B135" t="s">
        <v>1529</v>
      </c>
      <c r="C135" t="s">
        <v>1732</v>
      </c>
      <c r="D135" t="s">
        <v>1733</v>
      </c>
    </row>
    <row r="136" spans="1:65" hidden="1" x14ac:dyDescent="0.45">
      <c r="A136" t="s">
        <v>1095</v>
      </c>
      <c r="B136" t="s">
        <v>1530</v>
      </c>
      <c r="C136" t="s">
        <v>1732</v>
      </c>
      <c r="D136" t="s">
        <v>1733</v>
      </c>
      <c r="AE136">
        <v>32.799999999999997</v>
      </c>
      <c r="AZ136">
        <v>35.700000000000003</v>
      </c>
      <c r="BF136">
        <v>31.1</v>
      </c>
      <c r="BM136">
        <v>33.4</v>
      </c>
    </row>
    <row r="137" spans="1:65" hidden="1" x14ac:dyDescent="0.45">
      <c r="A137" t="s">
        <v>1107</v>
      </c>
      <c r="B137" t="s">
        <v>1531</v>
      </c>
      <c r="C137" t="s">
        <v>1732</v>
      </c>
      <c r="D137" t="s">
        <v>1733</v>
      </c>
      <c r="AZ137">
        <v>27</v>
      </c>
      <c r="BG137">
        <v>40.200000000000003</v>
      </c>
    </row>
    <row r="138" spans="1:65" hidden="1" x14ac:dyDescent="0.45">
      <c r="A138" t="s">
        <v>1532</v>
      </c>
      <c r="B138" t="s">
        <v>1533</v>
      </c>
      <c r="C138" t="s">
        <v>1732</v>
      </c>
      <c r="D138" t="s">
        <v>1733</v>
      </c>
      <c r="BE138">
        <v>17</v>
      </c>
    </row>
    <row r="139" spans="1:65" hidden="1" x14ac:dyDescent="0.45">
      <c r="A139" t="s">
        <v>1534</v>
      </c>
      <c r="B139" t="s">
        <v>1535</v>
      </c>
      <c r="C139" t="s">
        <v>1732</v>
      </c>
      <c r="D139" t="s">
        <v>1733</v>
      </c>
    </row>
    <row r="140" spans="1:65" hidden="1" x14ac:dyDescent="0.45">
      <c r="A140" t="s">
        <v>1536</v>
      </c>
      <c r="B140" t="s">
        <v>1537</v>
      </c>
      <c r="C140" t="s">
        <v>1732</v>
      </c>
      <c r="D140" t="s">
        <v>1733</v>
      </c>
      <c r="AS140">
        <v>25.669831802455104</v>
      </c>
      <c r="BC140">
        <v>22.854628994876588</v>
      </c>
      <c r="BJ140">
        <v>21.971698335452484</v>
      </c>
    </row>
    <row r="141" spans="1:65" hidden="1" x14ac:dyDescent="0.45">
      <c r="A141" t="s">
        <v>1538</v>
      </c>
      <c r="B141" t="s">
        <v>1539</v>
      </c>
      <c r="C141" t="s">
        <v>1732</v>
      </c>
      <c r="D141" t="s">
        <v>1733</v>
      </c>
      <c r="BC141">
        <v>24.522398247718971</v>
      </c>
      <c r="BJ141">
        <v>23.491469738023458</v>
      </c>
    </row>
    <row r="142" spans="1:65" hidden="1" x14ac:dyDescent="0.45">
      <c r="A142" t="s">
        <v>1540</v>
      </c>
      <c r="B142" t="s">
        <v>1541</v>
      </c>
      <c r="C142" t="s">
        <v>1732</v>
      </c>
      <c r="D142" t="s">
        <v>1733</v>
      </c>
    </row>
    <row r="143" spans="1:65" hidden="1" x14ac:dyDescent="0.45">
      <c r="A143" t="s">
        <v>1147</v>
      </c>
      <c r="B143" t="s">
        <v>1542</v>
      </c>
      <c r="C143" t="s">
        <v>1732</v>
      </c>
      <c r="D143" t="s">
        <v>1733</v>
      </c>
      <c r="AF143">
        <v>12.3</v>
      </c>
      <c r="AS143">
        <v>18.2</v>
      </c>
      <c r="AZ143">
        <v>7.3</v>
      </c>
      <c r="BI143">
        <v>7.5</v>
      </c>
    </row>
    <row r="144" spans="1:65" hidden="1" x14ac:dyDescent="0.45">
      <c r="A144" t="s">
        <v>1543</v>
      </c>
      <c r="B144" t="s">
        <v>1544</v>
      </c>
      <c r="C144" t="s">
        <v>1732</v>
      </c>
      <c r="D144" t="s">
        <v>1733</v>
      </c>
      <c r="AS144">
        <v>18.589601081369111</v>
      </c>
      <c r="BC144">
        <v>17.401009568341138</v>
      </c>
      <c r="BJ144">
        <v>14.634757238263417</v>
      </c>
    </row>
    <row r="145" spans="1:65" hidden="1" x14ac:dyDescent="0.45">
      <c r="A145" t="s">
        <v>1545</v>
      </c>
      <c r="B145" t="s">
        <v>1546</v>
      </c>
      <c r="C145" t="s">
        <v>1732</v>
      </c>
      <c r="D145" t="s">
        <v>1733</v>
      </c>
      <c r="AS145">
        <v>12.867391699616109</v>
      </c>
    </row>
    <row r="146" spans="1:65" hidden="1" x14ac:dyDescent="0.45">
      <c r="A146" t="s">
        <v>1086</v>
      </c>
      <c r="B146" t="s">
        <v>1547</v>
      </c>
      <c r="C146" t="s">
        <v>1732</v>
      </c>
      <c r="D146" t="s">
        <v>1733</v>
      </c>
      <c r="AW146">
        <v>31</v>
      </c>
      <c r="AX146">
        <v>31</v>
      </c>
      <c r="BB146">
        <v>23.3</v>
      </c>
      <c r="BC146">
        <v>23.3</v>
      </c>
      <c r="BG146">
        <v>18.399999999999999</v>
      </c>
      <c r="BK146">
        <v>16</v>
      </c>
    </row>
    <row r="147" spans="1:65" hidden="1" x14ac:dyDescent="0.45">
      <c r="A147" t="s">
        <v>1548</v>
      </c>
      <c r="B147" t="s">
        <v>1549</v>
      </c>
      <c r="C147" t="s">
        <v>1732</v>
      </c>
      <c r="D147" t="s">
        <v>1733</v>
      </c>
      <c r="AS147">
        <v>3.5003053384659086</v>
      </c>
    </row>
    <row r="148" spans="1:65" hidden="1" x14ac:dyDescent="0.45">
      <c r="A148" t="s">
        <v>1252</v>
      </c>
      <c r="B148" t="s">
        <v>1550</v>
      </c>
      <c r="C148" t="s">
        <v>1732</v>
      </c>
      <c r="D148" t="s">
        <v>1733</v>
      </c>
      <c r="AN148">
        <v>18</v>
      </c>
    </row>
    <row r="149" spans="1:65" hidden="1" x14ac:dyDescent="0.45">
      <c r="A149" t="s">
        <v>1274</v>
      </c>
      <c r="B149" t="s">
        <v>1551</v>
      </c>
      <c r="C149" t="s">
        <v>1732</v>
      </c>
      <c r="D149" t="s">
        <v>1733</v>
      </c>
    </row>
    <row r="150" spans="1:65" hidden="1" x14ac:dyDescent="0.45">
      <c r="A150" t="s">
        <v>1251</v>
      </c>
      <c r="B150" t="s">
        <v>1552</v>
      </c>
      <c r="C150" t="s">
        <v>1732</v>
      </c>
      <c r="D150" t="s">
        <v>1733</v>
      </c>
      <c r="AN150">
        <v>16.8</v>
      </c>
    </row>
    <row r="151" spans="1:65" hidden="1" x14ac:dyDescent="0.45">
      <c r="A151" t="s">
        <v>1553</v>
      </c>
      <c r="B151" t="s">
        <v>1554</v>
      </c>
      <c r="C151" t="s">
        <v>1732</v>
      </c>
      <c r="D151" t="s">
        <v>1733</v>
      </c>
    </row>
    <row r="152" spans="1:65" hidden="1" x14ac:dyDescent="0.45">
      <c r="A152" t="s">
        <v>1555</v>
      </c>
      <c r="B152" t="s">
        <v>1556</v>
      </c>
      <c r="C152" t="s">
        <v>1732</v>
      </c>
      <c r="D152" t="s">
        <v>1733</v>
      </c>
    </row>
    <row r="153" spans="1:65" hidden="1" x14ac:dyDescent="0.45">
      <c r="A153" t="s">
        <v>1108</v>
      </c>
      <c r="B153" t="s">
        <v>1557</v>
      </c>
      <c r="C153" t="s">
        <v>1732</v>
      </c>
      <c r="D153" t="s">
        <v>1733</v>
      </c>
      <c r="AF153">
        <v>22.1</v>
      </c>
      <c r="AK153">
        <v>23.5</v>
      </c>
      <c r="AN153">
        <v>16.100000000000001</v>
      </c>
      <c r="AW153">
        <v>11.9</v>
      </c>
      <c r="BD153">
        <v>10.9</v>
      </c>
      <c r="BK153">
        <v>11.3</v>
      </c>
    </row>
    <row r="154" spans="1:65" hidden="1" x14ac:dyDescent="0.45">
      <c r="A154" t="s">
        <v>1558</v>
      </c>
      <c r="B154" t="s">
        <v>1559</v>
      </c>
      <c r="C154" t="s">
        <v>1732</v>
      </c>
      <c r="D154" t="s">
        <v>1733</v>
      </c>
    </row>
    <row r="155" spans="1:65" hidden="1" x14ac:dyDescent="0.45">
      <c r="A155" t="s">
        <v>1560</v>
      </c>
      <c r="B155" t="s">
        <v>1561</v>
      </c>
      <c r="C155" t="s">
        <v>1732</v>
      </c>
      <c r="D155" t="s">
        <v>1733</v>
      </c>
      <c r="AP155">
        <v>6.7</v>
      </c>
      <c r="AX155">
        <v>11.4</v>
      </c>
      <c r="BE155">
        <v>9.5</v>
      </c>
      <c r="BM155">
        <v>21.2</v>
      </c>
    </row>
    <row r="156" spans="1:65" hidden="1" x14ac:dyDescent="0.45">
      <c r="A156" t="s">
        <v>1070</v>
      </c>
      <c r="B156" t="s">
        <v>1562</v>
      </c>
      <c r="C156" t="s">
        <v>1732</v>
      </c>
      <c r="D156" t="s">
        <v>1733</v>
      </c>
      <c r="AK156">
        <v>32.299999999999997</v>
      </c>
      <c r="AP156">
        <v>27.7</v>
      </c>
      <c r="AW156">
        <v>24.5</v>
      </c>
      <c r="BB156">
        <v>19</v>
      </c>
      <c r="BJ156">
        <v>16.399999999999999</v>
      </c>
      <c r="BK156">
        <v>18.399999999999999</v>
      </c>
    </row>
    <row r="157" spans="1:65" hidden="1" x14ac:dyDescent="0.45">
      <c r="A157" t="s">
        <v>1144</v>
      </c>
      <c r="B157" t="s">
        <v>1563</v>
      </c>
      <c r="C157" t="s">
        <v>1732</v>
      </c>
      <c r="D157" t="s">
        <v>1733</v>
      </c>
      <c r="BB157">
        <v>28.6</v>
      </c>
      <c r="BJ157">
        <v>31.4</v>
      </c>
    </row>
    <row r="158" spans="1:65" hidden="1" x14ac:dyDescent="0.45">
      <c r="A158" t="s">
        <v>1564</v>
      </c>
      <c r="B158" t="s">
        <v>1565</v>
      </c>
      <c r="C158" t="s">
        <v>1732</v>
      </c>
      <c r="D158" t="s">
        <v>1733</v>
      </c>
      <c r="BC158">
        <v>10.095325690306105</v>
      </c>
    </row>
    <row r="159" spans="1:65" hidden="1" x14ac:dyDescent="0.45">
      <c r="A159" t="s">
        <v>1195</v>
      </c>
      <c r="B159" t="s">
        <v>1566</v>
      </c>
      <c r="C159" t="s">
        <v>1732</v>
      </c>
      <c r="D159" t="s">
        <v>1733</v>
      </c>
      <c r="AF159">
        <v>24.1</v>
      </c>
      <c r="AN159">
        <v>16.100000000000001</v>
      </c>
      <c r="AP159">
        <v>12.1</v>
      </c>
      <c r="AV159">
        <v>9.9</v>
      </c>
      <c r="AY159">
        <v>12</v>
      </c>
      <c r="BB159">
        <v>9.8000000000000007</v>
      </c>
      <c r="BG159">
        <v>11.4</v>
      </c>
      <c r="BH159">
        <v>13</v>
      </c>
    </row>
    <row r="160" spans="1:65" hidden="1" x14ac:dyDescent="0.45">
      <c r="A160" t="s">
        <v>1567</v>
      </c>
      <c r="B160" t="s">
        <v>1568</v>
      </c>
      <c r="C160" t="s">
        <v>1732</v>
      </c>
      <c r="D160" t="s">
        <v>1733</v>
      </c>
      <c r="AZ160">
        <v>8.1</v>
      </c>
    </row>
    <row r="161" spans="1:64" hidden="1" x14ac:dyDescent="0.45">
      <c r="A161" t="s">
        <v>1569</v>
      </c>
      <c r="B161" t="s">
        <v>1570</v>
      </c>
      <c r="C161" t="s">
        <v>1732</v>
      </c>
      <c r="D161" t="s">
        <v>1733</v>
      </c>
      <c r="AS161">
        <v>12.056826965091568</v>
      </c>
    </row>
    <row r="162" spans="1:64" hidden="1" x14ac:dyDescent="0.45">
      <c r="A162" t="s">
        <v>1264</v>
      </c>
      <c r="B162" t="s">
        <v>1571</v>
      </c>
      <c r="C162" t="s">
        <v>1732</v>
      </c>
      <c r="D162" t="s">
        <v>1733</v>
      </c>
      <c r="BD162">
        <v>17.2</v>
      </c>
      <c r="BL162">
        <v>10.3</v>
      </c>
    </row>
    <row r="163" spans="1:64" hidden="1" x14ac:dyDescent="0.45">
      <c r="A163" t="s">
        <v>1096</v>
      </c>
      <c r="B163" t="s">
        <v>1572</v>
      </c>
      <c r="C163" t="s">
        <v>1732</v>
      </c>
      <c r="D163" t="s">
        <v>1733</v>
      </c>
      <c r="AF163">
        <v>22.9</v>
      </c>
      <c r="AO163">
        <v>27.5</v>
      </c>
      <c r="AT163">
        <v>29.6</v>
      </c>
      <c r="AY163">
        <v>27.6</v>
      </c>
      <c r="BF163">
        <v>26</v>
      </c>
      <c r="BH163">
        <v>30.7</v>
      </c>
      <c r="BK163">
        <v>23.9</v>
      </c>
    </row>
    <row r="164" spans="1:64" hidden="1" x14ac:dyDescent="0.45">
      <c r="A164" t="s">
        <v>1262</v>
      </c>
      <c r="B164" t="s">
        <v>1573</v>
      </c>
      <c r="C164" t="s">
        <v>1732</v>
      </c>
      <c r="D164" t="s">
        <v>1733</v>
      </c>
    </row>
    <row r="165" spans="1:64" hidden="1" x14ac:dyDescent="0.45">
      <c r="A165" t="s">
        <v>1164</v>
      </c>
      <c r="B165" t="s">
        <v>1574</v>
      </c>
      <c r="C165" t="s">
        <v>1732</v>
      </c>
      <c r="D165" t="s">
        <v>1733</v>
      </c>
      <c r="AJ165">
        <v>20.6</v>
      </c>
      <c r="AP165">
        <v>19.100000000000001</v>
      </c>
      <c r="AT165">
        <v>19.100000000000001</v>
      </c>
      <c r="BI165">
        <v>16.2</v>
      </c>
    </row>
    <row r="166" spans="1:64" hidden="1" x14ac:dyDescent="0.45">
      <c r="A166" t="s">
        <v>1575</v>
      </c>
      <c r="B166" t="s">
        <v>1576</v>
      </c>
      <c r="C166" t="s">
        <v>1732</v>
      </c>
      <c r="D166" t="s">
        <v>1733</v>
      </c>
      <c r="BC166">
        <v>9.6862514613038471</v>
      </c>
    </row>
    <row r="167" spans="1:64" hidden="1" x14ac:dyDescent="0.45">
      <c r="A167" t="s">
        <v>1263</v>
      </c>
      <c r="B167" t="s">
        <v>1577</v>
      </c>
      <c r="C167" t="s">
        <v>1732</v>
      </c>
      <c r="D167" t="s">
        <v>1733</v>
      </c>
      <c r="BF167">
        <v>21.8</v>
      </c>
      <c r="BK167">
        <v>21</v>
      </c>
    </row>
    <row r="168" spans="1:64" hidden="1" x14ac:dyDescent="0.45">
      <c r="A168" t="s">
        <v>1156</v>
      </c>
      <c r="B168" t="s">
        <v>1578</v>
      </c>
      <c r="C168" t="s">
        <v>1732</v>
      </c>
      <c r="D168" t="s">
        <v>1733</v>
      </c>
      <c r="AQ168">
        <v>9.9</v>
      </c>
      <c r="AV168">
        <v>4.5999999999999996</v>
      </c>
      <c r="BA168">
        <v>14.4</v>
      </c>
      <c r="BC168">
        <v>22.3</v>
      </c>
      <c r="BF168">
        <v>16</v>
      </c>
      <c r="BK168">
        <v>22.8</v>
      </c>
    </row>
    <row r="169" spans="1:64" hidden="1" x14ac:dyDescent="0.45">
      <c r="A169" t="s">
        <v>1579</v>
      </c>
      <c r="B169" t="s">
        <v>1580</v>
      </c>
      <c r="C169" t="s">
        <v>1732</v>
      </c>
      <c r="D169" t="s">
        <v>1733</v>
      </c>
    </row>
    <row r="170" spans="1:64" hidden="1" x14ac:dyDescent="0.45">
      <c r="A170" t="s">
        <v>596</v>
      </c>
      <c r="B170" t="s">
        <v>1581</v>
      </c>
      <c r="C170" t="s">
        <v>1732</v>
      </c>
      <c r="D170" t="s">
        <v>1733</v>
      </c>
      <c r="AP170">
        <v>24.9</v>
      </c>
      <c r="AV170">
        <v>21.4</v>
      </c>
      <c r="AW170">
        <v>18.899999999999999</v>
      </c>
      <c r="BD170">
        <v>23.9</v>
      </c>
      <c r="BH170">
        <v>23.1</v>
      </c>
    </row>
    <row r="171" spans="1:64" hidden="1" x14ac:dyDescent="0.45">
      <c r="A171" t="s">
        <v>1097</v>
      </c>
      <c r="B171" t="s">
        <v>1582</v>
      </c>
      <c r="C171" t="s">
        <v>1732</v>
      </c>
      <c r="D171" t="s">
        <v>1733</v>
      </c>
      <c r="AT171">
        <v>32.1</v>
      </c>
      <c r="AZ171">
        <v>24.6</v>
      </c>
      <c r="BD171">
        <v>31.1</v>
      </c>
      <c r="BH171">
        <v>33.6</v>
      </c>
    </row>
    <row r="172" spans="1:64" hidden="1" x14ac:dyDescent="0.45">
      <c r="A172" t="s">
        <v>1071</v>
      </c>
      <c r="B172" t="s">
        <v>1583</v>
      </c>
      <c r="C172" t="s">
        <v>1732</v>
      </c>
      <c r="D172" t="s">
        <v>1733</v>
      </c>
      <c r="AJ172">
        <v>6.4</v>
      </c>
      <c r="AU172">
        <v>3.5</v>
      </c>
      <c r="BG172">
        <v>12.5</v>
      </c>
    </row>
    <row r="173" spans="1:64" hidden="1" x14ac:dyDescent="0.45">
      <c r="A173" t="s">
        <v>879</v>
      </c>
      <c r="B173" t="s">
        <v>1584</v>
      </c>
      <c r="C173" t="s">
        <v>1732</v>
      </c>
      <c r="D173" t="s">
        <v>1733</v>
      </c>
      <c r="AK173">
        <v>36.5</v>
      </c>
      <c r="AS173">
        <v>29.9</v>
      </c>
      <c r="AW173">
        <v>30.3</v>
      </c>
      <c r="AX173">
        <v>30.3</v>
      </c>
      <c r="BC173">
        <v>26.2</v>
      </c>
      <c r="BG173">
        <v>19.399999999999999</v>
      </c>
      <c r="BI173">
        <v>18.7</v>
      </c>
    </row>
    <row r="174" spans="1:64" hidden="1" x14ac:dyDescent="0.45">
      <c r="A174" t="s">
        <v>1163</v>
      </c>
      <c r="B174" t="s">
        <v>1585</v>
      </c>
      <c r="C174" t="s">
        <v>1732</v>
      </c>
      <c r="D174" t="s">
        <v>1733</v>
      </c>
    </row>
    <row r="175" spans="1:64" hidden="1" x14ac:dyDescent="0.45">
      <c r="A175" t="s">
        <v>1586</v>
      </c>
      <c r="B175" t="s">
        <v>1587</v>
      </c>
      <c r="C175" t="s">
        <v>1732</v>
      </c>
      <c r="D175" t="s">
        <v>1733</v>
      </c>
      <c r="AI175">
        <v>6</v>
      </c>
      <c r="AS175">
        <v>6.3</v>
      </c>
      <c r="BC175">
        <v>8</v>
      </c>
      <c r="BJ175">
        <v>7.2</v>
      </c>
    </row>
    <row r="176" spans="1:64" hidden="1" x14ac:dyDescent="0.45">
      <c r="A176" t="s">
        <v>598</v>
      </c>
      <c r="B176" t="s">
        <v>1588</v>
      </c>
      <c r="C176" t="s">
        <v>1732</v>
      </c>
      <c r="D176" t="s">
        <v>1733</v>
      </c>
      <c r="AK176">
        <v>21.8</v>
      </c>
      <c r="AS176">
        <v>23.9</v>
      </c>
      <c r="AZ176">
        <v>20.7</v>
      </c>
      <c r="BF176">
        <v>17.5</v>
      </c>
    </row>
    <row r="177" spans="1:64" hidden="1" x14ac:dyDescent="0.45">
      <c r="A177" t="s">
        <v>1218</v>
      </c>
      <c r="B177" t="s">
        <v>1589</v>
      </c>
      <c r="C177" t="s">
        <v>1732</v>
      </c>
      <c r="D177" t="s">
        <v>1733</v>
      </c>
    </row>
    <row r="178" spans="1:64" hidden="1" x14ac:dyDescent="0.45">
      <c r="A178" t="s">
        <v>1098</v>
      </c>
      <c r="B178" t="s">
        <v>1590</v>
      </c>
      <c r="C178" t="s">
        <v>1732</v>
      </c>
      <c r="D178" t="s">
        <v>1733</v>
      </c>
      <c r="AK178">
        <v>18.7</v>
      </c>
      <c r="AQ178">
        <v>17.7</v>
      </c>
      <c r="AY178">
        <v>16.100000000000001</v>
      </c>
      <c r="BE178">
        <v>16</v>
      </c>
      <c r="BI178">
        <v>23.9</v>
      </c>
      <c r="BJ178">
        <v>22.1864159763985</v>
      </c>
      <c r="BK178">
        <v>15</v>
      </c>
    </row>
    <row r="179" spans="1:64" hidden="1" x14ac:dyDescent="0.45">
      <c r="A179" t="s">
        <v>1099</v>
      </c>
      <c r="B179" t="s">
        <v>1591</v>
      </c>
      <c r="C179" t="s">
        <v>1732</v>
      </c>
      <c r="D179" t="s">
        <v>1733</v>
      </c>
      <c r="AI179">
        <v>21.5</v>
      </c>
      <c r="AR179">
        <v>20</v>
      </c>
      <c r="AV179">
        <v>17.5</v>
      </c>
      <c r="BA179">
        <v>20.2</v>
      </c>
      <c r="BD179">
        <v>19.399999999999999</v>
      </c>
      <c r="BF179">
        <v>16.100000000000001</v>
      </c>
      <c r="BI179">
        <v>28.9</v>
      </c>
      <c r="BJ179">
        <v>27.6</v>
      </c>
      <c r="BK179">
        <v>18.899999999999999</v>
      </c>
    </row>
    <row r="180" spans="1:64" hidden="1" x14ac:dyDescent="0.45">
      <c r="A180" t="s">
        <v>1196</v>
      </c>
      <c r="B180" t="s">
        <v>1592</v>
      </c>
      <c r="C180" t="s">
        <v>1732</v>
      </c>
      <c r="D180" t="s">
        <v>1733</v>
      </c>
      <c r="AL180">
        <v>23.9</v>
      </c>
      <c r="AQ180">
        <v>17.899999999999999</v>
      </c>
      <c r="AT180">
        <v>14.6</v>
      </c>
      <c r="AZ180">
        <v>10.7</v>
      </c>
      <c r="BE180">
        <v>5.8</v>
      </c>
    </row>
    <row r="181" spans="1:64" hidden="1" x14ac:dyDescent="0.45">
      <c r="A181" t="s">
        <v>1275</v>
      </c>
      <c r="B181" t="s">
        <v>1593</v>
      </c>
      <c r="C181" t="s">
        <v>1732</v>
      </c>
      <c r="D181" t="s">
        <v>1733</v>
      </c>
    </row>
    <row r="182" spans="1:64" hidden="1" x14ac:dyDescent="0.45">
      <c r="A182" t="s">
        <v>1253</v>
      </c>
      <c r="B182" t="s">
        <v>1594</v>
      </c>
      <c r="C182" t="s">
        <v>1732</v>
      </c>
      <c r="D182" t="s">
        <v>1733</v>
      </c>
    </row>
    <row r="183" spans="1:64" hidden="1" x14ac:dyDescent="0.45">
      <c r="A183" t="s">
        <v>1145</v>
      </c>
      <c r="B183" t="s">
        <v>1595</v>
      </c>
      <c r="C183" t="s">
        <v>1732</v>
      </c>
      <c r="D183" t="s">
        <v>1733</v>
      </c>
      <c r="AK183">
        <v>27.7</v>
      </c>
      <c r="AO183">
        <v>32.4</v>
      </c>
      <c r="AT183">
        <v>27.8</v>
      </c>
      <c r="AY183">
        <v>24.7</v>
      </c>
      <c r="BD183">
        <v>27.5</v>
      </c>
      <c r="BG183">
        <v>25.3</v>
      </c>
      <c r="BI183">
        <v>23.7</v>
      </c>
      <c r="BJ183">
        <v>23.7</v>
      </c>
      <c r="BL183">
        <v>24.715611858834901</v>
      </c>
    </row>
    <row r="184" spans="1:64" hidden="1" x14ac:dyDescent="0.45">
      <c r="A184" t="s">
        <v>1596</v>
      </c>
      <c r="B184" t="s">
        <v>1597</v>
      </c>
      <c r="C184" t="s">
        <v>1732</v>
      </c>
      <c r="D184" t="s">
        <v>1733</v>
      </c>
      <c r="AZ184">
        <v>23.5</v>
      </c>
    </row>
    <row r="185" spans="1:64" hidden="1" x14ac:dyDescent="0.45">
      <c r="A185" t="s">
        <v>1214</v>
      </c>
      <c r="B185" t="s">
        <v>1598</v>
      </c>
      <c r="C185" t="s">
        <v>1732</v>
      </c>
      <c r="D185" t="s">
        <v>1733</v>
      </c>
    </row>
    <row r="186" spans="1:64" hidden="1" x14ac:dyDescent="0.45">
      <c r="A186" t="s">
        <v>1599</v>
      </c>
      <c r="B186" t="s">
        <v>1600</v>
      </c>
      <c r="C186" t="s">
        <v>1732</v>
      </c>
      <c r="D186" t="s">
        <v>1733</v>
      </c>
    </row>
    <row r="187" spans="1:64" hidden="1" x14ac:dyDescent="0.45">
      <c r="A187" t="s">
        <v>1123</v>
      </c>
      <c r="B187" t="s">
        <v>1601</v>
      </c>
      <c r="C187" t="s">
        <v>1732</v>
      </c>
      <c r="D187" t="s">
        <v>1733</v>
      </c>
      <c r="BA187">
        <v>55.9</v>
      </c>
      <c r="BG187">
        <v>17.8</v>
      </c>
    </row>
    <row r="188" spans="1:64" hidden="1" x14ac:dyDescent="0.45">
      <c r="A188" t="s">
        <v>1602</v>
      </c>
      <c r="B188" t="s">
        <v>1603</v>
      </c>
      <c r="C188" t="s">
        <v>1732</v>
      </c>
      <c r="D188" t="s">
        <v>1733</v>
      </c>
    </row>
    <row r="189" spans="1:64" hidden="1" x14ac:dyDescent="0.45">
      <c r="A189" t="s">
        <v>1146</v>
      </c>
      <c r="B189" t="s">
        <v>1604</v>
      </c>
      <c r="C189" t="s">
        <v>1732</v>
      </c>
      <c r="D189" t="s">
        <v>1733</v>
      </c>
      <c r="AJ189">
        <v>30.5</v>
      </c>
      <c r="AP189">
        <v>37.5</v>
      </c>
      <c r="AT189">
        <v>33</v>
      </c>
      <c r="AZ189">
        <v>25.2</v>
      </c>
      <c r="BF189">
        <v>20.100000000000001</v>
      </c>
      <c r="BJ189">
        <v>17.3</v>
      </c>
      <c r="BK189">
        <v>17.3</v>
      </c>
    </row>
    <row r="190" spans="1:64" hidden="1" x14ac:dyDescent="0.45">
      <c r="A190" t="s">
        <v>1197</v>
      </c>
      <c r="B190" t="s">
        <v>1605</v>
      </c>
      <c r="C190" t="s">
        <v>1732</v>
      </c>
      <c r="D190" t="s">
        <v>1733</v>
      </c>
      <c r="AC190">
        <v>16.399999999999999</v>
      </c>
      <c r="AD190">
        <v>16.399999999999999</v>
      </c>
      <c r="BF190">
        <v>16.399999999999999</v>
      </c>
      <c r="BH190">
        <v>24.2</v>
      </c>
    </row>
    <row r="191" spans="1:64" hidden="1" x14ac:dyDescent="0.45">
      <c r="A191" t="s">
        <v>1208</v>
      </c>
      <c r="B191" t="s">
        <v>1606</v>
      </c>
      <c r="C191" t="s">
        <v>1732</v>
      </c>
      <c r="D191" t="s">
        <v>1733</v>
      </c>
      <c r="AE191">
        <v>27.7</v>
      </c>
      <c r="AK191">
        <v>21.6</v>
      </c>
      <c r="AO191">
        <v>17.7</v>
      </c>
      <c r="AS191">
        <v>14.4</v>
      </c>
      <c r="AX191">
        <v>12.3</v>
      </c>
      <c r="AY191">
        <v>12.3</v>
      </c>
      <c r="BA191">
        <v>12.6</v>
      </c>
      <c r="BB191">
        <v>11.1</v>
      </c>
      <c r="BC191">
        <v>10.5</v>
      </c>
      <c r="BD191">
        <v>9.6999999999999993</v>
      </c>
      <c r="BE191">
        <v>9.5</v>
      </c>
      <c r="BF191">
        <v>9</v>
      </c>
      <c r="BG191">
        <v>8.6</v>
      </c>
      <c r="BH191">
        <v>6.5</v>
      </c>
      <c r="BI191">
        <v>6</v>
      </c>
      <c r="BJ191">
        <v>6.5</v>
      </c>
      <c r="BK191">
        <v>6.3</v>
      </c>
    </row>
    <row r="192" spans="1:64" hidden="1" x14ac:dyDescent="0.45">
      <c r="A192" t="s">
        <v>1165</v>
      </c>
      <c r="B192" t="s">
        <v>1607</v>
      </c>
      <c r="C192" t="s">
        <v>1732</v>
      </c>
      <c r="D192" t="s">
        <v>1733</v>
      </c>
      <c r="AL192">
        <v>30.2</v>
      </c>
      <c r="AQ192">
        <v>24.6</v>
      </c>
      <c r="AV192">
        <v>22.5</v>
      </c>
      <c r="BA192">
        <v>22</v>
      </c>
      <c r="BD192">
        <v>19.3</v>
      </c>
      <c r="BF192">
        <v>17.5</v>
      </c>
      <c r="BJ192">
        <v>16.7</v>
      </c>
    </row>
    <row r="193" spans="1:65" hidden="1" x14ac:dyDescent="0.45">
      <c r="A193" t="s">
        <v>1608</v>
      </c>
      <c r="B193" t="s">
        <v>1609</v>
      </c>
      <c r="C193" t="s">
        <v>1732</v>
      </c>
      <c r="D193" t="s">
        <v>1733</v>
      </c>
    </row>
    <row r="194" spans="1:65" hidden="1" x14ac:dyDescent="0.45">
      <c r="A194" t="s">
        <v>1219</v>
      </c>
      <c r="B194" t="s">
        <v>1610</v>
      </c>
      <c r="C194" t="s">
        <v>1732</v>
      </c>
      <c r="D194" t="s">
        <v>1733</v>
      </c>
      <c r="AY194">
        <v>27.4</v>
      </c>
      <c r="AZ194">
        <v>27.4</v>
      </c>
      <c r="BK194">
        <v>25.9</v>
      </c>
    </row>
    <row r="195" spans="1:65" hidden="1" x14ac:dyDescent="0.45">
      <c r="A195" t="s">
        <v>1238</v>
      </c>
      <c r="B195" t="s">
        <v>1611</v>
      </c>
      <c r="C195" t="s">
        <v>1732</v>
      </c>
      <c r="D195" t="s">
        <v>1733</v>
      </c>
    </row>
    <row r="196" spans="1:65" hidden="1" x14ac:dyDescent="0.45">
      <c r="A196" t="s">
        <v>1612</v>
      </c>
      <c r="B196" t="s">
        <v>1613</v>
      </c>
      <c r="C196" t="s">
        <v>1732</v>
      </c>
      <c r="D196" t="s">
        <v>1733</v>
      </c>
      <c r="BC196">
        <v>23.496303893992032</v>
      </c>
      <c r="BJ196">
        <v>23.033218204161027</v>
      </c>
    </row>
    <row r="197" spans="1:65" hidden="1" x14ac:dyDescent="0.45">
      <c r="A197" t="s">
        <v>1184</v>
      </c>
      <c r="B197" t="s">
        <v>1614</v>
      </c>
      <c r="C197" t="s">
        <v>1732</v>
      </c>
      <c r="D197" t="s">
        <v>1733</v>
      </c>
      <c r="AO197">
        <v>4</v>
      </c>
    </row>
    <row r="198" spans="1:65" hidden="1" x14ac:dyDescent="0.45">
      <c r="A198" t="s">
        <v>1615</v>
      </c>
      <c r="B198" t="s">
        <v>1616</v>
      </c>
      <c r="C198" t="s">
        <v>1732</v>
      </c>
      <c r="D198" t="s">
        <v>1733</v>
      </c>
      <c r="AU198">
        <v>16.7</v>
      </c>
      <c r="AY198">
        <v>15.8</v>
      </c>
      <c r="BC198">
        <v>14.5</v>
      </c>
      <c r="BG198">
        <v>7</v>
      </c>
      <c r="BJ198">
        <v>6.6</v>
      </c>
    </row>
    <row r="199" spans="1:65" hidden="1" x14ac:dyDescent="0.45">
      <c r="A199" t="s">
        <v>1265</v>
      </c>
      <c r="B199" t="s">
        <v>1617</v>
      </c>
      <c r="C199" t="s">
        <v>1732</v>
      </c>
      <c r="D199" t="s">
        <v>1733</v>
      </c>
    </row>
    <row r="200" spans="1:65" hidden="1" x14ac:dyDescent="0.45">
      <c r="A200" t="s">
        <v>1207</v>
      </c>
      <c r="B200" t="s">
        <v>1618</v>
      </c>
      <c r="C200" t="s">
        <v>1732</v>
      </c>
      <c r="D200" t="s">
        <v>1733</v>
      </c>
      <c r="AF200">
        <v>32.9</v>
      </c>
      <c r="AI200">
        <v>17.399999999999999</v>
      </c>
      <c r="AO200">
        <v>19.2</v>
      </c>
      <c r="AQ200">
        <v>17.3</v>
      </c>
      <c r="AW200">
        <v>6.6</v>
      </c>
      <c r="BA200">
        <v>4.7</v>
      </c>
      <c r="BI200">
        <v>12.1</v>
      </c>
    </row>
    <row r="201" spans="1:65" hidden="1" x14ac:dyDescent="0.45">
      <c r="A201" t="s">
        <v>1619</v>
      </c>
      <c r="B201" t="s">
        <v>1620</v>
      </c>
      <c r="C201" t="s">
        <v>1732</v>
      </c>
      <c r="D201" t="s">
        <v>1733</v>
      </c>
      <c r="BC201">
        <v>15.6</v>
      </c>
      <c r="BG201">
        <v>10.9</v>
      </c>
      <c r="BM201">
        <v>12.9</v>
      </c>
    </row>
    <row r="202" spans="1:65" hidden="1" x14ac:dyDescent="0.45">
      <c r="A202" t="s">
        <v>1621</v>
      </c>
      <c r="B202" t="s">
        <v>1622</v>
      </c>
      <c r="C202" t="s">
        <v>1732</v>
      </c>
      <c r="D202" t="s">
        <v>1733</v>
      </c>
    </row>
    <row r="203" spans="1:65" hidden="1" x14ac:dyDescent="0.45">
      <c r="A203" t="s">
        <v>1623</v>
      </c>
      <c r="B203" t="s">
        <v>1624</v>
      </c>
      <c r="C203" t="s">
        <v>1732</v>
      </c>
      <c r="D203" t="s">
        <v>1733</v>
      </c>
    </row>
    <row r="204" spans="1:65" hidden="1" x14ac:dyDescent="0.45">
      <c r="A204" t="s">
        <v>1227</v>
      </c>
      <c r="B204" t="s">
        <v>1625</v>
      </c>
      <c r="C204" t="s">
        <v>1732</v>
      </c>
      <c r="D204" t="s">
        <v>1733</v>
      </c>
    </row>
    <row r="205" spans="1:65" hidden="1" x14ac:dyDescent="0.45">
      <c r="A205" t="s">
        <v>1124</v>
      </c>
      <c r="B205" t="s">
        <v>1626</v>
      </c>
      <c r="C205" t="s">
        <v>1732</v>
      </c>
      <c r="D205" t="s">
        <v>1733</v>
      </c>
      <c r="BE205">
        <v>12.4</v>
      </c>
    </row>
    <row r="206" spans="1:65" hidden="1" x14ac:dyDescent="0.45">
      <c r="A206" t="s">
        <v>1240</v>
      </c>
      <c r="B206" t="s">
        <v>1627</v>
      </c>
      <c r="C206" t="s">
        <v>1732</v>
      </c>
      <c r="D206" t="s">
        <v>1733</v>
      </c>
      <c r="AL206">
        <v>11.4</v>
      </c>
      <c r="AR206">
        <v>5.6</v>
      </c>
      <c r="AW206">
        <v>11.9</v>
      </c>
    </row>
    <row r="207" spans="1:65" hidden="1" x14ac:dyDescent="0.45">
      <c r="A207" t="s">
        <v>1241</v>
      </c>
      <c r="B207" t="s">
        <v>1628</v>
      </c>
      <c r="C207" t="s">
        <v>1732</v>
      </c>
      <c r="D207" t="s">
        <v>1733</v>
      </c>
      <c r="BD207">
        <v>8</v>
      </c>
    </row>
    <row r="208" spans="1:65" hidden="1" x14ac:dyDescent="0.45">
      <c r="A208" t="s">
        <v>600</v>
      </c>
      <c r="B208" t="s">
        <v>1629</v>
      </c>
      <c r="C208" t="s">
        <v>1732</v>
      </c>
      <c r="D208" t="s">
        <v>1733</v>
      </c>
      <c r="AK208">
        <v>38.200000000000003</v>
      </c>
      <c r="AS208">
        <v>36.4</v>
      </c>
      <c r="AX208">
        <v>38.5</v>
      </c>
      <c r="BA208">
        <v>34.4</v>
      </c>
      <c r="BC208">
        <v>20.8</v>
      </c>
      <c r="BD208">
        <v>20.8</v>
      </c>
      <c r="BH208">
        <v>18.899999999999999</v>
      </c>
    </row>
    <row r="209" spans="1:64" hidden="1" x14ac:dyDescent="0.45">
      <c r="A209" t="s">
        <v>1630</v>
      </c>
      <c r="B209" t="s">
        <v>1631</v>
      </c>
      <c r="C209" t="s">
        <v>1732</v>
      </c>
      <c r="D209" t="s">
        <v>1733</v>
      </c>
      <c r="AS209">
        <v>18.141449014154649</v>
      </c>
      <c r="BC209">
        <v>19.851160253330214</v>
      </c>
      <c r="BJ209">
        <v>13.833978702388332</v>
      </c>
    </row>
    <row r="210" spans="1:64" hidden="1" x14ac:dyDescent="0.45">
      <c r="A210" t="s">
        <v>1125</v>
      </c>
      <c r="B210" t="s">
        <v>1632</v>
      </c>
      <c r="C210" t="s">
        <v>1732</v>
      </c>
      <c r="D210" t="s">
        <v>1733</v>
      </c>
    </row>
    <row r="211" spans="1:64" hidden="1" x14ac:dyDescent="0.45">
      <c r="A211" t="s">
        <v>1109</v>
      </c>
      <c r="B211" t="s">
        <v>1633</v>
      </c>
      <c r="C211" t="s">
        <v>1732</v>
      </c>
      <c r="D211" t="s">
        <v>1733</v>
      </c>
      <c r="AI211">
        <v>28.9</v>
      </c>
      <c r="AL211">
        <v>26</v>
      </c>
      <c r="BC211">
        <v>28.9</v>
      </c>
      <c r="BG211">
        <v>26.6</v>
      </c>
    </row>
    <row r="212" spans="1:64" hidden="1" x14ac:dyDescent="0.45">
      <c r="A212" t="s">
        <v>1100</v>
      </c>
      <c r="B212" t="s">
        <v>1634</v>
      </c>
      <c r="C212" t="s">
        <v>1732</v>
      </c>
      <c r="D212" t="s">
        <v>1733</v>
      </c>
      <c r="AE212">
        <v>37.4</v>
      </c>
      <c r="AL212">
        <v>28.8</v>
      </c>
      <c r="AP212">
        <v>35</v>
      </c>
      <c r="AX212">
        <v>32</v>
      </c>
      <c r="BD212">
        <v>30.1</v>
      </c>
      <c r="BF212">
        <v>29.3</v>
      </c>
      <c r="BG212">
        <v>25.1</v>
      </c>
      <c r="BH212">
        <v>25.2</v>
      </c>
      <c r="BI212">
        <v>23.6</v>
      </c>
      <c r="BJ212">
        <v>21.9</v>
      </c>
      <c r="BK212">
        <v>20.6</v>
      </c>
      <c r="BL212">
        <v>21.7</v>
      </c>
    </row>
    <row r="213" spans="1:64" hidden="1" x14ac:dyDescent="0.45">
      <c r="A213" t="s">
        <v>1166</v>
      </c>
      <c r="B213" t="s">
        <v>1635</v>
      </c>
      <c r="C213" t="s">
        <v>1732</v>
      </c>
      <c r="D213" t="s">
        <v>1733</v>
      </c>
    </row>
    <row r="214" spans="1:64" hidden="1" x14ac:dyDescent="0.45">
      <c r="A214" t="s">
        <v>1220</v>
      </c>
      <c r="B214" t="s">
        <v>1636</v>
      </c>
      <c r="C214" t="s">
        <v>1732</v>
      </c>
      <c r="D214" t="s">
        <v>1733</v>
      </c>
      <c r="AZ214">
        <v>11.1</v>
      </c>
      <c r="BH214">
        <v>34.700000000000003</v>
      </c>
    </row>
    <row r="215" spans="1:64" hidden="1" x14ac:dyDescent="0.45">
      <c r="A215" t="s">
        <v>1101</v>
      </c>
      <c r="B215" t="s">
        <v>1637</v>
      </c>
      <c r="C215" t="s">
        <v>1732</v>
      </c>
      <c r="D215" t="s">
        <v>1733</v>
      </c>
      <c r="BA215">
        <v>28.4</v>
      </c>
      <c r="BC215">
        <v>27.4</v>
      </c>
      <c r="BF215">
        <v>25</v>
      </c>
      <c r="BJ215">
        <v>26.3</v>
      </c>
      <c r="BL215">
        <v>24.8</v>
      </c>
    </row>
    <row r="216" spans="1:64" hidden="1" x14ac:dyDescent="0.45">
      <c r="A216" t="s">
        <v>1192</v>
      </c>
      <c r="B216" t="s">
        <v>1638</v>
      </c>
      <c r="C216" t="s">
        <v>1732</v>
      </c>
      <c r="D216" t="s">
        <v>1733</v>
      </c>
      <c r="AG216">
        <v>16.2</v>
      </c>
      <c r="AL216">
        <v>15.8</v>
      </c>
      <c r="AQ216">
        <v>14.2</v>
      </c>
      <c r="AV216">
        <v>8.9</v>
      </c>
      <c r="BA216">
        <v>18.399999999999999</v>
      </c>
      <c r="BG216">
        <v>11.1</v>
      </c>
    </row>
    <row r="217" spans="1:64" hidden="1" x14ac:dyDescent="0.45">
      <c r="A217" t="s">
        <v>1639</v>
      </c>
      <c r="B217" t="s">
        <v>1640</v>
      </c>
      <c r="C217" t="s">
        <v>1732</v>
      </c>
      <c r="D217" t="s">
        <v>1733</v>
      </c>
    </row>
    <row r="218" spans="1:64" hidden="1" x14ac:dyDescent="0.45">
      <c r="A218" t="s">
        <v>1075</v>
      </c>
      <c r="B218" t="s">
        <v>1641</v>
      </c>
      <c r="C218" t="s">
        <v>1732</v>
      </c>
      <c r="D218" t="s">
        <v>1733</v>
      </c>
      <c r="BD218">
        <v>20.2</v>
      </c>
      <c r="BL218">
        <v>36.6</v>
      </c>
    </row>
    <row r="219" spans="1:64" hidden="1" x14ac:dyDescent="0.45">
      <c r="A219" t="s">
        <v>1266</v>
      </c>
      <c r="B219" t="s">
        <v>1642</v>
      </c>
      <c r="C219" t="s">
        <v>1732</v>
      </c>
      <c r="D219" t="s">
        <v>1733</v>
      </c>
      <c r="BC219">
        <v>6.6</v>
      </c>
      <c r="BG219">
        <v>14.9</v>
      </c>
      <c r="BL219">
        <v>8.8000000000000007</v>
      </c>
    </row>
    <row r="220" spans="1:64" hidden="1" x14ac:dyDescent="0.45">
      <c r="A220" t="s">
        <v>1643</v>
      </c>
      <c r="B220" t="s">
        <v>1644</v>
      </c>
      <c r="C220" t="s">
        <v>1732</v>
      </c>
      <c r="D220" t="s">
        <v>1733</v>
      </c>
      <c r="AS220">
        <v>25.587193820020673</v>
      </c>
      <c r="BC220">
        <v>24.273167007508412</v>
      </c>
      <c r="BJ220">
        <v>22.575948707139936</v>
      </c>
    </row>
    <row r="221" spans="1:64" hidden="1" x14ac:dyDescent="0.45">
      <c r="A221" t="s">
        <v>1076</v>
      </c>
      <c r="B221" t="s">
        <v>1645</v>
      </c>
      <c r="C221" t="s">
        <v>1732</v>
      </c>
      <c r="D221" t="s">
        <v>1733</v>
      </c>
      <c r="BC221">
        <v>26.3</v>
      </c>
    </row>
    <row r="222" spans="1:64" hidden="1" x14ac:dyDescent="0.45">
      <c r="A222" t="s">
        <v>1646</v>
      </c>
      <c r="B222" t="s">
        <v>1647</v>
      </c>
      <c r="C222" t="s">
        <v>1732</v>
      </c>
      <c r="D222" t="s">
        <v>1733</v>
      </c>
      <c r="AS222">
        <v>25.587193820020673</v>
      </c>
      <c r="BC222">
        <v>24.27316700750842</v>
      </c>
      <c r="BJ222">
        <v>22.575948707139947</v>
      </c>
    </row>
    <row r="223" spans="1:64" hidden="1" x14ac:dyDescent="0.45">
      <c r="A223" t="s">
        <v>1648</v>
      </c>
      <c r="B223" t="s">
        <v>1649</v>
      </c>
      <c r="C223" t="s">
        <v>1732</v>
      </c>
      <c r="D223" t="s">
        <v>1733</v>
      </c>
    </row>
    <row r="224" spans="1:64" hidden="1" x14ac:dyDescent="0.45">
      <c r="A224" t="s">
        <v>1084</v>
      </c>
      <c r="B224" t="s">
        <v>1650</v>
      </c>
      <c r="C224" t="s">
        <v>1732</v>
      </c>
      <c r="D224" t="s">
        <v>1733</v>
      </c>
      <c r="BB224">
        <v>37.6</v>
      </c>
      <c r="BG224">
        <v>32.700000000000003</v>
      </c>
      <c r="BL224">
        <v>27.1</v>
      </c>
    </row>
    <row r="225" spans="1:64" hidden="1" x14ac:dyDescent="0.45">
      <c r="A225" t="s">
        <v>1209</v>
      </c>
      <c r="B225" t="s">
        <v>1651</v>
      </c>
      <c r="C225" t="s">
        <v>1732</v>
      </c>
      <c r="D225" t="s">
        <v>1733</v>
      </c>
      <c r="BC225">
        <v>16.899999999999999</v>
      </c>
      <c r="BK225">
        <v>28.4</v>
      </c>
    </row>
    <row r="226" spans="1:64" hidden="1" x14ac:dyDescent="0.45">
      <c r="A226" t="s">
        <v>1652</v>
      </c>
      <c r="B226" t="s">
        <v>1653</v>
      </c>
      <c r="C226" t="s">
        <v>1732</v>
      </c>
      <c r="D226" t="s">
        <v>1733</v>
      </c>
    </row>
    <row r="227" spans="1:64" hidden="1" x14ac:dyDescent="0.45">
      <c r="A227" t="s">
        <v>1267</v>
      </c>
      <c r="B227" t="s">
        <v>1654</v>
      </c>
      <c r="C227" t="s">
        <v>1732</v>
      </c>
      <c r="D227" t="s">
        <v>1733</v>
      </c>
      <c r="AN227">
        <v>9.1999999999999993</v>
      </c>
    </row>
    <row r="228" spans="1:64" hidden="1" x14ac:dyDescent="0.45">
      <c r="A228" t="s">
        <v>1254</v>
      </c>
      <c r="B228" t="s">
        <v>1655</v>
      </c>
      <c r="C228" t="s">
        <v>1732</v>
      </c>
      <c r="D228" t="s">
        <v>1733</v>
      </c>
      <c r="BF228">
        <v>6.5</v>
      </c>
      <c r="BJ228">
        <v>8.5</v>
      </c>
    </row>
    <row r="229" spans="1:64" hidden="1" x14ac:dyDescent="0.45">
      <c r="A229" t="s">
        <v>603</v>
      </c>
      <c r="B229" t="s">
        <v>1656</v>
      </c>
      <c r="C229" t="s">
        <v>1732</v>
      </c>
      <c r="D229" t="s">
        <v>1733</v>
      </c>
      <c r="AZ229">
        <v>24.7</v>
      </c>
      <c r="BC229">
        <v>13</v>
      </c>
      <c r="BG229">
        <v>15.2</v>
      </c>
    </row>
    <row r="230" spans="1:64" hidden="1" x14ac:dyDescent="0.45">
      <c r="A230" t="s">
        <v>1657</v>
      </c>
      <c r="B230" t="s">
        <v>1658</v>
      </c>
      <c r="C230" t="s">
        <v>1732</v>
      </c>
      <c r="D230" t="s">
        <v>1733</v>
      </c>
    </row>
    <row r="231" spans="1:64" hidden="1" x14ac:dyDescent="0.45">
      <c r="A231" t="s">
        <v>1074</v>
      </c>
      <c r="B231" t="s">
        <v>1659</v>
      </c>
      <c r="C231" t="s">
        <v>1732</v>
      </c>
      <c r="D231" t="s">
        <v>1733</v>
      </c>
    </row>
    <row r="232" spans="1:64" hidden="1" x14ac:dyDescent="0.45">
      <c r="A232" t="s">
        <v>1127</v>
      </c>
      <c r="B232" t="s">
        <v>1660</v>
      </c>
      <c r="C232" t="s">
        <v>1732</v>
      </c>
      <c r="D232" t="s">
        <v>1733</v>
      </c>
      <c r="BB232">
        <v>16.399999999999999</v>
      </c>
      <c r="BC232">
        <v>16.399999999999999</v>
      </c>
    </row>
    <row r="233" spans="1:64" hidden="1" x14ac:dyDescent="0.45">
      <c r="A233" t="s">
        <v>1661</v>
      </c>
      <c r="B233" t="s">
        <v>1662</v>
      </c>
      <c r="C233" t="s">
        <v>1732</v>
      </c>
      <c r="D233" t="s">
        <v>1733</v>
      </c>
    </row>
    <row r="234" spans="1:64" hidden="1" x14ac:dyDescent="0.45">
      <c r="A234" t="s">
        <v>1080</v>
      </c>
      <c r="B234" t="s">
        <v>1663</v>
      </c>
      <c r="C234" t="s">
        <v>1732</v>
      </c>
      <c r="D234" t="s">
        <v>1733</v>
      </c>
      <c r="AP234">
        <v>17.399999999999999</v>
      </c>
      <c r="AW234">
        <v>20.6</v>
      </c>
      <c r="BC234">
        <v>28.3</v>
      </c>
      <c r="BH234">
        <v>22.9</v>
      </c>
      <c r="BL234">
        <v>30.2</v>
      </c>
    </row>
    <row r="235" spans="1:64" hidden="1" x14ac:dyDescent="0.45">
      <c r="A235" t="s">
        <v>1664</v>
      </c>
      <c r="B235" t="s">
        <v>1665</v>
      </c>
      <c r="C235" t="s">
        <v>1732</v>
      </c>
      <c r="D235" t="s">
        <v>1733</v>
      </c>
      <c r="AI235">
        <v>5.5430541004073612</v>
      </c>
      <c r="AS235">
        <v>4.4956026625920913</v>
      </c>
    </row>
    <row r="236" spans="1:64" hidden="1" x14ac:dyDescent="0.45">
      <c r="A236" t="s">
        <v>1666</v>
      </c>
      <c r="B236" t="s">
        <v>1667</v>
      </c>
      <c r="C236" t="s">
        <v>1732</v>
      </c>
      <c r="D236" t="s">
        <v>1733</v>
      </c>
      <c r="BC236">
        <v>8.6003922174420158</v>
      </c>
    </row>
    <row r="237" spans="1:64" hidden="1" x14ac:dyDescent="0.45">
      <c r="A237" t="s">
        <v>1102</v>
      </c>
      <c r="B237" t="s">
        <v>1668</v>
      </c>
      <c r="C237" t="s">
        <v>1732</v>
      </c>
      <c r="D237" t="s">
        <v>1733</v>
      </c>
      <c r="AG237">
        <v>40.1</v>
      </c>
      <c r="AQ237">
        <v>35</v>
      </c>
      <c r="BC237">
        <v>37.200000000000003</v>
      </c>
      <c r="BG237">
        <v>33.6</v>
      </c>
      <c r="BJ237">
        <v>34</v>
      </c>
    </row>
    <row r="238" spans="1:64" hidden="1" x14ac:dyDescent="0.45">
      <c r="A238" t="s">
        <v>1167</v>
      </c>
      <c r="B238" t="s">
        <v>1669</v>
      </c>
      <c r="C238" t="s">
        <v>1732</v>
      </c>
      <c r="D238" t="s">
        <v>1733</v>
      </c>
      <c r="AF238">
        <v>11.1</v>
      </c>
      <c r="BE238">
        <v>6.9</v>
      </c>
      <c r="BI238">
        <v>6.2</v>
      </c>
      <c r="BL238">
        <v>8</v>
      </c>
    </row>
    <row r="239" spans="1:64" hidden="1" x14ac:dyDescent="0.45">
      <c r="A239" t="s">
        <v>1135</v>
      </c>
      <c r="B239" t="s">
        <v>1670</v>
      </c>
      <c r="C239" t="s">
        <v>1732</v>
      </c>
      <c r="D239" t="s">
        <v>1733</v>
      </c>
      <c r="BE239">
        <v>22.9</v>
      </c>
      <c r="BJ239">
        <v>22.7</v>
      </c>
    </row>
    <row r="240" spans="1:64" hidden="1" x14ac:dyDescent="0.45">
      <c r="A240" t="s">
        <v>1136</v>
      </c>
      <c r="B240" t="s">
        <v>1671</v>
      </c>
      <c r="C240" t="s">
        <v>1732</v>
      </c>
      <c r="D240" t="s">
        <v>1733</v>
      </c>
      <c r="AS240">
        <v>13.1</v>
      </c>
      <c r="BH240">
        <v>12.1</v>
      </c>
      <c r="BI240">
        <v>12.1</v>
      </c>
      <c r="BL240">
        <v>9.6999999999999993</v>
      </c>
    </row>
    <row r="241" spans="1:64" hidden="1" x14ac:dyDescent="0.45">
      <c r="A241" t="s">
        <v>1672</v>
      </c>
      <c r="B241" t="s">
        <v>1673</v>
      </c>
      <c r="C241" t="s">
        <v>1732</v>
      </c>
      <c r="D241" t="s">
        <v>1733</v>
      </c>
    </row>
    <row r="242" spans="1:64" hidden="1" x14ac:dyDescent="0.45">
      <c r="A242" t="s">
        <v>1168</v>
      </c>
      <c r="B242" t="s">
        <v>1674</v>
      </c>
      <c r="C242" t="s">
        <v>1732</v>
      </c>
      <c r="D242" t="s">
        <v>1733</v>
      </c>
      <c r="AJ242">
        <v>18.3</v>
      </c>
      <c r="AM242">
        <v>13.3</v>
      </c>
      <c r="AP242">
        <v>17.399999999999999</v>
      </c>
      <c r="BC242">
        <v>31.5</v>
      </c>
      <c r="BI242">
        <v>25.3</v>
      </c>
    </row>
    <row r="243" spans="1:64" hidden="1" x14ac:dyDescent="0.45">
      <c r="A243" t="s">
        <v>1675</v>
      </c>
      <c r="B243" t="s">
        <v>1676</v>
      </c>
      <c r="C243" t="s">
        <v>1732</v>
      </c>
      <c r="D243" t="s">
        <v>1733</v>
      </c>
      <c r="BC243">
        <v>9.6191050253589978</v>
      </c>
    </row>
    <row r="244" spans="1:64" hidden="1" x14ac:dyDescent="0.45">
      <c r="A244" t="s">
        <v>1229</v>
      </c>
      <c r="B244" t="s">
        <v>1677</v>
      </c>
      <c r="C244" t="s">
        <v>1732</v>
      </c>
      <c r="D244" t="s">
        <v>1733</v>
      </c>
      <c r="BE244">
        <v>25.2</v>
      </c>
    </row>
    <row r="245" spans="1:64" hidden="1" x14ac:dyDescent="0.45">
      <c r="A245" t="s">
        <v>1678</v>
      </c>
      <c r="B245" t="s">
        <v>1679</v>
      </c>
      <c r="C245" t="s">
        <v>1732</v>
      </c>
      <c r="D245" t="s">
        <v>1733</v>
      </c>
      <c r="AS245">
        <v>18.141449014154649</v>
      </c>
      <c r="BC245">
        <v>19.851160253330214</v>
      </c>
      <c r="BJ245">
        <v>13.833978702388332</v>
      </c>
    </row>
    <row r="246" spans="1:64" hidden="1" x14ac:dyDescent="0.45">
      <c r="A246" t="s">
        <v>1680</v>
      </c>
      <c r="B246" t="s">
        <v>1681</v>
      </c>
      <c r="C246" t="s">
        <v>1732</v>
      </c>
      <c r="D246" t="s">
        <v>1733</v>
      </c>
      <c r="AS246">
        <v>25.587193820020673</v>
      </c>
      <c r="BC246">
        <v>24.273167007508412</v>
      </c>
      <c r="BJ246">
        <v>22.575948707139943</v>
      </c>
    </row>
    <row r="247" spans="1:64" hidden="1" x14ac:dyDescent="0.45">
      <c r="A247" t="s">
        <v>1187</v>
      </c>
      <c r="B247" t="s">
        <v>1682</v>
      </c>
      <c r="C247" t="s">
        <v>1732</v>
      </c>
      <c r="D247" t="s">
        <v>1733</v>
      </c>
      <c r="AF247">
        <v>16.100000000000001</v>
      </c>
      <c r="AY247">
        <v>26.7</v>
      </c>
      <c r="BD247">
        <v>24.3</v>
      </c>
    </row>
    <row r="248" spans="1:64" hidden="1" x14ac:dyDescent="0.45">
      <c r="A248" t="s">
        <v>1110</v>
      </c>
      <c r="B248" t="s">
        <v>1683</v>
      </c>
      <c r="C248" t="s">
        <v>1732</v>
      </c>
      <c r="D248" t="s">
        <v>1733</v>
      </c>
      <c r="AT248">
        <v>12.1</v>
      </c>
      <c r="BE248">
        <v>7</v>
      </c>
      <c r="BK248">
        <v>19.899999999999999</v>
      </c>
    </row>
    <row r="249" spans="1:64" hidden="1" x14ac:dyDescent="0.45">
      <c r="A249" t="s">
        <v>1128</v>
      </c>
      <c r="B249" t="s">
        <v>1684</v>
      </c>
      <c r="C249" t="s">
        <v>1732</v>
      </c>
      <c r="D249" t="s">
        <v>1733</v>
      </c>
      <c r="AL249">
        <v>14.6</v>
      </c>
      <c r="AQ249">
        <v>14</v>
      </c>
      <c r="AV249">
        <v>6.5</v>
      </c>
      <c r="AW249">
        <v>9.5</v>
      </c>
      <c r="BA249">
        <v>8.6</v>
      </c>
      <c r="BF249">
        <v>5.9</v>
      </c>
      <c r="BG249">
        <v>5.9</v>
      </c>
      <c r="BK249">
        <v>11.6</v>
      </c>
    </row>
    <row r="250" spans="1:64" hidden="1" x14ac:dyDescent="0.45">
      <c r="A250" t="s">
        <v>1685</v>
      </c>
      <c r="B250" t="s">
        <v>1686</v>
      </c>
      <c r="C250" t="s">
        <v>1732</v>
      </c>
      <c r="D250" t="s">
        <v>1733</v>
      </c>
      <c r="AZ250">
        <v>24.2</v>
      </c>
    </row>
    <row r="251" spans="1:64" hidden="1" x14ac:dyDescent="0.45">
      <c r="A251" t="s">
        <v>1687</v>
      </c>
      <c r="B251" t="s">
        <v>1688</v>
      </c>
      <c r="C251" t="s">
        <v>1732</v>
      </c>
      <c r="D251" t="s">
        <v>1733</v>
      </c>
      <c r="AK251">
        <v>27.8</v>
      </c>
      <c r="AM251">
        <v>27.3</v>
      </c>
      <c r="AO251">
        <v>26</v>
      </c>
      <c r="AR251">
        <v>22.3</v>
      </c>
      <c r="AX251">
        <v>24.3</v>
      </c>
      <c r="BC251">
        <v>25.3</v>
      </c>
      <c r="BI251">
        <v>22.1</v>
      </c>
    </row>
    <row r="252" spans="1:64" hidden="1" x14ac:dyDescent="0.45">
      <c r="A252" t="s">
        <v>604</v>
      </c>
      <c r="B252" t="s">
        <v>1689</v>
      </c>
      <c r="C252" t="s">
        <v>1732</v>
      </c>
      <c r="D252" t="s">
        <v>1733</v>
      </c>
      <c r="AN252">
        <v>30</v>
      </c>
      <c r="AT252">
        <v>35</v>
      </c>
      <c r="AY252">
        <v>38</v>
      </c>
      <c r="BD252">
        <v>34.299999999999997</v>
      </c>
      <c r="BG252">
        <v>34.700000000000003</v>
      </c>
      <c r="BH252">
        <v>31.8</v>
      </c>
      <c r="BI252">
        <v>28.4</v>
      </c>
      <c r="BJ252">
        <v>29.350857363697301</v>
      </c>
      <c r="BK252">
        <v>26</v>
      </c>
    </row>
    <row r="253" spans="1:64" hidden="1" x14ac:dyDescent="0.45">
      <c r="A253" t="s">
        <v>1243</v>
      </c>
      <c r="B253" t="s">
        <v>1690</v>
      </c>
      <c r="C253" t="s">
        <v>1732</v>
      </c>
      <c r="D253" t="s">
        <v>1733</v>
      </c>
      <c r="AR253">
        <v>17.5</v>
      </c>
      <c r="AZ253">
        <v>10.1</v>
      </c>
      <c r="BE253">
        <v>4.9000000000000004</v>
      </c>
    </row>
    <row r="254" spans="1:64" hidden="1" x14ac:dyDescent="0.45">
      <c r="A254" t="s">
        <v>1691</v>
      </c>
      <c r="B254" t="s">
        <v>1692</v>
      </c>
      <c r="C254" t="s">
        <v>1732</v>
      </c>
      <c r="D254" t="s">
        <v>1733</v>
      </c>
      <c r="AS254">
        <v>4.3933023543936276</v>
      </c>
    </row>
    <row r="255" spans="1:64" hidden="1" x14ac:dyDescent="0.45">
      <c r="A255" t="s">
        <v>1210</v>
      </c>
      <c r="B255" t="s">
        <v>1693</v>
      </c>
      <c r="C255" t="s">
        <v>1732</v>
      </c>
      <c r="D255" t="s">
        <v>1733</v>
      </c>
    </row>
    <row r="256" spans="1:64" hidden="1" x14ac:dyDescent="0.45">
      <c r="A256" t="s">
        <v>1694</v>
      </c>
      <c r="B256" t="s">
        <v>1695</v>
      </c>
      <c r="C256" t="s">
        <v>1732</v>
      </c>
      <c r="D256" t="s">
        <v>1733</v>
      </c>
      <c r="AG256">
        <v>4</v>
      </c>
      <c r="AI256">
        <v>6</v>
      </c>
      <c r="AU256">
        <v>6.3</v>
      </c>
      <c r="AZ256">
        <v>5.8</v>
      </c>
      <c r="BA256">
        <v>5.8</v>
      </c>
      <c r="BC256">
        <v>8</v>
      </c>
      <c r="BG256">
        <v>9</v>
      </c>
      <c r="BH256">
        <v>9</v>
      </c>
      <c r="BL256">
        <v>7.2</v>
      </c>
    </row>
    <row r="257" spans="1:63" hidden="1" x14ac:dyDescent="0.45">
      <c r="A257" t="s">
        <v>1137</v>
      </c>
      <c r="B257" t="s">
        <v>1696</v>
      </c>
      <c r="C257" t="s">
        <v>1732</v>
      </c>
      <c r="D257" t="s">
        <v>1733</v>
      </c>
      <c r="AO257">
        <v>13.7</v>
      </c>
    </row>
    <row r="258" spans="1:63" hidden="1" x14ac:dyDescent="0.45">
      <c r="A258" t="s">
        <v>1697</v>
      </c>
      <c r="B258" t="s">
        <v>1698</v>
      </c>
      <c r="C258" t="s">
        <v>1732</v>
      </c>
      <c r="D258" t="s">
        <v>1733</v>
      </c>
    </row>
    <row r="259" spans="1:63" hidden="1" x14ac:dyDescent="0.45">
      <c r="A259" t="s">
        <v>1699</v>
      </c>
      <c r="B259" t="s">
        <v>1700</v>
      </c>
      <c r="C259" t="s">
        <v>1732</v>
      </c>
      <c r="D259" t="s">
        <v>1733</v>
      </c>
      <c r="AQ259">
        <v>18.899999999999999</v>
      </c>
    </row>
    <row r="260" spans="1:63" hidden="1" x14ac:dyDescent="0.45">
      <c r="A260" t="s">
        <v>1701</v>
      </c>
      <c r="B260" t="s">
        <v>1702</v>
      </c>
      <c r="C260" t="s">
        <v>1732</v>
      </c>
      <c r="D260" t="s">
        <v>1733</v>
      </c>
    </row>
    <row r="261" spans="1:63" hidden="1" x14ac:dyDescent="0.45">
      <c r="A261" t="s">
        <v>1703</v>
      </c>
      <c r="B261" t="s">
        <v>1704</v>
      </c>
      <c r="C261" t="s">
        <v>1732</v>
      </c>
      <c r="D261" t="s">
        <v>1733</v>
      </c>
    </row>
    <row r="262" spans="1:63" hidden="1" x14ac:dyDescent="0.45">
      <c r="A262" t="s">
        <v>1705</v>
      </c>
      <c r="B262" t="s">
        <v>1706</v>
      </c>
      <c r="C262" t="s">
        <v>1732</v>
      </c>
      <c r="D262" t="s">
        <v>1733</v>
      </c>
      <c r="AP262">
        <v>8.4</v>
      </c>
      <c r="AU262">
        <v>6.6</v>
      </c>
      <c r="BD262">
        <v>4.3</v>
      </c>
      <c r="BG262">
        <v>6.1</v>
      </c>
    </row>
    <row r="263" spans="1:63" hidden="1" x14ac:dyDescent="0.45">
      <c r="A263" t="s">
        <v>1221</v>
      </c>
      <c r="B263" t="s">
        <v>1707</v>
      </c>
      <c r="C263" t="s">
        <v>1732</v>
      </c>
      <c r="D263" t="s">
        <v>1733</v>
      </c>
      <c r="BF263">
        <v>24.2</v>
      </c>
    </row>
    <row r="264" spans="1:63" hidden="1" x14ac:dyDescent="0.45">
      <c r="A264" t="s">
        <v>1017</v>
      </c>
      <c r="B264" t="s">
        <v>1708</v>
      </c>
      <c r="C264" t="s">
        <v>1732</v>
      </c>
      <c r="D264" t="s">
        <v>1733</v>
      </c>
    </row>
    <row r="265" spans="1:63" hidden="1" x14ac:dyDescent="0.45">
      <c r="A265" t="s">
        <v>1228</v>
      </c>
      <c r="B265" t="s">
        <v>1709</v>
      </c>
      <c r="C265" t="s">
        <v>1732</v>
      </c>
      <c r="D265" t="s">
        <v>1733</v>
      </c>
      <c r="BB265">
        <v>47.7</v>
      </c>
      <c r="BG265">
        <v>34.799999999999997</v>
      </c>
    </row>
    <row r="266" spans="1:63" hidden="1" x14ac:dyDescent="0.45">
      <c r="A266" t="s">
        <v>1710</v>
      </c>
      <c r="B266" t="s">
        <v>1711</v>
      </c>
      <c r="C266" t="s">
        <v>1732</v>
      </c>
      <c r="D266" t="s">
        <v>1733</v>
      </c>
    </row>
    <row r="267" spans="1:63" hidden="1" x14ac:dyDescent="0.45">
      <c r="A267" t="s">
        <v>1712</v>
      </c>
      <c r="B267" t="s">
        <v>1713</v>
      </c>
      <c r="C267" t="s">
        <v>1732</v>
      </c>
      <c r="D267" t="s">
        <v>1733</v>
      </c>
      <c r="AK267">
        <v>38.1</v>
      </c>
      <c r="AP267">
        <v>40</v>
      </c>
      <c r="AY267">
        <v>23.6</v>
      </c>
      <c r="BF267">
        <v>28.7</v>
      </c>
    </row>
    <row r="268" spans="1:63" hidden="1" x14ac:dyDescent="0.45">
      <c r="A268" t="s">
        <v>602</v>
      </c>
      <c r="B268" t="s">
        <v>1714</v>
      </c>
      <c r="C268" t="s">
        <v>1732</v>
      </c>
      <c r="D268" t="s">
        <v>1733</v>
      </c>
      <c r="AQ268">
        <v>16.5</v>
      </c>
      <c r="AV268">
        <v>13.8</v>
      </c>
      <c r="AW268">
        <v>13.8</v>
      </c>
      <c r="BI268">
        <v>14.9</v>
      </c>
    </row>
    <row r="269" spans="1:63" hidden="1" x14ac:dyDescent="0.45">
      <c r="A269" t="s">
        <v>606</v>
      </c>
      <c r="B269" t="s">
        <v>1715</v>
      </c>
      <c r="C269" t="s">
        <v>1732</v>
      </c>
      <c r="D269" t="s">
        <v>1733</v>
      </c>
      <c r="AK269">
        <v>30</v>
      </c>
      <c r="AO269">
        <v>25.2</v>
      </c>
      <c r="AP269">
        <v>25.2</v>
      </c>
      <c r="AU269">
        <v>27.5</v>
      </c>
      <c r="AZ269">
        <v>26.6</v>
      </c>
      <c r="BG269">
        <v>21.1</v>
      </c>
      <c r="BK269">
        <v>19.7</v>
      </c>
    </row>
    <row r="270" spans="1:63" hidden="1" x14ac:dyDescent="0.45">
      <c r="A270" t="s">
        <v>607</v>
      </c>
      <c r="B270" t="s">
        <v>1716</v>
      </c>
      <c r="C270" t="s">
        <v>1732</v>
      </c>
      <c r="D270" t="s">
        <v>1733</v>
      </c>
      <c r="AC270">
        <v>14.1</v>
      </c>
      <c r="AM270">
        <v>19.100000000000001</v>
      </c>
      <c r="AR270">
        <v>16.7</v>
      </c>
      <c r="AY270">
        <v>15.5</v>
      </c>
      <c r="BD270">
        <v>14.6</v>
      </c>
      <c r="BG270">
        <v>10.4</v>
      </c>
      <c r="BH270">
        <v>10.4</v>
      </c>
    </row>
  </sheetData>
  <pageMargins left="0.7" right="0.7" top="0.75" bottom="0.75" header="0.3" footer="0.3"/>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5A793-302F-492E-967C-1E13827BCA8A}">
  <dimension ref="A1:BM296"/>
  <sheetViews>
    <sheetView topLeftCell="AH248" workbookViewId="0">
      <selection activeCell="BM272" sqref="BM272"/>
    </sheetView>
  </sheetViews>
  <sheetFormatPr defaultRowHeight="14.25" x14ac:dyDescent="0.45"/>
  <cols>
    <col min="1" max="1" width="44.19921875" bestFit="1" customWidth="1"/>
    <col min="2" max="2" width="25.53125" bestFit="1" customWidth="1"/>
    <col min="3" max="3" width="43.46484375" bestFit="1" customWidth="1"/>
    <col min="4" max="4" width="13.53125" bestFit="1" customWidth="1"/>
    <col min="5" max="8" width="5" bestFit="1" customWidth="1"/>
    <col min="9" max="9" width="9.796875" customWidth="1"/>
    <col min="10" max="34" width="5" bestFit="1" customWidth="1"/>
    <col min="35" max="64" width="11.46484375" bestFit="1" customWidth="1"/>
    <col min="65" max="65" width="9.265625" customWidth="1"/>
  </cols>
  <sheetData>
    <row r="1" spans="1:65" x14ac:dyDescent="0.45">
      <c r="A1" t="s">
        <v>1283</v>
      </c>
      <c r="B1" t="s">
        <v>1284</v>
      </c>
    </row>
    <row r="2" spans="1:65" x14ac:dyDescent="0.45">
      <c r="A2" t="s">
        <v>1285</v>
      </c>
      <c r="B2" s="4">
        <v>44407</v>
      </c>
    </row>
    <row r="4" spans="1:65" x14ac:dyDescent="0.4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45">
      <c r="A5" t="s">
        <v>1173</v>
      </c>
      <c r="B5" t="s">
        <v>1351</v>
      </c>
      <c r="C5" t="s">
        <v>1734</v>
      </c>
      <c r="D5" t="s">
        <v>1735</v>
      </c>
    </row>
    <row r="6" spans="1:65" x14ac:dyDescent="0.45">
      <c r="A6" t="s">
        <v>1354</v>
      </c>
      <c r="B6" t="s">
        <v>1355</v>
      </c>
      <c r="C6" t="s">
        <v>1734</v>
      </c>
      <c r="D6" t="s">
        <v>1735</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45">
      <c r="A7" t="s">
        <v>1139</v>
      </c>
      <c r="B7" t="s">
        <v>1356</v>
      </c>
      <c r="C7" t="s">
        <v>1734</v>
      </c>
      <c r="D7" t="s">
        <v>1735</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45">
      <c r="A8" t="s">
        <v>1357</v>
      </c>
      <c r="B8" t="s">
        <v>1358</v>
      </c>
      <c r="C8" t="s">
        <v>1734</v>
      </c>
      <c r="D8" t="s">
        <v>1735</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45">
      <c r="A9" t="s">
        <v>1078</v>
      </c>
      <c r="B9" t="s">
        <v>1359</v>
      </c>
      <c r="C9" t="s">
        <v>1734</v>
      </c>
      <c r="D9" t="s">
        <v>1735</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45">
      <c r="A10" t="s">
        <v>1257</v>
      </c>
      <c r="B10" t="s">
        <v>1360</v>
      </c>
      <c r="C10" t="s">
        <v>1734</v>
      </c>
      <c r="D10" t="s">
        <v>1735</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45">
      <c r="A11" t="s">
        <v>1361</v>
      </c>
      <c r="B11" t="s">
        <v>1362</v>
      </c>
      <c r="C11" t="s">
        <v>1734</v>
      </c>
      <c r="D11" t="s">
        <v>1735</v>
      </c>
    </row>
    <row r="12" spans="1:65" x14ac:dyDescent="0.45">
      <c r="A12" t="s">
        <v>1363</v>
      </c>
      <c r="B12" t="s">
        <v>1364</v>
      </c>
      <c r="C12" t="s">
        <v>1734</v>
      </c>
      <c r="D12" t="s">
        <v>1735</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45">
      <c r="A13" t="s">
        <v>1129</v>
      </c>
      <c r="B13" t="s">
        <v>1365</v>
      </c>
      <c r="C13" t="s">
        <v>1734</v>
      </c>
      <c r="D13" t="s">
        <v>1735</v>
      </c>
    </row>
    <row r="14" spans="1:65" x14ac:dyDescent="0.45">
      <c r="A14" t="s">
        <v>1199</v>
      </c>
      <c r="B14" t="s">
        <v>1366</v>
      </c>
      <c r="C14" t="s">
        <v>1734</v>
      </c>
      <c r="D14" t="s">
        <v>1735</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45">
      <c r="A15" t="s">
        <v>1113</v>
      </c>
      <c r="B15" t="s">
        <v>1367</v>
      </c>
      <c r="C15" t="s">
        <v>1734</v>
      </c>
      <c r="D15" t="s">
        <v>1735</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45">
      <c r="A16" t="s">
        <v>1368</v>
      </c>
      <c r="B16" t="s">
        <v>1369</v>
      </c>
      <c r="C16" t="s">
        <v>1734</v>
      </c>
      <c r="D16" t="s">
        <v>1735</v>
      </c>
    </row>
    <row r="17" spans="1:64" x14ac:dyDescent="0.45">
      <c r="A17" t="s">
        <v>1172</v>
      </c>
      <c r="B17" t="s">
        <v>1370</v>
      </c>
      <c r="C17" t="s">
        <v>1734</v>
      </c>
      <c r="D17" t="s">
        <v>1735</v>
      </c>
    </row>
    <row r="18" spans="1:64" x14ac:dyDescent="0.45">
      <c r="A18" t="s">
        <v>1213</v>
      </c>
      <c r="B18" t="s">
        <v>1371</v>
      </c>
      <c r="C18" t="s">
        <v>1734</v>
      </c>
      <c r="D18" t="s">
        <v>1735</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45">
      <c r="A19" t="s">
        <v>1270</v>
      </c>
      <c r="B19" t="s">
        <v>1372</v>
      </c>
      <c r="C19" t="s">
        <v>1734</v>
      </c>
      <c r="D19" t="s">
        <v>1735</v>
      </c>
    </row>
    <row r="20" spans="1:64" x14ac:dyDescent="0.45">
      <c r="A20" t="s">
        <v>1114</v>
      </c>
      <c r="B20" t="s">
        <v>1373</v>
      </c>
      <c r="C20" t="s">
        <v>1734</v>
      </c>
      <c r="D20" t="s">
        <v>1735</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45">
      <c r="A21" t="s">
        <v>582</v>
      </c>
      <c r="B21" t="s">
        <v>1374</v>
      </c>
      <c r="C21" t="s">
        <v>1734</v>
      </c>
      <c r="D21" t="s">
        <v>1735</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45">
      <c r="A22" t="s">
        <v>1271</v>
      </c>
      <c r="B22" t="s">
        <v>1375</v>
      </c>
      <c r="C22" t="s">
        <v>1734</v>
      </c>
      <c r="D22" t="s">
        <v>1735</v>
      </c>
    </row>
    <row r="23" spans="1:64" x14ac:dyDescent="0.45">
      <c r="A23" t="s">
        <v>1088</v>
      </c>
      <c r="B23" t="s">
        <v>1376</v>
      </c>
      <c r="C23" t="s">
        <v>1734</v>
      </c>
      <c r="D23" t="s">
        <v>1735</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45">
      <c r="A24" t="s">
        <v>1089</v>
      </c>
      <c r="B24" t="s">
        <v>1377</v>
      </c>
      <c r="C24" t="s">
        <v>1734</v>
      </c>
      <c r="D24" t="s">
        <v>1735</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45">
      <c r="A25" t="s">
        <v>1140</v>
      </c>
      <c r="B25" t="s">
        <v>1378</v>
      </c>
      <c r="C25" t="s">
        <v>1734</v>
      </c>
      <c r="D25" t="s">
        <v>1735</v>
      </c>
    </row>
    <row r="26" spans="1:64" x14ac:dyDescent="0.45">
      <c r="A26" t="s">
        <v>1235</v>
      </c>
      <c r="B26" t="s">
        <v>1379</v>
      </c>
      <c r="C26" t="s">
        <v>1734</v>
      </c>
      <c r="D26" t="s">
        <v>1735</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45">
      <c r="A27" t="s">
        <v>1115</v>
      </c>
      <c r="B27" t="s">
        <v>1380</v>
      </c>
      <c r="C27" t="s">
        <v>1734</v>
      </c>
      <c r="D27" t="s">
        <v>1735</v>
      </c>
    </row>
    <row r="28" spans="1:64" x14ac:dyDescent="0.45">
      <c r="A28" t="s">
        <v>1381</v>
      </c>
      <c r="B28" t="s">
        <v>1382</v>
      </c>
      <c r="C28" t="s">
        <v>1734</v>
      </c>
      <c r="D28" t="s">
        <v>1735</v>
      </c>
    </row>
    <row r="29" spans="1:64" x14ac:dyDescent="0.45">
      <c r="A29" t="s">
        <v>1258</v>
      </c>
      <c r="B29" t="s">
        <v>1383</v>
      </c>
      <c r="C29" t="s">
        <v>1734</v>
      </c>
      <c r="D29" t="s">
        <v>1735</v>
      </c>
    </row>
    <row r="30" spans="1:64" x14ac:dyDescent="0.45">
      <c r="A30" t="s">
        <v>1234</v>
      </c>
      <c r="B30" t="s">
        <v>1384</v>
      </c>
      <c r="C30" t="s">
        <v>1734</v>
      </c>
      <c r="D30" t="s">
        <v>1735</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45">
      <c r="A31" t="s">
        <v>1190</v>
      </c>
      <c r="B31" t="s">
        <v>1385</v>
      </c>
      <c r="C31" t="s">
        <v>1734</v>
      </c>
      <c r="D31" t="s">
        <v>1735</v>
      </c>
    </row>
    <row r="32" spans="1:64" x14ac:dyDescent="0.45">
      <c r="A32" t="s">
        <v>1386</v>
      </c>
      <c r="B32" t="s">
        <v>1387</v>
      </c>
      <c r="C32" t="s">
        <v>1734</v>
      </c>
      <c r="D32" t="s">
        <v>1735</v>
      </c>
    </row>
    <row r="33" spans="1:64" x14ac:dyDescent="0.45">
      <c r="A33" t="s">
        <v>1388</v>
      </c>
      <c r="B33" t="s">
        <v>1389</v>
      </c>
      <c r="C33" t="s">
        <v>1734</v>
      </c>
      <c r="D33" t="s">
        <v>1735</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45">
      <c r="A34" t="s">
        <v>1201</v>
      </c>
      <c r="B34" t="s">
        <v>1390</v>
      </c>
      <c r="C34" t="s">
        <v>1734</v>
      </c>
      <c r="D34" t="s">
        <v>1735</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45">
      <c r="A35" t="s">
        <v>1175</v>
      </c>
      <c r="B35" t="s">
        <v>1391</v>
      </c>
      <c r="C35" t="s">
        <v>1734</v>
      </c>
      <c r="D35" t="s">
        <v>1735</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45">
      <c r="A36" t="s">
        <v>1159</v>
      </c>
      <c r="B36" t="s">
        <v>1392</v>
      </c>
      <c r="C36" t="s">
        <v>1734</v>
      </c>
      <c r="D36" t="s">
        <v>1735</v>
      </c>
    </row>
    <row r="37" spans="1:64" x14ac:dyDescent="0.45">
      <c r="A37" t="s">
        <v>1141</v>
      </c>
      <c r="B37" t="s">
        <v>1393</v>
      </c>
      <c r="C37" t="s">
        <v>1734</v>
      </c>
      <c r="D37" t="s">
        <v>1735</v>
      </c>
    </row>
    <row r="38" spans="1:64" x14ac:dyDescent="0.45">
      <c r="A38" t="s">
        <v>580</v>
      </c>
      <c r="B38" t="s">
        <v>1394</v>
      </c>
      <c r="C38" t="s">
        <v>1734</v>
      </c>
      <c r="D38" t="s">
        <v>1735</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45">
      <c r="A39" t="s">
        <v>584</v>
      </c>
      <c r="B39" t="s">
        <v>1395</v>
      </c>
      <c r="C39" t="s">
        <v>1734</v>
      </c>
      <c r="D39" t="s">
        <v>1735</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45">
      <c r="A40" t="s">
        <v>1278</v>
      </c>
      <c r="B40" t="s">
        <v>1396</v>
      </c>
      <c r="C40" t="s">
        <v>1734</v>
      </c>
      <c r="D40" t="s">
        <v>1735</v>
      </c>
    </row>
    <row r="41" spans="1:64" x14ac:dyDescent="0.45">
      <c r="A41" t="s">
        <v>1397</v>
      </c>
      <c r="B41" t="s">
        <v>1398</v>
      </c>
      <c r="C41" t="s">
        <v>1734</v>
      </c>
      <c r="D41" t="s">
        <v>1735</v>
      </c>
    </row>
    <row r="42" spans="1:64" x14ac:dyDescent="0.45">
      <c r="A42" t="s">
        <v>1276</v>
      </c>
      <c r="B42" t="s">
        <v>1399</v>
      </c>
      <c r="C42" t="s">
        <v>1734</v>
      </c>
      <c r="D42" t="s">
        <v>1735</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45">
      <c r="A43" t="s">
        <v>1245</v>
      </c>
      <c r="B43" t="s">
        <v>1400</v>
      </c>
      <c r="C43" t="s">
        <v>1734</v>
      </c>
      <c r="D43" t="s">
        <v>1735</v>
      </c>
    </row>
    <row r="44" spans="1:64" x14ac:dyDescent="0.45">
      <c r="A44" t="s">
        <v>1202</v>
      </c>
      <c r="B44" t="s">
        <v>1401</v>
      </c>
      <c r="C44" t="s">
        <v>1734</v>
      </c>
      <c r="D44" t="s">
        <v>1735</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45">
      <c r="A45" t="s">
        <v>1150</v>
      </c>
      <c r="B45" t="s">
        <v>1402</v>
      </c>
      <c r="C45" t="s">
        <v>1734</v>
      </c>
      <c r="D45" t="s">
        <v>1735</v>
      </c>
    </row>
    <row r="46" spans="1:64" x14ac:dyDescent="0.45">
      <c r="A46" t="s">
        <v>1403</v>
      </c>
      <c r="B46" t="s">
        <v>1404</v>
      </c>
      <c r="C46" t="s">
        <v>1734</v>
      </c>
      <c r="D46" t="s">
        <v>1735</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45">
      <c r="A47" t="s">
        <v>1079</v>
      </c>
      <c r="B47" t="s">
        <v>1405</v>
      </c>
      <c r="C47" t="s">
        <v>1734</v>
      </c>
      <c r="D47" t="s">
        <v>1735</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45">
      <c r="A48" t="s">
        <v>1406</v>
      </c>
      <c r="B48" t="s">
        <v>1407</v>
      </c>
      <c r="C48" t="s">
        <v>1734</v>
      </c>
      <c r="D48" t="s">
        <v>1735</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45">
      <c r="A49" t="s">
        <v>1408</v>
      </c>
      <c r="B49" t="s">
        <v>1409</v>
      </c>
      <c r="C49" t="s">
        <v>1734</v>
      </c>
      <c r="D49" t="s">
        <v>1735</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45">
      <c r="A50" t="s">
        <v>1203</v>
      </c>
      <c r="B50" t="s">
        <v>1410</v>
      </c>
      <c r="C50" t="s">
        <v>1734</v>
      </c>
      <c r="D50" t="s">
        <v>1735</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45">
      <c r="A51" t="s">
        <v>1067</v>
      </c>
      <c r="B51" t="s">
        <v>1411</v>
      </c>
      <c r="C51" t="s">
        <v>1734</v>
      </c>
      <c r="D51" t="s">
        <v>1735</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45">
      <c r="A52" t="s">
        <v>1090</v>
      </c>
      <c r="B52" t="s">
        <v>1412</v>
      </c>
      <c r="C52" t="s">
        <v>1734</v>
      </c>
      <c r="D52" t="s">
        <v>1735</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45">
      <c r="A53" t="s">
        <v>1191</v>
      </c>
      <c r="B53" t="s">
        <v>1413</v>
      </c>
      <c r="C53" t="s">
        <v>1734</v>
      </c>
      <c r="D53" t="s">
        <v>1735</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45">
      <c r="A54" t="s">
        <v>1414</v>
      </c>
      <c r="B54" t="s">
        <v>1415</v>
      </c>
      <c r="C54" t="s">
        <v>1734</v>
      </c>
      <c r="D54" t="s">
        <v>1735</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45">
      <c r="A55" t="s">
        <v>1176</v>
      </c>
      <c r="B55" t="s">
        <v>1416</v>
      </c>
      <c r="C55" t="s">
        <v>1734</v>
      </c>
      <c r="D55" t="s">
        <v>1735</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45">
      <c r="A56" t="s">
        <v>1417</v>
      </c>
      <c r="B56" t="s">
        <v>1418</v>
      </c>
      <c r="C56" t="s">
        <v>1734</v>
      </c>
      <c r="D56" t="s">
        <v>1735</v>
      </c>
    </row>
    <row r="57" spans="1:64" x14ac:dyDescent="0.45">
      <c r="A57" t="s">
        <v>1419</v>
      </c>
      <c r="B57" t="s">
        <v>1420</v>
      </c>
      <c r="C57" t="s">
        <v>1734</v>
      </c>
      <c r="D57" t="s">
        <v>1735</v>
      </c>
    </row>
    <row r="58" spans="1:64" x14ac:dyDescent="0.45">
      <c r="A58" t="s">
        <v>1116</v>
      </c>
      <c r="B58" t="s">
        <v>1421</v>
      </c>
      <c r="C58" t="s">
        <v>1734</v>
      </c>
      <c r="D58" t="s">
        <v>1735</v>
      </c>
    </row>
    <row r="59" spans="1:64" x14ac:dyDescent="0.45">
      <c r="A59" t="s">
        <v>1422</v>
      </c>
      <c r="B59" t="s">
        <v>1423</v>
      </c>
      <c r="C59" t="s">
        <v>1734</v>
      </c>
      <c r="D59" t="s">
        <v>1735</v>
      </c>
    </row>
    <row r="60" spans="1:64" x14ac:dyDescent="0.45">
      <c r="A60" t="s">
        <v>1273</v>
      </c>
      <c r="B60" t="s">
        <v>1424</v>
      </c>
      <c r="C60" t="s">
        <v>1734</v>
      </c>
      <c r="D60" t="s">
        <v>1735</v>
      </c>
    </row>
    <row r="61" spans="1:64" x14ac:dyDescent="0.45">
      <c r="A61" t="s">
        <v>1068</v>
      </c>
      <c r="B61" t="s">
        <v>1425</v>
      </c>
      <c r="C61" t="s">
        <v>1734</v>
      </c>
      <c r="D61" t="s">
        <v>1735</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45">
      <c r="A62" t="s">
        <v>1426</v>
      </c>
      <c r="B62" t="s">
        <v>1427</v>
      </c>
      <c r="C62" t="s">
        <v>1734</v>
      </c>
      <c r="D62" t="s">
        <v>1735</v>
      </c>
    </row>
    <row r="63" spans="1:64" x14ac:dyDescent="0.45">
      <c r="A63" t="s">
        <v>1246</v>
      </c>
      <c r="B63" t="s">
        <v>1428</v>
      </c>
      <c r="C63" t="s">
        <v>1734</v>
      </c>
      <c r="D63" t="s">
        <v>1735</v>
      </c>
    </row>
    <row r="64" spans="1:64" x14ac:dyDescent="0.45">
      <c r="A64" t="s">
        <v>1178</v>
      </c>
      <c r="B64" t="s">
        <v>1429</v>
      </c>
      <c r="C64" t="s">
        <v>1734</v>
      </c>
      <c r="D64" t="s">
        <v>1735</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45">
      <c r="A65" t="s">
        <v>1105</v>
      </c>
      <c r="B65" t="s">
        <v>1430</v>
      </c>
      <c r="C65" t="s">
        <v>1734</v>
      </c>
      <c r="D65" t="s">
        <v>1735</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45">
      <c r="A66" t="s">
        <v>1431</v>
      </c>
      <c r="B66" t="s">
        <v>1432</v>
      </c>
      <c r="C66" t="s">
        <v>1734</v>
      </c>
      <c r="D66" t="s">
        <v>1735</v>
      </c>
    </row>
    <row r="67" spans="1:64" x14ac:dyDescent="0.45">
      <c r="A67" t="s">
        <v>1433</v>
      </c>
      <c r="B67" t="s">
        <v>1434</v>
      </c>
      <c r="C67" t="s">
        <v>1734</v>
      </c>
      <c r="D67" t="s">
        <v>1735</v>
      </c>
    </row>
    <row r="68" spans="1:64" x14ac:dyDescent="0.45">
      <c r="A68" t="s">
        <v>1435</v>
      </c>
      <c r="B68" t="s">
        <v>1436</v>
      </c>
      <c r="C68" t="s">
        <v>1734</v>
      </c>
      <c r="D68" t="s">
        <v>1735</v>
      </c>
    </row>
    <row r="69" spans="1:64" x14ac:dyDescent="0.45">
      <c r="A69" t="s">
        <v>1437</v>
      </c>
      <c r="B69" t="s">
        <v>1438</v>
      </c>
      <c r="C69" t="s">
        <v>1734</v>
      </c>
      <c r="D69" t="s">
        <v>1735</v>
      </c>
    </row>
    <row r="70" spans="1:64" x14ac:dyDescent="0.45">
      <c r="A70" t="s">
        <v>1439</v>
      </c>
      <c r="B70" t="s">
        <v>1440</v>
      </c>
      <c r="C70" t="s">
        <v>1734</v>
      </c>
      <c r="D70" t="s">
        <v>1735</v>
      </c>
    </row>
    <row r="71" spans="1:64" x14ac:dyDescent="0.45">
      <c r="A71" t="s">
        <v>1204</v>
      </c>
      <c r="B71" t="s">
        <v>1441</v>
      </c>
      <c r="C71" t="s">
        <v>1734</v>
      </c>
      <c r="D71" t="s">
        <v>1735</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45">
      <c r="A72" t="s">
        <v>1442</v>
      </c>
      <c r="B72" t="s">
        <v>1443</v>
      </c>
      <c r="C72" t="s">
        <v>1734</v>
      </c>
      <c r="D72" t="s">
        <v>1735</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45">
      <c r="A73" t="s">
        <v>1444</v>
      </c>
      <c r="B73" t="s">
        <v>1445</v>
      </c>
      <c r="C73" t="s">
        <v>1734</v>
      </c>
      <c r="D73" t="s">
        <v>1735</v>
      </c>
    </row>
    <row r="74" spans="1:64" x14ac:dyDescent="0.45">
      <c r="A74" t="s">
        <v>592</v>
      </c>
      <c r="B74" t="s">
        <v>1446</v>
      </c>
      <c r="C74" t="s">
        <v>1734</v>
      </c>
      <c r="D74" t="s">
        <v>1735</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45">
      <c r="A75" t="s">
        <v>1268</v>
      </c>
      <c r="B75" t="s">
        <v>1447</v>
      </c>
      <c r="C75" t="s">
        <v>1734</v>
      </c>
      <c r="D75" t="s">
        <v>1735</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45">
      <c r="A76" t="s">
        <v>1247</v>
      </c>
      <c r="B76" t="s">
        <v>1448</v>
      </c>
      <c r="C76" t="s">
        <v>1734</v>
      </c>
      <c r="D76" t="s">
        <v>1735</v>
      </c>
    </row>
    <row r="77" spans="1:64" x14ac:dyDescent="0.45">
      <c r="A77" t="s">
        <v>594</v>
      </c>
      <c r="B77" t="s">
        <v>926</v>
      </c>
      <c r="C77" t="s">
        <v>1734</v>
      </c>
      <c r="D77" t="s">
        <v>1735</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45">
      <c r="A78" t="s">
        <v>1449</v>
      </c>
      <c r="B78" t="s">
        <v>1450</v>
      </c>
      <c r="C78" t="s">
        <v>1734</v>
      </c>
      <c r="D78" t="s">
        <v>1735</v>
      </c>
    </row>
    <row r="79" spans="1:64" x14ac:dyDescent="0.45">
      <c r="A79" t="s">
        <v>1451</v>
      </c>
      <c r="B79" t="s">
        <v>1452</v>
      </c>
      <c r="C79" t="s">
        <v>1734</v>
      </c>
      <c r="D79" t="s">
        <v>1735</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45">
      <c r="A80" t="s">
        <v>1248</v>
      </c>
      <c r="B80" t="s">
        <v>1453</v>
      </c>
      <c r="C80" t="s">
        <v>1734</v>
      </c>
      <c r="D80" t="s">
        <v>1735</v>
      </c>
    </row>
    <row r="81" spans="1:64" x14ac:dyDescent="0.45">
      <c r="A81" t="s">
        <v>1217</v>
      </c>
      <c r="B81" t="s">
        <v>1454</v>
      </c>
      <c r="C81" t="s">
        <v>1734</v>
      </c>
      <c r="D81" t="s">
        <v>1735</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45">
      <c r="A82" t="s">
        <v>1272</v>
      </c>
      <c r="B82" t="s">
        <v>1455</v>
      </c>
      <c r="C82" t="s">
        <v>1734</v>
      </c>
      <c r="D82" t="s">
        <v>1735</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45">
      <c r="A83" t="s">
        <v>1456</v>
      </c>
      <c r="B83" t="s">
        <v>1457</v>
      </c>
      <c r="C83" t="s">
        <v>1734</v>
      </c>
      <c r="D83" t="s">
        <v>1735</v>
      </c>
    </row>
    <row r="84" spans="1:64" x14ac:dyDescent="0.45">
      <c r="A84" t="s">
        <v>1458</v>
      </c>
      <c r="B84" t="s">
        <v>1459</v>
      </c>
      <c r="C84" t="s">
        <v>1734</v>
      </c>
      <c r="D84" t="s">
        <v>1735</v>
      </c>
    </row>
    <row r="85" spans="1:64" x14ac:dyDescent="0.45">
      <c r="A85" t="s">
        <v>1083</v>
      </c>
      <c r="B85" t="s">
        <v>1460</v>
      </c>
      <c r="C85" t="s">
        <v>1734</v>
      </c>
      <c r="D85" t="s">
        <v>1735</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45">
      <c r="A86" t="s">
        <v>1255</v>
      </c>
      <c r="B86" t="s">
        <v>1461</v>
      </c>
      <c r="C86" t="s">
        <v>1734</v>
      </c>
      <c r="D86" t="s">
        <v>1735</v>
      </c>
    </row>
    <row r="87" spans="1:64" x14ac:dyDescent="0.45">
      <c r="A87" t="s">
        <v>1117</v>
      </c>
      <c r="B87" t="s">
        <v>1462</v>
      </c>
      <c r="C87" t="s">
        <v>1734</v>
      </c>
      <c r="D87" t="s">
        <v>1735</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45">
      <c r="A88" t="s">
        <v>1092</v>
      </c>
      <c r="B88" t="s">
        <v>1463</v>
      </c>
      <c r="C88" t="s">
        <v>1734</v>
      </c>
      <c r="D88" t="s">
        <v>1735</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45">
      <c r="A89" t="s">
        <v>1464</v>
      </c>
      <c r="B89" t="s">
        <v>1465</v>
      </c>
      <c r="C89" t="s">
        <v>1734</v>
      </c>
      <c r="D89" t="s">
        <v>1735</v>
      </c>
    </row>
    <row r="90" spans="1:64" x14ac:dyDescent="0.45">
      <c r="A90" t="s">
        <v>1093</v>
      </c>
      <c r="B90" t="s">
        <v>1466</v>
      </c>
      <c r="C90" t="s">
        <v>1734</v>
      </c>
      <c r="D90" t="s">
        <v>1735</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45">
      <c r="A91" t="s">
        <v>1467</v>
      </c>
      <c r="B91" t="s">
        <v>1468</v>
      </c>
      <c r="C91" t="s">
        <v>1734</v>
      </c>
      <c r="D91" t="s">
        <v>1735</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45">
      <c r="A92" t="s">
        <v>1094</v>
      </c>
      <c r="B92" t="s">
        <v>1469</v>
      </c>
      <c r="C92" t="s">
        <v>1734</v>
      </c>
      <c r="D92" t="s">
        <v>1735</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45">
      <c r="A93" t="s">
        <v>1082</v>
      </c>
      <c r="B93" t="s">
        <v>1470</v>
      </c>
      <c r="C93" t="s">
        <v>1734</v>
      </c>
      <c r="D93" t="s">
        <v>1735</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45">
      <c r="A94" t="s">
        <v>1260</v>
      </c>
      <c r="B94" t="s">
        <v>1471</v>
      </c>
      <c r="C94" t="s">
        <v>1734</v>
      </c>
      <c r="D94" t="s">
        <v>1735</v>
      </c>
    </row>
    <row r="95" spans="1:64" x14ac:dyDescent="0.45">
      <c r="A95" t="s">
        <v>1179</v>
      </c>
      <c r="B95" t="s">
        <v>1472</v>
      </c>
      <c r="C95" t="s">
        <v>1734</v>
      </c>
      <c r="D95" t="s">
        <v>1735</v>
      </c>
    </row>
    <row r="96" spans="1:64" x14ac:dyDescent="0.45">
      <c r="A96" t="s">
        <v>1473</v>
      </c>
      <c r="B96" t="s">
        <v>1474</v>
      </c>
      <c r="C96" t="s">
        <v>1734</v>
      </c>
      <c r="D96" t="s">
        <v>1735</v>
      </c>
    </row>
    <row r="97" spans="1:64" x14ac:dyDescent="0.45">
      <c r="A97" t="s">
        <v>1193</v>
      </c>
      <c r="B97" t="s">
        <v>1475</v>
      </c>
      <c r="C97" t="s">
        <v>1734</v>
      </c>
      <c r="D97" t="s">
        <v>1735</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45">
      <c r="A98" t="s">
        <v>1223</v>
      </c>
      <c r="B98" t="s">
        <v>1476</v>
      </c>
      <c r="C98" t="s">
        <v>1734</v>
      </c>
      <c r="D98" t="s">
        <v>1735</v>
      </c>
    </row>
    <row r="99" spans="1:64" x14ac:dyDescent="0.45">
      <c r="A99" t="s">
        <v>1206</v>
      </c>
      <c r="B99" t="s">
        <v>1477</v>
      </c>
      <c r="C99" t="s">
        <v>1734</v>
      </c>
      <c r="D99" t="s">
        <v>1735</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45">
      <c r="A100" t="s">
        <v>1478</v>
      </c>
      <c r="B100" t="s">
        <v>1479</v>
      </c>
      <c r="C100" t="s">
        <v>1734</v>
      </c>
      <c r="D100" t="s">
        <v>1735</v>
      </c>
    </row>
    <row r="101" spans="1:64" x14ac:dyDescent="0.45">
      <c r="A101" t="s">
        <v>1480</v>
      </c>
      <c r="B101" t="s">
        <v>1481</v>
      </c>
      <c r="C101" t="s">
        <v>1734</v>
      </c>
      <c r="D101" t="s">
        <v>1735</v>
      </c>
    </row>
    <row r="102" spans="1:64" x14ac:dyDescent="0.45">
      <c r="A102" t="s">
        <v>1194</v>
      </c>
      <c r="B102" t="s">
        <v>1482</v>
      </c>
      <c r="C102" t="s">
        <v>1734</v>
      </c>
      <c r="D102" t="s">
        <v>1735</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45">
      <c r="A103" t="s">
        <v>1483</v>
      </c>
      <c r="B103" t="s">
        <v>1484</v>
      </c>
      <c r="C103" t="s">
        <v>1734</v>
      </c>
      <c r="D103" t="s">
        <v>1735</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45">
      <c r="A104" t="s">
        <v>1259</v>
      </c>
      <c r="B104" t="s">
        <v>1485</v>
      </c>
      <c r="C104" t="s">
        <v>1734</v>
      </c>
      <c r="D104" t="s">
        <v>1735</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45">
      <c r="A105" t="s">
        <v>1181</v>
      </c>
      <c r="B105" t="s">
        <v>1486</v>
      </c>
      <c r="C105" t="s">
        <v>1734</v>
      </c>
      <c r="D105" t="s">
        <v>1735</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45">
      <c r="A106" t="s">
        <v>1237</v>
      </c>
      <c r="B106" t="s">
        <v>1487</v>
      </c>
      <c r="C106" t="s">
        <v>1734</v>
      </c>
      <c r="D106" t="s">
        <v>1735</v>
      </c>
    </row>
    <row r="107" spans="1:64" x14ac:dyDescent="0.45">
      <c r="A107" t="s">
        <v>1488</v>
      </c>
      <c r="B107" t="s">
        <v>1489</v>
      </c>
      <c r="C107" t="s">
        <v>1734</v>
      </c>
      <c r="D107" t="s">
        <v>1735</v>
      </c>
    </row>
    <row r="108" spans="1:64" x14ac:dyDescent="0.45">
      <c r="A108" t="s">
        <v>1490</v>
      </c>
      <c r="B108" t="s">
        <v>1491</v>
      </c>
      <c r="C108" t="s">
        <v>1734</v>
      </c>
      <c r="D108" t="s">
        <v>1735</v>
      </c>
    </row>
    <row r="109" spans="1:64" x14ac:dyDescent="0.45">
      <c r="A109" t="s">
        <v>1492</v>
      </c>
      <c r="B109" t="s">
        <v>1493</v>
      </c>
      <c r="C109" t="s">
        <v>1734</v>
      </c>
      <c r="D109" t="s">
        <v>1735</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45">
      <c r="A110" t="s">
        <v>1494</v>
      </c>
      <c r="B110" t="s">
        <v>1495</v>
      </c>
      <c r="C110" t="s">
        <v>1734</v>
      </c>
      <c r="D110" t="s">
        <v>1735</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45">
      <c r="A111" t="s">
        <v>1161</v>
      </c>
      <c r="B111" t="s">
        <v>1496</v>
      </c>
      <c r="C111" t="s">
        <v>1734</v>
      </c>
      <c r="D111" t="s">
        <v>1735</v>
      </c>
    </row>
    <row r="112" spans="1:64" x14ac:dyDescent="0.45">
      <c r="A112" t="s">
        <v>1497</v>
      </c>
      <c r="B112" t="s">
        <v>1498</v>
      </c>
      <c r="C112" t="s">
        <v>1734</v>
      </c>
      <c r="D112" t="s">
        <v>1735</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45">
      <c r="A113" t="s">
        <v>1499</v>
      </c>
      <c r="B113" t="s">
        <v>1500</v>
      </c>
      <c r="C113" t="s">
        <v>1734</v>
      </c>
      <c r="D113" t="s">
        <v>1735</v>
      </c>
    </row>
    <row r="114" spans="1:64" x14ac:dyDescent="0.45">
      <c r="A114" t="s">
        <v>1142</v>
      </c>
      <c r="B114" t="s">
        <v>1501</v>
      </c>
      <c r="C114" t="s">
        <v>1734</v>
      </c>
      <c r="D114" t="s">
        <v>1735</v>
      </c>
    </row>
    <row r="115" spans="1:64" x14ac:dyDescent="0.45">
      <c r="A115" t="s">
        <v>1502</v>
      </c>
      <c r="B115" t="s">
        <v>1503</v>
      </c>
      <c r="C115" t="s">
        <v>1734</v>
      </c>
      <c r="D115" t="s">
        <v>1735</v>
      </c>
    </row>
    <row r="116" spans="1:64" x14ac:dyDescent="0.45">
      <c r="A116" t="s">
        <v>1250</v>
      </c>
      <c r="B116" t="s">
        <v>1504</v>
      </c>
      <c r="C116" t="s">
        <v>1734</v>
      </c>
      <c r="D116" t="s">
        <v>1735</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45">
      <c r="A117" t="s">
        <v>1505</v>
      </c>
      <c r="B117" t="s">
        <v>1506</v>
      </c>
      <c r="C117" t="s">
        <v>1734</v>
      </c>
      <c r="D117" t="s">
        <v>1735</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45">
      <c r="A118" t="s">
        <v>1118</v>
      </c>
      <c r="B118" t="s">
        <v>1507</v>
      </c>
      <c r="C118" t="s">
        <v>1734</v>
      </c>
      <c r="D118" t="s">
        <v>1735</v>
      </c>
    </row>
    <row r="119" spans="1:64" x14ac:dyDescent="0.45">
      <c r="A119" t="s">
        <v>1249</v>
      </c>
      <c r="B119" t="s">
        <v>1508</v>
      </c>
      <c r="C119" t="s">
        <v>1734</v>
      </c>
      <c r="D119" t="s">
        <v>1735</v>
      </c>
    </row>
    <row r="120" spans="1:64" x14ac:dyDescent="0.45">
      <c r="A120" t="s">
        <v>1119</v>
      </c>
      <c r="B120" t="s">
        <v>1509</v>
      </c>
      <c r="C120" t="s">
        <v>1734</v>
      </c>
      <c r="D120" t="s">
        <v>1735</v>
      </c>
    </row>
    <row r="121" spans="1:64" x14ac:dyDescent="0.45">
      <c r="A121" t="s">
        <v>1261</v>
      </c>
      <c r="B121" t="s">
        <v>1510</v>
      </c>
      <c r="C121" t="s">
        <v>1734</v>
      </c>
      <c r="D121" t="s">
        <v>1735</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45">
      <c r="A122" t="s">
        <v>1182</v>
      </c>
      <c r="B122" t="s">
        <v>1511</v>
      </c>
      <c r="C122" t="s">
        <v>1734</v>
      </c>
      <c r="D122" t="s">
        <v>1735</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45">
      <c r="A123" t="s">
        <v>1120</v>
      </c>
      <c r="B123" t="s">
        <v>1512</v>
      </c>
      <c r="C123" t="s">
        <v>1734</v>
      </c>
      <c r="D123" t="s">
        <v>1735</v>
      </c>
    </row>
    <row r="124" spans="1:64" x14ac:dyDescent="0.45">
      <c r="A124" t="s">
        <v>1155</v>
      </c>
      <c r="B124" t="s">
        <v>1513</v>
      </c>
      <c r="C124" t="s">
        <v>1734</v>
      </c>
      <c r="D124" t="s">
        <v>1735</v>
      </c>
    </row>
    <row r="125" spans="1:64" x14ac:dyDescent="0.45">
      <c r="A125" t="s">
        <v>1133</v>
      </c>
      <c r="B125" t="s">
        <v>1514</v>
      </c>
      <c r="C125" t="s">
        <v>1734</v>
      </c>
      <c r="D125" t="s">
        <v>1735</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45">
      <c r="A126" t="s">
        <v>1069</v>
      </c>
      <c r="B126" t="s">
        <v>1515</v>
      </c>
      <c r="C126" t="s">
        <v>1734</v>
      </c>
      <c r="D126" t="s">
        <v>1735</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45">
      <c r="A127" t="s">
        <v>1516</v>
      </c>
      <c r="B127" t="s">
        <v>1517</v>
      </c>
      <c r="C127" t="s">
        <v>1734</v>
      </c>
      <c r="D127" t="s">
        <v>1735</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45">
      <c r="A128" t="s">
        <v>1160</v>
      </c>
      <c r="B128" t="s">
        <v>1518</v>
      </c>
      <c r="C128" t="s">
        <v>1734</v>
      </c>
      <c r="D128" t="s">
        <v>1735</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45">
      <c r="A129" t="s">
        <v>1224</v>
      </c>
      <c r="B129" t="s">
        <v>1519</v>
      </c>
      <c r="C129" t="s">
        <v>1734</v>
      </c>
      <c r="D129" t="s">
        <v>1735</v>
      </c>
    </row>
    <row r="130" spans="1:64" x14ac:dyDescent="0.45">
      <c r="A130" t="s">
        <v>1520</v>
      </c>
      <c r="B130" t="s">
        <v>1521</v>
      </c>
      <c r="C130" t="s">
        <v>1734</v>
      </c>
      <c r="D130" t="s">
        <v>1735</v>
      </c>
    </row>
    <row r="131" spans="1:64" x14ac:dyDescent="0.45">
      <c r="A131" t="s">
        <v>1522</v>
      </c>
      <c r="B131" t="s">
        <v>1523</v>
      </c>
      <c r="C131" t="s">
        <v>1734</v>
      </c>
      <c r="D131" t="s">
        <v>1735</v>
      </c>
    </row>
    <row r="132" spans="1:64" x14ac:dyDescent="0.45">
      <c r="A132" t="s">
        <v>1121</v>
      </c>
      <c r="B132" t="s">
        <v>1524</v>
      </c>
      <c r="C132" t="s">
        <v>1734</v>
      </c>
      <c r="D132" t="s">
        <v>1735</v>
      </c>
    </row>
    <row r="133" spans="1:64" x14ac:dyDescent="0.45">
      <c r="A133" t="s">
        <v>1525</v>
      </c>
      <c r="B133" t="s">
        <v>1526</v>
      </c>
      <c r="C133" t="s">
        <v>1734</v>
      </c>
      <c r="D133" t="s">
        <v>1735</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45">
      <c r="A134" t="s">
        <v>1527</v>
      </c>
      <c r="B134" t="s">
        <v>1528</v>
      </c>
      <c r="C134" t="s">
        <v>1734</v>
      </c>
      <c r="D134" t="s">
        <v>1735</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45">
      <c r="A135" t="s">
        <v>1122</v>
      </c>
      <c r="B135" t="s">
        <v>1529</v>
      </c>
      <c r="C135" t="s">
        <v>1734</v>
      </c>
      <c r="D135" t="s">
        <v>1735</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45">
      <c r="A136" t="s">
        <v>1095</v>
      </c>
      <c r="B136" t="s">
        <v>1530</v>
      </c>
      <c r="C136" t="s">
        <v>1734</v>
      </c>
      <c r="D136" t="s">
        <v>1735</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45">
      <c r="A137" t="s">
        <v>1107</v>
      </c>
      <c r="B137" t="s">
        <v>1531</v>
      </c>
      <c r="C137" t="s">
        <v>1734</v>
      </c>
      <c r="D137" t="s">
        <v>1735</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45">
      <c r="A138" t="s">
        <v>1532</v>
      </c>
      <c r="B138" t="s">
        <v>1533</v>
      </c>
      <c r="C138" t="s">
        <v>1734</v>
      </c>
      <c r="D138" t="s">
        <v>1735</v>
      </c>
    </row>
    <row r="139" spans="1:64" x14ac:dyDescent="0.45">
      <c r="A139" t="s">
        <v>1534</v>
      </c>
      <c r="B139" t="s">
        <v>1535</v>
      </c>
      <c r="C139" t="s">
        <v>1734</v>
      </c>
      <c r="D139" t="s">
        <v>1735</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45">
      <c r="A140" t="s">
        <v>1536</v>
      </c>
      <c r="B140" t="s">
        <v>1537</v>
      </c>
      <c r="C140" t="s">
        <v>1734</v>
      </c>
      <c r="D140" t="s">
        <v>1735</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45">
      <c r="A141" t="s">
        <v>1538</v>
      </c>
      <c r="B141" t="s">
        <v>1539</v>
      </c>
      <c r="C141" t="s">
        <v>1734</v>
      </c>
      <c r="D141" t="s">
        <v>1735</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45">
      <c r="A142" t="s">
        <v>1540</v>
      </c>
      <c r="B142" t="s">
        <v>1541</v>
      </c>
      <c r="C142" t="s">
        <v>1734</v>
      </c>
      <c r="D142" t="s">
        <v>1735</v>
      </c>
    </row>
    <row r="143" spans="1:64" x14ac:dyDescent="0.45">
      <c r="A143" t="s">
        <v>1147</v>
      </c>
      <c r="B143" t="s">
        <v>1542</v>
      </c>
      <c r="C143" t="s">
        <v>1734</v>
      </c>
      <c r="D143" t="s">
        <v>1735</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45">
      <c r="A144" t="s">
        <v>1543</v>
      </c>
      <c r="B144" t="s">
        <v>1544</v>
      </c>
      <c r="C144" t="s">
        <v>1734</v>
      </c>
      <c r="D144" t="s">
        <v>1735</v>
      </c>
    </row>
    <row r="145" spans="1:64" x14ac:dyDescent="0.45">
      <c r="A145" t="s">
        <v>1545</v>
      </c>
      <c r="B145" t="s">
        <v>1546</v>
      </c>
      <c r="C145" t="s">
        <v>1734</v>
      </c>
      <c r="D145" t="s">
        <v>1735</v>
      </c>
    </row>
    <row r="146" spans="1:64" x14ac:dyDescent="0.45">
      <c r="A146" t="s">
        <v>1086</v>
      </c>
      <c r="B146" t="s">
        <v>1547</v>
      </c>
      <c r="C146" t="s">
        <v>1734</v>
      </c>
      <c r="D146" t="s">
        <v>1735</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45">
      <c r="A147" t="s">
        <v>1548</v>
      </c>
      <c r="B147" t="s">
        <v>1549</v>
      </c>
      <c r="C147" t="s">
        <v>1734</v>
      </c>
      <c r="D147" t="s">
        <v>1735</v>
      </c>
    </row>
    <row r="148" spans="1:64" x14ac:dyDescent="0.45">
      <c r="A148" t="s">
        <v>1252</v>
      </c>
      <c r="B148" t="s">
        <v>1550</v>
      </c>
      <c r="C148" t="s">
        <v>1734</v>
      </c>
      <c r="D148" t="s">
        <v>1735</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45">
      <c r="A149" t="s">
        <v>1274</v>
      </c>
      <c r="B149" t="s">
        <v>1551</v>
      </c>
      <c r="C149" t="s">
        <v>1734</v>
      </c>
      <c r="D149" t="s">
        <v>1735</v>
      </c>
    </row>
    <row r="150" spans="1:64" x14ac:dyDescent="0.45">
      <c r="A150" t="s">
        <v>1251</v>
      </c>
      <c r="B150" t="s">
        <v>1552</v>
      </c>
      <c r="C150" t="s">
        <v>1734</v>
      </c>
      <c r="D150" t="s">
        <v>1735</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45">
      <c r="A151" t="s">
        <v>1553</v>
      </c>
      <c r="B151" t="s">
        <v>1554</v>
      </c>
      <c r="C151" t="s">
        <v>1734</v>
      </c>
      <c r="D151" t="s">
        <v>1735</v>
      </c>
    </row>
    <row r="152" spans="1:64" x14ac:dyDescent="0.45">
      <c r="A152" t="s">
        <v>1555</v>
      </c>
      <c r="B152" t="s">
        <v>1556</v>
      </c>
      <c r="C152" t="s">
        <v>1734</v>
      </c>
      <c r="D152" t="s">
        <v>1735</v>
      </c>
    </row>
    <row r="153" spans="1:64" x14ac:dyDescent="0.45">
      <c r="A153" t="s">
        <v>1108</v>
      </c>
      <c r="B153" t="s">
        <v>1557</v>
      </c>
      <c r="C153" t="s">
        <v>1734</v>
      </c>
      <c r="D153" t="s">
        <v>1735</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45">
      <c r="A154" t="s">
        <v>1558</v>
      </c>
      <c r="B154" t="s">
        <v>1559</v>
      </c>
      <c r="C154" t="s">
        <v>1734</v>
      </c>
      <c r="D154" t="s">
        <v>1735</v>
      </c>
    </row>
    <row r="155" spans="1:64" x14ac:dyDescent="0.45">
      <c r="A155" t="s">
        <v>1560</v>
      </c>
      <c r="B155" t="s">
        <v>1561</v>
      </c>
      <c r="C155" t="s">
        <v>1734</v>
      </c>
      <c r="D155" t="s">
        <v>1735</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45">
      <c r="A156" t="s">
        <v>1070</v>
      </c>
      <c r="B156" t="s">
        <v>1562</v>
      </c>
      <c r="C156" t="s">
        <v>1734</v>
      </c>
      <c r="D156" t="s">
        <v>1735</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45">
      <c r="A157" t="s">
        <v>1144</v>
      </c>
      <c r="B157" t="s">
        <v>1563</v>
      </c>
      <c r="C157" t="s">
        <v>1734</v>
      </c>
      <c r="D157" t="s">
        <v>1735</v>
      </c>
    </row>
    <row r="158" spans="1:64" x14ac:dyDescent="0.45">
      <c r="A158" t="s">
        <v>1564</v>
      </c>
      <c r="B158" t="s">
        <v>1565</v>
      </c>
      <c r="C158" t="s">
        <v>1734</v>
      </c>
      <c r="D158" t="s">
        <v>1735</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45">
      <c r="A159" t="s">
        <v>1195</v>
      </c>
      <c r="B159" t="s">
        <v>1566</v>
      </c>
      <c r="C159" t="s">
        <v>1734</v>
      </c>
      <c r="D159" t="s">
        <v>1735</v>
      </c>
    </row>
    <row r="160" spans="1:64" x14ac:dyDescent="0.45">
      <c r="A160" t="s">
        <v>1567</v>
      </c>
      <c r="B160" t="s">
        <v>1568</v>
      </c>
      <c r="C160" t="s">
        <v>1734</v>
      </c>
      <c r="D160" t="s">
        <v>1735</v>
      </c>
    </row>
    <row r="161" spans="1:64" x14ac:dyDescent="0.45">
      <c r="A161" t="s">
        <v>1569</v>
      </c>
      <c r="B161" t="s">
        <v>1570</v>
      </c>
      <c r="C161" t="s">
        <v>1734</v>
      </c>
      <c r="D161" t="s">
        <v>1735</v>
      </c>
    </row>
    <row r="162" spans="1:64" x14ac:dyDescent="0.45">
      <c r="A162" t="s">
        <v>1264</v>
      </c>
      <c r="B162" t="s">
        <v>1571</v>
      </c>
      <c r="C162" t="s">
        <v>1734</v>
      </c>
      <c r="D162" t="s">
        <v>1735</v>
      </c>
    </row>
    <row r="163" spans="1:64" x14ac:dyDescent="0.45">
      <c r="A163" t="s">
        <v>1096</v>
      </c>
      <c r="B163" t="s">
        <v>1572</v>
      </c>
      <c r="C163" t="s">
        <v>1734</v>
      </c>
      <c r="D163" t="s">
        <v>1735</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45">
      <c r="A164" t="s">
        <v>1262</v>
      </c>
      <c r="B164" t="s">
        <v>1573</v>
      </c>
      <c r="C164" t="s">
        <v>1734</v>
      </c>
      <c r="D164" t="s">
        <v>1735</v>
      </c>
    </row>
    <row r="165" spans="1:64" x14ac:dyDescent="0.45">
      <c r="A165" t="s">
        <v>1164</v>
      </c>
      <c r="B165" t="s">
        <v>1574</v>
      </c>
      <c r="C165" t="s">
        <v>1734</v>
      </c>
      <c r="D165" t="s">
        <v>1735</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45">
      <c r="A166" t="s">
        <v>1575</v>
      </c>
      <c r="B166" t="s">
        <v>1576</v>
      </c>
      <c r="C166" t="s">
        <v>1734</v>
      </c>
      <c r="D166" t="s">
        <v>1735</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45">
      <c r="A167" t="s">
        <v>1263</v>
      </c>
      <c r="B167" t="s">
        <v>1577</v>
      </c>
      <c r="C167" t="s">
        <v>1734</v>
      </c>
      <c r="D167" t="s">
        <v>1735</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45">
      <c r="A168" t="s">
        <v>1156</v>
      </c>
      <c r="B168" t="s">
        <v>1578</v>
      </c>
      <c r="C168" t="s">
        <v>1734</v>
      </c>
      <c r="D168" t="s">
        <v>1735</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45">
      <c r="A169" t="s">
        <v>1579</v>
      </c>
      <c r="B169" t="s">
        <v>1580</v>
      </c>
      <c r="C169" t="s">
        <v>1734</v>
      </c>
      <c r="D169" t="s">
        <v>1735</v>
      </c>
    </row>
    <row r="170" spans="1:64" x14ac:dyDescent="0.45">
      <c r="A170" t="s">
        <v>596</v>
      </c>
      <c r="B170" t="s">
        <v>1581</v>
      </c>
      <c r="C170" t="s">
        <v>1734</v>
      </c>
      <c r="D170" t="s">
        <v>1735</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45">
      <c r="A171" t="s">
        <v>1097</v>
      </c>
      <c r="B171" t="s">
        <v>1582</v>
      </c>
      <c r="C171" t="s">
        <v>1734</v>
      </c>
      <c r="D171" t="s">
        <v>1735</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45">
      <c r="A172" t="s">
        <v>1071</v>
      </c>
      <c r="B172" t="s">
        <v>1583</v>
      </c>
      <c r="C172" t="s">
        <v>1734</v>
      </c>
      <c r="D172" t="s">
        <v>1735</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45">
      <c r="A173" t="s">
        <v>879</v>
      </c>
      <c r="B173" t="s">
        <v>1584</v>
      </c>
      <c r="C173" t="s">
        <v>1734</v>
      </c>
      <c r="D173" t="s">
        <v>1735</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45">
      <c r="A174" t="s">
        <v>1163</v>
      </c>
      <c r="B174" t="s">
        <v>1585</v>
      </c>
      <c r="C174" t="s">
        <v>1734</v>
      </c>
      <c r="D174" t="s">
        <v>1735</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45">
      <c r="A175" t="s">
        <v>1586</v>
      </c>
      <c r="B175" t="s">
        <v>1587</v>
      </c>
      <c r="C175" t="s">
        <v>1734</v>
      </c>
      <c r="D175" t="s">
        <v>1735</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45">
      <c r="A176" t="s">
        <v>598</v>
      </c>
      <c r="B176" t="s">
        <v>1588</v>
      </c>
      <c r="C176" t="s">
        <v>1734</v>
      </c>
      <c r="D176" t="s">
        <v>1735</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45">
      <c r="A177" t="s">
        <v>1218</v>
      </c>
      <c r="B177" t="s">
        <v>1589</v>
      </c>
      <c r="C177" t="s">
        <v>1734</v>
      </c>
      <c r="D177" t="s">
        <v>1735</v>
      </c>
    </row>
    <row r="178" spans="1:64" x14ac:dyDescent="0.45">
      <c r="A178" t="s">
        <v>1098</v>
      </c>
      <c r="B178" t="s">
        <v>1590</v>
      </c>
      <c r="C178" t="s">
        <v>1734</v>
      </c>
      <c r="D178" t="s">
        <v>1735</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45">
      <c r="A179" t="s">
        <v>1099</v>
      </c>
      <c r="B179" t="s">
        <v>1591</v>
      </c>
      <c r="C179" t="s">
        <v>1734</v>
      </c>
      <c r="D179" t="s">
        <v>1735</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45">
      <c r="A180" t="s">
        <v>1196</v>
      </c>
      <c r="B180" t="s">
        <v>1592</v>
      </c>
      <c r="C180" t="s">
        <v>1734</v>
      </c>
      <c r="D180" t="s">
        <v>1735</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45">
      <c r="A181" t="s">
        <v>1275</v>
      </c>
      <c r="B181" t="s">
        <v>1593</v>
      </c>
      <c r="C181" t="s">
        <v>1734</v>
      </c>
      <c r="D181" t="s">
        <v>1735</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45">
      <c r="A182" t="s">
        <v>1253</v>
      </c>
      <c r="B182" t="s">
        <v>1594</v>
      </c>
      <c r="C182" t="s">
        <v>1734</v>
      </c>
      <c r="D182" t="s">
        <v>1735</v>
      </c>
    </row>
    <row r="183" spans="1:64" x14ac:dyDescent="0.45">
      <c r="A183" t="s">
        <v>1145</v>
      </c>
      <c r="B183" t="s">
        <v>1595</v>
      </c>
      <c r="C183" t="s">
        <v>1734</v>
      </c>
      <c r="D183" t="s">
        <v>1735</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45">
      <c r="A184" t="s">
        <v>1596</v>
      </c>
      <c r="B184" t="s">
        <v>1597</v>
      </c>
      <c r="C184" t="s">
        <v>1734</v>
      </c>
      <c r="D184" t="s">
        <v>1735</v>
      </c>
    </row>
    <row r="185" spans="1:64" x14ac:dyDescent="0.45">
      <c r="A185" t="s">
        <v>1214</v>
      </c>
      <c r="B185" t="s">
        <v>1598</v>
      </c>
      <c r="C185" t="s">
        <v>1734</v>
      </c>
      <c r="D185" t="s">
        <v>1735</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45">
      <c r="A186" t="s">
        <v>1599</v>
      </c>
      <c r="B186" t="s">
        <v>1600</v>
      </c>
      <c r="C186" t="s">
        <v>1734</v>
      </c>
      <c r="D186" t="s">
        <v>1735</v>
      </c>
    </row>
    <row r="187" spans="1:64" x14ac:dyDescent="0.45">
      <c r="A187" t="s">
        <v>1123</v>
      </c>
      <c r="B187" t="s">
        <v>1601</v>
      </c>
      <c r="C187" t="s">
        <v>1734</v>
      </c>
      <c r="D187" t="s">
        <v>1735</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45">
      <c r="A188" t="s">
        <v>1602</v>
      </c>
      <c r="B188" t="s">
        <v>1603</v>
      </c>
      <c r="C188" t="s">
        <v>1734</v>
      </c>
      <c r="D188" t="s">
        <v>1735</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45">
      <c r="A189" t="s">
        <v>1146</v>
      </c>
      <c r="B189" t="s">
        <v>1604</v>
      </c>
      <c r="C189" t="s">
        <v>1734</v>
      </c>
      <c r="D189" t="s">
        <v>1735</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45">
      <c r="A190" t="s">
        <v>1197</v>
      </c>
      <c r="B190" t="s">
        <v>1605</v>
      </c>
      <c r="C190" t="s">
        <v>1734</v>
      </c>
      <c r="D190" t="s">
        <v>1735</v>
      </c>
    </row>
    <row r="191" spans="1:64" x14ac:dyDescent="0.45">
      <c r="A191" t="s">
        <v>1208</v>
      </c>
      <c r="B191" t="s">
        <v>1606</v>
      </c>
      <c r="C191" t="s">
        <v>1734</v>
      </c>
      <c r="D191" t="s">
        <v>1735</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45">
      <c r="A192" t="s">
        <v>1165</v>
      </c>
      <c r="B192" t="s">
        <v>1607</v>
      </c>
      <c r="C192" t="s">
        <v>1734</v>
      </c>
      <c r="D192" t="s">
        <v>1735</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45">
      <c r="A193" t="s">
        <v>1608</v>
      </c>
      <c r="B193" t="s">
        <v>1609</v>
      </c>
      <c r="C193" t="s">
        <v>1734</v>
      </c>
      <c r="D193" t="s">
        <v>1735</v>
      </c>
    </row>
    <row r="194" spans="1:64" x14ac:dyDescent="0.45">
      <c r="A194" t="s">
        <v>1219</v>
      </c>
      <c r="B194" t="s">
        <v>1610</v>
      </c>
      <c r="C194" t="s">
        <v>1734</v>
      </c>
      <c r="D194" t="s">
        <v>1735</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45">
      <c r="A195" t="s">
        <v>1238</v>
      </c>
      <c r="B195" t="s">
        <v>1611</v>
      </c>
      <c r="C195" t="s">
        <v>1734</v>
      </c>
      <c r="D195" t="s">
        <v>1735</v>
      </c>
    </row>
    <row r="196" spans="1:64" x14ac:dyDescent="0.45">
      <c r="A196" t="s">
        <v>1612</v>
      </c>
      <c r="B196" t="s">
        <v>1613</v>
      </c>
      <c r="C196" t="s">
        <v>1734</v>
      </c>
      <c r="D196" t="s">
        <v>1735</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45">
      <c r="A197" t="s">
        <v>1184</v>
      </c>
      <c r="B197" t="s">
        <v>1614</v>
      </c>
      <c r="C197" t="s">
        <v>1734</v>
      </c>
      <c r="D197" t="s">
        <v>1735</v>
      </c>
    </row>
    <row r="198" spans="1:64" x14ac:dyDescent="0.45">
      <c r="A198" t="s">
        <v>1615</v>
      </c>
      <c r="B198" t="s">
        <v>1616</v>
      </c>
      <c r="C198" t="s">
        <v>1734</v>
      </c>
      <c r="D198" t="s">
        <v>1735</v>
      </c>
    </row>
    <row r="199" spans="1:64" x14ac:dyDescent="0.45">
      <c r="A199" t="s">
        <v>1265</v>
      </c>
      <c r="B199" t="s">
        <v>1617</v>
      </c>
      <c r="C199" t="s">
        <v>1734</v>
      </c>
      <c r="D199" t="s">
        <v>1735</v>
      </c>
    </row>
    <row r="200" spans="1:64" x14ac:dyDescent="0.45">
      <c r="A200" t="s">
        <v>1207</v>
      </c>
      <c r="B200" t="s">
        <v>1618</v>
      </c>
      <c r="C200" t="s">
        <v>1734</v>
      </c>
      <c r="D200" t="s">
        <v>1735</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45">
      <c r="A201" t="s">
        <v>1619</v>
      </c>
      <c r="B201" t="s">
        <v>1620</v>
      </c>
      <c r="C201" t="s">
        <v>1734</v>
      </c>
      <c r="D201" t="s">
        <v>1735</v>
      </c>
    </row>
    <row r="202" spans="1:64" x14ac:dyDescent="0.45">
      <c r="A202" t="s">
        <v>1621</v>
      </c>
      <c r="B202" t="s">
        <v>1622</v>
      </c>
      <c r="C202" t="s">
        <v>1734</v>
      </c>
      <c r="D202" t="s">
        <v>1735</v>
      </c>
    </row>
    <row r="203" spans="1:64" x14ac:dyDescent="0.45">
      <c r="A203" t="s">
        <v>1623</v>
      </c>
      <c r="B203" t="s">
        <v>1624</v>
      </c>
      <c r="C203" t="s">
        <v>1734</v>
      </c>
      <c r="D203" t="s">
        <v>1735</v>
      </c>
    </row>
    <row r="204" spans="1:64" x14ac:dyDescent="0.45">
      <c r="A204" t="s">
        <v>1227</v>
      </c>
      <c r="B204" t="s">
        <v>1625</v>
      </c>
      <c r="C204" t="s">
        <v>1734</v>
      </c>
      <c r="D204" t="s">
        <v>1735</v>
      </c>
    </row>
    <row r="205" spans="1:64" x14ac:dyDescent="0.45">
      <c r="A205" t="s">
        <v>1124</v>
      </c>
      <c r="B205" t="s">
        <v>1626</v>
      </c>
      <c r="C205" t="s">
        <v>1734</v>
      </c>
      <c r="D205" t="s">
        <v>1735</v>
      </c>
    </row>
    <row r="206" spans="1:64" x14ac:dyDescent="0.45">
      <c r="A206" t="s">
        <v>1240</v>
      </c>
      <c r="B206" t="s">
        <v>1627</v>
      </c>
      <c r="C206" t="s">
        <v>1734</v>
      </c>
      <c r="D206" t="s">
        <v>1735</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45">
      <c r="A207" t="s">
        <v>1241</v>
      </c>
      <c r="B207" t="s">
        <v>1628</v>
      </c>
      <c r="C207" t="s">
        <v>1734</v>
      </c>
      <c r="D207" t="s">
        <v>1735</v>
      </c>
    </row>
    <row r="208" spans="1:64" x14ac:dyDescent="0.45">
      <c r="A208" t="s">
        <v>600</v>
      </c>
      <c r="B208" t="s">
        <v>1629</v>
      </c>
      <c r="C208" t="s">
        <v>1734</v>
      </c>
      <c r="D208" t="s">
        <v>1735</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45">
      <c r="A209" t="s">
        <v>1630</v>
      </c>
      <c r="B209" t="s">
        <v>1631</v>
      </c>
      <c r="C209" t="s">
        <v>1734</v>
      </c>
      <c r="D209" t="s">
        <v>1735</v>
      </c>
    </row>
    <row r="210" spans="1:64" x14ac:dyDescent="0.45">
      <c r="A210" t="s">
        <v>1125</v>
      </c>
      <c r="B210" t="s">
        <v>1632</v>
      </c>
      <c r="C210" t="s">
        <v>1734</v>
      </c>
      <c r="D210" t="s">
        <v>1735</v>
      </c>
    </row>
    <row r="211" spans="1:64" x14ac:dyDescent="0.45">
      <c r="A211" t="s">
        <v>1109</v>
      </c>
      <c r="B211" t="s">
        <v>1633</v>
      </c>
      <c r="C211" t="s">
        <v>1734</v>
      </c>
      <c r="D211" t="s">
        <v>1735</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45">
      <c r="A212" t="s">
        <v>1100</v>
      </c>
      <c r="B212" t="s">
        <v>1634</v>
      </c>
      <c r="C212" t="s">
        <v>1734</v>
      </c>
      <c r="D212" t="s">
        <v>1735</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45">
      <c r="A213" t="s">
        <v>1166</v>
      </c>
      <c r="B213" t="s">
        <v>1635</v>
      </c>
      <c r="C213" t="s">
        <v>1734</v>
      </c>
      <c r="D213" t="s">
        <v>1735</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45">
      <c r="A214" t="s">
        <v>1220</v>
      </c>
      <c r="B214" t="s">
        <v>1636</v>
      </c>
      <c r="C214" t="s">
        <v>1734</v>
      </c>
      <c r="D214" t="s">
        <v>1735</v>
      </c>
    </row>
    <row r="215" spans="1:64" x14ac:dyDescent="0.45">
      <c r="A215" t="s">
        <v>1101</v>
      </c>
      <c r="B215" t="s">
        <v>1637</v>
      </c>
      <c r="C215" t="s">
        <v>1734</v>
      </c>
      <c r="D215" t="s">
        <v>1735</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45">
      <c r="A216" t="s">
        <v>1192</v>
      </c>
      <c r="B216" t="s">
        <v>1638</v>
      </c>
      <c r="C216" t="s">
        <v>1734</v>
      </c>
      <c r="D216" t="s">
        <v>1735</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45">
      <c r="A217" t="s">
        <v>1639</v>
      </c>
      <c r="B217" t="s">
        <v>1640</v>
      </c>
      <c r="C217" t="s">
        <v>1734</v>
      </c>
      <c r="D217" t="s">
        <v>1735</v>
      </c>
    </row>
    <row r="218" spans="1:64" x14ac:dyDescent="0.45">
      <c r="A218" t="s">
        <v>1075</v>
      </c>
      <c r="B218" t="s">
        <v>1641</v>
      </c>
      <c r="C218" t="s">
        <v>1734</v>
      </c>
      <c r="D218" t="s">
        <v>1735</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45">
      <c r="A219" t="s">
        <v>1266</v>
      </c>
      <c r="B219" t="s">
        <v>1642</v>
      </c>
      <c r="C219" t="s">
        <v>1734</v>
      </c>
      <c r="D219" t="s">
        <v>1735</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45">
      <c r="A220" t="s">
        <v>1643</v>
      </c>
      <c r="B220" t="s">
        <v>1644</v>
      </c>
      <c r="C220" t="s">
        <v>1734</v>
      </c>
      <c r="D220" t="s">
        <v>1735</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45">
      <c r="A221" t="s">
        <v>1076</v>
      </c>
      <c r="B221" t="s">
        <v>1645</v>
      </c>
      <c r="C221" t="s">
        <v>1734</v>
      </c>
      <c r="D221" t="s">
        <v>1735</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45">
      <c r="A222" t="s">
        <v>1646</v>
      </c>
      <c r="B222" t="s">
        <v>1647</v>
      </c>
      <c r="C222" t="s">
        <v>1734</v>
      </c>
      <c r="D222" t="s">
        <v>1735</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45">
      <c r="A223" t="s">
        <v>1648</v>
      </c>
      <c r="B223" t="s">
        <v>1649</v>
      </c>
      <c r="C223" t="s">
        <v>1734</v>
      </c>
      <c r="D223" t="s">
        <v>1735</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45">
      <c r="A224" t="s">
        <v>1084</v>
      </c>
      <c r="B224" t="s">
        <v>1650</v>
      </c>
      <c r="C224" t="s">
        <v>1734</v>
      </c>
      <c r="D224" t="s">
        <v>1735</v>
      </c>
    </row>
    <row r="225" spans="1:64" x14ac:dyDescent="0.45">
      <c r="A225" t="s">
        <v>1209</v>
      </c>
      <c r="B225" t="s">
        <v>1651</v>
      </c>
      <c r="C225" t="s">
        <v>1734</v>
      </c>
      <c r="D225" t="s">
        <v>1735</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45">
      <c r="A226" t="s">
        <v>1652</v>
      </c>
      <c r="B226" t="s">
        <v>1653</v>
      </c>
      <c r="C226" t="s">
        <v>1734</v>
      </c>
      <c r="D226" t="s">
        <v>1735</v>
      </c>
    </row>
    <row r="227" spans="1:64" x14ac:dyDescent="0.45">
      <c r="A227" t="s">
        <v>1267</v>
      </c>
      <c r="B227" t="s">
        <v>1654</v>
      </c>
      <c r="C227" t="s">
        <v>1734</v>
      </c>
      <c r="D227" t="s">
        <v>1735</v>
      </c>
    </row>
    <row r="228" spans="1:64" x14ac:dyDescent="0.45">
      <c r="A228" t="s">
        <v>1254</v>
      </c>
      <c r="B228" t="s">
        <v>1655</v>
      </c>
      <c r="C228" t="s">
        <v>1734</v>
      </c>
      <c r="D228" t="s">
        <v>1735</v>
      </c>
    </row>
    <row r="229" spans="1:64" x14ac:dyDescent="0.45">
      <c r="A229" t="s">
        <v>603</v>
      </c>
      <c r="B229" t="s">
        <v>1656</v>
      </c>
      <c r="C229" t="s">
        <v>1734</v>
      </c>
      <c r="D229" t="s">
        <v>1735</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45">
      <c r="A230" t="s">
        <v>1657</v>
      </c>
      <c r="B230" t="s">
        <v>1658</v>
      </c>
      <c r="C230" t="s">
        <v>1734</v>
      </c>
      <c r="D230" t="s">
        <v>1735</v>
      </c>
    </row>
    <row r="231" spans="1:64" x14ac:dyDescent="0.45">
      <c r="A231" t="s">
        <v>1074</v>
      </c>
      <c r="B231" t="s">
        <v>1659</v>
      </c>
      <c r="C231" t="s">
        <v>1734</v>
      </c>
      <c r="D231" t="s">
        <v>1735</v>
      </c>
    </row>
    <row r="232" spans="1:64" x14ac:dyDescent="0.45">
      <c r="A232" t="s">
        <v>1127</v>
      </c>
      <c r="B232" t="s">
        <v>1660</v>
      </c>
      <c r="C232" t="s">
        <v>1734</v>
      </c>
      <c r="D232" t="s">
        <v>1735</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45">
      <c r="A233" t="s">
        <v>1661</v>
      </c>
      <c r="B233" t="s">
        <v>1662</v>
      </c>
      <c r="C233" t="s">
        <v>1734</v>
      </c>
      <c r="D233" t="s">
        <v>1735</v>
      </c>
    </row>
    <row r="234" spans="1:64" x14ac:dyDescent="0.45">
      <c r="A234" t="s">
        <v>1080</v>
      </c>
      <c r="B234" t="s">
        <v>1663</v>
      </c>
      <c r="C234" t="s">
        <v>1734</v>
      </c>
      <c r="D234" t="s">
        <v>1735</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45">
      <c r="A235" t="s">
        <v>1664</v>
      </c>
      <c r="B235" t="s">
        <v>1665</v>
      </c>
      <c r="C235" t="s">
        <v>1734</v>
      </c>
      <c r="D235" t="s">
        <v>1735</v>
      </c>
    </row>
    <row r="236" spans="1:64" x14ac:dyDescent="0.45">
      <c r="A236" t="s">
        <v>1666</v>
      </c>
      <c r="B236" t="s">
        <v>1667</v>
      </c>
      <c r="C236" t="s">
        <v>1734</v>
      </c>
      <c r="D236" t="s">
        <v>1735</v>
      </c>
    </row>
    <row r="237" spans="1:64" x14ac:dyDescent="0.45">
      <c r="A237" t="s">
        <v>1102</v>
      </c>
      <c r="B237" t="s">
        <v>1668</v>
      </c>
      <c r="C237" t="s">
        <v>1734</v>
      </c>
      <c r="D237" t="s">
        <v>1735</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45">
      <c r="A238" t="s">
        <v>1167</v>
      </c>
      <c r="B238" t="s">
        <v>1669</v>
      </c>
      <c r="C238" t="s">
        <v>1734</v>
      </c>
      <c r="D238" t="s">
        <v>1735</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45">
      <c r="A239" t="s">
        <v>1135</v>
      </c>
      <c r="B239" t="s">
        <v>1670</v>
      </c>
      <c r="C239" t="s">
        <v>1734</v>
      </c>
      <c r="D239" t="s">
        <v>1735</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45">
      <c r="A240" t="s">
        <v>1136</v>
      </c>
      <c r="B240" t="s">
        <v>1671</v>
      </c>
      <c r="C240" t="s">
        <v>1734</v>
      </c>
      <c r="D240" t="s">
        <v>1735</v>
      </c>
    </row>
    <row r="241" spans="1:64" x14ac:dyDescent="0.45">
      <c r="A241" t="s">
        <v>1672</v>
      </c>
      <c r="B241" t="s">
        <v>1673</v>
      </c>
      <c r="C241" t="s">
        <v>1734</v>
      </c>
      <c r="D241" t="s">
        <v>1735</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45">
      <c r="A242" t="s">
        <v>1168</v>
      </c>
      <c r="B242" t="s">
        <v>1674</v>
      </c>
      <c r="C242" t="s">
        <v>1734</v>
      </c>
      <c r="D242" t="s">
        <v>1735</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45">
      <c r="A243" t="s">
        <v>1675</v>
      </c>
      <c r="B243" t="s">
        <v>1676</v>
      </c>
      <c r="C243" t="s">
        <v>1734</v>
      </c>
      <c r="D243" t="s">
        <v>1735</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45">
      <c r="A244" t="s">
        <v>1229</v>
      </c>
      <c r="B244" t="s">
        <v>1677</v>
      </c>
      <c r="C244" t="s">
        <v>1734</v>
      </c>
      <c r="D244" t="s">
        <v>1735</v>
      </c>
    </row>
    <row r="245" spans="1:64" x14ac:dyDescent="0.45">
      <c r="A245" t="s">
        <v>1678</v>
      </c>
      <c r="B245" t="s">
        <v>1679</v>
      </c>
      <c r="C245" t="s">
        <v>1734</v>
      </c>
      <c r="D245" t="s">
        <v>1735</v>
      </c>
    </row>
    <row r="246" spans="1:64" x14ac:dyDescent="0.45">
      <c r="A246" t="s">
        <v>1680</v>
      </c>
      <c r="B246" t="s">
        <v>1681</v>
      </c>
      <c r="C246" t="s">
        <v>1734</v>
      </c>
      <c r="D246" t="s">
        <v>1735</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45">
      <c r="A247" t="s">
        <v>1187</v>
      </c>
      <c r="B247" t="s">
        <v>1682</v>
      </c>
      <c r="C247" t="s">
        <v>1734</v>
      </c>
      <c r="D247" t="s">
        <v>1735</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45">
      <c r="A248" t="s">
        <v>1110</v>
      </c>
      <c r="B248" t="s">
        <v>1683</v>
      </c>
      <c r="C248" t="s">
        <v>1734</v>
      </c>
      <c r="D248" t="s">
        <v>1735</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45">
      <c r="A249" t="s">
        <v>1128</v>
      </c>
      <c r="B249" t="s">
        <v>1684</v>
      </c>
      <c r="C249" t="s">
        <v>1734</v>
      </c>
      <c r="D249" t="s">
        <v>1735</v>
      </c>
    </row>
    <row r="250" spans="1:64" x14ac:dyDescent="0.45">
      <c r="A250" t="s">
        <v>1685</v>
      </c>
      <c r="B250" t="s">
        <v>1686</v>
      </c>
      <c r="C250" t="s">
        <v>1734</v>
      </c>
      <c r="D250" t="s">
        <v>1735</v>
      </c>
    </row>
    <row r="251" spans="1:64" x14ac:dyDescent="0.45">
      <c r="A251" t="s">
        <v>1687</v>
      </c>
      <c r="B251" t="s">
        <v>1688</v>
      </c>
      <c r="C251" t="s">
        <v>1734</v>
      </c>
      <c r="D251" t="s">
        <v>1735</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45">
      <c r="A252" t="s">
        <v>604</v>
      </c>
      <c r="B252" t="s">
        <v>1689</v>
      </c>
      <c r="C252" t="s">
        <v>1734</v>
      </c>
      <c r="D252" t="s">
        <v>1735</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45">
      <c r="A253" t="s">
        <v>1243</v>
      </c>
      <c r="B253" t="s">
        <v>1690</v>
      </c>
      <c r="C253" t="s">
        <v>1734</v>
      </c>
      <c r="D253" t="s">
        <v>1735</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45">
      <c r="A254" t="s">
        <v>1691</v>
      </c>
      <c r="B254" t="s">
        <v>1692</v>
      </c>
      <c r="C254" t="s">
        <v>1734</v>
      </c>
      <c r="D254" t="s">
        <v>1735</v>
      </c>
    </row>
    <row r="255" spans="1:64" x14ac:dyDescent="0.45">
      <c r="A255" t="s">
        <v>1210</v>
      </c>
      <c r="B255" t="s">
        <v>1693</v>
      </c>
      <c r="C255" t="s">
        <v>1734</v>
      </c>
      <c r="D255" t="s">
        <v>1735</v>
      </c>
    </row>
    <row r="256" spans="1:64" x14ac:dyDescent="0.45">
      <c r="A256" t="s">
        <v>1694</v>
      </c>
      <c r="B256" t="s">
        <v>1695</v>
      </c>
      <c r="C256" t="s">
        <v>1734</v>
      </c>
      <c r="D256" t="s">
        <v>1735</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45">
      <c r="A257" t="s">
        <v>1137</v>
      </c>
      <c r="B257" t="s">
        <v>1696</v>
      </c>
      <c r="C257" t="s">
        <v>1734</v>
      </c>
      <c r="D257" t="s">
        <v>1735</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45">
      <c r="A258" t="s">
        <v>1697</v>
      </c>
      <c r="B258" t="s">
        <v>1698</v>
      </c>
      <c r="C258" t="s">
        <v>1734</v>
      </c>
      <c r="D258" t="s">
        <v>1735</v>
      </c>
    </row>
    <row r="259" spans="1:65" x14ac:dyDescent="0.45">
      <c r="A259" t="s">
        <v>1699</v>
      </c>
      <c r="B259" t="s">
        <v>1700</v>
      </c>
      <c r="C259" t="s">
        <v>1734</v>
      </c>
      <c r="D259" t="s">
        <v>1735</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45">
      <c r="A260" t="s">
        <v>1701</v>
      </c>
      <c r="B260" t="s">
        <v>1702</v>
      </c>
      <c r="C260" t="s">
        <v>1734</v>
      </c>
      <c r="D260" t="s">
        <v>1735</v>
      </c>
    </row>
    <row r="261" spans="1:65" x14ac:dyDescent="0.45">
      <c r="A261" t="s">
        <v>1703</v>
      </c>
      <c r="B261" t="s">
        <v>1704</v>
      </c>
      <c r="C261" t="s">
        <v>1734</v>
      </c>
      <c r="D261" t="s">
        <v>1735</v>
      </c>
    </row>
    <row r="262" spans="1:65" x14ac:dyDescent="0.45">
      <c r="A262" t="s">
        <v>1705</v>
      </c>
      <c r="B262" t="s">
        <v>1706</v>
      </c>
      <c r="C262" t="s">
        <v>1734</v>
      </c>
      <c r="D262" t="s">
        <v>1735</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45">
      <c r="A263" t="s">
        <v>1221</v>
      </c>
      <c r="B263" t="s">
        <v>1707</v>
      </c>
      <c r="C263" t="s">
        <v>1734</v>
      </c>
      <c r="D263" t="s">
        <v>1735</v>
      </c>
    </row>
    <row r="264" spans="1:65" x14ac:dyDescent="0.45">
      <c r="A264" t="s">
        <v>1017</v>
      </c>
      <c r="B264" t="s">
        <v>1708</v>
      </c>
      <c r="C264" t="s">
        <v>1734</v>
      </c>
      <c r="D264" t="s">
        <v>1735</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45">
      <c r="A265" t="s">
        <v>1228</v>
      </c>
      <c r="B265" t="s">
        <v>1709</v>
      </c>
      <c r="C265" t="s">
        <v>1734</v>
      </c>
      <c r="D265" t="s">
        <v>1735</v>
      </c>
    </row>
    <row r="266" spans="1:65" x14ac:dyDescent="0.45">
      <c r="A266" t="s">
        <v>1710</v>
      </c>
      <c r="B266" t="s">
        <v>1711</v>
      </c>
      <c r="C266" t="s">
        <v>1734</v>
      </c>
      <c r="D266" t="s">
        <v>1735</v>
      </c>
    </row>
    <row r="267" spans="1:65" x14ac:dyDescent="0.45">
      <c r="A267" t="s">
        <v>1712</v>
      </c>
      <c r="B267" t="s">
        <v>1713</v>
      </c>
      <c r="C267" t="s">
        <v>1734</v>
      </c>
      <c r="D267" t="s">
        <v>1735</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45">
      <c r="A268" t="s">
        <v>602</v>
      </c>
      <c r="B268" t="s">
        <v>1714</v>
      </c>
      <c r="C268" t="s">
        <v>1734</v>
      </c>
      <c r="D268" t="s">
        <v>1735</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45">
      <c r="A269" t="s">
        <v>606</v>
      </c>
      <c r="B269" t="s">
        <v>1715</v>
      </c>
      <c r="C269" t="s">
        <v>1734</v>
      </c>
      <c r="D269" t="s">
        <v>1735</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45">
      <c r="A270" t="s">
        <v>607</v>
      </c>
      <c r="B270" t="s">
        <v>1716</v>
      </c>
      <c r="C270" t="s">
        <v>1734</v>
      </c>
      <c r="D270" t="s">
        <v>1735</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v>12.8</v>
      </c>
    </row>
    <row r="271" spans="1:65" s="1" customFormat="1" x14ac:dyDescent="0.45"/>
    <row r="272" spans="1:65" s="1" customFormat="1" x14ac:dyDescent="0.45">
      <c r="BB272" s="1" t="s">
        <v>1717</v>
      </c>
      <c r="BC272" s="155">
        <f t="shared" ref="BC272:BL272" si="0">BC77/BB77</f>
        <v>1</v>
      </c>
      <c r="BD272" s="155">
        <f t="shared" si="0"/>
        <v>0.92857142857142871</v>
      </c>
      <c r="BE272" s="155">
        <f t="shared" si="0"/>
        <v>1</v>
      </c>
      <c r="BF272" s="155">
        <f t="shared" si="0"/>
        <v>0.92307692307692302</v>
      </c>
      <c r="BG272" s="155">
        <f t="shared" si="0"/>
        <v>1</v>
      </c>
      <c r="BH272" s="155">
        <f t="shared" si="0"/>
        <v>0.91666666666666674</v>
      </c>
      <c r="BI272" s="155">
        <f t="shared" si="0"/>
        <v>1</v>
      </c>
      <c r="BJ272" s="155">
        <f t="shared" si="0"/>
        <v>0.90909090909090906</v>
      </c>
      <c r="BK272" s="155">
        <f t="shared" si="0"/>
        <v>1</v>
      </c>
      <c r="BL272" s="155">
        <f t="shared" si="0"/>
        <v>0.9</v>
      </c>
      <c r="BM272" s="2">
        <f>AVERAGE(BC272:BL272)</f>
        <v>0.95774059274059287</v>
      </c>
    </row>
    <row r="273" spans="8:65" s="1" customFormat="1" x14ac:dyDescent="0.45">
      <c r="BM273" s="51" t="s">
        <v>1736</v>
      </c>
    </row>
    <row r="274" spans="8:65" s="1" customFormat="1" x14ac:dyDescent="0.45">
      <c r="I274" s="1" t="s">
        <v>1719</v>
      </c>
    </row>
    <row r="275" spans="8:65" s="1" customFormat="1" x14ac:dyDescent="0.45">
      <c r="H275">
        <v>2020</v>
      </c>
      <c r="I275" s="156">
        <f>BL77*$BM$272</f>
        <v>0.86196653346653362</v>
      </c>
    </row>
    <row r="276" spans="8:65" s="1" customFormat="1" x14ac:dyDescent="0.45">
      <c r="H276">
        <v>2021</v>
      </c>
      <c r="I276" s="156">
        <f>I275*$BM$272</f>
        <v>0.82554033868479204</v>
      </c>
    </row>
    <row r="277" spans="8:65" s="1" customFormat="1" x14ac:dyDescent="0.45">
      <c r="H277">
        <v>2022</v>
      </c>
      <c r="I277" s="156">
        <f t="shared" ref="I277:I295" si="1">I276*$BM$272</f>
        <v>0.79065349330324253</v>
      </c>
    </row>
    <row r="278" spans="8:65" s="1" customFormat="1" x14ac:dyDescent="0.45">
      <c r="H278">
        <v>2023</v>
      </c>
      <c r="I278" s="156">
        <f t="shared" si="1"/>
        <v>0.75724094532866792</v>
      </c>
    </row>
    <row r="279" spans="8:65" s="1" customFormat="1" x14ac:dyDescent="0.45">
      <c r="H279">
        <v>2024</v>
      </c>
      <c r="I279" s="156">
        <f t="shared" si="1"/>
        <v>0.72524039182652533</v>
      </c>
    </row>
    <row r="280" spans="8:65" s="1" customFormat="1" x14ac:dyDescent="0.45">
      <c r="H280">
        <v>2025</v>
      </c>
      <c r="I280" s="156">
        <f t="shared" si="1"/>
        <v>0.69459216274735625</v>
      </c>
    </row>
    <row r="281" spans="8:65" s="1" customFormat="1" x14ac:dyDescent="0.45">
      <c r="H281">
        <v>2026</v>
      </c>
      <c r="I281" s="156">
        <f t="shared" si="1"/>
        <v>0.66523910966262334</v>
      </c>
    </row>
    <row r="282" spans="8:65" s="1" customFormat="1" x14ac:dyDescent="0.45">
      <c r="H282">
        <v>2027</v>
      </c>
      <c r="I282" s="156">
        <f t="shared" si="1"/>
        <v>0.63712649920250519</v>
      </c>
    </row>
    <row r="283" spans="8:65" s="1" customFormat="1" x14ac:dyDescent="0.45">
      <c r="H283">
        <v>2028</v>
      </c>
      <c r="I283" s="156">
        <f t="shared" si="1"/>
        <v>0.61020191099694621</v>
      </c>
    </row>
    <row r="284" spans="8:65" s="1" customFormat="1" x14ac:dyDescent="0.45">
      <c r="H284">
        <v>2029</v>
      </c>
      <c r="I284" s="156">
        <f t="shared" si="1"/>
        <v>0.58441513992965777</v>
      </c>
    </row>
    <row r="285" spans="8:65" s="1" customFormat="1" x14ac:dyDescent="0.45">
      <c r="H285">
        <v>2030</v>
      </c>
      <c r="I285" s="156">
        <f t="shared" si="1"/>
        <v>0.55971810252280696</v>
      </c>
    </row>
    <row r="286" spans="8:65" s="1" customFormat="1" x14ac:dyDescent="0.45">
      <c r="H286">
        <v>2031</v>
      </c>
      <c r="I286" s="156">
        <f t="shared" si="1"/>
        <v>0.53606474727783304</v>
      </c>
    </row>
    <row r="287" spans="8:65" s="1" customFormat="1" x14ac:dyDescent="0.45">
      <c r="H287">
        <v>2032</v>
      </c>
      <c r="I287" s="156">
        <f t="shared" si="1"/>
        <v>0.51341096880520798</v>
      </c>
    </row>
    <row r="288" spans="8:65" s="1" customFormat="1" x14ac:dyDescent="0.45">
      <c r="H288">
        <v>2033</v>
      </c>
      <c r="I288" s="156">
        <f t="shared" si="1"/>
        <v>0.49171452558302192</v>
      </c>
    </row>
    <row r="289" spans="3:9" s="1" customFormat="1" x14ac:dyDescent="0.45">
      <c r="C289" s="49"/>
      <c r="D289" s="49"/>
      <c r="E289" s="49"/>
      <c r="H289">
        <v>2034</v>
      </c>
      <c r="I289" s="156">
        <f t="shared" si="1"/>
        <v>0.47093496119104283</v>
      </c>
    </row>
    <row r="290" spans="3:9" s="1" customFormat="1" x14ac:dyDescent="0.45">
      <c r="C290" s="49"/>
      <c r="D290" s="49"/>
      <c r="E290" s="49"/>
      <c r="H290">
        <v>2035</v>
      </c>
      <c r="I290" s="156">
        <f t="shared" si="1"/>
        <v>0.45103352887337744</v>
      </c>
    </row>
    <row r="291" spans="3:9" s="1" customFormat="1" x14ac:dyDescent="0.45">
      <c r="C291" s="49"/>
      <c r="D291" s="49"/>
      <c r="E291" s="49"/>
      <c r="H291">
        <v>2036</v>
      </c>
      <c r="I291" s="156">
        <f t="shared" si="1"/>
        <v>0.43197311928906984</v>
      </c>
    </row>
    <row r="292" spans="3:9" s="1" customFormat="1" x14ac:dyDescent="0.45">
      <c r="H292">
        <v>2037</v>
      </c>
      <c r="I292" s="156">
        <f t="shared" si="1"/>
        <v>0.41371819131591658</v>
      </c>
    </row>
    <row r="293" spans="3:9" s="1" customFormat="1" x14ac:dyDescent="0.45">
      <c r="H293">
        <v>2038</v>
      </c>
      <c r="I293" s="156">
        <f t="shared" si="1"/>
        <v>0.39623470577847197</v>
      </c>
    </row>
    <row r="294" spans="3:9" s="1" customFormat="1" x14ac:dyDescent="0.45">
      <c r="H294">
        <v>2039</v>
      </c>
      <c r="I294" s="156">
        <f t="shared" si="1"/>
        <v>0.37949006197666818</v>
      </c>
    </row>
    <row r="295" spans="3:9" s="1" customFormat="1" x14ac:dyDescent="0.45">
      <c r="H295">
        <v>2040</v>
      </c>
      <c r="I295" s="156">
        <f t="shared" si="1"/>
        <v>0.3634530368966985</v>
      </c>
    </row>
    <row r="296" spans="3:9" s="1" customFormat="1" x14ac:dyDescent="0.45"/>
  </sheetData>
  <pageMargins left="0.7" right="0.7" top="0.75" bottom="0.75" header="0.3" footer="0.3"/>
  <headerFooter alignWithMargins="0"/>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68DF1-A5E4-400B-BC61-4EB4871003F5}">
  <dimension ref="A1:BM296"/>
  <sheetViews>
    <sheetView topLeftCell="BC269" workbookViewId="0">
      <selection activeCell="M275" sqref="M275"/>
    </sheetView>
  </sheetViews>
  <sheetFormatPr defaultRowHeight="14.25" x14ac:dyDescent="0.45"/>
  <cols>
    <col min="1" max="1" width="44.19921875" bestFit="1" customWidth="1"/>
    <col min="2" max="2" width="25.53125" bestFit="1" customWidth="1"/>
    <col min="3" max="3" width="60.46484375" bestFit="1" customWidth="1"/>
    <col min="4" max="4" width="13.46484375" bestFit="1" customWidth="1"/>
    <col min="5" max="8" width="5" bestFit="1" customWidth="1"/>
    <col min="9" max="9" width="25.796875" bestFit="1" customWidth="1"/>
    <col min="10" max="12" width="5" bestFit="1" customWidth="1"/>
    <col min="13" max="13" width="16.53125" customWidth="1"/>
    <col min="14" max="34" width="5" bestFit="1" customWidth="1"/>
    <col min="35" max="55" width="11.46484375" bestFit="1" customWidth="1"/>
    <col min="56" max="56" width="11.46484375" customWidth="1"/>
    <col min="57" max="64" width="11.46484375" bestFit="1" customWidth="1"/>
    <col min="65" max="65" width="5.796875" bestFit="1" customWidth="1"/>
  </cols>
  <sheetData>
    <row r="1" spans="1:65" x14ac:dyDescent="0.45">
      <c r="A1" t="s">
        <v>1283</v>
      </c>
      <c r="B1" t="s">
        <v>1284</v>
      </c>
    </row>
    <row r="2" spans="1:65" x14ac:dyDescent="0.45">
      <c r="A2" t="s">
        <v>1285</v>
      </c>
      <c r="B2" s="4">
        <v>44407</v>
      </c>
    </row>
    <row r="4" spans="1:65" x14ac:dyDescent="0.4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45">
      <c r="A5" t="s">
        <v>1173</v>
      </c>
      <c r="B5" t="s">
        <v>1351</v>
      </c>
      <c r="C5" t="s">
        <v>1737</v>
      </c>
      <c r="D5" t="s">
        <v>1738</v>
      </c>
    </row>
    <row r="6" spans="1:65" x14ac:dyDescent="0.45">
      <c r="A6" t="s">
        <v>1354</v>
      </c>
      <c r="B6" t="s">
        <v>1355</v>
      </c>
      <c r="C6" t="s">
        <v>1737</v>
      </c>
      <c r="D6" t="s">
        <v>1738</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45">
      <c r="A7" t="s">
        <v>1139</v>
      </c>
      <c r="B7" t="s">
        <v>1356</v>
      </c>
      <c r="C7" t="s">
        <v>1737</v>
      </c>
      <c r="D7" t="s">
        <v>1738</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45">
      <c r="A8" t="s">
        <v>1357</v>
      </c>
      <c r="B8" t="s">
        <v>1358</v>
      </c>
      <c r="C8" t="s">
        <v>1737</v>
      </c>
      <c r="D8" t="s">
        <v>1738</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45">
      <c r="A9" t="s">
        <v>1078</v>
      </c>
      <c r="B9" t="s">
        <v>1359</v>
      </c>
      <c r="C9" t="s">
        <v>1737</v>
      </c>
      <c r="D9" t="s">
        <v>1738</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45">
      <c r="A10" t="s">
        <v>1257</v>
      </c>
      <c r="B10" t="s">
        <v>1360</v>
      </c>
      <c r="C10" t="s">
        <v>1737</v>
      </c>
      <c r="D10" t="s">
        <v>1738</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45">
      <c r="A11" t="s">
        <v>1361</v>
      </c>
      <c r="B11" t="s">
        <v>1362</v>
      </c>
      <c r="C11" t="s">
        <v>1737</v>
      </c>
      <c r="D11" t="s">
        <v>1738</v>
      </c>
    </row>
    <row r="12" spans="1:65" x14ac:dyDescent="0.45">
      <c r="A12" t="s">
        <v>1363</v>
      </c>
      <c r="B12" t="s">
        <v>1364</v>
      </c>
      <c r="C12" t="s">
        <v>1737</v>
      </c>
      <c r="D12" t="s">
        <v>1738</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45">
      <c r="A13" t="s">
        <v>1129</v>
      </c>
      <c r="B13" t="s">
        <v>1365</v>
      </c>
      <c r="C13" t="s">
        <v>1737</v>
      </c>
      <c r="D13" t="s">
        <v>1738</v>
      </c>
    </row>
    <row r="14" spans="1:65" x14ac:dyDescent="0.45">
      <c r="A14" t="s">
        <v>1199</v>
      </c>
      <c r="B14" t="s">
        <v>1366</v>
      </c>
      <c r="C14" t="s">
        <v>1737</v>
      </c>
      <c r="D14" t="s">
        <v>1738</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45">
      <c r="A15" t="s">
        <v>1113</v>
      </c>
      <c r="B15" t="s">
        <v>1367</v>
      </c>
      <c r="C15" t="s">
        <v>1737</v>
      </c>
      <c r="D15" t="s">
        <v>1738</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45">
      <c r="A16" t="s">
        <v>1368</v>
      </c>
      <c r="B16" t="s">
        <v>1369</v>
      </c>
      <c r="C16" t="s">
        <v>1737</v>
      </c>
      <c r="D16" t="s">
        <v>1738</v>
      </c>
    </row>
    <row r="17" spans="1:64" x14ac:dyDescent="0.45">
      <c r="A17" t="s">
        <v>1172</v>
      </c>
      <c r="B17" t="s">
        <v>1370</v>
      </c>
      <c r="C17" t="s">
        <v>1737</v>
      </c>
      <c r="D17" t="s">
        <v>1738</v>
      </c>
    </row>
    <row r="18" spans="1:64" x14ac:dyDescent="0.45">
      <c r="A18" t="s">
        <v>1213</v>
      </c>
      <c r="B18" t="s">
        <v>1371</v>
      </c>
      <c r="C18" t="s">
        <v>1737</v>
      </c>
      <c r="D18" t="s">
        <v>1738</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45">
      <c r="A19" t="s">
        <v>1270</v>
      </c>
      <c r="B19" t="s">
        <v>1372</v>
      </c>
      <c r="C19" t="s">
        <v>1737</v>
      </c>
      <c r="D19" t="s">
        <v>1738</v>
      </c>
    </row>
    <row r="20" spans="1:64" x14ac:dyDescent="0.45">
      <c r="A20" t="s">
        <v>1114</v>
      </c>
      <c r="B20" t="s">
        <v>1373</v>
      </c>
      <c r="C20" t="s">
        <v>1737</v>
      </c>
      <c r="D20" t="s">
        <v>1738</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45">
      <c r="A21" t="s">
        <v>582</v>
      </c>
      <c r="B21" t="s">
        <v>1374</v>
      </c>
      <c r="C21" t="s">
        <v>1737</v>
      </c>
      <c r="D21" t="s">
        <v>1738</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45">
      <c r="A22" t="s">
        <v>1271</v>
      </c>
      <c r="B22" t="s">
        <v>1375</v>
      </c>
      <c r="C22" t="s">
        <v>1737</v>
      </c>
      <c r="D22" t="s">
        <v>1738</v>
      </c>
    </row>
    <row r="23" spans="1:64" x14ac:dyDescent="0.45">
      <c r="A23" t="s">
        <v>1088</v>
      </c>
      <c r="B23" t="s">
        <v>1376</v>
      </c>
      <c r="C23" t="s">
        <v>1737</v>
      </c>
      <c r="D23" t="s">
        <v>1738</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45">
      <c r="A24" t="s">
        <v>1089</v>
      </c>
      <c r="B24" t="s">
        <v>1377</v>
      </c>
      <c r="C24" t="s">
        <v>1737</v>
      </c>
      <c r="D24" t="s">
        <v>1738</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45">
      <c r="A25" t="s">
        <v>1140</v>
      </c>
      <c r="B25" t="s">
        <v>1378</v>
      </c>
      <c r="C25" t="s">
        <v>1737</v>
      </c>
      <c r="D25" t="s">
        <v>1738</v>
      </c>
    </row>
    <row r="26" spans="1:64" x14ac:dyDescent="0.45">
      <c r="A26" t="s">
        <v>1235</v>
      </c>
      <c r="B26" t="s">
        <v>1379</v>
      </c>
      <c r="C26" t="s">
        <v>1737</v>
      </c>
      <c r="D26" t="s">
        <v>1738</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45">
      <c r="A27" t="s">
        <v>1115</v>
      </c>
      <c r="B27" t="s">
        <v>1380</v>
      </c>
      <c r="C27" t="s">
        <v>1737</v>
      </c>
      <c r="D27" t="s">
        <v>1738</v>
      </c>
    </row>
    <row r="28" spans="1:64" x14ac:dyDescent="0.45">
      <c r="A28" t="s">
        <v>1381</v>
      </c>
      <c r="B28" t="s">
        <v>1382</v>
      </c>
      <c r="C28" t="s">
        <v>1737</v>
      </c>
      <c r="D28" t="s">
        <v>1738</v>
      </c>
    </row>
    <row r="29" spans="1:64" x14ac:dyDescent="0.45">
      <c r="A29" t="s">
        <v>1258</v>
      </c>
      <c r="B29" t="s">
        <v>1383</v>
      </c>
      <c r="C29" t="s">
        <v>1737</v>
      </c>
      <c r="D29" t="s">
        <v>1738</v>
      </c>
    </row>
    <row r="30" spans="1:64" x14ac:dyDescent="0.45">
      <c r="A30" t="s">
        <v>1234</v>
      </c>
      <c r="B30" t="s">
        <v>1384</v>
      </c>
      <c r="C30" t="s">
        <v>1737</v>
      </c>
      <c r="D30" t="s">
        <v>1738</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45">
      <c r="A31" t="s">
        <v>1190</v>
      </c>
      <c r="B31" t="s">
        <v>1385</v>
      </c>
      <c r="C31" t="s">
        <v>1737</v>
      </c>
      <c r="D31" t="s">
        <v>1738</v>
      </c>
    </row>
    <row r="32" spans="1:64" x14ac:dyDescent="0.45">
      <c r="A32" t="s">
        <v>1386</v>
      </c>
      <c r="B32" t="s">
        <v>1387</v>
      </c>
      <c r="C32" t="s">
        <v>1737</v>
      </c>
      <c r="D32" t="s">
        <v>1738</v>
      </c>
    </row>
    <row r="33" spans="1:64" x14ac:dyDescent="0.45">
      <c r="A33" t="s">
        <v>1388</v>
      </c>
      <c r="B33" t="s">
        <v>1389</v>
      </c>
      <c r="C33" t="s">
        <v>1737</v>
      </c>
      <c r="D33" t="s">
        <v>1738</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45">
      <c r="A34" t="s">
        <v>1201</v>
      </c>
      <c r="B34" t="s">
        <v>1390</v>
      </c>
      <c r="C34" t="s">
        <v>1737</v>
      </c>
      <c r="D34" t="s">
        <v>1738</v>
      </c>
    </row>
    <row r="35" spans="1:64" x14ac:dyDescent="0.45">
      <c r="A35" t="s">
        <v>1175</v>
      </c>
      <c r="B35" t="s">
        <v>1391</v>
      </c>
      <c r="C35" t="s">
        <v>1737</v>
      </c>
      <c r="D35" t="s">
        <v>1738</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45">
      <c r="A36" t="s">
        <v>1159</v>
      </c>
      <c r="B36" t="s">
        <v>1392</v>
      </c>
      <c r="C36" t="s">
        <v>1737</v>
      </c>
      <c r="D36" t="s">
        <v>1738</v>
      </c>
    </row>
    <row r="37" spans="1:64" x14ac:dyDescent="0.45">
      <c r="A37" t="s">
        <v>1141</v>
      </c>
      <c r="B37" t="s">
        <v>1393</v>
      </c>
      <c r="C37" t="s">
        <v>1737</v>
      </c>
      <c r="D37" t="s">
        <v>1738</v>
      </c>
    </row>
    <row r="38" spans="1:64" x14ac:dyDescent="0.45">
      <c r="A38" t="s">
        <v>580</v>
      </c>
      <c r="B38" t="s">
        <v>1394</v>
      </c>
      <c r="C38" t="s">
        <v>1737</v>
      </c>
      <c r="D38" t="s">
        <v>1738</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45">
      <c r="A39" t="s">
        <v>584</v>
      </c>
      <c r="B39" t="s">
        <v>1395</v>
      </c>
      <c r="C39" t="s">
        <v>1737</v>
      </c>
      <c r="D39" t="s">
        <v>1738</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45">
      <c r="A40" t="s">
        <v>1278</v>
      </c>
      <c r="B40" t="s">
        <v>1396</v>
      </c>
      <c r="C40" t="s">
        <v>1737</v>
      </c>
      <c r="D40" t="s">
        <v>1738</v>
      </c>
    </row>
    <row r="41" spans="1:64" x14ac:dyDescent="0.45">
      <c r="A41" t="s">
        <v>1397</v>
      </c>
      <c r="B41" t="s">
        <v>1398</v>
      </c>
      <c r="C41" t="s">
        <v>1737</v>
      </c>
      <c r="D41" t="s">
        <v>1738</v>
      </c>
    </row>
    <row r="42" spans="1:64" x14ac:dyDescent="0.45">
      <c r="A42" t="s">
        <v>1276</v>
      </c>
      <c r="B42" t="s">
        <v>1399</v>
      </c>
      <c r="C42" t="s">
        <v>1737</v>
      </c>
      <c r="D42" t="s">
        <v>1738</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45">
      <c r="A43" t="s">
        <v>1245</v>
      </c>
      <c r="B43" t="s">
        <v>1400</v>
      </c>
      <c r="C43" t="s">
        <v>1737</v>
      </c>
      <c r="D43" t="s">
        <v>1738</v>
      </c>
    </row>
    <row r="44" spans="1:64" x14ac:dyDescent="0.45">
      <c r="A44" t="s">
        <v>1202</v>
      </c>
      <c r="B44" t="s">
        <v>1401</v>
      </c>
      <c r="C44" t="s">
        <v>1737</v>
      </c>
      <c r="D44" t="s">
        <v>1738</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45">
      <c r="A45" t="s">
        <v>1150</v>
      </c>
      <c r="B45" t="s">
        <v>1402</v>
      </c>
      <c r="C45" t="s">
        <v>1737</v>
      </c>
      <c r="D45" t="s">
        <v>1738</v>
      </c>
    </row>
    <row r="46" spans="1:64" x14ac:dyDescent="0.45">
      <c r="A46" t="s">
        <v>1403</v>
      </c>
      <c r="B46" t="s">
        <v>1404</v>
      </c>
      <c r="C46" t="s">
        <v>1737</v>
      </c>
      <c r="D46" t="s">
        <v>1738</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45">
      <c r="A47" t="s">
        <v>1079</v>
      </c>
      <c r="B47" t="s">
        <v>1405</v>
      </c>
      <c r="C47" t="s">
        <v>1737</v>
      </c>
      <c r="D47" t="s">
        <v>1738</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45">
      <c r="A48" t="s">
        <v>1406</v>
      </c>
      <c r="B48" t="s">
        <v>1407</v>
      </c>
      <c r="C48" t="s">
        <v>1737</v>
      </c>
      <c r="D48" t="s">
        <v>1738</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45">
      <c r="A49" t="s">
        <v>1408</v>
      </c>
      <c r="B49" t="s">
        <v>1409</v>
      </c>
      <c r="C49" t="s">
        <v>1737</v>
      </c>
      <c r="D49" t="s">
        <v>1738</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45">
      <c r="A50" t="s">
        <v>1203</v>
      </c>
      <c r="B50" t="s">
        <v>1410</v>
      </c>
      <c r="C50" t="s">
        <v>1737</v>
      </c>
      <c r="D50" t="s">
        <v>1738</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45">
      <c r="A51" t="s">
        <v>1067</v>
      </c>
      <c r="B51" t="s">
        <v>1411</v>
      </c>
      <c r="C51" t="s">
        <v>1737</v>
      </c>
      <c r="D51" t="s">
        <v>1738</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45">
      <c r="A52" t="s">
        <v>1090</v>
      </c>
      <c r="B52" t="s">
        <v>1412</v>
      </c>
      <c r="C52" t="s">
        <v>1737</v>
      </c>
      <c r="D52" t="s">
        <v>1738</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45">
      <c r="A53" t="s">
        <v>1191</v>
      </c>
      <c r="B53" t="s">
        <v>1413</v>
      </c>
      <c r="C53" t="s">
        <v>1737</v>
      </c>
      <c r="D53" t="s">
        <v>1738</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45">
      <c r="A54" t="s">
        <v>1414</v>
      </c>
      <c r="B54" t="s">
        <v>1415</v>
      </c>
      <c r="C54" t="s">
        <v>1737</v>
      </c>
      <c r="D54" t="s">
        <v>1738</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45">
      <c r="A55" t="s">
        <v>1176</v>
      </c>
      <c r="B55" t="s">
        <v>1416</v>
      </c>
      <c r="C55" t="s">
        <v>1737</v>
      </c>
      <c r="D55" t="s">
        <v>1738</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45">
      <c r="A56" t="s">
        <v>1417</v>
      </c>
      <c r="B56" t="s">
        <v>1418</v>
      </c>
      <c r="C56" t="s">
        <v>1737</v>
      </c>
      <c r="D56" t="s">
        <v>1738</v>
      </c>
    </row>
    <row r="57" spans="1:64" x14ac:dyDescent="0.45">
      <c r="A57" t="s">
        <v>1419</v>
      </c>
      <c r="B57" t="s">
        <v>1420</v>
      </c>
      <c r="C57" t="s">
        <v>1737</v>
      </c>
      <c r="D57" t="s">
        <v>1738</v>
      </c>
    </row>
    <row r="58" spans="1:64" x14ac:dyDescent="0.45">
      <c r="A58" t="s">
        <v>1116</v>
      </c>
      <c r="B58" t="s">
        <v>1421</v>
      </c>
      <c r="C58" t="s">
        <v>1737</v>
      </c>
      <c r="D58" t="s">
        <v>1738</v>
      </c>
    </row>
    <row r="59" spans="1:64" x14ac:dyDescent="0.45">
      <c r="A59" t="s">
        <v>1422</v>
      </c>
      <c r="B59" t="s">
        <v>1423</v>
      </c>
      <c r="C59" t="s">
        <v>1737</v>
      </c>
      <c r="D59" t="s">
        <v>1738</v>
      </c>
    </row>
    <row r="60" spans="1:64" x14ac:dyDescent="0.45">
      <c r="A60" t="s">
        <v>1273</v>
      </c>
      <c r="B60" t="s">
        <v>1424</v>
      </c>
      <c r="C60" t="s">
        <v>1737</v>
      </c>
      <c r="D60" t="s">
        <v>1738</v>
      </c>
    </row>
    <row r="61" spans="1:64" x14ac:dyDescent="0.45">
      <c r="A61" t="s">
        <v>1068</v>
      </c>
      <c r="B61" t="s">
        <v>1425</v>
      </c>
      <c r="C61" t="s">
        <v>1737</v>
      </c>
      <c r="D61" t="s">
        <v>1738</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45">
      <c r="A62" t="s">
        <v>1426</v>
      </c>
      <c r="B62" t="s">
        <v>1427</v>
      </c>
      <c r="C62" t="s">
        <v>1737</v>
      </c>
      <c r="D62" t="s">
        <v>1738</v>
      </c>
    </row>
    <row r="63" spans="1:64" x14ac:dyDescent="0.45">
      <c r="A63" t="s">
        <v>1246</v>
      </c>
      <c r="B63" t="s">
        <v>1428</v>
      </c>
      <c r="C63" t="s">
        <v>1737</v>
      </c>
      <c r="D63" t="s">
        <v>1738</v>
      </c>
    </row>
    <row r="64" spans="1:64" x14ac:dyDescent="0.45">
      <c r="A64" t="s">
        <v>1178</v>
      </c>
      <c r="B64" t="s">
        <v>1429</v>
      </c>
      <c r="C64" t="s">
        <v>1737</v>
      </c>
      <c r="D64" t="s">
        <v>1738</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45">
      <c r="A65" t="s">
        <v>1105</v>
      </c>
      <c r="B65" t="s">
        <v>1430</v>
      </c>
      <c r="C65" t="s">
        <v>1737</v>
      </c>
      <c r="D65" t="s">
        <v>1738</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45">
      <c r="A66" t="s">
        <v>1431</v>
      </c>
      <c r="B66" t="s">
        <v>1432</v>
      </c>
      <c r="C66" t="s">
        <v>1737</v>
      </c>
      <c r="D66" t="s">
        <v>1738</v>
      </c>
    </row>
    <row r="67" spans="1:64" x14ac:dyDescent="0.45">
      <c r="A67" t="s">
        <v>1433</v>
      </c>
      <c r="B67" t="s">
        <v>1434</v>
      </c>
      <c r="C67" t="s">
        <v>1737</v>
      </c>
      <c r="D67" t="s">
        <v>1738</v>
      </c>
    </row>
    <row r="68" spans="1:64" x14ac:dyDescent="0.45">
      <c r="A68" t="s">
        <v>1435</v>
      </c>
      <c r="B68" t="s">
        <v>1436</v>
      </c>
      <c r="C68" t="s">
        <v>1737</v>
      </c>
      <c r="D68" t="s">
        <v>1738</v>
      </c>
    </row>
    <row r="69" spans="1:64" x14ac:dyDescent="0.45">
      <c r="A69" t="s">
        <v>1437</v>
      </c>
      <c r="B69" t="s">
        <v>1438</v>
      </c>
      <c r="C69" t="s">
        <v>1737</v>
      </c>
      <c r="D69" t="s">
        <v>1738</v>
      </c>
    </row>
    <row r="70" spans="1:64" x14ac:dyDescent="0.45">
      <c r="A70" t="s">
        <v>1439</v>
      </c>
      <c r="B70" t="s">
        <v>1440</v>
      </c>
      <c r="C70" t="s">
        <v>1737</v>
      </c>
      <c r="D70" t="s">
        <v>1738</v>
      </c>
    </row>
    <row r="71" spans="1:64" x14ac:dyDescent="0.45">
      <c r="A71" t="s">
        <v>1204</v>
      </c>
      <c r="B71" t="s">
        <v>1441</v>
      </c>
      <c r="C71" t="s">
        <v>1737</v>
      </c>
      <c r="D71" t="s">
        <v>1738</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45">
      <c r="A72" t="s">
        <v>1442</v>
      </c>
      <c r="B72" t="s">
        <v>1443</v>
      </c>
      <c r="C72" t="s">
        <v>1737</v>
      </c>
      <c r="D72" t="s">
        <v>1738</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45">
      <c r="A73" t="s">
        <v>1444</v>
      </c>
      <c r="B73" t="s">
        <v>1445</v>
      </c>
      <c r="C73" t="s">
        <v>1737</v>
      </c>
      <c r="D73" t="s">
        <v>1738</v>
      </c>
    </row>
    <row r="74" spans="1:64" x14ac:dyDescent="0.45">
      <c r="A74" t="s">
        <v>592</v>
      </c>
      <c r="B74" t="s">
        <v>1446</v>
      </c>
      <c r="C74" t="s">
        <v>1737</v>
      </c>
      <c r="D74" t="s">
        <v>1738</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45">
      <c r="A75" t="s">
        <v>1268</v>
      </c>
      <c r="B75" t="s">
        <v>1447</v>
      </c>
      <c r="C75" t="s">
        <v>1737</v>
      </c>
      <c r="D75" t="s">
        <v>1738</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45">
      <c r="A76" t="s">
        <v>1247</v>
      </c>
      <c r="B76" t="s">
        <v>1448</v>
      </c>
      <c r="C76" t="s">
        <v>1737</v>
      </c>
      <c r="D76" t="s">
        <v>1738</v>
      </c>
    </row>
    <row r="77" spans="1:64" x14ac:dyDescent="0.45">
      <c r="A77" t="s">
        <v>594</v>
      </c>
      <c r="B77" t="s">
        <v>926</v>
      </c>
      <c r="C77" t="s">
        <v>1737</v>
      </c>
      <c r="D77" t="s">
        <v>1738</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45">
      <c r="A78" t="s">
        <v>1449</v>
      </c>
      <c r="B78" t="s">
        <v>1450</v>
      </c>
      <c r="C78" t="s">
        <v>1737</v>
      </c>
      <c r="D78" t="s">
        <v>1738</v>
      </c>
    </row>
    <row r="79" spans="1:64" x14ac:dyDescent="0.45">
      <c r="A79" t="s">
        <v>1451</v>
      </c>
      <c r="B79" t="s">
        <v>1452</v>
      </c>
      <c r="C79" t="s">
        <v>1737</v>
      </c>
      <c r="D79" t="s">
        <v>1738</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45">
      <c r="A80" t="s">
        <v>1248</v>
      </c>
      <c r="B80" t="s">
        <v>1453</v>
      </c>
      <c r="C80" t="s">
        <v>1737</v>
      </c>
      <c r="D80" t="s">
        <v>1738</v>
      </c>
    </row>
    <row r="81" spans="1:64" x14ac:dyDescent="0.45">
      <c r="A81" t="s">
        <v>1217</v>
      </c>
      <c r="B81" t="s">
        <v>1454</v>
      </c>
      <c r="C81" t="s">
        <v>1737</v>
      </c>
      <c r="D81" t="s">
        <v>1738</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45">
      <c r="A82" t="s">
        <v>1272</v>
      </c>
      <c r="B82" t="s">
        <v>1455</v>
      </c>
      <c r="C82" t="s">
        <v>1737</v>
      </c>
      <c r="D82" t="s">
        <v>1738</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45">
      <c r="A83" t="s">
        <v>1456</v>
      </c>
      <c r="B83" t="s">
        <v>1457</v>
      </c>
      <c r="C83" t="s">
        <v>1737</v>
      </c>
      <c r="D83" t="s">
        <v>1738</v>
      </c>
    </row>
    <row r="84" spans="1:64" x14ac:dyDescent="0.45">
      <c r="A84" t="s">
        <v>1458</v>
      </c>
      <c r="B84" t="s">
        <v>1459</v>
      </c>
      <c r="C84" t="s">
        <v>1737</v>
      </c>
      <c r="D84" t="s">
        <v>1738</v>
      </c>
    </row>
    <row r="85" spans="1:64" x14ac:dyDescent="0.45">
      <c r="A85" t="s">
        <v>1083</v>
      </c>
      <c r="B85" t="s">
        <v>1460</v>
      </c>
      <c r="C85" t="s">
        <v>1737</v>
      </c>
      <c r="D85" t="s">
        <v>1738</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45">
      <c r="A86" t="s">
        <v>1255</v>
      </c>
      <c r="B86" t="s">
        <v>1461</v>
      </c>
      <c r="C86" t="s">
        <v>1737</v>
      </c>
      <c r="D86" t="s">
        <v>1738</v>
      </c>
    </row>
    <row r="87" spans="1:64" x14ac:dyDescent="0.45">
      <c r="A87" t="s">
        <v>1117</v>
      </c>
      <c r="B87" t="s">
        <v>1462</v>
      </c>
      <c r="C87" t="s">
        <v>1737</v>
      </c>
      <c r="D87" t="s">
        <v>1738</v>
      </c>
    </row>
    <row r="88" spans="1:64" x14ac:dyDescent="0.45">
      <c r="A88" t="s">
        <v>1092</v>
      </c>
      <c r="B88" t="s">
        <v>1463</v>
      </c>
      <c r="C88" t="s">
        <v>1737</v>
      </c>
      <c r="D88" t="s">
        <v>1738</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45">
      <c r="A89" t="s">
        <v>1464</v>
      </c>
      <c r="B89" t="s">
        <v>1465</v>
      </c>
      <c r="C89" t="s">
        <v>1737</v>
      </c>
      <c r="D89" t="s">
        <v>1738</v>
      </c>
    </row>
    <row r="90" spans="1:64" x14ac:dyDescent="0.45">
      <c r="A90" t="s">
        <v>1093</v>
      </c>
      <c r="B90" t="s">
        <v>1466</v>
      </c>
      <c r="C90" t="s">
        <v>1737</v>
      </c>
      <c r="D90" t="s">
        <v>1738</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45">
      <c r="A91" t="s">
        <v>1467</v>
      </c>
      <c r="B91" t="s">
        <v>1468</v>
      </c>
      <c r="C91" t="s">
        <v>1737</v>
      </c>
      <c r="D91" t="s">
        <v>1738</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45">
      <c r="A92" t="s">
        <v>1094</v>
      </c>
      <c r="B92" t="s">
        <v>1469</v>
      </c>
      <c r="C92" t="s">
        <v>1737</v>
      </c>
      <c r="D92" t="s">
        <v>1738</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45">
      <c r="A93" t="s">
        <v>1082</v>
      </c>
      <c r="B93" t="s">
        <v>1470</v>
      </c>
      <c r="C93" t="s">
        <v>1737</v>
      </c>
      <c r="D93" t="s">
        <v>1738</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45">
      <c r="A94" t="s">
        <v>1260</v>
      </c>
      <c r="B94" t="s">
        <v>1471</v>
      </c>
      <c r="C94" t="s">
        <v>1737</v>
      </c>
      <c r="D94" t="s">
        <v>1738</v>
      </c>
    </row>
    <row r="95" spans="1:64" x14ac:dyDescent="0.45">
      <c r="A95" t="s">
        <v>1179</v>
      </c>
      <c r="B95" t="s">
        <v>1472</v>
      </c>
      <c r="C95" t="s">
        <v>1737</v>
      </c>
      <c r="D95" t="s">
        <v>1738</v>
      </c>
    </row>
    <row r="96" spans="1:64" x14ac:dyDescent="0.45">
      <c r="A96" t="s">
        <v>1473</v>
      </c>
      <c r="B96" t="s">
        <v>1474</v>
      </c>
      <c r="C96" t="s">
        <v>1737</v>
      </c>
      <c r="D96" t="s">
        <v>1738</v>
      </c>
    </row>
    <row r="97" spans="1:64" x14ac:dyDescent="0.45">
      <c r="A97" t="s">
        <v>1193</v>
      </c>
      <c r="B97" t="s">
        <v>1475</v>
      </c>
      <c r="C97" t="s">
        <v>1737</v>
      </c>
      <c r="D97" t="s">
        <v>1738</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45">
      <c r="A98" t="s">
        <v>1223</v>
      </c>
      <c r="B98" t="s">
        <v>1476</v>
      </c>
      <c r="C98" t="s">
        <v>1737</v>
      </c>
      <c r="D98" t="s">
        <v>1738</v>
      </c>
    </row>
    <row r="99" spans="1:64" x14ac:dyDescent="0.45">
      <c r="A99" t="s">
        <v>1206</v>
      </c>
      <c r="B99" t="s">
        <v>1477</v>
      </c>
      <c r="C99" t="s">
        <v>1737</v>
      </c>
      <c r="D99" t="s">
        <v>1738</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45">
      <c r="A100" t="s">
        <v>1478</v>
      </c>
      <c r="B100" t="s">
        <v>1479</v>
      </c>
      <c r="C100" t="s">
        <v>1737</v>
      </c>
      <c r="D100" t="s">
        <v>1738</v>
      </c>
    </row>
    <row r="101" spans="1:64" x14ac:dyDescent="0.45">
      <c r="A101" t="s">
        <v>1480</v>
      </c>
      <c r="B101" t="s">
        <v>1481</v>
      </c>
      <c r="C101" t="s">
        <v>1737</v>
      </c>
      <c r="D101" t="s">
        <v>1738</v>
      </c>
    </row>
    <row r="102" spans="1:64" x14ac:dyDescent="0.45">
      <c r="A102" t="s">
        <v>1194</v>
      </c>
      <c r="B102" t="s">
        <v>1482</v>
      </c>
      <c r="C102" t="s">
        <v>1737</v>
      </c>
      <c r="D102" t="s">
        <v>1738</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45">
      <c r="A103" t="s">
        <v>1483</v>
      </c>
      <c r="B103" t="s">
        <v>1484</v>
      </c>
      <c r="C103" t="s">
        <v>1737</v>
      </c>
      <c r="D103" t="s">
        <v>1738</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45">
      <c r="A104" t="s">
        <v>1259</v>
      </c>
      <c r="B104" t="s">
        <v>1485</v>
      </c>
      <c r="C104" t="s">
        <v>1737</v>
      </c>
      <c r="D104" t="s">
        <v>1738</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45">
      <c r="A105" t="s">
        <v>1181</v>
      </c>
      <c r="B105" t="s">
        <v>1486</v>
      </c>
      <c r="C105" t="s">
        <v>1737</v>
      </c>
      <c r="D105" t="s">
        <v>1738</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45">
      <c r="A106" t="s">
        <v>1237</v>
      </c>
      <c r="B106" t="s">
        <v>1487</v>
      </c>
      <c r="C106" t="s">
        <v>1737</v>
      </c>
      <c r="D106" t="s">
        <v>1738</v>
      </c>
    </row>
    <row r="107" spans="1:64" x14ac:dyDescent="0.45">
      <c r="A107" t="s">
        <v>1488</v>
      </c>
      <c r="B107" t="s">
        <v>1489</v>
      </c>
      <c r="C107" t="s">
        <v>1737</v>
      </c>
      <c r="D107" t="s">
        <v>1738</v>
      </c>
    </row>
    <row r="108" spans="1:64" x14ac:dyDescent="0.45">
      <c r="A108" t="s">
        <v>1490</v>
      </c>
      <c r="B108" t="s">
        <v>1491</v>
      </c>
      <c r="C108" t="s">
        <v>1737</v>
      </c>
      <c r="D108" t="s">
        <v>1738</v>
      </c>
    </row>
    <row r="109" spans="1:64" x14ac:dyDescent="0.45">
      <c r="A109" t="s">
        <v>1492</v>
      </c>
      <c r="B109" t="s">
        <v>1493</v>
      </c>
      <c r="C109" t="s">
        <v>1737</v>
      </c>
      <c r="D109" t="s">
        <v>1738</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45">
      <c r="A110" t="s">
        <v>1494</v>
      </c>
      <c r="B110" t="s">
        <v>1495</v>
      </c>
      <c r="C110" t="s">
        <v>1737</v>
      </c>
      <c r="D110" t="s">
        <v>1738</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45">
      <c r="A111" t="s">
        <v>1161</v>
      </c>
      <c r="B111" t="s">
        <v>1496</v>
      </c>
      <c r="C111" t="s">
        <v>1737</v>
      </c>
      <c r="D111" t="s">
        <v>1738</v>
      </c>
    </row>
    <row r="112" spans="1:64" x14ac:dyDescent="0.45">
      <c r="A112" t="s">
        <v>1497</v>
      </c>
      <c r="B112" t="s">
        <v>1498</v>
      </c>
      <c r="C112" t="s">
        <v>1737</v>
      </c>
      <c r="D112" t="s">
        <v>1738</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45">
      <c r="A113" t="s">
        <v>1499</v>
      </c>
      <c r="B113" t="s">
        <v>1500</v>
      </c>
      <c r="C113" t="s">
        <v>1737</v>
      </c>
      <c r="D113" t="s">
        <v>1738</v>
      </c>
    </row>
    <row r="114" spans="1:64" x14ac:dyDescent="0.45">
      <c r="A114" t="s">
        <v>1142</v>
      </c>
      <c r="B114" t="s">
        <v>1501</v>
      </c>
      <c r="C114" t="s">
        <v>1737</v>
      </c>
      <c r="D114" t="s">
        <v>1738</v>
      </c>
    </row>
    <row r="115" spans="1:64" x14ac:dyDescent="0.45">
      <c r="A115" t="s">
        <v>1502</v>
      </c>
      <c r="B115" t="s">
        <v>1503</v>
      </c>
      <c r="C115" t="s">
        <v>1737</v>
      </c>
      <c r="D115" t="s">
        <v>1738</v>
      </c>
    </row>
    <row r="116" spans="1:64" x14ac:dyDescent="0.45">
      <c r="A116" t="s">
        <v>1250</v>
      </c>
      <c r="B116" t="s">
        <v>1504</v>
      </c>
      <c r="C116" t="s">
        <v>1737</v>
      </c>
      <c r="D116" t="s">
        <v>1738</v>
      </c>
    </row>
    <row r="117" spans="1:64" x14ac:dyDescent="0.45">
      <c r="A117" t="s">
        <v>1505</v>
      </c>
      <c r="B117" t="s">
        <v>1506</v>
      </c>
      <c r="C117" t="s">
        <v>1737</v>
      </c>
      <c r="D117" t="s">
        <v>1738</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45">
      <c r="A118" t="s">
        <v>1118</v>
      </c>
      <c r="B118" t="s">
        <v>1507</v>
      </c>
      <c r="C118" t="s">
        <v>1737</v>
      </c>
      <c r="D118" t="s">
        <v>1738</v>
      </c>
    </row>
    <row r="119" spans="1:64" x14ac:dyDescent="0.45">
      <c r="A119" t="s">
        <v>1249</v>
      </c>
      <c r="B119" t="s">
        <v>1508</v>
      </c>
      <c r="C119" t="s">
        <v>1737</v>
      </c>
      <c r="D119" t="s">
        <v>1738</v>
      </c>
    </row>
    <row r="120" spans="1:64" x14ac:dyDescent="0.45">
      <c r="A120" t="s">
        <v>1119</v>
      </c>
      <c r="B120" t="s">
        <v>1509</v>
      </c>
      <c r="C120" t="s">
        <v>1737</v>
      </c>
      <c r="D120" t="s">
        <v>1738</v>
      </c>
    </row>
    <row r="121" spans="1:64" x14ac:dyDescent="0.45">
      <c r="A121" t="s">
        <v>1261</v>
      </c>
      <c r="B121" t="s">
        <v>1510</v>
      </c>
      <c r="C121" t="s">
        <v>1737</v>
      </c>
      <c r="D121" t="s">
        <v>1738</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45">
      <c r="A122" t="s">
        <v>1182</v>
      </c>
      <c r="B122" t="s">
        <v>1511</v>
      </c>
      <c r="C122" t="s">
        <v>1737</v>
      </c>
      <c r="D122" t="s">
        <v>1738</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45">
      <c r="A123" t="s">
        <v>1120</v>
      </c>
      <c r="B123" t="s">
        <v>1512</v>
      </c>
      <c r="C123" t="s">
        <v>1737</v>
      </c>
      <c r="D123" t="s">
        <v>1738</v>
      </c>
    </row>
    <row r="124" spans="1:64" x14ac:dyDescent="0.45">
      <c r="A124" t="s">
        <v>1155</v>
      </c>
      <c r="B124" t="s">
        <v>1513</v>
      </c>
      <c r="C124" t="s">
        <v>1737</v>
      </c>
      <c r="D124" t="s">
        <v>1738</v>
      </c>
    </row>
    <row r="125" spans="1:64" x14ac:dyDescent="0.45">
      <c r="A125" t="s">
        <v>1133</v>
      </c>
      <c r="B125" t="s">
        <v>1514</v>
      </c>
      <c r="C125" t="s">
        <v>1737</v>
      </c>
      <c r="D125" t="s">
        <v>1738</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45">
      <c r="A126" t="s">
        <v>1069</v>
      </c>
      <c r="B126" t="s">
        <v>1515</v>
      </c>
      <c r="C126" t="s">
        <v>1737</v>
      </c>
      <c r="D126" t="s">
        <v>1738</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45">
      <c r="A127" t="s">
        <v>1516</v>
      </c>
      <c r="B127" t="s">
        <v>1517</v>
      </c>
      <c r="C127" t="s">
        <v>1737</v>
      </c>
      <c r="D127" t="s">
        <v>1738</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45">
      <c r="A128" t="s">
        <v>1160</v>
      </c>
      <c r="B128" t="s">
        <v>1518</v>
      </c>
      <c r="C128" t="s">
        <v>1737</v>
      </c>
      <c r="D128" t="s">
        <v>1738</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45">
      <c r="A129" t="s">
        <v>1224</v>
      </c>
      <c r="B129" t="s">
        <v>1519</v>
      </c>
      <c r="C129" t="s">
        <v>1737</v>
      </c>
      <c r="D129" t="s">
        <v>1738</v>
      </c>
    </row>
    <row r="130" spans="1:64" x14ac:dyDescent="0.45">
      <c r="A130" t="s">
        <v>1520</v>
      </c>
      <c r="B130" t="s">
        <v>1521</v>
      </c>
      <c r="C130" t="s">
        <v>1737</v>
      </c>
      <c r="D130" t="s">
        <v>1738</v>
      </c>
    </row>
    <row r="131" spans="1:64" x14ac:dyDescent="0.45">
      <c r="A131" t="s">
        <v>1522</v>
      </c>
      <c r="B131" t="s">
        <v>1523</v>
      </c>
      <c r="C131" t="s">
        <v>1737</v>
      </c>
      <c r="D131" t="s">
        <v>1738</v>
      </c>
    </row>
    <row r="132" spans="1:64" x14ac:dyDescent="0.45">
      <c r="A132" t="s">
        <v>1121</v>
      </c>
      <c r="B132" t="s">
        <v>1524</v>
      </c>
      <c r="C132" t="s">
        <v>1737</v>
      </c>
      <c r="D132" t="s">
        <v>1738</v>
      </c>
    </row>
    <row r="133" spans="1:64" x14ac:dyDescent="0.45">
      <c r="A133" t="s">
        <v>1525</v>
      </c>
      <c r="B133" t="s">
        <v>1526</v>
      </c>
      <c r="C133" t="s">
        <v>1737</v>
      </c>
      <c r="D133" t="s">
        <v>1738</v>
      </c>
    </row>
    <row r="134" spans="1:64" x14ac:dyDescent="0.45">
      <c r="A134" t="s">
        <v>1527</v>
      </c>
      <c r="B134" t="s">
        <v>1528</v>
      </c>
      <c r="C134" t="s">
        <v>1737</v>
      </c>
      <c r="D134" t="s">
        <v>1738</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45">
      <c r="A135" t="s">
        <v>1122</v>
      </c>
      <c r="B135" t="s">
        <v>1529</v>
      </c>
      <c r="C135" t="s">
        <v>1737</v>
      </c>
      <c r="D135" t="s">
        <v>1738</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45">
      <c r="A136" t="s">
        <v>1095</v>
      </c>
      <c r="B136" t="s">
        <v>1530</v>
      </c>
      <c r="C136" t="s">
        <v>1737</v>
      </c>
      <c r="D136" t="s">
        <v>1738</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45">
      <c r="A137" t="s">
        <v>1107</v>
      </c>
      <c r="B137" t="s">
        <v>1531</v>
      </c>
      <c r="C137" t="s">
        <v>1737</v>
      </c>
      <c r="D137" t="s">
        <v>1738</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45">
      <c r="A138" t="s">
        <v>1532</v>
      </c>
      <c r="B138" t="s">
        <v>1533</v>
      </c>
      <c r="C138" t="s">
        <v>1737</v>
      </c>
      <c r="D138" t="s">
        <v>1738</v>
      </c>
    </row>
    <row r="139" spans="1:64" x14ac:dyDescent="0.45">
      <c r="A139" t="s">
        <v>1534</v>
      </c>
      <c r="B139" t="s">
        <v>1535</v>
      </c>
      <c r="C139" t="s">
        <v>1737</v>
      </c>
      <c r="D139" t="s">
        <v>1738</v>
      </c>
    </row>
    <row r="140" spans="1:64" x14ac:dyDescent="0.45">
      <c r="A140" t="s">
        <v>1536</v>
      </c>
      <c r="B140" t="s">
        <v>1537</v>
      </c>
      <c r="C140" t="s">
        <v>1737</v>
      </c>
      <c r="D140" t="s">
        <v>1738</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45">
      <c r="A141" t="s">
        <v>1538</v>
      </c>
      <c r="B141" t="s">
        <v>1539</v>
      </c>
      <c r="C141" t="s">
        <v>1737</v>
      </c>
      <c r="D141" t="s">
        <v>1738</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45">
      <c r="A142" t="s">
        <v>1540</v>
      </c>
      <c r="B142" t="s">
        <v>1541</v>
      </c>
      <c r="C142" t="s">
        <v>1737</v>
      </c>
      <c r="D142" t="s">
        <v>1738</v>
      </c>
    </row>
    <row r="143" spans="1:64" x14ac:dyDescent="0.45">
      <c r="A143" t="s">
        <v>1147</v>
      </c>
      <c r="B143" t="s">
        <v>1542</v>
      </c>
      <c r="C143" t="s">
        <v>1737</v>
      </c>
      <c r="D143" t="s">
        <v>1738</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45">
      <c r="A144" t="s">
        <v>1543</v>
      </c>
      <c r="B144" t="s">
        <v>1544</v>
      </c>
      <c r="C144" t="s">
        <v>1737</v>
      </c>
      <c r="D144" t="s">
        <v>1738</v>
      </c>
    </row>
    <row r="145" spans="1:64" x14ac:dyDescent="0.45">
      <c r="A145" t="s">
        <v>1545</v>
      </c>
      <c r="B145" t="s">
        <v>1546</v>
      </c>
      <c r="C145" t="s">
        <v>1737</v>
      </c>
      <c r="D145" t="s">
        <v>1738</v>
      </c>
    </row>
    <row r="146" spans="1:64" x14ac:dyDescent="0.45">
      <c r="A146" t="s">
        <v>1086</v>
      </c>
      <c r="B146" t="s">
        <v>1547</v>
      </c>
      <c r="C146" t="s">
        <v>1737</v>
      </c>
      <c r="D146" t="s">
        <v>1738</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45">
      <c r="A147" t="s">
        <v>1548</v>
      </c>
      <c r="B147" t="s">
        <v>1549</v>
      </c>
      <c r="C147" t="s">
        <v>1737</v>
      </c>
      <c r="D147" t="s">
        <v>1738</v>
      </c>
    </row>
    <row r="148" spans="1:64" x14ac:dyDescent="0.45">
      <c r="A148" t="s">
        <v>1252</v>
      </c>
      <c r="B148" t="s">
        <v>1550</v>
      </c>
      <c r="C148" t="s">
        <v>1737</v>
      </c>
      <c r="D148" t="s">
        <v>1738</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45">
      <c r="A149" t="s">
        <v>1274</v>
      </c>
      <c r="B149" t="s">
        <v>1551</v>
      </c>
      <c r="C149" t="s">
        <v>1737</v>
      </c>
      <c r="D149" t="s">
        <v>1738</v>
      </c>
    </row>
    <row r="150" spans="1:64" x14ac:dyDescent="0.45">
      <c r="A150" t="s">
        <v>1251</v>
      </c>
      <c r="B150" t="s">
        <v>1552</v>
      </c>
      <c r="C150" t="s">
        <v>1737</v>
      </c>
      <c r="D150" t="s">
        <v>1738</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45">
      <c r="A151" t="s">
        <v>1553</v>
      </c>
      <c r="B151" t="s">
        <v>1554</v>
      </c>
      <c r="C151" t="s">
        <v>1737</v>
      </c>
      <c r="D151" t="s">
        <v>1738</v>
      </c>
    </row>
    <row r="152" spans="1:64" x14ac:dyDescent="0.45">
      <c r="A152" t="s">
        <v>1555</v>
      </c>
      <c r="B152" t="s">
        <v>1556</v>
      </c>
      <c r="C152" t="s">
        <v>1737</v>
      </c>
      <c r="D152" t="s">
        <v>1738</v>
      </c>
    </row>
    <row r="153" spans="1:64" x14ac:dyDescent="0.45">
      <c r="A153" t="s">
        <v>1108</v>
      </c>
      <c r="B153" t="s">
        <v>1557</v>
      </c>
      <c r="C153" t="s">
        <v>1737</v>
      </c>
      <c r="D153" t="s">
        <v>1738</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45">
      <c r="A154" t="s">
        <v>1558</v>
      </c>
      <c r="B154" t="s">
        <v>1559</v>
      </c>
      <c r="C154" t="s">
        <v>1737</v>
      </c>
      <c r="D154" t="s">
        <v>1738</v>
      </c>
    </row>
    <row r="155" spans="1:64" x14ac:dyDescent="0.45">
      <c r="A155" t="s">
        <v>1560</v>
      </c>
      <c r="B155" t="s">
        <v>1561</v>
      </c>
      <c r="C155" t="s">
        <v>1737</v>
      </c>
      <c r="D155" t="s">
        <v>1738</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45">
      <c r="A156" t="s">
        <v>1070</v>
      </c>
      <c r="B156" t="s">
        <v>1562</v>
      </c>
      <c r="C156" t="s">
        <v>1737</v>
      </c>
      <c r="D156" t="s">
        <v>1738</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45">
      <c r="A157" t="s">
        <v>1144</v>
      </c>
      <c r="B157" t="s">
        <v>1563</v>
      </c>
      <c r="C157" t="s">
        <v>1737</v>
      </c>
      <c r="D157" t="s">
        <v>1738</v>
      </c>
    </row>
    <row r="158" spans="1:64" x14ac:dyDescent="0.45">
      <c r="A158" t="s">
        <v>1564</v>
      </c>
      <c r="B158" t="s">
        <v>1565</v>
      </c>
      <c r="C158" t="s">
        <v>1737</v>
      </c>
      <c r="D158" t="s">
        <v>1738</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45">
      <c r="A159" t="s">
        <v>1195</v>
      </c>
      <c r="B159" t="s">
        <v>1566</v>
      </c>
      <c r="C159" t="s">
        <v>1737</v>
      </c>
      <c r="D159" t="s">
        <v>1738</v>
      </c>
    </row>
    <row r="160" spans="1:64" x14ac:dyDescent="0.45">
      <c r="A160" t="s">
        <v>1567</v>
      </c>
      <c r="B160" t="s">
        <v>1568</v>
      </c>
      <c r="C160" t="s">
        <v>1737</v>
      </c>
      <c r="D160" t="s">
        <v>1738</v>
      </c>
    </row>
    <row r="161" spans="1:64" x14ac:dyDescent="0.45">
      <c r="A161" t="s">
        <v>1569</v>
      </c>
      <c r="B161" t="s">
        <v>1570</v>
      </c>
      <c r="C161" t="s">
        <v>1737</v>
      </c>
      <c r="D161" t="s">
        <v>1738</v>
      </c>
    </row>
    <row r="162" spans="1:64" x14ac:dyDescent="0.45">
      <c r="A162" t="s">
        <v>1264</v>
      </c>
      <c r="B162" t="s">
        <v>1571</v>
      </c>
      <c r="C162" t="s">
        <v>1737</v>
      </c>
      <c r="D162" t="s">
        <v>1738</v>
      </c>
    </row>
    <row r="163" spans="1:64" x14ac:dyDescent="0.45">
      <c r="A163" t="s">
        <v>1096</v>
      </c>
      <c r="B163" t="s">
        <v>1572</v>
      </c>
      <c r="C163" t="s">
        <v>1737</v>
      </c>
      <c r="D163" t="s">
        <v>1738</v>
      </c>
    </row>
    <row r="164" spans="1:64" x14ac:dyDescent="0.45">
      <c r="A164" t="s">
        <v>1262</v>
      </c>
      <c r="B164" t="s">
        <v>1573</v>
      </c>
      <c r="C164" t="s">
        <v>1737</v>
      </c>
      <c r="D164" t="s">
        <v>1738</v>
      </c>
    </row>
    <row r="165" spans="1:64" x14ac:dyDescent="0.45">
      <c r="A165" t="s">
        <v>1164</v>
      </c>
      <c r="B165" t="s">
        <v>1574</v>
      </c>
      <c r="C165" t="s">
        <v>1737</v>
      </c>
      <c r="D165" t="s">
        <v>1738</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45">
      <c r="A166" t="s">
        <v>1575</v>
      </c>
      <c r="B166" t="s">
        <v>1576</v>
      </c>
      <c r="C166" t="s">
        <v>1737</v>
      </c>
      <c r="D166" t="s">
        <v>1738</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45">
      <c r="A167" t="s">
        <v>1263</v>
      </c>
      <c r="B167" t="s">
        <v>1577</v>
      </c>
      <c r="C167" t="s">
        <v>1737</v>
      </c>
      <c r="D167" t="s">
        <v>1738</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45">
      <c r="A168" t="s">
        <v>1156</v>
      </c>
      <c r="B168" t="s">
        <v>1578</v>
      </c>
      <c r="C168" t="s">
        <v>1737</v>
      </c>
      <c r="D168" t="s">
        <v>1738</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45">
      <c r="A169" t="s">
        <v>1579</v>
      </c>
      <c r="B169" t="s">
        <v>1580</v>
      </c>
      <c r="C169" t="s">
        <v>1737</v>
      </c>
      <c r="D169" t="s">
        <v>1738</v>
      </c>
    </row>
    <row r="170" spans="1:64" x14ac:dyDescent="0.45">
      <c r="A170" t="s">
        <v>596</v>
      </c>
      <c r="B170" t="s">
        <v>1581</v>
      </c>
      <c r="C170" t="s">
        <v>1737</v>
      </c>
      <c r="D170" t="s">
        <v>1738</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45">
      <c r="A171" t="s">
        <v>1097</v>
      </c>
      <c r="B171" t="s">
        <v>1582</v>
      </c>
      <c r="C171" t="s">
        <v>1737</v>
      </c>
      <c r="D171" t="s">
        <v>1738</v>
      </c>
    </row>
    <row r="172" spans="1:64" x14ac:dyDescent="0.45">
      <c r="A172" t="s">
        <v>1071</v>
      </c>
      <c r="B172" t="s">
        <v>1583</v>
      </c>
      <c r="C172" t="s">
        <v>1737</v>
      </c>
      <c r="D172" t="s">
        <v>1738</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45">
      <c r="A173" t="s">
        <v>879</v>
      </c>
      <c r="B173" t="s">
        <v>1584</v>
      </c>
      <c r="C173" t="s">
        <v>1737</v>
      </c>
      <c r="D173" t="s">
        <v>1738</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45">
      <c r="A174" t="s">
        <v>1163</v>
      </c>
      <c r="B174" t="s">
        <v>1585</v>
      </c>
      <c r="C174" t="s">
        <v>1737</v>
      </c>
      <c r="D174" t="s">
        <v>1738</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45">
      <c r="A175" t="s">
        <v>1586</v>
      </c>
      <c r="B175" t="s">
        <v>1587</v>
      </c>
      <c r="C175" t="s">
        <v>1737</v>
      </c>
      <c r="D175" t="s">
        <v>1738</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45">
      <c r="A176" t="s">
        <v>598</v>
      </c>
      <c r="B176" t="s">
        <v>1588</v>
      </c>
      <c r="C176" t="s">
        <v>1737</v>
      </c>
      <c r="D176" t="s">
        <v>1738</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45">
      <c r="A177" t="s">
        <v>1218</v>
      </c>
      <c r="B177" t="s">
        <v>1589</v>
      </c>
      <c r="C177" t="s">
        <v>1737</v>
      </c>
      <c r="D177" t="s">
        <v>1738</v>
      </c>
    </row>
    <row r="178" spans="1:64" x14ac:dyDescent="0.45">
      <c r="A178" t="s">
        <v>1098</v>
      </c>
      <c r="B178" t="s">
        <v>1590</v>
      </c>
      <c r="C178" t="s">
        <v>1737</v>
      </c>
      <c r="D178" t="s">
        <v>1738</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45">
      <c r="A179" t="s">
        <v>1099</v>
      </c>
      <c r="B179" t="s">
        <v>1591</v>
      </c>
      <c r="C179" t="s">
        <v>1737</v>
      </c>
      <c r="D179" t="s">
        <v>1738</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45">
      <c r="A180" t="s">
        <v>1196</v>
      </c>
      <c r="B180" t="s">
        <v>1592</v>
      </c>
      <c r="C180" t="s">
        <v>1737</v>
      </c>
      <c r="D180" t="s">
        <v>1738</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45">
      <c r="A181" t="s">
        <v>1275</v>
      </c>
      <c r="B181" t="s">
        <v>1593</v>
      </c>
      <c r="C181" t="s">
        <v>1737</v>
      </c>
      <c r="D181" t="s">
        <v>1738</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45">
      <c r="A182" t="s">
        <v>1253</v>
      </c>
      <c r="B182" t="s">
        <v>1594</v>
      </c>
      <c r="C182" t="s">
        <v>1737</v>
      </c>
      <c r="D182" t="s">
        <v>1738</v>
      </c>
    </row>
    <row r="183" spans="1:64" x14ac:dyDescent="0.45">
      <c r="A183" t="s">
        <v>1145</v>
      </c>
      <c r="B183" t="s">
        <v>1595</v>
      </c>
      <c r="C183" t="s">
        <v>1737</v>
      </c>
      <c r="D183" t="s">
        <v>1738</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45">
      <c r="A184" t="s">
        <v>1596</v>
      </c>
      <c r="B184" t="s">
        <v>1597</v>
      </c>
      <c r="C184" t="s">
        <v>1737</v>
      </c>
      <c r="D184" t="s">
        <v>1738</v>
      </c>
    </row>
    <row r="185" spans="1:64" x14ac:dyDescent="0.45">
      <c r="A185" t="s">
        <v>1214</v>
      </c>
      <c r="B185" t="s">
        <v>1598</v>
      </c>
      <c r="C185" t="s">
        <v>1737</v>
      </c>
      <c r="D185" t="s">
        <v>1738</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45">
      <c r="A186" t="s">
        <v>1599</v>
      </c>
      <c r="B186" t="s">
        <v>1600</v>
      </c>
      <c r="C186" t="s">
        <v>1737</v>
      </c>
      <c r="D186" t="s">
        <v>1738</v>
      </c>
    </row>
    <row r="187" spans="1:64" x14ac:dyDescent="0.45">
      <c r="A187" t="s">
        <v>1123</v>
      </c>
      <c r="B187" t="s">
        <v>1601</v>
      </c>
      <c r="C187" t="s">
        <v>1737</v>
      </c>
      <c r="D187" t="s">
        <v>1738</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45">
      <c r="A188" t="s">
        <v>1602</v>
      </c>
      <c r="B188" t="s">
        <v>1603</v>
      </c>
      <c r="C188" t="s">
        <v>1737</v>
      </c>
      <c r="D188" t="s">
        <v>1738</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45">
      <c r="A189" t="s">
        <v>1146</v>
      </c>
      <c r="B189" t="s">
        <v>1604</v>
      </c>
      <c r="C189" t="s">
        <v>1737</v>
      </c>
      <c r="D189" t="s">
        <v>1738</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45">
      <c r="A190" t="s">
        <v>1197</v>
      </c>
      <c r="B190" t="s">
        <v>1605</v>
      </c>
      <c r="C190" t="s">
        <v>1737</v>
      </c>
      <c r="D190" t="s">
        <v>1738</v>
      </c>
    </row>
    <row r="191" spans="1:64" x14ac:dyDescent="0.45">
      <c r="A191" t="s">
        <v>1208</v>
      </c>
      <c r="B191" t="s">
        <v>1606</v>
      </c>
      <c r="C191" t="s">
        <v>1737</v>
      </c>
      <c r="D191" t="s">
        <v>1738</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45">
      <c r="A192" t="s">
        <v>1165</v>
      </c>
      <c r="B192" t="s">
        <v>1607</v>
      </c>
      <c r="C192" t="s">
        <v>1737</v>
      </c>
      <c r="D192" t="s">
        <v>1738</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45">
      <c r="A193" t="s">
        <v>1608</v>
      </c>
      <c r="B193" t="s">
        <v>1609</v>
      </c>
      <c r="C193" t="s">
        <v>1737</v>
      </c>
      <c r="D193" t="s">
        <v>1738</v>
      </c>
    </row>
    <row r="194" spans="1:64" x14ac:dyDescent="0.45">
      <c r="A194" t="s">
        <v>1219</v>
      </c>
      <c r="B194" t="s">
        <v>1610</v>
      </c>
      <c r="C194" t="s">
        <v>1737</v>
      </c>
      <c r="D194" t="s">
        <v>1738</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45">
      <c r="A195" t="s">
        <v>1238</v>
      </c>
      <c r="B195" t="s">
        <v>1611</v>
      </c>
      <c r="C195" t="s">
        <v>1737</v>
      </c>
      <c r="D195" t="s">
        <v>1738</v>
      </c>
    </row>
    <row r="196" spans="1:64" x14ac:dyDescent="0.45">
      <c r="A196" t="s">
        <v>1612</v>
      </c>
      <c r="B196" t="s">
        <v>1613</v>
      </c>
      <c r="C196" t="s">
        <v>1737</v>
      </c>
      <c r="D196" t="s">
        <v>1738</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45">
      <c r="A197" t="s">
        <v>1184</v>
      </c>
      <c r="B197" t="s">
        <v>1614</v>
      </c>
      <c r="C197" t="s">
        <v>1737</v>
      </c>
      <c r="D197" t="s">
        <v>1738</v>
      </c>
    </row>
    <row r="198" spans="1:64" x14ac:dyDescent="0.45">
      <c r="A198" t="s">
        <v>1615</v>
      </c>
      <c r="B198" t="s">
        <v>1616</v>
      </c>
      <c r="C198" t="s">
        <v>1737</v>
      </c>
      <c r="D198" t="s">
        <v>1738</v>
      </c>
    </row>
    <row r="199" spans="1:64" x14ac:dyDescent="0.45">
      <c r="A199" t="s">
        <v>1265</v>
      </c>
      <c r="B199" t="s">
        <v>1617</v>
      </c>
      <c r="C199" t="s">
        <v>1737</v>
      </c>
      <c r="D199" t="s">
        <v>1738</v>
      </c>
    </row>
    <row r="200" spans="1:64" x14ac:dyDescent="0.45">
      <c r="A200" t="s">
        <v>1207</v>
      </c>
      <c r="B200" t="s">
        <v>1618</v>
      </c>
      <c r="C200" t="s">
        <v>1737</v>
      </c>
      <c r="D200" t="s">
        <v>1738</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45">
      <c r="A201" t="s">
        <v>1619</v>
      </c>
      <c r="B201" t="s">
        <v>1620</v>
      </c>
      <c r="C201" t="s">
        <v>1737</v>
      </c>
      <c r="D201" t="s">
        <v>1738</v>
      </c>
    </row>
    <row r="202" spans="1:64" x14ac:dyDescent="0.45">
      <c r="A202" t="s">
        <v>1621</v>
      </c>
      <c r="B202" t="s">
        <v>1622</v>
      </c>
      <c r="C202" t="s">
        <v>1737</v>
      </c>
      <c r="D202" t="s">
        <v>1738</v>
      </c>
    </row>
    <row r="203" spans="1:64" x14ac:dyDescent="0.45">
      <c r="A203" t="s">
        <v>1623</v>
      </c>
      <c r="B203" t="s">
        <v>1624</v>
      </c>
      <c r="C203" t="s">
        <v>1737</v>
      </c>
      <c r="D203" t="s">
        <v>1738</v>
      </c>
    </row>
    <row r="204" spans="1:64" x14ac:dyDescent="0.45">
      <c r="A204" t="s">
        <v>1227</v>
      </c>
      <c r="B204" t="s">
        <v>1625</v>
      </c>
      <c r="C204" t="s">
        <v>1737</v>
      </c>
      <c r="D204" t="s">
        <v>1738</v>
      </c>
    </row>
    <row r="205" spans="1:64" x14ac:dyDescent="0.45">
      <c r="A205" t="s">
        <v>1124</v>
      </c>
      <c r="B205" t="s">
        <v>1626</v>
      </c>
      <c r="C205" t="s">
        <v>1737</v>
      </c>
      <c r="D205" t="s">
        <v>1738</v>
      </c>
    </row>
    <row r="206" spans="1:64" x14ac:dyDescent="0.45">
      <c r="A206" t="s">
        <v>1240</v>
      </c>
      <c r="B206" t="s">
        <v>1627</v>
      </c>
      <c r="C206" t="s">
        <v>1737</v>
      </c>
      <c r="D206" t="s">
        <v>1738</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45">
      <c r="A207" t="s">
        <v>1241</v>
      </c>
      <c r="B207" t="s">
        <v>1628</v>
      </c>
      <c r="C207" t="s">
        <v>1737</v>
      </c>
      <c r="D207" t="s">
        <v>1738</v>
      </c>
    </row>
    <row r="208" spans="1:64" x14ac:dyDescent="0.45">
      <c r="A208" t="s">
        <v>600</v>
      </c>
      <c r="B208" t="s">
        <v>1629</v>
      </c>
      <c r="C208" t="s">
        <v>1737</v>
      </c>
      <c r="D208" t="s">
        <v>1738</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45">
      <c r="A209" t="s">
        <v>1630</v>
      </c>
      <c r="B209" t="s">
        <v>1631</v>
      </c>
      <c r="C209" t="s">
        <v>1737</v>
      </c>
      <c r="D209" t="s">
        <v>1738</v>
      </c>
    </row>
    <row r="210" spans="1:64" x14ac:dyDescent="0.45">
      <c r="A210" t="s">
        <v>1125</v>
      </c>
      <c r="B210" t="s">
        <v>1632</v>
      </c>
      <c r="C210" t="s">
        <v>1737</v>
      </c>
      <c r="D210" t="s">
        <v>1738</v>
      </c>
    </row>
    <row r="211" spans="1:64" x14ac:dyDescent="0.45">
      <c r="A211" t="s">
        <v>1109</v>
      </c>
      <c r="B211" t="s">
        <v>1633</v>
      </c>
      <c r="C211" t="s">
        <v>1737</v>
      </c>
      <c r="D211" t="s">
        <v>1738</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45">
      <c r="A212" t="s">
        <v>1100</v>
      </c>
      <c r="B212" t="s">
        <v>1634</v>
      </c>
      <c r="C212" t="s">
        <v>1737</v>
      </c>
      <c r="D212" t="s">
        <v>1738</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45">
      <c r="A213" t="s">
        <v>1166</v>
      </c>
      <c r="B213" t="s">
        <v>1635</v>
      </c>
      <c r="C213" t="s">
        <v>1737</v>
      </c>
      <c r="D213" t="s">
        <v>1738</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45">
      <c r="A214" t="s">
        <v>1220</v>
      </c>
      <c r="B214" t="s">
        <v>1636</v>
      </c>
      <c r="C214" t="s">
        <v>1737</v>
      </c>
      <c r="D214" t="s">
        <v>1738</v>
      </c>
    </row>
    <row r="215" spans="1:64" x14ac:dyDescent="0.45">
      <c r="A215" t="s">
        <v>1101</v>
      </c>
      <c r="B215" t="s">
        <v>1637</v>
      </c>
      <c r="C215" t="s">
        <v>1737</v>
      </c>
      <c r="D215" t="s">
        <v>1738</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45">
      <c r="A216" t="s">
        <v>1192</v>
      </c>
      <c r="B216" t="s">
        <v>1638</v>
      </c>
      <c r="C216" t="s">
        <v>1737</v>
      </c>
      <c r="D216" t="s">
        <v>1738</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45">
      <c r="A217" t="s">
        <v>1639</v>
      </c>
      <c r="B217" t="s">
        <v>1640</v>
      </c>
      <c r="C217" t="s">
        <v>1737</v>
      </c>
      <c r="D217" t="s">
        <v>1738</v>
      </c>
    </row>
    <row r="218" spans="1:64" x14ac:dyDescent="0.45">
      <c r="A218" t="s">
        <v>1075</v>
      </c>
      <c r="B218" t="s">
        <v>1641</v>
      </c>
      <c r="C218" t="s">
        <v>1737</v>
      </c>
      <c r="D218" t="s">
        <v>1738</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45">
      <c r="A219" t="s">
        <v>1266</v>
      </c>
      <c r="B219" t="s">
        <v>1642</v>
      </c>
      <c r="C219" t="s">
        <v>1737</v>
      </c>
      <c r="D219" t="s">
        <v>1738</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45">
      <c r="A220" t="s">
        <v>1643</v>
      </c>
      <c r="B220" t="s">
        <v>1644</v>
      </c>
      <c r="C220" t="s">
        <v>1737</v>
      </c>
      <c r="D220" t="s">
        <v>1738</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45">
      <c r="A221" t="s">
        <v>1076</v>
      </c>
      <c r="B221" t="s">
        <v>1645</v>
      </c>
      <c r="C221" t="s">
        <v>1737</v>
      </c>
      <c r="D221" t="s">
        <v>1738</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45">
      <c r="A222" t="s">
        <v>1646</v>
      </c>
      <c r="B222" t="s">
        <v>1647</v>
      </c>
      <c r="C222" t="s">
        <v>1737</v>
      </c>
      <c r="D222" t="s">
        <v>1738</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45">
      <c r="A223" t="s">
        <v>1648</v>
      </c>
      <c r="B223" t="s">
        <v>1649</v>
      </c>
      <c r="C223" t="s">
        <v>1737</v>
      </c>
      <c r="D223" t="s">
        <v>1738</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45">
      <c r="A224" t="s">
        <v>1084</v>
      </c>
      <c r="B224" t="s">
        <v>1650</v>
      </c>
      <c r="C224" t="s">
        <v>1737</v>
      </c>
      <c r="D224" t="s">
        <v>1738</v>
      </c>
    </row>
    <row r="225" spans="1:64" x14ac:dyDescent="0.45">
      <c r="A225" t="s">
        <v>1209</v>
      </c>
      <c r="B225" t="s">
        <v>1651</v>
      </c>
      <c r="C225" t="s">
        <v>1737</v>
      </c>
      <c r="D225" t="s">
        <v>1738</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45">
      <c r="A226" t="s">
        <v>1652</v>
      </c>
      <c r="B226" t="s">
        <v>1653</v>
      </c>
      <c r="C226" t="s">
        <v>1737</v>
      </c>
      <c r="D226" t="s">
        <v>1738</v>
      </c>
    </row>
    <row r="227" spans="1:64" x14ac:dyDescent="0.45">
      <c r="A227" t="s">
        <v>1267</v>
      </c>
      <c r="B227" t="s">
        <v>1654</v>
      </c>
      <c r="C227" t="s">
        <v>1737</v>
      </c>
      <c r="D227" t="s">
        <v>1738</v>
      </c>
    </row>
    <row r="228" spans="1:64" x14ac:dyDescent="0.45">
      <c r="A228" t="s">
        <v>1254</v>
      </c>
      <c r="B228" t="s">
        <v>1655</v>
      </c>
      <c r="C228" t="s">
        <v>1737</v>
      </c>
      <c r="D228" t="s">
        <v>1738</v>
      </c>
    </row>
    <row r="229" spans="1:64" x14ac:dyDescent="0.45">
      <c r="A229" t="s">
        <v>603</v>
      </c>
      <c r="B229" t="s">
        <v>1656</v>
      </c>
      <c r="C229" t="s">
        <v>1737</v>
      </c>
      <c r="D229" t="s">
        <v>1738</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45">
      <c r="A230" t="s">
        <v>1657</v>
      </c>
      <c r="B230" t="s">
        <v>1658</v>
      </c>
      <c r="C230" t="s">
        <v>1737</v>
      </c>
      <c r="D230" t="s">
        <v>1738</v>
      </c>
    </row>
    <row r="231" spans="1:64" x14ac:dyDescent="0.45">
      <c r="A231" t="s">
        <v>1074</v>
      </c>
      <c r="B231" t="s">
        <v>1659</v>
      </c>
      <c r="C231" t="s">
        <v>1737</v>
      </c>
      <c r="D231" t="s">
        <v>1738</v>
      </c>
    </row>
    <row r="232" spans="1:64" x14ac:dyDescent="0.45">
      <c r="A232" t="s">
        <v>1127</v>
      </c>
      <c r="B232" t="s">
        <v>1660</v>
      </c>
      <c r="C232" t="s">
        <v>1737</v>
      </c>
      <c r="D232" t="s">
        <v>1738</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45">
      <c r="A233" t="s">
        <v>1661</v>
      </c>
      <c r="B233" t="s">
        <v>1662</v>
      </c>
      <c r="C233" t="s">
        <v>1737</v>
      </c>
      <c r="D233" t="s">
        <v>1738</v>
      </c>
    </row>
    <row r="234" spans="1:64" x14ac:dyDescent="0.45">
      <c r="A234" t="s">
        <v>1080</v>
      </c>
      <c r="B234" t="s">
        <v>1663</v>
      </c>
      <c r="C234" t="s">
        <v>1737</v>
      </c>
      <c r="D234" t="s">
        <v>1738</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45">
      <c r="A235" t="s">
        <v>1664</v>
      </c>
      <c r="B235" t="s">
        <v>1665</v>
      </c>
      <c r="C235" t="s">
        <v>1737</v>
      </c>
      <c r="D235" t="s">
        <v>1738</v>
      </c>
    </row>
    <row r="236" spans="1:64" x14ac:dyDescent="0.45">
      <c r="A236" t="s">
        <v>1666</v>
      </c>
      <c r="B236" t="s">
        <v>1667</v>
      </c>
      <c r="C236" t="s">
        <v>1737</v>
      </c>
      <c r="D236" t="s">
        <v>1738</v>
      </c>
    </row>
    <row r="237" spans="1:64" x14ac:dyDescent="0.45">
      <c r="A237" t="s">
        <v>1102</v>
      </c>
      <c r="B237" t="s">
        <v>1668</v>
      </c>
      <c r="C237" t="s">
        <v>1737</v>
      </c>
      <c r="D237" t="s">
        <v>1738</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45">
      <c r="A238" t="s">
        <v>1167</v>
      </c>
      <c r="B238" t="s">
        <v>1669</v>
      </c>
      <c r="C238" t="s">
        <v>1737</v>
      </c>
      <c r="D238" t="s">
        <v>1738</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45">
      <c r="A239" t="s">
        <v>1135</v>
      </c>
      <c r="B239" t="s">
        <v>1670</v>
      </c>
      <c r="C239" t="s">
        <v>1737</v>
      </c>
      <c r="D239" t="s">
        <v>1738</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45">
      <c r="A240" t="s">
        <v>1136</v>
      </c>
      <c r="B240" t="s">
        <v>1671</v>
      </c>
      <c r="C240" t="s">
        <v>1737</v>
      </c>
      <c r="D240" t="s">
        <v>1738</v>
      </c>
    </row>
    <row r="241" spans="1:64" x14ac:dyDescent="0.45">
      <c r="A241" t="s">
        <v>1672</v>
      </c>
      <c r="B241" t="s">
        <v>1673</v>
      </c>
      <c r="C241" t="s">
        <v>1737</v>
      </c>
      <c r="D241" t="s">
        <v>1738</v>
      </c>
    </row>
    <row r="242" spans="1:64" x14ac:dyDescent="0.45">
      <c r="A242" t="s">
        <v>1168</v>
      </c>
      <c r="B242" t="s">
        <v>1674</v>
      </c>
      <c r="C242" t="s">
        <v>1737</v>
      </c>
      <c r="D242" t="s">
        <v>1738</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45">
      <c r="A243" t="s">
        <v>1675</v>
      </c>
      <c r="B243" t="s">
        <v>1676</v>
      </c>
      <c r="C243" t="s">
        <v>1737</v>
      </c>
      <c r="D243" t="s">
        <v>1738</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45">
      <c r="A244" t="s">
        <v>1229</v>
      </c>
      <c r="B244" t="s">
        <v>1677</v>
      </c>
      <c r="C244" t="s">
        <v>1737</v>
      </c>
      <c r="D244" t="s">
        <v>1738</v>
      </c>
    </row>
    <row r="245" spans="1:64" x14ac:dyDescent="0.45">
      <c r="A245" t="s">
        <v>1678</v>
      </c>
      <c r="B245" t="s">
        <v>1679</v>
      </c>
      <c r="C245" t="s">
        <v>1737</v>
      </c>
      <c r="D245" t="s">
        <v>1738</v>
      </c>
    </row>
    <row r="246" spans="1:64" x14ac:dyDescent="0.45">
      <c r="A246" t="s">
        <v>1680</v>
      </c>
      <c r="B246" t="s">
        <v>1681</v>
      </c>
      <c r="C246" t="s">
        <v>1737</v>
      </c>
      <c r="D246" t="s">
        <v>1738</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45">
      <c r="A247" t="s">
        <v>1187</v>
      </c>
      <c r="B247" t="s">
        <v>1682</v>
      </c>
      <c r="C247" t="s">
        <v>1737</v>
      </c>
      <c r="D247" t="s">
        <v>1738</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45">
      <c r="A248" t="s">
        <v>1110</v>
      </c>
      <c r="B248" t="s">
        <v>1683</v>
      </c>
      <c r="C248" t="s">
        <v>1737</v>
      </c>
      <c r="D248" t="s">
        <v>1738</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45">
      <c r="A249" t="s">
        <v>1128</v>
      </c>
      <c r="B249" t="s">
        <v>1684</v>
      </c>
      <c r="C249" t="s">
        <v>1737</v>
      </c>
      <c r="D249" t="s">
        <v>1738</v>
      </c>
    </row>
    <row r="250" spans="1:64" x14ac:dyDescent="0.45">
      <c r="A250" t="s">
        <v>1685</v>
      </c>
      <c r="B250" t="s">
        <v>1686</v>
      </c>
      <c r="C250" t="s">
        <v>1737</v>
      </c>
      <c r="D250" t="s">
        <v>1738</v>
      </c>
    </row>
    <row r="251" spans="1:64" x14ac:dyDescent="0.45">
      <c r="A251" t="s">
        <v>1687</v>
      </c>
      <c r="B251" t="s">
        <v>1688</v>
      </c>
      <c r="C251" t="s">
        <v>1737</v>
      </c>
      <c r="D251" t="s">
        <v>1738</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45">
      <c r="A252" t="s">
        <v>604</v>
      </c>
      <c r="B252" t="s">
        <v>1689</v>
      </c>
      <c r="C252" t="s">
        <v>1737</v>
      </c>
      <c r="D252" t="s">
        <v>1738</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45">
      <c r="A253" t="s">
        <v>1243</v>
      </c>
      <c r="B253" t="s">
        <v>1690</v>
      </c>
      <c r="C253" t="s">
        <v>1737</v>
      </c>
      <c r="D253" t="s">
        <v>1738</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45">
      <c r="A254" t="s">
        <v>1691</v>
      </c>
      <c r="B254" t="s">
        <v>1692</v>
      </c>
      <c r="C254" t="s">
        <v>1737</v>
      </c>
      <c r="D254" t="s">
        <v>1738</v>
      </c>
    </row>
    <row r="255" spans="1:64" x14ac:dyDescent="0.45">
      <c r="A255" t="s">
        <v>1210</v>
      </c>
      <c r="B255" t="s">
        <v>1693</v>
      </c>
      <c r="C255" t="s">
        <v>1737</v>
      </c>
      <c r="D255" t="s">
        <v>1738</v>
      </c>
    </row>
    <row r="256" spans="1:64" x14ac:dyDescent="0.45">
      <c r="A256" t="s">
        <v>1694</v>
      </c>
      <c r="B256" t="s">
        <v>1695</v>
      </c>
      <c r="C256" t="s">
        <v>1737</v>
      </c>
      <c r="D256" t="s">
        <v>1738</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45">
      <c r="A257" t="s">
        <v>1137</v>
      </c>
      <c r="B257" t="s">
        <v>1696</v>
      </c>
      <c r="C257" t="s">
        <v>1737</v>
      </c>
      <c r="D257" t="s">
        <v>1738</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45">
      <c r="A258" t="s">
        <v>1697</v>
      </c>
      <c r="B258" t="s">
        <v>1698</v>
      </c>
      <c r="C258" t="s">
        <v>1737</v>
      </c>
      <c r="D258" t="s">
        <v>1738</v>
      </c>
    </row>
    <row r="259" spans="1:65" x14ac:dyDescent="0.45">
      <c r="A259" t="s">
        <v>1699</v>
      </c>
      <c r="B259" t="s">
        <v>1700</v>
      </c>
      <c r="C259" t="s">
        <v>1737</v>
      </c>
      <c r="D259" t="s">
        <v>1738</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45">
      <c r="A260" t="s">
        <v>1701</v>
      </c>
      <c r="B260" t="s">
        <v>1702</v>
      </c>
      <c r="C260" t="s">
        <v>1737</v>
      </c>
      <c r="D260" t="s">
        <v>1738</v>
      </c>
    </row>
    <row r="261" spans="1:65" x14ac:dyDescent="0.45">
      <c r="A261" t="s">
        <v>1703</v>
      </c>
      <c r="B261" t="s">
        <v>1704</v>
      </c>
      <c r="C261" t="s">
        <v>1737</v>
      </c>
      <c r="D261" t="s">
        <v>1738</v>
      </c>
    </row>
    <row r="262" spans="1:65" x14ac:dyDescent="0.45">
      <c r="A262" t="s">
        <v>1705</v>
      </c>
      <c r="B262" t="s">
        <v>1706</v>
      </c>
      <c r="C262" t="s">
        <v>1737</v>
      </c>
      <c r="D262" t="s">
        <v>1738</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45">
      <c r="A263" t="s">
        <v>1221</v>
      </c>
      <c r="B263" t="s">
        <v>1707</v>
      </c>
      <c r="C263" t="s">
        <v>1737</v>
      </c>
      <c r="D263" t="s">
        <v>1738</v>
      </c>
    </row>
    <row r="264" spans="1:65" x14ac:dyDescent="0.45">
      <c r="A264" t="s">
        <v>1017</v>
      </c>
      <c r="B264" t="s">
        <v>1708</v>
      </c>
      <c r="C264" t="s">
        <v>1737</v>
      </c>
      <c r="D264" t="s">
        <v>1738</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45">
      <c r="A265" t="s">
        <v>1228</v>
      </c>
      <c r="B265" t="s">
        <v>1709</v>
      </c>
      <c r="C265" t="s">
        <v>1737</v>
      </c>
      <c r="D265" t="s">
        <v>1738</v>
      </c>
    </row>
    <row r="266" spans="1:65" x14ac:dyDescent="0.45">
      <c r="A266" t="s">
        <v>1710</v>
      </c>
      <c r="B266" t="s">
        <v>1711</v>
      </c>
      <c r="C266" t="s">
        <v>1737</v>
      </c>
      <c r="D266" t="s">
        <v>1738</v>
      </c>
    </row>
    <row r="267" spans="1:65" x14ac:dyDescent="0.45">
      <c r="A267" t="s">
        <v>1712</v>
      </c>
      <c r="B267" t="s">
        <v>1713</v>
      </c>
      <c r="C267" t="s">
        <v>1737</v>
      </c>
      <c r="D267" t="s">
        <v>1738</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45">
      <c r="A268" t="s">
        <v>602</v>
      </c>
      <c r="B268" t="s">
        <v>1714</v>
      </c>
      <c r="C268" t="s">
        <v>1737</v>
      </c>
      <c r="D268" t="s">
        <v>1738</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45">
      <c r="A269" t="s">
        <v>606</v>
      </c>
      <c r="B269" t="s">
        <v>1715</v>
      </c>
      <c r="C269" t="s">
        <v>1737</v>
      </c>
      <c r="D269" t="s">
        <v>1738</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45">
      <c r="A270" t="s">
        <v>607</v>
      </c>
      <c r="B270" t="s">
        <v>1716</v>
      </c>
      <c r="C270" t="s">
        <v>1737</v>
      </c>
      <c r="D270" t="s">
        <v>1738</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v>4.87</v>
      </c>
    </row>
    <row r="271" spans="1:65" s="1" customFormat="1" x14ac:dyDescent="0.45"/>
    <row r="272" spans="1:65" s="1" customFormat="1" x14ac:dyDescent="0.45">
      <c r="BB272" s="50" t="s">
        <v>1937</v>
      </c>
      <c r="BC272" s="254">
        <f>BC77</f>
        <v>0.54</v>
      </c>
      <c r="BD272" s="254">
        <f t="shared" ref="BD272:BL272" si="0">BD77</f>
        <v>0.49</v>
      </c>
      <c r="BE272" s="254">
        <f t="shared" si="0"/>
        <v>0.45</v>
      </c>
      <c r="BF272" s="254">
        <f t="shared" si="0"/>
        <v>0.38</v>
      </c>
      <c r="BG272" s="254">
        <f t="shared" si="0"/>
        <v>0.35</v>
      </c>
      <c r="BH272" s="254">
        <f t="shared" si="0"/>
        <v>0.32</v>
      </c>
      <c r="BI272" s="254">
        <f t="shared" si="0"/>
        <v>0.28999999999999998</v>
      </c>
      <c r="BJ272" s="254">
        <f t="shared" si="0"/>
        <v>0.27</v>
      </c>
      <c r="BK272" s="254">
        <f t="shared" si="0"/>
        <v>0.25</v>
      </c>
      <c r="BL272" s="254">
        <f t="shared" si="0"/>
        <v>0.23</v>
      </c>
      <c r="BM272" s="2"/>
    </row>
    <row r="273" spans="8:65" s="1" customFormat="1" x14ac:dyDescent="0.45">
      <c r="BB273" s="50" t="s">
        <v>1939</v>
      </c>
      <c r="BD273" s="157">
        <f>BD272/BC272</f>
        <v>0.90740740740740733</v>
      </c>
      <c r="BE273" s="157">
        <f t="shared" ref="BE273:BL273" si="1">BE272/BD272</f>
        <v>0.91836734693877553</v>
      </c>
      <c r="BF273" s="157">
        <f t="shared" si="1"/>
        <v>0.84444444444444444</v>
      </c>
      <c r="BG273" s="157">
        <f t="shared" si="1"/>
        <v>0.92105263157894735</v>
      </c>
      <c r="BH273" s="157">
        <f t="shared" si="1"/>
        <v>0.91428571428571437</v>
      </c>
      <c r="BI273" s="157">
        <f t="shared" si="1"/>
        <v>0.90624999999999989</v>
      </c>
      <c r="BJ273" s="157">
        <f t="shared" si="1"/>
        <v>0.93103448275862077</v>
      </c>
      <c r="BK273" s="157">
        <f t="shared" si="1"/>
        <v>0.92592592592592582</v>
      </c>
      <c r="BL273" s="157">
        <f t="shared" si="1"/>
        <v>0.92</v>
      </c>
      <c r="BM273" s="2">
        <f>AVERAGE(BD273:BL273)</f>
        <v>0.90986310592664843</v>
      </c>
    </row>
    <row r="274" spans="8:65" s="1" customFormat="1" x14ac:dyDescent="0.45">
      <c r="I274" s="50" t="s">
        <v>1740</v>
      </c>
      <c r="M274" s="50" t="s">
        <v>1938</v>
      </c>
      <c r="BB274" s="50" t="s">
        <v>1739</v>
      </c>
      <c r="BC274" s="155">
        <f>BC77/'[1]HIV Prev'!BC77</f>
        <v>0.38571428571428579</v>
      </c>
      <c r="BD274" s="155">
        <f>BD77/'[1]HIV Prev'!BD77</f>
        <v>0.37692307692307692</v>
      </c>
      <c r="BE274" s="155">
        <f>BE77/'[1]HIV Prev'!BE77</f>
        <v>0.34615384615384615</v>
      </c>
      <c r="BF274" s="155">
        <f>BF77/'[1]HIV Prev'!BF77</f>
        <v>0.31666666666666671</v>
      </c>
      <c r="BG274" s="155">
        <f>BG77/'[1]HIV Prev'!BG77</f>
        <v>0.29166666666666669</v>
      </c>
      <c r="BH274" s="155">
        <f>BH77/'[1]HIV Prev'!BH77</f>
        <v>0.29090909090909089</v>
      </c>
      <c r="BI274" s="155">
        <f>BI77/'[1]HIV Prev'!BI77</f>
        <v>0.26363636363636361</v>
      </c>
      <c r="BJ274" s="155">
        <f>BJ77/'[1]HIV Prev'!BJ77</f>
        <v>0.27</v>
      </c>
      <c r="BK274" s="155">
        <f>BK77/'[1]HIV Prev'!BK77</f>
        <v>0.25</v>
      </c>
      <c r="BL274" s="155">
        <f>BL77/'[1]HIV Prev'!BL77</f>
        <v>0.25555555555555554</v>
      </c>
      <c r="BM274" s="2">
        <f>AVERAGE(BH274:BL274)</f>
        <v>0.26602020202020199</v>
      </c>
    </row>
    <row r="275" spans="8:65" s="1" customFormat="1" x14ac:dyDescent="0.45">
      <c r="H275">
        <v>2020</v>
      </c>
      <c r="I275" s="158">
        <f>'[1]HIV Prev'!$BL$77*$BM$274*$BM$275</f>
        <v>0.2289737351429329</v>
      </c>
      <c r="L275">
        <v>2020</v>
      </c>
      <c r="M275" s="158">
        <f>BL272*$BM$273</f>
        <v>0.20926851436312915</v>
      </c>
      <c r="BB275" s="50" t="s">
        <v>1940</v>
      </c>
      <c r="BD275" s="157">
        <f>BD274/BC274</f>
        <v>0.97720797720797703</v>
      </c>
      <c r="BE275" s="157">
        <f t="shared" ref="BE275:BL275" si="2">BE274/BD274</f>
        <v>0.91836734693877553</v>
      </c>
      <c r="BF275" s="157">
        <f t="shared" si="2"/>
        <v>0.91481481481481497</v>
      </c>
      <c r="BG275" s="157">
        <f t="shared" si="2"/>
        <v>0.92105263157894735</v>
      </c>
      <c r="BH275" s="157">
        <f t="shared" si="2"/>
        <v>0.99740259740259729</v>
      </c>
      <c r="BI275" s="157">
        <f t="shared" si="2"/>
        <v>0.90625</v>
      </c>
      <c r="BJ275" s="157">
        <f t="shared" si="2"/>
        <v>1.0241379310344829</v>
      </c>
      <c r="BK275" s="157">
        <f t="shared" si="2"/>
        <v>0.92592592592592582</v>
      </c>
      <c r="BL275" s="157">
        <f t="shared" si="2"/>
        <v>1.0222222222222221</v>
      </c>
      <c r="BM275" s="2">
        <f>AVERAGE(BD275:BL275)</f>
        <v>0.95637571634730478</v>
      </c>
    </row>
    <row r="276" spans="8:65" s="1" customFormat="1" x14ac:dyDescent="0.45">
      <c r="H276">
        <v>2021</v>
      </c>
      <c r="I276" s="158">
        <f t="shared" ref="I276:I295" si="3">I275*$BM$275</f>
        <v>0.21898491997204048</v>
      </c>
      <c r="L276">
        <v>2021</v>
      </c>
      <c r="M276" s="158">
        <f>M275*$BM$273</f>
        <v>0.19040570045109212</v>
      </c>
    </row>
    <row r="277" spans="8:65" s="1" customFormat="1" x14ac:dyDescent="0.45">
      <c r="H277">
        <v>2022</v>
      </c>
      <c r="I277" s="158">
        <f t="shared" si="3"/>
        <v>0.20943185970751743</v>
      </c>
      <c r="L277">
        <v>2022</v>
      </c>
      <c r="M277" s="158">
        <f t="shared" ref="M277:M295" si="4">M276*$BM$273</f>
        <v>0.17324312199856973</v>
      </c>
      <c r="BM277" s="51" t="s">
        <v>1741</v>
      </c>
    </row>
    <row r="278" spans="8:65" s="1" customFormat="1" x14ac:dyDescent="0.45">
      <c r="H278">
        <v>2023</v>
      </c>
      <c r="I278" s="158">
        <f t="shared" si="3"/>
        <v>0.20029554485372522</v>
      </c>
      <c r="L278">
        <v>2023</v>
      </c>
      <c r="M278" s="158">
        <f t="shared" si="4"/>
        <v>0.15762752506204791</v>
      </c>
    </row>
    <row r="279" spans="8:65" s="1" customFormat="1" x14ac:dyDescent="0.45">
      <c r="H279">
        <v>2024</v>
      </c>
      <c r="I279" s="158">
        <f t="shared" si="3"/>
        <v>0.19155779519065516</v>
      </c>
      <c r="L279">
        <v>2024</v>
      </c>
      <c r="M279" s="158">
        <f t="shared" si="4"/>
        <v>0.14341946953248552</v>
      </c>
    </row>
    <row r="280" spans="8:65" s="1" customFormat="1" x14ac:dyDescent="0.45">
      <c r="H280">
        <v>2025</v>
      </c>
      <c r="I280" s="158">
        <f t="shared" si="3"/>
        <v>0.18320122359737312</v>
      </c>
      <c r="L280">
        <v>2025</v>
      </c>
      <c r="M280" s="158">
        <f t="shared" si="4"/>
        <v>0.13049208399917961</v>
      </c>
    </row>
    <row r="281" spans="8:65" s="1" customFormat="1" x14ac:dyDescent="0.45">
      <c r="H281">
        <v>2026</v>
      </c>
      <c r="I281" s="158">
        <f t="shared" si="3"/>
        <v>0.17520920145364047</v>
      </c>
      <c r="L281">
        <v>2026</v>
      </c>
      <c r="M281" s="158">
        <f t="shared" si="4"/>
        <v>0.11872993284633467</v>
      </c>
    </row>
    <row r="282" spans="8:65" s="1" customFormat="1" x14ac:dyDescent="0.45">
      <c r="H282">
        <v>2027</v>
      </c>
      <c r="I282" s="158">
        <f t="shared" si="3"/>
        <v>0.16756582555086463</v>
      </c>
      <c r="L282">
        <v>2027</v>
      </c>
      <c r="M282" s="158">
        <f t="shared" si="4"/>
        <v>0.10802798546602846</v>
      </c>
    </row>
    <row r="283" spans="8:65" s="1" customFormat="1" x14ac:dyDescent="0.45">
      <c r="H283">
        <v>2028</v>
      </c>
      <c r="I283" s="158">
        <f t="shared" si="3"/>
        <v>0.16025588644653568</v>
      </c>
      <c r="L283">
        <v>2028</v>
      </c>
      <c r="M283" s="158">
        <f t="shared" si="4"/>
        <v>9.8290678383119487E-2</v>
      </c>
    </row>
    <row r="284" spans="8:65" s="1" customFormat="1" x14ac:dyDescent="0.45">
      <c r="H284">
        <v>2029</v>
      </c>
      <c r="I284" s="158">
        <f t="shared" si="3"/>
        <v>0.15326483819917788</v>
      </c>
      <c r="L284">
        <v>2029</v>
      </c>
      <c r="M284" s="158">
        <f t="shared" si="4"/>
        <v>8.9431061917302379E-2</v>
      </c>
    </row>
    <row r="285" spans="8:65" s="1" customFormat="1" x14ac:dyDescent="0.45">
      <c r="H285">
        <v>2030</v>
      </c>
      <c r="I285" s="158">
        <f t="shared" si="3"/>
        <v>0.14657876942359252</v>
      </c>
      <c r="L285">
        <v>2030</v>
      </c>
      <c r="M285" s="158">
        <f t="shared" si="4"/>
        <v>8.1370023762395147E-2</v>
      </c>
    </row>
    <row r="286" spans="8:65" s="1" customFormat="1" x14ac:dyDescent="0.45">
      <c r="H286">
        <v>2031</v>
      </c>
      <c r="I286" s="158">
        <f t="shared" si="3"/>
        <v>0.14018437560879471</v>
      </c>
      <c r="L286">
        <v>2031</v>
      </c>
      <c r="M286" s="158">
        <f t="shared" si="4"/>
        <v>7.4035582549778031E-2</v>
      </c>
    </row>
    <row r="287" spans="8:65" s="1" customFormat="1" x14ac:dyDescent="0.45">
      <c r="H287">
        <v>2032</v>
      </c>
      <c r="I287" s="158">
        <f t="shared" si="3"/>
        <v>0.13406893264356068</v>
      </c>
      <c r="L287">
        <v>2032</v>
      </c>
      <c r="M287" s="158">
        <f t="shared" si="4"/>
        <v>6.7362245087829814E-2</v>
      </c>
    </row>
    <row r="288" spans="8:65" s="1" customFormat="1" x14ac:dyDescent="0.45">
      <c r="H288">
        <v>2033</v>
      </c>
      <c r="I288" s="158">
        <f t="shared" si="3"/>
        <v>0.1282202714969039</v>
      </c>
      <c r="L288">
        <v>2033</v>
      </c>
      <c r="M288" s="158">
        <f t="shared" si="4"/>
        <v>6.1290421537804951E-2</v>
      </c>
    </row>
    <row r="289" spans="3:13" s="1" customFormat="1" x14ac:dyDescent="0.45">
      <c r="C289" s="49"/>
      <c r="D289" s="49"/>
      <c r="E289" s="49"/>
      <c r="H289">
        <v>2034</v>
      </c>
      <c r="I289" s="158">
        <f t="shared" si="3"/>
        <v>0.12262675400309737</v>
      </c>
      <c r="L289">
        <v>2034</v>
      </c>
      <c r="M289" s="158">
        <f t="shared" si="4"/>
        <v>5.5765893303940758E-2</v>
      </c>
    </row>
    <row r="290" spans="3:13" s="1" customFormat="1" x14ac:dyDescent="0.45">
      <c r="C290" s="49"/>
      <c r="D290" s="49"/>
      <c r="E290" s="49"/>
      <c r="H290">
        <v>2035</v>
      </c>
      <c r="I290" s="158">
        <f t="shared" si="3"/>
        <v>0.11727724970305697</v>
      </c>
      <c r="L290">
        <v>2035</v>
      </c>
      <c r="M290" s="158">
        <f t="shared" si="4"/>
        <v>5.0739328886297626E-2</v>
      </c>
    </row>
    <row r="291" spans="3:13" s="1" customFormat="1" x14ac:dyDescent="0.45">
      <c r="C291" s="49"/>
      <c r="D291" s="49"/>
      <c r="E291" s="49"/>
      <c r="H291">
        <v>2036</v>
      </c>
      <c r="I291" s="158">
        <f t="shared" si="3"/>
        <v>0.11216111369600285</v>
      </c>
      <c r="L291">
        <v>2036</v>
      </c>
      <c r="M291" s="158">
        <f t="shared" si="4"/>
        <v>4.616584337312047E-2</v>
      </c>
    </row>
    <row r="292" spans="3:13" s="1" customFormat="1" x14ac:dyDescent="0.45">
      <c r="H292">
        <v>2037</v>
      </c>
      <c r="I292" s="158">
        <f t="shared" si="3"/>
        <v>0.10726816545732622</v>
      </c>
      <c r="L292">
        <v>2037</v>
      </c>
      <c r="M292" s="158">
        <f t="shared" si="4"/>
        <v>4.2004597639190573E-2</v>
      </c>
    </row>
    <row r="293" spans="3:13" s="1" customFormat="1" x14ac:dyDescent="0.45">
      <c r="H293">
        <v>2038</v>
      </c>
      <c r="I293" s="158">
        <f t="shared" si="3"/>
        <v>0.10258866858051158</v>
      </c>
      <c r="L293">
        <v>2038</v>
      </c>
      <c r="M293" s="158">
        <f t="shared" si="4"/>
        <v>3.8218433671193097E-2</v>
      </c>
    </row>
    <row r="294" spans="3:13" s="1" customFormat="1" x14ac:dyDescent="0.45">
      <c r="H294">
        <v>2039</v>
      </c>
      <c r="I294" s="158">
        <f t="shared" si="3"/>
        <v>9.8113311402802994E-2</v>
      </c>
      <c r="L294">
        <v>2039</v>
      </c>
      <c r="M294" s="158">
        <f t="shared" si="4"/>
        <v>3.4773542763723353E-2</v>
      </c>
    </row>
    <row r="295" spans="3:13" s="1" customFormat="1" x14ac:dyDescent="0.45">
      <c r="H295">
        <v>2040</v>
      </c>
      <c r="I295" s="158">
        <f t="shared" si="3"/>
        <v>9.3833188476061896E-2</v>
      </c>
      <c r="L295">
        <v>2040</v>
      </c>
      <c r="M295" s="158">
        <f t="shared" si="4"/>
        <v>3.1639163623074458E-2</v>
      </c>
    </row>
    <row r="296" spans="3:13" s="1" customFormat="1" x14ac:dyDescent="0.45"/>
  </sheetData>
  <pageMargins left="0.7" right="0.7" top="0.75" bottom="0.75" header="0.3" footer="0.3"/>
  <headerFooter alignWithMargins="0"/>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CF8CA-0178-4CDB-A333-AD6A8DA62670}">
  <dimension ref="A1:BM297"/>
  <sheetViews>
    <sheetView workbookViewId="0">
      <selection activeCell="BI287" sqref="BI287"/>
    </sheetView>
  </sheetViews>
  <sheetFormatPr defaultRowHeight="14.25" x14ac:dyDescent="0.45"/>
  <cols>
    <col min="1" max="1" width="44.19921875" bestFit="1" customWidth="1"/>
    <col min="2" max="2" width="25.53125" bestFit="1" customWidth="1"/>
    <col min="3" max="3" width="35.46484375" bestFit="1" customWidth="1"/>
    <col min="4" max="4" width="13.796875" bestFit="1" customWidth="1"/>
    <col min="5" max="8" width="5.46484375" bestFit="1" customWidth="1"/>
    <col min="9" max="9" width="10.46484375" bestFit="1" customWidth="1"/>
    <col min="10" max="64" width="11.46484375" bestFit="1" customWidth="1"/>
    <col min="65" max="65" width="5.796875" bestFit="1" customWidth="1"/>
  </cols>
  <sheetData>
    <row r="1" spans="1:65" x14ac:dyDescent="0.45">
      <c r="A1" t="s">
        <v>1283</v>
      </c>
      <c r="B1" t="s">
        <v>1284</v>
      </c>
    </row>
    <row r="2" spans="1:65" x14ac:dyDescent="0.45">
      <c r="A2" t="s">
        <v>1285</v>
      </c>
      <c r="B2" s="4">
        <v>44407</v>
      </c>
    </row>
    <row r="4" spans="1:65" x14ac:dyDescent="0.4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45">
      <c r="A5" t="s">
        <v>1173</v>
      </c>
      <c r="B5" t="s">
        <v>1351</v>
      </c>
      <c r="C5" t="s">
        <v>1742</v>
      </c>
      <c r="D5" t="s">
        <v>1743</v>
      </c>
    </row>
    <row r="6" spans="1:65" hidden="1" x14ac:dyDescent="0.45">
      <c r="A6" t="s">
        <v>1354</v>
      </c>
      <c r="B6" t="s">
        <v>1355</v>
      </c>
      <c r="C6" t="s">
        <v>1742</v>
      </c>
      <c r="D6" t="s">
        <v>1743</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hidden="1" x14ac:dyDescent="0.45">
      <c r="A7" t="s">
        <v>1139</v>
      </c>
      <c r="B7" t="s">
        <v>1356</v>
      </c>
      <c r="C7" t="s">
        <v>1742</v>
      </c>
      <c r="D7" t="s">
        <v>1743</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hidden="1" x14ac:dyDescent="0.45">
      <c r="A8" t="s">
        <v>1357</v>
      </c>
      <c r="B8" t="s">
        <v>1358</v>
      </c>
      <c r="C8" t="s">
        <v>1742</v>
      </c>
      <c r="D8" t="s">
        <v>1743</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hidden="1" x14ac:dyDescent="0.45">
      <c r="A9" t="s">
        <v>1078</v>
      </c>
      <c r="B9" t="s">
        <v>1359</v>
      </c>
      <c r="C9" t="s">
        <v>1742</v>
      </c>
      <c r="D9" t="s">
        <v>1743</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hidden="1" x14ac:dyDescent="0.45">
      <c r="A10" t="s">
        <v>1257</v>
      </c>
      <c r="B10" t="s">
        <v>1360</v>
      </c>
      <c r="C10" t="s">
        <v>1742</v>
      </c>
      <c r="D10" t="s">
        <v>1743</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hidden="1" x14ac:dyDescent="0.45">
      <c r="A11" t="s">
        <v>1361</v>
      </c>
      <c r="B11" t="s">
        <v>1362</v>
      </c>
      <c r="C11" t="s">
        <v>1742</v>
      </c>
      <c r="D11" t="s">
        <v>1743</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hidden="1" x14ac:dyDescent="0.45">
      <c r="A12" t="s">
        <v>1363</v>
      </c>
      <c r="B12" t="s">
        <v>1364</v>
      </c>
      <c r="C12" t="s">
        <v>1742</v>
      </c>
      <c r="D12" t="s">
        <v>1743</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hidden="1" x14ac:dyDescent="0.45">
      <c r="A13" t="s">
        <v>1129</v>
      </c>
      <c r="B13" t="s">
        <v>1365</v>
      </c>
      <c r="C13" t="s">
        <v>1742</v>
      </c>
      <c r="D13" t="s">
        <v>1743</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hidden="1" x14ac:dyDescent="0.45">
      <c r="A14" t="s">
        <v>1199</v>
      </c>
      <c r="B14" t="s">
        <v>1366</v>
      </c>
      <c r="C14" t="s">
        <v>1742</v>
      </c>
      <c r="D14" t="s">
        <v>1743</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hidden="1" x14ac:dyDescent="0.45">
      <c r="A15" t="s">
        <v>1113</v>
      </c>
      <c r="B15" t="s">
        <v>1367</v>
      </c>
      <c r="C15" t="s">
        <v>1742</v>
      </c>
      <c r="D15" t="s">
        <v>1743</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hidden="1" x14ac:dyDescent="0.45">
      <c r="A16" t="s">
        <v>1368</v>
      </c>
      <c r="B16" t="s">
        <v>1369</v>
      </c>
      <c r="C16" t="s">
        <v>1742</v>
      </c>
      <c r="D16" t="s">
        <v>1743</v>
      </c>
    </row>
    <row r="17" spans="1:64" hidden="1" x14ac:dyDescent="0.45">
      <c r="A17" t="s">
        <v>1172</v>
      </c>
      <c r="B17" t="s">
        <v>1370</v>
      </c>
      <c r="C17" t="s">
        <v>1742</v>
      </c>
      <c r="D17" t="s">
        <v>1743</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hidden="1" x14ac:dyDescent="0.45">
      <c r="A18" t="s">
        <v>1213</v>
      </c>
      <c r="B18" t="s">
        <v>1371</v>
      </c>
      <c r="C18" t="s">
        <v>1742</v>
      </c>
      <c r="D18" t="s">
        <v>1743</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hidden="1" x14ac:dyDescent="0.45">
      <c r="A19" t="s">
        <v>1270</v>
      </c>
      <c r="B19" t="s">
        <v>1372</v>
      </c>
      <c r="C19" t="s">
        <v>1742</v>
      </c>
      <c r="D19" t="s">
        <v>1743</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hidden="1" x14ac:dyDescent="0.45">
      <c r="A20" t="s">
        <v>1114</v>
      </c>
      <c r="B20" t="s">
        <v>1373</v>
      </c>
      <c r="C20" t="s">
        <v>1742</v>
      </c>
      <c r="D20" t="s">
        <v>1743</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hidden="1" x14ac:dyDescent="0.45">
      <c r="A21" t="s">
        <v>582</v>
      </c>
      <c r="B21" t="s">
        <v>1374</v>
      </c>
      <c r="C21" t="s">
        <v>1742</v>
      </c>
      <c r="D21" t="s">
        <v>1743</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hidden="1" x14ac:dyDescent="0.45">
      <c r="A22" t="s">
        <v>1271</v>
      </c>
      <c r="B22" t="s">
        <v>1375</v>
      </c>
      <c r="C22" t="s">
        <v>1742</v>
      </c>
      <c r="D22" t="s">
        <v>1743</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hidden="1" x14ac:dyDescent="0.45">
      <c r="A23" t="s">
        <v>1088</v>
      </c>
      <c r="B23" t="s">
        <v>1376</v>
      </c>
      <c r="C23" t="s">
        <v>1742</v>
      </c>
      <c r="D23" t="s">
        <v>1743</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hidden="1" x14ac:dyDescent="0.45">
      <c r="A24" t="s">
        <v>1089</v>
      </c>
      <c r="B24" t="s">
        <v>1377</v>
      </c>
      <c r="C24" t="s">
        <v>1742</v>
      </c>
      <c r="D24" t="s">
        <v>1743</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hidden="1" x14ac:dyDescent="0.45">
      <c r="A25" t="s">
        <v>1140</v>
      </c>
      <c r="B25" t="s">
        <v>1378</v>
      </c>
      <c r="C25" t="s">
        <v>1742</v>
      </c>
      <c r="D25" t="s">
        <v>1743</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hidden="1" x14ac:dyDescent="0.45">
      <c r="A26" t="s">
        <v>1235</v>
      </c>
      <c r="B26" t="s">
        <v>1379</v>
      </c>
      <c r="C26" t="s">
        <v>1742</v>
      </c>
      <c r="D26" t="s">
        <v>1743</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hidden="1" x14ac:dyDescent="0.45">
      <c r="A27" t="s">
        <v>1115</v>
      </c>
      <c r="B27" t="s">
        <v>1380</v>
      </c>
      <c r="C27" t="s">
        <v>1742</v>
      </c>
      <c r="D27" t="s">
        <v>1743</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hidden="1" x14ac:dyDescent="0.45">
      <c r="A28" t="s">
        <v>1381</v>
      </c>
      <c r="B28" t="s">
        <v>1382</v>
      </c>
      <c r="C28" t="s">
        <v>1742</v>
      </c>
      <c r="D28" t="s">
        <v>1743</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hidden="1" x14ac:dyDescent="0.45">
      <c r="A29" t="s">
        <v>1258</v>
      </c>
      <c r="B29" t="s">
        <v>1383</v>
      </c>
      <c r="C29" t="s">
        <v>1742</v>
      </c>
      <c r="D29" t="s">
        <v>1743</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hidden="1" x14ac:dyDescent="0.45">
      <c r="A30" t="s">
        <v>1234</v>
      </c>
      <c r="B30" t="s">
        <v>1384</v>
      </c>
      <c r="C30" t="s">
        <v>1742</v>
      </c>
      <c r="D30" t="s">
        <v>1743</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hidden="1" x14ac:dyDescent="0.45">
      <c r="A31" t="s">
        <v>1190</v>
      </c>
      <c r="B31" t="s">
        <v>1385</v>
      </c>
      <c r="C31" t="s">
        <v>1742</v>
      </c>
      <c r="D31" t="s">
        <v>1743</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hidden="1" x14ac:dyDescent="0.45">
      <c r="A32" t="s">
        <v>1386</v>
      </c>
      <c r="B32" t="s">
        <v>1387</v>
      </c>
      <c r="C32" t="s">
        <v>1742</v>
      </c>
      <c r="D32" t="s">
        <v>1743</v>
      </c>
    </row>
    <row r="33" spans="1:64" hidden="1" x14ac:dyDescent="0.45">
      <c r="A33" t="s">
        <v>1388</v>
      </c>
      <c r="B33" t="s">
        <v>1389</v>
      </c>
      <c r="C33" t="s">
        <v>1742</v>
      </c>
      <c r="D33" t="s">
        <v>1743</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hidden="1" x14ac:dyDescent="0.45">
      <c r="A34" t="s">
        <v>1201</v>
      </c>
      <c r="B34" t="s">
        <v>1390</v>
      </c>
      <c r="C34" t="s">
        <v>1742</v>
      </c>
      <c r="D34" t="s">
        <v>1743</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hidden="1" x14ac:dyDescent="0.45">
      <c r="A35" t="s">
        <v>1175</v>
      </c>
      <c r="B35" t="s">
        <v>1391</v>
      </c>
      <c r="C35" t="s">
        <v>1742</v>
      </c>
      <c r="D35" t="s">
        <v>1743</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hidden="1" x14ac:dyDescent="0.45">
      <c r="A36" t="s">
        <v>1159</v>
      </c>
      <c r="B36" t="s">
        <v>1392</v>
      </c>
      <c r="C36" t="s">
        <v>1742</v>
      </c>
      <c r="D36" t="s">
        <v>1743</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hidden="1" x14ac:dyDescent="0.45">
      <c r="A37" t="s">
        <v>1141</v>
      </c>
      <c r="B37" t="s">
        <v>1393</v>
      </c>
      <c r="C37" t="s">
        <v>1742</v>
      </c>
      <c r="D37" t="s">
        <v>1743</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hidden="1" x14ac:dyDescent="0.45">
      <c r="A38" t="s">
        <v>580</v>
      </c>
      <c r="B38" t="s">
        <v>1394</v>
      </c>
      <c r="C38" t="s">
        <v>1742</v>
      </c>
      <c r="D38" t="s">
        <v>1743</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hidden="1" x14ac:dyDescent="0.45">
      <c r="A39" t="s">
        <v>584</v>
      </c>
      <c r="B39" t="s">
        <v>1395</v>
      </c>
      <c r="C39" t="s">
        <v>1742</v>
      </c>
      <c r="D39" t="s">
        <v>1743</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hidden="1" x14ac:dyDescent="0.45">
      <c r="A40" t="s">
        <v>1278</v>
      </c>
      <c r="B40" t="s">
        <v>1396</v>
      </c>
      <c r="C40" t="s">
        <v>1742</v>
      </c>
      <c r="D40" t="s">
        <v>1743</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hidden="1" x14ac:dyDescent="0.45">
      <c r="A41" t="s">
        <v>1397</v>
      </c>
      <c r="B41" t="s">
        <v>1398</v>
      </c>
      <c r="C41" t="s">
        <v>1742</v>
      </c>
      <c r="D41" t="s">
        <v>1743</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hidden="1" x14ac:dyDescent="0.45">
      <c r="A42" t="s">
        <v>1276</v>
      </c>
      <c r="B42" t="s">
        <v>1399</v>
      </c>
      <c r="C42" t="s">
        <v>1742</v>
      </c>
      <c r="D42" t="s">
        <v>1743</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hidden="1" x14ac:dyDescent="0.45">
      <c r="A43" t="s">
        <v>1245</v>
      </c>
      <c r="B43" t="s">
        <v>1400</v>
      </c>
      <c r="C43" t="s">
        <v>1742</v>
      </c>
      <c r="D43" t="s">
        <v>1743</v>
      </c>
    </row>
    <row r="44" spans="1:64" hidden="1" x14ac:dyDescent="0.45">
      <c r="A44" t="s">
        <v>1202</v>
      </c>
      <c r="B44" t="s">
        <v>1401</v>
      </c>
      <c r="C44" t="s">
        <v>1742</v>
      </c>
      <c r="D44" t="s">
        <v>1743</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hidden="1" x14ac:dyDescent="0.45">
      <c r="A45" t="s">
        <v>1150</v>
      </c>
      <c r="B45" t="s">
        <v>1402</v>
      </c>
      <c r="C45" t="s">
        <v>1742</v>
      </c>
      <c r="D45" t="s">
        <v>1743</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hidden="1" x14ac:dyDescent="0.45">
      <c r="A46" t="s">
        <v>1403</v>
      </c>
      <c r="B46" t="s">
        <v>1404</v>
      </c>
      <c r="C46" t="s">
        <v>1742</v>
      </c>
      <c r="D46" t="s">
        <v>1743</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hidden="1" x14ac:dyDescent="0.45">
      <c r="A47" t="s">
        <v>1079</v>
      </c>
      <c r="B47" t="s">
        <v>1405</v>
      </c>
      <c r="C47" t="s">
        <v>1742</v>
      </c>
      <c r="D47" t="s">
        <v>1743</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hidden="1" x14ac:dyDescent="0.45">
      <c r="A48" t="s">
        <v>1406</v>
      </c>
      <c r="B48" t="s">
        <v>1407</v>
      </c>
      <c r="C48" t="s">
        <v>1742</v>
      </c>
      <c r="D48" t="s">
        <v>1743</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hidden="1" x14ac:dyDescent="0.45">
      <c r="A49" t="s">
        <v>1408</v>
      </c>
      <c r="B49" t="s">
        <v>1409</v>
      </c>
      <c r="C49" t="s">
        <v>1742</v>
      </c>
      <c r="D49" t="s">
        <v>1743</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hidden="1" x14ac:dyDescent="0.45">
      <c r="A50" t="s">
        <v>1203</v>
      </c>
      <c r="B50" t="s">
        <v>1410</v>
      </c>
      <c r="C50" t="s">
        <v>1742</v>
      </c>
      <c r="D50" t="s">
        <v>1743</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hidden="1" x14ac:dyDescent="0.45">
      <c r="A51" t="s">
        <v>1067</v>
      </c>
      <c r="B51" t="s">
        <v>1411</v>
      </c>
      <c r="C51" t="s">
        <v>1742</v>
      </c>
      <c r="D51" t="s">
        <v>1743</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hidden="1" x14ac:dyDescent="0.45">
      <c r="A52" t="s">
        <v>1090</v>
      </c>
      <c r="B52" t="s">
        <v>1412</v>
      </c>
      <c r="C52" t="s">
        <v>1742</v>
      </c>
      <c r="D52" t="s">
        <v>1743</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hidden="1" x14ac:dyDescent="0.45">
      <c r="A53" t="s">
        <v>1191</v>
      </c>
      <c r="B53" t="s">
        <v>1413</v>
      </c>
      <c r="C53" t="s">
        <v>1742</v>
      </c>
      <c r="D53" t="s">
        <v>1743</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hidden="1" x14ac:dyDescent="0.45">
      <c r="A54" t="s">
        <v>1414</v>
      </c>
      <c r="B54" t="s">
        <v>1415</v>
      </c>
      <c r="C54" t="s">
        <v>1742</v>
      </c>
      <c r="D54" t="s">
        <v>1743</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hidden="1" x14ac:dyDescent="0.45">
      <c r="A55" t="s">
        <v>1176</v>
      </c>
      <c r="B55" t="s">
        <v>1416</v>
      </c>
      <c r="C55" t="s">
        <v>1742</v>
      </c>
      <c r="D55" t="s">
        <v>1743</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hidden="1" x14ac:dyDescent="0.45">
      <c r="A56" t="s">
        <v>1417</v>
      </c>
      <c r="B56" t="s">
        <v>1418</v>
      </c>
      <c r="C56" t="s">
        <v>1742</v>
      </c>
      <c r="D56" t="s">
        <v>1743</v>
      </c>
    </row>
    <row r="57" spans="1:64" hidden="1" x14ac:dyDescent="0.45">
      <c r="A57" t="s">
        <v>1419</v>
      </c>
      <c r="B57" t="s">
        <v>1420</v>
      </c>
      <c r="C57" t="s">
        <v>1742</v>
      </c>
      <c r="D57" t="s">
        <v>1743</v>
      </c>
    </row>
    <row r="58" spans="1:64" hidden="1" x14ac:dyDescent="0.45">
      <c r="A58" t="s">
        <v>1116</v>
      </c>
      <c r="B58" t="s">
        <v>1421</v>
      </c>
      <c r="C58" t="s">
        <v>1742</v>
      </c>
      <c r="D58" t="s">
        <v>1743</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hidden="1" x14ac:dyDescent="0.45">
      <c r="A59" t="s">
        <v>1422</v>
      </c>
      <c r="B59" t="s">
        <v>1423</v>
      </c>
      <c r="C59" t="s">
        <v>1742</v>
      </c>
      <c r="D59" t="s">
        <v>1743</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hidden="1" x14ac:dyDescent="0.45">
      <c r="A60" t="s">
        <v>1273</v>
      </c>
      <c r="B60" t="s">
        <v>1424</v>
      </c>
      <c r="C60" t="s">
        <v>1742</v>
      </c>
      <c r="D60" t="s">
        <v>1743</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hidden="1" x14ac:dyDescent="0.45">
      <c r="A61" t="s">
        <v>1068</v>
      </c>
      <c r="B61" t="s">
        <v>1425</v>
      </c>
      <c r="C61" t="s">
        <v>1742</v>
      </c>
      <c r="D61" t="s">
        <v>1743</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hidden="1" x14ac:dyDescent="0.45">
      <c r="A62" t="s">
        <v>1426</v>
      </c>
      <c r="B62" t="s">
        <v>1427</v>
      </c>
      <c r="C62" t="s">
        <v>1742</v>
      </c>
      <c r="D62" t="s">
        <v>1743</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hidden="1" x14ac:dyDescent="0.45">
      <c r="A63" t="s">
        <v>1246</v>
      </c>
      <c r="B63" t="s">
        <v>1428</v>
      </c>
      <c r="C63" t="s">
        <v>1742</v>
      </c>
      <c r="D63" t="s">
        <v>1743</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hidden="1" x14ac:dyDescent="0.45">
      <c r="A64" t="s">
        <v>1178</v>
      </c>
      <c r="B64" t="s">
        <v>1429</v>
      </c>
      <c r="C64" t="s">
        <v>1742</v>
      </c>
      <c r="D64" t="s">
        <v>1743</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hidden="1" x14ac:dyDescent="0.45">
      <c r="A65" t="s">
        <v>1105</v>
      </c>
      <c r="B65" t="s">
        <v>1430</v>
      </c>
      <c r="C65" t="s">
        <v>1742</v>
      </c>
      <c r="D65" t="s">
        <v>1743</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hidden="1" x14ac:dyDescent="0.45">
      <c r="A66" t="s">
        <v>1431</v>
      </c>
      <c r="B66" t="s">
        <v>1432</v>
      </c>
      <c r="C66" t="s">
        <v>1742</v>
      </c>
      <c r="D66" t="s">
        <v>1743</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hidden="1" x14ac:dyDescent="0.45">
      <c r="A67" t="s">
        <v>1433</v>
      </c>
      <c r="B67" t="s">
        <v>1434</v>
      </c>
      <c r="C67" t="s">
        <v>1742</v>
      </c>
      <c r="D67" t="s">
        <v>1743</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hidden="1" x14ac:dyDescent="0.45">
      <c r="A68" t="s">
        <v>1435</v>
      </c>
      <c r="B68" t="s">
        <v>1436</v>
      </c>
      <c r="C68" t="s">
        <v>1742</v>
      </c>
      <c r="D68" t="s">
        <v>1743</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hidden="1" x14ac:dyDescent="0.45">
      <c r="A69" t="s">
        <v>1437</v>
      </c>
      <c r="B69" t="s">
        <v>1438</v>
      </c>
      <c r="C69" t="s">
        <v>1742</v>
      </c>
      <c r="D69" t="s">
        <v>1743</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hidden="1" x14ac:dyDescent="0.45">
      <c r="A70" t="s">
        <v>1439</v>
      </c>
      <c r="B70" t="s">
        <v>1440</v>
      </c>
      <c r="C70" t="s">
        <v>1742</v>
      </c>
      <c r="D70" t="s">
        <v>1743</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hidden="1" x14ac:dyDescent="0.45">
      <c r="A71" t="s">
        <v>1204</v>
      </c>
      <c r="B71" t="s">
        <v>1441</v>
      </c>
      <c r="C71" t="s">
        <v>1742</v>
      </c>
      <c r="D71" t="s">
        <v>1743</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hidden="1" x14ac:dyDescent="0.45">
      <c r="A72" t="s">
        <v>1442</v>
      </c>
      <c r="B72" t="s">
        <v>1443</v>
      </c>
      <c r="C72" t="s">
        <v>1742</v>
      </c>
      <c r="D72" t="s">
        <v>1743</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hidden="1" x14ac:dyDescent="0.45">
      <c r="A73" t="s">
        <v>1444</v>
      </c>
      <c r="B73" t="s">
        <v>1445</v>
      </c>
      <c r="C73" t="s">
        <v>1742</v>
      </c>
      <c r="D73" t="s">
        <v>1743</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hidden="1" x14ac:dyDescent="0.45">
      <c r="A74" t="s">
        <v>592</v>
      </c>
      <c r="B74" t="s">
        <v>1446</v>
      </c>
      <c r="C74" t="s">
        <v>1742</v>
      </c>
      <c r="D74" t="s">
        <v>1743</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hidden="1" x14ac:dyDescent="0.45">
      <c r="A75" t="s">
        <v>1268</v>
      </c>
      <c r="B75" t="s">
        <v>1447</v>
      </c>
      <c r="C75" t="s">
        <v>1742</v>
      </c>
      <c r="D75" t="s">
        <v>1743</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hidden="1" x14ac:dyDescent="0.45">
      <c r="A76" t="s">
        <v>1247</v>
      </c>
      <c r="B76" t="s">
        <v>1448</v>
      </c>
      <c r="C76" t="s">
        <v>1742</v>
      </c>
      <c r="D76" t="s">
        <v>1743</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45">
      <c r="A77" t="s">
        <v>594</v>
      </c>
      <c r="B77" t="s">
        <v>926</v>
      </c>
      <c r="C77" t="s">
        <v>1742</v>
      </c>
      <c r="D77" t="s">
        <v>1743</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hidden="1" x14ac:dyDescent="0.45">
      <c r="A78" t="s">
        <v>1449</v>
      </c>
      <c r="B78" t="s">
        <v>1450</v>
      </c>
      <c r="C78" t="s">
        <v>1742</v>
      </c>
      <c r="D78" t="s">
        <v>1743</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hidden="1" x14ac:dyDescent="0.45">
      <c r="A79" t="s">
        <v>1451</v>
      </c>
      <c r="B79" t="s">
        <v>1452</v>
      </c>
      <c r="C79" t="s">
        <v>1742</v>
      </c>
      <c r="D79" t="s">
        <v>1743</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hidden="1" x14ac:dyDescent="0.45">
      <c r="A80" t="s">
        <v>1248</v>
      </c>
      <c r="B80" t="s">
        <v>1453</v>
      </c>
      <c r="C80" t="s">
        <v>1742</v>
      </c>
      <c r="D80" t="s">
        <v>1743</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hidden="1" x14ac:dyDescent="0.45">
      <c r="A81" t="s">
        <v>1217</v>
      </c>
      <c r="B81" t="s">
        <v>1454</v>
      </c>
      <c r="C81" t="s">
        <v>1742</v>
      </c>
      <c r="D81" t="s">
        <v>1743</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hidden="1" x14ac:dyDescent="0.45">
      <c r="A82" t="s">
        <v>1272</v>
      </c>
      <c r="B82" t="s">
        <v>1455</v>
      </c>
      <c r="C82" t="s">
        <v>1742</v>
      </c>
      <c r="D82" t="s">
        <v>1743</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hidden="1" x14ac:dyDescent="0.45">
      <c r="A83" t="s">
        <v>1456</v>
      </c>
      <c r="B83" t="s">
        <v>1457</v>
      </c>
      <c r="C83" t="s">
        <v>1742</v>
      </c>
      <c r="D83" t="s">
        <v>1743</v>
      </c>
    </row>
    <row r="84" spans="1:64" hidden="1" x14ac:dyDescent="0.45">
      <c r="A84" t="s">
        <v>1458</v>
      </c>
      <c r="B84" t="s">
        <v>1459</v>
      </c>
      <c r="C84" t="s">
        <v>1742</v>
      </c>
      <c r="D84" t="s">
        <v>1743</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hidden="1" x14ac:dyDescent="0.45">
      <c r="A85" t="s">
        <v>1083</v>
      </c>
      <c r="B85" t="s">
        <v>1460</v>
      </c>
      <c r="C85" t="s">
        <v>1742</v>
      </c>
      <c r="D85" t="s">
        <v>1743</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hidden="1" x14ac:dyDescent="0.45">
      <c r="A86" t="s">
        <v>1255</v>
      </c>
      <c r="B86" t="s">
        <v>1461</v>
      </c>
      <c r="C86" t="s">
        <v>1742</v>
      </c>
      <c r="D86" t="s">
        <v>1743</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hidden="1" x14ac:dyDescent="0.45">
      <c r="A87" t="s">
        <v>1117</v>
      </c>
      <c r="B87" t="s">
        <v>1462</v>
      </c>
      <c r="C87" t="s">
        <v>1742</v>
      </c>
      <c r="D87" t="s">
        <v>1743</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hidden="1" x14ac:dyDescent="0.45">
      <c r="A88" t="s">
        <v>1092</v>
      </c>
      <c r="B88" t="s">
        <v>1463</v>
      </c>
      <c r="C88" t="s">
        <v>1742</v>
      </c>
      <c r="D88" t="s">
        <v>1743</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hidden="1" x14ac:dyDescent="0.45">
      <c r="A89" t="s">
        <v>1464</v>
      </c>
      <c r="B89" t="s">
        <v>1465</v>
      </c>
      <c r="C89" t="s">
        <v>1742</v>
      </c>
      <c r="D89" t="s">
        <v>1743</v>
      </c>
    </row>
    <row r="90" spans="1:64" hidden="1" x14ac:dyDescent="0.45">
      <c r="A90" t="s">
        <v>1093</v>
      </c>
      <c r="B90" t="s">
        <v>1466</v>
      </c>
      <c r="C90" t="s">
        <v>1742</v>
      </c>
      <c r="D90" t="s">
        <v>1743</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hidden="1" x14ac:dyDescent="0.45">
      <c r="A91" t="s">
        <v>1467</v>
      </c>
      <c r="B91" t="s">
        <v>1468</v>
      </c>
      <c r="C91" t="s">
        <v>1742</v>
      </c>
      <c r="D91" t="s">
        <v>1743</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hidden="1" x14ac:dyDescent="0.45">
      <c r="A92" t="s">
        <v>1094</v>
      </c>
      <c r="B92" t="s">
        <v>1469</v>
      </c>
      <c r="C92" t="s">
        <v>1742</v>
      </c>
      <c r="D92" t="s">
        <v>1743</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hidden="1" x14ac:dyDescent="0.45">
      <c r="A93" t="s">
        <v>1082</v>
      </c>
      <c r="B93" t="s">
        <v>1470</v>
      </c>
      <c r="C93" t="s">
        <v>1742</v>
      </c>
      <c r="D93" t="s">
        <v>1743</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hidden="1" x14ac:dyDescent="0.45">
      <c r="A94" t="s">
        <v>1260</v>
      </c>
      <c r="B94" t="s">
        <v>1471</v>
      </c>
      <c r="C94" t="s">
        <v>1742</v>
      </c>
      <c r="D94" t="s">
        <v>1743</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hidden="1" x14ac:dyDescent="0.45">
      <c r="A95" t="s">
        <v>1179</v>
      </c>
      <c r="B95" t="s">
        <v>1472</v>
      </c>
      <c r="C95" t="s">
        <v>1742</v>
      </c>
      <c r="D95" t="s">
        <v>1743</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hidden="1" x14ac:dyDescent="0.45">
      <c r="A96" t="s">
        <v>1473</v>
      </c>
      <c r="B96" t="s">
        <v>1474</v>
      </c>
      <c r="C96" t="s">
        <v>1742</v>
      </c>
      <c r="D96" t="s">
        <v>1743</v>
      </c>
    </row>
    <row r="97" spans="1:64" hidden="1" x14ac:dyDescent="0.45">
      <c r="A97" t="s">
        <v>1193</v>
      </c>
      <c r="B97" t="s">
        <v>1475</v>
      </c>
      <c r="C97" t="s">
        <v>1742</v>
      </c>
      <c r="D97" t="s">
        <v>1743</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hidden="1" x14ac:dyDescent="0.45">
      <c r="A98" t="s">
        <v>1223</v>
      </c>
      <c r="B98" t="s">
        <v>1476</v>
      </c>
      <c r="C98" t="s">
        <v>1742</v>
      </c>
      <c r="D98" t="s">
        <v>1743</v>
      </c>
    </row>
    <row r="99" spans="1:64" hidden="1" x14ac:dyDescent="0.45">
      <c r="A99" t="s">
        <v>1206</v>
      </c>
      <c r="B99" t="s">
        <v>1477</v>
      </c>
      <c r="C99" t="s">
        <v>1742</v>
      </c>
      <c r="D99" t="s">
        <v>1743</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hidden="1" x14ac:dyDescent="0.45">
      <c r="A100" t="s">
        <v>1478</v>
      </c>
      <c r="B100" t="s">
        <v>1479</v>
      </c>
      <c r="C100" t="s">
        <v>1742</v>
      </c>
      <c r="D100" t="s">
        <v>1743</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hidden="1" x14ac:dyDescent="0.45">
      <c r="A101" t="s">
        <v>1480</v>
      </c>
      <c r="B101" t="s">
        <v>1481</v>
      </c>
      <c r="C101" t="s">
        <v>1742</v>
      </c>
      <c r="D101" t="s">
        <v>1743</v>
      </c>
    </row>
    <row r="102" spans="1:64" hidden="1" x14ac:dyDescent="0.45">
      <c r="A102" t="s">
        <v>1194</v>
      </c>
      <c r="B102" t="s">
        <v>1482</v>
      </c>
      <c r="C102" t="s">
        <v>1742</v>
      </c>
      <c r="D102" t="s">
        <v>1743</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hidden="1" x14ac:dyDescent="0.45">
      <c r="A103" t="s">
        <v>1483</v>
      </c>
      <c r="B103" t="s">
        <v>1484</v>
      </c>
      <c r="C103" t="s">
        <v>1742</v>
      </c>
      <c r="D103" t="s">
        <v>1743</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hidden="1" x14ac:dyDescent="0.45">
      <c r="A104" t="s">
        <v>1259</v>
      </c>
      <c r="B104" t="s">
        <v>1485</v>
      </c>
      <c r="C104" t="s">
        <v>1742</v>
      </c>
      <c r="D104" t="s">
        <v>1743</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hidden="1" x14ac:dyDescent="0.45">
      <c r="A105" t="s">
        <v>1181</v>
      </c>
      <c r="B105" t="s">
        <v>1486</v>
      </c>
      <c r="C105" t="s">
        <v>1742</v>
      </c>
      <c r="D105" t="s">
        <v>1743</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hidden="1" x14ac:dyDescent="0.45">
      <c r="A106" t="s">
        <v>1237</v>
      </c>
      <c r="B106" t="s">
        <v>1487</v>
      </c>
      <c r="C106" t="s">
        <v>1742</v>
      </c>
      <c r="D106" t="s">
        <v>1743</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hidden="1" x14ac:dyDescent="0.45">
      <c r="A107" t="s">
        <v>1488</v>
      </c>
      <c r="B107" t="s">
        <v>1489</v>
      </c>
      <c r="C107" t="s">
        <v>1742</v>
      </c>
      <c r="D107" t="s">
        <v>1743</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hidden="1" x14ac:dyDescent="0.45">
      <c r="A108" t="s">
        <v>1490</v>
      </c>
      <c r="B108" t="s">
        <v>1491</v>
      </c>
      <c r="C108" t="s">
        <v>1742</v>
      </c>
      <c r="D108" t="s">
        <v>1743</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hidden="1" x14ac:dyDescent="0.45">
      <c r="A109" t="s">
        <v>1492</v>
      </c>
      <c r="B109" t="s">
        <v>1493</v>
      </c>
      <c r="C109" t="s">
        <v>1742</v>
      </c>
      <c r="D109" t="s">
        <v>1743</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hidden="1" x14ac:dyDescent="0.45">
      <c r="A110" t="s">
        <v>1494</v>
      </c>
      <c r="B110" t="s">
        <v>1495</v>
      </c>
      <c r="C110" t="s">
        <v>1742</v>
      </c>
      <c r="D110" t="s">
        <v>1743</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hidden="1" x14ac:dyDescent="0.45">
      <c r="A111" t="s">
        <v>1161</v>
      </c>
      <c r="B111" t="s">
        <v>1496</v>
      </c>
      <c r="C111" t="s">
        <v>1742</v>
      </c>
      <c r="D111" t="s">
        <v>1743</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hidden="1" x14ac:dyDescent="0.45">
      <c r="A112" t="s">
        <v>1497</v>
      </c>
      <c r="B112" t="s">
        <v>1498</v>
      </c>
      <c r="C112" t="s">
        <v>1742</v>
      </c>
      <c r="D112" t="s">
        <v>1743</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hidden="1" x14ac:dyDescent="0.45">
      <c r="A113" t="s">
        <v>1499</v>
      </c>
      <c r="B113" t="s">
        <v>1500</v>
      </c>
      <c r="C113" t="s">
        <v>1742</v>
      </c>
      <c r="D113" t="s">
        <v>1743</v>
      </c>
    </row>
    <row r="114" spans="1:64" hidden="1" x14ac:dyDescent="0.45">
      <c r="A114" t="s">
        <v>1142</v>
      </c>
      <c r="B114" t="s">
        <v>1501</v>
      </c>
      <c r="C114" t="s">
        <v>1742</v>
      </c>
      <c r="D114" t="s">
        <v>1743</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hidden="1" x14ac:dyDescent="0.45">
      <c r="A115" t="s">
        <v>1502</v>
      </c>
      <c r="B115" t="s">
        <v>1503</v>
      </c>
      <c r="C115" t="s">
        <v>1742</v>
      </c>
      <c r="D115" t="s">
        <v>1743</v>
      </c>
    </row>
    <row r="116" spans="1:64" hidden="1" x14ac:dyDescent="0.45">
      <c r="A116" t="s">
        <v>1250</v>
      </c>
      <c r="B116" t="s">
        <v>1504</v>
      </c>
      <c r="C116" t="s">
        <v>1742</v>
      </c>
      <c r="D116" t="s">
        <v>1743</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hidden="1" x14ac:dyDescent="0.45">
      <c r="A117" t="s">
        <v>1505</v>
      </c>
      <c r="B117" t="s">
        <v>1506</v>
      </c>
      <c r="C117" t="s">
        <v>1742</v>
      </c>
      <c r="D117" t="s">
        <v>1743</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hidden="1" x14ac:dyDescent="0.45">
      <c r="A118" t="s">
        <v>1118</v>
      </c>
      <c r="B118" t="s">
        <v>1507</v>
      </c>
      <c r="C118" t="s">
        <v>1742</v>
      </c>
      <c r="D118" t="s">
        <v>1743</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hidden="1" x14ac:dyDescent="0.45">
      <c r="A119" t="s">
        <v>1249</v>
      </c>
      <c r="B119" t="s">
        <v>1508</v>
      </c>
      <c r="C119" t="s">
        <v>1742</v>
      </c>
      <c r="D119" t="s">
        <v>1743</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hidden="1" x14ac:dyDescent="0.45">
      <c r="A120" t="s">
        <v>1119</v>
      </c>
      <c r="B120" t="s">
        <v>1509</v>
      </c>
      <c r="C120" t="s">
        <v>1742</v>
      </c>
      <c r="D120" t="s">
        <v>1743</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hidden="1" x14ac:dyDescent="0.45">
      <c r="A121" t="s">
        <v>1261</v>
      </c>
      <c r="B121" t="s">
        <v>1510</v>
      </c>
      <c r="C121" t="s">
        <v>1742</v>
      </c>
      <c r="D121" t="s">
        <v>1743</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hidden="1" x14ac:dyDescent="0.45">
      <c r="A122" t="s">
        <v>1182</v>
      </c>
      <c r="B122" t="s">
        <v>1511</v>
      </c>
      <c r="C122" t="s">
        <v>1742</v>
      </c>
      <c r="D122" t="s">
        <v>1743</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hidden="1" x14ac:dyDescent="0.45">
      <c r="A123" t="s">
        <v>1120</v>
      </c>
      <c r="B123" t="s">
        <v>1512</v>
      </c>
      <c r="C123" t="s">
        <v>1742</v>
      </c>
      <c r="D123" t="s">
        <v>1743</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hidden="1" x14ac:dyDescent="0.45">
      <c r="A124" t="s">
        <v>1155</v>
      </c>
      <c r="B124" t="s">
        <v>1513</v>
      </c>
      <c r="C124" t="s">
        <v>1742</v>
      </c>
      <c r="D124" t="s">
        <v>1743</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hidden="1" x14ac:dyDescent="0.45">
      <c r="A125" t="s">
        <v>1133</v>
      </c>
      <c r="B125" t="s">
        <v>1514</v>
      </c>
      <c r="C125" t="s">
        <v>1742</v>
      </c>
      <c r="D125" t="s">
        <v>1743</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hidden="1" x14ac:dyDescent="0.45">
      <c r="A126" t="s">
        <v>1069</v>
      </c>
      <c r="B126" t="s">
        <v>1515</v>
      </c>
      <c r="C126" t="s">
        <v>1742</v>
      </c>
      <c r="D126" t="s">
        <v>1743</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hidden="1" x14ac:dyDescent="0.45">
      <c r="A127" t="s">
        <v>1516</v>
      </c>
      <c r="B127" t="s">
        <v>1517</v>
      </c>
      <c r="C127" t="s">
        <v>1742</v>
      </c>
      <c r="D127" t="s">
        <v>1743</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hidden="1" x14ac:dyDescent="0.45">
      <c r="A128" t="s">
        <v>1160</v>
      </c>
      <c r="B128" t="s">
        <v>1518</v>
      </c>
      <c r="C128" t="s">
        <v>1742</v>
      </c>
      <c r="D128" t="s">
        <v>1743</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hidden="1" x14ac:dyDescent="0.45">
      <c r="A129" t="s">
        <v>1224</v>
      </c>
      <c r="B129" t="s">
        <v>1519</v>
      </c>
      <c r="C129" t="s">
        <v>1742</v>
      </c>
      <c r="D129" t="s">
        <v>1743</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hidden="1" x14ac:dyDescent="0.45">
      <c r="A130" t="s">
        <v>1520</v>
      </c>
      <c r="B130" t="s">
        <v>1521</v>
      </c>
      <c r="C130" t="s">
        <v>1742</v>
      </c>
      <c r="D130" t="s">
        <v>1743</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hidden="1" x14ac:dyDescent="0.45">
      <c r="A131" t="s">
        <v>1522</v>
      </c>
      <c r="B131" t="s">
        <v>1523</v>
      </c>
      <c r="C131" t="s">
        <v>1742</v>
      </c>
      <c r="D131" t="s">
        <v>1743</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hidden="1" x14ac:dyDescent="0.45">
      <c r="A132" t="s">
        <v>1121</v>
      </c>
      <c r="B132" t="s">
        <v>1524</v>
      </c>
      <c r="C132" t="s">
        <v>1742</v>
      </c>
      <c r="D132" t="s">
        <v>1743</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hidden="1" x14ac:dyDescent="0.45">
      <c r="A133" t="s">
        <v>1525</v>
      </c>
      <c r="B133" t="s">
        <v>1526</v>
      </c>
      <c r="C133" t="s">
        <v>1742</v>
      </c>
      <c r="D133" t="s">
        <v>1743</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hidden="1" x14ac:dyDescent="0.45">
      <c r="A134" t="s">
        <v>1527</v>
      </c>
      <c r="B134" t="s">
        <v>1528</v>
      </c>
      <c r="C134" t="s">
        <v>1742</v>
      </c>
      <c r="D134" t="s">
        <v>1743</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hidden="1" x14ac:dyDescent="0.45">
      <c r="A135" t="s">
        <v>1122</v>
      </c>
      <c r="B135" t="s">
        <v>1529</v>
      </c>
      <c r="C135" t="s">
        <v>1742</v>
      </c>
      <c r="D135" t="s">
        <v>1743</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hidden="1" x14ac:dyDescent="0.45">
      <c r="A136" t="s">
        <v>1095</v>
      </c>
      <c r="B136" t="s">
        <v>1530</v>
      </c>
      <c r="C136" t="s">
        <v>1742</v>
      </c>
      <c r="D136" t="s">
        <v>1743</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hidden="1" x14ac:dyDescent="0.45">
      <c r="A137" t="s">
        <v>1107</v>
      </c>
      <c r="B137" t="s">
        <v>1531</v>
      </c>
      <c r="C137" t="s">
        <v>1742</v>
      </c>
      <c r="D137" t="s">
        <v>1743</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hidden="1" x14ac:dyDescent="0.45">
      <c r="A138" t="s">
        <v>1532</v>
      </c>
      <c r="B138" t="s">
        <v>1533</v>
      </c>
      <c r="C138" t="s">
        <v>1742</v>
      </c>
      <c r="D138" t="s">
        <v>1743</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hidden="1" x14ac:dyDescent="0.45">
      <c r="A139" t="s">
        <v>1534</v>
      </c>
      <c r="B139" t="s">
        <v>1535</v>
      </c>
      <c r="C139" t="s">
        <v>1742</v>
      </c>
      <c r="D139" t="s">
        <v>1743</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hidden="1" x14ac:dyDescent="0.45">
      <c r="A140" t="s">
        <v>1536</v>
      </c>
      <c r="B140" t="s">
        <v>1537</v>
      </c>
      <c r="C140" t="s">
        <v>1742</v>
      </c>
      <c r="D140" t="s">
        <v>1743</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hidden="1" x14ac:dyDescent="0.45">
      <c r="A141" t="s">
        <v>1538</v>
      </c>
      <c r="B141" t="s">
        <v>1539</v>
      </c>
      <c r="C141" t="s">
        <v>1742</v>
      </c>
      <c r="D141" t="s">
        <v>1743</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hidden="1" x14ac:dyDescent="0.45">
      <c r="A142" t="s">
        <v>1540</v>
      </c>
      <c r="B142" t="s">
        <v>1541</v>
      </c>
      <c r="C142" t="s">
        <v>1742</v>
      </c>
      <c r="D142" t="s">
        <v>1743</v>
      </c>
    </row>
    <row r="143" spans="1:64" hidden="1" x14ac:dyDescent="0.45">
      <c r="A143" t="s">
        <v>1147</v>
      </c>
      <c r="B143" t="s">
        <v>1542</v>
      </c>
      <c r="C143" t="s">
        <v>1742</v>
      </c>
      <c r="D143" t="s">
        <v>1743</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hidden="1" x14ac:dyDescent="0.45">
      <c r="A144" t="s">
        <v>1543</v>
      </c>
      <c r="B144" t="s">
        <v>1544</v>
      </c>
      <c r="C144" t="s">
        <v>1742</v>
      </c>
      <c r="D144" t="s">
        <v>1743</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hidden="1" x14ac:dyDescent="0.45">
      <c r="A145" t="s">
        <v>1545</v>
      </c>
      <c r="B145" t="s">
        <v>1546</v>
      </c>
      <c r="C145" t="s">
        <v>1742</v>
      </c>
      <c r="D145" t="s">
        <v>1743</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hidden="1" x14ac:dyDescent="0.45">
      <c r="A146" t="s">
        <v>1086</v>
      </c>
      <c r="B146" t="s">
        <v>1547</v>
      </c>
      <c r="C146" t="s">
        <v>1742</v>
      </c>
      <c r="D146" t="s">
        <v>1743</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hidden="1" x14ac:dyDescent="0.45">
      <c r="A147" t="s">
        <v>1548</v>
      </c>
      <c r="B147" t="s">
        <v>1549</v>
      </c>
      <c r="C147" t="s">
        <v>1742</v>
      </c>
      <c r="D147" t="s">
        <v>1743</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hidden="1" x14ac:dyDescent="0.45">
      <c r="A148" t="s">
        <v>1252</v>
      </c>
      <c r="B148" t="s">
        <v>1550</v>
      </c>
      <c r="C148" t="s">
        <v>1742</v>
      </c>
      <c r="D148" t="s">
        <v>1743</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hidden="1" x14ac:dyDescent="0.45">
      <c r="A149" t="s">
        <v>1274</v>
      </c>
      <c r="B149" t="s">
        <v>1551</v>
      </c>
      <c r="C149" t="s">
        <v>1742</v>
      </c>
      <c r="D149" t="s">
        <v>1743</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hidden="1" x14ac:dyDescent="0.45">
      <c r="A150" t="s">
        <v>1251</v>
      </c>
      <c r="B150" t="s">
        <v>1552</v>
      </c>
      <c r="C150" t="s">
        <v>1742</v>
      </c>
      <c r="D150" t="s">
        <v>1743</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hidden="1" x14ac:dyDescent="0.45">
      <c r="A151" t="s">
        <v>1553</v>
      </c>
      <c r="B151" t="s">
        <v>1554</v>
      </c>
      <c r="C151" t="s">
        <v>1742</v>
      </c>
      <c r="D151" t="s">
        <v>1743</v>
      </c>
    </row>
    <row r="152" spans="1:64" hidden="1" x14ac:dyDescent="0.45">
      <c r="A152" t="s">
        <v>1555</v>
      </c>
      <c r="B152" t="s">
        <v>1556</v>
      </c>
      <c r="C152" t="s">
        <v>1742</v>
      </c>
      <c r="D152" t="s">
        <v>1743</v>
      </c>
    </row>
    <row r="153" spans="1:64" hidden="1" x14ac:dyDescent="0.45">
      <c r="A153" t="s">
        <v>1108</v>
      </c>
      <c r="B153" t="s">
        <v>1557</v>
      </c>
      <c r="C153" t="s">
        <v>1742</v>
      </c>
      <c r="D153" t="s">
        <v>1743</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hidden="1" x14ac:dyDescent="0.45">
      <c r="A154" t="s">
        <v>1558</v>
      </c>
      <c r="B154" t="s">
        <v>1559</v>
      </c>
      <c r="C154" t="s">
        <v>1742</v>
      </c>
      <c r="D154" t="s">
        <v>1743</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hidden="1" x14ac:dyDescent="0.45">
      <c r="A155" t="s">
        <v>1560</v>
      </c>
      <c r="B155" t="s">
        <v>1561</v>
      </c>
      <c r="C155" t="s">
        <v>1742</v>
      </c>
      <c r="D155" t="s">
        <v>1743</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hidden="1" x14ac:dyDescent="0.45">
      <c r="A156" t="s">
        <v>1070</v>
      </c>
      <c r="B156" t="s">
        <v>1562</v>
      </c>
      <c r="C156" t="s">
        <v>1742</v>
      </c>
      <c r="D156" t="s">
        <v>1743</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hidden="1" x14ac:dyDescent="0.45">
      <c r="A157" t="s">
        <v>1144</v>
      </c>
      <c r="B157" t="s">
        <v>1563</v>
      </c>
      <c r="C157" t="s">
        <v>1742</v>
      </c>
      <c r="D157" t="s">
        <v>1743</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hidden="1" x14ac:dyDescent="0.45">
      <c r="A158" t="s">
        <v>1564</v>
      </c>
      <c r="B158" t="s">
        <v>1565</v>
      </c>
      <c r="C158" t="s">
        <v>1742</v>
      </c>
      <c r="D158" t="s">
        <v>1743</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hidden="1" x14ac:dyDescent="0.45">
      <c r="A159" t="s">
        <v>1195</v>
      </c>
      <c r="B159" t="s">
        <v>1566</v>
      </c>
      <c r="C159" t="s">
        <v>1742</v>
      </c>
      <c r="D159" t="s">
        <v>1743</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hidden="1" x14ac:dyDescent="0.45">
      <c r="A160" t="s">
        <v>1567</v>
      </c>
      <c r="B160" t="s">
        <v>1568</v>
      </c>
      <c r="C160" t="s">
        <v>1742</v>
      </c>
      <c r="D160" t="s">
        <v>1743</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hidden="1" x14ac:dyDescent="0.45">
      <c r="A161" t="s">
        <v>1569</v>
      </c>
      <c r="B161" t="s">
        <v>1570</v>
      </c>
      <c r="C161" t="s">
        <v>1742</v>
      </c>
      <c r="D161" t="s">
        <v>1743</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hidden="1" x14ac:dyDescent="0.45">
      <c r="A162" t="s">
        <v>1264</v>
      </c>
      <c r="B162" t="s">
        <v>1571</v>
      </c>
      <c r="C162" t="s">
        <v>1742</v>
      </c>
      <c r="D162" t="s">
        <v>1743</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hidden="1" x14ac:dyDescent="0.45">
      <c r="A163" t="s">
        <v>1096</v>
      </c>
      <c r="B163" t="s">
        <v>1572</v>
      </c>
      <c r="C163" t="s">
        <v>1742</v>
      </c>
      <c r="D163" t="s">
        <v>1743</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hidden="1" x14ac:dyDescent="0.45">
      <c r="A164" t="s">
        <v>1262</v>
      </c>
      <c r="B164" t="s">
        <v>1573</v>
      </c>
      <c r="C164" t="s">
        <v>1742</v>
      </c>
      <c r="D164" t="s">
        <v>1743</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hidden="1" x14ac:dyDescent="0.45">
      <c r="A165" t="s">
        <v>1164</v>
      </c>
      <c r="B165" t="s">
        <v>1574</v>
      </c>
      <c r="C165" t="s">
        <v>1742</v>
      </c>
      <c r="D165" t="s">
        <v>1743</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hidden="1" x14ac:dyDescent="0.45">
      <c r="A166" t="s">
        <v>1575</v>
      </c>
      <c r="B166" t="s">
        <v>1576</v>
      </c>
      <c r="C166" t="s">
        <v>1742</v>
      </c>
      <c r="D166" t="s">
        <v>1743</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hidden="1" x14ac:dyDescent="0.45">
      <c r="A167" t="s">
        <v>1263</v>
      </c>
      <c r="B167" t="s">
        <v>1577</v>
      </c>
      <c r="C167" t="s">
        <v>1742</v>
      </c>
      <c r="D167" t="s">
        <v>1743</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hidden="1" x14ac:dyDescent="0.45">
      <c r="A168" t="s">
        <v>1156</v>
      </c>
      <c r="B168" t="s">
        <v>1578</v>
      </c>
      <c r="C168" t="s">
        <v>1742</v>
      </c>
      <c r="D168" t="s">
        <v>1743</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hidden="1" x14ac:dyDescent="0.45">
      <c r="A169" t="s">
        <v>1579</v>
      </c>
      <c r="B169" t="s">
        <v>1580</v>
      </c>
      <c r="C169" t="s">
        <v>1742</v>
      </c>
      <c r="D169" t="s">
        <v>1743</v>
      </c>
    </row>
    <row r="170" spans="1:64" hidden="1" x14ac:dyDescent="0.45">
      <c r="A170" t="s">
        <v>596</v>
      </c>
      <c r="B170" t="s">
        <v>1581</v>
      </c>
      <c r="C170" t="s">
        <v>1742</v>
      </c>
      <c r="D170" t="s">
        <v>1743</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hidden="1" x14ac:dyDescent="0.45">
      <c r="A171" t="s">
        <v>1097</v>
      </c>
      <c r="B171" t="s">
        <v>1582</v>
      </c>
      <c r="C171" t="s">
        <v>1742</v>
      </c>
      <c r="D171" t="s">
        <v>1743</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hidden="1" x14ac:dyDescent="0.45">
      <c r="A172" t="s">
        <v>1071</v>
      </c>
      <c r="B172" t="s">
        <v>1583</v>
      </c>
      <c r="C172" t="s">
        <v>1742</v>
      </c>
      <c r="D172" t="s">
        <v>1743</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hidden="1" x14ac:dyDescent="0.45">
      <c r="A173" t="s">
        <v>879</v>
      </c>
      <c r="B173" t="s">
        <v>1584</v>
      </c>
      <c r="C173" t="s">
        <v>1742</v>
      </c>
      <c r="D173" t="s">
        <v>1743</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hidden="1" x14ac:dyDescent="0.45">
      <c r="A174" t="s">
        <v>1163</v>
      </c>
      <c r="B174" t="s">
        <v>1585</v>
      </c>
      <c r="C174" t="s">
        <v>1742</v>
      </c>
      <c r="D174" t="s">
        <v>1743</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hidden="1" x14ac:dyDescent="0.45">
      <c r="A175" t="s">
        <v>1586</v>
      </c>
      <c r="B175" t="s">
        <v>1587</v>
      </c>
      <c r="C175" t="s">
        <v>1742</v>
      </c>
      <c r="D175" t="s">
        <v>1743</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hidden="1" x14ac:dyDescent="0.45">
      <c r="A176" t="s">
        <v>598</v>
      </c>
      <c r="B176" t="s">
        <v>1588</v>
      </c>
      <c r="C176" t="s">
        <v>1742</v>
      </c>
      <c r="D176" t="s">
        <v>1743</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hidden="1" x14ac:dyDescent="0.45">
      <c r="A177" t="s">
        <v>1218</v>
      </c>
      <c r="B177" t="s">
        <v>1589</v>
      </c>
      <c r="C177" t="s">
        <v>1742</v>
      </c>
      <c r="D177" t="s">
        <v>1743</v>
      </c>
    </row>
    <row r="178" spans="1:64" hidden="1" x14ac:dyDescent="0.45">
      <c r="A178" t="s">
        <v>1098</v>
      </c>
      <c r="B178" t="s">
        <v>1590</v>
      </c>
      <c r="C178" t="s">
        <v>1742</v>
      </c>
      <c r="D178" t="s">
        <v>1743</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hidden="1" x14ac:dyDescent="0.45">
      <c r="A179" t="s">
        <v>1099</v>
      </c>
      <c r="B179" t="s">
        <v>1591</v>
      </c>
      <c r="C179" t="s">
        <v>1742</v>
      </c>
      <c r="D179" t="s">
        <v>1743</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hidden="1" x14ac:dyDescent="0.45">
      <c r="A180" t="s">
        <v>1196</v>
      </c>
      <c r="B180" t="s">
        <v>1592</v>
      </c>
      <c r="C180" t="s">
        <v>1742</v>
      </c>
      <c r="D180" t="s">
        <v>1743</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hidden="1" x14ac:dyDescent="0.45">
      <c r="A181" t="s">
        <v>1275</v>
      </c>
      <c r="B181" t="s">
        <v>1593</v>
      </c>
      <c r="C181" t="s">
        <v>1742</v>
      </c>
      <c r="D181" t="s">
        <v>1743</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hidden="1" x14ac:dyDescent="0.45">
      <c r="A182" t="s">
        <v>1253</v>
      </c>
      <c r="B182" t="s">
        <v>1594</v>
      </c>
      <c r="C182" t="s">
        <v>1742</v>
      </c>
      <c r="D182" t="s">
        <v>1743</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hidden="1" x14ac:dyDescent="0.45">
      <c r="A183" t="s">
        <v>1145</v>
      </c>
      <c r="B183" t="s">
        <v>1595</v>
      </c>
      <c r="C183" t="s">
        <v>1742</v>
      </c>
      <c r="D183" t="s">
        <v>1743</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hidden="1" x14ac:dyDescent="0.45">
      <c r="A184" t="s">
        <v>1596</v>
      </c>
      <c r="B184" t="s">
        <v>1597</v>
      </c>
      <c r="C184" t="s">
        <v>1742</v>
      </c>
      <c r="D184" t="s">
        <v>1743</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hidden="1" x14ac:dyDescent="0.45">
      <c r="A185" t="s">
        <v>1214</v>
      </c>
      <c r="B185" t="s">
        <v>1598</v>
      </c>
      <c r="C185" t="s">
        <v>1742</v>
      </c>
      <c r="D185" t="s">
        <v>1743</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hidden="1" x14ac:dyDescent="0.45">
      <c r="A186" t="s">
        <v>1599</v>
      </c>
      <c r="B186" t="s">
        <v>1600</v>
      </c>
      <c r="C186" t="s">
        <v>1742</v>
      </c>
      <c r="D186" t="s">
        <v>1743</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hidden="1" x14ac:dyDescent="0.45">
      <c r="A187" t="s">
        <v>1123</v>
      </c>
      <c r="B187" t="s">
        <v>1601</v>
      </c>
      <c r="C187" t="s">
        <v>1742</v>
      </c>
      <c r="D187" t="s">
        <v>1743</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hidden="1" x14ac:dyDescent="0.45">
      <c r="A188" t="s">
        <v>1602</v>
      </c>
      <c r="B188" t="s">
        <v>1603</v>
      </c>
      <c r="C188" t="s">
        <v>1742</v>
      </c>
      <c r="D188" t="s">
        <v>1743</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hidden="1" x14ac:dyDescent="0.45">
      <c r="A189" t="s">
        <v>1146</v>
      </c>
      <c r="B189" t="s">
        <v>1604</v>
      </c>
      <c r="C189" t="s">
        <v>1742</v>
      </c>
      <c r="D189" t="s">
        <v>1743</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hidden="1" x14ac:dyDescent="0.45">
      <c r="A190" t="s">
        <v>1197</v>
      </c>
      <c r="B190" t="s">
        <v>1605</v>
      </c>
      <c r="C190" t="s">
        <v>1742</v>
      </c>
      <c r="D190" t="s">
        <v>1743</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hidden="1" x14ac:dyDescent="0.45">
      <c r="A191" t="s">
        <v>1208</v>
      </c>
      <c r="B191" t="s">
        <v>1606</v>
      </c>
      <c r="C191" t="s">
        <v>1742</v>
      </c>
      <c r="D191" t="s">
        <v>1743</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hidden="1" x14ac:dyDescent="0.45">
      <c r="A192" t="s">
        <v>1165</v>
      </c>
      <c r="B192" t="s">
        <v>1607</v>
      </c>
      <c r="C192" t="s">
        <v>1742</v>
      </c>
      <c r="D192" t="s">
        <v>1743</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hidden="1" x14ac:dyDescent="0.45">
      <c r="A193" t="s">
        <v>1608</v>
      </c>
      <c r="B193" t="s">
        <v>1609</v>
      </c>
      <c r="C193" t="s">
        <v>1742</v>
      </c>
      <c r="D193" t="s">
        <v>1743</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hidden="1" x14ac:dyDescent="0.45">
      <c r="A194" t="s">
        <v>1219</v>
      </c>
      <c r="B194" t="s">
        <v>1610</v>
      </c>
      <c r="C194" t="s">
        <v>1742</v>
      </c>
      <c r="D194" t="s">
        <v>1743</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hidden="1" x14ac:dyDescent="0.45">
      <c r="A195" t="s">
        <v>1238</v>
      </c>
      <c r="B195" t="s">
        <v>1611</v>
      </c>
      <c r="C195" t="s">
        <v>1742</v>
      </c>
      <c r="D195" t="s">
        <v>1743</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hidden="1" x14ac:dyDescent="0.45">
      <c r="A196" t="s">
        <v>1612</v>
      </c>
      <c r="B196" t="s">
        <v>1613</v>
      </c>
      <c r="C196" t="s">
        <v>1742</v>
      </c>
      <c r="D196" t="s">
        <v>1743</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hidden="1" x14ac:dyDescent="0.45">
      <c r="A197" t="s">
        <v>1184</v>
      </c>
      <c r="B197" t="s">
        <v>1614</v>
      </c>
      <c r="C197" t="s">
        <v>1742</v>
      </c>
      <c r="D197" t="s">
        <v>1743</v>
      </c>
    </row>
    <row r="198" spans="1:64" hidden="1" x14ac:dyDescent="0.45">
      <c r="A198" t="s">
        <v>1615</v>
      </c>
      <c r="B198" t="s">
        <v>1616</v>
      </c>
      <c r="C198" t="s">
        <v>1742</v>
      </c>
      <c r="D198" t="s">
        <v>1743</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hidden="1" x14ac:dyDescent="0.45">
      <c r="A199" t="s">
        <v>1265</v>
      </c>
      <c r="B199" t="s">
        <v>1617</v>
      </c>
      <c r="C199" t="s">
        <v>1742</v>
      </c>
      <c r="D199" t="s">
        <v>1743</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hidden="1" x14ac:dyDescent="0.45">
      <c r="A200" t="s">
        <v>1207</v>
      </c>
      <c r="B200" t="s">
        <v>1618</v>
      </c>
      <c r="C200" t="s">
        <v>1742</v>
      </c>
      <c r="D200" t="s">
        <v>1743</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hidden="1" x14ac:dyDescent="0.45">
      <c r="A201" t="s">
        <v>1619</v>
      </c>
      <c r="B201" t="s">
        <v>1620</v>
      </c>
      <c r="C201" t="s">
        <v>1742</v>
      </c>
      <c r="D201" t="s">
        <v>1743</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hidden="1" x14ac:dyDescent="0.45">
      <c r="A202" t="s">
        <v>1621</v>
      </c>
      <c r="B202" t="s">
        <v>1622</v>
      </c>
      <c r="C202" t="s">
        <v>1742</v>
      </c>
      <c r="D202" t="s">
        <v>1743</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hidden="1" x14ac:dyDescent="0.45">
      <c r="A203" t="s">
        <v>1623</v>
      </c>
      <c r="B203" t="s">
        <v>1624</v>
      </c>
      <c r="C203" t="s">
        <v>1742</v>
      </c>
      <c r="D203" t="s">
        <v>1743</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hidden="1" x14ac:dyDescent="0.45">
      <c r="A204" t="s">
        <v>1227</v>
      </c>
      <c r="B204" t="s">
        <v>1625</v>
      </c>
      <c r="C204" t="s">
        <v>1742</v>
      </c>
      <c r="D204" t="s">
        <v>1743</v>
      </c>
    </row>
    <row r="205" spans="1:64" hidden="1" x14ac:dyDescent="0.45">
      <c r="A205" t="s">
        <v>1124</v>
      </c>
      <c r="B205" t="s">
        <v>1626</v>
      </c>
      <c r="C205" t="s">
        <v>1742</v>
      </c>
      <c r="D205" t="s">
        <v>1743</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hidden="1" x14ac:dyDescent="0.45">
      <c r="A206" t="s">
        <v>1240</v>
      </c>
      <c r="B206" t="s">
        <v>1627</v>
      </c>
      <c r="C206" t="s">
        <v>1742</v>
      </c>
      <c r="D206" t="s">
        <v>1743</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hidden="1" x14ac:dyDescent="0.45">
      <c r="A207" t="s">
        <v>1241</v>
      </c>
      <c r="B207" t="s">
        <v>1628</v>
      </c>
      <c r="C207" t="s">
        <v>1742</v>
      </c>
      <c r="D207" t="s">
        <v>1743</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hidden="1" x14ac:dyDescent="0.45">
      <c r="A208" t="s">
        <v>600</v>
      </c>
      <c r="B208" t="s">
        <v>1629</v>
      </c>
      <c r="C208" t="s">
        <v>1742</v>
      </c>
      <c r="D208" t="s">
        <v>1743</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hidden="1" x14ac:dyDescent="0.45">
      <c r="A209" t="s">
        <v>1630</v>
      </c>
      <c r="B209" t="s">
        <v>1631</v>
      </c>
      <c r="C209" t="s">
        <v>1742</v>
      </c>
      <c r="D209" t="s">
        <v>1743</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hidden="1" x14ac:dyDescent="0.45">
      <c r="A210" t="s">
        <v>1125</v>
      </c>
      <c r="B210" t="s">
        <v>1632</v>
      </c>
      <c r="C210" t="s">
        <v>1742</v>
      </c>
      <c r="D210" t="s">
        <v>1743</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hidden="1" x14ac:dyDescent="0.45">
      <c r="A211" t="s">
        <v>1109</v>
      </c>
      <c r="B211" t="s">
        <v>1633</v>
      </c>
      <c r="C211" t="s">
        <v>1742</v>
      </c>
      <c r="D211" t="s">
        <v>1743</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hidden="1" x14ac:dyDescent="0.45">
      <c r="A212" t="s">
        <v>1100</v>
      </c>
      <c r="B212" t="s">
        <v>1634</v>
      </c>
      <c r="C212" t="s">
        <v>1742</v>
      </c>
      <c r="D212" t="s">
        <v>1743</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hidden="1" x14ac:dyDescent="0.45">
      <c r="A213" t="s">
        <v>1166</v>
      </c>
      <c r="B213" t="s">
        <v>1635</v>
      </c>
      <c r="C213" t="s">
        <v>1742</v>
      </c>
      <c r="D213" t="s">
        <v>1743</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hidden="1" x14ac:dyDescent="0.45">
      <c r="A214" t="s">
        <v>1220</v>
      </c>
      <c r="B214" t="s">
        <v>1636</v>
      </c>
      <c r="C214" t="s">
        <v>1742</v>
      </c>
      <c r="D214" t="s">
        <v>1743</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hidden="1" x14ac:dyDescent="0.45">
      <c r="A215" t="s">
        <v>1101</v>
      </c>
      <c r="B215" t="s">
        <v>1637</v>
      </c>
      <c r="C215" t="s">
        <v>1742</v>
      </c>
      <c r="D215" t="s">
        <v>1743</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hidden="1" x14ac:dyDescent="0.45">
      <c r="A216" t="s">
        <v>1192</v>
      </c>
      <c r="B216" t="s">
        <v>1638</v>
      </c>
      <c r="C216" t="s">
        <v>1742</v>
      </c>
      <c r="D216" t="s">
        <v>1743</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hidden="1" x14ac:dyDescent="0.45">
      <c r="A217" t="s">
        <v>1639</v>
      </c>
      <c r="B217" t="s">
        <v>1640</v>
      </c>
      <c r="C217" t="s">
        <v>1742</v>
      </c>
      <c r="D217" t="s">
        <v>1743</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hidden="1" x14ac:dyDescent="0.45">
      <c r="A218" t="s">
        <v>1075</v>
      </c>
      <c r="B218" t="s">
        <v>1641</v>
      </c>
      <c r="C218" t="s">
        <v>1742</v>
      </c>
      <c r="D218" t="s">
        <v>1743</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hidden="1" x14ac:dyDescent="0.45">
      <c r="A219" t="s">
        <v>1266</v>
      </c>
      <c r="B219" t="s">
        <v>1642</v>
      </c>
      <c r="C219" t="s">
        <v>1742</v>
      </c>
      <c r="D219" t="s">
        <v>1743</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hidden="1" x14ac:dyDescent="0.45">
      <c r="A220" t="s">
        <v>1643</v>
      </c>
      <c r="B220" t="s">
        <v>1644</v>
      </c>
      <c r="C220" t="s">
        <v>1742</v>
      </c>
      <c r="D220" t="s">
        <v>1743</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hidden="1" x14ac:dyDescent="0.45">
      <c r="A221" t="s">
        <v>1076</v>
      </c>
      <c r="B221" t="s">
        <v>1645</v>
      </c>
      <c r="C221" t="s">
        <v>1742</v>
      </c>
      <c r="D221" t="s">
        <v>1743</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hidden="1" x14ac:dyDescent="0.45">
      <c r="A222" t="s">
        <v>1646</v>
      </c>
      <c r="B222" t="s">
        <v>1647</v>
      </c>
      <c r="C222" t="s">
        <v>1742</v>
      </c>
      <c r="D222" t="s">
        <v>1743</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hidden="1" x14ac:dyDescent="0.45">
      <c r="A223" t="s">
        <v>1648</v>
      </c>
      <c r="B223" t="s">
        <v>1649</v>
      </c>
      <c r="C223" t="s">
        <v>1742</v>
      </c>
      <c r="D223" t="s">
        <v>1743</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hidden="1" x14ac:dyDescent="0.45">
      <c r="A224" t="s">
        <v>1084</v>
      </c>
      <c r="B224" t="s">
        <v>1650</v>
      </c>
      <c r="C224" t="s">
        <v>1742</v>
      </c>
      <c r="D224" t="s">
        <v>1743</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hidden="1" x14ac:dyDescent="0.45">
      <c r="A225" t="s">
        <v>1209</v>
      </c>
      <c r="B225" t="s">
        <v>1651</v>
      </c>
      <c r="C225" t="s">
        <v>1742</v>
      </c>
      <c r="D225" t="s">
        <v>1743</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hidden="1" x14ac:dyDescent="0.45">
      <c r="A226" t="s">
        <v>1652</v>
      </c>
      <c r="B226" t="s">
        <v>1653</v>
      </c>
      <c r="C226" t="s">
        <v>1742</v>
      </c>
      <c r="D226" t="s">
        <v>1743</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hidden="1" x14ac:dyDescent="0.45">
      <c r="A227" t="s">
        <v>1267</v>
      </c>
      <c r="B227" t="s">
        <v>1654</v>
      </c>
      <c r="C227" t="s">
        <v>1742</v>
      </c>
      <c r="D227" t="s">
        <v>1743</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hidden="1" x14ac:dyDescent="0.45">
      <c r="A228" t="s">
        <v>1254</v>
      </c>
      <c r="B228" t="s">
        <v>1655</v>
      </c>
      <c r="C228" t="s">
        <v>1742</v>
      </c>
      <c r="D228" t="s">
        <v>1743</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hidden="1" x14ac:dyDescent="0.45">
      <c r="A229" t="s">
        <v>603</v>
      </c>
      <c r="B229" t="s">
        <v>1656</v>
      </c>
      <c r="C229" t="s">
        <v>1742</v>
      </c>
      <c r="D229" t="s">
        <v>1743</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hidden="1" x14ac:dyDescent="0.45">
      <c r="A230" t="s">
        <v>1657</v>
      </c>
      <c r="B230" t="s">
        <v>1658</v>
      </c>
      <c r="C230" t="s">
        <v>1742</v>
      </c>
      <c r="D230" t="s">
        <v>1743</v>
      </c>
    </row>
    <row r="231" spans="1:64" hidden="1" x14ac:dyDescent="0.45">
      <c r="A231" t="s">
        <v>1074</v>
      </c>
      <c r="B231" t="s">
        <v>1659</v>
      </c>
      <c r="C231" t="s">
        <v>1742</v>
      </c>
      <c r="D231" t="s">
        <v>1743</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hidden="1" x14ac:dyDescent="0.45">
      <c r="A232" t="s">
        <v>1127</v>
      </c>
      <c r="B232" t="s">
        <v>1660</v>
      </c>
      <c r="C232" t="s">
        <v>1742</v>
      </c>
      <c r="D232" t="s">
        <v>1743</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hidden="1" x14ac:dyDescent="0.45">
      <c r="A233" t="s">
        <v>1661</v>
      </c>
      <c r="B233" t="s">
        <v>1662</v>
      </c>
      <c r="C233" t="s">
        <v>1742</v>
      </c>
      <c r="D233" t="s">
        <v>1743</v>
      </c>
    </row>
    <row r="234" spans="1:64" hidden="1" x14ac:dyDescent="0.45">
      <c r="A234" t="s">
        <v>1080</v>
      </c>
      <c r="B234" t="s">
        <v>1663</v>
      </c>
      <c r="C234" t="s">
        <v>1742</v>
      </c>
      <c r="D234" t="s">
        <v>1743</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hidden="1" x14ac:dyDescent="0.45">
      <c r="A235" t="s">
        <v>1664</v>
      </c>
      <c r="B235" t="s">
        <v>1665</v>
      </c>
      <c r="C235" t="s">
        <v>1742</v>
      </c>
      <c r="D235" t="s">
        <v>1743</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hidden="1" x14ac:dyDescent="0.45">
      <c r="A236" t="s">
        <v>1666</v>
      </c>
      <c r="B236" t="s">
        <v>1667</v>
      </c>
      <c r="C236" t="s">
        <v>1742</v>
      </c>
      <c r="D236" t="s">
        <v>1743</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hidden="1" x14ac:dyDescent="0.45">
      <c r="A237" t="s">
        <v>1102</v>
      </c>
      <c r="B237" t="s">
        <v>1668</v>
      </c>
      <c r="C237" t="s">
        <v>1742</v>
      </c>
      <c r="D237" t="s">
        <v>1743</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hidden="1" x14ac:dyDescent="0.45">
      <c r="A238" t="s">
        <v>1167</v>
      </c>
      <c r="B238" t="s">
        <v>1669</v>
      </c>
      <c r="C238" t="s">
        <v>1742</v>
      </c>
      <c r="D238" t="s">
        <v>1743</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hidden="1" x14ac:dyDescent="0.45">
      <c r="A239" t="s">
        <v>1135</v>
      </c>
      <c r="B239" t="s">
        <v>1670</v>
      </c>
      <c r="C239" t="s">
        <v>1742</v>
      </c>
      <c r="D239" t="s">
        <v>1743</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hidden="1" x14ac:dyDescent="0.45">
      <c r="A240" t="s">
        <v>1136</v>
      </c>
      <c r="B240" t="s">
        <v>1671</v>
      </c>
      <c r="C240" t="s">
        <v>1742</v>
      </c>
      <c r="D240" t="s">
        <v>1743</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hidden="1" x14ac:dyDescent="0.45">
      <c r="A241" t="s">
        <v>1672</v>
      </c>
      <c r="B241" t="s">
        <v>1673</v>
      </c>
      <c r="C241" t="s">
        <v>1742</v>
      </c>
      <c r="D241" t="s">
        <v>1743</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hidden="1" x14ac:dyDescent="0.45">
      <c r="A242" t="s">
        <v>1168</v>
      </c>
      <c r="B242" t="s">
        <v>1674</v>
      </c>
      <c r="C242" t="s">
        <v>1742</v>
      </c>
      <c r="D242" t="s">
        <v>1743</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hidden="1" x14ac:dyDescent="0.45">
      <c r="A243" t="s">
        <v>1675</v>
      </c>
      <c r="B243" t="s">
        <v>1676</v>
      </c>
      <c r="C243" t="s">
        <v>1742</v>
      </c>
      <c r="D243" t="s">
        <v>1743</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hidden="1" x14ac:dyDescent="0.45">
      <c r="A244" t="s">
        <v>1229</v>
      </c>
      <c r="B244" t="s">
        <v>1677</v>
      </c>
      <c r="C244" t="s">
        <v>1742</v>
      </c>
      <c r="D244" t="s">
        <v>1743</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hidden="1" x14ac:dyDescent="0.45">
      <c r="A245" t="s">
        <v>1678</v>
      </c>
      <c r="B245" t="s">
        <v>1679</v>
      </c>
      <c r="C245" t="s">
        <v>1742</v>
      </c>
      <c r="D245" t="s">
        <v>1743</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hidden="1" x14ac:dyDescent="0.45">
      <c r="A246" t="s">
        <v>1680</v>
      </c>
      <c r="B246" t="s">
        <v>1681</v>
      </c>
      <c r="C246" t="s">
        <v>1742</v>
      </c>
      <c r="D246" t="s">
        <v>1743</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hidden="1" x14ac:dyDescent="0.45">
      <c r="A247" t="s">
        <v>1187</v>
      </c>
      <c r="B247" t="s">
        <v>1682</v>
      </c>
      <c r="C247" t="s">
        <v>1742</v>
      </c>
      <c r="D247" t="s">
        <v>1743</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hidden="1" x14ac:dyDescent="0.45">
      <c r="A248" t="s">
        <v>1110</v>
      </c>
      <c r="B248" t="s">
        <v>1683</v>
      </c>
      <c r="C248" t="s">
        <v>1742</v>
      </c>
      <c r="D248" t="s">
        <v>1743</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hidden="1" x14ac:dyDescent="0.45">
      <c r="A249" t="s">
        <v>1128</v>
      </c>
      <c r="B249" t="s">
        <v>1684</v>
      </c>
      <c r="C249" t="s">
        <v>1742</v>
      </c>
      <c r="D249" t="s">
        <v>1743</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hidden="1" x14ac:dyDescent="0.45">
      <c r="A250" t="s">
        <v>1685</v>
      </c>
      <c r="B250" t="s">
        <v>1686</v>
      </c>
      <c r="C250" t="s">
        <v>1742</v>
      </c>
      <c r="D250" t="s">
        <v>1743</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hidden="1" x14ac:dyDescent="0.45">
      <c r="A251" t="s">
        <v>1687</v>
      </c>
      <c r="B251" t="s">
        <v>1688</v>
      </c>
      <c r="C251" t="s">
        <v>1742</v>
      </c>
      <c r="D251" t="s">
        <v>1743</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hidden="1" x14ac:dyDescent="0.45">
      <c r="A252" t="s">
        <v>604</v>
      </c>
      <c r="B252" t="s">
        <v>1689</v>
      </c>
      <c r="C252" t="s">
        <v>1742</v>
      </c>
      <c r="D252" t="s">
        <v>1743</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hidden="1" x14ac:dyDescent="0.45">
      <c r="A253" t="s">
        <v>1243</v>
      </c>
      <c r="B253" t="s">
        <v>1690</v>
      </c>
      <c r="C253" t="s">
        <v>1742</v>
      </c>
      <c r="D253" t="s">
        <v>1743</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hidden="1" x14ac:dyDescent="0.45">
      <c r="A254" t="s">
        <v>1691</v>
      </c>
      <c r="B254" t="s">
        <v>1692</v>
      </c>
      <c r="C254" t="s">
        <v>1742</v>
      </c>
      <c r="D254" t="s">
        <v>1743</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hidden="1" x14ac:dyDescent="0.45">
      <c r="A255" t="s">
        <v>1210</v>
      </c>
      <c r="B255" t="s">
        <v>1693</v>
      </c>
      <c r="C255" t="s">
        <v>1742</v>
      </c>
      <c r="D255" t="s">
        <v>1743</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hidden="1" x14ac:dyDescent="0.45">
      <c r="A256" t="s">
        <v>1694</v>
      </c>
      <c r="B256" t="s">
        <v>1695</v>
      </c>
      <c r="C256" t="s">
        <v>1742</v>
      </c>
      <c r="D256" t="s">
        <v>1743</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hidden="1" x14ac:dyDescent="0.45">
      <c r="A257" t="s">
        <v>1137</v>
      </c>
      <c r="B257" t="s">
        <v>1696</v>
      </c>
      <c r="C257" t="s">
        <v>1742</v>
      </c>
      <c r="D257" t="s">
        <v>1743</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hidden="1" x14ac:dyDescent="0.45">
      <c r="A258" t="s">
        <v>1697</v>
      </c>
      <c r="B258" t="s">
        <v>1698</v>
      </c>
      <c r="C258" t="s">
        <v>1742</v>
      </c>
      <c r="D258" t="s">
        <v>1743</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hidden="1" x14ac:dyDescent="0.45">
      <c r="A259" t="s">
        <v>1699</v>
      </c>
      <c r="B259" t="s">
        <v>1700</v>
      </c>
      <c r="C259" t="s">
        <v>1742</v>
      </c>
      <c r="D259" t="s">
        <v>1743</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hidden="1" x14ac:dyDescent="0.45">
      <c r="A260" t="s">
        <v>1701</v>
      </c>
      <c r="B260" t="s">
        <v>1702</v>
      </c>
      <c r="C260" t="s">
        <v>1742</v>
      </c>
      <c r="D260" t="s">
        <v>1743</v>
      </c>
    </row>
    <row r="261" spans="1:65" hidden="1" x14ac:dyDescent="0.45">
      <c r="A261" t="s">
        <v>1703</v>
      </c>
      <c r="B261" t="s">
        <v>1704</v>
      </c>
      <c r="C261" t="s">
        <v>1742</v>
      </c>
      <c r="D261" t="s">
        <v>1743</v>
      </c>
    </row>
    <row r="262" spans="1:65" hidden="1" x14ac:dyDescent="0.45">
      <c r="A262" t="s">
        <v>1705</v>
      </c>
      <c r="B262" t="s">
        <v>1706</v>
      </c>
      <c r="C262" t="s">
        <v>1742</v>
      </c>
      <c r="D262" t="s">
        <v>1743</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hidden="1" x14ac:dyDescent="0.45">
      <c r="A263" t="s">
        <v>1221</v>
      </c>
      <c r="B263" t="s">
        <v>1707</v>
      </c>
      <c r="C263" t="s">
        <v>1742</v>
      </c>
      <c r="D263" t="s">
        <v>1743</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hidden="1" x14ac:dyDescent="0.45">
      <c r="A264" t="s">
        <v>1017</v>
      </c>
      <c r="B264" t="s">
        <v>1708</v>
      </c>
      <c r="C264" t="s">
        <v>1742</v>
      </c>
      <c r="D264" t="s">
        <v>1743</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hidden="1" x14ac:dyDescent="0.45">
      <c r="A265" t="s">
        <v>1228</v>
      </c>
      <c r="B265" t="s">
        <v>1709</v>
      </c>
      <c r="C265" t="s">
        <v>1742</v>
      </c>
      <c r="D265" t="s">
        <v>1743</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hidden="1" x14ac:dyDescent="0.45">
      <c r="A266" t="s">
        <v>1710</v>
      </c>
      <c r="B266" t="s">
        <v>1711</v>
      </c>
      <c r="C266" t="s">
        <v>1742</v>
      </c>
      <c r="D266" t="s">
        <v>1743</v>
      </c>
    </row>
    <row r="267" spans="1:65" hidden="1" x14ac:dyDescent="0.45">
      <c r="A267" t="s">
        <v>1712</v>
      </c>
      <c r="B267" t="s">
        <v>1713</v>
      </c>
      <c r="C267" t="s">
        <v>1742</v>
      </c>
      <c r="D267" t="s">
        <v>1743</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hidden="1" x14ac:dyDescent="0.45">
      <c r="A268" t="s">
        <v>602</v>
      </c>
      <c r="B268" t="s">
        <v>1714</v>
      </c>
      <c r="C268" t="s">
        <v>1742</v>
      </c>
      <c r="D268" t="s">
        <v>1743</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hidden="1" x14ac:dyDescent="0.45">
      <c r="A269" t="s">
        <v>606</v>
      </c>
      <c r="B269" t="s">
        <v>1715</v>
      </c>
      <c r="C269" t="s">
        <v>1742</v>
      </c>
      <c r="D269" t="s">
        <v>1743</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hidden="1" x14ac:dyDescent="0.45">
      <c r="A270" t="s">
        <v>607</v>
      </c>
      <c r="B270" t="s">
        <v>1716</v>
      </c>
      <c r="C270" t="s">
        <v>1742</v>
      </c>
      <c r="D270" t="s">
        <v>1743</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v>38.4</v>
      </c>
    </row>
    <row r="271" spans="1:65" s="1" customFormat="1" x14ac:dyDescent="0.45"/>
    <row r="272" spans="1:65" s="1" customFormat="1" x14ac:dyDescent="0.45">
      <c r="BB272" s="1" t="s">
        <v>1717</v>
      </c>
      <c r="BC272" s="155">
        <f t="shared" ref="BC272:BL272" si="0">BC77/BB77</f>
        <v>0.95430579964850615</v>
      </c>
      <c r="BD272" s="155">
        <f t="shared" si="0"/>
        <v>0.95580110497237569</v>
      </c>
      <c r="BE272" s="155">
        <f t="shared" si="0"/>
        <v>0.95375722543352603</v>
      </c>
      <c r="BF272" s="155">
        <f t="shared" si="0"/>
        <v>0.95353535353535357</v>
      </c>
      <c r="BG272" s="155">
        <f t="shared" si="0"/>
        <v>0.95550847457627119</v>
      </c>
      <c r="BH272" s="155">
        <f t="shared" si="0"/>
        <v>0.95565410199556544</v>
      </c>
      <c r="BI272" s="155">
        <f t="shared" si="0"/>
        <v>0.95591647331786544</v>
      </c>
      <c r="BJ272" s="155">
        <f t="shared" si="0"/>
        <v>0.95873786407766981</v>
      </c>
      <c r="BK272" s="155">
        <f t="shared" si="0"/>
        <v>0.95949367088607596</v>
      </c>
      <c r="BL272" s="155">
        <f t="shared" si="0"/>
        <v>0.96306068601583117</v>
      </c>
      <c r="BM272" s="2">
        <f>BL272</f>
        <v>0.96306068601583117</v>
      </c>
    </row>
    <row r="273" spans="8:65" s="1" customFormat="1" x14ac:dyDescent="0.45">
      <c r="BM273" s="51" t="s">
        <v>1744</v>
      </c>
    </row>
    <row r="274" spans="8:65" s="1" customFormat="1" x14ac:dyDescent="0.45">
      <c r="I274" s="1" t="s">
        <v>1719</v>
      </c>
    </row>
    <row r="275" spans="8:65" s="1" customFormat="1" x14ac:dyDescent="0.45">
      <c r="H275">
        <v>2020</v>
      </c>
      <c r="I275" s="156">
        <f>BL77*$BM$272</f>
        <v>35.151715039577837</v>
      </c>
      <c r="BB275" s="1" t="s">
        <v>2135</v>
      </c>
    </row>
    <row r="276" spans="8:65" s="1" customFormat="1" x14ac:dyDescent="0.45">
      <c r="H276">
        <v>2021</v>
      </c>
      <c r="I276" s="156">
        <f>I275*$BM$272</f>
        <v>33.853234800648842</v>
      </c>
    </row>
    <row r="277" spans="8:65" s="1" customFormat="1" x14ac:dyDescent="0.45">
      <c r="H277">
        <v>2022</v>
      </c>
      <c r="I277" s="156">
        <f t="shared" ref="I277:I295" si="1">I276*$BM$272</f>
        <v>32.602719530967882</v>
      </c>
    </row>
    <row r="278" spans="8:65" s="1" customFormat="1" x14ac:dyDescent="0.45">
      <c r="H278">
        <v>2023</v>
      </c>
      <c r="I278" s="156">
        <f t="shared" si="1"/>
        <v>31.398397437475666</v>
      </c>
    </row>
    <row r="279" spans="8:65" s="1" customFormat="1" x14ac:dyDescent="0.45">
      <c r="H279">
        <v>2024</v>
      </c>
      <c r="I279" s="156">
        <f t="shared" si="1"/>
        <v>30.23856217593303</v>
      </c>
    </row>
    <row r="280" spans="8:65" s="1" customFormat="1" x14ac:dyDescent="0.45">
      <c r="H280">
        <v>2025</v>
      </c>
      <c r="I280" s="156">
        <f t="shared" si="1"/>
        <v>29.121570433286429</v>
      </c>
    </row>
    <row r="281" spans="8:65" s="1" customFormat="1" x14ac:dyDescent="0.45">
      <c r="H281">
        <v>2026</v>
      </c>
      <c r="I281" s="156">
        <f t="shared" si="1"/>
        <v>28.045839599339175</v>
      </c>
    </row>
    <row r="282" spans="8:65" s="1" customFormat="1" x14ac:dyDescent="0.45">
      <c r="H282">
        <v>2027</v>
      </c>
      <c r="I282" s="156">
        <f t="shared" si="1"/>
        <v>27.009845524429551</v>
      </c>
    </row>
    <row r="283" spans="8:65" s="1" customFormat="1" x14ac:dyDescent="0.45">
      <c r="H283">
        <v>2028</v>
      </c>
      <c r="I283" s="156">
        <f t="shared" si="1"/>
        <v>26.012120359938752</v>
      </c>
      <c r="BB283" s="1">
        <v>9.1999999999999993</v>
      </c>
      <c r="BC283" s="50" t="s">
        <v>2136</v>
      </c>
    </row>
    <row r="284" spans="8:65" s="1" customFormat="1" x14ac:dyDescent="0.45">
      <c r="H284">
        <v>2029</v>
      </c>
      <c r="I284" s="156">
        <f t="shared" si="1"/>
        <v>25.051250478568985</v>
      </c>
      <c r="BC284" s="50" t="s">
        <v>2137</v>
      </c>
    </row>
    <row r="285" spans="8:65" s="1" customFormat="1" x14ac:dyDescent="0.45">
      <c r="H285">
        <v>2030</v>
      </c>
      <c r="I285" s="156">
        <f t="shared" si="1"/>
        <v>24.125874471445066</v>
      </c>
      <c r="BC285" s="50" t="s">
        <v>2138</v>
      </c>
    </row>
    <row r="286" spans="8:65" s="1" customFormat="1" x14ac:dyDescent="0.45">
      <c r="H286">
        <v>2031</v>
      </c>
      <c r="I286" s="156">
        <f t="shared" si="1"/>
        <v>23.234681219201715</v>
      </c>
      <c r="BB286" s="294">
        <f>BB283*0.969*0.969*0.969</f>
        <v>8.3706495227999991</v>
      </c>
      <c r="BC286" s="50" t="s">
        <v>2139</v>
      </c>
    </row>
    <row r="287" spans="8:65" s="1" customFormat="1" x14ac:dyDescent="0.45">
      <c r="H287">
        <v>2032</v>
      </c>
      <c r="I287" s="156">
        <f t="shared" si="1"/>
        <v>22.376408034323553</v>
      </c>
    </row>
    <row r="288" spans="8:65" s="1" customFormat="1" x14ac:dyDescent="0.45">
      <c r="H288">
        <v>2033</v>
      </c>
      <c r="I288" s="156">
        <f t="shared" si="1"/>
        <v>21.549838872105799</v>
      </c>
    </row>
    <row r="289" spans="3:9" s="1" customFormat="1" x14ac:dyDescent="0.45">
      <c r="C289" s="49"/>
      <c r="D289" s="49"/>
      <c r="E289" s="49"/>
      <c r="H289">
        <v>2034</v>
      </c>
      <c r="I289" s="156">
        <f t="shared" si="1"/>
        <v>20.753802607700834</v>
      </c>
    </row>
    <row r="290" spans="3:9" s="1" customFormat="1" x14ac:dyDescent="0.45">
      <c r="C290" s="49"/>
      <c r="D290" s="49"/>
      <c r="E290" s="49"/>
      <c r="H290">
        <v>2035</v>
      </c>
      <c r="I290" s="156">
        <f t="shared" si="1"/>
        <v>19.98717137680951</v>
      </c>
    </row>
    <row r="291" spans="3:9" s="1" customFormat="1" x14ac:dyDescent="0.45">
      <c r="C291" s="49"/>
      <c r="D291" s="49"/>
      <c r="E291" s="49"/>
      <c r="H291">
        <v>2036</v>
      </c>
      <c r="I291" s="156">
        <f t="shared" si="1"/>
        <v>19.248858977666153</v>
      </c>
    </row>
    <row r="292" spans="3:9" s="1" customFormat="1" x14ac:dyDescent="0.45">
      <c r="H292">
        <v>2037</v>
      </c>
      <c r="I292" s="156">
        <f t="shared" si="1"/>
        <v>18.537819332053157</v>
      </c>
    </row>
    <row r="293" spans="3:9" s="1" customFormat="1" x14ac:dyDescent="0.45">
      <c r="H293">
        <v>2038</v>
      </c>
      <c r="I293" s="156">
        <f t="shared" si="1"/>
        <v>17.853045003164652</v>
      </c>
    </row>
    <row r="294" spans="3:9" s="1" customFormat="1" x14ac:dyDescent="0.45">
      <c r="H294">
        <v>2039</v>
      </c>
      <c r="I294" s="156">
        <f t="shared" si="1"/>
        <v>17.193565768219258</v>
      </c>
    </row>
    <row r="295" spans="3:9" s="1" customFormat="1" x14ac:dyDescent="0.45">
      <c r="H295">
        <v>2040</v>
      </c>
      <c r="I295" s="156">
        <f t="shared" si="1"/>
        <v>16.558447243799549</v>
      </c>
    </row>
    <row r="296" spans="3:9" s="1" customFormat="1" x14ac:dyDescent="0.45"/>
    <row r="297" spans="3:9" s="1" customFormat="1" x14ac:dyDescent="0.45"/>
  </sheetData>
  <pageMargins left="0.7" right="0.7" top="0.75" bottom="0.75" header="0.3" footer="0.3"/>
  <headerFooter alignWithMargins="0"/>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D3CA7-570A-4A1E-9601-E17C8E3B44E5}">
  <dimension ref="A1:BM297"/>
  <sheetViews>
    <sheetView topLeftCell="AV1" workbookViewId="0">
      <selection activeCell="BM272" sqref="BM272"/>
    </sheetView>
  </sheetViews>
  <sheetFormatPr defaultRowHeight="14.25" x14ac:dyDescent="0.45"/>
  <cols>
    <col min="1" max="1" width="44.19921875" bestFit="1" customWidth="1"/>
    <col min="2" max="2" width="25.53125" bestFit="1" customWidth="1"/>
    <col min="3" max="3" width="37.19921875" bestFit="1" customWidth="1"/>
    <col min="4" max="4" width="12.73046875" bestFit="1" customWidth="1"/>
    <col min="5" max="8" width="5.46484375" bestFit="1" customWidth="1"/>
    <col min="9" max="9" width="10.46484375" bestFit="1" customWidth="1"/>
    <col min="10" max="64" width="11.46484375" bestFit="1" customWidth="1"/>
    <col min="65" max="65" width="12.19921875" customWidth="1"/>
  </cols>
  <sheetData>
    <row r="1" spans="1:65" x14ac:dyDescent="0.45">
      <c r="A1" t="s">
        <v>1283</v>
      </c>
      <c r="B1" t="s">
        <v>1284</v>
      </c>
    </row>
    <row r="2" spans="1:65" x14ac:dyDescent="0.45">
      <c r="A2" t="s">
        <v>1285</v>
      </c>
      <c r="B2" s="4">
        <v>44407</v>
      </c>
    </row>
    <row r="4" spans="1:65" x14ac:dyDescent="0.4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45">
      <c r="A5" t="s">
        <v>1173</v>
      </c>
      <c r="B5" t="s">
        <v>1351</v>
      </c>
      <c r="C5" t="s">
        <v>1745</v>
      </c>
      <c r="D5" t="s">
        <v>1746</v>
      </c>
    </row>
    <row r="6" spans="1:65" hidden="1" x14ac:dyDescent="0.45">
      <c r="A6" t="s">
        <v>1354</v>
      </c>
      <c r="B6" t="s">
        <v>1355</v>
      </c>
      <c r="C6" t="s">
        <v>1745</v>
      </c>
      <c r="D6" t="s">
        <v>1746</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hidden="1" x14ac:dyDescent="0.45">
      <c r="A7" t="s">
        <v>1139</v>
      </c>
      <c r="B7" t="s">
        <v>1356</v>
      </c>
      <c r="C7" t="s">
        <v>1745</v>
      </c>
      <c r="D7" t="s">
        <v>1746</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hidden="1" x14ac:dyDescent="0.45">
      <c r="A8" t="s">
        <v>1357</v>
      </c>
      <c r="B8" t="s">
        <v>1358</v>
      </c>
      <c r="C8" t="s">
        <v>1745</v>
      </c>
      <c r="D8" t="s">
        <v>1746</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hidden="1" x14ac:dyDescent="0.45">
      <c r="A9" t="s">
        <v>1078</v>
      </c>
      <c r="B9" t="s">
        <v>1359</v>
      </c>
      <c r="C9" t="s">
        <v>1745</v>
      </c>
      <c r="D9" t="s">
        <v>1746</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hidden="1" x14ac:dyDescent="0.45">
      <c r="A10" t="s">
        <v>1257</v>
      </c>
      <c r="B10" t="s">
        <v>1360</v>
      </c>
      <c r="C10" t="s">
        <v>1745</v>
      </c>
      <c r="D10" t="s">
        <v>1746</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hidden="1" x14ac:dyDescent="0.45">
      <c r="A11" t="s">
        <v>1361</v>
      </c>
      <c r="B11" t="s">
        <v>1362</v>
      </c>
      <c r="C11" t="s">
        <v>1745</v>
      </c>
      <c r="D11" t="s">
        <v>1746</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hidden="1" x14ac:dyDescent="0.45">
      <c r="A12" t="s">
        <v>1363</v>
      </c>
      <c r="B12" t="s">
        <v>1364</v>
      </c>
      <c r="C12" t="s">
        <v>1745</v>
      </c>
      <c r="D12" t="s">
        <v>1746</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hidden="1" x14ac:dyDescent="0.45">
      <c r="A13" t="s">
        <v>1129</v>
      </c>
      <c r="B13" t="s">
        <v>1365</v>
      </c>
      <c r="C13" t="s">
        <v>1745</v>
      </c>
      <c r="D13" t="s">
        <v>1746</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hidden="1" x14ac:dyDescent="0.45">
      <c r="A14" t="s">
        <v>1199</v>
      </c>
      <c r="B14" t="s">
        <v>1366</v>
      </c>
      <c r="C14" t="s">
        <v>1745</v>
      </c>
      <c r="D14" t="s">
        <v>1746</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hidden="1" x14ac:dyDescent="0.45">
      <c r="A15" t="s">
        <v>1113</v>
      </c>
      <c r="B15" t="s">
        <v>1367</v>
      </c>
      <c r="C15" t="s">
        <v>1745</v>
      </c>
      <c r="D15" t="s">
        <v>1746</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hidden="1" x14ac:dyDescent="0.45">
      <c r="A16" t="s">
        <v>1368</v>
      </c>
      <c r="B16" t="s">
        <v>1369</v>
      </c>
      <c r="C16" t="s">
        <v>1745</v>
      </c>
      <c r="D16" t="s">
        <v>1746</v>
      </c>
    </row>
    <row r="17" spans="1:64" hidden="1" x14ac:dyDescent="0.45">
      <c r="A17" t="s">
        <v>1172</v>
      </c>
      <c r="B17" t="s">
        <v>1370</v>
      </c>
      <c r="C17" t="s">
        <v>1745</v>
      </c>
      <c r="D17" t="s">
        <v>1746</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hidden="1" x14ac:dyDescent="0.45">
      <c r="A18" t="s">
        <v>1213</v>
      </c>
      <c r="B18" t="s">
        <v>1371</v>
      </c>
      <c r="C18" t="s">
        <v>1745</v>
      </c>
      <c r="D18" t="s">
        <v>1746</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hidden="1" x14ac:dyDescent="0.45">
      <c r="A19" t="s">
        <v>1270</v>
      </c>
      <c r="B19" t="s">
        <v>1372</v>
      </c>
      <c r="C19" t="s">
        <v>1745</v>
      </c>
      <c r="D19" t="s">
        <v>1746</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hidden="1" x14ac:dyDescent="0.45">
      <c r="A20" t="s">
        <v>1114</v>
      </c>
      <c r="B20" t="s">
        <v>1373</v>
      </c>
      <c r="C20" t="s">
        <v>1745</v>
      </c>
      <c r="D20" t="s">
        <v>1746</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hidden="1" x14ac:dyDescent="0.45">
      <c r="A21" t="s">
        <v>582</v>
      </c>
      <c r="B21" t="s">
        <v>1374</v>
      </c>
      <c r="C21" t="s">
        <v>1745</v>
      </c>
      <c r="D21" t="s">
        <v>1746</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hidden="1" x14ac:dyDescent="0.45">
      <c r="A22" t="s">
        <v>1271</v>
      </c>
      <c r="B22" t="s">
        <v>1375</v>
      </c>
      <c r="C22" t="s">
        <v>1745</v>
      </c>
      <c r="D22" t="s">
        <v>1746</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hidden="1" x14ac:dyDescent="0.45">
      <c r="A23" t="s">
        <v>1088</v>
      </c>
      <c r="B23" t="s">
        <v>1376</v>
      </c>
      <c r="C23" t="s">
        <v>1745</v>
      </c>
      <c r="D23" t="s">
        <v>1746</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hidden="1" x14ac:dyDescent="0.45">
      <c r="A24" t="s">
        <v>1089</v>
      </c>
      <c r="B24" t="s">
        <v>1377</v>
      </c>
      <c r="C24" t="s">
        <v>1745</v>
      </c>
      <c r="D24" t="s">
        <v>1746</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hidden="1" x14ac:dyDescent="0.45">
      <c r="A25" t="s">
        <v>1140</v>
      </c>
      <c r="B25" t="s">
        <v>1378</v>
      </c>
      <c r="C25" t="s">
        <v>1745</v>
      </c>
      <c r="D25" t="s">
        <v>1746</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hidden="1" x14ac:dyDescent="0.45">
      <c r="A26" t="s">
        <v>1235</v>
      </c>
      <c r="B26" t="s">
        <v>1379</v>
      </c>
      <c r="C26" t="s">
        <v>1745</v>
      </c>
      <c r="D26" t="s">
        <v>1746</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hidden="1" x14ac:dyDescent="0.45">
      <c r="A27" t="s">
        <v>1115</v>
      </c>
      <c r="B27" t="s">
        <v>1380</v>
      </c>
      <c r="C27" t="s">
        <v>1745</v>
      </c>
      <c r="D27" t="s">
        <v>1746</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hidden="1" x14ac:dyDescent="0.45">
      <c r="A28" t="s">
        <v>1381</v>
      </c>
      <c r="B28" t="s">
        <v>1382</v>
      </c>
      <c r="C28" t="s">
        <v>1745</v>
      </c>
      <c r="D28" t="s">
        <v>1746</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hidden="1" x14ac:dyDescent="0.45">
      <c r="A29" t="s">
        <v>1258</v>
      </c>
      <c r="B29" t="s">
        <v>1383</v>
      </c>
      <c r="C29" t="s">
        <v>1745</v>
      </c>
      <c r="D29" t="s">
        <v>1746</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hidden="1" x14ac:dyDescent="0.45">
      <c r="A30" t="s">
        <v>1234</v>
      </c>
      <c r="B30" t="s">
        <v>1384</v>
      </c>
      <c r="C30" t="s">
        <v>1745</v>
      </c>
      <c r="D30" t="s">
        <v>1746</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hidden="1" x14ac:dyDescent="0.45">
      <c r="A31" t="s">
        <v>1190</v>
      </c>
      <c r="B31" t="s">
        <v>1385</v>
      </c>
      <c r="C31" t="s">
        <v>1745</v>
      </c>
      <c r="D31" t="s">
        <v>1746</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hidden="1" x14ac:dyDescent="0.45">
      <c r="A32" t="s">
        <v>1386</v>
      </c>
      <c r="B32" t="s">
        <v>1387</v>
      </c>
      <c r="C32" t="s">
        <v>1745</v>
      </c>
      <c r="D32" t="s">
        <v>1746</v>
      </c>
    </row>
    <row r="33" spans="1:64" hidden="1" x14ac:dyDescent="0.45">
      <c r="A33" t="s">
        <v>1388</v>
      </c>
      <c r="B33" t="s">
        <v>1389</v>
      </c>
      <c r="C33" t="s">
        <v>1745</v>
      </c>
      <c r="D33" t="s">
        <v>1746</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hidden="1" x14ac:dyDescent="0.45">
      <c r="A34" t="s">
        <v>1201</v>
      </c>
      <c r="B34" t="s">
        <v>1390</v>
      </c>
      <c r="C34" t="s">
        <v>1745</v>
      </c>
      <c r="D34" t="s">
        <v>1746</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hidden="1" x14ac:dyDescent="0.45">
      <c r="A35" t="s">
        <v>1175</v>
      </c>
      <c r="B35" t="s">
        <v>1391</v>
      </c>
      <c r="C35" t="s">
        <v>1745</v>
      </c>
      <c r="D35" t="s">
        <v>1746</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hidden="1" x14ac:dyDescent="0.45">
      <c r="A36" t="s">
        <v>1159</v>
      </c>
      <c r="B36" t="s">
        <v>1392</v>
      </c>
      <c r="C36" t="s">
        <v>1745</v>
      </c>
      <c r="D36" t="s">
        <v>1746</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hidden="1" x14ac:dyDescent="0.45">
      <c r="A37" t="s">
        <v>1141</v>
      </c>
      <c r="B37" t="s">
        <v>1393</v>
      </c>
      <c r="C37" t="s">
        <v>1745</v>
      </c>
      <c r="D37" t="s">
        <v>1746</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hidden="1" x14ac:dyDescent="0.45">
      <c r="A38" t="s">
        <v>580</v>
      </c>
      <c r="B38" t="s">
        <v>1394</v>
      </c>
      <c r="C38" t="s">
        <v>1745</v>
      </c>
      <c r="D38" t="s">
        <v>1746</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hidden="1" x14ac:dyDescent="0.45">
      <c r="A39" t="s">
        <v>584</v>
      </c>
      <c r="B39" t="s">
        <v>1395</v>
      </c>
      <c r="C39" t="s">
        <v>1745</v>
      </c>
      <c r="D39" t="s">
        <v>1746</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hidden="1" x14ac:dyDescent="0.45">
      <c r="A40" t="s">
        <v>1278</v>
      </c>
      <c r="B40" t="s">
        <v>1396</v>
      </c>
      <c r="C40" t="s">
        <v>1745</v>
      </c>
      <c r="D40" t="s">
        <v>1746</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hidden="1" x14ac:dyDescent="0.45">
      <c r="A41" t="s">
        <v>1397</v>
      </c>
      <c r="B41" t="s">
        <v>1398</v>
      </c>
      <c r="C41" t="s">
        <v>1745</v>
      </c>
      <c r="D41" t="s">
        <v>1746</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hidden="1" x14ac:dyDescent="0.45">
      <c r="A42" t="s">
        <v>1276</v>
      </c>
      <c r="B42" t="s">
        <v>1399</v>
      </c>
      <c r="C42" t="s">
        <v>1745</v>
      </c>
      <c r="D42" t="s">
        <v>1746</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hidden="1" x14ac:dyDescent="0.45">
      <c r="A43" t="s">
        <v>1245</v>
      </c>
      <c r="B43" t="s">
        <v>1400</v>
      </c>
      <c r="C43" t="s">
        <v>1745</v>
      </c>
      <c r="D43" t="s">
        <v>1746</v>
      </c>
    </row>
    <row r="44" spans="1:64" hidden="1" x14ac:dyDescent="0.45">
      <c r="A44" t="s">
        <v>1202</v>
      </c>
      <c r="B44" t="s">
        <v>1401</v>
      </c>
      <c r="C44" t="s">
        <v>1745</v>
      </c>
      <c r="D44" t="s">
        <v>1746</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hidden="1" x14ac:dyDescent="0.45">
      <c r="A45" t="s">
        <v>1150</v>
      </c>
      <c r="B45" t="s">
        <v>1402</v>
      </c>
      <c r="C45" t="s">
        <v>1745</v>
      </c>
      <c r="D45" t="s">
        <v>1746</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hidden="1" x14ac:dyDescent="0.45">
      <c r="A46" t="s">
        <v>1403</v>
      </c>
      <c r="B46" t="s">
        <v>1404</v>
      </c>
      <c r="C46" t="s">
        <v>1745</v>
      </c>
      <c r="D46" t="s">
        <v>1746</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hidden="1" x14ac:dyDescent="0.45">
      <c r="A47" t="s">
        <v>1079</v>
      </c>
      <c r="B47" t="s">
        <v>1405</v>
      </c>
      <c r="C47" t="s">
        <v>1745</v>
      </c>
      <c r="D47" t="s">
        <v>1746</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hidden="1" x14ac:dyDescent="0.45">
      <c r="A48" t="s">
        <v>1406</v>
      </c>
      <c r="B48" t="s">
        <v>1407</v>
      </c>
      <c r="C48" t="s">
        <v>1745</v>
      </c>
      <c r="D48" t="s">
        <v>1746</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hidden="1" x14ac:dyDescent="0.45">
      <c r="A49" t="s">
        <v>1408</v>
      </c>
      <c r="B49" t="s">
        <v>1409</v>
      </c>
      <c r="C49" t="s">
        <v>1745</v>
      </c>
      <c r="D49" t="s">
        <v>1746</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hidden="1" x14ac:dyDescent="0.45">
      <c r="A50" t="s">
        <v>1203</v>
      </c>
      <c r="B50" t="s">
        <v>1410</v>
      </c>
      <c r="C50" t="s">
        <v>1745</v>
      </c>
      <c r="D50" t="s">
        <v>1746</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hidden="1" x14ac:dyDescent="0.45">
      <c r="A51" t="s">
        <v>1067</v>
      </c>
      <c r="B51" t="s">
        <v>1411</v>
      </c>
      <c r="C51" t="s">
        <v>1745</v>
      </c>
      <c r="D51" t="s">
        <v>1746</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hidden="1" x14ac:dyDescent="0.45">
      <c r="A52" t="s">
        <v>1090</v>
      </c>
      <c r="B52" t="s">
        <v>1412</v>
      </c>
      <c r="C52" t="s">
        <v>1745</v>
      </c>
      <c r="D52" t="s">
        <v>1746</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hidden="1" x14ac:dyDescent="0.45">
      <c r="A53" t="s">
        <v>1191</v>
      </c>
      <c r="B53" t="s">
        <v>1413</v>
      </c>
      <c r="C53" t="s">
        <v>1745</v>
      </c>
      <c r="D53" t="s">
        <v>1746</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hidden="1" x14ac:dyDescent="0.45">
      <c r="A54" t="s">
        <v>1414</v>
      </c>
      <c r="B54" t="s">
        <v>1415</v>
      </c>
      <c r="C54" t="s">
        <v>1745</v>
      </c>
      <c r="D54" t="s">
        <v>1746</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hidden="1" x14ac:dyDescent="0.45">
      <c r="A55" t="s">
        <v>1176</v>
      </c>
      <c r="B55" t="s">
        <v>1416</v>
      </c>
      <c r="C55" t="s">
        <v>1745</v>
      </c>
      <c r="D55" t="s">
        <v>1746</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hidden="1" x14ac:dyDescent="0.45">
      <c r="A56" t="s">
        <v>1417</v>
      </c>
      <c r="B56" t="s">
        <v>1418</v>
      </c>
      <c r="C56" t="s">
        <v>1745</v>
      </c>
      <c r="D56" t="s">
        <v>1746</v>
      </c>
    </row>
    <row r="57" spans="1:64" hidden="1" x14ac:dyDescent="0.45">
      <c r="A57" t="s">
        <v>1419</v>
      </c>
      <c r="B57" t="s">
        <v>1420</v>
      </c>
      <c r="C57" t="s">
        <v>1745</v>
      </c>
      <c r="D57" t="s">
        <v>1746</v>
      </c>
    </row>
    <row r="58" spans="1:64" hidden="1" x14ac:dyDescent="0.45">
      <c r="A58" t="s">
        <v>1116</v>
      </c>
      <c r="B58" t="s">
        <v>1421</v>
      </c>
      <c r="C58" t="s">
        <v>1745</v>
      </c>
      <c r="D58" t="s">
        <v>1746</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hidden="1" x14ac:dyDescent="0.45">
      <c r="A59" t="s">
        <v>1422</v>
      </c>
      <c r="B59" t="s">
        <v>1423</v>
      </c>
      <c r="C59" t="s">
        <v>1745</v>
      </c>
      <c r="D59" t="s">
        <v>1746</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hidden="1" x14ac:dyDescent="0.45">
      <c r="A60" t="s">
        <v>1273</v>
      </c>
      <c r="B60" t="s">
        <v>1424</v>
      </c>
      <c r="C60" t="s">
        <v>1745</v>
      </c>
      <c r="D60" t="s">
        <v>1746</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hidden="1" x14ac:dyDescent="0.45">
      <c r="A61" t="s">
        <v>1068</v>
      </c>
      <c r="B61" t="s">
        <v>1425</v>
      </c>
      <c r="C61" t="s">
        <v>1745</v>
      </c>
      <c r="D61" t="s">
        <v>1746</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hidden="1" x14ac:dyDescent="0.45">
      <c r="A62" t="s">
        <v>1426</v>
      </c>
      <c r="B62" t="s">
        <v>1427</v>
      </c>
      <c r="C62" t="s">
        <v>1745</v>
      </c>
      <c r="D62" t="s">
        <v>1746</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hidden="1" x14ac:dyDescent="0.45">
      <c r="A63" t="s">
        <v>1246</v>
      </c>
      <c r="B63" t="s">
        <v>1428</v>
      </c>
      <c r="C63" t="s">
        <v>1745</v>
      </c>
      <c r="D63" t="s">
        <v>1746</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hidden="1" x14ac:dyDescent="0.45">
      <c r="A64" t="s">
        <v>1178</v>
      </c>
      <c r="B64" t="s">
        <v>1429</v>
      </c>
      <c r="C64" t="s">
        <v>1745</v>
      </c>
      <c r="D64" t="s">
        <v>1746</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hidden="1" x14ac:dyDescent="0.45">
      <c r="A65" t="s">
        <v>1105</v>
      </c>
      <c r="B65" t="s">
        <v>1430</v>
      </c>
      <c r="C65" t="s">
        <v>1745</v>
      </c>
      <c r="D65" t="s">
        <v>1746</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hidden="1" x14ac:dyDescent="0.45">
      <c r="A66" t="s">
        <v>1431</v>
      </c>
      <c r="B66" t="s">
        <v>1432</v>
      </c>
      <c r="C66" t="s">
        <v>1745</v>
      </c>
      <c r="D66" t="s">
        <v>1746</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hidden="1" x14ac:dyDescent="0.45">
      <c r="A67" t="s">
        <v>1433</v>
      </c>
      <c r="B67" t="s">
        <v>1434</v>
      </c>
      <c r="C67" t="s">
        <v>1745</v>
      </c>
      <c r="D67" t="s">
        <v>1746</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hidden="1" x14ac:dyDescent="0.45">
      <c r="A68" t="s">
        <v>1435</v>
      </c>
      <c r="B68" t="s">
        <v>1436</v>
      </c>
      <c r="C68" t="s">
        <v>1745</v>
      </c>
      <c r="D68" t="s">
        <v>1746</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hidden="1" x14ac:dyDescent="0.45">
      <c r="A69" t="s">
        <v>1437</v>
      </c>
      <c r="B69" t="s">
        <v>1438</v>
      </c>
      <c r="C69" t="s">
        <v>1745</v>
      </c>
      <c r="D69" t="s">
        <v>1746</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hidden="1" x14ac:dyDescent="0.45">
      <c r="A70" t="s">
        <v>1439</v>
      </c>
      <c r="B70" t="s">
        <v>1440</v>
      </c>
      <c r="C70" t="s">
        <v>1745</v>
      </c>
      <c r="D70" t="s">
        <v>1746</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hidden="1" x14ac:dyDescent="0.45">
      <c r="A71" t="s">
        <v>1204</v>
      </c>
      <c r="B71" t="s">
        <v>1441</v>
      </c>
      <c r="C71" t="s">
        <v>1745</v>
      </c>
      <c r="D71" t="s">
        <v>1746</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hidden="1" x14ac:dyDescent="0.45">
      <c r="A72" t="s">
        <v>1442</v>
      </c>
      <c r="B72" t="s">
        <v>1443</v>
      </c>
      <c r="C72" t="s">
        <v>1745</v>
      </c>
      <c r="D72" t="s">
        <v>1746</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hidden="1" x14ac:dyDescent="0.45">
      <c r="A73" t="s">
        <v>1444</v>
      </c>
      <c r="B73" t="s">
        <v>1445</v>
      </c>
      <c r="C73" t="s">
        <v>1745</v>
      </c>
      <c r="D73" t="s">
        <v>1746</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hidden="1" x14ac:dyDescent="0.45">
      <c r="A74" t="s">
        <v>592</v>
      </c>
      <c r="B74" t="s">
        <v>1446</v>
      </c>
      <c r="C74" t="s">
        <v>1745</v>
      </c>
      <c r="D74" t="s">
        <v>1746</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hidden="1" x14ac:dyDescent="0.45">
      <c r="A75" t="s">
        <v>1268</v>
      </c>
      <c r="B75" t="s">
        <v>1447</v>
      </c>
      <c r="C75" t="s">
        <v>1745</v>
      </c>
      <c r="D75" t="s">
        <v>1746</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hidden="1" x14ac:dyDescent="0.45">
      <c r="A76" t="s">
        <v>1247</v>
      </c>
      <c r="B76" t="s">
        <v>1448</v>
      </c>
      <c r="C76" t="s">
        <v>1745</v>
      </c>
      <c r="D76" t="s">
        <v>1746</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45">
      <c r="A77" t="s">
        <v>594</v>
      </c>
      <c r="B77" t="s">
        <v>926</v>
      </c>
      <c r="C77" t="s">
        <v>1745</v>
      </c>
      <c r="D77" t="s">
        <v>1746</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hidden="1" x14ac:dyDescent="0.45">
      <c r="A78" t="s">
        <v>1449</v>
      </c>
      <c r="B78" t="s">
        <v>1450</v>
      </c>
      <c r="C78" t="s">
        <v>1745</v>
      </c>
      <c r="D78" t="s">
        <v>1746</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hidden="1" x14ac:dyDescent="0.45">
      <c r="A79" t="s">
        <v>1451</v>
      </c>
      <c r="B79" t="s">
        <v>1452</v>
      </c>
      <c r="C79" t="s">
        <v>1745</v>
      </c>
      <c r="D79" t="s">
        <v>1746</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hidden="1" x14ac:dyDescent="0.45">
      <c r="A80" t="s">
        <v>1248</v>
      </c>
      <c r="B80" t="s">
        <v>1453</v>
      </c>
      <c r="C80" t="s">
        <v>1745</v>
      </c>
      <c r="D80" t="s">
        <v>1746</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hidden="1" x14ac:dyDescent="0.45">
      <c r="A81" t="s">
        <v>1217</v>
      </c>
      <c r="B81" t="s">
        <v>1454</v>
      </c>
      <c r="C81" t="s">
        <v>1745</v>
      </c>
      <c r="D81" t="s">
        <v>1746</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hidden="1" x14ac:dyDescent="0.45">
      <c r="A82" t="s">
        <v>1272</v>
      </c>
      <c r="B82" t="s">
        <v>1455</v>
      </c>
      <c r="C82" t="s">
        <v>1745</v>
      </c>
      <c r="D82" t="s">
        <v>1746</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hidden="1" x14ac:dyDescent="0.45">
      <c r="A83" t="s">
        <v>1456</v>
      </c>
      <c r="B83" t="s">
        <v>1457</v>
      </c>
      <c r="C83" t="s">
        <v>1745</v>
      </c>
      <c r="D83" t="s">
        <v>1746</v>
      </c>
    </row>
    <row r="84" spans="1:64" hidden="1" x14ac:dyDescent="0.45">
      <c r="A84" t="s">
        <v>1458</v>
      </c>
      <c r="B84" t="s">
        <v>1459</v>
      </c>
      <c r="C84" t="s">
        <v>1745</v>
      </c>
      <c r="D84" t="s">
        <v>1746</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hidden="1" x14ac:dyDescent="0.45">
      <c r="A85" t="s">
        <v>1083</v>
      </c>
      <c r="B85" t="s">
        <v>1460</v>
      </c>
      <c r="C85" t="s">
        <v>1745</v>
      </c>
      <c r="D85" t="s">
        <v>1746</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hidden="1" x14ac:dyDescent="0.45">
      <c r="A86" t="s">
        <v>1255</v>
      </c>
      <c r="B86" t="s">
        <v>1461</v>
      </c>
      <c r="C86" t="s">
        <v>1745</v>
      </c>
      <c r="D86" t="s">
        <v>1746</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hidden="1" x14ac:dyDescent="0.45">
      <c r="A87" t="s">
        <v>1117</v>
      </c>
      <c r="B87" t="s">
        <v>1462</v>
      </c>
      <c r="C87" t="s">
        <v>1745</v>
      </c>
      <c r="D87" t="s">
        <v>1746</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hidden="1" x14ac:dyDescent="0.45">
      <c r="A88" t="s">
        <v>1092</v>
      </c>
      <c r="B88" t="s">
        <v>1463</v>
      </c>
      <c r="C88" t="s">
        <v>1745</v>
      </c>
      <c r="D88" t="s">
        <v>1746</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hidden="1" x14ac:dyDescent="0.45">
      <c r="A89" t="s">
        <v>1464</v>
      </c>
      <c r="B89" t="s">
        <v>1465</v>
      </c>
      <c r="C89" t="s">
        <v>1745</v>
      </c>
      <c r="D89" t="s">
        <v>1746</v>
      </c>
    </row>
    <row r="90" spans="1:64" hidden="1" x14ac:dyDescent="0.45">
      <c r="A90" t="s">
        <v>1093</v>
      </c>
      <c r="B90" t="s">
        <v>1466</v>
      </c>
      <c r="C90" t="s">
        <v>1745</v>
      </c>
      <c r="D90" t="s">
        <v>1746</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hidden="1" x14ac:dyDescent="0.45">
      <c r="A91" t="s">
        <v>1467</v>
      </c>
      <c r="B91" t="s">
        <v>1468</v>
      </c>
      <c r="C91" t="s">
        <v>1745</v>
      </c>
      <c r="D91" t="s">
        <v>1746</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hidden="1" x14ac:dyDescent="0.45">
      <c r="A92" t="s">
        <v>1094</v>
      </c>
      <c r="B92" t="s">
        <v>1469</v>
      </c>
      <c r="C92" t="s">
        <v>1745</v>
      </c>
      <c r="D92" t="s">
        <v>1746</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hidden="1" x14ac:dyDescent="0.45">
      <c r="A93" t="s">
        <v>1082</v>
      </c>
      <c r="B93" t="s">
        <v>1470</v>
      </c>
      <c r="C93" t="s">
        <v>1745</v>
      </c>
      <c r="D93" t="s">
        <v>1746</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hidden="1" x14ac:dyDescent="0.45">
      <c r="A94" t="s">
        <v>1260</v>
      </c>
      <c r="B94" t="s">
        <v>1471</v>
      </c>
      <c r="C94" t="s">
        <v>1745</v>
      </c>
      <c r="D94" t="s">
        <v>1746</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hidden="1" x14ac:dyDescent="0.45">
      <c r="A95" t="s">
        <v>1179</v>
      </c>
      <c r="B95" t="s">
        <v>1472</v>
      </c>
      <c r="C95" t="s">
        <v>1745</v>
      </c>
      <c r="D95" t="s">
        <v>1746</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hidden="1" x14ac:dyDescent="0.45">
      <c r="A96" t="s">
        <v>1473</v>
      </c>
      <c r="B96" t="s">
        <v>1474</v>
      </c>
      <c r="C96" t="s">
        <v>1745</v>
      </c>
      <c r="D96" t="s">
        <v>1746</v>
      </c>
    </row>
    <row r="97" spans="1:64" hidden="1" x14ac:dyDescent="0.45">
      <c r="A97" t="s">
        <v>1193</v>
      </c>
      <c r="B97" t="s">
        <v>1475</v>
      </c>
      <c r="C97" t="s">
        <v>1745</v>
      </c>
      <c r="D97" t="s">
        <v>1746</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hidden="1" x14ac:dyDescent="0.45">
      <c r="A98" t="s">
        <v>1223</v>
      </c>
      <c r="B98" t="s">
        <v>1476</v>
      </c>
      <c r="C98" t="s">
        <v>1745</v>
      </c>
      <c r="D98" t="s">
        <v>1746</v>
      </c>
    </row>
    <row r="99" spans="1:64" hidden="1" x14ac:dyDescent="0.45">
      <c r="A99" t="s">
        <v>1206</v>
      </c>
      <c r="B99" t="s">
        <v>1477</v>
      </c>
      <c r="C99" t="s">
        <v>1745</v>
      </c>
      <c r="D99" t="s">
        <v>1746</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hidden="1" x14ac:dyDescent="0.45">
      <c r="A100" t="s">
        <v>1478</v>
      </c>
      <c r="B100" t="s">
        <v>1479</v>
      </c>
      <c r="C100" t="s">
        <v>1745</v>
      </c>
      <c r="D100" t="s">
        <v>1746</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hidden="1" x14ac:dyDescent="0.45">
      <c r="A101" t="s">
        <v>1480</v>
      </c>
      <c r="B101" t="s">
        <v>1481</v>
      </c>
      <c r="C101" t="s">
        <v>1745</v>
      </c>
      <c r="D101" t="s">
        <v>1746</v>
      </c>
    </row>
    <row r="102" spans="1:64" hidden="1" x14ac:dyDescent="0.45">
      <c r="A102" t="s">
        <v>1194</v>
      </c>
      <c r="B102" t="s">
        <v>1482</v>
      </c>
      <c r="C102" t="s">
        <v>1745</v>
      </c>
      <c r="D102" t="s">
        <v>1746</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hidden="1" x14ac:dyDescent="0.45">
      <c r="A103" t="s">
        <v>1483</v>
      </c>
      <c r="B103" t="s">
        <v>1484</v>
      </c>
      <c r="C103" t="s">
        <v>1745</v>
      </c>
      <c r="D103" t="s">
        <v>1746</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hidden="1" x14ac:dyDescent="0.45">
      <c r="A104" t="s">
        <v>1259</v>
      </c>
      <c r="B104" t="s">
        <v>1485</v>
      </c>
      <c r="C104" t="s">
        <v>1745</v>
      </c>
      <c r="D104" t="s">
        <v>1746</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hidden="1" x14ac:dyDescent="0.45">
      <c r="A105" t="s">
        <v>1181</v>
      </c>
      <c r="B105" t="s">
        <v>1486</v>
      </c>
      <c r="C105" t="s">
        <v>1745</v>
      </c>
      <c r="D105" t="s">
        <v>1746</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hidden="1" x14ac:dyDescent="0.45">
      <c r="A106" t="s">
        <v>1237</v>
      </c>
      <c r="B106" t="s">
        <v>1487</v>
      </c>
      <c r="C106" t="s">
        <v>1745</v>
      </c>
      <c r="D106" t="s">
        <v>1746</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hidden="1" x14ac:dyDescent="0.45">
      <c r="A107" t="s">
        <v>1488</v>
      </c>
      <c r="B107" t="s">
        <v>1489</v>
      </c>
      <c r="C107" t="s">
        <v>1745</v>
      </c>
      <c r="D107" t="s">
        <v>1746</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hidden="1" x14ac:dyDescent="0.45">
      <c r="A108" t="s">
        <v>1490</v>
      </c>
      <c r="B108" t="s">
        <v>1491</v>
      </c>
      <c r="C108" t="s">
        <v>1745</v>
      </c>
      <c r="D108" t="s">
        <v>1746</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hidden="1" x14ac:dyDescent="0.45">
      <c r="A109" t="s">
        <v>1492</v>
      </c>
      <c r="B109" t="s">
        <v>1493</v>
      </c>
      <c r="C109" t="s">
        <v>1745</v>
      </c>
      <c r="D109" t="s">
        <v>1746</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hidden="1" x14ac:dyDescent="0.45">
      <c r="A110" t="s">
        <v>1494</v>
      </c>
      <c r="B110" t="s">
        <v>1495</v>
      </c>
      <c r="C110" t="s">
        <v>1745</v>
      </c>
      <c r="D110" t="s">
        <v>1746</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hidden="1" x14ac:dyDescent="0.45">
      <c r="A111" t="s">
        <v>1161</v>
      </c>
      <c r="B111" t="s">
        <v>1496</v>
      </c>
      <c r="C111" t="s">
        <v>1745</v>
      </c>
      <c r="D111" t="s">
        <v>1746</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hidden="1" x14ac:dyDescent="0.45">
      <c r="A112" t="s">
        <v>1497</v>
      </c>
      <c r="B112" t="s">
        <v>1498</v>
      </c>
      <c r="C112" t="s">
        <v>1745</v>
      </c>
      <c r="D112" t="s">
        <v>1746</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hidden="1" x14ac:dyDescent="0.45">
      <c r="A113" t="s">
        <v>1499</v>
      </c>
      <c r="B113" t="s">
        <v>1500</v>
      </c>
      <c r="C113" t="s">
        <v>1745</v>
      </c>
      <c r="D113" t="s">
        <v>1746</v>
      </c>
    </row>
    <row r="114" spans="1:64" hidden="1" x14ac:dyDescent="0.45">
      <c r="A114" t="s">
        <v>1142</v>
      </c>
      <c r="B114" t="s">
        <v>1501</v>
      </c>
      <c r="C114" t="s">
        <v>1745</v>
      </c>
      <c r="D114" t="s">
        <v>1746</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hidden="1" x14ac:dyDescent="0.45">
      <c r="A115" t="s">
        <v>1502</v>
      </c>
      <c r="B115" t="s">
        <v>1503</v>
      </c>
      <c r="C115" t="s">
        <v>1745</v>
      </c>
      <c r="D115" t="s">
        <v>1746</v>
      </c>
    </row>
    <row r="116" spans="1:64" hidden="1" x14ac:dyDescent="0.45">
      <c r="A116" t="s">
        <v>1250</v>
      </c>
      <c r="B116" t="s">
        <v>1504</v>
      </c>
      <c r="C116" t="s">
        <v>1745</v>
      </c>
      <c r="D116" t="s">
        <v>1746</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hidden="1" x14ac:dyDescent="0.45">
      <c r="A117" t="s">
        <v>1505</v>
      </c>
      <c r="B117" t="s">
        <v>1506</v>
      </c>
      <c r="C117" t="s">
        <v>1745</v>
      </c>
      <c r="D117" t="s">
        <v>1746</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hidden="1" x14ac:dyDescent="0.45">
      <c r="A118" t="s">
        <v>1118</v>
      </c>
      <c r="B118" t="s">
        <v>1507</v>
      </c>
      <c r="C118" t="s">
        <v>1745</v>
      </c>
      <c r="D118" t="s">
        <v>1746</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hidden="1" x14ac:dyDescent="0.45">
      <c r="A119" t="s">
        <v>1249</v>
      </c>
      <c r="B119" t="s">
        <v>1508</v>
      </c>
      <c r="C119" t="s">
        <v>1745</v>
      </c>
      <c r="D119" t="s">
        <v>1746</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hidden="1" x14ac:dyDescent="0.45">
      <c r="A120" t="s">
        <v>1119</v>
      </c>
      <c r="B120" t="s">
        <v>1509</v>
      </c>
      <c r="C120" t="s">
        <v>1745</v>
      </c>
      <c r="D120" t="s">
        <v>1746</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hidden="1" x14ac:dyDescent="0.45">
      <c r="A121" t="s">
        <v>1261</v>
      </c>
      <c r="B121" t="s">
        <v>1510</v>
      </c>
      <c r="C121" t="s">
        <v>1745</v>
      </c>
      <c r="D121" t="s">
        <v>1746</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hidden="1" x14ac:dyDescent="0.45">
      <c r="A122" t="s">
        <v>1182</v>
      </c>
      <c r="B122" t="s">
        <v>1511</v>
      </c>
      <c r="C122" t="s">
        <v>1745</v>
      </c>
      <c r="D122" t="s">
        <v>1746</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hidden="1" x14ac:dyDescent="0.45">
      <c r="A123" t="s">
        <v>1120</v>
      </c>
      <c r="B123" t="s">
        <v>1512</v>
      </c>
      <c r="C123" t="s">
        <v>1745</v>
      </c>
      <c r="D123" t="s">
        <v>1746</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hidden="1" x14ac:dyDescent="0.45">
      <c r="A124" t="s">
        <v>1155</v>
      </c>
      <c r="B124" t="s">
        <v>1513</v>
      </c>
      <c r="C124" t="s">
        <v>1745</v>
      </c>
      <c r="D124" t="s">
        <v>1746</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hidden="1" x14ac:dyDescent="0.45">
      <c r="A125" t="s">
        <v>1133</v>
      </c>
      <c r="B125" t="s">
        <v>1514</v>
      </c>
      <c r="C125" t="s">
        <v>1745</v>
      </c>
      <c r="D125" t="s">
        <v>1746</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hidden="1" x14ac:dyDescent="0.45">
      <c r="A126" t="s">
        <v>1069</v>
      </c>
      <c r="B126" t="s">
        <v>1515</v>
      </c>
      <c r="C126" t="s">
        <v>1745</v>
      </c>
      <c r="D126" t="s">
        <v>1746</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hidden="1" x14ac:dyDescent="0.45">
      <c r="A127" t="s">
        <v>1516</v>
      </c>
      <c r="B127" t="s">
        <v>1517</v>
      </c>
      <c r="C127" t="s">
        <v>1745</v>
      </c>
      <c r="D127" t="s">
        <v>1746</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hidden="1" x14ac:dyDescent="0.45">
      <c r="A128" t="s">
        <v>1160</v>
      </c>
      <c r="B128" t="s">
        <v>1518</v>
      </c>
      <c r="C128" t="s">
        <v>1745</v>
      </c>
      <c r="D128" t="s">
        <v>1746</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hidden="1" x14ac:dyDescent="0.45">
      <c r="A129" t="s">
        <v>1224</v>
      </c>
      <c r="B129" t="s">
        <v>1519</v>
      </c>
      <c r="C129" t="s">
        <v>1745</v>
      </c>
      <c r="D129" t="s">
        <v>1746</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hidden="1" x14ac:dyDescent="0.45">
      <c r="A130" t="s">
        <v>1520</v>
      </c>
      <c r="B130" t="s">
        <v>1521</v>
      </c>
      <c r="C130" t="s">
        <v>1745</v>
      </c>
      <c r="D130" t="s">
        <v>1746</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hidden="1" x14ac:dyDescent="0.45">
      <c r="A131" t="s">
        <v>1522</v>
      </c>
      <c r="B131" t="s">
        <v>1523</v>
      </c>
      <c r="C131" t="s">
        <v>1745</v>
      </c>
      <c r="D131" t="s">
        <v>1746</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hidden="1" x14ac:dyDescent="0.45">
      <c r="A132" t="s">
        <v>1121</v>
      </c>
      <c r="B132" t="s">
        <v>1524</v>
      </c>
      <c r="C132" t="s">
        <v>1745</v>
      </c>
      <c r="D132" t="s">
        <v>1746</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hidden="1" x14ac:dyDescent="0.45">
      <c r="A133" t="s">
        <v>1525</v>
      </c>
      <c r="B133" t="s">
        <v>1526</v>
      </c>
      <c r="C133" t="s">
        <v>1745</v>
      </c>
      <c r="D133" t="s">
        <v>1746</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hidden="1" x14ac:dyDescent="0.45">
      <c r="A134" t="s">
        <v>1527</v>
      </c>
      <c r="B134" t="s">
        <v>1528</v>
      </c>
      <c r="C134" t="s">
        <v>1745</v>
      </c>
      <c r="D134" t="s">
        <v>1746</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hidden="1" x14ac:dyDescent="0.45">
      <c r="A135" t="s">
        <v>1122</v>
      </c>
      <c r="B135" t="s">
        <v>1529</v>
      </c>
      <c r="C135" t="s">
        <v>1745</v>
      </c>
      <c r="D135" t="s">
        <v>1746</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hidden="1" x14ac:dyDescent="0.45">
      <c r="A136" t="s">
        <v>1095</v>
      </c>
      <c r="B136" t="s">
        <v>1530</v>
      </c>
      <c r="C136" t="s">
        <v>1745</v>
      </c>
      <c r="D136" t="s">
        <v>1746</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hidden="1" x14ac:dyDescent="0.45">
      <c r="A137" t="s">
        <v>1107</v>
      </c>
      <c r="B137" t="s">
        <v>1531</v>
      </c>
      <c r="C137" t="s">
        <v>1745</v>
      </c>
      <c r="D137" t="s">
        <v>1746</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hidden="1" x14ac:dyDescent="0.45">
      <c r="A138" t="s">
        <v>1532</v>
      </c>
      <c r="B138" t="s">
        <v>1533</v>
      </c>
      <c r="C138" t="s">
        <v>1745</v>
      </c>
      <c r="D138" t="s">
        <v>1746</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hidden="1" x14ac:dyDescent="0.45">
      <c r="A139" t="s">
        <v>1534</v>
      </c>
      <c r="B139" t="s">
        <v>1535</v>
      </c>
      <c r="C139" t="s">
        <v>1745</v>
      </c>
      <c r="D139" t="s">
        <v>1746</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hidden="1" x14ac:dyDescent="0.45">
      <c r="A140" t="s">
        <v>1536</v>
      </c>
      <c r="B140" t="s">
        <v>1537</v>
      </c>
      <c r="C140" t="s">
        <v>1745</v>
      </c>
      <c r="D140" t="s">
        <v>1746</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hidden="1" x14ac:dyDescent="0.45">
      <c r="A141" t="s">
        <v>1538</v>
      </c>
      <c r="B141" t="s">
        <v>1539</v>
      </c>
      <c r="C141" t="s">
        <v>1745</v>
      </c>
      <c r="D141" t="s">
        <v>1746</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hidden="1" x14ac:dyDescent="0.45">
      <c r="A142" t="s">
        <v>1540</v>
      </c>
      <c r="B142" t="s">
        <v>1541</v>
      </c>
      <c r="C142" t="s">
        <v>1745</v>
      </c>
      <c r="D142" t="s">
        <v>1746</v>
      </c>
    </row>
    <row r="143" spans="1:64" hidden="1" x14ac:dyDescent="0.45">
      <c r="A143" t="s">
        <v>1147</v>
      </c>
      <c r="B143" t="s">
        <v>1542</v>
      </c>
      <c r="C143" t="s">
        <v>1745</v>
      </c>
      <c r="D143" t="s">
        <v>1746</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hidden="1" x14ac:dyDescent="0.45">
      <c r="A144" t="s">
        <v>1543</v>
      </c>
      <c r="B144" t="s">
        <v>1544</v>
      </c>
      <c r="C144" t="s">
        <v>1745</v>
      </c>
      <c r="D144" t="s">
        <v>1746</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hidden="1" x14ac:dyDescent="0.45">
      <c r="A145" t="s">
        <v>1545</v>
      </c>
      <c r="B145" t="s">
        <v>1546</v>
      </c>
      <c r="C145" t="s">
        <v>1745</v>
      </c>
      <c r="D145" t="s">
        <v>1746</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hidden="1" x14ac:dyDescent="0.45">
      <c r="A146" t="s">
        <v>1086</v>
      </c>
      <c r="B146" t="s">
        <v>1547</v>
      </c>
      <c r="C146" t="s">
        <v>1745</v>
      </c>
      <c r="D146" t="s">
        <v>1746</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hidden="1" x14ac:dyDescent="0.45">
      <c r="A147" t="s">
        <v>1548</v>
      </c>
      <c r="B147" t="s">
        <v>1549</v>
      </c>
      <c r="C147" t="s">
        <v>1745</v>
      </c>
      <c r="D147" t="s">
        <v>1746</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hidden="1" x14ac:dyDescent="0.45">
      <c r="A148" t="s">
        <v>1252</v>
      </c>
      <c r="B148" t="s">
        <v>1550</v>
      </c>
      <c r="C148" t="s">
        <v>1745</v>
      </c>
      <c r="D148" t="s">
        <v>1746</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hidden="1" x14ac:dyDescent="0.45">
      <c r="A149" t="s">
        <v>1274</v>
      </c>
      <c r="B149" t="s">
        <v>1551</v>
      </c>
      <c r="C149" t="s">
        <v>1745</v>
      </c>
      <c r="D149" t="s">
        <v>1746</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hidden="1" x14ac:dyDescent="0.45">
      <c r="A150" t="s">
        <v>1251</v>
      </c>
      <c r="B150" t="s">
        <v>1552</v>
      </c>
      <c r="C150" t="s">
        <v>1745</v>
      </c>
      <c r="D150" t="s">
        <v>1746</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hidden="1" x14ac:dyDescent="0.45">
      <c r="A151" t="s">
        <v>1553</v>
      </c>
      <c r="B151" t="s">
        <v>1554</v>
      </c>
      <c r="C151" t="s">
        <v>1745</v>
      </c>
      <c r="D151" t="s">
        <v>1746</v>
      </c>
    </row>
    <row r="152" spans="1:64" hidden="1" x14ac:dyDescent="0.45">
      <c r="A152" t="s">
        <v>1555</v>
      </c>
      <c r="B152" t="s">
        <v>1556</v>
      </c>
      <c r="C152" t="s">
        <v>1745</v>
      </c>
      <c r="D152" t="s">
        <v>1746</v>
      </c>
    </row>
    <row r="153" spans="1:64" hidden="1" x14ac:dyDescent="0.45">
      <c r="A153" t="s">
        <v>1108</v>
      </c>
      <c r="B153" t="s">
        <v>1557</v>
      </c>
      <c r="C153" t="s">
        <v>1745</v>
      </c>
      <c r="D153" t="s">
        <v>1746</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hidden="1" x14ac:dyDescent="0.45">
      <c r="A154" t="s">
        <v>1558</v>
      </c>
      <c r="B154" t="s">
        <v>1559</v>
      </c>
      <c r="C154" t="s">
        <v>1745</v>
      </c>
      <c r="D154" t="s">
        <v>1746</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hidden="1" x14ac:dyDescent="0.45">
      <c r="A155" t="s">
        <v>1560</v>
      </c>
      <c r="B155" t="s">
        <v>1561</v>
      </c>
      <c r="C155" t="s">
        <v>1745</v>
      </c>
      <c r="D155" t="s">
        <v>1746</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hidden="1" x14ac:dyDescent="0.45">
      <c r="A156" t="s">
        <v>1070</v>
      </c>
      <c r="B156" t="s">
        <v>1562</v>
      </c>
      <c r="C156" t="s">
        <v>1745</v>
      </c>
      <c r="D156" t="s">
        <v>1746</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hidden="1" x14ac:dyDescent="0.45">
      <c r="A157" t="s">
        <v>1144</v>
      </c>
      <c r="B157" t="s">
        <v>1563</v>
      </c>
      <c r="C157" t="s">
        <v>1745</v>
      </c>
      <c r="D157" t="s">
        <v>1746</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hidden="1" x14ac:dyDescent="0.45">
      <c r="A158" t="s">
        <v>1564</v>
      </c>
      <c r="B158" t="s">
        <v>1565</v>
      </c>
      <c r="C158" t="s">
        <v>1745</v>
      </c>
      <c r="D158" t="s">
        <v>1746</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hidden="1" x14ac:dyDescent="0.45">
      <c r="A159" t="s">
        <v>1195</v>
      </c>
      <c r="B159" t="s">
        <v>1566</v>
      </c>
      <c r="C159" t="s">
        <v>1745</v>
      </c>
      <c r="D159" t="s">
        <v>1746</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hidden="1" x14ac:dyDescent="0.45">
      <c r="A160" t="s">
        <v>1567</v>
      </c>
      <c r="B160" t="s">
        <v>1568</v>
      </c>
      <c r="C160" t="s">
        <v>1745</v>
      </c>
      <c r="D160" t="s">
        <v>1746</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hidden="1" x14ac:dyDescent="0.45">
      <c r="A161" t="s">
        <v>1569</v>
      </c>
      <c r="B161" t="s">
        <v>1570</v>
      </c>
      <c r="C161" t="s">
        <v>1745</v>
      </c>
      <c r="D161" t="s">
        <v>1746</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hidden="1" x14ac:dyDescent="0.45">
      <c r="A162" t="s">
        <v>1264</v>
      </c>
      <c r="B162" t="s">
        <v>1571</v>
      </c>
      <c r="C162" t="s">
        <v>1745</v>
      </c>
      <c r="D162" t="s">
        <v>1746</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hidden="1" x14ac:dyDescent="0.45">
      <c r="A163" t="s">
        <v>1096</v>
      </c>
      <c r="B163" t="s">
        <v>1572</v>
      </c>
      <c r="C163" t="s">
        <v>1745</v>
      </c>
      <c r="D163" t="s">
        <v>1746</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hidden="1" x14ac:dyDescent="0.45">
      <c r="A164" t="s">
        <v>1262</v>
      </c>
      <c r="B164" t="s">
        <v>1573</v>
      </c>
      <c r="C164" t="s">
        <v>1745</v>
      </c>
      <c r="D164" t="s">
        <v>1746</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hidden="1" x14ac:dyDescent="0.45">
      <c r="A165" t="s">
        <v>1164</v>
      </c>
      <c r="B165" t="s">
        <v>1574</v>
      </c>
      <c r="C165" t="s">
        <v>1745</v>
      </c>
      <c r="D165" t="s">
        <v>1746</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hidden="1" x14ac:dyDescent="0.45">
      <c r="A166" t="s">
        <v>1575</v>
      </c>
      <c r="B166" t="s">
        <v>1576</v>
      </c>
      <c r="C166" t="s">
        <v>1745</v>
      </c>
      <c r="D166" t="s">
        <v>1746</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hidden="1" x14ac:dyDescent="0.45">
      <c r="A167" t="s">
        <v>1263</v>
      </c>
      <c r="B167" t="s">
        <v>1577</v>
      </c>
      <c r="C167" t="s">
        <v>1745</v>
      </c>
      <c r="D167" t="s">
        <v>1746</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hidden="1" x14ac:dyDescent="0.45">
      <c r="A168" t="s">
        <v>1156</v>
      </c>
      <c r="B168" t="s">
        <v>1578</v>
      </c>
      <c r="C168" t="s">
        <v>1745</v>
      </c>
      <c r="D168" t="s">
        <v>1746</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hidden="1" x14ac:dyDescent="0.45">
      <c r="A169" t="s">
        <v>1579</v>
      </c>
      <c r="B169" t="s">
        <v>1580</v>
      </c>
      <c r="C169" t="s">
        <v>1745</v>
      </c>
      <c r="D169" t="s">
        <v>1746</v>
      </c>
    </row>
    <row r="170" spans="1:64" hidden="1" x14ac:dyDescent="0.45">
      <c r="A170" t="s">
        <v>596</v>
      </c>
      <c r="B170" t="s">
        <v>1581</v>
      </c>
      <c r="C170" t="s">
        <v>1745</v>
      </c>
      <c r="D170" t="s">
        <v>1746</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hidden="1" x14ac:dyDescent="0.45">
      <c r="A171" t="s">
        <v>1097</v>
      </c>
      <c r="B171" t="s">
        <v>1582</v>
      </c>
      <c r="C171" t="s">
        <v>1745</v>
      </c>
      <c r="D171" t="s">
        <v>1746</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hidden="1" x14ac:dyDescent="0.45">
      <c r="A172" t="s">
        <v>1071</v>
      </c>
      <c r="B172" t="s">
        <v>1583</v>
      </c>
      <c r="C172" t="s">
        <v>1745</v>
      </c>
      <c r="D172" t="s">
        <v>1746</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hidden="1" x14ac:dyDescent="0.45">
      <c r="A173" t="s">
        <v>879</v>
      </c>
      <c r="B173" t="s">
        <v>1584</v>
      </c>
      <c r="C173" t="s">
        <v>1745</v>
      </c>
      <c r="D173" t="s">
        <v>1746</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hidden="1" x14ac:dyDescent="0.45">
      <c r="A174" t="s">
        <v>1163</v>
      </c>
      <c r="B174" t="s">
        <v>1585</v>
      </c>
      <c r="C174" t="s">
        <v>1745</v>
      </c>
      <c r="D174" t="s">
        <v>1746</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hidden="1" x14ac:dyDescent="0.45">
      <c r="A175" t="s">
        <v>1586</v>
      </c>
      <c r="B175" t="s">
        <v>1587</v>
      </c>
      <c r="C175" t="s">
        <v>1745</v>
      </c>
      <c r="D175" t="s">
        <v>1746</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hidden="1" x14ac:dyDescent="0.45">
      <c r="A176" t="s">
        <v>598</v>
      </c>
      <c r="B176" t="s">
        <v>1588</v>
      </c>
      <c r="C176" t="s">
        <v>1745</v>
      </c>
      <c r="D176" t="s">
        <v>1746</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hidden="1" x14ac:dyDescent="0.45">
      <c r="A177" t="s">
        <v>1218</v>
      </c>
      <c r="B177" t="s">
        <v>1589</v>
      </c>
      <c r="C177" t="s">
        <v>1745</v>
      </c>
      <c r="D177" t="s">
        <v>1746</v>
      </c>
    </row>
    <row r="178" spans="1:64" hidden="1" x14ac:dyDescent="0.45">
      <c r="A178" t="s">
        <v>1098</v>
      </c>
      <c r="B178" t="s">
        <v>1590</v>
      </c>
      <c r="C178" t="s">
        <v>1745</v>
      </c>
      <c r="D178" t="s">
        <v>1746</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hidden="1" x14ac:dyDescent="0.45">
      <c r="A179" t="s">
        <v>1099</v>
      </c>
      <c r="B179" t="s">
        <v>1591</v>
      </c>
      <c r="C179" t="s">
        <v>1745</v>
      </c>
      <c r="D179" t="s">
        <v>1746</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hidden="1" x14ac:dyDescent="0.45">
      <c r="A180" t="s">
        <v>1196</v>
      </c>
      <c r="B180" t="s">
        <v>1592</v>
      </c>
      <c r="C180" t="s">
        <v>1745</v>
      </c>
      <c r="D180" t="s">
        <v>1746</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hidden="1" x14ac:dyDescent="0.45">
      <c r="A181" t="s">
        <v>1275</v>
      </c>
      <c r="B181" t="s">
        <v>1593</v>
      </c>
      <c r="C181" t="s">
        <v>1745</v>
      </c>
      <c r="D181" t="s">
        <v>1746</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hidden="1" x14ac:dyDescent="0.45">
      <c r="A182" t="s">
        <v>1253</v>
      </c>
      <c r="B182" t="s">
        <v>1594</v>
      </c>
      <c r="C182" t="s">
        <v>1745</v>
      </c>
      <c r="D182" t="s">
        <v>1746</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hidden="1" x14ac:dyDescent="0.45">
      <c r="A183" t="s">
        <v>1145</v>
      </c>
      <c r="B183" t="s">
        <v>1595</v>
      </c>
      <c r="C183" t="s">
        <v>1745</v>
      </c>
      <c r="D183" t="s">
        <v>1746</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hidden="1" x14ac:dyDescent="0.45">
      <c r="A184" t="s">
        <v>1596</v>
      </c>
      <c r="B184" t="s">
        <v>1597</v>
      </c>
      <c r="C184" t="s">
        <v>1745</v>
      </c>
      <c r="D184" t="s">
        <v>1746</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hidden="1" x14ac:dyDescent="0.45">
      <c r="A185" t="s">
        <v>1214</v>
      </c>
      <c r="B185" t="s">
        <v>1598</v>
      </c>
      <c r="C185" t="s">
        <v>1745</v>
      </c>
      <c r="D185" t="s">
        <v>1746</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hidden="1" x14ac:dyDescent="0.45">
      <c r="A186" t="s">
        <v>1599</v>
      </c>
      <c r="B186" t="s">
        <v>1600</v>
      </c>
      <c r="C186" t="s">
        <v>1745</v>
      </c>
      <c r="D186" t="s">
        <v>1746</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hidden="1" x14ac:dyDescent="0.45">
      <c r="A187" t="s">
        <v>1123</v>
      </c>
      <c r="B187" t="s">
        <v>1601</v>
      </c>
      <c r="C187" t="s">
        <v>1745</v>
      </c>
      <c r="D187" t="s">
        <v>1746</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hidden="1" x14ac:dyDescent="0.45">
      <c r="A188" t="s">
        <v>1602</v>
      </c>
      <c r="B188" t="s">
        <v>1603</v>
      </c>
      <c r="C188" t="s">
        <v>1745</v>
      </c>
      <c r="D188" t="s">
        <v>1746</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hidden="1" x14ac:dyDescent="0.45">
      <c r="A189" t="s">
        <v>1146</v>
      </c>
      <c r="B189" t="s">
        <v>1604</v>
      </c>
      <c r="C189" t="s">
        <v>1745</v>
      </c>
      <c r="D189" t="s">
        <v>1746</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hidden="1" x14ac:dyDescent="0.45">
      <c r="A190" t="s">
        <v>1197</v>
      </c>
      <c r="B190" t="s">
        <v>1605</v>
      </c>
      <c r="C190" t="s">
        <v>1745</v>
      </c>
      <c r="D190" t="s">
        <v>1746</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hidden="1" x14ac:dyDescent="0.45">
      <c r="A191" t="s">
        <v>1208</v>
      </c>
      <c r="B191" t="s">
        <v>1606</v>
      </c>
      <c r="C191" t="s">
        <v>1745</v>
      </c>
      <c r="D191" t="s">
        <v>1746</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hidden="1" x14ac:dyDescent="0.45">
      <c r="A192" t="s">
        <v>1165</v>
      </c>
      <c r="B192" t="s">
        <v>1607</v>
      </c>
      <c r="C192" t="s">
        <v>1745</v>
      </c>
      <c r="D192" t="s">
        <v>1746</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hidden="1" x14ac:dyDescent="0.45">
      <c r="A193" t="s">
        <v>1608</v>
      </c>
      <c r="B193" t="s">
        <v>1609</v>
      </c>
      <c r="C193" t="s">
        <v>1745</v>
      </c>
      <c r="D193" t="s">
        <v>1746</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hidden="1" x14ac:dyDescent="0.45">
      <c r="A194" t="s">
        <v>1219</v>
      </c>
      <c r="B194" t="s">
        <v>1610</v>
      </c>
      <c r="C194" t="s">
        <v>1745</v>
      </c>
      <c r="D194" t="s">
        <v>1746</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hidden="1" x14ac:dyDescent="0.45">
      <c r="A195" t="s">
        <v>1238</v>
      </c>
      <c r="B195" t="s">
        <v>1611</v>
      </c>
      <c r="C195" t="s">
        <v>1745</v>
      </c>
      <c r="D195" t="s">
        <v>1746</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hidden="1" x14ac:dyDescent="0.45">
      <c r="A196" t="s">
        <v>1612</v>
      </c>
      <c r="B196" t="s">
        <v>1613</v>
      </c>
      <c r="C196" t="s">
        <v>1745</v>
      </c>
      <c r="D196" t="s">
        <v>1746</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hidden="1" x14ac:dyDescent="0.45">
      <c r="A197" t="s">
        <v>1184</v>
      </c>
      <c r="B197" t="s">
        <v>1614</v>
      </c>
      <c r="C197" t="s">
        <v>1745</v>
      </c>
      <c r="D197" t="s">
        <v>1746</v>
      </c>
    </row>
    <row r="198" spans="1:64" hidden="1" x14ac:dyDescent="0.45">
      <c r="A198" t="s">
        <v>1615</v>
      </c>
      <c r="B198" t="s">
        <v>1616</v>
      </c>
      <c r="C198" t="s">
        <v>1745</v>
      </c>
      <c r="D198" t="s">
        <v>1746</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hidden="1" x14ac:dyDescent="0.45">
      <c r="A199" t="s">
        <v>1265</v>
      </c>
      <c r="B199" t="s">
        <v>1617</v>
      </c>
      <c r="C199" t="s">
        <v>1745</v>
      </c>
      <c r="D199" t="s">
        <v>1746</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hidden="1" x14ac:dyDescent="0.45">
      <c r="A200" t="s">
        <v>1207</v>
      </c>
      <c r="B200" t="s">
        <v>1618</v>
      </c>
      <c r="C200" t="s">
        <v>1745</v>
      </c>
      <c r="D200" t="s">
        <v>1746</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hidden="1" x14ac:dyDescent="0.45">
      <c r="A201" t="s">
        <v>1619</v>
      </c>
      <c r="B201" t="s">
        <v>1620</v>
      </c>
      <c r="C201" t="s">
        <v>1745</v>
      </c>
      <c r="D201" t="s">
        <v>1746</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hidden="1" x14ac:dyDescent="0.45">
      <c r="A202" t="s">
        <v>1621</v>
      </c>
      <c r="B202" t="s">
        <v>1622</v>
      </c>
      <c r="C202" t="s">
        <v>1745</v>
      </c>
      <c r="D202" t="s">
        <v>1746</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hidden="1" x14ac:dyDescent="0.45">
      <c r="A203" t="s">
        <v>1623</v>
      </c>
      <c r="B203" t="s">
        <v>1624</v>
      </c>
      <c r="C203" t="s">
        <v>1745</v>
      </c>
      <c r="D203" t="s">
        <v>1746</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hidden="1" x14ac:dyDescent="0.45">
      <c r="A204" t="s">
        <v>1227</v>
      </c>
      <c r="B204" t="s">
        <v>1625</v>
      </c>
      <c r="C204" t="s">
        <v>1745</v>
      </c>
      <c r="D204" t="s">
        <v>1746</v>
      </c>
    </row>
    <row r="205" spans="1:64" hidden="1" x14ac:dyDescent="0.45">
      <c r="A205" t="s">
        <v>1124</v>
      </c>
      <c r="B205" t="s">
        <v>1626</v>
      </c>
      <c r="C205" t="s">
        <v>1745</v>
      </c>
      <c r="D205" t="s">
        <v>1746</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hidden="1" x14ac:dyDescent="0.45">
      <c r="A206" t="s">
        <v>1240</v>
      </c>
      <c r="B206" t="s">
        <v>1627</v>
      </c>
      <c r="C206" t="s">
        <v>1745</v>
      </c>
      <c r="D206" t="s">
        <v>1746</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hidden="1" x14ac:dyDescent="0.45">
      <c r="A207" t="s">
        <v>1241</v>
      </c>
      <c r="B207" t="s">
        <v>1628</v>
      </c>
      <c r="C207" t="s">
        <v>1745</v>
      </c>
      <c r="D207" t="s">
        <v>1746</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hidden="1" x14ac:dyDescent="0.45">
      <c r="A208" t="s">
        <v>600</v>
      </c>
      <c r="B208" t="s">
        <v>1629</v>
      </c>
      <c r="C208" t="s">
        <v>1745</v>
      </c>
      <c r="D208" t="s">
        <v>1746</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hidden="1" x14ac:dyDescent="0.45">
      <c r="A209" t="s">
        <v>1630</v>
      </c>
      <c r="B209" t="s">
        <v>1631</v>
      </c>
      <c r="C209" t="s">
        <v>1745</v>
      </c>
      <c r="D209" t="s">
        <v>1746</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hidden="1" x14ac:dyDescent="0.45">
      <c r="A210" t="s">
        <v>1125</v>
      </c>
      <c r="B210" t="s">
        <v>1632</v>
      </c>
      <c r="C210" t="s">
        <v>1745</v>
      </c>
      <c r="D210" t="s">
        <v>1746</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hidden="1" x14ac:dyDescent="0.45">
      <c r="A211" t="s">
        <v>1109</v>
      </c>
      <c r="B211" t="s">
        <v>1633</v>
      </c>
      <c r="C211" t="s">
        <v>1745</v>
      </c>
      <c r="D211" t="s">
        <v>1746</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hidden="1" x14ac:dyDescent="0.45">
      <c r="A212" t="s">
        <v>1100</v>
      </c>
      <c r="B212" t="s">
        <v>1634</v>
      </c>
      <c r="C212" t="s">
        <v>1745</v>
      </c>
      <c r="D212" t="s">
        <v>1746</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hidden="1" x14ac:dyDescent="0.45">
      <c r="A213" t="s">
        <v>1166</v>
      </c>
      <c r="B213" t="s">
        <v>1635</v>
      </c>
      <c r="C213" t="s">
        <v>1745</v>
      </c>
      <c r="D213" t="s">
        <v>1746</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hidden="1" x14ac:dyDescent="0.45">
      <c r="A214" t="s">
        <v>1220</v>
      </c>
      <c r="B214" t="s">
        <v>1636</v>
      </c>
      <c r="C214" t="s">
        <v>1745</v>
      </c>
      <c r="D214" t="s">
        <v>1746</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hidden="1" x14ac:dyDescent="0.45">
      <c r="A215" t="s">
        <v>1101</v>
      </c>
      <c r="B215" t="s">
        <v>1637</v>
      </c>
      <c r="C215" t="s">
        <v>1745</v>
      </c>
      <c r="D215" t="s">
        <v>1746</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hidden="1" x14ac:dyDescent="0.45">
      <c r="A216" t="s">
        <v>1192</v>
      </c>
      <c r="B216" t="s">
        <v>1638</v>
      </c>
      <c r="C216" t="s">
        <v>1745</v>
      </c>
      <c r="D216" t="s">
        <v>1746</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hidden="1" x14ac:dyDescent="0.45">
      <c r="A217" t="s">
        <v>1639</v>
      </c>
      <c r="B217" t="s">
        <v>1640</v>
      </c>
      <c r="C217" t="s">
        <v>1745</v>
      </c>
      <c r="D217" t="s">
        <v>1746</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hidden="1" x14ac:dyDescent="0.45">
      <c r="A218" t="s">
        <v>1075</v>
      </c>
      <c r="B218" t="s">
        <v>1641</v>
      </c>
      <c r="C218" t="s">
        <v>1745</v>
      </c>
      <c r="D218" t="s">
        <v>1746</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hidden="1" x14ac:dyDescent="0.45">
      <c r="A219" t="s">
        <v>1266</v>
      </c>
      <c r="B219" t="s">
        <v>1642</v>
      </c>
      <c r="C219" t="s">
        <v>1745</v>
      </c>
      <c r="D219" t="s">
        <v>1746</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hidden="1" x14ac:dyDescent="0.45">
      <c r="A220" t="s">
        <v>1643</v>
      </c>
      <c r="B220" t="s">
        <v>1644</v>
      </c>
      <c r="C220" t="s">
        <v>1745</v>
      </c>
      <c r="D220" t="s">
        <v>1746</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hidden="1" x14ac:dyDescent="0.45">
      <c r="A221" t="s">
        <v>1076</v>
      </c>
      <c r="B221" t="s">
        <v>1645</v>
      </c>
      <c r="C221" t="s">
        <v>1745</v>
      </c>
      <c r="D221" t="s">
        <v>1746</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hidden="1" x14ac:dyDescent="0.45">
      <c r="A222" t="s">
        <v>1646</v>
      </c>
      <c r="B222" t="s">
        <v>1647</v>
      </c>
      <c r="C222" t="s">
        <v>1745</v>
      </c>
      <c r="D222" t="s">
        <v>1746</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hidden="1" x14ac:dyDescent="0.45">
      <c r="A223" t="s">
        <v>1648</v>
      </c>
      <c r="B223" t="s">
        <v>1649</v>
      </c>
      <c r="C223" t="s">
        <v>1745</v>
      </c>
      <c r="D223" t="s">
        <v>1746</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hidden="1" x14ac:dyDescent="0.45">
      <c r="A224" t="s">
        <v>1084</v>
      </c>
      <c r="B224" t="s">
        <v>1650</v>
      </c>
      <c r="C224" t="s">
        <v>1745</v>
      </c>
      <c r="D224" t="s">
        <v>1746</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hidden="1" x14ac:dyDescent="0.45">
      <c r="A225" t="s">
        <v>1209</v>
      </c>
      <c r="B225" t="s">
        <v>1651</v>
      </c>
      <c r="C225" t="s">
        <v>1745</v>
      </c>
      <c r="D225" t="s">
        <v>1746</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hidden="1" x14ac:dyDescent="0.45">
      <c r="A226" t="s">
        <v>1652</v>
      </c>
      <c r="B226" t="s">
        <v>1653</v>
      </c>
      <c r="C226" t="s">
        <v>1745</v>
      </c>
      <c r="D226" t="s">
        <v>1746</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hidden="1" x14ac:dyDescent="0.45">
      <c r="A227" t="s">
        <v>1267</v>
      </c>
      <c r="B227" t="s">
        <v>1654</v>
      </c>
      <c r="C227" t="s">
        <v>1745</v>
      </c>
      <c r="D227" t="s">
        <v>1746</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hidden="1" x14ac:dyDescent="0.45">
      <c r="A228" t="s">
        <v>1254</v>
      </c>
      <c r="B228" t="s">
        <v>1655</v>
      </c>
      <c r="C228" t="s">
        <v>1745</v>
      </c>
      <c r="D228" t="s">
        <v>1746</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hidden="1" x14ac:dyDescent="0.45">
      <c r="A229" t="s">
        <v>603</v>
      </c>
      <c r="B229" t="s">
        <v>1656</v>
      </c>
      <c r="C229" t="s">
        <v>1745</v>
      </c>
      <c r="D229" t="s">
        <v>1746</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hidden="1" x14ac:dyDescent="0.45">
      <c r="A230" t="s">
        <v>1657</v>
      </c>
      <c r="B230" t="s">
        <v>1658</v>
      </c>
      <c r="C230" t="s">
        <v>1745</v>
      </c>
      <c r="D230" t="s">
        <v>1746</v>
      </c>
    </row>
    <row r="231" spans="1:64" hidden="1" x14ac:dyDescent="0.45">
      <c r="A231" t="s">
        <v>1074</v>
      </c>
      <c r="B231" t="s">
        <v>1659</v>
      </c>
      <c r="C231" t="s">
        <v>1745</v>
      </c>
      <c r="D231" t="s">
        <v>1746</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hidden="1" x14ac:dyDescent="0.45">
      <c r="A232" t="s">
        <v>1127</v>
      </c>
      <c r="B232" t="s">
        <v>1660</v>
      </c>
      <c r="C232" t="s">
        <v>1745</v>
      </c>
      <c r="D232" t="s">
        <v>1746</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hidden="1" x14ac:dyDescent="0.45">
      <c r="A233" t="s">
        <v>1661</v>
      </c>
      <c r="B233" t="s">
        <v>1662</v>
      </c>
      <c r="C233" t="s">
        <v>1745</v>
      </c>
      <c r="D233" t="s">
        <v>1746</v>
      </c>
    </row>
    <row r="234" spans="1:64" hidden="1" x14ac:dyDescent="0.45">
      <c r="A234" t="s">
        <v>1080</v>
      </c>
      <c r="B234" t="s">
        <v>1663</v>
      </c>
      <c r="C234" t="s">
        <v>1745</v>
      </c>
      <c r="D234" t="s">
        <v>1746</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hidden="1" x14ac:dyDescent="0.45">
      <c r="A235" t="s">
        <v>1664</v>
      </c>
      <c r="B235" t="s">
        <v>1665</v>
      </c>
      <c r="C235" t="s">
        <v>1745</v>
      </c>
      <c r="D235" t="s">
        <v>1746</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hidden="1" x14ac:dyDescent="0.45">
      <c r="A236" t="s">
        <v>1666</v>
      </c>
      <c r="B236" t="s">
        <v>1667</v>
      </c>
      <c r="C236" t="s">
        <v>1745</v>
      </c>
      <c r="D236" t="s">
        <v>1746</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hidden="1" x14ac:dyDescent="0.45">
      <c r="A237" t="s">
        <v>1102</v>
      </c>
      <c r="B237" t="s">
        <v>1668</v>
      </c>
      <c r="C237" t="s">
        <v>1745</v>
      </c>
      <c r="D237" t="s">
        <v>1746</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hidden="1" x14ac:dyDescent="0.45">
      <c r="A238" t="s">
        <v>1167</v>
      </c>
      <c r="B238" t="s">
        <v>1669</v>
      </c>
      <c r="C238" t="s">
        <v>1745</v>
      </c>
      <c r="D238" t="s">
        <v>1746</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hidden="1" x14ac:dyDescent="0.45">
      <c r="A239" t="s">
        <v>1135</v>
      </c>
      <c r="B239" t="s">
        <v>1670</v>
      </c>
      <c r="C239" t="s">
        <v>1745</v>
      </c>
      <c r="D239" t="s">
        <v>1746</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hidden="1" x14ac:dyDescent="0.45">
      <c r="A240" t="s">
        <v>1136</v>
      </c>
      <c r="B240" t="s">
        <v>1671</v>
      </c>
      <c r="C240" t="s">
        <v>1745</v>
      </c>
      <c r="D240" t="s">
        <v>1746</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hidden="1" x14ac:dyDescent="0.45">
      <c r="A241" t="s">
        <v>1672</v>
      </c>
      <c r="B241" t="s">
        <v>1673</v>
      </c>
      <c r="C241" t="s">
        <v>1745</v>
      </c>
      <c r="D241" t="s">
        <v>1746</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hidden="1" x14ac:dyDescent="0.45">
      <c r="A242" t="s">
        <v>1168</v>
      </c>
      <c r="B242" t="s">
        <v>1674</v>
      </c>
      <c r="C242" t="s">
        <v>1745</v>
      </c>
      <c r="D242" t="s">
        <v>1746</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hidden="1" x14ac:dyDescent="0.45">
      <c r="A243" t="s">
        <v>1675</v>
      </c>
      <c r="B243" t="s">
        <v>1676</v>
      </c>
      <c r="C243" t="s">
        <v>1745</v>
      </c>
      <c r="D243" t="s">
        <v>1746</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hidden="1" x14ac:dyDescent="0.45">
      <c r="A244" t="s">
        <v>1229</v>
      </c>
      <c r="B244" t="s">
        <v>1677</v>
      </c>
      <c r="C244" t="s">
        <v>1745</v>
      </c>
      <c r="D244" t="s">
        <v>1746</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hidden="1" x14ac:dyDescent="0.45">
      <c r="A245" t="s">
        <v>1678</v>
      </c>
      <c r="B245" t="s">
        <v>1679</v>
      </c>
      <c r="C245" t="s">
        <v>1745</v>
      </c>
      <c r="D245" t="s">
        <v>1746</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hidden="1" x14ac:dyDescent="0.45">
      <c r="A246" t="s">
        <v>1680</v>
      </c>
      <c r="B246" t="s">
        <v>1681</v>
      </c>
      <c r="C246" t="s">
        <v>1745</v>
      </c>
      <c r="D246" t="s">
        <v>1746</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hidden="1" x14ac:dyDescent="0.45">
      <c r="A247" t="s">
        <v>1187</v>
      </c>
      <c r="B247" t="s">
        <v>1682</v>
      </c>
      <c r="C247" t="s">
        <v>1745</v>
      </c>
      <c r="D247" t="s">
        <v>1746</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hidden="1" x14ac:dyDescent="0.45">
      <c r="A248" t="s">
        <v>1110</v>
      </c>
      <c r="B248" t="s">
        <v>1683</v>
      </c>
      <c r="C248" t="s">
        <v>1745</v>
      </c>
      <c r="D248" t="s">
        <v>1746</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hidden="1" x14ac:dyDescent="0.45">
      <c r="A249" t="s">
        <v>1128</v>
      </c>
      <c r="B249" t="s">
        <v>1684</v>
      </c>
      <c r="C249" t="s">
        <v>1745</v>
      </c>
      <c r="D249" t="s">
        <v>1746</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hidden="1" x14ac:dyDescent="0.45">
      <c r="A250" t="s">
        <v>1685</v>
      </c>
      <c r="B250" t="s">
        <v>1686</v>
      </c>
      <c r="C250" t="s">
        <v>1745</v>
      </c>
      <c r="D250" t="s">
        <v>1746</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hidden="1" x14ac:dyDescent="0.45">
      <c r="A251" t="s">
        <v>1687</v>
      </c>
      <c r="B251" t="s">
        <v>1688</v>
      </c>
      <c r="C251" t="s">
        <v>1745</v>
      </c>
      <c r="D251" t="s">
        <v>1746</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hidden="1" x14ac:dyDescent="0.45">
      <c r="A252" t="s">
        <v>604</v>
      </c>
      <c r="B252" t="s">
        <v>1689</v>
      </c>
      <c r="C252" t="s">
        <v>1745</v>
      </c>
      <c r="D252" t="s">
        <v>1746</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hidden="1" x14ac:dyDescent="0.45">
      <c r="A253" t="s">
        <v>1243</v>
      </c>
      <c r="B253" t="s">
        <v>1690</v>
      </c>
      <c r="C253" t="s">
        <v>1745</v>
      </c>
      <c r="D253" t="s">
        <v>1746</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hidden="1" x14ac:dyDescent="0.45">
      <c r="A254" t="s">
        <v>1691</v>
      </c>
      <c r="B254" t="s">
        <v>1692</v>
      </c>
      <c r="C254" t="s">
        <v>1745</v>
      </c>
      <c r="D254" t="s">
        <v>1746</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hidden="1" x14ac:dyDescent="0.45">
      <c r="A255" t="s">
        <v>1210</v>
      </c>
      <c r="B255" t="s">
        <v>1693</v>
      </c>
      <c r="C255" t="s">
        <v>1745</v>
      </c>
      <c r="D255" t="s">
        <v>1746</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hidden="1" x14ac:dyDescent="0.45">
      <c r="A256" t="s">
        <v>1694</v>
      </c>
      <c r="B256" t="s">
        <v>1695</v>
      </c>
      <c r="C256" t="s">
        <v>1745</v>
      </c>
      <c r="D256" t="s">
        <v>1746</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hidden="1" x14ac:dyDescent="0.45">
      <c r="A257" t="s">
        <v>1137</v>
      </c>
      <c r="B257" t="s">
        <v>1696</v>
      </c>
      <c r="C257" t="s">
        <v>1745</v>
      </c>
      <c r="D257" t="s">
        <v>1746</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hidden="1" x14ac:dyDescent="0.45">
      <c r="A258" t="s">
        <v>1697</v>
      </c>
      <c r="B258" t="s">
        <v>1698</v>
      </c>
      <c r="C258" t="s">
        <v>1745</v>
      </c>
      <c r="D258" t="s">
        <v>1746</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hidden="1" x14ac:dyDescent="0.45">
      <c r="A259" t="s">
        <v>1699</v>
      </c>
      <c r="B259" t="s">
        <v>1700</v>
      </c>
      <c r="C259" t="s">
        <v>1745</v>
      </c>
      <c r="D259" t="s">
        <v>1746</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hidden="1" x14ac:dyDescent="0.45">
      <c r="A260" t="s">
        <v>1701</v>
      </c>
      <c r="B260" t="s">
        <v>1702</v>
      </c>
      <c r="C260" t="s">
        <v>1745</v>
      </c>
      <c r="D260" t="s">
        <v>1746</v>
      </c>
    </row>
    <row r="261" spans="1:65" hidden="1" x14ac:dyDescent="0.45">
      <c r="A261" t="s">
        <v>1703</v>
      </c>
      <c r="B261" t="s">
        <v>1704</v>
      </c>
      <c r="C261" t="s">
        <v>1745</v>
      </c>
      <c r="D261" t="s">
        <v>1746</v>
      </c>
    </row>
    <row r="262" spans="1:65" hidden="1" x14ac:dyDescent="0.45">
      <c r="A262" t="s">
        <v>1705</v>
      </c>
      <c r="B262" t="s">
        <v>1706</v>
      </c>
      <c r="C262" t="s">
        <v>1745</v>
      </c>
      <c r="D262" t="s">
        <v>1746</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hidden="1" x14ac:dyDescent="0.45">
      <c r="A263" t="s">
        <v>1221</v>
      </c>
      <c r="B263" t="s">
        <v>1707</v>
      </c>
      <c r="C263" t="s">
        <v>1745</v>
      </c>
      <c r="D263" t="s">
        <v>1746</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hidden="1" x14ac:dyDescent="0.45">
      <c r="A264" t="s">
        <v>1017</v>
      </c>
      <c r="B264" t="s">
        <v>1708</v>
      </c>
      <c r="C264" t="s">
        <v>1745</v>
      </c>
      <c r="D264" t="s">
        <v>1746</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hidden="1" x14ac:dyDescent="0.45">
      <c r="A265" t="s">
        <v>1228</v>
      </c>
      <c r="B265" t="s">
        <v>1709</v>
      </c>
      <c r="C265" t="s">
        <v>1745</v>
      </c>
      <c r="D265" t="s">
        <v>1746</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hidden="1" x14ac:dyDescent="0.45">
      <c r="A266" t="s">
        <v>1710</v>
      </c>
      <c r="B266" t="s">
        <v>1711</v>
      </c>
      <c r="C266" t="s">
        <v>1745</v>
      </c>
      <c r="D266" t="s">
        <v>1746</v>
      </c>
    </row>
    <row r="267" spans="1:65" hidden="1" x14ac:dyDescent="0.45">
      <c r="A267" t="s">
        <v>1712</v>
      </c>
      <c r="B267" t="s">
        <v>1713</v>
      </c>
      <c r="C267" t="s">
        <v>1745</v>
      </c>
      <c r="D267" t="s">
        <v>1746</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hidden="1" x14ac:dyDescent="0.45">
      <c r="A268" t="s">
        <v>602</v>
      </c>
      <c r="B268" t="s">
        <v>1714</v>
      </c>
      <c r="C268" t="s">
        <v>1745</v>
      </c>
      <c r="D268" t="s">
        <v>1746</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hidden="1" x14ac:dyDescent="0.45">
      <c r="A269" t="s">
        <v>606</v>
      </c>
      <c r="B269" t="s">
        <v>1715</v>
      </c>
      <c r="C269" t="s">
        <v>1745</v>
      </c>
      <c r="D269" t="s">
        <v>1746</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hidden="1" x14ac:dyDescent="0.45">
      <c r="A270" t="s">
        <v>607</v>
      </c>
      <c r="B270" t="s">
        <v>1716</v>
      </c>
      <c r="C270" t="s">
        <v>1745</v>
      </c>
      <c r="D270" t="s">
        <v>1746</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v>54.6</v>
      </c>
    </row>
    <row r="271" spans="1:65" s="1" customFormat="1" x14ac:dyDescent="0.45"/>
    <row r="272" spans="1:65" s="1" customFormat="1" x14ac:dyDescent="0.45">
      <c r="BB272" s="1" t="s">
        <v>1717</v>
      </c>
      <c r="BC272" s="155">
        <f t="shared" ref="BC272:BL272" si="0">BC77/BB77</f>
        <v>0.94579008073817761</v>
      </c>
      <c r="BD272" s="155">
        <f t="shared" si="0"/>
        <v>0.9463414634146341</v>
      </c>
      <c r="BE272" s="155">
        <f t="shared" si="0"/>
        <v>0.94587628865979401</v>
      </c>
      <c r="BF272" s="155">
        <f t="shared" si="0"/>
        <v>0.94686648501362392</v>
      </c>
      <c r="BG272" s="155">
        <f t="shared" si="0"/>
        <v>0.94676258992805751</v>
      </c>
      <c r="BH272" s="155">
        <f t="shared" si="0"/>
        <v>0.94528875379939215</v>
      </c>
      <c r="BI272" s="155">
        <f t="shared" si="0"/>
        <v>0.94694533762057875</v>
      </c>
      <c r="BJ272" s="155">
        <f t="shared" si="0"/>
        <v>0.94736842105263153</v>
      </c>
      <c r="BK272" s="155">
        <f t="shared" si="0"/>
        <v>0.95161290322580649</v>
      </c>
      <c r="BL272" s="155">
        <f t="shared" si="0"/>
        <v>0.95480225988700573</v>
      </c>
      <c r="BM272" s="2">
        <f>BL272</f>
        <v>0.95480225988700573</v>
      </c>
    </row>
    <row r="273" spans="8:65" s="1" customFormat="1" x14ac:dyDescent="0.45">
      <c r="BM273" s="51" t="s">
        <v>1744</v>
      </c>
    </row>
    <row r="274" spans="8:65" s="1" customFormat="1" x14ac:dyDescent="0.45">
      <c r="I274" s="1" t="s">
        <v>1719</v>
      </c>
    </row>
    <row r="275" spans="8:65" s="1" customFormat="1" x14ac:dyDescent="0.45">
      <c r="H275">
        <v>2020</v>
      </c>
      <c r="I275" s="156">
        <f>BL77*$BM$272</f>
        <v>48.408474576271196</v>
      </c>
    </row>
    <row r="276" spans="8:65" s="1" customFormat="1" x14ac:dyDescent="0.45">
      <c r="H276">
        <v>2021</v>
      </c>
      <c r="I276" s="156">
        <f>I275*$BM$272</f>
        <v>46.220520923106399</v>
      </c>
    </row>
    <row r="277" spans="8:65" s="1" customFormat="1" x14ac:dyDescent="0.45">
      <c r="H277">
        <v>2022</v>
      </c>
      <c r="I277" s="156">
        <f t="shared" ref="I277:I295" si="1">I276*$BM$272</f>
        <v>44.131457830536625</v>
      </c>
    </row>
    <row r="278" spans="8:65" s="1" customFormat="1" x14ac:dyDescent="0.45">
      <c r="H278">
        <v>2023</v>
      </c>
      <c r="I278" s="156">
        <f t="shared" si="1"/>
        <v>42.136815668704465</v>
      </c>
    </row>
    <row r="279" spans="8:65" s="1" customFormat="1" x14ac:dyDescent="0.45">
      <c r="H279">
        <v>2024</v>
      </c>
      <c r="I279" s="156">
        <f t="shared" si="1"/>
        <v>40.232326824921216</v>
      </c>
    </row>
    <row r="280" spans="8:65" s="1" customFormat="1" x14ac:dyDescent="0.45">
      <c r="H280">
        <v>2025</v>
      </c>
      <c r="I280" s="156">
        <f t="shared" si="1"/>
        <v>38.413916572947379</v>
      </c>
    </row>
    <row r="281" spans="8:65" s="1" customFormat="1" x14ac:dyDescent="0.45">
      <c r="H281">
        <v>2026</v>
      </c>
      <c r="I281" s="156">
        <f t="shared" si="1"/>
        <v>36.677694354961062</v>
      </c>
    </row>
    <row r="282" spans="8:65" s="1" customFormat="1" x14ac:dyDescent="0.45">
      <c r="H282">
        <v>2027</v>
      </c>
      <c r="I282" s="156">
        <f t="shared" si="1"/>
        <v>35.019945457561697</v>
      </c>
    </row>
    <row r="283" spans="8:65" s="1" customFormat="1" x14ac:dyDescent="0.45">
      <c r="H283">
        <v>2028</v>
      </c>
      <c r="I283" s="156">
        <f t="shared" si="1"/>
        <v>33.437123063999586</v>
      </c>
    </row>
    <row r="284" spans="8:65" s="1" customFormat="1" x14ac:dyDescent="0.45">
      <c r="H284">
        <v>2029</v>
      </c>
      <c r="I284" s="156">
        <f t="shared" si="1"/>
        <v>31.925840665626726</v>
      </c>
    </row>
    <row r="285" spans="8:65" s="1" customFormat="1" x14ac:dyDescent="0.45">
      <c r="H285">
        <v>2030</v>
      </c>
      <c r="I285" s="156">
        <f t="shared" si="1"/>
        <v>30.482864816332867</v>
      </c>
    </row>
    <row r="286" spans="8:65" s="1" customFormat="1" x14ac:dyDescent="0.45">
      <c r="H286">
        <v>2031</v>
      </c>
      <c r="I286" s="156">
        <f t="shared" si="1"/>
        <v>29.105108214464718</v>
      </c>
    </row>
    <row r="287" spans="8:65" s="1" customFormat="1" x14ac:dyDescent="0.45">
      <c r="H287">
        <v>2032</v>
      </c>
      <c r="I287" s="156">
        <f t="shared" si="1"/>
        <v>27.789623097426766</v>
      </c>
    </row>
    <row r="288" spans="8:65" s="1" customFormat="1" x14ac:dyDescent="0.45">
      <c r="H288">
        <v>2033</v>
      </c>
      <c r="I288" s="156">
        <f t="shared" si="1"/>
        <v>26.533594934831207</v>
      </c>
    </row>
    <row r="289" spans="3:9" s="1" customFormat="1" x14ac:dyDescent="0.45">
      <c r="C289" s="49"/>
      <c r="D289" s="49"/>
      <c r="E289" s="49"/>
      <c r="H289">
        <v>2034</v>
      </c>
      <c r="I289" s="156">
        <f t="shared" si="1"/>
        <v>25.334336406703244</v>
      </c>
    </row>
    <row r="290" spans="3:9" s="1" customFormat="1" x14ac:dyDescent="0.45">
      <c r="C290" s="49"/>
      <c r="D290" s="49"/>
      <c r="E290" s="49"/>
      <c r="H290">
        <v>2035</v>
      </c>
      <c r="I290" s="156">
        <f t="shared" si="1"/>
        <v>24.189281653857901</v>
      </c>
    </row>
    <row r="291" spans="3:9" s="1" customFormat="1" x14ac:dyDescent="0.45">
      <c r="C291" s="49"/>
      <c r="D291" s="49"/>
      <c r="E291" s="49"/>
      <c r="H291">
        <v>2036</v>
      </c>
      <c r="I291" s="156">
        <f t="shared" si="1"/>
        <v>23.095980788146811</v>
      </c>
    </row>
    <row r="292" spans="3:9" s="1" customFormat="1" x14ac:dyDescent="0.45">
      <c r="H292">
        <v>2037</v>
      </c>
      <c r="I292" s="156">
        <f t="shared" si="1"/>
        <v>22.052094650829442</v>
      </c>
    </row>
    <row r="293" spans="3:9" s="1" customFormat="1" x14ac:dyDescent="0.45">
      <c r="H293">
        <v>2038</v>
      </c>
      <c r="I293" s="156">
        <f t="shared" si="1"/>
        <v>21.055389807854102</v>
      </c>
    </row>
    <row r="294" spans="3:9" s="1" customFormat="1" x14ac:dyDescent="0.45">
      <c r="H294">
        <v>2039</v>
      </c>
      <c r="I294" s="156">
        <f t="shared" si="1"/>
        <v>20.103733771340924</v>
      </c>
    </row>
    <row r="295" spans="3:9" s="1" customFormat="1" x14ac:dyDescent="0.45">
      <c r="H295">
        <v>2040</v>
      </c>
      <c r="I295" s="156">
        <f t="shared" si="1"/>
        <v>19.195090437043032</v>
      </c>
    </row>
    <row r="296" spans="3:9" s="1" customFormat="1" x14ac:dyDescent="0.45"/>
    <row r="297" spans="3:9" s="1" customFormat="1" x14ac:dyDescent="0.45"/>
  </sheetData>
  <pageMargins left="0.7" right="0.7" top="0.75" bottom="0.75" header="0.3" footer="0.3"/>
  <headerFooter alignWithMargins="0"/>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C4878-99A7-4A24-AEC3-9809CFA1AA75}">
  <dimension ref="A1:BM297"/>
  <sheetViews>
    <sheetView workbookViewId="0">
      <selection activeCell="A291" sqref="A291"/>
    </sheetView>
  </sheetViews>
  <sheetFormatPr defaultRowHeight="14.25" x14ac:dyDescent="0.45"/>
  <cols>
    <col min="1" max="1" width="44.19921875" bestFit="1" customWidth="1"/>
    <col min="2" max="2" width="25.53125" bestFit="1" customWidth="1"/>
    <col min="3" max="3" width="50.53125" bestFit="1" customWidth="1"/>
    <col min="4" max="4" width="12.73046875" bestFit="1" customWidth="1"/>
    <col min="5" max="8" width="5" bestFit="1" customWidth="1"/>
    <col min="9" max="9" width="9.19921875" bestFit="1" customWidth="1"/>
    <col min="10" max="34" width="5" bestFit="1" customWidth="1"/>
    <col min="35" max="64" width="11.46484375" bestFit="1" customWidth="1"/>
    <col min="65" max="65" width="7.53125" customWidth="1"/>
  </cols>
  <sheetData>
    <row r="1" spans="1:65" x14ac:dyDescent="0.45">
      <c r="A1" t="s">
        <v>1283</v>
      </c>
      <c r="B1" t="s">
        <v>1284</v>
      </c>
    </row>
    <row r="2" spans="1:65" x14ac:dyDescent="0.45">
      <c r="A2" t="s">
        <v>1285</v>
      </c>
      <c r="B2" s="4">
        <v>44407</v>
      </c>
    </row>
    <row r="4" spans="1:65" x14ac:dyDescent="0.4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45">
      <c r="A5" t="s">
        <v>1173</v>
      </c>
      <c r="B5" t="s">
        <v>1351</v>
      </c>
      <c r="C5" t="s">
        <v>1747</v>
      </c>
      <c r="D5" t="s">
        <v>1748</v>
      </c>
    </row>
    <row r="6" spans="1:65" hidden="1" x14ac:dyDescent="0.45">
      <c r="A6" t="s">
        <v>1354</v>
      </c>
      <c r="B6" t="s">
        <v>1355</v>
      </c>
      <c r="C6" t="s">
        <v>1747</v>
      </c>
      <c r="D6" t="s">
        <v>1748</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hidden="1" x14ac:dyDescent="0.45">
      <c r="A7" t="s">
        <v>1139</v>
      </c>
      <c r="B7" t="s">
        <v>1356</v>
      </c>
      <c r="C7" t="s">
        <v>1747</v>
      </c>
      <c r="D7" t="s">
        <v>1748</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hidden="1" x14ac:dyDescent="0.45">
      <c r="A8" t="s">
        <v>1357</v>
      </c>
      <c r="B8" t="s">
        <v>1358</v>
      </c>
      <c r="C8" t="s">
        <v>1747</v>
      </c>
      <c r="D8" t="s">
        <v>1748</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hidden="1" x14ac:dyDescent="0.45">
      <c r="A9" t="s">
        <v>1078</v>
      </c>
      <c r="B9" t="s">
        <v>1359</v>
      </c>
      <c r="C9" t="s">
        <v>1747</v>
      </c>
      <c r="D9" t="s">
        <v>1748</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hidden="1" x14ac:dyDescent="0.45">
      <c r="A10" t="s">
        <v>1257</v>
      </c>
      <c r="B10" t="s">
        <v>1360</v>
      </c>
      <c r="C10" t="s">
        <v>1747</v>
      </c>
      <c r="D10" t="s">
        <v>1748</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hidden="1" x14ac:dyDescent="0.45">
      <c r="A11" t="s">
        <v>1361</v>
      </c>
      <c r="B11" t="s">
        <v>1362</v>
      </c>
      <c r="C11" t="s">
        <v>1747</v>
      </c>
      <c r="D11" t="s">
        <v>1748</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hidden="1" x14ac:dyDescent="0.45">
      <c r="A12" t="s">
        <v>1363</v>
      </c>
      <c r="B12" t="s">
        <v>1364</v>
      </c>
      <c r="C12" t="s">
        <v>1747</v>
      </c>
      <c r="D12" t="s">
        <v>1748</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hidden="1" x14ac:dyDescent="0.45">
      <c r="A13" t="s">
        <v>1129</v>
      </c>
      <c r="B13" t="s">
        <v>1365</v>
      </c>
      <c r="C13" t="s">
        <v>1747</v>
      </c>
      <c r="D13" t="s">
        <v>1748</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hidden="1" x14ac:dyDescent="0.45">
      <c r="A14" t="s">
        <v>1199</v>
      </c>
      <c r="B14" t="s">
        <v>1366</v>
      </c>
      <c r="C14" t="s">
        <v>1747</v>
      </c>
      <c r="D14" t="s">
        <v>1748</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hidden="1" x14ac:dyDescent="0.45">
      <c r="A15" t="s">
        <v>1113</v>
      </c>
      <c r="B15" t="s">
        <v>1367</v>
      </c>
      <c r="C15" t="s">
        <v>1747</v>
      </c>
      <c r="D15" t="s">
        <v>1748</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hidden="1" x14ac:dyDescent="0.45">
      <c r="A16" t="s">
        <v>1368</v>
      </c>
      <c r="B16" t="s">
        <v>1369</v>
      </c>
      <c r="C16" t="s">
        <v>1747</v>
      </c>
      <c r="D16" t="s">
        <v>1748</v>
      </c>
    </row>
    <row r="17" spans="1:64" hidden="1" x14ac:dyDescent="0.45">
      <c r="A17" t="s">
        <v>1172</v>
      </c>
      <c r="B17" t="s">
        <v>1370</v>
      </c>
      <c r="C17" t="s">
        <v>1747</v>
      </c>
      <c r="D17" t="s">
        <v>1748</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hidden="1" x14ac:dyDescent="0.45">
      <c r="A18" t="s">
        <v>1213</v>
      </c>
      <c r="B18" t="s">
        <v>1371</v>
      </c>
      <c r="C18" t="s">
        <v>1747</v>
      </c>
      <c r="D18" t="s">
        <v>1748</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hidden="1" x14ac:dyDescent="0.45">
      <c r="A19" t="s">
        <v>1270</v>
      </c>
      <c r="B19" t="s">
        <v>1372</v>
      </c>
      <c r="C19" t="s">
        <v>1747</v>
      </c>
      <c r="D19" t="s">
        <v>1748</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hidden="1" x14ac:dyDescent="0.45">
      <c r="A20" t="s">
        <v>1114</v>
      </c>
      <c r="B20" t="s">
        <v>1373</v>
      </c>
      <c r="C20" t="s">
        <v>1747</v>
      </c>
      <c r="D20" t="s">
        <v>1748</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hidden="1" x14ac:dyDescent="0.45">
      <c r="A21" t="s">
        <v>582</v>
      </c>
      <c r="B21" t="s">
        <v>1374</v>
      </c>
      <c r="C21" t="s">
        <v>1747</v>
      </c>
      <c r="D21" t="s">
        <v>1748</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hidden="1" x14ac:dyDescent="0.45">
      <c r="A22" t="s">
        <v>1271</v>
      </c>
      <c r="B22" t="s">
        <v>1375</v>
      </c>
      <c r="C22" t="s">
        <v>1747</v>
      </c>
      <c r="D22" t="s">
        <v>1748</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hidden="1" x14ac:dyDescent="0.45">
      <c r="A23" t="s">
        <v>1088</v>
      </c>
      <c r="B23" t="s">
        <v>1376</v>
      </c>
      <c r="C23" t="s">
        <v>1747</v>
      </c>
      <c r="D23" t="s">
        <v>1748</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hidden="1" x14ac:dyDescent="0.45">
      <c r="A24" t="s">
        <v>1089</v>
      </c>
      <c r="B24" t="s">
        <v>1377</v>
      </c>
      <c r="C24" t="s">
        <v>1747</v>
      </c>
      <c r="D24" t="s">
        <v>1748</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hidden="1" x14ac:dyDescent="0.45">
      <c r="A25" t="s">
        <v>1140</v>
      </c>
      <c r="B25" t="s">
        <v>1378</v>
      </c>
      <c r="C25" t="s">
        <v>1747</v>
      </c>
      <c r="D25" t="s">
        <v>1748</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hidden="1" x14ac:dyDescent="0.45">
      <c r="A26" t="s">
        <v>1235</v>
      </c>
      <c r="B26" t="s">
        <v>1379</v>
      </c>
      <c r="C26" t="s">
        <v>1747</v>
      </c>
      <c r="D26" t="s">
        <v>1748</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hidden="1" x14ac:dyDescent="0.45">
      <c r="A27" t="s">
        <v>1115</v>
      </c>
      <c r="B27" t="s">
        <v>1380</v>
      </c>
      <c r="C27" t="s">
        <v>1747</v>
      </c>
      <c r="D27" t="s">
        <v>1748</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hidden="1" x14ac:dyDescent="0.45">
      <c r="A28" t="s">
        <v>1381</v>
      </c>
      <c r="B28" t="s">
        <v>1382</v>
      </c>
      <c r="C28" t="s">
        <v>1747</v>
      </c>
      <c r="D28" t="s">
        <v>1748</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hidden="1" x14ac:dyDescent="0.45">
      <c r="A29" t="s">
        <v>1258</v>
      </c>
      <c r="B29" t="s">
        <v>1383</v>
      </c>
      <c r="C29" t="s">
        <v>1747</v>
      </c>
      <c r="D29" t="s">
        <v>1748</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hidden="1" x14ac:dyDescent="0.45">
      <c r="A30" t="s">
        <v>1234</v>
      </c>
      <c r="B30" t="s">
        <v>1384</v>
      </c>
      <c r="C30" t="s">
        <v>1747</v>
      </c>
      <c r="D30" t="s">
        <v>1748</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hidden="1" x14ac:dyDescent="0.45">
      <c r="A31" t="s">
        <v>1190</v>
      </c>
      <c r="B31" t="s">
        <v>1385</v>
      </c>
      <c r="C31" t="s">
        <v>1747</v>
      </c>
      <c r="D31" t="s">
        <v>1748</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hidden="1" x14ac:dyDescent="0.45">
      <c r="A32" t="s">
        <v>1386</v>
      </c>
      <c r="B32" t="s">
        <v>1387</v>
      </c>
      <c r="C32" t="s">
        <v>1747</v>
      </c>
      <c r="D32" t="s">
        <v>1748</v>
      </c>
    </row>
    <row r="33" spans="1:64" hidden="1" x14ac:dyDescent="0.45">
      <c r="A33" t="s">
        <v>1388</v>
      </c>
      <c r="B33" t="s">
        <v>1389</v>
      </c>
      <c r="C33" t="s">
        <v>1747</v>
      </c>
      <c r="D33" t="s">
        <v>1748</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hidden="1" x14ac:dyDescent="0.45">
      <c r="A34" t="s">
        <v>1201</v>
      </c>
      <c r="B34" t="s">
        <v>1390</v>
      </c>
      <c r="C34" t="s">
        <v>1747</v>
      </c>
      <c r="D34" t="s">
        <v>1748</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hidden="1" x14ac:dyDescent="0.45">
      <c r="A35" t="s">
        <v>1175</v>
      </c>
      <c r="B35" t="s">
        <v>1391</v>
      </c>
      <c r="C35" t="s">
        <v>1747</v>
      </c>
      <c r="D35" t="s">
        <v>1748</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hidden="1" x14ac:dyDescent="0.45">
      <c r="A36" t="s">
        <v>1159</v>
      </c>
      <c r="B36" t="s">
        <v>1392</v>
      </c>
      <c r="C36" t="s">
        <v>1747</v>
      </c>
      <c r="D36" t="s">
        <v>1748</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hidden="1" x14ac:dyDescent="0.45">
      <c r="A37" t="s">
        <v>1141</v>
      </c>
      <c r="B37" t="s">
        <v>1393</v>
      </c>
      <c r="C37" t="s">
        <v>1747</v>
      </c>
      <c r="D37" t="s">
        <v>1748</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hidden="1" x14ac:dyDescent="0.45">
      <c r="A38" t="s">
        <v>580</v>
      </c>
      <c r="B38" t="s">
        <v>1394</v>
      </c>
      <c r="C38" t="s">
        <v>1747</v>
      </c>
      <c r="D38" t="s">
        <v>1748</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hidden="1" x14ac:dyDescent="0.45">
      <c r="A39" t="s">
        <v>584</v>
      </c>
      <c r="B39" t="s">
        <v>1395</v>
      </c>
      <c r="C39" t="s">
        <v>1747</v>
      </c>
      <c r="D39" t="s">
        <v>1748</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hidden="1" x14ac:dyDescent="0.45">
      <c r="A40" t="s">
        <v>1278</v>
      </c>
      <c r="B40" t="s">
        <v>1396</v>
      </c>
      <c r="C40" t="s">
        <v>1747</v>
      </c>
      <c r="D40" t="s">
        <v>1748</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hidden="1" x14ac:dyDescent="0.45">
      <c r="A41" t="s">
        <v>1397</v>
      </c>
      <c r="B41" t="s">
        <v>1398</v>
      </c>
      <c r="C41" t="s">
        <v>1747</v>
      </c>
      <c r="D41" t="s">
        <v>1748</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hidden="1" x14ac:dyDescent="0.45">
      <c r="A42" t="s">
        <v>1276</v>
      </c>
      <c r="B42" t="s">
        <v>1399</v>
      </c>
      <c r="C42" t="s">
        <v>1747</v>
      </c>
      <c r="D42" t="s">
        <v>1748</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hidden="1" x14ac:dyDescent="0.45">
      <c r="A43" t="s">
        <v>1245</v>
      </c>
      <c r="B43" t="s">
        <v>1400</v>
      </c>
      <c r="C43" t="s">
        <v>1747</v>
      </c>
      <c r="D43" t="s">
        <v>1748</v>
      </c>
    </row>
    <row r="44" spans="1:64" hidden="1" x14ac:dyDescent="0.45">
      <c r="A44" t="s">
        <v>1202</v>
      </c>
      <c r="B44" t="s">
        <v>1401</v>
      </c>
      <c r="C44" t="s">
        <v>1747</v>
      </c>
      <c r="D44" t="s">
        <v>1748</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hidden="1" x14ac:dyDescent="0.45">
      <c r="A45" t="s">
        <v>1150</v>
      </c>
      <c r="B45" t="s">
        <v>1402</v>
      </c>
      <c r="C45" t="s">
        <v>1747</v>
      </c>
      <c r="D45" t="s">
        <v>1748</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hidden="1" x14ac:dyDescent="0.45">
      <c r="A46" t="s">
        <v>1403</v>
      </c>
      <c r="B46" t="s">
        <v>1404</v>
      </c>
      <c r="C46" t="s">
        <v>1747</v>
      </c>
      <c r="D46" t="s">
        <v>1748</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hidden="1" x14ac:dyDescent="0.45">
      <c r="A47" t="s">
        <v>1079</v>
      </c>
      <c r="B47" t="s">
        <v>1405</v>
      </c>
      <c r="C47" t="s">
        <v>1747</v>
      </c>
      <c r="D47" t="s">
        <v>1748</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hidden="1" x14ac:dyDescent="0.45">
      <c r="A48" t="s">
        <v>1406</v>
      </c>
      <c r="B48" t="s">
        <v>1407</v>
      </c>
      <c r="C48" t="s">
        <v>1747</v>
      </c>
      <c r="D48" t="s">
        <v>1748</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hidden="1" x14ac:dyDescent="0.45">
      <c r="A49" t="s">
        <v>1408</v>
      </c>
      <c r="B49" t="s">
        <v>1409</v>
      </c>
      <c r="C49" t="s">
        <v>1747</v>
      </c>
      <c r="D49" t="s">
        <v>1748</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hidden="1" x14ac:dyDescent="0.45">
      <c r="A50" t="s">
        <v>1203</v>
      </c>
      <c r="B50" t="s">
        <v>1410</v>
      </c>
      <c r="C50" t="s">
        <v>1747</v>
      </c>
      <c r="D50" t="s">
        <v>1748</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hidden="1" x14ac:dyDescent="0.45">
      <c r="A51" t="s">
        <v>1067</v>
      </c>
      <c r="B51" t="s">
        <v>1411</v>
      </c>
      <c r="C51" t="s">
        <v>1747</v>
      </c>
      <c r="D51" t="s">
        <v>1748</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hidden="1" x14ac:dyDescent="0.45">
      <c r="A52" t="s">
        <v>1090</v>
      </c>
      <c r="B52" t="s">
        <v>1412</v>
      </c>
      <c r="C52" t="s">
        <v>1747</v>
      </c>
      <c r="D52" t="s">
        <v>1748</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hidden="1" x14ac:dyDescent="0.45">
      <c r="A53" t="s">
        <v>1191</v>
      </c>
      <c r="B53" t="s">
        <v>1413</v>
      </c>
      <c r="C53" t="s">
        <v>1747</v>
      </c>
      <c r="D53" t="s">
        <v>1748</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hidden="1" x14ac:dyDescent="0.45">
      <c r="A54" t="s">
        <v>1414</v>
      </c>
      <c r="B54" t="s">
        <v>1415</v>
      </c>
      <c r="C54" t="s">
        <v>1747</v>
      </c>
      <c r="D54" t="s">
        <v>1748</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hidden="1" x14ac:dyDescent="0.45">
      <c r="A55" t="s">
        <v>1176</v>
      </c>
      <c r="B55" t="s">
        <v>1416</v>
      </c>
      <c r="C55" t="s">
        <v>1747</v>
      </c>
      <c r="D55" t="s">
        <v>1748</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hidden="1" x14ac:dyDescent="0.45">
      <c r="A56" t="s">
        <v>1417</v>
      </c>
      <c r="B56" t="s">
        <v>1418</v>
      </c>
      <c r="C56" t="s">
        <v>1747</v>
      </c>
      <c r="D56" t="s">
        <v>1748</v>
      </c>
    </row>
    <row r="57" spans="1:64" hidden="1" x14ac:dyDescent="0.45">
      <c r="A57" t="s">
        <v>1419</v>
      </c>
      <c r="B57" t="s">
        <v>1420</v>
      </c>
      <c r="C57" t="s">
        <v>1747</v>
      </c>
      <c r="D57" t="s">
        <v>1748</v>
      </c>
    </row>
    <row r="58" spans="1:64" hidden="1" x14ac:dyDescent="0.45">
      <c r="A58" t="s">
        <v>1116</v>
      </c>
      <c r="B58" t="s">
        <v>1421</v>
      </c>
      <c r="C58" t="s">
        <v>1747</v>
      </c>
      <c r="D58" t="s">
        <v>1748</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hidden="1" x14ac:dyDescent="0.45">
      <c r="A59" t="s">
        <v>1422</v>
      </c>
      <c r="B59" t="s">
        <v>1423</v>
      </c>
      <c r="C59" t="s">
        <v>1747</v>
      </c>
      <c r="D59" t="s">
        <v>1748</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hidden="1" x14ac:dyDescent="0.45">
      <c r="A60" t="s">
        <v>1273</v>
      </c>
      <c r="B60" t="s">
        <v>1424</v>
      </c>
      <c r="C60" t="s">
        <v>1747</v>
      </c>
      <c r="D60" t="s">
        <v>1748</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hidden="1" x14ac:dyDescent="0.45">
      <c r="A61" t="s">
        <v>1068</v>
      </c>
      <c r="B61" t="s">
        <v>1425</v>
      </c>
      <c r="C61" t="s">
        <v>1747</v>
      </c>
      <c r="D61" t="s">
        <v>1748</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hidden="1" x14ac:dyDescent="0.45">
      <c r="A62" t="s">
        <v>1426</v>
      </c>
      <c r="B62" t="s">
        <v>1427</v>
      </c>
      <c r="C62" t="s">
        <v>1747</v>
      </c>
      <c r="D62" t="s">
        <v>1748</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hidden="1" x14ac:dyDescent="0.45">
      <c r="A63" t="s">
        <v>1246</v>
      </c>
      <c r="B63" t="s">
        <v>1428</v>
      </c>
      <c r="C63" t="s">
        <v>1747</v>
      </c>
      <c r="D63" t="s">
        <v>1748</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hidden="1" x14ac:dyDescent="0.45">
      <c r="A64" t="s">
        <v>1178</v>
      </c>
      <c r="B64" t="s">
        <v>1429</v>
      </c>
      <c r="C64" t="s">
        <v>1747</v>
      </c>
      <c r="D64" t="s">
        <v>1748</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hidden="1" x14ac:dyDescent="0.45">
      <c r="A65" t="s">
        <v>1105</v>
      </c>
      <c r="B65" t="s">
        <v>1430</v>
      </c>
      <c r="C65" t="s">
        <v>1747</v>
      </c>
      <c r="D65" t="s">
        <v>1748</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hidden="1" x14ac:dyDescent="0.45">
      <c r="A66" t="s">
        <v>1431</v>
      </c>
      <c r="B66" t="s">
        <v>1432</v>
      </c>
      <c r="C66" t="s">
        <v>1747</v>
      </c>
      <c r="D66" t="s">
        <v>1748</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hidden="1" x14ac:dyDescent="0.45">
      <c r="A67" t="s">
        <v>1433</v>
      </c>
      <c r="B67" t="s">
        <v>1434</v>
      </c>
      <c r="C67" t="s">
        <v>1747</v>
      </c>
      <c r="D67" t="s">
        <v>1748</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hidden="1" x14ac:dyDescent="0.45">
      <c r="A68" t="s">
        <v>1435</v>
      </c>
      <c r="B68" t="s">
        <v>1436</v>
      </c>
      <c r="C68" t="s">
        <v>1747</v>
      </c>
      <c r="D68" t="s">
        <v>1748</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hidden="1" x14ac:dyDescent="0.45">
      <c r="A69" t="s">
        <v>1437</v>
      </c>
      <c r="B69" t="s">
        <v>1438</v>
      </c>
      <c r="C69" t="s">
        <v>1747</v>
      </c>
      <c r="D69" t="s">
        <v>1748</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hidden="1" x14ac:dyDescent="0.45">
      <c r="A70" t="s">
        <v>1439</v>
      </c>
      <c r="B70" t="s">
        <v>1440</v>
      </c>
      <c r="C70" t="s">
        <v>1747</v>
      </c>
      <c r="D70" t="s">
        <v>1748</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hidden="1" x14ac:dyDescent="0.45">
      <c r="A71" t="s">
        <v>1204</v>
      </c>
      <c r="B71" t="s">
        <v>1441</v>
      </c>
      <c r="C71" t="s">
        <v>1747</v>
      </c>
      <c r="D71" t="s">
        <v>1748</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hidden="1" x14ac:dyDescent="0.45">
      <c r="A72" t="s">
        <v>1442</v>
      </c>
      <c r="B72" t="s">
        <v>1443</v>
      </c>
      <c r="C72" t="s">
        <v>1747</v>
      </c>
      <c r="D72" t="s">
        <v>1748</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hidden="1" x14ac:dyDescent="0.45">
      <c r="A73" t="s">
        <v>1444</v>
      </c>
      <c r="B73" t="s">
        <v>1445</v>
      </c>
      <c r="C73" t="s">
        <v>1747</v>
      </c>
      <c r="D73" t="s">
        <v>1748</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hidden="1" x14ac:dyDescent="0.45">
      <c r="A74" t="s">
        <v>592</v>
      </c>
      <c r="B74" t="s">
        <v>1446</v>
      </c>
      <c r="C74" t="s">
        <v>1747</v>
      </c>
      <c r="D74" t="s">
        <v>1748</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hidden="1" x14ac:dyDescent="0.45">
      <c r="A75" t="s">
        <v>1268</v>
      </c>
      <c r="B75" t="s">
        <v>1447</v>
      </c>
      <c r="C75" t="s">
        <v>1747</v>
      </c>
      <c r="D75" t="s">
        <v>1748</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hidden="1" x14ac:dyDescent="0.45">
      <c r="A76" t="s">
        <v>1247</v>
      </c>
      <c r="B76" t="s">
        <v>1448</v>
      </c>
      <c r="C76" t="s">
        <v>1747</v>
      </c>
      <c r="D76" t="s">
        <v>1748</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45">
      <c r="A77" t="s">
        <v>594</v>
      </c>
      <c r="B77" t="s">
        <v>926</v>
      </c>
      <c r="C77" t="s">
        <v>1747</v>
      </c>
      <c r="D77" t="s">
        <v>1748</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hidden="1" x14ac:dyDescent="0.45">
      <c r="A78" t="s">
        <v>1449</v>
      </c>
      <c r="B78" t="s">
        <v>1450</v>
      </c>
      <c r="C78" t="s">
        <v>1747</v>
      </c>
      <c r="D78" t="s">
        <v>1748</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hidden="1" x14ac:dyDescent="0.45">
      <c r="A79" t="s">
        <v>1451</v>
      </c>
      <c r="B79" t="s">
        <v>1452</v>
      </c>
      <c r="C79" t="s">
        <v>1747</v>
      </c>
      <c r="D79" t="s">
        <v>1748</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hidden="1" x14ac:dyDescent="0.45">
      <c r="A80" t="s">
        <v>1248</v>
      </c>
      <c r="B80" t="s">
        <v>1453</v>
      </c>
      <c r="C80" t="s">
        <v>1747</v>
      </c>
      <c r="D80" t="s">
        <v>1748</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hidden="1" x14ac:dyDescent="0.45">
      <c r="A81" t="s">
        <v>1217</v>
      </c>
      <c r="B81" t="s">
        <v>1454</v>
      </c>
      <c r="C81" t="s">
        <v>1747</v>
      </c>
      <c r="D81" t="s">
        <v>1748</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hidden="1" x14ac:dyDescent="0.45">
      <c r="A82" t="s">
        <v>1272</v>
      </c>
      <c r="B82" t="s">
        <v>1455</v>
      </c>
      <c r="C82" t="s">
        <v>1747</v>
      </c>
      <c r="D82" t="s">
        <v>1748</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hidden="1" x14ac:dyDescent="0.45">
      <c r="A83" t="s">
        <v>1456</v>
      </c>
      <c r="B83" t="s">
        <v>1457</v>
      </c>
      <c r="C83" t="s">
        <v>1747</v>
      </c>
      <c r="D83" t="s">
        <v>1748</v>
      </c>
    </row>
    <row r="84" spans="1:64" hidden="1" x14ac:dyDescent="0.45">
      <c r="A84" t="s">
        <v>1458</v>
      </c>
      <c r="B84" t="s">
        <v>1459</v>
      </c>
      <c r="C84" t="s">
        <v>1747</v>
      </c>
      <c r="D84" t="s">
        <v>1748</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hidden="1" x14ac:dyDescent="0.45">
      <c r="A85" t="s">
        <v>1083</v>
      </c>
      <c r="B85" t="s">
        <v>1460</v>
      </c>
      <c r="C85" t="s">
        <v>1747</v>
      </c>
      <c r="D85" t="s">
        <v>1748</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hidden="1" x14ac:dyDescent="0.45">
      <c r="A86" t="s">
        <v>1255</v>
      </c>
      <c r="B86" t="s">
        <v>1461</v>
      </c>
      <c r="C86" t="s">
        <v>1747</v>
      </c>
      <c r="D86" t="s">
        <v>1748</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hidden="1" x14ac:dyDescent="0.45">
      <c r="A87" t="s">
        <v>1117</v>
      </c>
      <c r="B87" t="s">
        <v>1462</v>
      </c>
      <c r="C87" t="s">
        <v>1747</v>
      </c>
      <c r="D87" t="s">
        <v>1748</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hidden="1" x14ac:dyDescent="0.45">
      <c r="A88" t="s">
        <v>1092</v>
      </c>
      <c r="B88" t="s">
        <v>1463</v>
      </c>
      <c r="C88" t="s">
        <v>1747</v>
      </c>
      <c r="D88" t="s">
        <v>1748</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hidden="1" x14ac:dyDescent="0.45">
      <c r="A89" t="s">
        <v>1464</v>
      </c>
      <c r="B89" t="s">
        <v>1465</v>
      </c>
      <c r="C89" t="s">
        <v>1747</v>
      </c>
      <c r="D89" t="s">
        <v>1748</v>
      </c>
    </row>
    <row r="90" spans="1:64" hidden="1" x14ac:dyDescent="0.45">
      <c r="A90" t="s">
        <v>1093</v>
      </c>
      <c r="B90" t="s">
        <v>1466</v>
      </c>
      <c r="C90" t="s">
        <v>1747</v>
      </c>
      <c r="D90" t="s">
        <v>1748</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hidden="1" x14ac:dyDescent="0.45">
      <c r="A91" t="s">
        <v>1467</v>
      </c>
      <c r="B91" t="s">
        <v>1468</v>
      </c>
      <c r="C91" t="s">
        <v>1747</v>
      </c>
      <c r="D91" t="s">
        <v>1748</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hidden="1" x14ac:dyDescent="0.45">
      <c r="A92" t="s">
        <v>1094</v>
      </c>
      <c r="B92" t="s">
        <v>1469</v>
      </c>
      <c r="C92" t="s">
        <v>1747</v>
      </c>
      <c r="D92" t="s">
        <v>1748</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hidden="1" x14ac:dyDescent="0.45">
      <c r="A93" t="s">
        <v>1082</v>
      </c>
      <c r="B93" t="s">
        <v>1470</v>
      </c>
      <c r="C93" t="s">
        <v>1747</v>
      </c>
      <c r="D93" t="s">
        <v>1748</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hidden="1" x14ac:dyDescent="0.45">
      <c r="A94" t="s">
        <v>1260</v>
      </c>
      <c r="B94" t="s">
        <v>1471</v>
      </c>
      <c r="C94" t="s">
        <v>1747</v>
      </c>
      <c r="D94" t="s">
        <v>1748</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hidden="1" x14ac:dyDescent="0.45">
      <c r="A95" t="s">
        <v>1179</v>
      </c>
      <c r="B95" t="s">
        <v>1472</v>
      </c>
      <c r="C95" t="s">
        <v>1747</v>
      </c>
      <c r="D95" t="s">
        <v>1748</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hidden="1" x14ac:dyDescent="0.45">
      <c r="A96" t="s">
        <v>1473</v>
      </c>
      <c r="B96" t="s">
        <v>1474</v>
      </c>
      <c r="C96" t="s">
        <v>1747</v>
      </c>
      <c r="D96" t="s">
        <v>1748</v>
      </c>
    </row>
    <row r="97" spans="1:64" hidden="1" x14ac:dyDescent="0.45">
      <c r="A97" t="s">
        <v>1193</v>
      </c>
      <c r="B97" t="s">
        <v>1475</v>
      </c>
      <c r="C97" t="s">
        <v>1747</v>
      </c>
      <c r="D97" t="s">
        <v>1748</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hidden="1" x14ac:dyDescent="0.45">
      <c r="A98" t="s">
        <v>1223</v>
      </c>
      <c r="B98" t="s">
        <v>1476</v>
      </c>
      <c r="C98" t="s">
        <v>1747</v>
      </c>
      <c r="D98" t="s">
        <v>1748</v>
      </c>
    </row>
    <row r="99" spans="1:64" hidden="1" x14ac:dyDescent="0.45">
      <c r="A99" t="s">
        <v>1206</v>
      </c>
      <c r="B99" t="s">
        <v>1477</v>
      </c>
      <c r="C99" t="s">
        <v>1747</v>
      </c>
      <c r="D99" t="s">
        <v>1748</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hidden="1" x14ac:dyDescent="0.45">
      <c r="A100" t="s">
        <v>1478</v>
      </c>
      <c r="B100" t="s">
        <v>1479</v>
      </c>
      <c r="C100" t="s">
        <v>1747</v>
      </c>
      <c r="D100" t="s">
        <v>1748</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hidden="1" x14ac:dyDescent="0.45">
      <c r="A101" t="s">
        <v>1480</v>
      </c>
      <c r="B101" t="s">
        <v>1481</v>
      </c>
      <c r="C101" t="s">
        <v>1747</v>
      </c>
      <c r="D101" t="s">
        <v>1748</v>
      </c>
    </row>
    <row r="102" spans="1:64" hidden="1" x14ac:dyDescent="0.45">
      <c r="A102" t="s">
        <v>1194</v>
      </c>
      <c r="B102" t="s">
        <v>1482</v>
      </c>
      <c r="C102" t="s">
        <v>1747</v>
      </c>
      <c r="D102" t="s">
        <v>1748</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hidden="1" x14ac:dyDescent="0.45">
      <c r="A103" t="s">
        <v>1483</v>
      </c>
      <c r="B103" t="s">
        <v>1484</v>
      </c>
      <c r="C103" t="s">
        <v>1747</v>
      </c>
      <c r="D103" t="s">
        <v>1748</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hidden="1" x14ac:dyDescent="0.45">
      <c r="A104" t="s">
        <v>1259</v>
      </c>
      <c r="B104" t="s">
        <v>1485</v>
      </c>
      <c r="C104" t="s">
        <v>1747</v>
      </c>
      <c r="D104" t="s">
        <v>1748</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hidden="1" x14ac:dyDescent="0.45">
      <c r="A105" t="s">
        <v>1181</v>
      </c>
      <c r="B105" t="s">
        <v>1486</v>
      </c>
      <c r="C105" t="s">
        <v>1747</v>
      </c>
      <c r="D105" t="s">
        <v>1748</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hidden="1" x14ac:dyDescent="0.45">
      <c r="A106" t="s">
        <v>1237</v>
      </c>
      <c r="B106" t="s">
        <v>1487</v>
      </c>
      <c r="C106" t="s">
        <v>1747</v>
      </c>
      <c r="D106" t="s">
        <v>1748</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hidden="1" x14ac:dyDescent="0.45">
      <c r="A107" t="s">
        <v>1488</v>
      </c>
      <c r="B107" t="s">
        <v>1489</v>
      </c>
      <c r="C107" t="s">
        <v>1747</v>
      </c>
      <c r="D107" t="s">
        <v>1748</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hidden="1" x14ac:dyDescent="0.45">
      <c r="A108" t="s">
        <v>1490</v>
      </c>
      <c r="B108" t="s">
        <v>1491</v>
      </c>
      <c r="C108" t="s">
        <v>1747</v>
      </c>
      <c r="D108" t="s">
        <v>1748</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hidden="1" x14ac:dyDescent="0.45">
      <c r="A109" t="s">
        <v>1492</v>
      </c>
      <c r="B109" t="s">
        <v>1493</v>
      </c>
      <c r="C109" t="s">
        <v>1747</v>
      </c>
      <c r="D109" t="s">
        <v>1748</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hidden="1" x14ac:dyDescent="0.45">
      <c r="A110" t="s">
        <v>1494</v>
      </c>
      <c r="B110" t="s">
        <v>1495</v>
      </c>
      <c r="C110" t="s">
        <v>1747</v>
      </c>
      <c r="D110" t="s">
        <v>1748</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hidden="1" x14ac:dyDescent="0.45">
      <c r="A111" t="s">
        <v>1161</v>
      </c>
      <c r="B111" t="s">
        <v>1496</v>
      </c>
      <c r="C111" t="s">
        <v>1747</v>
      </c>
      <c r="D111" t="s">
        <v>1748</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hidden="1" x14ac:dyDescent="0.45">
      <c r="A112" t="s">
        <v>1497</v>
      </c>
      <c r="B112" t="s">
        <v>1498</v>
      </c>
      <c r="C112" t="s">
        <v>1747</v>
      </c>
      <c r="D112" t="s">
        <v>1748</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hidden="1" x14ac:dyDescent="0.45">
      <c r="A113" t="s">
        <v>1499</v>
      </c>
      <c r="B113" t="s">
        <v>1500</v>
      </c>
      <c r="C113" t="s">
        <v>1747</v>
      </c>
      <c r="D113" t="s">
        <v>1748</v>
      </c>
    </row>
    <row r="114" spans="1:64" hidden="1" x14ac:dyDescent="0.45">
      <c r="A114" t="s">
        <v>1142</v>
      </c>
      <c r="B114" t="s">
        <v>1501</v>
      </c>
      <c r="C114" t="s">
        <v>1747</v>
      </c>
      <c r="D114" t="s">
        <v>1748</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hidden="1" x14ac:dyDescent="0.45">
      <c r="A115" t="s">
        <v>1502</v>
      </c>
      <c r="B115" t="s">
        <v>1503</v>
      </c>
      <c r="C115" t="s">
        <v>1747</v>
      </c>
      <c r="D115" t="s">
        <v>1748</v>
      </c>
    </row>
    <row r="116" spans="1:64" hidden="1" x14ac:dyDescent="0.45">
      <c r="A116" t="s">
        <v>1250</v>
      </c>
      <c r="B116" t="s">
        <v>1504</v>
      </c>
      <c r="C116" t="s">
        <v>1747</v>
      </c>
      <c r="D116" t="s">
        <v>1748</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hidden="1" x14ac:dyDescent="0.45">
      <c r="A117" t="s">
        <v>1505</v>
      </c>
      <c r="B117" t="s">
        <v>1506</v>
      </c>
      <c r="C117" t="s">
        <v>1747</v>
      </c>
      <c r="D117" t="s">
        <v>1748</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hidden="1" x14ac:dyDescent="0.45">
      <c r="A118" t="s">
        <v>1118</v>
      </c>
      <c r="B118" t="s">
        <v>1507</v>
      </c>
      <c r="C118" t="s">
        <v>1747</v>
      </c>
      <c r="D118" t="s">
        <v>1748</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hidden="1" x14ac:dyDescent="0.45">
      <c r="A119" t="s">
        <v>1249</v>
      </c>
      <c r="B119" t="s">
        <v>1508</v>
      </c>
      <c r="C119" t="s">
        <v>1747</v>
      </c>
      <c r="D119" t="s">
        <v>1748</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hidden="1" x14ac:dyDescent="0.45">
      <c r="A120" t="s">
        <v>1119</v>
      </c>
      <c r="B120" t="s">
        <v>1509</v>
      </c>
      <c r="C120" t="s">
        <v>1747</v>
      </c>
      <c r="D120" t="s">
        <v>1748</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hidden="1" x14ac:dyDescent="0.45">
      <c r="A121" t="s">
        <v>1261</v>
      </c>
      <c r="B121" t="s">
        <v>1510</v>
      </c>
      <c r="C121" t="s">
        <v>1747</v>
      </c>
      <c r="D121" t="s">
        <v>1748</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hidden="1" x14ac:dyDescent="0.45">
      <c r="A122" t="s">
        <v>1182</v>
      </c>
      <c r="B122" t="s">
        <v>1511</v>
      </c>
      <c r="C122" t="s">
        <v>1747</v>
      </c>
      <c r="D122" t="s">
        <v>1748</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hidden="1" x14ac:dyDescent="0.45">
      <c r="A123" t="s">
        <v>1120</v>
      </c>
      <c r="B123" t="s">
        <v>1512</v>
      </c>
      <c r="C123" t="s">
        <v>1747</v>
      </c>
      <c r="D123" t="s">
        <v>1748</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hidden="1" x14ac:dyDescent="0.45">
      <c r="A124" t="s">
        <v>1155</v>
      </c>
      <c r="B124" t="s">
        <v>1513</v>
      </c>
      <c r="C124" t="s">
        <v>1747</v>
      </c>
      <c r="D124" t="s">
        <v>1748</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hidden="1" x14ac:dyDescent="0.45">
      <c r="A125" t="s">
        <v>1133</v>
      </c>
      <c r="B125" t="s">
        <v>1514</v>
      </c>
      <c r="C125" t="s">
        <v>1747</v>
      </c>
      <c r="D125" t="s">
        <v>1748</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hidden="1" x14ac:dyDescent="0.45">
      <c r="A126" t="s">
        <v>1069</v>
      </c>
      <c r="B126" t="s">
        <v>1515</v>
      </c>
      <c r="C126" t="s">
        <v>1747</v>
      </c>
      <c r="D126" t="s">
        <v>1748</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hidden="1" x14ac:dyDescent="0.45">
      <c r="A127" t="s">
        <v>1516</v>
      </c>
      <c r="B127" t="s">
        <v>1517</v>
      </c>
      <c r="C127" t="s">
        <v>1747</v>
      </c>
      <c r="D127" t="s">
        <v>1748</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hidden="1" x14ac:dyDescent="0.45">
      <c r="A128" t="s">
        <v>1160</v>
      </c>
      <c r="B128" t="s">
        <v>1518</v>
      </c>
      <c r="C128" t="s">
        <v>1747</v>
      </c>
      <c r="D128" t="s">
        <v>1748</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hidden="1" x14ac:dyDescent="0.45">
      <c r="A129" t="s">
        <v>1224</v>
      </c>
      <c r="B129" t="s">
        <v>1519</v>
      </c>
      <c r="C129" t="s">
        <v>1747</v>
      </c>
      <c r="D129" t="s">
        <v>1748</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hidden="1" x14ac:dyDescent="0.45">
      <c r="A130" t="s">
        <v>1520</v>
      </c>
      <c r="B130" t="s">
        <v>1521</v>
      </c>
      <c r="C130" t="s">
        <v>1747</v>
      </c>
      <c r="D130" t="s">
        <v>1748</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hidden="1" x14ac:dyDescent="0.45">
      <c r="A131" t="s">
        <v>1522</v>
      </c>
      <c r="B131" t="s">
        <v>1523</v>
      </c>
      <c r="C131" t="s">
        <v>1747</v>
      </c>
      <c r="D131" t="s">
        <v>1748</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hidden="1" x14ac:dyDescent="0.45">
      <c r="A132" t="s">
        <v>1121</v>
      </c>
      <c r="B132" t="s">
        <v>1524</v>
      </c>
      <c r="C132" t="s">
        <v>1747</v>
      </c>
      <c r="D132" t="s">
        <v>1748</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hidden="1" x14ac:dyDescent="0.45">
      <c r="A133" t="s">
        <v>1525</v>
      </c>
      <c r="B133" t="s">
        <v>1526</v>
      </c>
      <c r="C133" t="s">
        <v>1747</v>
      </c>
      <c r="D133" t="s">
        <v>1748</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hidden="1" x14ac:dyDescent="0.45">
      <c r="A134" t="s">
        <v>1527</v>
      </c>
      <c r="B134" t="s">
        <v>1528</v>
      </c>
      <c r="C134" t="s">
        <v>1747</v>
      </c>
      <c r="D134" t="s">
        <v>1748</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hidden="1" x14ac:dyDescent="0.45">
      <c r="A135" t="s">
        <v>1122</v>
      </c>
      <c r="B135" t="s">
        <v>1529</v>
      </c>
      <c r="C135" t="s">
        <v>1747</v>
      </c>
      <c r="D135" t="s">
        <v>1748</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hidden="1" x14ac:dyDescent="0.45">
      <c r="A136" t="s">
        <v>1095</v>
      </c>
      <c r="B136" t="s">
        <v>1530</v>
      </c>
      <c r="C136" t="s">
        <v>1747</v>
      </c>
      <c r="D136" t="s">
        <v>1748</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hidden="1" x14ac:dyDescent="0.45">
      <c r="A137" t="s">
        <v>1107</v>
      </c>
      <c r="B137" t="s">
        <v>1531</v>
      </c>
      <c r="C137" t="s">
        <v>1747</v>
      </c>
      <c r="D137" t="s">
        <v>1748</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hidden="1" x14ac:dyDescent="0.45">
      <c r="A138" t="s">
        <v>1532</v>
      </c>
      <c r="B138" t="s">
        <v>1533</v>
      </c>
      <c r="C138" t="s">
        <v>1747</v>
      </c>
      <c r="D138" t="s">
        <v>1748</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hidden="1" x14ac:dyDescent="0.45">
      <c r="A139" t="s">
        <v>1534</v>
      </c>
      <c r="B139" t="s">
        <v>1535</v>
      </c>
      <c r="C139" t="s">
        <v>1747</v>
      </c>
      <c r="D139" t="s">
        <v>1748</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hidden="1" x14ac:dyDescent="0.45">
      <c r="A140" t="s">
        <v>1536</v>
      </c>
      <c r="B140" t="s">
        <v>1537</v>
      </c>
      <c r="C140" t="s">
        <v>1747</v>
      </c>
      <c r="D140" t="s">
        <v>1748</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hidden="1" x14ac:dyDescent="0.45">
      <c r="A141" t="s">
        <v>1538</v>
      </c>
      <c r="B141" t="s">
        <v>1539</v>
      </c>
      <c r="C141" t="s">
        <v>1747</v>
      </c>
      <c r="D141" t="s">
        <v>1748</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hidden="1" x14ac:dyDescent="0.45">
      <c r="A142" t="s">
        <v>1540</v>
      </c>
      <c r="B142" t="s">
        <v>1541</v>
      </c>
      <c r="C142" t="s">
        <v>1747</v>
      </c>
      <c r="D142" t="s">
        <v>1748</v>
      </c>
    </row>
    <row r="143" spans="1:64" hidden="1" x14ac:dyDescent="0.45">
      <c r="A143" t="s">
        <v>1147</v>
      </c>
      <c r="B143" t="s">
        <v>1542</v>
      </c>
      <c r="C143" t="s">
        <v>1747</v>
      </c>
      <c r="D143" t="s">
        <v>1748</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hidden="1" x14ac:dyDescent="0.45">
      <c r="A144" t="s">
        <v>1543</v>
      </c>
      <c r="B144" t="s">
        <v>1544</v>
      </c>
      <c r="C144" t="s">
        <v>1747</v>
      </c>
      <c r="D144" t="s">
        <v>1748</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hidden="1" x14ac:dyDescent="0.45">
      <c r="A145" t="s">
        <v>1545</v>
      </c>
      <c r="B145" t="s">
        <v>1546</v>
      </c>
      <c r="C145" t="s">
        <v>1747</v>
      </c>
      <c r="D145" t="s">
        <v>1748</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hidden="1" x14ac:dyDescent="0.45">
      <c r="A146" t="s">
        <v>1086</v>
      </c>
      <c r="B146" t="s">
        <v>1547</v>
      </c>
      <c r="C146" t="s">
        <v>1747</v>
      </c>
      <c r="D146" t="s">
        <v>1748</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hidden="1" x14ac:dyDescent="0.45">
      <c r="A147" t="s">
        <v>1548</v>
      </c>
      <c r="B147" t="s">
        <v>1549</v>
      </c>
      <c r="C147" t="s">
        <v>1747</v>
      </c>
      <c r="D147" t="s">
        <v>1748</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hidden="1" x14ac:dyDescent="0.45">
      <c r="A148" t="s">
        <v>1252</v>
      </c>
      <c r="B148" t="s">
        <v>1550</v>
      </c>
      <c r="C148" t="s">
        <v>1747</v>
      </c>
      <c r="D148" t="s">
        <v>1748</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hidden="1" x14ac:dyDescent="0.45">
      <c r="A149" t="s">
        <v>1274</v>
      </c>
      <c r="B149" t="s">
        <v>1551</v>
      </c>
      <c r="C149" t="s">
        <v>1747</v>
      </c>
      <c r="D149" t="s">
        <v>1748</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hidden="1" x14ac:dyDescent="0.45">
      <c r="A150" t="s">
        <v>1251</v>
      </c>
      <c r="B150" t="s">
        <v>1552</v>
      </c>
      <c r="C150" t="s">
        <v>1747</v>
      </c>
      <c r="D150" t="s">
        <v>1748</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hidden="1" x14ac:dyDescent="0.45">
      <c r="A151" t="s">
        <v>1553</v>
      </c>
      <c r="B151" t="s">
        <v>1554</v>
      </c>
      <c r="C151" t="s">
        <v>1747</v>
      </c>
      <c r="D151" t="s">
        <v>1748</v>
      </c>
    </row>
    <row r="152" spans="1:64" hidden="1" x14ac:dyDescent="0.45">
      <c r="A152" t="s">
        <v>1555</v>
      </c>
      <c r="B152" t="s">
        <v>1556</v>
      </c>
      <c r="C152" t="s">
        <v>1747</v>
      </c>
      <c r="D152" t="s">
        <v>1748</v>
      </c>
    </row>
    <row r="153" spans="1:64" hidden="1" x14ac:dyDescent="0.45">
      <c r="A153" t="s">
        <v>1108</v>
      </c>
      <c r="B153" t="s">
        <v>1557</v>
      </c>
      <c r="C153" t="s">
        <v>1747</v>
      </c>
      <c r="D153" t="s">
        <v>1748</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hidden="1" x14ac:dyDescent="0.45">
      <c r="A154" t="s">
        <v>1558</v>
      </c>
      <c r="B154" t="s">
        <v>1559</v>
      </c>
      <c r="C154" t="s">
        <v>1747</v>
      </c>
      <c r="D154" t="s">
        <v>1748</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hidden="1" x14ac:dyDescent="0.45">
      <c r="A155" t="s">
        <v>1560</v>
      </c>
      <c r="B155" t="s">
        <v>1561</v>
      </c>
      <c r="C155" t="s">
        <v>1747</v>
      </c>
      <c r="D155" t="s">
        <v>1748</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hidden="1" x14ac:dyDescent="0.45">
      <c r="A156" t="s">
        <v>1070</v>
      </c>
      <c r="B156" t="s">
        <v>1562</v>
      </c>
      <c r="C156" t="s">
        <v>1747</v>
      </c>
      <c r="D156" t="s">
        <v>1748</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hidden="1" x14ac:dyDescent="0.45">
      <c r="A157" t="s">
        <v>1144</v>
      </c>
      <c r="B157" t="s">
        <v>1563</v>
      </c>
      <c r="C157" t="s">
        <v>1747</v>
      </c>
      <c r="D157" t="s">
        <v>1748</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hidden="1" x14ac:dyDescent="0.45">
      <c r="A158" t="s">
        <v>1564</v>
      </c>
      <c r="B158" t="s">
        <v>1565</v>
      </c>
      <c r="C158" t="s">
        <v>1747</v>
      </c>
      <c r="D158" t="s">
        <v>1748</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hidden="1" x14ac:dyDescent="0.45">
      <c r="A159" t="s">
        <v>1195</v>
      </c>
      <c r="B159" t="s">
        <v>1566</v>
      </c>
      <c r="C159" t="s">
        <v>1747</v>
      </c>
      <c r="D159" t="s">
        <v>1748</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hidden="1" x14ac:dyDescent="0.45">
      <c r="A160" t="s">
        <v>1567</v>
      </c>
      <c r="B160" t="s">
        <v>1568</v>
      </c>
      <c r="C160" t="s">
        <v>1747</v>
      </c>
      <c r="D160" t="s">
        <v>1748</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hidden="1" x14ac:dyDescent="0.45">
      <c r="A161" t="s">
        <v>1569</v>
      </c>
      <c r="B161" t="s">
        <v>1570</v>
      </c>
      <c r="C161" t="s">
        <v>1747</v>
      </c>
      <c r="D161" t="s">
        <v>1748</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hidden="1" x14ac:dyDescent="0.45">
      <c r="A162" t="s">
        <v>1264</v>
      </c>
      <c r="B162" t="s">
        <v>1571</v>
      </c>
      <c r="C162" t="s">
        <v>1747</v>
      </c>
      <c r="D162" t="s">
        <v>1748</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hidden="1" x14ac:dyDescent="0.45">
      <c r="A163" t="s">
        <v>1096</v>
      </c>
      <c r="B163" t="s">
        <v>1572</v>
      </c>
      <c r="C163" t="s">
        <v>1747</v>
      </c>
      <c r="D163" t="s">
        <v>1748</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hidden="1" x14ac:dyDescent="0.45">
      <c r="A164" t="s">
        <v>1262</v>
      </c>
      <c r="B164" t="s">
        <v>1573</v>
      </c>
      <c r="C164" t="s">
        <v>1747</v>
      </c>
      <c r="D164" t="s">
        <v>1748</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hidden="1" x14ac:dyDescent="0.45">
      <c r="A165" t="s">
        <v>1164</v>
      </c>
      <c r="B165" t="s">
        <v>1574</v>
      </c>
      <c r="C165" t="s">
        <v>1747</v>
      </c>
      <c r="D165" t="s">
        <v>1748</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hidden="1" x14ac:dyDescent="0.45">
      <c r="A166" t="s">
        <v>1575</v>
      </c>
      <c r="B166" t="s">
        <v>1576</v>
      </c>
      <c r="C166" t="s">
        <v>1747</v>
      </c>
      <c r="D166" t="s">
        <v>1748</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hidden="1" x14ac:dyDescent="0.45">
      <c r="A167" t="s">
        <v>1263</v>
      </c>
      <c r="B167" t="s">
        <v>1577</v>
      </c>
      <c r="C167" t="s">
        <v>1747</v>
      </c>
      <c r="D167" t="s">
        <v>1748</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hidden="1" x14ac:dyDescent="0.45">
      <c r="A168" t="s">
        <v>1156</v>
      </c>
      <c r="B168" t="s">
        <v>1578</v>
      </c>
      <c r="C168" t="s">
        <v>1747</v>
      </c>
      <c r="D168" t="s">
        <v>1748</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hidden="1" x14ac:dyDescent="0.45">
      <c r="A169" t="s">
        <v>1579</v>
      </c>
      <c r="B169" t="s">
        <v>1580</v>
      </c>
      <c r="C169" t="s">
        <v>1747</v>
      </c>
      <c r="D169" t="s">
        <v>1748</v>
      </c>
    </row>
    <row r="170" spans="1:64" hidden="1" x14ac:dyDescent="0.45">
      <c r="A170" t="s">
        <v>596</v>
      </c>
      <c r="B170" t="s">
        <v>1581</v>
      </c>
      <c r="C170" t="s">
        <v>1747</v>
      </c>
      <c r="D170" t="s">
        <v>1748</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hidden="1" x14ac:dyDescent="0.45">
      <c r="A171" t="s">
        <v>1097</v>
      </c>
      <c r="B171" t="s">
        <v>1582</v>
      </c>
      <c r="C171" t="s">
        <v>1747</v>
      </c>
      <c r="D171" t="s">
        <v>1748</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hidden="1" x14ac:dyDescent="0.45">
      <c r="A172" t="s">
        <v>1071</v>
      </c>
      <c r="B172" t="s">
        <v>1583</v>
      </c>
      <c r="C172" t="s">
        <v>1747</v>
      </c>
      <c r="D172" t="s">
        <v>1748</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hidden="1" x14ac:dyDescent="0.45">
      <c r="A173" t="s">
        <v>879</v>
      </c>
      <c r="B173" t="s">
        <v>1584</v>
      </c>
      <c r="C173" t="s">
        <v>1747</v>
      </c>
      <c r="D173" t="s">
        <v>1748</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hidden="1" x14ac:dyDescent="0.45">
      <c r="A174" t="s">
        <v>1163</v>
      </c>
      <c r="B174" t="s">
        <v>1585</v>
      </c>
      <c r="C174" t="s">
        <v>1747</v>
      </c>
      <c r="D174" t="s">
        <v>1748</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hidden="1" x14ac:dyDescent="0.45">
      <c r="A175" t="s">
        <v>1586</v>
      </c>
      <c r="B175" t="s">
        <v>1587</v>
      </c>
      <c r="C175" t="s">
        <v>1747</v>
      </c>
      <c r="D175" t="s">
        <v>1748</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hidden="1" x14ac:dyDescent="0.45">
      <c r="A176" t="s">
        <v>598</v>
      </c>
      <c r="B176" t="s">
        <v>1588</v>
      </c>
      <c r="C176" t="s">
        <v>1747</v>
      </c>
      <c r="D176" t="s">
        <v>1748</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hidden="1" x14ac:dyDescent="0.45">
      <c r="A177" t="s">
        <v>1218</v>
      </c>
      <c r="B177" t="s">
        <v>1589</v>
      </c>
      <c r="C177" t="s">
        <v>1747</v>
      </c>
      <c r="D177" t="s">
        <v>1748</v>
      </c>
    </row>
    <row r="178" spans="1:64" hidden="1" x14ac:dyDescent="0.45">
      <c r="A178" t="s">
        <v>1098</v>
      </c>
      <c r="B178" t="s">
        <v>1590</v>
      </c>
      <c r="C178" t="s">
        <v>1747</v>
      </c>
      <c r="D178" t="s">
        <v>1748</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hidden="1" x14ac:dyDescent="0.45">
      <c r="A179" t="s">
        <v>1099</v>
      </c>
      <c r="B179" t="s">
        <v>1591</v>
      </c>
      <c r="C179" t="s">
        <v>1747</v>
      </c>
      <c r="D179" t="s">
        <v>1748</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hidden="1" x14ac:dyDescent="0.45">
      <c r="A180" t="s">
        <v>1196</v>
      </c>
      <c r="B180" t="s">
        <v>1592</v>
      </c>
      <c r="C180" t="s">
        <v>1747</v>
      </c>
      <c r="D180" t="s">
        <v>1748</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hidden="1" x14ac:dyDescent="0.45">
      <c r="A181" t="s">
        <v>1275</v>
      </c>
      <c r="B181" t="s">
        <v>1593</v>
      </c>
      <c r="C181" t="s">
        <v>1747</v>
      </c>
      <c r="D181" t="s">
        <v>1748</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hidden="1" x14ac:dyDescent="0.45">
      <c r="A182" t="s">
        <v>1253</v>
      </c>
      <c r="B182" t="s">
        <v>1594</v>
      </c>
      <c r="C182" t="s">
        <v>1747</v>
      </c>
      <c r="D182" t="s">
        <v>1748</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hidden="1" x14ac:dyDescent="0.45">
      <c r="A183" t="s">
        <v>1145</v>
      </c>
      <c r="B183" t="s">
        <v>1595</v>
      </c>
      <c r="C183" t="s">
        <v>1747</v>
      </c>
      <c r="D183" t="s">
        <v>1748</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hidden="1" x14ac:dyDescent="0.45">
      <c r="A184" t="s">
        <v>1596</v>
      </c>
      <c r="B184" t="s">
        <v>1597</v>
      </c>
      <c r="C184" t="s">
        <v>1747</v>
      </c>
      <c r="D184" t="s">
        <v>1748</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hidden="1" x14ac:dyDescent="0.45">
      <c r="A185" t="s">
        <v>1214</v>
      </c>
      <c r="B185" t="s">
        <v>1598</v>
      </c>
      <c r="C185" t="s">
        <v>1747</v>
      </c>
      <c r="D185" t="s">
        <v>1748</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hidden="1" x14ac:dyDescent="0.45">
      <c r="A186" t="s">
        <v>1599</v>
      </c>
      <c r="B186" t="s">
        <v>1600</v>
      </c>
      <c r="C186" t="s">
        <v>1747</v>
      </c>
      <c r="D186" t="s">
        <v>1748</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hidden="1" x14ac:dyDescent="0.45">
      <c r="A187" t="s">
        <v>1123</v>
      </c>
      <c r="B187" t="s">
        <v>1601</v>
      </c>
      <c r="C187" t="s">
        <v>1747</v>
      </c>
      <c r="D187" t="s">
        <v>1748</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hidden="1" x14ac:dyDescent="0.45">
      <c r="A188" t="s">
        <v>1602</v>
      </c>
      <c r="B188" t="s">
        <v>1603</v>
      </c>
      <c r="C188" t="s">
        <v>1747</v>
      </c>
      <c r="D188" t="s">
        <v>1748</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hidden="1" x14ac:dyDescent="0.45">
      <c r="A189" t="s">
        <v>1146</v>
      </c>
      <c r="B189" t="s">
        <v>1604</v>
      </c>
      <c r="C189" t="s">
        <v>1747</v>
      </c>
      <c r="D189" t="s">
        <v>1748</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hidden="1" x14ac:dyDescent="0.45">
      <c r="A190" t="s">
        <v>1197</v>
      </c>
      <c r="B190" t="s">
        <v>1605</v>
      </c>
      <c r="C190" t="s">
        <v>1747</v>
      </c>
      <c r="D190" t="s">
        <v>1748</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hidden="1" x14ac:dyDescent="0.45">
      <c r="A191" t="s">
        <v>1208</v>
      </c>
      <c r="B191" t="s">
        <v>1606</v>
      </c>
      <c r="C191" t="s">
        <v>1747</v>
      </c>
      <c r="D191" t="s">
        <v>1748</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hidden="1" x14ac:dyDescent="0.45">
      <c r="A192" t="s">
        <v>1165</v>
      </c>
      <c r="B192" t="s">
        <v>1607</v>
      </c>
      <c r="C192" t="s">
        <v>1747</v>
      </c>
      <c r="D192" t="s">
        <v>1748</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hidden="1" x14ac:dyDescent="0.45">
      <c r="A193" t="s">
        <v>1608</v>
      </c>
      <c r="B193" t="s">
        <v>1609</v>
      </c>
      <c r="C193" t="s">
        <v>1747</v>
      </c>
      <c r="D193" t="s">
        <v>1748</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hidden="1" x14ac:dyDescent="0.45">
      <c r="A194" t="s">
        <v>1219</v>
      </c>
      <c r="B194" t="s">
        <v>1610</v>
      </c>
      <c r="C194" t="s">
        <v>1747</v>
      </c>
      <c r="D194" t="s">
        <v>1748</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hidden="1" x14ac:dyDescent="0.45">
      <c r="A195" t="s">
        <v>1238</v>
      </c>
      <c r="B195" t="s">
        <v>1611</v>
      </c>
      <c r="C195" t="s">
        <v>1747</v>
      </c>
      <c r="D195" t="s">
        <v>1748</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hidden="1" x14ac:dyDescent="0.45">
      <c r="A196" t="s">
        <v>1612</v>
      </c>
      <c r="B196" t="s">
        <v>1613</v>
      </c>
      <c r="C196" t="s">
        <v>1747</v>
      </c>
      <c r="D196" t="s">
        <v>1748</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hidden="1" x14ac:dyDescent="0.45">
      <c r="A197" t="s">
        <v>1184</v>
      </c>
      <c r="B197" t="s">
        <v>1614</v>
      </c>
      <c r="C197" t="s">
        <v>1747</v>
      </c>
      <c r="D197" t="s">
        <v>1748</v>
      </c>
    </row>
    <row r="198" spans="1:64" hidden="1" x14ac:dyDescent="0.45">
      <c r="A198" t="s">
        <v>1615</v>
      </c>
      <c r="B198" t="s">
        <v>1616</v>
      </c>
      <c r="C198" t="s">
        <v>1747</v>
      </c>
      <c r="D198" t="s">
        <v>1748</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hidden="1" x14ac:dyDescent="0.45">
      <c r="A199" t="s">
        <v>1265</v>
      </c>
      <c r="B199" t="s">
        <v>1617</v>
      </c>
      <c r="C199" t="s">
        <v>1747</v>
      </c>
      <c r="D199" t="s">
        <v>1748</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hidden="1" x14ac:dyDescent="0.45">
      <c r="A200" t="s">
        <v>1207</v>
      </c>
      <c r="B200" t="s">
        <v>1618</v>
      </c>
      <c r="C200" t="s">
        <v>1747</v>
      </c>
      <c r="D200" t="s">
        <v>1748</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hidden="1" x14ac:dyDescent="0.45">
      <c r="A201" t="s">
        <v>1619</v>
      </c>
      <c r="B201" t="s">
        <v>1620</v>
      </c>
      <c r="C201" t="s">
        <v>1747</v>
      </c>
      <c r="D201" t="s">
        <v>1748</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hidden="1" x14ac:dyDescent="0.45">
      <c r="A202" t="s">
        <v>1621</v>
      </c>
      <c r="B202" t="s">
        <v>1622</v>
      </c>
      <c r="C202" t="s">
        <v>1747</v>
      </c>
      <c r="D202" t="s">
        <v>1748</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hidden="1" x14ac:dyDescent="0.45">
      <c r="A203" t="s">
        <v>1623</v>
      </c>
      <c r="B203" t="s">
        <v>1624</v>
      </c>
      <c r="C203" t="s">
        <v>1747</v>
      </c>
      <c r="D203" t="s">
        <v>1748</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hidden="1" x14ac:dyDescent="0.45">
      <c r="A204" t="s">
        <v>1227</v>
      </c>
      <c r="B204" t="s">
        <v>1625</v>
      </c>
      <c r="C204" t="s">
        <v>1747</v>
      </c>
      <c r="D204" t="s">
        <v>1748</v>
      </c>
    </row>
    <row r="205" spans="1:64" hidden="1" x14ac:dyDescent="0.45">
      <c r="A205" t="s">
        <v>1124</v>
      </c>
      <c r="B205" t="s">
        <v>1626</v>
      </c>
      <c r="C205" t="s">
        <v>1747</v>
      </c>
      <c r="D205" t="s">
        <v>1748</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hidden="1" x14ac:dyDescent="0.45">
      <c r="A206" t="s">
        <v>1240</v>
      </c>
      <c r="B206" t="s">
        <v>1627</v>
      </c>
      <c r="C206" t="s">
        <v>1747</v>
      </c>
      <c r="D206" t="s">
        <v>1748</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hidden="1" x14ac:dyDescent="0.45">
      <c r="A207" t="s">
        <v>1241</v>
      </c>
      <c r="B207" t="s">
        <v>1628</v>
      </c>
      <c r="C207" t="s">
        <v>1747</v>
      </c>
      <c r="D207" t="s">
        <v>1748</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hidden="1" x14ac:dyDescent="0.45">
      <c r="A208" t="s">
        <v>600</v>
      </c>
      <c r="B208" t="s">
        <v>1629</v>
      </c>
      <c r="C208" t="s">
        <v>1747</v>
      </c>
      <c r="D208" t="s">
        <v>1748</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hidden="1" x14ac:dyDescent="0.45">
      <c r="A209" t="s">
        <v>1630</v>
      </c>
      <c r="B209" t="s">
        <v>1631</v>
      </c>
      <c r="C209" t="s">
        <v>1747</v>
      </c>
      <c r="D209" t="s">
        <v>1748</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hidden="1" x14ac:dyDescent="0.45">
      <c r="A210" t="s">
        <v>1125</v>
      </c>
      <c r="B210" t="s">
        <v>1632</v>
      </c>
      <c r="C210" t="s">
        <v>1747</v>
      </c>
      <c r="D210" t="s">
        <v>1748</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hidden="1" x14ac:dyDescent="0.45">
      <c r="A211" t="s">
        <v>1109</v>
      </c>
      <c r="B211" t="s">
        <v>1633</v>
      </c>
      <c r="C211" t="s">
        <v>1747</v>
      </c>
      <c r="D211" t="s">
        <v>1748</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hidden="1" x14ac:dyDescent="0.45">
      <c r="A212" t="s">
        <v>1100</v>
      </c>
      <c r="B212" t="s">
        <v>1634</v>
      </c>
      <c r="C212" t="s">
        <v>1747</v>
      </c>
      <c r="D212" t="s">
        <v>1748</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hidden="1" x14ac:dyDescent="0.45">
      <c r="A213" t="s">
        <v>1166</v>
      </c>
      <c r="B213" t="s">
        <v>1635</v>
      </c>
      <c r="C213" t="s">
        <v>1747</v>
      </c>
      <c r="D213" t="s">
        <v>1748</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hidden="1" x14ac:dyDescent="0.45">
      <c r="A214" t="s">
        <v>1220</v>
      </c>
      <c r="B214" t="s">
        <v>1636</v>
      </c>
      <c r="C214" t="s">
        <v>1747</v>
      </c>
      <c r="D214" t="s">
        <v>1748</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hidden="1" x14ac:dyDescent="0.45">
      <c r="A215" t="s">
        <v>1101</v>
      </c>
      <c r="B215" t="s">
        <v>1637</v>
      </c>
      <c r="C215" t="s">
        <v>1747</v>
      </c>
      <c r="D215" t="s">
        <v>1748</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hidden="1" x14ac:dyDescent="0.45">
      <c r="A216" t="s">
        <v>1192</v>
      </c>
      <c r="B216" t="s">
        <v>1638</v>
      </c>
      <c r="C216" t="s">
        <v>1747</v>
      </c>
      <c r="D216" t="s">
        <v>1748</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hidden="1" x14ac:dyDescent="0.45">
      <c r="A217" t="s">
        <v>1639</v>
      </c>
      <c r="B217" t="s">
        <v>1640</v>
      </c>
      <c r="C217" t="s">
        <v>1747</v>
      </c>
      <c r="D217" t="s">
        <v>1748</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hidden="1" x14ac:dyDescent="0.45">
      <c r="A218" t="s">
        <v>1075</v>
      </c>
      <c r="B218" t="s">
        <v>1641</v>
      </c>
      <c r="C218" t="s">
        <v>1747</v>
      </c>
      <c r="D218" t="s">
        <v>1748</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hidden="1" x14ac:dyDescent="0.45">
      <c r="A219" t="s">
        <v>1266</v>
      </c>
      <c r="B219" t="s">
        <v>1642</v>
      </c>
      <c r="C219" t="s">
        <v>1747</v>
      </c>
      <c r="D219" t="s">
        <v>1748</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hidden="1" x14ac:dyDescent="0.45">
      <c r="A220" t="s">
        <v>1643</v>
      </c>
      <c r="B220" t="s">
        <v>1644</v>
      </c>
      <c r="C220" t="s">
        <v>1747</v>
      </c>
      <c r="D220" t="s">
        <v>1748</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hidden="1" x14ac:dyDescent="0.45">
      <c r="A221" t="s">
        <v>1076</v>
      </c>
      <c r="B221" t="s">
        <v>1645</v>
      </c>
      <c r="C221" t="s">
        <v>1747</v>
      </c>
      <c r="D221" t="s">
        <v>1748</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hidden="1" x14ac:dyDescent="0.45">
      <c r="A222" t="s">
        <v>1646</v>
      </c>
      <c r="B222" t="s">
        <v>1647</v>
      </c>
      <c r="C222" t="s">
        <v>1747</v>
      </c>
      <c r="D222" t="s">
        <v>1748</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hidden="1" x14ac:dyDescent="0.45">
      <c r="A223" t="s">
        <v>1648</v>
      </c>
      <c r="B223" t="s">
        <v>1649</v>
      </c>
      <c r="C223" t="s">
        <v>1747</v>
      </c>
      <c r="D223" t="s">
        <v>1748</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hidden="1" x14ac:dyDescent="0.45">
      <c r="A224" t="s">
        <v>1084</v>
      </c>
      <c r="B224" t="s">
        <v>1650</v>
      </c>
      <c r="C224" t="s">
        <v>1747</v>
      </c>
      <c r="D224" t="s">
        <v>1748</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hidden="1" x14ac:dyDescent="0.45">
      <c r="A225" t="s">
        <v>1209</v>
      </c>
      <c r="B225" t="s">
        <v>1651</v>
      </c>
      <c r="C225" t="s">
        <v>1747</v>
      </c>
      <c r="D225" t="s">
        <v>1748</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hidden="1" x14ac:dyDescent="0.45">
      <c r="A226" t="s">
        <v>1652</v>
      </c>
      <c r="B226" t="s">
        <v>1653</v>
      </c>
      <c r="C226" t="s">
        <v>1747</v>
      </c>
      <c r="D226" t="s">
        <v>1748</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hidden="1" x14ac:dyDescent="0.45">
      <c r="A227" t="s">
        <v>1267</v>
      </c>
      <c r="B227" t="s">
        <v>1654</v>
      </c>
      <c r="C227" t="s">
        <v>1747</v>
      </c>
      <c r="D227" t="s">
        <v>1748</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hidden="1" x14ac:dyDescent="0.45">
      <c r="A228" t="s">
        <v>1254</v>
      </c>
      <c r="B228" t="s">
        <v>1655</v>
      </c>
      <c r="C228" t="s">
        <v>1747</v>
      </c>
      <c r="D228" t="s">
        <v>1748</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hidden="1" x14ac:dyDescent="0.45">
      <c r="A229" t="s">
        <v>603</v>
      </c>
      <c r="B229" t="s">
        <v>1656</v>
      </c>
      <c r="C229" t="s">
        <v>1747</v>
      </c>
      <c r="D229" t="s">
        <v>1748</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hidden="1" x14ac:dyDescent="0.45">
      <c r="A230" t="s">
        <v>1657</v>
      </c>
      <c r="B230" t="s">
        <v>1658</v>
      </c>
      <c r="C230" t="s">
        <v>1747</v>
      </c>
      <c r="D230" t="s">
        <v>1748</v>
      </c>
    </row>
    <row r="231" spans="1:64" hidden="1" x14ac:dyDescent="0.45">
      <c r="A231" t="s">
        <v>1074</v>
      </c>
      <c r="B231" t="s">
        <v>1659</v>
      </c>
      <c r="C231" t="s">
        <v>1747</v>
      </c>
      <c r="D231" t="s">
        <v>1748</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hidden="1" x14ac:dyDescent="0.45">
      <c r="A232" t="s">
        <v>1127</v>
      </c>
      <c r="B232" t="s">
        <v>1660</v>
      </c>
      <c r="C232" t="s">
        <v>1747</v>
      </c>
      <c r="D232" t="s">
        <v>1748</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hidden="1" x14ac:dyDescent="0.45">
      <c r="A233" t="s">
        <v>1661</v>
      </c>
      <c r="B233" t="s">
        <v>1662</v>
      </c>
      <c r="C233" t="s">
        <v>1747</v>
      </c>
      <c r="D233" t="s">
        <v>1748</v>
      </c>
    </row>
    <row r="234" spans="1:64" hidden="1" x14ac:dyDescent="0.45">
      <c r="A234" t="s">
        <v>1080</v>
      </c>
      <c r="B234" t="s">
        <v>1663</v>
      </c>
      <c r="C234" t="s">
        <v>1747</v>
      </c>
      <c r="D234" t="s">
        <v>1748</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hidden="1" x14ac:dyDescent="0.45">
      <c r="A235" t="s">
        <v>1664</v>
      </c>
      <c r="B235" t="s">
        <v>1665</v>
      </c>
      <c r="C235" t="s">
        <v>1747</v>
      </c>
      <c r="D235" t="s">
        <v>1748</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hidden="1" x14ac:dyDescent="0.45">
      <c r="A236" t="s">
        <v>1666</v>
      </c>
      <c r="B236" t="s">
        <v>1667</v>
      </c>
      <c r="C236" t="s">
        <v>1747</v>
      </c>
      <c r="D236" t="s">
        <v>1748</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hidden="1" x14ac:dyDescent="0.45">
      <c r="A237" t="s">
        <v>1102</v>
      </c>
      <c r="B237" t="s">
        <v>1668</v>
      </c>
      <c r="C237" t="s">
        <v>1747</v>
      </c>
      <c r="D237" t="s">
        <v>1748</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hidden="1" x14ac:dyDescent="0.45">
      <c r="A238" t="s">
        <v>1167</v>
      </c>
      <c r="B238" t="s">
        <v>1669</v>
      </c>
      <c r="C238" t="s">
        <v>1747</v>
      </c>
      <c r="D238" t="s">
        <v>1748</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hidden="1" x14ac:dyDescent="0.45">
      <c r="A239" t="s">
        <v>1135</v>
      </c>
      <c r="B239" t="s">
        <v>1670</v>
      </c>
      <c r="C239" t="s">
        <v>1747</v>
      </c>
      <c r="D239" t="s">
        <v>1748</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hidden="1" x14ac:dyDescent="0.45">
      <c r="A240" t="s">
        <v>1136</v>
      </c>
      <c r="B240" t="s">
        <v>1671</v>
      </c>
      <c r="C240" t="s">
        <v>1747</v>
      </c>
      <c r="D240" t="s">
        <v>1748</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hidden="1" x14ac:dyDescent="0.45">
      <c r="A241" t="s">
        <v>1672</v>
      </c>
      <c r="B241" t="s">
        <v>1673</v>
      </c>
      <c r="C241" t="s">
        <v>1747</v>
      </c>
      <c r="D241" t="s">
        <v>1748</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hidden="1" x14ac:dyDescent="0.45">
      <c r="A242" t="s">
        <v>1168</v>
      </c>
      <c r="B242" t="s">
        <v>1674</v>
      </c>
      <c r="C242" t="s">
        <v>1747</v>
      </c>
      <c r="D242" t="s">
        <v>1748</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hidden="1" x14ac:dyDescent="0.45">
      <c r="A243" t="s">
        <v>1675</v>
      </c>
      <c r="B243" t="s">
        <v>1676</v>
      </c>
      <c r="C243" t="s">
        <v>1747</v>
      </c>
      <c r="D243" t="s">
        <v>1748</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hidden="1" x14ac:dyDescent="0.45">
      <c r="A244" t="s">
        <v>1229</v>
      </c>
      <c r="B244" t="s">
        <v>1677</v>
      </c>
      <c r="C244" t="s">
        <v>1747</v>
      </c>
      <c r="D244" t="s">
        <v>1748</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hidden="1" x14ac:dyDescent="0.45">
      <c r="A245" t="s">
        <v>1678</v>
      </c>
      <c r="B245" t="s">
        <v>1679</v>
      </c>
      <c r="C245" t="s">
        <v>1747</v>
      </c>
      <c r="D245" t="s">
        <v>1748</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hidden="1" x14ac:dyDescent="0.45">
      <c r="A246" t="s">
        <v>1680</v>
      </c>
      <c r="B246" t="s">
        <v>1681</v>
      </c>
      <c r="C246" t="s">
        <v>1747</v>
      </c>
      <c r="D246" t="s">
        <v>1748</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hidden="1" x14ac:dyDescent="0.45">
      <c r="A247" t="s">
        <v>1187</v>
      </c>
      <c r="B247" t="s">
        <v>1682</v>
      </c>
      <c r="C247" t="s">
        <v>1747</v>
      </c>
      <c r="D247" t="s">
        <v>1748</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hidden="1" x14ac:dyDescent="0.45">
      <c r="A248" t="s">
        <v>1110</v>
      </c>
      <c r="B248" t="s">
        <v>1683</v>
      </c>
      <c r="C248" t="s">
        <v>1747</v>
      </c>
      <c r="D248" t="s">
        <v>1748</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hidden="1" x14ac:dyDescent="0.45">
      <c r="A249" t="s">
        <v>1128</v>
      </c>
      <c r="B249" t="s">
        <v>1684</v>
      </c>
      <c r="C249" t="s">
        <v>1747</v>
      </c>
      <c r="D249" t="s">
        <v>1748</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hidden="1" x14ac:dyDescent="0.45">
      <c r="A250" t="s">
        <v>1685</v>
      </c>
      <c r="B250" t="s">
        <v>1686</v>
      </c>
      <c r="C250" t="s">
        <v>1747</v>
      </c>
      <c r="D250" t="s">
        <v>1748</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hidden="1" x14ac:dyDescent="0.45">
      <c r="A251" t="s">
        <v>1687</v>
      </c>
      <c r="B251" t="s">
        <v>1688</v>
      </c>
      <c r="C251" t="s">
        <v>1747</v>
      </c>
      <c r="D251" t="s">
        <v>1748</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hidden="1" x14ac:dyDescent="0.45">
      <c r="A252" t="s">
        <v>604</v>
      </c>
      <c r="B252" t="s">
        <v>1689</v>
      </c>
      <c r="C252" t="s">
        <v>1747</v>
      </c>
      <c r="D252" t="s">
        <v>1748</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hidden="1" x14ac:dyDescent="0.45">
      <c r="A253" t="s">
        <v>1243</v>
      </c>
      <c r="B253" t="s">
        <v>1690</v>
      </c>
      <c r="C253" t="s">
        <v>1747</v>
      </c>
      <c r="D253" t="s">
        <v>1748</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hidden="1" x14ac:dyDescent="0.45">
      <c r="A254" t="s">
        <v>1691</v>
      </c>
      <c r="B254" t="s">
        <v>1692</v>
      </c>
      <c r="C254" t="s">
        <v>1747</v>
      </c>
      <c r="D254" t="s">
        <v>1748</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hidden="1" x14ac:dyDescent="0.45">
      <c r="A255" t="s">
        <v>1210</v>
      </c>
      <c r="B255" t="s">
        <v>1693</v>
      </c>
      <c r="C255" t="s">
        <v>1747</v>
      </c>
      <c r="D255" t="s">
        <v>1748</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hidden="1" x14ac:dyDescent="0.45">
      <c r="A256" t="s">
        <v>1694</v>
      </c>
      <c r="B256" t="s">
        <v>1695</v>
      </c>
      <c r="C256" t="s">
        <v>1747</v>
      </c>
      <c r="D256" t="s">
        <v>1748</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hidden="1" x14ac:dyDescent="0.45">
      <c r="A257" t="s">
        <v>1137</v>
      </c>
      <c r="B257" t="s">
        <v>1696</v>
      </c>
      <c r="C257" t="s">
        <v>1747</v>
      </c>
      <c r="D257" t="s">
        <v>1748</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hidden="1" x14ac:dyDescent="0.45">
      <c r="A258" t="s">
        <v>1697</v>
      </c>
      <c r="B258" t="s">
        <v>1698</v>
      </c>
      <c r="C258" t="s">
        <v>1747</v>
      </c>
      <c r="D258" t="s">
        <v>1748</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hidden="1" x14ac:dyDescent="0.45">
      <c r="A259" t="s">
        <v>1699</v>
      </c>
      <c r="B259" t="s">
        <v>1700</v>
      </c>
      <c r="C259" t="s">
        <v>1747</v>
      </c>
      <c r="D259" t="s">
        <v>1748</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hidden="1" x14ac:dyDescent="0.45">
      <c r="A260" t="s">
        <v>1701</v>
      </c>
      <c r="B260" t="s">
        <v>1702</v>
      </c>
      <c r="C260" t="s">
        <v>1747</v>
      </c>
      <c r="D260" t="s">
        <v>1748</v>
      </c>
    </row>
    <row r="261" spans="1:65" hidden="1" x14ac:dyDescent="0.45">
      <c r="A261" t="s">
        <v>1703</v>
      </c>
      <c r="B261" t="s">
        <v>1704</v>
      </c>
      <c r="C261" t="s">
        <v>1747</v>
      </c>
      <c r="D261" t="s">
        <v>1748</v>
      </c>
    </row>
    <row r="262" spans="1:65" hidden="1" x14ac:dyDescent="0.45">
      <c r="A262" t="s">
        <v>1705</v>
      </c>
      <c r="B262" t="s">
        <v>1706</v>
      </c>
      <c r="C262" t="s">
        <v>1747</v>
      </c>
      <c r="D262" t="s">
        <v>1748</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hidden="1" x14ac:dyDescent="0.45">
      <c r="A263" t="s">
        <v>1221</v>
      </c>
      <c r="B263" t="s">
        <v>1707</v>
      </c>
      <c r="C263" t="s">
        <v>1747</v>
      </c>
      <c r="D263" t="s">
        <v>1748</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hidden="1" x14ac:dyDescent="0.45">
      <c r="A264" t="s">
        <v>1017</v>
      </c>
      <c r="B264" t="s">
        <v>1708</v>
      </c>
      <c r="C264" t="s">
        <v>1747</v>
      </c>
      <c r="D264" t="s">
        <v>1748</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hidden="1" x14ac:dyDescent="0.45">
      <c r="A265" t="s">
        <v>1228</v>
      </c>
      <c r="B265" t="s">
        <v>1709</v>
      </c>
      <c r="C265" t="s">
        <v>1747</v>
      </c>
      <c r="D265" t="s">
        <v>1748</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hidden="1" x14ac:dyDescent="0.45">
      <c r="A266" t="s">
        <v>1710</v>
      </c>
      <c r="B266" t="s">
        <v>1711</v>
      </c>
      <c r="C266" t="s">
        <v>1747</v>
      </c>
      <c r="D266" t="s">
        <v>1748</v>
      </c>
    </row>
    <row r="267" spans="1:65" hidden="1" x14ac:dyDescent="0.45">
      <c r="A267" t="s">
        <v>1712</v>
      </c>
      <c r="B267" t="s">
        <v>1713</v>
      </c>
      <c r="C267" t="s">
        <v>1747</v>
      </c>
      <c r="D267" t="s">
        <v>1748</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hidden="1" x14ac:dyDescent="0.45">
      <c r="A268" t="s">
        <v>602</v>
      </c>
      <c r="B268" t="s">
        <v>1714</v>
      </c>
      <c r="C268" t="s">
        <v>1747</v>
      </c>
      <c r="D268" t="s">
        <v>1748</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hidden="1" x14ac:dyDescent="0.45">
      <c r="A269" t="s">
        <v>606</v>
      </c>
      <c r="B269" t="s">
        <v>1715</v>
      </c>
      <c r="C269" t="s">
        <v>1747</v>
      </c>
      <c r="D269" t="s">
        <v>1748</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hidden="1" x14ac:dyDescent="0.45">
      <c r="A270" t="s">
        <v>607</v>
      </c>
      <c r="B270" t="s">
        <v>1716</v>
      </c>
      <c r="C270" t="s">
        <v>1747</v>
      </c>
      <c r="D270" t="s">
        <v>1748</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v>5.2</v>
      </c>
    </row>
    <row r="271" spans="1:65" s="1" customFormat="1" x14ac:dyDescent="0.45"/>
    <row r="272" spans="1:65" s="1" customFormat="1" x14ac:dyDescent="0.45">
      <c r="BB272" s="1" t="s">
        <v>1717</v>
      </c>
      <c r="BC272" s="155">
        <f t="shared" ref="BC272:BL272" si="0">BC77/BB77</f>
        <v>0.89781021897810231</v>
      </c>
      <c r="BD272" s="155">
        <f t="shared" si="0"/>
        <v>0.91056910569105676</v>
      </c>
      <c r="BE272" s="155">
        <f t="shared" si="0"/>
        <v>0.9017857142857143</v>
      </c>
      <c r="BF272" s="155">
        <f t="shared" si="0"/>
        <v>0.91089108910891081</v>
      </c>
      <c r="BG272" s="155">
        <f t="shared" si="0"/>
        <v>0.90217391304347838</v>
      </c>
      <c r="BH272" s="155">
        <f t="shared" si="0"/>
        <v>0.91566265060240948</v>
      </c>
      <c r="BI272" s="155">
        <f t="shared" si="0"/>
        <v>0.92105263157894746</v>
      </c>
      <c r="BJ272" s="155">
        <f t="shared" si="0"/>
        <v>0.94285714285714284</v>
      </c>
      <c r="BK272" s="155">
        <f t="shared" si="0"/>
        <v>0.93939393939393945</v>
      </c>
      <c r="BL272" s="155">
        <f t="shared" si="0"/>
        <v>0.95161290322580649</v>
      </c>
      <c r="BM272" s="2">
        <f>BL272</f>
        <v>0.95161290322580649</v>
      </c>
    </row>
    <row r="273" spans="1:65" s="1" customFormat="1" x14ac:dyDescent="0.45">
      <c r="BM273" s="51" t="s">
        <v>1744</v>
      </c>
    </row>
    <row r="274" spans="1:65" s="1" customFormat="1" x14ac:dyDescent="0.45">
      <c r="I274" s="1" t="s">
        <v>1719</v>
      </c>
    </row>
    <row r="275" spans="1:65" s="1" customFormat="1" x14ac:dyDescent="0.45">
      <c r="H275">
        <v>2020</v>
      </c>
      <c r="I275" s="156">
        <f>BL77*$BM$272</f>
        <v>5.6145161290322587</v>
      </c>
    </row>
    <row r="276" spans="1:65" s="1" customFormat="1" x14ac:dyDescent="0.45">
      <c r="H276">
        <v>2021</v>
      </c>
      <c r="I276" s="156">
        <f>I275*$BM$272</f>
        <v>5.3428459937565043</v>
      </c>
    </row>
    <row r="277" spans="1:65" s="1" customFormat="1" x14ac:dyDescent="0.45">
      <c r="H277">
        <v>2022</v>
      </c>
      <c r="I277" s="156">
        <f t="shared" ref="I277:I295" si="1">I276*$BM$272</f>
        <v>5.0843211876069958</v>
      </c>
    </row>
    <row r="278" spans="1:65" s="1" customFormat="1" x14ac:dyDescent="0.45">
      <c r="H278">
        <v>2023</v>
      </c>
      <c r="I278" s="156">
        <f t="shared" si="1"/>
        <v>4.8383056462711735</v>
      </c>
    </row>
    <row r="279" spans="1:65" s="1" customFormat="1" x14ac:dyDescent="0.45">
      <c r="H279">
        <v>2024</v>
      </c>
      <c r="I279" s="156">
        <f t="shared" si="1"/>
        <v>4.6041940827419232</v>
      </c>
    </row>
    <row r="280" spans="1:65" s="1" customFormat="1" x14ac:dyDescent="0.45">
      <c r="H280">
        <v>2025</v>
      </c>
      <c r="I280" s="156">
        <f t="shared" si="1"/>
        <v>4.3814104980931203</v>
      </c>
    </row>
    <row r="281" spans="1:65" s="1" customFormat="1" x14ac:dyDescent="0.45">
      <c r="H281">
        <v>2026</v>
      </c>
      <c r="I281" s="156">
        <f t="shared" si="1"/>
        <v>4.169406764314421</v>
      </c>
    </row>
    <row r="282" spans="1:65" s="1" customFormat="1" x14ac:dyDescent="0.45">
      <c r="H282">
        <v>2027</v>
      </c>
      <c r="I282" s="156">
        <f t="shared" si="1"/>
        <v>3.9676612757185623</v>
      </c>
    </row>
    <row r="283" spans="1:65" s="1" customFormat="1" x14ac:dyDescent="0.45">
      <c r="H283">
        <v>2028</v>
      </c>
      <c r="I283" s="156">
        <f t="shared" si="1"/>
        <v>3.7756776656031481</v>
      </c>
    </row>
    <row r="284" spans="1:65" s="1" customFormat="1" x14ac:dyDescent="0.45">
      <c r="H284">
        <v>2029</v>
      </c>
      <c r="I284" s="156">
        <f t="shared" si="1"/>
        <v>3.5929835850094474</v>
      </c>
    </row>
    <row r="285" spans="1:65" s="1" customFormat="1" x14ac:dyDescent="0.45">
      <c r="H285">
        <v>2030</v>
      </c>
      <c r="I285" s="156">
        <f t="shared" si="1"/>
        <v>3.4191295405735067</v>
      </c>
    </row>
    <row r="286" spans="1:65" s="1" customFormat="1" x14ac:dyDescent="0.45">
      <c r="H286">
        <v>2031</v>
      </c>
      <c r="I286" s="156">
        <f t="shared" si="1"/>
        <v>3.2536877886102729</v>
      </c>
    </row>
    <row r="287" spans="1:65" s="1" customFormat="1" x14ac:dyDescent="0.45">
      <c r="H287">
        <v>2032</v>
      </c>
      <c r="I287" s="156">
        <f t="shared" si="1"/>
        <v>3.0962512827097761</v>
      </c>
    </row>
    <row r="288" spans="1:65" s="1" customFormat="1" x14ac:dyDescent="0.45">
      <c r="A288" s="290" t="s">
        <v>2119</v>
      </c>
      <c r="H288">
        <v>2033</v>
      </c>
      <c r="I288" s="156">
        <f t="shared" si="1"/>
        <v>2.9464326722560772</v>
      </c>
    </row>
    <row r="289" spans="3:9" s="1" customFormat="1" x14ac:dyDescent="0.45">
      <c r="C289" s="49"/>
      <c r="D289" s="49"/>
      <c r="E289" s="49"/>
      <c r="H289">
        <v>2034</v>
      </c>
      <c r="I289" s="156">
        <f t="shared" si="1"/>
        <v>2.8038633494049767</v>
      </c>
    </row>
    <row r="290" spans="3:9" s="1" customFormat="1" x14ac:dyDescent="0.45">
      <c r="C290" s="49"/>
      <c r="D290" s="49"/>
      <c r="E290" s="49"/>
      <c r="H290">
        <v>2035</v>
      </c>
      <c r="I290" s="156">
        <f t="shared" si="1"/>
        <v>2.6681925421757038</v>
      </c>
    </row>
    <row r="291" spans="3:9" s="1" customFormat="1" x14ac:dyDescent="0.45">
      <c r="C291" s="49"/>
      <c r="D291" s="49"/>
      <c r="E291" s="49"/>
      <c r="H291">
        <v>2036</v>
      </c>
      <c r="I291" s="156">
        <f t="shared" si="1"/>
        <v>2.5390864514252667</v>
      </c>
    </row>
    <row r="292" spans="3:9" s="1" customFormat="1" x14ac:dyDescent="0.45">
      <c r="H292">
        <v>2037</v>
      </c>
      <c r="I292" s="156">
        <f t="shared" si="1"/>
        <v>2.4162274295821087</v>
      </c>
    </row>
    <row r="293" spans="3:9" s="1" customFormat="1" x14ac:dyDescent="0.45">
      <c r="H293">
        <v>2038</v>
      </c>
      <c r="I293" s="156">
        <f t="shared" si="1"/>
        <v>2.2993131991184583</v>
      </c>
    </row>
    <row r="294" spans="3:9" s="1" customFormat="1" x14ac:dyDescent="0.45">
      <c r="H294">
        <v>2039</v>
      </c>
      <c r="I294" s="156">
        <f t="shared" si="1"/>
        <v>2.1880561088385329</v>
      </c>
    </row>
    <row r="295" spans="3:9" s="1" customFormat="1" x14ac:dyDescent="0.45">
      <c r="H295">
        <v>2040</v>
      </c>
      <c r="I295" s="156">
        <f t="shared" si="1"/>
        <v>2.0821824261527975</v>
      </c>
    </row>
    <row r="296" spans="3:9" s="1" customFormat="1" x14ac:dyDescent="0.45"/>
    <row r="297" spans="3:9" s="1" customFormat="1" x14ac:dyDescent="0.45"/>
  </sheetData>
  <pageMargins left="0.7" right="0.7" top="0.75" bottom="0.75" header="0.3" footer="0.3"/>
  <pageSetup orientation="portrait" r:id="rId1"/>
  <headerFooter alignWithMargins="0"/>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B4002-9094-4F33-92A3-8D860E6B542D}">
  <dimension ref="A1:BM296"/>
  <sheetViews>
    <sheetView topLeftCell="AU1" workbookViewId="0">
      <selection activeCell="BM273" sqref="BM273"/>
    </sheetView>
  </sheetViews>
  <sheetFormatPr defaultRowHeight="14.25" x14ac:dyDescent="0.45"/>
  <cols>
    <col min="1" max="1" width="44.19921875" bestFit="1" customWidth="1"/>
    <col min="2" max="2" width="25.53125" bestFit="1" customWidth="1"/>
    <col min="3" max="3" width="55.53125" bestFit="1" customWidth="1"/>
    <col min="4" max="4" width="12.73046875" bestFit="1" customWidth="1"/>
    <col min="5" max="8" width="5" bestFit="1" customWidth="1"/>
    <col min="9" max="9" width="9.19921875" bestFit="1" customWidth="1"/>
    <col min="10" max="34" width="5" bestFit="1" customWidth="1"/>
    <col min="35" max="64" width="11.46484375" bestFit="1" customWidth="1"/>
    <col min="65" max="65" width="7.73046875" customWidth="1"/>
  </cols>
  <sheetData>
    <row r="1" spans="1:65" x14ac:dyDescent="0.45">
      <c r="A1" t="s">
        <v>1283</v>
      </c>
      <c r="B1" t="s">
        <v>1284</v>
      </c>
    </row>
    <row r="2" spans="1:65" x14ac:dyDescent="0.45">
      <c r="A2" t="s">
        <v>1285</v>
      </c>
      <c r="B2" s="4">
        <v>44407</v>
      </c>
    </row>
    <row r="4" spans="1:65" x14ac:dyDescent="0.4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45">
      <c r="A5" t="s">
        <v>1173</v>
      </c>
      <c r="B5" t="s">
        <v>1351</v>
      </c>
      <c r="C5" t="s">
        <v>1749</v>
      </c>
      <c r="D5" t="s">
        <v>1750</v>
      </c>
    </row>
    <row r="6" spans="1:65" hidden="1" x14ac:dyDescent="0.45">
      <c r="A6" t="s">
        <v>1354</v>
      </c>
      <c r="B6" t="s">
        <v>1355</v>
      </c>
      <c r="C6" t="s">
        <v>1749</v>
      </c>
      <c r="D6" t="s">
        <v>1750</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hidden="1" x14ac:dyDescent="0.45">
      <c r="A7" t="s">
        <v>1139</v>
      </c>
      <c r="B7" t="s">
        <v>1356</v>
      </c>
      <c r="C7" t="s">
        <v>1749</v>
      </c>
      <c r="D7" t="s">
        <v>1750</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hidden="1" x14ac:dyDescent="0.45">
      <c r="A8" t="s">
        <v>1357</v>
      </c>
      <c r="B8" t="s">
        <v>1358</v>
      </c>
      <c r="C8" t="s">
        <v>1749</v>
      </c>
      <c r="D8" t="s">
        <v>1750</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hidden="1" x14ac:dyDescent="0.45">
      <c r="A9" t="s">
        <v>1078</v>
      </c>
      <c r="B9" t="s">
        <v>1359</v>
      </c>
      <c r="C9" t="s">
        <v>1749</v>
      </c>
      <c r="D9" t="s">
        <v>1750</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hidden="1" x14ac:dyDescent="0.45">
      <c r="A10" t="s">
        <v>1257</v>
      </c>
      <c r="B10" t="s">
        <v>1360</v>
      </c>
      <c r="C10" t="s">
        <v>1749</v>
      </c>
      <c r="D10" t="s">
        <v>1750</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hidden="1" x14ac:dyDescent="0.45">
      <c r="A11" t="s">
        <v>1361</v>
      </c>
      <c r="B11" t="s">
        <v>1362</v>
      </c>
      <c r="C11" t="s">
        <v>1749</v>
      </c>
      <c r="D11" t="s">
        <v>1750</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hidden="1" x14ac:dyDescent="0.45">
      <c r="A12" t="s">
        <v>1363</v>
      </c>
      <c r="B12" t="s">
        <v>1364</v>
      </c>
      <c r="C12" t="s">
        <v>1749</v>
      </c>
      <c r="D12" t="s">
        <v>1750</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hidden="1" x14ac:dyDescent="0.45">
      <c r="A13" t="s">
        <v>1129</v>
      </c>
      <c r="B13" t="s">
        <v>1365</v>
      </c>
      <c r="C13" t="s">
        <v>1749</v>
      </c>
      <c r="D13" t="s">
        <v>1750</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hidden="1" x14ac:dyDescent="0.45">
      <c r="A14" t="s">
        <v>1199</v>
      </c>
      <c r="B14" t="s">
        <v>1366</v>
      </c>
      <c r="C14" t="s">
        <v>1749</v>
      </c>
      <c r="D14" t="s">
        <v>1750</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hidden="1" x14ac:dyDescent="0.45">
      <c r="A15" t="s">
        <v>1113</v>
      </c>
      <c r="B15" t="s">
        <v>1367</v>
      </c>
      <c r="C15" t="s">
        <v>1749</v>
      </c>
      <c r="D15" t="s">
        <v>1750</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hidden="1" x14ac:dyDescent="0.45">
      <c r="A16" t="s">
        <v>1368</v>
      </c>
      <c r="B16" t="s">
        <v>1369</v>
      </c>
      <c r="C16" t="s">
        <v>1749</v>
      </c>
      <c r="D16" t="s">
        <v>1750</v>
      </c>
    </row>
    <row r="17" spans="1:64" hidden="1" x14ac:dyDescent="0.45">
      <c r="A17" t="s">
        <v>1172</v>
      </c>
      <c r="B17" t="s">
        <v>1370</v>
      </c>
      <c r="C17" t="s">
        <v>1749</v>
      </c>
      <c r="D17" t="s">
        <v>1750</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hidden="1" x14ac:dyDescent="0.45">
      <c r="A18" t="s">
        <v>1213</v>
      </c>
      <c r="B18" t="s">
        <v>1371</v>
      </c>
      <c r="C18" t="s">
        <v>1749</v>
      </c>
      <c r="D18" t="s">
        <v>1750</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hidden="1" x14ac:dyDescent="0.45">
      <c r="A19" t="s">
        <v>1270</v>
      </c>
      <c r="B19" t="s">
        <v>1372</v>
      </c>
      <c r="C19" t="s">
        <v>1749</v>
      </c>
      <c r="D19" t="s">
        <v>1750</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hidden="1" x14ac:dyDescent="0.45">
      <c r="A20" t="s">
        <v>1114</v>
      </c>
      <c r="B20" t="s">
        <v>1373</v>
      </c>
      <c r="C20" t="s">
        <v>1749</v>
      </c>
      <c r="D20" t="s">
        <v>1750</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hidden="1" x14ac:dyDescent="0.45">
      <c r="A21" t="s">
        <v>582</v>
      </c>
      <c r="B21" t="s">
        <v>1374</v>
      </c>
      <c r="C21" t="s">
        <v>1749</v>
      </c>
      <c r="D21" t="s">
        <v>1750</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hidden="1" x14ac:dyDescent="0.45">
      <c r="A22" t="s">
        <v>1271</v>
      </c>
      <c r="B22" t="s">
        <v>1375</v>
      </c>
      <c r="C22" t="s">
        <v>1749</v>
      </c>
      <c r="D22" t="s">
        <v>1750</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hidden="1" x14ac:dyDescent="0.45">
      <c r="A23" t="s">
        <v>1088</v>
      </c>
      <c r="B23" t="s">
        <v>1376</v>
      </c>
      <c r="C23" t="s">
        <v>1749</v>
      </c>
      <c r="D23" t="s">
        <v>1750</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hidden="1" x14ac:dyDescent="0.45">
      <c r="A24" t="s">
        <v>1089</v>
      </c>
      <c r="B24" t="s">
        <v>1377</v>
      </c>
      <c r="C24" t="s">
        <v>1749</v>
      </c>
      <c r="D24" t="s">
        <v>1750</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hidden="1" x14ac:dyDescent="0.45">
      <c r="A25" t="s">
        <v>1140</v>
      </c>
      <c r="B25" t="s">
        <v>1378</v>
      </c>
      <c r="C25" t="s">
        <v>1749</v>
      </c>
      <c r="D25" t="s">
        <v>1750</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hidden="1" x14ac:dyDescent="0.45">
      <c r="A26" t="s">
        <v>1235</v>
      </c>
      <c r="B26" t="s">
        <v>1379</v>
      </c>
      <c r="C26" t="s">
        <v>1749</v>
      </c>
      <c r="D26" t="s">
        <v>1750</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hidden="1" x14ac:dyDescent="0.45">
      <c r="A27" t="s">
        <v>1115</v>
      </c>
      <c r="B27" t="s">
        <v>1380</v>
      </c>
      <c r="C27" t="s">
        <v>1749</v>
      </c>
      <c r="D27" t="s">
        <v>1750</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hidden="1" x14ac:dyDescent="0.45">
      <c r="A28" t="s">
        <v>1381</v>
      </c>
      <c r="B28" t="s">
        <v>1382</v>
      </c>
      <c r="C28" t="s">
        <v>1749</v>
      </c>
      <c r="D28" t="s">
        <v>1750</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hidden="1" x14ac:dyDescent="0.45">
      <c r="A29" t="s">
        <v>1258</v>
      </c>
      <c r="B29" t="s">
        <v>1383</v>
      </c>
      <c r="C29" t="s">
        <v>1749</v>
      </c>
      <c r="D29" t="s">
        <v>1750</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hidden="1" x14ac:dyDescent="0.45">
      <c r="A30" t="s">
        <v>1234</v>
      </c>
      <c r="B30" t="s">
        <v>1384</v>
      </c>
      <c r="C30" t="s">
        <v>1749</v>
      </c>
      <c r="D30" t="s">
        <v>1750</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hidden="1" x14ac:dyDescent="0.45">
      <c r="A31" t="s">
        <v>1190</v>
      </c>
      <c r="B31" t="s">
        <v>1385</v>
      </c>
      <c r="C31" t="s">
        <v>1749</v>
      </c>
      <c r="D31" t="s">
        <v>1750</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hidden="1" x14ac:dyDescent="0.45">
      <c r="A32" t="s">
        <v>1386</v>
      </c>
      <c r="B32" t="s">
        <v>1387</v>
      </c>
      <c r="C32" t="s">
        <v>1749</v>
      </c>
      <c r="D32" t="s">
        <v>1750</v>
      </c>
    </row>
    <row r="33" spans="1:64" hidden="1" x14ac:dyDescent="0.45">
      <c r="A33" t="s">
        <v>1388</v>
      </c>
      <c r="B33" t="s">
        <v>1389</v>
      </c>
      <c r="C33" t="s">
        <v>1749</v>
      </c>
      <c r="D33" t="s">
        <v>1750</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hidden="1" x14ac:dyDescent="0.45">
      <c r="A34" t="s">
        <v>1201</v>
      </c>
      <c r="B34" t="s">
        <v>1390</v>
      </c>
      <c r="C34" t="s">
        <v>1749</v>
      </c>
      <c r="D34" t="s">
        <v>1750</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hidden="1" x14ac:dyDescent="0.45">
      <c r="A35" t="s">
        <v>1175</v>
      </c>
      <c r="B35" t="s">
        <v>1391</v>
      </c>
      <c r="C35" t="s">
        <v>1749</v>
      </c>
      <c r="D35" t="s">
        <v>1750</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hidden="1" x14ac:dyDescent="0.45">
      <c r="A36" t="s">
        <v>1159</v>
      </c>
      <c r="B36" t="s">
        <v>1392</v>
      </c>
      <c r="C36" t="s">
        <v>1749</v>
      </c>
      <c r="D36" t="s">
        <v>1750</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hidden="1" x14ac:dyDescent="0.45">
      <c r="A37" t="s">
        <v>1141</v>
      </c>
      <c r="B37" t="s">
        <v>1393</v>
      </c>
      <c r="C37" t="s">
        <v>1749</v>
      </c>
      <c r="D37" t="s">
        <v>1750</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hidden="1" x14ac:dyDescent="0.45">
      <c r="A38" t="s">
        <v>580</v>
      </c>
      <c r="B38" t="s">
        <v>1394</v>
      </c>
      <c r="C38" t="s">
        <v>1749</v>
      </c>
      <c r="D38" t="s">
        <v>1750</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hidden="1" x14ac:dyDescent="0.45">
      <c r="A39" t="s">
        <v>584</v>
      </c>
      <c r="B39" t="s">
        <v>1395</v>
      </c>
      <c r="C39" t="s">
        <v>1749</v>
      </c>
      <c r="D39" t="s">
        <v>1750</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hidden="1" x14ac:dyDescent="0.45">
      <c r="A40" t="s">
        <v>1278</v>
      </c>
      <c r="B40" t="s">
        <v>1396</v>
      </c>
      <c r="C40" t="s">
        <v>1749</v>
      </c>
      <c r="D40" t="s">
        <v>1750</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hidden="1" x14ac:dyDescent="0.45">
      <c r="A41" t="s">
        <v>1397</v>
      </c>
      <c r="B41" t="s">
        <v>1398</v>
      </c>
      <c r="C41" t="s">
        <v>1749</v>
      </c>
      <c r="D41" t="s">
        <v>1750</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hidden="1" x14ac:dyDescent="0.45">
      <c r="A42" t="s">
        <v>1276</v>
      </c>
      <c r="B42" t="s">
        <v>1399</v>
      </c>
      <c r="C42" t="s">
        <v>1749</v>
      </c>
      <c r="D42" t="s">
        <v>1750</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hidden="1" x14ac:dyDescent="0.45">
      <c r="A43" t="s">
        <v>1245</v>
      </c>
      <c r="B43" t="s">
        <v>1400</v>
      </c>
      <c r="C43" t="s">
        <v>1749</v>
      </c>
      <c r="D43" t="s">
        <v>1750</v>
      </c>
    </row>
    <row r="44" spans="1:64" hidden="1" x14ac:dyDescent="0.45">
      <c r="A44" t="s">
        <v>1202</v>
      </c>
      <c r="B44" t="s">
        <v>1401</v>
      </c>
      <c r="C44" t="s">
        <v>1749</v>
      </c>
      <c r="D44" t="s">
        <v>1750</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hidden="1" x14ac:dyDescent="0.45">
      <c r="A45" t="s">
        <v>1150</v>
      </c>
      <c r="B45" t="s">
        <v>1402</v>
      </c>
      <c r="C45" t="s">
        <v>1749</v>
      </c>
      <c r="D45" t="s">
        <v>1750</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hidden="1" x14ac:dyDescent="0.45">
      <c r="A46" t="s">
        <v>1403</v>
      </c>
      <c r="B46" t="s">
        <v>1404</v>
      </c>
      <c r="C46" t="s">
        <v>1749</v>
      </c>
      <c r="D46" t="s">
        <v>1750</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hidden="1" x14ac:dyDescent="0.45">
      <c r="A47" t="s">
        <v>1079</v>
      </c>
      <c r="B47" t="s">
        <v>1405</v>
      </c>
      <c r="C47" t="s">
        <v>1749</v>
      </c>
      <c r="D47" t="s">
        <v>1750</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hidden="1" x14ac:dyDescent="0.45">
      <c r="A48" t="s">
        <v>1406</v>
      </c>
      <c r="B48" t="s">
        <v>1407</v>
      </c>
      <c r="C48" t="s">
        <v>1749</v>
      </c>
      <c r="D48" t="s">
        <v>1750</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hidden="1" x14ac:dyDescent="0.45">
      <c r="A49" t="s">
        <v>1408</v>
      </c>
      <c r="B49" t="s">
        <v>1409</v>
      </c>
      <c r="C49" t="s">
        <v>1749</v>
      </c>
      <c r="D49" t="s">
        <v>1750</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hidden="1" x14ac:dyDescent="0.45">
      <c r="A50" t="s">
        <v>1203</v>
      </c>
      <c r="B50" t="s">
        <v>1410</v>
      </c>
      <c r="C50" t="s">
        <v>1749</v>
      </c>
      <c r="D50" t="s">
        <v>1750</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hidden="1" x14ac:dyDescent="0.45">
      <c r="A51" t="s">
        <v>1067</v>
      </c>
      <c r="B51" t="s">
        <v>1411</v>
      </c>
      <c r="C51" t="s">
        <v>1749</v>
      </c>
      <c r="D51" t="s">
        <v>1750</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hidden="1" x14ac:dyDescent="0.45">
      <c r="A52" t="s">
        <v>1090</v>
      </c>
      <c r="B52" t="s">
        <v>1412</v>
      </c>
      <c r="C52" t="s">
        <v>1749</v>
      </c>
      <c r="D52" t="s">
        <v>1750</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hidden="1" x14ac:dyDescent="0.45">
      <c r="A53" t="s">
        <v>1191</v>
      </c>
      <c r="B53" t="s">
        <v>1413</v>
      </c>
      <c r="C53" t="s">
        <v>1749</v>
      </c>
      <c r="D53" t="s">
        <v>1750</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hidden="1" x14ac:dyDescent="0.45">
      <c r="A54" t="s">
        <v>1414</v>
      </c>
      <c r="B54" t="s">
        <v>1415</v>
      </c>
      <c r="C54" t="s">
        <v>1749</v>
      </c>
      <c r="D54" t="s">
        <v>1750</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hidden="1" x14ac:dyDescent="0.45">
      <c r="A55" t="s">
        <v>1176</v>
      </c>
      <c r="B55" t="s">
        <v>1416</v>
      </c>
      <c r="C55" t="s">
        <v>1749</v>
      </c>
      <c r="D55" t="s">
        <v>1750</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hidden="1" x14ac:dyDescent="0.45">
      <c r="A56" t="s">
        <v>1417</v>
      </c>
      <c r="B56" t="s">
        <v>1418</v>
      </c>
      <c r="C56" t="s">
        <v>1749</v>
      </c>
      <c r="D56" t="s">
        <v>1750</v>
      </c>
    </row>
    <row r="57" spans="1:64" hidden="1" x14ac:dyDescent="0.45">
      <c r="A57" t="s">
        <v>1419</v>
      </c>
      <c r="B57" t="s">
        <v>1420</v>
      </c>
      <c r="C57" t="s">
        <v>1749</v>
      </c>
      <c r="D57" t="s">
        <v>1750</v>
      </c>
    </row>
    <row r="58" spans="1:64" hidden="1" x14ac:dyDescent="0.45">
      <c r="A58" t="s">
        <v>1116</v>
      </c>
      <c r="B58" t="s">
        <v>1421</v>
      </c>
      <c r="C58" t="s">
        <v>1749</v>
      </c>
      <c r="D58" t="s">
        <v>1750</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hidden="1" x14ac:dyDescent="0.45">
      <c r="A59" t="s">
        <v>1422</v>
      </c>
      <c r="B59" t="s">
        <v>1423</v>
      </c>
      <c r="C59" t="s">
        <v>1749</v>
      </c>
      <c r="D59" t="s">
        <v>1750</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hidden="1" x14ac:dyDescent="0.45">
      <c r="A60" t="s">
        <v>1273</v>
      </c>
      <c r="B60" t="s">
        <v>1424</v>
      </c>
      <c r="C60" t="s">
        <v>1749</v>
      </c>
      <c r="D60" t="s">
        <v>1750</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hidden="1" x14ac:dyDescent="0.45">
      <c r="A61" t="s">
        <v>1068</v>
      </c>
      <c r="B61" t="s">
        <v>1425</v>
      </c>
      <c r="C61" t="s">
        <v>1749</v>
      </c>
      <c r="D61" t="s">
        <v>1750</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hidden="1" x14ac:dyDescent="0.45">
      <c r="A62" t="s">
        <v>1426</v>
      </c>
      <c r="B62" t="s">
        <v>1427</v>
      </c>
      <c r="C62" t="s">
        <v>1749</v>
      </c>
      <c r="D62" t="s">
        <v>1750</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hidden="1" x14ac:dyDescent="0.45">
      <c r="A63" t="s">
        <v>1246</v>
      </c>
      <c r="B63" t="s">
        <v>1428</v>
      </c>
      <c r="C63" t="s">
        <v>1749</v>
      </c>
      <c r="D63" t="s">
        <v>1750</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hidden="1" x14ac:dyDescent="0.45">
      <c r="A64" t="s">
        <v>1178</v>
      </c>
      <c r="B64" t="s">
        <v>1429</v>
      </c>
      <c r="C64" t="s">
        <v>1749</v>
      </c>
      <c r="D64" t="s">
        <v>1750</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hidden="1" x14ac:dyDescent="0.45">
      <c r="A65" t="s">
        <v>1105</v>
      </c>
      <c r="B65" t="s">
        <v>1430</v>
      </c>
      <c r="C65" t="s">
        <v>1749</v>
      </c>
      <c r="D65" t="s">
        <v>1750</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hidden="1" x14ac:dyDescent="0.45">
      <c r="A66" t="s">
        <v>1431</v>
      </c>
      <c r="B66" t="s">
        <v>1432</v>
      </c>
      <c r="C66" t="s">
        <v>1749</v>
      </c>
      <c r="D66" t="s">
        <v>1750</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hidden="1" x14ac:dyDescent="0.45">
      <c r="A67" t="s">
        <v>1433</v>
      </c>
      <c r="B67" t="s">
        <v>1434</v>
      </c>
      <c r="C67" t="s">
        <v>1749</v>
      </c>
      <c r="D67" t="s">
        <v>1750</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hidden="1" x14ac:dyDescent="0.45">
      <c r="A68" t="s">
        <v>1435</v>
      </c>
      <c r="B68" t="s">
        <v>1436</v>
      </c>
      <c r="C68" t="s">
        <v>1749</v>
      </c>
      <c r="D68" t="s">
        <v>1750</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hidden="1" x14ac:dyDescent="0.45">
      <c r="A69" t="s">
        <v>1437</v>
      </c>
      <c r="B69" t="s">
        <v>1438</v>
      </c>
      <c r="C69" t="s">
        <v>1749</v>
      </c>
      <c r="D69" t="s">
        <v>1750</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hidden="1" x14ac:dyDescent="0.45">
      <c r="A70" t="s">
        <v>1439</v>
      </c>
      <c r="B70" t="s">
        <v>1440</v>
      </c>
      <c r="C70" t="s">
        <v>1749</v>
      </c>
      <c r="D70" t="s">
        <v>1750</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hidden="1" x14ac:dyDescent="0.45">
      <c r="A71" t="s">
        <v>1204</v>
      </c>
      <c r="B71" t="s">
        <v>1441</v>
      </c>
      <c r="C71" t="s">
        <v>1749</v>
      </c>
      <c r="D71" t="s">
        <v>1750</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hidden="1" x14ac:dyDescent="0.45">
      <c r="A72" t="s">
        <v>1442</v>
      </c>
      <c r="B72" t="s">
        <v>1443</v>
      </c>
      <c r="C72" t="s">
        <v>1749</v>
      </c>
      <c r="D72" t="s">
        <v>1750</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hidden="1" x14ac:dyDescent="0.45">
      <c r="A73" t="s">
        <v>1444</v>
      </c>
      <c r="B73" t="s">
        <v>1445</v>
      </c>
      <c r="C73" t="s">
        <v>1749</v>
      </c>
      <c r="D73" t="s">
        <v>1750</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hidden="1" x14ac:dyDescent="0.45">
      <c r="A74" t="s">
        <v>592</v>
      </c>
      <c r="B74" t="s">
        <v>1446</v>
      </c>
      <c r="C74" t="s">
        <v>1749</v>
      </c>
      <c r="D74" t="s">
        <v>1750</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hidden="1" x14ac:dyDescent="0.45">
      <c r="A75" t="s">
        <v>1268</v>
      </c>
      <c r="B75" t="s">
        <v>1447</v>
      </c>
      <c r="C75" t="s">
        <v>1749</v>
      </c>
      <c r="D75" t="s">
        <v>1750</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hidden="1" x14ac:dyDescent="0.45">
      <c r="A76" t="s">
        <v>1247</v>
      </c>
      <c r="B76" t="s">
        <v>1448</v>
      </c>
      <c r="C76" t="s">
        <v>1749</v>
      </c>
      <c r="D76" t="s">
        <v>1750</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45">
      <c r="A77" t="s">
        <v>594</v>
      </c>
      <c r="B77" t="s">
        <v>926</v>
      </c>
      <c r="C77" t="s">
        <v>1749</v>
      </c>
      <c r="D77" t="s">
        <v>1750</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hidden="1" x14ac:dyDescent="0.45">
      <c r="A78" t="s">
        <v>1449</v>
      </c>
      <c r="B78" t="s">
        <v>1450</v>
      </c>
      <c r="C78" t="s">
        <v>1749</v>
      </c>
      <c r="D78" t="s">
        <v>1750</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hidden="1" x14ac:dyDescent="0.45">
      <c r="A79" t="s">
        <v>1451</v>
      </c>
      <c r="B79" t="s">
        <v>1452</v>
      </c>
      <c r="C79" t="s">
        <v>1749</v>
      </c>
      <c r="D79" t="s">
        <v>1750</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hidden="1" x14ac:dyDescent="0.45">
      <c r="A80" t="s">
        <v>1248</v>
      </c>
      <c r="B80" t="s">
        <v>1453</v>
      </c>
      <c r="C80" t="s">
        <v>1749</v>
      </c>
      <c r="D80" t="s">
        <v>1750</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hidden="1" x14ac:dyDescent="0.45">
      <c r="A81" t="s">
        <v>1217</v>
      </c>
      <c r="B81" t="s">
        <v>1454</v>
      </c>
      <c r="C81" t="s">
        <v>1749</v>
      </c>
      <c r="D81" t="s">
        <v>1750</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hidden="1" x14ac:dyDescent="0.45">
      <c r="A82" t="s">
        <v>1272</v>
      </c>
      <c r="B82" t="s">
        <v>1455</v>
      </c>
      <c r="C82" t="s">
        <v>1749</v>
      </c>
      <c r="D82" t="s">
        <v>1750</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hidden="1" x14ac:dyDescent="0.45">
      <c r="A83" t="s">
        <v>1456</v>
      </c>
      <c r="B83" t="s">
        <v>1457</v>
      </c>
      <c r="C83" t="s">
        <v>1749</v>
      </c>
      <c r="D83" t="s">
        <v>1750</v>
      </c>
    </row>
    <row r="84" spans="1:64" hidden="1" x14ac:dyDescent="0.45">
      <c r="A84" t="s">
        <v>1458</v>
      </c>
      <c r="B84" t="s">
        <v>1459</v>
      </c>
      <c r="C84" t="s">
        <v>1749</v>
      </c>
      <c r="D84" t="s">
        <v>1750</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hidden="1" x14ac:dyDescent="0.45">
      <c r="A85" t="s">
        <v>1083</v>
      </c>
      <c r="B85" t="s">
        <v>1460</v>
      </c>
      <c r="C85" t="s">
        <v>1749</v>
      </c>
      <c r="D85" t="s">
        <v>1750</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hidden="1" x14ac:dyDescent="0.45">
      <c r="A86" t="s">
        <v>1255</v>
      </c>
      <c r="B86" t="s">
        <v>1461</v>
      </c>
      <c r="C86" t="s">
        <v>1749</v>
      </c>
      <c r="D86" t="s">
        <v>1750</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hidden="1" x14ac:dyDescent="0.45">
      <c r="A87" t="s">
        <v>1117</v>
      </c>
      <c r="B87" t="s">
        <v>1462</v>
      </c>
      <c r="C87" t="s">
        <v>1749</v>
      </c>
      <c r="D87" t="s">
        <v>1750</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hidden="1" x14ac:dyDescent="0.45">
      <c r="A88" t="s">
        <v>1092</v>
      </c>
      <c r="B88" t="s">
        <v>1463</v>
      </c>
      <c r="C88" t="s">
        <v>1749</v>
      </c>
      <c r="D88" t="s">
        <v>1750</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hidden="1" x14ac:dyDescent="0.45">
      <c r="A89" t="s">
        <v>1464</v>
      </c>
      <c r="B89" t="s">
        <v>1465</v>
      </c>
      <c r="C89" t="s">
        <v>1749</v>
      </c>
      <c r="D89" t="s">
        <v>1750</v>
      </c>
    </row>
    <row r="90" spans="1:64" hidden="1" x14ac:dyDescent="0.45">
      <c r="A90" t="s">
        <v>1093</v>
      </c>
      <c r="B90" t="s">
        <v>1466</v>
      </c>
      <c r="C90" t="s">
        <v>1749</v>
      </c>
      <c r="D90" t="s">
        <v>1750</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hidden="1" x14ac:dyDescent="0.45">
      <c r="A91" t="s">
        <v>1467</v>
      </c>
      <c r="B91" t="s">
        <v>1468</v>
      </c>
      <c r="C91" t="s">
        <v>1749</v>
      </c>
      <c r="D91" t="s">
        <v>1750</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hidden="1" x14ac:dyDescent="0.45">
      <c r="A92" t="s">
        <v>1094</v>
      </c>
      <c r="B92" t="s">
        <v>1469</v>
      </c>
      <c r="C92" t="s">
        <v>1749</v>
      </c>
      <c r="D92" t="s">
        <v>1750</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hidden="1" x14ac:dyDescent="0.45">
      <c r="A93" t="s">
        <v>1082</v>
      </c>
      <c r="B93" t="s">
        <v>1470</v>
      </c>
      <c r="C93" t="s">
        <v>1749</v>
      </c>
      <c r="D93" t="s">
        <v>1750</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hidden="1" x14ac:dyDescent="0.45">
      <c r="A94" t="s">
        <v>1260</v>
      </c>
      <c r="B94" t="s">
        <v>1471</v>
      </c>
      <c r="C94" t="s">
        <v>1749</v>
      </c>
      <c r="D94" t="s">
        <v>1750</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hidden="1" x14ac:dyDescent="0.45">
      <c r="A95" t="s">
        <v>1179</v>
      </c>
      <c r="B95" t="s">
        <v>1472</v>
      </c>
      <c r="C95" t="s">
        <v>1749</v>
      </c>
      <c r="D95" t="s">
        <v>1750</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hidden="1" x14ac:dyDescent="0.45">
      <c r="A96" t="s">
        <v>1473</v>
      </c>
      <c r="B96" t="s">
        <v>1474</v>
      </c>
      <c r="C96" t="s">
        <v>1749</v>
      </c>
      <c r="D96" t="s">
        <v>1750</v>
      </c>
    </row>
    <row r="97" spans="1:64" hidden="1" x14ac:dyDescent="0.45">
      <c r="A97" t="s">
        <v>1193</v>
      </c>
      <c r="B97" t="s">
        <v>1475</v>
      </c>
      <c r="C97" t="s">
        <v>1749</v>
      </c>
      <c r="D97" t="s">
        <v>1750</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hidden="1" x14ac:dyDescent="0.45">
      <c r="A98" t="s">
        <v>1223</v>
      </c>
      <c r="B98" t="s">
        <v>1476</v>
      </c>
      <c r="C98" t="s">
        <v>1749</v>
      </c>
      <c r="D98" t="s">
        <v>1750</v>
      </c>
    </row>
    <row r="99" spans="1:64" hidden="1" x14ac:dyDescent="0.45">
      <c r="A99" t="s">
        <v>1206</v>
      </c>
      <c r="B99" t="s">
        <v>1477</v>
      </c>
      <c r="C99" t="s">
        <v>1749</v>
      </c>
      <c r="D99" t="s">
        <v>1750</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hidden="1" x14ac:dyDescent="0.45">
      <c r="A100" t="s">
        <v>1478</v>
      </c>
      <c r="B100" t="s">
        <v>1479</v>
      </c>
      <c r="C100" t="s">
        <v>1749</v>
      </c>
      <c r="D100" t="s">
        <v>1750</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hidden="1" x14ac:dyDescent="0.45">
      <c r="A101" t="s">
        <v>1480</v>
      </c>
      <c r="B101" t="s">
        <v>1481</v>
      </c>
      <c r="C101" t="s">
        <v>1749</v>
      </c>
      <c r="D101" t="s">
        <v>1750</v>
      </c>
    </row>
    <row r="102" spans="1:64" hidden="1" x14ac:dyDescent="0.45">
      <c r="A102" t="s">
        <v>1194</v>
      </c>
      <c r="B102" t="s">
        <v>1482</v>
      </c>
      <c r="C102" t="s">
        <v>1749</v>
      </c>
      <c r="D102" t="s">
        <v>1750</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hidden="1" x14ac:dyDescent="0.45">
      <c r="A103" t="s">
        <v>1483</v>
      </c>
      <c r="B103" t="s">
        <v>1484</v>
      </c>
      <c r="C103" t="s">
        <v>1749</v>
      </c>
      <c r="D103" t="s">
        <v>1750</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hidden="1" x14ac:dyDescent="0.45">
      <c r="A104" t="s">
        <v>1259</v>
      </c>
      <c r="B104" t="s">
        <v>1485</v>
      </c>
      <c r="C104" t="s">
        <v>1749</v>
      </c>
      <c r="D104" t="s">
        <v>1750</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hidden="1" x14ac:dyDescent="0.45">
      <c r="A105" t="s">
        <v>1181</v>
      </c>
      <c r="B105" t="s">
        <v>1486</v>
      </c>
      <c r="C105" t="s">
        <v>1749</v>
      </c>
      <c r="D105" t="s">
        <v>1750</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hidden="1" x14ac:dyDescent="0.45">
      <c r="A106" t="s">
        <v>1237</v>
      </c>
      <c r="B106" t="s">
        <v>1487</v>
      </c>
      <c r="C106" t="s">
        <v>1749</v>
      </c>
      <c r="D106" t="s">
        <v>1750</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hidden="1" x14ac:dyDescent="0.45">
      <c r="A107" t="s">
        <v>1488</v>
      </c>
      <c r="B107" t="s">
        <v>1489</v>
      </c>
      <c r="C107" t="s">
        <v>1749</v>
      </c>
      <c r="D107" t="s">
        <v>1750</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hidden="1" x14ac:dyDescent="0.45">
      <c r="A108" t="s">
        <v>1490</v>
      </c>
      <c r="B108" t="s">
        <v>1491</v>
      </c>
      <c r="C108" t="s">
        <v>1749</v>
      </c>
      <c r="D108" t="s">
        <v>1750</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hidden="1" x14ac:dyDescent="0.45">
      <c r="A109" t="s">
        <v>1492</v>
      </c>
      <c r="B109" t="s">
        <v>1493</v>
      </c>
      <c r="C109" t="s">
        <v>1749</v>
      </c>
      <c r="D109" t="s">
        <v>1750</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hidden="1" x14ac:dyDescent="0.45">
      <c r="A110" t="s">
        <v>1494</v>
      </c>
      <c r="B110" t="s">
        <v>1495</v>
      </c>
      <c r="C110" t="s">
        <v>1749</v>
      </c>
      <c r="D110" t="s">
        <v>1750</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hidden="1" x14ac:dyDescent="0.45">
      <c r="A111" t="s">
        <v>1161</v>
      </c>
      <c r="B111" t="s">
        <v>1496</v>
      </c>
      <c r="C111" t="s">
        <v>1749</v>
      </c>
      <c r="D111" t="s">
        <v>1750</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hidden="1" x14ac:dyDescent="0.45">
      <c r="A112" t="s">
        <v>1497</v>
      </c>
      <c r="B112" t="s">
        <v>1498</v>
      </c>
      <c r="C112" t="s">
        <v>1749</v>
      </c>
      <c r="D112" t="s">
        <v>1750</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hidden="1" x14ac:dyDescent="0.45">
      <c r="A113" t="s">
        <v>1499</v>
      </c>
      <c r="B113" t="s">
        <v>1500</v>
      </c>
      <c r="C113" t="s">
        <v>1749</v>
      </c>
      <c r="D113" t="s">
        <v>1750</v>
      </c>
    </row>
    <row r="114" spans="1:64" hidden="1" x14ac:dyDescent="0.45">
      <c r="A114" t="s">
        <v>1142</v>
      </c>
      <c r="B114" t="s">
        <v>1501</v>
      </c>
      <c r="C114" t="s">
        <v>1749</v>
      </c>
      <c r="D114" t="s">
        <v>1750</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hidden="1" x14ac:dyDescent="0.45">
      <c r="A115" t="s">
        <v>1502</v>
      </c>
      <c r="B115" t="s">
        <v>1503</v>
      </c>
      <c r="C115" t="s">
        <v>1749</v>
      </c>
      <c r="D115" t="s">
        <v>1750</v>
      </c>
    </row>
    <row r="116" spans="1:64" hidden="1" x14ac:dyDescent="0.45">
      <c r="A116" t="s">
        <v>1250</v>
      </c>
      <c r="B116" t="s">
        <v>1504</v>
      </c>
      <c r="C116" t="s">
        <v>1749</v>
      </c>
      <c r="D116" t="s">
        <v>1750</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hidden="1" x14ac:dyDescent="0.45">
      <c r="A117" t="s">
        <v>1505</v>
      </c>
      <c r="B117" t="s">
        <v>1506</v>
      </c>
      <c r="C117" t="s">
        <v>1749</v>
      </c>
      <c r="D117" t="s">
        <v>1750</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hidden="1" x14ac:dyDescent="0.45">
      <c r="A118" t="s">
        <v>1118</v>
      </c>
      <c r="B118" t="s">
        <v>1507</v>
      </c>
      <c r="C118" t="s">
        <v>1749</v>
      </c>
      <c r="D118" t="s">
        <v>1750</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hidden="1" x14ac:dyDescent="0.45">
      <c r="A119" t="s">
        <v>1249</v>
      </c>
      <c r="B119" t="s">
        <v>1508</v>
      </c>
      <c r="C119" t="s">
        <v>1749</v>
      </c>
      <c r="D119" t="s">
        <v>1750</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hidden="1" x14ac:dyDescent="0.45">
      <c r="A120" t="s">
        <v>1119</v>
      </c>
      <c r="B120" t="s">
        <v>1509</v>
      </c>
      <c r="C120" t="s">
        <v>1749</v>
      </c>
      <c r="D120" t="s">
        <v>1750</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hidden="1" x14ac:dyDescent="0.45">
      <c r="A121" t="s">
        <v>1261</v>
      </c>
      <c r="B121" t="s">
        <v>1510</v>
      </c>
      <c r="C121" t="s">
        <v>1749</v>
      </c>
      <c r="D121" t="s">
        <v>1750</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hidden="1" x14ac:dyDescent="0.45">
      <c r="A122" t="s">
        <v>1182</v>
      </c>
      <c r="B122" t="s">
        <v>1511</v>
      </c>
      <c r="C122" t="s">
        <v>1749</v>
      </c>
      <c r="D122" t="s">
        <v>1750</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hidden="1" x14ac:dyDescent="0.45">
      <c r="A123" t="s">
        <v>1120</v>
      </c>
      <c r="B123" t="s">
        <v>1512</v>
      </c>
      <c r="C123" t="s">
        <v>1749</v>
      </c>
      <c r="D123" t="s">
        <v>1750</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hidden="1" x14ac:dyDescent="0.45">
      <c r="A124" t="s">
        <v>1155</v>
      </c>
      <c r="B124" t="s">
        <v>1513</v>
      </c>
      <c r="C124" t="s">
        <v>1749</v>
      </c>
      <c r="D124" t="s">
        <v>1750</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hidden="1" x14ac:dyDescent="0.45">
      <c r="A125" t="s">
        <v>1133</v>
      </c>
      <c r="B125" t="s">
        <v>1514</v>
      </c>
      <c r="C125" t="s">
        <v>1749</v>
      </c>
      <c r="D125" t="s">
        <v>1750</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hidden="1" x14ac:dyDescent="0.45">
      <c r="A126" t="s">
        <v>1069</v>
      </c>
      <c r="B126" t="s">
        <v>1515</v>
      </c>
      <c r="C126" t="s">
        <v>1749</v>
      </c>
      <c r="D126" t="s">
        <v>1750</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hidden="1" x14ac:dyDescent="0.45">
      <c r="A127" t="s">
        <v>1516</v>
      </c>
      <c r="B127" t="s">
        <v>1517</v>
      </c>
      <c r="C127" t="s">
        <v>1749</v>
      </c>
      <c r="D127" t="s">
        <v>1750</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hidden="1" x14ac:dyDescent="0.45">
      <c r="A128" t="s">
        <v>1160</v>
      </c>
      <c r="B128" t="s">
        <v>1518</v>
      </c>
      <c r="C128" t="s">
        <v>1749</v>
      </c>
      <c r="D128" t="s">
        <v>1750</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hidden="1" x14ac:dyDescent="0.45">
      <c r="A129" t="s">
        <v>1224</v>
      </c>
      <c r="B129" t="s">
        <v>1519</v>
      </c>
      <c r="C129" t="s">
        <v>1749</v>
      </c>
      <c r="D129" t="s">
        <v>1750</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hidden="1" x14ac:dyDescent="0.45">
      <c r="A130" t="s">
        <v>1520</v>
      </c>
      <c r="B130" t="s">
        <v>1521</v>
      </c>
      <c r="C130" t="s">
        <v>1749</v>
      </c>
      <c r="D130" t="s">
        <v>1750</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hidden="1" x14ac:dyDescent="0.45">
      <c r="A131" t="s">
        <v>1522</v>
      </c>
      <c r="B131" t="s">
        <v>1523</v>
      </c>
      <c r="C131" t="s">
        <v>1749</v>
      </c>
      <c r="D131" t="s">
        <v>1750</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hidden="1" x14ac:dyDescent="0.45">
      <c r="A132" t="s">
        <v>1121</v>
      </c>
      <c r="B132" t="s">
        <v>1524</v>
      </c>
      <c r="C132" t="s">
        <v>1749</v>
      </c>
      <c r="D132" t="s">
        <v>1750</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hidden="1" x14ac:dyDescent="0.45">
      <c r="A133" t="s">
        <v>1525</v>
      </c>
      <c r="B133" t="s">
        <v>1526</v>
      </c>
      <c r="C133" t="s">
        <v>1749</v>
      </c>
      <c r="D133" t="s">
        <v>1750</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hidden="1" x14ac:dyDescent="0.45">
      <c r="A134" t="s">
        <v>1527</v>
      </c>
      <c r="B134" t="s">
        <v>1528</v>
      </c>
      <c r="C134" t="s">
        <v>1749</v>
      </c>
      <c r="D134" t="s">
        <v>1750</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hidden="1" x14ac:dyDescent="0.45">
      <c r="A135" t="s">
        <v>1122</v>
      </c>
      <c r="B135" t="s">
        <v>1529</v>
      </c>
      <c r="C135" t="s">
        <v>1749</v>
      </c>
      <c r="D135" t="s">
        <v>1750</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hidden="1" x14ac:dyDescent="0.45">
      <c r="A136" t="s">
        <v>1095</v>
      </c>
      <c r="B136" t="s">
        <v>1530</v>
      </c>
      <c r="C136" t="s">
        <v>1749</v>
      </c>
      <c r="D136" t="s">
        <v>1750</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hidden="1" x14ac:dyDescent="0.45">
      <c r="A137" t="s">
        <v>1107</v>
      </c>
      <c r="B137" t="s">
        <v>1531</v>
      </c>
      <c r="C137" t="s">
        <v>1749</v>
      </c>
      <c r="D137" t="s">
        <v>1750</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hidden="1" x14ac:dyDescent="0.45">
      <c r="A138" t="s">
        <v>1532</v>
      </c>
      <c r="B138" t="s">
        <v>1533</v>
      </c>
      <c r="C138" t="s">
        <v>1749</v>
      </c>
      <c r="D138" t="s">
        <v>1750</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hidden="1" x14ac:dyDescent="0.45">
      <c r="A139" t="s">
        <v>1534</v>
      </c>
      <c r="B139" t="s">
        <v>1535</v>
      </c>
      <c r="C139" t="s">
        <v>1749</v>
      </c>
      <c r="D139" t="s">
        <v>1750</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hidden="1" x14ac:dyDescent="0.45">
      <c r="A140" t="s">
        <v>1536</v>
      </c>
      <c r="B140" t="s">
        <v>1537</v>
      </c>
      <c r="C140" t="s">
        <v>1749</v>
      </c>
      <c r="D140" t="s">
        <v>1750</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hidden="1" x14ac:dyDescent="0.45">
      <c r="A141" t="s">
        <v>1538</v>
      </c>
      <c r="B141" t="s">
        <v>1539</v>
      </c>
      <c r="C141" t="s">
        <v>1749</v>
      </c>
      <c r="D141" t="s">
        <v>1750</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hidden="1" x14ac:dyDescent="0.45">
      <c r="A142" t="s">
        <v>1540</v>
      </c>
      <c r="B142" t="s">
        <v>1541</v>
      </c>
      <c r="C142" t="s">
        <v>1749</v>
      </c>
      <c r="D142" t="s">
        <v>1750</v>
      </c>
    </row>
    <row r="143" spans="1:64" hidden="1" x14ac:dyDescent="0.45">
      <c r="A143" t="s">
        <v>1147</v>
      </c>
      <c r="B143" t="s">
        <v>1542</v>
      </c>
      <c r="C143" t="s">
        <v>1749</v>
      </c>
      <c r="D143" t="s">
        <v>1750</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hidden="1" x14ac:dyDescent="0.45">
      <c r="A144" t="s">
        <v>1543</v>
      </c>
      <c r="B144" t="s">
        <v>1544</v>
      </c>
      <c r="C144" t="s">
        <v>1749</v>
      </c>
      <c r="D144" t="s">
        <v>1750</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hidden="1" x14ac:dyDescent="0.45">
      <c r="A145" t="s">
        <v>1545</v>
      </c>
      <c r="B145" t="s">
        <v>1546</v>
      </c>
      <c r="C145" t="s">
        <v>1749</v>
      </c>
      <c r="D145" t="s">
        <v>1750</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hidden="1" x14ac:dyDescent="0.45">
      <c r="A146" t="s">
        <v>1086</v>
      </c>
      <c r="B146" t="s">
        <v>1547</v>
      </c>
      <c r="C146" t="s">
        <v>1749</v>
      </c>
      <c r="D146" t="s">
        <v>1750</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hidden="1" x14ac:dyDescent="0.45">
      <c r="A147" t="s">
        <v>1548</v>
      </c>
      <c r="B147" t="s">
        <v>1549</v>
      </c>
      <c r="C147" t="s">
        <v>1749</v>
      </c>
      <c r="D147" t="s">
        <v>1750</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hidden="1" x14ac:dyDescent="0.45">
      <c r="A148" t="s">
        <v>1252</v>
      </c>
      <c r="B148" t="s">
        <v>1550</v>
      </c>
      <c r="C148" t="s">
        <v>1749</v>
      </c>
      <c r="D148" t="s">
        <v>1750</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hidden="1" x14ac:dyDescent="0.45">
      <c r="A149" t="s">
        <v>1274</v>
      </c>
      <c r="B149" t="s">
        <v>1551</v>
      </c>
      <c r="C149" t="s">
        <v>1749</v>
      </c>
      <c r="D149" t="s">
        <v>1750</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hidden="1" x14ac:dyDescent="0.45">
      <c r="A150" t="s">
        <v>1251</v>
      </c>
      <c r="B150" t="s">
        <v>1552</v>
      </c>
      <c r="C150" t="s">
        <v>1749</v>
      </c>
      <c r="D150" t="s">
        <v>1750</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hidden="1" x14ac:dyDescent="0.45">
      <c r="A151" t="s">
        <v>1553</v>
      </c>
      <c r="B151" t="s">
        <v>1554</v>
      </c>
      <c r="C151" t="s">
        <v>1749</v>
      </c>
      <c r="D151" t="s">
        <v>1750</v>
      </c>
    </row>
    <row r="152" spans="1:64" hidden="1" x14ac:dyDescent="0.45">
      <c r="A152" t="s">
        <v>1555</v>
      </c>
      <c r="B152" t="s">
        <v>1556</v>
      </c>
      <c r="C152" t="s">
        <v>1749</v>
      </c>
      <c r="D152" t="s">
        <v>1750</v>
      </c>
    </row>
    <row r="153" spans="1:64" hidden="1" x14ac:dyDescent="0.45">
      <c r="A153" t="s">
        <v>1108</v>
      </c>
      <c r="B153" t="s">
        <v>1557</v>
      </c>
      <c r="C153" t="s">
        <v>1749</v>
      </c>
      <c r="D153" t="s">
        <v>1750</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hidden="1" x14ac:dyDescent="0.45">
      <c r="A154" t="s">
        <v>1558</v>
      </c>
      <c r="B154" t="s">
        <v>1559</v>
      </c>
      <c r="C154" t="s">
        <v>1749</v>
      </c>
      <c r="D154" t="s">
        <v>1750</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hidden="1" x14ac:dyDescent="0.45">
      <c r="A155" t="s">
        <v>1560</v>
      </c>
      <c r="B155" t="s">
        <v>1561</v>
      </c>
      <c r="C155" t="s">
        <v>1749</v>
      </c>
      <c r="D155" t="s">
        <v>1750</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hidden="1" x14ac:dyDescent="0.45">
      <c r="A156" t="s">
        <v>1070</v>
      </c>
      <c r="B156" t="s">
        <v>1562</v>
      </c>
      <c r="C156" t="s">
        <v>1749</v>
      </c>
      <c r="D156" t="s">
        <v>1750</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hidden="1" x14ac:dyDescent="0.45">
      <c r="A157" t="s">
        <v>1144</v>
      </c>
      <c r="B157" t="s">
        <v>1563</v>
      </c>
      <c r="C157" t="s">
        <v>1749</v>
      </c>
      <c r="D157" t="s">
        <v>1750</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hidden="1" x14ac:dyDescent="0.45">
      <c r="A158" t="s">
        <v>1564</v>
      </c>
      <c r="B158" t="s">
        <v>1565</v>
      </c>
      <c r="C158" t="s">
        <v>1749</v>
      </c>
      <c r="D158" t="s">
        <v>1750</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hidden="1" x14ac:dyDescent="0.45">
      <c r="A159" t="s">
        <v>1195</v>
      </c>
      <c r="B159" t="s">
        <v>1566</v>
      </c>
      <c r="C159" t="s">
        <v>1749</v>
      </c>
      <c r="D159" t="s">
        <v>1750</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hidden="1" x14ac:dyDescent="0.45">
      <c r="A160" t="s">
        <v>1567</v>
      </c>
      <c r="B160" t="s">
        <v>1568</v>
      </c>
      <c r="C160" t="s">
        <v>1749</v>
      </c>
      <c r="D160" t="s">
        <v>1750</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hidden="1" x14ac:dyDescent="0.45">
      <c r="A161" t="s">
        <v>1569</v>
      </c>
      <c r="B161" t="s">
        <v>1570</v>
      </c>
      <c r="C161" t="s">
        <v>1749</v>
      </c>
      <c r="D161" t="s">
        <v>1750</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hidden="1" x14ac:dyDescent="0.45">
      <c r="A162" t="s">
        <v>1264</v>
      </c>
      <c r="B162" t="s">
        <v>1571</v>
      </c>
      <c r="C162" t="s">
        <v>1749</v>
      </c>
      <c r="D162" t="s">
        <v>1750</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hidden="1" x14ac:dyDescent="0.45">
      <c r="A163" t="s">
        <v>1096</v>
      </c>
      <c r="B163" t="s">
        <v>1572</v>
      </c>
      <c r="C163" t="s">
        <v>1749</v>
      </c>
      <c r="D163" t="s">
        <v>1750</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hidden="1" x14ac:dyDescent="0.45">
      <c r="A164" t="s">
        <v>1262</v>
      </c>
      <c r="B164" t="s">
        <v>1573</v>
      </c>
      <c r="C164" t="s">
        <v>1749</v>
      </c>
      <c r="D164" t="s">
        <v>1750</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hidden="1" x14ac:dyDescent="0.45">
      <c r="A165" t="s">
        <v>1164</v>
      </c>
      <c r="B165" t="s">
        <v>1574</v>
      </c>
      <c r="C165" t="s">
        <v>1749</v>
      </c>
      <c r="D165" t="s">
        <v>1750</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hidden="1" x14ac:dyDescent="0.45">
      <c r="A166" t="s">
        <v>1575</v>
      </c>
      <c r="B166" t="s">
        <v>1576</v>
      </c>
      <c r="C166" t="s">
        <v>1749</v>
      </c>
      <c r="D166" t="s">
        <v>1750</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hidden="1" x14ac:dyDescent="0.45">
      <c r="A167" t="s">
        <v>1263</v>
      </c>
      <c r="B167" t="s">
        <v>1577</v>
      </c>
      <c r="C167" t="s">
        <v>1749</v>
      </c>
      <c r="D167" t="s">
        <v>1750</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hidden="1" x14ac:dyDescent="0.45">
      <c r="A168" t="s">
        <v>1156</v>
      </c>
      <c r="B168" t="s">
        <v>1578</v>
      </c>
      <c r="C168" t="s">
        <v>1749</v>
      </c>
      <c r="D168" t="s">
        <v>1750</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hidden="1" x14ac:dyDescent="0.45">
      <c r="A169" t="s">
        <v>1579</v>
      </c>
      <c r="B169" t="s">
        <v>1580</v>
      </c>
      <c r="C169" t="s">
        <v>1749</v>
      </c>
      <c r="D169" t="s">
        <v>1750</v>
      </c>
    </row>
    <row r="170" spans="1:64" hidden="1" x14ac:dyDescent="0.45">
      <c r="A170" t="s">
        <v>596</v>
      </c>
      <c r="B170" t="s">
        <v>1581</v>
      </c>
      <c r="C170" t="s">
        <v>1749</v>
      </c>
      <c r="D170" t="s">
        <v>1750</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hidden="1" x14ac:dyDescent="0.45">
      <c r="A171" t="s">
        <v>1097</v>
      </c>
      <c r="B171" t="s">
        <v>1582</v>
      </c>
      <c r="C171" t="s">
        <v>1749</v>
      </c>
      <c r="D171" t="s">
        <v>1750</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hidden="1" x14ac:dyDescent="0.45">
      <c r="A172" t="s">
        <v>1071</v>
      </c>
      <c r="B172" t="s">
        <v>1583</v>
      </c>
      <c r="C172" t="s">
        <v>1749</v>
      </c>
      <c r="D172" t="s">
        <v>1750</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hidden="1" x14ac:dyDescent="0.45">
      <c r="A173" t="s">
        <v>879</v>
      </c>
      <c r="B173" t="s">
        <v>1584</v>
      </c>
      <c r="C173" t="s">
        <v>1749</v>
      </c>
      <c r="D173" t="s">
        <v>1750</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hidden="1" x14ac:dyDescent="0.45">
      <c r="A174" t="s">
        <v>1163</v>
      </c>
      <c r="B174" t="s">
        <v>1585</v>
      </c>
      <c r="C174" t="s">
        <v>1749</v>
      </c>
      <c r="D174" t="s">
        <v>1750</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hidden="1" x14ac:dyDescent="0.45">
      <c r="A175" t="s">
        <v>1586</v>
      </c>
      <c r="B175" t="s">
        <v>1587</v>
      </c>
      <c r="C175" t="s">
        <v>1749</v>
      </c>
      <c r="D175" t="s">
        <v>1750</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hidden="1" x14ac:dyDescent="0.45">
      <c r="A176" t="s">
        <v>598</v>
      </c>
      <c r="B176" t="s">
        <v>1588</v>
      </c>
      <c r="C176" t="s">
        <v>1749</v>
      </c>
      <c r="D176" t="s">
        <v>1750</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hidden="1" x14ac:dyDescent="0.45">
      <c r="A177" t="s">
        <v>1218</v>
      </c>
      <c r="B177" t="s">
        <v>1589</v>
      </c>
      <c r="C177" t="s">
        <v>1749</v>
      </c>
      <c r="D177" t="s">
        <v>1750</v>
      </c>
    </row>
    <row r="178" spans="1:64" hidden="1" x14ac:dyDescent="0.45">
      <c r="A178" t="s">
        <v>1098</v>
      </c>
      <c r="B178" t="s">
        <v>1590</v>
      </c>
      <c r="C178" t="s">
        <v>1749</v>
      </c>
      <c r="D178" t="s">
        <v>1750</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hidden="1" x14ac:dyDescent="0.45">
      <c r="A179" t="s">
        <v>1099</v>
      </c>
      <c r="B179" t="s">
        <v>1591</v>
      </c>
      <c r="C179" t="s">
        <v>1749</v>
      </c>
      <c r="D179" t="s">
        <v>1750</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hidden="1" x14ac:dyDescent="0.45">
      <c r="A180" t="s">
        <v>1196</v>
      </c>
      <c r="B180" t="s">
        <v>1592</v>
      </c>
      <c r="C180" t="s">
        <v>1749</v>
      </c>
      <c r="D180" t="s">
        <v>1750</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hidden="1" x14ac:dyDescent="0.45">
      <c r="A181" t="s">
        <v>1275</v>
      </c>
      <c r="B181" t="s">
        <v>1593</v>
      </c>
      <c r="C181" t="s">
        <v>1749</v>
      </c>
      <c r="D181" t="s">
        <v>1750</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hidden="1" x14ac:dyDescent="0.45">
      <c r="A182" t="s">
        <v>1253</v>
      </c>
      <c r="B182" t="s">
        <v>1594</v>
      </c>
      <c r="C182" t="s">
        <v>1749</v>
      </c>
      <c r="D182" t="s">
        <v>1750</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hidden="1" x14ac:dyDescent="0.45">
      <c r="A183" t="s">
        <v>1145</v>
      </c>
      <c r="B183" t="s">
        <v>1595</v>
      </c>
      <c r="C183" t="s">
        <v>1749</v>
      </c>
      <c r="D183" t="s">
        <v>1750</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hidden="1" x14ac:dyDescent="0.45">
      <c r="A184" t="s">
        <v>1596</v>
      </c>
      <c r="B184" t="s">
        <v>1597</v>
      </c>
      <c r="C184" t="s">
        <v>1749</v>
      </c>
      <c r="D184" t="s">
        <v>1750</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hidden="1" x14ac:dyDescent="0.45">
      <c r="A185" t="s">
        <v>1214</v>
      </c>
      <c r="B185" t="s">
        <v>1598</v>
      </c>
      <c r="C185" t="s">
        <v>1749</v>
      </c>
      <c r="D185" t="s">
        <v>1750</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hidden="1" x14ac:dyDescent="0.45">
      <c r="A186" t="s">
        <v>1599</v>
      </c>
      <c r="B186" t="s">
        <v>1600</v>
      </c>
      <c r="C186" t="s">
        <v>1749</v>
      </c>
      <c r="D186" t="s">
        <v>1750</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hidden="1" x14ac:dyDescent="0.45">
      <c r="A187" t="s">
        <v>1123</v>
      </c>
      <c r="B187" t="s">
        <v>1601</v>
      </c>
      <c r="C187" t="s">
        <v>1749</v>
      </c>
      <c r="D187" t="s">
        <v>1750</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hidden="1" x14ac:dyDescent="0.45">
      <c r="A188" t="s">
        <v>1602</v>
      </c>
      <c r="B188" t="s">
        <v>1603</v>
      </c>
      <c r="C188" t="s">
        <v>1749</v>
      </c>
      <c r="D188" t="s">
        <v>1750</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hidden="1" x14ac:dyDescent="0.45">
      <c r="A189" t="s">
        <v>1146</v>
      </c>
      <c r="B189" t="s">
        <v>1604</v>
      </c>
      <c r="C189" t="s">
        <v>1749</v>
      </c>
      <c r="D189" t="s">
        <v>1750</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hidden="1" x14ac:dyDescent="0.45">
      <c r="A190" t="s">
        <v>1197</v>
      </c>
      <c r="B190" t="s">
        <v>1605</v>
      </c>
      <c r="C190" t="s">
        <v>1749</v>
      </c>
      <c r="D190" t="s">
        <v>1750</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hidden="1" x14ac:dyDescent="0.45">
      <c r="A191" t="s">
        <v>1208</v>
      </c>
      <c r="B191" t="s">
        <v>1606</v>
      </c>
      <c r="C191" t="s">
        <v>1749</v>
      </c>
      <c r="D191" t="s">
        <v>1750</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hidden="1" x14ac:dyDescent="0.45">
      <c r="A192" t="s">
        <v>1165</v>
      </c>
      <c r="B192" t="s">
        <v>1607</v>
      </c>
      <c r="C192" t="s">
        <v>1749</v>
      </c>
      <c r="D192" t="s">
        <v>1750</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hidden="1" x14ac:dyDescent="0.45">
      <c r="A193" t="s">
        <v>1608</v>
      </c>
      <c r="B193" t="s">
        <v>1609</v>
      </c>
      <c r="C193" t="s">
        <v>1749</v>
      </c>
      <c r="D193" t="s">
        <v>1750</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hidden="1" x14ac:dyDescent="0.45">
      <c r="A194" t="s">
        <v>1219</v>
      </c>
      <c r="B194" t="s">
        <v>1610</v>
      </c>
      <c r="C194" t="s">
        <v>1749</v>
      </c>
      <c r="D194" t="s">
        <v>1750</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hidden="1" x14ac:dyDescent="0.45">
      <c r="A195" t="s">
        <v>1238</v>
      </c>
      <c r="B195" t="s">
        <v>1611</v>
      </c>
      <c r="C195" t="s">
        <v>1749</v>
      </c>
      <c r="D195" t="s">
        <v>1750</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hidden="1" x14ac:dyDescent="0.45">
      <c r="A196" t="s">
        <v>1612</v>
      </c>
      <c r="B196" t="s">
        <v>1613</v>
      </c>
      <c r="C196" t="s">
        <v>1749</v>
      </c>
      <c r="D196" t="s">
        <v>1750</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hidden="1" x14ac:dyDescent="0.45">
      <c r="A197" t="s">
        <v>1184</v>
      </c>
      <c r="B197" t="s">
        <v>1614</v>
      </c>
      <c r="C197" t="s">
        <v>1749</v>
      </c>
      <c r="D197" t="s">
        <v>1750</v>
      </c>
    </row>
    <row r="198" spans="1:64" hidden="1" x14ac:dyDescent="0.45">
      <c r="A198" t="s">
        <v>1615</v>
      </c>
      <c r="B198" t="s">
        <v>1616</v>
      </c>
      <c r="C198" t="s">
        <v>1749</v>
      </c>
      <c r="D198" t="s">
        <v>1750</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hidden="1" x14ac:dyDescent="0.45">
      <c r="A199" t="s">
        <v>1265</v>
      </c>
      <c r="B199" t="s">
        <v>1617</v>
      </c>
      <c r="C199" t="s">
        <v>1749</v>
      </c>
      <c r="D199" t="s">
        <v>1750</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hidden="1" x14ac:dyDescent="0.45">
      <c r="A200" t="s">
        <v>1207</v>
      </c>
      <c r="B200" t="s">
        <v>1618</v>
      </c>
      <c r="C200" t="s">
        <v>1749</v>
      </c>
      <c r="D200" t="s">
        <v>1750</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hidden="1" x14ac:dyDescent="0.45">
      <c r="A201" t="s">
        <v>1619</v>
      </c>
      <c r="B201" t="s">
        <v>1620</v>
      </c>
      <c r="C201" t="s">
        <v>1749</v>
      </c>
      <c r="D201" t="s">
        <v>1750</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hidden="1" x14ac:dyDescent="0.45">
      <c r="A202" t="s">
        <v>1621</v>
      </c>
      <c r="B202" t="s">
        <v>1622</v>
      </c>
      <c r="C202" t="s">
        <v>1749</v>
      </c>
      <c r="D202" t="s">
        <v>1750</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hidden="1" x14ac:dyDescent="0.45">
      <c r="A203" t="s">
        <v>1623</v>
      </c>
      <c r="B203" t="s">
        <v>1624</v>
      </c>
      <c r="C203" t="s">
        <v>1749</v>
      </c>
      <c r="D203" t="s">
        <v>1750</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hidden="1" x14ac:dyDescent="0.45">
      <c r="A204" t="s">
        <v>1227</v>
      </c>
      <c r="B204" t="s">
        <v>1625</v>
      </c>
      <c r="C204" t="s">
        <v>1749</v>
      </c>
      <c r="D204" t="s">
        <v>1750</v>
      </c>
    </row>
    <row r="205" spans="1:64" hidden="1" x14ac:dyDescent="0.45">
      <c r="A205" t="s">
        <v>1124</v>
      </c>
      <c r="B205" t="s">
        <v>1626</v>
      </c>
      <c r="C205" t="s">
        <v>1749</v>
      </c>
      <c r="D205" t="s">
        <v>1750</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hidden="1" x14ac:dyDescent="0.45">
      <c r="A206" t="s">
        <v>1240</v>
      </c>
      <c r="B206" t="s">
        <v>1627</v>
      </c>
      <c r="C206" t="s">
        <v>1749</v>
      </c>
      <c r="D206" t="s">
        <v>1750</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hidden="1" x14ac:dyDescent="0.45">
      <c r="A207" t="s">
        <v>1241</v>
      </c>
      <c r="B207" t="s">
        <v>1628</v>
      </c>
      <c r="C207" t="s">
        <v>1749</v>
      </c>
      <c r="D207" t="s">
        <v>1750</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hidden="1" x14ac:dyDescent="0.45">
      <c r="A208" t="s">
        <v>600</v>
      </c>
      <c r="B208" t="s">
        <v>1629</v>
      </c>
      <c r="C208" t="s">
        <v>1749</v>
      </c>
      <c r="D208" t="s">
        <v>1750</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hidden="1" x14ac:dyDescent="0.45">
      <c r="A209" t="s">
        <v>1630</v>
      </c>
      <c r="B209" t="s">
        <v>1631</v>
      </c>
      <c r="C209" t="s">
        <v>1749</v>
      </c>
      <c r="D209" t="s">
        <v>1750</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hidden="1" x14ac:dyDescent="0.45">
      <c r="A210" t="s">
        <v>1125</v>
      </c>
      <c r="B210" t="s">
        <v>1632</v>
      </c>
      <c r="C210" t="s">
        <v>1749</v>
      </c>
      <c r="D210" t="s">
        <v>1750</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hidden="1" x14ac:dyDescent="0.45">
      <c r="A211" t="s">
        <v>1109</v>
      </c>
      <c r="B211" t="s">
        <v>1633</v>
      </c>
      <c r="C211" t="s">
        <v>1749</v>
      </c>
      <c r="D211" t="s">
        <v>1750</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hidden="1" x14ac:dyDescent="0.45">
      <c r="A212" t="s">
        <v>1100</v>
      </c>
      <c r="B212" t="s">
        <v>1634</v>
      </c>
      <c r="C212" t="s">
        <v>1749</v>
      </c>
      <c r="D212" t="s">
        <v>1750</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hidden="1" x14ac:dyDescent="0.45">
      <c r="A213" t="s">
        <v>1166</v>
      </c>
      <c r="B213" t="s">
        <v>1635</v>
      </c>
      <c r="C213" t="s">
        <v>1749</v>
      </c>
      <c r="D213" t="s">
        <v>1750</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hidden="1" x14ac:dyDescent="0.45">
      <c r="A214" t="s">
        <v>1220</v>
      </c>
      <c r="B214" t="s">
        <v>1636</v>
      </c>
      <c r="C214" t="s">
        <v>1749</v>
      </c>
      <c r="D214" t="s">
        <v>1750</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hidden="1" x14ac:dyDescent="0.45">
      <c r="A215" t="s">
        <v>1101</v>
      </c>
      <c r="B215" t="s">
        <v>1637</v>
      </c>
      <c r="C215" t="s">
        <v>1749</v>
      </c>
      <c r="D215" t="s">
        <v>1750</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hidden="1" x14ac:dyDescent="0.45">
      <c r="A216" t="s">
        <v>1192</v>
      </c>
      <c r="B216" t="s">
        <v>1638</v>
      </c>
      <c r="C216" t="s">
        <v>1749</v>
      </c>
      <c r="D216" t="s">
        <v>1750</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hidden="1" x14ac:dyDescent="0.45">
      <c r="A217" t="s">
        <v>1639</v>
      </c>
      <c r="B217" t="s">
        <v>1640</v>
      </c>
      <c r="C217" t="s">
        <v>1749</v>
      </c>
      <c r="D217" t="s">
        <v>1750</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hidden="1" x14ac:dyDescent="0.45">
      <c r="A218" t="s">
        <v>1075</v>
      </c>
      <c r="B218" t="s">
        <v>1641</v>
      </c>
      <c r="C218" t="s">
        <v>1749</v>
      </c>
      <c r="D218" t="s">
        <v>1750</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hidden="1" x14ac:dyDescent="0.45">
      <c r="A219" t="s">
        <v>1266</v>
      </c>
      <c r="B219" t="s">
        <v>1642</v>
      </c>
      <c r="C219" t="s">
        <v>1749</v>
      </c>
      <c r="D219" t="s">
        <v>1750</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hidden="1" x14ac:dyDescent="0.45">
      <c r="A220" t="s">
        <v>1643</v>
      </c>
      <c r="B220" t="s">
        <v>1644</v>
      </c>
      <c r="C220" t="s">
        <v>1749</v>
      </c>
      <c r="D220" t="s">
        <v>1750</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hidden="1" x14ac:dyDescent="0.45">
      <c r="A221" t="s">
        <v>1076</v>
      </c>
      <c r="B221" t="s">
        <v>1645</v>
      </c>
      <c r="C221" t="s">
        <v>1749</v>
      </c>
      <c r="D221" t="s">
        <v>1750</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hidden="1" x14ac:dyDescent="0.45">
      <c r="A222" t="s">
        <v>1646</v>
      </c>
      <c r="B222" t="s">
        <v>1647</v>
      </c>
      <c r="C222" t="s">
        <v>1749</v>
      </c>
      <c r="D222" t="s">
        <v>1750</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hidden="1" x14ac:dyDescent="0.45">
      <c r="A223" t="s">
        <v>1648</v>
      </c>
      <c r="B223" t="s">
        <v>1649</v>
      </c>
      <c r="C223" t="s">
        <v>1749</v>
      </c>
      <c r="D223" t="s">
        <v>1750</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hidden="1" x14ac:dyDescent="0.45">
      <c r="A224" t="s">
        <v>1084</v>
      </c>
      <c r="B224" t="s">
        <v>1650</v>
      </c>
      <c r="C224" t="s">
        <v>1749</v>
      </c>
      <c r="D224" t="s">
        <v>1750</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hidden="1" x14ac:dyDescent="0.45">
      <c r="A225" t="s">
        <v>1209</v>
      </c>
      <c r="B225" t="s">
        <v>1651</v>
      </c>
      <c r="C225" t="s">
        <v>1749</v>
      </c>
      <c r="D225" t="s">
        <v>1750</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hidden="1" x14ac:dyDescent="0.45">
      <c r="A226" t="s">
        <v>1652</v>
      </c>
      <c r="B226" t="s">
        <v>1653</v>
      </c>
      <c r="C226" t="s">
        <v>1749</v>
      </c>
      <c r="D226" t="s">
        <v>1750</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hidden="1" x14ac:dyDescent="0.45">
      <c r="A227" t="s">
        <v>1267</v>
      </c>
      <c r="B227" t="s">
        <v>1654</v>
      </c>
      <c r="C227" t="s">
        <v>1749</v>
      </c>
      <c r="D227" t="s">
        <v>1750</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hidden="1" x14ac:dyDescent="0.45">
      <c r="A228" t="s">
        <v>1254</v>
      </c>
      <c r="B228" t="s">
        <v>1655</v>
      </c>
      <c r="C228" t="s">
        <v>1749</v>
      </c>
      <c r="D228" t="s">
        <v>1750</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hidden="1" x14ac:dyDescent="0.45">
      <c r="A229" t="s">
        <v>603</v>
      </c>
      <c r="B229" t="s">
        <v>1656</v>
      </c>
      <c r="C229" t="s">
        <v>1749</v>
      </c>
      <c r="D229" t="s">
        <v>1750</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hidden="1" x14ac:dyDescent="0.45">
      <c r="A230" t="s">
        <v>1657</v>
      </c>
      <c r="B230" t="s">
        <v>1658</v>
      </c>
      <c r="C230" t="s">
        <v>1749</v>
      </c>
      <c r="D230" t="s">
        <v>1750</v>
      </c>
    </row>
    <row r="231" spans="1:64" hidden="1" x14ac:dyDescent="0.45">
      <c r="A231" t="s">
        <v>1074</v>
      </c>
      <c r="B231" t="s">
        <v>1659</v>
      </c>
      <c r="C231" t="s">
        <v>1749</v>
      </c>
      <c r="D231" t="s">
        <v>1750</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hidden="1" x14ac:dyDescent="0.45">
      <c r="A232" t="s">
        <v>1127</v>
      </c>
      <c r="B232" t="s">
        <v>1660</v>
      </c>
      <c r="C232" t="s">
        <v>1749</v>
      </c>
      <c r="D232" t="s">
        <v>1750</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hidden="1" x14ac:dyDescent="0.45">
      <c r="A233" t="s">
        <v>1661</v>
      </c>
      <c r="B233" t="s">
        <v>1662</v>
      </c>
      <c r="C233" t="s">
        <v>1749</v>
      </c>
      <c r="D233" t="s">
        <v>1750</v>
      </c>
    </row>
    <row r="234" spans="1:64" hidden="1" x14ac:dyDescent="0.45">
      <c r="A234" t="s">
        <v>1080</v>
      </c>
      <c r="B234" t="s">
        <v>1663</v>
      </c>
      <c r="C234" t="s">
        <v>1749</v>
      </c>
      <c r="D234" t="s">
        <v>1750</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hidden="1" x14ac:dyDescent="0.45">
      <c r="A235" t="s">
        <v>1664</v>
      </c>
      <c r="B235" t="s">
        <v>1665</v>
      </c>
      <c r="C235" t="s">
        <v>1749</v>
      </c>
      <c r="D235" t="s">
        <v>1750</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hidden="1" x14ac:dyDescent="0.45">
      <c r="A236" t="s">
        <v>1666</v>
      </c>
      <c r="B236" t="s">
        <v>1667</v>
      </c>
      <c r="C236" t="s">
        <v>1749</v>
      </c>
      <c r="D236" t="s">
        <v>1750</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hidden="1" x14ac:dyDescent="0.45">
      <c r="A237" t="s">
        <v>1102</v>
      </c>
      <c r="B237" t="s">
        <v>1668</v>
      </c>
      <c r="C237" t="s">
        <v>1749</v>
      </c>
      <c r="D237" t="s">
        <v>1750</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hidden="1" x14ac:dyDescent="0.45">
      <c r="A238" t="s">
        <v>1167</v>
      </c>
      <c r="B238" t="s">
        <v>1669</v>
      </c>
      <c r="C238" t="s">
        <v>1749</v>
      </c>
      <c r="D238" t="s">
        <v>1750</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hidden="1" x14ac:dyDescent="0.45">
      <c r="A239" t="s">
        <v>1135</v>
      </c>
      <c r="B239" t="s">
        <v>1670</v>
      </c>
      <c r="C239" t="s">
        <v>1749</v>
      </c>
      <c r="D239" t="s">
        <v>1750</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hidden="1" x14ac:dyDescent="0.45">
      <c r="A240" t="s">
        <v>1136</v>
      </c>
      <c r="B240" t="s">
        <v>1671</v>
      </c>
      <c r="C240" t="s">
        <v>1749</v>
      </c>
      <c r="D240" t="s">
        <v>1750</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hidden="1" x14ac:dyDescent="0.45">
      <c r="A241" t="s">
        <v>1672</v>
      </c>
      <c r="B241" t="s">
        <v>1673</v>
      </c>
      <c r="C241" t="s">
        <v>1749</v>
      </c>
      <c r="D241" t="s">
        <v>1750</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hidden="1" x14ac:dyDescent="0.45">
      <c r="A242" t="s">
        <v>1168</v>
      </c>
      <c r="B242" t="s">
        <v>1674</v>
      </c>
      <c r="C242" t="s">
        <v>1749</v>
      </c>
      <c r="D242" t="s">
        <v>1750</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hidden="1" x14ac:dyDescent="0.45">
      <c r="A243" t="s">
        <v>1675</v>
      </c>
      <c r="B243" t="s">
        <v>1676</v>
      </c>
      <c r="C243" t="s">
        <v>1749</v>
      </c>
      <c r="D243" t="s">
        <v>1750</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hidden="1" x14ac:dyDescent="0.45">
      <c r="A244" t="s">
        <v>1229</v>
      </c>
      <c r="B244" t="s">
        <v>1677</v>
      </c>
      <c r="C244" t="s">
        <v>1749</v>
      </c>
      <c r="D244" t="s">
        <v>1750</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hidden="1" x14ac:dyDescent="0.45">
      <c r="A245" t="s">
        <v>1678</v>
      </c>
      <c r="B245" t="s">
        <v>1679</v>
      </c>
      <c r="C245" t="s">
        <v>1749</v>
      </c>
      <c r="D245" t="s">
        <v>1750</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hidden="1" x14ac:dyDescent="0.45">
      <c r="A246" t="s">
        <v>1680</v>
      </c>
      <c r="B246" t="s">
        <v>1681</v>
      </c>
      <c r="C246" t="s">
        <v>1749</v>
      </c>
      <c r="D246" t="s">
        <v>1750</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hidden="1" x14ac:dyDescent="0.45">
      <c r="A247" t="s">
        <v>1187</v>
      </c>
      <c r="B247" t="s">
        <v>1682</v>
      </c>
      <c r="C247" t="s">
        <v>1749</v>
      </c>
      <c r="D247" t="s">
        <v>1750</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hidden="1" x14ac:dyDescent="0.45">
      <c r="A248" t="s">
        <v>1110</v>
      </c>
      <c r="B248" t="s">
        <v>1683</v>
      </c>
      <c r="C248" t="s">
        <v>1749</v>
      </c>
      <c r="D248" t="s">
        <v>1750</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hidden="1" x14ac:dyDescent="0.45">
      <c r="A249" t="s">
        <v>1128</v>
      </c>
      <c r="B249" t="s">
        <v>1684</v>
      </c>
      <c r="C249" t="s">
        <v>1749</v>
      </c>
      <c r="D249" t="s">
        <v>1750</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hidden="1" x14ac:dyDescent="0.45">
      <c r="A250" t="s">
        <v>1685</v>
      </c>
      <c r="B250" t="s">
        <v>1686</v>
      </c>
      <c r="C250" t="s">
        <v>1749</v>
      </c>
      <c r="D250" t="s">
        <v>1750</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hidden="1" x14ac:dyDescent="0.45">
      <c r="A251" t="s">
        <v>1687</v>
      </c>
      <c r="B251" t="s">
        <v>1688</v>
      </c>
      <c r="C251" t="s">
        <v>1749</v>
      </c>
      <c r="D251" t="s">
        <v>1750</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hidden="1" x14ac:dyDescent="0.45">
      <c r="A252" t="s">
        <v>604</v>
      </c>
      <c r="B252" t="s">
        <v>1689</v>
      </c>
      <c r="C252" t="s">
        <v>1749</v>
      </c>
      <c r="D252" t="s">
        <v>1750</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hidden="1" x14ac:dyDescent="0.45">
      <c r="A253" t="s">
        <v>1243</v>
      </c>
      <c r="B253" t="s">
        <v>1690</v>
      </c>
      <c r="C253" t="s">
        <v>1749</v>
      </c>
      <c r="D253" t="s">
        <v>1750</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hidden="1" x14ac:dyDescent="0.45">
      <c r="A254" t="s">
        <v>1691</v>
      </c>
      <c r="B254" t="s">
        <v>1692</v>
      </c>
      <c r="C254" t="s">
        <v>1749</v>
      </c>
      <c r="D254" t="s">
        <v>1750</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hidden="1" x14ac:dyDescent="0.45">
      <c r="A255" t="s">
        <v>1210</v>
      </c>
      <c r="B255" t="s">
        <v>1693</v>
      </c>
      <c r="C255" t="s">
        <v>1749</v>
      </c>
      <c r="D255" t="s">
        <v>1750</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hidden="1" x14ac:dyDescent="0.45">
      <c r="A256" t="s">
        <v>1694</v>
      </c>
      <c r="B256" t="s">
        <v>1695</v>
      </c>
      <c r="C256" t="s">
        <v>1749</v>
      </c>
      <c r="D256" t="s">
        <v>1750</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hidden="1" x14ac:dyDescent="0.45">
      <c r="A257" t="s">
        <v>1137</v>
      </c>
      <c r="B257" t="s">
        <v>1696</v>
      </c>
      <c r="C257" t="s">
        <v>1749</v>
      </c>
      <c r="D257" t="s">
        <v>1750</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hidden="1" x14ac:dyDescent="0.45">
      <c r="A258" t="s">
        <v>1697</v>
      </c>
      <c r="B258" t="s">
        <v>1698</v>
      </c>
      <c r="C258" t="s">
        <v>1749</v>
      </c>
      <c r="D258" t="s">
        <v>1750</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hidden="1" x14ac:dyDescent="0.45">
      <c r="A259" t="s">
        <v>1699</v>
      </c>
      <c r="B259" t="s">
        <v>1700</v>
      </c>
      <c r="C259" t="s">
        <v>1749</v>
      </c>
      <c r="D259" t="s">
        <v>1750</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hidden="1" x14ac:dyDescent="0.45">
      <c r="A260" t="s">
        <v>1701</v>
      </c>
      <c r="B260" t="s">
        <v>1702</v>
      </c>
      <c r="C260" t="s">
        <v>1749</v>
      </c>
      <c r="D260" t="s">
        <v>1750</v>
      </c>
    </row>
    <row r="261" spans="1:65" hidden="1" x14ac:dyDescent="0.45">
      <c r="A261" t="s">
        <v>1703</v>
      </c>
      <c r="B261" t="s">
        <v>1704</v>
      </c>
      <c r="C261" t="s">
        <v>1749</v>
      </c>
      <c r="D261" t="s">
        <v>1750</v>
      </c>
    </row>
    <row r="262" spans="1:65" hidden="1" x14ac:dyDescent="0.45">
      <c r="A262" t="s">
        <v>1705</v>
      </c>
      <c r="B262" t="s">
        <v>1706</v>
      </c>
      <c r="C262" t="s">
        <v>1749</v>
      </c>
      <c r="D262" t="s">
        <v>1750</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hidden="1" x14ac:dyDescent="0.45">
      <c r="A263" t="s">
        <v>1221</v>
      </c>
      <c r="B263" t="s">
        <v>1707</v>
      </c>
      <c r="C263" t="s">
        <v>1749</v>
      </c>
      <c r="D263" t="s">
        <v>1750</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hidden="1" x14ac:dyDescent="0.45">
      <c r="A264" t="s">
        <v>1017</v>
      </c>
      <c r="B264" t="s">
        <v>1708</v>
      </c>
      <c r="C264" t="s">
        <v>1749</v>
      </c>
      <c r="D264" t="s">
        <v>1750</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hidden="1" x14ac:dyDescent="0.45">
      <c r="A265" t="s">
        <v>1228</v>
      </c>
      <c r="B265" t="s">
        <v>1709</v>
      </c>
      <c r="C265" t="s">
        <v>1749</v>
      </c>
      <c r="D265" t="s">
        <v>1750</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hidden="1" x14ac:dyDescent="0.45">
      <c r="A266" t="s">
        <v>1710</v>
      </c>
      <c r="B266" t="s">
        <v>1711</v>
      </c>
      <c r="C266" t="s">
        <v>1749</v>
      </c>
      <c r="D266" t="s">
        <v>1750</v>
      </c>
    </row>
    <row r="267" spans="1:65" hidden="1" x14ac:dyDescent="0.45">
      <c r="A267" t="s">
        <v>1712</v>
      </c>
      <c r="B267" t="s">
        <v>1713</v>
      </c>
      <c r="C267" t="s">
        <v>1749</v>
      </c>
      <c r="D267" t="s">
        <v>1750</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hidden="1" x14ac:dyDescent="0.45">
      <c r="A268" t="s">
        <v>602</v>
      </c>
      <c r="B268" t="s">
        <v>1714</v>
      </c>
      <c r="C268" t="s">
        <v>1749</v>
      </c>
      <c r="D268" t="s">
        <v>1750</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hidden="1" x14ac:dyDescent="0.45">
      <c r="A269" t="s">
        <v>606</v>
      </c>
      <c r="B269" t="s">
        <v>1715</v>
      </c>
      <c r="C269" t="s">
        <v>1749</v>
      </c>
      <c r="D269" t="s">
        <v>1750</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hidden="1" x14ac:dyDescent="0.45">
      <c r="A270" t="s">
        <v>607</v>
      </c>
      <c r="B270" t="s">
        <v>1716</v>
      </c>
      <c r="C270" t="s">
        <v>1749</v>
      </c>
      <c r="D270" t="s">
        <v>1750</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v>6.7</v>
      </c>
    </row>
    <row r="271" spans="1:65" s="1" customFormat="1" x14ac:dyDescent="0.45"/>
    <row r="272" spans="1:65" s="1" customFormat="1" x14ac:dyDescent="0.45">
      <c r="BB272" s="1" t="s">
        <v>1717</v>
      </c>
      <c r="BC272" s="155">
        <f t="shared" ref="BC272:BL272" si="0">BC77/BB77</f>
        <v>0.93975903614457823</v>
      </c>
      <c r="BD272" s="155">
        <f t="shared" si="0"/>
        <v>0.94871794871794879</v>
      </c>
      <c r="BE272" s="155">
        <f t="shared" si="0"/>
        <v>0.93243243243243246</v>
      </c>
      <c r="BF272" s="155">
        <f t="shared" si="0"/>
        <v>0.94202898550724634</v>
      </c>
      <c r="BG272" s="155">
        <f t="shared" si="0"/>
        <v>0.93846153846153846</v>
      </c>
      <c r="BH272" s="155">
        <f t="shared" si="0"/>
        <v>0.93442622950819676</v>
      </c>
      <c r="BI272" s="155">
        <f t="shared" si="0"/>
        <v>0.94736842105263164</v>
      </c>
      <c r="BJ272" s="155">
        <f t="shared" si="0"/>
        <v>0.96296296296296291</v>
      </c>
      <c r="BK272" s="155">
        <f t="shared" si="0"/>
        <v>0.96153846153846145</v>
      </c>
      <c r="BL272" s="155">
        <f t="shared" si="0"/>
        <v>0.96</v>
      </c>
      <c r="BM272" s="2">
        <f>AVERAGE(BJ272:BL272)</f>
        <v>0.96150047483380818</v>
      </c>
    </row>
    <row r="273" spans="8:65" s="1" customFormat="1" x14ac:dyDescent="0.45">
      <c r="BM273" s="51" t="s">
        <v>1751</v>
      </c>
    </row>
    <row r="274" spans="8:65" s="1" customFormat="1" x14ac:dyDescent="0.45">
      <c r="I274" s="1" t="s">
        <v>1719</v>
      </c>
    </row>
    <row r="275" spans="8:65" s="1" customFormat="1" x14ac:dyDescent="0.45">
      <c r="H275">
        <v>2020</v>
      </c>
      <c r="I275" s="156">
        <f>BL77*$BM$272</f>
        <v>4.6152022792022791</v>
      </c>
    </row>
    <row r="276" spans="8:65" s="1" customFormat="1" x14ac:dyDescent="0.45">
      <c r="H276">
        <v>2021</v>
      </c>
      <c r="I276" s="156">
        <f>I275*$BM$272</f>
        <v>4.4375191829070655</v>
      </c>
    </row>
    <row r="277" spans="8:65" s="1" customFormat="1" x14ac:dyDescent="0.45">
      <c r="H277">
        <v>2022</v>
      </c>
      <c r="I277" s="156">
        <f t="shared" ref="I277:I295" si="1">I276*$BM$272</f>
        <v>4.2666768014492762</v>
      </c>
    </row>
    <row r="278" spans="8:65" s="1" customFormat="1" x14ac:dyDescent="0.45">
      <c r="H278">
        <v>2023</v>
      </c>
      <c r="I278" s="156">
        <f t="shared" si="1"/>
        <v>4.1024117705558734</v>
      </c>
    </row>
    <row r="279" spans="8:65" s="1" customFormat="1" x14ac:dyDescent="0.45">
      <c r="H279">
        <v>2024</v>
      </c>
      <c r="I279" s="156">
        <f t="shared" si="1"/>
        <v>3.9444708653532761</v>
      </c>
    </row>
    <row r="280" spans="8:65" s="1" customFormat="1" x14ac:dyDescent="0.45">
      <c r="H280">
        <v>2025</v>
      </c>
      <c r="I280" s="156">
        <f t="shared" si="1"/>
        <v>3.7926106100052972</v>
      </c>
    </row>
    <row r="281" spans="8:65" s="1" customFormat="1" x14ac:dyDescent="0.45">
      <c r="H281">
        <v>2026</v>
      </c>
      <c r="I281" s="156">
        <f t="shared" si="1"/>
        <v>3.6465969023798324</v>
      </c>
    </row>
    <row r="282" spans="8:65" s="1" customFormat="1" x14ac:dyDescent="0.45">
      <c r="H282">
        <v>2027</v>
      </c>
      <c r="I282" s="156">
        <f t="shared" si="1"/>
        <v>3.5062046531657027</v>
      </c>
    </row>
    <row r="283" spans="8:65" s="1" customFormat="1" x14ac:dyDescent="0.45">
      <c r="H283">
        <v>2028</v>
      </c>
      <c r="I283" s="156">
        <f t="shared" si="1"/>
        <v>3.3712174388833307</v>
      </c>
    </row>
    <row r="284" spans="8:65" s="1" customFormat="1" x14ac:dyDescent="0.45">
      <c r="H284">
        <v>2029</v>
      </c>
      <c r="I284" s="156">
        <f t="shared" si="1"/>
        <v>3.241427168254337</v>
      </c>
    </row>
    <row r="285" spans="8:65" s="1" customFormat="1" x14ac:dyDescent="0.45">
      <c r="H285">
        <v>2030</v>
      </c>
      <c r="I285" s="156">
        <f t="shared" si="1"/>
        <v>3.1166337614157511</v>
      </c>
    </row>
    <row r="286" spans="8:65" s="1" customFormat="1" x14ac:dyDescent="0.45">
      <c r="H286">
        <v>2031</v>
      </c>
      <c r="I286" s="156">
        <f t="shared" si="1"/>
        <v>2.9966448414843225</v>
      </c>
    </row>
    <row r="287" spans="8:65" s="1" customFormat="1" x14ac:dyDescent="0.45">
      <c r="H287">
        <v>2032</v>
      </c>
      <c r="I287" s="156">
        <f t="shared" si="1"/>
        <v>2.8812754379954582</v>
      </c>
    </row>
    <row r="288" spans="8:65" s="1" customFormat="1" x14ac:dyDescent="0.45">
      <c r="H288">
        <v>2033</v>
      </c>
      <c r="I288" s="156">
        <f t="shared" si="1"/>
        <v>2.7703477017596216</v>
      </c>
    </row>
    <row r="289" spans="3:9" s="1" customFormat="1" x14ac:dyDescent="0.45">
      <c r="C289" s="49"/>
      <c r="D289" s="49"/>
      <c r="E289" s="49"/>
      <c r="H289">
        <v>2034</v>
      </c>
      <c r="I289" s="156">
        <f t="shared" si="1"/>
        <v>2.6636906306966255</v>
      </c>
    </row>
    <row r="290" spans="3:9" s="1" customFormat="1" x14ac:dyDescent="0.45">
      <c r="C290" s="49"/>
      <c r="D290" s="49"/>
      <c r="E290" s="49"/>
      <c r="H290">
        <v>2035</v>
      </c>
      <c r="I290" s="156">
        <f t="shared" si="1"/>
        <v>2.5611398062251713</v>
      </c>
    </row>
    <row r="291" spans="3:9" s="1" customFormat="1" x14ac:dyDescent="0.45">
      <c r="C291" s="49"/>
      <c r="D291" s="49"/>
      <c r="E291" s="49"/>
      <c r="H291">
        <v>2036</v>
      </c>
      <c r="I291" s="156">
        <f t="shared" si="1"/>
        <v>2.4625371398012699</v>
      </c>
    </row>
    <row r="292" spans="3:9" s="1" customFormat="1" x14ac:dyDescent="0.45">
      <c r="H292">
        <v>2037</v>
      </c>
      <c r="I292" s="156">
        <f t="shared" si="1"/>
        <v>2.367730629214809</v>
      </c>
    </row>
    <row r="293" spans="3:9" s="1" customFormat="1" x14ac:dyDescent="0.45">
      <c r="H293">
        <v>2038</v>
      </c>
      <c r="I293" s="156">
        <f t="shared" si="1"/>
        <v>2.2765741242685902</v>
      </c>
    </row>
    <row r="294" spans="3:9" s="1" customFormat="1" x14ac:dyDescent="0.45">
      <c r="H294">
        <v>2039</v>
      </c>
      <c r="I294" s="156">
        <f t="shared" si="1"/>
        <v>2.1889271014786105</v>
      </c>
    </row>
    <row r="295" spans="3:9" s="1" customFormat="1" x14ac:dyDescent="0.45">
      <c r="H295">
        <v>2040</v>
      </c>
      <c r="I295" s="156">
        <f t="shared" si="1"/>
        <v>2.1046544474482753</v>
      </c>
    </row>
    <row r="296" spans="3:9" s="1" customFormat="1" x14ac:dyDescent="0.45"/>
  </sheetData>
  <pageMargins left="0.7" right="0.7" top="0.75" bottom="0.75" header="0.3" footer="0.3"/>
  <headerFooter alignWithMargins="0"/>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69C17-2A2C-41FD-B16E-CE2F80CCDA7A}">
  <dimension ref="A1:BM296"/>
  <sheetViews>
    <sheetView topLeftCell="AT49" workbookViewId="0">
      <selection activeCell="BL293" sqref="BL293"/>
    </sheetView>
  </sheetViews>
  <sheetFormatPr defaultRowHeight="14.25" x14ac:dyDescent="0.45"/>
  <cols>
    <col min="1" max="1" width="44.19921875" bestFit="1" customWidth="1"/>
    <col min="2" max="2" width="25.53125" bestFit="1" customWidth="1"/>
    <col min="3" max="3" width="55.53125" bestFit="1" customWidth="1"/>
    <col min="4" max="4" width="12.73046875" bestFit="1" customWidth="1"/>
    <col min="5" max="8" width="5" bestFit="1" customWidth="1"/>
    <col min="9" max="9" width="9.19921875" bestFit="1" customWidth="1"/>
    <col min="10" max="34" width="5" bestFit="1" customWidth="1"/>
    <col min="35" max="64" width="11.46484375" bestFit="1" customWidth="1"/>
    <col min="65" max="65" width="8.19921875" customWidth="1"/>
  </cols>
  <sheetData>
    <row r="1" spans="1:65" x14ac:dyDescent="0.45">
      <c r="A1" t="s">
        <v>1283</v>
      </c>
      <c r="B1" t="s">
        <v>1284</v>
      </c>
    </row>
    <row r="2" spans="1:65" x14ac:dyDescent="0.45">
      <c r="A2" t="s">
        <v>1285</v>
      </c>
      <c r="B2" s="4">
        <v>44407</v>
      </c>
    </row>
    <row r="4" spans="1:65" x14ac:dyDescent="0.4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45">
      <c r="A5" t="s">
        <v>1173</v>
      </c>
      <c r="B5" t="s">
        <v>1351</v>
      </c>
      <c r="C5" t="s">
        <v>1752</v>
      </c>
      <c r="D5" t="s">
        <v>1753</v>
      </c>
    </row>
    <row r="6" spans="1:65" x14ac:dyDescent="0.45">
      <c r="A6" t="s">
        <v>1354</v>
      </c>
      <c r="B6" t="s">
        <v>1355</v>
      </c>
      <c r="C6" t="s">
        <v>1752</v>
      </c>
      <c r="D6" t="s">
        <v>1753</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45">
      <c r="A7" t="s">
        <v>1139</v>
      </c>
      <c r="B7" t="s">
        <v>1356</v>
      </c>
      <c r="C7" t="s">
        <v>1752</v>
      </c>
      <c r="D7" t="s">
        <v>1753</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45">
      <c r="A8" t="s">
        <v>1357</v>
      </c>
      <c r="B8" t="s">
        <v>1358</v>
      </c>
      <c r="C8" t="s">
        <v>1752</v>
      </c>
      <c r="D8" t="s">
        <v>1753</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45">
      <c r="A9" t="s">
        <v>1078</v>
      </c>
      <c r="B9" t="s">
        <v>1359</v>
      </c>
      <c r="C9" t="s">
        <v>1752</v>
      </c>
      <c r="D9" t="s">
        <v>1753</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45">
      <c r="A10" t="s">
        <v>1257</v>
      </c>
      <c r="B10" t="s">
        <v>1360</v>
      </c>
      <c r="C10" t="s">
        <v>1752</v>
      </c>
      <c r="D10" t="s">
        <v>1753</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45">
      <c r="A11" t="s">
        <v>1361</v>
      </c>
      <c r="B11" t="s">
        <v>1362</v>
      </c>
      <c r="C11" t="s">
        <v>1752</v>
      </c>
      <c r="D11" t="s">
        <v>1753</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45">
      <c r="A12" t="s">
        <v>1363</v>
      </c>
      <c r="B12" t="s">
        <v>1364</v>
      </c>
      <c r="C12" t="s">
        <v>1752</v>
      </c>
      <c r="D12" t="s">
        <v>1753</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45">
      <c r="A13" t="s">
        <v>1129</v>
      </c>
      <c r="B13" t="s">
        <v>1365</v>
      </c>
      <c r="C13" t="s">
        <v>1752</v>
      </c>
      <c r="D13" t="s">
        <v>1753</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45">
      <c r="A14" t="s">
        <v>1199</v>
      </c>
      <c r="B14" t="s">
        <v>1366</v>
      </c>
      <c r="C14" t="s">
        <v>1752</v>
      </c>
      <c r="D14" t="s">
        <v>1753</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45">
      <c r="A15" t="s">
        <v>1113</v>
      </c>
      <c r="B15" t="s">
        <v>1367</v>
      </c>
      <c r="C15" t="s">
        <v>1752</v>
      </c>
      <c r="D15" t="s">
        <v>1753</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45">
      <c r="A16" t="s">
        <v>1368</v>
      </c>
      <c r="B16" t="s">
        <v>1369</v>
      </c>
      <c r="C16" t="s">
        <v>1752</v>
      </c>
      <c r="D16" t="s">
        <v>1753</v>
      </c>
    </row>
    <row r="17" spans="1:64" x14ac:dyDescent="0.45">
      <c r="A17" t="s">
        <v>1172</v>
      </c>
      <c r="B17" t="s">
        <v>1370</v>
      </c>
      <c r="C17" t="s">
        <v>1752</v>
      </c>
      <c r="D17" t="s">
        <v>1753</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45">
      <c r="A18" t="s">
        <v>1213</v>
      </c>
      <c r="B18" t="s">
        <v>1371</v>
      </c>
      <c r="C18" t="s">
        <v>1752</v>
      </c>
      <c r="D18" t="s">
        <v>1753</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45">
      <c r="A19" t="s">
        <v>1270</v>
      </c>
      <c r="B19" t="s">
        <v>1372</v>
      </c>
      <c r="C19" t="s">
        <v>1752</v>
      </c>
      <c r="D19" t="s">
        <v>1753</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45">
      <c r="A20" t="s">
        <v>1114</v>
      </c>
      <c r="B20" t="s">
        <v>1373</v>
      </c>
      <c r="C20" t="s">
        <v>1752</v>
      </c>
      <c r="D20" t="s">
        <v>1753</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45">
      <c r="A21" t="s">
        <v>582</v>
      </c>
      <c r="B21" t="s">
        <v>1374</v>
      </c>
      <c r="C21" t="s">
        <v>1752</v>
      </c>
      <c r="D21" t="s">
        <v>1753</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45">
      <c r="A22" t="s">
        <v>1271</v>
      </c>
      <c r="B22" t="s">
        <v>1375</v>
      </c>
      <c r="C22" t="s">
        <v>1752</v>
      </c>
      <c r="D22" t="s">
        <v>1753</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45">
      <c r="A23" t="s">
        <v>1088</v>
      </c>
      <c r="B23" t="s">
        <v>1376</v>
      </c>
      <c r="C23" t="s">
        <v>1752</v>
      </c>
      <c r="D23" t="s">
        <v>1753</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45">
      <c r="A24" t="s">
        <v>1089</v>
      </c>
      <c r="B24" t="s">
        <v>1377</v>
      </c>
      <c r="C24" t="s">
        <v>1752</v>
      </c>
      <c r="D24" t="s">
        <v>1753</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45">
      <c r="A25" t="s">
        <v>1140</v>
      </c>
      <c r="B25" t="s">
        <v>1378</v>
      </c>
      <c r="C25" t="s">
        <v>1752</v>
      </c>
      <c r="D25" t="s">
        <v>1753</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45">
      <c r="A26" t="s">
        <v>1235</v>
      </c>
      <c r="B26" t="s">
        <v>1379</v>
      </c>
      <c r="C26" t="s">
        <v>1752</v>
      </c>
      <c r="D26" t="s">
        <v>1753</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45">
      <c r="A27" t="s">
        <v>1115</v>
      </c>
      <c r="B27" t="s">
        <v>1380</v>
      </c>
      <c r="C27" t="s">
        <v>1752</v>
      </c>
      <c r="D27" t="s">
        <v>1753</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45">
      <c r="A28" t="s">
        <v>1381</v>
      </c>
      <c r="B28" t="s">
        <v>1382</v>
      </c>
      <c r="C28" t="s">
        <v>1752</v>
      </c>
      <c r="D28" t="s">
        <v>1753</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45">
      <c r="A29" t="s">
        <v>1258</v>
      </c>
      <c r="B29" t="s">
        <v>1383</v>
      </c>
      <c r="C29" t="s">
        <v>1752</v>
      </c>
      <c r="D29" t="s">
        <v>1753</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45">
      <c r="A30" t="s">
        <v>1234</v>
      </c>
      <c r="B30" t="s">
        <v>1384</v>
      </c>
      <c r="C30" t="s">
        <v>1752</v>
      </c>
      <c r="D30" t="s">
        <v>1753</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45">
      <c r="A31" t="s">
        <v>1190</v>
      </c>
      <c r="B31" t="s">
        <v>1385</v>
      </c>
      <c r="C31" t="s">
        <v>1752</v>
      </c>
      <c r="D31" t="s">
        <v>1753</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45">
      <c r="A32" t="s">
        <v>1386</v>
      </c>
      <c r="B32" t="s">
        <v>1387</v>
      </c>
      <c r="C32" t="s">
        <v>1752</v>
      </c>
      <c r="D32" t="s">
        <v>1753</v>
      </c>
    </row>
    <row r="33" spans="1:64" x14ac:dyDescent="0.45">
      <c r="A33" t="s">
        <v>1388</v>
      </c>
      <c r="B33" t="s">
        <v>1389</v>
      </c>
      <c r="C33" t="s">
        <v>1752</v>
      </c>
      <c r="D33" t="s">
        <v>1753</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45">
      <c r="A34" t="s">
        <v>1201</v>
      </c>
      <c r="B34" t="s">
        <v>1390</v>
      </c>
      <c r="C34" t="s">
        <v>1752</v>
      </c>
      <c r="D34" t="s">
        <v>1753</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45">
      <c r="A35" t="s">
        <v>1175</v>
      </c>
      <c r="B35" t="s">
        <v>1391</v>
      </c>
      <c r="C35" t="s">
        <v>1752</v>
      </c>
      <c r="D35" t="s">
        <v>1753</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45">
      <c r="A36" t="s">
        <v>1159</v>
      </c>
      <c r="B36" t="s">
        <v>1392</v>
      </c>
      <c r="C36" t="s">
        <v>1752</v>
      </c>
      <c r="D36" t="s">
        <v>1753</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45">
      <c r="A37" t="s">
        <v>1141</v>
      </c>
      <c r="B37" t="s">
        <v>1393</v>
      </c>
      <c r="C37" t="s">
        <v>1752</v>
      </c>
      <c r="D37" t="s">
        <v>1753</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45">
      <c r="A38" t="s">
        <v>580</v>
      </c>
      <c r="B38" t="s">
        <v>1394</v>
      </c>
      <c r="C38" t="s">
        <v>1752</v>
      </c>
      <c r="D38" t="s">
        <v>1753</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45">
      <c r="A39" t="s">
        <v>584</v>
      </c>
      <c r="B39" t="s">
        <v>1395</v>
      </c>
      <c r="C39" t="s">
        <v>1752</v>
      </c>
      <c r="D39" t="s">
        <v>1753</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45">
      <c r="A40" t="s">
        <v>1278</v>
      </c>
      <c r="B40" t="s">
        <v>1396</v>
      </c>
      <c r="C40" t="s">
        <v>1752</v>
      </c>
      <c r="D40" t="s">
        <v>1753</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45">
      <c r="A41" t="s">
        <v>1397</v>
      </c>
      <c r="B41" t="s">
        <v>1398</v>
      </c>
      <c r="C41" t="s">
        <v>1752</v>
      </c>
      <c r="D41" t="s">
        <v>1753</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45">
      <c r="A42" t="s">
        <v>1276</v>
      </c>
      <c r="B42" t="s">
        <v>1399</v>
      </c>
      <c r="C42" t="s">
        <v>1752</v>
      </c>
      <c r="D42" t="s">
        <v>1753</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45">
      <c r="A43" t="s">
        <v>1245</v>
      </c>
      <c r="B43" t="s">
        <v>1400</v>
      </c>
      <c r="C43" t="s">
        <v>1752</v>
      </c>
      <c r="D43" t="s">
        <v>1753</v>
      </c>
    </row>
    <row r="44" spans="1:64" x14ac:dyDescent="0.45">
      <c r="A44" t="s">
        <v>1202</v>
      </c>
      <c r="B44" t="s">
        <v>1401</v>
      </c>
      <c r="C44" t="s">
        <v>1752</v>
      </c>
      <c r="D44" t="s">
        <v>1753</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45">
      <c r="A45" t="s">
        <v>1150</v>
      </c>
      <c r="B45" t="s">
        <v>1402</v>
      </c>
      <c r="C45" t="s">
        <v>1752</v>
      </c>
      <c r="D45" t="s">
        <v>1753</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45">
      <c r="A46" t="s">
        <v>1403</v>
      </c>
      <c r="B46" t="s">
        <v>1404</v>
      </c>
      <c r="C46" t="s">
        <v>1752</v>
      </c>
      <c r="D46" t="s">
        <v>1753</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45">
      <c r="A47" t="s">
        <v>1079</v>
      </c>
      <c r="B47" t="s">
        <v>1405</v>
      </c>
      <c r="C47" t="s">
        <v>1752</v>
      </c>
      <c r="D47" t="s">
        <v>1753</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45">
      <c r="A48" t="s">
        <v>1406</v>
      </c>
      <c r="B48" t="s">
        <v>1407</v>
      </c>
      <c r="C48" t="s">
        <v>1752</v>
      </c>
      <c r="D48" t="s">
        <v>1753</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45">
      <c r="A49" t="s">
        <v>1408</v>
      </c>
      <c r="B49" t="s">
        <v>1409</v>
      </c>
      <c r="C49" t="s">
        <v>1752</v>
      </c>
      <c r="D49" t="s">
        <v>1753</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45">
      <c r="A50" t="s">
        <v>1203</v>
      </c>
      <c r="B50" t="s">
        <v>1410</v>
      </c>
      <c r="C50" t="s">
        <v>1752</v>
      </c>
      <c r="D50" t="s">
        <v>1753</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45">
      <c r="A51" t="s">
        <v>1067</v>
      </c>
      <c r="B51" t="s">
        <v>1411</v>
      </c>
      <c r="C51" t="s">
        <v>1752</v>
      </c>
      <c r="D51" t="s">
        <v>1753</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45">
      <c r="A52" t="s">
        <v>1090</v>
      </c>
      <c r="B52" t="s">
        <v>1412</v>
      </c>
      <c r="C52" t="s">
        <v>1752</v>
      </c>
      <c r="D52" t="s">
        <v>1753</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45">
      <c r="A53" t="s">
        <v>1191</v>
      </c>
      <c r="B53" t="s">
        <v>1413</v>
      </c>
      <c r="C53" t="s">
        <v>1752</v>
      </c>
      <c r="D53" t="s">
        <v>1753</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45">
      <c r="A54" t="s">
        <v>1414</v>
      </c>
      <c r="B54" t="s">
        <v>1415</v>
      </c>
      <c r="C54" t="s">
        <v>1752</v>
      </c>
      <c r="D54" t="s">
        <v>1753</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45">
      <c r="A55" t="s">
        <v>1176</v>
      </c>
      <c r="B55" t="s">
        <v>1416</v>
      </c>
      <c r="C55" t="s">
        <v>1752</v>
      </c>
      <c r="D55" t="s">
        <v>1753</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45">
      <c r="A56" t="s">
        <v>1417</v>
      </c>
      <c r="B56" t="s">
        <v>1418</v>
      </c>
      <c r="C56" t="s">
        <v>1752</v>
      </c>
      <c r="D56" t="s">
        <v>1753</v>
      </c>
    </row>
    <row r="57" spans="1:64" x14ac:dyDescent="0.45">
      <c r="A57" t="s">
        <v>1419</v>
      </c>
      <c r="B57" t="s">
        <v>1420</v>
      </c>
      <c r="C57" t="s">
        <v>1752</v>
      </c>
      <c r="D57" t="s">
        <v>1753</v>
      </c>
    </row>
    <row r="58" spans="1:64" x14ac:dyDescent="0.45">
      <c r="A58" t="s">
        <v>1116</v>
      </c>
      <c r="B58" t="s">
        <v>1421</v>
      </c>
      <c r="C58" t="s">
        <v>1752</v>
      </c>
      <c r="D58" t="s">
        <v>1753</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45">
      <c r="A59" t="s">
        <v>1422</v>
      </c>
      <c r="B59" t="s">
        <v>1423</v>
      </c>
      <c r="C59" t="s">
        <v>1752</v>
      </c>
      <c r="D59" t="s">
        <v>1753</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45">
      <c r="A60" t="s">
        <v>1273</v>
      </c>
      <c r="B60" t="s">
        <v>1424</v>
      </c>
      <c r="C60" t="s">
        <v>1752</v>
      </c>
      <c r="D60" t="s">
        <v>1753</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45">
      <c r="A61" t="s">
        <v>1068</v>
      </c>
      <c r="B61" t="s">
        <v>1425</v>
      </c>
      <c r="C61" t="s">
        <v>1752</v>
      </c>
      <c r="D61" t="s">
        <v>1753</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45">
      <c r="A62" t="s">
        <v>1426</v>
      </c>
      <c r="B62" t="s">
        <v>1427</v>
      </c>
      <c r="C62" t="s">
        <v>1752</v>
      </c>
      <c r="D62" t="s">
        <v>1753</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45">
      <c r="A63" t="s">
        <v>1246</v>
      </c>
      <c r="B63" t="s">
        <v>1428</v>
      </c>
      <c r="C63" t="s">
        <v>1752</v>
      </c>
      <c r="D63" t="s">
        <v>1753</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45">
      <c r="A64" t="s">
        <v>1178</v>
      </c>
      <c r="B64" t="s">
        <v>1429</v>
      </c>
      <c r="C64" t="s">
        <v>1752</v>
      </c>
      <c r="D64" t="s">
        <v>1753</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45">
      <c r="A65" t="s">
        <v>1105</v>
      </c>
      <c r="B65" t="s">
        <v>1430</v>
      </c>
      <c r="C65" t="s">
        <v>1752</v>
      </c>
      <c r="D65" t="s">
        <v>1753</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45">
      <c r="A66" t="s">
        <v>1431</v>
      </c>
      <c r="B66" t="s">
        <v>1432</v>
      </c>
      <c r="C66" t="s">
        <v>1752</v>
      </c>
      <c r="D66" t="s">
        <v>1753</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45">
      <c r="A67" t="s">
        <v>1433</v>
      </c>
      <c r="B67" t="s">
        <v>1434</v>
      </c>
      <c r="C67" t="s">
        <v>1752</v>
      </c>
      <c r="D67" t="s">
        <v>1753</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45">
      <c r="A68" t="s">
        <v>1435</v>
      </c>
      <c r="B68" t="s">
        <v>1436</v>
      </c>
      <c r="C68" t="s">
        <v>1752</v>
      </c>
      <c r="D68" t="s">
        <v>1753</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45">
      <c r="A69" t="s">
        <v>1437</v>
      </c>
      <c r="B69" t="s">
        <v>1438</v>
      </c>
      <c r="C69" t="s">
        <v>1752</v>
      </c>
      <c r="D69" t="s">
        <v>1753</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45">
      <c r="A70" t="s">
        <v>1439</v>
      </c>
      <c r="B70" t="s">
        <v>1440</v>
      </c>
      <c r="C70" t="s">
        <v>1752</v>
      </c>
      <c r="D70" t="s">
        <v>1753</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45">
      <c r="A71" t="s">
        <v>1204</v>
      </c>
      <c r="B71" t="s">
        <v>1441</v>
      </c>
      <c r="C71" t="s">
        <v>1752</v>
      </c>
      <c r="D71" t="s">
        <v>1753</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45">
      <c r="A72" t="s">
        <v>1442</v>
      </c>
      <c r="B72" t="s">
        <v>1443</v>
      </c>
      <c r="C72" t="s">
        <v>1752</v>
      </c>
      <c r="D72" t="s">
        <v>1753</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45">
      <c r="A73" t="s">
        <v>1444</v>
      </c>
      <c r="B73" t="s">
        <v>1445</v>
      </c>
      <c r="C73" t="s">
        <v>1752</v>
      </c>
      <c r="D73" t="s">
        <v>1753</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45">
      <c r="A74" t="s">
        <v>592</v>
      </c>
      <c r="B74" t="s">
        <v>1446</v>
      </c>
      <c r="C74" t="s">
        <v>1752</v>
      </c>
      <c r="D74" t="s">
        <v>1753</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45">
      <c r="A75" t="s">
        <v>1268</v>
      </c>
      <c r="B75" t="s">
        <v>1447</v>
      </c>
      <c r="C75" t="s">
        <v>1752</v>
      </c>
      <c r="D75" t="s">
        <v>1753</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45">
      <c r="A76" t="s">
        <v>1247</v>
      </c>
      <c r="B76" t="s">
        <v>1448</v>
      </c>
      <c r="C76" t="s">
        <v>1752</v>
      </c>
      <c r="D76" t="s">
        <v>1753</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45">
      <c r="A77" t="s">
        <v>594</v>
      </c>
      <c r="B77" t="s">
        <v>926</v>
      </c>
      <c r="C77" t="s">
        <v>1752</v>
      </c>
      <c r="D77" t="s">
        <v>1753</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45">
      <c r="A78" t="s">
        <v>1449</v>
      </c>
      <c r="B78" t="s">
        <v>1450</v>
      </c>
      <c r="C78" t="s">
        <v>1752</v>
      </c>
      <c r="D78" t="s">
        <v>1753</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45">
      <c r="A79" t="s">
        <v>1451</v>
      </c>
      <c r="B79" t="s">
        <v>1452</v>
      </c>
      <c r="C79" t="s">
        <v>1752</v>
      </c>
      <c r="D79" t="s">
        <v>1753</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45">
      <c r="A80" t="s">
        <v>1248</v>
      </c>
      <c r="B80" t="s">
        <v>1453</v>
      </c>
      <c r="C80" t="s">
        <v>1752</v>
      </c>
      <c r="D80" t="s">
        <v>1753</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45">
      <c r="A81" t="s">
        <v>1217</v>
      </c>
      <c r="B81" t="s">
        <v>1454</v>
      </c>
      <c r="C81" t="s">
        <v>1752</v>
      </c>
      <c r="D81" t="s">
        <v>1753</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45">
      <c r="A82" t="s">
        <v>1272</v>
      </c>
      <c r="B82" t="s">
        <v>1455</v>
      </c>
      <c r="C82" t="s">
        <v>1752</v>
      </c>
      <c r="D82" t="s">
        <v>1753</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45">
      <c r="A83" t="s">
        <v>1456</v>
      </c>
      <c r="B83" t="s">
        <v>1457</v>
      </c>
      <c r="C83" t="s">
        <v>1752</v>
      </c>
      <c r="D83" t="s">
        <v>1753</v>
      </c>
    </row>
    <row r="84" spans="1:64" x14ac:dyDescent="0.45">
      <c r="A84" t="s">
        <v>1458</v>
      </c>
      <c r="B84" t="s">
        <v>1459</v>
      </c>
      <c r="C84" t="s">
        <v>1752</v>
      </c>
      <c r="D84" t="s">
        <v>1753</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45">
      <c r="A85" t="s">
        <v>1083</v>
      </c>
      <c r="B85" t="s">
        <v>1460</v>
      </c>
      <c r="C85" t="s">
        <v>1752</v>
      </c>
      <c r="D85" t="s">
        <v>1753</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45">
      <c r="A86" t="s">
        <v>1255</v>
      </c>
      <c r="B86" t="s">
        <v>1461</v>
      </c>
      <c r="C86" t="s">
        <v>1752</v>
      </c>
      <c r="D86" t="s">
        <v>1753</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45">
      <c r="A87" t="s">
        <v>1117</v>
      </c>
      <c r="B87" t="s">
        <v>1462</v>
      </c>
      <c r="C87" t="s">
        <v>1752</v>
      </c>
      <c r="D87" t="s">
        <v>1753</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45">
      <c r="A88" t="s">
        <v>1092</v>
      </c>
      <c r="B88" t="s">
        <v>1463</v>
      </c>
      <c r="C88" t="s">
        <v>1752</v>
      </c>
      <c r="D88" t="s">
        <v>1753</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45">
      <c r="A89" t="s">
        <v>1464</v>
      </c>
      <c r="B89" t="s">
        <v>1465</v>
      </c>
      <c r="C89" t="s">
        <v>1752</v>
      </c>
      <c r="D89" t="s">
        <v>1753</v>
      </c>
    </row>
    <row r="90" spans="1:64" x14ac:dyDescent="0.45">
      <c r="A90" t="s">
        <v>1093</v>
      </c>
      <c r="B90" t="s">
        <v>1466</v>
      </c>
      <c r="C90" t="s">
        <v>1752</v>
      </c>
      <c r="D90" t="s">
        <v>1753</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45">
      <c r="A91" t="s">
        <v>1467</v>
      </c>
      <c r="B91" t="s">
        <v>1468</v>
      </c>
      <c r="C91" t="s">
        <v>1752</v>
      </c>
      <c r="D91" t="s">
        <v>1753</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45">
      <c r="A92" t="s">
        <v>1094</v>
      </c>
      <c r="B92" t="s">
        <v>1469</v>
      </c>
      <c r="C92" t="s">
        <v>1752</v>
      </c>
      <c r="D92" t="s">
        <v>1753</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45">
      <c r="A93" t="s">
        <v>1082</v>
      </c>
      <c r="B93" t="s">
        <v>1470</v>
      </c>
      <c r="C93" t="s">
        <v>1752</v>
      </c>
      <c r="D93" t="s">
        <v>1753</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45">
      <c r="A94" t="s">
        <v>1260</v>
      </c>
      <c r="B94" t="s">
        <v>1471</v>
      </c>
      <c r="C94" t="s">
        <v>1752</v>
      </c>
      <c r="D94" t="s">
        <v>1753</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45">
      <c r="A95" t="s">
        <v>1179</v>
      </c>
      <c r="B95" t="s">
        <v>1472</v>
      </c>
      <c r="C95" t="s">
        <v>1752</v>
      </c>
      <c r="D95" t="s">
        <v>1753</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45">
      <c r="A96" t="s">
        <v>1473</v>
      </c>
      <c r="B96" t="s">
        <v>1474</v>
      </c>
      <c r="C96" t="s">
        <v>1752</v>
      </c>
      <c r="D96" t="s">
        <v>1753</v>
      </c>
    </row>
    <row r="97" spans="1:64" x14ac:dyDescent="0.45">
      <c r="A97" t="s">
        <v>1193</v>
      </c>
      <c r="B97" t="s">
        <v>1475</v>
      </c>
      <c r="C97" t="s">
        <v>1752</v>
      </c>
      <c r="D97" t="s">
        <v>1753</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45">
      <c r="A98" t="s">
        <v>1223</v>
      </c>
      <c r="B98" t="s">
        <v>1476</v>
      </c>
      <c r="C98" t="s">
        <v>1752</v>
      </c>
      <c r="D98" t="s">
        <v>1753</v>
      </c>
    </row>
    <row r="99" spans="1:64" x14ac:dyDescent="0.45">
      <c r="A99" t="s">
        <v>1206</v>
      </c>
      <c r="B99" t="s">
        <v>1477</v>
      </c>
      <c r="C99" t="s">
        <v>1752</v>
      </c>
      <c r="D99" t="s">
        <v>1753</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45">
      <c r="A100" t="s">
        <v>1478</v>
      </c>
      <c r="B100" t="s">
        <v>1479</v>
      </c>
      <c r="C100" t="s">
        <v>1752</v>
      </c>
      <c r="D100" t="s">
        <v>1753</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45">
      <c r="A101" t="s">
        <v>1480</v>
      </c>
      <c r="B101" t="s">
        <v>1481</v>
      </c>
      <c r="C101" t="s">
        <v>1752</v>
      </c>
      <c r="D101" t="s">
        <v>1753</v>
      </c>
    </row>
    <row r="102" spans="1:64" x14ac:dyDescent="0.45">
      <c r="A102" t="s">
        <v>1194</v>
      </c>
      <c r="B102" t="s">
        <v>1482</v>
      </c>
      <c r="C102" t="s">
        <v>1752</v>
      </c>
      <c r="D102" t="s">
        <v>1753</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45">
      <c r="A103" t="s">
        <v>1483</v>
      </c>
      <c r="B103" t="s">
        <v>1484</v>
      </c>
      <c r="C103" t="s">
        <v>1752</v>
      </c>
      <c r="D103" t="s">
        <v>1753</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45">
      <c r="A104" t="s">
        <v>1259</v>
      </c>
      <c r="B104" t="s">
        <v>1485</v>
      </c>
      <c r="C104" t="s">
        <v>1752</v>
      </c>
      <c r="D104" t="s">
        <v>1753</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45">
      <c r="A105" t="s">
        <v>1181</v>
      </c>
      <c r="B105" t="s">
        <v>1486</v>
      </c>
      <c r="C105" t="s">
        <v>1752</v>
      </c>
      <c r="D105" t="s">
        <v>1753</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45">
      <c r="A106" t="s">
        <v>1237</v>
      </c>
      <c r="B106" t="s">
        <v>1487</v>
      </c>
      <c r="C106" t="s">
        <v>1752</v>
      </c>
      <c r="D106" t="s">
        <v>1753</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45">
      <c r="A107" t="s">
        <v>1488</v>
      </c>
      <c r="B107" t="s">
        <v>1489</v>
      </c>
      <c r="C107" t="s">
        <v>1752</v>
      </c>
      <c r="D107" t="s">
        <v>1753</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45">
      <c r="A108" t="s">
        <v>1490</v>
      </c>
      <c r="B108" t="s">
        <v>1491</v>
      </c>
      <c r="C108" t="s">
        <v>1752</v>
      </c>
      <c r="D108" t="s">
        <v>1753</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45">
      <c r="A109" t="s">
        <v>1492</v>
      </c>
      <c r="B109" t="s">
        <v>1493</v>
      </c>
      <c r="C109" t="s">
        <v>1752</v>
      </c>
      <c r="D109" t="s">
        <v>1753</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45">
      <c r="A110" t="s">
        <v>1494</v>
      </c>
      <c r="B110" t="s">
        <v>1495</v>
      </c>
      <c r="C110" t="s">
        <v>1752</v>
      </c>
      <c r="D110" t="s">
        <v>1753</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45">
      <c r="A111" t="s">
        <v>1161</v>
      </c>
      <c r="B111" t="s">
        <v>1496</v>
      </c>
      <c r="C111" t="s">
        <v>1752</v>
      </c>
      <c r="D111" t="s">
        <v>1753</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45">
      <c r="A112" t="s">
        <v>1497</v>
      </c>
      <c r="B112" t="s">
        <v>1498</v>
      </c>
      <c r="C112" t="s">
        <v>1752</v>
      </c>
      <c r="D112" t="s">
        <v>1753</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45">
      <c r="A113" t="s">
        <v>1499</v>
      </c>
      <c r="B113" t="s">
        <v>1500</v>
      </c>
      <c r="C113" t="s">
        <v>1752</v>
      </c>
      <c r="D113" t="s">
        <v>1753</v>
      </c>
    </row>
    <row r="114" spans="1:64" x14ac:dyDescent="0.45">
      <c r="A114" t="s">
        <v>1142</v>
      </c>
      <c r="B114" t="s">
        <v>1501</v>
      </c>
      <c r="C114" t="s">
        <v>1752</v>
      </c>
      <c r="D114" t="s">
        <v>1753</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45">
      <c r="A115" t="s">
        <v>1502</v>
      </c>
      <c r="B115" t="s">
        <v>1503</v>
      </c>
      <c r="C115" t="s">
        <v>1752</v>
      </c>
      <c r="D115" t="s">
        <v>1753</v>
      </c>
    </row>
    <row r="116" spans="1:64" x14ac:dyDescent="0.45">
      <c r="A116" t="s">
        <v>1250</v>
      </c>
      <c r="B116" t="s">
        <v>1504</v>
      </c>
      <c r="C116" t="s">
        <v>1752</v>
      </c>
      <c r="D116" t="s">
        <v>1753</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45">
      <c r="A117" t="s">
        <v>1505</v>
      </c>
      <c r="B117" t="s">
        <v>1506</v>
      </c>
      <c r="C117" t="s">
        <v>1752</v>
      </c>
      <c r="D117" t="s">
        <v>1753</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45">
      <c r="A118" t="s">
        <v>1118</v>
      </c>
      <c r="B118" t="s">
        <v>1507</v>
      </c>
      <c r="C118" t="s">
        <v>1752</v>
      </c>
      <c r="D118" t="s">
        <v>1753</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45">
      <c r="A119" t="s">
        <v>1249</v>
      </c>
      <c r="B119" t="s">
        <v>1508</v>
      </c>
      <c r="C119" t="s">
        <v>1752</v>
      </c>
      <c r="D119" t="s">
        <v>1753</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45">
      <c r="A120" t="s">
        <v>1119</v>
      </c>
      <c r="B120" t="s">
        <v>1509</v>
      </c>
      <c r="C120" t="s">
        <v>1752</v>
      </c>
      <c r="D120" t="s">
        <v>1753</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45">
      <c r="A121" t="s">
        <v>1261</v>
      </c>
      <c r="B121" t="s">
        <v>1510</v>
      </c>
      <c r="C121" t="s">
        <v>1752</v>
      </c>
      <c r="D121" t="s">
        <v>1753</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45">
      <c r="A122" t="s">
        <v>1182</v>
      </c>
      <c r="B122" t="s">
        <v>1511</v>
      </c>
      <c r="C122" t="s">
        <v>1752</v>
      </c>
      <c r="D122" t="s">
        <v>1753</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45">
      <c r="A123" t="s">
        <v>1120</v>
      </c>
      <c r="B123" t="s">
        <v>1512</v>
      </c>
      <c r="C123" t="s">
        <v>1752</v>
      </c>
      <c r="D123" t="s">
        <v>1753</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45">
      <c r="A124" t="s">
        <v>1155</v>
      </c>
      <c r="B124" t="s">
        <v>1513</v>
      </c>
      <c r="C124" t="s">
        <v>1752</v>
      </c>
      <c r="D124" t="s">
        <v>1753</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45">
      <c r="A125" t="s">
        <v>1133</v>
      </c>
      <c r="B125" t="s">
        <v>1514</v>
      </c>
      <c r="C125" t="s">
        <v>1752</v>
      </c>
      <c r="D125" t="s">
        <v>1753</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45">
      <c r="A126" t="s">
        <v>1069</v>
      </c>
      <c r="B126" t="s">
        <v>1515</v>
      </c>
      <c r="C126" t="s">
        <v>1752</v>
      </c>
      <c r="D126" t="s">
        <v>1753</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45">
      <c r="A127" t="s">
        <v>1516</v>
      </c>
      <c r="B127" t="s">
        <v>1517</v>
      </c>
      <c r="C127" t="s">
        <v>1752</v>
      </c>
      <c r="D127" t="s">
        <v>1753</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45">
      <c r="A128" t="s">
        <v>1160</v>
      </c>
      <c r="B128" t="s">
        <v>1518</v>
      </c>
      <c r="C128" t="s">
        <v>1752</v>
      </c>
      <c r="D128" t="s">
        <v>1753</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45">
      <c r="A129" t="s">
        <v>1224</v>
      </c>
      <c r="B129" t="s">
        <v>1519</v>
      </c>
      <c r="C129" t="s">
        <v>1752</v>
      </c>
      <c r="D129" t="s">
        <v>1753</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45">
      <c r="A130" t="s">
        <v>1520</v>
      </c>
      <c r="B130" t="s">
        <v>1521</v>
      </c>
      <c r="C130" t="s">
        <v>1752</v>
      </c>
      <c r="D130" t="s">
        <v>1753</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45">
      <c r="A131" t="s">
        <v>1522</v>
      </c>
      <c r="B131" t="s">
        <v>1523</v>
      </c>
      <c r="C131" t="s">
        <v>1752</v>
      </c>
      <c r="D131" t="s">
        <v>1753</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45">
      <c r="A132" t="s">
        <v>1121</v>
      </c>
      <c r="B132" t="s">
        <v>1524</v>
      </c>
      <c r="C132" t="s">
        <v>1752</v>
      </c>
      <c r="D132" t="s">
        <v>1753</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45">
      <c r="A133" t="s">
        <v>1525</v>
      </c>
      <c r="B133" t="s">
        <v>1526</v>
      </c>
      <c r="C133" t="s">
        <v>1752</v>
      </c>
      <c r="D133" t="s">
        <v>1753</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45">
      <c r="A134" t="s">
        <v>1527</v>
      </c>
      <c r="B134" t="s">
        <v>1528</v>
      </c>
      <c r="C134" t="s">
        <v>1752</v>
      </c>
      <c r="D134" t="s">
        <v>1753</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45">
      <c r="A135" t="s">
        <v>1122</v>
      </c>
      <c r="B135" t="s">
        <v>1529</v>
      </c>
      <c r="C135" t="s">
        <v>1752</v>
      </c>
      <c r="D135" t="s">
        <v>1753</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45">
      <c r="A136" t="s">
        <v>1095</v>
      </c>
      <c r="B136" t="s">
        <v>1530</v>
      </c>
      <c r="C136" t="s">
        <v>1752</v>
      </c>
      <c r="D136" t="s">
        <v>1753</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45">
      <c r="A137" t="s">
        <v>1107</v>
      </c>
      <c r="B137" t="s">
        <v>1531</v>
      </c>
      <c r="C137" t="s">
        <v>1752</v>
      </c>
      <c r="D137" t="s">
        <v>1753</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45">
      <c r="A138" t="s">
        <v>1532</v>
      </c>
      <c r="B138" t="s">
        <v>1533</v>
      </c>
      <c r="C138" t="s">
        <v>1752</v>
      </c>
      <c r="D138" t="s">
        <v>1753</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45">
      <c r="A139" t="s">
        <v>1534</v>
      </c>
      <c r="B139" t="s">
        <v>1535</v>
      </c>
      <c r="C139" t="s">
        <v>1752</v>
      </c>
      <c r="D139" t="s">
        <v>1753</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45">
      <c r="A140" t="s">
        <v>1536</v>
      </c>
      <c r="B140" t="s">
        <v>1537</v>
      </c>
      <c r="C140" t="s">
        <v>1752</v>
      </c>
      <c r="D140" t="s">
        <v>1753</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45">
      <c r="A141" t="s">
        <v>1538</v>
      </c>
      <c r="B141" t="s">
        <v>1539</v>
      </c>
      <c r="C141" t="s">
        <v>1752</v>
      </c>
      <c r="D141" t="s">
        <v>1753</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45">
      <c r="A142" t="s">
        <v>1540</v>
      </c>
      <c r="B142" t="s">
        <v>1541</v>
      </c>
      <c r="C142" t="s">
        <v>1752</v>
      </c>
      <c r="D142" t="s">
        <v>1753</v>
      </c>
    </row>
    <row r="143" spans="1:64" x14ac:dyDescent="0.45">
      <c r="A143" t="s">
        <v>1147</v>
      </c>
      <c r="B143" t="s">
        <v>1542</v>
      </c>
      <c r="C143" t="s">
        <v>1752</v>
      </c>
      <c r="D143" t="s">
        <v>1753</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45">
      <c r="A144" t="s">
        <v>1543</v>
      </c>
      <c r="B144" t="s">
        <v>1544</v>
      </c>
      <c r="C144" t="s">
        <v>1752</v>
      </c>
      <c r="D144" t="s">
        <v>1753</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45">
      <c r="A145" t="s">
        <v>1545</v>
      </c>
      <c r="B145" t="s">
        <v>1546</v>
      </c>
      <c r="C145" t="s">
        <v>1752</v>
      </c>
      <c r="D145" t="s">
        <v>1753</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45">
      <c r="A146" t="s">
        <v>1086</v>
      </c>
      <c r="B146" t="s">
        <v>1547</v>
      </c>
      <c r="C146" t="s">
        <v>1752</v>
      </c>
      <c r="D146" t="s">
        <v>1753</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45">
      <c r="A147" t="s">
        <v>1548</v>
      </c>
      <c r="B147" t="s">
        <v>1549</v>
      </c>
      <c r="C147" t="s">
        <v>1752</v>
      </c>
      <c r="D147" t="s">
        <v>1753</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45">
      <c r="A148" t="s">
        <v>1252</v>
      </c>
      <c r="B148" t="s">
        <v>1550</v>
      </c>
      <c r="C148" t="s">
        <v>1752</v>
      </c>
      <c r="D148" t="s">
        <v>1753</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45">
      <c r="A149" t="s">
        <v>1274</v>
      </c>
      <c r="B149" t="s">
        <v>1551</v>
      </c>
      <c r="C149" t="s">
        <v>1752</v>
      </c>
      <c r="D149" t="s">
        <v>1753</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45">
      <c r="A150" t="s">
        <v>1251</v>
      </c>
      <c r="B150" t="s">
        <v>1552</v>
      </c>
      <c r="C150" t="s">
        <v>1752</v>
      </c>
      <c r="D150" t="s">
        <v>1753</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45">
      <c r="A151" t="s">
        <v>1553</v>
      </c>
      <c r="B151" t="s">
        <v>1554</v>
      </c>
      <c r="C151" t="s">
        <v>1752</v>
      </c>
      <c r="D151" t="s">
        <v>1753</v>
      </c>
    </row>
    <row r="152" spans="1:64" x14ac:dyDescent="0.45">
      <c r="A152" t="s">
        <v>1555</v>
      </c>
      <c r="B152" t="s">
        <v>1556</v>
      </c>
      <c r="C152" t="s">
        <v>1752</v>
      </c>
      <c r="D152" t="s">
        <v>1753</v>
      </c>
    </row>
    <row r="153" spans="1:64" x14ac:dyDescent="0.45">
      <c r="A153" t="s">
        <v>1108</v>
      </c>
      <c r="B153" t="s">
        <v>1557</v>
      </c>
      <c r="C153" t="s">
        <v>1752</v>
      </c>
      <c r="D153" t="s">
        <v>1753</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45">
      <c r="A154" t="s">
        <v>1558</v>
      </c>
      <c r="B154" t="s">
        <v>1559</v>
      </c>
      <c r="C154" t="s">
        <v>1752</v>
      </c>
      <c r="D154" t="s">
        <v>1753</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45">
      <c r="A155" t="s">
        <v>1560</v>
      </c>
      <c r="B155" t="s">
        <v>1561</v>
      </c>
      <c r="C155" t="s">
        <v>1752</v>
      </c>
      <c r="D155" t="s">
        <v>1753</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45">
      <c r="A156" t="s">
        <v>1070</v>
      </c>
      <c r="B156" t="s">
        <v>1562</v>
      </c>
      <c r="C156" t="s">
        <v>1752</v>
      </c>
      <c r="D156" t="s">
        <v>1753</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45">
      <c r="A157" t="s">
        <v>1144</v>
      </c>
      <c r="B157" t="s">
        <v>1563</v>
      </c>
      <c r="C157" t="s">
        <v>1752</v>
      </c>
      <c r="D157" t="s">
        <v>1753</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45">
      <c r="A158" t="s">
        <v>1564</v>
      </c>
      <c r="B158" t="s">
        <v>1565</v>
      </c>
      <c r="C158" t="s">
        <v>1752</v>
      </c>
      <c r="D158" t="s">
        <v>1753</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45">
      <c r="A159" t="s">
        <v>1195</v>
      </c>
      <c r="B159" t="s">
        <v>1566</v>
      </c>
      <c r="C159" t="s">
        <v>1752</v>
      </c>
      <c r="D159" t="s">
        <v>1753</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45">
      <c r="A160" t="s">
        <v>1567</v>
      </c>
      <c r="B160" t="s">
        <v>1568</v>
      </c>
      <c r="C160" t="s">
        <v>1752</v>
      </c>
      <c r="D160" t="s">
        <v>1753</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45">
      <c r="A161" t="s">
        <v>1569</v>
      </c>
      <c r="B161" t="s">
        <v>1570</v>
      </c>
      <c r="C161" t="s">
        <v>1752</v>
      </c>
      <c r="D161" t="s">
        <v>1753</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45">
      <c r="A162" t="s">
        <v>1264</v>
      </c>
      <c r="B162" t="s">
        <v>1571</v>
      </c>
      <c r="C162" t="s">
        <v>1752</v>
      </c>
      <c r="D162" t="s">
        <v>1753</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45">
      <c r="A163" t="s">
        <v>1096</v>
      </c>
      <c r="B163" t="s">
        <v>1572</v>
      </c>
      <c r="C163" t="s">
        <v>1752</v>
      </c>
      <c r="D163" t="s">
        <v>1753</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45">
      <c r="A164" t="s">
        <v>1262</v>
      </c>
      <c r="B164" t="s">
        <v>1573</v>
      </c>
      <c r="C164" t="s">
        <v>1752</v>
      </c>
      <c r="D164" t="s">
        <v>1753</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45">
      <c r="A165" t="s">
        <v>1164</v>
      </c>
      <c r="B165" t="s">
        <v>1574</v>
      </c>
      <c r="C165" t="s">
        <v>1752</v>
      </c>
      <c r="D165" t="s">
        <v>1753</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45">
      <c r="A166" t="s">
        <v>1575</v>
      </c>
      <c r="B166" t="s">
        <v>1576</v>
      </c>
      <c r="C166" t="s">
        <v>1752</v>
      </c>
      <c r="D166" t="s">
        <v>1753</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45">
      <c r="A167" t="s">
        <v>1263</v>
      </c>
      <c r="B167" t="s">
        <v>1577</v>
      </c>
      <c r="C167" t="s">
        <v>1752</v>
      </c>
      <c r="D167" t="s">
        <v>1753</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45">
      <c r="A168" t="s">
        <v>1156</v>
      </c>
      <c r="B168" t="s">
        <v>1578</v>
      </c>
      <c r="C168" t="s">
        <v>1752</v>
      </c>
      <c r="D168" t="s">
        <v>1753</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45">
      <c r="A169" t="s">
        <v>1579</v>
      </c>
      <c r="B169" t="s">
        <v>1580</v>
      </c>
      <c r="C169" t="s">
        <v>1752</v>
      </c>
      <c r="D169" t="s">
        <v>1753</v>
      </c>
    </row>
    <row r="170" spans="1:64" x14ac:dyDescent="0.45">
      <c r="A170" t="s">
        <v>596</v>
      </c>
      <c r="B170" t="s">
        <v>1581</v>
      </c>
      <c r="C170" t="s">
        <v>1752</v>
      </c>
      <c r="D170" t="s">
        <v>1753</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45">
      <c r="A171" t="s">
        <v>1097</v>
      </c>
      <c r="B171" t="s">
        <v>1582</v>
      </c>
      <c r="C171" t="s">
        <v>1752</v>
      </c>
      <c r="D171" t="s">
        <v>1753</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45">
      <c r="A172" t="s">
        <v>1071</v>
      </c>
      <c r="B172" t="s">
        <v>1583</v>
      </c>
      <c r="C172" t="s">
        <v>1752</v>
      </c>
      <c r="D172" t="s">
        <v>1753</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45">
      <c r="A173" t="s">
        <v>879</v>
      </c>
      <c r="B173" t="s">
        <v>1584</v>
      </c>
      <c r="C173" t="s">
        <v>1752</v>
      </c>
      <c r="D173" t="s">
        <v>1753</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45">
      <c r="A174" t="s">
        <v>1163</v>
      </c>
      <c r="B174" t="s">
        <v>1585</v>
      </c>
      <c r="C174" t="s">
        <v>1752</v>
      </c>
      <c r="D174" t="s">
        <v>1753</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45">
      <c r="A175" t="s">
        <v>1586</v>
      </c>
      <c r="B175" t="s">
        <v>1587</v>
      </c>
      <c r="C175" t="s">
        <v>1752</v>
      </c>
      <c r="D175" t="s">
        <v>1753</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45">
      <c r="A176" t="s">
        <v>598</v>
      </c>
      <c r="B176" t="s">
        <v>1588</v>
      </c>
      <c r="C176" t="s">
        <v>1752</v>
      </c>
      <c r="D176" t="s">
        <v>1753</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45">
      <c r="A177" t="s">
        <v>1218</v>
      </c>
      <c r="B177" t="s">
        <v>1589</v>
      </c>
      <c r="C177" t="s">
        <v>1752</v>
      </c>
      <c r="D177" t="s">
        <v>1753</v>
      </c>
    </row>
    <row r="178" spans="1:64" x14ac:dyDescent="0.45">
      <c r="A178" t="s">
        <v>1098</v>
      </c>
      <c r="B178" t="s">
        <v>1590</v>
      </c>
      <c r="C178" t="s">
        <v>1752</v>
      </c>
      <c r="D178" t="s">
        <v>1753</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45">
      <c r="A179" t="s">
        <v>1099</v>
      </c>
      <c r="B179" t="s">
        <v>1591</v>
      </c>
      <c r="C179" t="s">
        <v>1752</v>
      </c>
      <c r="D179" t="s">
        <v>1753</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45">
      <c r="A180" t="s">
        <v>1196</v>
      </c>
      <c r="B180" t="s">
        <v>1592</v>
      </c>
      <c r="C180" t="s">
        <v>1752</v>
      </c>
      <c r="D180" t="s">
        <v>1753</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45">
      <c r="A181" t="s">
        <v>1275</v>
      </c>
      <c r="B181" t="s">
        <v>1593</v>
      </c>
      <c r="C181" t="s">
        <v>1752</v>
      </c>
      <c r="D181" t="s">
        <v>1753</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45">
      <c r="A182" t="s">
        <v>1253</v>
      </c>
      <c r="B182" t="s">
        <v>1594</v>
      </c>
      <c r="C182" t="s">
        <v>1752</v>
      </c>
      <c r="D182" t="s">
        <v>1753</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45">
      <c r="A183" t="s">
        <v>1145</v>
      </c>
      <c r="B183" t="s">
        <v>1595</v>
      </c>
      <c r="C183" t="s">
        <v>1752</v>
      </c>
      <c r="D183" t="s">
        <v>1753</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45">
      <c r="A184" t="s">
        <v>1596</v>
      </c>
      <c r="B184" t="s">
        <v>1597</v>
      </c>
      <c r="C184" t="s">
        <v>1752</v>
      </c>
      <c r="D184" t="s">
        <v>1753</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45">
      <c r="A185" t="s">
        <v>1214</v>
      </c>
      <c r="B185" t="s">
        <v>1598</v>
      </c>
      <c r="C185" t="s">
        <v>1752</v>
      </c>
      <c r="D185" t="s">
        <v>1753</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45">
      <c r="A186" t="s">
        <v>1599</v>
      </c>
      <c r="B186" t="s">
        <v>1600</v>
      </c>
      <c r="C186" t="s">
        <v>1752</v>
      </c>
      <c r="D186" t="s">
        <v>1753</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45">
      <c r="A187" t="s">
        <v>1123</v>
      </c>
      <c r="B187" t="s">
        <v>1601</v>
      </c>
      <c r="C187" t="s">
        <v>1752</v>
      </c>
      <c r="D187" t="s">
        <v>1753</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45">
      <c r="A188" t="s">
        <v>1602</v>
      </c>
      <c r="B188" t="s">
        <v>1603</v>
      </c>
      <c r="C188" t="s">
        <v>1752</v>
      </c>
      <c r="D188" t="s">
        <v>1753</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45">
      <c r="A189" t="s">
        <v>1146</v>
      </c>
      <c r="B189" t="s">
        <v>1604</v>
      </c>
      <c r="C189" t="s">
        <v>1752</v>
      </c>
      <c r="D189" t="s">
        <v>1753</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45">
      <c r="A190" t="s">
        <v>1197</v>
      </c>
      <c r="B190" t="s">
        <v>1605</v>
      </c>
      <c r="C190" t="s">
        <v>1752</v>
      </c>
      <c r="D190" t="s">
        <v>1753</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45">
      <c r="A191" t="s">
        <v>1208</v>
      </c>
      <c r="B191" t="s">
        <v>1606</v>
      </c>
      <c r="C191" t="s">
        <v>1752</v>
      </c>
      <c r="D191" t="s">
        <v>1753</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45">
      <c r="A192" t="s">
        <v>1165</v>
      </c>
      <c r="B192" t="s">
        <v>1607</v>
      </c>
      <c r="C192" t="s">
        <v>1752</v>
      </c>
      <c r="D192" t="s">
        <v>1753</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45">
      <c r="A193" t="s">
        <v>1608</v>
      </c>
      <c r="B193" t="s">
        <v>1609</v>
      </c>
      <c r="C193" t="s">
        <v>1752</v>
      </c>
      <c r="D193" t="s">
        <v>1753</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45">
      <c r="A194" t="s">
        <v>1219</v>
      </c>
      <c r="B194" t="s">
        <v>1610</v>
      </c>
      <c r="C194" t="s">
        <v>1752</v>
      </c>
      <c r="D194" t="s">
        <v>1753</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45">
      <c r="A195" t="s">
        <v>1238</v>
      </c>
      <c r="B195" t="s">
        <v>1611</v>
      </c>
      <c r="C195" t="s">
        <v>1752</v>
      </c>
      <c r="D195" t="s">
        <v>1753</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45">
      <c r="A196" t="s">
        <v>1612</v>
      </c>
      <c r="B196" t="s">
        <v>1613</v>
      </c>
      <c r="C196" t="s">
        <v>1752</v>
      </c>
      <c r="D196" t="s">
        <v>1753</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45">
      <c r="A197" t="s">
        <v>1184</v>
      </c>
      <c r="B197" t="s">
        <v>1614</v>
      </c>
      <c r="C197" t="s">
        <v>1752</v>
      </c>
      <c r="D197" t="s">
        <v>1753</v>
      </c>
    </row>
    <row r="198" spans="1:64" x14ac:dyDescent="0.45">
      <c r="A198" t="s">
        <v>1615</v>
      </c>
      <c r="B198" t="s">
        <v>1616</v>
      </c>
      <c r="C198" t="s">
        <v>1752</v>
      </c>
      <c r="D198" t="s">
        <v>1753</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45">
      <c r="A199" t="s">
        <v>1265</v>
      </c>
      <c r="B199" t="s">
        <v>1617</v>
      </c>
      <c r="C199" t="s">
        <v>1752</v>
      </c>
      <c r="D199" t="s">
        <v>1753</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45">
      <c r="A200" t="s">
        <v>1207</v>
      </c>
      <c r="B200" t="s">
        <v>1618</v>
      </c>
      <c r="C200" t="s">
        <v>1752</v>
      </c>
      <c r="D200" t="s">
        <v>1753</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45">
      <c r="A201" t="s">
        <v>1619</v>
      </c>
      <c r="B201" t="s">
        <v>1620</v>
      </c>
      <c r="C201" t="s">
        <v>1752</v>
      </c>
      <c r="D201" t="s">
        <v>1753</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45">
      <c r="A202" t="s">
        <v>1621</v>
      </c>
      <c r="B202" t="s">
        <v>1622</v>
      </c>
      <c r="C202" t="s">
        <v>1752</v>
      </c>
      <c r="D202" t="s">
        <v>1753</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45">
      <c r="A203" t="s">
        <v>1623</v>
      </c>
      <c r="B203" t="s">
        <v>1624</v>
      </c>
      <c r="C203" t="s">
        <v>1752</v>
      </c>
      <c r="D203" t="s">
        <v>1753</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45">
      <c r="A204" t="s">
        <v>1227</v>
      </c>
      <c r="B204" t="s">
        <v>1625</v>
      </c>
      <c r="C204" t="s">
        <v>1752</v>
      </c>
      <c r="D204" t="s">
        <v>1753</v>
      </c>
    </row>
    <row r="205" spans="1:64" x14ac:dyDescent="0.45">
      <c r="A205" t="s">
        <v>1124</v>
      </c>
      <c r="B205" t="s">
        <v>1626</v>
      </c>
      <c r="C205" t="s">
        <v>1752</v>
      </c>
      <c r="D205" t="s">
        <v>1753</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45">
      <c r="A206" t="s">
        <v>1240</v>
      </c>
      <c r="B206" t="s">
        <v>1627</v>
      </c>
      <c r="C206" t="s">
        <v>1752</v>
      </c>
      <c r="D206" t="s">
        <v>1753</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45">
      <c r="A207" t="s">
        <v>1241</v>
      </c>
      <c r="B207" t="s">
        <v>1628</v>
      </c>
      <c r="C207" t="s">
        <v>1752</v>
      </c>
      <c r="D207" t="s">
        <v>1753</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45">
      <c r="A208" t="s">
        <v>600</v>
      </c>
      <c r="B208" t="s">
        <v>1629</v>
      </c>
      <c r="C208" t="s">
        <v>1752</v>
      </c>
      <c r="D208" t="s">
        <v>1753</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45">
      <c r="A209" t="s">
        <v>1630</v>
      </c>
      <c r="B209" t="s">
        <v>1631</v>
      </c>
      <c r="C209" t="s">
        <v>1752</v>
      </c>
      <c r="D209" t="s">
        <v>1753</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45">
      <c r="A210" t="s">
        <v>1125</v>
      </c>
      <c r="B210" t="s">
        <v>1632</v>
      </c>
      <c r="C210" t="s">
        <v>1752</v>
      </c>
      <c r="D210" t="s">
        <v>1753</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45">
      <c r="A211" t="s">
        <v>1109</v>
      </c>
      <c r="B211" t="s">
        <v>1633</v>
      </c>
      <c r="C211" t="s">
        <v>1752</v>
      </c>
      <c r="D211" t="s">
        <v>1753</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45">
      <c r="A212" t="s">
        <v>1100</v>
      </c>
      <c r="B212" t="s">
        <v>1634</v>
      </c>
      <c r="C212" t="s">
        <v>1752</v>
      </c>
      <c r="D212" t="s">
        <v>1753</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45">
      <c r="A213" t="s">
        <v>1166</v>
      </c>
      <c r="B213" t="s">
        <v>1635</v>
      </c>
      <c r="C213" t="s">
        <v>1752</v>
      </c>
      <c r="D213" t="s">
        <v>1753</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45">
      <c r="A214" t="s">
        <v>1220</v>
      </c>
      <c r="B214" t="s">
        <v>1636</v>
      </c>
      <c r="C214" t="s">
        <v>1752</v>
      </c>
      <c r="D214" t="s">
        <v>1753</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45">
      <c r="A215" t="s">
        <v>1101</v>
      </c>
      <c r="B215" t="s">
        <v>1637</v>
      </c>
      <c r="C215" t="s">
        <v>1752</v>
      </c>
      <c r="D215" t="s">
        <v>1753</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45">
      <c r="A216" t="s">
        <v>1192</v>
      </c>
      <c r="B216" t="s">
        <v>1638</v>
      </c>
      <c r="C216" t="s">
        <v>1752</v>
      </c>
      <c r="D216" t="s">
        <v>1753</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45">
      <c r="A217" t="s">
        <v>1639</v>
      </c>
      <c r="B217" t="s">
        <v>1640</v>
      </c>
      <c r="C217" t="s">
        <v>1752</v>
      </c>
      <c r="D217" t="s">
        <v>1753</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45">
      <c r="A218" t="s">
        <v>1075</v>
      </c>
      <c r="B218" t="s">
        <v>1641</v>
      </c>
      <c r="C218" t="s">
        <v>1752</v>
      </c>
      <c r="D218" t="s">
        <v>1753</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45">
      <c r="A219" t="s">
        <v>1266</v>
      </c>
      <c r="B219" t="s">
        <v>1642</v>
      </c>
      <c r="C219" t="s">
        <v>1752</v>
      </c>
      <c r="D219" t="s">
        <v>1753</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45">
      <c r="A220" t="s">
        <v>1643</v>
      </c>
      <c r="B220" t="s">
        <v>1644</v>
      </c>
      <c r="C220" t="s">
        <v>1752</v>
      </c>
      <c r="D220" t="s">
        <v>1753</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45">
      <c r="A221" t="s">
        <v>1076</v>
      </c>
      <c r="B221" t="s">
        <v>1645</v>
      </c>
      <c r="C221" t="s">
        <v>1752</v>
      </c>
      <c r="D221" t="s">
        <v>1753</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45">
      <c r="A222" t="s">
        <v>1646</v>
      </c>
      <c r="B222" t="s">
        <v>1647</v>
      </c>
      <c r="C222" t="s">
        <v>1752</v>
      </c>
      <c r="D222" t="s">
        <v>1753</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45">
      <c r="A223" t="s">
        <v>1648</v>
      </c>
      <c r="B223" t="s">
        <v>1649</v>
      </c>
      <c r="C223" t="s">
        <v>1752</v>
      </c>
      <c r="D223" t="s">
        <v>1753</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45">
      <c r="A224" t="s">
        <v>1084</v>
      </c>
      <c r="B224" t="s">
        <v>1650</v>
      </c>
      <c r="C224" t="s">
        <v>1752</v>
      </c>
      <c r="D224" t="s">
        <v>1753</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45">
      <c r="A225" t="s">
        <v>1209</v>
      </c>
      <c r="B225" t="s">
        <v>1651</v>
      </c>
      <c r="C225" t="s">
        <v>1752</v>
      </c>
      <c r="D225" t="s">
        <v>1753</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45">
      <c r="A226" t="s">
        <v>1652</v>
      </c>
      <c r="B226" t="s">
        <v>1653</v>
      </c>
      <c r="C226" t="s">
        <v>1752</v>
      </c>
      <c r="D226" t="s">
        <v>1753</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45">
      <c r="A227" t="s">
        <v>1267</v>
      </c>
      <c r="B227" t="s">
        <v>1654</v>
      </c>
      <c r="C227" t="s">
        <v>1752</v>
      </c>
      <c r="D227" t="s">
        <v>1753</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45">
      <c r="A228" t="s">
        <v>1254</v>
      </c>
      <c r="B228" t="s">
        <v>1655</v>
      </c>
      <c r="C228" t="s">
        <v>1752</v>
      </c>
      <c r="D228" t="s">
        <v>1753</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45">
      <c r="A229" t="s">
        <v>603</v>
      </c>
      <c r="B229" t="s">
        <v>1656</v>
      </c>
      <c r="C229" t="s">
        <v>1752</v>
      </c>
      <c r="D229" t="s">
        <v>1753</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45">
      <c r="A230" t="s">
        <v>1657</v>
      </c>
      <c r="B230" t="s">
        <v>1658</v>
      </c>
      <c r="C230" t="s">
        <v>1752</v>
      </c>
      <c r="D230" t="s">
        <v>1753</v>
      </c>
    </row>
    <row r="231" spans="1:64" x14ac:dyDescent="0.45">
      <c r="A231" t="s">
        <v>1074</v>
      </c>
      <c r="B231" t="s">
        <v>1659</v>
      </c>
      <c r="C231" t="s">
        <v>1752</v>
      </c>
      <c r="D231" t="s">
        <v>1753</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45">
      <c r="A232" t="s">
        <v>1127</v>
      </c>
      <c r="B232" t="s">
        <v>1660</v>
      </c>
      <c r="C232" t="s">
        <v>1752</v>
      </c>
      <c r="D232" t="s">
        <v>1753</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45">
      <c r="A233" t="s">
        <v>1661</v>
      </c>
      <c r="B233" t="s">
        <v>1662</v>
      </c>
      <c r="C233" t="s">
        <v>1752</v>
      </c>
      <c r="D233" t="s">
        <v>1753</v>
      </c>
    </row>
    <row r="234" spans="1:64" x14ac:dyDescent="0.45">
      <c r="A234" t="s">
        <v>1080</v>
      </c>
      <c r="B234" t="s">
        <v>1663</v>
      </c>
      <c r="C234" t="s">
        <v>1752</v>
      </c>
      <c r="D234" t="s">
        <v>1753</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45">
      <c r="A235" t="s">
        <v>1664</v>
      </c>
      <c r="B235" t="s">
        <v>1665</v>
      </c>
      <c r="C235" t="s">
        <v>1752</v>
      </c>
      <c r="D235" t="s">
        <v>1753</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45">
      <c r="A236" t="s">
        <v>1666</v>
      </c>
      <c r="B236" t="s">
        <v>1667</v>
      </c>
      <c r="C236" t="s">
        <v>1752</v>
      </c>
      <c r="D236" t="s">
        <v>1753</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45">
      <c r="A237" t="s">
        <v>1102</v>
      </c>
      <c r="B237" t="s">
        <v>1668</v>
      </c>
      <c r="C237" t="s">
        <v>1752</v>
      </c>
      <c r="D237" t="s">
        <v>1753</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45">
      <c r="A238" t="s">
        <v>1167</v>
      </c>
      <c r="B238" t="s">
        <v>1669</v>
      </c>
      <c r="C238" t="s">
        <v>1752</v>
      </c>
      <c r="D238" t="s">
        <v>1753</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45">
      <c r="A239" t="s">
        <v>1135</v>
      </c>
      <c r="B239" t="s">
        <v>1670</v>
      </c>
      <c r="C239" t="s">
        <v>1752</v>
      </c>
      <c r="D239" t="s">
        <v>1753</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45">
      <c r="A240" t="s">
        <v>1136</v>
      </c>
      <c r="B240" t="s">
        <v>1671</v>
      </c>
      <c r="C240" t="s">
        <v>1752</v>
      </c>
      <c r="D240" t="s">
        <v>1753</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45">
      <c r="A241" t="s">
        <v>1672</v>
      </c>
      <c r="B241" t="s">
        <v>1673</v>
      </c>
      <c r="C241" t="s">
        <v>1752</v>
      </c>
      <c r="D241" t="s">
        <v>1753</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45">
      <c r="A242" t="s">
        <v>1168</v>
      </c>
      <c r="B242" t="s">
        <v>1674</v>
      </c>
      <c r="C242" t="s">
        <v>1752</v>
      </c>
      <c r="D242" t="s">
        <v>1753</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45">
      <c r="A243" t="s">
        <v>1675</v>
      </c>
      <c r="B243" t="s">
        <v>1676</v>
      </c>
      <c r="C243" t="s">
        <v>1752</v>
      </c>
      <c r="D243" t="s">
        <v>1753</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45">
      <c r="A244" t="s">
        <v>1229</v>
      </c>
      <c r="B244" t="s">
        <v>1677</v>
      </c>
      <c r="C244" t="s">
        <v>1752</v>
      </c>
      <c r="D244" t="s">
        <v>1753</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45">
      <c r="A245" t="s">
        <v>1678</v>
      </c>
      <c r="B245" t="s">
        <v>1679</v>
      </c>
      <c r="C245" t="s">
        <v>1752</v>
      </c>
      <c r="D245" t="s">
        <v>1753</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45">
      <c r="A246" t="s">
        <v>1680</v>
      </c>
      <c r="B246" t="s">
        <v>1681</v>
      </c>
      <c r="C246" t="s">
        <v>1752</v>
      </c>
      <c r="D246" t="s">
        <v>1753</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45">
      <c r="A247" t="s">
        <v>1187</v>
      </c>
      <c r="B247" t="s">
        <v>1682</v>
      </c>
      <c r="C247" t="s">
        <v>1752</v>
      </c>
      <c r="D247" t="s">
        <v>1753</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45">
      <c r="A248" t="s">
        <v>1110</v>
      </c>
      <c r="B248" t="s">
        <v>1683</v>
      </c>
      <c r="C248" t="s">
        <v>1752</v>
      </c>
      <c r="D248" t="s">
        <v>1753</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45">
      <c r="A249" t="s">
        <v>1128</v>
      </c>
      <c r="B249" t="s">
        <v>1684</v>
      </c>
      <c r="C249" t="s">
        <v>1752</v>
      </c>
      <c r="D249" t="s">
        <v>1753</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45">
      <c r="A250" t="s">
        <v>1685</v>
      </c>
      <c r="B250" t="s">
        <v>1686</v>
      </c>
      <c r="C250" t="s">
        <v>1752</v>
      </c>
      <c r="D250" t="s">
        <v>1753</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45">
      <c r="A251" t="s">
        <v>1687</v>
      </c>
      <c r="B251" t="s">
        <v>1688</v>
      </c>
      <c r="C251" t="s">
        <v>1752</v>
      </c>
      <c r="D251" t="s">
        <v>1753</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45">
      <c r="A252" t="s">
        <v>604</v>
      </c>
      <c r="B252" t="s">
        <v>1689</v>
      </c>
      <c r="C252" t="s">
        <v>1752</v>
      </c>
      <c r="D252" t="s">
        <v>1753</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45">
      <c r="A253" t="s">
        <v>1243</v>
      </c>
      <c r="B253" t="s">
        <v>1690</v>
      </c>
      <c r="C253" t="s">
        <v>1752</v>
      </c>
      <c r="D253" t="s">
        <v>1753</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45">
      <c r="A254" t="s">
        <v>1691</v>
      </c>
      <c r="B254" t="s">
        <v>1692</v>
      </c>
      <c r="C254" t="s">
        <v>1752</v>
      </c>
      <c r="D254" t="s">
        <v>1753</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45">
      <c r="A255" t="s">
        <v>1210</v>
      </c>
      <c r="B255" t="s">
        <v>1693</v>
      </c>
      <c r="C255" t="s">
        <v>1752</v>
      </c>
      <c r="D255" t="s">
        <v>1753</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45">
      <c r="A256" t="s">
        <v>1694</v>
      </c>
      <c r="B256" t="s">
        <v>1695</v>
      </c>
      <c r="C256" t="s">
        <v>1752</v>
      </c>
      <c r="D256" t="s">
        <v>1753</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45">
      <c r="A257" t="s">
        <v>1137</v>
      </c>
      <c r="B257" t="s">
        <v>1696</v>
      </c>
      <c r="C257" t="s">
        <v>1752</v>
      </c>
      <c r="D257" t="s">
        <v>1753</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45">
      <c r="A258" t="s">
        <v>1697</v>
      </c>
      <c r="B258" t="s">
        <v>1698</v>
      </c>
      <c r="C258" t="s">
        <v>1752</v>
      </c>
      <c r="D258" t="s">
        <v>1753</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45">
      <c r="A259" t="s">
        <v>1699</v>
      </c>
      <c r="B259" t="s">
        <v>1700</v>
      </c>
      <c r="C259" t="s">
        <v>1752</v>
      </c>
      <c r="D259" t="s">
        <v>1753</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45">
      <c r="A260" t="s">
        <v>1701</v>
      </c>
      <c r="B260" t="s">
        <v>1702</v>
      </c>
      <c r="C260" t="s">
        <v>1752</v>
      </c>
      <c r="D260" t="s">
        <v>1753</v>
      </c>
    </row>
    <row r="261" spans="1:65" x14ac:dyDescent="0.45">
      <c r="A261" t="s">
        <v>1703</v>
      </c>
      <c r="B261" t="s">
        <v>1704</v>
      </c>
      <c r="C261" t="s">
        <v>1752</v>
      </c>
      <c r="D261" t="s">
        <v>1753</v>
      </c>
    </row>
    <row r="262" spans="1:65" x14ac:dyDescent="0.45">
      <c r="A262" t="s">
        <v>1705</v>
      </c>
      <c r="B262" t="s">
        <v>1706</v>
      </c>
      <c r="C262" t="s">
        <v>1752</v>
      </c>
      <c r="D262" t="s">
        <v>1753</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45">
      <c r="A263" t="s">
        <v>1221</v>
      </c>
      <c r="B263" t="s">
        <v>1707</v>
      </c>
      <c r="C263" t="s">
        <v>1752</v>
      </c>
      <c r="D263" t="s">
        <v>1753</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45">
      <c r="A264" t="s">
        <v>1017</v>
      </c>
      <c r="B264" t="s">
        <v>1708</v>
      </c>
      <c r="C264" t="s">
        <v>1752</v>
      </c>
      <c r="D264" t="s">
        <v>1753</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45">
      <c r="A265" t="s">
        <v>1228</v>
      </c>
      <c r="B265" t="s">
        <v>1709</v>
      </c>
      <c r="C265" t="s">
        <v>1752</v>
      </c>
      <c r="D265" t="s">
        <v>1753</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45">
      <c r="A266" t="s">
        <v>1710</v>
      </c>
      <c r="B266" t="s">
        <v>1711</v>
      </c>
      <c r="C266" t="s">
        <v>1752</v>
      </c>
      <c r="D266" t="s">
        <v>1753</v>
      </c>
    </row>
    <row r="267" spans="1:65" x14ac:dyDescent="0.45">
      <c r="A267" t="s">
        <v>1712</v>
      </c>
      <c r="B267" t="s">
        <v>1713</v>
      </c>
      <c r="C267" t="s">
        <v>1752</v>
      </c>
      <c r="D267" t="s">
        <v>1753</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45">
      <c r="A268" t="s">
        <v>602</v>
      </c>
      <c r="B268" t="s">
        <v>1714</v>
      </c>
      <c r="C268" t="s">
        <v>1752</v>
      </c>
      <c r="D268" t="s">
        <v>1753</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45">
      <c r="A269" t="s">
        <v>606</v>
      </c>
      <c r="B269" t="s">
        <v>1715</v>
      </c>
      <c r="C269" t="s">
        <v>1752</v>
      </c>
      <c r="D269" t="s">
        <v>1753</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45">
      <c r="A270" t="s">
        <v>607</v>
      </c>
      <c r="B270" t="s">
        <v>1716</v>
      </c>
      <c r="C270" t="s">
        <v>1752</v>
      </c>
      <c r="D270" t="s">
        <v>1753</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v>9.6999999999999993</v>
      </c>
    </row>
    <row r="271" spans="1:65" s="1" customFormat="1" x14ac:dyDescent="0.45"/>
    <row r="272" spans="1:65" s="1" customFormat="1" x14ac:dyDescent="0.45">
      <c r="BB272" s="1" t="s">
        <v>1717</v>
      </c>
      <c r="BC272" s="155">
        <f t="shared" ref="BC272:BL272" si="0">BC77/BB77</f>
        <v>0.94696969696969702</v>
      </c>
      <c r="BD272" s="155">
        <f t="shared" si="0"/>
        <v>0.94400000000000006</v>
      </c>
      <c r="BE272" s="155">
        <f t="shared" si="0"/>
        <v>0.94067796610169485</v>
      </c>
      <c r="BF272" s="155">
        <f t="shared" si="0"/>
        <v>0.94594594594594594</v>
      </c>
      <c r="BG272" s="155">
        <f t="shared" si="0"/>
        <v>0.94285714285714284</v>
      </c>
      <c r="BH272" s="155">
        <f t="shared" si="0"/>
        <v>0.9494949494949495</v>
      </c>
      <c r="BI272" s="155">
        <f t="shared" si="0"/>
        <v>0.94680851063829785</v>
      </c>
      <c r="BJ272" s="155">
        <f t="shared" si="0"/>
        <v>0.96629213483146059</v>
      </c>
      <c r="BK272" s="155">
        <f t="shared" si="0"/>
        <v>0.9651162790697676</v>
      </c>
      <c r="BL272" s="155">
        <f t="shared" si="0"/>
        <v>0.96385542168674687</v>
      </c>
      <c r="BM272" s="2">
        <f>AVERAGE(BJ272:BL272)</f>
        <v>0.96508794519599173</v>
      </c>
    </row>
    <row r="273" spans="8:65" s="1" customFormat="1" x14ac:dyDescent="0.45">
      <c r="BM273" s="51" t="s">
        <v>1751</v>
      </c>
    </row>
    <row r="274" spans="8:65" s="1" customFormat="1" x14ac:dyDescent="0.45">
      <c r="I274" s="1" t="s">
        <v>1719</v>
      </c>
    </row>
    <row r="275" spans="8:65" s="1" customFormat="1" x14ac:dyDescent="0.45">
      <c r="H275">
        <v>2020</v>
      </c>
      <c r="I275" s="156">
        <f>BL77*$BM$272</f>
        <v>7.7207035615679338</v>
      </c>
    </row>
    <row r="276" spans="8:65" s="1" customFormat="1" x14ac:dyDescent="0.45">
      <c r="H276">
        <v>2021</v>
      </c>
      <c r="I276" s="156">
        <f>I275*$BM$272</f>
        <v>7.4511579357009721</v>
      </c>
    </row>
    <row r="277" spans="8:65" s="1" customFormat="1" x14ac:dyDescent="0.45">
      <c r="H277">
        <v>2022</v>
      </c>
      <c r="I277" s="156">
        <f t="shared" ref="I277:I295" si="1">I276*$BM$272</f>
        <v>7.1910227014964585</v>
      </c>
    </row>
    <row r="278" spans="8:65" s="1" customFormat="1" x14ac:dyDescent="0.45">
      <c r="H278">
        <v>2023</v>
      </c>
      <c r="I278" s="156">
        <f t="shared" si="1"/>
        <v>6.9399693228449468</v>
      </c>
    </row>
    <row r="279" spans="8:65" s="1" customFormat="1" x14ac:dyDescent="0.45">
      <c r="H279">
        <v>2024</v>
      </c>
      <c r="I279" s="156">
        <f t="shared" si="1"/>
        <v>6.6976807335076476</v>
      </c>
    </row>
    <row r="280" spans="8:65" s="1" customFormat="1" x14ac:dyDescent="0.45">
      <c r="H280">
        <v>2025</v>
      </c>
      <c r="I280" s="156">
        <f t="shared" si="1"/>
        <v>6.4638509366796786</v>
      </c>
    </row>
    <row r="281" spans="8:65" s="1" customFormat="1" x14ac:dyDescent="0.45">
      <c r="H281">
        <v>2026</v>
      </c>
      <c r="I281" s="156">
        <f t="shared" si="1"/>
        <v>6.2381846185333778</v>
      </c>
    </row>
    <row r="282" spans="8:65" s="1" customFormat="1" x14ac:dyDescent="0.45">
      <c r="H282">
        <v>2027</v>
      </c>
      <c r="I282" s="156">
        <f t="shared" si="1"/>
        <v>6.0203967752536194</v>
      </c>
    </row>
    <row r="283" spans="8:65" s="1" customFormat="1" x14ac:dyDescent="0.45">
      <c r="H283">
        <v>2028</v>
      </c>
      <c r="I283" s="156">
        <f t="shared" si="1"/>
        <v>5.8102123530940899</v>
      </c>
    </row>
    <row r="284" spans="8:65" s="1" customFormat="1" x14ac:dyDescent="0.45">
      <c r="H284">
        <v>2029</v>
      </c>
      <c r="I284" s="156">
        <f t="shared" si="1"/>
        <v>5.6073659009999428</v>
      </c>
    </row>
    <row r="285" spans="8:65" s="1" customFormat="1" x14ac:dyDescent="0.45">
      <c r="H285">
        <v>2030</v>
      </c>
      <c r="I285" s="156">
        <f t="shared" si="1"/>
        <v>5.4116012353581056</v>
      </c>
    </row>
    <row r="286" spans="8:65" s="1" customFormat="1" x14ac:dyDescent="0.45">
      <c r="H286">
        <v>2031</v>
      </c>
      <c r="I286" s="156">
        <f t="shared" si="1"/>
        <v>5.2226711164518447</v>
      </c>
    </row>
    <row r="287" spans="8:65" s="1" customFormat="1" x14ac:dyDescent="0.45">
      <c r="H287">
        <v>2032</v>
      </c>
      <c r="I287" s="156">
        <f t="shared" si="1"/>
        <v>5.0403369362109665</v>
      </c>
    </row>
    <row r="288" spans="8:65" s="1" customFormat="1" x14ac:dyDescent="0.45">
      <c r="H288">
        <v>2033</v>
      </c>
      <c r="I288" s="156">
        <f t="shared" si="1"/>
        <v>4.8643684168633019</v>
      </c>
    </row>
    <row r="289" spans="3:9" s="1" customFormat="1" x14ac:dyDescent="0.45">
      <c r="C289" s="49"/>
      <c r="D289" s="49"/>
      <c r="E289" s="49"/>
      <c r="H289">
        <v>2034</v>
      </c>
      <c r="I289" s="156">
        <f t="shared" si="1"/>
        <v>4.6945433201068836</v>
      </c>
    </row>
    <row r="290" spans="3:9" s="1" customFormat="1" x14ac:dyDescent="0.45">
      <c r="C290" s="49"/>
      <c r="D290" s="49"/>
      <c r="E290" s="49"/>
      <c r="H290">
        <v>2035</v>
      </c>
      <c r="I290" s="156">
        <f t="shared" si="1"/>
        <v>4.5306471664355215</v>
      </c>
    </row>
    <row r="291" spans="3:9" s="1" customFormat="1" x14ac:dyDescent="0.45">
      <c r="C291" s="49"/>
      <c r="D291" s="49"/>
      <c r="E291" s="49"/>
      <c r="H291">
        <v>2036</v>
      </c>
      <c r="I291" s="156">
        <f t="shared" si="1"/>
        <v>4.3724729642632996</v>
      </c>
    </row>
    <row r="292" spans="3:9" s="1" customFormat="1" x14ac:dyDescent="0.45">
      <c r="H292">
        <v>2037</v>
      </c>
      <c r="I292" s="156">
        <f t="shared" si="1"/>
        <v>4.2198209485058946</v>
      </c>
    </row>
    <row r="293" spans="3:9" s="1" customFormat="1" x14ac:dyDescent="0.45">
      <c r="H293">
        <v>2038</v>
      </c>
      <c r="I293" s="156">
        <f t="shared" si="1"/>
        <v>4.072498328288555</v>
      </c>
    </row>
    <row r="294" spans="3:9" s="1" customFormat="1" x14ac:dyDescent="0.45">
      <c r="H294">
        <v>2039</v>
      </c>
      <c r="I294" s="156">
        <f t="shared" si="1"/>
        <v>3.9303190434621129</v>
      </c>
    </row>
    <row r="295" spans="3:9" s="1" customFormat="1" x14ac:dyDescent="0.45">
      <c r="H295">
        <v>2040</v>
      </c>
      <c r="I295" s="156">
        <f t="shared" si="1"/>
        <v>3.7931035296195263</v>
      </c>
    </row>
    <row r="296" spans="3:9" s="1" customFormat="1" x14ac:dyDescent="0.45"/>
  </sheetData>
  <pageMargins left="0.7" right="0.7" top="0.75" bottom="0.75" header="0.3" footer="0.3"/>
  <headerFooter alignWithMargins="0"/>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BAF25-274D-47CE-B761-5149F3A4D84D}">
  <dimension ref="A1:BM296"/>
  <sheetViews>
    <sheetView topLeftCell="AV67" workbookViewId="0">
      <selection activeCell="BB261" sqref="BB261"/>
    </sheetView>
  </sheetViews>
  <sheetFormatPr defaultRowHeight="14.25" x14ac:dyDescent="0.45"/>
  <cols>
    <col min="1" max="1" width="44.19921875" bestFit="1" customWidth="1"/>
    <col min="2" max="2" width="25.53125" bestFit="1" customWidth="1"/>
    <col min="3" max="3" width="50.73046875" bestFit="1" customWidth="1"/>
    <col min="4" max="4" width="12.73046875" bestFit="1" customWidth="1"/>
    <col min="5" max="8" width="5" bestFit="1" customWidth="1"/>
    <col min="9" max="9" width="9.19921875" bestFit="1" customWidth="1"/>
    <col min="10" max="34" width="5" bestFit="1" customWidth="1"/>
    <col min="35" max="64" width="11.46484375" bestFit="1" customWidth="1"/>
    <col min="65" max="65" width="13.796875" customWidth="1"/>
  </cols>
  <sheetData>
    <row r="1" spans="1:65" x14ac:dyDescent="0.45">
      <c r="A1" t="s">
        <v>1283</v>
      </c>
      <c r="B1" t="s">
        <v>1284</v>
      </c>
    </row>
    <row r="2" spans="1:65" x14ac:dyDescent="0.45">
      <c r="A2" t="s">
        <v>1285</v>
      </c>
      <c r="B2" s="4">
        <v>44407</v>
      </c>
    </row>
    <row r="4" spans="1:65" x14ac:dyDescent="0.4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45">
      <c r="A5" t="s">
        <v>1173</v>
      </c>
      <c r="B5" t="s">
        <v>1351</v>
      </c>
      <c r="C5" t="s">
        <v>1754</v>
      </c>
      <c r="D5" t="s">
        <v>1755</v>
      </c>
    </row>
    <row r="6" spans="1:65" x14ac:dyDescent="0.45">
      <c r="A6" t="s">
        <v>1354</v>
      </c>
      <c r="B6" t="s">
        <v>1355</v>
      </c>
      <c r="C6" t="s">
        <v>1754</v>
      </c>
      <c r="D6" t="s">
        <v>1755</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45">
      <c r="A7" t="s">
        <v>1139</v>
      </c>
      <c r="B7" t="s">
        <v>1356</v>
      </c>
      <c r="C7" t="s">
        <v>1754</v>
      </c>
      <c r="D7" t="s">
        <v>1755</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45">
      <c r="A8" t="s">
        <v>1357</v>
      </c>
      <c r="B8" t="s">
        <v>1358</v>
      </c>
      <c r="C8" t="s">
        <v>1754</v>
      </c>
      <c r="D8" t="s">
        <v>1755</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45">
      <c r="A9" t="s">
        <v>1078</v>
      </c>
      <c r="B9" t="s">
        <v>1359</v>
      </c>
      <c r="C9" t="s">
        <v>1754</v>
      </c>
      <c r="D9" t="s">
        <v>1755</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45">
      <c r="A10" t="s">
        <v>1257</v>
      </c>
      <c r="B10" t="s">
        <v>1360</v>
      </c>
      <c r="C10" t="s">
        <v>1754</v>
      </c>
      <c r="D10" t="s">
        <v>1755</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45">
      <c r="A11" t="s">
        <v>1361</v>
      </c>
      <c r="B11" t="s">
        <v>1362</v>
      </c>
      <c r="C11" t="s">
        <v>1754</v>
      </c>
      <c r="D11" t="s">
        <v>1755</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45">
      <c r="A12" t="s">
        <v>1363</v>
      </c>
      <c r="B12" t="s">
        <v>1364</v>
      </c>
      <c r="C12" t="s">
        <v>1754</v>
      </c>
      <c r="D12" t="s">
        <v>1755</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45">
      <c r="A13" t="s">
        <v>1129</v>
      </c>
      <c r="B13" t="s">
        <v>1365</v>
      </c>
      <c r="C13" t="s">
        <v>1754</v>
      </c>
      <c r="D13" t="s">
        <v>1755</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45">
      <c r="A14" t="s">
        <v>1199</v>
      </c>
      <c r="B14" t="s">
        <v>1366</v>
      </c>
      <c r="C14" t="s">
        <v>1754</v>
      </c>
      <c r="D14" t="s">
        <v>1755</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45">
      <c r="A15" t="s">
        <v>1113</v>
      </c>
      <c r="B15" t="s">
        <v>1367</v>
      </c>
      <c r="C15" t="s">
        <v>1754</v>
      </c>
      <c r="D15" t="s">
        <v>1755</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45">
      <c r="A16" t="s">
        <v>1368</v>
      </c>
      <c r="B16" t="s">
        <v>1369</v>
      </c>
      <c r="C16" t="s">
        <v>1754</v>
      </c>
      <c r="D16" t="s">
        <v>1755</v>
      </c>
    </row>
    <row r="17" spans="1:64" x14ac:dyDescent="0.45">
      <c r="A17" t="s">
        <v>1172</v>
      </c>
      <c r="B17" t="s">
        <v>1370</v>
      </c>
      <c r="C17" t="s">
        <v>1754</v>
      </c>
      <c r="D17" t="s">
        <v>1755</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45">
      <c r="A18" t="s">
        <v>1213</v>
      </c>
      <c r="B18" t="s">
        <v>1371</v>
      </c>
      <c r="C18" t="s">
        <v>1754</v>
      </c>
      <c r="D18" t="s">
        <v>1755</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45">
      <c r="A19" t="s">
        <v>1270</v>
      </c>
      <c r="B19" t="s">
        <v>1372</v>
      </c>
      <c r="C19" t="s">
        <v>1754</v>
      </c>
      <c r="D19" t="s">
        <v>1755</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45">
      <c r="A20" t="s">
        <v>1114</v>
      </c>
      <c r="B20" t="s">
        <v>1373</v>
      </c>
      <c r="C20" t="s">
        <v>1754</v>
      </c>
      <c r="D20" t="s">
        <v>1755</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45">
      <c r="A21" t="s">
        <v>582</v>
      </c>
      <c r="B21" t="s">
        <v>1374</v>
      </c>
      <c r="C21" t="s">
        <v>1754</v>
      </c>
      <c r="D21" t="s">
        <v>1755</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45">
      <c r="A22" t="s">
        <v>1271</v>
      </c>
      <c r="B22" t="s">
        <v>1375</v>
      </c>
      <c r="C22" t="s">
        <v>1754</v>
      </c>
      <c r="D22" t="s">
        <v>1755</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45">
      <c r="A23" t="s">
        <v>1088</v>
      </c>
      <c r="B23" t="s">
        <v>1376</v>
      </c>
      <c r="C23" t="s">
        <v>1754</v>
      </c>
      <c r="D23" t="s">
        <v>1755</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45">
      <c r="A24" t="s">
        <v>1089</v>
      </c>
      <c r="B24" t="s">
        <v>1377</v>
      </c>
      <c r="C24" t="s">
        <v>1754</v>
      </c>
      <c r="D24" t="s">
        <v>1755</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45">
      <c r="A25" t="s">
        <v>1140</v>
      </c>
      <c r="B25" t="s">
        <v>1378</v>
      </c>
      <c r="C25" t="s">
        <v>1754</v>
      </c>
      <c r="D25" t="s">
        <v>1755</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45">
      <c r="A26" t="s">
        <v>1235</v>
      </c>
      <c r="B26" t="s">
        <v>1379</v>
      </c>
      <c r="C26" t="s">
        <v>1754</v>
      </c>
      <c r="D26" t="s">
        <v>1755</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45">
      <c r="A27" t="s">
        <v>1115</v>
      </c>
      <c r="B27" t="s">
        <v>1380</v>
      </c>
      <c r="C27" t="s">
        <v>1754</v>
      </c>
      <c r="D27" t="s">
        <v>1755</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45">
      <c r="A28" t="s">
        <v>1381</v>
      </c>
      <c r="B28" t="s">
        <v>1382</v>
      </c>
      <c r="C28" t="s">
        <v>1754</v>
      </c>
      <c r="D28" t="s">
        <v>1755</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45">
      <c r="A29" t="s">
        <v>1258</v>
      </c>
      <c r="B29" t="s">
        <v>1383</v>
      </c>
      <c r="C29" t="s">
        <v>1754</v>
      </c>
      <c r="D29" t="s">
        <v>1755</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45">
      <c r="A30" t="s">
        <v>1234</v>
      </c>
      <c r="B30" t="s">
        <v>1384</v>
      </c>
      <c r="C30" t="s">
        <v>1754</v>
      </c>
      <c r="D30" t="s">
        <v>1755</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45">
      <c r="A31" t="s">
        <v>1190</v>
      </c>
      <c r="B31" t="s">
        <v>1385</v>
      </c>
      <c r="C31" t="s">
        <v>1754</v>
      </c>
      <c r="D31" t="s">
        <v>1755</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45">
      <c r="A32" t="s">
        <v>1386</v>
      </c>
      <c r="B32" t="s">
        <v>1387</v>
      </c>
      <c r="C32" t="s">
        <v>1754</v>
      </c>
      <c r="D32" t="s">
        <v>1755</v>
      </c>
    </row>
    <row r="33" spans="1:64" x14ac:dyDescent="0.45">
      <c r="A33" t="s">
        <v>1388</v>
      </c>
      <c r="B33" t="s">
        <v>1389</v>
      </c>
      <c r="C33" t="s">
        <v>1754</v>
      </c>
      <c r="D33" t="s">
        <v>1755</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45">
      <c r="A34" t="s">
        <v>1201</v>
      </c>
      <c r="B34" t="s">
        <v>1390</v>
      </c>
      <c r="C34" t="s">
        <v>1754</v>
      </c>
      <c r="D34" t="s">
        <v>1755</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45">
      <c r="A35" t="s">
        <v>1175</v>
      </c>
      <c r="B35" t="s">
        <v>1391</v>
      </c>
      <c r="C35" t="s">
        <v>1754</v>
      </c>
      <c r="D35" t="s">
        <v>1755</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45">
      <c r="A36" t="s">
        <v>1159</v>
      </c>
      <c r="B36" t="s">
        <v>1392</v>
      </c>
      <c r="C36" t="s">
        <v>1754</v>
      </c>
      <c r="D36" t="s">
        <v>1755</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45">
      <c r="A37" t="s">
        <v>1141</v>
      </c>
      <c r="B37" t="s">
        <v>1393</v>
      </c>
      <c r="C37" t="s">
        <v>1754</v>
      </c>
      <c r="D37" t="s">
        <v>1755</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45">
      <c r="A38" t="s">
        <v>580</v>
      </c>
      <c r="B38" t="s">
        <v>1394</v>
      </c>
      <c r="C38" t="s">
        <v>1754</v>
      </c>
      <c r="D38" t="s">
        <v>1755</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45">
      <c r="A39" t="s">
        <v>584</v>
      </c>
      <c r="B39" t="s">
        <v>1395</v>
      </c>
      <c r="C39" t="s">
        <v>1754</v>
      </c>
      <c r="D39" t="s">
        <v>1755</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45">
      <c r="A40" t="s">
        <v>1278</v>
      </c>
      <c r="B40" t="s">
        <v>1396</v>
      </c>
      <c r="C40" t="s">
        <v>1754</v>
      </c>
      <c r="D40" t="s">
        <v>1755</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45">
      <c r="A41" t="s">
        <v>1397</v>
      </c>
      <c r="B41" t="s">
        <v>1398</v>
      </c>
      <c r="C41" t="s">
        <v>1754</v>
      </c>
      <c r="D41" t="s">
        <v>1755</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45">
      <c r="A42" t="s">
        <v>1276</v>
      </c>
      <c r="B42" t="s">
        <v>1399</v>
      </c>
      <c r="C42" t="s">
        <v>1754</v>
      </c>
      <c r="D42" t="s">
        <v>1755</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45">
      <c r="A43" t="s">
        <v>1245</v>
      </c>
      <c r="B43" t="s">
        <v>1400</v>
      </c>
      <c r="C43" t="s">
        <v>1754</v>
      </c>
      <c r="D43" t="s">
        <v>1755</v>
      </c>
    </row>
    <row r="44" spans="1:64" x14ac:dyDescent="0.45">
      <c r="A44" t="s">
        <v>1202</v>
      </c>
      <c r="B44" t="s">
        <v>1401</v>
      </c>
      <c r="C44" t="s">
        <v>1754</v>
      </c>
      <c r="D44" t="s">
        <v>1755</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45">
      <c r="A45" t="s">
        <v>1150</v>
      </c>
      <c r="B45" t="s">
        <v>1402</v>
      </c>
      <c r="C45" t="s">
        <v>1754</v>
      </c>
      <c r="D45" t="s">
        <v>1755</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45">
      <c r="A46" t="s">
        <v>1403</v>
      </c>
      <c r="B46" t="s">
        <v>1404</v>
      </c>
      <c r="C46" t="s">
        <v>1754</v>
      </c>
      <c r="D46" t="s">
        <v>1755</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45">
      <c r="A47" t="s">
        <v>1079</v>
      </c>
      <c r="B47" t="s">
        <v>1405</v>
      </c>
      <c r="C47" t="s">
        <v>1754</v>
      </c>
      <c r="D47" t="s">
        <v>1755</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45">
      <c r="A48" t="s">
        <v>1406</v>
      </c>
      <c r="B48" t="s">
        <v>1407</v>
      </c>
      <c r="C48" t="s">
        <v>1754</v>
      </c>
      <c r="D48" t="s">
        <v>1755</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45">
      <c r="A49" t="s">
        <v>1408</v>
      </c>
      <c r="B49" t="s">
        <v>1409</v>
      </c>
      <c r="C49" t="s">
        <v>1754</v>
      </c>
      <c r="D49" t="s">
        <v>1755</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45">
      <c r="A50" t="s">
        <v>1203</v>
      </c>
      <c r="B50" t="s">
        <v>1410</v>
      </c>
      <c r="C50" t="s">
        <v>1754</v>
      </c>
      <c r="D50" t="s">
        <v>1755</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45">
      <c r="A51" t="s">
        <v>1067</v>
      </c>
      <c r="B51" t="s">
        <v>1411</v>
      </c>
      <c r="C51" t="s">
        <v>1754</v>
      </c>
      <c r="D51" t="s">
        <v>1755</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45">
      <c r="A52" t="s">
        <v>1090</v>
      </c>
      <c r="B52" t="s">
        <v>1412</v>
      </c>
      <c r="C52" t="s">
        <v>1754</v>
      </c>
      <c r="D52" t="s">
        <v>1755</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45">
      <c r="A53" t="s">
        <v>1191</v>
      </c>
      <c r="B53" t="s">
        <v>1413</v>
      </c>
      <c r="C53" t="s">
        <v>1754</v>
      </c>
      <c r="D53" t="s">
        <v>1755</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45">
      <c r="A54" t="s">
        <v>1414</v>
      </c>
      <c r="B54" t="s">
        <v>1415</v>
      </c>
      <c r="C54" t="s">
        <v>1754</v>
      </c>
      <c r="D54" t="s">
        <v>1755</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45">
      <c r="A55" t="s">
        <v>1176</v>
      </c>
      <c r="B55" t="s">
        <v>1416</v>
      </c>
      <c r="C55" t="s">
        <v>1754</v>
      </c>
      <c r="D55" t="s">
        <v>1755</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45">
      <c r="A56" t="s">
        <v>1417</v>
      </c>
      <c r="B56" t="s">
        <v>1418</v>
      </c>
      <c r="C56" t="s">
        <v>1754</v>
      </c>
      <c r="D56" t="s">
        <v>1755</v>
      </c>
    </row>
    <row r="57" spans="1:64" x14ac:dyDescent="0.45">
      <c r="A57" t="s">
        <v>1419</v>
      </c>
      <c r="B57" t="s">
        <v>1420</v>
      </c>
      <c r="C57" t="s">
        <v>1754</v>
      </c>
      <c r="D57" t="s">
        <v>1755</v>
      </c>
    </row>
    <row r="58" spans="1:64" x14ac:dyDescent="0.45">
      <c r="A58" t="s">
        <v>1116</v>
      </c>
      <c r="B58" t="s">
        <v>1421</v>
      </c>
      <c r="C58" t="s">
        <v>1754</v>
      </c>
      <c r="D58" t="s">
        <v>1755</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45">
      <c r="A59" t="s">
        <v>1422</v>
      </c>
      <c r="B59" t="s">
        <v>1423</v>
      </c>
      <c r="C59" t="s">
        <v>1754</v>
      </c>
      <c r="D59" t="s">
        <v>1755</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45">
      <c r="A60" t="s">
        <v>1273</v>
      </c>
      <c r="B60" t="s">
        <v>1424</v>
      </c>
      <c r="C60" t="s">
        <v>1754</v>
      </c>
      <c r="D60" t="s">
        <v>1755</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45">
      <c r="A61" t="s">
        <v>1068</v>
      </c>
      <c r="B61" t="s">
        <v>1425</v>
      </c>
      <c r="C61" t="s">
        <v>1754</v>
      </c>
      <c r="D61" t="s">
        <v>1755</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45">
      <c r="A62" t="s">
        <v>1426</v>
      </c>
      <c r="B62" t="s">
        <v>1427</v>
      </c>
      <c r="C62" t="s">
        <v>1754</v>
      </c>
      <c r="D62" t="s">
        <v>1755</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45">
      <c r="A63" t="s">
        <v>1246</v>
      </c>
      <c r="B63" t="s">
        <v>1428</v>
      </c>
      <c r="C63" t="s">
        <v>1754</v>
      </c>
      <c r="D63" t="s">
        <v>1755</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45">
      <c r="A64" t="s">
        <v>1178</v>
      </c>
      <c r="B64" t="s">
        <v>1429</v>
      </c>
      <c r="C64" t="s">
        <v>1754</v>
      </c>
      <c r="D64" t="s">
        <v>1755</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45">
      <c r="A65" t="s">
        <v>1105</v>
      </c>
      <c r="B65" t="s">
        <v>1430</v>
      </c>
      <c r="C65" t="s">
        <v>1754</v>
      </c>
      <c r="D65" t="s">
        <v>1755</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45">
      <c r="A66" t="s">
        <v>1431</v>
      </c>
      <c r="B66" t="s">
        <v>1432</v>
      </c>
      <c r="C66" t="s">
        <v>1754</v>
      </c>
      <c r="D66" t="s">
        <v>1755</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45">
      <c r="A67" t="s">
        <v>1433</v>
      </c>
      <c r="B67" t="s">
        <v>1434</v>
      </c>
      <c r="C67" t="s">
        <v>1754</v>
      </c>
      <c r="D67" t="s">
        <v>1755</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45">
      <c r="A68" t="s">
        <v>1435</v>
      </c>
      <c r="B68" t="s">
        <v>1436</v>
      </c>
      <c r="C68" t="s">
        <v>1754</v>
      </c>
      <c r="D68" t="s">
        <v>1755</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45">
      <c r="A69" t="s">
        <v>1437</v>
      </c>
      <c r="B69" t="s">
        <v>1438</v>
      </c>
      <c r="C69" t="s">
        <v>1754</v>
      </c>
      <c r="D69" t="s">
        <v>1755</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45">
      <c r="A70" t="s">
        <v>1439</v>
      </c>
      <c r="B70" t="s">
        <v>1440</v>
      </c>
      <c r="C70" t="s">
        <v>1754</v>
      </c>
      <c r="D70" t="s">
        <v>1755</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45">
      <c r="A71" t="s">
        <v>1204</v>
      </c>
      <c r="B71" t="s">
        <v>1441</v>
      </c>
      <c r="C71" t="s">
        <v>1754</v>
      </c>
      <c r="D71" t="s">
        <v>1755</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45">
      <c r="A72" t="s">
        <v>1442</v>
      </c>
      <c r="B72" t="s">
        <v>1443</v>
      </c>
      <c r="C72" t="s">
        <v>1754</v>
      </c>
      <c r="D72" t="s">
        <v>1755</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45">
      <c r="A73" t="s">
        <v>1444</v>
      </c>
      <c r="B73" t="s">
        <v>1445</v>
      </c>
      <c r="C73" t="s">
        <v>1754</v>
      </c>
      <c r="D73" t="s">
        <v>1755</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45">
      <c r="A74" t="s">
        <v>592</v>
      </c>
      <c r="B74" t="s">
        <v>1446</v>
      </c>
      <c r="C74" t="s">
        <v>1754</v>
      </c>
      <c r="D74" t="s">
        <v>1755</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45">
      <c r="A75" t="s">
        <v>1268</v>
      </c>
      <c r="B75" t="s">
        <v>1447</v>
      </c>
      <c r="C75" t="s">
        <v>1754</v>
      </c>
      <c r="D75" t="s">
        <v>1755</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45">
      <c r="A76" t="s">
        <v>1247</v>
      </c>
      <c r="B76" t="s">
        <v>1448</v>
      </c>
      <c r="C76" t="s">
        <v>1754</v>
      </c>
      <c r="D76" t="s">
        <v>1755</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45">
      <c r="A77" t="s">
        <v>594</v>
      </c>
      <c r="B77" t="s">
        <v>926</v>
      </c>
      <c r="C77" t="s">
        <v>1754</v>
      </c>
      <c r="D77" t="s">
        <v>1755</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45">
      <c r="A78" t="s">
        <v>1449</v>
      </c>
      <c r="B78" t="s">
        <v>1450</v>
      </c>
      <c r="C78" t="s">
        <v>1754</v>
      </c>
      <c r="D78" t="s">
        <v>1755</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45">
      <c r="A79" t="s">
        <v>1451</v>
      </c>
      <c r="B79" t="s">
        <v>1452</v>
      </c>
      <c r="C79" t="s">
        <v>1754</v>
      </c>
      <c r="D79" t="s">
        <v>1755</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45">
      <c r="A80" t="s">
        <v>1248</v>
      </c>
      <c r="B80" t="s">
        <v>1453</v>
      </c>
      <c r="C80" t="s">
        <v>1754</v>
      </c>
      <c r="D80" t="s">
        <v>1755</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45">
      <c r="A81" t="s">
        <v>1217</v>
      </c>
      <c r="B81" t="s">
        <v>1454</v>
      </c>
      <c r="C81" t="s">
        <v>1754</v>
      </c>
      <c r="D81" t="s">
        <v>1755</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45">
      <c r="A82" t="s">
        <v>1272</v>
      </c>
      <c r="B82" t="s">
        <v>1455</v>
      </c>
      <c r="C82" t="s">
        <v>1754</v>
      </c>
      <c r="D82" t="s">
        <v>1755</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45">
      <c r="A83" t="s">
        <v>1456</v>
      </c>
      <c r="B83" t="s">
        <v>1457</v>
      </c>
      <c r="C83" t="s">
        <v>1754</v>
      </c>
      <c r="D83" t="s">
        <v>1755</v>
      </c>
    </row>
    <row r="84" spans="1:64" x14ac:dyDescent="0.45">
      <c r="A84" t="s">
        <v>1458</v>
      </c>
      <c r="B84" t="s">
        <v>1459</v>
      </c>
      <c r="C84" t="s">
        <v>1754</v>
      </c>
      <c r="D84" t="s">
        <v>1755</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45">
      <c r="A85" t="s">
        <v>1083</v>
      </c>
      <c r="B85" t="s">
        <v>1460</v>
      </c>
      <c r="C85" t="s">
        <v>1754</v>
      </c>
      <c r="D85" t="s">
        <v>1755</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45">
      <c r="A86" t="s">
        <v>1255</v>
      </c>
      <c r="B86" t="s">
        <v>1461</v>
      </c>
      <c r="C86" t="s">
        <v>1754</v>
      </c>
      <c r="D86" t="s">
        <v>1755</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45">
      <c r="A87" t="s">
        <v>1117</v>
      </c>
      <c r="B87" t="s">
        <v>1462</v>
      </c>
      <c r="C87" t="s">
        <v>1754</v>
      </c>
      <c r="D87" t="s">
        <v>1755</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45">
      <c r="A88" t="s">
        <v>1092</v>
      </c>
      <c r="B88" t="s">
        <v>1463</v>
      </c>
      <c r="C88" t="s">
        <v>1754</v>
      </c>
      <c r="D88" t="s">
        <v>1755</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45">
      <c r="A89" t="s">
        <v>1464</v>
      </c>
      <c r="B89" t="s">
        <v>1465</v>
      </c>
      <c r="C89" t="s">
        <v>1754</v>
      </c>
      <c r="D89" t="s">
        <v>1755</v>
      </c>
    </row>
    <row r="90" spans="1:64" x14ac:dyDescent="0.45">
      <c r="A90" t="s">
        <v>1093</v>
      </c>
      <c r="B90" t="s">
        <v>1466</v>
      </c>
      <c r="C90" t="s">
        <v>1754</v>
      </c>
      <c r="D90" t="s">
        <v>1755</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45">
      <c r="A91" t="s">
        <v>1467</v>
      </c>
      <c r="B91" t="s">
        <v>1468</v>
      </c>
      <c r="C91" t="s">
        <v>1754</v>
      </c>
      <c r="D91" t="s">
        <v>1755</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45">
      <c r="A92" t="s">
        <v>1094</v>
      </c>
      <c r="B92" t="s">
        <v>1469</v>
      </c>
      <c r="C92" t="s">
        <v>1754</v>
      </c>
      <c r="D92" t="s">
        <v>1755</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45">
      <c r="A93" t="s">
        <v>1082</v>
      </c>
      <c r="B93" t="s">
        <v>1470</v>
      </c>
      <c r="C93" t="s">
        <v>1754</v>
      </c>
      <c r="D93" t="s">
        <v>1755</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45">
      <c r="A94" t="s">
        <v>1260</v>
      </c>
      <c r="B94" t="s">
        <v>1471</v>
      </c>
      <c r="C94" t="s">
        <v>1754</v>
      </c>
      <c r="D94" t="s">
        <v>1755</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45">
      <c r="A95" t="s">
        <v>1179</v>
      </c>
      <c r="B95" t="s">
        <v>1472</v>
      </c>
      <c r="C95" t="s">
        <v>1754</v>
      </c>
      <c r="D95" t="s">
        <v>1755</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45">
      <c r="A96" t="s">
        <v>1473</v>
      </c>
      <c r="B96" t="s">
        <v>1474</v>
      </c>
      <c r="C96" t="s">
        <v>1754</v>
      </c>
      <c r="D96" t="s">
        <v>1755</v>
      </c>
    </row>
    <row r="97" spans="1:64" x14ac:dyDescent="0.45">
      <c r="A97" t="s">
        <v>1193</v>
      </c>
      <c r="B97" t="s">
        <v>1475</v>
      </c>
      <c r="C97" t="s">
        <v>1754</v>
      </c>
      <c r="D97" t="s">
        <v>1755</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45">
      <c r="A98" t="s">
        <v>1223</v>
      </c>
      <c r="B98" t="s">
        <v>1476</v>
      </c>
      <c r="C98" t="s">
        <v>1754</v>
      </c>
      <c r="D98" t="s">
        <v>1755</v>
      </c>
    </row>
    <row r="99" spans="1:64" x14ac:dyDescent="0.45">
      <c r="A99" t="s">
        <v>1206</v>
      </c>
      <c r="B99" t="s">
        <v>1477</v>
      </c>
      <c r="C99" t="s">
        <v>1754</v>
      </c>
      <c r="D99" t="s">
        <v>1755</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45">
      <c r="A100" t="s">
        <v>1478</v>
      </c>
      <c r="B100" t="s">
        <v>1479</v>
      </c>
      <c r="C100" t="s">
        <v>1754</v>
      </c>
      <c r="D100" t="s">
        <v>1755</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45">
      <c r="A101" t="s">
        <v>1480</v>
      </c>
      <c r="B101" t="s">
        <v>1481</v>
      </c>
      <c r="C101" t="s">
        <v>1754</v>
      </c>
      <c r="D101" t="s">
        <v>1755</v>
      </c>
    </row>
    <row r="102" spans="1:64" x14ac:dyDescent="0.45">
      <c r="A102" t="s">
        <v>1194</v>
      </c>
      <c r="B102" t="s">
        <v>1482</v>
      </c>
      <c r="C102" t="s">
        <v>1754</v>
      </c>
      <c r="D102" t="s">
        <v>1755</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45">
      <c r="A103" t="s">
        <v>1483</v>
      </c>
      <c r="B103" t="s">
        <v>1484</v>
      </c>
      <c r="C103" t="s">
        <v>1754</v>
      </c>
      <c r="D103" t="s">
        <v>1755</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45">
      <c r="A104" t="s">
        <v>1259</v>
      </c>
      <c r="B104" t="s">
        <v>1485</v>
      </c>
      <c r="C104" t="s">
        <v>1754</v>
      </c>
      <c r="D104" t="s">
        <v>1755</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45">
      <c r="A105" t="s">
        <v>1181</v>
      </c>
      <c r="B105" t="s">
        <v>1486</v>
      </c>
      <c r="C105" t="s">
        <v>1754</v>
      </c>
      <c r="D105" t="s">
        <v>1755</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45">
      <c r="A106" t="s">
        <v>1237</v>
      </c>
      <c r="B106" t="s">
        <v>1487</v>
      </c>
      <c r="C106" t="s">
        <v>1754</v>
      </c>
      <c r="D106" t="s">
        <v>1755</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45">
      <c r="A107" t="s">
        <v>1488</v>
      </c>
      <c r="B107" t="s">
        <v>1489</v>
      </c>
      <c r="C107" t="s">
        <v>1754</v>
      </c>
      <c r="D107" t="s">
        <v>1755</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45">
      <c r="A108" t="s">
        <v>1490</v>
      </c>
      <c r="B108" t="s">
        <v>1491</v>
      </c>
      <c r="C108" t="s">
        <v>1754</v>
      </c>
      <c r="D108" t="s">
        <v>1755</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45">
      <c r="A109" t="s">
        <v>1492</v>
      </c>
      <c r="B109" t="s">
        <v>1493</v>
      </c>
      <c r="C109" t="s">
        <v>1754</v>
      </c>
      <c r="D109" t="s">
        <v>1755</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45">
      <c r="A110" t="s">
        <v>1494</v>
      </c>
      <c r="B110" t="s">
        <v>1495</v>
      </c>
      <c r="C110" t="s">
        <v>1754</v>
      </c>
      <c r="D110" t="s">
        <v>1755</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45">
      <c r="A111" t="s">
        <v>1161</v>
      </c>
      <c r="B111" t="s">
        <v>1496</v>
      </c>
      <c r="C111" t="s">
        <v>1754</v>
      </c>
      <c r="D111" t="s">
        <v>1755</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45">
      <c r="A112" t="s">
        <v>1497</v>
      </c>
      <c r="B112" t="s">
        <v>1498</v>
      </c>
      <c r="C112" t="s">
        <v>1754</v>
      </c>
      <c r="D112" t="s">
        <v>1755</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45">
      <c r="A113" t="s">
        <v>1499</v>
      </c>
      <c r="B113" t="s">
        <v>1500</v>
      </c>
      <c r="C113" t="s">
        <v>1754</v>
      </c>
      <c r="D113" t="s">
        <v>1755</v>
      </c>
    </row>
    <row r="114" spans="1:64" x14ac:dyDescent="0.45">
      <c r="A114" t="s">
        <v>1142</v>
      </c>
      <c r="B114" t="s">
        <v>1501</v>
      </c>
      <c r="C114" t="s">
        <v>1754</v>
      </c>
      <c r="D114" t="s">
        <v>1755</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45">
      <c r="A115" t="s">
        <v>1502</v>
      </c>
      <c r="B115" t="s">
        <v>1503</v>
      </c>
      <c r="C115" t="s">
        <v>1754</v>
      </c>
      <c r="D115" t="s">
        <v>1755</v>
      </c>
    </row>
    <row r="116" spans="1:64" x14ac:dyDescent="0.45">
      <c r="A116" t="s">
        <v>1250</v>
      </c>
      <c r="B116" t="s">
        <v>1504</v>
      </c>
      <c r="C116" t="s">
        <v>1754</v>
      </c>
      <c r="D116" t="s">
        <v>1755</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45">
      <c r="A117" t="s">
        <v>1505</v>
      </c>
      <c r="B117" t="s">
        <v>1506</v>
      </c>
      <c r="C117" t="s">
        <v>1754</v>
      </c>
      <c r="D117" t="s">
        <v>1755</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45">
      <c r="A118" t="s">
        <v>1118</v>
      </c>
      <c r="B118" t="s">
        <v>1507</v>
      </c>
      <c r="C118" t="s">
        <v>1754</v>
      </c>
      <c r="D118" t="s">
        <v>1755</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45">
      <c r="A119" t="s">
        <v>1249</v>
      </c>
      <c r="B119" t="s">
        <v>1508</v>
      </c>
      <c r="C119" t="s">
        <v>1754</v>
      </c>
      <c r="D119" t="s">
        <v>1755</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45">
      <c r="A120" t="s">
        <v>1119</v>
      </c>
      <c r="B120" t="s">
        <v>1509</v>
      </c>
      <c r="C120" t="s">
        <v>1754</v>
      </c>
      <c r="D120" t="s">
        <v>1755</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45">
      <c r="A121" t="s">
        <v>1261</v>
      </c>
      <c r="B121" t="s">
        <v>1510</v>
      </c>
      <c r="C121" t="s">
        <v>1754</v>
      </c>
      <c r="D121" t="s">
        <v>1755</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45">
      <c r="A122" t="s">
        <v>1182</v>
      </c>
      <c r="B122" t="s">
        <v>1511</v>
      </c>
      <c r="C122" t="s">
        <v>1754</v>
      </c>
      <c r="D122" t="s">
        <v>1755</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45">
      <c r="A123" t="s">
        <v>1120</v>
      </c>
      <c r="B123" t="s">
        <v>1512</v>
      </c>
      <c r="C123" t="s">
        <v>1754</v>
      </c>
      <c r="D123" t="s">
        <v>1755</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45">
      <c r="A124" t="s">
        <v>1155</v>
      </c>
      <c r="B124" t="s">
        <v>1513</v>
      </c>
      <c r="C124" t="s">
        <v>1754</v>
      </c>
      <c r="D124" t="s">
        <v>1755</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45">
      <c r="A125" t="s">
        <v>1133</v>
      </c>
      <c r="B125" t="s">
        <v>1514</v>
      </c>
      <c r="C125" t="s">
        <v>1754</v>
      </c>
      <c r="D125" t="s">
        <v>1755</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45">
      <c r="A126" t="s">
        <v>1069</v>
      </c>
      <c r="B126" t="s">
        <v>1515</v>
      </c>
      <c r="C126" t="s">
        <v>1754</v>
      </c>
      <c r="D126" t="s">
        <v>1755</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45">
      <c r="A127" t="s">
        <v>1516</v>
      </c>
      <c r="B127" t="s">
        <v>1517</v>
      </c>
      <c r="C127" t="s">
        <v>1754</v>
      </c>
      <c r="D127" t="s">
        <v>1755</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45">
      <c r="A128" t="s">
        <v>1160</v>
      </c>
      <c r="B128" t="s">
        <v>1518</v>
      </c>
      <c r="C128" t="s">
        <v>1754</v>
      </c>
      <c r="D128" t="s">
        <v>1755</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45">
      <c r="A129" t="s">
        <v>1224</v>
      </c>
      <c r="B129" t="s">
        <v>1519</v>
      </c>
      <c r="C129" t="s">
        <v>1754</v>
      </c>
      <c r="D129" t="s">
        <v>1755</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45">
      <c r="A130" t="s">
        <v>1520</v>
      </c>
      <c r="B130" t="s">
        <v>1521</v>
      </c>
      <c r="C130" t="s">
        <v>1754</v>
      </c>
      <c r="D130" t="s">
        <v>1755</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45">
      <c r="A131" t="s">
        <v>1522</v>
      </c>
      <c r="B131" t="s">
        <v>1523</v>
      </c>
      <c r="C131" t="s">
        <v>1754</v>
      </c>
      <c r="D131" t="s">
        <v>1755</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45">
      <c r="A132" t="s">
        <v>1121</v>
      </c>
      <c r="B132" t="s">
        <v>1524</v>
      </c>
      <c r="C132" t="s">
        <v>1754</v>
      </c>
      <c r="D132" t="s">
        <v>1755</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45">
      <c r="A133" t="s">
        <v>1525</v>
      </c>
      <c r="B133" t="s">
        <v>1526</v>
      </c>
      <c r="C133" t="s">
        <v>1754</v>
      </c>
      <c r="D133" t="s">
        <v>1755</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45">
      <c r="A134" t="s">
        <v>1527</v>
      </c>
      <c r="B134" t="s">
        <v>1528</v>
      </c>
      <c r="C134" t="s">
        <v>1754</v>
      </c>
      <c r="D134" t="s">
        <v>1755</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45">
      <c r="A135" t="s">
        <v>1122</v>
      </c>
      <c r="B135" t="s">
        <v>1529</v>
      </c>
      <c r="C135" t="s">
        <v>1754</v>
      </c>
      <c r="D135" t="s">
        <v>1755</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45">
      <c r="A136" t="s">
        <v>1095</v>
      </c>
      <c r="B136" t="s">
        <v>1530</v>
      </c>
      <c r="C136" t="s">
        <v>1754</v>
      </c>
      <c r="D136" t="s">
        <v>1755</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45">
      <c r="A137" t="s">
        <v>1107</v>
      </c>
      <c r="B137" t="s">
        <v>1531</v>
      </c>
      <c r="C137" t="s">
        <v>1754</v>
      </c>
      <c r="D137" t="s">
        <v>1755</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45">
      <c r="A138" t="s">
        <v>1532</v>
      </c>
      <c r="B138" t="s">
        <v>1533</v>
      </c>
      <c r="C138" t="s">
        <v>1754</v>
      </c>
      <c r="D138" t="s">
        <v>1755</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45">
      <c r="A139" t="s">
        <v>1534</v>
      </c>
      <c r="B139" t="s">
        <v>1535</v>
      </c>
      <c r="C139" t="s">
        <v>1754</v>
      </c>
      <c r="D139" t="s">
        <v>1755</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45">
      <c r="A140" t="s">
        <v>1536</v>
      </c>
      <c r="B140" t="s">
        <v>1537</v>
      </c>
      <c r="C140" t="s">
        <v>1754</v>
      </c>
      <c r="D140" t="s">
        <v>1755</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45">
      <c r="A141" t="s">
        <v>1538</v>
      </c>
      <c r="B141" t="s">
        <v>1539</v>
      </c>
      <c r="C141" t="s">
        <v>1754</v>
      </c>
      <c r="D141" t="s">
        <v>1755</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45">
      <c r="A142" t="s">
        <v>1540</v>
      </c>
      <c r="B142" t="s">
        <v>1541</v>
      </c>
      <c r="C142" t="s">
        <v>1754</v>
      </c>
      <c r="D142" t="s">
        <v>1755</v>
      </c>
    </row>
    <row r="143" spans="1:64" x14ac:dyDescent="0.45">
      <c r="A143" t="s">
        <v>1147</v>
      </c>
      <c r="B143" t="s">
        <v>1542</v>
      </c>
      <c r="C143" t="s">
        <v>1754</v>
      </c>
      <c r="D143" t="s">
        <v>1755</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45">
      <c r="A144" t="s">
        <v>1543</v>
      </c>
      <c r="B144" t="s">
        <v>1544</v>
      </c>
      <c r="C144" t="s">
        <v>1754</v>
      </c>
      <c r="D144" t="s">
        <v>1755</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45">
      <c r="A145" t="s">
        <v>1545</v>
      </c>
      <c r="B145" t="s">
        <v>1546</v>
      </c>
      <c r="C145" t="s">
        <v>1754</v>
      </c>
      <c r="D145" t="s">
        <v>1755</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45">
      <c r="A146" t="s">
        <v>1086</v>
      </c>
      <c r="B146" t="s">
        <v>1547</v>
      </c>
      <c r="C146" t="s">
        <v>1754</v>
      </c>
      <c r="D146" t="s">
        <v>1755</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45">
      <c r="A147" t="s">
        <v>1548</v>
      </c>
      <c r="B147" t="s">
        <v>1549</v>
      </c>
      <c r="C147" t="s">
        <v>1754</v>
      </c>
      <c r="D147" t="s">
        <v>1755</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45">
      <c r="A148" t="s">
        <v>1252</v>
      </c>
      <c r="B148" t="s">
        <v>1550</v>
      </c>
      <c r="C148" t="s">
        <v>1754</v>
      </c>
      <c r="D148" t="s">
        <v>1755</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45">
      <c r="A149" t="s">
        <v>1274</v>
      </c>
      <c r="B149" t="s">
        <v>1551</v>
      </c>
      <c r="C149" t="s">
        <v>1754</v>
      </c>
      <c r="D149" t="s">
        <v>1755</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45">
      <c r="A150" t="s">
        <v>1251</v>
      </c>
      <c r="B150" t="s">
        <v>1552</v>
      </c>
      <c r="C150" t="s">
        <v>1754</v>
      </c>
      <c r="D150" t="s">
        <v>1755</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45">
      <c r="A151" t="s">
        <v>1553</v>
      </c>
      <c r="B151" t="s">
        <v>1554</v>
      </c>
      <c r="C151" t="s">
        <v>1754</v>
      </c>
      <c r="D151" t="s">
        <v>1755</v>
      </c>
    </row>
    <row r="152" spans="1:64" x14ac:dyDescent="0.45">
      <c r="A152" t="s">
        <v>1555</v>
      </c>
      <c r="B152" t="s">
        <v>1556</v>
      </c>
      <c r="C152" t="s">
        <v>1754</v>
      </c>
      <c r="D152" t="s">
        <v>1755</v>
      </c>
    </row>
    <row r="153" spans="1:64" x14ac:dyDescent="0.45">
      <c r="A153" t="s">
        <v>1108</v>
      </c>
      <c r="B153" t="s">
        <v>1557</v>
      </c>
      <c r="C153" t="s">
        <v>1754</v>
      </c>
      <c r="D153" t="s">
        <v>1755</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45">
      <c r="A154" t="s">
        <v>1558</v>
      </c>
      <c r="B154" t="s">
        <v>1559</v>
      </c>
      <c r="C154" t="s">
        <v>1754</v>
      </c>
      <c r="D154" t="s">
        <v>1755</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45">
      <c r="A155" t="s">
        <v>1560</v>
      </c>
      <c r="B155" t="s">
        <v>1561</v>
      </c>
      <c r="C155" t="s">
        <v>1754</v>
      </c>
      <c r="D155" t="s">
        <v>1755</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45">
      <c r="A156" t="s">
        <v>1070</v>
      </c>
      <c r="B156" t="s">
        <v>1562</v>
      </c>
      <c r="C156" t="s">
        <v>1754</v>
      </c>
      <c r="D156" t="s">
        <v>1755</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45">
      <c r="A157" t="s">
        <v>1144</v>
      </c>
      <c r="B157" t="s">
        <v>1563</v>
      </c>
      <c r="C157" t="s">
        <v>1754</v>
      </c>
      <c r="D157" t="s">
        <v>1755</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45">
      <c r="A158" t="s">
        <v>1564</v>
      </c>
      <c r="B158" t="s">
        <v>1565</v>
      </c>
      <c r="C158" t="s">
        <v>1754</v>
      </c>
      <c r="D158" t="s">
        <v>1755</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45">
      <c r="A159" t="s">
        <v>1195</v>
      </c>
      <c r="B159" t="s">
        <v>1566</v>
      </c>
      <c r="C159" t="s">
        <v>1754</v>
      </c>
      <c r="D159" t="s">
        <v>1755</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45">
      <c r="A160" t="s">
        <v>1567</v>
      </c>
      <c r="B160" t="s">
        <v>1568</v>
      </c>
      <c r="C160" t="s">
        <v>1754</v>
      </c>
      <c r="D160" t="s">
        <v>1755</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45">
      <c r="A161" t="s">
        <v>1569</v>
      </c>
      <c r="B161" t="s">
        <v>1570</v>
      </c>
      <c r="C161" t="s">
        <v>1754</v>
      </c>
      <c r="D161" t="s">
        <v>1755</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45">
      <c r="A162" t="s">
        <v>1264</v>
      </c>
      <c r="B162" t="s">
        <v>1571</v>
      </c>
      <c r="C162" t="s">
        <v>1754</v>
      </c>
      <c r="D162" t="s">
        <v>1755</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45">
      <c r="A163" t="s">
        <v>1096</v>
      </c>
      <c r="B163" t="s">
        <v>1572</v>
      </c>
      <c r="C163" t="s">
        <v>1754</v>
      </c>
      <c r="D163" t="s">
        <v>1755</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45">
      <c r="A164" t="s">
        <v>1262</v>
      </c>
      <c r="B164" t="s">
        <v>1573</v>
      </c>
      <c r="C164" t="s">
        <v>1754</v>
      </c>
      <c r="D164" t="s">
        <v>1755</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45">
      <c r="A165" t="s">
        <v>1164</v>
      </c>
      <c r="B165" t="s">
        <v>1574</v>
      </c>
      <c r="C165" t="s">
        <v>1754</v>
      </c>
      <c r="D165" t="s">
        <v>1755</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45">
      <c r="A166" t="s">
        <v>1575</v>
      </c>
      <c r="B166" t="s">
        <v>1576</v>
      </c>
      <c r="C166" t="s">
        <v>1754</v>
      </c>
      <c r="D166" t="s">
        <v>1755</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45">
      <c r="A167" t="s">
        <v>1263</v>
      </c>
      <c r="B167" t="s">
        <v>1577</v>
      </c>
      <c r="C167" t="s">
        <v>1754</v>
      </c>
      <c r="D167" t="s">
        <v>1755</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45">
      <c r="A168" t="s">
        <v>1156</v>
      </c>
      <c r="B168" t="s">
        <v>1578</v>
      </c>
      <c r="C168" t="s">
        <v>1754</v>
      </c>
      <c r="D168" t="s">
        <v>1755</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45">
      <c r="A169" t="s">
        <v>1579</v>
      </c>
      <c r="B169" t="s">
        <v>1580</v>
      </c>
      <c r="C169" t="s">
        <v>1754</v>
      </c>
      <c r="D169" t="s">
        <v>1755</v>
      </c>
    </row>
    <row r="170" spans="1:64" x14ac:dyDescent="0.45">
      <c r="A170" t="s">
        <v>596</v>
      </c>
      <c r="B170" t="s">
        <v>1581</v>
      </c>
      <c r="C170" t="s">
        <v>1754</v>
      </c>
      <c r="D170" t="s">
        <v>1755</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45">
      <c r="A171" t="s">
        <v>1097</v>
      </c>
      <c r="B171" t="s">
        <v>1582</v>
      </c>
      <c r="C171" t="s">
        <v>1754</v>
      </c>
      <c r="D171" t="s">
        <v>1755</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45">
      <c r="A172" t="s">
        <v>1071</v>
      </c>
      <c r="B172" t="s">
        <v>1583</v>
      </c>
      <c r="C172" t="s">
        <v>1754</v>
      </c>
      <c r="D172" t="s">
        <v>1755</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45">
      <c r="A173" t="s">
        <v>879</v>
      </c>
      <c r="B173" t="s">
        <v>1584</v>
      </c>
      <c r="C173" t="s">
        <v>1754</v>
      </c>
      <c r="D173" t="s">
        <v>1755</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45">
      <c r="A174" t="s">
        <v>1163</v>
      </c>
      <c r="B174" t="s">
        <v>1585</v>
      </c>
      <c r="C174" t="s">
        <v>1754</v>
      </c>
      <c r="D174" t="s">
        <v>1755</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45">
      <c r="A175" t="s">
        <v>1586</v>
      </c>
      <c r="B175" t="s">
        <v>1587</v>
      </c>
      <c r="C175" t="s">
        <v>1754</v>
      </c>
      <c r="D175" t="s">
        <v>1755</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45">
      <c r="A176" t="s">
        <v>598</v>
      </c>
      <c r="B176" t="s">
        <v>1588</v>
      </c>
      <c r="C176" t="s">
        <v>1754</v>
      </c>
      <c r="D176" t="s">
        <v>1755</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45">
      <c r="A177" t="s">
        <v>1218</v>
      </c>
      <c r="B177" t="s">
        <v>1589</v>
      </c>
      <c r="C177" t="s">
        <v>1754</v>
      </c>
      <c r="D177" t="s">
        <v>1755</v>
      </c>
    </row>
    <row r="178" spans="1:64" x14ac:dyDescent="0.45">
      <c r="A178" t="s">
        <v>1098</v>
      </c>
      <c r="B178" t="s">
        <v>1590</v>
      </c>
      <c r="C178" t="s">
        <v>1754</v>
      </c>
      <c r="D178" t="s">
        <v>1755</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45">
      <c r="A179" t="s">
        <v>1099</v>
      </c>
      <c r="B179" t="s">
        <v>1591</v>
      </c>
      <c r="C179" t="s">
        <v>1754</v>
      </c>
      <c r="D179" t="s">
        <v>1755</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45">
      <c r="A180" t="s">
        <v>1196</v>
      </c>
      <c r="B180" t="s">
        <v>1592</v>
      </c>
      <c r="C180" t="s">
        <v>1754</v>
      </c>
      <c r="D180" t="s">
        <v>1755</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45">
      <c r="A181" t="s">
        <v>1275</v>
      </c>
      <c r="B181" t="s">
        <v>1593</v>
      </c>
      <c r="C181" t="s">
        <v>1754</v>
      </c>
      <c r="D181" t="s">
        <v>1755</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45">
      <c r="A182" t="s">
        <v>1253</v>
      </c>
      <c r="B182" t="s">
        <v>1594</v>
      </c>
      <c r="C182" t="s">
        <v>1754</v>
      </c>
      <c r="D182" t="s">
        <v>1755</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45">
      <c r="A183" t="s">
        <v>1145</v>
      </c>
      <c r="B183" t="s">
        <v>1595</v>
      </c>
      <c r="C183" t="s">
        <v>1754</v>
      </c>
      <c r="D183" t="s">
        <v>1755</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45">
      <c r="A184" t="s">
        <v>1596</v>
      </c>
      <c r="B184" t="s">
        <v>1597</v>
      </c>
      <c r="C184" t="s">
        <v>1754</v>
      </c>
      <c r="D184" t="s">
        <v>1755</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45">
      <c r="A185" t="s">
        <v>1214</v>
      </c>
      <c r="B185" t="s">
        <v>1598</v>
      </c>
      <c r="C185" t="s">
        <v>1754</v>
      </c>
      <c r="D185" t="s">
        <v>1755</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45">
      <c r="A186" t="s">
        <v>1599</v>
      </c>
      <c r="B186" t="s">
        <v>1600</v>
      </c>
      <c r="C186" t="s">
        <v>1754</v>
      </c>
      <c r="D186" t="s">
        <v>1755</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45">
      <c r="A187" t="s">
        <v>1123</v>
      </c>
      <c r="B187" t="s">
        <v>1601</v>
      </c>
      <c r="C187" t="s">
        <v>1754</v>
      </c>
      <c r="D187" t="s">
        <v>1755</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45">
      <c r="A188" t="s">
        <v>1602</v>
      </c>
      <c r="B188" t="s">
        <v>1603</v>
      </c>
      <c r="C188" t="s">
        <v>1754</v>
      </c>
      <c r="D188" t="s">
        <v>1755</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45">
      <c r="A189" t="s">
        <v>1146</v>
      </c>
      <c r="B189" t="s">
        <v>1604</v>
      </c>
      <c r="C189" t="s">
        <v>1754</v>
      </c>
      <c r="D189" t="s">
        <v>1755</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45">
      <c r="A190" t="s">
        <v>1197</v>
      </c>
      <c r="B190" t="s">
        <v>1605</v>
      </c>
      <c r="C190" t="s">
        <v>1754</v>
      </c>
      <c r="D190" t="s">
        <v>1755</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45">
      <c r="A191" t="s">
        <v>1208</v>
      </c>
      <c r="B191" t="s">
        <v>1606</v>
      </c>
      <c r="C191" t="s">
        <v>1754</v>
      </c>
      <c r="D191" t="s">
        <v>1755</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45">
      <c r="A192" t="s">
        <v>1165</v>
      </c>
      <c r="B192" t="s">
        <v>1607</v>
      </c>
      <c r="C192" t="s">
        <v>1754</v>
      </c>
      <c r="D192" t="s">
        <v>1755</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45">
      <c r="A193" t="s">
        <v>1608</v>
      </c>
      <c r="B193" t="s">
        <v>1609</v>
      </c>
      <c r="C193" t="s">
        <v>1754</v>
      </c>
      <c r="D193" t="s">
        <v>1755</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45">
      <c r="A194" t="s">
        <v>1219</v>
      </c>
      <c r="B194" t="s">
        <v>1610</v>
      </c>
      <c r="C194" t="s">
        <v>1754</v>
      </c>
      <c r="D194" t="s">
        <v>1755</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45">
      <c r="A195" t="s">
        <v>1238</v>
      </c>
      <c r="B195" t="s">
        <v>1611</v>
      </c>
      <c r="C195" t="s">
        <v>1754</v>
      </c>
      <c r="D195" t="s">
        <v>1755</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45">
      <c r="A196" t="s">
        <v>1612</v>
      </c>
      <c r="B196" t="s">
        <v>1613</v>
      </c>
      <c r="C196" t="s">
        <v>1754</v>
      </c>
      <c r="D196" t="s">
        <v>1755</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45">
      <c r="A197" t="s">
        <v>1184</v>
      </c>
      <c r="B197" t="s">
        <v>1614</v>
      </c>
      <c r="C197" t="s">
        <v>1754</v>
      </c>
      <c r="D197" t="s">
        <v>1755</v>
      </c>
    </row>
    <row r="198" spans="1:64" x14ac:dyDescent="0.45">
      <c r="A198" t="s">
        <v>1615</v>
      </c>
      <c r="B198" t="s">
        <v>1616</v>
      </c>
      <c r="C198" t="s">
        <v>1754</v>
      </c>
      <c r="D198" t="s">
        <v>1755</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45">
      <c r="A199" t="s">
        <v>1265</v>
      </c>
      <c r="B199" t="s">
        <v>1617</v>
      </c>
      <c r="C199" t="s">
        <v>1754</v>
      </c>
      <c r="D199" t="s">
        <v>1755</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45">
      <c r="A200" t="s">
        <v>1207</v>
      </c>
      <c r="B200" t="s">
        <v>1618</v>
      </c>
      <c r="C200" t="s">
        <v>1754</v>
      </c>
      <c r="D200" t="s">
        <v>1755</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45">
      <c r="A201" t="s">
        <v>1619</v>
      </c>
      <c r="B201" t="s">
        <v>1620</v>
      </c>
      <c r="C201" t="s">
        <v>1754</v>
      </c>
      <c r="D201" t="s">
        <v>1755</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45">
      <c r="A202" t="s">
        <v>1621</v>
      </c>
      <c r="B202" t="s">
        <v>1622</v>
      </c>
      <c r="C202" t="s">
        <v>1754</v>
      </c>
      <c r="D202" t="s">
        <v>1755</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45">
      <c r="A203" t="s">
        <v>1623</v>
      </c>
      <c r="B203" t="s">
        <v>1624</v>
      </c>
      <c r="C203" t="s">
        <v>1754</v>
      </c>
      <c r="D203" t="s">
        <v>1755</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45">
      <c r="A204" t="s">
        <v>1227</v>
      </c>
      <c r="B204" t="s">
        <v>1625</v>
      </c>
      <c r="C204" t="s">
        <v>1754</v>
      </c>
      <c r="D204" t="s">
        <v>1755</v>
      </c>
    </row>
    <row r="205" spans="1:64" x14ac:dyDescent="0.45">
      <c r="A205" t="s">
        <v>1124</v>
      </c>
      <c r="B205" t="s">
        <v>1626</v>
      </c>
      <c r="C205" t="s">
        <v>1754</v>
      </c>
      <c r="D205" t="s">
        <v>1755</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45">
      <c r="A206" t="s">
        <v>1240</v>
      </c>
      <c r="B206" t="s">
        <v>1627</v>
      </c>
      <c r="C206" t="s">
        <v>1754</v>
      </c>
      <c r="D206" t="s">
        <v>1755</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45">
      <c r="A207" t="s">
        <v>1241</v>
      </c>
      <c r="B207" t="s">
        <v>1628</v>
      </c>
      <c r="C207" t="s">
        <v>1754</v>
      </c>
      <c r="D207" t="s">
        <v>1755</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45">
      <c r="A208" t="s">
        <v>600</v>
      </c>
      <c r="B208" t="s">
        <v>1629</v>
      </c>
      <c r="C208" t="s">
        <v>1754</v>
      </c>
      <c r="D208" t="s">
        <v>1755</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45">
      <c r="A209" t="s">
        <v>1630</v>
      </c>
      <c r="B209" t="s">
        <v>1631</v>
      </c>
      <c r="C209" t="s">
        <v>1754</v>
      </c>
      <c r="D209" t="s">
        <v>1755</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45">
      <c r="A210" t="s">
        <v>1125</v>
      </c>
      <c r="B210" t="s">
        <v>1632</v>
      </c>
      <c r="C210" t="s">
        <v>1754</v>
      </c>
      <c r="D210" t="s">
        <v>1755</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45">
      <c r="A211" t="s">
        <v>1109</v>
      </c>
      <c r="B211" t="s">
        <v>1633</v>
      </c>
      <c r="C211" t="s">
        <v>1754</v>
      </c>
      <c r="D211" t="s">
        <v>1755</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45">
      <c r="A212" t="s">
        <v>1100</v>
      </c>
      <c r="B212" t="s">
        <v>1634</v>
      </c>
      <c r="C212" t="s">
        <v>1754</v>
      </c>
      <c r="D212" t="s">
        <v>1755</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45">
      <c r="A213" t="s">
        <v>1166</v>
      </c>
      <c r="B213" t="s">
        <v>1635</v>
      </c>
      <c r="C213" t="s">
        <v>1754</v>
      </c>
      <c r="D213" t="s">
        <v>1755</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45">
      <c r="A214" t="s">
        <v>1220</v>
      </c>
      <c r="B214" t="s">
        <v>1636</v>
      </c>
      <c r="C214" t="s">
        <v>1754</v>
      </c>
      <c r="D214" t="s">
        <v>1755</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45">
      <c r="A215" t="s">
        <v>1101</v>
      </c>
      <c r="B215" t="s">
        <v>1637</v>
      </c>
      <c r="C215" t="s">
        <v>1754</v>
      </c>
      <c r="D215" t="s">
        <v>1755</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45">
      <c r="A216" t="s">
        <v>1192</v>
      </c>
      <c r="B216" t="s">
        <v>1638</v>
      </c>
      <c r="C216" t="s">
        <v>1754</v>
      </c>
      <c r="D216" t="s">
        <v>1755</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45">
      <c r="A217" t="s">
        <v>1639</v>
      </c>
      <c r="B217" t="s">
        <v>1640</v>
      </c>
      <c r="C217" t="s">
        <v>1754</v>
      </c>
      <c r="D217" t="s">
        <v>1755</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45">
      <c r="A218" t="s">
        <v>1075</v>
      </c>
      <c r="B218" t="s">
        <v>1641</v>
      </c>
      <c r="C218" t="s">
        <v>1754</v>
      </c>
      <c r="D218" t="s">
        <v>1755</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45">
      <c r="A219" t="s">
        <v>1266</v>
      </c>
      <c r="B219" t="s">
        <v>1642</v>
      </c>
      <c r="C219" t="s">
        <v>1754</v>
      </c>
      <c r="D219" t="s">
        <v>1755</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45">
      <c r="A220" t="s">
        <v>1643</v>
      </c>
      <c r="B220" t="s">
        <v>1644</v>
      </c>
      <c r="C220" t="s">
        <v>1754</v>
      </c>
      <c r="D220" t="s">
        <v>1755</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45">
      <c r="A221" t="s">
        <v>1076</v>
      </c>
      <c r="B221" t="s">
        <v>1645</v>
      </c>
      <c r="C221" t="s">
        <v>1754</v>
      </c>
      <c r="D221" t="s">
        <v>1755</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45">
      <c r="A222" t="s">
        <v>1646</v>
      </c>
      <c r="B222" t="s">
        <v>1647</v>
      </c>
      <c r="C222" t="s">
        <v>1754</v>
      </c>
      <c r="D222" t="s">
        <v>1755</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45">
      <c r="A223" t="s">
        <v>1648</v>
      </c>
      <c r="B223" t="s">
        <v>1649</v>
      </c>
      <c r="C223" t="s">
        <v>1754</v>
      </c>
      <c r="D223" t="s">
        <v>1755</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45">
      <c r="A224" t="s">
        <v>1084</v>
      </c>
      <c r="B224" t="s">
        <v>1650</v>
      </c>
      <c r="C224" t="s">
        <v>1754</v>
      </c>
      <c r="D224" t="s">
        <v>1755</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45">
      <c r="A225" t="s">
        <v>1209</v>
      </c>
      <c r="B225" t="s">
        <v>1651</v>
      </c>
      <c r="C225" t="s">
        <v>1754</v>
      </c>
      <c r="D225" t="s">
        <v>1755</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45">
      <c r="A226" t="s">
        <v>1652</v>
      </c>
      <c r="B226" t="s">
        <v>1653</v>
      </c>
      <c r="C226" t="s">
        <v>1754</v>
      </c>
      <c r="D226" t="s">
        <v>1755</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45">
      <c r="A227" t="s">
        <v>1267</v>
      </c>
      <c r="B227" t="s">
        <v>1654</v>
      </c>
      <c r="C227" t="s">
        <v>1754</v>
      </c>
      <c r="D227" t="s">
        <v>1755</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45">
      <c r="A228" t="s">
        <v>1254</v>
      </c>
      <c r="B228" t="s">
        <v>1655</v>
      </c>
      <c r="C228" t="s">
        <v>1754</v>
      </c>
      <c r="D228" t="s">
        <v>1755</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45">
      <c r="A229" t="s">
        <v>603</v>
      </c>
      <c r="B229" t="s">
        <v>1656</v>
      </c>
      <c r="C229" t="s">
        <v>1754</v>
      </c>
      <c r="D229" t="s">
        <v>1755</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45">
      <c r="A230" t="s">
        <v>1657</v>
      </c>
      <c r="B230" t="s">
        <v>1658</v>
      </c>
      <c r="C230" t="s">
        <v>1754</v>
      </c>
      <c r="D230" t="s">
        <v>1755</v>
      </c>
    </row>
    <row r="231" spans="1:64" x14ac:dyDescent="0.45">
      <c r="A231" t="s">
        <v>1074</v>
      </c>
      <c r="B231" t="s">
        <v>1659</v>
      </c>
      <c r="C231" t="s">
        <v>1754</v>
      </c>
      <c r="D231" t="s">
        <v>1755</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45">
      <c r="A232" t="s">
        <v>1127</v>
      </c>
      <c r="B232" t="s">
        <v>1660</v>
      </c>
      <c r="C232" t="s">
        <v>1754</v>
      </c>
      <c r="D232" t="s">
        <v>1755</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45">
      <c r="A233" t="s">
        <v>1661</v>
      </c>
      <c r="B233" t="s">
        <v>1662</v>
      </c>
      <c r="C233" t="s">
        <v>1754</v>
      </c>
      <c r="D233" t="s">
        <v>1755</v>
      </c>
    </row>
    <row r="234" spans="1:64" x14ac:dyDescent="0.45">
      <c r="A234" t="s">
        <v>1080</v>
      </c>
      <c r="B234" t="s">
        <v>1663</v>
      </c>
      <c r="C234" t="s">
        <v>1754</v>
      </c>
      <c r="D234" t="s">
        <v>1755</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45">
      <c r="A235" t="s">
        <v>1664</v>
      </c>
      <c r="B235" t="s">
        <v>1665</v>
      </c>
      <c r="C235" t="s">
        <v>1754</v>
      </c>
      <c r="D235" t="s">
        <v>1755</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45">
      <c r="A236" t="s">
        <v>1666</v>
      </c>
      <c r="B236" t="s">
        <v>1667</v>
      </c>
      <c r="C236" t="s">
        <v>1754</v>
      </c>
      <c r="D236" t="s">
        <v>1755</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45">
      <c r="A237" t="s">
        <v>1102</v>
      </c>
      <c r="B237" t="s">
        <v>1668</v>
      </c>
      <c r="C237" t="s">
        <v>1754</v>
      </c>
      <c r="D237" t="s">
        <v>1755</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45">
      <c r="A238" t="s">
        <v>1167</v>
      </c>
      <c r="B238" t="s">
        <v>1669</v>
      </c>
      <c r="C238" t="s">
        <v>1754</v>
      </c>
      <c r="D238" t="s">
        <v>1755</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45">
      <c r="A239" t="s">
        <v>1135</v>
      </c>
      <c r="B239" t="s">
        <v>1670</v>
      </c>
      <c r="C239" t="s">
        <v>1754</v>
      </c>
      <c r="D239" t="s">
        <v>1755</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45">
      <c r="A240" t="s">
        <v>1136</v>
      </c>
      <c r="B240" t="s">
        <v>1671</v>
      </c>
      <c r="C240" t="s">
        <v>1754</v>
      </c>
      <c r="D240" t="s">
        <v>1755</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45">
      <c r="A241" t="s">
        <v>1672</v>
      </c>
      <c r="B241" t="s">
        <v>1673</v>
      </c>
      <c r="C241" t="s">
        <v>1754</v>
      </c>
      <c r="D241" t="s">
        <v>1755</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45">
      <c r="A242" t="s">
        <v>1168</v>
      </c>
      <c r="B242" t="s">
        <v>1674</v>
      </c>
      <c r="C242" t="s">
        <v>1754</v>
      </c>
      <c r="D242" t="s">
        <v>1755</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45">
      <c r="A243" t="s">
        <v>1675</v>
      </c>
      <c r="B243" t="s">
        <v>1676</v>
      </c>
      <c r="C243" t="s">
        <v>1754</v>
      </c>
      <c r="D243" t="s">
        <v>1755</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45">
      <c r="A244" t="s">
        <v>1229</v>
      </c>
      <c r="B244" t="s">
        <v>1677</v>
      </c>
      <c r="C244" t="s">
        <v>1754</v>
      </c>
      <c r="D244" t="s">
        <v>1755</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45">
      <c r="A245" t="s">
        <v>1678</v>
      </c>
      <c r="B245" t="s">
        <v>1679</v>
      </c>
      <c r="C245" t="s">
        <v>1754</v>
      </c>
      <c r="D245" t="s">
        <v>1755</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45">
      <c r="A246" t="s">
        <v>1680</v>
      </c>
      <c r="B246" t="s">
        <v>1681</v>
      </c>
      <c r="C246" t="s">
        <v>1754</v>
      </c>
      <c r="D246" t="s">
        <v>1755</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45">
      <c r="A247" t="s">
        <v>1187</v>
      </c>
      <c r="B247" t="s">
        <v>1682</v>
      </c>
      <c r="C247" t="s">
        <v>1754</v>
      </c>
      <c r="D247" t="s">
        <v>1755</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45">
      <c r="A248" t="s">
        <v>1110</v>
      </c>
      <c r="B248" t="s">
        <v>1683</v>
      </c>
      <c r="C248" t="s">
        <v>1754</v>
      </c>
      <c r="D248" t="s">
        <v>1755</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45">
      <c r="A249" t="s">
        <v>1128</v>
      </c>
      <c r="B249" t="s">
        <v>1684</v>
      </c>
      <c r="C249" t="s">
        <v>1754</v>
      </c>
      <c r="D249" t="s">
        <v>1755</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45">
      <c r="A250" t="s">
        <v>1685</v>
      </c>
      <c r="B250" t="s">
        <v>1686</v>
      </c>
      <c r="C250" t="s">
        <v>1754</v>
      </c>
      <c r="D250" t="s">
        <v>1755</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45">
      <c r="A251" t="s">
        <v>1687</v>
      </c>
      <c r="B251" t="s">
        <v>1688</v>
      </c>
      <c r="C251" t="s">
        <v>1754</v>
      </c>
      <c r="D251" t="s">
        <v>1755</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45">
      <c r="A252" t="s">
        <v>604</v>
      </c>
      <c r="B252" t="s">
        <v>1689</v>
      </c>
      <c r="C252" t="s">
        <v>1754</v>
      </c>
      <c r="D252" t="s">
        <v>1755</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45">
      <c r="A253" t="s">
        <v>1243</v>
      </c>
      <c r="B253" t="s">
        <v>1690</v>
      </c>
      <c r="C253" t="s">
        <v>1754</v>
      </c>
      <c r="D253" t="s">
        <v>1755</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45">
      <c r="A254" t="s">
        <v>1691</v>
      </c>
      <c r="B254" t="s">
        <v>1692</v>
      </c>
      <c r="C254" t="s">
        <v>1754</v>
      </c>
      <c r="D254" t="s">
        <v>1755</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45">
      <c r="A255" t="s">
        <v>1210</v>
      </c>
      <c r="B255" t="s">
        <v>1693</v>
      </c>
      <c r="C255" t="s">
        <v>1754</v>
      </c>
      <c r="D255" t="s">
        <v>1755</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45">
      <c r="A256" t="s">
        <v>1694</v>
      </c>
      <c r="B256" t="s">
        <v>1695</v>
      </c>
      <c r="C256" t="s">
        <v>1754</v>
      </c>
      <c r="D256" t="s">
        <v>1755</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45">
      <c r="A257" t="s">
        <v>1137</v>
      </c>
      <c r="B257" t="s">
        <v>1696</v>
      </c>
      <c r="C257" t="s">
        <v>1754</v>
      </c>
      <c r="D257" t="s">
        <v>1755</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45">
      <c r="A258" t="s">
        <v>1697</v>
      </c>
      <c r="B258" t="s">
        <v>1698</v>
      </c>
      <c r="C258" t="s">
        <v>1754</v>
      </c>
      <c r="D258" t="s">
        <v>1755</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45">
      <c r="A259" t="s">
        <v>1699</v>
      </c>
      <c r="B259" t="s">
        <v>1700</v>
      </c>
      <c r="C259" t="s">
        <v>1754</v>
      </c>
      <c r="D259" t="s">
        <v>1755</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45">
      <c r="A260" t="s">
        <v>1701</v>
      </c>
      <c r="B260" t="s">
        <v>1702</v>
      </c>
      <c r="C260" t="s">
        <v>1754</v>
      </c>
      <c r="D260" t="s">
        <v>1755</v>
      </c>
    </row>
    <row r="261" spans="1:65" x14ac:dyDescent="0.45">
      <c r="A261" t="s">
        <v>1703</v>
      </c>
      <c r="B261" t="s">
        <v>1704</v>
      </c>
      <c r="C261" t="s">
        <v>1754</v>
      </c>
      <c r="D261" t="s">
        <v>1755</v>
      </c>
    </row>
    <row r="262" spans="1:65" x14ac:dyDescent="0.45">
      <c r="A262" t="s">
        <v>1705</v>
      </c>
      <c r="B262" t="s">
        <v>1706</v>
      </c>
      <c r="C262" t="s">
        <v>1754</v>
      </c>
      <c r="D262" t="s">
        <v>1755</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45">
      <c r="A263" t="s">
        <v>1221</v>
      </c>
      <c r="B263" t="s">
        <v>1707</v>
      </c>
      <c r="C263" t="s">
        <v>1754</v>
      </c>
      <c r="D263" t="s">
        <v>1755</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45">
      <c r="A264" t="s">
        <v>1017</v>
      </c>
      <c r="B264" t="s">
        <v>1708</v>
      </c>
      <c r="C264" t="s">
        <v>1754</v>
      </c>
      <c r="D264" t="s">
        <v>1755</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45">
      <c r="A265" t="s">
        <v>1228</v>
      </c>
      <c r="B265" t="s">
        <v>1709</v>
      </c>
      <c r="C265" t="s">
        <v>1754</v>
      </c>
      <c r="D265" t="s">
        <v>1755</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45">
      <c r="A266" t="s">
        <v>1710</v>
      </c>
      <c r="B266" t="s">
        <v>1711</v>
      </c>
      <c r="C266" t="s">
        <v>1754</v>
      </c>
      <c r="D266" t="s">
        <v>1755</v>
      </c>
    </row>
    <row r="267" spans="1:65" x14ac:dyDescent="0.45">
      <c r="A267" t="s">
        <v>1712</v>
      </c>
      <c r="B267" t="s">
        <v>1713</v>
      </c>
      <c r="C267" t="s">
        <v>1754</v>
      </c>
      <c r="D267" t="s">
        <v>1755</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45">
      <c r="A268" t="s">
        <v>602</v>
      </c>
      <c r="B268" t="s">
        <v>1714</v>
      </c>
      <c r="C268" t="s">
        <v>1754</v>
      </c>
      <c r="D268" t="s">
        <v>1755</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45">
      <c r="A269" t="s">
        <v>606</v>
      </c>
      <c r="B269" t="s">
        <v>1715</v>
      </c>
      <c r="C269" t="s">
        <v>1754</v>
      </c>
      <c r="D269" t="s">
        <v>1755</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45">
      <c r="A270" t="s">
        <v>607</v>
      </c>
      <c r="B270" t="s">
        <v>1716</v>
      </c>
      <c r="C270" t="s">
        <v>1754</v>
      </c>
      <c r="D270" t="s">
        <v>1755</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v>14.5</v>
      </c>
    </row>
    <row r="271" spans="1:65" s="1" customFormat="1" x14ac:dyDescent="0.45"/>
    <row r="272" spans="1:65" s="1" customFormat="1" x14ac:dyDescent="0.45">
      <c r="BB272" s="1" t="s">
        <v>1717</v>
      </c>
      <c r="BC272" s="155">
        <f t="shared" ref="BC272:BL272" si="0">BC77/BB77</f>
        <v>0.93617021276595747</v>
      </c>
      <c r="BD272" s="155">
        <f t="shared" si="0"/>
        <v>0.93939393939393945</v>
      </c>
      <c r="BE272" s="155">
        <f t="shared" si="0"/>
        <v>0.93548387096774188</v>
      </c>
      <c r="BF272" s="155">
        <f t="shared" si="0"/>
        <v>0.93965517241379315</v>
      </c>
      <c r="BG272" s="155">
        <f t="shared" si="0"/>
        <v>0.93577981651376141</v>
      </c>
      <c r="BH272" s="155">
        <f t="shared" si="0"/>
        <v>0.94117647058823528</v>
      </c>
      <c r="BI272" s="155">
        <f t="shared" si="0"/>
        <v>0.95833333333333326</v>
      </c>
      <c r="BJ272" s="155">
        <f t="shared" si="0"/>
        <v>0.96739130434782616</v>
      </c>
      <c r="BK272" s="155">
        <f t="shared" si="0"/>
        <v>0.97752808988764028</v>
      </c>
      <c r="BL272" s="155">
        <f t="shared" si="0"/>
        <v>0.9885057471264368</v>
      </c>
      <c r="BM272" s="2">
        <f>BL272</f>
        <v>0.9885057471264368</v>
      </c>
    </row>
    <row r="273" spans="8:65" s="1" customFormat="1" x14ac:dyDescent="0.45">
      <c r="BM273" s="51" t="s">
        <v>1756</v>
      </c>
    </row>
    <row r="274" spans="8:65" s="1" customFormat="1" x14ac:dyDescent="0.45">
      <c r="I274" s="1" t="s">
        <v>1719</v>
      </c>
    </row>
    <row r="275" spans="8:65" s="1" customFormat="1" x14ac:dyDescent="0.45">
      <c r="H275">
        <v>2020</v>
      </c>
      <c r="I275" s="156">
        <f>BL77*$BM$272</f>
        <v>8.5011494252873554</v>
      </c>
    </row>
    <row r="276" spans="8:65" s="1" customFormat="1" x14ac:dyDescent="0.45">
      <c r="H276">
        <v>2021</v>
      </c>
      <c r="I276" s="156">
        <f>I275*$BM$272</f>
        <v>8.403435064077156</v>
      </c>
    </row>
    <row r="277" spans="8:65" s="1" customFormat="1" x14ac:dyDescent="0.45">
      <c r="H277">
        <v>2022</v>
      </c>
      <c r="I277" s="156">
        <f t="shared" ref="I277:I295" si="1">I276*$BM$272</f>
        <v>8.3068438564440861</v>
      </c>
    </row>
    <row r="278" spans="8:65" s="1" customFormat="1" x14ac:dyDescent="0.45">
      <c r="H278">
        <v>2023</v>
      </c>
      <c r="I278" s="156">
        <f t="shared" si="1"/>
        <v>8.2113628925769131</v>
      </c>
    </row>
    <row r="279" spans="8:65" s="1" customFormat="1" x14ac:dyDescent="0.45">
      <c r="H279">
        <v>2024</v>
      </c>
      <c r="I279" s="156">
        <f t="shared" si="1"/>
        <v>8.1169794110530411</v>
      </c>
    </row>
    <row r="280" spans="8:65" s="1" customFormat="1" x14ac:dyDescent="0.45">
      <c r="H280">
        <v>2025</v>
      </c>
      <c r="I280" s="156">
        <f t="shared" si="1"/>
        <v>8.0236807971328918</v>
      </c>
    </row>
    <row r="281" spans="8:65" s="1" customFormat="1" x14ac:dyDescent="0.45">
      <c r="H281">
        <v>2026</v>
      </c>
      <c r="I281" s="156">
        <f t="shared" si="1"/>
        <v>7.9314545810738935</v>
      </c>
    </row>
    <row r="282" spans="8:65" s="1" customFormat="1" x14ac:dyDescent="0.45">
      <c r="H282">
        <v>2027</v>
      </c>
      <c r="I282" s="156">
        <f t="shared" si="1"/>
        <v>7.8402884364638492</v>
      </c>
    </row>
    <row r="283" spans="8:65" s="1" customFormat="1" x14ac:dyDescent="0.45">
      <c r="H283">
        <v>2028</v>
      </c>
      <c r="I283" s="156">
        <f t="shared" si="1"/>
        <v>7.7501701785734607</v>
      </c>
    </row>
    <row r="284" spans="8:65" s="1" customFormat="1" x14ac:dyDescent="0.45">
      <c r="H284">
        <v>2029</v>
      </c>
      <c r="I284" s="156">
        <f t="shared" si="1"/>
        <v>7.6610877627277887</v>
      </c>
    </row>
    <row r="285" spans="8:65" s="1" customFormat="1" x14ac:dyDescent="0.45">
      <c r="H285">
        <v>2030</v>
      </c>
      <c r="I285" s="156">
        <f t="shared" si="1"/>
        <v>7.5730292826964352</v>
      </c>
    </row>
    <row r="286" spans="8:65" s="1" customFormat="1" x14ac:dyDescent="0.45">
      <c r="H286">
        <v>2031</v>
      </c>
      <c r="I286" s="156">
        <f t="shared" si="1"/>
        <v>7.4859829691022233</v>
      </c>
    </row>
    <row r="287" spans="8:65" s="1" customFormat="1" x14ac:dyDescent="0.45">
      <c r="H287">
        <v>2032</v>
      </c>
      <c r="I287" s="156">
        <f t="shared" si="1"/>
        <v>7.3999371878481748</v>
      </c>
    </row>
    <row r="288" spans="8:65" s="1" customFormat="1" x14ac:dyDescent="0.45">
      <c r="H288">
        <v>2033</v>
      </c>
      <c r="I288" s="156">
        <f t="shared" si="1"/>
        <v>7.3148804385625636</v>
      </c>
    </row>
    <row r="289" spans="3:9" s="1" customFormat="1" x14ac:dyDescent="0.45">
      <c r="C289" s="49"/>
      <c r="D289" s="49"/>
      <c r="E289" s="49"/>
      <c r="H289">
        <v>2034</v>
      </c>
      <c r="I289" s="156">
        <f t="shared" si="1"/>
        <v>7.2308013530618442</v>
      </c>
    </row>
    <row r="290" spans="3:9" s="1" customFormat="1" x14ac:dyDescent="0.45">
      <c r="C290" s="49"/>
      <c r="D290" s="49"/>
      <c r="E290" s="49"/>
      <c r="H290">
        <v>2035</v>
      </c>
      <c r="I290" s="156">
        <f t="shared" si="1"/>
        <v>7.1476886938312481</v>
      </c>
    </row>
    <row r="291" spans="3:9" s="1" customFormat="1" x14ac:dyDescent="0.45">
      <c r="C291" s="49"/>
      <c r="D291" s="49"/>
      <c r="E291" s="49"/>
      <c r="H291">
        <v>2036</v>
      </c>
      <c r="I291" s="156">
        <f t="shared" si="1"/>
        <v>7.0655313525228429</v>
      </c>
    </row>
    <row r="292" spans="3:9" s="1" customFormat="1" x14ac:dyDescent="0.45">
      <c r="H292">
        <v>2037</v>
      </c>
      <c r="I292" s="156">
        <f t="shared" si="1"/>
        <v>6.9843183484708566</v>
      </c>
    </row>
    <row r="293" spans="3:9" s="1" customFormat="1" x14ac:dyDescent="0.45">
      <c r="H293">
        <v>2038</v>
      </c>
      <c r="I293" s="156">
        <f t="shared" si="1"/>
        <v>6.9040388272240651</v>
      </c>
    </row>
    <row r="294" spans="3:9" s="1" customFormat="1" x14ac:dyDescent="0.45">
      <c r="H294">
        <v>2039</v>
      </c>
      <c r="I294" s="156">
        <f t="shared" si="1"/>
        <v>6.8246820590950534</v>
      </c>
    </row>
    <row r="295" spans="3:9" s="1" customFormat="1" x14ac:dyDescent="0.45">
      <c r="H295">
        <v>2040</v>
      </c>
      <c r="I295" s="156">
        <f t="shared" si="1"/>
        <v>6.7462374377261449</v>
      </c>
    </row>
    <row r="296" spans="3:9" s="1" customFormat="1" x14ac:dyDescent="0.45"/>
  </sheetData>
  <pageMargins left="0.7" right="0.7" top="0.75" bottom="0.75" header="0.3" footer="0.3"/>
  <headerFooter alignWithMargins="0"/>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D875E-5F30-4804-9737-64EE8CCCA720}">
  <dimension ref="A1:BM296"/>
  <sheetViews>
    <sheetView topLeftCell="AU268" workbookViewId="0">
      <selection activeCell="BM274" sqref="BM274"/>
    </sheetView>
  </sheetViews>
  <sheetFormatPr defaultRowHeight="14.25" x14ac:dyDescent="0.45"/>
  <cols>
    <col min="1" max="1" width="44.19921875" bestFit="1" customWidth="1"/>
    <col min="2" max="2" width="25.53125" bestFit="1" customWidth="1"/>
    <col min="3" max="3" width="44.46484375" bestFit="1" customWidth="1"/>
    <col min="4" max="4" width="14.53125" bestFit="1" customWidth="1"/>
    <col min="5" max="64" width="11.46484375" bestFit="1" customWidth="1"/>
    <col min="65" max="65" width="7.73046875" customWidth="1"/>
  </cols>
  <sheetData>
    <row r="1" spans="1:65" x14ac:dyDescent="0.45">
      <c r="A1" t="s">
        <v>1283</v>
      </c>
      <c r="B1" t="s">
        <v>1284</v>
      </c>
    </row>
    <row r="2" spans="1:65" x14ac:dyDescent="0.45">
      <c r="A2" t="s">
        <v>1285</v>
      </c>
      <c r="B2" s="4">
        <v>44407</v>
      </c>
    </row>
    <row r="4" spans="1:65" x14ac:dyDescent="0.4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45">
      <c r="A5" t="s">
        <v>1173</v>
      </c>
      <c r="B5" t="s">
        <v>1351</v>
      </c>
      <c r="C5" t="s">
        <v>1757</v>
      </c>
      <c r="D5" t="s">
        <v>1758</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45">
      <c r="A6" t="s">
        <v>1354</v>
      </c>
      <c r="B6" t="s">
        <v>1355</v>
      </c>
      <c r="C6" t="s">
        <v>1757</v>
      </c>
      <c r="D6" t="s">
        <v>1758</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45">
      <c r="A7" t="s">
        <v>1139</v>
      </c>
      <c r="B7" t="s">
        <v>1356</v>
      </c>
      <c r="C7" t="s">
        <v>1757</v>
      </c>
      <c r="D7" t="s">
        <v>1758</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45">
      <c r="A8" t="s">
        <v>1357</v>
      </c>
      <c r="B8" t="s">
        <v>1358</v>
      </c>
      <c r="C8" t="s">
        <v>1757</v>
      </c>
      <c r="D8" t="s">
        <v>1758</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45">
      <c r="A9" t="s">
        <v>1078</v>
      </c>
      <c r="B9" t="s">
        <v>1359</v>
      </c>
      <c r="C9" t="s">
        <v>1757</v>
      </c>
      <c r="D9" t="s">
        <v>1758</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45">
      <c r="A10" t="s">
        <v>1257</v>
      </c>
      <c r="B10" t="s">
        <v>1360</v>
      </c>
      <c r="C10" t="s">
        <v>1757</v>
      </c>
      <c r="D10" t="s">
        <v>1758</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45">
      <c r="A11" t="s">
        <v>1361</v>
      </c>
      <c r="B11" t="s">
        <v>1362</v>
      </c>
      <c r="C11" t="s">
        <v>1757</v>
      </c>
      <c r="D11" t="s">
        <v>1758</v>
      </c>
    </row>
    <row r="12" spans="1:65" x14ac:dyDescent="0.45">
      <c r="A12" t="s">
        <v>1363</v>
      </c>
      <c r="B12" t="s">
        <v>1364</v>
      </c>
      <c r="C12" t="s">
        <v>1757</v>
      </c>
      <c r="D12" t="s">
        <v>1758</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45">
      <c r="A13" t="s">
        <v>1129</v>
      </c>
      <c r="B13" t="s">
        <v>1365</v>
      </c>
      <c r="C13" t="s">
        <v>1757</v>
      </c>
      <c r="D13" t="s">
        <v>1758</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45">
      <c r="A14" t="s">
        <v>1199</v>
      </c>
      <c r="B14" t="s">
        <v>1366</v>
      </c>
      <c r="C14" t="s">
        <v>1757</v>
      </c>
      <c r="D14" t="s">
        <v>1758</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45">
      <c r="A15" t="s">
        <v>1113</v>
      </c>
      <c r="B15" t="s">
        <v>1367</v>
      </c>
      <c r="C15" t="s">
        <v>1757</v>
      </c>
      <c r="D15" t="s">
        <v>1758</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45">
      <c r="A16" t="s">
        <v>1368</v>
      </c>
      <c r="B16" t="s">
        <v>1369</v>
      </c>
      <c r="C16" t="s">
        <v>1757</v>
      </c>
      <c r="D16" t="s">
        <v>1758</v>
      </c>
    </row>
    <row r="17" spans="1:64" x14ac:dyDescent="0.45">
      <c r="A17" t="s">
        <v>1172</v>
      </c>
      <c r="B17" t="s">
        <v>1370</v>
      </c>
      <c r="C17" t="s">
        <v>1757</v>
      </c>
      <c r="D17" t="s">
        <v>1758</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45">
      <c r="A18" t="s">
        <v>1213</v>
      </c>
      <c r="B18" t="s">
        <v>1371</v>
      </c>
      <c r="C18" t="s">
        <v>1757</v>
      </c>
      <c r="D18" t="s">
        <v>1758</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45">
      <c r="A19" t="s">
        <v>1270</v>
      </c>
      <c r="B19" t="s">
        <v>1372</v>
      </c>
      <c r="C19" t="s">
        <v>1757</v>
      </c>
      <c r="D19" t="s">
        <v>1758</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45">
      <c r="A20" t="s">
        <v>1114</v>
      </c>
      <c r="B20" t="s">
        <v>1373</v>
      </c>
      <c r="C20" t="s">
        <v>1757</v>
      </c>
      <c r="D20" t="s">
        <v>1758</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45">
      <c r="A21" t="s">
        <v>582</v>
      </c>
      <c r="B21" t="s">
        <v>1374</v>
      </c>
      <c r="C21" t="s">
        <v>1757</v>
      </c>
      <c r="D21" t="s">
        <v>1758</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45">
      <c r="A22" t="s">
        <v>1271</v>
      </c>
      <c r="B22" t="s">
        <v>1375</v>
      </c>
      <c r="C22" t="s">
        <v>1757</v>
      </c>
      <c r="D22" t="s">
        <v>1758</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45">
      <c r="A23" t="s">
        <v>1088</v>
      </c>
      <c r="B23" t="s">
        <v>1376</v>
      </c>
      <c r="C23" t="s">
        <v>1757</v>
      </c>
      <c r="D23" t="s">
        <v>1758</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45">
      <c r="A24" t="s">
        <v>1089</v>
      </c>
      <c r="B24" t="s">
        <v>1377</v>
      </c>
      <c r="C24" t="s">
        <v>1757</v>
      </c>
      <c r="D24" t="s">
        <v>1758</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45">
      <c r="A25" t="s">
        <v>1140</v>
      </c>
      <c r="B25" t="s">
        <v>1378</v>
      </c>
      <c r="C25" t="s">
        <v>1757</v>
      </c>
      <c r="D25" t="s">
        <v>1758</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45">
      <c r="A26" t="s">
        <v>1235</v>
      </c>
      <c r="B26" t="s">
        <v>1379</v>
      </c>
      <c r="C26" t="s">
        <v>1757</v>
      </c>
      <c r="D26" t="s">
        <v>1758</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45">
      <c r="A27" t="s">
        <v>1115</v>
      </c>
      <c r="B27" t="s">
        <v>1380</v>
      </c>
      <c r="C27" t="s">
        <v>1757</v>
      </c>
      <c r="D27" t="s">
        <v>1758</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45">
      <c r="A28" t="s">
        <v>1381</v>
      </c>
      <c r="B28" t="s">
        <v>1382</v>
      </c>
      <c r="C28" t="s">
        <v>1757</v>
      </c>
      <c r="D28" t="s">
        <v>1758</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45">
      <c r="A29" t="s">
        <v>1258</v>
      </c>
      <c r="B29" t="s">
        <v>1383</v>
      </c>
      <c r="C29" t="s">
        <v>1757</v>
      </c>
      <c r="D29" t="s">
        <v>1758</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45">
      <c r="A30" t="s">
        <v>1234</v>
      </c>
      <c r="B30" t="s">
        <v>1384</v>
      </c>
      <c r="C30" t="s">
        <v>1757</v>
      </c>
      <c r="D30" t="s">
        <v>1758</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45">
      <c r="A31" t="s">
        <v>1190</v>
      </c>
      <c r="B31" t="s">
        <v>1385</v>
      </c>
      <c r="C31" t="s">
        <v>1757</v>
      </c>
      <c r="D31" t="s">
        <v>1758</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45">
      <c r="A32" t="s">
        <v>1386</v>
      </c>
      <c r="B32" t="s">
        <v>1387</v>
      </c>
      <c r="C32" t="s">
        <v>1757</v>
      </c>
      <c r="D32" t="s">
        <v>1758</v>
      </c>
    </row>
    <row r="33" spans="1:64" x14ac:dyDescent="0.45">
      <c r="A33" t="s">
        <v>1388</v>
      </c>
      <c r="B33" t="s">
        <v>1389</v>
      </c>
      <c r="C33" t="s">
        <v>1757</v>
      </c>
      <c r="D33" t="s">
        <v>1758</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45">
      <c r="A34" t="s">
        <v>1201</v>
      </c>
      <c r="B34" t="s">
        <v>1390</v>
      </c>
      <c r="C34" t="s">
        <v>1757</v>
      </c>
      <c r="D34" t="s">
        <v>1758</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45">
      <c r="A35" t="s">
        <v>1175</v>
      </c>
      <c r="B35" t="s">
        <v>1391</v>
      </c>
      <c r="C35" t="s">
        <v>1757</v>
      </c>
      <c r="D35" t="s">
        <v>1758</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45">
      <c r="A36" t="s">
        <v>1159</v>
      </c>
      <c r="B36" t="s">
        <v>1392</v>
      </c>
      <c r="C36" t="s">
        <v>1757</v>
      </c>
      <c r="D36" t="s">
        <v>1758</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45">
      <c r="A37" t="s">
        <v>1141</v>
      </c>
      <c r="B37" t="s">
        <v>1393</v>
      </c>
      <c r="C37" t="s">
        <v>1757</v>
      </c>
      <c r="D37" t="s">
        <v>1758</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45">
      <c r="A38" t="s">
        <v>580</v>
      </c>
      <c r="B38" t="s">
        <v>1394</v>
      </c>
      <c r="C38" t="s">
        <v>1757</v>
      </c>
      <c r="D38" t="s">
        <v>1758</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45">
      <c r="A39" t="s">
        <v>584</v>
      </c>
      <c r="B39" t="s">
        <v>1395</v>
      </c>
      <c r="C39" t="s">
        <v>1757</v>
      </c>
      <c r="D39" t="s">
        <v>1758</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45">
      <c r="A40" t="s">
        <v>1278</v>
      </c>
      <c r="B40" t="s">
        <v>1396</v>
      </c>
      <c r="C40" t="s">
        <v>1757</v>
      </c>
      <c r="D40" t="s">
        <v>1758</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45">
      <c r="A41" t="s">
        <v>1397</v>
      </c>
      <c r="B41" t="s">
        <v>1398</v>
      </c>
      <c r="C41" t="s">
        <v>1757</v>
      </c>
      <c r="D41" t="s">
        <v>1758</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45">
      <c r="A42" t="s">
        <v>1276</v>
      </c>
      <c r="B42" t="s">
        <v>1399</v>
      </c>
      <c r="C42" t="s">
        <v>1757</v>
      </c>
      <c r="D42" t="s">
        <v>1758</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45">
      <c r="A43" t="s">
        <v>1245</v>
      </c>
      <c r="B43" t="s">
        <v>1400</v>
      </c>
      <c r="C43" t="s">
        <v>1757</v>
      </c>
      <c r="D43" t="s">
        <v>1758</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45">
      <c r="A44" t="s">
        <v>1202</v>
      </c>
      <c r="B44" t="s">
        <v>1401</v>
      </c>
      <c r="C44" t="s">
        <v>1757</v>
      </c>
      <c r="D44" t="s">
        <v>1758</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45">
      <c r="A45" t="s">
        <v>1150</v>
      </c>
      <c r="B45" t="s">
        <v>1402</v>
      </c>
      <c r="C45" t="s">
        <v>1757</v>
      </c>
      <c r="D45" t="s">
        <v>1758</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45">
      <c r="A46" t="s">
        <v>1403</v>
      </c>
      <c r="B46" t="s">
        <v>1404</v>
      </c>
      <c r="C46" t="s">
        <v>1757</v>
      </c>
      <c r="D46" t="s">
        <v>1758</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45">
      <c r="A47" t="s">
        <v>1079</v>
      </c>
      <c r="B47" t="s">
        <v>1405</v>
      </c>
      <c r="C47" t="s">
        <v>1757</v>
      </c>
      <c r="D47" t="s">
        <v>1758</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45">
      <c r="A48" t="s">
        <v>1406</v>
      </c>
      <c r="B48" t="s">
        <v>1407</v>
      </c>
      <c r="C48" t="s">
        <v>1757</v>
      </c>
      <c r="D48" t="s">
        <v>1758</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45">
      <c r="A49" t="s">
        <v>1408</v>
      </c>
      <c r="B49" t="s">
        <v>1409</v>
      </c>
      <c r="C49" t="s">
        <v>1757</v>
      </c>
      <c r="D49" t="s">
        <v>1758</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45">
      <c r="A50" t="s">
        <v>1203</v>
      </c>
      <c r="B50" t="s">
        <v>1410</v>
      </c>
      <c r="C50" t="s">
        <v>1757</v>
      </c>
      <c r="D50" t="s">
        <v>1758</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45">
      <c r="A51" t="s">
        <v>1067</v>
      </c>
      <c r="B51" t="s">
        <v>1411</v>
      </c>
      <c r="C51" t="s">
        <v>1757</v>
      </c>
      <c r="D51" t="s">
        <v>1758</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45">
      <c r="A52" t="s">
        <v>1090</v>
      </c>
      <c r="B52" t="s">
        <v>1412</v>
      </c>
      <c r="C52" t="s">
        <v>1757</v>
      </c>
      <c r="D52" t="s">
        <v>1758</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45">
      <c r="A53" t="s">
        <v>1191</v>
      </c>
      <c r="B53" t="s">
        <v>1413</v>
      </c>
      <c r="C53" t="s">
        <v>1757</v>
      </c>
      <c r="D53" t="s">
        <v>1758</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45">
      <c r="A54" t="s">
        <v>1414</v>
      </c>
      <c r="B54" t="s">
        <v>1415</v>
      </c>
      <c r="C54" t="s">
        <v>1757</v>
      </c>
      <c r="D54" t="s">
        <v>1758</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45">
      <c r="A55" t="s">
        <v>1176</v>
      </c>
      <c r="B55" t="s">
        <v>1416</v>
      </c>
      <c r="C55" t="s">
        <v>1757</v>
      </c>
      <c r="D55" t="s">
        <v>1758</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45">
      <c r="A56" t="s">
        <v>1417</v>
      </c>
      <c r="B56" t="s">
        <v>1418</v>
      </c>
      <c r="C56" t="s">
        <v>1757</v>
      </c>
      <c r="D56" t="s">
        <v>1758</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45">
      <c r="A57" t="s">
        <v>1419</v>
      </c>
      <c r="B57" t="s">
        <v>1420</v>
      </c>
      <c r="C57" t="s">
        <v>1757</v>
      </c>
      <c r="D57" t="s">
        <v>1758</v>
      </c>
    </row>
    <row r="58" spans="1:64" x14ac:dyDescent="0.45">
      <c r="A58" t="s">
        <v>1116</v>
      </c>
      <c r="B58" t="s">
        <v>1421</v>
      </c>
      <c r="C58" t="s">
        <v>1757</v>
      </c>
      <c r="D58" t="s">
        <v>1758</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45">
      <c r="A59" t="s">
        <v>1422</v>
      </c>
      <c r="B59" t="s">
        <v>1423</v>
      </c>
      <c r="C59" t="s">
        <v>1757</v>
      </c>
      <c r="D59" t="s">
        <v>1758</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45">
      <c r="A60" t="s">
        <v>1273</v>
      </c>
      <c r="B60" t="s">
        <v>1424</v>
      </c>
      <c r="C60" t="s">
        <v>1757</v>
      </c>
      <c r="D60" t="s">
        <v>1758</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45">
      <c r="A61" t="s">
        <v>1068</v>
      </c>
      <c r="B61" t="s">
        <v>1425</v>
      </c>
      <c r="C61" t="s">
        <v>1757</v>
      </c>
      <c r="D61" t="s">
        <v>1758</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45">
      <c r="A62" t="s">
        <v>1426</v>
      </c>
      <c r="B62" t="s">
        <v>1427</v>
      </c>
      <c r="C62" t="s">
        <v>1757</v>
      </c>
      <c r="D62" t="s">
        <v>1758</v>
      </c>
      <c r="AI62">
        <v>113.320444611404</v>
      </c>
      <c r="AS62">
        <v>105</v>
      </c>
    </row>
    <row r="63" spans="1:64" x14ac:dyDescent="0.45">
      <c r="A63" t="s">
        <v>1246</v>
      </c>
      <c r="B63" t="s">
        <v>1428</v>
      </c>
      <c r="C63" t="s">
        <v>1757</v>
      </c>
      <c r="D63" t="s">
        <v>1758</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45">
      <c r="A64" t="s">
        <v>1178</v>
      </c>
      <c r="B64" t="s">
        <v>1429</v>
      </c>
      <c r="C64" t="s">
        <v>1757</v>
      </c>
      <c r="D64" t="s">
        <v>1758</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45">
      <c r="A65" t="s">
        <v>1105</v>
      </c>
      <c r="B65" t="s">
        <v>1430</v>
      </c>
      <c r="C65" t="s">
        <v>1757</v>
      </c>
      <c r="D65" t="s">
        <v>1758</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45">
      <c r="A66" t="s">
        <v>1431</v>
      </c>
      <c r="B66" t="s">
        <v>1432</v>
      </c>
      <c r="C66" t="s">
        <v>1757</v>
      </c>
      <c r="D66" t="s">
        <v>1758</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45">
      <c r="A67" t="s">
        <v>1433</v>
      </c>
      <c r="B67" t="s">
        <v>1434</v>
      </c>
      <c r="C67" t="s">
        <v>1757</v>
      </c>
      <c r="D67" t="s">
        <v>1758</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45">
      <c r="A68" t="s">
        <v>1435</v>
      </c>
      <c r="B68" t="s">
        <v>1436</v>
      </c>
      <c r="C68" t="s">
        <v>1757</v>
      </c>
      <c r="D68" t="s">
        <v>1758</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45">
      <c r="A69" t="s">
        <v>1437</v>
      </c>
      <c r="B69" t="s">
        <v>1438</v>
      </c>
      <c r="C69" t="s">
        <v>1757</v>
      </c>
      <c r="D69" t="s">
        <v>1758</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45">
      <c r="A70" t="s">
        <v>1439</v>
      </c>
      <c r="B70" t="s">
        <v>1440</v>
      </c>
      <c r="C70" t="s">
        <v>1757</v>
      </c>
      <c r="D70" t="s">
        <v>1758</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45">
      <c r="A71" t="s">
        <v>1204</v>
      </c>
      <c r="B71" t="s">
        <v>1441</v>
      </c>
      <c r="C71" t="s">
        <v>1757</v>
      </c>
      <c r="D71" t="s">
        <v>1758</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45">
      <c r="A72" t="s">
        <v>1442</v>
      </c>
      <c r="B72" t="s">
        <v>1443</v>
      </c>
      <c r="C72" t="s">
        <v>1757</v>
      </c>
      <c r="D72" t="s">
        <v>1758</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45">
      <c r="A73" t="s">
        <v>1444</v>
      </c>
      <c r="B73" t="s">
        <v>1445</v>
      </c>
      <c r="C73" t="s">
        <v>1757</v>
      </c>
      <c r="D73" t="s">
        <v>1758</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45">
      <c r="A74" t="s">
        <v>592</v>
      </c>
      <c r="B74" t="s">
        <v>1446</v>
      </c>
      <c r="C74" t="s">
        <v>1757</v>
      </c>
      <c r="D74" t="s">
        <v>1758</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45">
      <c r="A75" t="s">
        <v>1268</v>
      </c>
      <c r="B75" t="s">
        <v>1447</v>
      </c>
      <c r="C75" t="s">
        <v>1757</v>
      </c>
      <c r="D75" t="s">
        <v>1758</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45">
      <c r="A76" t="s">
        <v>1247</v>
      </c>
      <c r="B76" t="s">
        <v>1448</v>
      </c>
      <c r="C76" t="s">
        <v>1757</v>
      </c>
      <c r="D76" t="s">
        <v>1758</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45">
      <c r="A77" t="s">
        <v>594</v>
      </c>
      <c r="B77" t="s">
        <v>926</v>
      </c>
      <c r="C77" t="s">
        <v>1757</v>
      </c>
      <c r="D77" t="s">
        <v>1758</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45">
      <c r="A78" t="s">
        <v>1449</v>
      </c>
      <c r="B78" t="s">
        <v>1450</v>
      </c>
      <c r="C78" t="s">
        <v>1757</v>
      </c>
      <c r="D78" t="s">
        <v>1758</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45">
      <c r="A79" t="s">
        <v>1451</v>
      </c>
      <c r="B79" t="s">
        <v>1452</v>
      </c>
      <c r="C79" t="s">
        <v>1757</v>
      </c>
      <c r="D79" t="s">
        <v>1758</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45">
      <c r="A80" t="s">
        <v>1248</v>
      </c>
      <c r="B80" t="s">
        <v>1453</v>
      </c>
      <c r="C80" t="s">
        <v>1757</v>
      </c>
      <c r="D80" t="s">
        <v>1758</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45">
      <c r="A81" t="s">
        <v>1217</v>
      </c>
      <c r="B81" t="s">
        <v>1454</v>
      </c>
      <c r="C81" t="s">
        <v>1757</v>
      </c>
      <c r="D81" t="s">
        <v>1758</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45">
      <c r="A82" t="s">
        <v>1272</v>
      </c>
      <c r="B82" t="s">
        <v>1455</v>
      </c>
      <c r="C82" t="s">
        <v>1757</v>
      </c>
      <c r="D82" t="s">
        <v>1758</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45">
      <c r="A83" t="s">
        <v>1456</v>
      </c>
      <c r="B83" t="s">
        <v>1457</v>
      </c>
      <c r="C83" t="s">
        <v>1757</v>
      </c>
      <c r="D83" t="s">
        <v>1758</v>
      </c>
    </row>
    <row r="84" spans="1:64" x14ac:dyDescent="0.45">
      <c r="A84" t="s">
        <v>1458</v>
      </c>
      <c r="B84" t="s">
        <v>1459</v>
      </c>
      <c r="C84" t="s">
        <v>1757</v>
      </c>
      <c r="D84" t="s">
        <v>1758</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45">
      <c r="A85" t="s">
        <v>1083</v>
      </c>
      <c r="B85" t="s">
        <v>1460</v>
      </c>
      <c r="C85" t="s">
        <v>1757</v>
      </c>
      <c r="D85" t="s">
        <v>1758</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45">
      <c r="A86" t="s">
        <v>1255</v>
      </c>
      <c r="B86" t="s">
        <v>1461</v>
      </c>
      <c r="C86" t="s">
        <v>1757</v>
      </c>
      <c r="D86" t="s">
        <v>1758</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45">
      <c r="A87" t="s">
        <v>1117</v>
      </c>
      <c r="B87" t="s">
        <v>1462</v>
      </c>
      <c r="C87" t="s">
        <v>1757</v>
      </c>
      <c r="D87" t="s">
        <v>1758</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45">
      <c r="A88" t="s">
        <v>1092</v>
      </c>
      <c r="B88" t="s">
        <v>1463</v>
      </c>
      <c r="C88" t="s">
        <v>1757</v>
      </c>
      <c r="D88" t="s">
        <v>1758</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45">
      <c r="A89" t="s">
        <v>1464</v>
      </c>
      <c r="B89" t="s">
        <v>1465</v>
      </c>
      <c r="C89" t="s">
        <v>1757</v>
      </c>
      <c r="D89" t="s">
        <v>1758</v>
      </c>
    </row>
    <row r="90" spans="1:64" x14ac:dyDescent="0.45">
      <c r="A90" t="s">
        <v>1093</v>
      </c>
      <c r="B90" t="s">
        <v>1466</v>
      </c>
      <c r="C90" t="s">
        <v>1757</v>
      </c>
      <c r="D90" t="s">
        <v>1758</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45">
      <c r="A91" t="s">
        <v>1467</v>
      </c>
      <c r="B91" t="s">
        <v>1468</v>
      </c>
      <c r="C91" t="s">
        <v>1757</v>
      </c>
      <c r="D91" t="s">
        <v>1758</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45">
      <c r="A92" t="s">
        <v>1094</v>
      </c>
      <c r="B92" t="s">
        <v>1469</v>
      </c>
      <c r="C92" t="s">
        <v>1757</v>
      </c>
      <c r="D92" t="s">
        <v>1758</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45">
      <c r="A93" t="s">
        <v>1082</v>
      </c>
      <c r="B93" t="s">
        <v>1470</v>
      </c>
      <c r="C93" t="s">
        <v>1757</v>
      </c>
      <c r="D93" t="s">
        <v>1758</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45">
      <c r="A94" t="s">
        <v>1260</v>
      </c>
      <c r="B94" t="s">
        <v>1471</v>
      </c>
      <c r="C94" t="s">
        <v>1757</v>
      </c>
      <c r="D94" t="s">
        <v>1758</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45">
      <c r="A95" t="s">
        <v>1179</v>
      </c>
      <c r="B95" t="s">
        <v>1472</v>
      </c>
      <c r="C95" t="s">
        <v>1757</v>
      </c>
      <c r="D95" t="s">
        <v>1758</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45">
      <c r="A96" t="s">
        <v>1473</v>
      </c>
      <c r="B96" t="s">
        <v>1474</v>
      </c>
      <c r="C96" t="s">
        <v>1757</v>
      </c>
      <c r="D96" t="s">
        <v>1758</v>
      </c>
      <c r="AQ96">
        <v>196.58066841752901</v>
      </c>
      <c r="AR96">
        <v>202.680412371134</v>
      </c>
      <c r="AS96">
        <v>185.568065506653</v>
      </c>
      <c r="AT96">
        <v>179.56561639645199</v>
      </c>
    </row>
    <row r="97" spans="1:64" x14ac:dyDescent="0.45">
      <c r="A97" t="s">
        <v>1193</v>
      </c>
      <c r="B97" t="s">
        <v>1475</v>
      </c>
      <c r="C97" t="s">
        <v>1757</v>
      </c>
      <c r="D97" t="s">
        <v>1758</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45">
      <c r="A98" t="s">
        <v>1223</v>
      </c>
      <c r="B98" t="s">
        <v>1476</v>
      </c>
      <c r="C98" t="s">
        <v>1757</v>
      </c>
      <c r="D98" t="s">
        <v>1758</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45">
      <c r="A99" t="s">
        <v>1206</v>
      </c>
      <c r="B99" t="s">
        <v>1477</v>
      </c>
      <c r="C99" t="s">
        <v>1757</v>
      </c>
      <c r="D99" t="s">
        <v>1758</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45">
      <c r="A100" t="s">
        <v>1478</v>
      </c>
      <c r="B100" t="s">
        <v>1479</v>
      </c>
      <c r="C100" t="s">
        <v>1757</v>
      </c>
      <c r="D100" t="s">
        <v>1758</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45">
      <c r="A101" t="s">
        <v>1480</v>
      </c>
      <c r="B101" t="s">
        <v>1481</v>
      </c>
      <c r="C101" t="s">
        <v>1757</v>
      </c>
      <c r="D101" t="s">
        <v>1758</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45">
      <c r="A102" t="s">
        <v>1194</v>
      </c>
      <c r="B102" t="s">
        <v>1482</v>
      </c>
      <c r="C102" t="s">
        <v>1757</v>
      </c>
      <c r="D102" t="s">
        <v>1758</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45">
      <c r="A103" t="s">
        <v>1483</v>
      </c>
      <c r="B103" t="s">
        <v>1484</v>
      </c>
      <c r="C103" t="s">
        <v>1757</v>
      </c>
      <c r="D103" t="s">
        <v>1758</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45">
      <c r="A104" t="s">
        <v>1259</v>
      </c>
      <c r="B104" t="s">
        <v>1485</v>
      </c>
      <c r="C104" t="s">
        <v>1757</v>
      </c>
      <c r="D104" t="s">
        <v>1758</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45">
      <c r="A105" t="s">
        <v>1181</v>
      </c>
      <c r="B105" t="s">
        <v>1486</v>
      </c>
      <c r="C105" t="s">
        <v>1757</v>
      </c>
      <c r="D105" t="s">
        <v>1758</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45">
      <c r="A106" t="s">
        <v>1237</v>
      </c>
      <c r="B106" t="s">
        <v>1487</v>
      </c>
      <c r="C106" t="s">
        <v>1757</v>
      </c>
      <c r="D106" t="s">
        <v>1758</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45">
      <c r="A107" t="s">
        <v>1488</v>
      </c>
      <c r="B107" t="s">
        <v>1489</v>
      </c>
      <c r="C107" t="s">
        <v>1757</v>
      </c>
      <c r="D107" t="s">
        <v>1758</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45">
      <c r="A108" t="s">
        <v>1490</v>
      </c>
      <c r="B108" t="s">
        <v>1491</v>
      </c>
      <c r="C108" t="s">
        <v>1757</v>
      </c>
      <c r="D108" t="s">
        <v>1758</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45">
      <c r="A109" t="s">
        <v>1492</v>
      </c>
      <c r="B109" t="s">
        <v>1493</v>
      </c>
      <c r="C109" t="s">
        <v>1757</v>
      </c>
      <c r="D109" t="s">
        <v>1758</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45">
      <c r="A110" t="s">
        <v>1494</v>
      </c>
      <c r="B110" t="s">
        <v>1495</v>
      </c>
      <c r="C110" t="s">
        <v>1757</v>
      </c>
      <c r="D110" t="s">
        <v>1758</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45">
      <c r="A111" t="s">
        <v>1161</v>
      </c>
      <c r="B111" t="s">
        <v>1496</v>
      </c>
      <c r="C111" t="s">
        <v>1757</v>
      </c>
      <c r="D111" t="s">
        <v>1758</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45">
      <c r="A112" t="s">
        <v>1497</v>
      </c>
      <c r="B112" t="s">
        <v>1498</v>
      </c>
      <c r="C112" t="s">
        <v>1757</v>
      </c>
      <c r="D112" t="s">
        <v>1758</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45">
      <c r="A113" t="s">
        <v>1499</v>
      </c>
      <c r="B113" t="s">
        <v>1500</v>
      </c>
      <c r="C113" t="s">
        <v>1757</v>
      </c>
      <c r="D113" t="s">
        <v>1758</v>
      </c>
    </row>
    <row r="114" spans="1:64" x14ac:dyDescent="0.45">
      <c r="A114" t="s">
        <v>1142</v>
      </c>
      <c r="B114" t="s">
        <v>1501</v>
      </c>
      <c r="C114" t="s">
        <v>1757</v>
      </c>
      <c r="D114" t="s">
        <v>1758</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45">
      <c r="A115" t="s">
        <v>1502</v>
      </c>
      <c r="B115" t="s">
        <v>1503</v>
      </c>
      <c r="C115" t="s">
        <v>1757</v>
      </c>
      <c r="D115" t="s">
        <v>1758</v>
      </c>
    </row>
    <row r="116" spans="1:64" x14ac:dyDescent="0.45">
      <c r="A116" t="s">
        <v>1250</v>
      </c>
      <c r="B116" t="s">
        <v>1504</v>
      </c>
      <c r="C116" t="s">
        <v>1757</v>
      </c>
      <c r="D116" t="s">
        <v>1758</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45">
      <c r="A117" t="s">
        <v>1505</v>
      </c>
      <c r="B117" t="s">
        <v>1506</v>
      </c>
      <c r="C117" t="s">
        <v>1757</v>
      </c>
      <c r="D117" t="s">
        <v>1758</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45">
      <c r="A118" t="s">
        <v>1118</v>
      </c>
      <c r="B118" t="s">
        <v>1507</v>
      </c>
      <c r="C118" t="s">
        <v>1757</v>
      </c>
      <c r="D118" t="s">
        <v>1758</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45">
      <c r="A119" t="s">
        <v>1249</v>
      </c>
      <c r="B119" t="s">
        <v>1508</v>
      </c>
      <c r="C119" t="s">
        <v>1757</v>
      </c>
      <c r="D119" t="s">
        <v>1758</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45">
      <c r="A120" t="s">
        <v>1119</v>
      </c>
      <c r="B120" t="s">
        <v>1509</v>
      </c>
      <c r="C120" t="s">
        <v>1757</v>
      </c>
      <c r="D120" t="s">
        <v>1758</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45">
      <c r="A121" t="s">
        <v>1261</v>
      </c>
      <c r="B121" t="s">
        <v>1510</v>
      </c>
      <c r="C121" t="s">
        <v>1757</v>
      </c>
      <c r="D121" t="s">
        <v>1758</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45">
      <c r="A122" t="s">
        <v>1182</v>
      </c>
      <c r="B122" t="s">
        <v>1511</v>
      </c>
      <c r="C122" t="s">
        <v>1757</v>
      </c>
      <c r="D122" t="s">
        <v>1758</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45">
      <c r="A123" t="s">
        <v>1120</v>
      </c>
      <c r="B123" t="s">
        <v>1512</v>
      </c>
      <c r="C123" t="s">
        <v>1757</v>
      </c>
      <c r="D123" t="s">
        <v>1758</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45">
      <c r="A124" t="s">
        <v>1155</v>
      </c>
      <c r="B124" t="s">
        <v>1513</v>
      </c>
      <c r="C124" t="s">
        <v>1757</v>
      </c>
      <c r="D124" t="s">
        <v>1758</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45">
      <c r="A125" t="s">
        <v>1133</v>
      </c>
      <c r="B125" t="s">
        <v>1514</v>
      </c>
      <c r="C125" t="s">
        <v>1757</v>
      </c>
      <c r="D125" t="s">
        <v>1758</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45">
      <c r="A126" t="s">
        <v>1069</v>
      </c>
      <c r="B126" t="s">
        <v>1515</v>
      </c>
      <c r="C126" t="s">
        <v>1757</v>
      </c>
      <c r="D126" t="s">
        <v>1758</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45">
      <c r="A127" t="s">
        <v>1516</v>
      </c>
      <c r="B127" t="s">
        <v>1517</v>
      </c>
      <c r="C127" t="s">
        <v>1757</v>
      </c>
      <c r="D127" t="s">
        <v>1758</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45">
      <c r="A128" t="s">
        <v>1160</v>
      </c>
      <c r="B128" t="s">
        <v>1518</v>
      </c>
      <c r="C128" t="s">
        <v>1757</v>
      </c>
      <c r="D128" t="s">
        <v>1758</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45">
      <c r="A129" t="s">
        <v>1224</v>
      </c>
      <c r="B129" t="s">
        <v>1519</v>
      </c>
      <c r="C129" t="s">
        <v>1757</v>
      </c>
      <c r="D129" t="s">
        <v>1758</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45">
      <c r="A130" t="s">
        <v>1520</v>
      </c>
      <c r="B130" t="s">
        <v>1521</v>
      </c>
      <c r="C130" t="s">
        <v>1757</v>
      </c>
      <c r="D130" t="s">
        <v>1758</v>
      </c>
      <c r="AI130">
        <v>164.692978104546</v>
      </c>
      <c r="AS130">
        <v>148</v>
      </c>
    </row>
    <row r="131" spans="1:64" x14ac:dyDescent="0.45">
      <c r="A131" t="s">
        <v>1522</v>
      </c>
      <c r="B131" t="s">
        <v>1523</v>
      </c>
      <c r="C131" t="s">
        <v>1757</v>
      </c>
      <c r="D131" t="s">
        <v>1758</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45">
      <c r="A132" t="s">
        <v>1121</v>
      </c>
      <c r="B132" t="s">
        <v>1524</v>
      </c>
      <c r="C132" t="s">
        <v>1757</v>
      </c>
      <c r="D132" t="s">
        <v>1758</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45">
      <c r="A133" t="s">
        <v>1525</v>
      </c>
      <c r="B133" t="s">
        <v>1526</v>
      </c>
      <c r="C133" t="s">
        <v>1757</v>
      </c>
      <c r="D133" t="s">
        <v>1758</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45">
      <c r="A134" t="s">
        <v>1527</v>
      </c>
      <c r="B134" t="s">
        <v>1528</v>
      </c>
      <c r="C134" t="s">
        <v>1757</v>
      </c>
      <c r="D134" t="s">
        <v>1758</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45">
      <c r="A135" t="s">
        <v>1122</v>
      </c>
      <c r="B135" t="s">
        <v>1529</v>
      </c>
      <c r="C135" t="s">
        <v>1757</v>
      </c>
      <c r="D135" t="s">
        <v>1758</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45">
      <c r="A136" t="s">
        <v>1095</v>
      </c>
      <c r="B136" t="s">
        <v>1530</v>
      </c>
      <c r="C136" t="s">
        <v>1757</v>
      </c>
      <c r="D136" t="s">
        <v>1758</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45">
      <c r="A137" t="s">
        <v>1107</v>
      </c>
      <c r="B137" t="s">
        <v>1531</v>
      </c>
      <c r="C137" t="s">
        <v>1757</v>
      </c>
      <c r="D137" t="s">
        <v>1758</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45">
      <c r="A138" t="s">
        <v>1532</v>
      </c>
      <c r="B138" t="s">
        <v>1533</v>
      </c>
      <c r="C138" t="s">
        <v>1757</v>
      </c>
      <c r="D138" t="s">
        <v>1758</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45">
      <c r="A139" t="s">
        <v>1534</v>
      </c>
      <c r="B139" t="s">
        <v>1535</v>
      </c>
      <c r="C139" t="s">
        <v>1757</v>
      </c>
      <c r="D139" t="s">
        <v>1758</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45">
      <c r="A140" t="s">
        <v>1536</v>
      </c>
      <c r="B140" t="s">
        <v>1537</v>
      </c>
      <c r="C140" t="s">
        <v>1757</v>
      </c>
      <c r="D140" t="s">
        <v>1758</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45">
      <c r="A141" t="s">
        <v>1538</v>
      </c>
      <c r="B141" t="s">
        <v>1539</v>
      </c>
      <c r="C141" t="s">
        <v>1757</v>
      </c>
      <c r="D141" t="s">
        <v>1758</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45">
      <c r="A142" t="s">
        <v>1540</v>
      </c>
      <c r="B142" t="s">
        <v>1541</v>
      </c>
      <c r="C142" t="s">
        <v>1757</v>
      </c>
      <c r="D142" t="s">
        <v>1758</v>
      </c>
    </row>
    <row r="143" spans="1:64" x14ac:dyDescent="0.45">
      <c r="A143" t="s">
        <v>1147</v>
      </c>
      <c r="B143" t="s">
        <v>1542</v>
      </c>
      <c r="C143" t="s">
        <v>1757</v>
      </c>
      <c r="D143" t="s">
        <v>1758</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45">
      <c r="A144" t="s">
        <v>1543</v>
      </c>
      <c r="B144" t="s">
        <v>1544</v>
      </c>
      <c r="C144" t="s">
        <v>1757</v>
      </c>
      <c r="D144" t="s">
        <v>1758</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45">
      <c r="A145" t="s">
        <v>1545</v>
      </c>
      <c r="B145" t="s">
        <v>1546</v>
      </c>
      <c r="C145" t="s">
        <v>1757</v>
      </c>
      <c r="D145" t="s">
        <v>1758</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45">
      <c r="A146" t="s">
        <v>1086</v>
      </c>
      <c r="B146" t="s">
        <v>1547</v>
      </c>
      <c r="C146" t="s">
        <v>1757</v>
      </c>
      <c r="D146" t="s">
        <v>1758</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45">
      <c r="A147" t="s">
        <v>1548</v>
      </c>
      <c r="B147" t="s">
        <v>1549</v>
      </c>
      <c r="C147" t="s">
        <v>1757</v>
      </c>
      <c r="D147" t="s">
        <v>1758</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45">
      <c r="A148" t="s">
        <v>1252</v>
      </c>
      <c r="B148" t="s">
        <v>1550</v>
      </c>
      <c r="C148" t="s">
        <v>1757</v>
      </c>
      <c r="D148" t="s">
        <v>1758</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45">
      <c r="A149" t="s">
        <v>1274</v>
      </c>
      <c r="B149" t="s">
        <v>1551</v>
      </c>
      <c r="C149" t="s">
        <v>1757</v>
      </c>
      <c r="D149" t="s">
        <v>1758</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45">
      <c r="A150" t="s">
        <v>1251</v>
      </c>
      <c r="B150" t="s">
        <v>1552</v>
      </c>
      <c r="C150" t="s">
        <v>1757</v>
      </c>
      <c r="D150" t="s">
        <v>1758</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45">
      <c r="A151" t="s">
        <v>1553</v>
      </c>
      <c r="B151" t="s">
        <v>1554</v>
      </c>
      <c r="C151" t="s">
        <v>1757</v>
      </c>
      <c r="D151" t="s">
        <v>1758</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45">
      <c r="A152" t="s">
        <v>1555</v>
      </c>
      <c r="B152" t="s">
        <v>1556</v>
      </c>
      <c r="C152" t="s">
        <v>1757</v>
      </c>
      <c r="D152" t="s">
        <v>1758</v>
      </c>
    </row>
    <row r="153" spans="1:64" x14ac:dyDescent="0.45">
      <c r="A153" t="s">
        <v>1108</v>
      </c>
      <c r="B153" t="s">
        <v>1557</v>
      </c>
      <c r="C153" t="s">
        <v>1757</v>
      </c>
      <c r="D153" t="s">
        <v>1758</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45">
      <c r="A154" t="s">
        <v>1558</v>
      </c>
      <c r="B154" t="s">
        <v>1559</v>
      </c>
      <c r="C154" t="s">
        <v>1757</v>
      </c>
      <c r="D154" t="s">
        <v>1758</v>
      </c>
    </row>
    <row r="155" spans="1:64" x14ac:dyDescent="0.45">
      <c r="A155" t="s">
        <v>1560</v>
      </c>
      <c r="B155" t="s">
        <v>1561</v>
      </c>
      <c r="C155" t="s">
        <v>1757</v>
      </c>
      <c r="D155" t="s">
        <v>1758</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45">
      <c r="A156" t="s">
        <v>1070</v>
      </c>
      <c r="B156" t="s">
        <v>1562</v>
      </c>
      <c r="C156" t="s">
        <v>1757</v>
      </c>
      <c r="D156" t="s">
        <v>1758</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45">
      <c r="A157" t="s">
        <v>1144</v>
      </c>
      <c r="B157" t="s">
        <v>1563</v>
      </c>
      <c r="C157" t="s">
        <v>1757</v>
      </c>
      <c r="D157" t="s">
        <v>1758</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45">
      <c r="A158" t="s">
        <v>1564</v>
      </c>
      <c r="B158" t="s">
        <v>1565</v>
      </c>
      <c r="C158" t="s">
        <v>1757</v>
      </c>
      <c r="D158" t="s">
        <v>1758</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45">
      <c r="A159" t="s">
        <v>1195</v>
      </c>
      <c r="B159" t="s">
        <v>1566</v>
      </c>
      <c r="C159" t="s">
        <v>1757</v>
      </c>
      <c r="D159" t="s">
        <v>1758</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45">
      <c r="A160" t="s">
        <v>1567</v>
      </c>
      <c r="B160" t="s">
        <v>1568</v>
      </c>
      <c r="C160" t="s">
        <v>1757</v>
      </c>
      <c r="D160" t="s">
        <v>1758</v>
      </c>
      <c r="AS160">
        <v>230</v>
      </c>
    </row>
    <row r="161" spans="1:64" x14ac:dyDescent="0.45">
      <c r="A161" t="s">
        <v>1569</v>
      </c>
      <c r="B161" t="s">
        <v>1570</v>
      </c>
      <c r="C161" t="s">
        <v>1757</v>
      </c>
      <c r="D161" t="s">
        <v>1758</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45">
      <c r="A162" t="s">
        <v>1264</v>
      </c>
      <c r="B162" t="s">
        <v>1571</v>
      </c>
      <c r="C162" t="s">
        <v>1757</v>
      </c>
      <c r="D162" t="s">
        <v>1758</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45">
      <c r="A163" t="s">
        <v>1096</v>
      </c>
      <c r="B163" t="s">
        <v>1572</v>
      </c>
      <c r="C163" t="s">
        <v>1757</v>
      </c>
      <c r="D163" t="s">
        <v>1758</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45">
      <c r="A164" t="s">
        <v>1262</v>
      </c>
      <c r="B164" t="s">
        <v>1573</v>
      </c>
      <c r="C164" t="s">
        <v>1757</v>
      </c>
      <c r="D164" t="s">
        <v>1758</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45">
      <c r="A165" t="s">
        <v>1164</v>
      </c>
      <c r="B165" t="s">
        <v>1574</v>
      </c>
      <c r="C165" t="s">
        <v>1757</v>
      </c>
      <c r="D165" t="s">
        <v>1758</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45">
      <c r="A166" t="s">
        <v>1575</v>
      </c>
      <c r="B166" t="s">
        <v>1576</v>
      </c>
      <c r="C166" t="s">
        <v>1757</v>
      </c>
      <c r="D166" t="s">
        <v>1758</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45">
      <c r="A167" t="s">
        <v>1263</v>
      </c>
      <c r="B167" t="s">
        <v>1577</v>
      </c>
      <c r="C167" t="s">
        <v>1757</v>
      </c>
      <c r="D167" t="s">
        <v>1758</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45">
      <c r="A168" t="s">
        <v>1156</v>
      </c>
      <c r="B168" t="s">
        <v>1578</v>
      </c>
      <c r="C168" t="s">
        <v>1757</v>
      </c>
      <c r="D168" t="s">
        <v>1758</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45">
      <c r="A169" t="s">
        <v>1579</v>
      </c>
      <c r="B169" t="s">
        <v>1580</v>
      </c>
      <c r="C169" t="s">
        <v>1757</v>
      </c>
      <c r="D169" t="s">
        <v>1758</v>
      </c>
    </row>
    <row r="170" spans="1:64" x14ac:dyDescent="0.45">
      <c r="A170" t="s">
        <v>596</v>
      </c>
      <c r="B170" t="s">
        <v>1581</v>
      </c>
      <c r="C170" t="s">
        <v>1757</v>
      </c>
      <c r="D170" t="s">
        <v>1758</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45">
      <c r="A171" t="s">
        <v>1097</v>
      </c>
      <c r="B171" t="s">
        <v>1582</v>
      </c>
      <c r="C171" t="s">
        <v>1757</v>
      </c>
      <c r="D171" t="s">
        <v>1758</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45">
      <c r="A172" t="s">
        <v>1071</v>
      </c>
      <c r="B172" t="s">
        <v>1583</v>
      </c>
      <c r="C172" t="s">
        <v>1757</v>
      </c>
      <c r="D172" t="s">
        <v>1758</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45">
      <c r="A173" t="s">
        <v>879</v>
      </c>
      <c r="B173" t="s">
        <v>1584</v>
      </c>
      <c r="C173" t="s">
        <v>1757</v>
      </c>
      <c r="D173" t="s">
        <v>1758</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45">
      <c r="A174" t="s">
        <v>1163</v>
      </c>
      <c r="B174" t="s">
        <v>1585</v>
      </c>
      <c r="C174" t="s">
        <v>1757</v>
      </c>
      <c r="D174" t="s">
        <v>1758</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45">
      <c r="A175" t="s">
        <v>1586</v>
      </c>
      <c r="B175" t="s">
        <v>1587</v>
      </c>
      <c r="C175" t="s">
        <v>1757</v>
      </c>
      <c r="D175" t="s">
        <v>1758</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45">
      <c r="A176" t="s">
        <v>598</v>
      </c>
      <c r="B176" t="s">
        <v>1588</v>
      </c>
      <c r="C176" t="s">
        <v>1757</v>
      </c>
      <c r="D176" t="s">
        <v>1758</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45">
      <c r="A177" t="s">
        <v>1218</v>
      </c>
      <c r="B177" t="s">
        <v>1589</v>
      </c>
      <c r="C177" t="s">
        <v>1757</v>
      </c>
      <c r="D177" t="s">
        <v>1758</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45">
      <c r="A178" t="s">
        <v>1098</v>
      </c>
      <c r="B178" t="s">
        <v>1590</v>
      </c>
      <c r="C178" t="s">
        <v>1757</v>
      </c>
      <c r="D178" t="s">
        <v>1758</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45">
      <c r="A179" t="s">
        <v>1099</v>
      </c>
      <c r="B179" t="s">
        <v>1591</v>
      </c>
      <c r="C179" t="s">
        <v>1757</v>
      </c>
      <c r="D179" t="s">
        <v>1758</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45">
      <c r="A180" t="s">
        <v>1196</v>
      </c>
      <c r="B180" t="s">
        <v>1592</v>
      </c>
      <c r="C180" t="s">
        <v>1757</v>
      </c>
      <c r="D180" t="s">
        <v>1758</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45">
      <c r="A181" t="s">
        <v>1275</v>
      </c>
      <c r="B181" t="s">
        <v>1593</v>
      </c>
      <c r="C181" t="s">
        <v>1757</v>
      </c>
      <c r="D181" t="s">
        <v>1758</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45">
      <c r="A182" t="s">
        <v>1253</v>
      </c>
      <c r="B182" t="s">
        <v>1594</v>
      </c>
      <c r="C182" t="s">
        <v>1757</v>
      </c>
      <c r="D182" t="s">
        <v>1758</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45">
      <c r="A183" t="s">
        <v>1145</v>
      </c>
      <c r="B183" t="s">
        <v>1595</v>
      </c>
      <c r="C183" t="s">
        <v>1757</v>
      </c>
      <c r="D183" t="s">
        <v>1758</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45">
      <c r="A184" t="s">
        <v>1596</v>
      </c>
      <c r="B184" t="s">
        <v>1597</v>
      </c>
      <c r="C184" t="s">
        <v>1757</v>
      </c>
      <c r="D184" t="s">
        <v>1758</v>
      </c>
    </row>
    <row r="185" spans="1:64" x14ac:dyDescent="0.45">
      <c r="A185" t="s">
        <v>1214</v>
      </c>
      <c r="B185" t="s">
        <v>1598</v>
      </c>
      <c r="C185" t="s">
        <v>1757</v>
      </c>
      <c r="D185" t="s">
        <v>1758</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45">
      <c r="A186" t="s">
        <v>1599</v>
      </c>
      <c r="B186" t="s">
        <v>1600</v>
      </c>
      <c r="C186" t="s">
        <v>1757</v>
      </c>
      <c r="D186" t="s">
        <v>1758</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45">
      <c r="A187" t="s">
        <v>1123</v>
      </c>
      <c r="B187" t="s">
        <v>1601</v>
      </c>
      <c r="C187" t="s">
        <v>1757</v>
      </c>
      <c r="D187" t="s">
        <v>1758</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45">
      <c r="A188" t="s">
        <v>1602</v>
      </c>
      <c r="B188" t="s">
        <v>1603</v>
      </c>
      <c r="C188" t="s">
        <v>1757</v>
      </c>
      <c r="D188" t="s">
        <v>1758</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45">
      <c r="A189" t="s">
        <v>1146</v>
      </c>
      <c r="B189" t="s">
        <v>1604</v>
      </c>
      <c r="C189" t="s">
        <v>1757</v>
      </c>
      <c r="D189" t="s">
        <v>1758</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45">
      <c r="A190" t="s">
        <v>1197</v>
      </c>
      <c r="B190" t="s">
        <v>1605</v>
      </c>
      <c r="C190" t="s">
        <v>1757</v>
      </c>
      <c r="D190" t="s">
        <v>1758</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45">
      <c r="A191" t="s">
        <v>1208</v>
      </c>
      <c r="B191" t="s">
        <v>1606</v>
      </c>
      <c r="C191" t="s">
        <v>1757</v>
      </c>
      <c r="D191" t="s">
        <v>1758</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45">
      <c r="A192" t="s">
        <v>1165</v>
      </c>
      <c r="B192" t="s">
        <v>1607</v>
      </c>
      <c r="C192" t="s">
        <v>1757</v>
      </c>
      <c r="D192" t="s">
        <v>1758</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45">
      <c r="A193" t="s">
        <v>1608</v>
      </c>
      <c r="B193" t="s">
        <v>1609</v>
      </c>
      <c r="C193" t="s">
        <v>1757</v>
      </c>
      <c r="D193" t="s">
        <v>1758</v>
      </c>
    </row>
    <row r="194" spans="1:64" x14ac:dyDescent="0.45">
      <c r="A194" t="s">
        <v>1219</v>
      </c>
      <c r="B194" t="s">
        <v>1610</v>
      </c>
      <c r="C194" t="s">
        <v>1757</v>
      </c>
      <c r="D194" t="s">
        <v>1758</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45">
      <c r="A195" t="s">
        <v>1238</v>
      </c>
      <c r="B195" t="s">
        <v>1611</v>
      </c>
      <c r="C195" t="s">
        <v>1757</v>
      </c>
      <c r="D195" t="s">
        <v>1758</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45">
      <c r="A196" t="s">
        <v>1612</v>
      </c>
      <c r="B196" t="s">
        <v>1613</v>
      </c>
      <c r="C196" t="s">
        <v>1757</v>
      </c>
      <c r="D196" t="s">
        <v>1758</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45">
      <c r="A197" t="s">
        <v>1184</v>
      </c>
      <c r="B197" t="s">
        <v>1614</v>
      </c>
      <c r="C197" t="s">
        <v>1757</v>
      </c>
      <c r="D197" t="s">
        <v>1758</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45">
      <c r="A198" t="s">
        <v>1615</v>
      </c>
      <c r="B198" t="s">
        <v>1616</v>
      </c>
      <c r="C198" t="s">
        <v>1757</v>
      </c>
      <c r="D198" t="s">
        <v>1758</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45">
      <c r="A199" t="s">
        <v>1265</v>
      </c>
      <c r="B199" t="s">
        <v>1617</v>
      </c>
      <c r="C199" t="s">
        <v>1757</v>
      </c>
      <c r="D199" t="s">
        <v>1758</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45">
      <c r="A200" t="s">
        <v>1207</v>
      </c>
      <c r="B200" t="s">
        <v>1618</v>
      </c>
      <c r="C200" t="s">
        <v>1757</v>
      </c>
      <c r="D200" t="s">
        <v>1758</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45">
      <c r="A201" t="s">
        <v>1619</v>
      </c>
      <c r="B201" t="s">
        <v>1620</v>
      </c>
      <c r="C201" t="s">
        <v>1757</v>
      </c>
      <c r="D201" t="s">
        <v>1758</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45">
      <c r="A202" t="s">
        <v>1621</v>
      </c>
      <c r="B202" t="s">
        <v>1622</v>
      </c>
      <c r="C202" t="s">
        <v>1757</v>
      </c>
      <c r="D202" t="s">
        <v>1758</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45">
      <c r="A203" t="s">
        <v>1623</v>
      </c>
      <c r="B203" t="s">
        <v>1624</v>
      </c>
      <c r="C203" t="s">
        <v>1757</v>
      </c>
      <c r="D203" t="s">
        <v>1758</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45">
      <c r="A204" t="s">
        <v>1227</v>
      </c>
      <c r="B204" t="s">
        <v>1625</v>
      </c>
      <c r="C204" t="s">
        <v>1757</v>
      </c>
      <c r="D204" t="s">
        <v>1758</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45">
      <c r="A205" t="s">
        <v>1124</v>
      </c>
      <c r="B205" t="s">
        <v>1626</v>
      </c>
      <c r="C205" t="s">
        <v>1757</v>
      </c>
      <c r="D205" t="s">
        <v>1758</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45">
      <c r="A206" t="s">
        <v>1240</v>
      </c>
      <c r="B206" t="s">
        <v>1627</v>
      </c>
      <c r="C206" t="s">
        <v>1757</v>
      </c>
      <c r="D206" t="s">
        <v>1758</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45">
      <c r="A207" t="s">
        <v>1241</v>
      </c>
      <c r="B207" t="s">
        <v>1628</v>
      </c>
      <c r="C207" t="s">
        <v>1757</v>
      </c>
      <c r="D207" t="s">
        <v>1758</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45">
      <c r="A208" t="s">
        <v>600</v>
      </c>
      <c r="B208" t="s">
        <v>1629</v>
      </c>
      <c r="C208" t="s">
        <v>1757</v>
      </c>
      <c r="D208" t="s">
        <v>1758</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45">
      <c r="A209" t="s">
        <v>1630</v>
      </c>
      <c r="B209" t="s">
        <v>1631</v>
      </c>
      <c r="C209" t="s">
        <v>1757</v>
      </c>
      <c r="D209" t="s">
        <v>1758</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45">
      <c r="A210" t="s">
        <v>1125</v>
      </c>
      <c r="B210" t="s">
        <v>1632</v>
      </c>
      <c r="C210" t="s">
        <v>1757</v>
      </c>
      <c r="D210" t="s">
        <v>1758</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45">
      <c r="A211" t="s">
        <v>1109</v>
      </c>
      <c r="B211" t="s">
        <v>1633</v>
      </c>
      <c r="C211" t="s">
        <v>1757</v>
      </c>
      <c r="D211" t="s">
        <v>1758</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45">
      <c r="A212" t="s">
        <v>1100</v>
      </c>
      <c r="B212" t="s">
        <v>1634</v>
      </c>
      <c r="C212" t="s">
        <v>1757</v>
      </c>
      <c r="D212" t="s">
        <v>1758</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45">
      <c r="A213" t="s">
        <v>1166</v>
      </c>
      <c r="B213" t="s">
        <v>1635</v>
      </c>
      <c r="C213" t="s">
        <v>1757</v>
      </c>
      <c r="D213" t="s">
        <v>1758</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45">
      <c r="A214" t="s">
        <v>1220</v>
      </c>
      <c r="B214" t="s">
        <v>1636</v>
      </c>
      <c r="C214" t="s">
        <v>1757</v>
      </c>
      <c r="D214" t="s">
        <v>1758</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45">
      <c r="A215" t="s">
        <v>1101</v>
      </c>
      <c r="B215" t="s">
        <v>1637</v>
      </c>
      <c r="C215" t="s">
        <v>1757</v>
      </c>
      <c r="D215" t="s">
        <v>1758</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45">
      <c r="A216" t="s">
        <v>1192</v>
      </c>
      <c r="B216" t="s">
        <v>1638</v>
      </c>
      <c r="C216" t="s">
        <v>1757</v>
      </c>
      <c r="D216" t="s">
        <v>1758</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45">
      <c r="A217" t="s">
        <v>1639</v>
      </c>
      <c r="B217" t="s">
        <v>1640</v>
      </c>
      <c r="C217" t="s">
        <v>1757</v>
      </c>
      <c r="D217" t="s">
        <v>1758</v>
      </c>
    </row>
    <row r="218" spans="1:64" x14ac:dyDescent="0.45">
      <c r="A218" t="s">
        <v>1075</v>
      </c>
      <c r="B218" t="s">
        <v>1641</v>
      </c>
      <c r="C218" t="s">
        <v>1757</v>
      </c>
      <c r="D218" t="s">
        <v>1758</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45">
      <c r="A219" t="s">
        <v>1266</v>
      </c>
      <c r="B219" t="s">
        <v>1642</v>
      </c>
      <c r="C219" t="s">
        <v>1757</v>
      </c>
      <c r="D219" t="s">
        <v>1758</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45">
      <c r="A220" t="s">
        <v>1643</v>
      </c>
      <c r="B220" t="s">
        <v>1644</v>
      </c>
      <c r="C220" t="s">
        <v>1757</v>
      </c>
      <c r="D220" t="s">
        <v>1758</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45">
      <c r="A221" t="s">
        <v>1076</v>
      </c>
      <c r="B221" t="s">
        <v>1645</v>
      </c>
      <c r="C221" t="s">
        <v>1757</v>
      </c>
      <c r="D221" t="s">
        <v>1758</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45">
      <c r="A222" t="s">
        <v>1646</v>
      </c>
      <c r="B222" t="s">
        <v>1647</v>
      </c>
      <c r="C222" t="s">
        <v>1757</v>
      </c>
      <c r="D222" t="s">
        <v>1758</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45">
      <c r="A223" t="s">
        <v>1648</v>
      </c>
      <c r="B223" t="s">
        <v>1649</v>
      </c>
      <c r="C223" t="s">
        <v>1757</v>
      </c>
      <c r="D223" t="s">
        <v>1758</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45">
      <c r="A224" t="s">
        <v>1084</v>
      </c>
      <c r="B224" t="s">
        <v>1650</v>
      </c>
      <c r="C224" t="s">
        <v>1757</v>
      </c>
      <c r="D224" t="s">
        <v>1758</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45">
      <c r="A225" t="s">
        <v>1209</v>
      </c>
      <c r="B225" t="s">
        <v>1651</v>
      </c>
      <c r="C225" t="s">
        <v>1757</v>
      </c>
      <c r="D225" t="s">
        <v>1758</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45">
      <c r="A226" t="s">
        <v>1652</v>
      </c>
      <c r="B226" t="s">
        <v>1653</v>
      </c>
      <c r="C226" t="s">
        <v>1757</v>
      </c>
      <c r="D226" t="s">
        <v>1758</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45">
      <c r="A227" t="s">
        <v>1267</v>
      </c>
      <c r="B227" t="s">
        <v>1654</v>
      </c>
      <c r="C227" t="s">
        <v>1757</v>
      </c>
      <c r="D227" t="s">
        <v>1758</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45">
      <c r="A228" t="s">
        <v>1254</v>
      </c>
      <c r="B228" t="s">
        <v>1655</v>
      </c>
      <c r="C228" t="s">
        <v>1757</v>
      </c>
      <c r="D228" t="s">
        <v>1758</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45">
      <c r="A229" t="s">
        <v>603</v>
      </c>
      <c r="B229" t="s">
        <v>1656</v>
      </c>
      <c r="C229" t="s">
        <v>1757</v>
      </c>
      <c r="D229" t="s">
        <v>1758</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45">
      <c r="A230" t="s">
        <v>1657</v>
      </c>
      <c r="B230" t="s">
        <v>1658</v>
      </c>
      <c r="C230" t="s">
        <v>1757</v>
      </c>
      <c r="D230" t="s">
        <v>1758</v>
      </c>
    </row>
    <row r="231" spans="1:64" x14ac:dyDescent="0.45">
      <c r="A231" t="s">
        <v>1074</v>
      </c>
      <c r="B231" t="s">
        <v>1659</v>
      </c>
      <c r="C231" t="s">
        <v>1757</v>
      </c>
      <c r="D231" t="s">
        <v>1758</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45">
      <c r="A232" t="s">
        <v>1127</v>
      </c>
      <c r="B232" t="s">
        <v>1660</v>
      </c>
      <c r="C232" t="s">
        <v>1757</v>
      </c>
      <c r="D232" t="s">
        <v>1758</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45">
      <c r="A233" t="s">
        <v>1661</v>
      </c>
      <c r="B233" t="s">
        <v>1662</v>
      </c>
      <c r="C233" t="s">
        <v>1757</v>
      </c>
      <c r="D233" t="s">
        <v>1758</v>
      </c>
    </row>
    <row r="234" spans="1:64" x14ac:dyDescent="0.45">
      <c r="A234" t="s">
        <v>1080</v>
      </c>
      <c r="B234" t="s">
        <v>1663</v>
      </c>
      <c r="C234" t="s">
        <v>1757</v>
      </c>
      <c r="D234" t="s">
        <v>1758</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45">
      <c r="A235" t="s">
        <v>1664</v>
      </c>
      <c r="B235" t="s">
        <v>1665</v>
      </c>
      <c r="C235" t="s">
        <v>1757</v>
      </c>
      <c r="D235" t="s">
        <v>1758</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45">
      <c r="A236" t="s">
        <v>1666</v>
      </c>
      <c r="B236" t="s">
        <v>1667</v>
      </c>
      <c r="C236" t="s">
        <v>1757</v>
      </c>
      <c r="D236" t="s">
        <v>1758</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45">
      <c r="A237" t="s">
        <v>1102</v>
      </c>
      <c r="B237" t="s">
        <v>1668</v>
      </c>
      <c r="C237" t="s">
        <v>1757</v>
      </c>
      <c r="D237" t="s">
        <v>1758</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45">
      <c r="A238" t="s">
        <v>1167</v>
      </c>
      <c r="B238" t="s">
        <v>1669</v>
      </c>
      <c r="C238" t="s">
        <v>1757</v>
      </c>
      <c r="D238" t="s">
        <v>1758</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45">
      <c r="A239" t="s">
        <v>1135</v>
      </c>
      <c r="B239" t="s">
        <v>1670</v>
      </c>
      <c r="C239" t="s">
        <v>1757</v>
      </c>
      <c r="D239" t="s">
        <v>1758</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45">
      <c r="A240" t="s">
        <v>1136</v>
      </c>
      <c r="B240" t="s">
        <v>1671</v>
      </c>
      <c r="C240" t="s">
        <v>1757</v>
      </c>
      <c r="D240" t="s">
        <v>1758</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45">
      <c r="A241" t="s">
        <v>1672</v>
      </c>
      <c r="B241" t="s">
        <v>1673</v>
      </c>
      <c r="C241" t="s">
        <v>1757</v>
      </c>
      <c r="D241" t="s">
        <v>1758</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45">
      <c r="A242" t="s">
        <v>1168</v>
      </c>
      <c r="B242" t="s">
        <v>1674</v>
      </c>
      <c r="C242" t="s">
        <v>1757</v>
      </c>
      <c r="D242" t="s">
        <v>1758</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45">
      <c r="A243" t="s">
        <v>1675</v>
      </c>
      <c r="B243" t="s">
        <v>1676</v>
      </c>
      <c r="C243" t="s">
        <v>1757</v>
      </c>
      <c r="D243" t="s">
        <v>1758</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45">
      <c r="A244" t="s">
        <v>1229</v>
      </c>
      <c r="B244" t="s">
        <v>1677</v>
      </c>
      <c r="C244" t="s">
        <v>1757</v>
      </c>
      <c r="D244" t="s">
        <v>1758</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45">
      <c r="A245" t="s">
        <v>1678</v>
      </c>
      <c r="B245" t="s">
        <v>1679</v>
      </c>
      <c r="C245" t="s">
        <v>1757</v>
      </c>
      <c r="D245" t="s">
        <v>1758</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45">
      <c r="A246" t="s">
        <v>1680</v>
      </c>
      <c r="B246" t="s">
        <v>1681</v>
      </c>
      <c r="C246" t="s">
        <v>1757</v>
      </c>
      <c r="D246" t="s">
        <v>1758</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45">
      <c r="A247" t="s">
        <v>1187</v>
      </c>
      <c r="B247" t="s">
        <v>1682</v>
      </c>
      <c r="C247" t="s">
        <v>1757</v>
      </c>
      <c r="D247" t="s">
        <v>1758</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45">
      <c r="A248" t="s">
        <v>1110</v>
      </c>
      <c r="B248" t="s">
        <v>1683</v>
      </c>
      <c r="C248" t="s">
        <v>1757</v>
      </c>
      <c r="D248" t="s">
        <v>1758</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45">
      <c r="A249" t="s">
        <v>1128</v>
      </c>
      <c r="B249" t="s">
        <v>1684</v>
      </c>
      <c r="C249" t="s">
        <v>1757</v>
      </c>
      <c r="D249" t="s">
        <v>1758</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45">
      <c r="A250" t="s">
        <v>1685</v>
      </c>
      <c r="B250" t="s">
        <v>1686</v>
      </c>
      <c r="C250" t="s">
        <v>1757</v>
      </c>
      <c r="D250" t="s">
        <v>1758</v>
      </c>
    </row>
    <row r="251" spans="1:64" x14ac:dyDescent="0.45">
      <c r="A251" t="s">
        <v>1687</v>
      </c>
      <c r="B251" t="s">
        <v>1688</v>
      </c>
      <c r="C251" t="s">
        <v>1757</v>
      </c>
      <c r="D251" t="s">
        <v>1758</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45">
      <c r="A252" t="s">
        <v>604</v>
      </c>
      <c r="B252" t="s">
        <v>1689</v>
      </c>
      <c r="C252" t="s">
        <v>1757</v>
      </c>
      <c r="D252" t="s">
        <v>1758</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45">
      <c r="A253" t="s">
        <v>1243</v>
      </c>
      <c r="B253" t="s">
        <v>1690</v>
      </c>
      <c r="C253" t="s">
        <v>1757</v>
      </c>
      <c r="D253" t="s">
        <v>1758</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45">
      <c r="A254" t="s">
        <v>1691</v>
      </c>
      <c r="B254" t="s">
        <v>1692</v>
      </c>
      <c r="C254" t="s">
        <v>1757</v>
      </c>
      <c r="D254" t="s">
        <v>1758</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45">
      <c r="A255" t="s">
        <v>1210</v>
      </c>
      <c r="B255" t="s">
        <v>1693</v>
      </c>
      <c r="C255" t="s">
        <v>1757</v>
      </c>
      <c r="D255" t="s">
        <v>1758</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45">
      <c r="A256" t="s">
        <v>1694</v>
      </c>
      <c r="B256" t="s">
        <v>1695</v>
      </c>
      <c r="C256" t="s">
        <v>1757</v>
      </c>
      <c r="D256" t="s">
        <v>1758</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45">
      <c r="A257" t="s">
        <v>1137</v>
      </c>
      <c r="B257" t="s">
        <v>1696</v>
      </c>
      <c r="C257" t="s">
        <v>1757</v>
      </c>
      <c r="D257" t="s">
        <v>1758</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45">
      <c r="A258" t="s">
        <v>1697</v>
      </c>
      <c r="B258" t="s">
        <v>1698</v>
      </c>
      <c r="C258" t="s">
        <v>1757</v>
      </c>
      <c r="D258" t="s">
        <v>1758</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45">
      <c r="A259" t="s">
        <v>1699</v>
      </c>
      <c r="B259" t="s">
        <v>1700</v>
      </c>
      <c r="C259" t="s">
        <v>1757</v>
      </c>
      <c r="D259" t="s">
        <v>1758</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45">
      <c r="A260" t="s">
        <v>1701</v>
      </c>
      <c r="B260" t="s">
        <v>1702</v>
      </c>
      <c r="C260" t="s">
        <v>1757</v>
      </c>
      <c r="D260" t="s">
        <v>1758</v>
      </c>
    </row>
    <row r="261" spans="1:65" x14ac:dyDescent="0.45">
      <c r="A261" t="s">
        <v>1703</v>
      </c>
      <c r="B261" t="s">
        <v>1704</v>
      </c>
      <c r="C261" t="s">
        <v>1757</v>
      </c>
      <c r="D261" t="s">
        <v>1758</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45">
      <c r="A262" t="s">
        <v>1705</v>
      </c>
      <c r="B262" t="s">
        <v>1706</v>
      </c>
      <c r="C262" t="s">
        <v>1757</v>
      </c>
      <c r="D262" t="s">
        <v>1758</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45">
      <c r="A263" t="s">
        <v>1221</v>
      </c>
      <c r="B263" t="s">
        <v>1707</v>
      </c>
      <c r="C263" t="s">
        <v>1757</v>
      </c>
      <c r="D263" t="s">
        <v>1758</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45">
      <c r="A264" t="s">
        <v>1017</v>
      </c>
      <c r="B264" t="s">
        <v>1708</v>
      </c>
      <c r="C264" t="s">
        <v>1757</v>
      </c>
      <c r="D264" t="s">
        <v>1758</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45">
      <c r="A265" t="s">
        <v>1228</v>
      </c>
      <c r="B265" t="s">
        <v>1709</v>
      </c>
      <c r="C265" t="s">
        <v>1757</v>
      </c>
      <c r="D265" t="s">
        <v>1758</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45">
      <c r="A266" t="s">
        <v>1710</v>
      </c>
      <c r="B266" t="s">
        <v>1711</v>
      </c>
      <c r="C266" t="s">
        <v>1757</v>
      </c>
      <c r="D266" t="s">
        <v>1758</v>
      </c>
    </row>
    <row r="267" spans="1:65" x14ac:dyDescent="0.45">
      <c r="A267" t="s">
        <v>1712</v>
      </c>
      <c r="B267" t="s">
        <v>1713</v>
      </c>
      <c r="C267" t="s">
        <v>1757</v>
      </c>
      <c r="D267" t="s">
        <v>1758</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45">
      <c r="A268" t="s">
        <v>602</v>
      </c>
      <c r="B268" t="s">
        <v>1714</v>
      </c>
      <c r="C268" t="s">
        <v>1757</v>
      </c>
      <c r="D268" t="s">
        <v>1758</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45">
      <c r="A269" t="s">
        <v>606</v>
      </c>
      <c r="B269" t="s">
        <v>1715</v>
      </c>
      <c r="C269" t="s">
        <v>1757</v>
      </c>
      <c r="D269" t="s">
        <v>1758</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45">
      <c r="A270" t="s">
        <v>607</v>
      </c>
      <c r="B270" t="s">
        <v>1716</v>
      </c>
      <c r="C270" t="s">
        <v>1757</v>
      </c>
      <c r="D270" t="s">
        <v>1758</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v>333.16300000000001</v>
      </c>
    </row>
    <row r="271" spans="1:65" s="1" customFormat="1" x14ac:dyDescent="0.45"/>
    <row r="272" spans="1:65" s="1" customFormat="1" x14ac:dyDescent="0.45">
      <c r="BB272" s="1" t="s">
        <v>1717</v>
      </c>
      <c r="BC272" s="155">
        <f t="shared" ref="BC272:BL272" si="0">BC77/BB77</f>
        <v>0.94415647084461873</v>
      </c>
      <c r="BD272" s="155">
        <f t="shared" si="0"/>
        <v>0.94085764452761134</v>
      </c>
      <c r="BE272" s="155">
        <f t="shared" si="0"/>
        <v>0.93713557250436985</v>
      </c>
      <c r="BF272" s="155">
        <f t="shared" si="0"/>
        <v>0.97627139244293393</v>
      </c>
      <c r="BG272" s="155">
        <f t="shared" si="0"/>
        <v>0.97569466058235133</v>
      </c>
      <c r="BH272" s="155">
        <f t="shared" si="0"/>
        <v>0.97509410257794449</v>
      </c>
      <c r="BI272" s="155">
        <f t="shared" si="0"/>
        <v>0.97445292211060341</v>
      </c>
      <c r="BJ272" s="155">
        <f t="shared" si="0"/>
        <v>0.97378315841665963</v>
      </c>
      <c r="BK272" s="155">
        <f t="shared" si="0"/>
        <v>0.98022700753155845</v>
      </c>
      <c r="BL272" s="155">
        <f t="shared" si="0"/>
        <v>0.97992554596021897</v>
      </c>
      <c r="BM272" s="2">
        <f>AVERAGE(BK272:BL272)</f>
        <v>0.98007627674588871</v>
      </c>
    </row>
    <row r="273" spans="8:65" s="1" customFormat="1" x14ac:dyDescent="0.45">
      <c r="BM273" s="51" t="s">
        <v>2118</v>
      </c>
    </row>
    <row r="274" spans="8:65" s="1" customFormat="1" x14ac:dyDescent="0.45">
      <c r="I274" s="1" t="s">
        <v>1719</v>
      </c>
    </row>
    <row r="275" spans="8:65" s="1" customFormat="1" x14ac:dyDescent="0.45">
      <c r="H275">
        <v>2020</v>
      </c>
      <c r="I275" s="156">
        <f>BL77*$BM$272</f>
        <v>177.49377387123394</v>
      </c>
    </row>
    <row r="276" spans="8:65" s="1" customFormat="1" x14ac:dyDescent="0.45">
      <c r="H276">
        <v>2021</v>
      </c>
      <c r="I276" s="156">
        <f>I275*$BM$272</f>
        <v>173.95743704129566</v>
      </c>
    </row>
    <row r="277" spans="8:65" s="1" customFormat="1" x14ac:dyDescent="0.45">
      <c r="H277">
        <v>2022</v>
      </c>
      <c r="I277" s="156">
        <f t="shared" ref="I277:I295" si="1">I276*$BM$272</f>
        <v>170.49155720769039</v>
      </c>
    </row>
    <row r="278" spans="8:65" s="1" customFormat="1" x14ac:dyDescent="0.45">
      <c r="H278">
        <v>2023</v>
      </c>
      <c r="I278" s="156">
        <f t="shared" si="1"/>
        <v>167.09473060472189</v>
      </c>
    </row>
    <row r="279" spans="8:65" s="1" customFormat="1" x14ac:dyDescent="0.45">
      <c r="H279">
        <v>2024</v>
      </c>
      <c r="I279" s="156">
        <f t="shared" si="1"/>
        <v>163.76558143493313</v>
      </c>
    </row>
    <row r="280" spans="8:65" s="1" customFormat="1" x14ac:dyDescent="0.45">
      <c r="H280">
        <v>2025</v>
      </c>
      <c r="I280" s="156">
        <f t="shared" si="1"/>
        <v>160.50276131187488</v>
      </c>
    </row>
    <row r="281" spans="8:65" s="1" customFormat="1" x14ac:dyDescent="0.45">
      <c r="H281">
        <v>2026</v>
      </c>
      <c r="I281" s="156">
        <f t="shared" si="1"/>
        <v>157.30494871397642</v>
      </c>
    </row>
    <row r="282" spans="8:65" s="1" customFormat="1" x14ac:dyDescent="0.45">
      <c r="H282">
        <v>2027</v>
      </c>
      <c r="I282" s="156">
        <f t="shared" si="1"/>
        <v>154.17084844929698</v>
      </c>
    </row>
    <row r="283" spans="8:65" s="1" customFormat="1" x14ac:dyDescent="0.45">
      <c r="H283">
        <v>2028</v>
      </c>
      <c r="I283" s="156">
        <f t="shared" si="1"/>
        <v>151.09919113094165</v>
      </c>
    </row>
    <row r="284" spans="8:65" s="1" customFormat="1" x14ac:dyDescent="0.45">
      <c r="H284">
        <v>2029</v>
      </c>
      <c r="I284" s="156">
        <f t="shared" si="1"/>
        <v>148.08873266292869</v>
      </c>
    </row>
    <row r="285" spans="8:65" s="1" customFormat="1" x14ac:dyDescent="0.45">
      <c r="H285">
        <v>2030</v>
      </c>
      <c r="I285" s="156">
        <f t="shared" si="1"/>
        <v>145.13825373630044</v>
      </c>
    </row>
    <row r="286" spans="8:65" s="1" customFormat="1" x14ac:dyDescent="0.45">
      <c r="H286">
        <v>2031</v>
      </c>
      <c r="I286" s="156">
        <f t="shared" si="1"/>
        <v>142.24655933527342</v>
      </c>
    </row>
    <row r="287" spans="8:65" s="1" customFormat="1" x14ac:dyDescent="0.45">
      <c r="H287">
        <v>2032</v>
      </c>
      <c r="I287" s="156">
        <f t="shared" si="1"/>
        <v>139.4124782532279</v>
      </c>
    </row>
    <row r="288" spans="8:65" s="1" customFormat="1" x14ac:dyDescent="0.45">
      <c r="H288">
        <v>2033</v>
      </c>
      <c r="I288" s="156">
        <f t="shared" si="1"/>
        <v>136.63486261834078</v>
      </c>
    </row>
    <row r="289" spans="3:9" s="1" customFormat="1" x14ac:dyDescent="0.45">
      <c r="C289" s="49"/>
      <c r="D289" s="49"/>
      <c r="E289" s="49"/>
      <c r="H289">
        <v>2034</v>
      </c>
      <c r="I289" s="156">
        <f t="shared" si="1"/>
        <v>133.91258742866944</v>
      </c>
    </row>
    <row r="290" spans="3:9" s="1" customFormat="1" x14ac:dyDescent="0.45">
      <c r="C290" s="49"/>
      <c r="D290" s="49"/>
      <c r="E290" s="49"/>
      <c r="H290">
        <v>2035</v>
      </c>
      <c r="I290" s="156">
        <f t="shared" si="1"/>
        <v>131.24455009649864</v>
      </c>
    </row>
    <row r="291" spans="3:9" s="1" customFormat="1" x14ac:dyDescent="0.45">
      <c r="C291" s="49"/>
      <c r="D291" s="49"/>
      <c r="E291" s="49"/>
      <c r="H291">
        <v>2036</v>
      </c>
      <c r="I291" s="156">
        <f t="shared" si="1"/>
        <v>128.62967000176565</v>
      </c>
    </row>
    <row r="292" spans="3:9" s="1" customFormat="1" x14ac:dyDescent="0.45">
      <c r="H292">
        <v>2037</v>
      </c>
      <c r="I292" s="156">
        <f t="shared" si="1"/>
        <v>126.0668880543828</v>
      </c>
    </row>
    <row r="293" spans="3:9" s="1" customFormat="1" x14ac:dyDescent="0.45">
      <c r="H293">
        <v>2038</v>
      </c>
      <c r="I293" s="156">
        <f t="shared" si="1"/>
        <v>123.55516626528025</v>
      </c>
    </row>
    <row r="294" spans="3:9" s="1" customFormat="1" x14ac:dyDescent="0.45">
      <c r="H294">
        <v>2039</v>
      </c>
      <c r="I294" s="156">
        <f t="shared" si="1"/>
        <v>121.0934873259951</v>
      </c>
    </row>
    <row r="295" spans="3:9" s="1" customFormat="1" x14ac:dyDescent="0.45">
      <c r="H295">
        <v>2040</v>
      </c>
      <c r="I295" s="156">
        <f t="shared" si="1"/>
        <v>118.68085419663674</v>
      </c>
    </row>
    <row r="296" spans="3:9" s="1" customFormat="1" x14ac:dyDescent="0.45"/>
  </sheetData>
  <pageMargins left="0.7" right="0.7" top="0.75" bottom="0.75" header="0.3" footer="0.3"/>
  <headerFooter alignWithMargins="0"/>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37A22-EA7B-43D3-BB1E-BA03E1AF7C0B}">
  <dimension ref="A1:BM296"/>
  <sheetViews>
    <sheetView workbookViewId="0">
      <selection activeCell="P298" sqref="P298"/>
    </sheetView>
  </sheetViews>
  <sheetFormatPr defaultRowHeight="14.25" x14ac:dyDescent="0.45"/>
  <cols>
    <col min="1" max="1" width="44.19921875" bestFit="1" customWidth="1"/>
    <col min="2" max="2" width="25.53125" bestFit="1" customWidth="1"/>
    <col min="3" max="3" width="41.19921875" bestFit="1" customWidth="1"/>
    <col min="4" max="4" width="15.53125" bestFit="1" customWidth="1"/>
    <col min="5" max="64" width="11.46484375" bestFit="1" customWidth="1"/>
    <col min="65" max="65" width="10.796875" customWidth="1"/>
  </cols>
  <sheetData>
    <row r="1" spans="1:65" x14ac:dyDescent="0.45">
      <c r="A1" t="s">
        <v>1283</v>
      </c>
      <c r="B1" t="s">
        <v>1284</v>
      </c>
    </row>
    <row r="2" spans="1:65" x14ac:dyDescent="0.45">
      <c r="A2" t="s">
        <v>1285</v>
      </c>
      <c r="B2" s="4">
        <v>44407</v>
      </c>
    </row>
    <row r="4" spans="1:65" x14ac:dyDescent="0.4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45">
      <c r="A5" t="s">
        <v>1173</v>
      </c>
      <c r="B5" t="s">
        <v>1351</v>
      </c>
      <c r="C5" t="s">
        <v>1760</v>
      </c>
      <c r="D5" t="s">
        <v>1761</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45">
      <c r="A6" t="s">
        <v>1354</v>
      </c>
      <c r="B6" t="s">
        <v>1355</v>
      </c>
      <c r="C6" t="s">
        <v>1760</v>
      </c>
      <c r="D6" t="s">
        <v>1761</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45">
      <c r="A7" t="s">
        <v>1139</v>
      </c>
      <c r="B7" t="s">
        <v>1356</v>
      </c>
      <c r="C7" t="s">
        <v>1760</v>
      </c>
      <c r="D7" t="s">
        <v>1761</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45">
      <c r="A8" t="s">
        <v>1357</v>
      </c>
      <c r="B8" t="s">
        <v>1358</v>
      </c>
      <c r="C8" t="s">
        <v>1760</v>
      </c>
      <c r="D8" t="s">
        <v>1761</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45">
      <c r="A9" t="s">
        <v>1078</v>
      </c>
      <c r="B9" t="s">
        <v>1359</v>
      </c>
      <c r="C9" t="s">
        <v>1760</v>
      </c>
      <c r="D9" t="s">
        <v>1761</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45">
      <c r="A10" t="s">
        <v>1257</v>
      </c>
      <c r="B10" t="s">
        <v>1360</v>
      </c>
      <c r="C10" t="s">
        <v>1760</v>
      </c>
      <c r="D10" t="s">
        <v>1761</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45">
      <c r="A11" t="s">
        <v>1361</v>
      </c>
      <c r="B11" t="s">
        <v>1362</v>
      </c>
      <c r="C11" t="s">
        <v>1760</v>
      </c>
      <c r="D11" t="s">
        <v>1761</v>
      </c>
    </row>
    <row r="12" spans="1:65" x14ac:dyDescent="0.45">
      <c r="A12" t="s">
        <v>1363</v>
      </c>
      <c r="B12" t="s">
        <v>1364</v>
      </c>
      <c r="C12" t="s">
        <v>1760</v>
      </c>
      <c r="D12" t="s">
        <v>1761</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45">
      <c r="A13" t="s">
        <v>1129</v>
      </c>
      <c r="B13" t="s">
        <v>1365</v>
      </c>
      <c r="C13" t="s">
        <v>1760</v>
      </c>
      <c r="D13" t="s">
        <v>1761</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45">
      <c r="A14" t="s">
        <v>1199</v>
      </c>
      <c r="B14" t="s">
        <v>1366</v>
      </c>
      <c r="C14" t="s">
        <v>1760</v>
      </c>
      <c r="D14" t="s">
        <v>1761</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45">
      <c r="A15" t="s">
        <v>1113</v>
      </c>
      <c r="B15" t="s">
        <v>1367</v>
      </c>
      <c r="C15" t="s">
        <v>1760</v>
      </c>
      <c r="D15" t="s">
        <v>1761</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45">
      <c r="A16" t="s">
        <v>1368</v>
      </c>
      <c r="B16" t="s">
        <v>1369</v>
      </c>
      <c r="C16" t="s">
        <v>1760</v>
      </c>
      <c r="D16" t="s">
        <v>1761</v>
      </c>
    </row>
    <row r="17" spans="1:64" x14ac:dyDescent="0.45">
      <c r="A17" t="s">
        <v>1172</v>
      </c>
      <c r="B17" t="s">
        <v>1370</v>
      </c>
      <c r="C17" t="s">
        <v>1760</v>
      </c>
      <c r="D17" t="s">
        <v>1761</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45">
      <c r="A18" t="s">
        <v>1213</v>
      </c>
      <c r="B18" t="s">
        <v>1371</v>
      </c>
      <c r="C18" t="s">
        <v>1760</v>
      </c>
      <c r="D18" t="s">
        <v>1761</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45">
      <c r="A19" t="s">
        <v>1270</v>
      </c>
      <c r="B19" t="s">
        <v>1372</v>
      </c>
      <c r="C19" t="s">
        <v>1760</v>
      </c>
      <c r="D19" t="s">
        <v>1761</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45">
      <c r="A20" t="s">
        <v>1114</v>
      </c>
      <c r="B20" t="s">
        <v>1373</v>
      </c>
      <c r="C20" t="s">
        <v>1760</v>
      </c>
      <c r="D20" t="s">
        <v>1761</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45">
      <c r="A21" t="s">
        <v>582</v>
      </c>
      <c r="B21" t="s">
        <v>1374</v>
      </c>
      <c r="C21" t="s">
        <v>1760</v>
      </c>
      <c r="D21" t="s">
        <v>1761</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45">
      <c r="A22" t="s">
        <v>1271</v>
      </c>
      <c r="B22" t="s">
        <v>1375</v>
      </c>
      <c r="C22" t="s">
        <v>1760</v>
      </c>
      <c r="D22" t="s">
        <v>1761</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45">
      <c r="A23" t="s">
        <v>1088</v>
      </c>
      <c r="B23" t="s">
        <v>1376</v>
      </c>
      <c r="C23" t="s">
        <v>1760</v>
      </c>
      <c r="D23" t="s">
        <v>1761</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45">
      <c r="A24" t="s">
        <v>1089</v>
      </c>
      <c r="B24" t="s">
        <v>1377</v>
      </c>
      <c r="C24" t="s">
        <v>1760</v>
      </c>
      <c r="D24" t="s">
        <v>1761</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45">
      <c r="A25" t="s">
        <v>1140</v>
      </c>
      <c r="B25" t="s">
        <v>1378</v>
      </c>
      <c r="C25" t="s">
        <v>1760</v>
      </c>
      <c r="D25" t="s">
        <v>1761</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45">
      <c r="A26" t="s">
        <v>1235</v>
      </c>
      <c r="B26" t="s">
        <v>1379</v>
      </c>
      <c r="C26" t="s">
        <v>1760</v>
      </c>
      <c r="D26" t="s">
        <v>1761</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45">
      <c r="A27" t="s">
        <v>1115</v>
      </c>
      <c r="B27" t="s">
        <v>1380</v>
      </c>
      <c r="C27" t="s">
        <v>1760</v>
      </c>
      <c r="D27" t="s">
        <v>1761</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45">
      <c r="A28" t="s">
        <v>1381</v>
      </c>
      <c r="B28" t="s">
        <v>1382</v>
      </c>
      <c r="C28" t="s">
        <v>1760</v>
      </c>
      <c r="D28" t="s">
        <v>1761</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45">
      <c r="A29" t="s">
        <v>1258</v>
      </c>
      <c r="B29" t="s">
        <v>1383</v>
      </c>
      <c r="C29" t="s">
        <v>1760</v>
      </c>
      <c r="D29" t="s">
        <v>1761</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45">
      <c r="A30" t="s">
        <v>1234</v>
      </c>
      <c r="B30" t="s">
        <v>1384</v>
      </c>
      <c r="C30" t="s">
        <v>1760</v>
      </c>
      <c r="D30" t="s">
        <v>1761</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45">
      <c r="A31" t="s">
        <v>1190</v>
      </c>
      <c r="B31" t="s">
        <v>1385</v>
      </c>
      <c r="C31" t="s">
        <v>1760</v>
      </c>
      <c r="D31" t="s">
        <v>1761</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45">
      <c r="A32" t="s">
        <v>1386</v>
      </c>
      <c r="B32" t="s">
        <v>1387</v>
      </c>
      <c r="C32" t="s">
        <v>1760</v>
      </c>
      <c r="D32" t="s">
        <v>1761</v>
      </c>
    </row>
    <row r="33" spans="1:64" x14ac:dyDescent="0.45">
      <c r="A33" t="s">
        <v>1388</v>
      </c>
      <c r="B33" t="s">
        <v>1389</v>
      </c>
      <c r="C33" t="s">
        <v>1760</v>
      </c>
      <c r="D33" t="s">
        <v>1761</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45">
      <c r="A34" t="s">
        <v>1201</v>
      </c>
      <c r="B34" t="s">
        <v>1390</v>
      </c>
      <c r="C34" t="s">
        <v>1760</v>
      </c>
      <c r="D34" t="s">
        <v>1761</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45">
      <c r="A35" t="s">
        <v>1175</v>
      </c>
      <c r="B35" t="s">
        <v>1391</v>
      </c>
      <c r="C35" t="s">
        <v>1760</v>
      </c>
      <c r="D35" t="s">
        <v>1761</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45">
      <c r="A36" t="s">
        <v>1159</v>
      </c>
      <c r="B36" t="s">
        <v>1392</v>
      </c>
      <c r="C36" t="s">
        <v>1760</v>
      </c>
      <c r="D36" t="s">
        <v>1761</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45">
      <c r="A37" t="s">
        <v>1141</v>
      </c>
      <c r="B37" t="s">
        <v>1393</v>
      </c>
      <c r="C37" t="s">
        <v>1760</v>
      </c>
      <c r="D37" t="s">
        <v>1761</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45">
      <c r="A38" t="s">
        <v>580</v>
      </c>
      <c r="B38" t="s">
        <v>1394</v>
      </c>
      <c r="C38" t="s">
        <v>1760</v>
      </c>
      <c r="D38" t="s">
        <v>1761</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45">
      <c r="A39" t="s">
        <v>584</v>
      </c>
      <c r="B39" t="s">
        <v>1395</v>
      </c>
      <c r="C39" t="s">
        <v>1760</v>
      </c>
      <c r="D39" t="s">
        <v>1761</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45">
      <c r="A40" t="s">
        <v>1278</v>
      </c>
      <c r="B40" t="s">
        <v>1396</v>
      </c>
      <c r="C40" t="s">
        <v>1760</v>
      </c>
      <c r="D40" t="s">
        <v>1761</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45">
      <c r="A41" t="s">
        <v>1397</v>
      </c>
      <c r="B41" t="s">
        <v>1398</v>
      </c>
      <c r="C41" t="s">
        <v>1760</v>
      </c>
      <c r="D41" t="s">
        <v>1761</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45">
      <c r="A42" t="s">
        <v>1276</v>
      </c>
      <c r="B42" t="s">
        <v>1399</v>
      </c>
      <c r="C42" t="s">
        <v>1760</v>
      </c>
      <c r="D42" t="s">
        <v>1761</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45">
      <c r="A43" t="s">
        <v>1245</v>
      </c>
      <c r="B43" t="s">
        <v>1400</v>
      </c>
      <c r="C43" t="s">
        <v>1760</v>
      </c>
      <c r="D43" t="s">
        <v>1761</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45">
      <c r="A44" t="s">
        <v>1202</v>
      </c>
      <c r="B44" t="s">
        <v>1401</v>
      </c>
      <c r="C44" t="s">
        <v>1760</v>
      </c>
      <c r="D44" t="s">
        <v>1761</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45">
      <c r="A45" t="s">
        <v>1150</v>
      </c>
      <c r="B45" t="s">
        <v>1402</v>
      </c>
      <c r="C45" t="s">
        <v>1760</v>
      </c>
      <c r="D45" t="s">
        <v>1761</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45">
      <c r="A46" t="s">
        <v>1403</v>
      </c>
      <c r="B46" t="s">
        <v>1404</v>
      </c>
      <c r="C46" t="s">
        <v>1760</v>
      </c>
      <c r="D46" t="s">
        <v>1761</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45">
      <c r="A47" t="s">
        <v>1079</v>
      </c>
      <c r="B47" t="s">
        <v>1405</v>
      </c>
      <c r="C47" t="s">
        <v>1760</v>
      </c>
      <c r="D47" t="s">
        <v>1761</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45">
      <c r="A48" t="s">
        <v>1406</v>
      </c>
      <c r="B48" t="s">
        <v>1407</v>
      </c>
      <c r="C48" t="s">
        <v>1760</v>
      </c>
      <c r="D48" t="s">
        <v>1761</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45">
      <c r="A49" t="s">
        <v>1408</v>
      </c>
      <c r="B49" t="s">
        <v>1409</v>
      </c>
      <c r="C49" t="s">
        <v>1760</v>
      </c>
      <c r="D49" t="s">
        <v>1761</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45">
      <c r="A50" t="s">
        <v>1203</v>
      </c>
      <c r="B50" t="s">
        <v>1410</v>
      </c>
      <c r="C50" t="s">
        <v>1760</v>
      </c>
      <c r="D50" t="s">
        <v>1761</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45">
      <c r="A51" t="s">
        <v>1067</v>
      </c>
      <c r="B51" t="s">
        <v>1411</v>
      </c>
      <c r="C51" t="s">
        <v>1760</v>
      </c>
      <c r="D51" t="s">
        <v>1761</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45">
      <c r="A52" t="s">
        <v>1090</v>
      </c>
      <c r="B52" t="s">
        <v>1412</v>
      </c>
      <c r="C52" t="s">
        <v>1760</v>
      </c>
      <c r="D52" t="s">
        <v>1761</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45">
      <c r="A53" t="s">
        <v>1191</v>
      </c>
      <c r="B53" t="s">
        <v>1413</v>
      </c>
      <c r="C53" t="s">
        <v>1760</v>
      </c>
      <c r="D53" t="s">
        <v>1761</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45">
      <c r="A54" t="s">
        <v>1414</v>
      </c>
      <c r="B54" t="s">
        <v>1415</v>
      </c>
      <c r="C54" t="s">
        <v>1760</v>
      </c>
      <c r="D54" t="s">
        <v>1761</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45">
      <c r="A55" t="s">
        <v>1176</v>
      </c>
      <c r="B55" t="s">
        <v>1416</v>
      </c>
      <c r="C55" t="s">
        <v>1760</v>
      </c>
      <c r="D55" t="s">
        <v>1761</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45">
      <c r="A56" t="s">
        <v>1417</v>
      </c>
      <c r="B56" t="s">
        <v>1418</v>
      </c>
      <c r="C56" t="s">
        <v>1760</v>
      </c>
      <c r="D56" t="s">
        <v>1761</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45">
      <c r="A57" t="s">
        <v>1419</v>
      </c>
      <c r="B57" t="s">
        <v>1420</v>
      </c>
      <c r="C57" t="s">
        <v>1760</v>
      </c>
      <c r="D57" t="s">
        <v>1761</v>
      </c>
    </row>
    <row r="58" spans="1:64" x14ac:dyDescent="0.45">
      <c r="A58" t="s">
        <v>1116</v>
      </c>
      <c r="B58" t="s">
        <v>1421</v>
      </c>
      <c r="C58" t="s">
        <v>1760</v>
      </c>
      <c r="D58" t="s">
        <v>1761</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45">
      <c r="A59" t="s">
        <v>1422</v>
      </c>
      <c r="B59" t="s">
        <v>1423</v>
      </c>
      <c r="C59" t="s">
        <v>1760</v>
      </c>
      <c r="D59" t="s">
        <v>1761</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45">
      <c r="A60" t="s">
        <v>1273</v>
      </c>
      <c r="B60" t="s">
        <v>1424</v>
      </c>
      <c r="C60" t="s">
        <v>1760</v>
      </c>
      <c r="D60" t="s">
        <v>1761</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45">
      <c r="A61" t="s">
        <v>1068</v>
      </c>
      <c r="B61" t="s">
        <v>1425</v>
      </c>
      <c r="C61" t="s">
        <v>1760</v>
      </c>
      <c r="D61" t="s">
        <v>1761</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45">
      <c r="A62" t="s">
        <v>1426</v>
      </c>
      <c r="B62" t="s">
        <v>1427</v>
      </c>
      <c r="C62" t="s">
        <v>1760</v>
      </c>
      <c r="D62" t="s">
        <v>1761</v>
      </c>
      <c r="AI62">
        <v>154.17685339798601</v>
      </c>
      <c r="AS62">
        <v>183</v>
      </c>
    </row>
    <row r="63" spans="1:64" x14ac:dyDescent="0.45">
      <c r="A63" t="s">
        <v>1246</v>
      </c>
      <c r="B63" t="s">
        <v>1428</v>
      </c>
      <c r="C63" t="s">
        <v>1760</v>
      </c>
      <c r="D63" t="s">
        <v>1761</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45">
      <c r="A64" t="s">
        <v>1178</v>
      </c>
      <c r="B64" t="s">
        <v>1429</v>
      </c>
      <c r="C64" t="s">
        <v>1760</v>
      </c>
      <c r="D64" t="s">
        <v>1761</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45">
      <c r="A65" t="s">
        <v>1105</v>
      </c>
      <c r="B65" t="s">
        <v>1430</v>
      </c>
      <c r="C65" t="s">
        <v>1760</v>
      </c>
      <c r="D65" t="s">
        <v>1761</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45">
      <c r="A66" t="s">
        <v>1431</v>
      </c>
      <c r="B66" t="s">
        <v>1432</v>
      </c>
      <c r="C66" t="s">
        <v>1760</v>
      </c>
      <c r="D66" t="s">
        <v>1761</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45">
      <c r="A67" t="s">
        <v>1433</v>
      </c>
      <c r="B67" t="s">
        <v>1434</v>
      </c>
      <c r="C67" t="s">
        <v>1760</v>
      </c>
      <c r="D67" t="s">
        <v>1761</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45">
      <c r="A68" t="s">
        <v>1435</v>
      </c>
      <c r="B68" t="s">
        <v>1436</v>
      </c>
      <c r="C68" t="s">
        <v>1760</v>
      </c>
      <c r="D68" t="s">
        <v>1761</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45">
      <c r="A69" t="s">
        <v>1437</v>
      </c>
      <c r="B69" t="s">
        <v>1438</v>
      </c>
      <c r="C69" t="s">
        <v>1760</v>
      </c>
      <c r="D69" t="s">
        <v>1761</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45">
      <c r="A70" t="s">
        <v>1439</v>
      </c>
      <c r="B70" t="s">
        <v>1440</v>
      </c>
      <c r="C70" t="s">
        <v>1760</v>
      </c>
      <c r="D70" t="s">
        <v>1761</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45">
      <c r="A71" t="s">
        <v>1204</v>
      </c>
      <c r="B71" t="s">
        <v>1441</v>
      </c>
      <c r="C71" t="s">
        <v>1760</v>
      </c>
      <c r="D71" t="s">
        <v>1761</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45">
      <c r="A72" t="s">
        <v>1442</v>
      </c>
      <c r="B72" t="s">
        <v>1443</v>
      </c>
      <c r="C72" t="s">
        <v>1760</v>
      </c>
      <c r="D72" t="s">
        <v>1761</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45">
      <c r="A73" t="s">
        <v>1444</v>
      </c>
      <c r="B73" t="s">
        <v>1445</v>
      </c>
      <c r="C73" t="s">
        <v>1760</v>
      </c>
      <c r="D73" t="s">
        <v>1761</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45">
      <c r="A74" t="s">
        <v>592</v>
      </c>
      <c r="B74" t="s">
        <v>1446</v>
      </c>
      <c r="C74" t="s">
        <v>1760</v>
      </c>
      <c r="D74" t="s">
        <v>1761</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45">
      <c r="A75" t="s">
        <v>1268</v>
      </c>
      <c r="B75" t="s">
        <v>1447</v>
      </c>
      <c r="C75" t="s">
        <v>1760</v>
      </c>
      <c r="D75" t="s">
        <v>1761</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45">
      <c r="A76" t="s">
        <v>1247</v>
      </c>
      <c r="B76" t="s">
        <v>1448</v>
      </c>
      <c r="C76" t="s">
        <v>1760</v>
      </c>
      <c r="D76" t="s">
        <v>1761</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45">
      <c r="A77" t="s">
        <v>594</v>
      </c>
      <c r="B77" t="s">
        <v>926</v>
      </c>
      <c r="C77" t="s">
        <v>1760</v>
      </c>
      <c r="D77" t="s">
        <v>1761</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45">
      <c r="A78" t="s">
        <v>1449</v>
      </c>
      <c r="B78" t="s">
        <v>1450</v>
      </c>
      <c r="C78" t="s">
        <v>1760</v>
      </c>
      <c r="D78" t="s">
        <v>1761</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45">
      <c r="A79" t="s">
        <v>1451</v>
      </c>
      <c r="B79" t="s">
        <v>1452</v>
      </c>
      <c r="C79" t="s">
        <v>1760</v>
      </c>
      <c r="D79" t="s">
        <v>1761</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45">
      <c r="A80" t="s">
        <v>1248</v>
      </c>
      <c r="B80" t="s">
        <v>1453</v>
      </c>
      <c r="C80" t="s">
        <v>1760</v>
      </c>
      <c r="D80" t="s">
        <v>1761</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45">
      <c r="A81" t="s">
        <v>1217</v>
      </c>
      <c r="B81" t="s">
        <v>1454</v>
      </c>
      <c r="C81" t="s">
        <v>1760</v>
      </c>
      <c r="D81" t="s">
        <v>1761</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45">
      <c r="A82" t="s">
        <v>1272</v>
      </c>
      <c r="B82" t="s">
        <v>1455</v>
      </c>
      <c r="C82" t="s">
        <v>1760</v>
      </c>
      <c r="D82" t="s">
        <v>1761</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45">
      <c r="A83" t="s">
        <v>1456</v>
      </c>
      <c r="B83" t="s">
        <v>1457</v>
      </c>
      <c r="C83" t="s">
        <v>1760</v>
      </c>
      <c r="D83" t="s">
        <v>1761</v>
      </c>
    </row>
    <row r="84" spans="1:64" x14ac:dyDescent="0.45">
      <c r="A84" t="s">
        <v>1458</v>
      </c>
      <c r="B84" t="s">
        <v>1459</v>
      </c>
      <c r="C84" t="s">
        <v>1760</v>
      </c>
      <c r="D84" t="s">
        <v>1761</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45">
      <c r="A85" t="s">
        <v>1083</v>
      </c>
      <c r="B85" t="s">
        <v>1460</v>
      </c>
      <c r="C85" t="s">
        <v>1760</v>
      </c>
      <c r="D85" t="s">
        <v>1761</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45">
      <c r="A86" t="s">
        <v>1255</v>
      </c>
      <c r="B86" t="s">
        <v>1461</v>
      </c>
      <c r="C86" t="s">
        <v>1760</v>
      </c>
      <c r="D86" t="s">
        <v>1761</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45">
      <c r="A87" t="s">
        <v>1117</v>
      </c>
      <c r="B87" t="s">
        <v>1462</v>
      </c>
      <c r="C87" t="s">
        <v>1760</v>
      </c>
      <c r="D87" t="s">
        <v>1761</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45">
      <c r="A88" t="s">
        <v>1092</v>
      </c>
      <c r="B88" t="s">
        <v>1463</v>
      </c>
      <c r="C88" t="s">
        <v>1760</v>
      </c>
      <c r="D88" t="s">
        <v>1761</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45">
      <c r="A89" t="s">
        <v>1464</v>
      </c>
      <c r="B89" t="s">
        <v>1465</v>
      </c>
      <c r="C89" t="s">
        <v>1760</v>
      </c>
      <c r="D89" t="s">
        <v>1761</v>
      </c>
    </row>
    <row r="90" spans="1:64" x14ac:dyDescent="0.45">
      <c r="A90" t="s">
        <v>1093</v>
      </c>
      <c r="B90" t="s">
        <v>1466</v>
      </c>
      <c r="C90" t="s">
        <v>1760</v>
      </c>
      <c r="D90" t="s">
        <v>1761</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45">
      <c r="A91" t="s">
        <v>1467</v>
      </c>
      <c r="B91" t="s">
        <v>1468</v>
      </c>
      <c r="C91" t="s">
        <v>1760</v>
      </c>
      <c r="D91" t="s">
        <v>1761</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45">
      <c r="A92" t="s">
        <v>1094</v>
      </c>
      <c r="B92" t="s">
        <v>1469</v>
      </c>
      <c r="C92" t="s">
        <v>1760</v>
      </c>
      <c r="D92" t="s">
        <v>1761</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45">
      <c r="A93" t="s">
        <v>1082</v>
      </c>
      <c r="B93" t="s">
        <v>1470</v>
      </c>
      <c r="C93" t="s">
        <v>1760</v>
      </c>
      <c r="D93" t="s">
        <v>1761</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45">
      <c r="A94" t="s">
        <v>1260</v>
      </c>
      <c r="B94" t="s">
        <v>1471</v>
      </c>
      <c r="C94" t="s">
        <v>1760</v>
      </c>
      <c r="D94" t="s">
        <v>1761</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45">
      <c r="A95" t="s">
        <v>1179</v>
      </c>
      <c r="B95" t="s">
        <v>1472</v>
      </c>
      <c r="C95" t="s">
        <v>1760</v>
      </c>
      <c r="D95" t="s">
        <v>1761</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45">
      <c r="A96" t="s">
        <v>1473</v>
      </c>
      <c r="B96" t="s">
        <v>1474</v>
      </c>
      <c r="C96" t="s">
        <v>1760</v>
      </c>
      <c r="D96" t="s">
        <v>1761</v>
      </c>
      <c r="AQ96">
        <v>271.90385858122602</v>
      </c>
      <c r="AR96">
        <v>280.94445600166398</v>
      </c>
      <c r="AS96">
        <v>273.811994189666</v>
      </c>
      <c r="AT96">
        <v>261.03169670602898</v>
      </c>
    </row>
    <row r="97" spans="1:64" x14ac:dyDescent="0.45">
      <c r="A97" t="s">
        <v>1193</v>
      </c>
      <c r="B97" t="s">
        <v>1475</v>
      </c>
      <c r="C97" t="s">
        <v>1760</v>
      </c>
      <c r="D97" t="s">
        <v>1761</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45">
      <c r="A98" t="s">
        <v>1223</v>
      </c>
      <c r="B98" t="s">
        <v>1476</v>
      </c>
      <c r="C98" t="s">
        <v>1760</v>
      </c>
      <c r="D98" t="s">
        <v>1761</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45">
      <c r="A99" t="s">
        <v>1206</v>
      </c>
      <c r="B99" t="s">
        <v>1477</v>
      </c>
      <c r="C99" t="s">
        <v>1760</v>
      </c>
      <c r="D99" t="s">
        <v>1761</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45">
      <c r="A100" t="s">
        <v>1478</v>
      </c>
      <c r="B100" t="s">
        <v>1479</v>
      </c>
      <c r="C100" t="s">
        <v>1760</v>
      </c>
      <c r="D100" t="s">
        <v>1761</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45">
      <c r="A101" t="s">
        <v>1480</v>
      </c>
      <c r="B101" t="s">
        <v>1481</v>
      </c>
      <c r="C101" t="s">
        <v>1760</v>
      </c>
      <c r="D101" t="s">
        <v>1761</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45">
      <c r="A102" t="s">
        <v>1194</v>
      </c>
      <c r="B102" t="s">
        <v>1482</v>
      </c>
      <c r="C102" t="s">
        <v>1760</v>
      </c>
      <c r="D102" t="s">
        <v>1761</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45">
      <c r="A103" t="s">
        <v>1483</v>
      </c>
      <c r="B103" t="s">
        <v>1484</v>
      </c>
      <c r="C103" t="s">
        <v>1760</v>
      </c>
      <c r="D103" t="s">
        <v>1761</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45">
      <c r="A104" t="s">
        <v>1259</v>
      </c>
      <c r="B104" t="s">
        <v>1485</v>
      </c>
      <c r="C104" t="s">
        <v>1760</v>
      </c>
      <c r="D104" t="s">
        <v>1761</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45">
      <c r="A105" t="s">
        <v>1181</v>
      </c>
      <c r="B105" t="s">
        <v>1486</v>
      </c>
      <c r="C105" t="s">
        <v>1760</v>
      </c>
      <c r="D105" t="s">
        <v>1761</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45">
      <c r="A106" t="s">
        <v>1237</v>
      </c>
      <c r="B106" t="s">
        <v>1487</v>
      </c>
      <c r="C106" t="s">
        <v>1760</v>
      </c>
      <c r="D106" t="s">
        <v>1761</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45">
      <c r="A107" t="s">
        <v>1488</v>
      </c>
      <c r="B107" t="s">
        <v>1489</v>
      </c>
      <c r="C107" t="s">
        <v>1760</v>
      </c>
      <c r="D107" t="s">
        <v>1761</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45">
      <c r="A108" t="s">
        <v>1490</v>
      </c>
      <c r="B108" t="s">
        <v>1491</v>
      </c>
      <c r="C108" t="s">
        <v>1760</v>
      </c>
      <c r="D108" t="s">
        <v>1761</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45">
      <c r="A109" t="s">
        <v>1492</v>
      </c>
      <c r="B109" t="s">
        <v>1493</v>
      </c>
      <c r="C109" t="s">
        <v>1760</v>
      </c>
      <c r="D109" t="s">
        <v>1761</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45">
      <c r="A110" t="s">
        <v>1494</v>
      </c>
      <c r="B110" t="s">
        <v>1495</v>
      </c>
      <c r="C110" t="s">
        <v>1760</v>
      </c>
      <c r="D110" t="s">
        <v>1761</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45">
      <c r="A111" t="s">
        <v>1161</v>
      </c>
      <c r="B111" t="s">
        <v>1496</v>
      </c>
      <c r="C111" t="s">
        <v>1760</v>
      </c>
      <c r="D111" t="s">
        <v>1761</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45">
      <c r="A112" t="s">
        <v>1497</v>
      </c>
      <c r="B112" t="s">
        <v>1498</v>
      </c>
      <c r="C112" t="s">
        <v>1760</v>
      </c>
      <c r="D112" t="s">
        <v>1761</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45">
      <c r="A113" t="s">
        <v>1499</v>
      </c>
      <c r="B113" t="s">
        <v>1500</v>
      </c>
      <c r="C113" t="s">
        <v>1760</v>
      </c>
      <c r="D113" t="s">
        <v>1761</v>
      </c>
    </row>
    <row r="114" spans="1:64" x14ac:dyDescent="0.45">
      <c r="A114" t="s">
        <v>1142</v>
      </c>
      <c r="B114" t="s">
        <v>1501</v>
      </c>
      <c r="C114" t="s">
        <v>1760</v>
      </c>
      <c r="D114" t="s">
        <v>1761</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45">
      <c r="A115" t="s">
        <v>1502</v>
      </c>
      <c r="B115" t="s">
        <v>1503</v>
      </c>
      <c r="C115" t="s">
        <v>1760</v>
      </c>
      <c r="D115" t="s">
        <v>1761</v>
      </c>
    </row>
    <row r="116" spans="1:64" x14ac:dyDescent="0.45">
      <c r="A116" t="s">
        <v>1250</v>
      </c>
      <c r="B116" t="s">
        <v>1504</v>
      </c>
      <c r="C116" t="s">
        <v>1760</v>
      </c>
      <c r="D116" t="s">
        <v>1761</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45">
      <c r="A117" t="s">
        <v>1505</v>
      </c>
      <c r="B117" t="s">
        <v>1506</v>
      </c>
      <c r="C117" t="s">
        <v>1760</v>
      </c>
      <c r="D117" t="s">
        <v>1761</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45">
      <c r="A118" t="s">
        <v>1118</v>
      </c>
      <c r="B118" t="s">
        <v>1507</v>
      </c>
      <c r="C118" t="s">
        <v>1760</v>
      </c>
      <c r="D118" t="s">
        <v>1761</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45">
      <c r="A119" t="s">
        <v>1249</v>
      </c>
      <c r="B119" t="s">
        <v>1508</v>
      </c>
      <c r="C119" t="s">
        <v>1760</v>
      </c>
      <c r="D119" t="s">
        <v>1761</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45">
      <c r="A120" t="s">
        <v>1119</v>
      </c>
      <c r="B120" t="s">
        <v>1509</v>
      </c>
      <c r="C120" t="s">
        <v>1760</v>
      </c>
      <c r="D120" t="s">
        <v>1761</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45">
      <c r="A121" t="s">
        <v>1261</v>
      </c>
      <c r="B121" t="s">
        <v>1510</v>
      </c>
      <c r="C121" t="s">
        <v>1760</v>
      </c>
      <c r="D121" t="s">
        <v>1761</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45">
      <c r="A122" t="s">
        <v>1182</v>
      </c>
      <c r="B122" t="s">
        <v>1511</v>
      </c>
      <c r="C122" t="s">
        <v>1760</v>
      </c>
      <c r="D122" t="s">
        <v>1761</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45">
      <c r="A123" t="s">
        <v>1120</v>
      </c>
      <c r="B123" t="s">
        <v>1512</v>
      </c>
      <c r="C123" t="s">
        <v>1760</v>
      </c>
      <c r="D123" t="s">
        <v>1761</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45">
      <c r="A124" t="s">
        <v>1155</v>
      </c>
      <c r="B124" t="s">
        <v>1513</v>
      </c>
      <c r="C124" t="s">
        <v>1760</v>
      </c>
      <c r="D124" t="s">
        <v>1761</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45">
      <c r="A125" t="s">
        <v>1133</v>
      </c>
      <c r="B125" t="s">
        <v>1514</v>
      </c>
      <c r="C125" t="s">
        <v>1760</v>
      </c>
      <c r="D125" t="s">
        <v>1761</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45">
      <c r="A126" t="s">
        <v>1069</v>
      </c>
      <c r="B126" t="s">
        <v>1515</v>
      </c>
      <c r="C126" t="s">
        <v>1760</v>
      </c>
      <c r="D126" t="s">
        <v>1761</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45">
      <c r="A127" t="s">
        <v>1516</v>
      </c>
      <c r="B127" t="s">
        <v>1517</v>
      </c>
      <c r="C127" t="s">
        <v>1760</v>
      </c>
      <c r="D127" t="s">
        <v>1761</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45">
      <c r="A128" t="s">
        <v>1160</v>
      </c>
      <c r="B128" t="s">
        <v>1518</v>
      </c>
      <c r="C128" t="s">
        <v>1760</v>
      </c>
      <c r="D128" t="s">
        <v>1761</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45">
      <c r="A129" t="s">
        <v>1224</v>
      </c>
      <c r="B129" t="s">
        <v>1519</v>
      </c>
      <c r="C129" t="s">
        <v>1760</v>
      </c>
      <c r="D129" t="s">
        <v>1761</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45">
      <c r="A130" t="s">
        <v>1520</v>
      </c>
      <c r="B130" t="s">
        <v>1521</v>
      </c>
      <c r="C130" t="s">
        <v>1760</v>
      </c>
      <c r="D130" t="s">
        <v>1761</v>
      </c>
      <c r="AI130">
        <v>226.567960142533</v>
      </c>
      <c r="AS130">
        <v>243</v>
      </c>
    </row>
    <row r="131" spans="1:64" x14ac:dyDescent="0.45">
      <c r="A131" t="s">
        <v>1522</v>
      </c>
      <c r="B131" t="s">
        <v>1523</v>
      </c>
      <c r="C131" t="s">
        <v>1760</v>
      </c>
      <c r="D131" t="s">
        <v>1761</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45">
      <c r="A132" t="s">
        <v>1121</v>
      </c>
      <c r="B132" t="s">
        <v>1524</v>
      </c>
      <c r="C132" t="s">
        <v>1760</v>
      </c>
      <c r="D132" t="s">
        <v>1761</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45">
      <c r="A133" t="s">
        <v>1525</v>
      </c>
      <c r="B133" t="s">
        <v>1526</v>
      </c>
      <c r="C133" t="s">
        <v>1760</v>
      </c>
      <c r="D133" t="s">
        <v>1761</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45">
      <c r="A134" t="s">
        <v>1527</v>
      </c>
      <c r="B134" t="s">
        <v>1528</v>
      </c>
      <c r="C134" t="s">
        <v>1760</v>
      </c>
      <c r="D134" t="s">
        <v>1761</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45">
      <c r="A135" t="s">
        <v>1122</v>
      </c>
      <c r="B135" t="s">
        <v>1529</v>
      </c>
      <c r="C135" t="s">
        <v>1760</v>
      </c>
      <c r="D135" t="s">
        <v>1761</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45">
      <c r="A136" t="s">
        <v>1095</v>
      </c>
      <c r="B136" t="s">
        <v>1530</v>
      </c>
      <c r="C136" t="s">
        <v>1760</v>
      </c>
      <c r="D136" t="s">
        <v>1761</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45">
      <c r="A137" t="s">
        <v>1107</v>
      </c>
      <c r="B137" t="s">
        <v>1531</v>
      </c>
      <c r="C137" t="s">
        <v>1760</v>
      </c>
      <c r="D137" t="s">
        <v>1761</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45">
      <c r="A138" t="s">
        <v>1532</v>
      </c>
      <c r="B138" t="s">
        <v>1533</v>
      </c>
      <c r="C138" t="s">
        <v>1760</v>
      </c>
      <c r="D138" t="s">
        <v>1761</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45">
      <c r="A139" t="s">
        <v>1534</v>
      </c>
      <c r="B139" t="s">
        <v>1535</v>
      </c>
      <c r="C139" t="s">
        <v>1760</v>
      </c>
      <c r="D139" t="s">
        <v>1761</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45">
      <c r="A140" t="s">
        <v>1536</v>
      </c>
      <c r="B140" t="s">
        <v>1537</v>
      </c>
      <c r="C140" t="s">
        <v>1760</v>
      </c>
      <c r="D140" t="s">
        <v>1761</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45">
      <c r="A141" t="s">
        <v>1538</v>
      </c>
      <c r="B141" t="s">
        <v>1539</v>
      </c>
      <c r="C141" t="s">
        <v>1760</v>
      </c>
      <c r="D141" t="s">
        <v>1761</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45">
      <c r="A142" t="s">
        <v>1540</v>
      </c>
      <c r="B142" t="s">
        <v>1541</v>
      </c>
      <c r="C142" t="s">
        <v>1760</v>
      </c>
      <c r="D142" t="s">
        <v>1761</v>
      </c>
    </row>
    <row r="143" spans="1:64" x14ac:dyDescent="0.45">
      <c r="A143" t="s">
        <v>1147</v>
      </c>
      <c r="B143" t="s">
        <v>1542</v>
      </c>
      <c r="C143" t="s">
        <v>1760</v>
      </c>
      <c r="D143" t="s">
        <v>1761</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45">
      <c r="A144" t="s">
        <v>1543</v>
      </c>
      <c r="B144" t="s">
        <v>1544</v>
      </c>
      <c r="C144" t="s">
        <v>1760</v>
      </c>
      <c r="D144" t="s">
        <v>1761</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45">
      <c r="A145" t="s">
        <v>1545</v>
      </c>
      <c r="B145" t="s">
        <v>1546</v>
      </c>
      <c r="C145" t="s">
        <v>1760</v>
      </c>
      <c r="D145" t="s">
        <v>1761</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45">
      <c r="A146" t="s">
        <v>1086</v>
      </c>
      <c r="B146" t="s">
        <v>1547</v>
      </c>
      <c r="C146" t="s">
        <v>1760</v>
      </c>
      <c r="D146" t="s">
        <v>1761</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45">
      <c r="A147" t="s">
        <v>1548</v>
      </c>
      <c r="B147" t="s">
        <v>1549</v>
      </c>
      <c r="C147" t="s">
        <v>1760</v>
      </c>
      <c r="D147" t="s">
        <v>1761</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45">
      <c r="A148" t="s">
        <v>1252</v>
      </c>
      <c r="B148" t="s">
        <v>1550</v>
      </c>
      <c r="C148" t="s">
        <v>1760</v>
      </c>
      <c r="D148" t="s">
        <v>1761</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45">
      <c r="A149" t="s">
        <v>1274</v>
      </c>
      <c r="B149" t="s">
        <v>1551</v>
      </c>
      <c r="C149" t="s">
        <v>1760</v>
      </c>
      <c r="D149" t="s">
        <v>1761</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45">
      <c r="A150" t="s">
        <v>1251</v>
      </c>
      <c r="B150" t="s">
        <v>1552</v>
      </c>
      <c r="C150" t="s">
        <v>1760</v>
      </c>
      <c r="D150" t="s">
        <v>1761</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45">
      <c r="A151" t="s">
        <v>1553</v>
      </c>
      <c r="B151" t="s">
        <v>1554</v>
      </c>
      <c r="C151" t="s">
        <v>1760</v>
      </c>
      <c r="D151" t="s">
        <v>1761</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45">
      <c r="A152" t="s">
        <v>1555</v>
      </c>
      <c r="B152" t="s">
        <v>1556</v>
      </c>
      <c r="C152" t="s">
        <v>1760</v>
      </c>
      <c r="D152" t="s">
        <v>1761</v>
      </c>
    </row>
    <row r="153" spans="1:64" x14ac:dyDescent="0.45">
      <c r="A153" t="s">
        <v>1108</v>
      </c>
      <c r="B153" t="s">
        <v>1557</v>
      </c>
      <c r="C153" t="s">
        <v>1760</v>
      </c>
      <c r="D153" t="s">
        <v>1761</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45">
      <c r="A154" t="s">
        <v>1558</v>
      </c>
      <c r="B154" t="s">
        <v>1559</v>
      </c>
      <c r="C154" t="s">
        <v>1760</v>
      </c>
      <c r="D154" t="s">
        <v>1761</v>
      </c>
    </row>
    <row r="155" spans="1:64" x14ac:dyDescent="0.45">
      <c r="A155" t="s">
        <v>1560</v>
      </c>
      <c r="B155" t="s">
        <v>1561</v>
      </c>
      <c r="C155" t="s">
        <v>1760</v>
      </c>
      <c r="D155" t="s">
        <v>1761</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45">
      <c r="A156" t="s">
        <v>1070</v>
      </c>
      <c r="B156" t="s">
        <v>1562</v>
      </c>
      <c r="C156" t="s">
        <v>1760</v>
      </c>
      <c r="D156" t="s">
        <v>1761</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45">
      <c r="A157" t="s">
        <v>1144</v>
      </c>
      <c r="B157" t="s">
        <v>1563</v>
      </c>
      <c r="C157" t="s">
        <v>1760</v>
      </c>
      <c r="D157" t="s">
        <v>1761</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45">
      <c r="A158" t="s">
        <v>1564</v>
      </c>
      <c r="B158" t="s">
        <v>1565</v>
      </c>
      <c r="C158" t="s">
        <v>1760</v>
      </c>
      <c r="D158" t="s">
        <v>1761</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45">
      <c r="A159" t="s">
        <v>1195</v>
      </c>
      <c r="B159" t="s">
        <v>1566</v>
      </c>
      <c r="C159" t="s">
        <v>1760</v>
      </c>
      <c r="D159" t="s">
        <v>1761</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45">
      <c r="A160" t="s">
        <v>1567</v>
      </c>
      <c r="B160" t="s">
        <v>1568</v>
      </c>
      <c r="C160" t="s">
        <v>1760</v>
      </c>
      <c r="D160" t="s">
        <v>1761</v>
      </c>
      <c r="AS160">
        <v>302</v>
      </c>
    </row>
    <row r="161" spans="1:64" x14ac:dyDescent="0.45">
      <c r="A161" t="s">
        <v>1569</v>
      </c>
      <c r="B161" t="s">
        <v>1570</v>
      </c>
      <c r="C161" t="s">
        <v>1760</v>
      </c>
      <c r="D161" t="s">
        <v>1761</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45">
      <c r="A162" t="s">
        <v>1264</v>
      </c>
      <c r="B162" t="s">
        <v>1571</v>
      </c>
      <c r="C162" t="s">
        <v>1760</v>
      </c>
      <c r="D162" t="s">
        <v>1761</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45">
      <c r="A163" t="s">
        <v>1096</v>
      </c>
      <c r="B163" t="s">
        <v>1572</v>
      </c>
      <c r="C163" t="s">
        <v>1760</v>
      </c>
      <c r="D163" t="s">
        <v>1761</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45">
      <c r="A164" t="s">
        <v>1262</v>
      </c>
      <c r="B164" t="s">
        <v>1573</v>
      </c>
      <c r="C164" t="s">
        <v>1760</v>
      </c>
      <c r="D164" t="s">
        <v>1761</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45">
      <c r="A165" t="s">
        <v>1164</v>
      </c>
      <c r="B165" t="s">
        <v>1574</v>
      </c>
      <c r="C165" t="s">
        <v>1760</v>
      </c>
      <c r="D165" t="s">
        <v>1761</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45">
      <c r="A166" t="s">
        <v>1575</v>
      </c>
      <c r="B166" t="s">
        <v>1576</v>
      </c>
      <c r="C166" t="s">
        <v>1760</v>
      </c>
      <c r="D166" t="s">
        <v>1761</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45">
      <c r="A167" t="s">
        <v>1263</v>
      </c>
      <c r="B167" t="s">
        <v>1577</v>
      </c>
      <c r="C167" t="s">
        <v>1760</v>
      </c>
      <c r="D167" t="s">
        <v>1761</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45">
      <c r="A168" t="s">
        <v>1156</v>
      </c>
      <c r="B168" t="s">
        <v>1578</v>
      </c>
      <c r="C168" t="s">
        <v>1760</v>
      </c>
      <c r="D168" t="s">
        <v>1761</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45">
      <c r="A169" t="s">
        <v>1579</v>
      </c>
      <c r="B169" t="s">
        <v>1580</v>
      </c>
      <c r="C169" t="s">
        <v>1760</v>
      </c>
      <c r="D169" t="s">
        <v>1761</v>
      </c>
    </row>
    <row r="170" spans="1:64" x14ac:dyDescent="0.45">
      <c r="A170" t="s">
        <v>596</v>
      </c>
      <c r="B170" t="s">
        <v>1581</v>
      </c>
      <c r="C170" t="s">
        <v>1760</v>
      </c>
      <c r="D170" t="s">
        <v>1761</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45">
      <c r="A171" t="s">
        <v>1097</v>
      </c>
      <c r="B171" t="s">
        <v>1582</v>
      </c>
      <c r="C171" t="s">
        <v>1760</v>
      </c>
      <c r="D171" t="s">
        <v>1761</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45">
      <c r="A172" t="s">
        <v>1071</v>
      </c>
      <c r="B172" t="s">
        <v>1583</v>
      </c>
      <c r="C172" t="s">
        <v>1760</v>
      </c>
      <c r="D172" t="s">
        <v>1761</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45">
      <c r="A173" t="s">
        <v>879</v>
      </c>
      <c r="B173" t="s">
        <v>1584</v>
      </c>
      <c r="C173" t="s">
        <v>1760</v>
      </c>
      <c r="D173" t="s">
        <v>1761</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45">
      <c r="A174" t="s">
        <v>1163</v>
      </c>
      <c r="B174" t="s">
        <v>1585</v>
      </c>
      <c r="C174" t="s">
        <v>1760</v>
      </c>
      <c r="D174" t="s">
        <v>1761</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45">
      <c r="A175" t="s">
        <v>1586</v>
      </c>
      <c r="B175" t="s">
        <v>1587</v>
      </c>
      <c r="C175" t="s">
        <v>1760</v>
      </c>
      <c r="D175" t="s">
        <v>1761</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45">
      <c r="A176" t="s">
        <v>598</v>
      </c>
      <c r="B176" t="s">
        <v>1588</v>
      </c>
      <c r="C176" t="s">
        <v>1760</v>
      </c>
      <c r="D176" t="s">
        <v>1761</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45">
      <c r="A177" t="s">
        <v>1218</v>
      </c>
      <c r="B177" t="s">
        <v>1589</v>
      </c>
      <c r="C177" t="s">
        <v>1760</v>
      </c>
      <c r="D177" t="s">
        <v>1761</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45">
      <c r="A178" t="s">
        <v>1098</v>
      </c>
      <c r="B178" t="s">
        <v>1590</v>
      </c>
      <c r="C178" t="s">
        <v>1760</v>
      </c>
      <c r="D178" t="s">
        <v>1761</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45">
      <c r="A179" t="s">
        <v>1099</v>
      </c>
      <c r="B179" t="s">
        <v>1591</v>
      </c>
      <c r="C179" t="s">
        <v>1760</v>
      </c>
      <c r="D179" t="s">
        <v>1761</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45">
      <c r="A180" t="s">
        <v>1196</v>
      </c>
      <c r="B180" t="s">
        <v>1592</v>
      </c>
      <c r="C180" t="s">
        <v>1760</v>
      </c>
      <c r="D180" t="s">
        <v>1761</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45">
      <c r="A181" t="s">
        <v>1275</v>
      </c>
      <c r="B181" t="s">
        <v>1593</v>
      </c>
      <c r="C181" t="s">
        <v>1760</v>
      </c>
      <c r="D181" t="s">
        <v>1761</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45">
      <c r="A182" t="s">
        <v>1253</v>
      </c>
      <c r="B182" t="s">
        <v>1594</v>
      </c>
      <c r="C182" t="s">
        <v>1760</v>
      </c>
      <c r="D182" t="s">
        <v>1761</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45">
      <c r="A183" t="s">
        <v>1145</v>
      </c>
      <c r="B183" t="s">
        <v>1595</v>
      </c>
      <c r="C183" t="s">
        <v>1760</v>
      </c>
      <c r="D183" t="s">
        <v>1761</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45">
      <c r="A184" t="s">
        <v>1596</v>
      </c>
      <c r="B184" t="s">
        <v>1597</v>
      </c>
      <c r="C184" t="s">
        <v>1760</v>
      </c>
      <c r="D184" t="s">
        <v>1761</v>
      </c>
    </row>
    <row r="185" spans="1:64" x14ac:dyDescent="0.45">
      <c r="A185" t="s">
        <v>1214</v>
      </c>
      <c r="B185" t="s">
        <v>1598</v>
      </c>
      <c r="C185" t="s">
        <v>1760</v>
      </c>
      <c r="D185" t="s">
        <v>1761</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45">
      <c r="A186" t="s">
        <v>1599</v>
      </c>
      <c r="B186" t="s">
        <v>1600</v>
      </c>
      <c r="C186" t="s">
        <v>1760</v>
      </c>
      <c r="D186" t="s">
        <v>1761</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45">
      <c r="A187" t="s">
        <v>1123</v>
      </c>
      <c r="B187" t="s">
        <v>1601</v>
      </c>
      <c r="C187" t="s">
        <v>1760</v>
      </c>
      <c r="D187" t="s">
        <v>1761</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45">
      <c r="A188" t="s">
        <v>1602</v>
      </c>
      <c r="B188" t="s">
        <v>1603</v>
      </c>
      <c r="C188" t="s">
        <v>1760</v>
      </c>
      <c r="D188" t="s">
        <v>1761</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45">
      <c r="A189" t="s">
        <v>1146</v>
      </c>
      <c r="B189" t="s">
        <v>1604</v>
      </c>
      <c r="C189" t="s">
        <v>1760</v>
      </c>
      <c r="D189" t="s">
        <v>1761</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45">
      <c r="A190" t="s">
        <v>1197</v>
      </c>
      <c r="B190" t="s">
        <v>1605</v>
      </c>
      <c r="C190" t="s">
        <v>1760</v>
      </c>
      <c r="D190" t="s">
        <v>1761</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45">
      <c r="A191" t="s">
        <v>1208</v>
      </c>
      <c r="B191" t="s">
        <v>1606</v>
      </c>
      <c r="C191" t="s">
        <v>1760</v>
      </c>
      <c r="D191" t="s">
        <v>1761</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45">
      <c r="A192" t="s">
        <v>1165</v>
      </c>
      <c r="B192" t="s">
        <v>1607</v>
      </c>
      <c r="C192" t="s">
        <v>1760</v>
      </c>
      <c r="D192" t="s">
        <v>1761</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45">
      <c r="A193" t="s">
        <v>1608</v>
      </c>
      <c r="B193" t="s">
        <v>1609</v>
      </c>
      <c r="C193" t="s">
        <v>1760</v>
      </c>
      <c r="D193" t="s">
        <v>1761</v>
      </c>
    </row>
    <row r="194" spans="1:64" x14ac:dyDescent="0.45">
      <c r="A194" t="s">
        <v>1219</v>
      </c>
      <c r="B194" t="s">
        <v>1610</v>
      </c>
      <c r="C194" t="s">
        <v>1760</v>
      </c>
      <c r="D194" t="s">
        <v>1761</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45">
      <c r="A195" t="s">
        <v>1238</v>
      </c>
      <c r="B195" t="s">
        <v>1611</v>
      </c>
      <c r="C195" t="s">
        <v>1760</v>
      </c>
      <c r="D195" t="s">
        <v>1761</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45">
      <c r="A196" t="s">
        <v>1612</v>
      </c>
      <c r="B196" t="s">
        <v>1613</v>
      </c>
      <c r="C196" t="s">
        <v>1760</v>
      </c>
      <c r="D196" t="s">
        <v>1761</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45">
      <c r="A197" t="s">
        <v>1184</v>
      </c>
      <c r="B197" t="s">
        <v>1614</v>
      </c>
      <c r="C197" t="s">
        <v>1760</v>
      </c>
      <c r="D197" t="s">
        <v>1761</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45">
      <c r="A198" t="s">
        <v>1615</v>
      </c>
      <c r="B198" t="s">
        <v>1616</v>
      </c>
      <c r="C198" t="s">
        <v>1760</v>
      </c>
      <c r="D198" t="s">
        <v>1761</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45">
      <c r="A199" t="s">
        <v>1265</v>
      </c>
      <c r="B199" t="s">
        <v>1617</v>
      </c>
      <c r="C199" t="s">
        <v>1760</v>
      </c>
      <c r="D199" t="s">
        <v>1761</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45">
      <c r="A200" t="s">
        <v>1207</v>
      </c>
      <c r="B200" t="s">
        <v>1618</v>
      </c>
      <c r="C200" t="s">
        <v>1760</v>
      </c>
      <c r="D200" t="s">
        <v>1761</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45">
      <c r="A201" t="s">
        <v>1619</v>
      </c>
      <c r="B201" t="s">
        <v>1620</v>
      </c>
      <c r="C201" t="s">
        <v>1760</v>
      </c>
      <c r="D201" t="s">
        <v>1761</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45">
      <c r="A202" t="s">
        <v>1621</v>
      </c>
      <c r="B202" t="s">
        <v>1622</v>
      </c>
      <c r="C202" t="s">
        <v>1760</v>
      </c>
      <c r="D202" t="s">
        <v>1761</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45">
      <c r="A203" t="s">
        <v>1623</v>
      </c>
      <c r="B203" t="s">
        <v>1624</v>
      </c>
      <c r="C203" t="s">
        <v>1760</v>
      </c>
      <c r="D203" t="s">
        <v>1761</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45">
      <c r="A204" t="s">
        <v>1227</v>
      </c>
      <c r="B204" t="s">
        <v>1625</v>
      </c>
      <c r="C204" t="s">
        <v>1760</v>
      </c>
      <c r="D204" t="s">
        <v>1761</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45">
      <c r="A205" t="s">
        <v>1124</v>
      </c>
      <c r="B205" t="s">
        <v>1626</v>
      </c>
      <c r="C205" t="s">
        <v>1760</v>
      </c>
      <c r="D205" t="s">
        <v>1761</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45">
      <c r="A206" t="s">
        <v>1240</v>
      </c>
      <c r="B206" t="s">
        <v>1627</v>
      </c>
      <c r="C206" t="s">
        <v>1760</v>
      </c>
      <c r="D206" t="s">
        <v>1761</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45">
      <c r="A207" t="s">
        <v>1241</v>
      </c>
      <c r="B207" t="s">
        <v>1628</v>
      </c>
      <c r="C207" t="s">
        <v>1760</v>
      </c>
      <c r="D207" t="s">
        <v>1761</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45">
      <c r="A208" t="s">
        <v>600</v>
      </c>
      <c r="B208" t="s">
        <v>1629</v>
      </c>
      <c r="C208" t="s">
        <v>1760</v>
      </c>
      <c r="D208" t="s">
        <v>1761</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45">
      <c r="A209" t="s">
        <v>1630</v>
      </c>
      <c r="B209" t="s">
        <v>1631</v>
      </c>
      <c r="C209" t="s">
        <v>1760</v>
      </c>
      <c r="D209" t="s">
        <v>1761</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45">
      <c r="A210" t="s">
        <v>1125</v>
      </c>
      <c r="B210" t="s">
        <v>1632</v>
      </c>
      <c r="C210" t="s">
        <v>1760</v>
      </c>
      <c r="D210" t="s">
        <v>1761</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45">
      <c r="A211" t="s">
        <v>1109</v>
      </c>
      <c r="B211" t="s">
        <v>1633</v>
      </c>
      <c r="C211" t="s">
        <v>1760</v>
      </c>
      <c r="D211" t="s">
        <v>1761</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45">
      <c r="A212" t="s">
        <v>1100</v>
      </c>
      <c r="B212" t="s">
        <v>1634</v>
      </c>
      <c r="C212" t="s">
        <v>1760</v>
      </c>
      <c r="D212" t="s">
        <v>1761</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45">
      <c r="A213" t="s">
        <v>1166</v>
      </c>
      <c r="B213" t="s">
        <v>1635</v>
      </c>
      <c r="C213" t="s">
        <v>1760</v>
      </c>
      <c r="D213" t="s">
        <v>1761</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45">
      <c r="A214" t="s">
        <v>1220</v>
      </c>
      <c r="B214" t="s">
        <v>1636</v>
      </c>
      <c r="C214" t="s">
        <v>1760</v>
      </c>
      <c r="D214" t="s">
        <v>1761</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45">
      <c r="A215" t="s">
        <v>1101</v>
      </c>
      <c r="B215" t="s">
        <v>1637</v>
      </c>
      <c r="C215" t="s">
        <v>1760</v>
      </c>
      <c r="D215" t="s">
        <v>1761</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45">
      <c r="A216" t="s">
        <v>1192</v>
      </c>
      <c r="B216" t="s">
        <v>1638</v>
      </c>
      <c r="C216" t="s">
        <v>1760</v>
      </c>
      <c r="D216" t="s">
        <v>1761</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45">
      <c r="A217" t="s">
        <v>1639</v>
      </c>
      <c r="B217" t="s">
        <v>1640</v>
      </c>
      <c r="C217" t="s">
        <v>1760</v>
      </c>
      <c r="D217" t="s">
        <v>1761</v>
      </c>
    </row>
    <row r="218" spans="1:64" x14ac:dyDescent="0.45">
      <c r="A218" t="s">
        <v>1075</v>
      </c>
      <c r="B218" t="s">
        <v>1641</v>
      </c>
      <c r="C218" t="s">
        <v>1760</v>
      </c>
      <c r="D218" t="s">
        <v>1761</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45">
      <c r="A219" t="s">
        <v>1266</v>
      </c>
      <c r="B219" t="s">
        <v>1642</v>
      </c>
      <c r="C219" t="s">
        <v>1760</v>
      </c>
      <c r="D219" t="s">
        <v>1761</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45">
      <c r="A220" t="s">
        <v>1643</v>
      </c>
      <c r="B220" t="s">
        <v>1644</v>
      </c>
      <c r="C220" t="s">
        <v>1760</v>
      </c>
      <c r="D220" t="s">
        <v>1761</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45">
      <c r="A221" t="s">
        <v>1076</v>
      </c>
      <c r="B221" t="s">
        <v>1645</v>
      </c>
      <c r="C221" t="s">
        <v>1760</v>
      </c>
      <c r="D221" t="s">
        <v>1761</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45">
      <c r="A222" t="s">
        <v>1646</v>
      </c>
      <c r="B222" t="s">
        <v>1647</v>
      </c>
      <c r="C222" t="s">
        <v>1760</v>
      </c>
      <c r="D222" t="s">
        <v>1761</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45">
      <c r="A223" t="s">
        <v>1648</v>
      </c>
      <c r="B223" t="s">
        <v>1649</v>
      </c>
      <c r="C223" t="s">
        <v>1760</v>
      </c>
      <c r="D223" t="s">
        <v>1761</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45">
      <c r="A224" t="s">
        <v>1084</v>
      </c>
      <c r="B224" t="s">
        <v>1650</v>
      </c>
      <c r="C224" t="s">
        <v>1760</v>
      </c>
      <c r="D224" t="s">
        <v>1761</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45">
      <c r="A225" t="s">
        <v>1209</v>
      </c>
      <c r="B225" t="s">
        <v>1651</v>
      </c>
      <c r="C225" t="s">
        <v>1760</v>
      </c>
      <c r="D225" t="s">
        <v>1761</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45">
      <c r="A226" t="s">
        <v>1652</v>
      </c>
      <c r="B226" t="s">
        <v>1653</v>
      </c>
      <c r="C226" t="s">
        <v>1760</v>
      </c>
      <c r="D226" t="s">
        <v>1761</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45">
      <c r="A227" t="s">
        <v>1267</v>
      </c>
      <c r="B227" t="s">
        <v>1654</v>
      </c>
      <c r="C227" t="s">
        <v>1760</v>
      </c>
      <c r="D227" t="s">
        <v>1761</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45">
      <c r="A228" t="s">
        <v>1254</v>
      </c>
      <c r="B228" t="s">
        <v>1655</v>
      </c>
      <c r="C228" t="s">
        <v>1760</v>
      </c>
      <c r="D228" t="s">
        <v>1761</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45">
      <c r="A229" t="s">
        <v>603</v>
      </c>
      <c r="B229" t="s">
        <v>1656</v>
      </c>
      <c r="C229" t="s">
        <v>1760</v>
      </c>
      <c r="D229" t="s">
        <v>1761</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45">
      <c r="A230" t="s">
        <v>1657</v>
      </c>
      <c r="B230" t="s">
        <v>1658</v>
      </c>
      <c r="C230" t="s">
        <v>1760</v>
      </c>
      <c r="D230" t="s">
        <v>1761</v>
      </c>
    </row>
    <row r="231" spans="1:64" x14ac:dyDescent="0.45">
      <c r="A231" t="s">
        <v>1074</v>
      </c>
      <c r="B231" t="s">
        <v>1659</v>
      </c>
      <c r="C231" t="s">
        <v>1760</v>
      </c>
      <c r="D231" t="s">
        <v>1761</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45">
      <c r="A232" t="s">
        <v>1127</v>
      </c>
      <c r="B232" t="s">
        <v>1660</v>
      </c>
      <c r="C232" t="s">
        <v>1760</v>
      </c>
      <c r="D232" t="s">
        <v>1761</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45">
      <c r="A233" t="s">
        <v>1661</v>
      </c>
      <c r="B233" t="s">
        <v>1662</v>
      </c>
      <c r="C233" t="s">
        <v>1760</v>
      </c>
      <c r="D233" t="s">
        <v>1761</v>
      </c>
    </row>
    <row r="234" spans="1:64" x14ac:dyDescent="0.45">
      <c r="A234" t="s">
        <v>1080</v>
      </c>
      <c r="B234" t="s">
        <v>1663</v>
      </c>
      <c r="C234" t="s">
        <v>1760</v>
      </c>
      <c r="D234" t="s">
        <v>1761</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45">
      <c r="A235" t="s">
        <v>1664</v>
      </c>
      <c r="B235" t="s">
        <v>1665</v>
      </c>
      <c r="C235" t="s">
        <v>1760</v>
      </c>
      <c r="D235" t="s">
        <v>1761</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45">
      <c r="A236" t="s">
        <v>1666</v>
      </c>
      <c r="B236" t="s">
        <v>1667</v>
      </c>
      <c r="C236" t="s">
        <v>1760</v>
      </c>
      <c r="D236" t="s">
        <v>1761</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45">
      <c r="A237" t="s">
        <v>1102</v>
      </c>
      <c r="B237" t="s">
        <v>1668</v>
      </c>
      <c r="C237" t="s">
        <v>1760</v>
      </c>
      <c r="D237" t="s">
        <v>1761</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45">
      <c r="A238" t="s">
        <v>1167</v>
      </c>
      <c r="B238" t="s">
        <v>1669</v>
      </c>
      <c r="C238" t="s">
        <v>1760</v>
      </c>
      <c r="D238" t="s">
        <v>1761</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45">
      <c r="A239" t="s">
        <v>1135</v>
      </c>
      <c r="B239" t="s">
        <v>1670</v>
      </c>
      <c r="C239" t="s">
        <v>1760</v>
      </c>
      <c r="D239" t="s">
        <v>1761</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45">
      <c r="A240" t="s">
        <v>1136</v>
      </c>
      <c r="B240" t="s">
        <v>1671</v>
      </c>
      <c r="C240" t="s">
        <v>1760</v>
      </c>
      <c r="D240" t="s">
        <v>1761</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45">
      <c r="A241" t="s">
        <v>1672</v>
      </c>
      <c r="B241" t="s">
        <v>1673</v>
      </c>
      <c r="C241" t="s">
        <v>1760</v>
      </c>
      <c r="D241" t="s">
        <v>1761</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45">
      <c r="A242" t="s">
        <v>1168</v>
      </c>
      <c r="B242" t="s">
        <v>1674</v>
      </c>
      <c r="C242" t="s">
        <v>1760</v>
      </c>
      <c r="D242" t="s">
        <v>1761</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45">
      <c r="A243" t="s">
        <v>1675</v>
      </c>
      <c r="B243" t="s">
        <v>1676</v>
      </c>
      <c r="C243" t="s">
        <v>1760</v>
      </c>
      <c r="D243" t="s">
        <v>1761</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45">
      <c r="A244" t="s">
        <v>1229</v>
      </c>
      <c r="B244" t="s">
        <v>1677</v>
      </c>
      <c r="C244" t="s">
        <v>1760</v>
      </c>
      <c r="D244" t="s">
        <v>1761</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45">
      <c r="A245" t="s">
        <v>1678</v>
      </c>
      <c r="B245" t="s">
        <v>1679</v>
      </c>
      <c r="C245" t="s">
        <v>1760</v>
      </c>
      <c r="D245" t="s">
        <v>1761</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45">
      <c r="A246" t="s">
        <v>1680</v>
      </c>
      <c r="B246" t="s">
        <v>1681</v>
      </c>
      <c r="C246" t="s">
        <v>1760</v>
      </c>
      <c r="D246" t="s">
        <v>1761</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45">
      <c r="A247" t="s">
        <v>1187</v>
      </c>
      <c r="B247" t="s">
        <v>1682</v>
      </c>
      <c r="C247" t="s">
        <v>1760</v>
      </c>
      <c r="D247" t="s">
        <v>1761</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45">
      <c r="A248" t="s">
        <v>1110</v>
      </c>
      <c r="B248" t="s">
        <v>1683</v>
      </c>
      <c r="C248" t="s">
        <v>1760</v>
      </c>
      <c r="D248" t="s">
        <v>1761</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45">
      <c r="A249" t="s">
        <v>1128</v>
      </c>
      <c r="B249" t="s">
        <v>1684</v>
      </c>
      <c r="C249" t="s">
        <v>1760</v>
      </c>
      <c r="D249" t="s">
        <v>1761</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45">
      <c r="A250" t="s">
        <v>1685</v>
      </c>
      <c r="B250" t="s">
        <v>1686</v>
      </c>
      <c r="C250" t="s">
        <v>1760</v>
      </c>
      <c r="D250" t="s">
        <v>1761</v>
      </c>
    </row>
    <row r="251" spans="1:64" x14ac:dyDescent="0.45">
      <c r="A251" t="s">
        <v>1687</v>
      </c>
      <c r="B251" t="s">
        <v>1688</v>
      </c>
      <c r="C251" t="s">
        <v>1760</v>
      </c>
      <c r="D251" t="s">
        <v>1761</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45">
      <c r="A252" t="s">
        <v>604</v>
      </c>
      <c r="B252" t="s">
        <v>1689</v>
      </c>
      <c r="C252" t="s">
        <v>1760</v>
      </c>
      <c r="D252" t="s">
        <v>1761</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45">
      <c r="A253" t="s">
        <v>1243</v>
      </c>
      <c r="B253" t="s">
        <v>1690</v>
      </c>
      <c r="C253" t="s">
        <v>1760</v>
      </c>
      <c r="D253" t="s">
        <v>1761</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45">
      <c r="A254" t="s">
        <v>1691</v>
      </c>
      <c r="B254" t="s">
        <v>1692</v>
      </c>
      <c r="C254" t="s">
        <v>1760</v>
      </c>
      <c r="D254" t="s">
        <v>1761</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45">
      <c r="A255" t="s">
        <v>1210</v>
      </c>
      <c r="B255" t="s">
        <v>1693</v>
      </c>
      <c r="C255" t="s">
        <v>1760</v>
      </c>
      <c r="D255" t="s">
        <v>1761</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45">
      <c r="A256" t="s">
        <v>1694</v>
      </c>
      <c r="B256" t="s">
        <v>1695</v>
      </c>
      <c r="C256" t="s">
        <v>1760</v>
      </c>
      <c r="D256" t="s">
        <v>1761</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45">
      <c r="A257" t="s">
        <v>1137</v>
      </c>
      <c r="B257" t="s">
        <v>1696</v>
      </c>
      <c r="C257" t="s">
        <v>1760</v>
      </c>
      <c r="D257" t="s">
        <v>1761</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45">
      <c r="A258" t="s">
        <v>1697</v>
      </c>
      <c r="B258" t="s">
        <v>1698</v>
      </c>
      <c r="C258" t="s">
        <v>1760</v>
      </c>
      <c r="D258" t="s">
        <v>1761</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45">
      <c r="A259" t="s">
        <v>1699</v>
      </c>
      <c r="B259" t="s">
        <v>1700</v>
      </c>
      <c r="C259" t="s">
        <v>1760</v>
      </c>
      <c r="D259" t="s">
        <v>1761</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45">
      <c r="A260" t="s">
        <v>1701</v>
      </c>
      <c r="B260" t="s">
        <v>1702</v>
      </c>
      <c r="C260" t="s">
        <v>1760</v>
      </c>
      <c r="D260" t="s">
        <v>1761</v>
      </c>
    </row>
    <row r="261" spans="1:65" x14ac:dyDescent="0.45">
      <c r="A261" t="s">
        <v>1703</v>
      </c>
      <c r="B261" t="s">
        <v>1704</v>
      </c>
      <c r="C261" t="s">
        <v>1760</v>
      </c>
      <c r="D261" t="s">
        <v>1761</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45">
      <c r="A262" t="s">
        <v>1705</v>
      </c>
      <c r="B262" t="s">
        <v>1706</v>
      </c>
      <c r="C262" t="s">
        <v>1760</v>
      </c>
      <c r="D262" t="s">
        <v>1761</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45">
      <c r="A263" t="s">
        <v>1221</v>
      </c>
      <c r="B263" t="s">
        <v>1707</v>
      </c>
      <c r="C263" t="s">
        <v>1760</v>
      </c>
      <c r="D263" t="s">
        <v>1761</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45">
      <c r="A264" t="s">
        <v>1017</v>
      </c>
      <c r="B264" t="s">
        <v>1708</v>
      </c>
      <c r="C264" t="s">
        <v>1760</v>
      </c>
      <c r="D264" t="s">
        <v>1761</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45">
      <c r="A265" t="s">
        <v>1228</v>
      </c>
      <c r="B265" t="s">
        <v>1709</v>
      </c>
      <c r="C265" t="s">
        <v>1760</v>
      </c>
      <c r="D265" t="s">
        <v>1761</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45">
      <c r="A266" t="s">
        <v>1710</v>
      </c>
      <c r="B266" t="s">
        <v>1711</v>
      </c>
      <c r="C266" t="s">
        <v>1760</v>
      </c>
      <c r="D266" t="s">
        <v>1761</v>
      </c>
    </row>
    <row r="267" spans="1:65" x14ac:dyDescent="0.45">
      <c r="A267" t="s">
        <v>1712</v>
      </c>
      <c r="B267" t="s">
        <v>1713</v>
      </c>
      <c r="C267" t="s">
        <v>1760</v>
      </c>
      <c r="D267" t="s">
        <v>1761</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45">
      <c r="A268" t="s">
        <v>602</v>
      </c>
      <c r="B268" t="s">
        <v>1714</v>
      </c>
      <c r="C268" t="s">
        <v>1760</v>
      </c>
      <c r="D268" t="s">
        <v>1761</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45">
      <c r="A269" t="s">
        <v>606</v>
      </c>
      <c r="B269" t="s">
        <v>1715</v>
      </c>
      <c r="C269" t="s">
        <v>1760</v>
      </c>
      <c r="D269" t="s">
        <v>1761</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45">
      <c r="A270" t="s">
        <v>607</v>
      </c>
      <c r="B270" t="s">
        <v>1716</v>
      </c>
      <c r="C270" t="s">
        <v>1760</v>
      </c>
      <c r="D270" t="s">
        <v>1761</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v>369.22699999999998</v>
      </c>
    </row>
    <row r="271" spans="1:65" s="1" customFormat="1" x14ac:dyDescent="0.45"/>
    <row r="272" spans="1:65" s="1" customFormat="1" x14ac:dyDescent="0.45">
      <c r="BB272" s="1" t="s">
        <v>1717</v>
      </c>
      <c r="BC272" s="155">
        <f t="shared" ref="BC272:BL272" si="0">BC77/BB77</f>
        <v>0.95828074094144244</v>
      </c>
      <c r="BD272" s="155">
        <f t="shared" si="0"/>
        <v>0.95646447092574194</v>
      </c>
      <c r="BE272" s="155">
        <f t="shared" si="0"/>
        <v>0.95448285806986566</v>
      </c>
      <c r="BF272" s="155">
        <f t="shared" si="0"/>
        <v>0.98160626066987955</v>
      </c>
      <c r="BG272" s="155">
        <f t="shared" si="0"/>
        <v>0.98126159126413071</v>
      </c>
      <c r="BH272" s="155">
        <f t="shared" si="0"/>
        <v>0.98090375807767105</v>
      </c>
      <c r="BI272" s="155">
        <f t="shared" si="0"/>
        <v>0.98053598983026458</v>
      </c>
      <c r="BJ272" s="155">
        <f t="shared" si="0"/>
        <v>0.98014554497829054</v>
      </c>
      <c r="BK272" s="155">
        <f t="shared" si="0"/>
        <v>0.98487615165443088</v>
      </c>
      <c r="BL272" s="155">
        <f t="shared" si="0"/>
        <v>0.98474526879495228</v>
      </c>
      <c r="BM272" s="2">
        <f>AVERAGE(BK272:BL272)</f>
        <v>0.98481071022469158</v>
      </c>
    </row>
    <row r="273" spans="8:65" s="1" customFormat="1" x14ac:dyDescent="0.45">
      <c r="BM273" s="51" t="s">
        <v>1759</v>
      </c>
    </row>
    <row r="274" spans="8:65" s="1" customFormat="1" x14ac:dyDescent="0.45">
      <c r="I274" s="1" t="s">
        <v>1719</v>
      </c>
    </row>
    <row r="275" spans="8:65" s="1" customFormat="1" x14ac:dyDescent="0.45">
      <c r="H275">
        <v>2020</v>
      </c>
      <c r="I275" s="156">
        <f>BL77*$BM$272</f>
        <v>229.62535887096067</v>
      </c>
    </row>
    <row r="276" spans="8:65" s="1" customFormat="1" x14ac:dyDescent="0.45">
      <c r="H276">
        <v>2021</v>
      </c>
      <c r="I276" s="156">
        <f>I275*$BM$272</f>
        <v>226.13751275531047</v>
      </c>
    </row>
    <row r="277" spans="8:65" s="1" customFormat="1" x14ac:dyDescent="0.45">
      <c r="H277">
        <v>2022</v>
      </c>
      <c r="I277" s="156">
        <f t="shared" ref="I277:I295" si="1">I276*$BM$272</f>
        <v>222.70264454500256</v>
      </c>
    </row>
    <row r="278" spans="8:65" s="1" customFormat="1" x14ac:dyDescent="0.45">
      <c r="H278">
        <v>2023</v>
      </c>
      <c r="I278" s="156">
        <f t="shared" si="1"/>
        <v>219.31994954328101</v>
      </c>
    </row>
    <row r="279" spans="8:65" s="1" customFormat="1" x14ac:dyDescent="0.45">
      <c r="H279">
        <v>2024</v>
      </c>
      <c r="I279" s="156">
        <f t="shared" si="1"/>
        <v>215.98863527616209</v>
      </c>
    </row>
    <row r="280" spans="8:65" s="1" customFormat="1" x14ac:dyDescent="0.45">
      <c r="H280">
        <v>2025</v>
      </c>
      <c r="I280" s="156">
        <f t="shared" si="1"/>
        <v>212.70792130677907</v>
      </c>
    </row>
    <row r="281" spans="8:65" s="1" customFormat="1" x14ac:dyDescent="0.45">
      <c r="H281">
        <v>2026</v>
      </c>
      <c r="I281" s="156">
        <f t="shared" si="1"/>
        <v>209.4770390525469</v>
      </c>
    </row>
    <row r="282" spans="8:65" s="1" customFormat="1" x14ac:dyDescent="0.45">
      <c r="H282">
        <v>2027</v>
      </c>
      <c r="I282" s="156">
        <f t="shared" si="1"/>
        <v>206.29523160510416</v>
      </c>
    </row>
    <row r="283" spans="8:65" s="1" customFormat="1" x14ac:dyDescent="0.45">
      <c r="H283">
        <v>2028</v>
      </c>
      <c r="I283" s="156">
        <f t="shared" si="1"/>
        <v>203.16175355298986</v>
      </c>
    </row>
    <row r="284" spans="8:65" s="1" customFormat="1" x14ac:dyDescent="0.45">
      <c r="H284">
        <v>2029</v>
      </c>
      <c r="I284" s="156">
        <f t="shared" si="1"/>
        <v>200.0758708070137</v>
      </c>
    </row>
    <row r="285" spans="8:65" s="1" customFormat="1" x14ac:dyDescent="0.45">
      <c r="H285">
        <v>2030</v>
      </c>
      <c r="I285" s="156">
        <f t="shared" si="1"/>
        <v>197.0368604282788</v>
      </c>
    </row>
    <row r="286" spans="8:65" s="1" customFormat="1" x14ac:dyDescent="0.45">
      <c r="H286">
        <v>2031</v>
      </c>
      <c r="I286" s="156">
        <f t="shared" si="1"/>
        <v>194.04401045881667</v>
      </c>
    </row>
    <row r="287" spans="8:65" s="1" customFormat="1" x14ac:dyDescent="0.45">
      <c r="H287">
        <v>2032</v>
      </c>
      <c r="I287" s="156">
        <f t="shared" si="1"/>
        <v>191.09661975479472</v>
      </c>
    </row>
    <row r="288" spans="8:65" s="1" customFormat="1" x14ac:dyDescent="0.45">
      <c r="H288">
        <v>2033</v>
      </c>
      <c r="I288" s="156">
        <f t="shared" si="1"/>
        <v>188.19399782225722</v>
      </c>
    </row>
    <row r="289" spans="3:9" s="1" customFormat="1" x14ac:dyDescent="0.45">
      <c r="C289" s="49"/>
      <c r="D289" s="49"/>
      <c r="E289" s="49"/>
      <c r="H289">
        <v>2034</v>
      </c>
      <c r="I289" s="156">
        <f t="shared" si="1"/>
        <v>185.33546465536119</v>
      </c>
    </row>
    <row r="290" spans="3:9" s="1" customFormat="1" x14ac:dyDescent="0.45">
      <c r="C290" s="49"/>
      <c r="D290" s="49"/>
      <c r="E290" s="49"/>
      <c r="H290">
        <v>2035</v>
      </c>
      <c r="I290" s="156">
        <f t="shared" si="1"/>
        <v>182.52035057706948</v>
      </c>
    </row>
    <row r="291" spans="3:9" s="1" customFormat="1" x14ac:dyDescent="0.45">
      <c r="C291" s="49"/>
      <c r="D291" s="49"/>
      <c r="E291" s="49"/>
      <c r="H291">
        <v>2036</v>
      </c>
      <c r="I291" s="156">
        <f t="shared" si="1"/>
        <v>179.74799608226348</v>
      </c>
    </row>
    <row r="292" spans="3:9" s="1" customFormat="1" x14ac:dyDescent="0.45">
      <c r="H292">
        <v>2037</v>
      </c>
      <c r="I292" s="156">
        <f t="shared" si="1"/>
        <v>177.01775168323897</v>
      </c>
    </row>
    <row r="293" spans="3:9" s="1" customFormat="1" x14ac:dyDescent="0.45">
      <c r="H293">
        <v>2038</v>
      </c>
      <c r="I293" s="156">
        <f t="shared" si="1"/>
        <v>174.32897775754867</v>
      </c>
    </row>
    <row r="294" spans="3:9" s="1" customFormat="1" x14ac:dyDescent="0.45">
      <c r="H294">
        <v>2039</v>
      </c>
      <c r="I294" s="156">
        <f t="shared" si="1"/>
        <v>171.68104439815596</v>
      </c>
    </row>
    <row r="295" spans="3:9" s="1" customFormat="1" x14ac:dyDescent="0.45">
      <c r="H295">
        <v>2040</v>
      </c>
      <c r="I295" s="156">
        <f t="shared" si="1"/>
        <v>169.07333126586477</v>
      </c>
    </row>
    <row r="296" spans="3:9" s="1" customFormat="1" x14ac:dyDescent="0.45"/>
  </sheetData>
  <pageMargins left="0.7" right="0.7" top="0.75" bottom="0.75" header="0.3" footer="0.3"/>
  <headerFooter alignWithMargins="0"/>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86233-5E7E-457D-82A3-41EE49B41204}">
  <sheetPr>
    <tabColor theme="9" tint="-0.249977111117893"/>
  </sheetPr>
  <dimension ref="A1:H13"/>
  <sheetViews>
    <sheetView workbookViewId="0">
      <selection activeCell="B3" sqref="B3"/>
    </sheetView>
  </sheetViews>
  <sheetFormatPr defaultRowHeight="14.25" x14ac:dyDescent="0.45"/>
  <cols>
    <col min="1" max="1" width="13.796875" bestFit="1" customWidth="1"/>
    <col min="2" max="4" width="16.19921875" customWidth="1"/>
    <col min="5" max="5" width="20.46484375" bestFit="1" customWidth="1"/>
    <col min="6" max="6" width="15.53125" style="89" customWidth="1"/>
    <col min="7" max="7" width="14.46484375" style="195" bestFit="1" customWidth="1"/>
    <col min="8" max="8" width="14.796875" style="274" bestFit="1" customWidth="1"/>
  </cols>
  <sheetData>
    <row r="1" spans="1:8" x14ac:dyDescent="0.45">
      <c r="A1" s="186" t="s">
        <v>1915</v>
      </c>
      <c r="B1" s="186" t="s">
        <v>1916</v>
      </c>
      <c r="C1" s="186" t="s">
        <v>1917</v>
      </c>
      <c r="D1" s="186" t="s">
        <v>1918</v>
      </c>
      <c r="E1" s="186" t="s">
        <v>2081</v>
      </c>
      <c r="F1" s="269" t="s">
        <v>2078</v>
      </c>
      <c r="G1" s="272" t="s">
        <v>2079</v>
      </c>
      <c r="H1" s="273" t="s">
        <v>2080</v>
      </c>
    </row>
    <row r="2" spans="1:8" x14ac:dyDescent="0.45">
      <c r="A2" t="s">
        <v>200</v>
      </c>
      <c r="B2" s="89">
        <f>Tasks_previous!R45</f>
        <v>41.724137931034484</v>
      </c>
      <c r="C2" s="89">
        <f>Tasks_previous!S45</f>
        <v>22.488603156049098</v>
      </c>
      <c r="D2" s="89">
        <f>C2/((25*Tasks_previous!J44)/60)</f>
        <v>6.4767177089421404</v>
      </c>
      <c r="E2" s="3">
        <f>B2*G2*1000*H2</f>
        <v>28.641235186385572</v>
      </c>
      <c r="F2" s="89" t="s">
        <v>201</v>
      </c>
      <c r="G2" s="195">
        <f>SUM(TotalPop!D20:D102)/SUM(TotalPop!D$2:D$102)</f>
        <v>0.53026696512145299</v>
      </c>
      <c r="H2" s="274">
        <f>Tasks_previous!H44</f>
        <v>1.2945230835262726E-3</v>
      </c>
    </row>
    <row r="3" spans="1:8" x14ac:dyDescent="0.45">
      <c r="A3" t="s">
        <v>68</v>
      </c>
      <c r="B3" s="89">
        <f>Tasks_previous!R11</f>
        <v>2.8409800837628687</v>
      </c>
      <c r="C3" s="89">
        <f>Tasks_previous!S11</f>
        <v>2.8409800837628687</v>
      </c>
      <c r="D3" s="89">
        <f>C3/(20/60)</f>
        <v>8.5229402512886061</v>
      </c>
      <c r="E3" s="3">
        <f t="shared" ref="E3:E13" si="0">B3*G3*1000*H3</f>
        <v>84.662716764886667</v>
      </c>
      <c r="F3" s="89" t="s">
        <v>2083</v>
      </c>
      <c r="G3" s="195">
        <f>SUM(TotalPop!D3)/SUM(TotalPop!D$2:D$102)</f>
        <v>2.9800531601316679E-2</v>
      </c>
      <c r="H3" s="274">
        <v>1</v>
      </c>
    </row>
    <row r="4" spans="1:8" x14ac:dyDescent="0.45">
      <c r="A4" t="s">
        <v>70</v>
      </c>
      <c r="B4" s="89">
        <f>Tasks_previous!R34</f>
        <v>6.4682320441988947</v>
      </c>
      <c r="C4" s="89">
        <f>Tasks_previous!S34</f>
        <v>1.6170580110497237</v>
      </c>
      <c r="D4" s="89">
        <f>C4/(Tasks_previous!O17*Tasks_previous!M17/60)</f>
        <v>4.8511740331491717</v>
      </c>
      <c r="E4" s="3">
        <f t="shared" si="0"/>
        <v>69.755802604420609</v>
      </c>
      <c r="F4" s="270" t="s">
        <v>169</v>
      </c>
      <c r="G4" s="195">
        <f>SUM(TotalPop!D3:D6)/SUM(TotalPop!D$2:D$102)</f>
        <v>0.11351967606370302</v>
      </c>
      <c r="H4" s="274">
        <f>Tasks_previous!H33</f>
        <v>9.5000000000000001E-2</v>
      </c>
    </row>
    <row r="5" spans="1:8" x14ac:dyDescent="0.45">
      <c r="A5" t="s">
        <v>241</v>
      </c>
      <c r="B5" s="89">
        <f>Tasks_previous!R84</f>
        <v>4.9309664694280082</v>
      </c>
      <c r="C5" s="89">
        <f>Tasks_previous!S84</f>
        <v>1.2327416173570021</v>
      </c>
      <c r="D5" s="89">
        <f>C5/(35/60)</f>
        <v>2.1132713440405748</v>
      </c>
      <c r="E5" s="3">
        <f t="shared" si="0"/>
        <v>0.54718037478703996</v>
      </c>
      <c r="F5" s="89" t="s">
        <v>201</v>
      </c>
      <c r="G5" s="195">
        <f>G2</f>
        <v>0.53026696512145299</v>
      </c>
      <c r="H5" s="274">
        <f>Tasks_previous!H77</f>
        <v>2.0926851436312916E-4</v>
      </c>
    </row>
    <row r="6" spans="1:8" x14ac:dyDescent="0.45">
      <c r="A6" t="s">
        <v>66</v>
      </c>
      <c r="B6" s="89">
        <f>Tasks_previous!R86</f>
        <v>0.26551608334870802</v>
      </c>
      <c r="C6" s="89">
        <f>Tasks_previous!S86</f>
        <v>0.63723860003689925</v>
      </c>
      <c r="D6" s="89">
        <f>C6/(25/60)</f>
        <v>1.5293726400885581</v>
      </c>
      <c r="E6" s="3">
        <f t="shared" si="0"/>
        <v>37.480763627223133</v>
      </c>
      <c r="F6" s="89" t="s">
        <v>253</v>
      </c>
      <c r="G6" s="195">
        <f>SUM(TotalPop!C17:C51)/SUM(TotalPop!D2:D102)</f>
        <v>0.24171563907996554</v>
      </c>
      <c r="H6" s="274">
        <f>Tasks_previous!H86</f>
        <v>0.58399999999999996</v>
      </c>
    </row>
    <row r="7" spans="1:8" x14ac:dyDescent="0.45">
      <c r="A7" t="s">
        <v>220</v>
      </c>
      <c r="B7" s="89">
        <f>Tasks_previous!R64</f>
        <v>3.0097926267281103</v>
      </c>
      <c r="C7" s="89">
        <f>Tasks_previous!S64</f>
        <v>0.75244815668202758</v>
      </c>
      <c r="D7" s="89">
        <f>C7/(20/60)</f>
        <v>2.2573444700460827</v>
      </c>
      <c r="E7" s="3">
        <f t="shared" si="0"/>
        <v>40.931490309717503</v>
      </c>
      <c r="F7" s="58" t="s">
        <v>201</v>
      </c>
      <c r="G7" s="195">
        <f>G2</f>
        <v>0.53026696512145299</v>
      </c>
      <c r="H7" s="274">
        <f>Tasks_previous!H70</f>
        <v>2.56464E-2</v>
      </c>
    </row>
    <row r="8" spans="1:8" s="52" customFormat="1" x14ac:dyDescent="0.45">
      <c r="A8" s="52" t="s">
        <v>69</v>
      </c>
      <c r="B8" s="275">
        <f>Tasks_previous!R57</f>
        <v>2.222222222222222E-2</v>
      </c>
      <c r="C8" s="275">
        <f>B8</f>
        <v>2.222222222222222E-2</v>
      </c>
      <c r="D8" s="276">
        <f>C8/(25/60)</f>
        <v>5.3333333333333323E-2</v>
      </c>
      <c r="E8" s="276">
        <f t="shared" si="0"/>
        <v>0.42093501694897617</v>
      </c>
      <c r="F8" s="277" t="s">
        <v>212</v>
      </c>
      <c r="G8" s="278">
        <v>1</v>
      </c>
      <c r="H8" s="279">
        <f>Tasks_previous!H50</f>
        <v>1.894207576270393E-2</v>
      </c>
    </row>
    <row r="9" spans="1:8" x14ac:dyDescent="0.45">
      <c r="A9" t="s">
        <v>215</v>
      </c>
      <c r="B9" s="237">
        <f>Tasks_previous!R62</f>
        <v>1.7479452054794519E-2</v>
      </c>
      <c r="C9" s="237">
        <f>Tasks_previous!S62</f>
        <v>1.7479452054794519E-2</v>
      </c>
      <c r="D9" s="3">
        <f>C9/(15/60)</f>
        <v>6.9917808219178076E-2</v>
      </c>
      <c r="E9" s="3">
        <f t="shared" si="0"/>
        <v>0.12496274933910118</v>
      </c>
      <c r="F9" s="89" t="s">
        <v>212</v>
      </c>
      <c r="G9" s="195">
        <v>1</v>
      </c>
      <c r="H9" s="274">
        <f>Tasks_previous!H62</f>
        <v>7.1491228070175447E-3</v>
      </c>
    </row>
    <row r="10" spans="1:8" x14ac:dyDescent="0.45">
      <c r="A10" t="s">
        <v>232</v>
      </c>
      <c r="B10" s="237">
        <f>Tasks_previous!R80</f>
        <v>2.3216438356164385E-2</v>
      </c>
      <c r="C10" s="237">
        <f>Tasks_previous!S80</f>
        <v>1.741232876712329E-2</v>
      </c>
      <c r="D10" s="3">
        <f>C10/(15/60)</f>
        <v>6.9649315068493159E-2</v>
      </c>
      <c r="E10" s="3">
        <f t="shared" si="0"/>
        <v>5.0101073972602741</v>
      </c>
      <c r="F10" s="89" t="s">
        <v>212</v>
      </c>
      <c r="G10" s="195">
        <v>1</v>
      </c>
      <c r="H10" s="274">
        <f>Tasks_previous!H80</f>
        <v>0.21579999999999999</v>
      </c>
    </row>
    <row r="11" spans="1:8" x14ac:dyDescent="0.45">
      <c r="A11" t="s">
        <v>238</v>
      </c>
      <c r="B11" s="237">
        <f>Tasks_previous!R82</f>
        <v>8.1395348837209301E-3</v>
      </c>
      <c r="C11" s="237">
        <f>Tasks_previous!S82</f>
        <v>8.1395348837209301E-3</v>
      </c>
      <c r="D11" s="3">
        <f>C11/(10/60)</f>
        <v>4.8837209302325581E-2</v>
      </c>
      <c r="E11" s="3">
        <f t="shared" si="0"/>
        <v>4.2803660140158205E-2</v>
      </c>
      <c r="F11" s="58" t="str">
        <f t="shared" ref="F11" si="1">F5</f>
        <v>adults 18+</v>
      </c>
      <c r="G11" s="195">
        <f>G2</f>
        <v>0.53026696512145299</v>
      </c>
      <c r="H11" s="274">
        <f>Tasks_previous!H76</f>
        <v>9.9171468987202336E-3</v>
      </c>
    </row>
    <row r="12" spans="1:8" x14ac:dyDescent="0.45">
      <c r="A12" t="s">
        <v>65</v>
      </c>
      <c r="B12" s="237">
        <f>SUM(Tasks_previous!R2:R6)</f>
        <v>1.3455101501264839</v>
      </c>
      <c r="C12" s="237">
        <f>SUM(Tasks_previous!S2:S6)</f>
        <v>1.1264736140593818</v>
      </c>
      <c r="D12" s="3">
        <f>C12/(SUM(40,90,120,120)/60)</f>
        <v>0.18267139687449435</v>
      </c>
      <c r="E12" s="3">
        <f t="shared" si="0"/>
        <v>41.777435579397725</v>
      </c>
      <c r="F12" s="89" t="s">
        <v>2082</v>
      </c>
      <c r="G12" s="195">
        <f>SUM(TotalPop!D2)/SUM(TotalPop!D$2:D$102)</f>
        <v>3.1049513506435058E-2</v>
      </c>
      <c r="H12" s="274">
        <v>1</v>
      </c>
    </row>
    <row r="13" spans="1:8" x14ac:dyDescent="0.45">
      <c r="A13" t="s">
        <v>67</v>
      </c>
      <c r="B13" s="237">
        <f>Tasks_previous!R9</f>
        <v>0.14500000000000002</v>
      </c>
      <c r="C13" s="237">
        <f>Tasks_previous!S9</f>
        <v>0.14500000000000002</v>
      </c>
      <c r="D13" s="3">
        <f>C13/(10/60)</f>
        <v>0.87000000000000011</v>
      </c>
      <c r="E13" s="3">
        <f t="shared" si="0"/>
        <v>49.381059087710824</v>
      </c>
      <c r="F13" s="271" t="s">
        <v>169</v>
      </c>
      <c r="G13" s="195">
        <f>G4</f>
        <v>0.11351967606370302</v>
      </c>
      <c r="H13" s="274">
        <f>Tasks_previous!H8</f>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66</vt:i4>
      </vt:variant>
      <vt:variant>
        <vt:lpstr>Named Ranges</vt:lpstr>
      </vt:variant>
      <vt:variant>
        <vt:i4>1</vt:i4>
      </vt:variant>
    </vt:vector>
  </HeadingPairs>
  <TitlesOfParts>
    <vt:vector size="67" baseType="lpstr">
      <vt:lpstr>Scenarios_retain</vt:lpstr>
      <vt:lpstr>To Do or Upgrade</vt:lpstr>
      <vt:lpstr>Read Me</vt:lpstr>
      <vt:lpstr>Scenarios</vt:lpstr>
      <vt:lpstr>RegionSelect</vt:lpstr>
      <vt:lpstr>TotalPop</vt:lpstr>
      <vt:lpstr>StochasticParameters</vt:lpstr>
      <vt:lpstr>PopValues</vt:lpstr>
      <vt:lpstr>PopValues_retain</vt:lpstr>
      <vt:lpstr>SeasonalityCurves</vt:lpstr>
      <vt:lpstr>SeasonalityOffsets</vt:lpstr>
      <vt:lpstr>TaskValues_ref</vt:lpstr>
      <vt:lpstr>TV_Comprehensive</vt:lpstr>
      <vt:lpstr>TV_Merged</vt:lpstr>
      <vt:lpstr>Cadres_Comprehensive</vt:lpstr>
      <vt:lpstr>TV_Basic</vt:lpstr>
      <vt:lpstr>NCD age group</vt:lpstr>
      <vt:lpstr>Cadres_Basic</vt:lpstr>
      <vt:lpstr>Cadres_Merged</vt:lpstr>
      <vt:lpstr>Staffing Models</vt:lpstr>
      <vt:lpstr>Fertility Mortality Rates</vt:lpstr>
      <vt:lpstr>RegionalData</vt:lpstr>
      <vt:lpstr>Work time</vt:lpstr>
      <vt:lpstr>AgeSpecific Fertility</vt:lpstr>
      <vt:lpstr>RuralUrban Mortality</vt:lpstr>
      <vt:lpstr>Age band mort calcs</vt:lpstr>
      <vt:lpstr>Data dictionary Scenarios</vt:lpstr>
      <vt:lpstr>Ratios</vt:lpstr>
      <vt:lpstr>Services summary</vt:lpstr>
      <vt:lpstr>Tasks_previous</vt:lpstr>
      <vt:lpstr>TaskValues</vt:lpstr>
      <vt:lpstr>Tasks_previous (2)</vt:lpstr>
      <vt:lpstr>Lookup</vt:lpstr>
      <vt:lpstr>Prevalences</vt:lpstr>
      <vt:lpstr>DALYs </vt:lpstr>
      <vt:lpstr>CEA</vt:lpstr>
      <vt:lpstr>Ssn TB</vt:lpstr>
      <vt:lpstr>Ssn Births</vt:lpstr>
      <vt:lpstr>Ssn Diarrhea</vt:lpstr>
      <vt:lpstr>Ssn Malaria</vt:lpstr>
      <vt:lpstr>Ssn Nutr</vt:lpstr>
      <vt:lpstr>Ssn Measles</vt:lpstr>
      <vt:lpstr>Staffing</vt:lpstr>
      <vt:lpstr>Services ref</vt:lpstr>
      <vt:lpstr>Coverage impacts</vt:lpstr>
      <vt:lpstr>Demographics_Total</vt:lpstr>
      <vt:lpstr>PopRegional2020</vt:lpstr>
      <vt:lpstr>Pop_female_2020</vt:lpstr>
      <vt:lpstr>Pop_male_2020</vt:lpstr>
      <vt:lpstr>Pop M</vt:lpstr>
      <vt:lpstr>Pop F</vt:lpstr>
      <vt:lpstr>TB Incidence</vt:lpstr>
      <vt:lpstr>Malaria Incid</vt:lpstr>
      <vt:lpstr>FP mod</vt:lpstr>
      <vt:lpstr>unmet need</vt:lpstr>
      <vt:lpstr>HIV Prev</vt:lpstr>
      <vt:lpstr>HIV Incid</vt:lpstr>
      <vt:lpstr>mort infant</vt:lpstr>
      <vt:lpstr>mort 1-5</vt:lpstr>
      <vt:lpstr>mort 5-9</vt:lpstr>
      <vt:lpstr>mort 10-14</vt:lpstr>
      <vt:lpstr>mort 15-19</vt:lpstr>
      <vt:lpstr>mort 20-24</vt:lpstr>
      <vt:lpstr>mort adult f</vt:lpstr>
      <vt:lpstr>mort adult m</vt:lpstr>
      <vt:lpstr>AggregateDALYs</vt:lpstr>
      <vt:lpstr>total_pop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Charles Eliot (he/him/his)</cp:lastModifiedBy>
  <cp:revision/>
  <dcterms:created xsi:type="dcterms:W3CDTF">2021-08-19T16:16:53Z</dcterms:created>
  <dcterms:modified xsi:type="dcterms:W3CDTF">2022-09-09T14:59:44Z</dcterms:modified>
  <cp:category/>
  <cp:contentStatus/>
</cp:coreProperties>
</file>